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4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charts/chart4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5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5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5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13.xml" ContentType="application/vnd.openxmlformats-officedocument.drawing+xml"/>
  <Override PartName="/xl/charts/chart5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5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5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5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14.xml" ContentType="application/vnd.openxmlformats-officedocument.drawing+xml"/>
  <Override PartName="/xl/charts/chart5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60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61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62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63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64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65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66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7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8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9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70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71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72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73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74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75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76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7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8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9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80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81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82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83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84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85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86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87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88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89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90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91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92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93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94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95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96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97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15.xml" ContentType="application/vnd.openxmlformats-officedocument.drawing+xml"/>
  <Override PartName="/xl/charts/chart98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99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100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101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102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103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104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105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106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107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WADA\Desktop\"/>
    </mc:Choice>
  </mc:AlternateContent>
  <bookViews>
    <workbookView xWindow="0" yWindow="0" windowWidth="38400" windowHeight="18915" tabRatio="632" firstSheet="14" activeTab="14"/>
  </bookViews>
  <sheets>
    <sheet name="国保連売上データ" sheetId="136" state="hidden" r:id="rId1"/>
    <sheet name="事業所売上データ" sheetId="121" state="hidden" r:id="rId2"/>
    <sheet name="事業所収支データ" sheetId="123" state="hidden" r:id="rId3"/>
    <sheet name="処遇改善加算データ" sheetId="133" state="hidden" r:id="rId4"/>
    <sheet name="パート法定福利費処遇改善計算" sheetId="120" state="hidden" r:id="rId5"/>
    <sheet name="社員・パート別稼働データ" sheetId="142" state="hidden" r:id="rId6"/>
    <sheet name="メモ" sheetId="138" state="hidden" r:id="rId7"/>
    <sheet name="【ピボット】国保連売上" sheetId="126" state="hidden" r:id="rId8"/>
    <sheet name="【ピボット】事業所売上" sheetId="128" state="hidden" r:id="rId9"/>
    <sheet name="【ピボット】事業所収支" sheetId="129" state="hidden" r:id="rId10"/>
    <sheet name="【ピボット】処遇改善加算" sheetId="134" state="hidden" r:id="rId11"/>
    <sheet name="リスト" sheetId="124" state="hidden" r:id="rId12"/>
    <sheet name="事業所MT用" sheetId="171" state="hidden" r:id="rId13"/>
    <sheet name="【ピボット】国保連売上_月例報告用" sheetId="172" state="hidden" r:id="rId14"/>
    <sheet name="推移" sheetId="1" r:id="rId15"/>
    <sheet name="経費推移" sheetId="28" r:id="rId16"/>
    <sheet name="売上推移" sheetId="5" r:id="rId17"/>
    <sheet name="国保連単月売上" sheetId="41" r:id="rId18"/>
    <sheet name="事業所別単月収支" sheetId="53" r:id="rId19"/>
    <sheet name="事業所別収支" sheetId="9" r:id="rId20"/>
    <sheet name="処遇改善加算金支払い実績" sheetId="60" state="hidden" r:id="rId21"/>
    <sheet name="事業所別推移(事業所分担なし)(加算抜き)" sheetId="57" r:id="rId22"/>
    <sheet name="事業所別推移(事業所分担なし) " sheetId="35" r:id="rId23"/>
    <sheet name="H29事業所別返戻管理表" sheetId="118" r:id="rId24"/>
    <sheet name="事業所損益管理(H29.9～H30.8)収支計画表" sheetId="113" state="hidden" r:id="rId25"/>
    <sheet name="事業所損益管理(H29.9～H30.8)収支計画表(査定)" sheetId="116" state="hidden" r:id="rId26"/>
    <sheet name="☆事業所損益管理(H30.9～H31.8)(計画)" sheetId="156" state="hidden" r:id="rId27"/>
    <sheet name="事業所損益管理(H30.9～H31.8)" sheetId="176" r:id="rId28"/>
    <sheet name="事業所損益管理(H30.9～H31.8)_査定" sheetId="174" r:id="rId29"/>
    <sheet name="H29収支予測(本部)" sheetId="112" state="hidden" r:id="rId30"/>
    <sheet name="H30収支予測" sheetId="163" r:id="rId31"/>
    <sheet name="西広売上計算" sheetId="177" state="hidden" r:id="rId32"/>
    <sheet name="社員・パート別稼働表【2月比較】" sheetId="151" r:id="rId33"/>
    <sheet name="H30年度収支予測" sheetId="159" state="hidden" r:id="rId34"/>
    <sheet name="H31.4月 月例報告" sheetId="169" r:id="rId35"/>
    <sheet name="★H30管理部算定根拠" sheetId="154" state="hidden" r:id="rId36"/>
    <sheet name="★H30経費計算用" sheetId="168" state="hidden" r:id="rId37"/>
    <sheet name="H30管理部予測" sheetId="165" state="hidden" r:id="rId38"/>
  </sheets>
  <externalReferences>
    <externalReference r:id="rId39"/>
    <externalReference r:id="rId40"/>
    <externalReference r:id="rId41"/>
    <externalReference r:id="rId42"/>
    <externalReference r:id="rId43"/>
  </externalReferences>
  <definedNames>
    <definedName name="_xlnm._FilterDatabase" localSheetId="36" hidden="1">★H30経費計算用!$D$40:$F$62</definedName>
    <definedName name="_xlnm._FilterDatabase" localSheetId="17" hidden="1">国保連単月売上!$N$310:$O$312</definedName>
    <definedName name="_xlnm._FilterDatabase" localSheetId="0" hidden="1">国保連売上データ!$A$1:$N$1501</definedName>
    <definedName name="_xlnm._FilterDatabase" localSheetId="2" hidden="1">事業所収支データ!$A$1:$Y$501</definedName>
    <definedName name="_xlnm._FilterDatabase" localSheetId="24" hidden="1">'事業所損益管理(H29.9～H30.8)収支計画表'!$F$3:$Q$153</definedName>
    <definedName name="_xlnm._FilterDatabase" localSheetId="27" hidden="1">'事業所損益管理(H30.9～H31.8)'!$F$9:$Q$13</definedName>
    <definedName name="_xlnm._FilterDatabase" localSheetId="28" hidden="1">'事業所損益管理(H30.9～H31.8)_査定'!$F$3:$Q$9</definedName>
    <definedName name="_xlnm._FilterDatabase" localSheetId="1" hidden="1">事業所売上データ!$A$2:$X$500</definedName>
    <definedName name="_xlnm._FilterDatabase" localSheetId="19" hidden="1">事業所別収支!$A$174:$AB$214</definedName>
    <definedName name="_xlnm._FilterDatabase" localSheetId="22" hidden="1">'事業所別推移(事業所分担なし) '!$A$27:$D$32</definedName>
    <definedName name="_xlnm._FilterDatabase" localSheetId="21" hidden="1">'事業所別推移(事業所分担なし)(加算抜き)'!#REF!</definedName>
    <definedName name="_xlnm._FilterDatabase" localSheetId="32" hidden="1">社員・パート別稼働表【2月比較】!$AZ$32:$BH$39</definedName>
    <definedName name="_xlnm._FilterDatabase" localSheetId="3" hidden="1">処遇改善加算データ!$C$2:$Q$18</definedName>
    <definedName name="_xlnm._FilterDatabase" localSheetId="14" hidden="1">推移!$B$2:$C$146</definedName>
    <definedName name="ＧＨ五井収支">事業所別収支!$B$338</definedName>
    <definedName name="_xlnm.Print_Area" localSheetId="26">'☆事業所損益管理(H30.9～H31.8)(計画)'!$C$1:$X$141</definedName>
    <definedName name="_xlnm.Print_Area" localSheetId="35">★H30管理部算定根拠!$A$1:$W$242</definedName>
    <definedName name="_xlnm.Print_Area" localSheetId="36">★H30経費計算用!$A$1:$AP$141</definedName>
    <definedName name="_xlnm.Print_Area" localSheetId="23">H29事業所別返戻管理表!$C$1:$R$81</definedName>
    <definedName name="_xlnm.Print_Area" localSheetId="29">'H29収支予測(本部)'!$A$1:$W$90</definedName>
    <definedName name="_xlnm.Print_Area" localSheetId="37">H30管理部予測!$C$1:$X$213</definedName>
    <definedName name="_xlnm.Print_Area" localSheetId="30">H30収支予測!$A$1:$V$96</definedName>
    <definedName name="_xlnm.Print_Area" localSheetId="33">H30年度収支予測!$A$1:$S$70</definedName>
    <definedName name="_xlnm.Print_Area" localSheetId="34">'H31.4月 月例報告'!$A$1:$R$263</definedName>
    <definedName name="_xlnm.Print_Area" localSheetId="4">パート法定福利費処遇改善計算!$L$1:$AT$15</definedName>
    <definedName name="_xlnm.Print_Area" localSheetId="15">経費推移!$A:$T</definedName>
    <definedName name="_xlnm.Print_Area" localSheetId="17">国保連単月売上!$A$1:$AF$105</definedName>
    <definedName name="_xlnm.Print_Area" localSheetId="24">'事業所損益管理(H29.9～H30.8)収支計画表'!$C$1:$X$183</definedName>
    <definedName name="_xlnm.Print_Area" localSheetId="25">'事業所損益管理(H29.9～H30.8)収支計画表(査定)'!$A$1:$V$194</definedName>
    <definedName name="_xlnm.Print_Area" localSheetId="27">'事業所損益管理(H30.9～H31.8)'!$C$1:$W$153</definedName>
    <definedName name="_xlnm.Print_Area" localSheetId="28">'事業所損益管理(H30.9～H31.8)_査定'!$C$1:$W$151</definedName>
    <definedName name="_xlnm.Print_Area" localSheetId="19">事業所別収支!$B$12:$Z$584</definedName>
    <definedName name="_xlnm.Print_Area" localSheetId="22">'事業所別推移(事業所分担なし) '!$D$1:$AE$93</definedName>
    <definedName name="_xlnm.Print_Area" localSheetId="21">'事業所別推移(事業所分担なし)(加算抜き)'!$C$1:$AE$95</definedName>
    <definedName name="_xlnm.Print_Area" localSheetId="18">事業所別単月収支!$C:$AD</definedName>
    <definedName name="_xlnm.Print_Area" localSheetId="32">社員・パート別稼働表【2月比較】!$C$1:$V$125</definedName>
    <definedName name="_xlnm.Print_Area" localSheetId="14">推移!$B$1:$AB$303</definedName>
    <definedName name="_xlnm.Print_Area" localSheetId="16">売上推移!$D$129:$U$326</definedName>
    <definedName name="_xlnm.Print_Titles" localSheetId="4">パート法定福利費処遇改善計算!$L:$L,パート法定福利費処遇改善計算!$1:$1</definedName>
    <definedName name="_xlnm.Print_Titles" localSheetId="20">処遇改善加算金支払い実績!$A:$B</definedName>
    <definedName name="_xlnm.Print_Titles" localSheetId="14">推移!$B:$C</definedName>
    <definedName name="range_H30売上">'☆事業所損益管理(H30.9～H31.8)(計画)'!$A$3:$Q$97</definedName>
    <definedName name="range_項目印刷用">'[1]資金繰表改定2018(入力)'!$B$3:$B$153</definedName>
    <definedName name="range_事業所損益管理1">'事業所損益管理(H30.9～H31.8)_査定'!$F$3:$Q$128</definedName>
    <definedName name="range_事業所損益管理2">OFFSET('事業所損益管理(H30.9～H31.8)_査定'!$F$3,0,MATCH('事業所損益管理(H30.9～H31.8)_査定'!$G$1,'事業所損益管理(H30.9～H31.8)_査定'!$F$2:$Q$2,0),COUNTA('事業所損益管理(H30.9～H31.8)_査定'!$F$3:$F$128),COUNTA('事業所損益管理(H30.9～H31.8)_査定'!$F$2:$Q$2)-MATCH('事業所損益管理(H30.9～H31.8)_査定'!$G$1,'事業所損益管理(H30.9～H31.8)_査定'!$F$2:$Q$2,0))</definedName>
    <definedName name="range_事業所損益管理3">'事業所損益管理(H30.9～H31.8)'!$F$3:$Q$85</definedName>
    <definedName name="range_事業所損益管理4">OFFSET('事業所損益管理(H30.9～H31.8)'!$F$3,0,MATCH('事業所損益管理(H30.9～H31.8)'!$G$1,'事業所損益管理(H30.9～H31.8)'!$F$2:$Q$2,0),COUNTA('事業所損益管理(H30.9～H31.8)'!$F$3:$F$85),COUNTA('事業所損益管理(H30.9～H31.8)'!$F$2:$Q$2)-MATCH('事業所損益管理(H30.9～H31.8)'!$G$1,'事業所損益管理(H30.9～H31.8)_査定'!$F$2:$Q$2,0))</definedName>
    <definedName name="range_推移期累計">推移!$AB$58:$AB$147</definedName>
    <definedName name="range_推移事業所別売上">推移!$A$58:$AB$147</definedName>
    <definedName name="range_推移事業所名">推移!$A$58:$A$147</definedName>
    <definedName name="range_推移事業名">推移!$C$58:$C$147</definedName>
    <definedName name="range_推移前月売上">推移!$Z$58:$Z$147</definedName>
    <definedName name="range_推移当月売上">推移!$AA$58:$AA$147</definedName>
    <definedName name="range_年月">'[1]資金繰表改定2018(入力)'!$C$2:$BL$2</definedName>
    <definedName name="range_表示年月">推移!$AE$5</definedName>
    <definedName name="パート賃金_パート">[2]パート賃金集計シート!$P$3:$P$189</definedName>
    <definedName name="パート賃金_所属">[2]パート賃金集計シート!$C$3:$C$189</definedName>
    <definedName name="稼働データ項目名">社員・パート別稼働データ!$B$2:$B$23</definedName>
    <definedName name="稼働データ日付">OFFSET(社員・パート別稼働データ!$C$1,0,0,1,COUNTA(社員・パート別稼働データ!$8:$8)-2)</definedName>
    <definedName name="国保連売上データ" localSheetId="33">OFFSET([3]国保連売上データ!$A$1,0,0,COUNTA([3]国保連売上データ!$A:$A),14)</definedName>
    <definedName name="国保連売上データ">OFFSET(国保連売上データ!$A$1,0,0,COUNTA(国保連売上データ!$A:$A),COUNTA(国保連売上データ!$1:$1))</definedName>
    <definedName name="姉崎パート賃金計">[2]パート賃金集計シート!$D$190</definedName>
    <definedName name="姉崎収支">事業所別収支!$B$379</definedName>
    <definedName name="事業区分コード" localSheetId="33">OFFSET([3]リスト!$F$2,0,0,COUNTA([3]リスト!$F:$F)-1,1)</definedName>
    <definedName name="事業区分コード">OFFSET(リスト!$F$2,0,0,COUNTA(リスト!$F:$F)-1,1)</definedName>
    <definedName name="事業区分コード2" localSheetId="33">OFFSET([3]リスト!$F$2,0,0,COUNTA([3]リスト!$F:$F)-1,2)</definedName>
    <definedName name="事業区分コード2">OFFSET(リスト!$F$2,0,0,COUNTA(リスト!$F:$F)-1,2)</definedName>
    <definedName name="事業所コード" localSheetId="33">OFFSET([3]リスト!$A$3,0,0,COUNTA([3]リスト!$A:$A)-2,1)</definedName>
    <definedName name="事業所コード">OFFSET(リスト!$A$3,0,0,COUNTA(リスト!$A:$A)-2,1)</definedName>
    <definedName name="事業所コード2" localSheetId="33">OFFSET([3]リスト!$A$3,0,0,COUNTA([3]リスト!$A:$A)-2,3)</definedName>
    <definedName name="事業所コード2">OFFSET(リスト!$A$3,0,0,COUNTA(リスト!$A:$A)-2,3)</definedName>
    <definedName name="事業所収支データ" localSheetId="33">OFFSET([3]事業所収支データ!$A$1,0,0,COUNTA([3]事業所収支データ!$A:$A),19)</definedName>
    <definedName name="事業所収支データ">OFFSET(事業所収支データ!$A$1,0,0,COUNTA(事業所収支データ!$A:$A),COUNTA(事業所収支データ!$1:$1))</definedName>
    <definedName name="事業所売上データ" localSheetId="33">OFFSET([3]事業所売上データ!$A$2,0,0,COUNTA([3]事業所売上データ!$A:$A),26)</definedName>
    <definedName name="事業所売上データ">OFFSET(事業所売上データ!$A$2,0,0,COUNTA(事業所売上データ!$A:$A),COUNTA(事業所売上データ!$2:$2))</definedName>
    <definedName name="事業所別収支_TOP">事業所別収支!$B$1</definedName>
    <definedName name="社員_支給額２">[2]社員用!$W$3:$W$39</definedName>
    <definedName name="社員_所属">[2]社員用!$C$3:$C$39</definedName>
    <definedName name="収支管理表メモ" localSheetId="33">OFFSET([3]メモ!$A$2,0,0,COUNTA([3]メモ!$A:$A)-1,2)</definedName>
    <definedName name="収支管理表メモ">OFFSET(メモ!$A$2,0,0,COUNTA(メモ!$A:$A)-1,2)</definedName>
    <definedName name="処遇改善プール額">リスト!$V$2:$W$3</definedName>
    <definedName name="処遇改善加算データ" localSheetId="33">OFFSET([3]処遇改善加算データ!$A$1,0,0,COUNTA([3]処遇改善加算データ!$A:$A),16)</definedName>
    <definedName name="処遇改善加算データ">OFFSET(処遇改善加算データ!$A$1,0,0,COUNTA(処遇改善加算データ!$A:$A),COUNTA(処遇改善加算データ!$1:$1))</definedName>
    <definedName name="千葉西稼働データ">OFFSET(社員・パート別稼働データ!$B$98,0,0,22,COUNTA(社員・パート別稼働データ!$8:$8)-1)</definedName>
    <definedName name="千葉東パート賃金計">[2]パート賃金集計シート!$H$190</definedName>
    <definedName name="千葉東稼働データ" localSheetId="33">OFFSET([4]社員・パート別稼働データ!$B$122,0,0,22,COUNTA([4]社員・パート別稼働データ!$8:$8)-1)</definedName>
    <definedName name="千葉東稼働データ">OFFSET(社員・パート別稼働データ!$B$74,0,0,22,COUNTA(社員・パート別稼働データ!$8:$8)-1)</definedName>
    <definedName name="全社収支" localSheetId="36">事業所別収支!#REF!</definedName>
    <definedName name="蘇我パート賃金計">[2]パート賃金集計シート!$F$190</definedName>
    <definedName name="蘇我稼働データ" localSheetId="33">OFFSET([3]社員・パート別稼働データ!$B$42,0,0,22,COUNTA([3]社員・パート別稼働データ!$8:$8)-1)</definedName>
    <definedName name="蘇我稼働データ">OFFSET(社員・パート別稼働データ!$B$26,0,0,22,COUNTA(社員・パート別稼働データ!$8:$8)-1)</definedName>
    <definedName name="蘇我収支">事業所別収支!$B$52</definedName>
    <definedName name="中高根収支">事業所別収支!$B$296</definedName>
    <definedName name="当期月数">リスト!$P$2</definedName>
    <definedName name="二日市場収支">事業所別収支!$B$255</definedName>
    <definedName name="年間平均売上高">経費推移!$L$64</definedName>
    <definedName name="白金タクシー稼働データ" localSheetId="33">OFFSET([3]社員・パート別稼働データ!$B$162,0,0,22,COUNTA([3]社員・パート別稼働データ!$8:$8)-1)</definedName>
    <definedName name="白金タクシー稼働データ">OFFSET(社員・パート別稼働データ!$B$122,0,0,22,COUNTA(社員・パート別稼働データ!$8:$8)-1)</definedName>
    <definedName name="白金ディ収支">事業所別収支!$B$215</definedName>
    <definedName name="白金パート賃金計">[2]パート賃金集計シート!$E$190</definedName>
    <definedName name="白金稼働データ" localSheetId="33">OFFSET([3]社員・パート別稼働データ!$B$2,0,0,22,COUNTA([3]社員・パート別稼働データ!$8:$8)-1)</definedName>
    <definedName name="白金稼働データ">OFFSET(社員・パート別稼働データ!$B$2,0,0,22,COUNTA(社員・パート別稼働データ!$8:$8)-1)</definedName>
    <definedName name="白金収支">事業所別収支!$B$12</definedName>
    <definedName name="部門名" localSheetId="36">★H30経費計算用!$B$3</definedName>
    <definedName name="部門名テーブル" localSheetId="36">[5]テーブル!$B$3:$B$23</definedName>
    <definedName name="訪問事業所名">OFFSET(リスト!$Z$2,0,0,COUNTA(リスト!$Z:$Z)-1,1)</definedName>
    <definedName name="誉田パート賃金計">[2]パート賃金集計シート!$G$190</definedName>
    <definedName name="誉田稼働データ" localSheetId="33">OFFSET([3]社員・パート別稼働データ!$B$82,0,0,22,COUNTA([3]社員・パート別稼働データ!$8:$8)-1)</definedName>
    <definedName name="誉田稼働データ">OFFSET(社員・パート別稼働データ!$B$50,0,0,22,COUNTA(社員・パート別稼働データ!$8:$8)-1)</definedName>
    <definedName name="誉田収支">事業所別収支!$B$92</definedName>
  </definedNames>
  <calcPr calcId="152511"/>
  <pivotCaches>
    <pivotCache cacheId="0" r:id="rId44"/>
    <pivotCache cacheId="1" r:id="rId45"/>
    <pivotCache cacheId="2" r:id="rId46"/>
    <pivotCache cacheId="3" r:id="rId47"/>
  </pivotCaches>
</workbook>
</file>

<file path=xl/calcChain.xml><?xml version="1.0" encoding="utf-8"?>
<calcChain xmlns="http://schemas.openxmlformats.org/spreadsheetml/2006/main">
  <c r="O126" i="154" l="1"/>
  <c r="O127" i="154"/>
  <c r="O128" i="154"/>
  <c r="O129" i="154"/>
  <c r="H21" i="163"/>
  <c r="H23" i="163"/>
  <c r="Q23" i="163" l="1"/>
  <c r="L39" i="133" l="1"/>
  <c r="K39" i="133"/>
  <c r="I39" i="133"/>
  <c r="E39" i="133"/>
  <c r="D39" i="133"/>
  <c r="N39" i="133" l="1"/>
  <c r="G39" i="133"/>
  <c r="C39" i="133"/>
  <c r="E391" i="123" l="1"/>
  <c r="E389" i="123"/>
  <c r="S23" i="163" l="1"/>
  <c r="O41" i="154" l="1"/>
  <c r="O42" i="154"/>
  <c r="O43" i="154"/>
  <c r="O3239" i="126"/>
  <c r="C48" i="168" l="1"/>
  <c r="C63" i="168"/>
  <c r="C55" i="168"/>
  <c r="Q5" i="168"/>
  <c r="R5" i="168"/>
  <c r="Q6" i="168"/>
  <c r="R6" i="168"/>
  <c r="Q7" i="168"/>
  <c r="R7" i="168"/>
  <c r="Q8" i="168"/>
  <c r="R8" i="168"/>
  <c r="Q9" i="168"/>
  <c r="R9" i="168"/>
  <c r="Q10" i="168"/>
  <c r="R10" i="168"/>
  <c r="Q11" i="168"/>
  <c r="R11" i="168"/>
  <c r="Q12" i="168"/>
  <c r="R12" i="168"/>
  <c r="Q13" i="168"/>
  <c r="R13" i="168"/>
  <c r="Q14" i="168"/>
  <c r="R14" i="168"/>
  <c r="Q15" i="168"/>
  <c r="R15" i="168"/>
  <c r="Q16" i="168"/>
  <c r="R16" i="168"/>
  <c r="Q17" i="168"/>
  <c r="R17" i="168"/>
  <c r="Q18" i="168"/>
  <c r="R18" i="168"/>
  <c r="Q19" i="168"/>
  <c r="R19" i="168"/>
  <c r="Q20" i="168"/>
  <c r="R20" i="168"/>
  <c r="Q21" i="168"/>
  <c r="R21" i="168"/>
  <c r="Q22" i="168"/>
  <c r="R22" i="168"/>
  <c r="Q23" i="168"/>
  <c r="R23" i="168"/>
  <c r="Q24" i="168"/>
  <c r="R24" i="168"/>
  <c r="Q25" i="168"/>
  <c r="R25" i="168"/>
  <c r="Q26" i="168"/>
  <c r="R26" i="168"/>
  <c r="Q27" i="168"/>
  <c r="R27" i="168"/>
  <c r="Q28" i="168"/>
  <c r="R28" i="168"/>
  <c r="Q29" i="168"/>
  <c r="R29" i="168"/>
  <c r="R4" i="168"/>
  <c r="Q4" i="168"/>
  <c r="J199" i="174" l="1"/>
  <c r="L38" i="133" l="1"/>
  <c r="K38" i="133"/>
  <c r="I38" i="133"/>
  <c r="E38" i="133"/>
  <c r="D38" i="133"/>
  <c r="AN1" i="120"/>
  <c r="AO1" i="120"/>
  <c r="AP1" i="120" s="1"/>
  <c r="AN2" i="120"/>
  <c r="AN3" i="120"/>
  <c r="AO3" i="120"/>
  <c r="AN4" i="120"/>
  <c r="AN5" i="120"/>
  <c r="AO5" i="120"/>
  <c r="AN6" i="120"/>
  <c r="AN7" i="120"/>
  <c r="AO7" i="120"/>
  <c r="AN8" i="120"/>
  <c r="AN9" i="120"/>
  <c r="AO9" i="120"/>
  <c r="AN10" i="120"/>
  <c r="AN11" i="120"/>
  <c r="AO11" i="120"/>
  <c r="AN12" i="120"/>
  <c r="AN13" i="120"/>
  <c r="AO13" i="120"/>
  <c r="AN14" i="120"/>
  <c r="AN15" i="120" l="1"/>
  <c r="AP3" i="120"/>
  <c r="AP5" i="120"/>
  <c r="AP7" i="120"/>
  <c r="AP9" i="120"/>
  <c r="AP11" i="120"/>
  <c r="AP13" i="120"/>
  <c r="AQ1" i="120"/>
  <c r="AP2" i="120"/>
  <c r="AP4" i="120"/>
  <c r="AP6" i="120"/>
  <c r="AP8" i="120"/>
  <c r="AP10" i="120"/>
  <c r="AP12" i="120"/>
  <c r="AP14" i="120"/>
  <c r="AO14" i="120"/>
  <c r="AO12" i="120"/>
  <c r="AO10" i="120"/>
  <c r="AO8" i="120"/>
  <c r="AO6" i="120"/>
  <c r="AO4" i="120"/>
  <c r="AO2" i="120"/>
  <c r="AP15" i="120" l="1"/>
  <c r="AO15" i="120"/>
  <c r="AR1" i="120"/>
  <c r="AQ2" i="120"/>
  <c r="AQ4" i="120"/>
  <c r="AQ6" i="120"/>
  <c r="AQ8" i="120"/>
  <c r="AQ10" i="120"/>
  <c r="AQ12" i="120"/>
  <c r="AQ14" i="120"/>
  <c r="AQ3" i="120"/>
  <c r="AQ5" i="120"/>
  <c r="AQ7" i="120"/>
  <c r="AQ9" i="120"/>
  <c r="AQ11" i="120"/>
  <c r="AQ13" i="120"/>
  <c r="AR3" i="120" l="1"/>
  <c r="AR5" i="120"/>
  <c r="AR7" i="120"/>
  <c r="AR9" i="120"/>
  <c r="AR11" i="120"/>
  <c r="AR13" i="120"/>
  <c r="AS1" i="120"/>
  <c r="AR2" i="120"/>
  <c r="AR4" i="120"/>
  <c r="AR6" i="120"/>
  <c r="AR8" i="120"/>
  <c r="AR10" i="120"/>
  <c r="AR12" i="120"/>
  <c r="AR14" i="120"/>
  <c r="AQ15" i="120"/>
  <c r="AR15" i="120" l="1"/>
  <c r="AT1" i="120"/>
  <c r="AS2" i="120"/>
  <c r="AS4" i="120"/>
  <c r="AS6" i="120"/>
  <c r="AS8" i="120"/>
  <c r="AS10" i="120"/>
  <c r="AS12" i="120"/>
  <c r="AS14" i="120"/>
  <c r="AS3" i="120"/>
  <c r="AS5" i="120"/>
  <c r="AS7" i="120"/>
  <c r="AS9" i="120"/>
  <c r="AS11" i="120"/>
  <c r="AS13" i="120"/>
  <c r="AS15" i="120" l="1"/>
  <c r="AT3" i="120"/>
  <c r="AT5" i="120"/>
  <c r="AT7" i="120"/>
  <c r="AT9" i="120"/>
  <c r="AT11" i="120"/>
  <c r="AT13" i="120"/>
  <c r="AT2" i="120"/>
  <c r="AT4" i="120"/>
  <c r="AT6" i="120"/>
  <c r="AT8" i="120"/>
  <c r="AT10" i="120"/>
  <c r="AT12" i="120"/>
  <c r="AT14" i="120"/>
  <c r="AT15" i="120" l="1"/>
  <c r="N38" i="133" l="1"/>
  <c r="G38" i="133" l="1"/>
  <c r="C38" i="133"/>
  <c r="E377" i="123" l="1"/>
  <c r="V376" i="123" l="1"/>
  <c r="M115" i="176" l="1"/>
  <c r="J147" i="176"/>
  <c r="K147" i="176"/>
  <c r="M147" i="176"/>
  <c r="J148" i="176"/>
  <c r="K148" i="176"/>
  <c r="B989" i="136" l="1"/>
  <c r="D989" i="136"/>
  <c r="F989" i="136"/>
  <c r="J989" i="136"/>
  <c r="L989" i="136" s="1"/>
  <c r="B990" i="136"/>
  <c r="D990" i="136"/>
  <c r="F990" i="136"/>
  <c r="J990" i="136"/>
  <c r="L990" i="136" s="1"/>
  <c r="B991" i="136"/>
  <c r="D991" i="136"/>
  <c r="F991" i="136"/>
  <c r="J991" i="136"/>
  <c r="L991" i="136" s="1"/>
  <c r="B992" i="136"/>
  <c r="D992" i="136"/>
  <c r="F992" i="136"/>
  <c r="J992" i="136"/>
  <c r="L992" i="136" s="1"/>
  <c r="B993" i="136"/>
  <c r="D993" i="136"/>
  <c r="F993" i="136"/>
  <c r="J993" i="136"/>
  <c r="L993" i="136" s="1"/>
  <c r="B994" i="136"/>
  <c r="D994" i="136"/>
  <c r="F994" i="136"/>
  <c r="J994" i="136"/>
  <c r="L994" i="136" s="1"/>
  <c r="B995" i="136"/>
  <c r="D995" i="136"/>
  <c r="F995" i="136"/>
  <c r="J995" i="136"/>
  <c r="L995" i="136" s="1"/>
  <c r="B996" i="136"/>
  <c r="D996" i="136"/>
  <c r="F996" i="136"/>
  <c r="J996" i="136"/>
  <c r="L996" i="136" s="1"/>
  <c r="B997" i="136"/>
  <c r="D997" i="136"/>
  <c r="F997" i="136"/>
  <c r="J997" i="136"/>
  <c r="L997" i="136" s="1"/>
  <c r="B998" i="136"/>
  <c r="D998" i="136"/>
  <c r="F998" i="136"/>
  <c r="J998" i="136"/>
  <c r="L998" i="136" s="1"/>
  <c r="B999" i="136"/>
  <c r="D999" i="136"/>
  <c r="F999" i="136"/>
  <c r="J999" i="136"/>
  <c r="L999" i="136" s="1"/>
  <c r="B1000" i="136"/>
  <c r="D1000" i="136"/>
  <c r="F1000" i="136"/>
  <c r="J1000" i="136"/>
  <c r="L1000" i="136" s="1"/>
  <c r="B1001" i="136"/>
  <c r="D1001" i="136"/>
  <c r="F1001" i="136"/>
  <c r="J1001" i="136"/>
  <c r="L1001" i="136" s="1"/>
  <c r="B1002" i="136"/>
  <c r="D1002" i="136"/>
  <c r="F1002" i="136"/>
  <c r="J1002" i="136"/>
  <c r="L1002" i="136" s="1"/>
  <c r="B1003" i="136"/>
  <c r="D1003" i="136"/>
  <c r="F1003" i="136"/>
  <c r="J1003" i="136"/>
  <c r="L1003" i="136" s="1"/>
  <c r="B1004" i="136"/>
  <c r="D1004" i="136"/>
  <c r="F1004" i="136"/>
  <c r="J1004" i="136"/>
  <c r="L1004" i="136" s="1"/>
  <c r="B1005" i="136"/>
  <c r="D1005" i="136"/>
  <c r="F1005" i="136"/>
  <c r="J1005" i="136"/>
  <c r="L1005" i="136" s="1"/>
  <c r="B1006" i="136"/>
  <c r="D1006" i="136"/>
  <c r="F1006" i="136"/>
  <c r="J1006" i="136"/>
  <c r="L1006" i="136" s="1"/>
  <c r="B1007" i="136"/>
  <c r="D1007" i="136"/>
  <c r="F1007" i="136"/>
  <c r="J1007" i="136"/>
  <c r="L1007" i="136" s="1"/>
  <c r="B1008" i="136"/>
  <c r="D1008" i="136"/>
  <c r="F1008" i="136"/>
  <c r="J1008" i="136"/>
  <c r="L1008" i="136" s="1"/>
  <c r="B1009" i="136"/>
  <c r="D1009" i="136"/>
  <c r="F1009" i="136"/>
  <c r="J1009" i="136"/>
  <c r="L1009" i="136" s="1"/>
  <c r="B1010" i="136"/>
  <c r="D1010" i="136"/>
  <c r="F1010" i="136"/>
  <c r="J1010" i="136"/>
  <c r="L1010" i="136" s="1"/>
  <c r="B1011" i="136"/>
  <c r="D1011" i="136"/>
  <c r="F1011" i="136"/>
  <c r="J1011" i="136"/>
  <c r="L1011" i="136" s="1"/>
  <c r="B1012" i="136"/>
  <c r="D1012" i="136"/>
  <c r="F1012" i="136"/>
  <c r="J1012" i="136"/>
  <c r="L1012" i="136" s="1"/>
  <c r="B1013" i="136"/>
  <c r="D1013" i="136"/>
  <c r="F1013" i="136"/>
  <c r="J1013" i="136"/>
  <c r="L1013" i="136" s="1"/>
  <c r="B1014" i="136"/>
  <c r="D1014" i="136"/>
  <c r="F1014" i="136"/>
  <c r="J1014" i="136"/>
  <c r="L1014" i="136" s="1"/>
  <c r="B1015" i="136"/>
  <c r="D1015" i="136"/>
  <c r="F1015" i="136"/>
  <c r="J1015" i="136"/>
  <c r="L1015" i="136" s="1"/>
  <c r="B1016" i="136"/>
  <c r="D1016" i="136"/>
  <c r="F1016" i="136"/>
  <c r="J1016" i="136"/>
  <c r="L1016" i="136" s="1"/>
  <c r="B1017" i="136"/>
  <c r="D1017" i="136"/>
  <c r="F1017" i="136"/>
  <c r="J1017" i="136"/>
  <c r="L1017" i="136" s="1"/>
  <c r="B1018" i="136"/>
  <c r="D1018" i="136"/>
  <c r="F1018" i="136"/>
  <c r="J1018" i="136"/>
  <c r="L1018" i="136"/>
  <c r="B1019" i="136"/>
  <c r="D1019" i="136"/>
  <c r="F1019" i="136"/>
  <c r="J1019" i="136"/>
  <c r="L1019" i="136"/>
  <c r="B1020" i="136"/>
  <c r="D1020" i="136"/>
  <c r="F1020" i="136"/>
  <c r="J1020" i="136"/>
  <c r="L1020" i="136"/>
  <c r="B1021" i="136"/>
  <c r="D1021" i="136"/>
  <c r="F1021" i="136"/>
  <c r="J1021" i="136"/>
  <c r="L1021" i="136"/>
  <c r="B1022" i="136"/>
  <c r="D1022" i="136"/>
  <c r="F1022" i="136"/>
  <c r="J1022" i="136"/>
  <c r="L1022" i="136"/>
  <c r="B1023" i="136"/>
  <c r="D1023" i="136"/>
  <c r="F1023" i="136"/>
  <c r="J1023" i="136"/>
  <c r="L1023" i="136"/>
  <c r="B1024" i="136"/>
  <c r="D1024" i="136"/>
  <c r="F1024" i="136"/>
  <c r="J1024" i="136"/>
  <c r="L1024" i="136"/>
  <c r="B1025" i="136"/>
  <c r="D1025" i="136"/>
  <c r="F1025" i="136"/>
  <c r="J1025" i="136"/>
  <c r="L1025" i="136"/>
  <c r="B1026" i="136"/>
  <c r="D1026" i="136"/>
  <c r="F1026" i="136"/>
  <c r="J1026" i="136"/>
  <c r="L1026" i="136"/>
  <c r="B1027" i="136"/>
  <c r="D1027" i="136"/>
  <c r="F1027" i="136"/>
  <c r="J1027" i="136"/>
  <c r="L1027" i="136"/>
  <c r="B1028" i="136"/>
  <c r="D1028" i="136"/>
  <c r="F1028" i="136"/>
  <c r="J1028" i="136"/>
  <c r="L1028" i="136"/>
  <c r="B1029" i="136"/>
  <c r="D1029" i="136"/>
  <c r="F1029" i="136"/>
  <c r="J1029" i="136"/>
  <c r="L1029" i="136"/>
  <c r="B1030" i="136"/>
  <c r="D1030" i="136"/>
  <c r="F1030" i="136"/>
  <c r="J1030" i="136"/>
  <c r="L1030" i="136"/>
  <c r="B1031" i="136"/>
  <c r="D1031" i="136"/>
  <c r="F1031" i="136"/>
  <c r="J1031" i="136"/>
  <c r="L1031" i="136"/>
  <c r="B1032" i="136"/>
  <c r="D1032" i="136"/>
  <c r="F1032" i="136"/>
  <c r="J1032" i="136"/>
  <c r="L1032" i="136"/>
  <c r="B1033" i="136"/>
  <c r="D1033" i="136"/>
  <c r="F1033" i="136"/>
  <c r="J1033" i="136"/>
  <c r="L1033" i="136"/>
  <c r="B1034" i="136"/>
  <c r="D1034" i="136"/>
  <c r="F1034" i="136"/>
  <c r="J1034" i="136"/>
  <c r="L1034" i="136"/>
  <c r="B1035" i="136"/>
  <c r="D1035" i="136"/>
  <c r="F1035" i="136"/>
  <c r="J1035" i="136"/>
  <c r="L1035" i="136"/>
  <c r="B1036" i="136"/>
  <c r="D1036" i="136"/>
  <c r="F1036" i="136"/>
  <c r="J1036" i="136"/>
  <c r="L1036" i="136"/>
  <c r="B1037" i="136"/>
  <c r="D1037" i="136"/>
  <c r="F1037" i="136"/>
  <c r="J1037" i="136"/>
  <c r="L1037" i="136"/>
  <c r="B1038" i="136"/>
  <c r="D1038" i="136"/>
  <c r="F1038" i="136"/>
  <c r="J1038" i="136"/>
  <c r="L1038" i="136"/>
  <c r="B1039" i="136"/>
  <c r="D1039" i="136"/>
  <c r="F1039" i="136"/>
  <c r="J1039" i="136"/>
  <c r="L1039" i="136"/>
  <c r="B1040" i="136"/>
  <c r="D1040" i="136"/>
  <c r="F1040" i="136"/>
  <c r="J1040" i="136"/>
  <c r="L1040" i="136"/>
  <c r="B1041" i="136"/>
  <c r="D1041" i="136"/>
  <c r="F1041" i="136"/>
  <c r="J1041" i="136"/>
  <c r="L1041" i="136"/>
  <c r="B1042" i="136"/>
  <c r="D1042" i="136"/>
  <c r="F1042" i="136"/>
  <c r="J1042" i="136"/>
  <c r="L1042" i="136"/>
  <c r="B1043" i="136"/>
  <c r="D1043" i="136"/>
  <c r="F1043" i="136"/>
  <c r="J1043" i="136"/>
  <c r="L1043" i="136"/>
  <c r="B1044" i="136"/>
  <c r="D1044" i="136"/>
  <c r="F1044" i="136"/>
  <c r="J1044" i="136"/>
  <c r="L1044" i="136"/>
  <c r="B1045" i="136"/>
  <c r="D1045" i="136"/>
  <c r="F1045" i="136"/>
  <c r="J1045" i="136"/>
  <c r="L1045" i="136"/>
  <c r="B1046" i="136"/>
  <c r="D1046" i="136"/>
  <c r="F1046" i="136"/>
  <c r="J1046" i="136"/>
  <c r="L1046" i="136"/>
  <c r="B1047" i="136"/>
  <c r="D1047" i="136"/>
  <c r="F1047" i="136"/>
  <c r="J1047" i="136"/>
  <c r="L1047" i="136"/>
  <c r="B1048" i="136"/>
  <c r="D1048" i="136"/>
  <c r="F1048" i="136"/>
  <c r="J1048" i="136"/>
  <c r="L1048" i="136"/>
  <c r="B1049" i="136"/>
  <c r="D1049" i="136"/>
  <c r="F1049" i="136"/>
  <c r="J1049" i="136"/>
  <c r="L1049" i="136"/>
  <c r="B1050" i="136"/>
  <c r="D1050" i="136"/>
  <c r="F1050" i="136"/>
  <c r="J1050" i="136"/>
  <c r="L1050" i="136"/>
  <c r="B1051" i="136"/>
  <c r="D1051" i="136"/>
  <c r="F1051" i="136"/>
  <c r="J1051" i="136"/>
  <c r="L1051" i="136"/>
  <c r="B1052" i="136"/>
  <c r="D1052" i="136"/>
  <c r="F1052" i="136"/>
  <c r="J1052" i="136"/>
  <c r="L1052" i="136"/>
  <c r="B1053" i="136"/>
  <c r="D1053" i="136"/>
  <c r="F1053" i="136"/>
  <c r="J1053" i="136"/>
  <c r="L1053" i="136"/>
  <c r="B1054" i="136"/>
  <c r="D1054" i="136"/>
  <c r="F1054" i="136"/>
  <c r="J1054" i="136"/>
  <c r="L1054" i="136"/>
  <c r="B1055" i="136"/>
  <c r="D1055" i="136"/>
  <c r="F1055" i="136"/>
  <c r="J1055" i="136"/>
  <c r="L1055" i="136"/>
  <c r="B1056" i="136"/>
  <c r="D1056" i="136"/>
  <c r="F1056" i="136"/>
  <c r="J1056" i="136"/>
  <c r="L1056" i="136"/>
  <c r="B1057" i="136"/>
  <c r="D1057" i="136"/>
  <c r="F1057" i="136"/>
  <c r="J1057" i="136"/>
  <c r="L1057" i="136"/>
  <c r="B1058" i="136"/>
  <c r="D1058" i="136"/>
  <c r="F1058" i="136"/>
  <c r="J1058" i="136"/>
  <c r="L1058" i="136"/>
  <c r="B1059" i="136"/>
  <c r="D1059" i="136"/>
  <c r="F1059" i="136"/>
  <c r="J1059" i="136"/>
  <c r="L1059" i="136"/>
  <c r="B1060" i="136"/>
  <c r="D1060" i="136"/>
  <c r="F1060" i="136"/>
  <c r="J1060" i="136"/>
  <c r="L1060" i="136"/>
  <c r="B1061" i="136"/>
  <c r="D1061" i="136"/>
  <c r="F1061" i="136"/>
  <c r="J1061" i="136"/>
  <c r="L1061" i="136"/>
  <c r="B1062" i="136"/>
  <c r="D1062" i="136"/>
  <c r="F1062" i="136"/>
  <c r="J1062" i="136"/>
  <c r="L1062" i="136"/>
  <c r="B1063" i="136"/>
  <c r="D1063" i="136"/>
  <c r="F1063" i="136"/>
  <c r="J1063" i="136"/>
  <c r="L1063" i="136"/>
  <c r="B1064" i="136"/>
  <c r="D1064" i="136"/>
  <c r="F1064" i="136"/>
  <c r="J1064" i="136"/>
  <c r="L1064" i="136"/>
  <c r="B1065" i="136"/>
  <c r="D1065" i="136"/>
  <c r="F1065" i="136"/>
  <c r="J1065" i="136"/>
  <c r="L1065" i="136"/>
  <c r="B1066" i="136"/>
  <c r="D1066" i="136"/>
  <c r="F1066" i="136"/>
  <c r="J1066" i="136"/>
  <c r="L1066" i="136"/>
  <c r="B1067" i="136"/>
  <c r="D1067" i="136"/>
  <c r="F1067" i="136"/>
  <c r="J1067" i="136"/>
  <c r="L1067" i="136"/>
  <c r="B1068" i="136"/>
  <c r="D1068" i="136"/>
  <c r="F1068" i="136"/>
  <c r="J1068" i="136"/>
  <c r="L1068" i="136"/>
  <c r="B1069" i="136"/>
  <c r="D1069" i="136"/>
  <c r="F1069" i="136"/>
  <c r="J1069" i="136"/>
  <c r="L1069" i="136"/>
  <c r="B1070" i="136"/>
  <c r="D1070" i="136"/>
  <c r="F1070" i="136"/>
  <c r="J1070" i="136"/>
  <c r="L1070" i="136"/>
  <c r="B1071" i="136"/>
  <c r="D1071" i="136"/>
  <c r="F1071" i="136"/>
  <c r="J1071" i="136"/>
  <c r="L1071" i="136"/>
  <c r="B1072" i="136"/>
  <c r="D1072" i="136"/>
  <c r="F1072" i="136"/>
  <c r="J1072" i="136"/>
  <c r="L1072" i="136"/>
  <c r="B1073" i="136"/>
  <c r="D1073" i="136"/>
  <c r="F1073" i="136"/>
  <c r="J1073" i="136"/>
  <c r="L1073" i="136"/>
  <c r="B1074" i="136"/>
  <c r="D1074" i="136"/>
  <c r="F1074" i="136"/>
  <c r="J1074" i="136"/>
  <c r="L1074" i="136"/>
  <c r="B1075" i="136"/>
  <c r="D1075" i="136"/>
  <c r="F1075" i="136"/>
  <c r="J1075" i="136"/>
  <c r="L1075" i="136"/>
  <c r="B1076" i="136"/>
  <c r="D1076" i="136"/>
  <c r="F1076" i="136"/>
  <c r="J1076" i="136"/>
  <c r="L1076" i="136"/>
  <c r="B1077" i="136"/>
  <c r="D1077" i="136"/>
  <c r="F1077" i="136"/>
  <c r="J1077" i="136"/>
  <c r="L1077" i="136"/>
  <c r="B1078" i="136"/>
  <c r="D1078" i="136"/>
  <c r="F1078" i="136"/>
  <c r="J1078" i="136"/>
  <c r="L1078" i="136"/>
  <c r="B1079" i="136"/>
  <c r="D1079" i="136"/>
  <c r="F1079" i="136"/>
  <c r="J1079" i="136"/>
  <c r="L1079" i="136"/>
  <c r="B1080" i="136"/>
  <c r="D1080" i="136"/>
  <c r="F1080" i="136"/>
  <c r="J1080" i="136"/>
  <c r="L1080" i="136"/>
  <c r="B1081" i="136"/>
  <c r="D1081" i="136"/>
  <c r="F1081" i="136"/>
  <c r="J1081" i="136"/>
  <c r="L1081" i="136"/>
  <c r="B1082" i="136"/>
  <c r="D1082" i="136"/>
  <c r="F1082" i="136"/>
  <c r="J1082" i="136"/>
  <c r="L1082" i="136"/>
  <c r="B1083" i="136"/>
  <c r="D1083" i="136"/>
  <c r="F1083" i="136"/>
  <c r="J1083" i="136"/>
  <c r="L1083" i="136"/>
  <c r="B1084" i="136"/>
  <c r="D1084" i="136"/>
  <c r="F1084" i="136"/>
  <c r="J1084" i="136"/>
  <c r="L1084" i="136"/>
  <c r="B1085" i="136"/>
  <c r="D1085" i="136"/>
  <c r="F1085" i="136"/>
  <c r="J1085" i="136"/>
  <c r="L1085" i="136"/>
  <c r="B1086" i="136"/>
  <c r="D1086" i="136"/>
  <c r="F1086" i="136"/>
  <c r="J1086" i="136"/>
  <c r="L1086" i="136"/>
  <c r="B1087" i="136"/>
  <c r="D1087" i="136"/>
  <c r="F1087" i="136"/>
  <c r="J1087" i="136"/>
  <c r="L1087" i="136"/>
  <c r="B1088" i="136"/>
  <c r="D1088" i="136"/>
  <c r="F1088" i="136"/>
  <c r="J1088" i="136"/>
  <c r="L1088" i="136"/>
  <c r="B1089" i="136"/>
  <c r="D1089" i="136"/>
  <c r="F1089" i="136"/>
  <c r="J1089" i="136"/>
  <c r="L1089" i="136"/>
  <c r="B1090" i="136"/>
  <c r="D1090" i="136"/>
  <c r="F1090" i="136"/>
  <c r="J1090" i="136"/>
  <c r="L1090" i="136"/>
  <c r="B1091" i="136"/>
  <c r="D1091" i="136"/>
  <c r="F1091" i="136"/>
  <c r="J1091" i="136"/>
  <c r="L1091" i="136"/>
  <c r="B1092" i="136"/>
  <c r="D1092" i="136"/>
  <c r="F1092" i="136"/>
  <c r="J1092" i="136"/>
  <c r="L1092" i="136"/>
  <c r="B1093" i="136"/>
  <c r="D1093" i="136"/>
  <c r="F1093" i="136"/>
  <c r="J1093" i="136"/>
  <c r="L1093" i="136"/>
  <c r="B1094" i="136"/>
  <c r="D1094" i="136"/>
  <c r="F1094" i="136"/>
  <c r="J1094" i="136"/>
  <c r="L1094" i="136"/>
  <c r="B1095" i="136"/>
  <c r="D1095" i="136"/>
  <c r="F1095" i="136"/>
  <c r="J1095" i="136"/>
  <c r="L1095" i="136"/>
  <c r="B1096" i="136"/>
  <c r="D1096" i="136"/>
  <c r="F1096" i="136"/>
  <c r="J1096" i="136"/>
  <c r="L1096" i="136"/>
  <c r="B1097" i="136"/>
  <c r="D1097" i="136"/>
  <c r="F1097" i="136"/>
  <c r="J1097" i="136"/>
  <c r="L1097" i="136"/>
  <c r="B1098" i="136"/>
  <c r="D1098" i="136"/>
  <c r="F1098" i="136"/>
  <c r="J1098" i="136"/>
  <c r="L1098" i="136"/>
  <c r="B1099" i="136"/>
  <c r="D1099" i="136"/>
  <c r="F1099" i="136"/>
  <c r="J1099" i="136"/>
  <c r="L1099" i="136"/>
  <c r="B1100" i="136"/>
  <c r="D1100" i="136"/>
  <c r="F1100" i="136"/>
  <c r="J1100" i="136"/>
  <c r="L1100" i="136"/>
  <c r="B1101" i="136"/>
  <c r="D1101" i="136"/>
  <c r="F1101" i="136"/>
  <c r="J1101" i="136"/>
  <c r="L1101" i="136"/>
  <c r="B1102" i="136"/>
  <c r="D1102" i="136"/>
  <c r="F1102" i="136"/>
  <c r="J1102" i="136"/>
  <c r="L1102" i="136"/>
  <c r="B1103" i="136"/>
  <c r="D1103" i="136"/>
  <c r="F1103" i="136"/>
  <c r="J1103" i="136"/>
  <c r="L1103" i="136"/>
  <c r="B1104" i="136"/>
  <c r="D1104" i="136"/>
  <c r="F1104" i="136"/>
  <c r="J1104" i="136"/>
  <c r="L1104" i="136"/>
  <c r="B1105" i="136"/>
  <c r="D1105" i="136"/>
  <c r="F1105" i="136"/>
  <c r="J1105" i="136"/>
  <c r="L1105" i="136"/>
  <c r="B1106" i="136"/>
  <c r="D1106" i="136"/>
  <c r="F1106" i="136"/>
  <c r="J1106" i="136"/>
  <c r="L1106" i="136"/>
  <c r="B1107" i="136"/>
  <c r="D1107" i="136"/>
  <c r="F1107" i="136"/>
  <c r="J1107" i="136"/>
  <c r="L1107" i="136"/>
  <c r="B1108" i="136"/>
  <c r="D1108" i="136"/>
  <c r="F1108" i="136"/>
  <c r="J1108" i="136"/>
  <c r="L1108" i="136"/>
  <c r="B1109" i="136"/>
  <c r="D1109" i="136"/>
  <c r="F1109" i="136"/>
  <c r="J1109" i="136"/>
  <c r="L1109" i="136"/>
  <c r="B1110" i="136"/>
  <c r="D1110" i="136"/>
  <c r="F1110" i="136"/>
  <c r="J1110" i="136"/>
  <c r="L1110" i="136"/>
  <c r="B1111" i="136"/>
  <c r="D1111" i="136"/>
  <c r="F1111" i="136"/>
  <c r="J1111" i="136"/>
  <c r="L1111" i="136"/>
  <c r="B1112" i="136"/>
  <c r="D1112" i="136"/>
  <c r="F1112" i="136"/>
  <c r="J1112" i="136"/>
  <c r="L1112" i="136"/>
  <c r="B1113" i="136"/>
  <c r="D1113" i="136"/>
  <c r="F1113" i="136"/>
  <c r="J1113" i="136"/>
  <c r="L1113" i="136"/>
  <c r="B1114" i="136"/>
  <c r="D1114" i="136"/>
  <c r="F1114" i="136"/>
  <c r="J1114" i="136"/>
  <c r="L1114" i="136"/>
  <c r="B1115" i="136"/>
  <c r="D1115" i="136"/>
  <c r="F1115" i="136"/>
  <c r="J1115" i="136"/>
  <c r="L1115" i="136"/>
  <c r="B1116" i="136"/>
  <c r="D1116" i="136"/>
  <c r="F1116" i="136"/>
  <c r="J1116" i="136"/>
  <c r="L1116" i="136"/>
  <c r="B1117" i="136"/>
  <c r="D1117" i="136"/>
  <c r="F1117" i="136"/>
  <c r="J1117" i="136"/>
  <c r="L1117" i="136"/>
  <c r="B1118" i="136"/>
  <c r="D1118" i="136"/>
  <c r="F1118" i="136"/>
  <c r="J1118" i="136"/>
  <c r="L1118" i="136"/>
  <c r="B1119" i="136"/>
  <c r="D1119" i="136"/>
  <c r="F1119" i="136"/>
  <c r="J1119" i="136"/>
  <c r="L1119" i="136"/>
  <c r="B1120" i="136"/>
  <c r="D1120" i="136"/>
  <c r="F1120" i="136"/>
  <c r="J1120" i="136"/>
  <c r="L1120" i="136"/>
  <c r="B1121" i="136"/>
  <c r="D1121" i="136"/>
  <c r="F1121" i="136"/>
  <c r="J1121" i="136"/>
  <c r="L1121" i="136"/>
  <c r="B1122" i="136"/>
  <c r="D1122" i="136"/>
  <c r="F1122" i="136"/>
  <c r="J1122" i="136"/>
  <c r="L1122" i="136"/>
  <c r="B1123" i="136"/>
  <c r="D1123" i="136"/>
  <c r="F1123" i="136"/>
  <c r="J1123" i="136"/>
  <c r="L1123" i="136"/>
  <c r="B1124" i="136"/>
  <c r="D1124" i="136"/>
  <c r="F1124" i="136"/>
  <c r="J1124" i="136"/>
  <c r="L1124" i="136"/>
  <c r="B1125" i="136"/>
  <c r="D1125" i="136"/>
  <c r="F1125" i="136"/>
  <c r="J1125" i="136"/>
  <c r="L1125" i="136"/>
  <c r="B1126" i="136"/>
  <c r="D1126" i="136"/>
  <c r="F1126" i="136"/>
  <c r="J1126" i="136"/>
  <c r="L1126" i="136"/>
  <c r="B1127" i="136"/>
  <c r="D1127" i="136"/>
  <c r="F1127" i="136"/>
  <c r="J1127" i="136"/>
  <c r="L1127" i="136"/>
  <c r="B1128" i="136"/>
  <c r="D1128" i="136"/>
  <c r="F1128" i="136"/>
  <c r="J1128" i="136"/>
  <c r="L1128" i="136"/>
  <c r="B1129" i="136"/>
  <c r="D1129" i="136"/>
  <c r="F1129" i="136"/>
  <c r="J1129" i="136"/>
  <c r="L1129" i="136"/>
  <c r="B1130" i="136"/>
  <c r="D1130" i="136"/>
  <c r="F1130" i="136"/>
  <c r="J1130" i="136"/>
  <c r="L1130" i="136"/>
  <c r="B1131" i="136"/>
  <c r="D1131" i="136"/>
  <c r="F1131" i="136"/>
  <c r="J1131" i="136"/>
  <c r="L1131" i="136"/>
  <c r="B1132" i="136"/>
  <c r="D1132" i="136"/>
  <c r="F1132" i="136"/>
  <c r="J1132" i="136"/>
  <c r="L1132" i="136"/>
  <c r="B1133" i="136"/>
  <c r="D1133" i="136"/>
  <c r="F1133" i="136"/>
  <c r="J1133" i="136"/>
  <c r="L1133" i="136"/>
  <c r="B1134" i="136"/>
  <c r="D1134" i="136"/>
  <c r="F1134" i="136"/>
  <c r="J1134" i="136"/>
  <c r="L1134" i="136"/>
  <c r="B1135" i="136"/>
  <c r="D1135" i="136"/>
  <c r="F1135" i="136"/>
  <c r="J1135" i="136"/>
  <c r="L1135" i="136"/>
  <c r="B1136" i="136"/>
  <c r="D1136" i="136"/>
  <c r="F1136" i="136"/>
  <c r="J1136" i="136"/>
  <c r="L1136" i="136"/>
  <c r="B1137" i="136"/>
  <c r="D1137" i="136"/>
  <c r="F1137" i="136"/>
  <c r="J1137" i="136"/>
  <c r="L1137" i="136"/>
  <c r="B1138" i="136"/>
  <c r="D1138" i="136"/>
  <c r="F1138" i="136"/>
  <c r="J1138" i="136"/>
  <c r="L1138" i="136"/>
  <c r="B1139" i="136"/>
  <c r="D1139" i="136"/>
  <c r="F1139" i="136"/>
  <c r="J1139" i="136"/>
  <c r="L1139" i="136"/>
  <c r="B1140" i="136"/>
  <c r="D1140" i="136"/>
  <c r="F1140" i="136"/>
  <c r="J1140" i="136"/>
  <c r="L1140" i="136"/>
  <c r="B1141" i="136"/>
  <c r="D1141" i="136"/>
  <c r="F1141" i="136"/>
  <c r="J1141" i="136"/>
  <c r="L1141" i="136"/>
  <c r="B1142" i="136"/>
  <c r="D1142" i="136"/>
  <c r="F1142" i="136"/>
  <c r="J1142" i="136"/>
  <c r="L1142" i="136"/>
  <c r="B1143" i="136"/>
  <c r="D1143" i="136"/>
  <c r="F1143" i="136"/>
  <c r="J1143" i="136"/>
  <c r="L1143" i="136"/>
  <c r="B1144" i="136"/>
  <c r="D1144" i="136"/>
  <c r="F1144" i="136"/>
  <c r="J1144" i="136"/>
  <c r="L1144" i="136"/>
  <c r="B1145" i="136"/>
  <c r="D1145" i="136"/>
  <c r="F1145" i="136"/>
  <c r="J1145" i="136"/>
  <c r="L1145" i="136"/>
  <c r="B1146" i="136"/>
  <c r="D1146" i="136"/>
  <c r="F1146" i="136"/>
  <c r="J1146" i="136"/>
  <c r="L1146" i="136"/>
  <c r="B1147" i="136"/>
  <c r="D1147" i="136"/>
  <c r="F1147" i="136"/>
  <c r="J1147" i="136"/>
  <c r="L1147" i="136"/>
  <c r="B1148" i="136"/>
  <c r="D1148" i="136"/>
  <c r="F1148" i="136"/>
  <c r="J1148" i="136"/>
  <c r="L1148" i="136"/>
  <c r="B1149" i="136"/>
  <c r="D1149" i="136"/>
  <c r="F1149" i="136"/>
  <c r="J1149" i="136"/>
  <c r="L1149" i="136"/>
  <c r="B1150" i="136"/>
  <c r="D1150" i="136"/>
  <c r="F1150" i="136"/>
  <c r="J1150" i="136"/>
  <c r="L1150" i="136"/>
  <c r="B1151" i="136"/>
  <c r="D1151" i="136"/>
  <c r="F1151" i="136"/>
  <c r="J1151" i="136"/>
  <c r="L1151" i="136"/>
  <c r="B1152" i="136"/>
  <c r="D1152" i="136"/>
  <c r="F1152" i="136"/>
  <c r="J1152" i="136"/>
  <c r="L1152" i="136"/>
  <c r="B1153" i="136"/>
  <c r="D1153" i="136"/>
  <c r="F1153" i="136"/>
  <c r="J1153" i="136"/>
  <c r="L1153" i="136"/>
  <c r="B1154" i="136"/>
  <c r="D1154" i="136"/>
  <c r="F1154" i="136"/>
  <c r="J1154" i="136"/>
  <c r="L1154" i="136"/>
  <c r="B1155" i="136"/>
  <c r="D1155" i="136"/>
  <c r="F1155" i="136"/>
  <c r="J1155" i="136"/>
  <c r="L1155" i="136"/>
  <c r="B1156" i="136"/>
  <c r="D1156" i="136"/>
  <c r="F1156" i="136"/>
  <c r="J1156" i="136"/>
  <c r="L1156" i="136"/>
  <c r="B1157" i="136"/>
  <c r="D1157" i="136"/>
  <c r="F1157" i="136"/>
  <c r="J1157" i="136"/>
  <c r="L1157" i="136"/>
  <c r="B1158" i="136"/>
  <c r="D1158" i="136"/>
  <c r="F1158" i="136"/>
  <c r="J1158" i="136"/>
  <c r="L1158" i="136"/>
  <c r="B1159" i="136"/>
  <c r="D1159" i="136"/>
  <c r="F1159" i="136"/>
  <c r="J1159" i="136"/>
  <c r="L1159" i="136"/>
  <c r="B1160" i="136"/>
  <c r="D1160" i="136"/>
  <c r="F1160" i="136"/>
  <c r="J1160" i="136"/>
  <c r="L1160" i="136"/>
  <c r="B1161" i="136"/>
  <c r="D1161" i="136"/>
  <c r="F1161" i="136"/>
  <c r="J1161" i="136"/>
  <c r="L1161" i="136"/>
  <c r="B1162" i="136"/>
  <c r="D1162" i="136"/>
  <c r="F1162" i="136"/>
  <c r="J1162" i="136"/>
  <c r="L1162" i="136"/>
  <c r="B1163" i="136"/>
  <c r="D1163" i="136"/>
  <c r="F1163" i="136"/>
  <c r="J1163" i="136"/>
  <c r="L1163" i="136"/>
  <c r="B1164" i="136"/>
  <c r="D1164" i="136"/>
  <c r="F1164" i="136"/>
  <c r="J1164" i="136"/>
  <c r="L1164" i="136"/>
  <c r="B1165" i="136"/>
  <c r="D1165" i="136"/>
  <c r="F1165" i="136"/>
  <c r="J1165" i="136"/>
  <c r="L1165" i="136"/>
  <c r="B1166" i="136"/>
  <c r="D1166" i="136"/>
  <c r="F1166" i="136"/>
  <c r="J1166" i="136"/>
  <c r="L1166" i="136"/>
  <c r="B1167" i="136"/>
  <c r="D1167" i="136"/>
  <c r="F1167" i="136"/>
  <c r="J1167" i="136"/>
  <c r="L1167" i="136"/>
  <c r="B1168" i="136"/>
  <c r="D1168" i="136"/>
  <c r="F1168" i="136"/>
  <c r="J1168" i="136"/>
  <c r="L1168" i="136"/>
  <c r="B1169" i="136"/>
  <c r="D1169" i="136"/>
  <c r="F1169" i="136"/>
  <c r="J1169" i="136"/>
  <c r="L1169" i="136"/>
  <c r="B1170" i="136"/>
  <c r="D1170" i="136"/>
  <c r="F1170" i="136"/>
  <c r="J1170" i="136"/>
  <c r="L1170" i="136"/>
  <c r="B1171" i="136"/>
  <c r="D1171" i="136"/>
  <c r="F1171" i="136"/>
  <c r="J1171" i="136"/>
  <c r="L1171" i="136"/>
  <c r="B1172" i="136"/>
  <c r="D1172" i="136"/>
  <c r="F1172" i="136"/>
  <c r="J1172" i="136"/>
  <c r="L1172" i="136"/>
  <c r="B1173" i="136"/>
  <c r="D1173" i="136"/>
  <c r="F1173" i="136"/>
  <c r="J1173" i="136"/>
  <c r="L1173" i="136"/>
  <c r="B1174" i="136"/>
  <c r="D1174" i="136"/>
  <c r="F1174" i="136"/>
  <c r="J1174" i="136"/>
  <c r="L1174" i="136"/>
  <c r="B1175" i="136"/>
  <c r="D1175" i="136"/>
  <c r="F1175" i="136"/>
  <c r="J1175" i="136"/>
  <c r="L1175" i="136"/>
  <c r="B1176" i="136"/>
  <c r="D1176" i="136"/>
  <c r="F1176" i="136"/>
  <c r="J1176" i="136"/>
  <c r="L1176" i="136"/>
  <c r="B1177" i="136"/>
  <c r="D1177" i="136"/>
  <c r="F1177" i="136"/>
  <c r="J1177" i="136"/>
  <c r="L1177" i="136"/>
  <c r="B1178" i="136"/>
  <c r="D1178" i="136"/>
  <c r="F1178" i="136"/>
  <c r="J1178" i="136"/>
  <c r="L1178" i="136"/>
  <c r="B1179" i="136"/>
  <c r="D1179" i="136"/>
  <c r="F1179" i="136"/>
  <c r="J1179" i="136"/>
  <c r="L1179" i="136"/>
  <c r="B1180" i="136"/>
  <c r="D1180" i="136"/>
  <c r="F1180" i="136"/>
  <c r="J1180" i="136"/>
  <c r="L1180" i="136"/>
  <c r="B1181" i="136"/>
  <c r="D1181" i="136"/>
  <c r="F1181" i="136"/>
  <c r="J1181" i="136"/>
  <c r="L1181" i="136"/>
  <c r="B1182" i="136"/>
  <c r="D1182" i="136"/>
  <c r="F1182" i="136"/>
  <c r="J1182" i="136"/>
  <c r="L1182" i="136"/>
  <c r="B1183" i="136"/>
  <c r="D1183" i="136"/>
  <c r="F1183" i="136"/>
  <c r="J1183" i="136"/>
  <c r="L1183" i="136"/>
  <c r="B1184" i="136"/>
  <c r="D1184" i="136"/>
  <c r="F1184" i="136"/>
  <c r="J1184" i="136"/>
  <c r="L1184" i="136"/>
  <c r="B1185" i="136"/>
  <c r="D1185" i="136"/>
  <c r="F1185" i="136"/>
  <c r="J1185" i="136"/>
  <c r="L1185" i="136"/>
  <c r="B1186" i="136"/>
  <c r="D1186" i="136"/>
  <c r="F1186" i="136"/>
  <c r="J1186" i="136"/>
  <c r="L1186" i="136"/>
  <c r="B1187" i="136"/>
  <c r="D1187" i="136"/>
  <c r="F1187" i="136"/>
  <c r="J1187" i="136"/>
  <c r="L1187" i="136"/>
  <c r="B1188" i="136"/>
  <c r="D1188" i="136"/>
  <c r="F1188" i="136"/>
  <c r="J1188" i="136"/>
  <c r="L1188" i="136"/>
  <c r="B1189" i="136"/>
  <c r="D1189" i="136"/>
  <c r="F1189" i="136"/>
  <c r="J1189" i="136"/>
  <c r="L1189" i="136"/>
  <c r="B1190" i="136"/>
  <c r="D1190" i="136"/>
  <c r="F1190" i="136"/>
  <c r="J1190" i="136"/>
  <c r="L1190" i="136"/>
  <c r="B1191" i="136"/>
  <c r="D1191" i="136"/>
  <c r="F1191" i="136"/>
  <c r="J1191" i="136"/>
  <c r="L1191" i="136"/>
  <c r="B1192" i="136"/>
  <c r="D1192" i="136"/>
  <c r="F1192" i="136"/>
  <c r="J1192" i="136"/>
  <c r="L1192" i="136"/>
  <c r="B1193" i="136"/>
  <c r="D1193" i="136"/>
  <c r="F1193" i="136"/>
  <c r="J1193" i="136"/>
  <c r="L1193" i="136"/>
  <c r="B1194" i="136"/>
  <c r="D1194" i="136"/>
  <c r="F1194" i="136"/>
  <c r="J1194" i="136"/>
  <c r="L1194" i="136"/>
  <c r="B1195" i="136"/>
  <c r="D1195" i="136"/>
  <c r="F1195" i="136"/>
  <c r="J1195" i="136"/>
  <c r="L1195" i="136"/>
  <c r="B1196" i="136"/>
  <c r="D1196" i="136"/>
  <c r="F1196" i="136"/>
  <c r="J1196" i="136"/>
  <c r="L1196" i="136"/>
  <c r="B1197" i="136"/>
  <c r="D1197" i="136"/>
  <c r="F1197" i="136"/>
  <c r="J1197" i="136"/>
  <c r="L1197" i="136"/>
  <c r="B1198" i="136"/>
  <c r="D1198" i="136"/>
  <c r="F1198" i="136"/>
  <c r="J1198" i="136"/>
  <c r="L1198" i="136"/>
  <c r="B1199" i="136"/>
  <c r="D1199" i="136"/>
  <c r="F1199" i="136"/>
  <c r="J1199" i="136"/>
  <c r="L1199" i="136"/>
  <c r="B1200" i="136"/>
  <c r="D1200" i="136"/>
  <c r="F1200" i="136"/>
  <c r="J1200" i="136"/>
  <c r="L1200" i="136"/>
  <c r="B1201" i="136"/>
  <c r="D1201" i="136"/>
  <c r="F1201" i="136"/>
  <c r="J1201" i="136"/>
  <c r="L1201" i="136"/>
  <c r="B1202" i="136"/>
  <c r="D1202" i="136"/>
  <c r="F1202" i="136"/>
  <c r="J1202" i="136"/>
  <c r="L1202" i="136"/>
  <c r="B1203" i="136"/>
  <c r="D1203" i="136"/>
  <c r="F1203" i="136"/>
  <c r="J1203" i="136"/>
  <c r="L1203" i="136"/>
  <c r="B1204" i="136"/>
  <c r="D1204" i="136"/>
  <c r="F1204" i="136"/>
  <c r="J1204" i="136"/>
  <c r="L1204" i="136"/>
  <c r="B1205" i="136"/>
  <c r="D1205" i="136"/>
  <c r="F1205" i="136"/>
  <c r="J1205" i="136"/>
  <c r="L1205" i="136"/>
  <c r="B1206" i="136"/>
  <c r="D1206" i="136"/>
  <c r="F1206" i="136"/>
  <c r="J1206" i="136"/>
  <c r="L1206" i="136"/>
  <c r="B1207" i="136"/>
  <c r="D1207" i="136"/>
  <c r="F1207" i="136"/>
  <c r="J1207" i="136"/>
  <c r="L1207" i="136"/>
  <c r="B1208" i="136"/>
  <c r="D1208" i="136"/>
  <c r="F1208" i="136"/>
  <c r="J1208" i="136"/>
  <c r="L1208" i="136"/>
  <c r="B1209" i="136"/>
  <c r="D1209" i="136"/>
  <c r="F1209" i="136"/>
  <c r="J1209" i="136"/>
  <c r="L1209" i="136"/>
  <c r="B1210" i="136"/>
  <c r="D1210" i="136"/>
  <c r="F1210" i="136"/>
  <c r="J1210" i="136"/>
  <c r="L1210" i="136"/>
  <c r="B1211" i="136"/>
  <c r="D1211" i="136"/>
  <c r="F1211" i="136"/>
  <c r="J1211" i="136"/>
  <c r="L1211" i="136"/>
  <c r="B1212" i="136"/>
  <c r="D1212" i="136"/>
  <c r="F1212" i="136"/>
  <c r="J1212" i="136"/>
  <c r="L1212" i="136"/>
  <c r="B1213" i="136"/>
  <c r="D1213" i="136"/>
  <c r="F1213" i="136"/>
  <c r="J1213" i="136"/>
  <c r="L1213" i="136"/>
  <c r="B1214" i="136"/>
  <c r="D1214" i="136"/>
  <c r="F1214" i="136"/>
  <c r="J1214" i="136"/>
  <c r="L1214" i="136"/>
  <c r="B1215" i="136"/>
  <c r="D1215" i="136"/>
  <c r="F1215" i="136"/>
  <c r="J1215" i="136"/>
  <c r="L1215" i="136"/>
  <c r="B1216" i="136"/>
  <c r="D1216" i="136"/>
  <c r="F1216" i="136"/>
  <c r="J1216" i="136"/>
  <c r="L1216" i="136"/>
  <c r="B1217" i="136"/>
  <c r="D1217" i="136"/>
  <c r="F1217" i="136"/>
  <c r="J1217" i="136"/>
  <c r="L1217" i="136"/>
  <c r="B1218" i="136"/>
  <c r="D1218" i="136"/>
  <c r="F1218" i="136"/>
  <c r="J1218" i="136"/>
  <c r="L1218" i="136"/>
  <c r="B1219" i="136"/>
  <c r="D1219" i="136"/>
  <c r="F1219" i="136"/>
  <c r="J1219" i="136"/>
  <c r="L1219" i="136"/>
  <c r="B1220" i="136"/>
  <c r="D1220" i="136"/>
  <c r="F1220" i="136"/>
  <c r="J1220" i="136"/>
  <c r="L1220" i="136"/>
  <c r="B1221" i="136"/>
  <c r="D1221" i="136"/>
  <c r="F1221" i="136"/>
  <c r="J1221" i="136"/>
  <c r="L1221" i="136"/>
  <c r="B1222" i="136"/>
  <c r="D1222" i="136"/>
  <c r="F1222" i="136"/>
  <c r="J1222" i="136"/>
  <c r="L1222" i="136"/>
  <c r="B1223" i="136"/>
  <c r="D1223" i="136"/>
  <c r="F1223" i="136"/>
  <c r="J1223" i="136"/>
  <c r="L1223" i="136"/>
  <c r="B1224" i="136"/>
  <c r="D1224" i="136"/>
  <c r="F1224" i="136"/>
  <c r="J1224" i="136"/>
  <c r="L1224" i="136"/>
  <c r="B1225" i="136"/>
  <c r="D1225" i="136"/>
  <c r="F1225" i="136"/>
  <c r="J1225" i="136"/>
  <c r="L1225" i="136"/>
  <c r="B1226" i="136"/>
  <c r="D1226" i="136"/>
  <c r="F1226" i="136"/>
  <c r="J1226" i="136"/>
  <c r="L1226" i="136"/>
  <c r="B1227" i="136"/>
  <c r="D1227" i="136"/>
  <c r="F1227" i="136"/>
  <c r="J1227" i="136"/>
  <c r="L1227" i="136"/>
  <c r="B1228" i="136"/>
  <c r="D1228" i="136"/>
  <c r="F1228" i="136"/>
  <c r="J1228" i="136"/>
  <c r="L1228" i="136"/>
  <c r="B1229" i="136"/>
  <c r="D1229" i="136"/>
  <c r="F1229" i="136"/>
  <c r="J1229" i="136"/>
  <c r="L1229" i="136"/>
  <c r="B1230" i="136"/>
  <c r="D1230" i="136"/>
  <c r="F1230" i="136"/>
  <c r="J1230" i="136"/>
  <c r="L1230" i="136"/>
  <c r="B1231" i="136"/>
  <c r="D1231" i="136"/>
  <c r="F1231" i="136"/>
  <c r="J1231" i="136"/>
  <c r="L1231" i="136"/>
  <c r="B1232" i="136"/>
  <c r="D1232" i="136"/>
  <c r="F1232" i="136"/>
  <c r="J1232" i="136"/>
  <c r="L1232" i="136"/>
  <c r="B1233" i="136"/>
  <c r="D1233" i="136"/>
  <c r="F1233" i="136"/>
  <c r="J1233" i="136"/>
  <c r="L1233" i="136"/>
  <c r="B1234" i="136"/>
  <c r="D1234" i="136"/>
  <c r="F1234" i="136"/>
  <c r="J1234" i="136"/>
  <c r="L1234" i="136"/>
  <c r="B1235" i="136"/>
  <c r="D1235" i="136"/>
  <c r="F1235" i="136"/>
  <c r="J1235" i="136"/>
  <c r="L1235" i="136"/>
  <c r="B1236" i="136"/>
  <c r="D1236" i="136"/>
  <c r="F1236" i="136"/>
  <c r="J1236" i="136"/>
  <c r="L1236" i="136"/>
  <c r="B1237" i="136"/>
  <c r="D1237" i="136"/>
  <c r="F1237" i="136"/>
  <c r="J1237" i="136"/>
  <c r="L1237" i="136"/>
  <c r="B1238" i="136"/>
  <c r="D1238" i="136"/>
  <c r="F1238" i="136"/>
  <c r="J1238" i="136"/>
  <c r="L1238" i="136"/>
  <c r="B1239" i="136"/>
  <c r="D1239" i="136"/>
  <c r="F1239" i="136"/>
  <c r="J1239" i="136"/>
  <c r="L1239" i="136"/>
  <c r="B1240" i="136"/>
  <c r="D1240" i="136"/>
  <c r="F1240" i="136"/>
  <c r="J1240" i="136"/>
  <c r="L1240" i="136"/>
  <c r="B1241" i="136"/>
  <c r="D1241" i="136"/>
  <c r="F1241" i="136"/>
  <c r="J1241" i="136"/>
  <c r="L1241" i="136"/>
  <c r="B1242" i="136"/>
  <c r="D1242" i="136"/>
  <c r="F1242" i="136"/>
  <c r="J1242" i="136"/>
  <c r="L1242" i="136"/>
  <c r="B1243" i="136"/>
  <c r="D1243" i="136"/>
  <c r="F1243" i="136"/>
  <c r="J1243" i="136"/>
  <c r="L1243" i="136"/>
  <c r="B1244" i="136"/>
  <c r="D1244" i="136"/>
  <c r="F1244" i="136"/>
  <c r="J1244" i="136"/>
  <c r="L1244" i="136"/>
  <c r="B1245" i="136"/>
  <c r="D1245" i="136"/>
  <c r="F1245" i="136"/>
  <c r="J1245" i="136"/>
  <c r="L1245" i="136"/>
  <c r="B1246" i="136"/>
  <c r="D1246" i="136"/>
  <c r="F1246" i="136"/>
  <c r="J1246" i="136"/>
  <c r="L1246" i="136"/>
  <c r="B1247" i="136"/>
  <c r="D1247" i="136"/>
  <c r="F1247" i="136"/>
  <c r="J1247" i="136"/>
  <c r="L1247" i="136"/>
  <c r="B1248" i="136"/>
  <c r="D1248" i="136"/>
  <c r="F1248" i="136"/>
  <c r="J1248" i="136"/>
  <c r="L1248" i="136"/>
  <c r="B1249" i="136"/>
  <c r="D1249" i="136"/>
  <c r="F1249" i="136"/>
  <c r="J1249" i="136"/>
  <c r="L1249" i="136"/>
  <c r="B1250" i="136"/>
  <c r="D1250" i="136"/>
  <c r="F1250" i="136"/>
  <c r="J1250" i="136"/>
  <c r="L1250" i="136"/>
  <c r="B1251" i="136"/>
  <c r="D1251" i="136"/>
  <c r="F1251" i="136"/>
  <c r="J1251" i="136"/>
  <c r="L1251" i="136"/>
  <c r="B1252" i="136"/>
  <c r="D1252" i="136"/>
  <c r="F1252" i="136"/>
  <c r="J1252" i="136"/>
  <c r="L1252" i="136"/>
  <c r="B1253" i="136"/>
  <c r="D1253" i="136"/>
  <c r="F1253" i="136"/>
  <c r="J1253" i="136"/>
  <c r="L1253" i="136"/>
  <c r="B1254" i="136"/>
  <c r="D1254" i="136"/>
  <c r="F1254" i="136"/>
  <c r="J1254" i="136"/>
  <c r="L1254" i="136"/>
  <c r="B1255" i="136"/>
  <c r="D1255" i="136"/>
  <c r="F1255" i="136"/>
  <c r="J1255" i="136"/>
  <c r="L1255" i="136"/>
  <c r="B1256" i="136"/>
  <c r="D1256" i="136"/>
  <c r="F1256" i="136"/>
  <c r="J1256" i="136"/>
  <c r="L1256" i="136"/>
  <c r="B1257" i="136"/>
  <c r="D1257" i="136"/>
  <c r="F1257" i="136"/>
  <c r="J1257" i="136"/>
  <c r="L1257" i="136"/>
  <c r="B1258" i="136"/>
  <c r="D1258" i="136"/>
  <c r="F1258" i="136"/>
  <c r="J1258" i="136"/>
  <c r="L1258" i="136"/>
  <c r="B1259" i="136"/>
  <c r="D1259" i="136"/>
  <c r="F1259" i="136"/>
  <c r="J1259" i="136"/>
  <c r="L1259" i="136"/>
  <c r="B1260" i="136"/>
  <c r="D1260" i="136"/>
  <c r="F1260" i="136"/>
  <c r="J1260" i="136"/>
  <c r="L1260" i="136"/>
  <c r="B1261" i="136"/>
  <c r="D1261" i="136"/>
  <c r="F1261" i="136"/>
  <c r="J1261" i="136"/>
  <c r="L1261" i="136"/>
  <c r="B1262" i="136"/>
  <c r="D1262" i="136"/>
  <c r="F1262" i="136"/>
  <c r="J1262" i="136"/>
  <c r="L1262" i="136"/>
  <c r="B1263" i="136"/>
  <c r="D1263" i="136"/>
  <c r="F1263" i="136"/>
  <c r="J1263" i="136"/>
  <c r="L1263" i="136"/>
  <c r="B1264" i="136"/>
  <c r="D1264" i="136"/>
  <c r="F1264" i="136"/>
  <c r="J1264" i="136"/>
  <c r="L1264" i="136"/>
  <c r="B1265" i="136"/>
  <c r="D1265" i="136"/>
  <c r="F1265" i="136"/>
  <c r="J1265" i="136"/>
  <c r="L1265" i="136"/>
  <c r="B1266" i="136"/>
  <c r="D1266" i="136"/>
  <c r="F1266" i="136"/>
  <c r="J1266" i="136"/>
  <c r="L1266" i="136"/>
  <c r="B1267" i="136"/>
  <c r="D1267" i="136"/>
  <c r="F1267" i="136"/>
  <c r="J1267" i="136"/>
  <c r="L1267" i="136"/>
  <c r="B1268" i="136"/>
  <c r="D1268" i="136"/>
  <c r="F1268" i="136"/>
  <c r="J1268" i="136"/>
  <c r="L1268" i="136"/>
  <c r="B1269" i="136"/>
  <c r="D1269" i="136"/>
  <c r="F1269" i="136"/>
  <c r="J1269" i="136"/>
  <c r="L1269" i="136"/>
  <c r="B1270" i="136"/>
  <c r="D1270" i="136"/>
  <c r="F1270" i="136"/>
  <c r="J1270" i="136"/>
  <c r="L1270" i="136"/>
  <c r="B1271" i="136"/>
  <c r="D1271" i="136"/>
  <c r="F1271" i="136"/>
  <c r="J1271" i="136"/>
  <c r="L1271" i="136"/>
  <c r="B1272" i="136"/>
  <c r="D1272" i="136"/>
  <c r="F1272" i="136"/>
  <c r="J1272" i="136"/>
  <c r="L1272" i="136"/>
  <c r="B1273" i="136"/>
  <c r="D1273" i="136"/>
  <c r="F1273" i="136"/>
  <c r="J1273" i="136"/>
  <c r="L1273" i="136"/>
  <c r="B1274" i="136"/>
  <c r="D1274" i="136"/>
  <c r="F1274" i="136"/>
  <c r="J1274" i="136"/>
  <c r="L1274" i="136"/>
  <c r="B1275" i="136"/>
  <c r="D1275" i="136"/>
  <c r="F1275" i="136"/>
  <c r="J1275" i="136"/>
  <c r="L1275" i="136"/>
  <c r="B1276" i="136"/>
  <c r="D1276" i="136"/>
  <c r="F1276" i="136"/>
  <c r="J1276" i="136"/>
  <c r="L1276" i="136"/>
  <c r="B1277" i="136"/>
  <c r="D1277" i="136"/>
  <c r="F1277" i="136"/>
  <c r="J1277" i="136"/>
  <c r="L1277" i="136"/>
  <c r="B1278" i="136"/>
  <c r="D1278" i="136"/>
  <c r="F1278" i="136"/>
  <c r="J1278" i="136"/>
  <c r="L1278" i="136"/>
  <c r="B1279" i="136"/>
  <c r="D1279" i="136"/>
  <c r="F1279" i="136"/>
  <c r="J1279" i="136"/>
  <c r="L1279" i="136"/>
  <c r="B1280" i="136"/>
  <c r="D1280" i="136"/>
  <c r="F1280" i="136"/>
  <c r="J1280" i="136"/>
  <c r="L1280" i="136"/>
  <c r="B1281" i="136"/>
  <c r="D1281" i="136"/>
  <c r="F1281" i="136"/>
  <c r="J1281" i="136"/>
  <c r="L1281" i="136"/>
  <c r="B1282" i="136"/>
  <c r="D1282" i="136"/>
  <c r="F1282" i="136"/>
  <c r="J1282" i="136"/>
  <c r="L1282" i="136"/>
  <c r="B1283" i="136"/>
  <c r="D1283" i="136"/>
  <c r="F1283" i="136"/>
  <c r="J1283" i="136"/>
  <c r="L1283" i="136"/>
  <c r="B1284" i="136"/>
  <c r="D1284" i="136"/>
  <c r="F1284" i="136"/>
  <c r="J1284" i="136"/>
  <c r="L1284" i="136"/>
  <c r="B1285" i="136"/>
  <c r="D1285" i="136"/>
  <c r="F1285" i="136"/>
  <c r="J1285" i="136"/>
  <c r="L1285" i="136"/>
  <c r="B1286" i="136"/>
  <c r="D1286" i="136"/>
  <c r="F1286" i="136"/>
  <c r="J1286" i="136"/>
  <c r="L1286" i="136"/>
  <c r="B1287" i="136"/>
  <c r="D1287" i="136"/>
  <c r="F1287" i="136"/>
  <c r="J1287" i="136"/>
  <c r="L1287" i="136"/>
  <c r="B1288" i="136"/>
  <c r="D1288" i="136"/>
  <c r="F1288" i="136"/>
  <c r="J1288" i="136"/>
  <c r="L1288" i="136"/>
  <c r="B1289" i="136"/>
  <c r="D1289" i="136"/>
  <c r="F1289" i="136"/>
  <c r="J1289" i="136"/>
  <c r="L1289" i="136"/>
  <c r="B1290" i="136"/>
  <c r="D1290" i="136"/>
  <c r="F1290" i="136"/>
  <c r="J1290" i="136"/>
  <c r="L1290" i="136"/>
  <c r="B1291" i="136"/>
  <c r="D1291" i="136"/>
  <c r="F1291" i="136"/>
  <c r="J1291" i="136"/>
  <c r="L1291" i="136"/>
  <c r="B1292" i="136"/>
  <c r="D1292" i="136"/>
  <c r="F1292" i="136"/>
  <c r="J1292" i="136"/>
  <c r="L1292" i="136"/>
  <c r="B1293" i="136"/>
  <c r="D1293" i="136"/>
  <c r="F1293" i="136"/>
  <c r="J1293" i="136"/>
  <c r="L1293" i="136"/>
  <c r="B1294" i="136"/>
  <c r="D1294" i="136"/>
  <c r="F1294" i="136"/>
  <c r="J1294" i="136"/>
  <c r="L1294" i="136"/>
  <c r="B1295" i="136"/>
  <c r="D1295" i="136"/>
  <c r="F1295" i="136"/>
  <c r="J1295" i="136"/>
  <c r="L1295" i="136"/>
  <c r="B1296" i="136"/>
  <c r="D1296" i="136"/>
  <c r="F1296" i="136"/>
  <c r="J1296" i="136"/>
  <c r="L1296" i="136"/>
  <c r="B1297" i="136"/>
  <c r="D1297" i="136"/>
  <c r="F1297" i="136"/>
  <c r="J1297" i="136"/>
  <c r="L1297" i="136"/>
  <c r="B1298" i="136"/>
  <c r="D1298" i="136"/>
  <c r="F1298" i="136"/>
  <c r="J1298" i="136"/>
  <c r="L1298" i="136"/>
  <c r="B1299" i="136"/>
  <c r="D1299" i="136"/>
  <c r="F1299" i="136"/>
  <c r="J1299" i="136"/>
  <c r="L1299" i="136"/>
  <c r="B1300" i="136"/>
  <c r="D1300" i="136"/>
  <c r="F1300" i="136"/>
  <c r="J1300" i="136"/>
  <c r="L1300" i="136"/>
  <c r="B1301" i="136"/>
  <c r="D1301" i="136"/>
  <c r="F1301" i="136"/>
  <c r="J1301" i="136"/>
  <c r="L1301" i="136"/>
  <c r="B1302" i="136"/>
  <c r="D1302" i="136"/>
  <c r="F1302" i="136"/>
  <c r="J1302" i="136"/>
  <c r="L1302" i="136"/>
  <c r="B1303" i="136"/>
  <c r="D1303" i="136"/>
  <c r="F1303" i="136"/>
  <c r="J1303" i="136"/>
  <c r="L1303" i="136"/>
  <c r="B1304" i="136"/>
  <c r="D1304" i="136"/>
  <c r="F1304" i="136"/>
  <c r="J1304" i="136"/>
  <c r="L1304" i="136"/>
  <c r="B1305" i="136"/>
  <c r="D1305" i="136"/>
  <c r="F1305" i="136"/>
  <c r="J1305" i="136"/>
  <c r="L1305" i="136"/>
  <c r="B1306" i="136"/>
  <c r="D1306" i="136"/>
  <c r="F1306" i="136"/>
  <c r="J1306" i="136"/>
  <c r="L1306" i="136"/>
  <c r="B1307" i="136"/>
  <c r="D1307" i="136"/>
  <c r="F1307" i="136"/>
  <c r="J1307" i="136"/>
  <c r="L1307" i="136"/>
  <c r="B1308" i="136"/>
  <c r="D1308" i="136"/>
  <c r="F1308" i="136"/>
  <c r="J1308" i="136"/>
  <c r="L1308" i="136"/>
  <c r="B1309" i="136"/>
  <c r="D1309" i="136"/>
  <c r="F1309" i="136"/>
  <c r="J1309" i="136"/>
  <c r="L1309" i="136"/>
  <c r="B1310" i="136"/>
  <c r="D1310" i="136"/>
  <c r="F1310" i="136"/>
  <c r="J1310" i="136"/>
  <c r="L1310" i="136"/>
  <c r="B1311" i="136"/>
  <c r="D1311" i="136"/>
  <c r="F1311" i="136"/>
  <c r="J1311" i="136"/>
  <c r="L1311" i="136"/>
  <c r="B1312" i="136"/>
  <c r="D1312" i="136"/>
  <c r="F1312" i="136"/>
  <c r="J1312" i="136"/>
  <c r="L1312" i="136"/>
  <c r="B1313" i="136"/>
  <c r="D1313" i="136"/>
  <c r="F1313" i="136"/>
  <c r="J1313" i="136"/>
  <c r="L1313" i="136"/>
  <c r="B1314" i="136"/>
  <c r="D1314" i="136"/>
  <c r="F1314" i="136"/>
  <c r="J1314" i="136"/>
  <c r="L1314" i="136"/>
  <c r="B1315" i="136"/>
  <c r="D1315" i="136"/>
  <c r="F1315" i="136"/>
  <c r="J1315" i="136"/>
  <c r="L1315" i="136"/>
  <c r="B1316" i="136"/>
  <c r="D1316" i="136"/>
  <c r="F1316" i="136"/>
  <c r="J1316" i="136"/>
  <c r="L1316" i="136"/>
  <c r="B1317" i="136"/>
  <c r="D1317" i="136"/>
  <c r="F1317" i="136"/>
  <c r="J1317" i="136"/>
  <c r="L1317" i="136"/>
  <c r="B1318" i="136"/>
  <c r="D1318" i="136"/>
  <c r="F1318" i="136"/>
  <c r="J1318" i="136"/>
  <c r="L1318" i="136"/>
  <c r="B1319" i="136"/>
  <c r="D1319" i="136"/>
  <c r="F1319" i="136"/>
  <c r="J1319" i="136"/>
  <c r="L1319" i="136"/>
  <c r="B1320" i="136"/>
  <c r="D1320" i="136"/>
  <c r="F1320" i="136"/>
  <c r="J1320" i="136"/>
  <c r="L1320" i="136"/>
  <c r="B1321" i="136"/>
  <c r="D1321" i="136"/>
  <c r="F1321" i="136"/>
  <c r="J1321" i="136"/>
  <c r="L1321" i="136"/>
  <c r="B1322" i="136"/>
  <c r="D1322" i="136"/>
  <c r="F1322" i="136"/>
  <c r="J1322" i="136"/>
  <c r="L1322" i="136"/>
  <c r="B1323" i="136"/>
  <c r="D1323" i="136"/>
  <c r="F1323" i="136"/>
  <c r="J1323" i="136"/>
  <c r="L1323" i="136"/>
  <c r="B1324" i="136"/>
  <c r="D1324" i="136"/>
  <c r="F1324" i="136"/>
  <c r="J1324" i="136"/>
  <c r="L1324" i="136"/>
  <c r="B1325" i="136"/>
  <c r="D1325" i="136"/>
  <c r="F1325" i="136"/>
  <c r="J1325" i="136"/>
  <c r="L1325" i="136"/>
  <c r="B1326" i="136"/>
  <c r="D1326" i="136"/>
  <c r="F1326" i="136"/>
  <c r="J1326" i="136"/>
  <c r="L1326" i="136"/>
  <c r="B1327" i="136"/>
  <c r="D1327" i="136"/>
  <c r="F1327" i="136"/>
  <c r="J1327" i="136"/>
  <c r="L1327" i="136"/>
  <c r="B1328" i="136"/>
  <c r="D1328" i="136"/>
  <c r="F1328" i="136"/>
  <c r="J1328" i="136"/>
  <c r="L1328" i="136"/>
  <c r="B1329" i="136"/>
  <c r="D1329" i="136"/>
  <c r="F1329" i="136"/>
  <c r="J1329" i="136"/>
  <c r="L1329" i="136"/>
  <c r="B1330" i="136"/>
  <c r="D1330" i="136"/>
  <c r="F1330" i="136"/>
  <c r="J1330" i="136"/>
  <c r="L1330" i="136"/>
  <c r="B1331" i="136"/>
  <c r="D1331" i="136"/>
  <c r="F1331" i="136"/>
  <c r="J1331" i="136"/>
  <c r="L1331" i="136"/>
  <c r="B1332" i="136"/>
  <c r="D1332" i="136"/>
  <c r="F1332" i="136"/>
  <c r="J1332" i="136"/>
  <c r="L1332" i="136"/>
  <c r="B1333" i="136"/>
  <c r="D1333" i="136"/>
  <c r="F1333" i="136"/>
  <c r="J1333" i="136"/>
  <c r="L1333" i="136"/>
  <c r="B1334" i="136"/>
  <c r="D1334" i="136"/>
  <c r="F1334" i="136"/>
  <c r="J1334" i="136"/>
  <c r="L1334" i="136"/>
  <c r="B1335" i="136"/>
  <c r="D1335" i="136"/>
  <c r="F1335" i="136"/>
  <c r="J1335" i="136"/>
  <c r="L1335" i="136"/>
  <c r="B1336" i="136"/>
  <c r="D1336" i="136"/>
  <c r="F1336" i="136"/>
  <c r="J1336" i="136"/>
  <c r="L1336" i="136"/>
  <c r="B1337" i="136"/>
  <c r="D1337" i="136"/>
  <c r="F1337" i="136"/>
  <c r="J1337" i="136"/>
  <c r="L1337" i="136"/>
  <c r="B1338" i="136"/>
  <c r="D1338" i="136"/>
  <c r="F1338" i="136"/>
  <c r="J1338" i="136"/>
  <c r="L1338" i="136"/>
  <c r="B1339" i="136"/>
  <c r="D1339" i="136"/>
  <c r="F1339" i="136"/>
  <c r="J1339" i="136"/>
  <c r="L1339" i="136"/>
  <c r="B1340" i="136"/>
  <c r="D1340" i="136"/>
  <c r="F1340" i="136"/>
  <c r="J1340" i="136"/>
  <c r="L1340" i="136"/>
  <c r="B1341" i="136"/>
  <c r="D1341" i="136"/>
  <c r="F1341" i="136"/>
  <c r="J1341" i="136"/>
  <c r="L1341" i="136"/>
  <c r="B1342" i="136"/>
  <c r="D1342" i="136"/>
  <c r="F1342" i="136"/>
  <c r="J1342" i="136"/>
  <c r="L1342" i="136"/>
  <c r="B1343" i="136"/>
  <c r="D1343" i="136"/>
  <c r="F1343" i="136"/>
  <c r="J1343" i="136"/>
  <c r="L1343" i="136"/>
  <c r="B1344" i="136"/>
  <c r="D1344" i="136"/>
  <c r="F1344" i="136"/>
  <c r="J1344" i="136"/>
  <c r="L1344" i="136"/>
  <c r="B1345" i="136"/>
  <c r="D1345" i="136"/>
  <c r="F1345" i="136"/>
  <c r="J1345" i="136"/>
  <c r="L1345" i="136"/>
  <c r="B1346" i="136"/>
  <c r="D1346" i="136"/>
  <c r="F1346" i="136"/>
  <c r="J1346" i="136"/>
  <c r="L1346" i="136"/>
  <c r="B1347" i="136"/>
  <c r="D1347" i="136"/>
  <c r="F1347" i="136"/>
  <c r="J1347" i="136"/>
  <c r="L1347" i="136"/>
  <c r="B1348" i="136"/>
  <c r="D1348" i="136"/>
  <c r="F1348" i="136"/>
  <c r="J1348" i="136"/>
  <c r="L1348" i="136"/>
  <c r="B1349" i="136"/>
  <c r="D1349" i="136"/>
  <c r="F1349" i="136"/>
  <c r="J1349" i="136"/>
  <c r="L1349" i="136"/>
  <c r="B1350" i="136"/>
  <c r="D1350" i="136"/>
  <c r="F1350" i="136"/>
  <c r="J1350" i="136"/>
  <c r="L1350" i="136"/>
  <c r="B1351" i="136"/>
  <c r="D1351" i="136"/>
  <c r="F1351" i="136"/>
  <c r="J1351" i="136"/>
  <c r="L1351" i="136"/>
  <c r="B1352" i="136"/>
  <c r="D1352" i="136"/>
  <c r="F1352" i="136"/>
  <c r="J1352" i="136"/>
  <c r="L1352" i="136"/>
  <c r="B1353" i="136"/>
  <c r="D1353" i="136"/>
  <c r="F1353" i="136"/>
  <c r="J1353" i="136"/>
  <c r="L1353" i="136"/>
  <c r="B1354" i="136"/>
  <c r="D1354" i="136"/>
  <c r="F1354" i="136"/>
  <c r="J1354" i="136"/>
  <c r="L1354" i="136"/>
  <c r="B1355" i="136"/>
  <c r="D1355" i="136"/>
  <c r="F1355" i="136"/>
  <c r="J1355" i="136"/>
  <c r="L1355" i="136"/>
  <c r="B1356" i="136"/>
  <c r="D1356" i="136"/>
  <c r="F1356" i="136"/>
  <c r="J1356" i="136"/>
  <c r="L1356" i="136"/>
  <c r="B1357" i="136"/>
  <c r="D1357" i="136"/>
  <c r="F1357" i="136"/>
  <c r="J1357" i="136"/>
  <c r="L1357" i="136"/>
  <c r="B1358" i="136"/>
  <c r="D1358" i="136"/>
  <c r="F1358" i="136"/>
  <c r="J1358" i="136"/>
  <c r="L1358" i="136"/>
  <c r="B1359" i="136"/>
  <c r="D1359" i="136"/>
  <c r="F1359" i="136"/>
  <c r="J1359" i="136"/>
  <c r="L1359" i="136"/>
  <c r="B1360" i="136"/>
  <c r="D1360" i="136"/>
  <c r="F1360" i="136"/>
  <c r="J1360" i="136"/>
  <c r="L1360" i="136"/>
  <c r="B1361" i="136"/>
  <c r="D1361" i="136"/>
  <c r="F1361" i="136"/>
  <c r="J1361" i="136"/>
  <c r="L1361" i="136"/>
  <c r="B1362" i="136"/>
  <c r="D1362" i="136"/>
  <c r="F1362" i="136"/>
  <c r="J1362" i="136"/>
  <c r="L1362" i="136"/>
  <c r="B1363" i="136"/>
  <c r="D1363" i="136"/>
  <c r="F1363" i="136"/>
  <c r="J1363" i="136"/>
  <c r="L1363" i="136"/>
  <c r="B1364" i="136"/>
  <c r="D1364" i="136"/>
  <c r="F1364" i="136"/>
  <c r="J1364" i="136"/>
  <c r="L1364" i="136"/>
  <c r="B1365" i="136"/>
  <c r="D1365" i="136"/>
  <c r="F1365" i="136"/>
  <c r="J1365" i="136"/>
  <c r="L1365" i="136"/>
  <c r="B1366" i="136"/>
  <c r="D1366" i="136"/>
  <c r="F1366" i="136"/>
  <c r="J1366" i="136"/>
  <c r="L1366" i="136"/>
  <c r="B1367" i="136"/>
  <c r="D1367" i="136"/>
  <c r="F1367" i="136"/>
  <c r="J1367" i="136"/>
  <c r="L1367" i="136"/>
  <c r="B1368" i="136"/>
  <c r="D1368" i="136"/>
  <c r="F1368" i="136"/>
  <c r="J1368" i="136"/>
  <c r="L1368" i="136"/>
  <c r="B1369" i="136"/>
  <c r="D1369" i="136"/>
  <c r="F1369" i="136"/>
  <c r="J1369" i="136"/>
  <c r="L1369" i="136"/>
  <c r="B1370" i="136"/>
  <c r="D1370" i="136"/>
  <c r="F1370" i="136"/>
  <c r="J1370" i="136"/>
  <c r="L1370" i="136"/>
  <c r="B1371" i="136"/>
  <c r="D1371" i="136"/>
  <c r="F1371" i="136"/>
  <c r="J1371" i="136"/>
  <c r="L1371" i="136"/>
  <c r="B1372" i="136"/>
  <c r="D1372" i="136"/>
  <c r="F1372" i="136"/>
  <c r="J1372" i="136"/>
  <c r="L1372" i="136"/>
  <c r="B1373" i="136"/>
  <c r="D1373" i="136"/>
  <c r="F1373" i="136"/>
  <c r="J1373" i="136"/>
  <c r="L1373" i="136"/>
  <c r="B1374" i="136"/>
  <c r="D1374" i="136"/>
  <c r="F1374" i="136"/>
  <c r="J1374" i="136"/>
  <c r="L1374" i="136"/>
  <c r="B1375" i="136"/>
  <c r="D1375" i="136"/>
  <c r="F1375" i="136"/>
  <c r="J1375" i="136"/>
  <c r="L1375" i="136"/>
  <c r="B1376" i="136"/>
  <c r="D1376" i="136"/>
  <c r="F1376" i="136"/>
  <c r="J1376" i="136"/>
  <c r="L1376" i="136"/>
  <c r="B1377" i="136"/>
  <c r="D1377" i="136"/>
  <c r="F1377" i="136"/>
  <c r="J1377" i="136"/>
  <c r="L1377" i="136"/>
  <c r="B1378" i="136"/>
  <c r="D1378" i="136"/>
  <c r="F1378" i="136"/>
  <c r="J1378" i="136"/>
  <c r="L1378" i="136"/>
  <c r="B1379" i="136"/>
  <c r="D1379" i="136"/>
  <c r="F1379" i="136"/>
  <c r="J1379" i="136"/>
  <c r="L1379" i="136"/>
  <c r="B1380" i="136"/>
  <c r="D1380" i="136"/>
  <c r="F1380" i="136"/>
  <c r="J1380" i="136"/>
  <c r="L1380" i="136"/>
  <c r="B1381" i="136"/>
  <c r="D1381" i="136"/>
  <c r="F1381" i="136"/>
  <c r="J1381" i="136"/>
  <c r="L1381" i="136"/>
  <c r="B1382" i="136"/>
  <c r="D1382" i="136"/>
  <c r="F1382" i="136"/>
  <c r="J1382" i="136"/>
  <c r="L1382" i="136"/>
  <c r="B1383" i="136"/>
  <c r="D1383" i="136"/>
  <c r="F1383" i="136"/>
  <c r="J1383" i="136"/>
  <c r="L1383" i="136"/>
  <c r="B1384" i="136"/>
  <c r="D1384" i="136"/>
  <c r="F1384" i="136"/>
  <c r="J1384" i="136"/>
  <c r="L1384" i="136"/>
  <c r="B1385" i="136"/>
  <c r="D1385" i="136"/>
  <c r="F1385" i="136"/>
  <c r="J1385" i="136"/>
  <c r="L1385" i="136"/>
  <c r="B1386" i="136"/>
  <c r="D1386" i="136"/>
  <c r="F1386" i="136"/>
  <c r="J1386" i="136"/>
  <c r="L1386" i="136"/>
  <c r="B1387" i="136"/>
  <c r="D1387" i="136"/>
  <c r="F1387" i="136"/>
  <c r="J1387" i="136"/>
  <c r="L1387" i="136"/>
  <c r="B1388" i="136"/>
  <c r="D1388" i="136"/>
  <c r="F1388" i="136"/>
  <c r="J1388" i="136"/>
  <c r="L1388" i="136"/>
  <c r="B1389" i="136"/>
  <c r="D1389" i="136"/>
  <c r="F1389" i="136"/>
  <c r="J1389" i="136"/>
  <c r="L1389" i="136"/>
  <c r="B1390" i="136"/>
  <c r="D1390" i="136"/>
  <c r="F1390" i="136"/>
  <c r="J1390" i="136"/>
  <c r="L1390" i="136"/>
  <c r="B1391" i="136"/>
  <c r="D1391" i="136"/>
  <c r="F1391" i="136"/>
  <c r="J1391" i="136"/>
  <c r="L1391" i="136"/>
  <c r="B1392" i="136"/>
  <c r="D1392" i="136"/>
  <c r="F1392" i="136"/>
  <c r="J1392" i="136"/>
  <c r="L1392" i="136"/>
  <c r="B1393" i="136"/>
  <c r="D1393" i="136"/>
  <c r="F1393" i="136"/>
  <c r="J1393" i="136"/>
  <c r="L1393" i="136"/>
  <c r="B1394" i="136"/>
  <c r="D1394" i="136"/>
  <c r="F1394" i="136"/>
  <c r="J1394" i="136"/>
  <c r="L1394" i="136"/>
  <c r="B1395" i="136"/>
  <c r="D1395" i="136"/>
  <c r="F1395" i="136"/>
  <c r="J1395" i="136"/>
  <c r="L1395" i="136"/>
  <c r="B1396" i="136"/>
  <c r="D1396" i="136"/>
  <c r="F1396" i="136"/>
  <c r="J1396" i="136"/>
  <c r="L1396" i="136"/>
  <c r="B1397" i="136"/>
  <c r="D1397" i="136"/>
  <c r="F1397" i="136"/>
  <c r="J1397" i="136"/>
  <c r="L1397" i="136"/>
  <c r="B1398" i="136"/>
  <c r="D1398" i="136"/>
  <c r="F1398" i="136"/>
  <c r="J1398" i="136"/>
  <c r="L1398" i="136"/>
  <c r="B1399" i="136"/>
  <c r="D1399" i="136"/>
  <c r="F1399" i="136"/>
  <c r="J1399" i="136"/>
  <c r="L1399" i="136"/>
  <c r="B1400" i="136"/>
  <c r="D1400" i="136"/>
  <c r="F1400" i="136"/>
  <c r="J1400" i="136"/>
  <c r="L1400" i="136"/>
  <c r="B1401" i="136"/>
  <c r="D1401" i="136"/>
  <c r="F1401" i="136"/>
  <c r="J1401" i="136"/>
  <c r="L1401" i="136"/>
  <c r="B1402" i="136"/>
  <c r="D1402" i="136"/>
  <c r="F1402" i="136"/>
  <c r="J1402" i="136"/>
  <c r="L1402" i="136"/>
  <c r="B1403" i="136"/>
  <c r="D1403" i="136"/>
  <c r="F1403" i="136"/>
  <c r="J1403" i="136"/>
  <c r="L1403" i="136"/>
  <c r="B1404" i="136"/>
  <c r="D1404" i="136"/>
  <c r="F1404" i="136"/>
  <c r="J1404" i="136"/>
  <c r="L1404" i="136"/>
  <c r="B1405" i="136"/>
  <c r="D1405" i="136"/>
  <c r="F1405" i="136"/>
  <c r="J1405" i="136"/>
  <c r="L1405" i="136"/>
  <c r="B1406" i="136"/>
  <c r="D1406" i="136"/>
  <c r="F1406" i="136"/>
  <c r="J1406" i="136"/>
  <c r="L1406" i="136"/>
  <c r="B1407" i="136"/>
  <c r="D1407" i="136"/>
  <c r="F1407" i="136"/>
  <c r="J1407" i="136"/>
  <c r="L1407" i="136"/>
  <c r="B1408" i="136"/>
  <c r="D1408" i="136"/>
  <c r="F1408" i="136"/>
  <c r="J1408" i="136"/>
  <c r="L1408" i="136"/>
  <c r="B1409" i="136"/>
  <c r="D1409" i="136"/>
  <c r="F1409" i="136"/>
  <c r="J1409" i="136"/>
  <c r="L1409" i="136"/>
  <c r="B1410" i="136"/>
  <c r="D1410" i="136"/>
  <c r="F1410" i="136"/>
  <c r="J1410" i="136"/>
  <c r="L1410" i="136"/>
  <c r="B1411" i="136"/>
  <c r="D1411" i="136"/>
  <c r="F1411" i="136"/>
  <c r="J1411" i="136"/>
  <c r="L1411" i="136"/>
  <c r="B1412" i="136"/>
  <c r="D1412" i="136"/>
  <c r="F1412" i="136"/>
  <c r="J1412" i="136"/>
  <c r="L1412" i="136"/>
  <c r="B1413" i="136"/>
  <c r="D1413" i="136"/>
  <c r="F1413" i="136"/>
  <c r="J1413" i="136"/>
  <c r="L1413" i="136"/>
  <c r="B1414" i="136"/>
  <c r="D1414" i="136"/>
  <c r="F1414" i="136"/>
  <c r="J1414" i="136"/>
  <c r="L1414" i="136"/>
  <c r="B1415" i="136"/>
  <c r="D1415" i="136"/>
  <c r="F1415" i="136"/>
  <c r="J1415" i="136"/>
  <c r="L1415" i="136"/>
  <c r="B1416" i="136"/>
  <c r="D1416" i="136"/>
  <c r="F1416" i="136"/>
  <c r="J1416" i="136"/>
  <c r="L1416" i="136"/>
  <c r="B1417" i="136"/>
  <c r="D1417" i="136"/>
  <c r="F1417" i="136"/>
  <c r="J1417" i="136"/>
  <c r="L1417" i="136"/>
  <c r="B1418" i="136"/>
  <c r="D1418" i="136"/>
  <c r="F1418" i="136"/>
  <c r="J1418" i="136"/>
  <c r="L1418" i="136"/>
  <c r="B1419" i="136"/>
  <c r="D1419" i="136"/>
  <c r="F1419" i="136"/>
  <c r="J1419" i="136"/>
  <c r="L1419" i="136"/>
  <c r="B1420" i="136"/>
  <c r="D1420" i="136"/>
  <c r="F1420" i="136"/>
  <c r="J1420" i="136"/>
  <c r="L1420" i="136"/>
  <c r="B1421" i="136"/>
  <c r="D1421" i="136"/>
  <c r="F1421" i="136"/>
  <c r="J1421" i="136"/>
  <c r="L1421" i="136"/>
  <c r="B1422" i="136"/>
  <c r="D1422" i="136"/>
  <c r="F1422" i="136"/>
  <c r="J1422" i="136"/>
  <c r="L1422" i="136"/>
  <c r="B1423" i="136"/>
  <c r="D1423" i="136"/>
  <c r="F1423" i="136"/>
  <c r="J1423" i="136"/>
  <c r="L1423" i="136"/>
  <c r="B1424" i="136"/>
  <c r="D1424" i="136"/>
  <c r="F1424" i="136"/>
  <c r="J1424" i="136"/>
  <c r="L1424" i="136"/>
  <c r="B1425" i="136"/>
  <c r="D1425" i="136"/>
  <c r="F1425" i="136"/>
  <c r="J1425" i="136"/>
  <c r="L1425" i="136"/>
  <c r="B1426" i="136"/>
  <c r="D1426" i="136"/>
  <c r="F1426" i="136"/>
  <c r="J1426" i="136"/>
  <c r="L1426" i="136"/>
  <c r="B1427" i="136"/>
  <c r="D1427" i="136"/>
  <c r="F1427" i="136"/>
  <c r="J1427" i="136"/>
  <c r="L1427" i="136"/>
  <c r="B1428" i="136"/>
  <c r="D1428" i="136"/>
  <c r="F1428" i="136"/>
  <c r="J1428" i="136"/>
  <c r="L1428" i="136"/>
  <c r="B1429" i="136"/>
  <c r="D1429" i="136"/>
  <c r="F1429" i="136"/>
  <c r="J1429" i="136"/>
  <c r="L1429" i="136"/>
  <c r="B1430" i="136"/>
  <c r="D1430" i="136"/>
  <c r="F1430" i="136"/>
  <c r="J1430" i="136"/>
  <c r="L1430" i="136"/>
  <c r="B1431" i="136"/>
  <c r="D1431" i="136"/>
  <c r="F1431" i="136"/>
  <c r="J1431" i="136"/>
  <c r="L1431" i="136"/>
  <c r="B1432" i="136"/>
  <c r="D1432" i="136"/>
  <c r="F1432" i="136"/>
  <c r="J1432" i="136"/>
  <c r="L1432" i="136"/>
  <c r="B1433" i="136"/>
  <c r="D1433" i="136"/>
  <c r="F1433" i="136"/>
  <c r="J1433" i="136"/>
  <c r="L1433" i="136"/>
  <c r="B1434" i="136"/>
  <c r="D1434" i="136"/>
  <c r="F1434" i="136"/>
  <c r="J1434" i="136"/>
  <c r="L1434" i="136"/>
  <c r="B1435" i="136"/>
  <c r="D1435" i="136"/>
  <c r="F1435" i="136"/>
  <c r="J1435" i="136"/>
  <c r="L1435" i="136"/>
  <c r="B1436" i="136"/>
  <c r="D1436" i="136"/>
  <c r="F1436" i="136"/>
  <c r="J1436" i="136"/>
  <c r="L1436" i="136"/>
  <c r="B1437" i="136"/>
  <c r="D1437" i="136"/>
  <c r="F1437" i="136"/>
  <c r="J1437" i="136"/>
  <c r="L1437" i="136"/>
  <c r="B1438" i="136"/>
  <c r="D1438" i="136"/>
  <c r="F1438" i="136"/>
  <c r="J1438" i="136"/>
  <c r="L1438" i="136"/>
  <c r="B1439" i="136"/>
  <c r="D1439" i="136"/>
  <c r="F1439" i="136"/>
  <c r="J1439" i="136"/>
  <c r="L1439" i="136"/>
  <c r="B1440" i="136"/>
  <c r="D1440" i="136"/>
  <c r="F1440" i="136"/>
  <c r="J1440" i="136"/>
  <c r="L1440" i="136"/>
  <c r="B1441" i="136"/>
  <c r="D1441" i="136"/>
  <c r="F1441" i="136"/>
  <c r="J1441" i="136"/>
  <c r="L1441" i="136"/>
  <c r="B1442" i="136"/>
  <c r="D1442" i="136"/>
  <c r="F1442" i="136"/>
  <c r="J1442" i="136"/>
  <c r="L1442" i="136"/>
  <c r="B1443" i="136"/>
  <c r="D1443" i="136"/>
  <c r="F1443" i="136"/>
  <c r="J1443" i="136"/>
  <c r="L1443" i="136"/>
  <c r="B1444" i="136"/>
  <c r="D1444" i="136"/>
  <c r="F1444" i="136"/>
  <c r="J1444" i="136"/>
  <c r="L1444" i="136"/>
  <c r="B1445" i="136"/>
  <c r="D1445" i="136"/>
  <c r="F1445" i="136"/>
  <c r="J1445" i="136"/>
  <c r="L1445" i="136"/>
  <c r="B1446" i="136"/>
  <c r="D1446" i="136"/>
  <c r="F1446" i="136"/>
  <c r="J1446" i="136"/>
  <c r="L1446" i="136"/>
  <c r="B1447" i="136"/>
  <c r="D1447" i="136"/>
  <c r="F1447" i="136"/>
  <c r="J1447" i="136"/>
  <c r="L1447" i="136"/>
  <c r="B1448" i="136"/>
  <c r="D1448" i="136"/>
  <c r="F1448" i="136"/>
  <c r="J1448" i="136"/>
  <c r="L1448" i="136"/>
  <c r="B1449" i="136"/>
  <c r="D1449" i="136"/>
  <c r="F1449" i="136"/>
  <c r="J1449" i="136"/>
  <c r="L1449" i="136"/>
  <c r="B1450" i="136"/>
  <c r="D1450" i="136"/>
  <c r="F1450" i="136"/>
  <c r="J1450" i="136"/>
  <c r="L1450" i="136"/>
  <c r="B1451" i="136"/>
  <c r="D1451" i="136"/>
  <c r="F1451" i="136"/>
  <c r="J1451" i="136"/>
  <c r="L1451" i="136"/>
  <c r="B1452" i="136"/>
  <c r="D1452" i="136"/>
  <c r="F1452" i="136"/>
  <c r="J1452" i="136"/>
  <c r="L1452" i="136"/>
  <c r="B1453" i="136"/>
  <c r="D1453" i="136"/>
  <c r="F1453" i="136"/>
  <c r="J1453" i="136"/>
  <c r="L1453" i="136"/>
  <c r="B1454" i="136"/>
  <c r="D1454" i="136"/>
  <c r="F1454" i="136"/>
  <c r="J1454" i="136"/>
  <c r="L1454" i="136"/>
  <c r="B1455" i="136"/>
  <c r="D1455" i="136"/>
  <c r="F1455" i="136"/>
  <c r="J1455" i="136"/>
  <c r="L1455" i="136"/>
  <c r="B1456" i="136"/>
  <c r="D1456" i="136"/>
  <c r="F1456" i="136"/>
  <c r="J1456" i="136"/>
  <c r="L1456" i="136"/>
  <c r="B1457" i="136"/>
  <c r="D1457" i="136"/>
  <c r="F1457" i="136"/>
  <c r="J1457" i="136"/>
  <c r="L1457" i="136"/>
  <c r="B1458" i="136"/>
  <c r="D1458" i="136"/>
  <c r="F1458" i="136"/>
  <c r="J1458" i="136"/>
  <c r="L1458" i="136"/>
  <c r="B1459" i="136"/>
  <c r="D1459" i="136"/>
  <c r="F1459" i="136"/>
  <c r="J1459" i="136"/>
  <c r="L1459" i="136"/>
  <c r="B1460" i="136"/>
  <c r="D1460" i="136"/>
  <c r="F1460" i="136"/>
  <c r="J1460" i="136"/>
  <c r="L1460" i="136"/>
  <c r="B1461" i="136"/>
  <c r="D1461" i="136"/>
  <c r="F1461" i="136"/>
  <c r="J1461" i="136"/>
  <c r="L1461" i="136"/>
  <c r="B1462" i="136"/>
  <c r="D1462" i="136"/>
  <c r="F1462" i="136"/>
  <c r="J1462" i="136"/>
  <c r="L1462" i="136"/>
  <c r="B1463" i="136"/>
  <c r="D1463" i="136"/>
  <c r="F1463" i="136"/>
  <c r="J1463" i="136"/>
  <c r="L1463" i="136"/>
  <c r="B1464" i="136"/>
  <c r="D1464" i="136"/>
  <c r="F1464" i="136"/>
  <c r="J1464" i="136"/>
  <c r="L1464" i="136"/>
  <c r="B1465" i="136"/>
  <c r="D1465" i="136"/>
  <c r="F1465" i="136"/>
  <c r="J1465" i="136"/>
  <c r="L1465" i="136"/>
  <c r="B1466" i="136"/>
  <c r="D1466" i="136"/>
  <c r="F1466" i="136"/>
  <c r="J1466" i="136"/>
  <c r="L1466" i="136"/>
  <c r="B1467" i="136"/>
  <c r="D1467" i="136"/>
  <c r="F1467" i="136"/>
  <c r="J1467" i="136"/>
  <c r="L1467" i="136"/>
  <c r="B1468" i="136"/>
  <c r="D1468" i="136"/>
  <c r="F1468" i="136"/>
  <c r="J1468" i="136"/>
  <c r="L1468" i="136"/>
  <c r="B1469" i="136"/>
  <c r="D1469" i="136"/>
  <c r="F1469" i="136"/>
  <c r="J1469" i="136"/>
  <c r="L1469" i="136"/>
  <c r="B1470" i="136"/>
  <c r="D1470" i="136"/>
  <c r="F1470" i="136"/>
  <c r="J1470" i="136"/>
  <c r="L1470" i="136"/>
  <c r="B1471" i="136"/>
  <c r="D1471" i="136"/>
  <c r="F1471" i="136"/>
  <c r="J1471" i="136"/>
  <c r="L1471" i="136"/>
  <c r="B1472" i="136"/>
  <c r="D1472" i="136"/>
  <c r="F1472" i="136"/>
  <c r="J1472" i="136"/>
  <c r="L1472" i="136"/>
  <c r="B1473" i="136"/>
  <c r="D1473" i="136"/>
  <c r="F1473" i="136"/>
  <c r="J1473" i="136"/>
  <c r="L1473" i="136"/>
  <c r="B1474" i="136"/>
  <c r="D1474" i="136"/>
  <c r="F1474" i="136"/>
  <c r="J1474" i="136"/>
  <c r="L1474" i="136"/>
  <c r="B1475" i="136"/>
  <c r="D1475" i="136"/>
  <c r="F1475" i="136"/>
  <c r="J1475" i="136"/>
  <c r="L1475" i="136"/>
  <c r="B1476" i="136"/>
  <c r="D1476" i="136"/>
  <c r="F1476" i="136"/>
  <c r="J1476" i="136"/>
  <c r="L1476" i="136"/>
  <c r="B1477" i="136"/>
  <c r="D1477" i="136"/>
  <c r="F1477" i="136"/>
  <c r="J1477" i="136"/>
  <c r="L1477" i="136"/>
  <c r="B1478" i="136"/>
  <c r="D1478" i="136"/>
  <c r="F1478" i="136"/>
  <c r="J1478" i="136"/>
  <c r="L1478" i="136"/>
  <c r="B1479" i="136"/>
  <c r="D1479" i="136"/>
  <c r="F1479" i="136"/>
  <c r="J1479" i="136"/>
  <c r="L1479" i="136"/>
  <c r="B1480" i="136"/>
  <c r="D1480" i="136"/>
  <c r="F1480" i="136"/>
  <c r="J1480" i="136"/>
  <c r="L1480" i="136"/>
  <c r="B1481" i="136"/>
  <c r="D1481" i="136"/>
  <c r="F1481" i="136"/>
  <c r="J1481" i="136"/>
  <c r="L1481" i="136"/>
  <c r="B1482" i="136"/>
  <c r="D1482" i="136"/>
  <c r="F1482" i="136"/>
  <c r="J1482" i="136"/>
  <c r="L1482" i="136"/>
  <c r="B1483" i="136"/>
  <c r="D1483" i="136"/>
  <c r="F1483" i="136"/>
  <c r="J1483" i="136"/>
  <c r="L1483" i="136"/>
  <c r="B1484" i="136"/>
  <c r="D1484" i="136"/>
  <c r="F1484" i="136"/>
  <c r="J1484" i="136"/>
  <c r="L1484" i="136"/>
  <c r="B1485" i="136"/>
  <c r="D1485" i="136"/>
  <c r="F1485" i="136"/>
  <c r="J1485" i="136"/>
  <c r="L1485" i="136"/>
  <c r="B1486" i="136"/>
  <c r="D1486" i="136"/>
  <c r="F1486" i="136"/>
  <c r="J1486" i="136"/>
  <c r="L1486" i="136"/>
  <c r="B1487" i="136"/>
  <c r="D1487" i="136"/>
  <c r="F1487" i="136"/>
  <c r="J1487" i="136"/>
  <c r="L1487" i="136"/>
  <c r="B1488" i="136"/>
  <c r="D1488" i="136"/>
  <c r="F1488" i="136"/>
  <c r="J1488" i="136"/>
  <c r="L1488" i="136"/>
  <c r="B1489" i="136"/>
  <c r="D1489" i="136"/>
  <c r="F1489" i="136"/>
  <c r="J1489" i="136"/>
  <c r="L1489" i="136"/>
  <c r="B1490" i="136"/>
  <c r="D1490" i="136"/>
  <c r="F1490" i="136"/>
  <c r="J1490" i="136"/>
  <c r="L1490" i="136"/>
  <c r="B1491" i="136"/>
  <c r="D1491" i="136"/>
  <c r="F1491" i="136"/>
  <c r="J1491" i="136"/>
  <c r="L1491" i="136"/>
  <c r="B1492" i="136"/>
  <c r="D1492" i="136"/>
  <c r="F1492" i="136"/>
  <c r="J1492" i="136"/>
  <c r="L1492" i="136"/>
  <c r="B1493" i="136"/>
  <c r="D1493" i="136"/>
  <c r="F1493" i="136"/>
  <c r="J1493" i="136"/>
  <c r="L1493" i="136"/>
  <c r="B1494" i="136"/>
  <c r="D1494" i="136"/>
  <c r="F1494" i="136"/>
  <c r="J1494" i="136"/>
  <c r="L1494" i="136"/>
  <c r="B1495" i="136"/>
  <c r="D1495" i="136"/>
  <c r="F1495" i="136"/>
  <c r="J1495" i="136"/>
  <c r="L1495" i="136"/>
  <c r="B1496" i="136"/>
  <c r="D1496" i="136"/>
  <c r="F1496" i="136"/>
  <c r="J1496" i="136"/>
  <c r="L1496" i="136"/>
  <c r="B1497" i="136"/>
  <c r="D1497" i="136"/>
  <c r="F1497" i="136"/>
  <c r="J1497" i="136"/>
  <c r="L1497" i="136"/>
  <c r="B1498" i="136"/>
  <c r="D1498" i="136"/>
  <c r="F1498" i="136"/>
  <c r="J1498" i="136"/>
  <c r="L1498" i="136"/>
  <c r="B1499" i="136"/>
  <c r="D1499" i="136"/>
  <c r="F1499" i="136"/>
  <c r="J1499" i="136"/>
  <c r="L1499" i="136"/>
  <c r="B1500" i="136"/>
  <c r="D1500" i="136"/>
  <c r="F1500" i="136"/>
  <c r="J1500" i="136"/>
  <c r="L1500" i="136"/>
  <c r="B1501" i="136"/>
  <c r="D1501" i="136"/>
  <c r="F1501" i="136"/>
  <c r="J1501" i="136"/>
  <c r="L1501" i="136"/>
  <c r="F364" i="123" l="1"/>
  <c r="R23" i="163"/>
  <c r="N352" i="123" l="1"/>
  <c r="Q352" i="123"/>
  <c r="U352" i="123"/>
  <c r="O117" i="154" l="1"/>
  <c r="O118" i="154"/>
  <c r="L37" i="133" l="1"/>
  <c r="K37" i="133"/>
  <c r="I37" i="133"/>
  <c r="E37" i="133"/>
  <c r="D37" i="133"/>
  <c r="N37" i="133"/>
  <c r="G37" i="133" l="1"/>
  <c r="C37" i="133"/>
  <c r="M13" i="120" l="1"/>
  <c r="C24" i="60"/>
  <c r="Q312" i="123" l="1"/>
  <c r="Q313" i="123"/>
  <c r="Q314" i="123"/>
  <c r="Q316" i="123"/>
  <c r="Q317" i="123"/>
  <c r="Q318" i="123"/>
  <c r="Q319" i="123"/>
  <c r="Q320" i="123"/>
  <c r="Q321" i="123"/>
  <c r="Q322" i="123"/>
  <c r="Q323" i="123"/>
  <c r="Q324" i="123"/>
  <c r="Q325" i="123"/>
  <c r="Q326" i="123"/>
  <c r="Q327" i="123"/>
  <c r="Q328" i="123"/>
  <c r="Q329" i="123"/>
  <c r="Q330" i="123"/>
  <c r="C54" i="168" l="1"/>
  <c r="L328" i="123"/>
  <c r="L317" i="123"/>
  <c r="C36" i="133" l="1"/>
  <c r="L36" i="133" l="1"/>
  <c r="K36" i="133"/>
  <c r="I36" i="133"/>
  <c r="E36" i="133"/>
  <c r="D36" i="133"/>
  <c r="N36" i="133"/>
  <c r="G36" i="133" l="1"/>
  <c r="O38" i="154" l="1"/>
  <c r="O39" i="154"/>
  <c r="O40" i="154"/>
  <c r="O44" i="154"/>
  <c r="J56" i="154"/>
  <c r="K56" i="154"/>
  <c r="L56" i="154"/>
  <c r="M56" i="154"/>
  <c r="N56" i="154"/>
  <c r="I56" i="154"/>
  <c r="O121" i="154"/>
  <c r="O122" i="154"/>
  <c r="O123" i="154"/>
  <c r="O124" i="154"/>
  <c r="O125" i="154"/>
  <c r="O36" i="154" l="1"/>
  <c r="O37" i="154"/>
  <c r="O130" i="154"/>
  <c r="T263" i="121" l="1"/>
  <c r="N340" i="123" l="1"/>
  <c r="Q340" i="123"/>
  <c r="U340" i="123"/>
  <c r="N12" i="163" l="1"/>
  <c r="M12" i="163"/>
  <c r="L12" i="163"/>
  <c r="Q38" i="156"/>
  <c r="P38" i="156"/>
  <c r="O38" i="156"/>
  <c r="N38" i="156"/>
  <c r="M38" i="156"/>
  <c r="L38" i="156"/>
  <c r="P33" i="156" l="1"/>
  <c r="L34" i="133" l="1"/>
  <c r="K34" i="133"/>
  <c r="I34" i="133"/>
  <c r="E34" i="133"/>
  <c r="D34" i="133"/>
  <c r="G201" i="120"/>
  <c r="H201" i="120" s="1"/>
  <c r="G202" i="120"/>
  <c r="H202" i="120" s="1"/>
  <c r="G203" i="120"/>
  <c r="H203" i="120" s="1"/>
  <c r="G204" i="120"/>
  <c r="H204" i="120" s="1"/>
  <c r="G205" i="120"/>
  <c r="H205" i="120" s="1"/>
  <c r="G206" i="120"/>
  <c r="H206" i="120" s="1"/>
  <c r="G207" i="120"/>
  <c r="H207" i="120" s="1"/>
  <c r="G208" i="120"/>
  <c r="H208" i="120" s="1"/>
  <c r="G209" i="120"/>
  <c r="H209" i="120" s="1"/>
  <c r="G210" i="120"/>
  <c r="H210" i="120" s="1"/>
  <c r="G211" i="120"/>
  <c r="H211" i="120" s="1"/>
  <c r="G212" i="120"/>
  <c r="H212" i="120" s="1"/>
  <c r="G213" i="120"/>
  <c r="H213" i="120" s="1"/>
  <c r="G214" i="120"/>
  <c r="H214" i="120" s="1"/>
  <c r="G215" i="120"/>
  <c r="H215" i="120" s="1"/>
  <c r="G216" i="120"/>
  <c r="H216" i="120" s="1"/>
  <c r="G217" i="120"/>
  <c r="H217" i="120" s="1"/>
  <c r="G218" i="120"/>
  <c r="H218" i="120" s="1"/>
  <c r="G219" i="120"/>
  <c r="H219" i="120" s="1"/>
  <c r="G220" i="120"/>
  <c r="H220" i="120" s="1"/>
  <c r="G221" i="120"/>
  <c r="H221" i="120" s="1"/>
  <c r="G222" i="120"/>
  <c r="H222" i="120" s="1"/>
  <c r="G223" i="120"/>
  <c r="H223" i="120" s="1"/>
  <c r="G224" i="120"/>
  <c r="H224" i="120" s="1"/>
  <c r="G225" i="120"/>
  <c r="H225" i="120" s="1"/>
  <c r="G226" i="120"/>
  <c r="H226" i="120" s="1"/>
  <c r="G227" i="120"/>
  <c r="H227" i="120" s="1"/>
  <c r="G228" i="120"/>
  <c r="H228" i="120" s="1"/>
  <c r="G229" i="120"/>
  <c r="H229" i="120" s="1"/>
  <c r="G230" i="120"/>
  <c r="H230" i="120" s="1"/>
  <c r="G231" i="120"/>
  <c r="H231" i="120" s="1"/>
  <c r="G232" i="120"/>
  <c r="H232" i="120" s="1"/>
  <c r="G233" i="120"/>
  <c r="H233" i="120" s="1"/>
  <c r="G234" i="120"/>
  <c r="H234" i="120" s="1"/>
  <c r="G235" i="120"/>
  <c r="H235" i="120" s="1"/>
  <c r="G236" i="120"/>
  <c r="H236" i="120" s="1"/>
  <c r="G237" i="120"/>
  <c r="H237" i="120" s="1"/>
  <c r="G238" i="120"/>
  <c r="H238" i="120" s="1"/>
  <c r="G239" i="120"/>
  <c r="H239" i="120" s="1"/>
  <c r="G240" i="120"/>
  <c r="H240" i="120" s="1"/>
  <c r="G241" i="120"/>
  <c r="H241" i="120" s="1"/>
  <c r="G242" i="120"/>
  <c r="H242" i="120" s="1"/>
  <c r="G243" i="120"/>
  <c r="H243" i="120" s="1"/>
  <c r="G244" i="120"/>
  <c r="H244" i="120" s="1"/>
  <c r="G245" i="120"/>
  <c r="H245" i="120" s="1"/>
  <c r="G246" i="120"/>
  <c r="H246" i="120" s="1"/>
  <c r="G247" i="120"/>
  <c r="H247" i="120" s="1"/>
  <c r="G248" i="120"/>
  <c r="H248" i="120" s="1"/>
  <c r="G249" i="120"/>
  <c r="H249" i="120" s="1"/>
  <c r="G250" i="120"/>
  <c r="H250" i="120" s="1"/>
  <c r="C34" i="133"/>
  <c r="G34" i="133"/>
  <c r="N34" i="133"/>
  <c r="Q35" i="133"/>
  <c r="O91" i="154" l="1"/>
  <c r="O92" i="154"/>
  <c r="O93" i="154"/>
  <c r="O94" i="154"/>
  <c r="O95" i="154"/>
  <c r="G69" i="169" l="1"/>
  <c r="H56" i="154" l="1"/>
  <c r="H57" i="154" s="1"/>
  <c r="G56" i="154"/>
  <c r="F56" i="154"/>
  <c r="O35" i="154"/>
  <c r="O119" i="154"/>
  <c r="O116" i="154"/>
  <c r="C244" i="168"/>
  <c r="D244" i="168"/>
  <c r="E244" i="168"/>
  <c r="F244" i="168"/>
  <c r="G244" i="168"/>
  <c r="H244" i="168"/>
  <c r="I244" i="168"/>
  <c r="J244" i="168"/>
  <c r="K244" i="168"/>
  <c r="B244" i="168"/>
  <c r="M202" i="168" l="1"/>
  <c r="N187" i="154" s="1"/>
  <c r="L202" i="168"/>
  <c r="M187" i="154" s="1"/>
  <c r="K202" i="168"/>
  <c r="L187" i="154" s="1"/>
  <c r="J202" i="168"/>
  <c r="K187" i="154" s="1"/>
  <c r="I202" i="168"/>
  <c r="J187" i="154" s="1"/>
  <c r="H202" i="168"/>
  <c r="I187" i="154" s="1"/>
  <c r="G202" i="168"/>
  <c r="H187" i="154" s="1"/>
  <c r="F202" i="168"/>
  <c r="G187" i="154" s="1"/>
  <c r="E202" i="168"/>
  <c r="F187" i="154" s="1"/>
  <c r="D202" i="168"/>
  <c r="E187" i="154" s="1"/>
  <c r="C202" i="168"/>
  <c r="D187" i="154" s="1"/>
  <c r="B202" i="168"/>
  <c r="N200" i="168"/>
  <c r="N199" i="168"/>
  <c r="N202" i="168" l="1"/>
  <c r="C187" i="154"/>
  <c r="N109" i="156"/>
  <c r="O109" i="156"/>
  <c r="P109" i="156"/>
  <c r="Q109" i="156"/>
  <c r="I109" i="156" l="1"/>
  <c r="F318" i="123" l="1"/>
  <c r="O229" i="121" l="1"/>
  <c r="N33" i="133" l="1"/>
  <c r="L33" i="133"/>
  <c r="K33" i="133"/>
  <c r="I33" i="133"/>
  <c r="E33" i="133"/>
  <c r="D33" i="133"/>
  <c r="C33" i="133"/>
  <c r="E31" i="133"/>
  <c r="D31" i="133"/>
  <c r="C31" i="133"/>
  <c r="C32" i="133" l="1"/>
  <c r="F33" i="133"/>
  <c r="I52" i="156" l="1"/>
  <c r="O73" i="156" l="1"/>
  <c r="F102" i="156" l="1"/>
  <c r="D46" i="163" s="1"/>
  <c r="G102" i="156"/>
  <c r="H102" i="156"/>
  <c r="J102" i="156"/>
  <c r="K102" i="156"/>
  <c r="L102" i="156"/>
  <c r="M102" i="156"/>
  <c r="N102" i="156"/>
  <c r="O102" i="156"/>
  <c r="P102" i="156"/>
  <c r="I73" i="156" l="1"/>
  <c r="I102" i="156" s="1"/>
  <c r="I9" i="174" l="1"/>
  <c r="J9" i="174"/>
  <c r="K9" i="174"/>
  <c r="L9" i="174"/>
  <c r="M9" i="174"/>
  <c r="N9" i="174"/>
  <c r="O9" i="174"/>
  <c r="P9" i="174"/>
  <c r="Q9" i="174"/>
  <c r="I17" i="174"/>
  <c r="J17" i="174"/>
  <c r="K17" i="174"/>
  <c r="L17" i="174"/>
  <c r="M17" i="174"/>
  <c r="N17" i="174"/>
  <c r="O17" i="174"/>
  <c r="P17" i="174"/>
  <c r="Q17" i="174"/>
  <c r="I25" i="174"/>
  <c r="J25" i="174"/>
  <c r="K25" i="174"/>
  <c r="L25" i="174"/>
  <c r="M25" i="174"/>
  <c r="N25" i="174"/>
  <c r="O25" i="174"/>
  <c r="P25" i="174"/>
  <c r="Q25" i="174"/>
  <c r="I33" i="174"/>
  <c r="J33" i="174"/>
  <c r="K33" i="174"/>
  <c r="L33" i="174"/>
  <c r="M33" i="174"/>
  <c r="N33" i="174"/>
  <c r="O33" i="174"/>
  <c r="P33" i="174"/>
  <c r="Q33" i="174"/>
  <c r="I41" i="174"/>
  <c r="J41" i="174"/>
  <c r="K41" i="174"/>
  <c r="L41" i="174"/>
  <c r="M41" i="174"/>
  <c r="N41" i="174"/>
  <c r="O41" i="174"/>
  <c r="P41" i="174"/>
  <c r="Q41" i="174"/>
  <c r="I49" i="174"/>
  <c r="J49" i="174"/>
  <c r="K49" i="174"/>
  <c r="L49" i="174"/>
  <c r="M49" i="174"/>
  <c r="N49" i="174"/>
  <c r="O49" i="174"/>
  <c r="P49" i="174"/>
  <c r="Q49" i="174"/>
  <c r="I57" i="174"/>
  <c r="J57" i="174"/>
  <c r="K57" i="174"/>
  <c r="L57" i="174"/>
  <c r="M57" i="174"/>
  <c r="N57" i="174"/>
  <c r="O57" i="174"/>
  <c r="P57" i="174"/>
  <c r="Q57" i="174"/>
  <c r="I65" i="174"/>
  <c r="J65" i="174"/>
  <c r="K65" i="174"/>
  <c r="L65" i="174"/>
  <c r="M65" i="174"/>
  <c r="N65" i="174"/>
  <c r="O65" i="174"/>
  <c r="P65" i="174"/>
  <c r="Q65" i="174"/>
  <c r="I73" i="174"/>
  <c r="J73" i="174"/>
  <c r="K73" i="174"/>
  <c r="L73" i="174"/>
  <c r="M73" i="174"/>
  <c r="N73" i="174"/>
  <c r="O73" i="174"/>
  <c r="P73" i="174"/>
  <c r="Q73" i="174"/>
  <c r="I81" i="174"/>
  <c r="J81" i="174"/>
  <c r="K81" i="174"/>
  <c r="L81" i="174"/>
  <c r="M81" i="174"/>
  <c r="N81" i="174"/>
  <c r="O81" i="174"/>
  <c r="P81" i="174"/>
  <c r="Q81" i="174"/>
  <c r="I89" i="174"/>
  <c r="J89" i="174"/>
  <c r="K89" i="174"/>
  <c r="L89" i="174"/>
  <c r="M89" i="174"/>
  <c r="N89" i="174"/>
  <c r="O89" i="174"/>
  <c r="P89" i="174"/>
  <c r="Q89" i="174"/>
  <c r="I97" i="174"/>
  <c r="J97" i="174"/>
  <c r="K97" i="174"/>
  <c r="L97" i="174"/>
  <c r="M97" i="174"/>
  <c r="N97" i="174"/>
  <c r="O97" i="174"/>
  <c r="P97" i="174"/>
  <c r="Q97" i="174"/>
  <c r="Q55" i="156"/>
  <c r="Q57" i="156" s="1"/>
  <c r="P55" i="156"/>
  <c r="P57" i="156" s="1"/>
  <c r="O55" i="156"/>
  <c r="O57" i="156" s="1"/>
  <c r="N55" i="156"/>
  <c r="N57" i="156" s="1"/>
  <c r="M55" i="156"/>
  <c r="M57" i="156" s="1"/>
  <c r="L55" i="156"/>
  <c r="L57" i="156" s="1"/>
  <c r="K55" i="156"/>
  <c r="K57" i="156" s="1"/>
  <c r="J55" i="156"/>
  <c r="J57" i="156" s="1"/>
  <c r="I55" i="156"/>
  <c r="I57" i="156" s="1"/>
  <c r="Q48" i="156"/>
  <c r="Q50" i="156" s="1"/>
  <c r="P48" i="156"/>
  <c r="P50" i="156" s="1"/>
  <c r="O48" i="156"/>
  <c r="O50" i="156" s="1"/>
  <c r="N48" i="156"/>
  <c r="N50" i="156" s="1"/>
  <c r="M48" i="156"/>
  <c r="M50" i="156" s="1"/>
  <c r="L48" i="156"/>
  <c r="L50" i="156" s="1"/>
  <c r="K48" i="156"/>
  <c r="K50" i="156" s="1"/>
  <c r="J48" i="156"/>
  <c r="J50" i="156" s="1"/>
  <c r="I48" i="156"/>
  <c r="I50" i="156" s="1"/>
  <c r="Q41" i="156"/>
  <c r="Q43" i="156" s="1"/>
  <c r="P41" i="156"/>
  <c r="P43" i="156" s="1"/>
  <c r="O41" i="156"/>
  <c r="O43" i="156" s="1"/>
  <c r="N41" i="156"/>
  <c r="N43" i="156" s="1"/>
  <c r="M41" i="156"/>
  <c r="M43" i="156" s="1"/>
  <c r="L41" i="156"/>
  <c r="L43" i="156" s="1"/>
  <c r="K41" i="156"/>
  <c r="K43" i="156" s="1"/>
  <c r="J41" i="156"/>
  <c r="J43" i="156" s="1"/>
  <c r="I41" i="156"/>
  <c r="I43" i="156" s="1"/>
  <c r="Q34" i="156"/>
  <c r="Q36" i="156" s="1"/>
  <c r="P34" i="156"/>
  <c r="P36" i="156" s="1"/>
  <c r="O34" i="156"/>
  <c r="O36" i="156" s="1"/>
  <c r="N34" i="156"/>
  <c r="N36" i="156" s="1"/>
  <c r="M34" i="156"/>
  <c r="M36" i="156" s="1"/>
  <c r="L34" i="156"/>
  <c r="L36" i="156" s="1"/>
  <c r="K34" i="156"/>
  <c r="K36" i="156" s="1"/>
  <c r="J34" i="156"/>
  <c r="J36" i="156" s="1"/>
  <c r="I34" i="156"/>
  <c r="I36" i="156" s="1"/>
  <c r="Q27" i="156"/>
  <c r="Q29" i="156" s="1"/>
  <c r="P27" i="156"/>
  <c r="P29" i="156" s="1"/>
  <c r="O27" i="156"/>
  <c r="O29" i="156" s="1"/>
  <c r="N27" i="156"/>
  <c r="N29" i="156" s="1"/>
  <c r="M27" i="156"/>
  <c r="M29" i="156" s="1"/>
  <c r="L27" i="156"/>
  <c r="L29" i="156" s="1"/>
  <c r="K27" i="156"/>
  <c r="K29" i="156" s="1"/>
  <c r="J27" i="156"/>
  <c r="J29" i="156" s="1"/>
  <c r="I27" i="156"/>
  <c r="I29" i="156" s="1"/>
  <c r="Q20" i="156"/>
  <c r="Q22" i="156" s="1"/>
  <c r="P20" i="156"/>
  <c r="P22" i="156" s="1"/>
  <c r="O20" i="156"/>
  <c r="O22" i="156" s="1"/>
  <c r="N20" i="156"/>
  <c r="N22" i="156" s="1"/>
  <c r="M20" i="156"/>
  <c r="M22" i="156" s="1"/>
  <c r="L20" i="156"/>
  <c r="L22" i="156" s="1"/>
  <c r="K20" i="156"/>
  <c r="K22" i="156" s="1"/>
  <c r="J20" i="156"/>
  <c r="J22" i="156" s="1"/>
  <c r="I20" i="156"/>
  <c r="I22" i="156" s="1"/>
  <c r="Q13" i="156"/>
  <c r="Q15" i="156" s="1"/>
  <c r="P13" i="156"/>
  <c r="P15" i="156" s="1"/>
  <c r="O13" i="156"/>
  <c r="O15" i="156" s="1"/>
  <c r="N13" i="156"/>
  <c r="N15" i="156" s="1"/>
  <c r="M13" i="156"/>
  <c r="M15" i="156" s="1"/>
  <c r="L13" i="156"/>
  <c r="L15" i="156" s="1"/>
  <c r="K13" i="156"/>
  <c r="K15" i="156" s="1"/>
  <c r="J13" i="156"/>
  <c r="J15" i="156" s="1"/>
  <c r="I13" i="156"/>
  <c r="I15" i="156" s="1"/>
  <c r="G233" i="174" l="1"/>
  <c r="Q100" i="156"/>
  <c r="Q102" i="156" s="1"/>
  <c r="K246" i="174"/>
  <c r="J246" i="174"/>
  <c r="K245" i="174"/>
  <c r="J245" i="174"/>
  <c r="G209" i="174"/>
  <c r="F92" i="176"/>
  <c r="F124" i="176"/>
  <c r="K150" i="176"/>
  <c r="J150" i="176"/>
  <c r="M149" i="176"/>
  <c r="K149" i="176"/>
  <c r="J149" i="176"/>
  <c r="K146" i="176"/>
  <c r="J146" i="176"/>
  <c r="M145" i="176"/>
  <c r="K145" i="176"/>
  <c r="J145" i="176"/>
  <c r="K144" i="176"/>
  <c r="J144" i="176"/>
  <c r="M143" i="176"/>
  <c r="K143" i="176"/>
  <c r="J143" i="176"/>
  <c r="K142" i="176"/>
  <c r="J142" i="176"/>
  <c r="M141" i="176"/>
  <c r="K141" i="176"/>
  <c r="J141" i="176"/>
  <c r="K138" i="176"/>
  <c r="J138" i="176"/>
  <c r="M137" i="176"/>
  <c r="K137" i="176"/>
  <c r="J137" i="176"/>
  <c r="K136" i="176"/>
  <c r="J136" i="176"/>
  <c r="M135" i="176"/>
  <c r="K135" i="176"/>
  <c r="J135" i="176"/>
  <c r="K134" i="176"/>
  <c r="J134" i="176"/>
  <c r="M133" i="176"/>
  <c r="K133" i="176"/>
  <c r="J133" i="176"/>
  <c r="K132" i="176"/>
  <c r="J132" i="176"/>
  <c r="M131" i="176"/>
  <c r="K131" i="176"/>
  <c r="J131" i="176"/>
  <c r="K130" i="176"/>
  <c r="J130" i="176"/>
  <c r="M129" i="176"/>
  <c r="K129" i="176"/>
  <c r="J129" i="176"/>
  <c r="K128" i="176"/>
  <c r="J128" i="176"/>
  <c r="M127" i="176"/>
  <c r="K127" i="176"/>
  <c r="J127" i="176"/>
  <c r="K126" i="176"/>
  <c r="J126" i="176"/>
  <c r="M125" i="176"/>
  <c r="K125" i="176"/>
  <c r="J125" i="176"/>
  <c r="K229" i="168"/>
  <c r="I229" i="168"/>
  <c r="F229" i="168"/>
  <c r="G229" i="168"/>
  <c r="E229" i="168"/>
  <c r="C229" i="168"/>
  <c r="D229" i="168"/>
  <c r="H229" i="168"/>
  <c r="J229" i="168"/>
  <c r="K139" i="176" l="1"/>
  <c r="J139" i="176"/>
  <c r="K140" i="176"/>
  <c r="J140" i="176"/>
  <c r="G231" i="174" l="1"/>
  <c r="G125" i="176" s="1"/>
  <c r="H231" i="174"/>
  <c r="H125" i="176" s="1"/>
  <c r="I231" i="174"/>
  <c r="I125" i="176" s="1"/>
  <c r="G127" i="176"/>
  <c r="H233" i="174"/>
  <c r="H127" i="176" s="1"/>
  <c r="I233" i="174"/>
  <c r="I127" i="176" s="1"/>
  <c r="G235" i="174"/>
  <c r="G129" i="176" s="1"/>
  <c r="H235" i="174"/>
  <c r="H129" i="176" s="1"/>
  <c r="I235" i="174"/>
  <c r="I129" i="176" s="1"/>
  <c r="G237" i="174"/>
  <c r="G131" i="176" s="1"/>
  <c r="H237" i="174"/>
  <c r="H131" i="176" s="1"/>
  <c r="I237" i="174"/>
  <c r="I131" i="176" s="1"/>
  <c r="G239" i="174"/>
  <c r="G133" i="176" s="1"/>
  <c r="H239" i="174"/>
  <c r="H133" i="176" s="1"/>
  <c r="I239" i="174"/>
  <c r="I133" i="176" s="1"/>
  <c r="G241" i="174"/>
  <c r="H241" i="174"/>
  <c r="I241" i="174"/>
  <c r="G243" i="174"/>
  <c r="G137" i="176" s="1"/>
  <c r="H243" i="174"/>
  <c r="H137" i="176" s="1"/>
  <c r="I243" i="174"/>
  <c r="I137" i="176" s="1"/>
  <c r="F243" i="174"/>
  <c r="F137" i="176" s="1"/>
  <c r="F241" i="174"/>
  <c r="F239" i="174"/>
  <c r="F133" i="176" s="1"/>
  <c r="F237" i="174"/>
  <c r="F131" i="176" s="1"/>
  <c r="F235" i="174"/>
  <c r="F129" i="176" s="1"/>
  <c r="F233" i="174"/>
  <c r="F127" i="176" s="1"/>
  <c r="F231" i="174"/>
  <c r="F125" i="176" s="1"/>
  <c r="K199" i="174"/>
  <c r="K201" i="174"/>
  <c r="K95" i="176" s="1"/>
  <c r="K203" i="174"/>
  <c r="K205" i="174"/>
  <c r="K99" i="176" s="1"/>
  <c r="K207" i="174"/>
  <c r="K101" i="176" s="1"/>
  <c r="K209" i="174"/>
  <c r="K103" i="176" s="1"/>
  <c r="K211" i="174"/>
  <c r="G230" i="174"/>
  <c r="M93" i="176"/>
  <c r="M95" i="176"/>
  <c r="M97" i="176"/>
  <c r="M99" i="176"/>
  <c r="M101" i="176"/>
  <c r="M103" i="176"/>
  <c r="M105" i="176"/>
  <c r="M109" i="176"/>
  <c r="M111" i="176"/>
  <c r="M113" i="176"/>
  <c r="M117" i="176"/>
  <c r="K93" i="176"/>
  <c r="K97" i="176"/>
  <c r="K105" i="176"/>
  <c r="B4" i="176"/>
  <c r="B3" i="176"/>
  <c r="B71" i="176"/>
  <c r="B70" i="176"/>
  <c r="B69" i="176"/>
  <c r="B66" i="176"/>
  <c r="B65" i="176"/>
  <c r="B64" i="176"/>
  <c r="B61" i="176"/>
  <c r="B60" i="176"/>
  <c r="B59" i="176"/>
  <c r="B56" i="176"/>
  <c r="B55" i="176"/>
  <c r="B54" i="176"/>
  <c r="B51" i="176"/>
  <c r="B50" i="176"/>
  <c r="B49" i="176"/>
  <c r="B46" i="176"/>
  <c r="B45" i="176"/>
  <c r="B44" i="176"/>
  <c r="B41" i="176"/>
  <c r="B40" i="176"/>
  <c r="B39" i="176"/>
  <c r="B36" i="176"/>
  <c r="B35" i="176"/>
  <c r="B34" i="176"/>
  <c r="B31" i="176"/>
  <c r="B30" i="176"/>
  <c r="B29" i="176"/>
  <c r="B26" i="176"/>
  <c r="B25" i="176"/>
  <c r="B24" i="176"/>
  <c r="B21" i="176"/>
  <c r="B20" i="176"/>
  <c r="B19" i="176"/>
  <c r="B16" i="176"/>
  <c r="B15" i="176"/>
  <c r="B14" i="176"/>
  <c r="B11" i="176"/>
  <c r="B10" i="176"/>
  <c r="B9" i="176"/>
  <c r="F2" i="176"/>
  <c r="C1" i="176" s="1"/>
  <c r="K107" i="176" l="1"/>
  <c r="F245" i="174"/>
  <c r="F135" i="176"/>
  <c r="F139" i="176" s="1"/>
  <c r="I135" i="176"/>
  <c r="I139" i="176" s="1"/>
  <c r="I245" i="174"/>
  <c r="G135" i="176"/>
  <c r="G139" i="176" s="1"/>
  <c r="G245" i="174"/>
  <c r="H135" i="176"/>
  <c r="H139" i="176" s="1"/>
  <c r="H245" i="174"/>
  <c r="K213" i="174"/>
  <c r="H230" i="174"/>
  <c r="G124" i="176"/>
  <c r="G2" i="176"/>
  <c r="M269" i="168"/>
  <c r="M270" i="168" s="1"/>
  <c r="Q90" i="156"/>
  <c r="Q92" i="156" s="1"/>
  <c r="P90" i="156"/>
  <c r="P92" i="156" s="1"/>
  <c r="O90" i="156"/>
  <c r="O92" i="156" s="1"/>
  <c r="N90" i="156"/>
  <c r="N92" i="156" s="1"/>
  <c r="M90" i="156"/>
  <c r="M92" i="156" s="1"/>
  <c r="L90" i="156"/>
  <c r="L92" i="156" s="1"/>
  <c r="K90" i="156"/>
  <c r="K92" i="156" s="1"/>
  <c r="J90" i="156"/>
  <c r="J92" i="156" s="1"/>
  <c r="I90" i="156"/>
  <c r="I92" i="156" s="1"/>
  <c r="Q83" i="156"/>
  <c r="Q85" i="156" s="1"/>
  <c r="I253" i="174" s="1"/>
  <c r="I147" i="176" s="1"/>
  <c r="P83" i="156"/>
  <c r="P85" i="156" s="1"/>
  <c r="H253" i="174" s="1"/>
  <c r="H147" i="176" s="1"/>
  <c r="O83" i="156"/>
  <c r="O85" i="156" s="1"/>
  <c r="G253" i="174" s="1"/>
  <c r="G147" i="176" s="1"/>
  <c r="N83" i="156"/>
  <c r="N85" i="156" s="1"/>
  <c r="F253" i="174" s="1"/>
  <c r="F147" i="176" s="1"/>
  <c r="M83" i="156"/>
  <c r="M85" i="156" s="1"/>
  <c r="K221" i="174" s="1"/>
  <c r="K115" i="176" s="1"/>
  <c r="L83" i="156"/>
  <c r="L85" i="156" s="1"/>
  <c r="J221" i="174" s="1"/>
  <c r="J115" i="176" s="1"/>
  <c r="K83" i="156"/>
  <c r="K85" i="156" s="1"/>
  <c r="I221" i="174" s="1"/>
  <c r="I115" i="176" s="1"/>
  <c r="J83" i="156"/>
  <c r="J85" i="156" s="1"/>
  <c r="H221" i="174" s="1"/>
  <c r="H115" i="176" s="1"/>
  <c r="I83" i="156"/>
  <c r="I85" i="156" s="1"/>
  <c r="G221" i="174" s="1"/>
  <c r="G115" i="176" s="1"/>
  <c r="Q76" i="156"/>
  <c r="Q78" i="156" s="1"/>
  <c r="P76" i="156"/>
  <c r="P78" i="156" s="1"/>
  <c r="O76" i="156"/>
  <c r="O78" i="156" s="1"/>
  <c r="N76" i="156"/>
  <c r="N78" i="156" s="1"/>
  <c r="M76" i="156"/>
  <c r="M78" i="156" s="1"/>
  <c r="L76" i="156"/>
  <c r="L78" i="156" s="1"/>
  <c r="K76" i="156"/>
  <c r="K78" i="156" s="1"/>
  <c r="J76" i="156"/>
  <c r="J78" i="156" s="1"/>
  <c r="I76" i="156"/>
  <c r="I78" i="156" s="1"/>
  <c r="Q69" i="156"/>
  <c r="Q71" i="156" s="1"/>
  <c r="P69" i="156"/>
  <c r="P71" i="156" s="1"/>
  <c r="O69" i="156"/>
  <c r="O71" i="156" s="1"/>
  <c r="N69" i="156"/>
  <c r="N71" i="156" s="1"/>
  <c r="M69" i="156"/>
  <c r="M71" i="156" s="1"/>
  <c r="L69" i="156"/>
  <c r="L71" i="156" s="1"/>
  <c r="K69" i="156"/>
  <c r="K71" i="156" s="1"/>
  <c r="J69" i="156"/>
  <c r="J71" i="156" s="1"/>
  <c r="I69" i="156"/>
  <c r="I71" i="156" s="1"/>
  <c r="Q62" i="156"/>
  <c r="Q64" i="156" s="1"/>
  <c r="P62" i="156"/>
  <c r="P64" i="156" s="1"/>
  <c r="O62" i="156"/>
  <c r="O64" i="156" s="1"/>
  <c r="N62" i="156"/>
  <c r="N64" i="156" s="1"/>
  <c r="M62" i="156"/>
  <c r="M64" i="156" s="1"/>
  <c r="L62" i="156"/>
  <c r="L64" i="156" s="1"/>
  <c r="K62" i="156"/>
  <c r="K64" i="156" s="1"/>
  <c r="J62" i="156"/>
  <c r="J64" i="156" s="1"/>
  <c r="I62" i="156"/>
  <c r="I64" i="156" s="1"/>
  <c r="G269" i="168"/>
  <c r="G270" i="168" s="1"/>
  <c r="H269" i="168"/>
  <c r="H270" i="168" s="1"/>
  <c r="I269" i="168"/>
  <c r="I270" i="168" s="1"/>
  <c r="J269" i="168"/>
  <c r="J270" i="168" s="1"/>
  <c r="K269" i="168"/>
  <c r="K270" i="168" s="1"/>
  <c r="L269" i="168"/>
  <c r="L270" i="168" s="1"/>
  <c r="N269" i="168"/>
  <c r="N270" i="168" s="1"/>
  <c r="F269" i="168"/>
  <c r="F270" i="168" s="1"/>
  <c r="G259" i="168"/>
  <c r="G260" i="168" s="1"/>
  <c r="H259" i="168"/>
  <c r="H260" i="168" s="1"/>
  <c r="I259" i="168"/>
  <c r="I260" i="168" s="1"/>
  <c r="J259" i="168"/>
  <c r="J260" i="168" s="1"/>
  <c r="K259" i="168"/>
  <c r="K260" i="168" s="1"/>
  <c r="L259" i="168"/>
  <c r="L260" i="168" s="1"/>
  <c r="M259" i="168"/>
  <c r="M260" i="168" s="1"/>
  <c r="N259" i="168"/>
  <c r="N260" i="168" s="1"/>
  <c r="F259" i="168"/>
  <c r="F260" i="168" s="1"/>
  <c r="O268" i="168"/>
  <c r="O267" i="168"/>
  <c r="O266" i="168"/>
  <c r="O265" i="168"/>
  <c r="O264" i="168"/>
  <c r="O263" i="168"/>
  <c r="O261" i="168"/>
  <c r="O258" i="168"/>
  <c r="O257" i="168"/>
  <c r="O256" i="168"/>
  <c r="O255" i="168"/>
  <c r="H247" i="174" l="1"/>
  <c r="H251" i="174"/>
  <c r="H145" i="176" s="1"/>
  <c r="H249" i="174"/>
  <c r="H143" i="176" s="1"/>
  <c r="K215" i="174"/>
  <c r="G247" i="174"/>
  <c r="I247" i="174"/>
  <c r="F249" i="174"/>
  <c r="K219" i="174"/>
  <c r="K113" i="176" s="1"/>
  <c r="G251" i="174"/>
  <c r="G145" i="176" s="1"/>
  <c r="I251" i="174"/>
  <c r="I145" i="176" s="1"/>
  <c r="F247" i="174"/>
  <c r="K217" i="174"/>
  <c r="K111" i="176" s="1"/>
  <c r="G249" i="174"/>
  <c r="G143" i="176" s="1"/>
  <c r="I249" i="174"/>
  <c r="I143" i="176" s="1"/>
  <c r="F251" i="174"/>
  <c r="F145" i="176" s="1"/>
  <c r="F143" i="176"/>
  <c r="I230" i="174"/>
  <c r="H124" i="176"/>
  <c r="H2" i="176"/>
  <c r="I141" i="176" l="1"/>
  <c r="I255" i="174"/>
  <c r="K109" i="176"/>
  <c r="K223" i="174"/>
  <c r="F141" i="176"/>
  <c r="F255" i="174"/>
  <c r="G141" i="176"/>
  <c r="G255" i="174"/>
  <c r="H141" i="176"/>
  <c r="H255" i="174"/>
  <c r="H149" i="176" s="1"/>
  <c r="I149" i="176"/>
  <c r="G149" i="176"/>
  <c r="F149" i="176"/>
  <c r="J230" i="174"/>
  <c r="I124" i="176"/>
  <c r="I2" i="176"/>
  <c r="K230" i="174" l="1"/>
  <c r="K124" i="176" s="1"/>
  <c r="J124" i="176"/>
  <c r="J2" i="176"/>
  <c r="K2" i="176" l="1"/>
  <c r="L2" i="176" l="1"/>
  <c r="M2" i="176" l="1"/>
  <c r="C233" i="168"/>
  <c r="C234" i="168" s="1"/>
  <c r="D233" i="168"/>
  <c r="D234" i="168" s="1"/>
  <c r="E233" i="168"/>
  <c r="E234" i="168" s="1"/>
  <c r="F233" i="168"/>
  <c r="F234" i="168" s="1"/>
  <c r="G233" i="168"/>
  <c r="G234" i="168" s="1"/>
  <c r="H233" i="168"/>
  <c r="H234" i="168" s="1"/>
  <c r="I233" i="168"/>
  <c r="I234" i="168" s="1"/>
  <c r="J233" i="168"/>
  <c r="J234" i="168" s="1"/>
  <c r="K233" i="168"/>
  <c r="K234" i="168" s="1"/>
  <c r="G199" i="174"/>
  <c r="G93" i="176" s="1"/>
  <c r="H199" i="174"/>
  <c r="H93" i="176" s="1"/>
  <c r="I199" i="174"/>
  <c r="I93" i="176" s="1"/>
  <c r="J93" i="176"/>
  <c r="G201" i="174"/>
  <c r="G95" i="176" s="1"/>
  <c r="H201" i="174"/>
  <c r="H95" i="176" s="1"/>
  <c r="I201" i="174"/>
  <c r="I95" i="176" s="1"/>
  <c r="J201" i="174"/>
  <c r="J95" i="176" s="1"/>
  <c r="G203" i="174"/>
  <c r="G97" i="176" s="1"/>
  <c r="H203" i="174"/>
  <c r="H97" i="176" s="1"/>
  <c r="I203" i="174"/>
  <c r="I97" i="176" s="1"/>
  <c r="J203" i="174"/>
  <c r="J97" i="176" s="1"/>
  <c r="G205" i="174"/>
  <c r="G99" i="176" s="1"/>
  <c r="H205" i="174"/>
  <c r="H99" i="176" s="1"/>
  <c r="I205" i="174"/>
  <c r="I99" i="176" s="1"/>
  <c r="J205" i="174"/>
  <c r="J99" i="176" s="1"/>
  <c r="G207" i="174"/>
  <c r="G101" i="176" s="1"/>
  <c r="H207" i="174"/>
  <c r="H101" i="176" s="1"/>
  <c r="I207" i="174"/>
  <c r="I101" i="176" s="1"/>
  <c r="J207" i="174"/>
  <c r="J101" i="176" s="1"/>
  <c r="G103" i="176"/>
  <c r="H209" i="174"/>
  <c r="I209" i="174"/>
  <c r="J209" i="174"/>
  <c r="G211" i="174"/>
  <c r="H211" i="174"/>
  <c r="H105" i="176" s="1"/>
  <c r="I211" i="174"/>
  <c r="I105" i="176" s="1"/>
  <c r="J211" i="174"/>
  <c r="J105" i="176" s="1"/>
  <c r="G215" i="174"/>
  <c r="H215" i="174"/>
  <c r="I215" i="174"/>
  <c r="J215" i="174"/>
  <c r="G217" i="174"/>
  <c r="G111" i="176" s="1"/>
  <c r="H217" i="174"/>
  <c r="I217" i="174"/>
  <c r="I111" i="176" s="1"/>
  <c r="J217" i="174"/>
  <c r="J111" i="176" s="1"/>
  <c r="G219" i="174"/>
  <c r="G113" i="176" s="1"/>
  <c r="H219" i="174"/>
  <c r="H113" i="176" s="1"/>
  <c r="I219" i="174"/>
  <c r="I113" i="176" s="1"/>
  <c r="J219" i="174"/>
  <c r="J113" i="176" s="1"/>
  <c r="G198" i="174"/>
  <c r="G101" i="156"/>
  <c r="H101" i="156"/>
  <c r="I101" i="156"/>
  <c r="J101" i="156"/>
  <c r="K101" i="156"/>
  <c r="L101" i="156"/>
  <c r="M101" i="156"/>
  <c r="N101" i="156"/>
  <c r="O101" i="156"/>
  <c r="P101" i="156"/>
  <c r="Q101" i="156"/>
  <c r="G103" i="156"/>
  <c r="H103" i="156"/>
  <c r="I103" i="156"/>
  <c r="J103" i="156"/>
  <c r="K103" i="156"/>
  <c r="L103" i="156"/>
  <c r="M103" i="156"/>
  <c r="N103" i="156"/>
  <c r="O103" i="156"/>
  <c r="P103" i="156"/>
  <c r="Q103" i="156"/>
  <c r="G104" i="156"/>
  <c r="H104" i="156"/>
  <c r="I104" i="156"/>
  <c r="J104" i="156"/>
  <c r="K104" i="156"/>
  <c r="L104" i="156"/>
  <c r="M104" i="156"/>
  <c r="N104" i="156"/>
  <c r="O104" i="156"/>
  <c r="P104" i="156"/>
  <c r="Q104" i="156"/>
  <c r="F104" i="156"/>
  <c r="F103" i="156"/>
  <c r="F101" i="156"/>
  <c r="J109" i="176" l="1"/>
  <c r="J223" i="174"/>
  <c r="J117" i="176" s="1"/>
  <c r="H109" i="176"/>
  <c r="H223" i="174"/>
  <c r="I109" i="176"/>
  <c r="I223" i="174"/>
  <c r="G109" i="176"/>
  <c r="G223" i="174"/>
  <c r="G117" i="176" s="1"/>
  <c r="J103" i="176"/>
  <c r="J107" i="176" s="1"/>
  <c r="J213" i="174"/>
  <c r="H103" i="176"/>
  <c r="H107" i="176" s="1"/>
  <c r="H213" i="174"/>
  <c r="G105" i="176"/>
  <c r="G107" i="176" s="1"/>
  <c r="G213" i="174"/>
  <c r="I103" i="176"/>
  <c r="I107" i="176" s="1"/>
  <c r="I213" i="174"/>
  <c r="H198" i="174"/>
  <c r="G92" i="176"/>
  <c r="H117" i="176"/>
  <c r="H111" i="176"/>
  <c r="N2" i="176"/>
  <c r="K117" i="176"/>
  <c r="I117" i="176"/>
  <c r="C237" i="168"/>
  <c r="C241" i="168" s="1"/>
  <c r="C242" i="168" s="1"/>
  <c r="D237" i="168"/>
  <c r="D241" i="168" s="1"/>
  <c r="D242" i="168" s="1"/>
  <c r="E237" i="168"/>
  <c r="E241" i="168" s="1"/>
  <c r="E242" i="168" s="1"/>
  <c r="F237" i="168"/>
  <c r="F241" i="168" s="1"/>
  <c r="F242" i="168" s="1"/>
  <c r="G237" i="168"/>
  <c r="G241" i="168" s="1"/>
  <c r="G242" i="168" s="1"/>
  <c r="H237" i="168"/>
  <c r="H241" i="168" s="1"/>
  <c r="H242" i="168" s="1"/>
  <c r="I237" i="168"/>
  <c r="I241" i="168" s="1"/>
  <c r="I242" i="168" s="1"/>
  <c r="J237" i="168"/>
  <c r="J241" i="168" s="1"/>
  <c r="J242" i="168" s="1"/>
  <c r="K237" i="168"/>
  <c r="K241" i="168" s="1"/>
  <c r="K242" i="168" s="1"/>
  <c r="B237" i="168"/>
  <c r="B241" i="168" s="1"/>
  <c r="B242" i="168" s="1"/>
  <c r="B229" i="168"/>
  <c r="B233" i="168" s="1"/>
  <c r="B234" i="168" s="1"/>
  <c r="I198" i="174" l="1"/>
  <c r="H92" i="176"/>
  <c r="O2" i="176"/>
  <c r="U325" i="123"/>
  <c r="U326" i="123"/>
  <c r="U327" i="123"/>
  <c r="U328" i="123"/>
  <c r="U329" i="123"/>
  <c r="U330" i="123"/>
  <c r="U331" i="123"/>
  <c r="Q331" i="123"/>
  <c r="Q332" i="123"/>
  <c r="N325" i="123"/>
  <c r="N326" i="123"/>
  <c r="N327" i="123"/>
  <c r="N328" i="123"/>
  <c r="N329" i="123"/>
  <c r="N330" i="123"/>
  <c r="N331" i="123"/>
  <c r="N332" i="123"/>
  <c r="K323" i="123"/>
  <c r="K324" i="123"/>
  <c r="K325" i="123"/>
  <c r="K326" i="123"/>
  <c r="K327" i="123"/>
  <c r="K328" i="123"/>
  <c r="K329" i="123"/>
  <c r="K330" i="123"/>
  <c r="K331" i="123"/>
  <c r="K332" i="123"/>
  <c r="K333" i="123"/>
  <c r="K334" i="123"/>
  <c r="K335" i="123"/>
  <c r="B327" i="123"/>
  <c r="B328" i="123"/>
  <c r="B329" i="123"/>
  <c r="B330" i="123"/>
  <c r="B331" i="123"/>
  <c r="B332" i="123"/>
  <c r="D330" i="123"/>
  <c r="D328" i="123"/>
  <c r="D332" i="123"/>
  <c r="D327" i="123"/>
  <c r="D329" i="123"/>
  <c r="D331" i="123"/>
  <c r="J198" i="174" l="1"/>
  <c r="I92" i="176"/>
  <c r="P2" i="176"/>
  <c r="W106" i="156"/>
  <c r="K198" i="174" l="1"/>
  <c r="K92" i="176" s="1"/>
  <c r="J92" i="176"/>
  <c r="Q2" i="176"/>
  <c r="G9" i="174"/>
  <c r="H9" i="174"/>
  <c r="G17" i="174"/>
  <c r="H17" i="174"/>
  <c r="G25" i="174"/>
  <c r="H25" i="174"/>
  <c r="G33" i="174"/>
  <c r="H33" i="174"/>
  <c r="G41" i="174"/>
  <c r="H41" i="174"/>
  <c r="G49" i="174"/>
  <c r="H49" i="174"/>
  <c r="G57" i="174"/>
  <c r="H57" i="174"/>
  <c r="G65" i="174"/>
  <c r="H65" i="174"/>
  <c r="G73" i="174"/>
  <c r="H73" i="174"/>
  <c r="G81" i="174"/>
  <c r="H81" i="174"/>
  <c r="G89" i="174"/>
  <c r="H89" i="174"/>
  <c r="G97" i="174"/>
  <c r="H97" i="174"/>
  <c r="B118" i="174"/>
  <c r="B116" i="174"/>
  <c r="F17" i="174" l="1"/>
  <c r="T17" i="174" s="1"/>
  <c r="F25" i="174"/>
  <c r="T25" i="174" s="1"/>
  <c r="F33" i="174"/>
  <c r="T33" i="174" s="1"/>
  <c r="F41" i="174"/>
  <c r="T41" i="174" s="1"/>
  <c r="F49" i="174"/>
  <c r="T49" i="174" s="1"/>
  <c r="F57" i="174"/>
  <c r="T57" i="174" s="1"/>
  <c r="F65" i="174"/>
  <c r="T65" i="174" s="1"/>
  <c r="F73" i="174"/>
  <c r="T73" i="174" s="1"/>
  <c r="F81" i="174"/>
  <c r="T81" i="174" s="1"/>
  <c r="F89" i="174"/>
  <c r="T89" i="174" s="1"/>
  <c r="F97" i="174"/>
  <c r="T97" i="174" s="1"/>
  <c r="F9" i="174"/>
  <c r="W98" i="156"/>
  <c r="W91" i="156"/>
  <c r="W84" i="156"/>
  <c r="W77" i="156"/>
  <c r="W70" i="156"/>
  <c r="W63" i="156"/>
  <c r="W56" i="156"/>
  <c r="W58" i="156"/>
  <c r="W59" i="156"/>
  <c r="W49" i="156"/>
  <c r="W51" i="156"/>
  <c r="W52" i="156"/>
  <c r="W42" i="156"/>
  <c r="W35" i="156"/>
  <c r="W28" i="156"/>
  <c r="W21" i="156"/>
  <c r="W14" i="156"/>
  <c r="B91" i="174"/>
  <c r="B92" i="174"/>
  <c r="B93" i="174"/>
  <c r="B11" i="174"/>
  <c r="B12" i="174"/>
  <c r="B13" i="174"/>
  <c r="B19" i="174"/>
  <c r="B20" i="174"/>
  <c r="B21" i="174"/>
  <c r="B27" i="174"/>
  <c r="B28" i="174"/>
  <c r="B29" i="174"/>
  <c r="B35" i="174"/>
  <c r="B36" i="174"/>
  <c r="B37" i="174"/>
  <c r="B43" i="174"/>
  <c r="B44" i="174"/>
  <c r="B45" i="174"/>
  <c r="B51" i="174"/>
  <c r="B52" i="174"/>
  <c r="B53" i="174"/>
  <c r="B59" i="174"/>
  <c r="B60" i="174"/>
  <c r="B61" i="174"/>
  <c r="B67" i="174"/>
  <c r="B68" i="174"/>
  <c r="B69" i="174"/>
  <c r="B75" i="174"/>
  <c r="B76" i="174"/>
  <c r="B77" i="174"/>
  <c r="B83" i="174"/>
  <c r="B84" i="174"/>
  <c r="B85" i="174"/>
  <c r="B99" i="174"/>
  <c r="B100" i="174"/>
  <c r="B101" i="174"/>
  <c r="B4" i="174"/>
  <c r="B5" i="174"/>
  <c r="B3" i="174"/>
  <c r="T9" i="174" l="1"/>
  <c r="F2" i="174"/>
  <c r="F15" i="174"/>
  <c r="F31" i="174"/>
  <c r="F87" i="174"/>
  <c r="F55" i="174"/>
  <c r="F117" i="174"/>
  <c r="G2" i="174" l="1"/>
  <c r="C1" i="174"/>
  <c r="G55" i="174"/>
  <c r="F7" i="174"/>
  <c r="G39" i="174"/>
  <c r="F23" i="174"/>
  <c r="G95" i="174"/>
  <c r="G23" i="174"/>
  <c r="G87" i="174"/>
  <c r="F39" i="174"/>
  <c r="F79" i="174"/>
  <c r="F71" i="174"/>
  <c r="F103" i="174"/>
  <c r="F63" i="174"/>
  <c r="F47" i="174"/>
  <c r="F95" i="174"/>
  <c r="G31" i="174"/>
  <c r="G79" i="174"/>
  <c r="G63" i="174"/>
  <c r="H2" i="174" l="1"/>
  <c r="G15" i="174"/>
  <c r="G103" i="174"/>
  <c r="G71" i="174"/>
  <c r="G47" i="174"/>
  <c r="H71" i="174"/>
  <c r="G7" i="174"/>
  <c r="G117" i="174"/>
  <c r="I2" i="174" l="1"/>
  <c r="B146" i="169"/>
  <c r="B122" i="169"/>
  <c r="I95" i="174"/>
  <c r="H63" i="174"/>
  <c r="I15" i="174"/>
  <c r="I79" i="174"/>
  <c r="H95" i="174"/>
  <c r="I71" i="174"/>
  <c r="I39" i="174"/>
  <c r="H117" i="174"/>
  <c r="H55" i="174"/>
  <c r="H47" i="174"/>
  <c r="I87" i="174"/>
  <c r="I103" i="174"/>
  <c r="H103" i="174"/>
  <c r="H23" i="174"/>
  <c r="I63" i="174"/>
  <c r="H87" i="174"/>
  <c r="H31" i="174"/>
  <c r="H15" i="174"/>
  <c r="H79" i="174"/>
  <c r="H39" i="174"/>
  <c r="H7" i="174"/>
  <c r="J2" i="174" l="1"/>
  <c r="R95" i="151"/>
  <c r="N95" i="151" s="1"/>
  <c r="R33" i="151"/>
  <c r="N33" i="151" s="1"/>
  <c r="J47" i="174"/>
  <c r="J23" i="174"/>
  <c r="J55" i="174"/>
  <c r="I31" i="174"/>
  <c r="J117" i="174"/>
  <c r="J15" i="174"/>
  <c r="J95" i="174"/>
  <c r="J79" i="174"/>
  <c r="J63" i="174"/>
  <c r="J87" i="174"/>
  <c r="I47" i="174"/>
  <c r="I7" i="174"/>
  <c r="I23" i="174"/>
  <c r="I55" i="174"/>
  <c r="I117" i="174"/>
  <c r="J103" i="174"/>
  <c r="J71" i="174"/>
  <c r="J31" i="174"/>
  <c r="J7" i="174"/>
  <c r="J39" i="174"/>
  <c r="K2" i="174" l="1"/>
  <c r="K55" i="174"/>
  <c r="K71" i="174"/>
  <c r="K23" i="174"/>
  <c r="K95" i="174"/>
  <c r="K7" i="174"/>
  <c r="K15" i="174"/>
  <c r="K103" i="174"/>
  <c r="L2" i="174" l="1"/>
  <c r="L15" i="174"/>
  <c r="L23" i="174"/>
  <c r="L31" i="174"/>
  <c r="L95" i="174"/>
  <c r="L63" i="174"/>
  <c r="K87" i="174"/>
  <c r="L103" i="174"/>
  <c r="K31" i="174"/>
  <c r="L7" i="174"/>
  <c r="L55" i="174"/>
  <c r="K79" i="174"/>
  <c r="K39" i="174"/>
  <c r="K47" i="174"/>
  <c r="K63" i="174"/>
  <c r="K117" i="174"/>
  <c r="M2" i="174" l="1"/>
  <c r="M103" i="174"/>
  <c r="L71" i="174"/>
  <c r="L39" i="174"/>
  <c r="L87" i="174"/>
  <c r="L79" i="174"/>
  <c r="L47" i="174"/>
  <c r="M7" i="174"/>
  <c r="M39" i="174"/>
  <c r="M47" i="174"/>
  <c r="M15" i="174"/>
  <c r="M31" i="174"/>
  <c r="M23" i="174"/>
  <c r="M79" i="174"/>
  <c r="L117" i="174"/>
  <c r="M87" i="174"/>
  <c r="N2" i="174" l="1"/>
  <c r="M117" i="174"/>
  <c r="M95" i="174"/>
  <c r="M63" i="174"/>
  <c r="N63" i="174"/>
  <c r="N79" i="174"/>
  <c r="N87" i="174"/>
  <c r="M71" i="174"/>
  <c r="N103" i="174"/>
  <c r="M55" i="174"/>
  <c r="N47" i="174"/>
  <c r="N39" i="174"/>
  <c r="N71" i="174"/>
  <c r="O2" i="174" l="1"/>
  <c r="P17" i="169"/>
  <c r="O95" i="174"/>
  <c r="O71" i="174"/>
  <c r="O55" i="174"/>
  <c r="O39" i="174"/>
  <c r="O23" i="174"/>
  <c r="O7" i="174"/>
  <c r="N117" i="174"/>
  <c r="O63" i="174"/>
  <c r="O31" i="174"/>
  <c r="N7" i="174"/>
  <c r="O117" i="174"/>
  <c r="N15" i="174"/>
  <c r="N55" i="174"/>
  <c r="O79" i="174"/>
  <c r="O47" i="174"/>
  <c r="O87" i="174"/>
  <c r="O15" i="174"/>
  <c r="N23" i="174"/>
  <c r="O103" i="174"/>
  <c r="N95" i="174"/>
  <c r="N31" i="174"/>
  <c r="P2" i="174" l="1"/>
  <c r="Q17" i="169"/>
  <c r="P117" i="174"/>
  <c r="P7" i="174"/>
  <c r="P87" i="174"/>
  <c r="P79" i="174"/>
  <c r="P63" i="174"/>
  <c r="P23" i="174"/>
  <c r="P103" i="174"/>
  <c r="P39" i="174"/>
  <c r="Q2" i="174" l="1"/>
  <c r="Q55" i="174"/>
  <c r="Q71" i="174"/>
  <c r="Q95" i="174"/>
  <c r="Q103" i="174"/>
  <c r="Q15" i="174"/>
  <c r="P55" i="174"/>
  <c r="Q7" i="174"/>
  <c r="P95" i="174"/>
  <c r="Q79" i="174"/>
  <c r="Q117" i="174"/>
  <c r="Q23" i="174"/>
  <c r="Q39" i="174"/>
  <c r="Q31" i="174"/>
  <c r="P15" i="174"/>
  <c r="P71" i="174"/>
  <c r="Q87" i="174"/>
  <c r="P31" i="174"/>
  <c r="Q47" i="174"/>
  <c r="Q63" i="174"/>
  <c r="P47" i="174"/>
  <c r="T117" i="174" l="1"/>
  <c r="C1" i="171"/>
  <c r="C127" i="168" l="1"/>
  <c r="N127" i="168"/>
  <c r="N128" i="168" s="1"/>
  <c r="N131" i="168"/>
  <c r="N132" i="168"/>
  <c r="N135" i="168"/>
  <c r="N136" i="168"/>
  <c r="D127" i="168"/>
  <c r="D131" i="168"/>
  <c r="D135" i="168"/>
  <c r="E127" i="168"/>
  <c r="E56" i="154"/>
  <c r="C60" i="168" l="1"/>
  <c r="AR106" i="142" l="1"/>
  <c r="AQ106" i="142"/>
  <c r="AP106" i="142"/>
  <c r="AO106" i="142"/>
  <c r="AN106" i="142"/>
  <c r="AM106" i="142"/>
  <c r="AL106" i="142"/>
  <c r="AK106" i="142"/>
  <c r="AJ106" i="142"/>
  <c r="AI106" i="142"/>
  <c r="AH106" i="142"/>
  <c r="AG106" i="142"/>
  <c r="AF106" i="142"/>
  <c r="AE106" i="142"/>
  <c r="AD106" i="142"/>
  <c r="AC106" i="142"/>
  <c r="AB106" i="142"/>
  <c r="AA106" i="142"/>
  <c r="Z106" i="142"/>
  <c r="R35" i="151" s="1"/>
  <c r="R37" i="151" s="1"/>
  <c r="Y106" i="142"/>
  <c r="X106" i="142"/>
  <c r="W106" i="142"/>
  <c r="V106" i="142"/>
  <c r="U106" i="142"/>
  <c r="T106" i="142"/>
  <c r="AR103" i="142"/>
  <c r="AQ103" i="142"/>
  <c r="AP103" i="142"/>
  <c r="AO103" i="142"/>
  <c r="AN103" i="142"/>
  <c r="AM103" i="142"/>
  <c r="AL103" i="142"/>
  <c r="AK103" i="142"/>
  <c r="AJ103" i="142"/>
  <c r="AI103" i="142"/>
  <c r="AH103" i="142"/>
  <c r="AG103" i="142"/>
  <c r="AF103" i="142"/>
  <c r="AE103" i="142"/>
  <c r="AD103" i="142"/>
  <c r="AC103" i="142"/>
  <c r="AB103" i="142"/>
  <c r="AA103" i="142"/>
  <c r="Z103" i="142"/>
  <c r="Y103" i="142"/>
  <c r="X103" i="142"/>
  <c r="W103" i="142"/>
  <c r="V103" i="142"/>
  <c r="U103" i="142"/>
  <c r="T103" i="142"/>
  <c r="AR100" i="142"/>
  <c r="AQ100" i="142"/>
  <c r="AP100" i="142"/>
  <c r="AO100" i="142"/>
  <c r="AN100" i="142"/>
  <c r="AM100" i="142"/>
  <c r="AL100" i="142"/>
  <c r="AK100" i="142"/>
  <c r="AJ100" i="142"/>
  <c r="AI100" i="142"/>
  <c r="AH100" i="142"/>
  <c r="AG100" i="142"/>
  <c r="AF100" i="142"/>
  <c r="AE100" i="142"/>
  <c r="AD100" i="142"/>
  <c r="AC100" i="142"/>
  <c r="AB100" i="142"/>
  <c r="AA100" i="142"/>
  <c r="Z100" i="142"/>
  <c r="Y100" i="142"/>
  <c r="X100" i="142"/>
  <c r="W100" i="142"/>
  <c r="V100" i="142"/>
  <c r="U100" i="142"/>
  <c r="T100" i="142"/>
  <c r="D97" i="142"/>
  <c r="E97" i="142" s="1"/>
  <c r="F97" i="142" s="1"/>
  <c r="G97" i="142" s="1"/>
  <c r="H97" i="142" s="1"/>
  <c r="I97" i="142" s="1"/>
  <c r="J97" i="142" s="1"/>
  <c r="K97" i="142" s="1"/>
  <c r="L97" i="142" s="1"/>
  <c r="M97" i="142" s="1"/>
  <c r="N97" i="142" s="1"/>
  <c r="O97" i="142" s="1"/>
  <c r="P97" i="142" s="1"/>
  <c r="Q97" i="142" s="1"/>
  <c r="R97" i="142" s="1"/>
  <c r="S97" i="142" s="1"/>
  <c r="T97" i="142" s="1"/>
  <c r="D121" i="142"/>
  <c r="E121" i="142" s="1"/>
  <c r="F121" i="142" s="1"/>
  <c r="G121" i="142" s="1"/>
  <c r="H121" i="142" s="1"/>
  <c r="I121" i="142" s="1"/>
  <c r="J121" i="142" s="1"/>
  <c r="K121" i="142" s="1"/>
  <c r="L121" i="142" s="1"/>
  <c r="M121" i="142" s="1"/>
  <c r="N121" i="142" s="1"/>
  <c r="O121" i="142" s="1"/>
  <c r="P121" i="142" s="1"/>
  <c r="Q121" i="142" s="1"/>
  <c r="R121" i="142" s="1"/>
  <c r="S121" i="142" s="1"/>
  <c r="T121" i="142" s="1"/>
  <c r="U121" i="142" s="1"/>
  <c r="V121" i="142" s="1"/>
  <c r="W121" i="142" s="1"/>
  <c r="X121" i="142" s="1"/>
  <c r="Y121" i="142" s="1"/>
  <c r="Z121" i="142" s="1"/>
  <c r="AA121" i="142" s="1"/>
  <c r="AB121" i="142" s="1"/>
  <c r="AC121" i="142" s="1"/>
  <c r="AD121" i="142" s="1"/>
  <c r="AE121" i="142" s="1"/>
  <c r="AF121" i="142" s="1"/>
  <c r="AG121" i="142" s="1"/>
  <c r="AH121" i="142" s="1"/>
  <c r="AI121" i="142" s="1"/>
  <c r="AJ121" i="142" s="1"/>
  <c r="AK121" i="142" s="1"/>
  <c r="AL121" i="142" s="1"/>
  <c r="AM121" i="142" s="1"/>
  <c r="AN121" i="142" s="1"/>
  <c r="AO121" i="142" s="1"/>
  <c r="AP121" i="142" s="1"/>
  <c r="AQ121" i="142" s="1"/>
  <c r="AR121" i="142" s="1"/>
  <c r="C124" i="142"/>
  <c r="D124" i="142"/>
  <c r="E124" i="142"/>
  <c r="F124" i="142"/>
  <c r="G124" i="142"/>
  <c r="H124" i="142"/>
  <c r="I124" i="142"/>
  <c r="J124" i="142"/>
  <c r="K124" i="142"/>
  <c r="L124" i="142"/>
  <c r="M124" i="142"/>
  <c r="N124" i="142"/>
  <c r="O124" i="142"/>
  <c r="P124" i="142"/>
  <c r="Q124" i="142"/>
  <c r="R124" i="142"/>
  <c r="S124" i="142"/>
  <c r="T124" i="142"/>
  <c r="U124" i="142"/>
  <c r="V124" i="142"/>
  <c r="W124" i="142"/>
  <c r="X124" i="142"/>
  <c r="Y124" i="142"/>
  <c r="Z124" i="142"/>
  <c r="AA124" i="142"/>
  <c r="AB124" i="142"/>
  <c r="AC124" i="142"/>
  <c r="AD124" i="142"/>
  <c r="AE124" i="142"/>
  <c r="AF124" i="142"/>
  <c r="AG124" i="142"/>
  <c r="AH124" i="142"/>
  <c r="AI124" i="142"/>
  <c r="AJ124" i="142"/>
  <c r="AK124" i="142"/>
  <c r="AL124" i="142"/>
  <c r="AM124" i="142"/>
  <c r="AN124" i="142"/>
  <c r="AO124" i="142"/>
  <c r="AP124" i="142"/>
  <c r="AQ124" i="142"/>
  <c r="AR124" i="142"/>
  <c r="C127" i="142"/>
  <c r="D127" i="142"/>
  <c r="E127" i="142"/>
  <c r="F127" i="142"/>
  <c r="G127" i="142"/>
  <c r="H127" i="142"/>
  <c r="I127" i="142"/>
  <c r="J127" i="142"/>
  <c r="K127" i="142"/>
  <c r="L127" i="142"/>
  <c r="M127" i="142"/>
  <c r="N127" i="142"/>
  <c r="O127" i="142"/>
  <c r="P127" i="142"/>
  <c r="Q127" i="142"/>
  <c r="R127" i="142"/>
  <c r="S127" i="142"/>
  <c r="T127" i="142"/>
  <c r="U127" i="142"/>
  <c r="V127" i="142"/>
  <c r="W127" i="142"/>
  <c r="X127" i="142"/>
  <c r="Y127" i="142"/>
  <c r="Z127" i="142"/>
  <c r="AA127" i="142"/>
  <c r="AB127" i="142"/>
  <c r="AC127" i="142"/>
  <c r="AD127" i="142"/>
  <c r="AE127" i="142"/>
  <c r="AF127" i="142"/>
  <c r="AG127" i="142"/>
  <c r="AH127" i="142"/>
  <c r="AI127" i="142"/>
  <c r="AJ127" i="142"/>
  <c r="AK127" i="142"/>
  <c r="AL127" i="142"/>
  <c r="AM127" i="142"/>
  <c r="AN127" i="142"/>
  <c r="AO127" i="142"/>
  <c r="AP127" i="142"/>
  <c r="AQ127" i="142"/>
  <c r="AR127" i="142"/>
  <c r="U97" i="142" l="1"/>
  <c r="I105" i="174"/>
  <c r="F105" i="174"/>
  <c r="H105" i="174"/>
  <c r="L105" i="174"/>
  <c r="P105" i="174"/>
  <c r="N105" i="174"/>
  <c r="M105" i="174"/>
  <c r="J105" i="174"/>
  <c r="K105" i="174"/>
  <c r="O105" i="174"/>
  <c r="G105" i="174"/>
  <c r="Q105" i="174"/>
  <c r="T107" i="142"/>
  <c r="M113" i="174" l="1"/>
  <c r="I113" i="174"/>
  <c r="J113" i="174"/>
  <c r="K113" i="174"/>
  <c r="N113" i="174"/>
  <c r="Q113" i="174"/>
  <c r="H113" i="174"/>
  <c r="P113" i="174"/>
  <c r="L113" i="174"/>
  <c r="O113" i="174"/>
  <c r="G113" i="174"/>
  <c r="T105" i="174"/>
  <c r="F113" i="174"/>
  <c r="T108" i="142"/>
  <c r="V97" i="142"/>
  <c r="U107" i="142"/>
  <c r="T113" i="174" l="1"/>
  <c r="U108" i="142"/>
  <c r="W97" i="142"/>
  <c r="N204" i="168"/>
  <c r="V107" i="142"/>
  <c r="V108" i="142" l="1"/>
  <c r="X97" i="142"/>
  <c r="D188" i="154"/>
  <c r="E188" i="154"/>
  <c r="F188" i="154"/>
  <c r="G188" i="154"/>
  <c r="H188" i="154"/>
  <c r="I188" i="154"/>
  <c r="J188" i="154"/>
  <c r="K188" i="154"/>
  <c r="L188" i="154"/>
  <c r="M188" i="154"/>
  <c r="N188" i="154"/>
  <c r="C188" i="154"/>
  <c r="W107" i="142"/>
  <c r="W108" i="142" l="1"/>
  <c r="Y97" i="142"/>
  <c r="O115" i="154"/>
  <c r="O120" i="154"/>
  <c r="O34" i="154"/>
  <c r="O45" i="154"/>
  <c r="O46" i="154"/>
  <c r="O47" i="154"/>
  <c r="O48" i="154"/>
  <c r="O49" i="154"/>
  <c r="D3" i="154"/>
  <c r="E3" i="154"/>
  <c r="F3" i="154"/>
  <c r="G3" i="154"/>
  <c r="H3" i="154"/>
  <c r="I3" i="154"/>
  <c r="J3" i="154"/>
  <c r="K3" i="154"/>
  <c r="L3" i="154"/>
  <c r="M3" i="154"/>
  <c r="N3" i="154"/>
  <c r="D4" i="154"/>
  <c r="E4" i="154"/>
  <c r="F4" i="154"/>
  <c r="G4" i="154"/>
  <c r="H4" i="154"/>
  <c r="I4" i="154"/>
  <c r="J4" i="154"/>
  <c r="K4" i="154"/>
  <c r="L4" i="154"/>
  <c r="M4" i="154"/>
  <c r="N4" i="154"/>
  <c r="D5" i="154"/>
  <c r="E5" i="154"/>
  <c r="F5" i="154"/>
  <c r="G5" i="154"/>
  <c r="H5" i="154"/>
  <c r="I5" i="154"/>
  <c r="J5" i="154"/>
  <c r="K5" i="154"/>
  <c r="L5" i="154"/>
  <c r="M5" i="154"/>
  <c r="N5" i="154"/>
  <c r="D6" i="154"/>
  <c r="E6" i="154"/>
  <c r="F6" i="154"/>
  <c r="G6" i="154"/>
  <c r="H6" i="154"/>
  <c r="I6" i="154"/>
  <c r="J6" i="154"/>
  <c r="K6" i="154"/>
  <c r="L6" i="154"/>
  <c r="M6" i="154"/>
  <c r="N6" i="154"/>
  <c r="D7" i="154"/>
  <c r="E7" i="154"/>
  <c r="F7" i="154"/>
  <c r="G7" i="154"/>
  <c r="H7" i="154"/>
  <c r="I7" i="154"/>
  <c r="J7" i="154"/>
  <c r="K7" i="154"/>
  <c r="L7" i="154"/>
  <c r="M7" i="154"/>
  <c r="N7" i="154"/>
  <c r="D8" i="154"/>
  <c r="E8" i="154"/>
  <c r="F8" i="154"/>
  <c r="G8" i="154"/>
  <c r="H8" i="154"/>
  <c r="I8" i="154"/>
  <c r="J8" i="154"/>
  <c r="K8" i="154"/>
  <c r="L8" i="154"/>
  <c r="M8" i="154"/>
  <c r="N8" i="154"/>
  <c r="D9" i="154"/>
  <c r="E9" i="154"/>
  <c r="F9" i="154"/>
  <c r="G9" i="154"/>
  <c r="H9" i="154"/>
  <c r="I9" i="154"/>
  <c r="J9" i="154"/>
  <c r="K9" i="154"/>
  <c r="L9" i="154"/>
  <c r="M9" i="154"/>
  <c r="N9" i="154"/>
  <c r="D10" i="154"/>
  <c r="E10" i="154"/>
  <c r="F10" i="154"/>
  <c r="G10" i="154"/>
  <c r="H10" i="154"/>
  <c r="I10" i="154"/>
  <c r="J10" i="154"/>
  <c r="K10" i="154"/>
  <c r="L10" i="154"/>
  <c r="M10" i="154"/>
  <c r="N10" i="154"/>
  <c r="D11" i="154"/>
  <c r="E11" i="154"/>
  <c r="F11" i="154"/>
  <c r="G11" i="154"/>
  <c r="H11" i="154"/>
  <c r="I11" i="154"/>
  <c r="J11" i="154"/>
  <c r="K11" i="154"/>
  <c r="L11" i="154"/>
  <c r="M11" i="154"/>
  <c r="N11" i="154"/>
  <c r="D12" i="154"/>
  <c r="E12" i="154"/>
  <c r="F12" i="154"/>
  <c r="G12" i="154"/>
  <c r="H12" i="154"/>
  <c r="I12" i="154"/>
  <c r="J12" i="154"/>
  <c r="K12" i="154"/>
  <c r="L12" i="154"/>
  <c r="M12" i="154"/>
  <c r="N12" i="154"/>
  <c r="D13" i="154"/>
  <c r="E13" i="154"/>
  <c r="F13" i="154"/>
  <c r="G13" i="154"/>
  <c r="H13" i="154"/>
  <c r="I13" i="154"/>
  <c r="J13" i="154"/>
  <c r="K13" i="154"/>
  <c r="L13" i="154"/>
  <c r="M13" i="154"/>
  <c r="N13" i="154"/>
  <c r="D14" i="154"/>
  <c r="E14" i="154"/>
  <c r="F14" i="154"/>
  <c r="G14" i="154"/>
  <c r="H14" i="154"/>
  <c r="I14" i="154"/>
  <c r="J14" i="154"/>
  <c r="K14" i="154"/>
  <c r="L14" i="154"/>
  <c r="M14" i="154"/>
  <c r="N14" i="154"/>
  <c r="D15" i="154"/>
  <c r="E15" i="154"/>
  <c r="F15" i="154"/>
  <c r="G15" i="154"/>
  <c r="H15" i="154"/>
  <c r="I15" i="154"/>
  <c r="J15" i="154"/>
  <c r="K15" i="154"/>
  <c r="L15" i="154"/>
  <c r="M15" i="154"/>
  <c r="N15" i="154"/>
  <c r="D16" i="154"/>
  <c r="E16" i="154"/>
  <c r="F16" i="154"/>
  <c r="G16" i="154"/>
  <c r="H16" i="154"/>
  <c r="I16" i="154"/>
  <c r="J16" i="154"/>
  <c r="K16" i="154"/>
  <c r="L16" i="154"/>
  <c r="M16" i="154"/>
  <c r="N16" i="154"/>
  <c r="C16" i="154"/>
  <c r="C6" i="154"/>
  <c r="C7" i="154"/>
  <c r="C8" i="154"/>
  <c r="C9" i="154"/>
  <c r="C10" i="154"/>
  <c r="C11" i="154"/>
  <c r="C12" i="154"/>
  <c r="C13" i="154"/>
  <c r="C14" i="154"/>
  <c r="C15" i="154"/>
  <c r="C4" i="154"/>
  <c r="C5" i="154"/>
  <c r="C3" i="154"/>
  <c r="C57" i="154"/>
  <c r="X107" i="142"/>
  <c r="X108" i="142" l="1"/>
  <c r="Z97" i="142"/>
  <c r="T292" i="123"/>
  <c r="U291" i="123"/>
  <c r="V291" i="123"/>
  <c r="W291" i="123"/>
  <c r="Y107" i="142"/>
  <c r="Y108" i="142" l="1"/>
  <c r="AA97" i="142"/>
  <c r="Z107" i="142"/>
  <c r="Z108" i="142" l="1"/>
  <c r="AB97" i="142"/>
  <c r="Z473" i="9"/>
  <c r="Y473" i="9"/>
  <c r="X473" i="9"/>
  <c r="W473" i="9"/>
  <c r="V473" i="9"/>
  <c r="U473" i="9"/>
  <c r="T473" i="9"/>
  <c r="S473" i="9"/>
  <c r="R473" i="9"/>
  <c r="Q473" i="9"/>
  <c r="P473" i="9"/>
  <c r="O473" i="9"/>
  <c r="N473" i="9"/>
  <c r="M473" i="9"/>
  <c r="L473" i="9"/>
  <c r="K473" i="9"/>
  <c r="J473" i="9"/>
  <c r="I473" i="9"/>
  <c r="H473" i="9"/>
  <c r="G473" i="9"/>
  <c r="F473" i="9"/>
  <c r="E473" i="9"/>
  <c r="D473" i="9"/>
  <c r="C473" i="9"/>
  <c r="B462" i="9"/>
  <c r="AA107" i="142"/>
  <c r="AA108" i="142" l="1"/>
  <c r="AC97" i="142"/>
  <c r="D102" i="53"/>
  <c r="N32" i="133"/>
  <c r="L32" i="133"/>
  <c r="K32" i="133"/>
  <c r="I32" i="133"/>
  <c r="E32" i="133"/>
  <c r="D32" i="133"/>
  <c r="U314" i="123"/>
  <c r="U315" i="123"/>
  <c r="N314" i="123"/>
  <c r="K314" i="123"/>
  <c r="B314" i="123"/>
  <c r="AB107" i="142"/>
  <c r="D314" i="123"/>
  <c r="AB108" i="142" l="1"/>
  <c r="AD97" i="142"/>
  <c r="E317" i="123"/>
  <c r="AC107" i="142"/>
  <c r="AC108" i="142" l="1"/>
  <c r="AE97" i="142"/>
  <c r="AD107" i="142"/>
  <c r="AD108" i="142" l="1"/>
  <c r="AF97" i="142"/>
  <c r="AE107" i="142"/>
  <c r="R38" i="151" l="1"/>
  <c r="R39" i="151" s="1"/>
  <c r="S38" i="151" s="1"/>
  <c r="AE108" i="142"/>
  <c r="AG97" i="142"/>
  <c r="D191" i="1"/>
  <c r="E191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F107" i="142"/>
  <c r="S35" i="151" l="1"/>
  <c r="S37" i="151"/>
  <c r="S39" i="151" s="1"/>
  <c r="AF108" i="142"/>
  <c r="AH97" i="142"/>
  <c r="AA2" i="1"/>
  <c r="Q333" i="123"/>
  <c r="Q334" i="123"/>
  <c r="Q335" i="123"/>
  <c r="Q336" i="123"/>
  <c r="Q337" i="123"/>
  <c r="Q338" i="123"/>
  <c r="Q339" i="123"/>
  <c r="Q341" i="123"/>
  <c r="Q342" i="123"/>
  <c r="Q343" i="123"/>
  <c r="Q344" i="123"/>
  <c r="Q345" i="123"/>
  <c r="Q346" i="123"/>
  <c r="Q347" i="123"/>
  <c r="Q348" i="123"/>
  <c r="Q349" i="123"/>
  <c r="Q350" i="123"/>
  <c r="Q351" i="123"/>
  <c r="Q353" i="123"/>
  <c r="Q354" i="123"/>
  <c r="Q355" i="123"/>
  <c r="Q356" i="123"/>
  <c r="Q357" i="123"/>
  <c r="Q358" i="123"/>
  <c r="Q359" i="123"/>
  <c r="Q360" i="123"/>
  <c r="Q361" i="123"/>
  <c r="Q362" i="123"/>
  <c r="Q363" i="123"/>
  <c r="Q364" i="123"/>
  <c r="Q365" i="123"/>
  <c r="Q366" i="123"/>
  <c r="Q367" i="123"/>
  <c r="Q368" i="123"/>
  <c r="Q369" i="123"/>
  <c r="Q370" i="123"/>
  <c r="Q371" i="123"/>
  <c r="Q372" i="123"/>
  <c r="Q373" i="123"/>
  <c r="Q374" i="123"/>
  <c r="Q375" i="123"/>
  <c r="Q376" i="123"/>
  <c r="Q377" i="123"/>
  <c r="Q378" i="123"/>
  <c r="Q379" i="123"/>
  <c r="Q380" i="123"/>
  <c r="Q381" i="123"/>
  <c r="Q382" i="123"/>
  <c r="Q383" i="123"/>
  <c r="Q384" i="123"/>
  <c r="Q385" i="123"/>
  <c r="Q386" i="123"/>
  <c r="Q387" i="123"/>
  <c r="Q388" i="123"/>
  <c r="Q389" i="123"/>
  <c r="Q390" i="123"/>
  <c r="Q391" i="123"/>
  <c r="Q392" i="123"/>
  <c r="Q393" i="123"/>
  <c r="Q394" i="123"/>
  <c r="Q395" i="123"/>
  <c r="Q396" i="123"/>
  <c r="Q397" i="123"/>
  <c r="Q398" i="123"/>
  <c r="Q399" i="123"/>
  <c r="Q400" i="123"/>
  <c r="Q401" i="123"/>
  <c r="Q402" i="123"/>
  <c r="Q403" i="123"/>
  <c r="Q404" i="123"/>
  <c r="Q405" i="123"/>
  <c r="Q406" i="123"/>
  <c r="Q407" i="123"/>
  <c r="Q408" i="123"/>
  <c r="Q409" i="123"/>
  <c r="Q410" i="123"/>
  <c r="Q411" i="123"/>
  <c r="Q412" i="123"/>
  <c r="Q413" i="123"/>
  <c r="Q414" i="123"/>
  <c r="Q415" i="123"/>
  <c r="Q416" i="123"/>
  <c r="Q417" i="123"/>
  <c r="Q418" i="123"/>
  <c r="Q419" i="123"/>
  <c r="Q420" i="123"/>
  <c r="Q421" i="123"/>
  <c r="Q422" i="123"/>
  <c r="Q423" i="123"/>
  <c r="Q424" i="123"/>
  <c r="Q425" i="123"/>
  <c r="Q426" i="123"/>
  <c r="Q427" i="123"/>
  <c r="Q428" i="123"/>
  <c r="Q429" i="123"/>
  <c r="Q430" i="123"/>
  <c r="Q431" i="123"/>
  <c r="Q432" i="123"/>
  <c r="Q433" i="123"/>
  <c r="Q434" i="123"/>
  <c r="Q435" i="123"/>
  <c r="Q436" i="123"/>
  <c r="Q437" i="123"/>
  <c r="Q438" i="123"/>
  <c r="Q439" i="123"/>
  <c r="Q440" i="123"/>
  <c r="Q441" i="123"/>
  <c r="Q442" i="123"/>
  <c r="Q443" i="123"/>
  <c r="Q444" i="123"/>
  <c r="Q445" i="123"/>
  <c r="Q446" i="123"/>
  <c r="Q447" i="123"/>
  <c r="Q448" i="123"/>
  <c r="Q449" i="123"/>
  <c r="Q450" i="123"/>
  <c r="Q451" i="123"/>
  <c r="Q452" i="123"/>
  <c r="Q453" i="123"/>
  <c r="Q454" i="123"/>
  <c r="Q455" i="123"/>
  <c r="Q456" i="123"/>
  <c r="Q457" i="123"/>
  <c r="Q458" i="123"/>
  <c r="Q459" i="123"/>
  <c r="Q460" i="123"/>
  <c r="Q461" i="123"/>
  <c r="Q462" i="123"/>
  <c r="Q463" i="123"/>
  <c r="Q464" i="123"/>
  <c r="Q465" i="123"/>
  <c r="Q466" i="123"/>
  <c r="Q467" i="123"/>
  <c r="Q468" i="123"/>
  <c r="Q469" i="123"/>
  <c r="Q470" i="123"/>
  <c r="Q471" i="123"/>
  <c r="Q472" i="123"/>
  <c r="Q473" i="123"/>
  <c r="Q474" i="123"/>
  <c r="Q475" i="123"/>
  <c r="Q476" i="123"/>
  <c r="Q477" i="123"/>
  <c r="Q478" i="123"/>
  <c r="Q479" i="123"/>
  <c r="Q480" i="123"/>
  <c r="Q481" i="123"/>
  <c r="Q482" i="123"/>
  <c r="Q483" i="123"/>
  <c r="Q484" i="123"/>
  <c r="Q485" i="123"/>
  <c r="Q486" i="123"/>
  <c r="Q487" i="123"/>
  <c r="Q488" i="123"/>
  <c r="Q489" i="123"/>
  <c r="Q490" i="123"/>
  <c r="Q491" i="123"/>
  <c r="Q492" i="123"/>
  <c r="Q493" i="123"/>
  <c r="Q494" i="123"/>
  <c r="Q495" i="123"/>
  <c r="Q496" i="123"/>
  <c r="Q497" i="123"/>
  <c r="Q498" i="123"/>
  <c r="Q499" i="123"/>
  <c r="Q500" i="123"/>
  <c r="Q501" i="123"/>
  <c r="AA30" i="1"/>
  <c r="AA74" i="1"/>
  <c r="AA32" i="1"/>
  <c r="AA34" i="1"/>
  <c r="AA28" i="1"/>
  <c r="AA18" i="1"/>
  <c r="AG107" i="142"/>
  <c r="AA49" i="1" l="1"/>
  <c r="C2" i="169"/>
  <c r="AG108" i="142"/>
  <c r="AI97" i="142"/>
  <c r="G3" i="60"/>
  <c r="N3" i="60"/>
  <c r="U3" i="60"/>
  <c r="AB3" i="60"/>
  <c r="AE3" i="60"/>
  <c r="AJ3" i="60"/>
  <c r="AQ3" i="60"/>
  <c r="AX3" i="60"/>
  <c r="C3" i="60"/>
  <c r="U1" i="60"/>
  <c r="AB1" i="60"/>
  <c r="AE1" i="60"/>
  <c r="AJ1" i="60"/>
  <c r="AQ1" i="60"/>
  <c r="AX1" i="60"/>
  <c r="AJ8" i="60"/>
  <c r="AA110" i="1"/>
  <c r="AA129" i="1"/>
  <c r="AA131" i="1"/>
  <c r="AA33" i="1"/>
  <c r="AA35" i="1"/>
  <c r="AA29" i="1"/>
  <c r="AA22" i="1"/>
  <c r="AA130" i="1"/>
  <c r="AA63" i="1"/>
  <c r="AA128" i="1"/>
  <c r="AA132" i="1"/>
  <c r="AA31" i="1"/>
  <c r="AH107" i="142"/>
  <c r="AA133" i="1" l="1"/>
  <c r="AA259" i="1" s="1"/>
  <c r="G70" i="169"/>
  <c r="C16" i="169"/>
  <c r="AH108" i="142"/>
  <c r="AJ97" i="142"/>
  <c r="B242" i="169"/>
  <c r="B218" i="169"/>
  <c r="B194" i="169"/>
  <c r="B170" i="169"/>
  <c r="B98" i="169"/>
  <c r="AJ5" i="60"/>
  <c r="AJ9" i="60"/>
  <c r="AJ6" i="60"/>
  <c r="C17" i="169"/>
  <c r="C28" i="169"/>
  <c r="AI107" i="142"/>
  <c r="G28" i="169"/>
  <c r="G16" i="169" l="1"/>
  <c r="AI108" i="142"/>
  <c r="AK97" i="142"/>
  <c r="AJ10" i="60"/>
  <c r="AJ7" i="60"/>
  <c r="C27" i="169"/>
  <c r="C22" i="169"/>
  <c r="C18" i="169"/>
  <c r="C26" i="169"/>
  <c r="C24" i="169"/>
  <c r="C20" i="169"/>
  <c r="C19" i="169"/>
  <c r="C23" i="169"/>
  <c r="C21" i="169"/>
  <c r="C29" i="169"/>
  <c r="C25" i="169"/>
  <c r="G25" i="169"/>
  <c r="G22" i="169"/>
  <c r="G23" i="169"/>
  <c r="G21" i="169"/>
  <c r="G26" i="169"/>
  <c r="G27" i="169"/>
  <c r="G24" i="169"/>
  <c r="G20" i="169"/>
  <c r="G18" i="169"/>
  <c r="G29" i="169"/>
  <c r="G19" i="169"/>
  <c r="AJ107" i="142"/>
  <c r="AJ108" i="142" l="1"/>
  <c r="AL97" i="142"/>
  <c r="G30" i="169"/>
  <c r="AK107" i="142"/>
  <c r="AK108" i="142" l="1"/>
  <c r="AM97" i="142"/>
  <c r="AL107" i="142"/>
  <c r="AL108" i="142" l="1"/>
  <c r="AN97" i="142"/>
  <c r="C195" i="169"/>
  <c r="D195" i="169" s="1"/>
  <c r="C123" i="169"/>
  <c r="C243" i="169"/>
  <c r="D243" i="169" s="1"/>
  <c r="C219" i="169"/>
  <c r="D219" i="169" s="1"/>
  <c r="C171" i="169"/>
  <c r="C147" i="169"/>
  <c r="D147" i="169" s="1"/>
  <c r="C99" i="169"/>
  <c r="D99" i="169" s="1"/>
  <c r="D123" i="169"/>
  <c r="C72" i="169"/>
  <c r="D72" i="169" s="1"/>
  <c r="D2" i="169"/>
  <c r="O18" i="163"/>
  <c r="O52" i="154"/>
  <c r="O53" i="154"/>
  <c r="O54" i="154"/>
  <c r="O55" i="154"/>
  <c r="O50" i="154"/>
  <c r="O51" i="154"/>
  <c r="C40" i="168"/>
  <c r="C56" i="168"/>
  <c r="C57" i="168"/>
  <c r="C58" i="168"/>
  <c r="C61" i="168"/>
  <c r="C41" i="168"/>
  <c r="P4" i="168"/>
  <c r="C59" i="168"/>
  <c r="M211" i="168"/>
  <c r="N189" i="154" s="1"/>
  <c r="L211" i="168"/>
  <c r="M189" i="154" s="1"/>
  <c r="K211" i="168"/>
  <c r="L189" i="154" s="1"/>
  <c r="J211" i="168"/>
  <c r="K189" i="154" s="1"/>
  <c r="I211" i="168"/>
  <c r="J189" i="154" s="1"/>
  <c r="H211" i="168"/>
  <c r="I189" i="154" s="1"/>
  <c r="G211" i="168"/>
  <c r="H189" i="154" s="1"/>
  <c r="F211" i="168"/>
  <c r="G189" i="154" s="1"/>
  <c r="E211" i="168"/>
  <c r="F189" i="154" s="1"/>
  <c r="D211" i="168"/>
  <c r="E189" i="154" s="1"/>
  <c r="C211" i="168"/>
  <c r="D189" i="154" s="1"/>
  <c r="B211" i="168"/>
  <c r="N210" i="168"/>
  <c r="P166" i="168"/>
  <c r="O166" i="168"/>
  <c r="N166" i="168"/>
  <c r="M166" i="168"/>
  <c r="L166" i="168"/>
  <c r="K166" i="168"/>
  <c r="J166" i="168"/>
  <c r="I166" i="168"/>
  <c r="H166" i="168"/>
  <c r="G166" i="168"/>
  <c r="P165" i="168"/>
  <c r="P167" i="168" s="1"/>
  <c r="O165" i="168"/>
  <c r="N165" i="168"/>
  <c r="N167" i="168" s="1"/>
  <c r="M165" i="168"/>
  <c r="L165" i="168"/>
  <c r="L167" i="168" s="1"/>
  <c r="K165" i="168"/>
  <c r="J165" i="168"/>
  <c r="J167" i="168" s="1"/>
  <c r="I165" i="168"/>
  <c r="H165" i="168"/>
  <c r="H167" i="168" s="1"/>
  <c r="G165" i="168"/>
  <c r="P164" i="168"/>
  <c r="O164" i="168"/>
  <c r="N164" i="168"/>
  <c r="M164" i="168"/>
  <c r="L164" i="168"/>
  <c r="K164" i="168"/>
  <c r="J164" i="168"/>
  <c r="I164" i="168"/>
  <c r="H164" i="168"/>
  <c r="G164" i="168"/>
  <c r="F164" i="168"/>
  <c r="Q163" i="168"/>
  <c r="Q162" i="168"/>
  <c r="P159" i="168"/>
  <c r="O159" i="168"/>
  <c r="N159" i="168"/>
  <c r="M159" i="168"/>
  <c r="L159" i="168"/>
  <c r="K159" i="168"/>
  <c r="J159" i="168"/>
  <c r="I159" i="168"/>
  <c r="H159" i="168"/>
  <c r="G159" i="168"/>
  <c r="P158" i="168"/>
  <c r="O158" i="168"/>
  <c r="O160" i="168" s="1"/>
  <c r="N158" i="168"/>
  <c r="M158" i="168"/>
  <c r="M160" i="168" s="1"/>
  <c r="L158" i="168"/>
  <c r="K158" i="168"/>
  <c r="K160" i="168" s="1"/>
  <c r="J158" i="168"/>
  <c r="I158" i="168"/>
  <c r="I160" i="168" s="1"/>
  <c r="H158" i="168"/>
  <c r="G158" i="168"/>
  <c r="G160" i="168" s="1"/>
  <c r="P157" i="168"/>
  <c r="O157" i="168"/>
  <c r="N157" i="168"/>
  <c r="M157" i="168"/>
  <c r="L157" i="168"/>
  <c r="K157" i="168"/>
  <c r="J157" i="168"/>
  <c r="I157" i="168"/>
  <c r="H157" i="168"/>
  <c r="G157" i="168"/>
  <c r="F157" i="168"/>
  <c r="Q156" i="168"/>
  <c r="Q155" i="168"/>
  <c r="P152" i="168"/>
  <c r="O152" i="168"/>
  <c r="N152" i="168"/>
  <c r="M152" i="168"/>
  <c r="L152" i="168"/>
  <c r="K152" i="168"/>
  <c r="J152" i="168"/>
  <c r="I152" i="168"/>
  <c r="H152" i="168"/>
  <c r="G152" i="168"/>
  <c r="P151" i="168"/>
  <c r="P153" i="168" s="1"/>
  <c r="O151" i="168"/>
  <c r="N151" i="168"/>
  <c r="N153" i="168" s="1"/>
  <c r="M151" i="168"/>
  <c r="L151" i="168"/>
  <c r="L153" i="168" s="1"/>
  <c r="K151" i="168"/>
  <c r="J151" i="168"/>
  <c r="J153" i="168" s="1"/>
  <c r="I151" i="168"/>
  <c r="H151" i="168"/>
  <c r="H153" i="168" s="1"/>
  <c r="G151" i="168"/>
  <c r="P150" i="168"/>
  <c r="O150" i="168"/>
  <c r="N150" i="168"/>
  <c r="M150" i="168"/>
  <c r="L150" i="168"/>
  <c r="K150" i="168"/>
  <c r="J150" i="168"/>
  <c r="I150" i="168"/>
  <c r="H150" i="168"/>
  <c r="G150" i="168"/>
  <c r="F150" i="168"/>
  <c r="Q149" i="168"/>
  <c r="Q148" i="168"/>
  <c r="M135" i="168"/>
  <c r="M136" i="168" s="1"/>
  <c r="L135" i="168"/>
  <c r="L136" i="168" s="1"/>
  <c r="K135" i="168"/>
  <c r="K136" i="168" s="1"/>
  <c r="J135" i="168"/>
  <c r="J136" i="168" s="1"/>
  <c r="I135" i="168"/>
  <c r="I136" i="168" s="1"/>
  <c r="H135" i="168"/>
  <c r="H136" i="168" s="1"/>
  <c r="G135" i="168"/>
  <c r="G136" i="168" s="1"/>
  <c r="F135" i="168"/>
  <c r="F136" i="168" s="1"/>
  <c r="E135" i="168"/>
  <c r="E136" i="168" s="1"/>
  <c r="D136" i="168"/>
  <c r="C135" i="168"/>
  <c r="C136" i="168" s="1"/>
  <c r="M131" i="168"/>
  <c r="M132" i="168" s="1"/>
  <c r="L131" i="168"/>
  <c r="L132" i="168" s="1"/>
  <c r="K131" i="168"/>
  <c r="K132" i="168" s="1"/>
  <c r="J131" i="168"/>
  <c r="J132" i="168" s="1"/>
  <c r="I131" i="168"/>
  <c r="I132" i="168" s="1"/>
  <c r="H131" i="168"/>
  <c r="H132" i="168" s="1"/>
  <c r="G131" i="168"/>
  <c r="G132" i="168" s="1"/>
  <c r="F131" i="168"/>
  <c r="F132" i="168" s="1"/>
  <c r="E131" i="168"/>
  <c r="E132" i="168" s="1"/>
  <c r="D132" i="168"/>
  <c r="C131" i="168"/>
  <c r="C132" i="168" s="1"/>
  <c r="N138" i="168"/>
  <c r="M127" i="168"/>
  <c r="M128" i="168" s="1"/>
  <c r="M138" i="168" s="1"/>
  <c r="L127" i="168"/>
  <c r="L128" i="168" s="1"/>
  <c r="K127" i="168"/>
  <c r="K128" i="168" s="1"/>
  <c r="J127" i="168"/>
  <c r="J128" i="168" s="1"/>
  <c r="I127" i="168"/>
  <c r="I128" i="168" s="1"/>
  <c r="I138" i="168" s="1"/>
  <c r="H127" i="168"/>
  <c r="H128" i="168" s="1"/>
  <c r="G127" i="168"/>
  <c r="G128" i="168" s="1"/>
  <c r="F127" i="168"/>
  <c r="F128" i="168" s="1"/>
  <c r="E128" i="168"/>
  <c r="E138" i="168" s="1"/>
  <c r="D128" i="168"/>
  <c r="C128" i="168"/>
  <c r="AH123" i="168"/>
  <c r="AE112" i="168" s="1"/>
  <c r="AL112" i="168" s="1"/>
  <c r="AO112" i="168" s="1"/>
  <c r="AH122" i="168"/>
  <c r="AE111" i="168" s="1"/>
  <c r="AL111" i="168" s="1"/>
  <c r="J118" i="168"/>
  <c r="AD117" i="168"/>
  <c r="J117" i="168"/>
  <c r="J116" i="168"/>
  <c r="AD115" i="168"/>
  <c r="J115" i="168"/>
  <c r="AK112" i="168"/>
  <c r="AC112" i="168"/>
  <c r="AB112" i="168"/>
  <c r="X112" i="168"/>
  <c r="AD118" i="168" s="1"/>
  <c r="L112" i="168"/>
  <c r="AO111" i="168"/>
  <c r="AK111" i="168"/>
  <c r="AC111" i="168"/>
  <c r="AB111" i="168"/>
  <c r="L111" i="168"/>
  <c r="AL110" i="168"/>
  <c r="AO110" i="168" s="1"/>
  <c r="AK110" i="168"/>
  <c r="AC110" i="168"/>
  <c r="AB110" i="168"/>
  <c r="X110" i="168"/>
  <c r="AD116" i="168" s="1"/>
  <c r="L110" i="168"/>
  <c r="AK109" i="168"/>
  <c r="AC109" i="168"/>
  <c r="AB109" i="168"/>
  <c r="L109" i="168"/>
  <c r="AK108" i="168"/>
  <c r="AC108" i="168"/>
  <c r="AB108" i="168"/>
  <c r="L108" i="168"/>
  <c r="AK107" i="168"/>
  <c r="AC107" i="168"/>
  <c r="AB107" i="168"/>
  <c r="L107" i="168"/>
  <c r="AK106" i="168"/>
  <c r="AC106" i="168"/>
  <c r="AE106" i="168" s="1"/>
  <c r="AL106" i="168" s="1"/>
  <c r="AO106" i="168" s="1"/>
  <c r="G106" i="168"/>
  <c r="L106" i="168" s="1"/>
  <c r="AK105" i="168"/>
  <c r="AC105" i="168"/>
  <c r="AE105" i="168" s="1"/>
  <c r="AL105" i="168" s="1"/>
  <c r="AO105" i="168" s="1"/>
  <c r="L105" i="168"/>
  <c r="AK104" i="168"/>
  <c r="AE104" i="168"/>
  <c r="L104" i="168"/>
  <c r="AK103" i="168"/>
  <c r="AE103" i="168"/>
  <c r="AL103" i="168" s="1"/>
  <c r="AO103" i="168" s="1"/>
  <c r="L103" i="168"/>
  <c r="AK102" i="168"/>
  <c r="AE102" i="168"/>
  <c r="L102" i="168"/>
  <c r="AK101" i="168"/>
  <c r="AE101" i="168"/>
  <c r="AL101" i="168" s="1"/>
  <c r="AO101" i="168" s="1"/>
  <c r="L101" i="168"/>
  <c r="AL97" i="168"/>
  <c r="AH97" i="168"/>
  <c r="AG97" i="168"/>
  <c r="AF97" i="168"/>
  <c r="M97" i="168"/>
  <c r="B97" i="168"/>
  <c r="AP96" i="168"/>
  <c r="AP95" i="168"/>
  <c r="AP94" i="168"/>
  <c r="AP93" i="168"/>
  <c r="AP92" i="168"/>
  <c r="AP91" i="168"/>
  <c r="AP90" i="168"/>
  <c r="AP89" i="168"/>
  <c r="AP88" i="168"/>
  <c r="R75" i="168"/>
  <c r="T75" i="168" s="1"/>
  <c r="Y72" i="168"/>
  <c r="X72" i="168"/>
  <c r="Y70" i="168"/>
  <c r="Y73" i="168" s="1"/>
  <c r="Y74" i="168" s="1"/>
  <c r="X70" i="168"/>
  <c r="X73" i="168" s="1"/>
  <c r="X74" i="168" s="1"/>
  <c r="V52" i="168"/>
  <c r="X52" i="168" s="1"/>
  <c r="C52" i="168"/>
  <c r="V51" i="168"/>
  <c r="X51" i="168" s="1"/>
  <c r="P50" i="168"/>
  <c r="X50" i="168" s="1"/>
  <c r="P49" i="168"/>
  <c r="X49" i="168" s="1"/>
  <c r="C49" i="168"/>
  <c r="P48" i="168"/>
  <c r="X48" i="168" s="1"/>
  <c r="BA47" i="168"/>
  <c r="BA48" i="168" s="1"/>
  <c r="X47" i="168"/>
  <c r="C47" i="168"/>
  <c r="BC46" i="168"/>
  <c r="X46" i="168"/>
  <c r="BC45" i="168"/>
  <c r="X45" i="168"/>
  <c r="BC44" i="168"/>
  <c r="X44" i="168"/>
  <c r="BC43" i="168"/>
  <c r="X43" i="168"/>
  <c r="X42" i="168"/>
  <c r="C42" i="168"/>
  <c r="BC41" i="168"/>
  <c r="X41" i="168"/>
  <c r="BC40" i="168"/>
  <c r="BC42" i="168" s="1"/>
  <c r="BA39" i="168"/>
  <c r="BA38" i="168"/>
  <c r="AZ37" i="168"/>
  <c r="AZ36" i="168"/>
  <c r="AZ35" i="168"/>
  <c r="AX34" i="168"/>
  <c r="AW33" i="168"/>
  <c r="AW31" i="168"/>
  <c r="AW30" i="168"/>
  <c r="AW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AW28" i="168"/>
  <c r="AW32" i="168" s="1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P27" i="168"/>
  <c r="C62" i="168" s="1"/>
  <c r="O27" i="168"/>
  <c r="AW26" i="168"/>
  <c r="P26" i="168"/>
  <c r="O26" i="168"/>
  <c r="AW25" i="168"/>
  <c r="P25" i="168"/>
  <c r="O25" i="168"/>
  <c r="AW24" i="168"/>
  <c r="P24" i="168"/>
  <c r="O24" i="168"/>
  <c r="P23" i="168"/>
  <c r="O23" i="168"/>
  <c r="AW22" i="168"/>
  <c r="P22" i="168"/>
  <c r="O22" i="168"/>
  <c r="AW21" i="168"/>
  <c r="P21" i="168"/>
  <c r="O21" i="168"/>
  <c r="AW20" i="168"/>
  <c r="P20" i="168"/>
  <c r="O20" i="168"/>
  <c r="AW19" i="168"/>
  <c r="C53" i="168"/>
  <c r="P19" i="168"/>
  <c r="O19" i="168"/>
  <c r="P18" i="168"/>
  <c r="O18" i="168"/>
  <c r="P17" i="168"/>
  <c r="C51" i="168" s="1"/>
  <c r="O17" i="168"/>
  <c r="P16" i="168"/>
  <c r="C50" i="168" s="1"/>
  <c r="O16" i="168"/>
  <c r="P15" i="168"/>
  <c r="O15" i="168"/>
  <c r="P14" i="168"/>
  <c r="O14" i="168"/>
  <c r="P13" i="168"/>
  <c r="C46" i="168" s="1"/>
  <c r="O13" i="168"/>
  <c r="AY12" i="168"/>
  <c r="AZ12" i="168" s="1"/>
  <c r="BA12" i="168" s="1"/>
  <c r="P12" i="168"/>
  <c r="C45" i="168" s="1"/>
  <c r="O12" i="168"/>
  <c r="AY11" i="168"/>
  <c r="AZ11" i="168" s="1"/>
  <c r="BA11" i="168" s="1"/>
  <c r="C44" i="168"/>
  <c r="P11" i="168"/>
  <c r="O11" i="168"/>
  <c r="AY10" i="168"/>
  <c r="AZ10" i="168" s="1"/>
  <c r="BA10" i="168" s="1"/>
  <c r="P10" i="168"/>
  <c r="C43" i="168" s="1"/>
  <c r="O10" i="168"/>
  <c r="AY9" i="168"/>
  <c r="AZ9" i="168" s="1"/>
  <c r="BA9" i="168" s="1"/>
  <c r="P9" i="168"/>
  <c r="O9" i="168"/>
  <c r="AY8" i="168"/>
  <c r="AZ8" i="168" s="1"/>
  <c r="BA8" i="168" s="1"/>
  <c r="P8" i="168"/>
  <c r="O8" i="168"/>
  <c r="AY7" i="168"/>
  <c r="AZ7" i="168" s="1"/>
  <c r="BA7" i="168" s="1"/>
  <c r="P7" i="168"/>
  <c r="O7" i="168"/>
  <c r="AY6" i="168"/>
  <c r="AZ6" i="168" s="1"/>
  <c r="BA6" i="168" s="1"/>
  <c r="P6" i="168"/>
  <c r="O6" i="168"/>
  <c r="AY5" i="168"/>
  <c r="AZ5" i="168" s="1"/>
  <c r="BA5" i="168" s="1"/>
  <c r="P5" i="168"/>
  <c r="O5" i="168"/>
  <c r="AY4" i="168"/>
  <c r="AZ4" i="168" s="1"/>
  <c r="BA4" i="168" s="1"/>
  <c r="O4" i="168"/>
  <c r="AQ9" i="60"/>
  <c r="AQ8" i="60"/>
  <c r="AQ5" i="60"/>
  <c r="AQ6" i="60"/>
  <c r="AM107" i="142"/>
  <c r="C65" i="168" l="1"/>
  <c r="AE108" i="168"/>
  <c r="AL108" i="168" s="1"/>
  <c r="AO108" i="168" s="1"/>
  <c r="F138" i="168"/>
  <c r="H138" i="168"/>
  <c r="J138" i="168"/>
  <c r="L138" i="168"/>
  <c r="AP101" i="168"/>
  <c r="AP103" i="168"/>
  <c r="S170" i="168"/>
  <c r="D138" i="168"/>
  <c r="AM108" i="142"/>
  <c r="AO97" i="142"/>
  <c r="AW23" i="168"/>
  <c r="AP112" i="168"/>
  <c r="Q164" i="168"/>
  <c r="AP111" i="168"/>
  <c r="AW27" i="168"/>
  <c r="AP97" i="168"/>
  <c r="AP110" i="168"/>
  <c r="G153" i="168"/>
  <c r="I153" i="168"/>
  <c r="K153" i="168"/>
  <c r="M153" i="168"/>
  <c r="O153" i="168"/>
  <c r="S169" i="168"/>
  <c r="S171" i="168" s="1"/>
  <c r="H160" i="168"/>
  <c r="J160" i="168"/>
  <c r="L160" i="168"/>
  <c r="N160" i="168"/>
  <c r="P160" i="168"/>
  <c r="G167" i="168"/>
  <c r="I167" i="168"/>
  <c r="K167" i="168"/>
  <c r="M167" i="168"/>
  <c r="O167" i="168"/>
  <c r="Q157" i="168"/>
  <c r="N211" i="168"/>
  <c r="C189" i="154"/>
  <c r="C190" i="154" s="1"/>
  <c r="AQ7" i="60"/>
  <c r="AQ10" i="60"/>
  <c r="O28" i="168"/>
  <c r="P28" i="168"/>
  <c r="P29" i="168"/>
  <c r="C138" i="168"/>
  <c r="G138" i="168"/>
  <c r="K138" i="168"/>
  <c r="O29" i="168"/>
  <c r="X53" i="168"/>
  <c r="W138" i="168" s="1"/>
  <c r="AL102" i="168"/>
  <c r="AO102" i="168" s="1"/>
  <c r="AP102" i="168" s="1"/>
  <c r="AL104" i="168"/>
  <c r="AO104" i="168" s="1"/>
  <c r="AP104" i="168" s="1"/>
  <c r="AP105" i="168"/>
  <c r="AP106" i="168"/>
  <c r="Q150" i="168"/>
  <c r="Q158" i="168"/>
  <c r="AE107" i="168"/>
  <c r="AL107" i="168" s="1"/>
  <c r="AO107" i="168" s="1"/>
  <c r="AP108" i="168"/>
  <c r="AE109" i="168"/>
  <c r="AL109" i="168" s="1"/>
  <c r="AO109" i="168" s="1"/>
  <c r="Q151" i="168"/>
  <c r="Q152" i="168"/>
  <c r="Q159" i="168"/>
  <c r="Q160" i="168" s="1"/>
  <c r="Q165" i="168"/>
  <c r="Q166" i="168"/>
  <c r="AN107" i="142"/>
  <c r="AN108" i="142" l="1"/>
  <c r="AP97" i="142"/>
  <c r="Q153" i="168"/>
  <c r="AP107" i="168"/>
  <c r="Q167" i="168"/>
  <c r="AP109" i="168"/>
  <c r="AO107" i="142"/>
  <c r="AO108" i="142" l="1"/>
  <c r="AQ97" i="142"/>
  <c r="AP113" i="168"/>
  <c r="Z138" i="168" s="1"/>
  <c r="AC138" i="168" s="1"/>
  <c r="U46" i="123"/>
  <c r="U47" i="123"/>
  <c r="U48" i="123"/>
  <c r="U49" i="123"/>
  <c r="U50" i="123"/>
  <c r="U51" i="123"/>
  <c r="U52" i="123"/>
  <c r="U53" i="123"/>
  <c r="U54" i="123"/>
  <c r="U55" i="123"/>
  <c r="U57" i="123"/>
  <c r="U58" i="123"/>
  <c r="U59" i="123"/>
  <c r="U60" i="123"/>
  <c r="U61" i="123"/>
  <c r="U62" i="123"/>
  <c r="U63" i="123"/>
  <c r="U64" i="123"/>
  <c r="U65" i="123"/>
  <c r="U67" i="123"/>
  <c r="U68" i="123"/>
  <c r="U69" i="123"/>
  <c r="U70" i="123"/>
  <c r="U71" i="123"/>
  <c r="U72" i="123"/>
  <c r="U73" i="123"/>
  <c r="U74" i="123"/>
  <c r="U75" i="123"/>
  <c r="U77" i="123"/>
  <c r="U78" i="123"/>
  <c r="U79" i="123"/>
  <c r="U80" i="123"/>
  <c r="U81" i="123"/>
  <c r="U82" i="123"/>
  <c r="U83" i="123"/>
  <c r="U84" i="123"/>
  <c r="U85" i="123"/>
  <c r="U86" i="123"/>
  <c r="U88" i="123"/>
  <c r="U89" i="123"/>
  <c r="U90" i="123"/>
  <c r="U91" i="123"/>
  <c r="U92" i="123"/>
  <c r="U93" i="123"/>
  <c r="U94" i="123"/>
  <c r="U95" i="123"/>
  <c r="U96" i="123"/>
  <c r="U97" i="123"/>
  <c r="U99" i="123"/>
  <c r="U100" i="123"/>
  <c r="U101" i="123"/>
  <c r="U102" i="123"/>
  <c r="U103" i="123"/>
  <c r="U104" i="123"/>
  <c r="U105" i="123"/>
  <c r="U106" i="123"/>
  <c r="U107" i="123"/>
  <c r="U108" i="123"/>
  <c r="U110" i="123"/>
  <c r="U111" i="123"/>
  <c r="U112" i="123"/>
  <c r="U113" i="123"/>
  <c r="U114" i="123"/>
  <c r="U115" i="123"/>
  <c r="U116" i="123"/>
  <c r="U117" i="123"/>
  <c r="U118" i="123"/>
  <c r="U119" i="123"/>
  <c r="U121" i="123"/>
  <c r="U122" i="123"/>
  <c r="U123" i="123"/>
  <c r="U124" i="123"/>
  <c r="U125" i="123"/>
  <c r="U126" i="123"/>
  <c r="U127" i="123"/>
  <c r="U128" i="123"/>
  <c r="U129" i="123"/>
  <c r="U130" i="123"/>
  <c r="U132" i="123"/>
  <c r="U133" i="123"/>
  <c r="U134" i="123"/>
  <c r="U135" i="123"/>
  <c r="U136" i="123"/>
  <c r="U137" i="123"/>
  <c r="U138" i="123"/>
  <c r="U139" i="123"/>
  <c r="U140" i="123"/>
  <c r="U141" i="123"/>
  <c r="U143" i="123"/>
  <c r="U144" i="123"/>
  <c r="U145" i="123"/>
  <c r="U146" i="123"/>
  <c r="U147" i="123"/>
  <c r="U148" i="123"/>
  <c r="U149" i="123"/>
  <c r="U150" i="123"/>
  <c r="U151" i="123"/>
  <c r="U152" i="123"/>
  <c r="U154" i="123"/>
  <c r="U155" i="123"/>
  <c r="U156" i="123"/>
  <c r="U157" i="123"/>
  <c r="U158" i="123"/>
  <c r="U159" i="123"/>
  <c r="U160" i="123"/>
  <c r="U161" i="123"/>
  <c r="U162" i="123"/>
  <c r="U163" i="123"/>
  <c r="U165" i="123"/>
  <c r="U166" i="123"/>
  <c r="U167" i="123"/>
  <c r="U168" i="123"/>
  <c r="U169" i="123"/>
  <c r="U170" i="123"/>
  <c r="U171" i="123"/>
  <c r="U172" i="123"/>
  <c r="U173" i="123"/>
  <c r="U174" i="123"/>
  <c r="U176" i="123"/>
  <c r="U177" i="123"/>
  <c r="U178" i="123"/>
  <c r="U179" i="123"/>
  <c r="U180" i="123"/>
  <c r="U181" i="123"/>
  <c r="U182" i="123"/>
  <c r="U183" i="123"/>
  <c r="U184" i="123"/>
  <c r="U186" i="123"/>
  <c r="U187" i="123"/>
  <c r="U188" i="123"/>
  <c r="U189" i="123"/>
  <c r="U190" i="123"/>
  <c r="U191" i="123"/>
  <c r="U192" i="123"/>
  <c r="U193" i="123"/>
  <c r="U194" i="123"/>
  <c r="U196" i="123"/>
  <c r="U197" i="123"/>
  <c r="U198" i="123"/>
  <c r="U199" i="123"/>
  <c r="U200" i="123"/>
  <c r="U201" i="123"/>
  <c r="U202" i="123"/>
  <c r="U203" i="123"/>
  <c r="U204" i="123"/>
  <c r="U206" i="123"/>
  <c r="U207" i="123"/>
  <c r="U208" i="123"/>
  <c r="U209" i="123"/>
  <c r="U210" i="123"/>
  <c r="U211" i="123"/>
  <c r="U212" i="123"/>
  <c r="U213" i="123"/>
  <c r="U214" i="123"/>
  <c r="U215" i="123"/>
  <c r="U216" i="123"/>
  <c r="U217" i="123"/>
  <c r="U218" i="123"/>
  <c r="U219" i="123"/>
  <c r="U220" i="123"/>
  <c r="U221" i="123"/>
  <c r="U222" i="123"/>
  <c r="U223" i="123"/>
  <c r="U224" i="123"/>
  <c r="U225" i="123"/>
  <c r="U226" i="123"/>
  <c r="U227" i="123"/>
  <c r="U228" i="123"/>
  <c r="U229" i="123"/>
  <c r="U230" i="123"/>
  <c r="U231" i="123"/>
  <c r="U232" i="123"/>
  <c r="U233" i="123"/>
  <c r="U234" i="123"/>
  <c r="U235" i="123"/>
  <c r="U236" i="123"/>
  <c r="U237" i="123"/>
  <c r="U238" i="123"/>
  <c r="U239" i="123"/>
  <c r="U240" i="123"/>
  <c r="U241" i="123"/>
  <c r="U242" i="123"/>
  <c r="U243" i="123"/>
  <c r="U244" i="123"/>
  <c r="U245" i="123"/>
  <c r="U246" i="123"/>
  <c r="U247" i="123"/>
  <c r="U248" i="123"/>
  <c r="U249" i="123"/>
  <c r="U250" i="123"/>
  <c r="U251" i="123"/>
  <c r="U252" i="123"/>
  <c r="U253" i="123"/>
  <c r="U254" i="123"/>
  <c r="U255" i="123"/>
  <c r="U256" i="123"/>
  <c r="U257" i="123"/>
  <c r="U258" i="123"/>
  <c r="U259" i="123"/>
  <c r="U260" i="123"/>
  <c r="U261" i="123"/>
  <c r="U262" i="123"/>
  <c r="U263" i="123"/>
  <c r="U264" i="123"/>
  <c r="U265" i="123"/>
  <c r="U266" i="123"/>
  <c r="U267" i="123"/>
  <c r="U268" i="123"/>
  <c r="U269" i="123"/>
  <c r="U270" i="123"/>
  <c r="U271" i="123"/>
  <c r="U272" i="123"/>
  <c r="U273" i="123"/>
  <c r="U274" i="123"/>
  <c r="U275" i="123"/>
  <c r="U276" i="123"/>
  <c r="U277" i="123"/>
  <c r="U278" i="123"/>
  <c r="U279" i="123"/>
  <c r="U280" i="123"/>
  <c r="U281" i="123"/>
  <c r="U282" i="123"/>
  <c r="U283" i="123"/>
  <c r="U284" i="123"/>
  <c r="U285" i="123"/>
  <c r="U286" i="123"/>
  <c r="U287" i="123"/>
  <c r="U288" i="123"/>
  <c r="U289" i="123"/>
  <c r="U290" i="123"/>
  <c r="U292" i="123"/>
  <c r="U293" i="123"/>
  <c r="U294" i="123"/>
  <c r="U295" i="123"/>
  <c r="U296" i="123"/>
  <c r="U297" i="123"/>
  <c r="U298" i="123"/>
  <c r="U299" i="123"/>
  <c r="U300" i="123"/>
  <c r="U301" i="123"/>
  <c r="U302" i="123"/>
  <c r="U303" i="123"/>
  <c r="U304" i="123"/>
  <c r="U305" i="123"/>
  <c r="U306" i="123"/>
  <c r="U307" i="123"/>
  <c r="U308" i="123"/>
  <c r="U309" i="123"/>
  <c r="U310" i="123"/>
  <c r="U311" i="123"/>
  <c r="U312" i="123"/>
  <c r="U313" i="123"/>
  <c r="U316" i="123"/>
  <c r="U317" i="123"/>
  <c r="U318" i="123"/>
  <c r="U319" i="123"/>
  <c r="U320" i="123"/>
  <c r="U321" i="123"/>
  <c r="U322" i="123"/>
  <c r="U323" i="123"/>
  <c r="U324" i="123"/>
  <c r="U332" i="123"/>
  <c r="U333" i="123"/>
  <c r="U334" i="123"/>
  <c r="U335" i="123"/>
  <c r="U336" i="123"/>
  <c r="U337" i="123"/>
  <c r="U338" i="123"/>
  <c r="U339" i="123"/>
  <c r="U341" i="123"/>
  <c r="U342" i="123"/>
  <c r="U343" i="123"/>
  <c r="U344" i="123"/>
  <c r="U345" i="123"/>
  <c r="U346" i="123"/>
  <c r="U347" i="123"/>
  <c r="U348" i="123"/>
  <c r="U349" i="123"/>
  <c r="U350" i="123"/>
  <c r="U351" i="123"/>
  <c r="U353" i="123"/>
  <c r="U354" i="123"/>
  <c r="U355" i="123"/>
  <c r="U356" i="123"/>
  <c r="U357" i="123"/>
  <c r="U358" i="123"/>
  <c r="U359" i="123"/>
  <c r="U360" i="123"/>
  <c r="U361" i="123"/>
  <c r="U362" i="123"/>
  <c r="U363" i="123"/>
  <c r="U364" i="123"/>
  <c r="U365" i="123"/>
  <c r="U366" i="123"/>
  <c r="U367" i="123"/>
  <c r="U368" i="123"/>
  <c r="U369" i="123"/>
  <c r="U370" i="123"/>
  <c r="U371" i="123"/>
  <c r="U372" i="123"/>
  <c r="U373" i="123"/>
  <c r="U374" i="123"/>
  <c r="U375" i="123"/>
  <c r="U376" i="123"/>
  <c r="U377" i="123"/>
  <c r="U378" i="123"/>
  <c r="U379" i="123"/>
  <c r="U380" i="123"/>
  <c r="U381" i="123"/>
  <c r="U382" i="123"/>
  <c r="U383" i="123"/>
  <c r="U384" i="123"/>
  <c r="U385" i="123"/>
  <c r="U386" i="123"/>
  <c r="U387" i="123"/>
  <c r="U388" i="123"/>
  <c r="U389" i="123"/>
  <c r="U390" i="123"/>
  <c r="U391" i="123"/>
  <c r="U392" i="123"/>
  <c r="U393" i="123"/>
  <c r="U394" i="123"/>
  <c r="U395" i="123"/>
  <c r="U396" i="123"/>
  <c r="U397" i="123"/>
  <c r="U398" i="123"/>
  <c r="U399" i="123"/>
  <c r="U400" i="123"/>
  <c r="U401" i="123"/>
  <c r="U402" i="123"/>
  <c r="U403" i="123"/>
  <c r="U404" i="123"/>
  <c r="U405" i="123"/>
  <c r="U406" i="123"/>
  <c r="U407" i="123"/>
  <c r="U408" i="123"/>
  <c r="U409" i="123"/>
  <c r="U410" i="123"/>
  <c r="U411" i="123"/>
  <c r="U412" i="123"/>
  <c r="U413" i="123"/>
  <c r="U414" i="123"/>
  <c r="U415" i="123"/>
  <c r="U416" i="123"/>
  <c r="U417" i="123"/>
  <c r="U418" i="123"/>
  <c r="U419" i="123"/>
  <c r="U420" i="123"/>
  <c r="U421" i="123"/>
  <c r="U422" i="123"/>
  <c r="U423" i="123"/>
  <c r="U424" i="123"/>
  <c r="U425" i="123"/>
  <c r="U426" i="123"/>
  <c r="U427" i="123"/>
  <c r="U428" i="123"/>
  <c r="U429" i="123"/>
  <c r="U430" i="123"/>
  <c r="U431" i="123"/>
  <c r="U432" i="123"/>
  <c r="U433" i="123"/>
  <c r="U434" i="123"/>
  <c r="U435" i="123"/>
  <c r="U436" i="123"/>
  <c r="U437" i="123"/>
  <c r="U438" i="123"/>
  <c r="U439" i="123"/>
  <c r="U440" i="123"/>
  <c r="U441" i="123"/>
  <c r="U442" i="123"/>
  <c r="U443" i="123"/>
  <c r="U444" i="123"/>
  <c r="U445" i="123"/>
  <c r="U446" i="123"/>
  <c r="U447" i="123"/>
  <c r="U448" i="123"/>
  <c r="U449" i="123"/>
  <c r="U450" i="123"/>
  <c r="U451" i="123"/>
  <c r="U452" i="123"/>
  <c r="U453" i="123"/>
  <c r="U454" i="123"/>
  <c r="U455" i="123"/>
  <c r="U456" i="123"/>
  <c r="U457" i="123"/>
  <c r="U458" i="123"/>
  <c r="U459" i="123"/>
  <c r="U460" i="123"/>
  <c r="U461" i="123"/>
  <c r="U462" i="123"/>
  <c r="U463" i="123"/>
  <c r="U464" i="123"/>
  <c r="U465" i="123"/>
  <c r="U466" i="123"/>
  <c r="U467" i="123"/>
  <c r="U468" i="123"/>
  <c r="U469" i="123"/>
  <c r="U470" i="123"/>
  <c r="U471" i="123"/>
  <c r="U472" i="123"/>
  <c r="U473" i="123"/>
  <c r="U474" i="123"/>
  <c r="U475" i="123"/>
  <c r="U476" i="123"/>
  <c r="U477" i="123"/>
  <c r="U478" i="123"/>
  <c r="U479" i="123"/>
  <c r="U480" i="123"/>
  <c r="U481" i="123"/>
  <c r="U482" i="123"/>
  <c r="U483" i="123"/>
  <c r="U484" i="123"/>
  <c r="U485" i="123"/>
  <c r="U486" i="123"/>
  <c r="U487" i="123"/>
  <c r="U488" i="123"/>
  <c r="U489" i="123"/>
  <c r="U490" i="123"/>
  <c r="U491" i="123"/>
  <c r="U492" i="123"/>
  <c r="U493" i="123"/>
  <c r="U494" i="123"/>
  <c r="U495" i="123"/>
  <c r="U496" i="123"/>
  <c r="U497" i="123"/>
  <c r="U498" i="123"/>
  <c r="U499" i="123"/>
  <c r="U500" i="123"/>
  <c r="U501" i="123"/>
  <c r="U2" i="123"/>
  <c r="AA153" i="1"/>
  <c r="AA157" i="1"/>
  <c r="AA155" i="1"/>
  <c r="AA156" i="1"/>
  <c r="AA152" i="1"/>
  <c r="AP107" i="142"/>
  <c r="AP108" i="142" l="1"/>
  <c r="AR97" i="142"/>
  <c r="AA154" i="1"/>
  <c r="C6" i="169" s="1"/>
  <c r="AA158" i="1"/>
  <c r="AR107" i="142"/>
  <c r="AQ107" i="142"/>
  <c r="AR108" i="142" l="1"/>
  <c r="AQ108" i="142"/>
  <c r="N225" i="123"/>
  <c r="Q225" i="123"/>
  <c r="N215" i="123"/>
  <c r="Q215" i="123"/>
  <c r="N303" i="123" l="1"/>
  <c r="AX8" i="60" l="1"/>
  <c r="AX5" i="60"/>
  <c r="AX6" i="60"/>
  <c r="AX9" i="60"/>
  <c r="AX7" i="60" l="1"/>
  <c r="AX10" i="60"/>
  <c r="N31" i="133"/>
  <c r="N30" i="133"/>
  <c r="N28" i="133"/>
  <c r="N26" i="133"/>
  <c r="N25" i="133"/>
  <c r="N24" i="133"/>
  <c r="L31" i="133"/>
  <c r="L30" i="133"/>
  <c r="L28" i="133"/>
  <c r="L26" i="133"/>
  <c r="L25" i="133"/>
  <c r="L24" i="133"/>
  <c r="K31" i="133"/>
  <c r="K30" i="133"/>
  <c r="K28" i="133"/>
  <c r="K26" i="133"/>
  <c r="K24" i="133"/>
  <c r="I31" i="133"/>
  <c r="I30" i="133"/>
  <c r="I28" i="133"/>
  <c r="I26" i="133"/>
  <c r="I25" i="133"/>
  <c r="I24" i="133"/>
  <c r="K25" i="133" l="1"/>
  <c r="C66" i="159" l="1"/>
  <c r="AA135" i="154"/>
  <c r="Q135" i="154"/>
  <c r="R135" i="154"/>
  <c r="S135" i="154"/>
  <c r="T135" i="154"/>
  <c r="U135" i="154"/>
  <c r="V135" i="154"/>
  <c r="W135" i="154"/>
  <c r="X135" i="154"/>
  <c r="Y135" i="154"/>
  <c r="Z135" i="154"/>
  <c r="P135" i="154"/>
  <c r="M764" i="136" l="1"/>
  <c r="AA69" i="1"/>
  <c r="Q300" i="123" l="1"/>
  <c r="Q301" i="123"/>
  <c r="Q303" i="123"/>
  <c r="Q304" i="123"/>
  <c r="Q305" i="123"/>
  <c r="Q306" i="123"/>
  <c r="Q307" i="123"/>
  <c r="Q308" i="123"/>
  <c r="Q309" i="123"/>
  <c r="Q310" i="123"/>
  <c r="Q311" i="123"/>
  <c r="G1" i="156" l="1"/>
  <c r="G1" i="176" l="1"/>
  <c r="G1" i="174"/>
  <c r="C75" i="163"/>
  <c r="I116" i="174"/>
  <c r="H116" i="174"/>
  <c r="G116" i="174"/>
  <c r="H254" i="174" l="1"/>
  <c r="H148" i="176" s="1"/>
  <c r="H244" i="174"/>
  <c r="I254" i="174"/>
  <c r="I148" i="176" s="1"/>
  <c r="I244" i="174"/>
  <c r="R117" i="174"/>
  <c r="S117" i="174" s="1"/>
  <c r="U117" i="174" s="1"/>
  <c r="W117" i="174" s="1"/>
  <c r="V117" i="174" s="1"/>
  <c r="P120" i="174"/>
  <c r="P124" i="174"/>
  <c r="P127" i="174"/>
  <c r="Q116" i="174"/>
  <c r="P116" i="174"/>
  <c r="P119" i="174"/>
  <c r="P121" i="174"/>
  <c r="P126" i="174"/>
  <c r="R95" i="174"/>
  <c r="S95" i="174" s="1"/>
  <c r="U95" i="174" s="1"/>
  <c r="R79" i="174"/>
  <c r="S79" i="174" s="1"/>
  <c r="U79" i="174" s="1"/>
  <c r="R63" i="174"/>
  <c r="S63" i="174" s="1"/>
  <c r="U63" i="174" s="1"/>
  <c r="R47" i="174"/>
  <c r="S47" i="174" s="1"/>
  <c r="U47" i="174" s="1"/>
  <c r="R31" i="174"/>
  <c r="S31" i="174" s="1"/>
  <c r="U31" i="174" s="1"/>
  <c r="R15" i="174"/>
  <c r="S15" i="174" s="1"/>
  <c r="U15" i="174" s="1"/>
  <c r="R103" i="174"/>
  <c r="S103" i="174" s="1"/>
  <c r="U103" i="174" s="1"/>
  <c r="R87" i="174"/>
  <c r="S87" i="174" s="1"/>
  <c r="U87" i="174" s="1"/>
  <c r="R71" i="174"/>
  <c r="S71" i="174" s="1"/>
  <c r="U71" i="174" s="1"/>
  <c r="R55" i="174"/>
  <c r="S55" i="174" s="1"/>
  <c r="U55" i="174" s="1"/>
  <c r="R39" i="174"/>
  <c r="S39" i="174" s="1"/>
  <c r="U39" i="174" s="1"/>
  <c r="R23" i="174"/>
  <c r="S23" i="174" s="1"/>
  <c r="U23" i="174" s="1"/>
  <c r="R7" i="174"/>
  <c r="S7" i="174" s="1"/>
  <c r="U7" i="174" s="1"/>
  <c r="F74" i="176"/>
  <c r="P24" i="176"/>
  <c r="Q25" i="176"/>
  <c r="P26" i="176"/>
  <c r="Q27" i="176"/>
  <c r="Q24" i="176"/>
  <c r="P25" i="176"/>
  <c r="Q26" i="176"/>
  <c r="P27" i="176"/>
  <c r="H107" i="174"/>
  <c r="J107" i="174"/>
  <c r="L107" i="174"/>
  <c r="N107" i="174"/>
  <c r="P107" i="174"/>
  <c r="P118" i="174" s="1"/>
  <c r="F107" i="174"/>
  <c r="G107" i="174"/>
  <c r="I107" i="174"/>
  <c r="K107" i="174"/>
  <c r="M107" i="174"/>
  <c r="O107" i="174"/>
  <c r="Q107" i="174"/>
  <c r="F57" i="163"/>
  <c r="F56" i="163"/>
  <c r="I74" i="176"/>
  <c r="J74" i="176"/>
  <c r="K74" i="176"/>
  <c r="L74" i="176"/>
  <c r="M74" i="176"/>
  <c r="N74" i="176"/>
  <c r="O74" i="176"/>
  <c r="P3" i="176"/>
  <c r="P7" i="176"/>
  <c r="P79" i="176" s="1"/>
  <c r="P11" i="176"/>
  <c r="P16" i="176"/>
  <c r="P22" i="176"/>
  <c r="P32" i="176"/>
  <c r="P37" i="176"/>
  <c r="P41" i="176"/>
  <c r="P46" i="176"/>
  <c r="P51" i="176"/>
  <c r="P56" i="176"/>
  <c r="P62" i="176"/>
  <c r="P67" i="176"/>
  <c r="P71" i="176"/>
  <c r="P85" i="176"/>
  <c r="P6" i="176"/>
  <c r="P12" i="176"/>
  <c r="P17" i="176"/>
  <c r="P21" i="176"/>
  <c r="P31" i="176"/>
  <c r="P36" i="176"/>
  <c r="P42" i="176"/>
  <c r="P47" i="176"/>
  <c r="P52" i="176"/>
  <c r="P57" i="176"/>
  <c r="P61" i="176"/>
  <c r="P66" i="176"/>
  <c r="P72" i="176"/>
  <c r="P80" i="176"/>
  <c r="P5" i="176"/>
  <c r="P9" i="176"/>
  <c r="P14" i="176"/>
  <c r="P20" i="176"/>
  <c r="P30" i="176"/>
  <c r="P35" i="176"/>
  <c r="P39" i="176"/>
  <c r="P44" i="176"/>
  <c r="P49" i="176"/>
  <c r="P54" i="176"/>
  <c r="P60" i="176"/>
  <c r="P65" i="176"/>
  <c r="P69" i="176"/>
  <c r="P82" i="176"/>
  <c r="P4" i="176"/>
  <c r="P10" i="176"/>
  <c r="P15" i="176"/>
  <c r="P19" i="176"/>
  <c r="P29" i="176"/>
  <c r="P34" i="176"/>
  <c r="P40" i="176"/>
  <c r="P45" i="176"/>
  <c r="P50" i="176"/>
  <c r="P55" i="176"/>
  <c r="P59" i="176"/>
  <c r="P64" i="176"/>
  <c r="P70" i="176"/>
  <c r="P74" i="176"/>
  <c r="P83" i="176"/>
  <c r="Q4" i="176"/>
  <c r="Q10" i="176"/>
  <c r="Q15" i="176"/>
  <c r="Q19" i="176"/>
  <c r="Q29" i="176"/>
  <c r="Q34" i="176"/>
  <c r="Q40" i="176"/>
  <c r="Q45" i="176"/>
  <c r="Q50" i="176"/>
  <c r="Q55" i="176"/>
  <c r="Q59" i="176"/>
  <c r="Q64" i="176"/>
  <c r="Q70" i="176"/>
  <c r="Q74" i="176"/>
  <c r="Q83" i="176"/>
  <c r="Q5" i="176"/>
  <c r="Q9" i="176"/>
  <c r="Q14" i="176"/>
  <c r="Q20" i="176"/>
  <c r="Q30" i="176"/>
  <c r="Q35" i="176"/>
  <c r="Q39" i="176"/>
  <c r="Q44" i="176"/>
  <c r="Q49" i="176"/>
  <c r="Q54" i="176"/>
  <c r="Q60" i="176"/>
  <c r="Q65" i="176"/>
  <c r="Q69" i="176"/>
  <c r="Q82" i="176"/>
  <c r="Q6" i="176"/>
  <c r="Q12" i="176"/>
  <c r="Q17" i="176"/>
  <c r="Q21" i="176"/>
  <c r="Q31" i="176"/>
  <c r="Q36" i="176"/>
  <c r="Q42" i="176"/>
  <c r="Q47" i="176"/>
  <c r="Q52" i="176"/>
  <c r="Q57" i="176"/>
  <c r="Q61" i="176"/>
  <c r="Q66" i="176"/>
  <c r="Q72" i="176"/>
  <c r="Q80" i="176"/>
  <c r="Q3" i="176"/>
  <c r="Q7" i="176"/>
  <c r="Q79" i="176" s="1"/>
  <c r="Q11" i="176"/>
  <c r="Q16" i="176"/>
  <c r="Q22" i="176"/>
  <c r="Q32" i="176"/>
  <c r="Q37" i="176"/>
  <c r="Q41" i="176"/>
  <c r="Q46" i="176"/>
  <c r="Q51" i="176"/>
  <c r="Q56" i="176"/>
  <c r="Q62" i="176"/>
  <c r="Q67" i="176"/>
  <c r="Q71" i="176"/>
  <c r="Q85" i="176"/>
  <c r="H74" i="176"/>
  <c r="G74" i="176"/>
  <c r="P3" i="174"/>
  <c r="P12" i="174"/>
  <c r="P19" i="174"/>
  <c r="P28" i="174"/>
  <c r="P35" i="174"/>
  <c r="P6" i="174"/>
  <c r="P13" i="174"/>
  <c r="P22" i="174"/>
  <c r="P29" i="174"/>
  <c r="P44" i="174"/>
  <c r="P51" i="174"/>
  <c r="P60" i="174"/>
  <c r="P67" i="174"/>
  <c r="P38" i="174"/>
  <c r="P45" i="174"/>
  <c r="P54" i="174"/>
  <c r="P61" i="174"/>
  <c r="P69" i="174"/>
  <c r="P78" i="174"/>
  <c r="P85" i="174"/>
  <c r="P94" i="174"/>
  <c r="P101" i="174"/>
  <c r="P75" i="174"/>
  <c r="P84" i="174"/>
  <c r="P91" i="174"/>
  <c r="P100" i="174"/>
  <c r="P5" i="174"/>
  <c r="P14" i="174"/>
  <c r="P21" i="174"/>
  <c r="P30" i="174"/>
  <c r="P4" i="174"/>
  <c r="P11" i="174"/>
  <c r="P16" i="174" s="1"/>
  <c r="P20" i="174"/>
  <c r="P27" i="174"/>
  <c r="P32" i="174" s="1"/>
  <c r="P37" i="174"/>
  <c r="P46" i="174"/>
  <c r="P53" i="174"/>
  <c r="P62" i="174"/>
  <c r="P36" i="174"/>
  <c r="P43" i="174"/>
  <c r="P48" i="174" s="1"/>
  <c r="P52" i="174"/>
  <c r="P59" i="174"/>
  <c r="P64" i="174" s="1"/>
  <c r="P68" i="174"/>
  <c r="P76" i="174"/>
  <c r="P83" i="174"/>
  <c r="P92" i="174"/>
  <c r="P99" i="174"/>
  <c r="P70" i="174"/>
  <c r="P77" i="174"/>
  <c r="P86" i="174"/>
  <c r="P93" i="174"/>
  <c r="P102" i="174"/>
  <c r="P115" i="174"/>
  <c r="Q6" i="174"/>
  <c r="Q13" i="174"/>
  <c r="Q22" i="174"/>
  <c r="Q29" i="174"/>
  <c r="Q5" i="174"/>
  <c r="Q14" i="174"/>
  <c r="Q21" i="174"/>
  <c r="Q30" i="174"/>
  <c r="Q36" i="174"/>
  <c r="Q43" i="174"/>
  <c r="Q52" i="174"/>
  <c r="Q59" i="174"/>
  <c r="Q68" i="174"/>
  <c r="Q44" i="174"/>
  <c r="Q51" i="174"/>
  <c r="Q60" i="174"/>
  <c r="Q67" i="174"/>
  <c r="Q75" i="174"/>
  <c r="Q84" i="174"/>
  <c r="Q91" i="174"/>
  <c r="Q100" i="174"/>
  <c r="Q118" i="174"/>
  <c r="Q69" i="174"/>
  <c r="Q78" i="174"/>
  <c r="Q85" i="174"/>
  <c r="Q94" i="174"/>
  <c r="Q101" i="174"/>
  <c r="Q4" i="174"/>
  <c r="Q11" i="174"/>
  <c r="Q20" i="174"/>
  <c r="Q27" i="174"/>
  <c r="Q3" i="174"/>
  <c r="Q12" i="174"/>
  <c r="Q19" i="174"/>
  <c r="Q28" i="174"/>
  <c r="Q35" i="174"/>
  <c r="Q38" i="174"/>
  <c r="Q45" i="174"/>
  <c r="Q54" i="174"/>
  <c r="Q61" i="174"/>
  <c r="Q37" i="174"/>
  <c r="Q46" i="174"/>
  <c r="Q53" i="174"/>
  <c r="Q62" i="174"/>
  <c r="Q70" i="174"/>
  <c r="Q77" i="174"/>
  <c r="Q86" i="174"/>
  <c r="Q93" i="174"/>
  <c r="Q102" i="174"/>
  <c r="Q115" i="174"/>
  <c r="Q76" i="174"/>
  <c r="Q83" i="174"/>
  <c r="Q92" i="174"/>
  <c r="Q99" i="174"/>
  <c r="I232" i="174"/>
  <c r="I256" i="174" s="1"/>
  <c r="I234" i="174"/>
  <c r="I128" i="176" s="1"/>
  <c r="I236" i="174"/>
  <c r="I130" i="176" s="1"/>
  <c r="I238" i="174"/>
  <c r="I132" i="176" s="1"/>
  <c r="I240" i="174"/>
  <c r="I134" i="176" s="1"/>
  <c r="I242" i="174"/>
  <c r="I138" i="176"/>
  <c r="I248" i="174"/>
  <c r="I142" i="176" s="1"/>
  <c r="I250" i="174"/>
  <c r="I144" i="176" s="1"/>
  <c r="I252" i="174"/>
  <c r="I146" i="176" s="1"/>
  <c r="H232" i="174"/>
  <c r="H256" i="174" s="1"/>
  <c r="H234" i="174"/>
  <c r="H128" i="176" s="1"/>
  <c r="H236" i="174"/>
  <c r="H130" i="176" s="1"/>
  <c r="H238" i="174"/>
  <c r="H132" i="176" s="1"/>
  <c r="H240" i="174"/>
  <c r="H134" i="176" s="1"/>
  <c r="H242" i="174"/>
  <c r="H138" i="176"/>
  <c r="H248" i="174"/>
  <c r="H142" i="176" s="1"/>
  <c r="H250" i="174"/>
  <c r="H144" i="176" s="1"/>
  <c r="H252" i="174"/>
  <c r="H146" i="176" s="1"/>
  <c r="Q119" i="174"/>
  <c r="Q126" i="174"/>
  <c r="Q127" i="174"/>
  <c r="Q124" i="174"/>
  <c r="F73" i="163"/>
  <c r="F39" i="163"/>
  <c r="F74" i="163"/>
  <c r="F40" i="163"/>
  <c r="Q120" i="174"/>
  <c r="Q121" i="174"/>
  <c r="R25" i="174"/>
  <c r="S25" i="174" s="1"/>
  <c r="U25" i="174" s="1"/>
  <c r="R57" i="174"/>
  <c r="S57" i="174" s="1"/>
  <c r="U57" i="174" s="1"/>
  <c r="R113" i="174"/>
  <c r="S113" i="174" s="1"/>
  <c r="U113" i="174" s="1"/>
  <c r="R105" i="174"/>
  <c r="S105" i="174" s="1"/>
  <c r="U105" i="174" s="1"/>
  <c r="R97" i="174"/>
  <c r="S97" i="174" s="1"/>
  <c r="U97" i="174" s="1"/>
  <c r="R9" i="174"/>
  <c r="S9" i="174" s="1"/>
  <c r="U9" i="174" s="1"/>
  <c r="R41" i="174"/>
  <c r="S41" i="174" s="1"/>
  <c r="U41" i="174" s="1"/>
  <c r="R73" i="174"/>
  <c r="S73" i="174" s="1"/>
  <c r="U73" i="174" s="1"/>
  <c r="R89" i="174"/>
  <c r="S89" i="174" s="1"/>
  <c r="U89" i="174" s="1"/>
  <c r="R33" i="174"/>
  <c r="S33" i="174" s="1"/>
  <c r="U33" i="174" s="1"/>
  <c r="R49" i="174"/>
  <c r="S49" i="174" s="1"/>
  <c r="U49" i="174" s="1"/>
  <c r="R65" i="174"/>
  <c r="S65" i="174" s="1"/>
  <c r="U65" i="174" s="1"/>
  <c r="R81" i="174"/>
  <c r="S81" i="174" s="1"/>
  <c r="U81" i="174" s="1"/>
  <c r="R17" i="174"/>
  <c r="E1" i="116"/>
  <c r="D2" i="116"/>
  <c r="O27" i="176"/>
  <c r="O24" i="176"/>
  <c r="O118" i="174"/>
  <c r="O12" i="174"/>
  <c r="O4" i="176"/>
  <c r="O15" i="176"/>
  <c r="O29" i="176"/>
  <c r="O40" i="176"/>
  <c r="O50" i="176"/>
  <c r="O59" i="176"/>
  <c r="O70" i="176"/>
  <c r="O83" i="176"/>
  <c r="O9" i="176"/>
  <c r="O20" i="176"/>
  <c r="O35" i="176"/>
  <c r="O44" i="176"/>
  <c r="O54" i="176"/>
  <c r="O65" i="176"/>
  <c r="O82" i="176"/>
  <c r="O12" i="176"/>
  <c r="O21" i="176"/>
  <c r="O36" i="176"/>
  <c r="O47" i="176"/>
  <c r="O57" i="176"/>
  <c r="O66" i="176"/>
  <c r="O80" i="176"/>
  <c r="O7" i="176"/>
  <c r="O16" i="176"/>
  <c r="O32" i="176"/>
  <c r="O41" i="176"/>
  <c r="O51" i="176"/>
  <c r="O62" i="176"/>
  <c r="O71" i="176"/>
  <c r="O6" i="174"/>
  <c r="O22" i="174"/>
  <c r="O5" i="174"/>
  <c r="O21" i="174"/>
  <c r="O36" i="174"/>
  <c r="O52" i="174"/>
  <c r="O68" i="174"/>
  <c r="O51" i="174"/>
  <c r="O67" i="174"/>
  <c r="O84" i="174"/>
  <c r="O100" i="174"/>
  <c r="O11" i="174"/>
  <c r="O27" i="174"/>
  <c r="O19" i="174"/>
  <c r="O35" i="174"/>
  <c r="O45" i="174"/>
  <c r="O61" i="174"/>
  <c r="O46" i="174"/>
  <c r="O62" i="174"/>
  <c r="O77" i="174"/>
  <c r="O93" i="174"/>
  <c r="O115" i="174"/>
  <c r="O78" i="174"/>
  <c r="O94" i="174"/>
  <c r="O76" i="174"/>
  <c r="O92" i="174"/>
  <c r="O121" i="174"/>
  <c r="O116" i="174"/>
  <c r="O25" i="176"/>
  <c r="O26" i="176"/>
  <c r="O10" i="176"/>
  <c r="O19" i="176"/>
  <c r="O34" i="176"/>
  <c r="O45" i="176"/>
  <c r="O55" i="176"/>
  <c r="O64" i="176"/>
  <c r="O5" i="176"/>
  <c r="O14" i="176"/>
  <c r="O30" i="176"/>
  <c r="O39" i="176"/>
  <c r="O49" i="176"/>
  <c r="O60" i="176"/>
  <c r="O69" i="176"/>
  <c r="O6" i="176"/>
  <c r="O17" i="176"/>
  <c r="O31" i="176"/>
  <c r="O42" i="176"/>
  <c r="O52" i="176"/>
  <c r="O61" i="176"/>
  <c r="O72" i="176"/>
  <c r="O3" i="176"/>
  <c r="O11" i="176"/>
  <c r="O22" i="176"/>
  <c r="O37" i="176"/>
  <c r="O46" i="176"/>
  <c r="O56" i="176"/>
  <c r="O67" i="176"/>
  <c r="O85" i="176"/>
  <c r="O13" i="174"/>
  <c r="O29" i="174"/>
  <c r="O14" i="174"/>
  <c r="O30" i="174"/>
  <c r="O43" i="174"/>
  <c r="O59" i="174"/>
  <c r="O44" i="174"/>
  <c r="O60" i="174"/>
  <c r="O75" i="174"/>
  <c r="O91" i="174"/>
  <c r="O4" i="174"/>
  <c r="O20" i="174"/>
  <c r="O3" i="174"/>
  <c r="O28" i="174"/>
  <c r="O38" i="174"/>
  <c r="O54" i="174"/>
  <c r="O37" i="174"/>
  <c r="O53" i="174"/>
  <c r="O70" i="174"/>
  <c r="O86" i="174"/>
  <c r="O102" i="174"/>
  <c r="O69" i="174"/>
  <c r="O85" i="174"/>
  <c r="O101" i="174"/>
  <c r="O83" i="174"/>
  <c r="O99" i="174"/>
  <c r="O119" i="174"/>
  <c r="O126" i="174"/>
  <c r="O127" i="174"/>
  <c r="O124" i="174"/>
  <c r="O120" i="174"/>
  <c r="N24" i="176"/>
  <c r="N26" i="176"/>
  <c r="N25" i="176"/>
  <c r="N27" i="176"/>
  <c r="N3" i="176"/>
  <c r="N11" i="176"/>
  <c r="N22" i="176"/>
  <c r="N37" i="176"/>
  <c r="N46" i="176"/>
  <c r="N56" i="176"/>
  <c r="N67" i="176"/>
  <c r="N85" i="176"/>
  <c r="N12" i="176"/>
  <c r="N21" i="176"/>
  <c r="N36" i="176"/>
  <c r="N47" i="176"/>
  <c r="N57" i="176"/>
  <c r="N66" i="176"/>
  <c r="N80" i="176"/>
  <c r="N9" i="176"/>
  <c r="N20" i="176"/>
  <c r="N35" i="176"/>
  <c r="N44" i="176"/>
  <c r="N54" i="176"/>
  <c r="N65" i="176"/>
  <c r="N82" i="176"/>
  <c r="N10" i="176"/>
  <c r="N19" i="176"/>
  <c r="N34" i="176"/>
  <c r="N45" i="176"/>
  <c r="N55" i="176"/>
  <c r="N64" i="176"/>
  <c r="N5" i="174"/>
  <c r="N21" i="174"/>
  <c r="N4" i="174"/>
  <c r="N20" i="174"/>
  <c r="N37" i="174"/>
  <c r="N38" i="174"/>
  <c r="N83" i="174"/>
  <c r="N12" i="174"/>
  <c r="N28" i="174"/>
  <c r="N6" i="174"/>
  <c r="N22" i="174"/>
  <c r="N44" i="174"/>
  <c r="N60" i="174"/>
  <c r="N36" i="174"/>
  <c r="N52" i="174"/>
  <c r="N68" i="174"/>
  <c r="N85" i="174"/>
  <c r="N101" i="174"/>
  <c r="N77" i="174"/>
  <c r="N93" i="174"/>
  <c r="N115" i="174"/>
  <c r="N62" i="174"/>
  <c r="N45" i="174"/>
  <c r="N76" i="174"/>
  <c r="N99" i="174"/>
  <c r="N84" i="174"/>
  <c r="N100" i="174"/>
  <c r="N126" i="174"/>
  <c r="N124" i="174"/>
  <c r="N121" i="174"/>
  <c r="N116" i="174"/>
  <c r="N118" i="174"/>
  <c r="N7" i="176"/>
  <c r="N16" i="176"/>
  <c r="N32" i="176"/>
  <c r="N41" i="176"/>
  <c r="N51" i="176"/>
  <c r="N62" i="176"/>
  <c r="N71" i="176"/>
  <c r="N6" i="176"/>
  <c r="N17" i="176"/>
  <c r="N31" i="176"/>
  <c r="N42" i="176"/>
  <c r="N52" i="176"/>
  <c r="N61" i="176"/>
  <c r="N72" i="176"/>
  <c r="N5" i="176"/>
  <c r="N14" i="176"/>
  <c r="N30" i="176"/>
  <c r="N39" i="176"/>
  <c r="N49" i="176"/>
  <c r="N60" i="176"/>
  <c r="N69" i="176"/>
  <c r="N4" i="176"/>
  <c r="N15" i="176"/>
  <c r="N29" i="176"/>
  <c r="N40" i="176"/>
  <c r="N50" i="176"/>
  <c r="N59" i="176"/>
  <c r="N70" i="176"/>
  <c r="N83" i="176"/>
  <c r="N14" i="174"/>
  <c r="N30" i="174"/>
  <c r="N11" i="174"/>
  <c r="N27" i="174"/>
  <c r="N53" i="174"/>
  <c r="N54" i="174"/>
  <c r="N3" i="174"/>
  <c r="N19" i="174"/>
  <c r="N35" i="174"/>
  <c r="N13" i="174"/>
  <c r="N29" i="174"/>
  <c r="N51" i="174"/>
  <c r="N67" i="174"/>
  <c r="N43" i="174"/>
  <c r="N59" i="174"/>
  <c r="N78" i="174"/>
  <c r="N94" i="174"/>
  <c r="N70" i="174"/>
  <c r="N86" i="174"/>
  <c r="N102" i="174"/>
  <c r="N46" i="174"/>
  <c r="N69" i="174"/>
  <c r="N61" i="174"/>
  <c r="N92" i="174"/>
  <c r="N75" i="174"/>
  <c r="N91" i="174"/>
  <c r="N119" i="174"/>
  <c r="N127" i="174"/>
  <c r="N120" i="174"/>
  <c r="M69" i="176"/>
  <c r="M13" i="174"/>
  <c r="M45" i="174"/>
  <c r="M24" i="176"/>
  <c r="M12" i="176"/>
  <c r="M5" i="174"/>
  <c r="M37" i="174"/>
  <c r="L99" i="174"/>
  <c r="L94" i="174"/>
  <c r="L115" i="174"/>
  <c r="L42" i="176"/>
  <c r="L61" i="176"/>
  <c r="L92" i="174"/>
  <c r="L46" i="174"/>
  <c r="L54" i="174"/>
  <c r="M39" i="176"/>
  <c r="M56" i="176"/>
  <c r="M3" i="174"/>
  <c r="M120" i="174"/>
  <c r="M54" i="176"/>
  <c r="M71" i="176"/>
  <c r="M28" i="174"/>
  <c r="L4" i="174"/>
  <c r="L55" i="176"/>
  <c r="L7" i="176"/>
  <c r="L102" i="174"/>
  <c r="L5" i="174"/>
  <c r="L3" i="174"/>
  <c r="L82" i="176"/>
  <c r="L49" i="176"/>
  <c r="M34" i="176"/>
  <c r="M61" i="176"/>
  <c r="M76" i="174"/>
  <c r="M80" i="176"/>
  <c r="M99" i="174"/>
  <c r="L43" i="174"/>
  <c r="L3" i="176"/>
  <c r="L5" i="176"/>
  <c r="M118" i="174"/>
  <c r="M30" i="174"/>
  <c r="M29" i="176"/>
  <c r="M52" i="174"/>
  <c r="L69" i="174"/>
  <c r="L75" i="174"/>
  <c r="L118" i="174"/>
  <c r="L26" i="176"/>
  <c r="M14" i="174"/>
  <c r="M15" i="176"/>
  <c r="M36" i="174"/>
  <c r="L127" i="174"/>
  <c r="L101" i="174"/>
  <c r="L51" i="176"/>
  <c r="L34" i="176"/>
  <c r="M60" i="176"/>
  <c r="M35" i="174"/>
  <c r="M82" i="176"/>
  <c r="M54" i="174"/>
  <c r="L27" i="174"/>
  <c r="L124" i="174"/>
  <c r="L116" i="174"/>
  <c r="L70" i="174"/>
  <c r="M30" i="176"/>
  <c r="M46" i="176"/>
  <c r="M20" i="174"/>
  <c r="M124" i="174"/>
  <c r="M44" i="176"/>
  <c r="M62" i="176"/>
  <c r="M12" i="174"/>
  <c r="L35" i="176"/>
  <c r="L11" i="174"/>
  <c r="L46" i="176"/>
  <c r="L28" i="174"/>
  <c r="L80" i="176"/>
  <c r="L15" i="176"/>
  <c r="L71" i="176"/>
  <c r="L52" i="174"/>
  <c r="M64" i="176"/>
  <c r="M11" i="176"/>
  <c r="M86" i="174"/>
  <c r="M85" i="174"/>
  <c r="M9" i="176"/>
  <c r="M32" i="176"/>
  <c r="M101" i="174"/>
  <c r="M127" i="174"/>
  <c r="L36" i="176"/>
  <c r="L40" i="176"/>
  <c r="L93" i="174"/>
  <c r="L85" i="176"/>
  <c r="L4" i="176"/>
  <c r="L62" i="174"/>
  <c r="L53" i="174"/>
  <c r="M26" i="176"/>
  <c r="M17" i="176"/>
  <c r="M19" i="174"/>
  <c r="M65" i="176"/>
  <c r="M38" i="174"/>
  <c r="L54" i="176"/>
  <c r="L21" i="174"/>
  <c r="L83" i="174"/>
  <c r="L69" i="176"/>
  <c r="M37" i="176"/>
  <c r="M126" i="174"/>
  <c r="M51" i="176"/>
  <c r="L24" i="176"/>
  <c r="L27" i="176"/>
  <c r="L50" i="176"/>
  <c r="L56" i="176"/>
  <c r="M22" i="176"/>
  <c r="M119" i="174"/>
  <c r="M41" i="176"/>
  <c r="M121" i="174"/>
  <c r="L44" i="174"/>
  <c r="L64" i="176"/>
  <c r="L68" i="174"/>
  <c r="M45" i="176"/>
  <c r="M60" i="174"/>
  <c r="M70" i="176"/>
  <c r="M77" i="174"/>
  <c r="L119" i="174"/>
  <c r="L22" i="176"/>
  <c r="L65" i="176"/>
  <c r="L30" i="174"/>
  <c r="M55" i="176"/>
  <c r="M3" i="176"/>
  <c r="M70" i="174"/>
  <c r="M93" i="174"/>
  <c r="M83" i="176"/>
  <c r="M16" i="176"/>
  <c r="M102" i="174"/>
  <c r="M94" i="174"/>
  <c r="L14" i="176"/>
  <c r="L12" i="176"/>
  <c r="L10" i="176"/>
  <c r="L31" i="176"/>
  <c r="L16" i="176"/>
  <c r="L77" i="174"/>
  <c r="L66" i="176"/>
  <c r="M19" i="176"/>
  <c r="M52" i="176"/>
  <c r="M59" i="174"/>
  <c r="M91" i="174"/>
  <c r="M50" i="176"/>
  <c r="M66" i="176"/>
  <c r="M51" i="174"/>
  <c r="M83" i="174"/>
  <c r="L83" i="176"/>
  <c r="L41" i="176"/>
  <c r="L11" i="176"/>
  <c r="L85" i="174"/>
  <c r="L62" i="176"/>
  <c r="L20" i="176"/>
  <c r="L57" i="176"/>
  <c r="L47" i="176"/>
  <c r="M49" i="176"/>
  <c r="M44" i="174"/>
  <c r="M59" i="176"/>
  <c r="M67" i="174"/>
  <c r="L21" i="176"/>
  <c r="L60" i="176"/>
  <c r="L37" i="176"/>
  <c r="L37" i="174"/>
  <c r="M31" i="176"/>
  <c r="M62" i="174"/>
  <c r="M47" i="176"/>
  <c r="M84" i="174"/>
  <c r="L67" i="174"/>
  <c r="L20" i="174"/>
  <c r="L72" i="176"/>
  <c r="L19" i="174"/>
  <c r="M46" i="174"/>
  <c r="M36" i="176"/>
  <c r="M69" i="174"/>
  <c r="L35" i="174"/>
  <c r="L30" i="176"/>
  <c r="L84" i="174"/>
  <c r="L17" i="176"/>
  <c r="M85" i="176"/>
  <c r="M25" i="176"/>
  <c r="M22" i="174"/>
  <c r="L44" i="176"/>
  <c r="L59" i="176"/>
  <c r="L29" i="174"/>
  <c r="L6" i="176"/>
  <c r="M10" i="176"/>
  <c r="M42" i="176"/>
  <c r="M43" i="174"/>
  <c r="M75" i="174"/>
  <c r="M40" i="176"/>
  <c r="M57" i="176"/>
  <c r="M68" i="174"/>
  <c r="M100" i="174"/>
  <c r="L100" i="174"/>
  <c r="L14" i="174"/>
  <c r="L25" i="176"/>
  <c r="L51" i="174"/>
  <c r="L22" i="174"/>
  <c r="J116" i="174"/>
  <c r="L13" i="174"/>
  <c r="M27" i="176"/>
  <c r="M6" i="176"/>
  <c r="M29" i="174"/>
  <c r="M61" i="174"/>
  <c r="M4" i="176"/>
  <c r="M21" i="176"/>
  <c r="M21" i="174"/>
  <c r="M53" i="174"/>
  <c r="L120" i="174"/>
  <c r="L60" i="174"/>
  <c r="L76" i="174"/>
  <c r="L9" i="176"/>
  <c r="L6" i="174"/>
  <c r="L121" i="174"/>
  <c r="L29" i="176"/>
  <c r="L70" i="176"/>
  <c r="M5" i="176"/>
  <c r="M67" i="176"/>
  <c r="M116" i="174"/>
  <c r="M6" i="174"/>
  <c r="L38" i="174"/>
  <c r="L45" i="176"/>
  <c r="L36" i="174"/>
  <c r="L39" i="176"/>
  <c r="M14" i="176"/>
  <c r="M4" i="174"/>
  <c r="M35" i="176"/>
  <c r="M27" i="174"/>
  <c r="L52" i="176"/>
  <c r="L19" i="176"/>
  <c r="L61" i="174"/>
  <c r="L78" i="174"/>
  <c r="M78" i="174"/>
  <c r="M20" i="176"/>
  <c r="M11" i="174"/>
  <c r="L59" i="174"/>
  <c r="L86" i="174"/>
  <c r="L45" i="174"/>
  <c r="L32" i="176"/>
  <c r="M72" i="176"/>
  <c r="M92" i="174"/>
  <c r="M7" i="176"/>
  <c r="M115" i="174"/>
  <c r="L67" i="176"/>
  <c r="L91" i="174"/>
  <c r="L126" i="174"/>
  <c r="L12" i="174"/>
  <c r="O79" i="176" l="1"/>
  <c r="N79" i="176"/>
  <c r="M79" i="176"/>
  <c r="L79" i="176"/>
  <c r="O104" i="174"/>
  <c r="O88" i="174"/>
  <c r="O8" i="174"/>
  <c r="M24" i="174"/>
  <c r="M26" i="174" s="1"/>
  <c r="K204" i="174" s="1"/>
  <c r="K98" i="176" s="1"/>
  <c r="M8" i="174"/>
  <c r="N80" i="174"/>
  <c r="N82" i="174" s="1"/>
  <c r="F252" i="174" s="1"/>
  <c r="O80" i="174"/>
  <c r="N64" i="174"/>
  <c r="N66" i="174" s="1"/>
  <c r="F248" i="174" s="1"/>
  <c r="F142" i="176" s="1"/>
  <c r="N56" i="174"/>
  <c r="N40" i="174"/>
  <c r="N42" i="174" s="1"/>
  <c r="F240" i="174" s="1"/>
  <c r="N24" i="174"/>
  <c r="N8" i="174"/>
  <c r="N10" i="174" s="1"/>
  <c r="F232" i="174" s="1"/>
  <c r="F256" i="174" s="1"/>
  <c r="N32" i="174"/>
  <c r="M104" i="174"/>
  <c r="M106" i="174" s="1"/>
  <c r="M88" i="174"/>
  <c r="N16" i="174"/>
  <c r="N18" i="174" s="1"/>
  <c r="F234" i="174" s="1"/>
  <c r="F128" i="176" s="1"/>
  <c r="M80" i="174"/>
  <c r="M40" i="174"/>
  <c r="M42" i="174" s="1"/>
  <c r="K208" i="174" s="1"/>
  <c r="K102" i="176" s="1"/>
  <c r="P122" i="174"/>
  <c r="P123" i="174" s="1"/>
  <c r="Q32" i="174"/>
  <c r="Q34" i="174" s="1"/>
  <c r="Q72" i="174"/>
  <c r="O48" i="174"/>
  <c r="O50" i="174" s="1"/>
  <c r="G242" i="174" s="1"/>
  <c r="G136" i="176" s="1"/>
  <c r="N48" i="174"/>
  <c r="M48" i="174"/>
  <c r="M50" i="174" s="1"/>
  <c r="K210" i="174" s="1"/>
  <c r="K104" i="176" s="1"/>
  <c r="L88" i="174"/>
  <c r="Q16" i="174"/>
  <c r="Q56" i="174"/>
  <c r="O64" i="174"/>
  <c r="O66" i="174" s="1"/>
  <c r="G248" i="174" s="1"/>
  <c r="G142" i="176" s="1"/>
  <c r="N72" i="174"/>
  <c r="M64" i="174"/>
  <c r="M66" i="174" s="1"/>
  <c r="K216" i="174" s="1"/>
  <c r="K110" i="176" s="1"/>
  <c r="L104" i="174"/>
  <c r="Q104" i="174"/>
  <c r="Q106" i="174" s="1"/>
  <c r="Q88" i="174"/>
  <c r="Q40" i="174"/>
  <c r="Q42" i="174" s="1"/>
  <c r="Q24" i="174"/>
  <c r="Q8" i="174"/>
  <c r="Q10" i="174" s="1"/>
  <c r="Q80" i="174"/>
  <c r="Q64" i="174"/>
  <c r="Q48" i="174"/>
  <c r="P104" i="174"/>
  <c r="P88" i="174"/>
  <c r="P80" i="174"/>
  <c r="P82" i="174" s="1"/>
  <c r="P72" i="174"/>
  <c r="P56" i="174"/>
  <c r="P58" i="174" s="1"/>
  <c r="P40" i="174"/>
  <c r="P42" i="174" s="1"/>
  <c r="P24" i="174"/>
  <c r="P26" i="174" s="1"/>
  <c r="P8" i="174"/>
  <c r="P10" i="174" s="1"/>
  <c r="O40" i="174"/>
  <c r="O42" i="174" s="1"/>
  <c r="G240" i="174" s="1"/>
  <c r="G134" i="176" s="1"/>
  <c r="O24" i="174"/>
  <c r="O32" i="174"/>
  <c r="O34" i="174" s="1"/>
  <c r="G238" i="174" s="1"/>
  <c r="G132" i="176" s="1"/>
  <c r="O16" i="174"/>
  <c r="O72" i="174"/>
  <c r="O74" i="174" s="1"/>
  <c r="G250" i="174" s="1"/>
  <c r="G144" i="176" s="1"/>
  <c r="O56" i="174"/>
  <c r="N104" i="174"/>
  <c r="N106" i="174" s="1"/>
  <c r="N88" i="174"/>
  <c r="M32" i="174"/>
  <c r="M34" i="174" s="1"/>
  <c r="K206" i="174" s="1"/>
  <c r="K100" i="176" s="1"/>
  <c r="M16" i="174"/>
  <c r="M18" i="174" s="1"/>
  <c r="K202" i="174" s="1"/>
  <c r="M72" i="174"/>
  <c r="M74" i="174" s="1"/>
  <c r="K218" i="174" s="1"/>
  <c r="K112" i="176" s="1"/>
  <c r="M56" i="174"/>
  <c r="L80" i="174"/>
  <c r="L82" i="174" s="1"/>
  <c r="J220" i="174" s="1"/>
  <c r="J114" i="176" s="1"/>
  <c r="L64" i="174"/>
  <c r="L66" i="174" s="1"/>
  <c r="J216" i="174" s="1"/>
  <c r="J110" i="176" s="1"/>
  <c r="L48" i="174"/>
  <c r="L50" i="174" s="1"/>
  <c r="J210" i="174" s="1"/>
  <c r="J104" i="176" s="1"/>
  <c r="L72" i="174"/>
  <c r="L74" i="174" s="1"/>
  <c r="J218" i="174" s="1"/>
  <c r="J112" i="176" s="1"/>
  <c r="L56" i="174"/>
  <c r="L40" i="174"/>
  <c r="L42" i="174" s="1"/>
  <c r="J208" i="174" s="1"/>
  <c r="J102" i="176" s="1"/>
  <c r="L24" i="174"/>
  <c r="L26" i="174" s="1"/>
  <c r="J204" i="174" s="1"/>
  <c r="J98" i="176" s="1"/>
  <c r="L8" i="174"/>
  <c r="L10" i="174" s="1"/>
  <c r="J200" i="174" s="1"/>
  <c r="L32" i="174"/>
  <c r="L34" i="174" s="1"/>
  <c r="J206" i="174" s="1"/>
  <c r="J100" i="176" s="1"/>
  <c r="L16" i="174"/>
  <c r="O108" i="174"/>
  <c r="F38" i="163" s="1"/>
  <c r="O96" i="174"/>
  <c r="O98" i="174" s="1"/>
  <c r="N108" i="174"/>
  <c r="F37" i="163" s="1"/>
  <c r="N96" i="174"/>
  <c r="N98" i="174" s="1"/>
  <c r="M108" i="174"/>
  <c r="F36" i="163" s="1"/>
  <c r="M96" i="174"/>
  <c r="M98" i="174" s="1"/>
  <c r="Q108" i="174"/>
  <c r="Q96" i="174"/>
  <c r="P108" i="174"/>
  <c r="P96" i="174"/>
  <c r="P98" i="174" s="1"/>
  <c r="L108" i="174"/>
  <c r="F35" i="163" s="1"/>
  <c r="L96" i="174"/>
  <c r="L98" i="174" s="1"/>
  <c r="O10" i="174"/>
  <c r="G232" i="174" s="1"/>
  <c r="G256" i="174" s="1"/>
  <c r="G150" i="176" s="1"/>
  <c r="R74" i="176"/>
  <c r="S74" i="176" s="1"/>
  <c r="U74" i="176" s="1"/>
  <c r="Q58" i="176"/>
  <c r="Q48" i="176"/>
  <c r="Q18" i="176"/>
  <c r="Q76" i="176"/>
  <c r="P68" i="176"/>
  <c r="P38" i="176"/>
  <c r="P28" i="176"/>
  <c r="P76" i="176"/>
  <c r="P53" i="176"/>
  <c r="P43" i="176"/>
  <c r="P13" i="176"/>
  <c r="O58" i="176"/>
  <c r="O48" i="176"/>
  <c r="O18" i="176"/>
  <c r="O76" i="176"/>
  <c r="N68" i="176"/>
  <c r="N38" i="176"/>
  <c r="N28" i="176"/>
  <c r="N76" i="176"/>
  <c r="N73" i="176"/>
  <c r="N53" i="176"/>
  <c r="N43" i="176"/>
  <c r="N13" i="176"/>
  <c r="M58" i="176"/>
  <c r="M48" i="176"/>
  <c r="M18" i="176"/>
  <c r="M76" i="176"/>
  <c r="L68" i="176"/>
  <c r="L38" i="176"/>
  <c r="L28" i="176"/>
  <c r="L76" i="176"/>
  <c r="L73" i="176"/>
  <c r="L53" i="176"/>
  <c r="L43" i="176"/>
  <c r="L13" i="176"/>
  <c r="Q98" i="174"/>
  <c r="Q18" i="174"/>
  <c r="P66" i="174"/>
  <c r="P50" i="174"/>
  <c r="P34" i="174"/>
  <c r="P18" i="174"/>
  <c r="O26" i="174"/>
  <c r="G236" i="174" s="1"/>
  <c r="G130" i="176" s="1"/>
  <c r="Q78" i="176"/>
  <c r="Q73" i="176"/>
  <c r="Q53" i="176"/>
  <c r="Q43" i="176"/>
  <c r="Q13" i="176"/>
  <c r="Q63" i="176"/>
  <c r="Q33" i="176"/>
  <c r="Q23" i="176"/>
  <c r="P63" i="176"/>
  <c r="P33" i="176"/>
  <c r="P23" i="176"/>
  <c r="P58" i="176"/>
  <c r="P48" i="176"/>
  <c r="P18" i="176"/>
  <c r="P77" i="176"/>
  <c r="P73" i="176"/>
  <c r="O78" i="176"/>
  <c r="O73" i="176"/>
  <c r="O53" i="176"/>
  <c r="O43" i="176"/>
  <c r="O13" i="176"/>
  <c r="O63" i="176"/>
  <c r="O33" i="176"/>
  <c r="O23" i="176"/>
  <c r="N63" i="176"/>
  <c r="N33" i="176"/>
  <c r="N23" i="176"/>
  <c r="N58" i="176"/>
  <c r="N48" i="176"/>
  <c r="N18" i="176"/>
  <c r="N77" i="176"/>
  <c r="M78" i="176"/>
  <c r="M73" i="176"/>
  <c r="M53" i="176"/>
  <c r="M43" i="176"/>
  <c r="M13" i="176"/>
  <c r="M63" i="176"/>
  <c r="M33" i="176"/>
  <c r="M23" i="176"/>
  <c r="L63" i="176"/>
  <c r="L33" i="176"/>
  <c r="L23" i="176"/>
  <c r="L58" i="176"/>
  <c r="L48" i="176"/>
  <c r="L18" i="176"/>
  <c r="L77" i="176"/>
  <c r="Q8" i="176"/>
  <c r="Q75" i="176"/>
  <c r="Q77" i="176"/>
  <c r="Q68" i="176"/>
  <c r="Q38" i="176"/>
  <c r="Q28" i="176"/>
  <c r="P78" i="176"/>
  <c r="P8" i="176"/>
  <c r="P75" i="176"/>
  <c r="O8" i="176"/>
  <c r="O75" i="176"/>
  <c r="O77" i="176"/>
  <c r="O68" i="176"/>
  <c r="O38" i="176"/>
  <c r="O28" i="176"/>
  <c r="N78" i="176"/>
  <c r="N75" i="176"/>
  <c r="N8" i="176"/>
  <c r="M8" i="176"/>
  <c r="M75" i="176"/>
  <c r="M77" i="176"/>
  <c r="M68" i="176"/>
  <c r="M38" i="176"/>
  <c r="M28" i="176"/>
  <c r="L78" i="176"/>
  <c r="L8" i="176"/>
  <c r="L75" i="176"/>
  <c r="O58" i="174"/>
  <c r="G244" i="174" s="1"/>
  <c r="G138" i="176" s="1"/>
  <c r="N90" i="174"/>
  <c r="F254" i="174" s="1"/>
  <c r="L106" i="174"/>
  <c r="L90" i="174"/>
  <c r="J222" i="174" s="1"/>
  <c r="J116" i="176" s="1"/>
  <c r="T74" i="176"/>
  <c r="Q74" i="174"/>
  <c r="Q58" i="174"/>
  <c r="Q110" i="174"/>
  <c r="Q111" i="174"/>
  <c r="P74" i="174"/>
  <c r="O109" i="174"/>
  <c r="F55" i="163" s="1"/>
  <c r="O110" i="174"/>
  <c r="O111" i="174"/>
  <c r="F72" i="163" s="1"/>
  <c r="N111" i="174"/>
  <c r="F71" i="163" s="1"/>
  <c r="N109" i="174"/>
  <c r="F54" i="163" s="1"/>
  <c r="N110" i="174"/>
  <c r="M58" i="174"/>
  <c r="K212" i="174" s="1"/>
  <c r="M110" i="174"/>
  <c r="M111" i="174"/>
  <c r="F70" i="163" s="1"/>
  <c r="L111" i="174"/>
  <c r="F69" i="163" s="1"/>
  <c r="L110" i="174"/>
  <c r="Q90" i="174"/>
  <c r="Q26" i="174"/>
  <c r="Q109" i="174"/>
  <c r="Q82" i="174"/>
  <c r="Q66" i="174"/>
  <c r="Q50" i="174"/>
  <c r="P109" i="174"/>
  <c r="P110" i="174"/>
  <c r="P106" i="174"/>
  <c r="P90" i="174"/>
  <c r="P111" i="174"/>
  <c r="O106" i="174"/>
  <c r="O90" i="174"/>
  <c r="G254" i="174" s="1"/>
  <c r="G148" i="176" s="1"/>
  <c r="O18" i="174"/>
  <c r="G234" i="174" s="1"/>
  <c r="G128" i="176" s="1"/>
  <c r="O82" i="174"/>
  <c r="G252" i="174" s="1"/>
  <c r="G146" i="176" s="1"/>
  <c r="N50" i="174"/>
  <c r="F242" i="174" s="1"/>
  <c r="M242" i="174" s="1" a="1"/>
  <c r="M242" i="174" s="1"/>
  <c r="M136" i="176" s="1"/>
  <c r="N74" i="174"/>
  <c r="F250" i="174" s="1"/>
  <c r="N58" i="174"/>
  <c r="F244" i="174" s="1"/>
  <c r="M244" i="174" s="1" a="1"/>
  <c r="M244" i="174" s="1"/>
  <c r="M138" i="176" s="1"/>
  <c r="N26" i="174"/>
  <c r="F236" i="174" s="1"/>
  <c r="N34" i="174"/>
  <c r="F238" i="174" s="1"/>
  <c r="F132" i="176" s="1"/>
  <c r="M90" i="174"/>
  <c r="K222" i="174" s="1"/>
  <c r="K116" i="176" s="1"/>
  <c r="M82" i="174"/>
  <c r="K220" i="174" s="1"/>
  <c r="K114" i="176" s="1"/>
  <c r="M10" i="174"/>
  <c r="K200" i="174" s="1"/>
  <c r="M109" i="174"/>
  <c r="F53" i="163" s="1"/>
  <c r="L58" i="174"/>
  <c r="J212" i="174" s="1"/>
  <c r="J106" i="176" s="1"/>
  <c r="L109" i="174"/>
  <c r="F52" i="163" s="1"/>
  <c r="L18" i="174"/>
  <c r="J202" i="174" s="1"/>
  <c r="J96" i="176" s="1"/>
  <c r="H136" i="176"/>
  <c r="H140" i="176" s="1"/>
  <c r="H246" i="174"/>
  <c r="G246" i="174"/>
  <c r="I136" i="176"/>
  <c r="I140" i="176" s="1"/>
  <c r="I246" i="174"/>
  <c r="K214" i="174"/>
  <c r="J214" i="174"/>
  <c r="M248" i="174" a="1"/>
  <c r="M248" i="174" s="1"/>
  <c r="M142" i="176" s="1"/>
  <c r="K96" i="176"/>
  <c r="F126" i="176"/>
  <c r="F134" i="176"/>
  <c r="F144" i="176"/>
  <c r="G126" i="176"/>
  <c r="J94" i="176"/>
  <c r="M234" i="174" a="1"/>
  <c r="M234" i="174" s="1"/>
  <c r="M128" i="176" s="1"/>
  <c r="H126" i="176"/>
  <c r="H150" i="176"/>
  <c r="K106" i="176"/>
  <c r="F130" i="176"/>
  <c r="M236" i="174" a="1"/>
  <c r="M236" i="174" s="1"/>
  <c r="M130" i="176" s="1"/>
  <c r="F138" i="176"/>
  <c r="I126" i="176"/>
  <c r="I150" i="176"/>
  <c r="M122" i="174"/>
  <c r="M123" i="174" s="1"/>
  <c r="S17" i="174"/>
  <c r="U17" i="174" s="1"/>
  <c r="Q122" i="174"/>
  <c r="Q123" i="174" s="1"/>
  <c r="O122" i="174"/>
  <c r="O123" i="174" s="1"/>
  <c r="N122" i="174"/>
  <c r="N123" i="174" s="1"/>
  <c r="L122" i="174"/>
  <c r="L123" i="174" s="1"/>
  <c r="D21" i="163"/>
  <c r="D23" i="163" s="1"/>
  <c r="E21" i="163"/>
  <c r="E23" i="163" s="1"/>
  <c r="F21" i="163"/>
  <c r="G21" i="163"/>
  <c r="I21" i="163"/>
  <c r="J21" i="163"/>
  <c r="K21" i="163"/>
  <c r="L21" i="163"/>
  <c r="M21" i="163"/>
  <c r="N21" i="163"/>
  <c r="K25" i="176"/>
  <c r="K93" i="174"/>
  <c r="K41" i="176"/>
  <c r="K14" i="176"/>
  <c r="K26" i="176"/>
  <c r="K6" i="174"/>
  <c r="K86" i="174"/>
  <c r="K67" i="174"/>
  <c r="K19" i="176"/>
  <c r="K34" i="176"/>
  <c r="K47" i="176"/>
  <c r="K10" i="176"/>
  <c r="K49" i="176"/>
  <c r="K55" i="176"/>
  <c r="K75" i="174"/>
  <c r="K78" i="174"/>
  <c r="K19" i="174"/>
  <c r="K50" i="176"/>
  <c r="K69" i="174"/>
  <c r="K37" i="176"/>
  <c r="K20" i="174"/>
  <c r="K21" i="176"/>
  <c r="K53" i="174"/>
  <c r="K54" i="176"/>
  <c r="K36" i="174"/>
  <c r="K17" i="176"/>
  <c r="K4" i="176"/>
  <c r="K16" i="176"/>
  <c r="K27" i="176"/>
  <c r="K46" i="176"/>
  <c r="K46" i="174"/>
  <c r="K32" i="176"/>
  <c r="K11" i="176"/>
  <c r="K44" i="174"/>
  <c r="K102" i="174"/>
  <c r="K45" i="176"/>
  <c r="K83" i="174"/>
  <c r="K82" i="176"/>
  <c r="K100" i="174"/>
  <c r="K6" i="176"/>
  <c r="K54" i="174"/>
  <c r="K39" i="176"/>
  <c r="K5" i="176"/>
  <c r="K62" i="174"/>
  <c r="K11" i="174"/>
  <c r="K116" i="174"/>
  <c r="K30" i="176"/>
  <c r="K76" i="174"/>
  <c r="K60" i="176"/>
  <c r="K72" i="176"/>
  <c r="K127" i="174"/>
  <c r="K43" i="174"/>
  <c r="K38" i="174"/>
  <c r="K124" i="174"/>
  <c r="K22" i="176"/>
  <c r="K69" i="176"/>
  <c r="K51" i="176"/>
  <c r="K35" i="176"/>
  <c r="K13" i="174"/>
  <c r="K45" i="174"/>
  <c r="K21" i="174"/>
  <c r="K57" i="176"/>
  <c r="K70" i="176"/>
  <c r="K44" i="176"/>
  <c r="K61" i="174"/>
  <c r="K35" i="174"/>
  <c r="K68" i="174"/>
  <c r="K20" i="176"/>
  <c r="K115" i="174"/>
  <c r="K40" i="176"/>
  <c r="K85" i="176"/>
  <c r="K3" i="176"/>
  <c r="K66" i="176"/>
  <c r="K9" i="176"/>
  <c r="K71" i="176"/>
  <c r="K29" i="174"/>
  <c r="K91" i="174"/>
  <c r="K29" i="176"/>
  <c r="K30" i="174"/>
  <c r="K24" i="176"/>
  <c r="K12" i="176"/>
  <c r="K52" i="174"/>
  <c r="K126" i="174"/>
  <c r="K14" i="174"/>
  <c r="K85" i="174"/>
  <c r="K59" i="176"/>
  <c r="K4" i="174"/>
  <c r="K92" i="174"/>
  <c r="K56" i="176"/>
  <c r="K36" i="176"/>
  <c r="K80" i="176"/>
  <c r="K62" i="176"/>
  <c r="K59" i="174"/>
  <c r="K121" i="174"/>
  <c r="K94" i="174"/>
  <c r="K77" i="174"/>
  <c r="K118" i="174"/>
  <c r="K28" i="174"/>
  <c r="K27" i="174"/>
  <c r="K52" i="176"/>
  <c r="K83" i="176"/>
  <c r="K84" i="174"/>
  <c r="K120" i="174"/>
  <c r="K119" i="174"/>
  <c r="K60" i="174"/>
  <c r="K101" i="174"/>
  <c r="K31" i="176"/>
  <c r="K12" i="174"/>
  <c r="K7" i="176"/>
  <c r="K15" i="176"/>
  <c r="K5" i="174"/>
  <c r="K3" i="174"/>
  <c r="K22" i="174"/>
  <c r="K70" i="174"/>
  <c r="K65" i="176"/>
  <c r="K99" i="174"/>
  <c r="K37" i="174"/>
  <c r="K51" i="174"/>
  <c r="K42" i="176"/>
  <c r="K64" i="176"/>
  <c r="K67" i="176"/>
  <c r="K61" i="176"/>
  <c r="K224" i="174" l="1"/>
  <c r="K118" i="176" s="1"/>
  <c r="G140" i="176"/>
  <c r="M240" i="174" a="1"/>
  <c r="M240" i="174" s="1"/>
  <c r="M134" i="176" s="1"/>
  <c r="M252" i="174" a="1"/>
  <c r="M252" i="174" s="1"/>
  <c r="M146" i="176" s="1"/>
  <c r="F146" i="176"/>
  <c r="M250" i="174" a="1"/>
  <c r="M250" i="174" s="1"/>
  <c r="M144" i="176" s="1"/>
  <c r="M232" i="174" a="1"/>
  <c r="M232" i="174" s="1"/>
  <c r="M126" i="176" s="1"/>
  <c r="F246" i="174"/>
  <c r="M246" i="174" s="1" a="1"/>
  <c r="M246" i="174" s="1"/>
  <c r="M238" i="174" a="1"/>
  <c r="M238" i="174" s="1"/>
  <c r="M132" i="176" s="1"/>
  <c r="M254" i="174" a="1"/>
  <c r="M254" i="174" s="1"/>
  <c r="M148" i="176" s="1"/>
  <c r="K94" i="176"/>
  <c r="F136" i="176"/>
  <c r="F148" i="176"/>
  <c r="J108" i="176"/>
  <c r="J224" i="174"/>
  <c r="J118" i="176" s="1"/>
  <c r="K48" i="174"/>
  <c r="K50" i="174" s="1"/>
  <c r="I210" i="174" s="1"/>
  <c r="I104" i="176" s="1"/>
  <c r="K109" i="174"/>
  <c r="F51" i="163" s="1"/>
  <c r="K64" i="174"/>
  <c r="K66" i="174" s="1"/>
  <c r="I216" i="174" s="1"/>
  <c r="I110" i="176" s="1"/>
  <c r="K24" i="174"/>
  <c r="K26" i="174" s="1"/>
  <c r="I204" i="174" s="1"/>
  <c r="I98" i="176" s="1"/>
  <c r="K40" i="174"/>
  <c r="K42" i="174" s="1"/>
  <c r="I208" i="174" s="1"/>
  <c r="I102" i="176" s="1"/>
  <c r="K80" i="174"/>
  <c r="K82" i="174" s="1"/>
  <c r="I220" i="174" s="1"/>
  <c r="I114" i="176" s="1"/>
  <c r="K96" i="174"/>
  <c r="K98" i="174" s="1"/>
  <c r="K8" i="174"/>
  <c r="K10" i="174" s="1"/>
  <c r="I200" i="174" s="1"/>
  <c r="K32" i="174"/>
  <c r="K34" i="174" s="1"/>
  <c r="I206" i="174" s="1"/>
  <c r="I100" i="176" s="1"/>
  <c r="K56" i="174"/>
  <c r="K58" i="174" s="1"/>
  <c r="K48" i="176"/>
  <c r="K79" i="176"/>
  <c r="K73" i="176"/>
  <c r="K110" i="174"/>
  <c r="K8" i="176"/>
  <c r="K75" i="176"/>
  <c r="K23" i="176"/>
  <c r="K104" i="174"/>
  <c r="K106" i="174" s="1"/>
  <c r="K18" i="176"/>
  <c r="K53" i="176"/>
  <c r="K72" i="174"/>
  <c r="K74" i="174" s="1"/>
  <c r="I218" i="174" s="1"/>
  <c r="I112" i="176" s="1"/>
  <c r="K111" i="174"/>
  <c r="F68" i="163" s="1"/>
  <c r="K58" i="176"/>
  <c r="K38" i="176"/>
  <c r="K78" i="176"/>
  <c r="K108" i="174"/>
  <c r="F34" i="163" s="1"/>
  <c r="F85" i="163" s="1"/>
  <c r="K68" i="176"/>
  <c r="K33" i="176"/>
  <c r="K28" i="176"/>
  <c r="K16" i="174"/>
  <c r="K18" i="174" s="1"/>
  <c r="I202" i="174" s="1"/>
  <c r="I96" i="176" s="1"/>
  <c r="K76" i="176"/>
  <c r="K63" i="176"/>
  <c r="K13" i="176"/>
  <c r="K88" i="174"/>
  <c r="K90" i="174" s="1"/>
  <c r="I222" i="174" s="1"/>
  <c r="I116" i="176" s="1"/>
  <c r="K77" i="176"/>
  <c r="K43" i="176"/>
  <c r="K122" i="174"/>
  <c r="K123" i="174" s="1"/>
  <c r="W74" i="176"/>
  <c r="V74" i="176" s="1"/>
  <c r="L81" i="176"/>
  <c r="L84" i="176" s="1"/>
  <c r="O81" i="176"/>
  <c r="O84" i="176" s="1"/>
  <c r="Q81" i="176"/>
  <c r="Q84" i="176" s="1"/>
  <c r="M81" i="176"/>
  <c r="M84" i="176" s="1"/>
  <c r="P81" i="176"/>
  <c r="P84" i="176" s="1"/>
  <c r="N81" i="176"/>
  <c r="N84" i="176" s="1"/>
  <c r="N112" i="174"/>
  <c r="N114" i="174" s="1"/>
  <c r="M112" i="174"/>
  <c r="M114" i="174" s="1"/>
  <c r="Q112" i="174"/>
  <c r="Q114" i="174" s="1"/>
  <c r="L112" i="174"/>
  <c r="L114" i="174" s="1"/>
  <c r="P112" i="174"/>
  <c r="O112" i="174"/>
  <c r="O114" i="174" s="1"/>
  <c r="F140" i="176"/>
  <c r="K108" i="176"/>
  <c r="F150" i="176"/>
  <c r="M256" i="174" a="1"/>
  <c r="M256" i="174" s="1"/>
  <c r="M150" i="176" s="1"/>
  <c r="O8" i="163"/>
  <c r="O9" i="163"/>
  <c r="O10" i="163"/>
  <c r="O11" i="163"/>
  <c r="O12" i="163"/>
  <c r="O13" i="163"/>
  <c r="O14" i="163"/>
  <c r="O15" i="163"/>
  <c r="O16" i="163"/>
  <c r="O17" i="163"/>
  <c r="O19" i="163"/>
  <c r="O20" i="163"/>
  <c r="O22" i="163"/>
  <c r="D225" i="159"/>
  <c r="E225" i="159"/>
  <c r="F225" i="159"/>
  <c r="G225" i="159"/>
  <c r="H225" i="159"/>
  <c r="I225" i="159"/>
  <c r="J225" i="159"/>
  <c r="K225" i="159"/>
  <c r="L225" i="159"/>
  <c r="M225" i="159"/>
  <c r="N225" i="159"/>
  <c r="C225" i="159"/>
  <c r="C224" i="159"/>
  <c r="D58" i="159"/>
  <c r="E58" i="159"/>
  <c r="F58" i="159"/>
  <c r="G58" i="159"/>
  <c r="H58" i="159"/>
  <c r="I58" i="159"/>
  <c r="J58" i="159"/>
  <c r="K58" i="159"/>
  <c r="L58" i="159"/>
  <c r="M58" i="159"/>
  <c r="N58" i="159"/>
  <c r="D54" i="159"/>
  <c r="E54" i="159"/>
  <c r="F54" i="159"/>
  <c r="G54" i="159"/>
  <c r="H54" i="159"/>
  <c r="I54" i="159"/>
  <c r="J54" i="159"/>
  <c r="K54" i="159"/>
  <c r="L54" i="159"/>
  <c r="M54" i="159"/>
  <c r="N54" i="159"/>
  <c r="D50" i="159"/>
  <c r="E50" i="159"/>
  <c r="F50" i="159"/>
  <c r="G50" i="159"/>
  <c r="H50" i="159"/>
  <c r="I50" i="159"/>
  <c r="J50" i="159"/>
  <c r="K50" i="159"/>
  <c r="L50" i="159"/>
  <c r="M50" i="159"/>
  <c r="N50" i="159"/>
  <c r="D46" i="159"/>
  <c r="E46" i="159"/>
  <c r="F46" i="159"/>
  <c r="G46" i="159"/>
  <c r="H46" i="159"/>
  <c r="I46" i="159"/>
  <c r="J46" i="159"/>
  <c r="K46" i="159"/>
  <c r="L46" i="159"/>
  <c r="M46" i="159"/>
  <c r="N46" i="159"/>
  <c r="D42" i="159"/>
  <c r="E42" i="159"/>
  <c r="F42" i="159"/>
  <c r="G42" i="159"/>
  <c r="H42" i="159"/>
  <c r="I42" i="159"/>
  <c r="J42" i="159"/>
  <c r="K42" i="159"/>
  <c r="L42" i="159"/>
  <c r="M42" i="159"/>
  <c r="N42" i="159"/>
  <c r="D38" i="159"/>
  <c r="E38" i="159"/>
  <c r="F38" i="159"/>
  <c r="G38" i="159"/>
  <c r="H38" i="159"/>
  <c r="I38" i="159"/>
  <c r="J38" i="159"/>
  <c r="K38" i="159"/>
  <c r="L38" i="159"/>
  <c r="M38" i="159"/>
  <c r="N38" i="159"/>
  <c r="D34" i="159"/>
  <c r="E34" i="159"/>
  <c r="F34" i="159"/>
  <c r="G34" i="159"/>
  <c r="H34" i="159"/>
  <c r="I34" i="159"/>
  <c r="J34" i="159"/>
  <c r="K34" i="159"/>
  <c r="L34" i="159"/>
  <c r="M34" i="159"/>
  <c r="N34" i="159"/>
  <c r="D30" i="159"/>
  <c r="E30" i="159"/>
  <c r="F30" i="159"/>
  <c r="G30" i="159"/>
  <c r="H30" i="159"/>
  <c r="I30" i="159"/>
  <c r="J30" i="159"/>
  <c r="K30" i="159"/>
  <c r="L30" i="159"/>
  <c r="M30" i="159"/>
  <c r="N30" i="159"/>
  <c r="D26" i="159"/>
  <c r="E26" i="159"/>
  <c r="F26" i="159"/>
  <c r="G26" i="159"/>
  <c r="H26" i="159"/>
  <c r="I26" i="159"/>
  <c r="J26" i="159"/>
  <c r="K26" i="159"/>
  <c r="L26" i="159"/>
  <c r="M26" i="159"/>
  <c r="N26" i="159"/>
  <c r="D22" i="159"/>
  <c r="E22" i="159"/>
  <c r="F22" i="159"/>
  <c r="G22" i="159"/>
  <c r="H22" i="159"/>
  <c r="I22" i="159"/>
  <c r="J22" i="159"/>
  <c r="K22" i="159"/>
  <c r="L22" i="159"/>
  <c r="M22" i="159"/>
  <c r="N22" i="159"/>
  <c r="D18" i="159"/>
  <c r="E18" i="159"/>
  <c r="F18" i="159"/>
  <c r="G18" i="159"/>
  <c r="H18" i="159"/>
  <c r="I18" i="159"/>
  <c r="J18" i="159"/>
  <c r="K18" i="159"/>
  <c r="L18" i="159"/>
  <c r="M18" i="159"/>
  <c r="N18" i="159"/>
  <c r="D14" i="159"/>
  <c r="E14" i="159"/>
  <c r="F14" i="159"/>
  <c r="G14" i="159"/>
  <c r="H14" i="159"/>
  <c r="I14" i="159"/>
  <c r="J14" i="159"/>
  <c r="K14" i="159"/>
  <c r="L14" i="159"/>
  <c r="M14" i="159"/>
  <c r="N14" i="159"/>
  <c r="D10" i="159"/>
  <c r="E10" i="159"/>
  <c r="F10" i="159"/>
  <c r="G10" i="159"/>
  <c r="H10" i="159"/>
  <c r="I10" i="159"/>
  <c r="J10" i="159"/>
  <c r="K10" i="159"/>
  <c r="L10" i="159"/>
  <c r="M10" i="159"/>
  <c r="N10" i="159"/>
  <c r="D6" i="159"/>
  <c r="E6" i="159"/>
  <c r="F6" i="159"/>
  <c r="G6" i="159"/>
  <c r="H6" i="159"/>
  <c r="I6" i="159"/>
  <c r="J6" i="159"/>
  <c r="K6" i="159"/>
  <c r="L6" i="159"/>
  <c r="M6" i="159"/>
  <c r="N6" i="159"/>
  <c r="C58" i="159"/>
  <c r="C54" i="159"/>
  <c r="C50" i="159"/>
  <c r="C46" i="159"/>
  <c r="C42" i="159"/>
  <c r="C38" i="159"/>
  <c r="C34" i="159"/>
  <c r="C30" i="159"/>
  <c r="C26" i="159"/>
  <c r="C22" i="159"/>
  <c r="C18" i="159"/>
  <c r="C14" i="159"/>
  <c r="C10" i="159"/>
  <c r="C6" i="159"/>
  <c r="C7" i="159"/>
  <c r="I212" i="174" l="1"/>
  <c r="I106" i="176" s="1"/>
  <c r="I108" i="176" s="1"/>
  <c r="I94" i="176"/>
  <c r="I224" i="174"/>
  <c r="K81" i="176"/>
  <c r="K84" i="176" s="1"/>
  <c r="I118" i="176"/>
  <c r="K112" i="174"/>
  <c r="K114" i="174" s="1"/>
  <c r="I214" i="174"/>
  <c r="P114" i="174"/>
  <c r="P125" i="174"/>
  <c r="P128" i="174" s="1"/>
  <c r="M140" i="176" a="1"/>
  <c r="M140" i="176" s="1"/>
  <c r="M152" i="176" s="1"/>
  <c r="M7" i="159"/>
  <c r="M258" i="174"/>
  <c r="M125" i="174"/>
  <c r="M128" i="174" s="1"/>
  <c r="L125" i="174"/>
  <c r="L128" i="174" s="1"/>
  <c r="Q125" i="174"/>
  <c r="Q128" i="174" s="1"/>
  <c r="O125" i="174"/>
  <c r="O128" i="174" s="1"/>
  <c r="N125" i="174"/>
  <c r="N128" i="174" s="1"/>
  <c r="D174" i="159"/>
  <c r="E174" i="159"/>
  <c r="F174" i="159"/>
  <c r="G174" i="159"/>
  <c r="H174" i="159"/>
  <c r="I174" i="159"/>
  <c r="J174" i="159"/>
  <c r="K174" i="159"/>
  <c r="L174" i="159"/>
  <c r="M174" i="159"/>
  <c r="N174" i="159"/>
  <c r="C174" i="159"/>
  <c r="F23" i="163"/>
  <c r="G23" i="163"/>
  <c r="I23" i="163"/>
  <c r="J23" i="163"/>
  <c r="K23" i="163"/>
  <c r="L23" i="163"/>
  <c r="M23" i="163"/>
  <c r="N23" i="163"/>
  <c r="C21" i="163"/>
  <c r="D213" i="159"/>
  <c r="E213" i="159"/>
  <c r="F213" i="159"/>
  <c r="G213" i="159"/>
  <c r="H213" i="159"/>
  <c r="I213" i="159"/>
  <c r="J213" i="159"/>
  <c r="K213" i="159"/>
  <c r="L213" i="159"/>
  <c r="M213" i="159"/>
  <c r="N213" i="159"/>
  <c r="D214" i="159"/>
  <c r="E214" i="159"/>
  <c r="F214" i="159"/>
  <c r="G214" i="159"/>
  <c r="H214" i="159"/>
  <c r="I214" i="159"/>
  <c r="J214" i="159"/>
  <c r="K214" i="159"/>
  <c r="L214" i="159"/>
  <c r="M214" i="159"/>
  <c r="N214" i="159"/>
  <c r="D215" i="159"/>
  <c r="E215" i="159"/>
  <c r="F215" i="159"/>
  <c r="G215" i="159"/>
  <c r="H215" i="159"/>
  <c r="I215" i="159"/>
  <c r="J215" i="159"/>
  <c r="K215" i="159"/>
  <c r="L215" i="159"/>
  <c r="M215" i="159"/>
  <c r="N215" i="159"/>
  <c r="D216" i="159"/>
  <c r="E216" i="159"/>
  <c r="F216" i="159"/>
  <c r="G216" i="159"/>
  <c r="H216" i="159"/>
  <c r="I216" i="159"/>
  <c r="J216" i="159"/>
  <c r="K216" i="159"/>
  <c r="L216" i="159"/>
  <c r="M216" i="159"/>
  <c r="N216" i="159"/>
  <c r="D217" i="159"/>
  <c r="E217" i="159"/>
  <c r="F217" i="159"/>
  <c r="G217" i="159"/>
  <c r="H217" i="159"/>
  <c r="I217" i="159"/>
  <c r="J217" i="159"/>
  <c r="K217" i="159"/>
  <c r="L217" i="159"/>
  <c r="M217" i="159"/>
  <c r="N217" i="159"/>
  <c r="D218" i="159"/>
  <c r="E218" i="159"/>
  <c r="F218" i="159"/>
  <c r="G218" i="159"/>
  <c r="H218" i="159"/>
  <c r="I218" i="159"/>
  <c r="J218" i="159"/>
  <c r="K218" i="159"/>
  <c r="L218" i="159"/>
  <c r="M218" i="159"/>
  <c r="N218" i="159"/>
  <c r="D219" i="159"/>
  <c r="E219" i="159"/>
  <c r="F219" i="159"/>
  <c r="G219" i="159"/>
  <c r="H219" i="159"/>
  <c r="I219" i="159"/>
  <c r="J219" i="159"/>
  <c r="K219" i="159"/>
  <c r="L219" i="159"/>
  <c r="M219" i="159"/>
  <c r="N219" i="159"/>
  <c r="D220" i="159"/>
  <c r="E220" i="159"/>
  <c r="F220" i="159"/>
  <c r="G220" i="159"/>
  <c r="H220" i="159"/>
  <c r="I220" i="159"/>
  <c r="J220" i="159"/>
  <c r="K220" i="159"/>
  <c r="L220" i="159"/>
  <c r="M220" i="159"/>
  <c r="N220" i="159"/>
  <c r="D221" i="159"/>
  <c r="E221" i="159"/>
  <c r="F221" i="159"/>
  <c r="G221" i="159"/>
  <c r="H221" i="159"/>
  <c r="I221" i="159"/>
  <c r="J221" i="159"/>
  <c r="K221" i="159"/>
  <c r="L221" i="159"/>
  <c r="M221" i="159"/>
  <c r="N221" i="159"/>
  <c r="D222" i="159"/>
  <c r="E222" i="159"/>
  <c r="F222" i="159"/>
  <c r="G222" i="159"/>
  <c r="H222" i="159"/>
  <c r="I222" i="159"/>
  <c r="J222" i="159"/>
  <c r="K222" i="159"/>
  <c r="L222" i="159"/>
  <c r="M222" i="159"/>
  <c r="N222" i="159"/>
  <c r="D223" i="159"/>
  <c r="E223" i="159"/>
  <c r="F223" i="159"/>
  <c r="G223" i="159"/>
  <c r="H223" i="159"/>
  <c r="H226" i="159" s="1"/>
  <c r="I223" i="159"/>
  <c r="J223" i="159"/>
  <c r="J226" i="159" s="1"/>
  <c r="K223" i="159"/>
  <c r="L223" i="159"/>
  <c r="L226" i="159" s="1"/>
  <c r="M223" i="159"/>
  <c r="N223" i="159"/>
  <c r="N226" i="159" s="1"/>
  <c r="D224" i="159"/>
  <c r="E224" i="159"/>
  <c r="F224" i="159"/>
  <c r="G224" i="159"/>
  <c r="H224" i="159"/>
  <c r="I224" i="159"/>
  <c r="J224" i="159"/>
  <c r="K224" i="159"/>
  <c r="L224" i="159"/>
  <c r="M224" i="159"/>
  <c r="N224" i="159"/>
  <c r="D227" i="159"/>
  <c r="E227" i="159"/>
  <c r="F227" i="159"/>
  <c r="G227" i="159"/>
  <c r="H227" i="159"/>
  <c r="I227" i="159"/>
  <c r="J227" i="159"/>
  <c r="K227" i="159"/>
  <c r="L227" i="159"/>
  <c r="M227" i="159"/>
  <c r="N227" i="159"/>
  <c r="C214" i="159"/>
  <c r="C215" i="159"/>
  <c r="C216" i="159"/>
  <c r="C217" i="159"/>
  <c r="C218" i="159"/>
  <c r="C219" i="159"/>
  <c r="C220" i="159"/>
  <c r="C221" i="159"/>
  <c r="C222" i="159"/>
  <c r="C223" i="159"/>
  <c r="C227" i="159"/>
  <c r="C213" i="159"/>
  <c r="C64" i="159"/>
  <c r="N64" i="159"/>
  <c r="M64" i="159"/>
  <c r="L64" i="159"/>
  <c r="K64" i="159"/>
  <c r="J64" i="159"/>
  <c r="I64" i="159"/>
  <c r="H64" i="159"/>
  <c r="G64" i="159"/>
  <c r="F64" i="159"/>
  <c r="E64" i="159"/>
  <c r="D64" i="159"/>
  <c r="K125" i="174" l="1"/>
  <c r="K128" i="174" s="1"/>
  <c r="E226" i="159"/>
  <c r="M226" i="159"/>
  <c r="K226" i="159"/>
  <c r="I226" i="159"/>
  <c r="G226" i="159"/>
  <c r="F226" i="159"/>
  <c r="D226" i="159"/>
  <c r="C23" i="163"/>
  <c r="C29" i="163" s="1"/>
  <c r="C80" i="163" s="1"/>
  <c r="O21" i="163"/>
  <c r="C226" i="159"/>
  <c r="J212" i="165" l="1"/>
  <c r="J202" i="165"/>
  <c r="J200" i="165"/>
  <c r="J198" i="165"/>
  <c r="I198" i="165"/>
  <c r="H198" i="165"/>
  <c r="G198" i="165"/>
  <c r="F198" i="165"/>
  <c r="J197" i="165"/>
  <c r="I197" i="165"/>
  <c r="H197" i="165"/>
  <c r="G197" i="165"/>
  <c r="F197" i="165"/>
  <c r="J194" i="165"/>
  <c r="J192" i="165"/>
  <c r="J190" i="165"/>
  <c r="S185" i="165"/>
  <c r="S183" i="165"/>
  <c r="U183" i="165" s="1"/>
  <c r="S182" i="165"/>
  <c r="S180" i="165"/>
  <c r="W175" i="165"/>
  <c r="X185" i="165" s="1"/>
  <c r="V185" i="165" s="1"/>
  <c r="S175" i="165"/>
  <c r="W173" i="165"/>
  <c r="S173" i="165"/>
  <c r="W172" i="165"/>
  <c r="S172" i="165"/>
  <c r="Q170" i="165"/>
  <c r="P170" i="165"/>
  <c r="O170" i="165"/>
  <c r="N170" i="165"/>
  <c r="M170" i="165"/>
  <c r="L170" i="165"/>
  <c r="K170" i="165"/>
  <c r="J170" i="165"/>
  <c r="I170" i="165"/>
  <c r="H170" i="165"/>
  <c r="G170" i="165"/>
  <c r="F170" i="165"/>
  <c r="W170" i="165" s="1"/>
  <c r="X165" i="165"/>
  <c r="T165" i="165"/>
  <c r="Q163" i="165"/>
  <c r="P163" i="165"/>
  <c r="O163" i="165"/>
  <c r="N163" i="165"/>
  <c r="M163" i="165"/>
  <c r="L163" i="165"/>
  <c r="K163" i="165"/>
  <c r="J163" i="165"/>
  <c r="I163" i="165"/>
  <c r="H163" i="165"/>
  <c r="G163" i="165"/>
  <c r="F163" i="165"/>
  <c r="S163" i="165" s="1"/>
  <c r="S162" i="165"/>
  <c r="S161" i="165"/>
  <c r="S160" i="165"/>
  <c r="S159" i="165"/>
  <c r="Q158" i="165"/>
  <c r="P158" i="165"/>
  <c r="O158" i="165"/>
  <c r="N158" i="165"/>
  <c r="M158" i="165"/>
  <c r="L158" i="165"/>
  <c r="K158" i="165"/>
  <c r="J158" i="165"/>
  <c r="I158" i="165"/>
  <c r="H158" i="165"/>
  <c r="G158" i="165"/>
  <c r="F158" i="165"/>
  <c r="W157" i="165"/>
  <c r="S157" i="165"/>
  <c r="W156" i="165"/>
  <c r="X161" i="165" s="1"/>
  <c r="V161" i="165" s="1"/>
  <c r="S156" i="165"/>
  <c r="U156" i="165" s="1"/>
  <c r="W155" i="165"/>
  <c r="S155" i="165"/>
  <c r="W154" i="165"/>
  <c r="S154" i="165"/>
  <c r="U154" i="165" s="1"/>
  <c r="Q152" i="165"/>
  <c r="Q179" i="165" s="1"/>
  <c r="P152" i="165"/>
  <c r="P179" i="165" s="1"/>
  <c r="O152" i="165"/>
  <c r="O179" i="165" s="1"/>
  <c r="N152" i="165"/>
  <c r="N179" i="165" s="1"/>
  <c r="M152" i="165"/>
  <c r="M179" i="165" s="1"/>
  <c r="L152" i="165"/>
  <c r="L179" i="165" s="1"/>
  <c r="K152" i="165"/>
  <c r="K179" i="165" s="1"/>
  <c r="J152" i="165"/>
  <c r="J179" i="165" s="1"/>
  <c r="I152" i="165"/>
  <c r="I179" i="165" s="1"/>
  <c r="H152" i="165"/>
  <c r="H179" i="165" s="1"/>
  <c r="G152" i="165"/>
  <c r="G179" i="165" s="1"/>
  <c r="F152" i="165"/>
  <c r="F179" i="165" s="1"/>
  <c r="S179" i="165" s="1"/>
  <c r="U179" i="165" s="1"/>
  <c r="Q151" i="165"/>
  <c r="Q178" i="165" s="1"/>
  <c r="P151" i="165"/>
  <c r="P178" i="165" s="1"/>
  <c r="O151" i="165"/>
  <c r="O178" i="165" s="1"/>
  <c r="N151" i="165"/>
  <c r="N178" i="165" s="1"/>
  <c r="M151" i="165"/>
  <c r="M178" i="165" s="1"/>
  <c r="L151" i="165"/>
  <c r="L178" i="165" s="1"/>
  <c r="K151" i="165"/>
  <c r="K178" i="165" s="1"/>
  <c r="J151" i="165"/>
  <c r="J178" i="165" s="1"/>
  <c r="I151" i="165"/>
  <c r="I178" i="165" s="1"/>
  <c r="H151" i="165"/>
  <c r="H178" i="165" s="1"/>
  <c r="G151" i="165"/>
  <c r="G178" i="165" s="1"/>
  <c r="F151" i="165"/>
  <c r="Q150" i="165"/>
  <c r="Q177" i="165" s="1"/>
  <c r="P150" i="165"/>
  <c r="P177" i="165" s="1"/>
  <c r="O150" i="165"/>
  <c r="O177" i="165" s="1"/>
  <c r="N150" i="165"/>
  <c r="N177" i="165" s="1"/>
  <c r="M150" i="165"/>
  <c r="M177" i="165" s="1"/>
  <c r="L150" i="165"/>
  <c r="L177" i="165" s="1"/>
  <c r="K150" i="165"/>
  <c r="K177" i="165" s="1"/>
  <c r="J150" i="165"/>
  <c r="J177" i="165" s="1"/>
  <c r="I150" i="165"/>
  <c r="I177" i="165" s="1"/>
  <c r="H150" i="165"/>
  <c r="H177" i="165" s="1"/>
  <c r="G150" i="165"/>
  <c r="G177" i="165" s="1"/>
  <c r="F150" i="165"/>
  <c r="F177" i="165" s="1"/>
  <c r="S177" i="165" s="1"/>
  <c r="Q149" i="165"/>
  <c r="Q153" i="165" s="1"/>
  <c r="P149" i="165"/>
  <c r="P176" i="165" s="1"/>
  <c r="P181" i="165" s="1"/>
  <c r="P184" i="165" s="1"/>
  <c r="O149" i="165"/>
  <c r="O153" i="165" s="1"/>
  <c r="N149" i="165"/>
  <c r="N176" i="165" s="1"/>
  <c r="N181" i="165" s="1"/>
  <c r="N184" i="165" s="1"/>
  <c r="M149" i="165"/>
  <c r="M153" i="165" s="1"/>
  <c r="L149" i="165"/>
  <c r="L176" i="165" s="1"/>
  <c r="L181" i="165" s="1"/>
  <c r="L184" i="165" s="1"/>
  <c r="K149" i="165"/>
  <c r="K153" i="165" s="1"/>
  <c r="J149" i="165"/>
  <c r="J176" i="165" s="1"/>
  <c r="J181" i="165" s="1"/>
  <c r="J184" i="165" s="1"/>
  <c r="I149" i="165"/>
  <c r="I153" i="165" s="1"/>
  <c r="H149" i="165"/>
  <c r="H176" i="165" s="1"/>
  <c r="H181" i="165" s="1"/>
  <c r="H184" i="165" s="1"/>
  <c r="G149" i="165"/>
  <c r="G153" i="165" s="1"/>
  <c r="F149" i="165"/>
  <c r="Q147" i="165"/>
  <c r="Q169" i="165" s="1"/>
  <c r="P147" i="165"/>
  <c r="P169" i="165" s="1"/>
  <c r="O147" i="165"/>
  <c r="O169" i="165" s="1"/>
  <c r="N147" i="165"/>
  <c r="N169" i="165" s="1"/>
  <c r="M147" i="165"/>
  <c r="M169" i="165" s="1"/>
  <c r="L147" i="165"/>
  <c r="L169" i="165" s="1"/>
  <c r="K147" i="165"/>
  <c r="K169" i="165" s="1"/>
  <c r="J147" i="165"/>
  <c r="J169" i="165" s="1"/>
  <c r="I147" i="165"/>
  <c r="I169" i="165" s="1"/>
  <c r="H147" i="165"/>
  <c r="H169" i="165" s="1"/>
  <c r="G147" i="165"/>
  <c r="G169" i="165" s="1"/>
  <c r="F147" i="165"/>
  <c r="W147" i="165" s="1"/>
  <c r="Q146" i="165"/>
  <c r="Q168" i="165" s="1"/>
  <c r="P146" i="165"/>
  <c r="P168" i="165" s="1"/>
  <c r="O146" i="165"/>
  <c r="O168" i="165" s="1"/>
  <c r="N146" i="165"/>
  <c r="N168" i="165" s="1"/>
  <c r="M146" i="165"/>
  <c r="M168" i="165" s="1"/>
  <c r="L146" i="165"/>
  <c r="L168" i="165" s="1"/>
  <c r="K146" i="165"/>
  <c r="K168" i="165" s="1"/>
  <c r="J146" i="165"/>
  <c r="J168" i="165" s="1"/>
  <c r="I146" i="165"/>
  <c r="I168" i="165" s="1"/>
  <c r="H146" i="165"/>
  <c r="H168" i="165" s="1"/>
  <c r="G146" i="165"/>
  <c r="G168" i="165" s="1"/>
  <c r="F146" i="165"/>
  <c r="F168" i="165" s="1"/>
  <c r="Q145" i="165"/>
  <c r="Q167" i="165" s="1"/>
  <c r="P145" i="165"/>
  <c r="P167" i="165" s="1"/>
  <c r="O145" i="165"/>
  <c r="O167" i="165" s="1"/>
  <c r="N145" i="165"/>
  <c r="N167" i="165" s="1"/>
  <c r="M145" i="165"/>
  <c r="M167" i="165" s="1"/>
  <c r="L145" i="165"/>
  <c r="L167" i="165" s="1"/>
  <c r="K145" i="165"/>
  <c r="K167" i="165" s="1"/>
  <c r="J145" i="165"/>
  <c r="J167" i="165" s="1"/>
  <c r="I145" i="165"/>
  <c r="I167" i="165" s="1"/>
  <c r="H145" i="165"/>
  <c r="H167" i="165" s="1"/>
  <c r="G145" i="165"/>
  <c r="G167" i="165" s="1"/>
  <c r="F145" i="165"/>
  <c r="F167" i="165" s="1"/>
  <c r="S167" i="165" s="1"/>
  <c r="Q144" i="165"/>
  <c r="Q166" i="165" s="1"/>
  <c r="P144" i="165"/>
  <c r="P166" i="165" s="1"/>
  <c r="O144" i="165"/>
  <c r="O166" i="165" s="1"/>
  <c r="N144" i="165"/>
  <c r="N166" i="165" s="1"/>
  <c r="M144" i="165"/>
  <c r="M166" i="165" s="1"/>
  <c r="L144" i="165"/>
  <c r="L166" i="165" s="1"/>
  <c r="K144" i="165"/>
  <c r="K148" i="165" s="1"/>
  <c r="J144" i="165"/>
  <c r="J166" i="165" s="1"/>
  <c r="I144" i="165"/>
  <c r="I166" i="165" s="1"/>
  <c r="H144" i="165"/>
  <c r="H166" i="165" s="1"/>
  <c r="G144" i="165"/>
  <c r="G166" i="165" s="1"/>
  <c r="F144" i="165"/>
  <c r="F166" i="165" s="1"/>
  <c r="Q143" i="165"/>
  <c r="P143" i="165"/>
  <c r="O143" i="165"/>
  <c r="N143" i="165"/>
  <c r="M143" i="165"/>
  <c r="L143" i="165"/>
  <c r="K143" i="165"/>
  <c r="J143" i="165"/>
  <c r="I143" i="165"/>
  <c r="H143" i="165"/>
  <c r="G143" i="165"/>
  <c r="F143" i="165"/>
  <c r="S143" i="165" s="1"/>
  <c r="S142" i="165"/>
  <c r="S141" i="165"/>
  <c r="S140" i="165"/>
  <c r="U140" i="165" s="1"/>
  <c r="S139" i="165"/>
  <c r="Q138" i="165"/>
  <c r="P138" i="165"/>
  <c r="O138" i="165"/>
  <c r="N138" i="165"/>
  <c r="M138" i="165"/>
  <c r="L138" i="165"/>
  <c r="K138" i="165"/>
  <c r="J138" i="165"/>
  <c r="I138" i="165"/>
  <c r="H138" i="165"/>
  <c r="G138" i="165"/>
  <c r="F138" i="165"/>
  <c r="W137" i="165"/>
  <c r="S137" i="165"/>
  <c r="W136" i="165"/>
  <c r="S136" i="165"/>
  <c r="T141" i="165" s="1"/>
  <c r="R141" i="165" s="1"/>
  <c r="W135" i="165"/>
  <c r="S135" i="165"/>
  <c r="W134" i="165"/>
  <c r="S134" i="165"/>
  <c r="U134" i="165" s="1"/>
  <c r="Q133" i="165"/>
  <c r="P133" i="165"/>
  <c r="O133" i="165"/>
  <c r="N133" i="165"/>
  <c r="M133" i="165"/>
  <c r="L133" i="165"/>
  <c r="K133" i="165"/>
  <c r="J133" i="165"/>
  <c r="I133" i="165"/>
  <c r="H133" i="165"/>
  <c r="G133" i="165"/>
  <c r="F133" i="165"/>
  <c r="S133" i="165" s="1"/>
  <c r="S132" i="165"/>
  <c r="U132" i="165" s="1"/>
  <c r="S131" i="165"/>
  <c r="S130" i="165"/>
  <c r="U130" i="165" s="1"/>
  <c r="S129" i="165"/>
  <c r="Q128" i="165"/>
  <c r="P128" i="165"/>
  <c r="O128" i="165"/>
  <c r="N128" i="165"/>
  <c r="M128" i="165"/>
  <c r="L128" i="165"/>
  <c r="K128" i="165"/>
  <c r="J128" i="165"/>
  <c r="I128" i="165"/>
  <c r="H128" i="165"/>
  <c r="G128" i="165"/>
  <c r="F128" i="165"/>
  <c r="W128" i="165" s="1"/>
  <c r="W127" i="165"/>
  <c r="S127" i="165"/>
  <c r="W126" i="165"/>
  <c r="S126" i="165"/>
  <c r="T131" i="165" s="1"/>
  <c r="R131" i="165" s="1"/>
  <c r="W125" i="165"/>
  <c r="S125" i="165"/>
  <c r="W124" i="165"/>
  <c r="S124" i="165"/>
  <c r="U124" i="165" s="1"/>
  <c r="Q123" i="165"/>
  <c r="P123" i="165"/>
  <c r="O123" i="165"/>
  <c r="N123" i="165"/>
  <c r="M123" i="165"/>
  <c r="L123" i="165"/>
  <c r="K123" i="165"/>
  <c r="J123" i="165"/>
  <c r="I123" i="165"/>
  <c r="H123" i="165"/>
  <c r="G123" i="165"/>
  <c r="F123" i="165"/>
  <c r="S123" i="165" s="1"/>
  <c r="S122" i="165"/>
  <c r="S121" i="165"/>
  <c r="S120" i="165"/>
  <c r="U120" i="165" s="1"/>
  <c r="S119" i="165"/>
  <c r="Q118" i="165"/>
  <c r="P118" i="165"/>
  <c r="O118" i="165"/>
  <c r="N118" i="165"/>
  <c r="M118" i="165"/>
  <c r="L118" i="165"/>
  <c r="K118" i="165"/>
  <c r="J118" i="165"/>
  <c r="I118" i="165"/>
  <c r="H118" i="165"/>
  <c r="G118" i="165"/>
  <c r="F118" i="165"/>
  <c r="W117" i="165"/>
  <c r="S117" i="165"/>
  <c r="W116" i="165"/>
  <c r="S116" i="165"/>
  <c r="U116" i="165" s="1"/>
  <c r="W115" i="165"/>
  <c r="S115" i="165"/>
  <c r="W114" i="165"/>
  <c r="S114" i="165"/>
  <c r="U114" i="165" s="1"/>
  <c r="Q113" i="165"/>
  <c r="P113" i="165"/>
  <c r="O113" i="165"/>
  <c r="N113" i="165"/>
  <c r="M113" i="165"/>
  <c r="L113" i="165"/>
  <c r="K113" i="165"/>
  <c r="J113" i="165"/>
  <c r="I113" i="165"/>
  <c r="H113" i="165"/>
  <c r="G113" i="165"/>
  <c r="F113" i="165"/>
  <c r="S113" i="165" s="1"/>
  <c r="S112" i="165"/>
  <c r="U112" i="165" s="1"/>
  <c r="S111" i="165"/>
  <c r="S110" i="165"/>
  <c r="U110" i="165" s="1"/>
  <c r="S109" i="165"/>
  <c r="Q108" i="165"/>
  <c r="P108" i="165"/>
  <c r="O108" i="165"/>
  <c r="N108" i="165"/>
  <c r="M108" i="165"/>
  <c r="L108" i="165"/>
  <c r="K108" i="165"/>
  <c r="J108" i="165"/>
  <c r="I108" i="165"/>
  <c r="H108" i="165"/>
  <c r="G108" i="165"/>
  <c r="F108" i="165"/>
  <c r="W108" i="165" s="1"/>
  <c r="W107" i="165"/>
  <c r="S107" i="165"/>
  <c r="W106" i="165"/>
  <c r="S106" i="165"/>
  <c r="W105" i="165"/>
  <c r="S105" i="165"/>
  <c r="W104" i="165"/>
  <c r="S104" i="165"/>
  <c r="U104" i="165" s="1"/>
  <c r="Q103" i="165"/>
  <c r="P103" i="165"/>
  <c r="O103" i="165"/>
  <c r="N103" i="165"/>
  <c r="M103" i="165"/>
  <c r="L103" i="165"/>
  <c r="K103" i="165"/>
  <c r="J103" i="165"/>
  <c r="I103" i="165"/>
  <c r="H103" i="165"/>
  <c r="G103" i="165"/>
  <c r="F103" i="165"/>
  <c r="S103" i="165" s="1"/>
  <c r="S102" i="165"/>
  <c r="S101" i="165"/>
  <c r="S100" i="165"/>
  <c r="U100" i="165" s="1"/>
  <c r="S99" i="165"/>
  <c r="Q98" i="165"/>
  <c r="P98" i="165"/>
  <c r="O98" i="165"/>
  <c r="N98" i="165"/>
  <c r="M98" i="165"/>
  <c r="L98" i="165"/>
  <c r="K98" i="165"/>
  <c r="J98" i="165"/>
  <c r="I98" i="165"/>
  <c r="H98" i="165"/>
  <c r="G98" i="165"/>
  <c r="F98" i="165"/>
  <c r="W97" i="165"/>
  <c r="S97" i="165"/>
  <c r="W96" i="165"/>
  <c r="S96" i="165"/>
  <c r="W95" i="165"/>
  <c r="S95" i="165"/>
  <c r="W94" i="165"/>
  <c r="S94" i="165"/>
  <c r="U94" i="165" s="1"/>
  <c r="Q93" i="165"/>
  <c r="P93" i="165"/>
  <c r="O93" i="165"/>
  <c r="N93" i="165"/>
  <c r="M93" i="165"/>
  <c r="L93" i="165"/>
  <c r="K93" i="165"/>
  <c r="J93" i="165"/>
  <c r="I93" i="165"/>
  <c r="H93" i="165"/>
  <c r="G93" i="165"/>
  <c r="F93" i="165"/>
  <c r="S93" i="165" s="1"/>
  <c r="S92" i="165"/>
  <c r="U92" i="165" s="1"/>
  <c r="S91" i="165"/>
  <c r="S90" i="165"/>
  <c r="U90" i="165" s="1"/>
  <c r="S89" i="165"/>
  <c r="Q88" i="165"/>
  <c r="P88" i="165"/>
  <c r="O88" i="165"/>
  <c r="N88" i="165"/>
  <c r="M88" i="165"/>
  <c r="L88" i="165"/>
  <c r="K88" i="165"/>
  <c r="J88" i="165"/>
  <c r="I88" i="165"/>
  <c r="H88" i="165"/>
  <c r="G88" i="165"/>
  <c r="F88" i="165"/>
  <c r="W88" i="165" s="1"/>
  <c r="W87" i="165"/>
  <c r="S87" i="165"/>
  <c r="W86" i="165"/>
  <c r="S86" i="165"/>
  <c r="W85" i="165"/>
  <c r="S85" i="165"/>
  <c r="W84" i="165"/>
  <c r="S84" i="165"/>
  <c r="U84" i="165" s="1"/>
  <c r="Q83" i="165"/>
  <c r="P83" i="165"/>
  <c r="O83" i="165"/>
  <c r="N83" i="165"/>
  <c r="M83" i="165"/>
  <c r="L83" i="165"/>
  <c r="K83" i="165"/>
  <c r="J83" i="165"/>
  <c r="I83" i="165"/>
  <c r="H83" i="165"/>
  <c r="G83" i="165"/>
  <c r="F83" i="165"/>
  <c r="S83" i="165" s="1"/>
  <c r="S82" i="165"/>
  <c r="S81" i="165"/>
  <c r="S80" i="165"/>
  <c r="U80" i="165" s="1"/>
  <c r="S79" i="165"/>
  <c r="Q78" i="165"/>
  <c r="P78" i="165"/>
  <c r="O78" i="165"/>
  <c r="N78" i="165"/>
  <c r="M78" i="165"/>
  <c r="L78" i="165"/>
  <c r="K78" i="165"/>
  <c r="J78" i="165"/>
  <c r="I78" i="165"/>
  <c r="H78" i="165"/>
  <c r="G78" i="165"/>
  <c r="F78" i="165"/>
  <c r="W77" i="165"/>
  <c r="S77" i="165"/>
  <c r="W76" i="165"/>
  <c r="S76" i="165"/>
  <c r="W75" i="165"/>
  <c r="S75" i="165"/>
  <c r="W74" i="165"/>
  <c r="S74" i="165"/>
  <c r="U74" i="165" s="1"/>
  <c r="Q73" i="165"/>
  <c r="P73" i="165"/>
  <c r="O73" i="165"/>
  <c r="N73" i="165"/>
  <c r="M73" i="165"/>
  <c r="L73" i="165"/>
  <c r="K73" i="165"/>
  <c r="J73" i="165"/>
  <c r="I73" i="165"/>
  <c r="H73" i="165"/>
  <c r="G73" i="165"/>
  <c r="F73" i="165"/>
  <c r="S73" i="165" s="1"/>
  <c r="S72" i="165"/>
  <c r="U72" i="165" s="1"/>
  <c r="S71" i="165"/>
  <c r="S70" i="165"/>
  <c r="U70" i="165" s="1"/>
  <c r="S69" i="165"/>
  <c r="Q68" i="165"/>
  <c r="P68" i="165"/>
  <c r="O68" i="165"/>
  <c r="N68" i="165"/>
  <c r="M68" i="165"/>
  <c r="L68" i="165"/>
  <c r="K68" i="165"/>
  <c r="J68" i="165"/>
  <c r="I68" i="165"/>
  <c r="H68" i="165"/>
  <c r="G68" i="165"/>
  <c r="F68" i="165"/>
  <c r="W68" i="165" s="1"/>
  <c r="W67" i="165"/>
  <c r="S67" i="165"/>
  <c r="W66" i="165"/>
  <c r="S66" i="165"/>
  <c r="T71" i="165" s="1"/>
  <c r="R71" i="165" s="1"/>
  <c r="W65" i="165"/>
  <c r="S65" i="165"/>
  <c r="W64" i="165"/>
  <c r="S64" i="165"/>
  <c r="U64" i="165" s="1"/>
  <c r="Q63" i="165"/>
  <c r="P63" i="165"/>
  <c r="O63" i="165"/>
  <c r="N63" i="165"/>
  <c r="M63" i="165"/>
  <c r="L63" i="165"/>
  <c r="K63" i="165"/>
  <c r="J63" i="165"/>
  <c r="I63" i="165"/>
  <c r="H63" i="165"/>
  <c r="G63" i="165"/>
  <c r="F63" i="165"/>
  <c r="S63" i="165" s="1"/>
  <c r="S62" i="165"/>
  <c r="S61" i="165"/>
  <c r="S60" i="165"/>
  <c r="U60" i="165" s="1"/>
  <c r="S59" i="165"/>
  <c r="Q58" i="165"/>
  <c r="P58" i="165"/>
  <c r="O58" i="165"/>
  <c r="N58" i="165"/>
  <c r="M58" i="165"/>
  <c r="L58" i="165"/>
  <c r="K58" i="165"/>
  <c r="J58" i="165"/>
  <c r="I58" i="165"/>
  <c r="H58" i="165"/>
  <c r="G58" i="165"/>
  <c r="F58" i="165"/>
  <c r="W57" i="165"/>
  <c r="S57" i="165"/>
  <c r="W56" i="165"/>
  <c r="S56" i="165"/>
  <c r="W55" i="165"/>
  <c r="S55" i="165"/>
  <c r="W54" i="165"/>
  <c r="S54" i="165"/>
  <c r="U54" i="165" s="1"/>
  <c r="Q53" i="165"/>
  <c r="P53" i="165"/>
  <c r="O53" i="165"/>
  <c r="N53" i="165"/>
  <c r="M53" i="165"/>
  <c r="L53" i="165"/>
  <c r="K53" i="165"/>
  <c r="J53" i="165"/>
  <c r="I53" i="165"/>
  <c r="H53" i="165"/>
  <c r="G53" i="165"/>
  <c r="F53" i="165"/>
  <c r="S53" i="165" s="1"/>
  <c r="S52" i="165"/>
  <c r="U52" i="165" s="1"/>
  <c r="S51" i="165"/>
  <c r="S50" i="165"/>
  <c r="U50" i="165" s="1"/>
  <c r="S49" i="165"/>
  <c r="Q48" i="165"/>
  <c r="P48" i="165"/>
  <c r="O48" i="165"/>
  <c r="N48" i="165"/>
  <c r="M48" i="165"/>
  <c r="L48" i="165"/>
  <c r="K48" i="165"/>
  <c r="J48" i="165"/>
  <c r="I48" i="165"/>
  <c r="H48" i="165"/>
  <c r="G48" i="165"/>
  <c r="F48" i="165"/>
  <c r="W48" i="165" s="1"/>
  <c r="W47" i="165"/>
  <c r="S47" i="165"/>
  <c r="W46" i="165"/>
  <c r="S46" i="165"/>
  <c r="W45" i="165"/>
  <c r="S45" i="165"/>
  <c r="W44" i="165"/>
  <c r="S44" i="165"/>
  <c r="U44" i="165" s="1"/>
  <c r="Q43" i="165"/>
  <c r="P43" i="165"/>
  <c r="O43" i="165"/>
  <c r="N43" i="165"/>
  <c r="M43" i="165"/>
  <c r="L43" i="165"/>
  <c r="K43" i="165"/>
  <c r="J43" i="165"/>
  <c r="I43" i="165"/>
  <c r="H43" i="165"/>
  <c r="G43" i="165"/>
  <c r="F43" i="165"/>
  <c r="S43" i="165" s="1"/>
  <c r="S42" i="165"/>
  <c r="S41" i="165"/>
  <c r="S40" i="165"/>
  <c r="U40" i="165" s="1"/>
  <c r="S39" i="165"/>
  <c r="Q38" i="165"/>
  <c r="P38" i="165"/>
  <c r="O38" i="165"/>
  <c r="N38" i="165"/>
  <c r="M38" i="165"/>
  <c r="L38" i="165"/>
  <c r="K38" i="165"/>
  <c r="J38" i="165"/>
  <c r="I38" i="165"/>
  <c r="H38" i="165"/>
  <c r="G38" i="165"/>
  <c r="F38" i="165"/>
  <c r="W37" i="165"/>
  <c r="S37" i="165"/>
  <c r="W36" i="165"/>
  <c r="S36" i="165"/>
  <c r="W35" i="165"/>
  <c r="S35" i="165"/>
  <c r="W34" i="165"/>
  <c r="S34" i="165"/>
  <c r="U34" i="165" s="1"/>
  <c r="Q33" i="165"/>
  <c r="P33" i="165"/>
  <c r="O33" i="165"/>
  <c r="N33" i="165"/>
  <c r="M33" i="165"/>
  <c r="L33" i="165"/>
  <c r="K33" i="165"/>
  <c r="J33" i="165"/>
  <c r="I33" i="165"/>
  <c r="H33" i="165"/>
  <c r="G33" i="165"/>
  <c r="F33" i="165"/>
  <c r="S33" i="165" s="1"/>
  <c r="S32" i="165"/>
  <c r="U32" i="165" s="1"/>
  <c r="S31" i="165"/>
  <c r="S30" i="165"/>
  <c r="U30" i="165" s="1"/>
  <c r="S29" i="165"/>
  <c r="Q28" i="165"/>
  <c r="P28" i="165"/>
  <c r="O28" i="165"/>
  <c r="N28" i="165"/>
  <c r="M28" i="165"/>
  <c r="L28" i="165"/>
  <c r="K28" i="165"/>
  <c r="J28" i="165"/>
  <c r="I28" i="165"/>
  <c r="H28" i="165"/>
  <c r="G28" i="165"/>
  <c r="F28" i="165"/>
  <c r="W28" i="165" s="1"/>
  <c r="W27" i="165"/>
  <c r="S27" i="165"/>
  <c r="W26" i="165"/>
  <c r="S26" i="165"/>
  <c r="W25" i="165"/>
  <c r="S25" i="165"/>
  <c r="W24" i="165"/>
  <c r="S24" i="165"/>
  <c r="U24" i="165" s="1"/>
  <c r="Q23" i="165"/>
  <c r="P23" i="165"/>
  <c r="O23" i="165"/>
  <c r="N23" i="165"/>
  <c r="M23" i="165"/>
  <c r="L23" i="165"/>
  <c r="K23" i="165"/>
  <c r="J23" i="165"/>
  <c r="I23" i="165"/>
  <c r="H23" i="165"/>
  <c r="G23" i="165"/>
  <c r="F23" i="165"/>
  <c r="S23" i="165" s="1"/>
  <c r="S22" i="165"/>
  <c r="S21" i="165"/>
  <c r="S20" i="165"/>
  <c r="U20" i="165" s="1"/>
  <c r="S19" i="165"/>
  <c r="Q18" i="165"/>
  <c r="P18" i="165"/>
  <c r="O18" i="165"/>
  <c r="N18" i="165"/>
  <c r="M18" i="165"/>
  <c r="L18" i="165"/>
  <c r="K18" i="165"/>
  <c r="J18" i="165"/>
  <c r="I18" i="165"/>
  <c r="H18" i="165"/>
  <c r="G18" i="165"/>
  <c r="F18" i="165"/>
  <c r="W17" i="165"/>
  <c r="S17" i="165"/>
  <c r="W16" i="165"/>
  <c r="S16" i="165"/>
  <c r="W15" i="165"/>
  <c r="S15" i="165"/>
  <c r="W14" i="165"/>
  <c r="S14" i="165"/>
  <c r="U14" i="165" s="1"/>
  <c r="Q13" i="165"/>
  <c r="P13" i="165"/>
  <c r="O13" i="165"/>
  <c r="N13" i="165"/>
  <c r="M13" i="165"/>
  <c r="L13" i="165"/>
  <c r="K13" i="165"/>
  <c r="J13" i="165"/>
  <c r="I13" i="165"/>
  <c r="H13" i="165"/>
  <c r="G13" i="165"/>
  <c r="F13" i="165"/>
  <c r="S13" i="165" s="1"/>
  <c r="S12" i="165"/>
  <c r="U12" i="165" s="1"/>
  <c r="S11" i="165"/>
  <c r="S10" i="165"/>
  <c r="U10" i="165" s="1"/>
  <c r="S9" i="165"/>
  <c r="Q8" i="165"/>
  <c r="P8" i="165"/>
  <c r="O8" i="165"/>
  <c r="N8" i="165"/>
  <c r="M8" i="165"/>
  <c r="L8" i="165"/>
  <c r="K8" i="165"/>
  <c r="J8" i="165"/>
  <c r="I8" i="165"/>
  <c r="H8" i="165"/>
  <c r="G8" i="165"/>
  <c r="F8" i="165"/>
  <c r="W8" i="165" s="1"/>
  <c r="W7" i="165"/>
  <c r="S7" i="165"/>
  <c r="U7" i="165" s="1"/>
  <c r="W6" i="165"/>
  <c r="S6" i="165"/>
  <c r="U6" i="165" s="1"/>
  <c r="W5" i="165"/>
  <c r="S5" i="165"/>
  <c r="U5" i="165" s="1"/>
  <c r="W4" i="165"/>
  <c r="S4" i="165"/>
  <c r="W3" i="165"/>
  <c r="X9" i="165" s="1"/>
  <c r="V9" i="165" s="1"/>
  <c r="S3" i="165"/>
  <c r="U3" i="165" s="1"/>
  <c r="G2" i="165"/>
  <c r="H2" i="165" s="1"/>
  <c r="I2" i="165" s="1"/>
  <c r="J2" i="165" s="1"/>
  <c r="K2" i="165" s="1"/>
  <c r="L2" i="165" s="1"/>
  <c r="M2" i="165" s="1"/>
  <c r="N2" i="165" s="1"/>
  <c r="O2" i="165" s="1"/>
  <c r="P2" i="165" s="1"/>
  <c r="Q2" i="165" s="1"/>
  <c r="C1" i="165"/>
  <c r="G148" i="165" l="1"/>
  <c r="O148" i="165"/>
  <c r="S152" i="165"/>
  <c r="U152" i="165" s="1"/>
  <c r="W152" i="165" s="1"/>
  <c r="X152" i="165" s="1"/>
  <c r="V152" i="165" s="1"/>
  <c r="L153" i="165"/>
  <c r="K166" i="165"/>
  <c r="I176" i="165"/>
  <c r="M176" i="165"/>
  <c r="Q176" i="165"/>
  <c r="H171" i="165"/>
  <c r="H174" i="165" s="1"/>
  <c r="L171" i="165"/>
  <c r="L174" i="165" s="1"/>
  <c r="P171" i="165"/>
  <c r="P174" i="165" s="1"/>
  <c r="W145" i="165"/>
  <c r="S150" i="165"/>
  <c r="U150" i="165" s="1"/>
  <c r="H153" i="165"/>
  <c r="P153" i="165"/>
  <c r="G176" i="165"/>
  <c r="G181" i="165" s="1"/>
  <c r="G184" i="165" s="1"/>
  <c r="K176" i="165"/>
  <c r="O176" i="165"/>
  <c r="O181" i="165" s="1"/>
  <c r="O184" i="165" s="1"/>
  <c r="T182" i="165"/>
  <c r="R182" i="165" s="1"/>
  <c r="T21" i="165"/>
  <c r="R21" i="165" s="1"/>
  <c r="T91" i="165"/>
  <c r="R91" i="165" s="1"/>
  <c r="T101" i="165"/>
  <c r="R101" i="165" s="1"/>
  <c r="T31" i="165"/>
  <c r="R31" i="165" s="1"/>
  <c r="T81" i="165"/>
  <c r="R81" i="165" s="1"/>
  <c r="T61" i="165"/>
  <c r="R61" i="165" s="1"/>
  <c r="T51" i="165"/>
  <c r="R51" i="165" s="1"/>
  <c r="T41" i="165"/>
  <c r="R41" i="165" s="1"/>
  <c r="T111" i="165"/>
  <c r="R111" i="165" s="1"/>
  <c r="U36" i="165"/>
  <c r="U46" i="165"/>
  <c r="U76" i="165"/>
  <c r="U86" i="165"/>
  <c r="T121" i="165"/>
  <c r="R121" i="165" s="1"/>
  <c r="U126" i="165"/>
  <c r="U16" i="165"/>
  <c r="T19" i="165"/>
  <c r="R19" i="165" s="1"/>
  <c r="U26" i="165"/>
  <c r="T29" i="165"/>
  <c r="R29" i="165" s="1"/>
  <c r="U56" i="165"/>
  <c r="U66" i="165"/>
  <c r="U96" i="165"/>
  <c r="U106" i="165"/>
  <c r="U136" i="165"/>
  <c r="T159" i="165"/>
  <c r="R159" i="165" s="1"/>
  <c r="W183" i="165"/>
  <c r="X183" i="165" s="1"/>
  <c r="V183" i="165" s="1"/>
  <c r="T10" i="165"/>
  <c r="R10" i="165" s="1"/>
  <c r="U4" i="165"/>
  <c r="U22" i="165"/>
  <c r="W22" i="165" s="1"/>
  <c r="X22" i="165" s="1"/>
  <c r="V22" i="165" s="1"/>
  <c r="T39" i="165"/>
  <c r="R39" i="165" s="1"/>
  <c r="T49" i="165"/>
  <c r="R49" i="165" s="1"/>
  <c r="T59" i="165"/>
  <c r="R59" i="165" s="1"/>
  <c r="T69" i="165"/>
  <c r="R69" i="165" s="1"/>
  <c r="T79" i="165"/>
  <c r="R79" i="165" s="1"/>
  <c r="T89" i="165"/>
  <c r="R89" i="165" s="1"/>
  <c r="T99" i="165"/>
  <c r="R99" i="165" s="1"/>
  <c r="T109" i="165"/>
  <c r="R109" i="165" s="1"/>
  <c r="T119" i="165"/>
  <c r="R119" i="165" s="1"/>
  <c r="T129" i="165"/>
  <c r="R129" i="165" s="1"/>
  <c r="T139" i="165"/>
  <c r="R139" i="165" s="1"/>
  <c r="T161" i="165"/>
  <c r="R161" i="165" s="1"/>
  <c r="W20" i="165"/>
  <c r="X20" i="165" s="1"/>
  <c r="V20" i="165" s="1"/>
  <c r="W40" i="165"/>
  <c r="X40" i="165" s="1"/>
  <c r="V40" i="165" s="1"/>
  <c r="U42" i="165"/>
  <c r="W42" i="165" s="1"/>
  <c r="X42" i="165" s="1"/>
  <c r="V42" i="165" s="1"/>
  <c r="W60" i="165"/>
  <c r="X60" i="165" s="1"/>
  <c r="V60" i="165" s="1"/>
  <c r="U62" i="165"/>
  <c r="W62" i="165" s="1"/>
  <c r="X62" i="165" s="1"/>
  <c r="V62" i="165" s="1"/>
  <c r="W80" i="165"/>
  <c r="X80" i="165" s="1"/>
  <c r="V80" i="165" s="1"/>
  <c r="U82" i="165"/>
  <c r="W82" i="165" s="1"/>
  <c r="X82" i="165" s="1"/>
  <c r="V82" i="165" s="1"/>
  <c r="W100" i="165"/>
  <c r="X100" i="165" s="1"/>
  <c r="V100" i="165" s="1"/>
  <c r="U102" i="165"/>
  <c r="W102" i="165" s="1"/>
  <c r="X102" i="165" s="1"/>
  <c r="V102" i="165" s="1"/>
  <c r="W120" i="165"/>
  <c r="X120" i="165" s="1"/>
  <c r="V120" i="165" s="1"/>
  <c r="U122" i="165"/>
  <c r="W122" i="165" s="1"/>
  <c r="X122" i="165" s="1"/>
  <c r="V122" i="165" s="1"/>
  <c r="W140" i="165"/>
  <c r="X140" i="165" s="1"/>
  <c r="V140" i="165" s="1"/>
  <c r="U142" i="165"/>
  <c r="W142" i="165" s="1"/>
  <c r="X142" i="165" s="1"/>
  <c r="V142" i="165" s="1"/>
  <c r="U160" i="165"/>
  <c r="W160" i="165" s="1"/>
  <c r="X160" i="165" s="1"/>
  <c r="V160" i="165" s="1"/>
  <c r="U162" i="165"/>
  <c r="W162" i="165" s="1"/>
  <c r="X162" i="165" s="1"/>
  <c r="V162" i="165" s="1"/>
  <c r="U172" i="165"/>
  <c r="U185" i="165"/>
  <c r="W185" i="165" s="1"/>
  <c r="W10" i="165"/>
  <c r="X10" i="165" s="1"/>
  <c r="V10" i="165" s="1"/>
  <c r="W12" i="165"/>
  <c r="X12" i="165" s="1"/>
  <c r="V12" i="165" s="1"/>
  <c r="T20" i="165"/>
  <c r="R20" i="165" s="1"/>
  <c r="U15" i="165"/>
  <c r="U23" i="165"/>
  <c r="W23" i="165" s="1"/>
  <c r="T32" i="165"/>
  <c r="R32" i="165" s="1"/>
  <c r="U27" i="165"/>
  <c r="W30" i="165"/>
  <c r="X30" i="165" s="1"/>
  <c r="V30" i="165" s="1"/>
  <c r="W32" i="165"/>
  <c r="X32" i="165" s="1"/>
  <c r="V32" i="165" s="1"/>
  <c r="T40" i="165"/>
  <c r="R40" i="165" s="1"/>
  <c r="U35" i="165"/>
  <c r="U43" i="165"/>
  <c r="W43" i="165" s="1"/>
  <c r="T52" i="165"/>
  <c r="R52" i="165" s="1"/>
  <c r="U47" i="165"/>
  <c r="W50" i="165"/>
  <c r="X50" i="165" s="1"/>
  <c r="V50" i="165" s="1"/>
  <c r="W52" i="165"/>
  <c r="X52" i="165" s="1"/>
  <c r="V52" i="165" s="1"/>
  <c r="T60" i="165"/>
  <c r="R60" i="165" s="1"/>
  <c r="U55" i="165"/>
  <c r="U63" i="165"/>
  <c r="W63" i="165" s="1"/>
  <c r="T72" i="165"/>
  <c r="R72" i="165" s="1"/>
  <c r="U67" i="165"/>
  <c r="W70" i="165"/>
  <c r="X70" i="165" s="1"/>
  <c r="V70" i="165" s="1"/>
  <c r="W72" i="165"/>
  <c r="X72" i="165" s="1"/>
  <c r="V72" i="165" s="1"/>
  <c r="T80" i="165"/>
  <c r="R80" i="165" s="1"/>
  <c r="U75" i="165"/>
  <c r="U83" i="165"/>
  <c r="W83" i="165" s="1"/>
  <c r="T92" i="165"/>
  <c r="R92" i="165" s="1"/>
  <c r="U87" i="165"/>
  <c r="W90" i="165"/>
  <c r="X90" i="165" s="1"/>
  <c r="V90" i="165" s="1"/>
  <c r="W92" i="165"/>
  <c r="X92" i="165" s="1"/>
  <c r="V92" i="165" s="1"/>
  <c r="T100" i="165"/>
  <c r="R100" i="165" s="1"/>
  <c r="U95" i="165"/>
  <c r="U103" i="165"/>
  <c r="W103" i="165" s="1"/>
  <c r="T112" i="165"/>
  <c r="R112" i="165" s="1"/>
  <c r="U107" i="165"/>
  <c r="W110" i="165"/>
  <c r="X110" i="165" s="1"/>
  <c r="V110" i="165" s="1"/>
  <c r="W112" i="165"/>
  <c r="X112" i="165" s="1"/>
  <c r="V112" i="165" s="1"/>
  <c r="T120" i="165"/>
  <c r="R120" i="165" s="1"/>
  <c r="U115" i="165"/>
  <c r="U123" i="165"/>
  <c r="W123" i="165" s="1"/>
  <c r="T132" i="165"/>
  <c r="R132" i="165" s="1"/>
  <c r="U127" i="165"/>
  <c r="W130" i="165"/>
  <c r="X130" i="165" s="1"/>
  <c r="V130" i="165" s="1"/>
  <c r="W132" i="165"/>
  <c r="X132" i="165" s="1"/>
  <c r="V132" i="165" s="1"/>
  <c r="T140" i="165"/>
  <c r="R140" i="165" s="1"/>
  <c r="U135" i="165"/>
  <c r="U143" i="165"/>
  <c r="W143" i="165" s="1"/>
  <c r="W166" i="165"/>
  <c r="S166" i="165"/>
  <c r="J171" i="165"/>
  <c r="J174" i="165" s="1"/>
  <c r="N171" i="165"/>
  <c r="N174" i="165" s="1"/>
  <c r="S147" i="165"/>
  <c r="U163" i="165"/>
  <c r="W163" i="165" s="1"/>
  <c r="G171" i="165"/>
  <c r="G174" i="165" s="1"/>
  <c r="O171" i="165"/>
  <c r="O174" i="165" s="1"/>
  <c r="I181" i="165"/>
  <c r="I184" i="165" s="1"/>
  <c r="M181" i="165"/>
  <c r="M184" i="165" s="1"/>
  <c r="Q181" i="165"/>
  <c r="Q184" i="165" s="1"/>
  <c r="T12" i="165"/>
  <c r="R12" i="165" s="1"/>
  <c r="T9" i="165"/>
  <c r="R9" i="165" s="1"/>
  <c r="T11" i="165"/>
  <c r="R11" i="165" s="1"/>
  <c r="U13" i="165"/>
  <c r="W13" i="165" s="1"/>
  <c r="X13" i="165" s="1"/>
  <c r="V13" i="165" s="1"/>
  <c r="T22" i="165"/>
  <c r="R22" i="165" s="1"/>
  <c r="U17" i="165"/>
  <c r="W18" i="165"/>
  <c r="T30" i="165"/>
  <c r="R30" i="165" s="1"/>
  <c r="U25" i="165"/>
  <c r="U33" i="165"/>
  <c r="W33" i="165" s="1"/>
  <c r="X33" i="165" s="1"/>
  <c r="V33" i="165" s="1"/>
  <c r="T42" i="165"/>
  <c r="R42" i="165" s="1"/>
  <c r="U37" i="165"/>
  <c r="W38" i="165"/>
  <c r="T50" i="165"/>
  <c r="R50" i="165" s="1"/>
  <c r="U45" i="165"/>
  <c r="U53" i="165"/>
  <c r="W53" i="165" s="1"/>
  <c r="X53" i="165" s="1"/>
  <c r="V53" i="165" s="1"/>
  <c r="T62" i="165"/>
  <c r="R62" i="165" s="1"/>
  <c r="U57" i="165"/>
  <c r="W58" i="165"/>
  <c r="T70" i="165"/>
  <c r="R70" i="165" s="1"/>
  <c r="U65" i="165"/>
  <c r="U73" i="165"/>
  <c r="W73" i="165" s="1"/>
  <c r="X73" i="165" s="1"/>
  <c r="V73" i="165" s="1"/>
  <c r="T82" i="165"/>
  <c r="R82" i="165" s="1"/>
  <c r="U77" i="165"/>
  <c r="W78" i="165"/>
  <c r="T90" i="165"/>
  <c r="R90" i="165" s="1"/>
  <c r="U85" i="165"/>
  <c r="U93" i="165"/>
  <c r="W93" i="165" s="1"/>
  <c r="X93" i="165" s="1"/>
  <c r="V93" i="165" s="1"/>
  <c r="T102" i="165"/>
  <c r="R102" i="165" s="1"/>
  <c r="U97" i="165"/>
  <c r="W98" i="165"/>
  <c r="T110" i="165"/>
  <c r="R110" i="165" s="1"/>
  <c r="U105" i="165"/>
  <c r="U113" i="165"/>
  <c r="W113" i="165" s="1"/>
  <c r="X113" i="165" s="1"/>
  <c r="V113" i="165" s="1"/>
  <c r="T122" i="165"/>
  <c r="R122" i="165" s="1"/>
  <c r="U117" i="165"/>
  <c r="W118" i="165"/>
  <c r="T130" i="165"/>
  <c r="R130" i="165" s="1"/>
  <c r="U125" i="165"/>
  <c r="U133" i="165"/>
  <c r="W133" i="165" s="1"/>
  <c r="X133" i="165" s="1"/>
  <c r="V133" i="165" s="1"/>
  <c r="T142" i="165"/>
  <c r="R142" i="165" s="1"/>
  <c r="U137" i="165"/>
  <c r="W138" i="165"/>
  <c r="I171" i="165"/>
  <c r="I174" i="165" s="1"/>
  <c r="M171" i="165"/>
  <c r="M174" i="165" s="1"/>
  <c r="Q171" i="165"/>
  <c r="Q174" i="165" s="1"/>
  <c r="T177" i="165"/>
  <c r="R177" i="165" s="1"/>
  <c r="U167" i="165"/>
  <c r="F178" i="165"/>
  <c r="S178" i="165" s="1"/>
  <c r="S151" i="165"/>
  <c r="W179" i="165"/>
  <c r="T160" i="165"/>
  <c r="R160" i="165" s="1"/>
  <c r="U155" i="165"/>
  <c r="K171" i="165"/>
  <c r="K174" i="165" s="1"/>
  <c r="W167" i="165"/>
  <c r="F169" i="165"/>
  <c r="T183" i="165"/>
  <c r="R183" i="165" s="1"/>
  <c r="U173" i="165"/>
  <c r="K181" i="165"/>
  <c r="K184" i="165" s="1"/>
  <c r="U177" i="165"/>
  <c r="W177" i="165" s="1"/>
  <c r="S8" i="165"/>
  <c r="U9" i="165"/>
  <c r="W9" i="165" s="1"/>
  <c r="U11" i="165"/>
  <c r="W11" i="165" s="1"/>
  <c r="X11" i="165" s="1"/>
  <c r="V11" i="165" s="1"/>
  <c r="S18" i="165"/>
  <c r="U19" i="165"/>
  <c r="W19" i="165" s="1"/>
  <c r="X19" i="165" s="1"/>
  <c r="V19" i="165" s="1"/>
  <c r="U21" i="165"/>
  <c r="W21" i="165" s="1"/>
  <c r="X21" i="165" s="1"/>
  <c r="V21" i="165" s="1"/>
  <c r="S28" i="165"/>
  <c r="U29" i="165"/>
  <c r="W29" i="165" s="1"/>
  <c r="X29" i="165" s="1"/>
  <c r="V29" i="165" s="1"/>
  <c r="U31" i="165"/>
  <c r="W31" i="165" s="1"/>
  <c r="X31" i="165" s="1"/>
  <c r="V31" i="165" s="1"/>
  <c r="S38" i="165"/>
  <c r="U39" i="165"/>
  <c r="W39" i="165" s="1"/>
  <c r="X39" i="165" s="1"/>
  <c r="V39" i="165" s="1"/>
  <c r="U41" i="165"/>
  <c r="W41" i="165" s="1"/>
  <c r="X41" i="165" s="1"/>
  <c r="V41" i="165" s="1"/>
  <c r="S48" i="165"/>
  <c r="U49" i="165"/>
  <c r="W49" i="165" s="1"/>
  <c r="X49" i="165" s="1"/>
  <c r="V49" i="165" s="1"/>
  <c r="U51" i="165"/>
  <c r="W51" i="165" s="1"/>
  <c r="X51" i="165" s="1"/>
  <c r="V51" i="165" s="1"/>
  <c r="S58" i="165"/>
  <c r="U59" i="165"/>
  <c r="W59" i="165" s="1"/>
  <c r="X59" i="165" s="1"/>
  <c r="V59" i="165" s="1"/>
  <c r="U61" i="165"/>
  <c r="W61" i="165" s="1"/>
  <c r="X61" i="165" s="1"/>
  <c r="V61" i="165" s="1"/>
  <c r="S68" i="165"/>
  <c r="U69" i="165"/>
  <c r="W69" i="165" s="1"/>
  <c r="X69" i="165" s="1"/>
  <c r="V69" i="165" s="1"/>
  <c r="U71" i="165"/>
  <c r="W71" i="165" s="1"/>
  <c r="X71" i="165" s="1"/>
  <c r="V71" i="165" s="1"/>
  <c r="S78" i="165"/>
  <c r="U79" i="165"/>
  <c r="W79" i="165" s="1"/>
  <c r="X79" i="165" s="1"/>
  <c r="V79" i="165" s="1"/>
  <c r="U81" i="165"/>
  <c r="W81" i="165" s="1"/>
  <c r="X81" i="165" s="1"/>
  <c r="V81" i="165" s="1"/>
  <c r="S88" i="165"/>
  <c r="U89" i="165"/>
  <c r="W89" i="165" s="1"/>
  <c r="X89" i="165" s="1"/>
  <c r="V89" i="165" s="1"/>
  <c r="U91" i="165"/>
  <c r="W91" i="165" s="1"/>
  <c r="X91" i="165" s="1"/>
  <c r="V91" i="165" s="1"/>
  <c r="S98" i="165"/>
  <c r="U99" i="165"/>
  <c r="W99" i="165" s="1"/>
  <c r="X99" i="165" s="1"/>
  <c r="V99" i="165" s="1"/>
  <c r="U101" i="165"/>
  <c r="W101" i="165" s="1"/>
  <c r="X101" i="165" s="1"/>
  <c r="V101" i="165" s="1"/>
  <c r="S108" i="165"/>
  <c r="U109" i="165"/>
  <c r="W109" i="165" s="1"/>
  <c r="X109" i="165" s="1"/>
  <c r="V109" i="165" s="1"/>
  <c r="U111" i="165"/>
  <c r="W111" i="165" s="1"/>
  <c r="X111" i="165" s="1"/>
  <c r="V111" i="165" s="1"/>
  <c r="S118" i="165"/>
  <c r="U119" i="165"/>
  <c r="W119" i="165" s="1"/>
  <c r="X119" i="165" s="1"/>
  <c r="V119" i="165" s="1"/>
  <c r="U121" i="165"/>
  <c r="W121" i="165" s="1"/>
  <c r="X121" i="165" s="1"/>
  <c r="V121" i="165" s="1"/>
  <c r="S128" i="165"/>
  <c r="U129" i="165"/>
  <c r="W129" i="165" s="1"/>
  <c r="X129" i="165" s="1"/>
  <c r="V129" i="165" s="1"/>
  <c r="U131" i="165"/>
  <c r="W131" i="165" s="1"/>
  <c r="X131" i="165" s="1"/>
  <c r="V131" i="165" s="1"/>
  <c r="S138" i="165"/>
  <c r="U139" i="165"/>
  <c r="W139" i="165" s="1"/>
  <c r="X139" i="165" s="1"/>
  <c r="V139" i="165" s="1"/>
  <c r="S145" i="165"/>
  <c r="W168" i="165"/>
  <c r="S168" i="165"/>
  <c r="I148" i="165"/>
  <c r="M148" i="165"/>
  <c r="Q148" i="165"/>
  <c r="F176" i="165"/>
  <c r="S149" i="165"/>
  <c r="F153" i="165"/>
  <c r="S153" i="165" s="1"/>
  <c r="J153" i="165"/>
  <c r="N153" i="165"/>
  <c r="T162" i="165"/>
  <c r="R162" i="165" s="1"/>
  <c r="U157" i="165"/>
  <c r="W158" i="165"/>
  <c r="T185" i="165"/>
  <c r="R185" i="165" s="1"/>
  <c r="U175" i="165"/>
  <c r="U180" i="165"/>
  <c r="W180" i="165" s="1"/>
  <c r="U141" i="165"/>
  <c r="W141" i="165" s="1"/>
  <c r="X141" i="165" s="1"/>
  <c r="V141" i="165" s="1"/>
  <c r="S144" i="165"/>
  <c r="W144" i="165"/>
  <c r="S146" i="165"/>
  <c r="W146" i="165"/>
  <c r="F148" i="165"/>
  <c r="H148" i="165"/>
  <c r="J148" i="165"/>
  <c r="L148" i="165"/>
  <c r="N148" i="165"/>
  <c r="P148" i="165"/>
  <c r="S158" i="165"/>
  <c r="U159" i="165"/>
  <c r="W159" i="165" s="1"/>
  <c r="X159" i="165" s="1"/>
  <c r="V159" i="165" s="1"/>
  <c r="U161" i="165"/>
  <c r="W161" i="165" s="1"/>
  <c r="S170" i="165"/>
  <c r="U170" i="165" s="1"/>
  <c r="U182" i="165"/>
  <c r="W182" i="165" s="1"/>
  <c r="X182" i="165" s="1"/>
  <c r="V182" i="165" s="1"/>
  <c r="T107" i="174" l="1"/>
  <c r="R107" i="174"/>
  <c r="S107" i="174" s="1"/>
  <c r="U107" i="174" s="1"/>
  <c r="W150" i="165"/>
  <c r="X150" i="165" s="1"/>
  <c r="V150" i="165" s="1"/>
  <c r="X143" i="165"/>
  <c r="V143" i="165" s="1"/>
  <c r="T163" i="165"/>
  <c r="R163" i="165" s="1"/>
  <c r="U158" i="165"/>
  <c r="W148" i="165"/>
  <c r="S148" i="165"/>
  <c r="T151" i="165"/>
  <c r="R151" i="165" s="1"/>
  <c r="U146" i="165"/>
  <c r="T149" i="165"/>
  <c r="R149" i="165" s="1"/>
  <c r="U144" i="165"/>
  <c r="U149" i="165"/>
  <c r="W149" i="165" s="1"/>
  <c r="X149" i="165" s="1"/>
  <c r="V149" i="165" s="1"/>
  <c r="T133" i="165"/>
  <c r="R133" i="165" s="1"/>
  <c r="U128" i="165"/>
  <c r="T113" i="165"/>
  <c r="R113" i="165" s="1"/>
  <c r="U108" i="165"/>
  <c r="T93" i="165"/>
  <c r="R93" i="165" s="1"/>
  <c r="U88" i="165"/>
  <c r="T73" i="165"/>
  <c r="R73" i="165" s="1"/>
  <c r="U68" i="165"/>
  <c r="T53" i="165"/>
  <c r="R53" i="165" s="1"/>
  <c r="U48" i="165"/>
  <c r="T33" i="165"/>
  <c r="R33" i="165" s="1"/>
  <c r="U28" i="165"/>
  <c r="T13" i="165"/>
  <c r="R13" i="165" s="1"/>
  <c r="U8" i="165"/>
  <c r="W169" i="165"/>
  <c r="X179" i="165" s="1"/>
  <c r="V179" i="165" s="1"/>
  <c r="S169" i="165"/>
  <c r="U178" i="165"/>
  <c r="W178" i="165" s="1"/>
  <c r="X178" i="165" s="1"/>
  <c r="V178" i="165" s="1"/>
  <c r="X103" i="165"/>
  <c r="V103" i="165" s="1"/>
  <c r="X63" i="165"/>
  <c r="V63" i="165" s="1"/>
  <c r="X23" i="165"/>
  <c r="V23" i="165" s="1"/>
  <c r="F171" i="165"/>
  <c r="X163" i="165"/>
  <c r="V163" i="165" s="1"/>
  <c r="U153" i="165"/>
  <c r="W153" i="165" s="1"/>
  <c r="F181" i="165"/>
  <c r="S176" i="165"/>
  <c r="T176" i="165" s="1"/>
  <c r="R176" i="165" s="1"/>
  <c r="T178" i="165"/>
  <c r="R178" i="165" s="1"/>
  <c r="U168" i="165"/>
  <c r="T150" i="165"/>
  <c r="R150" i="165" s="1"/>
  <c r="U145" i="165"/>
  <c r="T143" i="165"/>
  <c r="R143" i="165" s="1"/>
  <c r="U138" i="165"/>
  <c r="T123" i="165"/>
  <c r="R123" i="165" s="1"/>
  <c r="U118" i="165"/>
  <c r="T103" i="165"/>
  <c r="R103" i="165" s="1"/>
  <c r="U98" i="165"/>
  <c r="T83" i="165"/>
  <c r="R83" i="165" s="1"/>
  <c r="U78" i="165"/>
  <c r="T63" i="165"/>
  <c r="R63" i="165" s="1"/>
  <c r="U58" i="165"/>
  <c r="T43" i="165"/>
  <c r="R43" i="165" s="1"/>
  <c r="U38" i="165"/>
  <c r="T23" i="165"/>
  <c r="R23" i="165" s="1"/>
  <c r="U18" i="165"/>
  <c r="X177" i="165"/>
  <c r="V177" i="165" s="1"/>
  <c r="U151" i="165"/>
  <c r="W151" i="165" s="1"/>
  <c r="X151" i="165" s="1"/>
  <c r="V151" i="165" s="1"/>
  <c r="X123" i="165"/>
  <c r="V123" i="165" s="1"/>
  <c r="X83" i="165"/>
  <c r="V83" i="165" s="1"/>
  <c r="X43" i="165"/>
  <c r="V43" i="165" s="1"/>
  <c r="T152" i="165"/>
  <c r="R152" i="165" s="1"/>
  <c r="U147" i="165"/>
  <c r="U166" i="165"/>
  <c r="W107" i="174" l="1"/>
  <c r="V107" i="174" s="1"/>
  <c r="F184" i="165"/>
  <c r="S184" i="165" s="1"/>
  <c r="S181" i="165"/>
  <c r="T153" i="165"/>
  <c r="R153" i="165" s="1"/>
  <c r="U148" i="165"/>
  <c r="U176" i="165"/>
  <c r="W176" i="165" s="1"/>
  <c r="X176" i="165" s="1"/>
  <c r="V176" i="165" s="1"/>
  <c r="F174" i="165"/>
  <c r="S171" i="165"/>
  <c r="W171" i="165"/>
  <c r="T179" i="165"/>
  <c r="R179" i="165" s="1"/>
  <c r="U169" i="165"/>
  <c r="X153" i="165"/>
  <c r="V153" i="165" s="1"/>
  <c r="J41" i="176"/>
  <c r="I40" i="176"/>
  <c r="I77" i="174"/>
  <c r="I24" i="176"/>
  <c r="I35" i="176"/>
  <c r="J115" i="174"/>
  <c r="J67" i="174"/>
  <c r="I15" i="176"/>
  <c r="I5" i="176"/>
  <c r="I54" i="176"/>
  <c r="J37" i="174"/>
  <c r="I118" i="174"/>
  <c r="I21" i="176"/>
  <c r="J42" i="176"/>
  <c r="J59" i="174"/>
  <c r="J59" i="176"/>
  <c r="I20" i="176"/>
  <c r="I35" i="174"/>
  <c r="I36" i="174"/>
  <c r="J29" i="176"/>
  <c r="I52" i="174"/>
  <c r="I94" i="174"/>
  <c r="J24" i="176"/>
  <c r="I7" i="176"/>
  <c r="I14" i="174"/>
  <c r="J43" i="174"/>
  <c r="J84" i="174"/>
  <c r="J62" i="176"/>
  <c r="J30" i="176"/>
  <c r="I3" i="174"/>
  <c r="J10" i="176"/>
  <c r="J57" i="176"/>
  <c r="I27" i="176"/>
  <c r="J21" i="174"/>
  <c r="I127" i="174"/>
  <c r="I91" i="174"/>
  <c r="J47" i="176"/>
  <c r="I21" i="174"/>
  <c r="I27" i="174"/>
  <c r="I14" i="176"/>
  <c r="I25" i="176"/>
  <c r="I19" i="174"/>
  <c r="I70" i="174"/>
  <c r="J17" i="176"/>
  <c r="J56" i="176"/>
  <c r="I69" i="176"/>
  <c r="I43" i="174"/>
  <c r="I29" i="174"/>
  <c r="I57" i="176"/>
  <c r="I16" i="176"/>
  <c r="J26" i="176"/>
  <c r="I26" i="176"/>
  <c r="J38" i="174"/>
  <c r="I99" i="174"/>
  <c r="I5" i="174"/>
  <c r="J44" i="176"/>
  <c r="J119" i="174"/>
  <c r="J12" i="174"/>
  <c r="J66" i="176"/>
  <c r="I10" i="176"/>
  <c r="J46" i="174"/>
  <c r="I69" i="174"/>
  <c r="J72" i="176"/>
  <c r="I49" i="176"/>
  <c r="J22" i="174"/>
  <c r="I119" i="174"/>
  <c r="J50" i="176"/>
  <c r="J51" i="174"/>
  <c r="J29" i="174"/>
  <c r="I22" i="176"/>
  <c r="I41" i="176"/>
  <c r="I100" i="174"/>
  <c r="I42" i="176"/>
  <c r="J60" i="176"/>
  <c r="J46" i="176"/>
  <c r="I78" i="174"/>
  <c r="J101" i="174"/>
  <c r="J83" i="174"/>
  <c r="I34" i="176"/>
  <c r="J20" i="174"/>
  <c r="I83" i="174"/>
  <c r="J65" i="176"/>
  <c r="J35" i="176"/>
  <c r="J37" i="176"/>
  <c r="I13" i="174"/>
  <c r="I71" i="176"/>
  <c r="I17" i="176"/>
  <c r="J85" i="174"/>
  <c r="I44" i="176"/>
  <c r="J51" i="176"/>
  <c r="J52" i="174"/>
  <c r="J5" i="176"/>
  <c r="I30" i="176"/>
  <c r="J102" i="174"/>
  <c r="I124" i="174"/>
  <c r="J4" i="176"/>
  <c r="J93" i="174"/>
  <c r="I45" i="176"/>
  <c r="J80" i="176"/>
  <c r="J25" i="176"/>
  <c r="J3" i="174"/>
  <c r="J13" i="174"/>
  <c r="J7" i="176"/>
  <c r="I84" i="174"/>
  <c r="J70" i="174"/>
  <c r="I61" i="176"/>
  <c r="J5" i="174"/>
  <c r="J61" i="176"/>
  <c r="I3" i="176"/>
  <c r="J54" i="174"/>
  <c r="J6" i="176"/>
  <c r="I64" i="176"/>
  <c r="I120" i="174"/>
  <c r="I31" i="176"/>
  <c r="I50" i="176"/>
  <c r="J60" i="174"/>
  <c r="J127" i="174"/>
  <c r="I9" i="176"/>
  <c r="I59" i="176"/>
  <c r="I38" i="174"/>
  <c r="I39" i="176"/>
  <c r="I121" i="174"/>
  <c r="I83" i="176"/>
  <c r="I53" i="174"/>
  <c r="J19" i="176"/>
  <c r="I29" i="176"/>
  <c r="J11" i="174"/>
  <c r="I54" i="174"/>
  <c r="J69" i="174"/>
  <c r="I12" i="176"/>
  <c r="J19" i="174"/>
  <c r="J118" i="174"/>
  <c r="J20" i="176"/>
  <c r="J120" i="174"/>
  <c r="J4" i="174"/>
  <c r="J22" i="176"/>
  <c r="J9" i="176"/>
  <c r="I11" i="176"/>
  <c r="J12" i="176"/>
  <c r="J92" i="174"/>
  <c r="I60" i="176"/>
  <c r="J6" i="174"/>
  <c r="I62" i="174"/>
  <c r="J52" i="176"/>
  <c r="I4" i="176"/>
  <c r="I75" i="174"/>
  <c r="J31" i="176"/>
  <c r="J45" i="176"/>
  <c r="J55" i="176"/>
  <c r="J126" i="174"/>
  <c r="J70" i="176"/>
  <c r="J64" i="176"/>
  <c r="J69" i="176"/>
  <c r="J71" i="176"/>
  <c r="I45" i="174"/>
  <c r="J14" i="176"/>
  <c r="I46" i="174"/>
  <c r="J15" i="176"/>
  <c r="J27" i="174"/>
  <c r="J121" i="174"/>
  <c r="J36" i="174"/>
  <c r="J11" i="176"/>
  <c r="I93" i="174"/>
  <c r="I62" i="176"/>
  <c r="I70" i="176"/>
  <c r="J68" i="174"/>
  <c r="I92" i="174"/>
  <c r="J53" i="174"/>
  <c r="J21" i="176"/>
  <c r="J99" i="174"/>
  <c r="I85" i="174"/>
  <c r="J36" i="176"/>
  <c r="I6" i="174"/>
  <c r="I68" i="174"/>
  <c r="I20" i="174"/>
  <c r="J61" i="174"/>
  <c r="J27" i="176"/>
  <c r="I59" i="174"/>
  <c r="J100" i="174"/>
  <c r="J85" i="176"/>
  <c r="J30" i="174"/>
  <c r="J45" i="174"/>
  <c r="J67" i="176"/>
  <c r="J3" i="176"/>
  <c r="J124" i="174"/>
  <c r="I60" i="174"/>
  <c r="J32" i="176"/>
  <c r="I44" i="174"/>
  <c r="I52" i="176"/>
  <c r="J28" i="174"/>
  <c r="I126" i="174"/>
  <c r="J39" i="176"/>
  <c r="I61" i="174"/>
  <c r="J86" i="174"/>
  <c r="I32" i="176"/>
  <c r="I82" i="176"/>
  <c r="I101" i="174"/>
  <c r="J76" i="174"/>
  <c r="I56" i="176"/>
  <c r="I102" i="174"/>
  <c r="J75" i="174"/>
  <c r="J49" i="176"/>
  <c r="J35" i="174"/>
  <c r="I37" i="174"/>
  <c r="J40" i="176"/>
  <c r="I30" i="174"/>
  <c r="I47" i="176"/>
  <c r="I67" i="176"/>
  <c r="J14" i="174"/>
  <c r="I51" i="176"/>
  <c r="J16" i="176"/>
  <c r="I67" i="174"/>
  <c r="J54" i="176"/>
  <c r="J94" i="174"/>
  <c r="I28" i="174"/>
  <c r="I85" i="176"/>
  <c r="I51" i="174"/>
  <c r="I37" i="176"/>
  <c r="I6" i="176"/>
  <c r="J91" i="174"/>
  <c r="J34" i="176"/>
  <c r="I86" i="174"/>
  <c r="J62" i="174"/>
  <c r="I66" i="176"/>
  <c r="J78" i="174"/>
  <c r="J44" i="174"/>
  <c r="I19" i="176"/>
  <c r="J82" i="176"/>
  <c r="I11" i="174"/>
  <c r="J77" i="174"/>
  <c r="I46" i="176"/>
  <c r="I65" i="176"/>
  <c r="I76" i="174"/>
  <c r="I55" i="176"/>
  <c r="I36" i="176"/>
  <c r="J83" i="176"/>
  <c r="I4" i="174"/>
  <c r="I115" i="174"/>
  <c r="I12" i="174"/>
  <c r="I72" i="176"/>
  <c r="I22" i="174"/>
  <c r="I80" i="176"/>
  <c r="I111" i="174" l="1"/>
  <c r="F66" i="163" s="1"/>
  <c r="I96" i="174"/>
  <c r="I98" i="174" s="1"/>
  <c r="J48" i="176"/>
  <c r="I40" i="174"/>
  <c r="I42" i="174" s="1"/>
  <c r="G208" i="174" s="1"/>
  <c r="G102" i="176" s="1"/>
  <c r="I28" i="176"/>
  <c r="J109" i="174"/>
  <c r="F50" i="163" s="1"/>
  <c r="I13" i="176"/>
  <c r="I80" i="174"/>
  <c r="I82" i="174" s="1"/>
  <c r="G220" i="174" s="1"/>
  <c r="G114" i="176" s="1"/>
  <c r="J122" i="174"/>
  <c r="J123" i="174" s="1"/>
  <c r="J78" i="176"/>
  <c r="J40" i="174"/>
  <c r="J42" i="174" s="1"/>
  <c r="H208" i="174" s="1"/>
  <c r="H102" i="176" s="1"/>
  <c r="J13" i="176"/>
  <c r="I38" i="176"/>
  <c r="J73" i="176"/>
  <c r="I88" i="174"/>
  <c r="I90" i="174" s="1"/>
  <c r="G222" i="174" s="1"/>
  <c r="G116" i="176" s="1"/>
  <c r="J56" i="174"/>
  <c r="J58" i="174" s="1"/>
  <c r="I43" i="176"/>
  <c r="I24" i="174"/>
  <c r="I26" i="174" s="1"/>
  <c r="G204" i="174" s="1"/>
  <c r="G98" i="176" s="1"/>
  <c r="I18" i="176"/>
  <c r="I77" i="176"/>
  <c r="I68" i="176"/>
  <c r="I56" i="174"/>
  <c r="I58" i="174" s="1"/>
  <c r="I75" i="176"/>
  <c r="I8" i="176"/>
  <c r="J58" i="176"/>
  <c r="J76" i="176"/>
  <c r="I53" i="176"/>
  <c r="I48" i="176"/>
  <c r="I72" i="174"/>
  <c r="I74" i="174" s="1"/>
  <c r="G218" i="174" s="1"/>
  <c r="G112" i="176" s="1"/>
  <c r="J33" i="176"/>
  <c r="I78" i="176"/>
  <c r="J63" i="176"/>
  <c r="J64" i="174"/>
  <c r="J66" i="174" s="1"/>
  <c r="H216" i="174" s="1"/>
  <c r="H110" i="176" s="1"/>
  <c r="J16" i="174"/>
  <c r="J18" i="174" s="1"/>
  <c r="H202" i="174" s="1"/>
  <c r="H96" i="176" s="1"/>
  <c r="I122" i="174"/>
  <c r="I123" i="174" s="1"/>
  <c r="I110" i="174"/>
  <c r="J38" i="176"/>
  <c r="J108" i="174"/>
  <c r="F33" i="163" s="1"/>
  <c r="J8" i="174"/>
  <c r="J10" i="174" s="1"/>
  <c r="H200" i="174" s="1"/>
  <c r="J88" i="174"/>
  <c r="J90" i="174" s="1"/>
  <c r="H222" i="174" s="1"/>
  <c r="H116" i="176" s="1"/>
  <c r="I32" i="174"/>
  <c r="I34" i="174" s="1"/>
  <c r="G206" i="174" s="1"/>
  <c r="G100" i="176" s="1"/>
  <c r="J23" i="176"/>
  <c r="J32" i="174"/>
  <c r="J34" i="174" s="1"/>
  <c r="H206" i="174" s="1"/>
  <c r="H100" i="176" s="1"/>
  <c r="I64" i="174"/>
  <c r="I66" i="174" s="1"/>
  <c r="G216" i="174" s="1"/>
  <c r="G110" i="176" s="1"/>
  <c r="J104" i="174"/>
  <c r="J106" i="174" s="1"/>
  <c r="I109" i="174"/>
  <c r="F49" i="163" s="1"/>
  <c r="I108" i="174"/>
  <c r="F32" i="163" s="1"/>
  <c r="I8" i="174"/>
  <c r="I10" i="174" s="1"/>
  <c r="G200" i="174" s="1"/>
  <c r="J24" i="174"/>
  <c r="J26" i="174" s="1"/>
  <c r="H204" i="174" s="1"/>
  <c r="H98" i="176" s="1"/>
  <c r="I16" i="174"/>
  <c r="I18" i="174" s="1"/>
  <c r="G202" i="174" s="1"/>
  <c r="G96" i="176" s="1"/>
  <c r="I73" i="176"/>
  <c r="J110" i="174"/>
  <c r="I58" i="176"/>
  <c r="J75" i="176"/>
  <c r="J8" i="176"/>
  <c r="J111" i="174"/>
  <c r="F67" i="163" s="1"/>
  <c r="I63" i="176"/>
  <c r="I76" i="176"/>
  <c r="J79" i="176"/>
  <c r="J77" i="176"/>
  <c r="I104" i="174"/>
  <c r="I106" i="174" s="1"/>
  <c r="J53" i="176"/>
  <c r="J96" i="174"/>
  <c r="J98" i="174" s="1"/>
  <c r="J80" i="174"/>
  <c r="J82" i="174" s="1"/>
  <c r="H220" i="174" s="1"/>
  <c r="H114" i="176" s="1"/>
  <c r="I79" i="176"/>
  <c r="J28" i="176"/>
  <c r="I48" i="174"/>
  <c r="I50" i="174" s="1"/>
  <c r="G210" i="174" s="1"/>
  <c r="J18" i="176"/>
  <c r="I23" i="176"/>
  <c r="J68" i="176"/>
  <c r="J72" i="174"/>
  <c r="J74" i="174" s="1"/>
  <c r="H218" i="174" s="1"/>
  <c r="H112" i="176" s="1"/>
  <c r="J48" i="174"/>
  <c r="J50" i="174" s="1"/>
  <c r="H210" i="174" s="1"/>
  <c r="H104" i="176" s="1"/>
  <c r="I33" i="176"/>
  <c r="J43" i="176"/>
  <c r="T181" i="165"/>
  <c r="R181" i="165" s="1"/>
  <c r="U171" i="165"/>
  <c r="U181" i="165"/>
  <c r="W181" i="165" s="1"/>
  <c r="X181" i="165" s="1"/>
  <c r="V181" i="165" s="1"/>
  <c r="W174" i="165"/>
  <c r="S174" i="165"/>
  <c r="U184" i="165"/>
  <c r="W184" i="165" s="1"/>
  <c r="I81" i="176" l="1"/>
  <c r="I84" i="176" s="1"/>
  <c r="G224" i="174"/>
  <c r="G212" i="174"/>
  <c r="G106" i="176" s="1"/>
  <c r="H212" i="174"/>
  <c r="H106" i="176" s="1"/>
  <c r="H108" i="176" s="1"/>
  <c r="H94" i="176"/>
  <c r="H224" i="174"/>
  <c r="H118" i="176" s="1"/>
  <c r="J81" i="176"/>
  <c r="J84" i="176" s="1"/>
  <c r="H214" i="174"/>
  <c r="J112" i="174"/>
  <c r="J125" i="174" s="1"/>
  <c r="J128" i="174" s="1"/>
  <c r="I112" i="174"/>
  <c r="I114" i="174" s="1"/>
  <c r="G94" i="176"/>
  <c r="G118" i="176"/>
  <c r="G104" i="176"/>
  <c r="G214" i="174"/>
  <c r="X184" i="165"/>
  <c r="V184" i="165" s="1"/>
  <c r="T184" i="165"/>
  <c r="R184" i="165" s="1"/>
  <c r="U174" i="165"/>
  <c r="I125" i="174" l="1"/>
  <c r="I128" i="174" s="1"/>
  <c r="J114" i="174"/>
  <c r="G108" i="176"/>
  <c r="K304" i="123"/>
  <c r="K305" i="123"/>
  <c r="K306" i="123"/>
  <c r="K307" i="123"/>
  <c r="K308" i="123"/>
  <c r="K309" i="123"/>
  <c r="K310" i="123"/>
  <c r="K311" i="123"/>
  <c r="K312" i="123"/>
  <c r="K313" i="123"/>
  <c r="K315" i="123"/>
  <c r="K303" i="123"/>
  <c r="B315" i="123"/>
  <c r="B313" i="123"/>
  <c r="B312" i="123"/>
  <c r="B311" i="123"/>
  <c r="B310" i="123"/>
  <c r="B309" i="123"/>
  <c r="B308" i="123"/>
  <c r="B307" i="123"/>
  <c r="B306" i="123"/>
  <c r="B305" i="123"/>
  <c r="B304" i="123"/>
  <c r="B303" i="123"/>
  <c r="F67" i="174"/>
  <c r="G46" i="176"/>
  <c r="H32" i="176"/>
  <c r="G32" i="176"/>
  <c r="H61" i="174"/>
  <c r="H31" i="176"/>
  <c r="G86" i="174"/>
  <c r="G67" i="176"/>
  <c r="H124" i="174"/>
  <c r="F60" i="174"/>
  <c r="H34" i="176"/>
  <c r="F11" i="174"/>
  <c r="F119" i="174"/>
  <c r="F31" i="176"/>
  <c r="F32" i="176"/>
  <c r="F61" i="174"/>
  <c r="H14" i="174"/>
  <c r="F25" i="176"/>
  <c r="G37" i="176"/>
  <c r="G27" i="174"/>
  <c r="F3" i="174"/>
  <c r="H15" i="176"/>
  <c r="F52" i="174"/>
  <c r="H91" i="174"/>
  <c r="F37" i="176"/>
  <c r="H52" i="174"/>
  <c r="G65" i="176"/>
  <c r="F44" i="174"/>
  <c r="F34" i="176"/>
  <c r="H30" i="176"/>
  <c r="H67" i="176"/>
  <c r="F69" i="174"/>
  <c r="G41" i="176"/>
  <c r="H14" i="176"/>
  <c r="H44" i="176"/>
  <c r="F27" i="174"/>
  <c r="H45" i="174"/>
  <c r="G10" i="176"/>
  <c r="F36" i="174"/>
  <c r="G115" i="174"/>
  <c r="G30" i="176"/>
  <c r="G45" i="174"/>
  <c r="G35" i="176"/>
  <c r="F126" i="174"/>
  <c r="H3" i="176"/>
  <c r="H42" i="176"/>
  <c r="H46" i="176"/>
  <c r="G30" i="174"/>
  <c r="H16" i="176"/>
  <c r="G20" i="176"/>
  <c r="G49" i="176"/>
  <c r="F5" i="174"/>
  <c r="H59" i="174"/>
  <c r="G60" i="176"/>
  <c r="H92" i="174"/>
  <c r="H93" i="174"/>
  <c r="H9" i="176"/>
  <c r="H118" i="174"/>
  <c r="F102" i="174"/>
  <c r="G25" i="176"/>
  <c r="H59" i="176"/>
  <c r="G47" i="176"/>
  <c r="H65" i="176"/>
  <c r="H100" i="174"/>
  <c r="G78" i="174"/>
  <c r="F82" i="176"/>
  <c r="F44" i="176"/>
  <c r="F72" i="176"/>
  <c r="H60" i="174"/>
  <c r="F56" i="176"/>
  <c r="G83" i="174"/>
  <c r="H54" i="176"/>
  <c r="G71" i="176"/>
  <c r="H35" i="174"/>
  <c r="F6" i="176"/>
  <c r="F28" i="174"/>
  <c r="H60" i="176"/>
  <c r="G70" i="176"/>
  <c r="H51" i="176"/>
  <c r="F29" i="174"/>
  <c r="F54" i="176"/>
  <c r="F24" i="176"/>
  <c r="G54" i="176"/>
  <c r="H13" i="174"/>
  <c r="G100" i="174"/>
  <c r="G39" i="176"/>
  <c r="G38" i="174"/>
  <c r="H37" i="174"/>
  <c r="G45" i="176"/>
  <c r="H21" i="174"/>
  <c r="H101" i="174"/>
  <c r="G3" i="176"/>
  <c r="F50" i="176"/>
  <c r="F66" i="176"/>
  <c r="G68" i="174"/>
  <c r="H62" i="174"/>
  <c r="H46" i="174"/>
  <c r="F64" i="176"/>
  <c r="H80" i="176"/>
  <c r="G76" i="174"/>
  <c r="F85" i="174"/>
  <c r="F39" i="176"/>
  <c r="F84" i="174"/>
  <c r="G102" i="174"/>
  <c r="G59" i="176"/>
  <c r="F13" i="174"/>
  <c r="F38" i="174"/>
  <c r="G21" i="176"/>
  <c r="F49" i="176"/>
  <c r="H7" i="176"/>
  <c r="H84" i="174"/>
  <c r="F26" i="176"/>
  <c r="F5" i="176"/>
  <c r="H67" i="174"/>
  <c r="F11" i="176"/>
  <c r="G55" i="176"/>
  <c r="H52" i="176"/>
  <c r="G36" i="174"/>
  <c r="H62" i="176"/>
  <c r="F45" i="174"/>
  <c r="F46" i="176"/>
  <c r="G85" i="176"/>
  <c r="G20" i="174"/>
  <c r="G31" i="176"/>
  <c r="G77" i="174"/>
  <c r="H37" i="176"/>
  <c r="F36" i="176"/>
  <c r="H39" i="176"/>
  <c r="G29" i="176"/>
  <c r="G69" i="176"/>
  <c r="F21" i="174"/>
  <c r="F16" i="176"/>
  <c r="H11" i="174"/>
  <c r="H55" i="176"/>
  <c r="H57" i="176"/>
  <c r="F100" i="174"/>
  <c r="G51" i="176"/>
  <c r="H43" i="174"/>
  <c r="F30" i="176"/>
  <c r="H10" i="176"/>
  <c r="F60" i="176"/>
  <c r="H54" i="174"/>
  <c r="F21" i="176"/>
  <c r="F70" i="176"/>
  <c r="F71" i="176"/>
  <c r="H86" i="174"/>
  <c r="F12" i="174"/>
  <c r="G27" i="176"/>
  <c r="F35" i="174"/>
  <c r="G37" i="174"/>
  <c r="G6" i="176"/>
  <c r="G22" i="174"/>
  <c r="G126" i="174"/>
  <c r="G72" i="176"/>
  <c r="H82" i="176"/>
  <c r="H70" i="176"/>
  <c r="G40" i="176"/>
  <c r="G16" i="176"/>
  <c r="G24" i="176"/>
  <c r="H29" i="174"/>
  <c r="H20" i="174"/>
  <c r="H78" i="174"/>
  <c r="H56" i="176"/>
  <c r="G42" i="176"/>
  <c r="H17" i="176"/>
  <c r="H115" i="174"/>
  <c r="G4" i="176"/>
  <c r="G127" i="174"/>
  <c r="H83" i="176"/>
  <c r="G52" i="176"/>
  <c r="F121" i="174"/>
  <c r="F27" i="176"/>
  <c r="H36" i="174"/>
  <c r="F12" i="176"/>
  <c r="F29" i="176"/>
  <c r="G34" i="176"/>
  <c r="F116" i="174"/>
  <c r="G36" i="176"/>
  <c r="G82" i="176"/>
  <c r="F10" i="176"/>
  <c r="H28" i="174"/>
  <c r="F46" i="174"/>
  <c r="H21" i="176"/>
  <c r="F59" i="174"/>
  <c r="G54" i="174"/>
  <c r="F55" i="176"/>
  <c r="G29" i="174"/>
  <c r="F53" i="174"/>
  <c r="H26" i="176"/>
  <c r="H49" i="176"/>
  <c r="G44" i="176"/>
  <c r="F7" i="176"/>
  <c r="F35" i="176"/>
  <c r="G118" i="174"/>
  <c r="G121" i="174"/>
  <c r="G9" i="176"/>
  <c r="G92" i="174"/>
  <c r="F127" i="174"/>
  <c r="G57" i="176"/>
  <c r="H127" i="174"/>
  <c r="H51" i="174"/>
  <c r="G84" i="174"/>
  <c r="F14" i="176"/>
  <c r="H19" i="176"/>
  <c r="H40" i="176"/>
  <c r="G19" i="176"/>
  <c r="H72" i="176"/>
  <c r="H25" i="176"/>
  <c r="H99" i="174"/>
  <c r="G15" i="176"/>
  <c r="H36" i="176"/>
  <c r="H5" i="176"/>
  <c r="H94" i="174"/>
  <c r="G13" i="174"/>
  <c r="G101" i="174"/>
  <c r="F68" i="174"/>
  <c r="G59" i="174"/>
  <c r="G5" i="176"/>
  <c r="F69" i="176"/>
  <c r="G124" i="174"/>
  <c r="H12" i="176"/>
  <c r="H85" i="176"/>
  <c r="F67" i="176"/>
  <c r="F115" i="174"/>
  <c r="G11" i="176"/>
  <c r="G80" i="176"/>
  <c r="H50" i="176"/>
  <c r="F57" i="176"/>
  <c r="F99" i="174"/>
  <c r="H4" i="174"/>
  <c r="F19" i="176"/>
  <c r="F4" i="174"/>
  <c r="G94" i="174"/>
  <c r="H11" i="176"/>
  <c r="F93" i="174"/>
  <c r="F22" i="174"/>
  <c r="G46" i="174"/>
  <c r="G7" i="176"/>
  <c r="H24" i="176"/>
  <c r="F45" i="176"/>
  <c r="F51" i="176"/>
  <c r="F47" i="176"/>
  <c r="G52" i="174"/>
  <c r="F92" i="174"/>
  <c r="F17" i="176"/>
  <c r="F83" i="174"/>
  <c r="H12" i="174"/>
  <c r="H27" i="176"/>
  <c r="F76" i="174"/>
  <c r="H41" i="176"/>
  <c r="F91" i="174"/>
  <c r="H35" i="176"/>
  <c r="G62" i="176"/>
  <c r="F51" i="174"/>
  <c r="H6" i="174"/>
  <c r="G19" i="174"/>
  <c r="H69" i="174"/>
  <c r="G17" i="176"/>
  <c r="H4" i="176"/>
  <c r="G44" i="174"/>
  <c r="G61" i="174"/>
  <c r="F37" i="174"/>
  <c r="F118" i="174"/>
  <c r="G75" i="174"/>
  <c r="F43" i="174"/>
  <c r="F70" i="174"/>
  <c r="H69" i="176"/>
  <c r="H76" i="174"/>
  <c r="G69" i="174"/>
  <c r="F120" i="174"/>
  <c r="H20" i="176"/>
  <c r="H53" i="174"/>
  <c r="F80" i="176"/>
  <c r="H121" i="174"/>
  <c r="G60" i="174"/>
  <c r="G14" i="174"/>
  <c r="G35" i="174"/>
  <c r="F62" i="176"/>
  <c r="H45" i="176"/>
  <c r="H77" i="174"/>
  <c r="H119" i="174"/>
  <c r="F14" i="174"/>
  <c r="H126" i="174"/>
  <c r="G64" i="176"/>
  <c r="F83" i="176"/>
  <c r="F61" i="176"/>
  <c r="G70" i="174"/>
  <c r="G83" i="176"/>
  <c r="F86" i="174"/>
  <c r="G50" i="176"/>
  <c r="H6" i="176"/>
  <c r="G120" i="174"/>
  <c r="F4" i="176"/>
  <c r="G61" i="176"/>
  <c r="F75" i="174"/>
  <c r="G26" i="176"/>
  <c r="G67" i="174"/>
  <c r="H47" i="176"/>
  <c r="F101" i="174"/>
  <c r="F20" i="174"/>
  <c r="F94" i="174"/>
  <c r="F124" i="174"/>
  <c r="H38" i="174"/>
  <c r="F85" i="176"/>
  <c r="F20" i="176"/>
  <c r="F19" i="174"/>
  <c r="F22" i="176"/>
  <c r="G119" i="174"/>
  <c r="F59" i="176"/>
  <c r="H22" i="174"/>
  <c r="G5" i="174"/>
  <c r="F9" i="176"/>
  <c r="H19" i="174"/>
  <c r="G85" i="174"/>
  <c r="G14" i="176"/>
  <c r="G21" i="174"/>
  <c r="H30" i="174"/>
  <c r="H85" i="174"/>
  <c r="H75" i="174"/>
  <c r="F3" i="176"/>
  <c r="F15" i="176"/>
  <c r="H68" i="174"/>
  <c r="G43" i="174"/>
  <c r="F54" i="174"/>
  <c r="G28" i="174"/>
  <c r="H5" i="174"/>
  <c r="G99" i="174"/>
  <c r="F77" i="174"/>
  <c r="H29" i="176"/>
  <c r="G62" i="174"/>
  <c r="F40" i="176"/>
  <c r="F42" i="176"/>
  <c r="G51" i="174"/>
  <c r="F41" i="176"/>
  <c r="H22" i="176"/>
  <c r="G12" i="174"/>
  <c r="H120" i="174"/>
  <c r="H27" i="174"/>
  <c r="G3" i="174"/>
  <c r="G56" i="176"/>
  <c r="G66" i="176"/>
  <c r="G6" i="174"/>
  <c r="G4" i="174"/>
  <c r="H61" i="176"/>
  <c r="F62" i="174"/>
  <c r="F78" i="174"/>
  <c r="G53" i="174"/>
  <c r="F30" i="174"/>
  <c r="H102" i="174"/>
  <c r="G12" i="176"/>
  <c r="F6" i="174"/>
  <c r="H71" i="176"/>
  <c r="G22" i="176"/>
  <c r="G11" i="174"/>
  <c r="H66" i="176"/>
  <c r="H64" i="176"/>
  <c r="H44" i="174"/>
  <c r="H70" i="174"/>
  <c r="H3" i="174"/>
  <c r="H83" i="174"/>
  <c r="F65" i="176"/>
  <c r="G91" i="174"/>
  <c r="F52" i="176"/>
  <c r="G93" i="174"/>
  <c r="D304" i="123"/>
  <c r="D309" i="123"/>
  <c r="D306" i="123"/>
  <c r="D310" i="123"/>
  <c r="D305" i="123"/>
  <c r="Q315" i="123"/>
  <c r="D303" i="123"/>
  <c r="D307" i="123"/>
  <c r="D308" i="123"/>
  <c r="D311" i="123"/>
  <c r="D312" i="123"/>
  <c r="D313" i="123"/>
  <c r="F104" i="174" l="1"/>
  <c r="H104" i="174"/>
  <c r="H56" i="174"/>
  <c r="F24" i="174"/>
  <c r="F16" i="174"/>
  <c r="G48" i="174"/>
  <c r="G50" i="174" s="1"/>
  <c r="K168" i="113" s="1"/>
  <c r="F64" i="174"/>
  <c r="F48" i="174"/>
  <c r="F50" i="174" s="1"/>
  <c r="G16" i="174"/>
  <c r="G80" i="174"/>
  <c r="G82" i="174" s="1"/>
  <c r="K176" i="113" s="1"/>
  <c r="G8" i="174"/>
  <c r="H24" i="174"/>
  <c r="H26" i="174" s="1"/>
  <c r="F204" i="174" s="1"/>
  <c r="F98" i="176" s="1"/>
  <c r="H64" i="174"/>
  <c r="G32" i="174"/>
  <c r="G34" i="174" s="1"/>
  <c r="K164" i="113" s="1"/>
  <c r="H88" i="174"/>
  <c r="G24" i="174"/>
  <c r="G26" i="174" s="1"/>
  <c r="K162" i="113" s="1"/>
  <c r="G88" i="174"/>
  <c r="F8" i="174"/>
  <c r="G64" i="174"/>
  <c r="F40" i="174"/>
  <c r="F80" i="174"/>
  <c r="F32" i="174"/>
  <c r="F34" i="174" s="1"/>
  <c r="H40" i="174"/>
  <c r="F72" i="174"/>
  <c r="H32" i="174"/>
  <c r="G56" i="174"/>
  <c r="G58" i="174" s="1"/>
  <c r="K170" i="113" s="1"/>
  <c r="G40" i="174"/>
  <c r="H72" i="174"/>
  <c r="H48" i="174"/>
  <c r="G72" i="174"/>
  <c r="H16" i="174"/>
  <c r="G104" i="174"/>
  <c r="H8" i="174"/>
  <c r="F56" i="174"/>
  <c r="F88" i="174"/>
  <c r="H80" i="174"/>
  <c r="H82" i="174" s="1"/>
  <c r="F220" i="174" s="1"/>
  <c r="F114" i="176" s="1"/>
  <c r="G108" i="174"/>
  <c r="G96" i="174"/>
  <c r="F108" i="174"/>
  <c r="F96" i="174"/>
  <c r="H108" i="174"/>
  <c r="H96" i="174"/>
  <c r="H98" i="174" s="1"/>
  <c r="G122" i="174"/>
  <c r="G123" i="174" s="1"/>
  <c r="T119" i="174"/>
  <c r="R119" i="174"/>
  <c r="C58" i="169" s="1"/>
  <c r="T29" i="174"/>
  <c r="R29" i="174"/>
  <c r="S29" i="174" s="1"/>
  <c r="U29" i="174" s="1"/>
  <c r="T82" i="176"/>
  <c r="R82" i="176"/>
  <c r="S82" i="176" s="1"/>
  <c r="U82" i="176" s="1"/>
  <c r="T51" i="176"/>
  <c r="R51" i="176"/>
  <c r="S51" i="176" s="1"/>
  <c r="U51" i="176" s="1"/>
  <c r="T55" i="176"/>
  <c r="R55" i="176"/>
  <c r="S55" i="176" s="1"/>
  <c r="U55" i="176" s="1"/>
  <c r="F48" i="176"/>
  <c r="T44" i="176"/>
  <c r="R44" i="176"/>
  <c r="S44" i="176" s="1"/>
  <c r="U44" i="176" s="1"/>
  <c r="T47" i="176"/>
  <c r="R47" i="176"/>
  <c r="S47" i="176" s="1"/>
  <c r="U47" i="176" s="1"/>
  <c r="R118" i="174"/>
  <c r="S118" i="174" s="1"/>
  <c r="U118" i="174" s="1"/>
  <c r="F122" i="174"/>
  <c r="T118" i="174"/>
  <c r="R49" i="176"/>
  <c r="S49" i="176" s="1"/>
  <c r="U49" i="176" s="1"/>
  <c r="F53" i="176"/>
  <c r="T49" i="176"/>
  <c r="G109" i="174"/>
  <c r="F47" i="163" s="1"/>
  <c r="R27" i="174"/>
  <c r="T27" i="174"/>
  <c r="H38" i="176"/>
  <c r="G28" i="176"/>
  <c r="H122" i="174"/>
  <c r="H123" i="174" s="1"/>
  <c r="R27" i="176"/>
  <c r="S27" i="176" s="1"/>
  <c r="U27" i="176" s="1"/>
  <c r="T27" i="176"/>
  <c r="H53" i="176"/>
  <c r="R3" i="176"/>
  <c r="S3" i="176" s="1"/>
  <c r="U3" i="176" s="1"/>
  <c r="F75" i="176"/>
  <c r="F8" i="176"/>
  <c r="T3" i="176"/>
  <c r="R69" i="176"/>
  <c r="S69" i="176" s="1"/>
  <c r="U69" i="176" s="1"/>
  <c r="F73" i="176"/>
  <c r="T69" i="176"/>
  <c r="T85" i="176"/>
  <c r="R85" i="176"/>
  <c r="S85" i="176" s="1"/>
  <c r="U85" i="176" s="1"/>
  <c r="T66" i="176"/>
  <c r="R66" i="176"/>
  <c r="S66" i="176" s="1"/>
  <c r="U66" i="176" s="1"/>
  <c r="G90" i="174"/>
  <c r="H110" i="174"/>
  <c r="T30" i="174"/>
  <c r="R30" i="174"/>
  <c r="S30" i="174" s="1"/>
  <c r="U30" i="174" s="1"/>
  <c r="F106" i="174"/>
  <c r="R99" i="174"/>
  <c r="H29" i="169" s="1"/>
  <c r="T99" i="174"/>
  <c r="T45" i="176"/>
  <c r="R45" i="176"/>
  <c r="S45" i="176" s="1"/>
  <c r="U45" i="176" s="1"/>
  <c r="T41" i="176"/>
  <c r="W41" i="176" s="1"/>
  <c r="V41" i="176" s="1"/>
  <c r="R41" i="176"/>
  <c r="S41" i="176" s="1"/>
  <c r="U41" i="176" s="1"/>
  <c r="G66" i="174"/>
  <c r="K172" i="113" s="1"/>
  <c r="G63" i="176"/>
  <c r="H8" i="176"/>
  <c r="H75" i="176"/>
  <c r="F109" i="174"/>
  <c r="F46" i="163" s="1"/>
  <c r="G46" i="163" s="1"/>
  <c r="H46" i="163" s="1"/>
  <c r="R4" i="174"/>
  <c r="S4" i="174" s="1"/>
  <c r="U4" i="174" s="1"/>
  <c r="T4" i="174"/>
  <c r="R54" i="176"/>
  <c r="S54" i="176" s="1"/>
  <c r="U54" i="176" s="1"/>
  <c r="F58" i="176"/>
  <c r="T54" i="176"/>
  <c r="R102" i="174"/>
  <c r="S102" i="174" s="1"/>
  <c r="U102" i="174" s="1"/>
  <c r="T102" i="174"/>
  <c r="T37" i="176"/>
  <c r="R37" i="176"/>
  <c r="S37" i="176" s="1"/>
  <c r="U37" i="176" s="1"/>
  <c r="H106" i="174"/>
  <c r="T26" i="176"/>
  <c r="R26" i="176"/>
  <c r="S26" i="176" s="1"/>
  <c r="U26" i="176" s="1"/>
  <c r="F28" i="176"/>
  <c r="R24" i="176"/>
  <c r="S24" i="176" s="1"/>
  <c r="U24" i="176" s="1"/>
  <c r="T24" i="176"/>
  <c r="T100" i="174"/>
  <c r="R100" i="174"/>
  <c r="S100" i="174" s="1"/>
  <c r="U100" i="174" s="1"/>
  <c r="H58" i="176"/>
  <c r="R70" i="174"/>
  <c r="S70" i="174" s="1"/>
  <c r="U70" i="174" s="1"/>
  <c r="T70" i="174"/>
  <c r="T61" i="174"/>
  <c r="R61" i="174"/>
  <c r="S61" i="174" s="1"/>
  <c r="U61" i="174" s="1"/>
  <c r="R60" i="174"/>
  <c r="S60" i="174" s="1"/>
  <c r="U60" i="174" s="1"/>
  <c r="T60" i="174"/>
  <c r="T32" i="176"/>
  <c r="R32" i="176"/>
  <c r="S32" i="176" s="1"/>
  <c r="U32" i="176" s="1"/>
  <c r="G13" i="176"/>
  <c r="H13" i="176"/>
  <c r="G43" i="176"/>
  <c r="T46" i="174"/>
  <c r="R46" i="174"/>
  <c r="S46" i="174" s="1"/>
  <c r="U46" i="174" s="1"/>
  <c r="T31" i="176"/>
  <c r="R31" i="176"/>
  <c r="S31" i="176" s="1"/>
  <c r="U31" i="176" s="1"/>
  <c r="G18" i="176"/>
  <c r="H33" i="176"/>
  <c r="G23" i="176"/>
  <c r="T70" i="176"/>
  <c r="R70" i="176"/>
  <c r="S70" i="176" s="1"/>
  <c r="U70" i="176" s="1"/>
  <c r="G58" i="176"/>
  <c r="H28" i="176"/>
  <c r="H68" i="176"/>
  <c r="T35" i="176"/>
  <c r="R35" i="176"/>
  <c r="S35" i="176" s="1"/>
  <c r="U35" i="176" s="1"/>
  <c r="H48" i="176"/>
  <c r="H73" i="176"/>
  <c r="T39" i="176"/>
  <c r="R39" i="176"/>
  <c r="S39" i="176" s="1"/>
  <c r="U39" i="176" s="1"/>
  <c r="F43" i="176"/>
  <c r="G10" i="174"/>
  <c r="K158" i="113" s="1"/>
  <c r="T44" i="174"/>
  <c r="R44" i="174"/>
  <c r="S44" i="174" s="1"/>
  <c r="U44" i="174" s="1"/>
  <c r="H34" i="174"/>
  <c r="F206" i="174" s="1"/>
  <c r="F100" i="176" s="1"/>
  <c r="H50" i="174"/>
  <c r="F210" i="174" s="1"/>
  <c r="R12" i="176"/>
  <c r="S12" i="176" s="1"/>
  <c r="U12" i="176" s="1"/>
  <c r="T12" i="176"/>
  <c r="H109" i="174"/>
  <c r="F48" i="163" s="1"/>
  <c r="R13" i="174"/>
  <c r="S13" i="174" s="1"/>
  <c r="U13" i="174" s="1"/>
  <c r="T13" i="174"/>
  <c r="T60" i="176"/>
  <c r="R60" i="176"/>
  <c r="S60" i="176" s="1"/>
  <c r="U60" i="176" s="1"/>
  <c r="R54" i="174"/>
  <c r="S54" i="174" s="1"/>
  <c r="U54" i="174" s="1"/>
  <c r="T54" i="174"/>
  <c r="T10" i="176"/>
  <c r="R10" i="176"/>
  <c r="S10" i="176" s="1"/>
  <c r="U10" i="176" s="1"/>
  <c r="R76" i="174"/>
  <c r="T76" i="174"/>
  <c r="T52" i="174"/>
  <c r="R83" i="176"/>
  <c r="S83" i="176" s="1"/>
  <c r="U83" i="176" s="1"/>
  <c r="T83" i="176"/>
  <c r="H63" i="176"/>
  <c r="G53" i="176"/>
  <c r="R53" i="176" s="1"/>
  <c r="S53" i="176" s="1"/>
  <c r="U53" i="176" s="1"/>
  <c r="G73" i="176"/>
  <c r="R35" i="174"/>
  <c r="H22" i="169" s="1"/>
  <c r="T35" i="174"/>
  <c r="T116" i="174"/>
  <c r="R116" i="174"/>
  <c r="H17" i="169" s="1"/>
  <c r="T120" i="174"/>
  <c r="R120" i="174"/>
  <c r="S120" i="174" s="1"/>
  <c r="U120" i="174" s="1"/>
  <c r="F18" i="174"/>
  <c r="R11" i="174"/>
  <c r="S11" i="174" s="1"/>
  <c r="U11" i="174" s="1"/>
  <c r="T11" i="174"/>
  <c r="T52" i="176"/>
  <c r="R52" i="176"/>
  <c r="S52" i="176" s="1"/>
  <c r="U52" i="176" s="1"/>
  <c r="T36" i="176"/>
  <c r="R36" i="176"/>
  <c r="S36" i="176" s="1"/>
  <c r="U36" i="176" s="1"/>
  <c r="R45" i="174"/>
  <c r="C64" i="169" s="1"/>
  <c r="T45" i="174"/>
  <c r="F38" i="176"/>
  <c r="T34" i="176"/>
  <c r="R34" i="176"/>
  <c r="S34" i="176" s="1"/>
  <c r="U34" i="176" s="1"/>
  <c r="G48" i="176"/>
  <c r="T16" i="176"/>
  <c r="R16" i="176"/>
  <c r="S16" i="176" s="1"/>
  <c r="U16" i="176" s="1"/>
  <c r="F30" i="163"/>
  <c r="T40" i="176"/>
  <c r="R40" i="176"/>
  <c r="S40" i="176" s="1"/>
  <c r="U40" i="176" s="1"/>
  <c r="R57" i="176"/>
  <c r="S57" i="176" s="1"/>
  <c r="U57" i="176" s="1"/>
  <c r="T57" i="176"/>
  <c r="R67" i="174"/>
  <c r="S67" i="174" s="1"/>
  <c r="U67" i="174" s="1"/>
  <c r="T67" i="174"/>
  <c r="R22" i="176"/>
  <c r="S22" i="176" s="1"/>
  <c r="U22" i="176" s="1"/>
  <c r="T22" i="176"/>
  <c r="R29" i="176"/>
  <c r="S29" i="176" s="1"/>
  <c r="U29" i="176" s="1"/>
  <c r="F33" i="176"/>
  <c r="T29" i="176"/>
  <c r="R92" i="174"/>
  <c r="S92" i="174" s="1"/>
  <c r="U92" i="174" s="1"/>
  <c r="T92" i="174"/>
  <c r="R121" i="174"/>
  <c r="S121" i="174" s="1"/>
  <c r="U121" i="174" s="1"/>
  <c r="T121" i="174"/>
  <c r="H79" i="176"/>
  <c r="H23" i="176"/>
  <c r="G79" i="176"/>
  <c r="H66" i="174"/>
  <c r="F216" i="174" s="1"/>
  <c r="F110" i="176" s="1"/>
  <c r="T17" i="176"/>
  <c r="R17" i="176"/>
  <c r="S17" i="176" s="1"/>
  <c r="U17" i="176" s="1"/>
  <c r="T30" i="176"/>
  <c r="R30" i="176"/>
  <c r="S30" i="176" s="1"/>
  <c r="U30" i="176" s="1"/>
  <c r="R80" i="176"/>
  <c r="S80" i="176" s="1"/>
  <c r="U80" i="176" s="1"/>
  <c r="T80" i="176"/>
  <c r="G76" i="176"/>
  <c r="T5" i="176"/>
  <c r="R5" i="176"/>
  <c r="S5" i="176" s="1"/>
  <c r="U5" i="176" s="1"/>
  <c r="F77" i="176"/>
  <c r="R75" i="174"/>
  <c r="H27" i="169" s="1"/>
  <c r="F82" i="174"/>
  <c r="J176" i="113" s="1"/>
  <c r="T75" i="174"/>
  <c r="F13" i="176"/>
  <c r="T9" i="176"/>
  <c r="R9" i="176"/>
  <c r="S9" i="176" s="1"/>
  <c r="U9" i="176" s="1"/>
  <c r="T21" i="174"/>
  <c r="R21" i="174"/>
  <c r="C61" i="169" s="1"/>
  <c r="H90" i="174"/>
  <c r="F222" i="174" s="1"/>
  <c r="R38" i="174"/>
  <c r="S38" i="174" s="1"/>
  <c r="U38" i="174" s="1"/>
  <c r="T38" i="174"/>
  <c r="R53" i="174"/>
  <c r="S53" i="174" s="1"/>
  <c r="U53" i="174" s="1"/>
  <c r="T53" i="174"/>
  <c r="W53" i="174" s="1"/>
  <c r="V53" i="174" s="1"/>
  <c r="T69" i="174"/>
  <c r="R69" i="174"/>
  <c r="S69" i="174" s="1"/>
  <c r="U69" i="174" s="1"/>
  <c r="R124" i="174"/>
  <c r="S124" i="174" s="1"/>
  <c r="U124" i="174" s="1"/>
  <c r="K32" i="163" s="1"/>
  <c r="T124" i="174"/>
  <c r="F68" i="176"/>
  <c r="T64" i="176"/>
  <c r="R64" i="176"/>
  <c r="S64" i="176" s="1"/>
  <c r="U64" i="176" s="1"/>
  <c r="T62" i="174"/>
  <c r="R62" i="174"/>
  <c r="S62" i="174" s="1"/>
  <c r="U62" i="174" s="1"/>
  <c r="R67" i="176"/>
  <c r="S67" i="176" s="1"/>
  <c r="U67" i="176" s="1"/>
  <c r="T67" i="176"/>
  <c r="G98" i="174"/>
  <c r="G78" i="176"/>
  <c r="H42" i="174"/>
  <c r="F208" i="174" s="1"/>
  <c r="F102" i="176" s="1"/>
  <c r="T7" i="176"/>
  <c r="R7" i="176"/>
  <c r="S7" i="176" s="1"/>
  <c r="U7" i="176" s="1"/>
  <c r="F79" i="176"/>
  <c r="R71" i="176"/>
  <c r="S71" i="176" s="1"/>
  <c r="U71" i="176" s="1"/>
  <c r="T71" i="176"/>
  <c r="W71" i="176" s="1"/>
  <c r="V71" i="176" s="1"/>
  <c r="R68" i="174"/>
  <c r="S68" i="174" s="1"/>
  <c r="U68" i="174" s="1"/>
  <c r="T68" i="174"/>
  <c r="R115" i="174"/>
  <c r="S115" i="174" s="1"/>
  <c r="U115" i="174" s="1"/>
  <c r="T115" i="174"/>
  <c r="R126" i="174"/>
  <c r="S126" i="174" s="1"/>
  <c r="U126" i="174" s="1"/>
  <c r="T126" i="174"/>
  <c r="T14" i="174"/>
  <c r="R14" i="174"/>
  <c r="S14" i="174" s="1"/>
  <c r="U14" i="174" s="1"/>
  <c r="H74" i="174"/>
  <c r="F218" i="174" s="1"/>
  <c r="F112" i="176" s="1"/>
  <c r="R20" i="176"/>
  <c r="S20" i="176" s="1"/>
  <c r="U20" i="176" s="1"/>
  <c r="T20" i="176"/>
  <c r="R22" i="174"/>
  <c r="S22" i="174" s="1"/>
  <c r="U22" i="174" s="1"/>
  <c r="T22" i="174"/>
  <c r="T72" i="176"/>
  <c r="R72" i="176"/>
  <c r="S72" i="176" s="1"/>
  <c r="U72" i="176" s="1"/>
  <c r="G8" i="176"/>
  <c r="G75" i="176"/>
  <c r="T75" i="176" s="1"/>
  <c r="H43" i="176"/>
  <c r="T78" i="174"/>
  <c r="R78" i="174"/>
  <c r="S78" i="174" s="1"/>
  <c r="U78" i="174" s="1"/>
  <c r="G18" i="174"/>
  <c r="K160" i="113" s="1"/>
  <c r="R94" i="174"/>
  <c r="S94" i="174" s="1"/>
  <c r="U94" i="174" s="1"/>
  <c r="T94" i="174"/>
  <c r="T19" i="176"/>
  <c r="R19" i="176"/>
  <c r="S19" i="176" s="1"/>
  <c r="U19" i="176" s="1"/>
  <c r="F23" i="176"/>
  <c r="H77" i="176"/>
  <c r="H111" i="174"/>
  <c r="F65" i="163" s="1"/>
  <c r="T19" i="174"/>
  <c r="R19" i="174"/>
  <c r="H20" i="169" s="1"/>
  <c r="F26" i="174"/>
  <c r="R101" i="174"/>
  <c r="S101" i="174" s="1"/>
  <c r="U101" i="174" s="1"/>
  <c r="T101" i="174"/>
  <c r="W101" i="174" s="1"/>
  <c r="V101" i="174" s="1"/>
  <c r="T25" i="176"/>
  <c r="R25" i="176"/>
  <c r="S25" i="176" s="1"/>
  <c r="U25" i="176" s="1"/>
  <c r="R61" i="176"/>
  <c r="S61" i="176" s="1"/>
  <c r="U61" i="176" s="1"/>
  <c r="T61" i="176"/>
  <c r="R65" i="176"/>
  <c r="S65" i="176" s="1"/>
  <c r="U65" i="176" s="1"/>
  <c r="T65" i="176"/>
  <c r="R3" i="174"/>
  <c r="S3" i="174" s="1"/>
  <c r="U3" i="174" s="1"/>
  <c r="T3" i="174"/>
  <c r="R12" i="174"/>
  <c r="S12" i="174" s="1"/>
  <c r="U12" i="174" s="1"/>
  <c r="T12" i="174"/>
  <c r="T14" i="176"/>
  <c r="R14" i="176"/>
  <c r="S14" i="176" s="1"/>
  <c r="U14" i="176" s="1"/>
  <c r="F18" i="176"/>
  <c r="T83" i="174"/>
  <c r="R83" i="174"/>
  <c r="F90" i="174"/>
  <c r="H58" i="174"/>
  <c r="F212" i="174" s="1"/>
  <c r="F106" i="176" s="1"/>
  <c r="F98" i="174"/>
  <c r="R91" i="174"/>
  <c r="S91" i="174" s="1"/>
  <c r="U91" i="174" s="1"/>
  <c r="T91" i="174"/>
  <c r="R77" i="174"/>
  <c r="C68" i="169" s="1"/>
  <c r="T77" i="174"/>
  <c r="T93" i="174"/>
  <c r="R93" i="174"/>
  <c r="S93" i="174" s="1"/>
  <c r="U93" i="174" s="1"/>
  <c r="F78" i="176"/>
  <c r="R6" i="176"/>
  <c r="S6" i="176" s="1"/>
  <c r="U6" i="176" s="1"/>
  <c r="T6" i="176"/>
  <c r="G106" i="174"/>
  <c r="K180" i="113" s="1"/>
  <c r="T42" i="176"/>
  <c r="R42" i="176"/>
  <c r="S42" i="176" s="1"/>
  <c r="U42" i="176" s="1"/>
  <c r="H18" i="174"/>
  <c r="F202" i="174" s="1"/>
  <c r="F96" i="176" s="1"/>
  <c r="G38" i="176"/>
  <c r="G33" i="176"/>
  <c r="G110" i="174"/>
  <c r="G68" i="176"/>
  <c r="G42" i="174"/>
  <c r="K166" i="113" s="1"/>
  <c r="H10" i="174"/>
  <c r="F200" i="174" s="1"/>
  <c r="H18" i="176"/>
  <c r="R37" i="174"/>
  <c r="S37" i="174" s="1"/>
  <c r="U37" i="174" s="1"/>
  <c r="T37" i="174"/>
  <c r="R36" i="174"/>
  <c r="S36" i="174" s="1"/>
  <c r="U36" i="174" s="1"/>
  <c r="T36" i="174"/>
  <c r="R59" i="174"/>
  <c r="H25" i="169" s="1"/>
  <c r="T59" i="174"/>
  <c r="F66" i="174"/>
  <c r="T56" i="176"/>
  <c r="R56" i="176"/>
  <c r="S56" i="176" s="1"/>
  <c r="U56" i="176" s="1"/>
  <c r="H76" i="176"/>
  <c r="R50" i="176"/>
  <c r="S50" i="176" s="1"/>
  <c r="U50" i="176" s="1"/>
  <c r="T50" i="176"/>
  <c r="T20" i="174"/>
  <c r="R20" i="174"/>
  <c r="S20" i="174" s="1"/>
  <c r="U20" i="174" s="1"/>
  <c r="R62" i="176"/>
  <c r="S62" i="176" s="1"/>
  <c r="U62" i="176" s="1"/>
  <c r="T62" i="176"/>
  <c r="R46" i="176"/>
  <c r="S46" i="176" s="1"/>
  <c r="U46" i="176" s="1"/>
  <c r="T46" i="176"/>
  <c r="T51" i="174"/>
  <c r="R51" i="174"/>
  <c r="S51" i="174" s="1"/>
  <c r="U51" i="174" s="1"/>
  <c r="T4" i="176"/>
  <c r="F76" i="176"/>
  <c r="T76" i="176" s="1"/>
  <c r="R4" i="176"/>
  <c r="S4" i="176" s="1"/>
  <c r="U4" i="176" s="1"/>
  <c r="W4" i="176" s="1"/>
  <c r="V4" i="176" s="1"/>
  <c r="R59" i="176"/>
  <c r="S59" i="176" s="1"/>
  <c r="U59" i="176" s="1"/>
  <c r="F63" i="176"/>
  <c r="T59" i="176"/>
  <c r="T127" i="174"/>
  <c r="R127" i="174"/>
  <c r="S127" i="174" s="1"/>
  <c r="U127" i="174" s="1"/>
  <c r="F111" i="174"/>
  <c r="R6" i="174"/>
  <c r="S6" i="174" s="1"/>
  <c r="U6" i="174" s="1"/>
  <c r="T6" i="174"/>
  <c r="G77" i="176"/>
  <c r="T28" i="174"/>
  <c r="R28" i="174"/>
  <c r="S28" i="174" s="1"/>
  <c r="U28" i="174" s="1"/>
  <c r="T15" i="176"/>
  <c r="R15" i="176"/>
  <c r="S15" i="176" s="1"/>
  <c r="U15" i="176" s="1"/>
  <c r="G111" i="174"/>
  <c r="F64" i="163" s="1"/>
  <c r="R43" i="174"/>
  <c r="S43" i="174" s="1"/>
  <c r="U43" i="174" s="1"/>
  <c r="T43" i="174"/>
  <c r="H78" i="176"/>
  <c r="T85" i="174"/>
  <c r="R85" i="174"/>
  <c r="S85" i="174" s="1"/>
  <c r="U85" i="174" s="1"/>
  <c r="T11" i="176"/>
  <c r="R11" i="176"/>
  <c r="S11" i="176" s="1"/>
  <c r="U11" i="176" s="1"/>
  <c r="T84" i="174"/>
  <c r="R84" i="174"/>
  <c r="S84" i="174" s="1"/>
  <c r="U84" i="174" s="1"/>
  <c r="G74" i="174"/>
  <c r="K174" i="113" s="1"/>
  <c r="T86" i="174"/>
  <c r="R86" i="174"/>
  <c r="S86" i="174" s="1"/>
  <c r="U86" i="174" s="1"/>
  <c r="R21" i="176"/>
  <c r="S21" i="176" s="1"/>
  <c r="U21" i="176" s="1"/>
  <c r="T21" i="176"/>
  <c r="T5" i="174"/>
  <c r="R5" i="174"/>
  <c r="C59" i="169" s="1"/>
  <c r="F110" i="174"/>
  <c r="F10" i="174"/>
  <c r="F31" i="163"/>
  <c r="R68" i="176"/>
  <c r="S68" i="176" s="1"/>
  <c r="U68" i="176" s="1"/>
  <c r="F29" i="163"/>
  <c r="D315" i="123"/>
  <c r="F112" i="174" l="1"/>
  <c r="W3" i="176"/>
  <c r="V3" i="176" s="1"/>
  <c r="F116" i="176"/>
  <c r="T79" i="176"/>
  <c r="T73" i="176"/>
  <c r="R43" i="176"/>
  <c r="S43" i="176" s="1"/>
  <c r="U43" i="176" s="1"/>
  <c r="T18" i="176"/>
  <c r="T48" i="176"/>
  <c r="L240" i="174" a="1"/>
  <c r="L240" i="174" s="1"/>
  <c r="L134" i="176" s="1"/>
  <c r="F224" i="174"/>
  <c r="F118" i="176" s="1"/>
  <c r="L254" i="174" a="1"/>
  <c r="L254" i="174" s="1"/>
  <c r="L148" i="176" s="1"/>
  <c r="L222" i="174" a="1"/>
  <c r="L222" i="174" s="1"/>
  <c r="L253" i="174" a="1"/>
  <c r="L253" i="174" s="1"/>
  <c r="L147" i="176" s="1"/>
  <c r="R33" i="176"/>
  <c r="S33" i="176" s="1"/>
  <c r="U33" i="176" s="1"/>
  <c r="S83" i="174"/>
  <c r="U83" i="174" s="1"/>
  <c r="W83" i="174" s="1"/>
  <c r="V83" i="174" s="1"/>
  <c r="H28" i="169"/>
  <c r="S76" i="174"/>
  <c r="U76" i="174" s="1"/>
  <c r="W76" i="174" s="1"/>
  <c r="V76" i="174" s="1"/>
  <c r="R76" i="176"/>
  <c r="S76" i="176" s="1"/>
  <c r="U76" i="176" s="1"/>
  <c r="W76" i="176" s="1"/>
  <c r="V76" i="176" s="1"/>
  <c r="H112" i="174"/>
  <c r="H125" i="174" s="1"/>
  <c r="H128" i="174" s="1"/>
  <c r="T56" i="174"/>
  <c r="R56" i="174"/>
  <c r="S56" i="174" s="1"/>
  <c r="U56" i="174" s="1"/>
  <c r="T72" i="174"/>
  <c r="R72" i="174"/>
  <c r="S72" i="174" s="1"/>
  <c r="U72" i="174" s="1"/>
  <c r="T32" i="174"/>
  <c r="R32" i="174"/>
  <c r="S32" i="174" s="1"/>
  <c r="U32" i="174" s="1"/>
  <c r="T40" i="174"/>
  <c r="R40" i="174"/>
  <c r="S40" i="174" s="1"/>
  <c r="U40" i="174" s="1"/>
  <c r="T48" i="174"/>
  <c r="R48" i="174"/>
  <c r="S48" i="174" s="1"/>
  <c r="U48" i="174" s="1"/>
  <c r="T24" i="174"/>
  <c r="R24" i="174"/>
  <c r="S24" i="174" s="1"/>
  <c r="U24" i="174" s="1"/>
  <c r="T88" i="174"/>
  <c r="R88" i="174"/>
  <c r="S88" i="174" s="1"/>
  <c r="U88" i="174" s="1"/>
  <c r="T80" i="174"/>
  <c r="R80" i="174"/>
  <c r="S80" i="174" s="1"/>
  <c r="U80" i="174" s="1"/>
  <c r="T64" i="174"/>
  <c r="R64" i="174"/>
  <c r="S64" i="174" s="1"/>
  <c r="U64" i="174" s="1"/>
  <c r="T16" i="174"/>
  <c r="R16" i="174"/>
  <c r="S16" i="174" s="1"/>
  <c r="U16" i="174" s="1"/>
  <c r="T104" i="174"/>
  <c r="R104" i="174"/>
  <c r="S104" i="174" s="1"/>
  <c r="U104" i="174" s="1"/>
  <c r="T96" i="174"/>
  <c r="R96" i="174"/>
  <c r="S96" i="174" s="1"/>
  <c r="U96" i="174" s="1"/>
  <c r="R10" i="174"/>
  <c r="S10" i="174" s="1"/>
  <c r="U10" i="174" s="1"/>
  <c r="S21" i="174"/>
  <c r="U21" i="174" s="1"/>
  <c r="W21" i="174" s="1"/>
  <c r="V21" i="174" s="1"/>
  <c r="G112" i="174"/>
  <c r="G125" i="174" s="1"/>
  <c r="G128" i="174" s="1"/>
  <c r="R79" i="176"/>
  <c r="S79" i="176" s="1"/>
  <c r="U79" i="176" s="1"/>
  <c r="R18" i="176"/>
  <c r="S18" i="176" s="1"/>
  <c r="U18" i="176" s="1"/>
  <c r="T108" i="174"/>
  <c r="R73" i="176"/>
  <c r="S73" i="176" s="1"/>
  <c r="U73" i="176" s="1"/>
  <c r="R75" i="176"/>
  <c r="S75" i="176" s="1"/>
  <c r="U75" i="176" s="1"/>
  <c r="W75" i="176" s="1"/>
  <c r="V75" i="176" s="1"/>
  <c r="R108" i="174"/>
  <c r="S108" i="174" s="1"/>
  <c r="U108" i="174" s="1"/>
  <c r="T33" i="176"/>
  <c r="T78" i="176"/>
  <c r="R77" i="176"/>
  <c r="S77" i="176" s="1"/>
  <c r="U77" i="176" s="1"/>
  <c r="T38" i="176"/>
  <c r="W78" i="174"/>
  <c r="V78" i="174" s="1"/>
  <c r="R8" i="176"/>
  <c r="S8" i="176" s="1"/>
  <c r="U8" i="176" s="1"/>
  <c r="W22" i="174"/>
  <c r="V22" i="174" s="1"/>
  <c r="W31" i="176"/>
  <c r="V31" i="176" s="1"/>
  <c r="W46" i="174"/>
  <c r="V46" i="174" s="1"/>
  <c r="W32" i="176"/>
  <c r="V32" i="176" s="1"/>
  <c r="W60" i="174"/>
  <c r="V60" i="174" s="1"/>
  <c r="W70" i="174"/>
  <c r="V70" i="174" s="1"/>
  <c r="W100" i="174"/>
  <c r="V100" i="174" s="1"/>
  <c r="W26" i="176"/>
  <c r="V26" i="176" s="1"/>
  <c r="W37" i="176"/>
  <c r="V37" i="176" s="1"/>
  <c r="W4" i="174"/>
  <c r="V4" i="174" s="1"/>
  <c r="W30" i="174"/>
  <c r="V30" i="174" s="1"/>
  <c r="W85" i="176"/>
  <c r="V85" i="176" s="1"/>
  <c r="W27" i="176"/>
  <c r="V27" i="176" s="1"/>
  <c r="W47" i="176"/>
  <c r="V47" i="176" s="1"/>
  <c r="W44" i="176"/>
  <c r="V44" i="176" s="1"/>
  <c r="W55" i="176"/>
  <c r="V55" i="176" s="1"/>
  <c r="W82" i="176"/>
  <c r="V82" i="176" s="1"/>
  <c r="W29" i="174"/>
  <c r="V29" i="174" s="1"/>
  <c r="L238" i="174" a="1"/>
  <c r="L238" i="174" s="1"/>
  <c r="L132" i="176" s="1"/>
  <c r="L256" i="174" a="1"/>
  <c r="L256" i="174" s="1"/>
  <c r="L150" i="176" s="1"/>
  <c r="L250" i="174" a="1"/>
  <c r="L250" i="174" s="1"/>
  <c r="L144" i="176" s="1"/>
  <c r="T77" i="176"/>
  <c r="J158" i="113"/>
  <c r="T10" i="174"/>
  <c r="W62" i="174"/>
  <c r="V62" i="174" s="1"/>
  <c r="W64" i="176"/>
  <c r="V64" i="176" s="1"/>
  <c r="W80" i="176"/>
  <c r="V80" i="176" s="1"/>
  <c r="W121" i="174"/>
  <c r="V121" i="174" s="1"/>
  <c r="W67" i="174"/>
  <c r="V67" i="174" s="1"/>
  <c r="W57" i="176"/>
  <c r="V57" i="176" s="1"/>
  <c r="W52" i="176"/>
  <c r="V52" i="176" s="1"/>
  <c r="W83" i="176"/>
  <c r="V83" i="176" s="1"/>
  <c r="W44" i="174"/>
  <c r="V44" i="174" s="1"/>
  <c r="W39" i="176"/>
  <c r="V39" i="176" s="1"/>
  <c r="R82" i="174"/>
  <c r="S82" i="174" s="1"/>
  <c r="U82" i="174" s="1"/>
  <c r="T82" i="174"/>
  <c r="H81" i="176"/>
  <c r="H84" i="176" s="1"/>
  <c r="L232" i="174" a="1"/>
  <c r="L232" i="174" s="1"/>
  <c r="L126" i="176" s="1"/>
  <c r="L248" i="174" a="1"/>
  <c r="L248" i="174" s="1"/>
  <c r="L142" i="176" s="1"/>
  <c r="W16" i="176"/>
  <c r="V16" i="176" s="1"/>
  <c r="W102" i="174"/>
  <c r="V102" i="174" s="1"/>
  <c r="S119" i="174"/>
  <c r="U119" i="174" s="1"/>
  <c r="W119" i="174" s="1"/>
  <c r="V119" i="174" s="1"/>
  <c r="S99" i="174"/>
  <c r="U99" i="174" s="1"/>
  <c r="W99" i="174" s="1"/>
  <c r="V99" i="174" s="1"/>
  <c r="S45" i="174"/>
  <c r="U45" i="174" s="1"/>
  <c r="W45" i="174" s="1"/>
  <c r="V45" i="174" s="1"/>
  <c r="C62" i="169"/>
  <c r="S116" i="174"/>
  <c r="U116" i="174" s="1"/>
  <c r="W116" i="174" s="1"/>
  <c r="V116" i="174" s="1"/>
  <c r="S35" i="174"/>
  <c r="U35" i="174" s="1"/>
  <c r="W35" i="174" s="1"/>
  <c r="V35" i="174" s="1"/>
  <c r="H26" i="169"/>
  <c r="C60" i="169"/>
  <c r="T8" i="174"/>
  <c r="K134" i="156"/>
  <c r="W86" i="174"/>
  <c r="V86" i="174" s="1"/>
  <c r="W28" i="174"/>
  <c r="V28" i="174" s="1"/>
  <c r="W127" i="174"/>
  <c r="V127" i="174" s="1"/>
  <c r="W46" i="176"/>
  <c r="V46" i="176" s="1"/>
  <c r="W62" i="176"/>
  <c r="V62" i="176" s="1"/>
  <c r="W36" i="174"/>
  <c r="V36" i="174" s="1"/>
  <c r="W42" i="176"/>
  <c r="V42" i="176" s="1"/>
  <c r="W91" i="174"/>
  <c r="V91" i="174" s="1"/>
  <c r="W12" i="174"/>
  <c r="V12" i="174" s="1"/>
  <c r="W3" i="174"/>
  <c r="V3" i="174" s="1"/>
  <c r="W19" i="176"/>
  <c r="V19" i="176" s="1"/>
  <c r="W94" i="174"/>
  <c r="V94" i="174" s="1"/>
  <c r="G81" i="176"/>
  <c r="G84" i="176" s="1"/>
  <c r="W72" i="176"/>
  <c r="V72" i="176" s="1"/>
  <c r="W14" i="174"/>
  <c r="V14" i="174" s="1"/>
  <c r="W115" i="174"/>
  <c r="V115" i="174" s="1"/>
  <c r="W68" i="174"/>
  <c r="V68" i="174" s="1"/>
  <c r="W69" i="174"/>
  <c r="V69" i="174" s="1"/>
  <c r="W9" i="176"/>
  <c r="V9" i="176" s="1"/>
  <c r="W29" i="176"/>
  <c r="V29" i="176" s="1"/>
  <c r="W22" i="176"/>
  <c r="V22" i="176" s="1"/>
  <c r="W40" i="176"/>
  <c r="V40" i="176" s="1"/>
  <c r="W34" i="176"/>
  <c r="V34" i="176" s="1"/>
  <c r="W12" i="176"/>
  <c r="V12" i="176" s="1"/>
  <c r="W24" i="176"/>
  <c r="V24" i="176" s="1"/>
  <c r="W51" i="176"/>
  <c r="V51" i="176" s="1"/>
  <c r="C65" i="169"/>
  <c r="S5" i="174"/>
  <c r="U5" i="174" s="1"/>
  <c r="W5" i="174" s="1"/>
  <c r="V5" i="174" s="1"/>
  <c r="C66" i="169"/>
  <c r="H23" i="169"/>
  <c r="C63" i="169"/>
  <c r="S77" i="174"/>
  <c r="U77" i="174" s="1"/>
  <c r="W77" i="174" s="1"/>
  <c r="V77" i="174" s="1"/>
  <c r="W124" i="174"/>
  <c r="V124" i="174" s="1"/>
  <c r="S75" i="174"/>
  <c r="U75" i="174" s="1"/>
  <c r="W75" i="174" s="1"/>
  <c r="V75" i="174" s="1"/>
  <c r="W11" i="174"/>
  <c r="V11" i="174" s="1"/>
  <c r="W120" i="174"/>
  <c r="V120" i="174" s="1"/>
  <c r="W10" i="176"/>
  <c r="V10" i="176" s="1"/>
  <c r="W60" i="176"/>
  <c r="V60" i="176" s="1"/>
  <c r="W35" i="176"/>
  <c r="V35" i="176" s="1"/>
  <c r="W61" i="174"/>
  <c r="V61" i="174" s="1"/>
  <c r="W66" i="176"/>
  <c r="V66" i="176" s="1"/>
  <c r="W21" i="176"/>
  <c r="V21" i="176" s="1"/>
  <c r="W84" i="174"/>
  <c r="V84" i="174" s="1"/>
  <c r="W11" i="176"/>
  <c r="V11" i="176" s="1"/>
  <c r="W85" i="174"/>
  <c r="V85" i="174" s="1"/>
  <c r="W15" i="176"/>
  <c r="V15" i="176" s="1"/>
  <c r="W6" i="174"/>
  <c r="V6" i="174" s="1"/>
  <c r="W51" i="174"/>
  <c r="V51" i="174" s="1"/>
  <c r="W50" i="176"/>
  <c r="V50" i="176" s="1"/>
  <c r="W93" i="174"/>
  <c r="V93" i="174" s="1"/>
  <c r="W14" i="176"/>
  <c r="V14" i="176" s="1"/>
  <c r="W25" i="176"/>
  <c r="V25" i="176" s="1"/>
  <c r="W20" i="176"/>
  <c r="V20" i="176" s="1"/>
  <c r="W126" i="174"/>
  <c r="V126" i="174" s="1"/>
  <c r="W92" i="174"/>
  <c r="V92" i="174" s="1"/>
  <c r="H18" i="169"/>
  <c r="H19" i="169"/>
  <c r="C67" i="169"/>
  <c r="S19" i="174"/>
  <c r="U19" i="174" s="1"/>
  <c r="W19" i="174" s="1"/>
  <c r="V19" i="174" s="1"/>
  <c r="S59" i="174"/>
  <c r="U59" i="174" s="1"/>
  <c r="W59" i="174" s="1"/>
  <c r="V59" i="174" s="1"/>
  <c r="W56" i="176"/>
  <c r="V56" i="176" s="1"/>
  <c r="H24" i="169"/>
  <c r="T110" i="174"/>
  <c r="R110" i="174"/>
  <c r="S110" i="174" s="1"/>
  <c r="U110" i="174" s="1"/>
  <c r="W43" i="174"/>
  <c r="V43" i="174" s="1"/>
  <c r="T111" i="174"/>
  <c r="F63" i="163"/>
  <c r="G63" i="163" s="1"/>
  <c r="H63" i="163" s="1"/>
  <c r="R111" i="174"/>
  <c r="S111" i="174" s="1"/>
  <c r="U111" i="174" s="1"/>
  <c r="W111" i="174" s="1"/>
  <c r="V111" i="174" s="1"/>
  <c r="W59" i="176"/>
  <c r="V59" i="176" s="1"/>
  <c r="F58" i="174"/>
  <c r="W20" i="174"/>
  <c r="V20" i="174" s="1"/>
  <c r="W37" i="174"/>
  <c r="V37" i="174" s="1"/>
  <c r="W6" i="176"/>
  <c r="V6" i="176" s="1"/>
  <c r="R8" i="174"/>
  <c r="S8" i="174" s="1"/>
  <c r="U8" i="174" s="1"/>
  <c r="W65" i="176"/>
  <c r="V65" i="176" s="1"/>
  <c r="W61" i="176"/>
  <c r="V61" i="176" s="1"/>
  <c r="R23" i="176"/>
  <c r="S23" i="176" s="1"/>
  <c r="U23" i="176" s="1"/>
  <c r="T23" i="176"/>
  <c r="W7" i="176"/>
  <c r="V7" i="176" s="1"/>
  <c r="W67" i="176"/>
  <c r="V67" i="176" s="1"/>
  <c r="T68" i="176"/>
  <c r="W68" i="176" s="1"/>
  <c r="V68" i="176" s="1"/>
  <c r="W38" i="174"/>
  <c r="V38" i="174" s="1"/>
  <c r="W5" i="176"/>
  <c r="V5" i="176" s="1"/>
  <c r="W30" i="176"/>
  <c r="V30" i="176" s="1"/>
  <c r="W17" i="176"/>
  <c r="V17" i="176" s="1"/>
  <c r="F74" i="174"/>
  <c r="W36" i="176"/>
  <c r="V36" i="176" s="1"/>
  <c r="W54" i="174"/>
  <c r="V54" i="174" s="1"/>
  <c r="W13" i="174"/>
  <c r="V13" i="174" s="1"/>
  <c r="F214" i="174"/>
  <c r="L214" i="174" s="1" a="1"/>
  <c r="L214" i="174" s="1"/>
  <c r="L108" i="176" s="1"/>
  <c r="F104" i="176"/>
  <c r="F108" i="176" s="1"/>
  <c r="W70" i="176"/>
  <c r="V70" i="176" s="1"/>
  <c r="R58" i="176"/>
  <c r="S58" i="176" s="1"/>
  <c r="U58" i="176" s="1"/>
  <c r="T58" i="176"/>
  <c r="K178" i="113"/>
  <c r="W45" i="176"/>
  <c r="V45" i="176" s="1"/>
  <c r="F81" i="176"/>
  <c r="S27" i="174"/>
  <c r="U27" i="174" s="1"/>
  <c r="W27" i="174" s="1"/>
  <c r="V27" i="174" s="1"/>
  <c r="H21" i="169"/>
  <c r="W49" i="176"/>
  <c r="V49" i="176" s="1"/>
  <c r="T122" i="174"/>
  <c r="F123" i="174"/>
  <c r="R122" i="174"/>
  <c r="S122" i="174" s="1"/>
  <c r="U122" i="174" s="1"/>
  <c r="T63" i="176"/>
  <c r="R63" i="176"/>
  <c r="S63" i="176" s="1"/>
  <c r="U63" i="176" s="1"/>
  <c r="F94" i="176"/>
  <c r="L252" i="174" a="1"/>
  <c r="L252" i="174" s="1"/>
  <c r="L146" i="176" s="1"/>
  <c r="L242" i="174" a="1"/>
  <c r="L242" i="174" s="1"/>
  <c r="L245" i="174" a="1"/>
  <c r="L245" i="174" s="1"/>
  <c r="L139" i="176" s="1"/>
  <c r="L244" i="174" a="1"/>
  <c r="L244" i="174" s="1"/>
  <c r="L138" i="176" s="1"/>
  <c r="L246" i="174" a="1"/>
  <c r="L246" i="174" s="1"/>
  <c r="L140" i="176" s="1"/>
  <c r="L236" i="174" a="1"/>
  <c r="L236" i="174" s="1"/>
  <c r="L130" i="176" s="1"/>
  <c r="L234" i="174" a="1"/>
  <c r="L234" i="174" s="1"/>
  <c r="L128" i="176" s="1"/>
  <c r="R78" i="176"/>
  <c r="S78" i="176" s="1"/>
  <c r="U78" i="176" s="1"/>
  <c r="T13" i="176"/>
  <c r="R13" i="176"/>
  <c r="S13" i="176" s="1"/>
  <c r="U13" i="176" s="1"/>
  <c r="R38" i="176"/>
  <c r="S38" i="176" s="1"/>
  <c r="U38" i="176" s="1"/>
  <c r="F42" i="174"/>
  <c r="T43" i="176"/>
  <c r="R28" i="176"/>
  <c r="S28" i="176" s="1"/>
  <c r="U28" i="176" s="1"/>
  <c r="T28" i="176"/>
  <c r="W54" i="176"/>
  <c r="V54" i="176" s="1"/>
  <c r="W69" i="176"/>
  <c r="V69" i="176" s="1"/>
  <c r="T8" i="176"/>
  <c r="T53" i="176"/>
  <c r="W53" i="176" s="1"/>
  <c r="V53" i="176" s="1"/>
  <c r="W118" i="174"/>
  <c r="V118" i="174" s="1"/>
  <c r="R48" i="176"/>
  <c r="S48" i="176" s="1"/>
  <c r="U48" i="176" s="1"/>
  <c r="T90" i="174"/>
  <c r="R90" i="174"/>
  <c r="S90" i="174" s="1"/>
  <c r="U90" i="174" s="1"/>
  <c r="R34" i="174"/>
  <c r="S34" i="174" s="1"/>
  <c r="U34" i="174" s="1"/>
  <c r="J164" i="113"/>
  <c r="T34" i="174"/>
  <c r="H114" i="174"/>
  <c r="F114" i="174"/>
  <c r="F125" i="174"/>
  <c r="T98" i="174"/>
  <c r="R98" i="174"/>
  <c r="S98" i="174" s="1"/>
  <c r="U98" i="174" s="1"/>
  <c r="T66" i="174"/>
  <c r="J172" i="113"/>
  <c r="R66" i="174"/>
  <c r="S66" i="174" s="1"/>
  <c r="U66" i="174" s="1"/>
  <c r="R106" i="174"/>
  <c r="S106" i="174" s="1"/>
  <c r="U106" i="174" s="1"/>
  <c r="J180" i="113"/>
  <c r="T106" i="174"/>
  <c r="J160" i="113"/>
  <c r="R18" i="174"/>
  <c r="S18" i="174" s="1"/>
  <c r="U18" i="174" s="1"/>
  <c r="T18" i="174"/>
  <c r="T26" i="174"/>
  <c r="R26" i="174"/>
  <c r="S26" i="174" s="1"/>
  <c r="U26" i="174" s="1"/>
  <c r="J162" i="113"/>
  <c r="J168" i="113"/>
  <c r="T50" i="174"/>
  <c r="R50" i="174"/>
  <c r="S50" i="174" s="1"/>
  <c r="U50" i="174" s="1"/>
  <c r="J134" i="156"/>
  <c r="W78" i="176" l="1"/>
  <c r="V78" i="176" s="1"/>
  <c r="W48" i="176"/>
  <c r="V48" i="176" s="1"/>
  <c r="R81" i="176"/>
  <c r="S81" i="176" s="1"/>
  <c r="U81" i="176" s="1"/>
  <c r="W79" i="176"/>
  <c r="V79" i="176" s="1"/>
  <c r="W73" i="176"/>
  <c r="V73" i="176" s="1"/>
  <c r="W18" i="176"/>
  <c r="V18" i="176" s="1"/>
  <c r="W43" i="176"/>
  <c r="V43" i="176" s="1"/>
  <c r="L116" i="176"/>
  <c r="M28" i="169"/>
  <c r="L136" i="176"/>
  <c r="L152" i="176" s="1"/>
  <c r="L258" i="174"/>
  <c r="W33" i="176"/>
  <c r="V33" i="176" s="1"/>
  <c r="W108" i="174"/>
  <c r="V108" i="174" s="1"/>
  <c r="W10" i="174"/>
  <c r="V10" i="174" s="1"/>
  <c r="W104" i="174"/>
  <c r="V104" i="174" s="1"/>
  <c r="W16" i="174"/>
  <c r="V16" i="174" s="1"/>
  <c r="W64" i="174"/>
  <c r="V64" i="174" s="1"/>
  <c r="W80" i="174"/>
  <c r="V80" i="174" s="1"/>
  <c r="W88" i="174"/>
  <c r="V88" i="174" s="1"/>
  <c r="W24" i="174"/>
  <c r="V24" i="174" s="1"/>
  <c r="W48" i="174"/>
  <c r="V48" i="174" s="1"/>
  <c r="W40" i="174"/>
  <c r="V40" i="174" s="1"/>
  <c r="W32" i="174"/>
  <c r="V32" i="174" s="1"/>
  <c r="W72" i="174"/>
  <c r="V72" i="174" s="1"/>
  <c r="W56" i="174"/>
  <c r="V56" i="174" s="1"/>
  <c r="W96" i="174"/>
  <c r="V96" i="174" s="1"/>
  <c r="G114" i="174"/>
  <c r="W38" i="176"/>
  <c r="V38" i="176" s="1"/>
  <c r="W8" i="176"/>
  <c r="V8" i="176" s="1"/>
  <c r="W77" i="176"/>
  <c r="V77" i="176" s="1"/>
  <c r="W82" i="174"/>
  <c r="V82" i="174" s="1"/>
  <c r="W8" i="174"/>
  <c r="V8" i="174" s="1"/>
  <c r="W13" i="176"/>
  <c r="V13" i="176" s="1"/>
  <c r="W63" i="176"/>
  <c r="V63" i="176" s="1"/>
  <c r="W58" i="176"/>
  <c r="V58" i="176" s="1"/>
  <c r="W28" i="176"/>
  <c r="V28" i="176" s="1"/>
  <c r="R42" i="174"/>
  <c r="S42" i="174" s="1"/>
  <c r="U42" i="174" s="1"/>
  <c r="J166" i="113"/>
  <c r="T42" i="174"/>
  <c r="W122" i="174"/>
  <c r="V122" i="174" s="1"/>
  <c r="W23" i="176"/>
  <c r="V23" i="176" s="1"/>
  <c r="J170" i="113"/>
  <c r="T58" i="174"/>
  <c r="W110" i="174"/>
  <c r="V110" i="174" s="1"/>
  <c r="R123" i="174"/>
  <c r="S123" i="174" s="1"/>
  <c r="U123" i="174" s="1"/>
  <c r="T123" i="174"/>
  <c r="F84" i="176"/>
  <c r="T81" i="176"/>
  <c r="T74" i="174"/>
  <c r="J174" i="113"/>
  <c r="R74" i="174"/>
  <c r="S74" i="174" s="1"/>
  <c r="U74" i="174" s="1"/>
  <c r="W34" i="174"/>
  <c r="V34" i="174" s="1"/>
  <c r="W98" i="174"/>
  <c r="V98" i="174" s="1"/>
  <c r="W106" i="174"/>
  <c r="V106" i="174" s="1"/>
  <c r="W90" i="174"/>
  <c r="V90" i="174" s="1"/>
  <c r="W50" i="174"/>
  <c r="V50" i="174" s="1"/>
  <c r="W26" i="174"/>
  <c r="V26" i="174" s="1"/>
  <c r="W18" i="174"/>
  <c r="V18" i="174" s="1"/>
  <c r="F128" i="174"/>
  <c r="T125" i="174"/>
  <c r="R125" i="174"/>
  <c r="W66" i="174"/>
  <c r="V66" i="174" s="1"/>
  <c r="J126" i="156"/>
  <c r="J118" i="156"/>
  <c r="J122" i="156"/>
  <c r="J120" i="156"/>
  <c r="N120" i="121"/>
  <c r="N123" i="121"/>
  <c r="W81" i="176" l="1"/>
  <c r="V81" i="176" s="1"/>
  <c r="W42" i="174"/>
  <c r="V42" i="174" s="1"/>
  <c r="J178" i="113"/>
  <c r="W123" i="174"/>
  <c r="V123" i="174" s="1"/>
  <c r="J128" i="156"/>
  <c r="W74" i="174"/>
  <c r="V74" i="174" s="1"/>
  <c r="T84" i="176"/>
  <c r="R84" i="176"/>
  <c r="S84" i="176" s="1"/>
  <c r="U84" i="176" s="1"/>
  <c r="R128" i="174"/>
  <c r="S128" i="174" s="1"/>
  <c r="U128" i="174" s="1"/>
  <c r="T128" i="174"/>
  <c r="J124" i="156"/>
  <c r="N235" i="123"/>
  <c r="Q235" i="123"/>
  <c r="J136" i="156" l="1"/>
  <c r="W84" i="176"/>
  <c r="V84" i="176" s="1"/>
  <c r="W128" i="174"/>
  <c r="V128" i="174" s="1"/>
  <c r="J138" i="156"/>
  <c r="E274" i="123"/>
  <c r="N291" i="123" l="1"/>
  <c r="Q291" i="123"/>
  <c r="W28" i="142" l="1"/>
  <c r="AG4" i="142" l="1"/>
  <c r="AH4" i="142"/>
  <c r="AI4" i="142"/>
  <c r="AJ4" i="142"/>
  <c r="AK4" i="142"/>
  <c r="AL4" i="142"/>
  <c r="AM4" i="142"/>
  <c r="AN4" i="142"/>
  <c r="AO4" i="142"/>
  <c r="AP4" i="142"/>
  <c r="AQ4" i="142"/>
  <c r="AR4" i="142"/>
  <c r="AG7" i="142"/>
  <c r="AH7" i="142"/>
  <c r="AI7" i="142"/>
  <c r="AJ7" i="142"/>
  <c r="AK7" i="142"/>
  <c r="AL7" i="142"/>
  <c r="AM7" i="142"/>
  <c r="AN7" i="142"/>
  <c r="AO7" i="142"/>
  <c r="AP7" i="142"/>
  <c r="AQ7" i="142"/>
  <c r="AR7" i="142"/>
  <c r="AG10" i="142"/>
  <c r="AH10" i="142"/>
  <c r="AI10" i="142"/>
  <c r="AJ10" i="142"/>
  <c r="AK10" i="142"/>
  <c r="AL10" i="142"/>
  <c r="AM10" i="142"/>
  <c r="AN10" i="142"/>
  <c r="AO10" i="142"/>
  <c r="AP10" i="142"/>
  <c r="AQ10" i="142"/>
  <c r="AR10" i="142"/>
  <c r="AG28" i="142"/>
  <c r="AH28" i="142"/>
  <c r="AI28" i="142"/>
  <c r="AJ28" i="142"/>
  <c r="AK28" i="142"/>
  <c r="AL28" i="142"/>
  <c r="AM28" i="142"/>
  <c r="AN28" i="142"/>
  <c r="AO28" i="142"/>
  <c r="AP28" i="142"/>
  <c r="AQ28" i="142"/>
  <c r="AR28" i="142"/>
  <c r="AG31" i="142"/>
  <c r="AH31" i="142"/>
  <c r="AI31" i="142"/>
  <c r="AJ31" i="142"/>
  <c r="AK31" i="142"/>
  <c r="AL31" i="142"/>
  <c r="AM31" i="142"/>
  <c r="AN31" i="142"/>
  <c r="AO31" i="142"/>
  <c r="AP31" i="142"/>
  <c r="AQ31" i="142"/>
  <c r="AR31" i="142"/>
  <c r="AG34" i="142"/>
  <c r="AH34" i="142"/>
  <c r="AI34" i="142"/>
  <c r="AJ34" i="142"/>
  <c r="AK34" i="142"/>
  <c r="AL34" i="142"/>
  <c r="AM34" i="142"/>
  <c r="AN34" i="142"/>
  <c r="AO34" i="142"/>
  <c r="AP34" i="142"/>
  <c r="AQ34" i="142"/>
  <c r="AR34" i="142"/>
  <c r="AG52" i="142"/>
  <c r="AH52" i="142"/>
  <c r="AI52" i="142"/>
  <c r="AJ52" i="142"/>
  <c r="AK52" i="142"/>
  <c r="AL52" i="142"/>
  <c r="AM52" i="142"/>
  <c r="AN52" i="142"/>
  <c r="AO52" i="142"/>
  <c r="AP52" i="142"/>
  <c r="AQ52" i="142"/>
  <c r="AR52" i="142"/>
  <c r="AG55" i="142"/>
  <c r="AH55" i="142"/>
  <c r="AI55" i="142"/>
  <c r="AJ55" i="142"/>
  <c r="AK55" i="142"/>
  <c r="AL55" i="142"/>
  <c r="AM55" i="142"/>
  <c r="AN55" i="142"/>
  <c r="AO55" i="142"/>
  <c r="AP55" i="142"/>
  <c r="AQ55" i="142"/>
  <c r="AR55" i="142"/>
  <c r="AG58" i="142"/>
  <c r="AH58" i="142"/>
  <c r="AI58" i="142"/>
  <c r="AJ58" i="142"/>
  <c r="AK58" i="142"/>
  <c r="AL58" i="142"/>
  <c r="AM58" i="142"/>
  <c r="AN58" i="142"/>
  <c r="AO58" i="142"/>
  <c r="AP58" i="142"/>
  <c r="AQ58" i="142"/>
  <c r="AR58" i="142"/>
  <c r="AG76" i="142"/>
  <c r="AH76" i="142"/>
  <c r="AI76" i="142"/>
  <c r="AJ76" i="142"/>
  <c r="AK76" i="142"/>
  <c r="AL76" i="142"/>
  <c r="AM76" i="142"/>
  <c r="AN76" i="142"/>
  <c r="AO76" i="142"/>
  <c r="AP76" i="142"/>
  <c r="AQ76" i="142"/>
  <c r="AR76" i="142"/>
  <c r="AG79" i="142"/>
  <c r="AH79" i="142"/>
  <c r="AI79" i="142"/>
  <c r="AJ79" i="142"/>
  <c r="AK79" i="142"/>
  <c r="AL79" i="142"/>
  <c r="AM79" i="142"/>
  <c r="AN79" i="142"/>
  <c r="AO79" i="142"/>
  <c r="AP79" i="142"/>
  <c r="AQ79" i="142"/>
  <c r="AR79" i="142"/>
  <c r="AG82" i="142"/>
  <c r="AH82" i="142"/>
  <c r="AI82" i="142"/>
  <c r="AJ82" i="142"/>
  <c r="AK82" i="142"/>
  <c r="AL82" i="142"/>
  <c r="AM82" i="142"/>
  <c r="AN82" i="142"/>
  <c r="AO82" i="142"/>
  <c r="AP82" i="142"/>
  <c r="AQ82" i="142"/>
  <c r="AR82" i="142"/>
  <c r="AG130" i="142"/>
  <c r="AH130" i="142"/>
  <c r="AI130" i="142"/>
  <c r="AJ130" i="142"/>
  <c r="AK130" i="142"/>
  <c r="AL130" i="142"/>
  <c r="AM130" i="142"/>
  <c r="AN130" i="142"/>
  <c r="AO130" i="142"/>
  <c r="AP130" i="142"/>
  <c r="AQ130" i="142"/>
  <c r="AR130" i="142"/>
  <c r="AA4" i="142"/>
  <c r="AB4" i="142"/>
  <c r="AC4" i="142"/>
  <c r="AD4" i="142"/>
  <c r="AE4" i="142"/>
  <c r="AF4" i="142"/>
  <c r="AA7" i="142"/>
  <c r="AB7" i="142"/>
  <c r="AC7" i="142"/>
  <c r="AD7" i="142"/>
  <c r="AE7" i="142"/>
  <c r="AF7" i="142"/>
  <c r="AA10" i="142"/>
  <c r="AB10" i="142"/>
  <c r="AC10" i="142"/>
  <c r="AD10" i="142"/>
  <c r="AE10" i="142"/>
  <c r="AF10" i="142"/>
  <c r="AA28" i="142"/>
  <c r="AB28" i="142"/>
  <c r="AC28" i="142"/>
  <c r="AD28" i="142"/>
  <c r="AE28" i="142"/>
  <c r="AF28" i="142"/>
  <c r="AA31" i="142"/>
  <c r="AB31" i="142"/>
  <c r="AC31" i="142"/>
  <c r="AD31" i="142"/>
  <c r="AE31" i="142"/>
  <c r="AF31" i="142"/>
  <c r="AA34" i="142"/>
  <c r="AB34" i="142"/>
  <c r="AC34" i="142"/>
  <c r="AD34" i="142"/>
  <c r="AE34" i="142"/>
  <c r="AF34" i="142"/>
  <c r="AA52" i="142"/>
  <c r="AB52" i="142"/>
  <c r="AC52" i="142"/>
  <c r="AD52" i="142"/>
  <c r="AE52" i="142"/>
  <c r="AF52" i="142"/>
  <c r="AA55" i="142"/>
  <c r="AB55" i="142"/>
  <c r="AC55" i="142"/>
  <c r="AD55" i="142"/>
  <c r="AE55" i="142"/>
  <c r="AF55" i="142"/>
  <c r="AA58" i="142"/>
  <c r="AB58" i="142"/>
  <c r="AC58" i="142"/>
  <c r="AD58" i="142"/>
  <c r="AE58" i="142"/>
  <c r="AF58" i="142"/>
  <c r="AA76" i="142"/>
  <c r="AB76" i="142"/>
  <c r="AC76" i="142"/>
  <c r="AD76" i="142"/>
  <c r="AE76" i="142"/>
  <c r="AF76" i="142"/>
  <c r="AA79" i="142"/>
  <c r="AB79" i="142"/>
  <c r="AC79" i="142"/>
  <c r="AD79" i="142"/>
  <c r="AE79" i="142"/>
  <c r="AF79" i="142"/>
  <c r="AA82" i="142"/>
  <c r="AB82" i="142"/>
  <c r="AC82" i="142"/>
  <c r="AD82" i="142"/>
  <c r="AE82" i="142"/>
  <c r="AF82" i="142"/>
  <c r="AA130" i="142"/>
  <c r="AB130" i="142"/>
  <c r="AC130" i="142"/>
  <c r="AD130" i="142"/>
  <c r="AE130" i="142"/>
  <c r="AF130" i="142"/>
  <c r="E30" i="133" l="1"/>
  <c r="D30" i="133"/>
  <c r="C30" i="133"/>
  <c r="E28" i="133" l="1"/>
  <c r="D28" i="133"/>
  <c r="C28" i="133" l="1"/>
  <c r="F30" i="133" l="1"/>
  <c r="A94" i="112" l="1"/>
  <c r="A95" i="112" s="1"/>
  <c r="A96" i="112" s="1"/>
  <c r="A97" i="112" s="1"/>
  <c r="A98" i="112" s="1"/>
  <c r="A99" i="112" s="1"/>
  <c r="A100" i="112" s="1"/>
  <c r="A101" i="112" s="1"/>
  <c r="A102" i="112" s="1"/>
  <c r="A103" i="112" s="1"/>
  <c r="A104" i="112" s="1"/>
  <c r="D108" i="112" s="1"/>
  <c r="Q292" i="123"/>
  <c r="Q293" i="123"/>
  <c r="Q294" i="123"/>
  <c r="Q295" i="123"/>
  <c r="Q296" i="123"/>
  <c r="Q297" i="123"/>
  <c r="Q298" i="123"/>
  <c r="Q299" i="123"/>
  <c r="AA151" i="1"/>
  <c r="AA159" i="1" l="1"/>
  <c r="C4" i="169"/>
  <c r="F123" i="156" l="1"/>
  <c r="G123" i="156"/>
  <c r="H123" i="156"/>
  <c r="I123" i="156"/>
  <c r="F124" i="156"/>
  <c r="G124" i="156"/>
  <c r="H124" i="156"/>
  <c r="I124" i="156"/>
  <c r="J206" i="165" l="1"/>
  <c r="J208" i="165"/>
  <c r="J204" i="165"/>
  <c r="K208" i="165"/>
  <c r="C30" i="163" l="1"/>
  <c r="C81" i="163" s="1"/>
  <c r="C31" i="163"/>
  <c r="C82" i="163" s="1"/>
  <c r="C32" i="163"/>
  <c r="C83" i="163" s="1"/>
  <c r="C33" i="163"/>
  <c r="C84" i="163" s="1"/>
  <c r="C34" i="163"/>
  <c r="C85" i="163" s="1"/>
  <c r="C37" i="163"/>
  <c r="C88" i="163" s="1"/>
  <c r="C39" i="163"/>
  <c r="C90" i="163" s="1"/>
  <c r="F98" i="163"/>
  <c r="E98" i="163"/>
  <c r="D98" i="163"/>
  <c r="C98" i="163"/>
  <c r="E91" i="163"/>
  <c r="E90" i="163"/>
  <c r="E89" i="163"/>
  <c r="E88" i="163"/>
  <c r="E87" i="163"/>
  <c r="E86" i="163"/>
  <c r="E85" i="163"/>
  <c r="E84" i="163"/>
  <c r="E83" i="163"/>
  <c r="E82" i="163"/>
  <c r="E81" i="163"/>
  <c r="E80" i="163"/>
  <c r="E75" i="163"/>
  <c r="E58" i="163"/>
  <c r="C58" i="163"/>
  <c r="E41" i="163"/>
  <c r="N30" i="163"/>
  <c r="N29" i="163"/>
  <c r="N28" i="163"/>
  <c r="C40" i="163"/>
  <c r="C91" i="163" s="1"/>
  <c r="C38" i="163"/>
  <c r="C89" i="163" s="1"/>
  <c r="C36" i="163"/>
  <c r="C87" i="163" s="1"/>
  <c r="O7" i="163"/>
  <c r="O23" i="163" s="1"/>
  <c r="E92" i="163" l="1"/>
  <c r="F24" i="163"/>
  <c r="C24" i="163"/>
  <c r="I24" i="163"/>
  <c r="L24" i="163"/>
  <c r="C35" i="163"/>
  <c r="C86" i="163" s="1"/>
  <c r="C92" i="163" l="1"/>
  <c r="C41" i="163"/>
  <c r="N349" i="154" l="1"/>
  <c r="M349" i="154"/>
  <c r="L349" i="154"/>
  <c r="K349" i="154"/>
  <c r="J349" i="154"/>
  <c r="I349" i="154"/>
  <c r="H349" i="154"/>
  <c r="G349" i="154"/>
  <c r="F349" i="154"/>
  <c r="E349" i="154"/>
  <c r="D349" i="154"/>
  <c r="C349" i="154"/>
  <c r="D340" i="154"/>
  <c r="E340" i="154"/>
  <c r="F340" i="154"/>
  <c r="G340" i="154"/>
  <c r="H340" i="154"/>
  <c r="I340" i="154"/>
  <c r="J340" i="154"/>
  <c r="K340" i="154"/>
  <c r="L340" i="154"/>
  <c r="M340" i="154"/>
  <c r="N340" i="154"/>
  <c r="C340" i="154"/>
  <c r="Q18" i="112"/>
  <c r="H90" i="156" l="1"/>
  <c r="H92" i="156" s="1"/>
  <c r="G90" i="156"/>
  <c r="G92" i="156" s="1"/>
  <c r="F90" i="156"/>
  <c r="F92" i="156" s="1"/>
  <c r="W89" i="156"/>
  <c r="W88" i="156"/>
  <c r="W87" i="156"/>
  <c r="W86" i="156"/>
  <c r="H83" i="156"/>
  <c r="H85" i="156" s="1"/>
  <c r="F221" i="174" s="1"/>
  <c r="G83" i="156"/>
  <c r="G85" i="156" s="1"/>
  <c r="F83" i="156"/>
  <c r="F85" i="156" s="1"/>
  <c r="W82" i="156"/>
  <c r="W81" i="156"/>
  <c r="W80" i="156"/>
  <c r="W79" i="156"/>
  <c r="F115" i="176" l="1"/>
  <c r="M222" i="174" a="1"/>
  <c r="M222" i="174" s="1"/>
  <c r="M116" i="176" s="1"/>
  <c r="L221" i="174" a="1"/>
  <c r="L221" i="174" s="1"/>
  <c r="W85" i="156"/>
  <c r="W92" i="156"/>
  <c r="D63" i="163"/>
  <c r="D73" i="163"/>
  <c r="D71" i="163"/>
  <c r="D69" i="163"/>
  <c r="D67" i="163"/>
  <c r="D65" i="163"/>
  <c r="D74" i="163"/>
  <c r="D72" i="163"/>
  <c r="D70" i="163"/>
  <c r="D68" i="163"/>
  <c r="D66" i="163"/>
  <c r="D64" i="163"/>
  <c r="D39" i="163"/>
  <c r="D37" i="163"/>
  <c r="D40" i="163"/>
  <c r="D38" i="163"/>
  <c r="D36" i="163"/>
  <c r="W90" i="156"/>
  <c r="W83" i="156"/>
  <c r="L115" i="176" l="1"/>
  <c r="N28" i="169"/>
  <c r="D75" i="163"/>
  <c r="W104" i="156"/>
  <c r="D30" i="163"/>
  <c r="D32" i="163"/>
  <c r="D34" i="163"/>
  <c r="D31" i="163"/>
  <c r="D33" i="163"/>
  <c r="D35" i="163"/>
  <c r="D29" i="163"/>
  <c r="F80" i="163"/>
  <c r="G29" i="163"/>
  <c r="H29" i="163" s="1"/>
  <c r="D41" i="163" l="1"/>
  <c r="G80" i="163"/>
  <c r="H80" i="163" s="1"/>
  <c r="C99" i="163"/>
  <c r="E99" i="163"/>
  <c r="D99" i="163"/>
  <c r="D250" i="154"/>
  <c r="E250" i="154"/>
  <c r="F250" i="154"/>
  <c r="G250" i="154"/>
  <c r="H250" i="154"/>
  <c r="I250" i="154"/>
  <c r="J250" i="154"/>
  <c r="K250" i="154"/>
  <c r="L250" i="154"/>
  <c r="M250" i="154"/>
  <c r="N250" i="154"/>
  <c r="C250" i="154"/>
  <c r="F99" i="163" l="1"/>
  <c r="O56" i="159"/>
  <c r="AE8" i="60" l="1"/>
  <c r="AE9" i="60"/>
  <c r="AE6" i="60"/>
  <c r="AE5" i="60"/>
  <c r="AE10" i="60" l="1"/>
  <c r="AE7" i="60"/>
  <c r="AA246" i="1"/>
  <c r="D202" i="1"/>
  <c r="AA185" i="1"/>
  <c r="C1" i="113" l="1"/>
  <c r="C1" i="156"/>
  <c r="C19" i="159" l="1"/>
  <c r="O69" i="159"/>
  <c r="F150" i="113"/>
  <c r="P294" i="154" l="1"/>
  <c r="Q308" i="154" s="1"/>
  <c r="N294" i="154"/>
  <c r="O308" i="154" s="1"/>
  <c r="L294" i="154"/>
  <c r="M308" i="154" s="1"/>
  <c r="J294" i="154"/>
  <c r="K308" i="154" s="1"/>
  <c r="Q309" i="154"/>
  <c r="O305" i="154"/>
  <c r="M307" i="154"/>
  <c r="M303" i="154"/>
  <c r="M299" i="154"/>
  <c r="K309" i="154"/>
  <c r="K305" i="154"/>
  <c r="I309" i="154"/>
  <c r="I308" i="154"/>
  <c r="R308" i="154" s="1"/>
  <c r="S308" i="154" s="1"/>
  <c r="I307" i="154"/>
  <c r="I306" i="154"/>
  <c r="I305" i="154"/>
  <c r="I304" i="154"/>
  <c r="I303" i="154"/>
  <c r="I302" i="154"/>
  <c r="I301" i="154"/>
  <c r="I300" i="154"/>
  <c r="I299" i="154"/>
  <c r="I298" i="154"/>
  <c r="R298" i="154" s="1"/>
  <c r="S298" i="154" s="1"/>
  <c r="I297" i="154"/>
  <c r="R297" i="154" s="1"/>
  <c r="S297" i="154" s="1"/>
  <c r="F309" i="154"/>
  <c r="F308" i="154"/>
  <c r="F307" i="154"/>
  <c r="F306" i="154"/>
  <c r="F305" i="154"/>
  <c r="F304" i="154"/>
  <c r="F303" i="154"/>
  <c r="F302" i="154"/>
  <c r="F301" i="154"/>
  <c r="F300" i="154"/>
  <c r="F299" i="154"/>
  <c r="F298" i="154"/>
  <c r="F297" i="154"/>
  <c r="F296" i="154"/>
  <c r="D297" i="154"/>
  <c r="D298" i="154"/>
  <c r="D299" i="154"/>
  <c r="D300" i="154"/>
  <c r="D301" i="154"/>
  <c r="D302" i="154"/>
  <c r="D303" i="154"/>
  <c r="D304" i="154"/>
  <c r="D305" i="154"/>
  <c r="D306" i="154"/>
  <c r="D307" i="154"/>
  <c r="D308" i="154"/>
  <c r="D309" i="154"/>
  <c r="D296" i="154"/>
  <c r="D268" i="154"/>
  <c r="F268" i="154"/>
  <c r="D269" i="154"/>
  <c r="F269" i="154"/>
  <c r="H269" i="154"/>
  <c r="D270" i="154"/>
  <c r="F270" i="154"/>
  <c r="H270" i="154"/>
  <c r="D271" i="154"/>
  <c r="F271" i="154"/>
  <c r="H271" i="154"/>
  <c r="D272" i="154"/>
  <c r="F272" i="154"/>
  <c r="H272" i="154"/>
  <c r="D273" i="154"/>
  <c r="F273" i="154"/>
  <c r="H273" i="154"/>
  <c r="D274" i="154"/>
  <c r="F274" i="154"/>
  <c r="H274" i="154"/>
  <c r="D275" i="154"/>
  <c r="F275" i="154"/>
  <c r="H275" i="154"/>
  <c r="D276" i="154"/>
  <c r="F276" i="154"/>
  <c r="H276" i="154"/>
  <c r="D277" i="154"/>
  <c r="F277" i="154"/>
  <c r="H277" i="154"/>
  <c r="D278" i="154"/>
  <c r="F278" i="154"/>
  <c r="H278" i="154"/>
  <c r="D279" i="154"/>
  <c r="F279" i="154"/>
  <c r="H279" i="154"/>
  <c r="D280" i="154"/>
  <c r="F280" i="154"/>
  <c r="H280" i="154"/>
  <c r="D59" i="159"/>
  <c r="E59" i="159"/>
  <c r="F59" i="159"/>
  <c r="G59" i="159"/>
  <c r="H59" i="159"/>
  <c r="I59" i="159"/>
  <c r="J59" i="159"/>
  <c r="K59" i="159"/>
  <c r="L59" i="159"/>
  <c r="M59" i="159"/>
  <c r="N59" i="159"/>
  <c r="C59" i="159"/>
  <c r="D23" i="159"/>
  <c r="E23" i="159"/>
  <c r="E25" i="159" s="1"/>
  <c r="F23" i="159"/>
  <c r="G23" i="159"/>
  <c r="G25" i="159" s="1"/>
  <c r="H23" i="159"/>
  <c r="I23" i="159"/>
  <c r="I25" i="159" s="1"/>
  <c r="J23" i="159"/>
  <c r="K23" i="159"/>
  <c r="K25" i="159" s="1"/>
  <c r="L23" i="159"/>
  <c r="M23" i="159"/>
  <c r="M25" i="159" s="1"/>
  <c r="N23" i="159"/>
  <c r="C23" i="159"/>
  <c r="C25" i="159" s="1"/>
  <c r="AB41" i="159"/>
  <c r="AC42" i="159"/>
  <c r="AM42" i="159"/>
  <c r="AL42" i="159"/>
  <c r="AK42" i="159"/>
  <c r="AJ42" i="159"/>
  <c r="AI42" i="159"/>
  <c r="AH42" i="159"/>
  <c r="AG42" i="159"/>
  <c r="AF42" i="159"/>
  <c r="AE42" i="159"/>
  <c r="AD42" i="159"/>
  <c r="AB42" i="159"/>
  <c r="O20" i="159"/>
  <c r="AC41" i="159"/>
  <c r="AD41" i="159"/>
  <c r="AE41" i="159"/>
  <c r="AF41" i="159"/>
  <c r="AG41" i="159"/>
  <c r="AH41" i="159"/>
  <c r="AI41" i="159"/>
  <c r="AJ41" i="159"/>
  <c r="AK41" i="159"/>
  <c r="AL41" i="159"/>
  <c r="AM41" i="159"/>
  <c r="D19" i="159"/>
  <c r="D21" i="159" s="1"/>
  <c r="E19" i="159"/>
  <c r="E21" i="159" s="1"/>
  <c r="F19" i="159"/>
  <c r="G19" i="159"/>
  <c r="G21" i="159" s="1"/>
  <c r="H19" i="159"/>
  <c r="H21" i="159" s="1"/>
  <c r="I19" i="159"/>
  <c r="I21" i="159" s="1"/>
  <c r="J19" i="159"/>
  <c r="K19" i="159"/>
  <c r="K21" i="159" s="1"/>
  <c r="L19" i="159"/>
  <c r="L21" i="159" s="1"/>
  <c r="M19" i="159"/>
  <c r="M21" i="159" s="1"/>
  <c r="N19" i="159"/>
  <c r="S28" i="159"/>
  <c r="D28" i="159" s="1"/>
  <c r="I28" i="159"/>
  <c r="E28" i="159"/>
  <c r="D49" i="159"/>
  <c r="C49" i="159"/>
  <c r="N49" i="159"/>
  <c r="M49" i="159"/>
  <c r="L49" i="159"/>
  <c r="K49" i="159"/>
  <c r="J49" i="159"/>
  <c r="I49" i="159"/>
  <c r="H49" i="159"/>
  <c r="G49" i="159"/>
  <c r="F49" i="159"/>
  <c r="E49" i="159"/>
  <c r="O48" i="159"/>
  <c r="R48" i="159" s="1"/>
  <c r="O47" i="159"/>
  <c r="R47" i="159" s="1"/>
  <c r="O46" i="159"/>
  <c r="R46" i="159" s="1"/>
  <c r="O50" i="159"/>
  <c r="R50" i="159" s="1"/>
  <c r="O51" i="159"/>
  <c r="R51" i="159" s="1"/>
  <c r="O52" i="159"/>
  <c r="C53" i="159"/>
  <c r="D53" i="159"/>
  <c r="E53" i="159"/>
  <c r="F53" i="159"/>
  <c r="G53" i="159"/>
  <c r="H53" i="159"/>
  <c r="I53" i="159"/>
  <c r="J53" i="159"/>
  <c r="K53" i="159"/>
  <c r="L53" i="159"/>
  <c r="M53" i="159"/>
  <c r="N53" i="159"/>
  <c r="N27" i="159"/>
  <c r="M27" i="159"/>
  <c r="L27" i="159"/>
  <c r="K27" i="159"/>
  <c r="J27" i="159"/>
  <c r="I27" i="159"/>
  <c r="H27" i="159"/>
  <c r="G27" i="159"/>
  <c r="F27" i="159"/>
  <c r="E27" i="159"/>
  <c r="D27" i="159"/>
  <c r="F15" i="159"/>
  <c r="G15" i="159"/>
  <c r="N15" i="159"/>
  <c r="M15" i="159"/>
  <c r="L15" i="159"/>
  <c r="K15" i="159"/>
  <c r="J15" i="159"/>
  <c r="I15" i="159"/>
  <c r="H15" i="159"/>
  <c r="E15" i="159"/>
  <c r="D15" i="159"/>
  <c r="N11" i="159"/>
  <c r="M11" i="159"/>
  <c r="L11" i="159"/>
  <c r="K11" i="159"/>
  <c r="J11" i="159"/>
  <c r="I11" i="159"/>
  <c r="H11" i="159"/>
  <c r="G11" i="159"/>
  <c r="F11" i="159"/>
  <c r="E11" i="159"/>
  <c r="D11" i="159"/>
  <c r="C65" i="159"/>
  <c r="L7" i="159"/>
  <c r="N7" i="159"/>
  <c r="G7" i="159"/>
  <c r="N28" i="159"/>
  <c r="N29" i="159" s="1"/>
  <c r="S16" i="159"/>
  <c r="M16" i="159" s="1"/>
  <c r="S12" i="159"/>
  <c r="N12" i="159" s="1"/>
  <c r="S8" i="159"/>
  <c r="D8" i="159" s="1"/>
  <c r="O2" i="159"/>
  <c r="O3" i="159"/>
  <c r="O4" i="159"/>
  <c r="C5" i="159"/>
  <c r="D5" i="159"/>
  <c r="E5" i="159"/>
  <c r="F5" i="159"/>
  <c r="G5" i="159"/>
  <c r="H5" i="159"/>
  <c r="I5" i="159"/>
  <c r="J5" i="159"/>
  <c r="K5" i="159"/>
  <c r="L5" i="159"/>
  <c r="M5" i="159"/>
  <c r="N5" i="159"/>
  <c r="O6" i="159"/>
  <c r="O10" i="159"/>
  <c r="C13" i="159"/>
  <c r="O14" i="159"/>
  <c r="C17" i="159"/>
  <c r="O18" i="159"/>
  <c r="C21" i="159"/>
  <c r="F21" i="159"/>
  <c r="J21" i="159"/>
  <c r="N21" i="159"/>
  <c r="O22" i="159"/>
  <c r="O24" i="159"/>
  <c r="D25" i="159"/>
  <c r="F25" i="159"/>
  <c r="H25" i="159"/>
  <c r="J25" i="159"/>
  <c r="L25" i="159"/>
  <c r="N25" i="159"/>
  <c r="O26" i="159"/>
  <c r="C29" i="159"/>
  <c r="O30" i="159"/>
  <c r="O31" i="159"/>
  <c r="O32" i="159"/>
  <c r="C33" i="159"/>
  <c r="D33" i="159"/>
  <c r="E33" i="159"/>
  <c r="F33" i="159"/>
  <c r="G33" i="159"/>
  <c r="H33" i="159"/>
  <c r="I33" i="159"/>
  <c r="J33" i="159"/>
  <c r="K33" i="159"/>
  <c r="L33" i="159"/>
  <c r="M33" i="159"/>
  <c r="N33" i="159"/>
  <c r="O34" i="159"/>
  <c r="O35" i="159"/>
  <c r="O36" i="159"/>
  <c r="C37" i="159"/>
  <c r="D37" i="159"/>
  <c r="E37" i="159"/>
  <c r="F37" i="159"/>
  <c r="G37" i="159"/>
  <c r="H37" i="159"/>
  <c r="I37" i="159"/>
  <c r="J37" i="159"/>
  <c r="K37" i="159"/>
  <c r="L37" i="159"/>
  <c r="M37" i="159"/>
  <c r="N37" i="159"/>
  <c r="O37" i="159" s="1"/>
  <c r="O38" i="159"/>
  <c r="O39" i="159"/>
  <c r="O40" i="159"/>
  <c r="C41" i="159"/>
  <c r="D41" i="159"/>
  <c r="E41" i="159"/>
  <c r="F41" i="159"/>
  <c r="G41" i="159"/>
  <c r="H41" i="159"/>
  <c r="I41" i="159"/>
  <c r="J41" i="159"/>
  <c r="K41" i="159"/>
  <c r="L41" i="159"/>
  <c r="M41" i="159"/>
  <c r="N41" i="159"/>
  <c r="O42" i="159"/>
  <c r="O43" i="159"/>
  <c r="O44" i="159"/>
  <c r="C45" i="159"/>
  <c r="D45" i="159"/>
  <c r="E45" i="159"/>
  <c r="F45" i="159"/>
  <c r="G45" i="159"/>
  <c r="H45" i="159"/>
  <c r="I45" i="159"/>
  <c r="J45" i="159"/>
  <c r="K45" i="159"/>
  <c r="L45" i="159"/>
  <c r="M45" i="159"/>
  <c r="N45" i="159"/>
  <c r="O54" i="159"/>
  <c r="O55" i="159"/>
  <c r="C57" i="159"/>
  <c r="D57" i="159"/>
  <c r="E57" i="159"/>
  <c r="F57" i="159"/>
  <c r="G57" i="159"/>
  <c r="H57" i="159"/>
  <c r="I57" i="159"/>
  <c r="J57" i="159"/>
  <c r="K57" i="159"/>
  <c r="L57" i="159"/>
  <c r="M57" i="159"/>
  <c r="N57" i="159"/>
  <c r="O58" i="159"/>
  <c r="O59" i="159"/>
  <c r="O60" i="159"/>
  <c r="O61" i="159"/>
  <c r="O62" i="159"/>
  <c r="C63" i="159"/>
  <c r="D63" i="159"/>
  <c r="E63" i="159"/>
  <c r="F63" i="159"/>
  <c r="G63" i="159"/>
  <c r="H63" i="159"/>
  <c r="I63" i="159"/>
  <c r="J63" i="159"/>
  <c r="K63" i="159"/>
  <c r="L63" i="159"/>
  <c r="M63" i="159"/>
  <c r="N63" i="159"/>
  <c r="O64" i="159"/>
  <c r="O68" i="159"/>
  <c r="G28" i="159" l="1"/>
  <c r="K28" i="159"/>
  <c r="R299" i="154"/>
  <c r="S299" i="154" s="1"/>
  <c r="M301" i="154"/>
  <c r="M305" i="154"/>
  <c r="R305" i="154" s="1"/>
  <c r="S305" i="154" s="1"/>
  <c r="M309" i="154"/>
  <c r="Q305" i="154"/>
  <c r="L65" i="159"/>
  <c r="G65" i="159"/>
  <c r="N65" i="159"/>
  <c r="M28" i="159"/>
  <c r="K8" i="159"/>
  <c r="G8" i="159"/>
  <c r="M8" i="159"/>
  <c r="I8" i="159"/>
  <c r="E8" i="159"/>
  <c r="J7" i="159"/>
  <c r="J65" i="159" s="1"/>
  <c r="K307" i="154"/>
  <c r="O301" i="154"/>
  <c r="R301" i="154" s="1"/>
  <c r="S301" i="154" s="1"/>
  <c r="O309" i="154"/>
  <c r="R309" i="154" s="1"/>
  <c r="S309" i="154" s="1"/>
  <c r="O57" i="159"/>
  <c r="O45" i="159"/>
  <c r="F7" i="159"/>
  <c r="F65" i="159" s="1"/>
  <c r="E12" i="159"/>
  <c r="G12" i="159"/>
  <c r="I12" i="159"/>
  <c r="K12" i="159"/>
  <c r="M12" i="159"/>
  <c r="D12" i="159"/>
  <c r="O41" i="159"/>
  <c r="C9" i="159"/>
  <c r="M17" i="159"/>
  <c r="N8" i="159"/>
  <c r="L8" i="159"/>
  <c r="J8" i="159"/>
  <c r="H8" i="159"/>
  <c r="F8" i="159"/>
  <c r="H7" i="159"/>
  <c r="H65" i="159" s="1"/>
  <c r="E7" i="159"/>
  <c r="K7" i="159"/>
  <c r="I7" i="159"/>
  <c r="D7" i="159"/>
  <c r="D65" i="159" s="1"/>
  <c r="O27" i="159"/>
  <c r="F12" i="159"/>
  <c r="H12" i="159"/>
  <c r="J12" i="159"/>
  <c r="J13" i="159" s="1"/>
  <c r="L12" i="159"/>
  <c r="L13" i="159" s="1"/>
  <c r="O33" i="159"/>
  <c r="H13" i="159"/>
  <c r="N13" i="159"/>
  <c r="F13" i="159"/>
  <c r="O11" i="159"/>
  <c r="G13" i="159"/>
  <c r="K13" i="159"/>
  <c r="M300" i="154"/>
  <c r="M302" i="154"/>
  <c r="M304" i="154"/>
  <c r="M306" i="154"/>
  <c r="Q307" i="154"/>
  <c r="K304" i="154"/>
  <c r="K306" i="154"/>
  <c r="O303" i="154"/>
  <c r="R303" i="154" s="1"/>
  <c r="S303" i="154" s="1"/>
  <c r="O307" i="154"/>
  <c r="O300" i="154"/>
  <c r="O302" i="154"/>
  <c r="O304" i="154"/>
  <c r="O306" i="154"/>
  <c r="Q304" i="154"/>
  <c r="Q306" i="154"/>
  <c r="D13" i="159"/>
  <c r="O53" i="159"/>
  <c r="R52" i="159"/>
  <c r="G29" i="159"/>
  <c r="I29" i="159"/>
  <c r="K29" i="159"/>
  <c r="M29" i="159"/>
  <c r="D29" i="159"/>
  <c r="F28" i="159"/>
  <c r="F29" i="159" s="1"/>
  <c r="H28" i="159"/>
  <c r="H29" i="159" s="1"/>
  <c r="J28" i="159"/>
  <c r="J29" i="159" s="1"/>
  <c r="L28" i="159"/>
  <c r="L29" i="159" s="1"/>
  <c r="D16" i="159"/>
  <c r="F16" i="159"/>
  <c r="F17" i="159" s="1"/>
  <c r="H16" i="159"/>
  <c r="H17" i="159" s="1"/>
  <c r="J16" i="159"/>
  <c r="J17" i="159" s="1"/>
  <c r="L16" i="159"/>
  <c r="L17" i="159" s="1"/>
  <c r="N16" i="159"/>
  <c r="N17" i="159" s="1"/>
  <c r="E16" i="159"/>
  <c r="E17" i="159" s="1"/>
  <c r="G16" i="159"/>
  <c r="G17" i="159" s="1"/>
  <c r="I16" i="159"/>
  <c r="I17" i="159" s="1"/>
  <c r="K16" i="159"/>
  <c r="K17" i="159" s="1"/>
  <c r="O49" i="159"/>
  <c r="E29" i="159"/>
  <c r="E13" i="159"/>
  <c r="C67" i="159"/>
  <c r="C70" i="159" s="1"/>
  <c r="O63" i="159"/>
  <c r="O25" i="159"/>
  <c r="O21" i="159"/>
  <c r="O15" i="159"/>
  <c r="O23" i="159"/>
  <c r="O19" i="159"/>
  <c r="D17" i="159"/>
  <c r="F9" i="159"/>
  <c r="O5" i="159"/>
  <c r="D66" i="159" l="1"/>
  <c r="H66" i="159"/>
  <c r="L66" i="159"/>
  <c r="E66" i="159"/>
  <c r="M66" i="159"/>
  <c r="K66" i="159"/>
  <c r="F66" i="159"/>
  <c r="J66" i="159"/>
  <c r="N66" i="159"/>
  <c r="I66" i="159"/>
  <c r="G9" i="159"/>
  <c r="G66" i="159"/>
  <c r="R300" i="154"/>
  <c r="S300" i="154" s="1"/>
  <c r="R304" i="154"/>
  <c r="S304" i="154" s="1"/>
  <c r="R302" i="154"/>
  <c r="S302" i="154" s="1"/>
  <c r="R307" i="154"/>
  <c r="S307" i="154" s="1"/>
  <c r="R306" i="154"/>
  <c r="S306" i="154" s="1"/>
  <c r="K9" i="159"/>
  <c r="K65" i="159"/>
  <c r="E9" i="159"/>
  <c r="E65" i="159"/>
  <c r="E67" i="159" s="1"/>
  <c r="E70" i="159" s="1"/>
  <c r="F67" i="159"/>
  <c r="F70" i="159" s="1"/>
  <c r="J67" i="159"/>
  <c r="J70" i="159" s="1"/>
  <c r="I9" i="159"/>
  <c r="I65" i="159"/>
  <c r="M9" i="159"/>
  <c r="M65" i="159"/>
  <c r="M67" i="159" s="1"/>
  <c r="M70" i="159" s="1"/>
  <c r="H67" i="159"/>
  <c r="H70" i="159" s="1"/>
  <c r="L67" i="159"/>
  <c r="L70" i="159" s="1"/>
  <c r="D9" i="159"/>
  <c r="J9" i="159"/>
  <c r="O7" i="159"/>
  <c r="M13" i="159"/>
  <c r="I13" i="159"/>
  <c r="O12" i="159"/>
  <c r="O29" i="159"/>
  <c r="G67" i="159"/>
  <c r="G70" i="159" s="1"/>
  <c r="R49" i="159"/>
  <c r="R53" i="159"/>
  <c r="O28" i="159"/>
  <c r="O17" i="159"/>
  <c r="N67" i="159"/>
  <c r="N70" i="159" s="1"/>
  <c r="O16" i="159"/>
  <c r="L9" i="159"/>
  <c r="O8" i="159"/>
  <c r="H9" i="159"/>
  <c r="N9" i="159"/>
  <c r="P5" i="159"/>
  <c r="Q5" i="159" s="1"/>
  <c r="D67" i="159"/>
  <c r="O13" i="159" l="1"/>
  <c r="I67" i="159"/>
  <c r="I70" i="159" s="1"/>
  <c r="K67" i="159"/>
  <c r="K70" i="159" s="1"/>
  <c r="O65" i="159"/>
  <c r="R5" i="159"/>
  <c r="O66" i="159"/>
  <c r="O9" i="159"/>
  <c r="D70" i="159"/>
  <c r="O70" i="159" l="1"/>
  <c r="O67" i="159"/>
  <c r="Q67" i="159" s="1"/>
  <c r="Q68" i="159"/>
  <c r="R68" i="159"/>
  <c r="Q69" i="159"/>
  <c r="R69" i="159"/>
  <c r="R67" i="159" l="1"/>
  <c r="Q64" i="159"/>
  <c r="R64" i="159"/>
  <c r="Q65" i="159" l="1"/>
  <c r="R65" i="159"/>
  <c r="Q66" i="159" l="1"/>
  <c r="R66" i="159"/>
  <c r="Q70" i="159" l="1"/>
  <c r="R70" i="159"/>
  <c r="N163" i="123" l="1"/>
  <c r="N46" i="123"/>
  <c r="N47" i="123"/>
  <c r="N48" i="123"/>
  <c r="N49" i="123"/>
  <c r="N50" i="123"/>
  <c r="N51" i="123"/>
  <c r="N52" i="123"/>
  <c r="N53" i="123"/>
  <c r="N54" i="123"/>
  <c r="N55" i="123"/>
  <c r="N57" i="123"/>
  <c r="N58" i="123"/>
  <c r="N59" i="123"/>
  <c r="N60" i="123"/>
  <c r="N61" i="123"/>
  <c r="N62" i="123"/>
  <c r="N63" i="123"/>
  <c r="N64" i="123"/>
  <c r="N65" i="123"/>
  <c r="N67" i="123"/>
  <c r="N68" i="123"/>
  <c r="N69" i="123"/>
  <c r="N70" i="123"/>
  <c r="N71" i="123"/>
  <c r="N72" i="123"/>
  <c r="N73" i="123"/>
  <c r="N74" i="123"/>
  <c r="N75" i="123"/>
  <c r="N77" i="123"/>
  <c r="N78" i="123"/>
  <c r="N79" i="123"/>
  <c r="N80" i="123"/>
  <c r="N81" i="123"/>
  <c r="N82" i="123"/>
  <c r="N83" i="123"/>
  <c r="N84" i="123"/>
  <c r="N85" i="123"/>
  <c r="N86" i="123"/>
  <c r="N88" i="123"/>
  <c r="N89" i="123"/>
  <c r="N90" i="123"/>
  <c r="N91" i="123"/>
  <c r="N92" i="123"/>
  <c r="N93" i="123"/>
  <c r="N94" i="123"/>
  <c r="N95" i="123"/>
  <c r="N96" i="123"/>
  <c r="N97" i="123"/>
  <c r="N99" i="123"/>
  <c r="N100" i="123"/>
  <c r="N101" i="123"/>
  <c r="N102" i="123"/>
  <c r="N103" i="123"/>
  <c r="N104" i="123"/>
  <c r="N105" i="123"/>
  <c r="N106" i="123"/>
  <c r="N107" i="123"/>
  <c r="N108" i="123"/>
  <c r="N110" i="123"/>
  <c r="N111" i="123"/>
  <c r="N112" i="123"/>
  <c r="N113" i="123"/>
  <c r="N114" i="123"/>
  <c r="N115" i="123"/>
  <c r="N116" i="123"/>
  <c r="N117" i="123"/>
  <c r="N118" i="123"/>
  <c r="N119" i="123"/>
  <c r="N121" i="123"/>
  <c r="N122" i="123"/>
  <c r="N123" i="123"/>
  <c r="N124" i="123"/>
  <c r="N125" i="123"/>
  <c r="N126" i="123"/>
  <c r="N127" i="123"/>
  <c r="N128" i="123"/>
  <c r="N129" i="123"/>
  <c r="N130" i="123"/>
  <c r="N132" i="123"/>
  <c r="N133" i="123"/>
  <c r="N134" i="123"/>
  <c r="N135" i="123"/>
  <c r="N136" i="123"/>
  <c r="N137" i="123"/>
  <c r="N138" i="123"/>
  <c r="N139" i="123"/>
  <c r="N140" i="123"/>
  <c r="N141" i="123"/>
  <c r="N143" i="123"/>
  <c r="N144" i="123"/>
  <c r="N145" i="123"/>
  <c r="N146" i="123"/>
  <c r="N147" i="123"/>
  <c r="N148" i="123"/>
  <c r="N149" i="123"/>
  <c r="N150" i="123"/>
  <c r="N151" i="123"/>
  <c r="N152" i="123"/>
  <c r="N154" i="123"/>
  <c r="N155" i="123"/>
  <c r="N156" i="123"/>
  <c r="N157" i="123"/>
  <c r="N158" i="123"/>
  <c r="N159" i="123"/>
  <c r="N160" i="123"/>
  <c r="N161" i="123"/>
  <c r="N162" i="123"/>
  <c r="N165" i="123"/>
  <c r="N166" i="123"/>
  <c r="N167" i="123"/>
  <c r="N168" i="123"/>
  <c r="N169" i="123"/>
  <c r="N170" i="123"/>
  <c r="N171" i="123"/>
  <c r="N172" i="123"/>
  <c r="N173" i="123"/>
  <c r="N174" i="123"/>
  <c r="N176" i="123"/>
  <c r="N177" i="123"/>
  <c r="N178" i="123"/>
  <c r="N179" i="123"/>
  <c r="N180" i="123"/>
  <c r="N181" i="123"/>
  <c r="N182" i="123"/>
  <c r="N183" i="123"/>
  <c r="N184" i="123"/>
  <c r="N186" i="123"/>
  <c r="N187" i="123"/>
  <c r="N188" i="123"/>
  <c r="N189" i="123"/>
  <c r="N190" i="123"/>
  <c r="N191" i="123"/>
  <c r="N192" i="123"/>
  <c r="N193" i="123"/>
  <c r="N194" i="123"/>
  <c r="N196" i="123"/>
  <c r="N197" i="123"/>
  <c r="N198" i="123"/>
  <c r="N199" i="123"/>
  <c r="N200" i="123"/>
  <c r="N201" i="123"/>
  <c r="N202" i="123"/>
  <c r="N203" i="123"/>
  <c r="N204" i="123"/>
  <c r="N206" i="123"/>
  <c r="N207" i="123"/>
  <c r="N208" i="123"/>
  <c r="N209" i="123"/>
  <c r="N210" i="123"/>
  <c r="N211" i="123"/>
  <c r="N212" i="123"/>
  <c r="N213" i="123"/>
  <c r="N214" i="123"/>
  <c r="N216" i="123"/>
  <c r="N217" i="123"/>
  <c r="N218" i="123"/>
  <c r="N219" i="123"/>
  <c r="N220" i="123"/>
  <c r="N221" i="123"/>
  <c r="N222" i="123"/>
  <c r="N223" i="123"/>
  <c r="N224" i="123"/>
  <c r="N226" i="123"/>
  <c r="N227" i="123"/>
  <c r="N228" i="123"/>
  <c r="N229" i="123"/>
  <c r="N230" i="123"/>
  <c r="N231" i="123"/>
  <c r="N232" i="123"/>
  <c r="N233" i="123"/>
  <c r="N234" i="123"/>
  <c r="N236" i="123"/>
  <c r="N237" i="123"/>
  <c r="N238" i="123"/>
  <c r="N239" i="123"/>
  <c r="N240" i="123"/>
  <c r="N241" i="123"/>
  <c r="N242" i="123"/>
  <c r="N243" i="123"/>
  <c r="N244" i="123"/>
  <c r="N245" i="123"/>
  <c r="N246" i="123"/>
  <c r="N247" i="123"/>
  <c r="N248" i="123"/>
  <c r="N249" i="123"/>
  <c r="N250" i="123"/>
  <c r="N251" i="123"/>
  <c r="N252" i="123"/>
  <c r="N253" i="123"/>
  <c r="N254" i="123"/>
  <c r="N255" i="123"/>
  <c r="N256" i="123"/>
  <c r="N257" i="123"/>
  <c r="N258" i="123"/>
  <c r="N259" i="123"/>
  <c r="N260" i="123"/>
  <c r="N261" i="123"/>
  <c r="N262" i="123"/>
  <c r="N263" i="123"/>
  <c r="N264" i="123"/>
  <c r="N265" i="123"/>
  <c r="N266" i="123"/>
  <c r="N267" i="123"/>
  <c r="N268" i="123"/>
  <c r="N269" i="123"/>
  <c r="N270" i="123"/>
  <c r="N271" i="123"/>
  <c r="N272" i="123"/>
  <c r="N273" i="123"/>
  <c r="N274" i="123"/>
  <c r="N275" i="123"/>
  <c r="N276" i="123"/>
  <c r="N277" i="123"/>
  <c r="N278" i="123"/>
  <c r="N279" i="123"/>
  <c r="N280" i="123"/>
  <c r="N281" i="123"/>
  <c r="N282" i="123"/>
  <c r="N283" i="123"/>
  <c r="N284" i="123"/>
  <c r="N285" i="123"/>
  <c r="N286" i="123"/>
  <c r="N287" i="123"/>
  <c r="N288" i="123"/>
  <c r="N289" i="123"/>
  <c r="N290" i="123"/>
  <c r="N292" i="123"/>
  <c r="N293" i="123"/>
  <c r="N294" i="123"/>
  <c r="N295" i="123"/>
  <c r="N296" i="123"/>
  <c r="N297" i="123"/>
  <c r="N298" i="123"/>
  <c r="N299" i="123"/>
  <c r="N300" i="123"/>
  <c r="N301" i="123"/>
  <c r="N302" i="123"/>
  <c r="N304" i="123"/>
  <c r="N305" i="123"/>
  <c r="N306" i="123"/>
  <c r="N307" i="123"/>
  <c r="N308" i="123"/>
  <c r="N309" i="123"/>
  <c r="N310" i="123"/>
  <c r="N311" i="123"/>
  <c r="N312" i="123"/>
  <c r="N313" i="123"/>
  <c r="N315" i="123"/>
  <c r="N316" i="123"/>
  <c r="N317" i="123"/>
  <c r="N318" i="123"/>
  <c r="N319" i="123"/>
  <c r="N320" i="123"/>
  <c r="N321" i="123"/>
  <c r="N322" i="123"/>
  <c r="N323" i="123"/>
  <c r="N324" i="123"/>
  <c r="N333" i="123"/>
  <c r="N334" i="123"/>
  <c r="N335" i="123"/>
  <c r="N336" i="123"/>
  <c r="N337" i="123"/>
  <c r="N338" i="123"/>
  <c r="N339" i="123"/>
  <c r="N341" i="123"/>
  <c r="N342" i="123"/>
  <c r="N343" i="123"/>
  <c r="N344" i="123"/>
  <c r="N345" i="123"/>
  <c r="N346" i="123"/>
  <c r="N347" i="123"/>
  <c r="N348" i="123"/>
  <c r="N349" i="123"/>
  <c r="N350" i="123"/>
  <c r="N351" i="123"/>
  <c r="N353" i="123"/>
  <c r="N354" i="123"/>
  <c r="N355" i="123"/>
  <c r="N356" i="123"/>
  <c r="N357" i="123"/>
  <c r="N358" i="123"/>
  <c r="N359" i="123"/>
  <c r="N360" i="123"/>
  <c r="N361" i="123"/>
  <c r="N362" i="123"/>
  <c r="N363" i="123"/>
  <c r="N364" i="123"/>
  <c r="N365" i="123"/>
  <c r="N366" i="123"/>
  <c r="N367" i="123"/>
  <c r="N368" i="123"/>
  <c r="N369" i="123"/>
  <c r="N370" i="123"/>
  <c r="N371" i="123"/>
  <c r="N372" i="123"/>
  <c r="N373" i="123"/>
  <c r="N374" i="123"/>
  <c r="N375" i="123"/>
  <c r="N376" i="123"/>
  <c r="N377" i="123"/>
  <c r="N378" i="123"/>
  <c r="N379" i="123"/>
  <c r="N380" i="123"/>
  <c r="N381" i="123"/>
  <c r="N382" i="123"/>
  <c r="N383" i="123"/>
  <c r="N384" i="123"/>
  <c r="N385" i="123"/>
  <c r="N386" i="123"/>
  <c r="N387" i="123"/>
  <c r="N388" i="123"/>
  <c r="N389" i="123"/>
  <c r="N390" i="123"/>
  <c r="N391" i="123"/>
  <c r="N392" i="123"/>
  <c r="N393" i="123"/>
  <c r="N394" i="123"/>
  <c r="N395" i="123"/>
  <c r="N396" i="123"/>
  <c r="N397" i="123"/>
  <c r="N398" i="123"/>
  <c r="N399" i="123"/>
  <c r="N400" i="123"/>
  <c r="N401" i="123"/>
  <c r="N402" i="123"/>
  <c r="N403" i="123"/>
  <c r="N404" i="123"/>
  <c r="N405" i="123"/>
  <c r="N406" i="123"/>
  <c r="N407" i="123"/>
  <c r="N408" i="123"/>
  <c r="N409" i="123"/>
  <c r="N410" i="123"/>
  <c r="N411" i="123"/>
  <c r="N412" i="123"/>
  <c r="N413" i="123"/>
  <c r="N414" i="123"/>
  <c r="N415" i="123"/>
  <c r="N416" i="123"/>
  <c r="N417" i="123"/>
  <c r="N418" i="123"/>
  <c r="N419" i="123"/>
  <c r="N420" i="123"/>
  <c r="N421" i="123"/>
  <c r="N422" i="123"/>
  <c r="N423" i="123"/>
  <c r="N424" i="123"/>
  <c r="N425" i="123"/>
  <c r="N426" i="123"/>
  <c r="N427" i="123"/>
  <c r="N428" i="123"/>
  <c r="N429" i="123"/>
  <c r="N430" i="123"/>
  <c r="N431" i="123"/>
  <c r="N432" i="123"/>
  <c r="N433" i="123"/>
  <c r="N434" i="123"/>
  <c r="N435" i="123"/>
  <c r="N436" i="123"/>
  <c r="N437" i="123"/>
  <c r="N438" i="123"/>
  <c r="N439" i="123"/>
  <c r="N440" i="123"/>
  <c r="N441" i="123"/>
  <c r="N442" i="123"/>
  <c r="N443" i="123"/>
  <c r="N444" i="123"/>
  <c r="N445" i="123"/>
  <c r="N446" i="123"/>
  <c r="N447" i="123"/>
  <c r="N448" i="123"/>
  <c r="N449" i="123"/>
  <c r="N450" i="123"/>
  <c r="N451" i="123"/>
  <c r="N452" i="123"/>
  <c r="N453" i="123"/>
  <c r="N454" i="123"/>
  <c r="N455" i="123"/>
  <c r="N456" i="123"/>
  <c r="N457" i="123"/>
  <c r="N458" i="123"/>
  <c r="N459" i="123"/>
  <c r="N460" i="123"/>
  <c r="N461" i="123"/>
  <c r="N462" i="123"/>
  <c r="N463" i="123"/>
  <c r="N464" i="123"/>
  <c r="N465" i="123"/>
  <c r="N466" i="123"/>
  <c r="N467" i="123"/>
  <c r="N468" i="123"/>
  <c r="N469" i="123"/>
  <c r="N470" i="123"/>
  <c r="N471" i="123"/>
  <c r="N472" i="123"/>
  <c r="N473" i="123"/>
  <c r="N474" i="123"/>
  <c r="N475" i="123"/>
  <c r="N476" i="123"/>
  <c r="N477" i="123"/>
  <c r="N478" i="123"/>
  <c r="N479" i="123"/>
  <c r="N480" i="123"/>
  <c r="N481" i="123"/>
  <c r="N482" i="123"/>
  <c r="N483" i="123"/>
  <c r="N484" i="123"/>
  <c r="N485" i="123"/>
  <c r="N486" i="123"/>
  <c r="N487" i="123"/>
  <c r="N488" i="123"/>
  <c r="N489" i="123"/>
  <c r="N490" i="123"/>
  <c r="N491" i="123"/>
  <c r="N492" i="123"/>
  <c r="N493" i="123"/>
  <c r="N494" i="123"/>
  <c r="N495" i="123"/>
  <c r="N496" i="123"/>
  <c r="N497" i="123"/>
  <c r="N498" i="123"/>
  <c r="N499" i="123"/>
  <c r="N500" i="123"/>
  <c r="N501" i="123"/>
  <c r="N2" i="123"/>
  <c r="K2" i="123"/>
  <c r="O98" i="154"/>
  <c r="O99" i="154"/>
  <c r="O100" i="154"/>
  <c r="O101" i="154"/>
  <c r="O102" i="154"/>
  <c r="O103" i="154"/>
  <c r="O104" i="154"/>
  <c r="O105" i="154"/>
  <c r="D111" i="154"/>
  <c r="E111" i="154"/>
  <c r="F111" i="154"/>
  <c r="O24" i="154" l="1"/>
  <c r="O13" i="154" l="1"/>
  <c r="K283" i="123" l="1"/>
  <c r="Q279" i="123" l="1"/>
  <c r="E136" i="116" l="1"/>
  <c r="F136" i="116"/>
  <c r="G136" i="116"/>
  <c r="H136" i="116"/>
  <c r="I136" i="116"/>
  <c r="J136" i="116"/>
  <c r="K136" i="116"/>
  <c r="L136" i="116"/>
  <c r="M136" i="116"/>
  <c r="N136" i="116"/>
  <c r="O136" i="116"/>
  <c r="D136" i="116"/>
  <c r="G114" i="113"/>
  <c r="H114" i="113"/>
  <c r="I114" i="113"/>
  <c r="J114" i="113"/>
  <c r="K114" i="113"/>
  <c r="L114" i="113"/>
  <c r="M114" i="113"/>
  <c r="N114" i="113"/>
  <c r="O114" i="113"/>
  <c r="P114" i="113"/>
  <c r="Q114" i="113"/>
  <c r="G115" i="113"/>
  <c r="H115" i="113"/>
  <c r="I115" i="113"/>
  <c r="J115" i="113"/>
  <c r="K115" i="113"/>
  <c r="L115" i="113"/>
  <c r="M115" i="113"/>
  <c r="N115" i="113"/>
  <c r="O115" i="113"/>
  <c r="P115" i="113"/>
  <c r="Q115" i="113"/>
  <c r="G116" i="113"/>
  <c r="H116" i="113"/>
  <c r="I116" i="113"/>
  <c r="J116" i="113"/>
  <c r="K116" i="113"/>
  <c r="L116" i="113"/>
  <c r="M116" i="113"/>
  <c r="N116" i="113"/>
  <c r="O116" i="113"/>
  <c r="P116" i="113"/>
  <c r="Q116" i="113"/>
  <c r="G117" i="113"/>
  <c r="H117" i="113"/>
  <c r="I117" i="113"/>
  <c r="J117" i="113"/>
  <c r="K117" i="113"/>
  <c r="L117" i="113"/>
  <c r="M117" i="113"/>
  <c r="N117" i="113"/>
  <c r="O117" i="113"/>
  <c r="P117" i="113"/>
  <c r="Q117" i="113"/>
  <c r="F135" i="113"/>
  <c r="F115" i="113"/>
  <c r="F116" i="113"/>
  <c r="F117" i="113"/>
  <c r="F114" i="113"/>
  <c r="W115" i="113" l="1"/>
  <c r="P118" i="113"/>
  <c r="L118" i="113"/>
  <c r="H118" i="113"/>
  <c r="F118" i="113"/>
  <c r="W117" i="113"/>
  <c r="N118" i="113"/>
  <c r="J118" i="113"/>
  <c r="Q118" i="113"/>
  <c r="O118" i="113"/>
  <c r="M118" i="113"/>
  <c r="K118" i="113"/>
  <c r="I118" i="113"/>
  <c r="G118" i="113"/>
  <c r="W114" i="113"/>
  <c r="U136" i="116"/>
  <c r="W116" i="113"/>
  <c r="W118" i="113" l="1"/>
  <c r="M160" i="116" l="1"/>
  <c r="N160" i="116"/>
  <c r="O160" i="116"/>
  <c r="E60" i="116"/>
  <c r="F60" i="116"/>
  <c r="G60" i="116"/>
  <c r="H60" i="116"/>
  <c r="I60" i="116"/>
  <c r="J60" i="116"/>
  <c r="K60" i="116"/>
  <c r="L60" i="116"/>
  <c r="M60" i="116"/>
  <c r="N60" i="116"/>
  <c r="O60" i="116"/>
  <c r="E61" i="116"/>
  <c r="F61" i="116"/>
  <c r="G61" i="116"/>
  <c r="H61" i="116"/>
  <c r="I61" i="116"/>
  <c r="J61" i="116"/>
  <c r="K61" i="116"/>
  <c r="L61" i="116"/>
  <c r="M61" i="116"/>
  <c r="N61" i="116"/>
  <c r="O61" i="116"/>
  <c r="E62" i="116"/>
  <c r="F62" i="116"/>
  <c r="G62" i="116"/>
  <c r="H62" i="116"/>
  <c r="I62" i="116"/>
  <c r="J62" i="116"/>
  <c r="K62" i="116"/>
  <c r="L62" i="116"/>
  <c r="M62" i="116"/>
  <c r="N62" i="116"/>
  <c r="O62" i="116"/>
  <c r="E63" i="116"/>
  <c r="F63" i="116"/>
  <c r="G63" i="116"/>
  <c r="H63" i="116"/>
  <c r="I63" i="116"/>
  <c r="J63" i="116"/>
  <c r="K63" i="116"/>
  <c r="L63" i="116"/>
  <c r="M63" i="116"/>
  <c r="N63" i="116"/>
  <c r="O63" i="116"/>
  <c r="D61" i="116"/>
  <c r="D62" i="116"/>
  <c r="D63" i="116"/>
  <c r="D60" i="116"/>
  <c r="G134" i="113"/>
  <c r="H134" i="113"/>
  <c r="I134" i="113"/>
  <c r="J134" i="113"/>
  <c r="K134" i="113"/>
  <c r="L134" i="113"/>
  <c r="M134" i="113"/>
  <c r="N134" i="113"/>
  <c r="O134" i="113"/>
  <c r="P134" i="113"/>
  <c r="Q134" i="113"/>
  <c r="G135" i="113"/>
  <c r="H135" i="113"/>
  <c r="I135" i="113"/>
  <c r="J135" i="113"/>
  <c r="K135" i="113"/>
  <c r="L135" i="113"/>
  <c r="M135" i="113"/>
  <c r="N135" i="113"/>
  <c r="O135" i="113"/>
  <c r="P135" i="113"/>
  <c r="Q135" i="113"/>
  <c r="G136" i="113"/>
  <c r="H136" i="113"/>
  <c r="I136" i="113"/>
  <c r="J136" i="113"/>
  <c r="K136" i="113"/>
  <c r="L136" i="113"/>
  <c r="M136" i="113"/>
  <c r="N136" i="113"/>
  <c r="O136" i="113"/>
  <c r="P136" i="113"/>
  <c r="Q136" i="113"/>
  <c r="G137" i="113"/>
  <c r="H137" i="113"/>
  <c r="I137" i="113"/>
  <c r="J137" i="113"/>
  <c r="K137" i="113"/>
  <c r="L137" i="113"/>
  <c r="M137" i="113"/>
  <c r="N137" i="113"/>
  <c r="O137" i="113"/>
  <c r="P137" i="113"/>
  <c r="Q137" i="113"/>
  <c r="G138" i="113"/>
  <c r="H138" i="113"/>
  <c r="I138" i="113"/>
  <c r="J138" i="113"/>
  <c r="K138" i="113"/>
  <c r="L138" i="113"/>
  <c r="M138" i="113"/>
  <c r="N138" i="113"/>
  <c r="O138" i="113"/>
  <c r="P138" i="113"/>
  <c r="Q138" i="113"/>
  <c r="F136" i="113"/>
  <c r="F137" i="113"/>
  <c r="F134" i="113"/>
  <c r="U63" i="116" l="1"/>
  <c r="O65" i="116"/>
  <c r="M65" i="116"/>
  <c r="N65" i="116"/>
  <c r="U60" i="116"/>
  <c r="V66" i="116" s="1"/>
  <c r="T66" i="116" s="1"/>
  <c r="U62" i="116"/>
  <c r="U61" i="116"/>
  <c r="Q58" i="113"/>
  <c r="P58" i="113"/>
  <c r="O58" i="113"/>
  <c r="N58" i="113"/>
  <c r="M58" i="113"/>
  <c r="L58" i="113"/>
  <c r="K58" i="113"/>
  <c r="J58" i="113"/>
  <c r="I58" i="113"/>
  <c r="H58" i="113"/>
  <c r="G58" i="113"/>
  <c r="F58" i="113"/>
  <c r="W57" i="113"/>
  <c r="W56" i="113"/>
  <c r="W55" i="113"/>
  <c r="W54" i="113"/>
  <c r="Z185" i="9"/>
  <c r="Y185" i="9"/>
  <c r="X185" i="9"/>
  <c r="W185" i="9"/>
  <c r="V185" i="9"/>
  <c r="U185" i="9"/>
  <c r="T185" i="9"/>
  <c r="S185" i="9"/>
  <c r="R185" i="9"/>
  <c r="Q185" i="9"/>
  <c r="P185" i="9"/>
  <c r="O185" i="9"/>
  <c r="N185" i="9"/>
  <c r="M185" i="9"/>
  <c r="L185" i="9"/>
  <c r="K185" i="9"/>
  <c r="J185" i="9"/>
  <c r="I185" i="9"/>
  <c r="H185" i="9"/>
  <c r="G185" i="9"/>
  <c r="F185" i="9"/>
  <c r="E185" i="9"/>
  <c r="D185" i="9"/>
  <c r="C185" i="9"/>
  <c r="B174" i="9"/>
  <c r="B12" i="9"/>
  <c r="B52" i="9"/>
  <c r="B92" i="9"/>
  <c r="B133" i="9"/>
  <c r="B215" i="9"/>
  <c r="B255" i="9"/>
  <c r="B296" i="9"/>
  <c r="B338" i="9"/>
  <c r="B379" i="9"/>
  <c r="B421" i="9"/>
  <c r="B544" i="9"/>
  <c r="D46" i="53"/>
  <c r="F61" i="113"/>
  <c r="F62" i="113"/>
  <c r="F60" i="113"/>
  <c r="F59" i="113"/>
  <c r="X59" i="113" l="1"/>
  <c r="V59" i="113" s="1"/>
  <c r="D67" i="116"/>
  <c r="D70" i="116" s="1"/>
  <c r="D64" i="116"/>
  <c r="D69" i="116"/>
  <c r="D66" i="116"/>
  <c r="D68" i="116"/>
  <c r="W58" i="113"/>
  <c r="F63" i="113"/>
  <c r="R2" i="133"/>
  <c r="D2" i="60"/>
  <c r="AA93" i="1"/>
  <c r="AA96" i="1"/>
  <c r="AA25" i="1"/>
  <c r="AA95" i="1"/>
  <c r="AA92" i="1"/>
  <c r="AA24" i="1"/>
  <c r="AA94" i="1"/>
  <c r="AA23" i="1"/>
  <c r="D3" i="60" l="1"/>
  <c r="E2" i="60"/>
  <c r="D71" i="116"/>
  <c r="D65" i="116"/>
  <c r="AA44" i="1"/>
  <c r="AA97" i="1"/>
  <c r="D24" i="60"/>
  <c r="E24" i="60"/>
  <c r="E3" i="60" l="1"/>
  <c r="F2" i="60"/>
  <c r="AA252" i="1"/>
  <c r="F24" i="60"/>
  <c r="G2" i="60" l="1"/>
  <c r="F3" i="60"/>
  <c r="G16" i="60"/>
  <c r="G24" i="60"/>
  <c r="H2" i="60" l="1"/>
  <c r="H24" i="60"/>
  <c r="I2" i="60" l="1"/>
  <c r="H3" i="60"/>
  <c r="I24" i="60"/>
  <c r="J2" i="60" l="1"/>
  <c r="I3" i="60"/>
  <c r="J682" i="136"/>
  <c r="J24" i="60"/>
  <c r="K2" i="60" l="1"/>
  <c r="J3" i="60"/>
  <c r="K24" i="60"/>
  <c r="L2" i="60" l="1"/>
  <c r="K3" i="60"/>
  <c r="G2" i="156"/>
  <c r="W3" i="156"/>
  <c r="W4" i="156"/>
  <c r="W5" i="156"/>
  <c r="W6" i="156"/>
  <c r="W7" i="156"/>
  <c r="F8" i="156"/>
  <c r="G8" i="156"/>
  <c r="H8" i="156"/>
  <c r="I8" i="156"/>
  <c r="J8" i="156"/>
  <c r="K8" i="156"/>
  <c r="L8" i="156"/>
  <c r="M8" i="156"/>
  <c r="N8" i="156"/>
  <c r="O8" i="156"/>
  <c r="P8" i="156"/>
  <c r="Q8" i="156"/>
  <c r="W9" i="156"/>
  <c r="W10" i="156"/>
  <c r="W11" i="156"/>
  <c r="W12" i="156"/>
  <c r="F13" i="156"/>
  <c r="F15" i="156" s="1"/>
  <c r="J157" i="113" s="1"/>
  <c r="G13" i="156"/>
  <c r="G15" i="156" s="1"/>
  <c r="K157" i="113" s="1"/>
  <c r="H13" i="156"/>
  <c r="H15" i="156" s="1"/>
  <c r="W16" i="156"/>
  <c r="W17" i="156"/>
  <c r="W18" i="156"/>
  <c r="W19" i="156"/>
  <c r="F20" i="156"/>
  <c r="F22" i="156" s="1"/>
  <c r="J159" i="113" s="1"/>
  <c r="G20" i="156"/>
  <c r="G22" i="156" s="1"/>
  <c r="K159" i="113" s="1"/>
  <c r="H20" i="156"/>
  <c r="H22" i="156" s="1"/>
  <c r="W23" i="156"/>
  <c r="W24" i="156"/>
  <c r="W25" i="156"/>
  <c r="W26" i="156"/>
  <c r="F27" i="156"/>
  <c r="F29" i="156" s="1"/>
  <c r="J161" i="113" s="1"/>
  <c r="G27" i="156"/>
  <c r="G29" i="156" s="1"/>
  <c r="K161" i="113" s="1"/>
  <c r="H27" i="156"/>
  <c r="H29" i="156" s="1"/>
  <c r="W30" i="156"/>
  <c r="W31" i="156"/>
  <c r="W32" i="156"/>
  <c r="W33" i="156"/>
  <c r="F34" i="156"/>
  <c r="F36" i="156" s="1"/>
  <c r="J163" i="113" s="1"/>
  <c r="G34" i="156"/>
  <c r="G36" i="156" s="1"/>
  <c r="K163" i="113" s="1"/>
  <c r="H34" i="156"/>
  <c r="H36" i="156" s="1"/>
  <c r="W37" i="156"/>
  <c r="W38" i="156"/>
  <c r="W39" i="156"/>
  <c r="D63" i="169" s="1"/>
  <c r="W40" i="156"/>
  <c r="F41" i="156"/>
  <c r="F43" i="156" s="1"/>
  <c r="J165" i="113" s="1"/>
  <c r="G41" i="156"/>
  <c r="G43" i="156" s="1"/>
  <c r="K165" i="113" s="1"/>
  <c r="H41" i="156"/>
  <c r="H43" i="156" s="1"/>
  <c r="W44" i="156"/>
  <c r="W45" i="156"/>
  <c r="W46" i="156"/>
  <c r="W47" i="156"/>
  <c r="F48" i="156"/>
  <c r="F50" i="156" s="1"/>
  <c r="J167" i="113" s="1"/>
  <c r="G48" i="156"/>
  <c r="G50" i="156" s="1"/>
  <c r="K167" i="113" s="1"/>
  <c r="H48" i="156"/>
  <c r="W53" i="156"/>
  <c r="W54" i="156"/>
  <c r="F55" i="156"/>
  <c r="F57" i="156" s="1"/>
  <c r="J169" i="113" s="1"/>
  <c r="G55" i="156"/>
  <c r="G57" i="156" s="1"/>
  <c r="K169" i="113" s="1"/>
  <c r="H55" i="156"/>
  <c r="H57" i="156" s="1"/>
  <c r="W60" i="156"/>
  <c r="W61" i="156"/>
  <c r="F62" i="156"/>
  <c r="F64" i="156" s="1"/>
  <c r="J171" i="113" s="1"/>
  <c r="G62" i="156"/>
  <c r="G64" i="156" s="1"/>
  <c r="K171" i="113" s="1"/>
  <c r="H62" i="156"/>
  <c r="H64" i="156" s="1"/>
  <c r="W65" i="156"/>
  <c r="W66" i="156"/>
  <c r="W67" i="156"/>
  <c r="W68" i="156"/>
  <c r="F69" i="156"/>
  <c r="F71" i="156" s="1"/>
  <c r="J173" i="113" s="1"/>
  <c r="G69" i="156"/>
  <c r="G71" i="156" s="1"/>
  <c r="K173" i="113" s="1"/>
  <c r="H69" i="156"/>
  <c r="H71" i="156" s="1"/>
  <c r="W73" i="156"/>
  <c r="W74" i="156"/>
  <c r="W75" i="156"/>
  <c r="F76" i="156"/>
  <c r="F78" i="156" s="1"/>
  <c r="J175" i="113" s="1"/>
  <c r="G76" i="156"/>
  <c r="G78" i="156" s="1"/>
  <c r="K175" i="113" s="1"/>
  <c r="H76" i="156"/>
  <c r="H78" i="156" s="1"/>
  <c r="W93" i="156"/>
  <c r="W94" i="156"/>
  <c r="W95" i="156"/>
  <c r="W96" i="156"/>
  <c r="F97" i="156"/>
  <c r="F99" i="156" s="1"/>
  <c r="J179" i="113" s="1"/>
  <c r="G97" i="156"/>
  <c r="G99" i="156" s="1"/>
  <c r="K179" i="113" s="1"/>
  <c r="H97" i="156"/>
  <c r="H99" i="156" s="1"/>
  <c r="I97" i="156"/>
  <c r="I99" i="156" s="1"/>
  <c r="J97" i="156"/>
  <c r="J99" i="156" s="1"/>
  <c r="K97" i="156"/>
  <c r="K99" i="156" s="1"/>
  <c r="L97" i="156"/>
  <c r="L99" i="156" s="1"/>
  <c r="M97" i="156"/>
  <c r="M99" i="156" s="1"/>
  <c r="N97" i="156"/>
  <c r="N99" i="156" s="1"/>
  <c r="O97" i="156"/>
  <c r="O99" i="156" s="1"/>
  <c r="P97" i="156"/>
  <c r="P99" i="156" s="1"/>
  <c r="Q97" i="156"/>
  <c r="Q99" i="156" s="1"/>
  <c r="F105" i="156"/>
  <c r="F107" i="156" s="1"/>
  <c r="G105" i="156"/>
  <c r="G107" i="156" s="1"/>
  <c r="H105" i="156"/>
  <c r="I105" i="156"/>
  <c r="J105" i="156"/>
  <c r="K105" i="156"/>
  <c r="L105" i="156"/>
  <c r="M105" i="156"/>
  <c r="N105" i="156"/>
  <c r="O105" i="156"/>
  <c r="P105" i="156"/>
  <c r="Q105" i="156"/>
  <c r="W108" i="156"/>
  <c r="W109" i="156"/>
  <c r="W111" i="156"/>
  <c r="L24" i="60"/>
  <c r="F217" i="174" l="1"/>
  <c r="K177" i="113"/>
  <c r="F211" i="174"/>
  <c r="F207" i="174"/>
  <c r="F203" i="174"/>
  <c r="F199" i="174"/>
  <c r="F219" i="174"/>
  <c r="F215" i="174"/>
  <c r="J177" i="113"/>
  <c r="F205" i="174"/>
  <c r="F201" i="174"/>
  <c r="M2" i="60"/>
  <c r="L3" i="60"/>
  <c r="W99" i="156"/>
  <c r="W57" i="156"/>
  <c r="H50" i="156"/>
  <c r="D47" i="163"/>
  <c r="D81" i="163" s="1"/>
  <c r="W43" i="156"/>
  <c r="W36" i="156"/>
  <c r="W29" i="156"/>
  <c r="W22" i="156"/>
  <c r="W15" i="156"/>
  <c r="D60" i="169"/>
  <c r="D65" i="169"/>
  <c r="D64" i="169"/>
  <c r="D62" i="169"/>
  <c r="D61" i="169"/>
  <c r="D59" i="169"/>
  <c r="D58" i="169"/>
  <c r="D68" i="169"/>
  <c r="D67" i="169"/>
  <c r="D66" i="169"/>
  <c r="H2" i="156"/>
  <c r="K131" i="156"/>
  <c r="D171" i="169"/>
  <c r="K35" i="163"/>
  <c r="K34" i="163"/>
  <c r="K132" i="156"/>
  <c r="K206" i="165"/>
  <c r="J131" i="156"/>
  <c r="J130" i="156"/>
  <c r="K137" i="156"/>
  <c r="K211" i="165"/>
  <c r="J132" i="156"/>
  <c r="K130" i="156"/>
  <c r="K204" i="165"/>
  <c r="J203" i="165"/>
  <c r="J211" i="165"/>
  <c r="J201" i="165"/>
  <c r="J199" i="165"/>
  <c r="K205" i="165"/>
  <c r="J207" i="165"/>
  <c r="J205" i="165"/>
  <c r="J195" i="165"/>
  <c r="J193" i="165"/>
  <c r="J191" i="165"/>
  <c r="W55" i="156"/>
  <c r="W27" i="156"/>
  <c r="W41" i="156"/>
  <c r="W34" i="156"/>
  <c r="W48" i="156"/>
  <c r="W20" i="156"/>
  <c r="W105" i="156"/>
  <c r="W97" i="156"/>
  <c r="W13" i="156"/>
  <c r="W8" i="156"/>
  <c r="J116" i="156"/>
  <c r="W72" i="156"/>
  <c r="AB1" i="53"/>
  <c r="Y3" i="41"/>
  <c r="Z3" i="5"/>
  <c r="M24" i="60"/>
  <c r="AB8" i="53"/>
  <c r="Z16" i="5"/>
  <c r="Y16" i="41"/>
  <c r="Y9" i="41"/>
  <c r="D69" i="169" l="1"/>
  <c r="F223" i="174"/>
  <c r="W50" i="156"/>
  <c r="F209" i="174"/>
  <c r="F93" i="176"/>
  <c r="M200" i="174" a="1"/>
  <c r="M200" i="174" s="1"/>
  <c r="M94" i="176" s="1"/>
  <c r="F97" i="176"/>
  <c r="M204" i="174" a="1"/>
  <c r="M204" i="174" s="1"/>
  <c r="M98" i="176" s="1"/>
  <c r="F101" i="176"/>
  <c r="M208" i="174" a="1"/>
  <c r="M208" i="174" s="1"/>
  <c r="M102" i="176" s="1"/>
  <c r="F105" i="176"/>
  <c r="M212" i="174" a="1"/>
  <c r="M212" i="174" s="1"/>
  <c r="M106" i="176" s="1"/>
  <c r="F111" i="176"/>
  <c r="M218" i="174" a="1"/>
  <c r="M218" i="174" s="1"/>
  <c r="M112" i="176" s="1"/>
  <c r="N2" i="60"/>
  <c r="M3" i="60"/>
  <c r="F95" i="176"/>
  <c r="M202" i="174" a="1"/>
  <c r="M202" i="174" s="1"/>
  <c r="M96" i="176" s="1"/>
  <c r="F99" i="176"/>
  <c r="M206" i="174" a="1"/>
  <c r="M206" i="174" s="1"/>
  <c r="M100" i="176" s="1"/>
  <c r="F109" i="176"/>
  <c r="M216" i="174" a="1"/>
  <c r="M216" i="174" s="1"/>
  <c r="M110" i="176" s="1"/>
  <c r="F113" i="176"/>
  <c r="M220" i="174" a="1"/>
  <c r="M220" i="174" s="1"/>
  <c r="M114" i="176" s="1"/>
  <c r="L237" i="174" a="1"/>
  <c r="L237" i="174" s="1"/>
  <c r="L131" i="176" s="1"/>
  <c r="D48" i="163"/>
  <c r="D82" i="163" s="1"/>
  <c r="H107" i="156"/>
  <c r="D54" i="163"/>
  <c r="D88" i="163" s="1"/>
  <c r="N107" i="156"/>
  <c r="D49" i="163"/>
  <c r="D83" i="163" s="1"/>
  <c r="I107" i="156"/>
  <c r="I110" i="156" s="1"/>
  <c r="D53" i="163"/>
  <c r="D87" i="163" s="1"/>
  <c r="M107" i="156"/>
  <c r="M110" i="156" s="1"/>
  <c r="D57" i="163"/>
  <c r="D91" i="163" s="1"/>
  <c r="Q107" i="156"/>
  <c r="D56" i="163"/>
  <c r="D90" i="163" s="1"/>
  <c r="P107" i="156"/>
  <c r="P110" i="156" s="1"/>
  <c r="D50" i="163"/>
  <c r="D84" i="163" s="1"/>
  <c r="J107" i="156"/>
  <c r="J110" i="156" s="1"/>
  <c r="D51" i="163"/>
  <c r="D85" i="163" s="1"/>
  <c r="K107" i="156"/>
  <c r="K110" i="156" s="1"/>
  <c r="D55" i="163"/>
  <c r="D89" i="163" s="1"/>
  <c r="O107" i="156"/>
  <c r="O110" i="156" s="1"/>
  <c r="D52" i="163"/>
  <c r="D86" i="163" s="1"/>
  <c r="L107" i="156"/>
  <c r="L110" i="156" s="1"/>
  <c r="W62" i="156"/>
  <c r="W64" i="156"/>
  <c r="W76" i="156"/>
  <c r="W78" i="156"/>
  <c r="W69" i="156"/>
  <c r="W71" i="156"/>
  <c r="D80" i="163"/>
  <c r="Q110" i="156"/>
  <c r="T109" i="174"/>
  <c r="R52" i="174"/>
  <c r="S52" i="174" s="1"/>
  <c r="U52" i="174" s="1"/>
  <c r="W52" i="174" s="1"/>
  <c r="V52" i="174" s="1"/>
  <c r="K127" i="156"/>
  <c r="K125" i="156"/>
  <c r="K133" i="156"/>
  <c r="K129" i="156"/>
  <c r="I2" i="156"/>
  <c r="O17" i="169"/>
  <c r="J133" i="156"/>
  <c r="K199" i="165"/>
  <c r="K201" i="165"/>
  <c r="J129" i="156"/>
  <c r="K203" i="165"/>
  <c r="J209" i="165"/>
  <c r="F110" i="156"/>
  <c r="W102" i="156"/>
  <c r="H110" i="156"/>
  <c r="W103" i="156"/>
  <c r="G110" i="156"/>
  <c r="O223" i="154"/>
  <c r="O224" i="154"/>
  <c r="H281" i="154"/>
  <c r="F281" i="154"/>
  <c r="D281" i="154"/>
  <c r="N16" i="60"/>
  <c r="N24" i="60"/>
  <c r="AB48" i="53"/>
  <c r="Z4" i="5"/>
  <c r="AB47" i="53"/>
  <c r="AB104" i="53"/>
  <c r="Z9" i="5"/>
  <c r="AB103" i="53"/>
  <c r="Z20" i="5"/>
  <c r="AB101" i="53"/>
  <c r="AB45" i="53"/>
  <c r="AB43" i="53"/>
  <c r="AB99" i="53"/>
  <c r="AB42" i="53"/>
  <c r="AB98" i="53"/>
  <c r="AB100" i="53"/>
  <c r="AB44" i="53"/>
  <c r="O2" i="60" l="1"/>
  <c r="F117" i="176"/>
  <c r="M224" i="174" a="1"/>
  <c r="M224" i="174" s="1"/>
  <c r="F103" i="176"/>
  <c r="F107" i="176" s="1"/>
  <c r="F213" i="174"/>
  <c r="M210" i="174" a="1"/>
  <c r="M210" i="174" s="1"/>
  <c r="M104" i="176" s="1"/>
  <c r="L251" i="174" a="1"/>
  <c r="L251" i="174" s="1"/>
  <c r="L145" i="176" s="1"/>
  <c r="L247" i="174" a="1"/>
  <c r="L247" i="174" s="1"/>
  <c r="L141" i="176" s="1"/>
  <c r="L243" i="174" a="1"/>
  <c r="L243" i="174" s="1"/>
  <c r="L137" i="176" s="1"/>
  <c r="L241" i="174" a="1"/>
  <c r="L241" i="174" s="1"/>
  <c r="L235" i="174" a="1"/>
  <c r="L235" i="174" s="1"/>
  <c r="L129" i="176" s="1"/>
  <c r="L231" i="174" a="1"/>
  <c r="L231" i="174" s="1"/>
  <c r="L125" i="176" s="1"/>
  <c r="L249" i="174" a="1"/>
  <c r="L249" i="174" s="1"/>
  <c r="L143" i="176" s="1"/>
  <c r="L239" i="174" a="1"/>
  <c r="L239" i="174" s="1"/>
  <c r="L133" i="176" s="1"/>
  <c r="L233" i="174" a="1"/>
  <c r="L233" i="174" s="1"/>
  <c r="L127" i="176" s="1"/>
  <c r="D58" i="163"/>
  <c r="D92" i="163"/>
  <c r="T112" i="174"/>
  <c r="R109" i="174"/>
  <c r="S109" i="174" s="1"/>
  <c r="U109" i="174" s="1"/>
  <c r="W109" i="174" s="1"/>
  <c r="V109" i="174" s="1"/>
  <c r="F63" i="169"/>
  <c r="E63" i="169" s="1"/>
  <c r="F59" i="169"/>
  <c r="E59" i="169" s="1"/>
  <c r="F65" i="169"/>
  <c r="E65" i="169" s="1"/>
  <c r="F62" i="169"/>
  <c r="E62" i="169" s="1"/>
  <c r="F60" i="169"/>
  <c r="E60" i="169" s="1"/>
  <c r="F64" i="169"/>
  <c r="E64" i="169" s="1"/>
  <c r="F61" i="169"/>
  <c r="E61" i="169" s="1"/>
  <c r="F66" i="169"/>
  <c r="E66" i="169" s="1"/>
  <c r="K135" i="156"/>
  <c r="J2" i="156"/>
  <c r="F68" i="169"/>
  <c r="E68" i="169" s="1"/>
  <c r="F67" i="169"/>
  <c r="E67" i="169" s="1"/>
  <c r="AB102" i="53"/>
  <c r="AB105" i="53" s="1"/>
  <c r="K123" i="156"/>
  <c r="K197" i="165"/>
  <c r="K117" i="156"/>
  <c r="K191" i="165"/>
  <c r="K115" i="156"/>
  <c r="K189" i="165"/>
  <c r="J127" i="156"/>
  <c r="K121" i="156"/>
  <c r="K195" i="165"/>
  <c r="J137" i="156"/>
  <c r="J119" i="156"/>
  <c r="K209" i="165"/>
  <c r="K207" i="165"/>
  <c r="AB46" i="53"/>
  <c r="AB49" i="53" s="1"/>
  <c r="W107" i="156"/>
  <c r="W101" i="156"/>
  <c r="O24" i="60"/>
  <c r="L135" i="176" l="1"/>
  <c r="L151" i="176" s="1"/>
  <c r="L257" i="174"/>
  <c r="M108" i="176" a="1"/>
  <c r="M108" i="176" s="1"/>
  <c r="M214" i="174" a="1"/>
  <c r="M214" i="174" s="1"/>
  <c r="M226" i="174" s="1"/>
  <c r="L213" i="174" a="1"/>
  <c r="L213" i="174" s="1"/>
  <c r="L107" i="176" s="1"/>
  <c r="P2" i="60"/>
  <c r="O3" i="60"/>
  <c r="M118" i="176"/>
  <c r="L255" i="174" a="1"/>
  <c r="L255" i="174" s="1"/>
  <c r="L149" i="176" s="1"/>
  <c r="R58" i="174"/>
  <c r="S58" i="174" s="1"/>
  <c r="U58" i="174" s="1"/>
  <c r="W58" i="174" s="1"/>
  <c r="V58" i="174" s="1"/>
  <c r="R112" i="174"/>
  <c r="S112" i="174" s="1"/>
  <c r="U112" i="174" s="1"/>
  <c r="W112" i="174" s="1"/>
  <c r="H30" i="169"/>
  <c r="G47" i="163"/>
  <c r="F58" i="169"/>
  <c r="F69" i="169" s="1"/>
  <c r="C69" i="169"/>
  <c r="K2" i="156"/>
  <c r="G64" i="163"/>
  <c r="G65" i="163"/>
  <c r="G48" i="163"/>
  <c r="J121" i="156"/>
  <c r="K119" i="156"/>
  <c r="K193" i="165"/>
  <c r="J125" i="156"/>
  <c r="J115" i="156"/>
  <c r="J189" i="165"/>
  <c r="J123" i="156"/>
  <c r="J117" i="156"/>
  <c r="J135" i="156"/>
  <c r="N110" i="156"/>
  <c r="W110" i="156" s="1"/>
  <c r="Q141" i="113"/>
  <c r="Q140" i="113"/>
  <c r="P24" i="60"/>
  <c r="M120" i="176" l="1"/>
  <c r="Q2" i="60"/>
  <c r="P3" i="60"/>
  <c r="T114" i="174"/>
  <c r="V112" i="174"/>
  <c r="S125" i="174"/>
  <c r="U125" i="174" s="1"/>
  <c r="R114" i="174"/>
  <c r="S114" i="174" s="1"/>
  <c r="U114" i="174" s="1"/>
  <c r="H47" i="163"/>
  <c r="D100" i="163" s="1"/>
  <c r="G30" i="163"/>
  <c r="G81" i="163" s="1"/>
  <c r="H81" i="163" s="1"/>
  <c r="H64" i="163"/>
  <c r="E100" i="163" s="1"/>
  <c r="E58" i="169"/>
  <c r="E69" i="169"/>
  <c r="F81" i="163"/>
  <c r="L2" i="156"/>
  <c r="S110" i="156" s="1"/>
  <c r="U110" i="156" s="1"/>
  <c r="G49" i="163"/>
  <c r="G66" i="163"/>
  <c r="Q24" i="60"/>
  <c r="D24" i="169" l="1"/>
  <c r="S18" i="156"/>
  <c r="U18" i="156" s="1"/>
  <c r="S35" i="156"/>
  <c r="U35" i="156" s="1"/>
  <c r="S60" i="156"/>
  <c r="U60" i="156" s="1"/>
  <c r="S109" i="156"/>
  <c r="U109" i="156" s="1"/>
  <c r="S45" i="156"/>
  <c r="U45" i="156" s="1"/>
  <c r="S70" i="156"/>
  <c r="U70" i="156" s="1"/>
  <c r="S76" i="156"/>
  <c r="U76" i="156" s="1"/>
  <c r="S20" i="156"/>
  <c r="U20" i="156" s="1"/>
  <c r="S22" i="156"/>
  <c r="U22" i="156" s="1"/>
  <c r="S61" i="156"/>
  <c r="U61" i="156" s="1"/>
  <c r="S111" i="156"/>
  <c r="U111" i="156" s="1"/>
  <c r="S47" i="156"/>
  <c r="U47" i="156" s="1"/>
  <c r="S98" i="156"/>
  <c r="U98" i="156" s="1"/>
  <c r="D19" i="169"/>
  <c r="S69" i="156"/>
  <c r="U69" i="156" s="1"/>
  <c r="S37" i="156"/>
  <c r="S36" i="156"/>
  <c r="U36" i="156" s="1"/>
  <c r="S72" i="156"/>
  <c r="S11" i="156"/>
  <c r="U11" i="156" s="1"/>
  <c r="S34" i="156"/>
  <c r="U34" i="156" s="1"/>
  <c r="S52" i="156"/>
  <c r="U52" i="156" s="1"/>
  <c r="S90" i="156"/>
  <c r="U90" i="156" s="1"/>
  <c r="S39" i="156"/>
  <c r="U39" i="156" s="1"/>
  <c r="S43" i="156"/>
  <c r="U43" i="156" s="1"/>
  <c r="S4" i="156"/>
  <c r="U4" i="156" s="1"/>
  <c r="S13" i="156"/>
  <c r="U13" i="156" s="1"/>
  <c r="S14" i="156"/>
  <c r="U14" i="156" s="1"/>
  <c r="S56" i="156"/>
  <c r="U56" i="156" s="1"/>
  <c r="S107" i="156"/>
  <c r="U107" i="156" s="1"/>
  <c r="S82" i="156"/>
  <c r="U82" i="156" s="1"/>
  <c r="S41" i="156"/>
  <c r="U41" i="156" s="1"/>
  <c r="S71" i="156"/>
  <c r="U71" i="156" s="1"/>
  <c r="S5" i="156"/>
  <c r="U5" i="156" s="1"/>
  <c r="S17" i="156"/>
  <c r="U17" i="156" s="1"/>
  <c r="S28" i="156"/>
  <c r="U28" i="156" s="1"/>
  <c r="S77" i="156"/>
  <c r="U77" i="156" s="1"/>
  <c r="S81" i="156"/>
  <c r="U81" i="156" s="1"/>
  <c r="S54" i="156"/>
  <c r="U54" i="156" s="1"/>
  <c r="S85" i="156"/>
  <c r="U85" i="156" s="1"/>
  <c r="S6" i="156"/>
  <c r="U6" i="156" s="1"/>
  <c r="S19" i="156"/>
  <c r="U19" i="156" s="1"/>
  <c r="S15" i="156"/>
  <c r="U15" i="156" s="1"/>
  <c r="D26" i="169"/>
  <c r="D21" i="169"/>
  <c r="S12" i="156"/>
  <c r="U12" i="156" s="1"/>
  <c r="S48" i="156"/>
  <c r="U48" i="156" s="1"/>
  <c r="S32" i="156"/>
  <c r="U32" i="156" s="1"/>
  <c r="S68" i="156"/>
  <c r="U68" i="156" s="1"/>
  <c r="S97" i="156"/>
  <c r="U97" i="156" s="1"/>
  <c r="S92" i="156"/>
  <c r="U92" i="156" s="1"/>
  <c r="S91" i="156"/>
  <c r="U91" i="156" s="1"/>
  <c r="S16" i="156"/>
  <c r="S21" i="156"/>
  <c r="U21" i="156" s="1"/>
  <c r="S33" i="156"/>
  <c r="U33" i="156" s="1"/>
  <c r="S108" i="156"/>
  <c r="U108" i="156" s="1"/>
  <c r="S9" i="156"/>
  <c r="S59" i="156"/>
  <c r="U59" i="156" s="1"/>
  <c r="S86" i="156"/>
  <c r="U86" i="156" s="1"/>
  <c r="S62" i="156"/>
  <c r="U62" i="156" s="1"/>
  <c r="S100" i="156"/>
  <c r="S94" i="156"/>
  <c r="U94" i="156" s="1"/>
  <c r="S84" i="156"/>
  <c r="U84" i="156" s="1"/>
  <c r="S24" i="156"/>
  <c r="U24" i="156" s="1"/>
  <c r="S40" i="156"/>
  <c r="U40" i="156" s="1"/>
  <c r="S42" i="156"/>
  <c r="U42" i="156" s="1"/>
  <c r="S83" i="156"/>
  <c r="U83" i="156" s="1"/>
  <c r="D23" i="169"/>
  <c r="S96" i="156"/>
  <c r="U96" i="156" s="1"/>
  <c r="S106" i="156"/>
  <c r="U106" i="156" s="1"/>
  <c r="S25" i="156"/>
  <c r="U25" i="156" s="1"/>
  <c r="S53" i="156"/>
  <c r="U53" i="156" s="1"/>
  <c r="S50" i="156"/>
  <c r="U50" i="156" s="1"/>
  <c r="S80" i="156"/>
  <c r="U80" i="156" s="1"/>
  <c r="S79" i="156"/>
  <c r="D20" i="169"/>
  <c r="S105" i="156"/>
  <c r="U105" i="156" s="1"/>
  <c r="S51" i="156"/>
  <c r="S26" i="156"/>
  <c r="U26" i="156" s="1"/>
  <c r="S55" i="156"/>
  <c r="U55" i="156" s="1"/>
  <c r="S57" i="156"/>
  <c r="U57" i="156" s="1"/>
  <c r="S88" i="156"/>
  <c r="U88" i="156" s="1"/>
  <c r="D18" i="169"/>
  <c r="F18" i="169" s="1"/>
  <c r="S44" i="156"/>
  <c r="S63" i="156"/>
  <c r="U63" i="156" s="1"/>
  <c r="S65" i="156"/>
  <c r="S74" i="156"/>
  <c r="U74" i="156" s="1"/>
  <c r="S99" i="156"/>
  <c r="U99" i="156" s="1"/>
  <c r="S3" i="156"/>
  <c r="D22" i="169"/>
  <c r="D25" i="169"/>
  <c r="S46" i="156"/>
  <c r="U46" i="156" s="1"/>
  <c r="S30" i="156"/>
  <c r="S66" i="156"/>
  <c r="U66" i="156" s="1"/>
  <c r="S93" i="156"/>
  <c r="S64" i="156"/>
  <c r="U64" i="156" s="1"/>
  <c r="D29" i="169"/>
  <c r="S10" i="156"/>
  <c r="U10" i="156" s="1"/>
  <c r="S104" i="156"/>
  <c r="U104" i="156" s="1"/>
  <c r="S31" i="156"/>
  <c r="U31" i="156" s="1"/>
  <c r="S67" i="156"/>
  <c r="U67" i="156" s="1"/>
  <c r="S95" i="156"/>
  <c r="U95" i="156" s="1"/>
  <c r="S78" i="156"/>
  <c r="U78" i="156" s="1"/>
  <c r="S102" i="156"/>
  <c r="U102" i="156" s="1"/>
  <c r="S87" i="156"/>
  <c r="U87" i="156" s="1"/>
  <c r="S73" i="156"/>
  <c r="U73" i="156" s="1"/>
  <c r="S49" i="156"/>
  <c r="U49" i="156" s="1"/>
  <c r="S7" i="156"/>
  <c r="U7" i="156" s="1"/>
  <c r="S27" i="156"/>
  <c r="U27" i="156" s="1"/>
  <c r="S29" i="156"/>
  <c r="U29" i="156" s="1"/>
  <c r="S103" i="156"/>
  <c r="U103" i="156" s="1"/>
  <c r="S89" i="156"/>
  <c r="U89" i="156" s="1"/>
  <c r="S75" i="156"/>
  <c r="U75" i="156" s="1"/>
  <c r="S58" i="156"/>
  <c r="S23" i="156"/>
  <c r="S38" i="156"/>
  <c r="U38" i="156" s="1"/>
  <c r="S8" i="156"/>
  <c r="U8" i="156" s="1"/>
  <c r="S101" i="156"/>
  <c r="U101" i="156" s="1"/>
  <c r="R2" i="60"/>
  <c r="Q3" i="60"/>
  <c r="Q1" i="60"/>
  <c r="W125" i="174"/>
  <c r="V125" i="174" s="1"/>
  <c r="H65" i="163"/>
  <c r="H66" i="163" s="1"/>
  <c r="W114" i="174"/>
  <c r="V114" i="174" s="1"/>
  <c r="H30" i="163"/>
  <c r="C100" i="163" s="1"/>
  <c r="K194" i="165"/>
  <c r="K120" i="156"/>
  <c r="H48" i="163"/>
  <c r="D101" i="163" s="1"/>
  <c r="K202" i="165"/>
  <c r="K128" i="156"/>
  <c r="K196" i="165"/>
  <c r="K122" i="156"/>
  <c r="K126" i="156"/>
  <c r="K200" i="165"/>
  <c r="K124" i="156"/>
  <c r="K198" i="165"/>
  <c r="K118" i="156"/>
  <c r="K192" i="165"/>
  <c r="K138" i="156"/>
  <c r="K212" i="165"/>
  <c r="K116" i="156"/>
  <c r="K190" i="165"/>
  <c r="M2" i="156"/>
  <c r="F82" i="163"/>
  <c r="G31" i="163"/>
  <c r="G82" i="163" s="1"/>
  <c r="H82" i="163" s="1"/>
  <c r="G50" i="163"/>
  <c r="G67" i="163"/>
  <c r="F100" i="163"/>
  <c r="R24" i="60"/>
  <c r="U58" i="156" l="1"/>
  <c r="J25" i="169"/>
  <c r="L25" i="169" s="1"/>
  <c r="K25" i="169" s="1"/>
  <c r="J26" i="169"/>
  <c r="L26" i="169" s="1"/>
  <c r="K26" i="169" s="1"/>
  <c r="U65" i="156"/>
  <c r="U44" i="156"/>
  <c r="J23" i="169"/>
  <c r="L23" i="169" s="1"/>
  <c r="K23" i="169" s="1"/>
  <c r="J24" i="169"/>
  <c r="L24" i="169" s="1"/>
  <c r="K24" i="169" s="1"/>
  <c r="U51" i="156"/>
  <c r="J20" i="169"/>
  <c r="L20" i="169" s="1"/>
  <c r="K20" i="169" s="1"/>
  <c r="U23" i="156"/>
  <c r="J29" i="169"/>
  <c r="L29" i="169" s="1"/>
  <c r="K29" i="169" s="1"/>
  <c r="U93" i="156"/>
  <c r="U30" i="156"/>
  <c r="J21" i="169"/>
  <c r="L21" i="169" s="1"/>
  <c r="K21" i="169" s="1"/>
  <c r="J17" i="169"/>
  <c r="U3" i="156"/>
  <c r="J28" i="169"/>
  <c r="L28" i="169" s="1"/>
  <c r="K28" i="169" s="1"/>
  <c r="U79" i="156"/>
  <c r="U100" i="156"/>
  <c r="W100" i="156" s="1"/>
  <c r="U9" i="156"/>
  <c r="J18" i="169"/>
  <c r="L18" i="169" s="1"/>
  <c r="K18" i="169" s="1"/>
  <c r="J19" i="169"/>
  <c r="L19" i="169" s="1"/>
  <c r="K19" i="169" s="1"/>
  <c r="U16" i="156"/>
  <c r="U72" i="156"/>
  <c r="J27" i="169"/>
  <c r="L27" i="169" s="1"/>
  <c r="K27" i="169" s="1"/>
  <c r="J22" i="169"/>
  <c r="L22" i="169" s="1"/>
  <c r="K22" i="169" s="1"/>
  <c r="U37" i="156"/>
  <c r="S2" i="60"/>
  <c r="R1" i="60"/>
  <c r="R3" i="60"/>
  <c r="E101" i="163"/>
  <c r="L198" i="165" a="1"/>
  <c r="L198" i="165" s="1"/>
  <c r="L197" i="165" a="1"/>
  <c r="L197" i="165" s="1"/>
  <c r="H49" i="163"/>
  <c r="D102" i="163" s="1"/>
  <c r="F101" i="163"/>
  <c r="F83" i="163"/>
  <c r="G32" i="163"/>
  <c r="G83" i="163" s="1"/>
  <c r="H83" i="163" s="1"/>
  <c r="K136" i="156"/>
  <c r="K210" i="165"/>
  <c r="H67" i="163"/>
  <c r="E102" i="163"/>
  <c r="H31" i="163"/>
  <c r="N2" i="156"/>
  <c r="G51" i="163"/>
  <c r="G68" i="163"/>
  <c r="J468" i="136"/>
  <c r="S24" i="60"/>
  <c r="L17" i="169" l="1"/>
  <c r="K17" i="169" s="1"/>
  <c r="J30" i="169"/>
  <c r="L30" i="169" s="1"/>
  <c r="K30" i="169" s="1"/>
  <c r="T2" i="60"/>
  <c r="S3" i="60"/>
  <c r="S1" i="60"/>
  <c r="H50" i="163"/>
  <c r="D103" i="163" s="1"/>
  <c r="F102" i="163"/>
  <c r="O2" i="156"/>
  <c r="H32" i="163"/>
  <c r="C101" i="163"/>
  <c r="F84" i="163"/>
  <c r="G33" i="163"/>
  <c r="G84" i="163" s="1"/>
  <c r="H84" i="163" s="1"/>
  <c r="E103" i="163"/>
  <c r="H68" i="163"/>
  <c r="G52" i="163"/>
  <c r="G69" i="163"/>
  <c r="Q257" i="123"/>
  <c r="T24" i="60"/>
  <c r="U2" i="60" l="1"/>
  <c r="T1" i="60"/>
  <c r="T3" i="60"/>
  <c r="H51" i="163"/>
  <c r="D104" i="163" s="1"/>
  <c r="F103" i="163"/>
  <c r="G34" i="163"/>
  <c r="G85" i="163" s="1"/>
  <c r="H85" i="163" s="1"/>
  <c r="H69" i="163"/>
  <c r="E104" i="163"/>
  <c r="C102" i="163"/>
  <c r="H33" i="163"/>
  <c r="P2" i="156"/>
  <c r="G53" i="163"/>
  <c r="Z82" i="142"/>
  <c r="Y82" i="142"/>
  <c r="X82" i="142"/>
  <c r="W82" i="142"/>
  <c r="BE35" i="151" s="1"/>
  <c r="V82" i="142"/>
  <c r="U82" i="142"/>
  <c r="T82" i="142"/>
  <c r="U16" i="60"/>
  <c r="U24" i="60"/>
  <c r="V2" i="60" l="1"/>
  <c r="H52" i="163"/>
  <c r="D105" i="163" s="1"/>
  <c r="F104" i="163"/>
  <c r="G36" i="163"/>
  <c r="G70" i="163"/>
  <c r="H70" i="163" s="1"/>
  <c r="F86" i="163"/>
  <c r="G35" i="163"/>
  <c r="G86" i="163" s="1"/>
  <c r="H34" i="163"/>
  <c r="C103" i="163"/>
  <c r="E105" i="163"/>
  <c r="Q2" i="156"/>
  <c r="G71" i="163"/>
  <c r="G54" i="163"/>
  <c r="E26" i="133"/>
  <c r="V24" i="60"/>
  <c r="D28" i="169" l="1"/>
  <c r="F28" i="169" s="1"/>
  <c r="E28" i="169" s="1"/>
  <c r="D27" i="169"/>
  <c r="W2" i="60"/>
  <c r="V1" i="60"/>
  <c r="V3" i="60"/>
  <c r="H53" i="163"/>
  <c r="D106" i="163" s="1"/>
  <c r="H86" i="163"/>
  <c r="F105" i="163" s="1"/>
  <c r="F87" i="163"/>
  <c r="E106" i="163"/>
  <c r="H71" i="163"/>
  <c r="G87" i="163"/>
  <c r="G55" i="163"/>
  <c r="H35" i="163"/>
  <c r="C104" i="163"/>
  <c r="D26" i="133"/>
  <c r="W24" i="60"/>
  <c r="X2" i="60" l="1"/>
  <c r="W3" i="60"/>
  <c r="W1" i="60"/>
  <c r="H54" i="163"/>
  <c r="H55" i="163" s="1"/>
  <c r="H87" i="163"/>
  <c r="F106" i="163" s="1"/>
  <c r="G38" i="163"/>
  <c r="G72" i="163"/>
  <c r="H72" i="163" s="1"/>
  <c r="H36" i="163"/>
  <c r="C105" i="163"/>
  <c r="G37" i="163"/>
  <c r="G88" i="163" s="1"/>
  <c r="F88" i="163"/>
  <c r="G56" i="163"/>
  <c r="E107" i="163"/>
  <c r="G73" i="163"/>
  <c r="C26" i="133"/>
  <c r="X24" i="60"/>
  <c r="F148" i="113"/>
  <c r="D107" i="163" l="1"/>
  <c r="Y2" i="60"/>
  <c r="X1" i="60"/>
  <c r="X3" i="60"/>
  <c r="H88" i="163"/>
  <c r="F107" i="163" s="1"/>
  <c r="F89" i="163"/>
  <c r="G89" i="163"/>
  <c r="E108" i="163"/>
  <c r="H73" i="163"/>
  <c r="D108" i="163"/>
  <c r="H56" i="163"/>
  <c r="H37" i="163"/>
  <c r="C106" i="163"/>
  <c r="D167" i="116"/>
  <c r="Y24" i="60"/>
  <c r="Z2" i="60" l="1"/>
  <c r="Y3" i="60"/>
  <c r="Y1" i="60"/>
  <c r="H89" i="163"/>
  <c r="F108" i="163" s="1"/>
  <c r="G74" i="163"/>
  <c r="G75" i="163" s="1"/>
  <c r="K30" i="163" s="1"/>
  <c r="F75" i="163"/>
  <c r="G57" i="163"/>
  <c r="G58" i="163" s="1"/>
  <c r="K29" i="163" s="1"/>
  <c r="F58" i="163"/>
  <c r="D109" i="163"/>
  <c r="E109" i="163"/>
  <c r="F41" i="163"/>
  <c r="C107" i="163"/>
  <c r="H38" i="163"/>
  <c r="F90" i="163"/>
  <c r="G39" i="163"/>
  <c r="G90" i="163" s="1"/>
  <c r="M18" i="112"/>
  <c r="R18" i="112"/>
  <c r="Z24" i="60"/>
  <c r="AA2" i="60" l="1"/>
  <c r="Z1" i="60"/>
  <c r="Z3" i="60"/>
  <c r="H90" i="163"/>
  <c r="F109" i="163" s="1"/>
  <c r="H74" i="163"/>
  <c r="E110" i="163" s="1"/>
  <c r="H57" i="163"/>
  <c r="D110" i="163" s="1"/>
  <c r="K31" i="163"/>
  <c r="C108" i="163"/>
  <c r="H39" i="163"/>
  <c r="G40" i="163"/>
  <c r="F91" i="163"/>
  <c r="F92" i="163" s="1"/>
  <c r="Q268" i="123"/>
  <c r="AA24" i="60"/>
  <c r="H75" i="163" l="1"/>
  <c r="AB2" i="60"/>
  <c r="AA3" i="60"/>
  <c r="AA1" i="60"/>
  <c r="H58" i="163"/>
  <c r="G91" i="163"/>
  <c r="G41" i="163"/>
  <c r="K28" i="163" s="1"/>
  <c r="C109" i="163"/>
  <c r="H40" i="163"/>
  <c r="K111" i="154"/>
  <c r="O106" i="154"/>
  <c r="O107" i="154"/>
  <c r="O31" i="154"/>
  <c r="AB16" i="60"/>
  <c r="AB24" i="60"/>
  <c r="AC2" i="60" l="1"/>
  <c r="K33" i="163"/>
  <c r="K38" i="163"/>
  <c r="H91" i="163"/>
  <c r="G92" i="163"/>
  <c r="H41" i="163"/>
  <c r="C110" i="163"/>
  <c r="O96" i="154"/>
  <c r="O97" i="154"/>
  <c r="AC24" i="60"/>
  <c r="AD2" i="60" l="1"/>
  <c r="AC3" i="60"/>
  <c r="AC1" i="60"/>
  <c r="F110" i="163"/>
  <c r="H92" i="163"/>
  <c r="Q27" i="133"/>
  <c r="AD24" i="60"/>
  <c r="AD16" i="60"/>
  <c r="AD8" i="60"/>
  <c r="AD1" i="60" l="1"/>
  <c r="AD3" i="60"/>
  <c r="AF2" i="60"/>
  <c r="AE2" i="60"/>
  <c r="C32" i="154"/>
  <c r="O27" i="154"/>
  <c r="K132" i="154"/>
  <c r="C90" i="154"/>
  <c r="AE23" i="60"/>
  <c r="AF24" i="60"/>
  <c r="AF17" i="60"/>
  <c r="AE25" i="60"/>
  <c r="AE22" i="60"/>
  <c r="AF21" i="60"/>
  <c r="AE19" i="60"/>
  <c r="AF23" i="60"/>
  <c r="AE14" i="60"/>
  <c r="AE26" i="60"/>
  <c r="AF16" i="60"/>
  <c r="AE11" i="60"/>
  <c r="AF13" i="60"/>
  <c r="AE18" i="60"/>
  <c r="AF20" i="60"/>
  <c r="AE17" i="60"/>
  <c r="AE24" i="60"/>
  <c r="AE20" i="60"/>
  <c r="AE15" i="60"/>
  <c r="AF15" i="60"/>
  <c r="AF22" i="60"/>
  <c r="AE12" i="60"/>
  <c r="AE16" i="60"/>
  <c r="AE21" i="60"/>
  <c r="AE13" i="60"/>
  <c r="AF8" i="60"/>
  <c r="AD9" i="60"/>
  <c r="AF9" i="60"/>
  <c r="AD10" i="60" l="1"/>
  <c r="AF28" i="60"/>
  <c r="AF31" i="60" s="1"/>
  <c r="AE29" i="60"/>
  <c r="AE32" i="60" s="1"/>
  <c r="AE27" i="60"/>
  <c r="AE30" i="60" s="1"/>
  <c r="AG2" i="60"/>
  <c r="AF1" i="60"/>
  <c r="AF3" i="60"/>
  <c r="O7" i="154"/>
  <c r="AF14" i="60"/>
  <c r="AG16" i="60"/>
  <c r="AF11" i="60"/>
  <c r="AF19" i="60"/>
  <c r="AF18" i="60"/>
  <c r="AG25" i="60"/>
  <c r="AG12" i="60"/>
  <c r="AG11" i="60"/>
  <c r="AG21" i="60"/>
  <c r="AG14" i="60"/>
  <c r="AF12" i="60"/>
  <c r="AG13" i="60"/>
  <c r="AG19" i="60"/>
  <c r="AG23" i="60"/>
  <c r="AG15" i="60"/>
  <c r="AG20" i="60"/>
  <c r="AG26" i="60"/>
  <c r="AF25" i="60"/>
  <c r="AF26" i="60"/>
  <c r="AG17" i="60"/>
  <c r="AG18" i="60"/>
  <c r="AG24" i="60"/>
  <c r="AG22" i="60"/>
  <c r="AF6" i="60"/>
  <c r="AG9" i="60"/>
  <c r="AG5" i="60"/>
  <c r="AF5" i="60"/>
  <c r="AG6" i="60"/>
  <c r="AG8" i="60"/>
  <c r="AF27" i="60" l="1"/>
  <c r="AF30" i="60" s="1"/>
  <c r="AF29" i="60"/>
  <c r="AF32" i="60" s="1"/>
  <c r="AG28" i="60"/>
  <c r="AG31" i="60" s="1"/>
  <c r="AG27" i="60"/>
  <c r="AG30" i="60" s="1"/>
  <c r="AG29" i="60"/>
  <c r="AG7" i="60"/>
  <c r="AG10" i="60"/>
  <c r="AG32" i="60" s="1"/>
  <c r="AE28" i="60"/>
  <c r="AE31" i="60" s="1"/>
  <c r="AG3" i="60"/>
  <c r="AG1" i="60"/>
  <c r="AH2" i="60"/>
  <c r="O225" i="154"/>
  <c r="O222" i="154"/>
  <c r="O221" i="154"/>
  <c r="O220" i="154"/>
  <c r="O206" i="154"/>
  <c r="O202" i="154"/>
  <c r="O203" i="154"/>
  <c r="O204" i="154"/>
  <c r="O205" i="154"/>
  <c r="O201" i="154"/>
  <c r="N226" i="154"/>
  <c r="N241" i="154" s="1"/>
  <c r="M226" i="154"/>
  <c r="M241" i="154" s="1"/>
  <c r="L226" i="154"/>
  <c r="L241" i="154" s="1"/>
  <c r="K226" i="154"/>
  <c r="K241" i="154" s="1"/>
  <c r="J226" i="154"/>
  <c r="J241" i="154" s="1"/>
  <c r="I226" i="154"/>
  <c r="I241" i="154" s="1"/>
  <c r="H226" i="154"/>
  <c r="H241" i="154" s="1"/>
  <c r="G226" i="154"/>
  <c r="G241" i="154" s="1"/>
  <c r="F226" i="154"/>
  <c r="E226" i="154"/>
  <c r="E241" i="154" s="1"/>
  <c r="D226" i="154"/>
  <c r="D241" i="154" s="1"/>
  <c r="C226" i="154"/>
  <c r="D207" i="154"/>
  <c r="E207" i="154"/>
  <c r="E240" i="154" s="1"/>
  <c r="F207" i="154"/>
  <c r="F240" i="154" s="1"/>
  <c r="G207" i="154"/>
  <c r="G240" i="154" s="1"/>
  <c r="H207" i="154"/>
  <c r="H240" i="154" s="1"/>
  <c r="I207" i="154"/>
  <c r="I240" i="154" s="1"/>
  <c r="J207" i="154"/>
  <c r="J240" i="154" s="1"/>
  <c r="K207" i="154"/>
  <c r="K240" i="154" s="1"/>
  <c r="L207" i="154"/>
  <c r="M207" i="154"/>
  <c r="M240" i="154" s="1"/>
  <c r="N207" i="154"/>
  <c r="N240" i="154" s="1"/>
  <c r="C207" i="154"/>
  <c r="C240" i="154" s="1"/>
  <c r="D240" i="154"/>
  <c r="L240" i="154"/>
  <c r="F241" i="154"/>
  <c r="AH21" i="60"/>
  <c r="AH12" i="60"/>
  <c r="AH16" i="60"/>
  <c r="AH24" i="60"/>
  <c r="AH15" i="60"/>
  <c r="AH20" i="60"/>
  <c r="AH13" i="60"/>
  <c r="AH18" i="60"/>
  <c r="AH19" i="60"/>
  <c r="AH6" i="60"/>
  <c r="AH5" i="60"/>
  <c r="AH7" i="60" l="1"/>
  <c r="AH1" i="60"/>
  <c r="AH3" i="60"/>
  <c r="AI2" i="60"/>
  <c r="C241" i="154"/>
  <c r="O241" i="154" s="1"/>
  <c r="O226" i="154"/>
  <c r="P207" i="154"/>
  <c r="O207" i="154"/>
  <c r="P226" i="154"/>
  <c r="O240" i="154"/>
  <c r="AH17" i="60"/>
  <c r="AH23" i="60"/>
  <c r="AI25" i="60"/>
  <c r="AH11" i="60"/>
  <c r="AH22" i="60"/>
  <c r="AH25" i="60"/>
  <c r="AH14" i="60"/>
  <c r="AH26" i="60"/>
  <c r="AI24" i="60"/>
  <c r="AH9" i="60"/>
  <c r="AH8" i="60"/>
  <c r="AI6" i="60"/>
  <c r="AH29" i="60" l="1"/>
  <c r="AH27" i="60"/>
  <c r="AH30" i="60" s="1"/>
  <c r="AH10" i="60"/>
  <c r="AH28" i="60"/>
  <c r="AH31" i="60" s="1"/>
  <c r="AH32" i="60"/>
  <c r="AJ2" i="60"/>
  <c r="AI3" i="60"/>
  <c r="AI1" i="60"/>
  <c r="O109" i="154"/>
  <c r="O110" i="154"/>
  <c r="O112" i="154"/>
  <c r="G111" i="154"/>
  <c r="H111" i="154"/>
  <c r="I111" i="154"/>
  <c r="J111" i="154"/>
  <c r="L111" i="154"/>
  <c r="M111" i="154"/>
  <c r="N111" i="154"/>
  <c r="N132" i="154" s="1"/>
  <c r="AI11" i="60"/>
  <c r="AJ17" i="60"/>
  <c r="AI18" i="60"/>
  <c r="AI13" i="60"/>
  <c r="AI15" i="60"/>
  <c r="AJ12" i="60"/>
  <c r="AI21" i="60"/>
  <c r="AJ19" i="60"/>
  <c r="AJ24" i="60"/>
  <c r="AJ14" i="60"/>
  <c r="AI12" i="60"/>
  <c r="AI19" i="60"/>
  <c r="AJ11" i="60"/>
  <c r="AJ16" i="60"/>
  <c r="AI14" i="60"/>
  <c r="AI23" i="60"/>
  <c r="AJ25" i="60"/>
  <c r="AI20" i="60"/>
  <c r="AJ15" i="60"/>
  <c r="AJ21" i="60"/>
  <c r="AJ26" i="60"/>
  <c r="AJ23" i="60"/>
  <c r="AI16" i="60"/>
  <c r="AJ18" i="60"/>
  <c r="AI17" i="60"/>
  <c r="AI22" i="60"/>
  <c r="AJ20" i="60"/>
  <c r="AJ22" i="60"/>
  <c r="AJ13" i="60"/>
  <c r="AI26" i="60"/>
  <c r="AI9" i="60"/>
  <c r="AI8" i="60"/>
  <c r="AI5" i="60"/>
  <c r="AI28" i="60" l="1"/>
  <c r="AI31" i="60" s="1"/>
  <c r="AI27" i="60"/>
  <c r="AI30" i="60" s="1"/>
  <c r="AI29" i="60"/>
  <c r="AI7" i="60"/>
  <c r="AI10" i="60"/>
  <c r="AI32" i="60" s="1"/>
  <c r="AJ27" i="60"/>
  <c r="AJ30" i="60" s="1"/>
  <c r="AJ29" i="60"/>
  <c r="AJ32" i="60" s="1"/>
  <c r="AK2" i="60"/>
  <c r="O111" i="154"/>
  <c r="AK14" i="60"/>
  <c r="AK11" i="60"/>
  <c r="AK22" i="60"/>
  <c r="AK19" i="60"/>
  <c r="AK15" i="60"/>
  <c r="AK25" i="60"/>
  <c r="AK23" i="60"/>
  <c r="AK17" i="60"/>
  <c r="AK26" i="60"/>
  <c r="AK16" i="60"/>
  <c r="AK13" i="60"/>
  <c r="AK21" i="60"/>
  <c r="AK12" i="60"/>
  <c r="AK24" i="60"/>
  <c r="AK20" i="60"/>
  <c r="AK18" i="60"/>
  <c r="AK9" i="60"/>
  <c r="AK5" i="60"/>
  <c r="AK8" i="60"/>
  <c r="AK6" i="60"/>
  <c r="AJ28" i="60" l="1"/>
  <c r="AJ31" i="60" s="1"/>
  <c r="AK29" i="60"/>
  <c r="AK27" i="60"/>
  <c r="AK30" i="60" s="1"/>
  <c r="AK28" i="60"/>
  <c r="AK31" i="60" s="1"/>
  <c r="AK7" i="60"/>
  <c r="AK10" i="60"/>
  <c r="AK32" i="60" s="1"/>
  <c r="AK3" i="60"/>
  <c r="AK1" i="60"/>
  <c r="AL2" i="60"/>
  <c r="O189" i="154"/>
  <c r="N190" i="154"/>
  <c r="L190" i="154"/>
  <c r="J190" i="154"/>
  <c r="H190" i="154"/>
  <c r="F190" i="154"/>
  <c r="D190" i="154"/>
  <c r="O188" i="154"/>
  <c r="M190" i="154"/>
  <c r="K190" i="154"/>
  <c r="I190" i="154"/>
  <c r="G190" i="154"/>
  <c r="E190" i="154"/>
  <c r="AL14" i="60"/>
  <c r="AL24" i="60"/>
  <c r="AL6" i="60"/>
  <c r="AL5" i="60"/>
  <c r="AL7" i="60" l="1"/>
  <c r="AL1" i="60"/>
  <c r="AL3" i="60"/>
  <c r="AM2" i="60"/>
  <c r="O190" i="154"/>
  <c r="O187" i="154"/>
  <c r="AM17" i="60"/>
  <c r="AL23" i="60"/>
  <c r="AM13" i="60"/>
  <c r="AM15" i="60"/>
  <c r="AM12" i="60"/>
  <c r="AM14" i="60"/>
  <c r="AM21" i="60"/>
  <c r="AM23" i="60"/>
  <c r="AM11" i="60"/>
  <c r="AL12" i="60"/>
  <c r="AL15" i="60"/>
  <c r="AL16" i="60"/>
  <c r="AM19" i="60"/>
  <c r="AL22" i="60"/>
  <c r="AL26" i="60"/>
  <c r="AL11" i="60"/>
  <c r="AL13" i="60"/>
  <c r="AM16" i="60"/>
  <c r="AM20" i="60"/>
  <c r="AL25" i="60"/>
  <c r="AL20" i="60"/>
  <c r="AM18" i="60"/>
  <c r="AL17" i="60"/>
  <c r="AL21" i="60"/>
  <c r="AL19" i="60"/>
  <c r="AM25" i="60"/>
  <c r="AL18" i="60"/>
  <c r="AM26" i="60"/>
  <c r="AM22" i="60"/>
  <c r="AM24" i="60"/>
  <c r="AM8" i="60"/>
  <c r="AL9" i="60"/>
  <c r="AL8" i="60"/>
  <c r="AM5" i="60"/>
  <c r="AM6" i="60"/>
  <c r="AM9" i="60"/>
  <c r="AL27" i="60" l="1"/>
  <c r="AL30" i="60" s="1"/>
  <c r="AL29" i="60"/>
  <c r="AL28" i="60"/>
  <c r="AL31" i="60" s="1"/>
  <c r="AL10" i="60"/>
  <c r="AL32" i="60" s="1"/>
  <c r="AM28" i="60"/>
  <c r="AM31" i="60" s="1"/>
  <c r="AM10" i="60"/>
  <c r="AM27" i="60"/>
  <c r="AM30" i="60" s="1"/>
  <c r="AM29" i="60"/>
  <c r="AM7" i="60"/>
  <c r="AM3" i="60"/>
  <c r="AM1" i="60"/>
  <c r="AN2" i="60"/>
  <c r="O15" i="154"/>
  <c r="AN24" i="60"/>
  <c r="AN13" i="60"/>
  <c r="AN1" i="60" l="1"/>
  <c r="AN3" i="60"/>
  <c r="AO2" i="60"/>
  <c r="AM32" i="60"/>
  <c r="O90" i="154"/>
  <c r="O108" i="154"/>
  <c r="O113" i="154"/>
  <c r="O114" i="154"/>
  <c r="O131" i="154"/>
  <c r="O89" i="154"/>
  <c r="O23" i="154"/>
  <c r="O25" i="154"/>
  <c r="O26" i="154"/>
  <c r="O28" i="154"/>
  <c r="O30" i="154"/>
  <c r="O33" i="154"/>
  <c r="O56" i="154"/>
  <c r="O58" i="154"/>
  <c r="O59" i="154"/>
  <c r="O60" i="154"/>
  <c r="O61" i="154"/>
  <c r="O62" i="154"/>
  <c r="O65" i="154"/>
  <c r="O21" i="154"/>
  <c r="E29" i="154"/>
  <c r="E32" i="154" s="1"/>
  <c r="F29" i="154"/>
  <c r="F32" i="154" s="1"/>
  <c r="G29" i="154"/>
  <c r="G32" i="154" s="1"/>
  <c r="H29" i="154"/>
  <c r="H32" i="154" s="1"/>
  <c r="I29" i="154"/>
  <c r="I32" i="154" s="1"/>
  <c r="J32" i="154"/>
  <c r="K32" i="154"/>
  <c r="L32" i="154"/>
  <c r="M32" i="154"/>
  <c r="N32" i="154"/>
  <c r="D29" i="154"/>
  <c r="D32" i="154" s="1"/>
  <c r="D63" i="154"/>
  <c r="E63" i="154"/>
  <c r="F63" i="154"/>
  <c r="G63" i="154"/>
  <c r="H63" i="154"/>
  <c r="I63" i="154"/>
  <c r="J63" i="154"/>
  <c r="K63" i="154"/>
  <c r="L63" i="154"/>
  <c r="M63" i="154"/>
  <c r="N63" i="154"/>
  <c r="C63" i="154"/>
  <c r="D57" i="154"/>
  <c r="D64" i="154" s="1"/>
  <c r="D66" i="154" s="1"/>
  <c r="E57" i="154"/>
  <c r="E64" i="154" s="1"/>
  <c r="E66" i="154" s="1"/>
  <c r="F57" i="154"/>
  <c r="F64" i="154" s="1"/>
  <c r="F66" i="154" s="1"/>
  <c r="G57" i="154"/>
  <c r="G64" i="154" s="1"/>
  <c r="G66" i="154" s="1"/>
  <c r="H64" i="154"/>
  <c r="H66" i="154" s="1"/>
  <c r="I57" i="154"/>
  <c r="I64" i="154" s="1"/>
  <c r="I66" i="154" s="1"/>
  <c r="J57" i="154"/>
  <c r="J64" i="154" s="1"/>
  <c r="J66" i="154" s="1"/>
  <c r="K57" i="154"/>
  <c r="K64" i="154" s="1"/>
  <c r="K66" i="154" s="1"/>
  <c r="L57" i="154"/>
  <c r="L64" i="154" s="1"/>
  <c r="M57" i="154"/>
  <c r="M64" i="154" s="1"/>
  <c r="M66" i="154" s="1"/>
  <c r="N57" i="154"/>
  <c r="N64" i="154" s="1"/>
  <c r="N66" i="154" s="1"/>
  <c r="C64" i="154"/>
  <c r="C66" i="154" s="1"/>
  <c r="AN12" i="60"/>
  <c r="AO11" i="60"/>
  <c r="AN16" i="60"/>
  <c r="AN21" i="60"/>
  <c r="AO20" i="60"/>
  <c r="AO22" i="60"/>
  <c r="AN20" i="60"/>
  <c r="AO16" i="60"/>
  <c r="AO15" i="60"/>
  <c r="AN15" i="60"/>
  <c r="AN26" i="60"/>
  <c r="AN18" i="60"/>
  <c r="AO23" i="60"/>
  <c r="AO13" i="60"/>
  <c r="AO14" i="60"/>
  <c r="AO21" i="60"/>
  <c r="AO24" i="60"/>
  <c r="AN25" i="60"/>
  <c r="AN17" i="60"/>
  <c r="AO18" i="60"/>
  <c r="AO26" i="60"/>
  <c r="AN19" i="60"/>
  <c r="AO12" i="60"/>
  <c r="AN23" i="60"/>
  <c r="AN22" i="60"/>
  <c r="AO25" i="60"/>
  <c r="AO19" i="60"/>
  <c r="AO17" i="60"/>
  <c r="AN14" i="60"/>
  <c r="AN11" i="60"/>
  <c r="AN6" i="60"/>
  <c r="AN9" i="60"/>
  <c r="AN8" i="60"/>
  <c r="AO8" i="60"/>
  <c r="AO9" i="60"/>
  <c r="AN5" i="60"/>
  <c r="AO5" i="60"/>
  <c r="AO6" i="60"/>
  <c r="AN29" i="60" l="1"/>
  <c r="AN27" i="60"/>
  <c r="AN30" i="60" s="1"/>
  <c r="AN7" i="60"/>
  <c r="AN28" i="60"/>
  <c r="AN31" i="60" s="1"/>
  <c r="AN10" i="60"/>
  <c r="AN32" i="60" s="1"/>
  <c r="AO28" i="60"/>
  <c r="AO31" i="60" s="1"/>
  <c r="AO29" i="60"/>
  <c r="AO27" i="60"/>
  <c r="AO30" i="60" s="1"/>
  <c r="AO10" i="60"/>
  <c r="AO7" i="60"/>
  <c r="AO3" i="60"/>
  <c r="AO1" i="60"/>
  <c r="AP2" i="60"/>
  <c r="K67" i="154"/>
  <c r="K181" i="154" s="1"/>
  <c r="K195" i="154" s="1"/>
  <c r="C67" i="154"/>
  <c r="C181" i="154" s="1"/>
  <c r="C195" i="154" s="1"/>
  <c r="G67" i="154"/>
  <c r="G181" i="154" s="1"/>
  <c r="G195" i="154" s="1"/>
  <c r="L66" i="154"/>
  <c r="O66" i="154" s="1"/>
  <c r="O63" i="154"/>
  <c r="M67" i="154"/>
  <c r="M181" i="154" s="1"/>
  <c r="M195" i="154" s="1"/>
  <c r="I67" i="154"/>
  <c r="I181" i="154" s="1"/>
  <c r="I195" i="154" s="1"/>
  <c r="E67" i="154"/>
  <c r="E181" i="154" s="1"/>
  <c r="E195" i="154" s="1"/>
  <c r="O16" i="154"/>
  <c r="O6" i="154"/>
  <c r="O14" i="154"/>
  <c r="O9" i="154"/>
  <c r="O64" i="154"/>
  <c r="O29" i="154"/>
  <c r="O57" i="154"/>
  <c r="O32" i="154"/>
  <c r="N67" i="154"/>
  <c r="N181" i="154" s="1"/>
  <c r="N195" i="154" s="1"/>
  <c r="J67" i="154"/>
  <c r="J181" i="154" s="1"/>
  <c r="J195" i="154" s="1"/>
  <c r="H67" i="154"/>
  <c r="H181" i="154" s="1"/>
  <c r="H195" i="154" s="1"/>
  <c r="F67" i="154"/>
  <c r="F181" i="154" s="1"/>
  <c r="F195" i="154" s="1"/>
  <c r="D67" i="154"/>
  <c r="D181" i="154" s="1"/>
  <c r="D195" i="154" s="1"/>
  <c r="AP13" i="60"/>
  <c r="AP15" i="60"/>
  <c r="AP24" i="60"/>
  <c r="AP22" i="60"/>
  <c r="AP21" i="60"/>
  <c r="AP23" i="60"/>
  <c r="AP19" i="60"/>
  <c r="AP17" i="60"/>
  <c r="AP16" i="60"/>
  <c r="AP12" i="60"/>
  <c r="AP11" i="60"/>
  <c r="AP20" i="60"/>
  <c r="AP18" i="60"/>
  <c r="AP26" i="60"/>
  <c r="AP14" i="60"/>
  <c r="AP25" i="60"/>
  <c r="AP6" i="60"/>
  <c r="AP9" i="60"/>
  <c r="AP8" i="60"/>
  <c r="AP5" i="60"/>
  <c r="AO32" i="60" l="1"/>
  <c r="AP28" i="60"/>
  <c r="AP31" i="60" s="1"/>
  <c r="AP27" i="60"/>
  <c r="AP30" i="60" s="1"/>
  <c r="AP29" i="60"/>
  <c r="AP7" i="60"/>
  <c r="AP10" i="60"/>
  <c r="AP1" i="60"/>
  <c r="AP3" i="60"/>
  <c r="AQ2" i="60"/>
  <c r="L67" i="154"/>
  <c r="L181" i="154" s="1"/>
  <c r="L195" i="154" s="1"/>
  <c r="O195" i="154" s="1"/>
  <c r="AQ20" i="60"/>
  <c r="AQ16" i="60"/>
  <c r="AQ24" i="60"/>
  <c r="AQ26" i="60"/>
  <c r="AQ11" i="60"/>
  <c r="AQ18" i="60"/>
  <c r="AQ25" i="60"/>
  <c r="AQ14" i="60"/>
  <c r="AQ22" i="60"/>
  <c r="AQ23" i="60"/>
  <c r="AQ17" i="60"/>
  <c r="AQ15" i="60"/>
  <c r="AQ21" i="60"/>
  <c r="AQ19" i="60"/>
  <c r="AQ12" i="60"/>
  <c r="AQ13" i="60"/>
  <c r="AP32" i="60" l="1"/>
  <c r="AQ29" i="60"/>
  <c r="AQ32" i="60" s="1"/>
  <c r="AQ27" i="60"/>
  <c r="AR2" i="60"/>
  <c r="O67" i="154"/>
  <c r="O181" i="154"/>
  <c r="P67" i="154"/>
  <c r="AR22" i="60"/>
  <c r="AR25" i="60"/>
  <c r="AR11" i="60"/>
  <c r="AR24" i="60"/>
  <c r="AR19" i="60"/>
  <c r="AR16" i="60"/>
  <c r="AR14" i="60"/>
  <c r="AR26" i="60"/>
  <c r="AR13" i="60"/>
  <c r="AR15" i="60"/>
  <c r="AR6" i="60"/>
  <c r="AR9" i="60"/>
  <c r="AR8" i="60"/>
  <c r="AR5" i="60"/>
  <c r="AR10" i="60" l="1"/>
  <c r="AR7" i="60"/>
  <c r="AQ28" i="60"/>
  <c r="AQ31" i="60" s="1"/>
  <c r="AQ30" i="60"/>
  <c r="AR1" i="60"/>
  <c r="AR3" i="60"/>
  <c r="AS2" i="60"/>
  <c r="D132" i="154"/>
  <c r="D182" i="154" s="1"/>
  <c r="D196" i="154" s="1"/>
  <c r="E132" i="154"/>
  <c r="E182" i="154" s="1"/>
  <c r="E196" i="154" s="1"/>
  <c r="F132" i="154"/>
  <c r="F182" i="154" s="1"/>
  <c r="F196" i="154" s="1"/>
  <c r="G132" i="154"/>
  <c r="G182" i="154" s="1"/>
  <c r="G196" i="154" s="1"/>
  <c r="H132" i="154"/>
  <c r="H182" i="154" s="1"/>
  <c r="H196" i="154" s="1"/>
  <c r="I132" i="154"/>
  <c r="I182" i="154" s="1"/>
  <c r="I196" i="154" s="1"/>
  <c r="J132" i="154"/>
  <c r="J182" i="154" s="1"/>
  <c r="J196" i="154" s="1"/>
  <c r="L132" i="154"/>
  <c r="L182" i="154" s="1"/>
  <c r="L196" i="154" s="1"/>
  <c r="M132" i="154"/>
  <c r="M182" i="154" s="1"/>
  <c r="M196" i="154" s="1"/>
  <c r="N182" i="154"/>
  <c r="N196" i="154" s="1"/>
  <c r="C132" i="154"/>
  <c r="AR18" i="60"/>
  <c r="AR12" i="60"/>
  <c r="AS12" i="60"/>
  <c r="AS23" i="60"/>
  <c r="AR20" i="60"/>
  <c r="AS11" i="60"/>
  <c r="AR17" i="60"/>
  <c r="AS21" i="60"/>
  <c r="AS24" i="60"/>
  <c r="AS17" i="60"/>
  <c r="AS19" i="60"/>
  <c r="AS15" i="60"/>
  <c r="AS22" i="60"/>
  <c r="AS14" i="60"/>
  <c r="AR21" i="60"/>
  <c r="AS16" i="60"/>
  <c r="AR23" i="60"/>
  <c r="AS13" i="60"/>
  <c r="AS18" i="60"/>
  <c r="AS26" i="60"/>
  <c r="AS25" i="60"/>
  <c r="AS20" i="60"/>
  <c r="AS8" i="60"/>
  <c r="AS9" i="60"/>
  <c r="AS5" i="60"/>
  <c r="AS6" i="60"/>
  <c r="AR28" i="60" l="1"/>
  <c r="AR31" i="60" s="1"/>
  <c r="AR27" i="60"/>
  <c r="AR30" i="60" s="1"/>
  <c r="AR29" i="60"/>
  <c r="AR32" i="60" s="1"/>
  <c r="AS28" i="60"/>
  <c r="AS31" i="60" s="1"/>
  <c r="AS29" i="60"/>
  <c r="AS27" i="60"/>
  <c r="AS30" i="60" s="1"/>
  <c r="AS7" i="60"/>
  <c r="AS10" i="60"/>
  <c r="AS3" i="60"/>
  <c r="AS1" i="60"/>
  <c r="AT2" i="60"/>
  <c r="K182" i="154"/>
  <c r="K196" i="154" s="1"/>
  <c r="O132" i="154"/>
  <c r="C182" i="154"/>
  <c r="P132" i="154"/>
  <c r="C196" i="154"/>
  <c r="AT24" i="60"/>
  <c r="AT15" i="60"/>
  <c r="AT11" i="60"/>
  <c r="AT16" i="60"/>
  <c r="AT21" i="60"/>
  <c r="AT18" i="60"/>
  <c r="AT13" i="60"/>
  <c r="AT22" i="60"/>
  <c r="AT12" i="60"/>
  <c r="AT14" i="60"/>
  <c r="AT17" i="60"/>
  <c r="AT26" i="60"/>
  <c r="AT23" i="60"/>
  <c r="AT25" i="60"/>
  <c r="AT19" i="60"/>
  <c r="AT20" i="60"/>
  <c r="AT9" i="60"/>
  <c r="AT5" i="60"/>
  <c r="AT8" i="60"/>
  <c r="AT6" i="60"/>
  <c r="AS32" i="60" l="1"/>
  <c r="AT28" i="60"/>
  <c r="AT31" i="60" s="1"/>
  <c r="AT27" i="60"/>
  <c r="AT30" i="60" s="1"/>
  <c r="AT29" i="60"/>
  <c r="AT7" i="60"/>
  <c r="AT10" i="60"/>
  <c r="AT1" i="60"/>
  <c r="AT3" i="60"/>
  <c r="AU2" i="60"/>
  <c r="O10" i="154"/>
  <c r="O182" i="154"/>
  <c r="O8" i="154"/>
  <c r="O11" i="154"/>
  <c r="O12" i="154"/>
  <c r="O196" i="154"/>
  <c r="AU18" i="60"/>
  <c r="AU17" i="60"/>
  <c r="AU21" i="60"/>
  <c r="AU14" i="60"/>
  <c r="AU25" i="60"/>
  <c r="AU23" i="60"/>
  <c r="AU13" i="60"/>
  <c r="AU15" i="60"/>
  <c r="AU24" i="60"/>
  <c r="AU22" i="60"/>
  <c r="AU20" i="60"/>
  <c r="AU19" i="60"/>
  <c r="AU26" i="60"/>
  <c r="AU11" i="60"/>
  <c r="AU12" i="60"/>
  <c r="AU16" i="60"/>
  <c r="AU6" i="60"/>
  <c r="AU8" i="60"/>
  <c r="AU9" i="60"/>
  <c r="AU5" i="60"/>
  <c r="AT32" i="60" l="1"/>
  <c r="AU28" i="60"/>
  <c r="AU31" i="60" s="1"/>
  <c r="AU27" i="60"/>
  <c r="AU30" i="60" s="1"/>
  <c r="AU29" i="60"/>
  <c r="AU7" i="60"/>
  <c r="AU10" i="60"/>
  <c r="AU3" i="60"/>
  <c r="AU1" i="60"/>
  <c r="AV2" i="60"/>
  <c r="N17" i="154"/>
  <c r="N180" i="154" s="1"/>
  <c r="J17" i="154"/>
  <c r="J180" i="154" s="1"/>
  <c r="J194" i="154" s="1"/>
  <c r="J197" i="154" s="1"/>
  <c r="F17" i="154"/>
  <c r="F180" i="154" s="1"/>
  <c r="F183" i="154" s="1"/>
  <c r="F239" i="154" s="1"/>
  <c r="F242" i="154" s="1"/>
  <c r="E17" i="154"/>
  <c r="E180" i="154" s="1"/>
  <c r="E194" i="154" s="1"/>
  <c r="E197" i="154" s="1"/>
  <c r="M17" i="154"/>
  <c r="M180" i="154" s="1"/>
  <c r="M183" i="154" s="1"/>
  <c r="M239" i="154" s="1"/>
  <c r="M242" i="154" s="1"/>
  <c r="I17" i="154"/>
  <c r="I180" i="154" s="1"/>
  <c r="I194" i="154" s="1"/>
  <c r="I197" i="154" s="1"/>
  <c r="G17" i="154"/>
  <c r="G180" i="154" s="1"/>
  <c r="G194" i="154" s="1"/>
  <c r="G197" i="154" s="1"/>
  <c r="O5" i="154"/>
  <c r="L17" i="154"/>
  <c r="L180" i="154" s="1"/>
  <c r="L183" i="154" s="1"/>
  <c r="L239" i="154" s="1"/>
  <c r="L242" i="154" s="1"/>
  <c r="H17" i="154"/>
  <c r="H180" i="154" s="1"/>
  <c r="H194" i="154" s="1"/>
  <c r="H197" i="154" s="1"/>
  <c r="K17" i="154"/>
  <c r="K180" i="154" s="1"/>
  <c r="K194" i="154" s="1"/>
  <c r="K197" i="154" s="1"/>
  <c r="C17" i="154"/>
  <c r="O4" i="154"/>
  <c r="O3" i="154"/>
  <c r="D17" i="154"/>
  <c r="AV24" i="60"/>
  <c r="AV20" i="60"/>
  <c r="AV26" i="60"/>
  <c r="AV21" i="60"/>
  <c r="AV15" i="60"/>
  <c r="AV17" i="60"/>
  <c r="AV12" i="60"/>
  <c r="AV23" i="60"/>
  <c r="AV16" i="60"/>
  <c r="AV9" i="60"/>
  <c r="AV8" i="60"/>
  <c r="AU32" i="60" l="1"/>
  <c r="AV10" i="60"/>
  <c r="AV1" i="60"/>
  <c r="AV3" i="60"/>
  <c r="AW2" i="60"/>
  <c r="H183" i="154"/>
  <c r="H239" i="154" s="1"/>
  <c r="H242" i="154" s="1"/>
  <c r="J183" i="154"/>
  <c r="J239" i="154" s="1"/>
  <c r="J242" i="154" s="1"/>
  <c r="E183" i="154"/>
  <c r="E239" i="154" s="1"/>
  <c r="E242" i="154" s="1"/>
  <c r="G183" i="154"/>
  <c r="G239" i="154" s="1"/>
  <c r="G242" i="154" s="1"/>
  <c r="M194" i="154"/>
  <c r="M197" i="154" s="1"/>
  <c r="N194" i="154"/>
  <c r="N197" i="154" s="1"/>
  <c r="N183" i="154"/>
  <c r="N239" i="154" s="1"/>
  <c r="N242" i="154" s="1"/>
  <c r="C180" i="154"/>
  <c r="C194" i="154" s="1"/>
  <c r="C197" i="154" s="1"/>
  <c r="O17" i="154"/>
  <c r="I183" i="154"/>
  <c r="I239" i="154" s="1"/>
  <c r="I242" i="154" s="1"/>
  <c r="F194" i="154"/>
  <c r="F197" i="154" s="1"/>
  <c r="K183" i="154"/>
  <c r="K239" i="154" s="1"/>
  <c r="K242" i="154" s="1"/>
  <c r="L194" i="154"/>
  <c r="L197" i="154" s="1"/>
  <c r="P17" i="154"/>
  <c r="D180" i="154"/>
  <c r="D194" i="154" s="1"/>
  <c r="AV22" i="60"/>
  <c r="AW18" i="60"/>
  <c r="AW22" i="60"/>
  <c r="AW24" i="60"/>
  <c r="AW16" i="60"/>
  <c r="AW13" i="60"/>
  <c r="AW26" i="60"/>
  <c r="AV19" i="60"/>
  <c r="AV14" i="60"/>
  <c r="AW25" i="60"/>
  <c r="AV13" i="60"/>
  <c r="AW19" i="60"/>
  <c r="AW12" i="60"/>
  <c r="AW23" i="60"/>
  <c r="AW14" i="60"/>
  <c r="AV25" i="60"/>
  <c r="AW17" i="60"/>
  <c r="AV11" i="60"/>
  <c r="AW11" i="60"/>
  <c r="AW20" i="60"/>
  <c r="AW15" i="60"/>
  <c r="AW21" i="60"/>
  <c r="AV18" i="60"/>
  <c r="AW5" i="60"/>
  <c r="AW9" i="60"/>
  <c r="AW8" i="60"/>
  <c r="AW6" i="60"/>
  <c r="AV5" i="60"/>
  <c r="AV6" i="60"/>
  <c r="AV27" i="60" l="1"/>
  <c r="AV30" i="60" s="1"/>
  <c r="AV29" i="60"/>
  <c r="AV32" i="60" s="1"/>
  <c r="AV28" i="60"/>
  <c r="AV31" i="60" s="1"/>
  <c r="AV7" i="60"/>
  <c r="AW28" i="60"/>
  <c r="AW31" i="60" s="1"/>
  <c r="AW27" i="60"/>
  <c r="AW30" i="60" s="1"/>
  <c r="AW29" i="60"/>
  <c r="AW10" i="60"/>
  <c r="AW7" i="60"/>
  <c r="AW3" i="60"/>
  <c r="AW1" i="60"/>
  <c r="AX2" i="60"/>
  <c r="C183" i="154"/>
  <c r="C239" i="154" s="1"/>
  <c r="C242" i="154" s="1"/>
  <c r="O194" i="154"/>
  <c r="D197" i="154"/>
  <c r="O197" i="154" s="1"/>
  <c r="D183" i="154"/>
  <c r="O180" i="154"/>
  <c r="AX18" i="60"/>
  <c r="AX12" i="60"/>
  <c r="AX26" i="60"/>
  <c r="AX19" i="60"/>
  <c r="AX14" i="60"/>
  <c r="AX13" i="60"/>
  <c r="AX22" i="60"/>
  <c r="AX20" i="60"/>
  <c r="AX24" i="60"/>
  <c r="AY2" i="60" l="1"/>
  <c r="AW32" i="60"/>
  <c r="O183" i="154"/>
  <c r="D239" i="154"/>
  <c r="AY15" i="60"/>
  <c r="AX11" i="60"/>
  <c r="AY22" i="60"/>
  <c r="AY25" i="60"/>
  <c r="AX25" i="60"/>
  <c r="AX23" i="60"/>
  <c r="AY16" i="60"/>
  <c r="AY23" i="60"/>
  <c r="AX16" i="60"/>
  <c r="AY24" i="60"/>
  <c r="AY21" i="60"/>
  <c r="AX21" i="60"/>
  <c r="AY17" i="60"/>
  <c r="AY11" i="60"/>
  <c r="AY19" i="60"/>
  <c r="AX15" i="60"/>
  <c r="AY18" i="60"/>
  <c r="AY14" i="60"/>
  <c r="AY13" i="60"/>
  <c r="AY20" i="60"/>
  <c r="AX17" i="60"/>
  <c r="AY12" i="60"/>
  <c r="AY26" i="60"/>
  <c r="AY5" i="60"/>
  <c r="AY8" i="60"/>
  <c r="AY9" i="60"/>
  <c r="AY6" i="60"/>
  <c r="AX27" i="60" l="1"/>
  <c r="AX30" i="60" s="1"/>
  <c r="AX29" i="60"/>
  <c r="AX32" i="60" s="1"/>
  <c r="AX28" i="60"/>
  <c r="AX31" i="60" s="1"/>
  <c r="AY29" i="60"/>
  <c r="AY27" i="60"/>
  <c r="AY30" i="60" s="1"/>
  <c r="AY28" i="60"/>
  <c r="AY31" i="60" s="1"/>
  <c r="AY7" i="60"/>
  <c r="AY10" i="60"/>
  <c r="AY32" i="60" s="1"/>
  <c r="AY3" i="60"/>
  <c r="AY1" i="60"/>
  <c r="D242" i="154"/>
  <c r="O242" i="154" s="1"/>
  <c r="O239" i="154"/>
  <c r="C130" i="142" l="1"/>
  <c r="Z555" i="9" l="1"/>
  <c r="Y555" i="9"/>
  <c r="X555" i="9"/>
  <c r="W555" i="9"/>
  <c r="V555" i="9"/>
  <c r="U555" i="9"/>
  <c r="T555" i="9"/>
  <c r="S555" i="9"/>
  <c r="R555" i="9"/>
  <c r="Q555" i="9"/>
  <c r="P555" i="9"/>
  <c r="O555" i="9"/>
  <c r="N555" i="9"/>
  <c r="M555" i="9"/>
  <c r="L555" i="9"/>
  <c r="K555" i="9"/>
  <c r="J555" i="9"/>
  <c r="I555" i="9"/>
  <c r="H555" i="9"/>
  <c r="G555" i="9"/>
  <c r="F555" i="9"/>
  <c r="E555" i="9"/>
  <c r="D555" i="9"/>
  <c r="C555" i="9"/>
  <c r="F153" i="113"/>
  <c r="C131" i="142"/>
  <c r="I256" i="123" l="1"/>
  <c r="I247" i="123"/>
  <c r="F256" i="123"/>
  <c r="F247" i="123"/>
  <c r="I244" i="123"/>
  <c r="I236" i="123"/>
  <c r="F244" i="123"/>
  <c r="F236" i="123"/>
  <c r="I234" i="123"/>
  <c r="I226" i="123"/>
  <c r="F234" i="123"/>
  <c r="F226" i="123"/>
  <c r="K18" i="112" l="1"/>
  <c r="BE64" i="151" l="1"/>
  <c r="H95" i="151"/>
  <c r="D95" i="151" s="1"/>
  <c r="R64" i="151"/>
  <c r="N64" i="151" s="1"/>
  <c r="H64" i="151"/>
  <c r="BE33" i="151"/>
  <c r="BA33" i="151" s="1"/>
  <c r="H33" i="151"/>
  <c r="R2" i="151"/>
  <c r="N2" i="151" s="1"/>
  <c r="BA64" i="151"/>
  <c r="D2" i="151"/>
  <c r="J100" i="151" l="1"/>
  <c r="J97" i="151"/>
  <c r="T69" i="151"/>
  <c r="T66" i="151"/>
  <c r="H100" i="151"/>
  <c r="H97" i="151"/>
  <c r="R69" i="151"/>
  <c r="R66" i="151"/>
  <c r="R100" i="151"/>
  <c r="R97" i="151"/>
  <c r="T100" i="151"/>
  <c r="T97" i="151"/>
  <c r="T99" i="151" s="1"/>
  <c r="N38" i="151"/>
  <c r="N35" i="151"/>
  <c r="D33" i="151"/>
  <c r="N3" i="171"/>
  <c r="BG69" i="151"/>
  <c r="BG66" i="151"/>
  <c r="BE69" i="151"/>
  <c r="BE66" i="151"/>
  <c r="BE68" i="151" s="1"/>
  <c r="BA35" i="151"/>
  <c r="BA37" i="151" s="1"/>
  <c r="H66" i="151"/>
  <c r="H68" i="151" s="1"/>
  <c r="BE37" i="151"/>
  <c r="J66" i="151"/>
  <c r="J68" i="151" s="1"/>
  <c r="J69" i="151"/>
  <c r="D64" i="151"/>
  <c r="H69" i="151"/>
  <c r="F100" i="151" l="1"/>
  <c r="F97" i="151"/>
  <c r="F99" i="151" s="1"/>
  <c r="P69" i="151"/>
  <c r="P66" i="151"/>
  <c r="P68" i="151" s="1"/>
  <c r="D100" i="151"/>
  <c r="D97" i="151"/>
  <c r="D99" i="151" s="1"/>
  <c r="N69" i="151"/>
  <c r="N66" i="151"/>
  <c r="N68" i="151" s="1"/>
  <c r="N100" i="151"/>
  <c r="N97" i="151"/>
  <c r="P100" i="151"/>
  <c r="P97" i="151"/>
  <c r="P99" i="151" s="1"/>
  <c r="T101" i="151"/>
  <c r="U100" i="151" s="1"/>
  <c r="R99" i="151"/>
  <c r="N37" i="151"/>
  <c r="M3" i="171"/>
  <c r="BC69" i="151"/>
  <c r="BC66" i="151"/>
  <c r="BC68" i="151" s="1"/>
  <c r="BA69" i="151"/>
  <c r="BA66" i="151"/>
  <c r="BA68" i="151" s="1"/>
  <c r="F69" i="151"/>
  <c r="D69" i="151"/>
  <c r="D66" i="151"/>
  <c r="D68" i="151" s="1"/>
  <c r="F66" i="151"/>
  <c r="F68" i="151" s="1"/>
  <c r="BG68" i="151"/>
  <c r="J99" i="151"/>
  <c r="R68" i="151"/>
  <c r="J70" i="151"/>
  <c r="H99" i="151"/>
  <c r="T68" i="151"/>
  <c r="BE70" i="151"/>
  <c r="BF68" i="151" s="1"/>
  <c r="H70" i="151"/>
  <c r="U162" i="116"/>
  <c r="G157" i="113"/>
  <c r="H157" i="113"/>
  <c r="I157" i="113"/>
  <c r="F157" i="113"/>
  <c r="I189" i="165" l="1"/>
  <c r="G189" i="165"/>
  <c r="F189" i="165"/>
  <c r="H189" i="165"/>
  <c r="U99" i="151"/>
  <c r="U101" i="151" s="1"/>
  <c r="R101" i="151"/>
  <c r="S99" i="151" s="1"/>
  <c r="P101" i="151"/>
  <c r="Q100" i="151" s="1"/>
  <c r="N99" i="151"/>
  <c r="N39" i="151"/>
  <c r="O37" i="151" s="1"/>
  <c r="L3" i="171"/>
  <c r="H115" i="156"/>
  <c r="I115" i="156"/>
  <c r="G115" i="156"/>
  <c r="F115" i="156"/>
  <c r="D70" i="151"/>
  <c r="I66" i="151"/>
  <c r="I69" i="151"/>
  <c r="T70" i="151"/>
  <c r="D101" i="151"/>
  <c r="H101" i="151"/>
  <c r="BC70" i="151"/>
  <c r="BD68" i="151" s="1"/>
  <c r="F70" i="151"/>
  <c r="K66" i="151"/>
  <c r="K69" i="151"/>
  <c r="K97" i="151"/>
  <c r="BH66" i="151"/>
  <c r="P70" i="151"/>
  <c r="I68" i="151"/>
  <c r="BA70" i="151"/>
  <c r="BF69" i="151"/>
  <c r="BF70" i="151" s="1"/>
  <c r="BF66" i="151"/>
  <c r="U66" i="151"/>
  <c r="N70" i="151"/>
  <c r="O68" i="151" s="1"/>
  <c r="K68" i="151"/>
  <c r="R70" i="151"/>
  <c r="S68" i="151" s="1"/>
  <c r="F101" i="151"/>
  <c r="G99" i="151" s="1"/>
  <c r="J101" i="151"/>
  <c r="BG70" i="151"/>
  <c r="N101" i="151" l="1"/>
  <c r="Q99" i="151"/>
  <c r="Q101" i="151" s="1"/>
  <c r="S100" i="151"/>
  <c r="S101" i="151" s="1"/>
  <c r="S97" i="151"/>
  <c r="Q68" i="151"/>
  <c r="Q97" i="151"/>
  <c r="U68" i="151"/>
  <c r="U97" i="151"/>
  <c r="O38" i="151"/>
  <c r="O39" i="151" s="1"/>
  <c r="O35" i="151"/>
  <c r="K3" i="171"/>
  <c r="Q69" i="151"/>
  <c r="BD69" i="151"/>
  <c r="BD70" i="151" s="1"/>
  <c r="G100" i="151"/>
  <c r="G101" i="151" s="1"/>
  <c r="BH68" i="151"/>
  <c r="BH69" i="151"/>
  <c r="K99" i="151"/>
  <c r="K100" i="151"/>
  <c r="U69" i="151"/>
  <c r="BB69" i="151"/>
  <c r="BB66" i="151"/>
  <c r="G66" i="151"/>
  <c r="BD66" i="151"/>
  <c r="G97" i="151"/>
  <c r="G69" i="151"/>
  <c r="Q66" i="151"/>
  <c r="I100" i="151"/>
  <c r="I97" i="151"/>
  <c r="E100" i="151"/>
  <c r="E97" i="151"/>
  <c r="E66" i="151"/>
  <c r="E69" i="151"/>
  <c r="S69" i="151"/>
  <c r="S70" i="151" s="1"/>
  <c r="S66" i="151"/>
  <c r="K70" i="151"/>
  <c r="O69" i="151"/>
  <c r="O70" i="151" s="1"/>
  <c r="O66" i="151"/>
  <c r="BB68" i="151"/>
  <c r="I70" i="151"/>
  <c r="G68" i="151"/>
  <c r="I99" i="151"/>
  <c r="E99" i="151"/>
  <c r="E68" i="151"/>
  <c r="O100" i="151" l="1"/>
  <c r="O97" i="151"/>
  <c r="O99" i="151"/>
  <c r="U70" i="151"/>
  <c r="Q70" i="151"/>
  <c r="J3" i="171"/>
  <c r="BH70" i="151"/>
  <c r="K101" i="151"/>
  <c r="E70" i="151"/>
  <c r="E101" i="151"/>
  <c r="G70" i="151"/>
  <c r="BB70" i="151"/>
  <c r="I101" i="151"/>
  <c r="O101" i="151" l="1"/>
  <c r="I3" i="171"/>
  <c r="E256" i="123"/>
  <c r="H3" i="171" l="1"/>
  <c r="Q246" i="123"/>
  <c r="G3" i="171" l="1"/>
  <c r="P22" i="133"/>
  <c r="N23" i="133"/>
  <c r="N22" i="133"/>
  <c r="L23" i="133"/>
  <c r="L22" i="133"/>
  <c r="F3" i="171" l="1"/>
  <c r="I23" i="133"/>
  <c r="I22" i="133"/>
  <c r="E24" i="133"/>
  <c r="E23" i="133"/>
  <c r="E22" i="133"/>
  <c r="D24" i="133"/>
  <c r="D23" i="133"/>
  <c r="D22" i="133"/>
  <c r="C24" i="133"/>
  <c r="C23" i="133"/>
  <c r="C22" i="133"/>
  <c r="E3" i="171" l="1"/>
  <c r="Z11" i="5"/>
  <c r="D3" i="171" l="1"/>
  <c r="E244" i="123"/>
  <c r="E236" i="123"/>
  <c r="C3" i="171" l="1"/>
  <c r="J18" i="112"/>
  <c r="C30" i="112" s="1"/>
  <c r="Z144" i="9"/>
  <c r="Y144" i="9"/>
  <c r="X144" i="9"/>
  <c r="W144" i="9"/>
  <c r="V144" i="9"/>
  <c r="U144" i="9"/>
  <c r="T144" i="9"/>
  <c r="S144" i="9"/>
  <c r="R144" i="9"/>
  <c r="Q144" i="9"/>
  <c r="P144" i="9"/>
  <c r="O144" i="9"/>
  <c r="N144" i="9"/>
  <c r="M144" i="9"/>
  <c r="L144" i="9"/>
  <c r="K144" i="9"/>
  <c r="J144" i="9"/>
  <c r="I144" i="9"/>
  <c r="H144" i="9"/>
  <c r="G144" i="9"/>
  <c r="F144" i="9"/>
  <c r="E144" i="9"/>
  <c r="D144" i="9"/>
  <c r="C144" i="9"/>
  <c r="D38" i="53"/>
  <c r="D54" i="53"/>
  <c r="AD15" i="60"/>
  <c r="G15" i="60"/>
  <c r="AB15" i="60"/>
  <c r="U15" i="60"/>
  <c r="N15" i="60"/>
  <c r="AB55" i="53"/>
  <c r="AB40" i="53"/>
  <c r="AB39" i="53"/>
  <c r="AB56" i="53"/>
  <c r="AB37" i="53"/>
  <c r="AB53" i="53"/>
  <c r="D78" i="169" l="1"/>
  <c r="AA191" i="1"/>
  <c r="C78" i="169" s="1"/>
  <c r="Z79" i="142"/>
  <c r="Y79" i="142"/>
  <c r="X79" i="142"/>
  <c r="W79" i="142"/>
  <c r="V79" i="142"/>
  <c r="U79" i="142"/>
  <c r="T79" i="142"/>
  <c r="Z76" i="142"/>
  <c r="Y76" i="142"/>
  <c r="X76" i="142"/>
  <c r="W76" i="142"/>
  <c r="V76" i="142"/>
  <c r="U76" i="142"/>
  <c r="T76" i="142"/>
  <c r="D73" i="142"/>
  <c r="E73" i="142" s="1"/>
  <c r="F73" i="142" s="1"/>
  <c r="G73" i="142" s="1"/>
  <c r="H73" i="142" s="1"/>
  <c r="I73" i="142" s="1"/>
  <c r="J73" i="142" s="1"/>
  <c r="K73" i="142" s="1"/>
  <c r="L73" i="142" s="1"/>
  <c r="M73" i="142" s="1"/>
  <c r="N73" i="142" s="1"/>
  <c r="O73" i="142" s="1"/>
  <c r="P73" i="142" s="1"/>
  <c r="Q73" i="142" s="1"/>
  <c r="R73" i="142" s="1"/>
  <c r="S73" i="142" s="1"/>
  <c r="T73" i="142" s="1"/>
  <c r="Z8" i="5"/>
  <c r="AA86" i="1"/>
  <c r="AA89" i="1"/>
  <c r="AA87" i="1"/>
  <c r="AA90" i="1"/>
  <c r="AA88" i="1"/>
  <c r="AB34" i="53"/>
  <c r="Y8" i="41"/>
  <c r="AB50" i="53"/>
  <c r="AB51" i="53"/>
  <c r="T83" i="142"/>
  <c r="AB52" i="53"/>
  <c r="AB35" i="53"/>
  <c r="AB36" i="53"/>
  <c r="U73" i="142" l="1"/>
  <c r="F78" i="169"/>
  <c r="E78" i="169" s="1"/>
  <c r="AB38" i="53"/>
  <c r="AB41" i="53" s="1"/>
  <c r="AB54" i="53"/>
  <c r="AB57" i="53" s="1"/>
  <c r="AA91" i="1"/>
  <c r="AA251" i="1" s="1"/>
  <c r="C18" i="112"/>
  <c r="U83" i="142"/>
  <c r="V73" i="142" l="1"/>
  <c r="E48" i="116"/>
  <c r="F48" i="116"/>
  <c r="G48" i="116"/>
  <c r="H48" i="116"/>
  <c r="I48" i="116"/>
  <c r="J48" i="116"/>
  <c r="K48" i="116"/>
  <c r="L48" i="116"/>
  <c r="M48" i="116"/>
  <c r="N48" i="116"/>
  <c r="O48" i="116"/>
  <c r="E49" i="116"/>
  <c r="F49" i="116"/>
  <c r="G49" i="116"/>
  <c r="H49" i="116"/>
  <c r="I49" i="116"/>
  <c r="J49" i="116"/>
  <c r="K49" i="116"/>
  <c r="L49" i="116"/>
  <c r="M49" i="116"/>
  <c r="N49" i="116"/>
  <c r="O49" i="116"/>
  <c r="E50" i="116"/>
  <c r="F50" i="116"/>
  <c r="G50" i="116"/>
  <c r="H50" i="116"/>
  <c r="I50" i="116"/>
  <c r="J50" i="116"/>
  <c r="K50" i="116"/>
  <c r="L50" i="116"/>
  <c r="M50" i="116"/>
  <c r="N50" i="116"/>
  <c r="O50" i="116"/>
  <c r="E51" i="116"/>
  <c r="F51" i="116"/>
  <c r="G51" i="116"/>
  <c r="H51" i="116"/>
  <c r="I51" i="116"/>
  <c r="J51" i="116"/>
  <c r="K51" i="116"/>
  <c r="L51" i="116"/>
  <c r="M51" i="116"/>
  <c r="N51" i="116"/>
  <c r="O51" i="116"/>
  <c r="D49" i="116"/>
  <c r="D50" i="116"/>
  <c r="D51" i="116"/>
  <c r="D48" i="116"/>
  <c r="Q48" i="113"/>
  <c r="P48" i="113"/>
  <c r="O48" i="113"/>
  <c r="N48" i="113"/>
  <c r="L52" i="116" s="1"/>
  <c r="M48" i="113"/>
  <c r="K52" i="116" s="1"/>
  <c r="L48" i="113"/>
  <c r="J52" i="116" s="1"/>
  <c r="K48" i="113"/>
  <c r="I52" i="116" s="1"/>
  <c r="J48" i="113"/>
  <c r="H52" i="116" s="1"/>
  <c r="I48" i="113"/>
  <c r="G52" i="116" s="1"/>
  <c r="H48" i="113"/>
  <c r="F52" i="116" s="1"/>
  <c r="G48" i="113"/>
  <c r="E52" i="116" s="1"/>
  <c r="F48" i="113"/>
  <c r="D52" i="116" s="1"/>
  <c r="D160" i="116" s="1"/>
  <c r="W47" i="113"/>
  <c r="W46" i="113"/>
  <c r="W45" i="113"/>
  <c r="W44" i="113"/>
  <c r="F71" i="113"/>
  <c r="F51" i="113"/>
  <c r="F50" i="113"/>
  <c r="F49" i="113"/>
  <c r="F52" i="113"/>
  <c r="F110" i="113"/>
  <c r="F100" i="113"/>
  <c r="AA21" i="1"/>
  <c r="AA19" i="1"/>
  <c r="AA20" i="1"/>
  <c r="V83" i="142"/>
  <c r="W73" i="142" l="1"/>
  <c r="U50" i="116"/>
  <c r="AA43" i="1"/>
  <c r="G53" i="116"/>
  <c r="U52" i="116"/>
  <c r="L53" i="116"/>
  <c r="F163" i="113" s="1"/>
  <c r="H53" i="116"/>
  <c r="I53" i="116"/>
  <c r="E53" i="116"/>
  <c r="K53" i="116"/>
  <c r="N53" i="116"/>
  <c r="H163" i="113" s="1"/>
  <c r="J53" i="116"/>
  <c r="F53" i="116"/>
  <c r="D53" i="116"/>
  <c r="O53" i="116"/>
  <c r="I163" i="113" s="1"/>
  <c r="M53" i="116"/>
  <c r="G163" i="113" s="1"/>
  <c r="U51" i="116"/>
  <c r="U49" i="116"/>
  <c r="D55" i="116"/>
  <c r="D58" i="116" s="1"/>
  <c r="D57" i="116"/>
  <c r="D56" i="116"/>
  <c r="D54" i="116"/>
  <c r="W48" i="113"/>
  <c r="U48" i="116"/>
  <c r="F53" i="113"/>
  <c r="W83" i="142"/>
  <c r="G195" i="165" l="1"/>
  <c r="F195" i="165"/>
  <c r="I195" i="165"/>
  <c r="H195" i="165"/>
  <c r="X73" i="142"/>
  <c r="G121" i="156"/>
  <c r="F121" i="156"/>
  <c r="I121" i="156"/>
  <c r="H121" i="156"/>
  <c r="U53" i="116"/>
  <c r="D59" i="116"/>
  <c r="X83" i="142"/>
  <c r="Y73" i="142" l="1"/>
  <c r="K23" i="133"/>
  <c r="R28" i="142"/>
  <c r="Y83" i="142"/>
  <c r="Z73" i="142" l="1"/>
  <c r="I242" i="123"/>
  <c r="Z83" i="142"/>
  <c r="AA73" i="142" l="1"/>
  <c r="AA170" i="1"/>
  <c r="Y498" i="121"/>
  <c r="AA68" i="1"/>
  <c r="AA83" i="142"/>
  <c r="AA84" i="142" l="1"/>
  <c r="AB73" i="142"/>
  <c r="AA196" i="1"/>
  <c r="C83" i="169" s="1"/>
  <c r="N140" i="113"/>
  <c r="O140" i="113"/>
  <c r="P140" i="113"/>
  <c r="M140" i="113"/>
  <c r="AB83" i="142"/>
  <c r="AB84" i="142" l="1"/>
  <c r="AC73" i="142"/>
  <c r="O11" i="112"/>
  <c r="AC83" i="142"/>
  <c r="AC84" i="142" l="1"/>
  <c r="AD73" i="142"/>
  <c r="K22" i="133"/>
  <c r="AD83" i="142"/>
  <c r="BA38" i="151" l="1"/>
  <c r="AD84" i="142"/>
  <c r="AE73" i="142"/>
  <c r="G131" i="120"/>
  <c r="H131" i="120" s="1"/>
  <c r="G132" i="120"/>
  <c r="H132" i="120" s="1"/>
  <c r="G133" i="120"/>
  <c r="H133" i="120" s="1"/>
  <c r="G134" i="120"/>
  <c r="H134" i="120" s="1"/>
  <c r="G135" i="120"/>
  <c r="H135" i="120" s="1"/>
  <c r="G136" i="120"/>
  <c r="H136" i="120" s="1"/>
  <c r="G137" i="120"/>
  <c r="H137" i="120" s="1"/>
  <c r="G138" i="120"/>
  <c r="H138" i="120" s="1"/>
  <c r="G139" i="120"/>
  <c r="H139" i="120" s="1"/>
  <c r="G140" i="120"/>
  <c r="H140" i="120" s="1"/>
  <c r="G141" i="120"/>
  <c r="H141" i="120" s="1"/>
  <c r="G142" i="120"/>
  <c r="H142" i="120" s="1"/>
  <c r="G143" i="120"/>
  <c r="H143" i="120" s="1"/>
  <c r="G144" i="120"/>
  <c r="H144" i="120" s="1"/>
  <c r="G145" i="120"/>
  <c r="H145" i="120" s="1"/>
  <c r="G146" i="120"/>
  <c r="H146" i="120" s="1"/>
  <c r="G147" i="120"/>
  <c r="H147" i="120" s="1"/>
  <c r="G148" i="120"/>
  <c r="H148" i="120" s="1"/>
  <c r="G149" i="120"/>
  <c r="H149" i="120" s="1"/>
  <c r="G150" i="120"/>
  <c r="H150" i="120" s="1"/>
  <c r="G151" i="120"/>
  <c r="H151" i="120" s="1"/>
  <c r="G152" i="120"/>
  <c r="H152" i="120" s="1"/>
  <c r="G153" i="120"/>
  <c r="H153" i="120" s="1"/>
  <c r="G154" i="120"/>
  <c r="H154" i="120" s="1"/>
  <c r="G155" i="120"/>
  <c r="H155" i="120" s="1"/>
  <c r="G156" i="120"/>
  <c r="H156" i="120" s="1"/>
  <c r="G157" i="120"/>
  <c r="H157" i="120" s="1"/>
  <c r="G158" i="120"/>
  <c r="H158" i="120" s="1"/>
  <c r="G159" i="120"/>
  <c r="H159" i="120" s="1"/>
  <c r="G160" i="120"/>
  <c r="H160" i="120" s="1"/>
  <c r="G161" i="120"/>
  <c r="H161" i="120" s="1"/>
  <c r="G162" i="120"/>
  <c r="H162" i="120" s="1"/>
  <c r="G163" i="120"/>
  <c r="H163" i="120" s="1"/>
  <c r="G164" i="120"/>
  <c r="H164" i="120" s="1"/>
  <c r="G165" i="120"/>
  <c r="H165" i="120" s="1"/>
  <c r="G166" i="120"/>
  <c r="H166" i="120" s="1"/>
  <c r="G167" i="120"/>
  <c r="H167" i="120" s="1"/>
  <c r="G168" i="120"/>
  <c r="H168" i="120" s="1"/>
  <c r="G169" i="120"/>
  <c r="H169" i="120" s="1"/>
  <c r="G170" i="120"/>
  <c r="H170" i="120" s="1"/>
  <c r="G171" i="120"/>
  <c r="H171" i="120" s="1"/>
  <c r="G172" i="120"/>
  <c r="H172" i="120" s="1"/>
  <c r="G173" i="120"/>
  <c r="H173" i="120" s="1"/>
  <c r="G174" i="120"/>
  <c r="H174" i="120" s="1"/>
  <c r="G175" i="120"/>
  <c r="H175" i="120" s="1"/>
  <c r="G176" i="120"/>
  <c r="H176" i="120" s="1"/>
  <c r="G177" i="120"/>
  <c r="H177" i="120" s="1"/>
  <c r="G178" i="120"/>
  <c r="H178" i="120" s="1"/>
  <c r="G179" i="120"/>
  <c r="H179" i="120" s="1"/>
  <c r="G180" i="120"/>
  <c r="H180" i="120" s="1"/>
  <c r="G181" i="120"/>
  <c r="H181" i="120" s="1"/>
  <c r="G182" i="120"/>
  <c r="H182" i="120" s="1"/>
  <c r="G183" i="120"/>
  <c r="H183" i="120" s="1"/>
  <c r="G184" i="120"/>
  <c r="H184" i="120" s="1"/>
  <c r="G185" i="120"/>
  <c r="H185" i="120" s="1"/>
  <c r="G186" i="120"/>
  <c r="H186" i="120" s="1"/>
  <c r="G187" i="120"/>
  <c r="H187" i="120" s="1"/>
  <c r="G188" i="120"/>
  <c r="H188" i="120" s="1"/>
  <c r="G189" i="120"/>
  <c r="H189" i="120" s="1"/>
  <c r="G190" i="120"/>
  <c r="H190" i="120" s="1"/>
  <c r="G191" i="120"/>
  <c r="H191" i="120" s="1"/>
  <c r="G192" i="120"/>
  <c r="H192" i="120" s="1"/>
  <c r="G193" i="120"/>
  <c r="H193" i="120" s="1"/>
  <c r="G194" i="120"/>
  <c r="H194" i="120" s="1"/>
  <c r="G195" i="120"/>
  <c r="H195" i="120" s="1"/>
  <c r="G196" i="120"/>
  <c r="H196" i="120" s="1"/>
  <c r="G197" i="120"/>
  <c r="H197" i="120" s="1"/>
  <c r="G198" i="120"/>
  <c r="H198" i="120" s="1"/>
  <c r="G199" i="120"/>
  <c r="H199" i="120" s="1"/>
  <c r="G200" i="120"/>
  <c r="H200" i="120" s="1"/>
  <c r="AE83" i="142"/>
  <c r="BE38" i="151" l="1"/>
  <c r="AE84" i="142"/>
  <c r="AF73" i="142"/>
  <c r="C52" i="142"/>
  <c r="AF83" i="142"/>
  <c r="AF84" i="142" l="1"/>
  <c r="AG73" i="142"/>
  <c r="B543" i="136"/>
  <c r="AG83" i="142"/>
  <c r="AG84" i="142" l="1"/>
  <c r="AH73" i="142"/>
  <c r="L23" i="112"/>
  <c r="N23" i="112"/>
  <c r="AH83" i="142"/>
  <c r="AH84" i="142" l="1"/>
  <c r="AI73" i="142"/>
  <c r="I232" i="123"/>
  <c r="AI83" i="142"/>
  <c r="AI84" i="142" l="1"/>
  <c r="AJ73" i="142"/>
  <c r="O8" i="112"/>
  <c r="I216" i="123"/>
  <c r="I224" i="123"/>
  <c r="I254" i="123" s="1"/>
  <c r="F224" i="123"/>
  <c r="F216" i="123"/>
  <c r="AJ83" i="142"/>
  <c r="AJ84" i="142" l="1"/>
  <c r="AK73" i="142"/>
  <c r="H13" i="116"/>
  <c r="I13" i="116"/>
  <c r="J13" i="116"/>
  <c r="K13" i="116"/>
  <c r="L13" i="116"/>
  <c r="M13" i="116"/>
  <c r="N13" i="116"/>
  <c r="O13" i="116"/>
  <c r="AK83" i="142"/>
  <c r="AK84" i="142" l="1"/>
  <c r="AL73" i="142"/>
  <c r="C19" i="133"/>
  <c r="D19" i="133"/>
  <c r="E19" i="133"/>
  <c r="I19" i="133"/>
  <c r="L19" i="133"/>
  <c r="N19" i="133"/>
  <c r="N21" i="133"/>
  <c r="E90" i="120"/>
  <c r="E81" i="120"/>
  <c r="E80" i="120"/>
  <c r="E82" i="120"/>
  <c r="AL83" i="142"/>
  <c r="AL84" i="142" l="1"/>
  <c r="AM73" i="142"/>
  <c r="L21" i="133"/>
  <c r="I21" i="133"/>
  <c r="E21" i="133"/>
  <c r="D21" i="133"/>
  <c r="C21" i="133"/>
  <c r="K21" i="133"/>
  <c r="AM83" i="142"/>
  <c r="AM84" i="142" l="1"/>
  <c r="AN73" i="142"/>
  <c r="Q21" i="133"/>
  <c r="Q19" i="133"/>
  <c r="K19" i="133"/>
  <c r="P21" i="133"/>
  <c r="K215" i="123"/>
  <c r="AN83" i="142"/>
  <c r="AN84" i="142" l="1"/>
  <c r="AO73" i="142"/>
  <c r="F128" i="113"/>
  <c r="Q128" i="113"/>
  <c r="P128" i="113"/>
  <c r="O128" i="113"/>
  <c r="N128" i="113"/>
  <c r="M128" i="113"/>
  <c r="L128" i="113"/>
  <c r="K128" i="113"/>
  <c r="J128" i="113"/>
  <c r="I128" i="113"/>
  <c r="H128" i="113"/>
  <c r="G128" i="113"/>
  <c r="W143" i="113"/>
  <c r="AO83" i="142"/>
  <c r="AO84" i="142" l="1"/>
  <c r="AP73" i="142"/>
  <c r="AB5" i="60"/>
  <c r="AB6" i="60"/>
  <c r="AB8" i="60"/>
  <c r="AB9" i="60"/>
  <c r="U9" i="60"/>
  <c r="N9" i="60"/>
  <c r="G9" i="60"/>
  <c r="U8" i="60"/>
  <c r="N8" i="60"/>
  <c r="G8" i="60"/>
  <c r="U6" i="60"/>
  <c r="N6" i="60"/>
  <c r="G6" i="60"/>
  <c r="U5" i="60"/>
  <c r="N5" i="60"/>
  <c r="G5" i="60"/>
  <c r="Q5" i="133"/>
  <c r="Q6" i="133"/>
  <c r="D5" i="133"/>
  <c r="E5" i="133"/>
  <c r="L5" i="133"/>
  <c r="I5" i="133"/>
  <c r="K5" i="133"/>
  <c r="J8" i="133"/>
  <c r="K8" i="133"/>
  <c r="D9" i="133"/>
  <c r="E9" i="133"/>
  <c r="J9" i="133"/>
  <c r="K9" i="133"/>
  <c r="L9" i="133"/>
  <c r="Q9" i="133"/>
  <c r="D10" i="133"/>
  <c r="E10" i="133"/>
  <c r="K10" i="133"/>
  <c r="L10" i="133"/>
  <c r="Q10" i="133"/>
  <c r="D11" i="133"/>
  <c r="E11" i="133"/>
  <c r="K11" i="133"/>
  <c r="L11" i="133"/>
  <c r="Q11" i="133"/>
  <c r="D12" i="133"/>
  <c r="E12" i="133"/>
  <c r="I12" i="133"/>
  <c r="K12" i="133"/>
  <c r="L12" i="133"/>
  <c r="N12" i="133"/>
  <c r="Q12" i="133"/>
  <c r="I13" i="133"/>
  <c r="Q13" i="133"/>
  <c r="D14" i="133"/>
  <c r="E14" i="133"/>
  <c r="I14" i="133"/>
  <c r="K14" i="133"/>
  <c r="L14" i="133"/>
  <c r="N14" i="133"/>
  <c r="Q14" i="133"/>
  <c r="D15" i="133"/>
  <c r="E15" i="133"/>
  <c r="I15" i="133"/>
  <c r="K15" i="133"/>
  <c r="L15" i="133"/>
  <c r="N15" i="133"/>
  <c r="Q15" i="133"/>
  <c r="D16" i="133"/>
  <c r="E16" i="133"/>
  <c r="I16" i="133"/>
  <c r="K16" i="133"/>
  <c r="L16" i="133"/>
  <c r="N16" i="133"/>
  <c r="Q16" i="133"/>
  <c r="D17" i="133"/>
  <c r="E17" i="133"/>
  <c r="I17" i="133"/>
  <c r="K17" i="133"/>
  <c r="L17" i="133"/>
  <c r="N17" i="133"/>
  <c r="Q17" i="133"/>
  <c r="D18" i="133"/>
  <c r="E18" i="133"/>
  <c r="I18" i="133"/>
  <c r="K18" i="133"/>
  <c r="L18" i="133"/>
  <c r="N18" i="133"/>
  <c r="Q18" i="133"/>
  <c r="Q20" i="133"/>
  <c r="AB22" i="60"/>
  <c r="N17" i="60"/>
  <c r="AD20" i="60"/>
  <c r="N25" i="60"/>
  <c r="N19" i="60"/>
  <c r="N26" i="60"/>
  <c r="AD17" i="60"/>
  <c r="G19" i="60"/>
  <c r="AB19" i="60"/>
  <c r="G18" i="60"/>
  <c r="AD14" i="60"/>
  <c r="AB11" i="60"/>
  <c r="U17" i="60"/>
  <c r="AB23" i="60"/>
  <c r="AB14" i="60"/>
  <c r="U20" i="60"/>
  <c r="N13" i="60"/>
  <c r="AB25" i="60"/>
  <c r="U19" i="60"/>
  <c r="U26" i="60"/>
  <c r="N12" i="60"/>
  <c r="U14" i="60"/>
  <c r="AD26" i="60"/>
  <c r="AD13" i="60"/>
  <c r="G13" i="60"/>
  <c r="U23" i="60"/>
  <c r="U13" i="60"/>
  <c r="N14" i="60"/>
  <c r="AD23" i="60"/>
  <c r="AD19" i="60"/>
  <c r="U11" i="60"/>
  <c r="G21" i="60"/>
  <c r="G23" i="60"/>
  <c r="N22" i="60"/>
  <c r="G25" i="60"/>
  <c r="U25" i="60"/>
  <c r="G11" i="60"/>
  <c r="AB21" i="60"/>
  <c r="AD22" i="60"/>
  <c r="N21" i="60"/>
  <c r="G14" i="60"/>
  <c r="AB13" i="60"/>
  <c r="U21" i="60"/>
  <c r="N11" i="60"/>
  <c r="AD21" i="60"/>
  <c r="G20" i="60"/>
  <c r="U12" i="60"/>
  <c r="U22" i="60"/>
  <c r="G26" i="60"/>
  <c r="AB17" i="60"/>
  <c r="AD11" i="60"/>
  <c r="AB26" i="60"/>
  <c r="U18" i="60"/>
  <c r="N18" i="60"/>
  <c r="AD18" i="60"/>
  <c r="AD25" i="60"/>
  <c r="AB18" i="60"/>
  <c r="AD12" i="60"/>
  <c r="N23" i="60"/>
  <c r="G22" i="60"/>
  <c r="AB20" i="60"/>
  <c r="G12" i="60"/>
  <c r="G17" i="60"/>
  <c r="N20" i="60"/>
  <c r="AB12" i="60"/>
  <c r="AD6" i="60"/>
  <c r="AD5" i="60"/>
  <c r="AP83" i="142"/>
  <c r="AP84" i="142" l="1"/>
  <c r="AQ73" i="142"/>
  <c r="AD27" i="60"/>
  <c r="U27" i="60"/>
  <c r="N27" i="60"/>
  <c r="G27" i="60"/>
  <c r="AB27" i="60"/>
  <c r="AB10" i="60"/>
  <c r="AB7" i="60"/>
  <c r="G28" i="60"/>
  <c r="G31" i="60" s="1"/>
  <c r="AB29" i="60"/>
  <c r="G10" i="60"/>
  <c r="G29" i="60"/>
  <c r="G7" i="60"/>
  <c r="AQ83" i="142"/>
  <c r="AQ84" i="142" l="1"/>
  <c r="AR73" i="142"/>
  <c r="AB32" i="60"/>
  <c r="AB28" i="60"/>
  <c r="AB31" i="60" s="1"/>
  <c r="AB30" i="60"/>
  <c r="G30" i="60"/>
  <c r="N28" i="60"/>
  <c r="N31" i="60" s="1"/>
  <c r="U28" i="60"/>
  <c r="U31" i="60" s="1"/>
  <c r="AD28" i="60"/>
  <c r="G32" i="60"/>
  <c r="U10" i="60"/>
  <c r="U29" i="60"/>
  <c r="U7" i="60"/>
  <c r="N10" i="60"/>
  <c r="N29" i="60"/>
  <c r="N7" i="60"/>
  <c r="AR83" i="142"/>
  <c r="AR84" i="142" l="1"/>
  <c r="U30" i="60"/>
  <c r="N30" i="60"/>
  <c r="N32" i="60"/>
  <c r="U32" i="60"/>
  <c r="G18" i="112" l="1"/>
  <c r="C31" i="142" l="1"/>
  <c r="D31" i="142"/>
  <c r="E31" i="142"/>
  <c r="F31" i="142"/>
  <c r="G31" i="142"/>
  <c r="H31" i="142"/>
  <c r="I31" i="142"/>
  <c r="J31" i="142"/>
  <c r="K31" i="142"/>
  <c r="L31" i="142"/>
  <c r="M31" i="142"/>
  <c r="N31" i="142"/>
  <c r="O31" i="142"/>
  <c r="P31" i="142"/>
  <c r="Q31" i="142"/>
  <c r="R31" i="142"/>
  <c r="S31" i="142"/>
  <c r="T31" i="142"/>
  <c r="U31" i="142"/>
  <c r="V31" i="142"/>
  <c r="W31" i="142"/>
  <c r="X31" i="142"/>
  <c r="Y31" i="142"/>
  <c r="Z31" i="142"/>
  <c r="C55" i="142"/>
  <c r="D55" i="142"/>
  <c r="E55" i="142"/>
  <c r="F55" i="142"/>
  <c r="G55" i="142"/>
  <c r="H55" i="142"/>
  <c r="I55" i="142"/>
  <c r="J55" i="142"/>
  <c r="K55" i="142"/>
  <c r="L55" i="142"/>
  <c r="M55" i="142"/>
  <c r="N55" i="142"/>
  <c r="O55" i="142"/>
  <c r="P55" i="142"/>
  <c r="Q55" i="142"/>
  <c r="R55" i="142"/>
  <c r="S55" i="142"/>
  <c r="T55" i="142"/>
  <c r="U55" i="142"/>
  <c r="V55" i="142"/>
  <c r="W55" i="142"/>
  <c r="X55" i="142"/>
  <c r="Y55" i="142"/>
  <c r="Z55" i="142"/>
  <c r="Z52" i="142" l="1"/>
  <c r="Y52" i="142"/>
  <c r="X52" i="142"/>
  <c r="W52" i="142"/>
  <c r="V52" i="142"/>
  <c r="U52" i="142"/>
  <c r="T52" i="142"/>
  <c r="S52" i="142"/>
  <c r="R52" i="142"/>
  <c r="Q52" i="142"/>
  <c r="P52" i="142"/>
  <c r="O52" i="142"/>
  <c r="N52" i="142"/>
  <c r="M52" i="142"/>
  <c r="L52" i="142"/>
  <c r="K52" i="142"/>
  <c r="J52" i="142"/>
  <c r="I52" i="142"/>
  <c r="H52" i="142"/>
  <c r="G52" i="142"/>
  <c r="F52" i="142"/>
  <c r="E52" i="142"/>
  <c r="D52" i="142"/>
  <c r="C28" i="142"/>
  <c r="D28" i="142"/>
  <c r="E28" i="142"/>
  <c r="F28" i="142"/>
  <c r="G28" i="142"/>
  <c r="H28" i="142"/>
  <c r="C34" i="142"/>
  <c r="D34" i="142"/>
  <c r="E34" i="142"/>
  <c r="F34" i="142"/>
  <c r="G34" i="142"/>
  <c r="H34" i="142"/>
  <c r="I28" i="142"/>
  <c r="J28" i="142"/>
  <c r="K28" i="142"/>
  <c r="L28" i="142"/>
  <c r="M28" i="142"/>
  <c r="N28" i="142"/>
  <c r="O28" i="142"/>
  <c r="P28" i="142"/>
  <c r="Q28" i="142"/>
  <c r="S28" i="142"/>
  <c r="T28" i="142"/>
  <c r="U28" i="142"/>
  <c r="V28" i="142"/>
  <c r="X28" i="142"/>
  <c r="Y28" i="142"/>
  <c r="Z28" i="142"/>
  <c r="C41" i="142"/>
  <c r="C38" i="142"/>
  <c r="C37" i="142"/>
  <c r="C43" i="142"/>
  <c r="C35" i="142"/>
  <c r="C45" i="142" l="1"/>
  <c r="C46" i="142" s="1"/>
  <c r="C39" i="142"/>
  <c r="C36" i="142"/>
  <c r="Z7" i="142" l="1"/>
  <c r="Y7" i="142"/>
  <c r="X7" i="142"/>
  <c r="W7" i="142"/>
  <c r="V7" i="142"/>
  <c r="U7" i="142"/>
  <c r="T7" i="142"/>
  <c r="S7" i="142"/>
  <c r="R7" i="142"/>
  <c r="Q7" i="142"/>
  <c r="P7" i="142"/>
  <c r="O7" i="142"/>
  <c r="N7" i="142"/>
  <c r="M7" i="142"/>
  <c r="L7" i="142"/>
  <c r="K7" i="142"/>
  <c r="J7" i="142"/>
  <c r="I7" i="142"/>
  <c r="H7" i="142"/>
  <c r="G7" i="142"/>
  <c r="F7" i="142"/>
  <c r="E7" i="142"/>
  <c r="D7" i="142"/>
  <c r="C7" i="142"/>
  <c r="D4" i="142"/>
  <c r="E4" i="142"/>
  <c r="F4" i="142"/>
  <c r="G4" i="142"/>
  <c r="H4" i="142"/>
  <c r="I4" i="142"/>
  <c r="J4" i="142"/>
  <c r="K4" i="142"/>
  <c r="L4" i="142"/>
  <c r="M4" i="142"/>
  <c r="N4" i="142"/>
  <c r="O4" i="142"/>
  <c r="P4" i="142"/>
  <c r="Q4" i="142"/>
  <c r="R4" i="142"/>
  <c r="S4" i="142"/>
  <c r="T4" i="142"/>
  <c r="U4" i="142"/>
  <c r="V4" i="142"/>
  <c r="W4" i="142"/>
  <c r="X4" i="142"/>
  <c r="Y4" i="142"/>
  <c r="Z4" i="142"/>
  <c r="C4" i="142"/>
  <c r="C40" i="142"/>
  <c r="C42" i="142" l="1"/>
  <c r="C47" i="142" s="1"/>
  <c r="J493" i="136" l="1"/>
  <c r="J494" i="136"/>
  <c r="L494" i="136" s="1"/>
  <c r="J495" i="136"/>
  <c r="J496" i="136"/>
  <c r="L496" i="136" s="1"/>
  <c r="J497" i="136"/>
  <c r="J498" i="136"/>
  <c r="L498" i="136" s="1"/>
  <c r="J499" i="136"/>
  <c r="L499" i="136" s="1"/>
  <c r="J500" i="136"/>
  <c r="L500" i="136" s="1"/>
  <c r="J501" i="136"/>
  <c r="J502" i="136"/>
  <c r="L502" i="136" s="1"/>
  <c r="J503" i="136"/>
  <c r="J504" i="136"/>
  <c r="L504" i="136" s="1"/>
  <c r="J505" i="136"/>
  <c r="L505" i="136" s="1"/>
  <c r="L493" i="136"/>
  <c r="L495" i="136"/>
  <c r="L497" i="136"/>
  <c r="L501" i="136"/>
  <c r="L503" i="136"/>
  <c r="D500" i="136"/>
  <c r="D501" i="136"/>
  <c r="D502" i="136"/>
  <c r="D503" i="136"/>
  <c r="D504" i="136"/>
  <c r="D505" i="136"/>
  <c r="D506" i="136"/>
  <c r="D507" i="136"/>
  <c r="D508" i="136"/>
  <c r="D509" i="136"/>
  <c r="D510" i="136"/>
  <c r="D511" i="136"/>
  <c r="D512" i="136"/>
  <c r="D513" i="136"/>
  <c r="D514" i="136"/>
  <c r="D515" i="136"/>
  <c r="D516" i="136"/>
  <c r="D517" i="136"/>
  <c r="D518" i="136"/>
  <c r="D519" i="136"/>
  <c r="D520" i="136"/>
  <c r="D521" i="136"/>
  <c r="D522" i="136"/>
  <c r="D523" i="136"/>
  <c r="D524" i="136"/>
  <c r="D525" i="136"/>
  <c r="D526" i="136"/>
  <c r="D527" i="136"/>
  <c r="D528" i="136"/>
  <c r="D529" i="136"/>
  <c r="D530" i="136"/>
  <c r="D531" i="136"/>
  <c r="D532" i="136"/>
  <c r="D533" i="136"/>
  <c r="D534" i="136"/>
  <c r="D535" i="136"/>
  <c r="D536" i="136"/>
  <c r="D537" i="136"/>
  <c r="D538" i="136"/>
  <c r="D539" i="136"/>
  <c r="D540" i="136"/>
  <c r="D541" i="136"/>
  <c r="D542" i="136"/>
  <c r="D543" i="136"/>
  <c r="D544" i="136"/>
  <c r="D545" i="136"/>
  <c r="D546" i="136"/>
  <c r="D547" i="136"/>
  <c r="D548" i="136"/>
  <c r="D549" i="136"/>
  <c r="D550" i="136"/>
  <c r="D551" i="136"/>
  <c r="D552" i="136"/>
  <c r="D553" i="136"/>
  <c r="D554" i="136"/>
  <c r="D555" i="136"/>
  <c r="D556" i="136"/>
  <c r="D557" i="136"/>
  <c r="D558" i="136"/>
  <c r="D559" i="136"/>
  <c r="D560" i="136"/>
  <c r="D561" i="136"/>
  <c r="D562" i="136"/>
  <c r="D563" i="136"/>
  <c r="D564" i="136"/>
  <c r="D565" i="136"/>
  <c r="D566" i="136"/>
  <c r="D567" i="136"/>
  <c r="D568" i="136"/>
  <c r="D569" i="136"/>
  <c r="D570" i="136"/>
  <c r="D571" i="136"/>
  <c r="D572" i="136"/>
  <c r="D573" i="136"/>
  <c r="D574" i="136"/>
  <c r="D575" i="136"/>
  <c r="D576" i="136"/>
  <c r="D577" i="136"/>
  <c r="D578" i="136"/>
  <c r="D579" i="136"/>
  <c r="D580" i="136"/>
  <c r="D581" i="136"/>
  <c r="D582" i="136"/>
  <c r="D583" i="136"/>
  <c r="D584" i="136"/>
  <c r="D585" i="136"/>
  <c r="D586" i="136"/>
  <c r="D587" i="136"/>
  <c r="D588" i="136"/>
  <c r="D589" i="136"/>
  <c r="D590" i="136"/>
  <c r="D591" i="136"/>
  <c r="D592" i="136"/>
  <c r="D593" i="136"/>
  <c r="D594" i="136"/>
  <c r="D595" i="136"/>
  <c r="D596" i="136"/>
  <c r="D597" i="136"/>
  <c r="D598" i="136"/>
  <c r="D599" i="136"/>
  <c r="D600" i="136"/>
  <c r="D601" i="136"/>
  <c r="D602" i="136"/>
  <c r="D603" i="136"/>
  <c r="D604" i="136"/>
  <c r="D605" i="136"/>
  <c r="D606" i="136"/>
  <c r="D607" i="136"/>
  <c r="D608" i="136"/>
  <c r="D609" i="136"/>
  <c r="D610" i="136"/>
  <c r="D611" i="136"/>
  <c r="D612" i="136"/>
  <c r="D613" i="136"/>
  <c r="D614" i="136"/>
  <c r="D615" i="136"/>
  <c r="D616" i="136"/>
  <c r="D617" i="136"/>
  <c r="D618" i="136"/>
  <c r="D619" i="136"/>
  <c r="D620" i="136"/>
  <c r="D621" i="136"/>
  <c r="D622" i="136"/>
  <c r="D623" i="136"/>
  <c r="D624" i="136"/>
  <c r="D625" i="136"/>
  <c r="D626" i="136"/>
  <c r="D627" i="136"/>
  <c r="D628" i="136"/>
  <c r="D629" i="136"/>
  <c r="D630" i="136"/>
  <c r="D631" i="136"/>
  <c r="D632" i="136"/>
  <c r="D633" i="136"/>
  <c r="D634" i="136"/>
  <c r="D635" i="136"/>
  <c r="D636" i="136"/>
  <c r="D637" i="136"/>
  <c r="D638" i="136"/>
  <c r="D639" i="136"/>
  <c r="D640" i="136"/>
  <c r="D641" i="136"/>
  <c r="D642" i="136"/>
  <c r="D643" i="136"/>
  <c r="D644" i="136"/>
  <c r="D645" i="136"/>
  <c r="D646" i="136"/>
  <c r="D647" i="136"/>
  <c r="D648" i="136"/>
  <c r="D649" i="136"/>
  <c r="D650" i="136"/>
  <c r="D651" i="136"/>
  <c r="D652" i="136"/>
  <c r="D653" i="136"/>
  <c r="D654" i="136"/>
  <c r="D655" i="136"/>
  <c r="D656" i="136"/>
  <c r="D657" i="136"/>
  <c r="D658" i="136"/>
  <c r="D659" i="136"/>
  <c r="D660" i="136"/>
  <c r="D661" i="136"/>
  <c r="D662" i="136"/>
  <c r="D663" i="136"/>
  <c r="D664" i="136"/>
  <c r="D665" i="136"/>
  <c r="D666" i="136"/>
  <c r="D667" i="136"/>
  <c r="D668" i="136"/>
  <c r="D669" i="136"/>
  <c r="D670" i="136"/>
  <c r="D671" i="136"/>
  <c r="D672" i="136"/>
  <c r="D673" i="136"/>
  <c r="D674" i="136"/>
  <c r="D675" i="136"/>
  <c r="D676" i="136"/>
  <c r="D677" i="136"/>
  <c r="D678" i="136"/>
  <c r="D679" i="136"/>
  <c r="D680" i="136"/>
  <c r="D681" i="136"/>
  <c r="D682" i="136"/>
  <c r="D683" i="136"/>
  <c r="D684" i="136"/>
  <c r="D685" i="136"/>
  <c r="D686" i="136"/>
  <c r="D687" i="136"/>
  <c r="D688" i="136"/>
  <c r="D689" i="136"/>
  <c r="D690" i="136"/>
  <c r="D691" i="136"/>
  <c r="D692" i="136"/>
  <c r="D693" i="136"/>
  <c r="D694" i="136"/>
  <c r="D695" i="136"/>
  <c r="D696" i="136"/>
  <c r="D697" i="136"/>
  <c r="D698" i="136"/>
  <c r="D699" i="136"/>
  <c r="D700" i="136"/>
  <c r="D701" i="136"/>
  <c r="D702" i="136"/>
  <c r="D703" i="136"/>
  <c r="D704" i="136"/>
  <c r="D705" i="136"/>
  <c r="D706" i="136"/>
  <c r="D707" i="136"/>
  <c r="D708" i="136"/>
  <c r="D709" i="136"/>
  <c r="D710" i="136"/>
  <c r="D711" i="136"/>
  <c r="D712" i="136"/>
  <c r="D713" i="136"/>
  <c r="D714" i="136"/>
  <c r="D715" i="136"/>
  <c r="D716" i="136"/>
  <c r="D717" i="136"/>
  <c r="D718" i="136"/>
  <c r="D719" i="136"/>
  <c r="D720" i="136"/>
  <c r="D721" i="136"/>
  <c r="D722" i="136"/>
  <c r="D723" i="136"/>
  <c r="D724" i="136"/>
  <c r="D725" i="136"/>
  <c r="D726" i="136"/>
  <c r="D727" i="136"/>
  <c r="D728" i="136"/>
  <c r="D729" i="136"/>
  <c r="D730" i="136"/>
  <c r="D731" i="136"/>
  <c r="D732" i="136"/>
  <c r="D733" i="136"/>
  <c r="D734" i="136"/>
  <c r="D735" i="136"/>
  <c r="D736" i="136"/>
  <c r="D737" i="136"/>
  <c r="D738" i="136"/>
  <c r="D739" i="136"/>
  <c r="D740" i="136"/>
  <c r="D741" i="136"/>
  <c r="D742" i="136"/>
  <c r="D743" i="136"/>
  <c r="D744" i="136"/>
  <c r="D745" i="136"/>
  <c r="D746" i="136"/>
  <c r="D747" i="136"/>
  <c r="D748" i="136"/>
  <c r="D749" i="136"/>
  <c r="D750" i="136"/>
  <c r="D751" i="136"/>
  <c r="D752" i="136"/>
  <c r="D753" i="136"/>
  <c r="D754" i="136"/>
  <c r="D755" i="136"/>
  <c r="D756" i="136"/>
  <c r="D757" i="136"/>
  <c r="D758" i="136"/>
  <c r="D759" i="136"/>
  <c r="D760" i="136"/>
  <c r="D761" i="136"/>
  <c r="D762" i="136"/>
  <c r="D763" i="136"/>
  <c r="D764" i="136"/>
  <c r="D765" i="136"/>
  <c r="D766" i="136"/>
  <c r="D767" i="136"/>
  <c r="D768" i="136"/>
  <c r="D769" i="136"/>
  <c r="D770" i="136"/>
  <c r="D771" i="136"/>
  <c r="D772" i="136"/>
  <c r="D773" i="136"/>
  <c r="D774" i="136"/>
  <c r="D775" i="136"/>
  <c r="D776" i="136"/>
  <c r="D777" i="136"/>
  <c r="D778" i="136"/>
  <c r="D779" i="136"/>
  <c r="D780" i="136"/>
  <c r="D781" i="136"/>
  <c r="D782" i="136"/>
  <c r="D783" i="136"/>
  <c r="D784" i="136"/>
  <c r="D785" i="136"/>
  <c r="D786" i="136"/>
  <c r="D787" i="136"/>
  <c r="D788" i="136"/>
  <c r="D789" i="136"/>
  <c r="D790" i="136"/>
  <c r="D791" i="136"/>
  <c r="D792" i="136"/>
  <c r="D793" i="136"/>
  <c r="D794" i="136"/>
  <c r="D795" i="136"/>
  <c r="D796" i="136"/>
  <c r="D797" i="136"/>
  <c r="D798" i="136"/>
  <c r="D799" i="136"/>
  <c r="D800" i="136"/>
  <c r="D801" i="136"/>
  <c r="D802" i="136"/>
  <c r="D803" i="136"/>
  <c r="D804" i="136"/>
  <c r="D805" i="136"/>
  <c r="D806" i="136"/>
  <c r="D807" i="136"/>
  <c r="D808" i="136"/>
  <c r="D809" i="136"/>
  <c r="D810" i="136"/>
  <c r="D811" i="136"/>
  <c r="D812" i="136"/>
  <c r="D813" i="136"/>
  <c r="D814" i="136"/>
  <c r="D815" i="136"/>
  <c r="D816" i="136"/>
  <c r="D817" i="136"/>
  <c r="D818" i="136"/>
  <c r="D819" i="136"/>
  <c r="D820" i="136"/>
  <c r="D821" i="136"/>
  <c r="D822" i="136"/>
  <c r="D823" i="136"/>
  <c r="D824" i="136"/>
  <c r="D825" i="136"/>
  <c r="D826" i="136"/>
  <c r="D827" i="136"/>
  <c r="D828" i="136"/>
  <c r="D829" i="136"/>
  <c r="D830" i="136"/>
  <c r="D831" i="136"/>
  <c r="D832" i="136"/>
  <c r="D833" i="136"/>
  <c r="D834" i="136"/>
  <c r="D835" i="136"/>
  <c r="D836" i="136"/>
  <c r="D837" i="136"/>
  <c r="D838" i="136"/>
  <c r="D839" i="136"/>
  <c r="D840" i="136"/>
  <c r="D841" i="136"/>
  <c r="D842" i="136"/>
  <c r="D843" i="136"/>
  <c r="D844" i="136"/>
  <c r="D845" i="136"/>
  <c r="D846" i="136"/>
  <c r="D847" i="136"/>
  <c r="D848" i="136"/>
  <c r="D849" i="136"/>
  <c r="D850" i="136"/>
  <c r="D851" i="136"/>
  <c r="D852" i="136"/>
  <c r="D853" i="136"/>
  <c r="D854" i="136"/>
  <c r="D855" i="136"/>
  <c r="D856" i="136"/>
  <c r="D857" i="136"/>
  <c r="D858" i="136"/>
  <c r="D859" i="136"/>
  <c r="D860" i="136"/>
  <c r="D861" i="136"/>
  <c r="D862" i="136"/>
  <c r="D863" i="136"/>
  <c r="D864" i="136"/>
  <c r="D865" i="136"/>
  <c r="D866" i="136"/>
  <c r="D867" i="136"/>
  <c r="D868" i="136"/>
  <c r="D869" i="136"/>
  <c r="D870" i="136"/>
  <c r="D871" i="136"/>
  <c r="D872" i="136"/>
  <c r="D873" i="136"/>
  <c r="D874" i="136"/>
  <c r="D875" i="136"/>
  <c r="D876" i="136"/>
  <c r="D877" i="136"/>
  <c r="D878" i="136"/>
  <c r="D879" i="136"/>
  <c r="D880" i="136"/>
  <c r="D881" i="136"/>
  <c r="D882" i="136"/>
  <c r="D883" i="136"/>
  <c r="D884" i="136"/>
  <c r="D885" i="136"/>
  <c r="D886" i="136"/>
  <c r="D887" i="136"/>
  <c r="D888" i="136"/>
  <c r="D889" i="136"/>
  <c r="D890" i="136"/>
  <c r="D891" i="136"/>
  <c r="D892" i="136"/>
  <c r="D893" i="136"/>
  <c r="D894" i="136"/>
  <c r="D895" i="136"/>
  <c r="D896" i="136"/>
  <c r="D897" i="136"/>
  <c r="D898" i="136"/>
  <c r="D899" i="136"/>
  <c r="D900" i="136"/>
  <c r="D901" i="136"/>
  <c r="D902" i="136"/>
  <c r="D903" i="136"/>
  <c r="D904" i="136"/>
  <c r="D905" i="136"/>
  <c r="D906" i="136"/>
  <c r="D907" i="136"/>
  <c r="D908" i="136"/>
  <c r="D909" i="136"/>
  <c r="D910" i="136"/>
  <c r="D911" i="136"/>
  <c r="D912" i="136"/>
  <c r="D913" i="136"/>
  <c r="D914" i="136"/>
  <c r="D915" i="136"/>
  <c r="D916" i="136"/>
  <c r="D917" i="136"/>
  <c r="D918" i="136"/>
  <c r="D919" i="136"/>
  <c r="D920" i="136"/>
  <c r="D921" i="136"/>
  <c r="D922" i="136"/>
  <c r="D923" i="136"/>
  <c r="D924" i="136"/>
  <c r="D925" i="136"/>
  <c r="D926" i="136"/>
  <c r="D927" i="136"/>
  <c r="D928" i="136"/>
  <c r="D929" i="136"/>
  <c r="D930" i="136"/>
  <c r="D931" i="136"/>
  <c r="D932" i="136"/>
  <c r="D933" i="136"/>
  <c r="D934" i="136"/>
  <c r="D935" i="136"/>
  <c r="D936" i="136"/>
  <c r="D937" i="136"/>
  <c r="D938" i="136"/>
  <c r="D939" i="136"/>
  <c r="D940" i="136"/>
  <c r="D941" i="136"/>
  <c r="D942" i="136"/>
  <c r="D943" i="136"/>
  <c r="D944" i="136"/>
  <c r="D945" i="136"/>
  <c r="D946" i="136"/>
  <c r="D947" i="136"/>
  <c r="D948" i="136"/>
  <c r="D949" i="136"/>
  <c r="D950" i="136"/>
  <c r="D951" i="136"/>
  <c r="D952" i="136"/>
  <c r="D953" i="136"/>
  <c r="D954" i="136"/>
  <c r="D955" i="136"/>
  <c r="D956" i="136"/>
  <c r="D957" i="136"/>
  <c r="D958" i="136"/>
  <c r="D959" i="136"/>
  <c r="D960" i="136"/>
  <c r="D961" i="136"/>
  <c r="D962" i="136"/>
  <c r="D963" i="136"/>
  <c r="D964" i="136"/>
  <c r="D965" i="136"/>
  <c r="D966" i="136"/>
  <c r="D967" i="136"/>
  <c r="D968" i="136"/>
  <c r="D969" i="136"/>
  <c r="D970" i="136"/>
  <c r="D971" i="136"/>
  <c r="D972" i="136"/>
  <c r="D973" i="136"/>
  <c r="D974" i="136"/>
  <c r="D975" i="136"/>
  <c r="D976" i="136"/>
  <c r="D977" i="136"/>
  <c r="D978" i="136"/>
  <c r="D979" i="136"/>
  <c r="D980" i="136"/>
  <c r="D981" i="136"/>
  <c r="D982" i="136"/>
  <c r="D983" i="136"/>
  <c r="D984" i="136"/>
  <c r="D985" i="136"/>
  <c r="D986" i="136"/>
  <c r="D987" i="136"/>
  <c r="D988" i="136"/>
  <c r="B500" i="136"/>
  <c r="B501" i="136"/>
  <c r="B502" i="136"/>
  <c r="B503" i="136"/>
  <c r="B504" i="136"/>
  <c r="B505" i="136"/>
  <c r="B506" i="136"/>
  <c r="B507" i="136"/>
  <c r="B508" i="136"/>
  <c r="B509" i="136"/>
  <c r="B510" i="136"/>
  <c r="B511" i="136"/>
  <c r="B512" i="136"/>
  <c r="B513" i="136"/>
  <c r="B514" i="136"/>
  <c r="B515" i="136"/>
  <c r="B516" i="136"/>
  <c r="B517" i="136"/>
  <c r="B518" i="136"/>
  <c r="B519" i="136"/>
  <c r="B520" i="136"/>
  <c r="B521" i="136"/>
  <c r="B522" i="136"/>
  <c r="B523" i="136"/>
  <c r="B524" i="136"/>
  <c r="B525" i="136"/>
  <c r="B526" i="136"/>
  <c r="B527" i="136"/>
  <c r="B528" i="136"/>
  <c r="B529" i="136"/>
  <c r="B530" i="136"/>
  <c r="B531" i="136"/>
  <c r="B532" i="136"/>
  <c r="B533" i="136"/>
  <c r="B534" i="136"/>
  <c r="B535" i="136"/>
  <c r="B536" i="136"/>
  <c r="B537" i="136"/>
  <c r="B538" i="136"/>
  <c r="B539" i="136"/>
  <c r="B540" i="136"/>
  <c r="B541" i="136"/>
  <c r="B542" i="136"/>
  <c r="B544" i="136"/>
  <c r="B545" i="136"/>
  <c r="B546" i="136"/>
  <c r="B547" i="136"/>
  <c r="B548" i="136"/>
  <c r="B549" i="136"/>
  <c r="B550" i="136"/>
  <c r="B551" i="136"/>
  <c r="B552" i="136"/>
  <c r="B553" i="136"/>
  <c r="B554" i="136"/>
  <c r="B555" i="136"/>
  <c r="B556" i="136"/>
  <c r="B557" i="136"/>
  <c r="B558" i="136"/>
  <c r="B559" i="136"/>
  <c r="B560" i="136"/>
  <c r="B561" i="136"/>
  <c r="B562" i="136"/>
  <c r="B563" i="136"/>
  <c r="B564" i="136"/>
  <c r="B565" i="136"/>
  <c r="B566" i="136"/>
  <c r="B567" i="136"/>
  <c r="B568" i="136"/>
  <c r="B569" i="136"/>
  <c r="B570" i="136"/>
  <c r="B571" i="136"/>
  <c r="B572" i="136"/>
  <c r="B573" i="136"/>
  <c r="B574" i="136"/>
  <c r="B575" i="136"/>
  <c r="B576" i="136"/>
  <c r="B577" i="136"/>
  <c r="B578" i="136"/>
  <c r="B579" i="136"/>
  <c r="B580" i="136"/>
  <c r="B581" i="136"/>
  <c r="B582" i="136"/>
  <c r="B583" i="136"/>
  <c r="B584" i="136"/>
  <c r="B585" i="136"/>
  <c r="B586" i="136"/>
  <c r="B587" i="136"/>
  <c r="B588" i="136"/>
  <c r="B589" i="136"/>
  <c r="B590" i="136"/>
  <c r="B591" i="136"/>
  <c r="B592" i="136"/>
  <c r="B593" i="136"/>
  <c r="B594" i="136"/>
  <c r="B595" i="136"/>
  <c r="B596" i="136"/>
  <c r="B597" i="136"/>
  <c r="B598" i="136"/>
  <c r="B599" i="136"/>
  <c r="B600" i="136"/>
  <c r="B601" i="136"/>
  <c r="B602" i="136"/>
  <c r="B603" i="136"/>
  <c r="B604" i="136"/>
  <c r="B605" i="136"/>
  <c r="B606" i="136"/>
  <c r="B607" i="136"/>
  <c r="B608" i="136"/>
  <c r="B609" i="136"/>
  <c r="B610" i="136"/>
  <c r="B611" i="136"/>
  <c r="B612" i="136"/>
  <c r="B613" i="136"/>
  <c r="B614" i="136"/>
  <c r="B615" i="136"/>
  <c r="B616" i="136"/>
  <c r="B617" i="136"/>
  <c r="B618" i="136"/>
  <c r="B619" i="136"/>
  <c r="B620" i="136"/>
  <c r="B621" i="136"/>
  <c r="B622" i="136"/>
  <c r="B623" i="136"/>
  <c r="B624" i="136"/>
  <c r="B625" i="136"/>
  <c r="B626" i="136"/>
  <c r="B627" i="136"/>
  <c r="B628" i="136"/>
  <c r="B629" i="136"/>
  <c r="B630" i="136"/>
  <c r="B631" i="136"/>
  <c r="B632" i="136"/>
  <c r="B633" i="136"/>
  <c r="B634" i="136"/>
  <c r="B635" i="136"/>
  <c r="B636" i="136"/>
  <c r="B637" i="136"/>
  <c r="B638" i="136"/>
  <c r="B639" i="136"/>
  <c r="B640" i="136"/>
  <c r="B641" i="136"/>
  <c r="B642" i="136"/>
  <c r="B643" i="136"/>
  <c r="B644" i="136"/>
  <c r="B645" i="136"/>
  <c r="B646" i="136"/>
  <c r="B647" i="136"/>
  <c r="B648" i="136"/>
  <c r="B649" i="136"/>
  <c r="B650" i="136"/>
  <c r="B651" i="136"/>
  <c r="B652" i="136"/>
  <c r="B653" i="136"/>
  <c r="B654" i="136"/>
  <c r="B655" i="136"/>
  <c r="B656" i="136"/>
  <c r="B657" i="136"/>
  <c r="B658" i="136"/>
  <c r="B659" i="136"/>
  <c r="B660" i="136"/>
  <c r="B661" i="136"/>
  <c r="B662" i="136"/>
  <c r="B663" i="136"/>
  <c r="B664" i="136"/>
  <c r="B665" i="136"/>
  <c r="B666" i="136"/>
  <c r="B667" i="136"/>
  <c r="B668" i="136"/>
  <c r="B669" i="136"/>
  <c r="B670" i="136"/>
  <c r="B671" i="136"/>
  <c r="B672" i="136"/>
  <c r="B673" i="136"/>
  <c r="B674" i="136"/>
  <c r="B675" i="136"/>
  <c r="B676" i="136"/>
  <c r="B677" i="136"/>
  <c r="B678" i="136"/>
  <c r="B679" i="136"/>
  <c r="B680" i="136"/>
  <c r="B681" i="136"/>
  <c r="B682" i="136"/>
  <c r="B683" i="136"/>
  <c r="B684" i="136"/>
  <c r="B685" i="136"/>
  <c r="B686" i="136"/>
  <c r="B687" i="136"/>
  <c r="B688" i="136"/>
  <c r="B689" i="136"/>
  <c r="B690" i="136"/>
  <c r="B691" i="136"/>
  <c r="B692" i="136"/>
  <c r="B693" i="136"/>
  <c r="B694" i="136"/>
  <c r="B695" i="136"/>
  <c r="B696" i="136"/>
  <c r="B697" i="136"/>
  <c r="B698" i="136"/>
  <c r="B699" i="136"/>
  <c r="B700" i="136"/>
  <c r="B701" i="136"/>
  <c r="B702" i="136"/>
  <c r="B703" i="136"/>
  <c r="B704" i="136"/>
  <c r="B705" i="136"/>
  <c r="B706" i="136"/>
  <c r="B707" i="136"/>
  <c r="B708" i="136"/>
  <c r="B709" i="136"/>
  <c r="B710" i="136"/>
  <c r="B711" i="136"/>
  <c r="B712" i="136"/>
  <c r="B713" i="136"/>
  <c r="B714" i="136"/>
  <c r="B715" i="136"/>
  <c r="B716" i="136"/>
  <c r="B717" i="136"/>
  <c r="B718" i="136"/>
  <c r="B719" i="136"/>
  <c r="B720" i="136"/>
  <c r="B721" i="136"/>
  <c r="B722" i="136"/>
  <c r="B723" i="136"/>
  <c r="B724" i="136"/>
  <c r="B725" i="136"/>
  <c r="B726" i="136"/>
  <c r="B727" i="136"/>
  <c r="B728" i="136"/>
  <c r="B729" i="136"/>
  <c r="B730" i="136"/>
  <c r="B731" i="136"/>
  <c r="B732" i="136"/>
  <c r="B733" i="136"/>
  <c r="B734" i="136"/>
  <c r="B735" i="136"/>
  <c r="B736" i="136"/>
  <c r="B737" i="136"/>
  <c r="B738" i="136"/>
  <c r="B739" i="136"/>
  <c r="B740" i="136"/>
  <c r="B741" i="136"/>
  <c r="B742" i="136"/>
  <c r="B743" i="136"/>
  <c r="B744" i="136"/>
  <c r="B745" i="136"/>
  <c r="B746" i="136"/>
  <c r="B747" i="136"/>
  <c r="B748" i="136"/>
  <c r="B749" i="136"/>
  <c r="B750" i="136"/>
  <c r="B751" i="136"/>
  <c r="B752" i="136"/>
  <c r="B753" i="136"/>
  <c r="B754" i="136"/>
  <c r="B755" i="136"/>
  <c r="B756" i="136"/>
  <c r="B757" i="136"/>
  <c r="B758" i="136"/>
  <c r="B759" i="136"/>
  <c r="B760" i="136"/>
  <c r="B761" i="136"/>
  <c r="B762" i="136"/>
  <c r="B763" i="136"/>
  <c r="B764" i="136"/>
  <c r="B765" i="136"/>
  <c r="B766" i="136"/>
  <c r="B767" i="136"/>
  <c r="B768" i="136"/>
  <c r="B769" i="136"/>
  <c r="B770" i="136"/>
  <c r="B771" i="136"/>
  <c r="B772" i="136"/>
  <c r="B773" i="136"/>
  <c r="B774" i="136"/>
  <c r="B775" i="136"/>
  <c r="B776" i="136"/>
  <c r="B777" i="136"/>
  <c r="B778" i="136"/>
  <c r="B779" i="136"/>
  <c r="B780" i="136"/>
  <c r="B781" i="136"/>
  <c r="B782" i="136"/>
  <c r="B783" i="136"/>
  <c r="B784" i="136"/>
  <c r="B785" i="136"/>
  <c r="B786" i="136"/>
  <c r="B787" i="136"/>
  <c r="B788" i="136"/>
  <c r="B789" i="136"/>
  <c r="B790" i="136"/>
  <c r="B791" i="136"/>
  <c r="B792" i="136"/>
  <c r="B793" i="136"/>
  <c r="B794" i="136"/>
  <c r="B795" i="136"/>
  <c r="B796" i="136"/>
  <c r="B797" i="136"/>
  <c r="B798" i="136"/>
  <c r="B799" i="136"/>
  <c r="B800" i="136"/>
  <c r="B801" i="136"/>
  <c r="B802" i="136"/>
  <c r="B803" i="136"/>
  <c r="B804" i="136"/>
  <c r="B805" i="136"/>
  <c r="B806" i="136"/>
  <c r="B807" i="136"/>
  <c r="B808" i="136"/>
  <c r="B809" i="136"/>
  <c r="B810" i="136"/>
  <c r="B811" i="136"/>
  <c r="B812" i="136"/>
  <c r="B813" i="136"/>
  <c r="B814" i="136"/>
  <c r="B815" i="136"/>
  <c r="B816" i="136"/>
  <c r="B817" i="136"/>
  <c r="B818" i="136"/>
  <c r="B819" i="136"/>
  <c r="B820" i="136"/>
  <c r="B821" i="136"/>
  <c r="B822" i="136"/>
  <c r="B823" i="136"/>
  <c r="B824" i="136"/>
  <c r="B825" i="136"/>
  <c r="B826" i="136"/>
  <c r="B827" i="136"/>
  <c r="B828" i="136"/>
  <c r="B829" i="136"/>
  <c r="B830" i="136"/>
  <c r="B831" i="136"/>
  <c r="B832" i="136"/>
  <c r="B833" i="136"/>
  <c r="B834" i="136"/>
  <c r="B835" i="136"/>
  <c r="B836" i="136"/>
  <c r="B837" i="136"/>
  <c r="B838" i="136"/>
  <c r="B839" i="136"/>
  <c r="B840" i="136"/>
  <c r="B841" i="136"/>
  <c r="B842" i="136"/>
  <c r="B843" i="136"/>
  <c r="B844" i="136"/>
  <c r="B845" i="136"/>
  <c r="B846" i="136"/>
  <c r="B847" i="136"/>
  <c r="B848" i="136"/>
  <c r="B849" i="136"/>
  <c r="B850" i="136"/>
  <c r="B851" i="136"/>
  <c r="B852" i="136"/>
  <c r="B853" i="136"/>
  <c r="B854" i="136"/>
  <c r="B855" i="136"/>
  <c r="B856" i="136"/>
  <c r="B857" i="136"/>
  <c r="B858" i="136"/>
  <c r="B859" i="136"/>
  <c r="B860" i="136"/>
  <c r="B861" i="136"/>
  <c r="B862" i="136"/>
  <c r="B863" i="136"/>
  <c r="B864" i="136"/>
  <c r="B865" i="136"/>
  <c r="B866" i="136"/>
  <c r="B867" i="136"/>
  <c r="B868" i="136"/>
  <c r="B869" i="136"/>
  <c r="B870" i="136"/>
  <c r="B871" i="136"/>
  <c r="B872" i="136"/>
  <c r="B873" i="136"/>
  <c r="B874" i="136"/>
  <c r="B875" i="136"/>
  <c r="B876" i="136"/>
  <c r="B877" i="136"/>
  <c r="B878" i="136"/>
  <c r="B879" i="136"/>
  <c r="B880" i="136"/>
  <c r="B881" i="136"/>
  <c r="B882" i="136"/>
  <c r="B883" i="136"/>
  <c r="B884" i="136"/>
  <c r="B885" i="136"/>
  <c r="B886" i="136"/>
  <c r="B887" i="136"/>
  <c r="B888" i="136"/>
  <c r="B889" i="136"/>
  <c r="B890" i="136"/>
  <c r="B891" i="136"/>
  <c r="B892" i="136"/>
  <c r="B893" i="136"/>
  <c r="B894" i="136"/>
  <c r="B895" i="136"/>
  <c r="B896" i="136"/>
  <c r="B897" i="136"/>
  <c r="B898" i="136"/>
  <c r="B899" i="136"/>
  <c r="B900" i="136"/>
  <c r="B901" i="136"/>
  <c r="B902" i="136"/>
  <c r="B903" i="136"/>
  <c r="B904" i="136"/>
  <c r="B905" i="136"/>
  <c r="B906" i="136"/>
  <c r="B907" i="136"/>
  <c r="B908" i="136"/>
  <c r="B909" i="136"/>
  <c r="B910" i="136"/>
  <c r="B911" i="136"/>
  <c r="B912" i="136"/>
  <c r="B913" i="136"/>
  <c r="B914" i="136"/>
  <c r="B915" i="136"/>
  <c r="B916" i="136"/>
  <c r="B917" i="136"/>
  <c r="B918" i="136"/>
  <c r="B919" i="136"/>
  <c r="B920" i="136"/>
  <c r="B921" i="136"/>
  <c r="B922" i="136"/>
  <c r="B923" i="136"/>
  <c r="B924" i="136"/>
  <c r="B925" i="136"/>
  <c r="B926" i="136"/>
  <c r="B927" i="136"/>
  <c r="B928" i="136"/>
  <c r="B929" i="136"/>
  <c r="B930" i="136"/>
  <c r="B931" i="136"/>
  <c r="B932" i="136"/>
  <c r="B933" i="136"/>
  <c r="B934" i="136"/>
  <c r="B935" i="136"/>
  <c r="B936" i="136"/>
  <c r="B937" i="136"/>
  <c r="B938" i="136"/>
  <c r="B939" i="136"/>
  <c r="B940" i="136"/>
  <c r="B941" i="136"/>
  <c r="B942" i="136"/>
  <c r="B943" i="136"/>
  <c r="B944" i="136"/>
  <c r="B945" i="136"/>
  <c r="B946" i="136"/>
  <c r="B947" i="136"/>
  <c r="B948" i="136"/>
  <c r="B949" i="136"/>
  <c r="B950" i="136"/>
  <c r="B951" i="136"/>
  <c r="B952" i="136"/>
  <c r="B953" i="136"/>
  <c r="B954" i="136"/>
  <c r="B955" i="136"/>
  <c r="B956" i="136"/>
  <c r="B957" i="136"/>
  <c r="B958" i="136"/>
  <c r="B959" i="136"/>
  <c r="B960" i="136"/>
  <c r="B961" i="136"/>
  <c r="B962" i="136"/>
  <c r="B963" i="136"/>
  <c r="B964" i="136"/>
  <c r="B965" i="136"/>
  <c r="B966" i="136"/>
  <c r="B967" i="136"/>
  <c r="B968" i="136"/>
  <c r="B969" i="136"/>
  <c r="B970" i="136"/>
  <c r="B971" i="136"/>
  <c r="B972" i="136"/>
  <c r="B973" i="136"/>
  <c r="B974" i="136"/>
  <c r="B975" i="136"/>
  <c r="B976" i="136"/>
  <c r="B977" i="136"/>
  <c r="B978" i="136"/>
  <c r="B979" i="136"/>
  <c r="B980" i="136"/>
  <c r="B981" i="136"/>
  <c r="B982" i="136"/>
  <c r="B983" i="136"/>
  <c r="B984" i="136"/>
  <c r="B985" i="136"/>
  <c r="B986" i="136"/>
  <c r="B987" i="136"/>
  <c r="B988" i="136"/>
  <c r="G101" i="120" l="1"/>
  <c r="H101" i="120" s="1"/>
  <c r="G102" i="120"/>
  <c r="H102" i="120" s="1"/>
  <c r="G103" i="120"/>
  <c r="H103" i="120" s="1"/>
  <c r="G104" i="120"/>
  <c r="H104" i="120" s="1"/>
  <c r="G105" i="120"/>
  <c r="H105" i="120" s="1"/>
  <c r="G106" i="120"/>
  <c r="H106" i="120" s="1"/>
  <c r="G107" i="120"/>
  <c r="H107" i="120" s="1"/>
  <c r="G108" i="120"/>
  <c r="H108" i="120" s="1"/>
  <c r="G109" i="120"/>
  <c r="H109" i="120" s="1"/>
  <c r="G110" i="120"/>
  <c r="H110" i="120" s="1"/>
  <c r="G111" i="120"/>
  <c r="H111" i="120" s="1"/>
  <c r="G112" i="120"/>
  <c r="H112" i="120" s="1"/>
  <c r="G113" i="120"/>
  <c r="H113" i="120" s="1"/>
  <c r="G114" i="120"/>
  <c r="H114" i="120" s="1"/>
  <c r="G115" i="120"/>
  <c r="H115" i="120" s="1"/>
  <c r="G116" i="120"/>
  <c r="H116" i="120" s="1"/>
  <c r="G117" i="120"/>
  <c r="H117" i="120" s="1"/>
  <c r="G118" i="120"/>
  <c r="H118" i="120" s="1"/>
  <c r="G119" i="120"/>
  <c r="H119" i="120" s="1"/>
  <c r="G120" i="120"/>
  <c r="H120" i="120" s="1"/>
  <c r="G121" i="120"/>
  <c r="H121" i="120" s="1"/>
  <c r="G122" i="120"/>
  <c r="H122" i="120" s="1"/>
  <c r="G123" i="120"/>
  <c r="H123" i="120" s="1"/>
  <c r="G124" i="120"/>
  <c r="H124" i="120" s="1"/>
  <c r="G125" i="120"/>
  <c r="H125" i="120" s="1"/>
  <c r="G126" i="120"/>
  <c r="H126" i="120" s="1"/>
  <c r="G127" i="120"/>
  <c r="H127" i="120" s="1"/>
  <c r="G128" i="120"/>
  <c r="H128" i="120" s="1"/>
  <c r="G129" i="120"/>
  <c r="H129" i="120" s="1"/>
  <c r="G130" i="120"/>
  <c r="H130" i="120" s="1"/>
  <c r="C65" i="142"/>
  <c r="C137" i="142"/>
  <c r="Z130" i="142" l="1"/>
  <c r="Y130" i="142"/>
  <c r="X130" i="142"/>
  <c r="W130" i="142"/>
  <c r="V130" i="142"/>
  <c r="U130" i="142"/>
  <c r="T130" i="142"/>
  <c r="S130" i="142"/>
  <c r="R130" i="142"/>
  <c r="Q130" i="142"/>
  <c r="P130" i="142"/>
  <c r="O130" i="142"/>
  <c r="N130" i="142"/>
  <c r="M130" i="142"/>
  <c r="L130" i="142"/>
  <c r="K130" i="142"/>
  <c r="J130" i="142"/>
  <c r="I130" i="142"/>
  <c r="H130" i="142"/>
  <c r="G130" i="142"/>
  <c r="F130" i="142"/>
  <c r="E130" i="142"/>
  <c r="D130" i="142"/>
  <c r="Z58" i="142"/>
  <c r="H35" i="151" s="1"/>
  <c r="Y58" i="142"/>
  <c r="D35" i="151" s="1"/>
  <c r="X58" i="142"/>
  <c r="W58" i="142"/>
  <c r="V58" i="142"/>
  <c r="U58" i="142"/>
  <c r="T58" i="142"/>
  <c r="S58" i="142"/>
  <c r="R58" i="142"/>
  <c r="Q58" i="142"/>
  <c r="P58" i="142"/>
  <c r="O58" i="142"/>
  <c r="N58" i="142"/>
  <c r="M58" i="142"/>
  <c r="L58" i="142"/>
  <c r="K58" i="142"/>
  <c r="J58" i="142"/>
  <c r="I58" i="142"/>
  <c r="H58" i="142"/>
  <c r="G58" i="142"/>
  <c r="F58" i="142"/>
  <c r="E58" i="142"/>
  <c r="D58" i="142"/>
  <c r="C58" i="142"/>
  <c r="Z34" i="142"/>
  <c r="R4" i="151" s="1"/>
  <c r="Y34" i="142"/>
  <c r="N4" i="151" s="1"/>
  <c r="X34" i="142"/>
  <c r="W34" i="142"/>
  <c r="V34" i="142"/>
  <c r="U34" i="142"/>
  <c r="T34" i="142"/>
  <c r="S34" i="142"/>
  <c r="R34" i="142"/>
  <c r="Q34" i="142"/>
  <c r="P34" i="142"/>
  <c r="O34" i="142"/>
  <c r="N34" i="142"/>
  <c r="M34" i="142"/>
  <c r="L34" i="142"/>
  <c r="K34" i="142"/>
  <c r="J34" i="142"/>
  <c r="I34" i="142"/>
  <c r="C61" i="142"/>
  <c r="C17" i="142"/>
  <c r="C139" i="142"/>
  <c r="C67" i="142"/>
  <c r="C13" i="142"/>
  <c r="C14" i="142"/>
  <c r="C62" i="142"/>
  <c r="C133" i="142"/>
  <c r="C134" i="142"/>
  <c r="C19" i="142"/>
  <c r="C59" i="142"/>
  <c r="D37" i="151" l="1"/>
  <c r="N6" i="151"/>
  <c r="H37" i="151"/>
  <c r="R6" i="151"/>
  <c r="C63" i="142"/>
  <c r="C15" i="142"/>
  <c r="C135" i="142"/>
  <c r="C141" i="142"/>
  <c r="C132" i="142"/>
  <c r="C69" i="142"/>
  <c r="C60" i="142"/>
  <c r="C21" i="142"/>
  <c r="C22" i="142" s="1"/>
  <c r="C136" i="142"/>
  <c r="C64" i="142"/>
  <c r="C138" i="142" l="1"/>
  <c r="C66" i="142"/>
  <c r="C142" i="142"/>
  <c r="C70" i="142"/>
  <c r="D49" i="142"/>
  <c r="D25" i="142"/>
  <c r="D10" i="142"/>
  <c r="E10" i="142"/>
  <c r="F10" i="142"/>
  <c r="G10" i="142"/>
  <c r="H10" i="142"/>
  <c r="I10" i="142"/>
  <c r="J10" i="142"/>
  <c r="K10" i="142"/>
  <c r="L10" i="142"/>
  <c r="M10" i="142"/>
  <c r="N10" i="142"/>
  <c r="O10" i="142"/>
  <c r="P10" i="142"/>
  <c r="Q10" i="142"/>
  <c r="R10" i="142"/>
  <c r="S10" i="142"/>
  <c r="T10" i="142"/>
  <c r="U10" i="142"/>
  <c r="V10" i="142"/>
  <c r="W10" i="142"/>
  <c r="X10" i="142"/>
  <c r="Y10" i="142"/>
  <c r="Z10" i="142"/>
  <c r="C10" i="142"/>
  <c r="D1" i="142"/>
  <c r="D61" i="142"/>
  <c r="D133" i="142"/>
  <c r="D17" i="142"/>
  <c r="D67" i="142"/>
  <c r="D13" i="142"/>
  <c r="D134" i="142"/>
  <c r="C16" i="142"/>
  <c r="D139" i="142"/>
  <c r="D62" i="142"/>
  <c r="D14" i="142"/>
  <c r="D19" i="142"/>
  <c r="C11" i="142"/>
  <c r="D59" i="142"/>
  <c r="D11" i="142"/>
  <c r="D131" i="142"/>
  <c r="D35" i="142"/>
  <c r="D4" i="151" l="1"/>
  <c r="D6" i="151" s="1"/>
  <c r="H4" i="151"/>
  <c r="H6" i="151" s="1"/>
  <c r="E49" i="142"/>
  <c r="E25" i="142"/>
  <c r="C71" i="142"/>
  <c r="C143" i="142"/>
  <c r="C18" i="142"/>
  <c r="D63" i="142"/>
  <c r="D15" i="142"/>
  <c r="D135" i="142"/>
  <c r="D141" i="142"/>
  <c r="D69" i="142"/>
  <c r="D21" i="142"/>
  <c r="E1" i="142"/>
  <c r="E19" i="142"/>
  <c r="E139" i="142"/>
  <c r="E61" i="142"/>
  <c r="D136" i="142"/>
  <c r="D38" i="142"/>
  <c r="D43" i="142"/>
  <c r="E17" i="142"/>
  <c r="D64" i="142"/>
  <c r="D137" i="142"/>
  <c r="E134" i="142"/>
  <c r="E14" i="142"/>
  <c r="D65" i="142"/>
  <c r="E13" i="142"/>
  <c r="E133" i="142"/>
  <c r="D37" i="142"/>
  <c r="D41" i="142"/>
  <c r="D16" i="142"/>
  <c r="E11" i="142"/>
  <c r="E59" i="142"/>
  <c r="E35" i="142"/>
  <c r="E131" i="142"/>
  <c r="F25" i="142" l="1"/>
  <c r="F49" i="142"/>
  <c r="D132" i="142"/>
  <c r="D45" i="142"/>
  <c r="D12" i="142"/>
  <c r="D60" i="142"/>
  <c r="D36" i="142"/>
  <c r="D39" i="142"/>
  <c r="C12" i="142"/>
  <c r="D18" i="142"/>
  <c r="D138" i="142"/>
  <c r="E63" i="142"/>
  <c r="D66" i="142"/>
  <c r="E135" i="142"/>
  <c r="E15" i="142"/>
  <c r="D70" i="142"/>
  <c r="E141" i="142"/>
  <c r="E21" i="142"/>
  <c r="E22" i="142" s="1"/>
  <c r="F1" i="142"/>
  <c r="D142" i="142"/>
  <c r="D22" i="142"/>
  <c r="F17" i="142"/>
  <c r="F14" i="142"/>
  <c r="E65" i="142"/>
  <c r="E67" i="142"/>
  <c r="D40" i="142"/>
  <c r="F19" i="142"/>
  <c r="F61" i="142"/>
  <c r="E38" i="142"/>
  <c r="F67" i="142"/>
  <c r="E136" i="142"/>
  <c r="F139" i="142"/>
  <c r="F13" i="142"/>
  <c r="F134" i="142"/>
  <c r="F62" i="142"/>
  <c r="E41" i="142"/>
  <c r="E37" i="142"/>
  <c r="E62" i="142"/>
  <c r="F133" i="142"/>
  <c r="E43" i="142"/>
  <c r="E137" i="142"/>
  <c r="F59" i="142"/>
  <c r="F11" i="142"/>
  <c r="F35" i="142"/>
  <c r="F131" i="142"/>
  <c r="G49" i="142" l="1"/>
  <c r="G25" i="142"/>
  <c r="E12" i="142"/>
  <c r="E39" i="142"/>
  <c r="D42" i="142"/>
  <c r="E132" i="142"/>
  <c r="E36" i="142"/>
  <c r="E69" i="142"/>
  <c r="E70" i="142" s="1"/>
  <c r="E60" i="142"/>
  <c r="E45" i="142"/>
  <c r="E46" i="142" s="1"/>
  <c r="D46" i="142"/>
  <c r="D71" i="142"/>
  <c r="E138" i="142"/>
  <c r="F63" i="142"/>
  <c r="F15" i="142"/>
  <c r="F135" i="142"/>
  <c r="D143" i="142"/>
  <c r="F141" i="142"/>
  <c r="F69" i="142"/>
  <c r="F21" i="142"/>
  <c r="G1" i="142"/>
  <c r="E142" i="142"/>
  <c r="C23" i="142"/>
  <c r="D23" i="142"/>
  <c r="F41" i="142"/>
  <c r="G133" i="142"/>
  <c r="F65" i="142"/>
  <c r="G13" i="142"/>
  <c r="E16" i="142"/>
  <c r="G14" i="142"/>
  <c r="F137" i="142"/>
  <c r="F43" i="142"/>
  <c r="G61" i="142"/>
  <c r="G67" i="142"/>
  <c r="G134" i="142"/>
  <c r="F38" i="142"/>
  <c r="G62" i="142"/>
  <c r="F136" i="142"/>
  <c r="G17" i="142"/>
  <c r="G19" i="142"/>
  <c r="G139" i="142"/>
  <c r="F37" i="142"/>
  <c r="F64" i="142"/>
  <c r="F16" i="142"/>
  <c r="G59" i="142"/>
  <c r="G35" i="142"/>
  <c r="G131" i="142"/>
  <c r="G11" i="142"/>
  <c r="H25" i="142" l="1"/>
  <c r="H49" i="142"/>
  <c r="E18" i="142"/>
  <c r="E23" i="142" s="1"/>
  <c r="F132" i="142"/>
  <c r="F39" i="142"/>
  <c r="F12" i="142"/>
  <c r="F45" i="142"/>
  <c r="F60" i="142"/>
  <c r="F36" i="142"/>
  <c r="D47" i="142"/>
  <c r="G63" i="142"/>
  <c r="F66" i="142"/>
  <c r="G135" i="142"/>
  <c r="G15" i="142"/>
  <c r="F18" i="142"/>
  <c r="F138" i="142"/>
  <c r="F70" i="142"/>
  <c r="G141" i="142"/>
  <c r="G69" i="142"/>
  <c r="G21" i="142"/>
  <c r="G22" i="142" s="1"/>
  <c r="H1" i="142"/>
  <c r="E143" i="142"/>
  <c r="F22" i="142"/>
  <c r="F142" i="142"/>
  <c r="G65" i="142"/>
  <c r="E64" i="142"/>
  <c r="G37" i="142"/>
  <c r="F40" i="142"/>
  <c r="E40" i="142"/>
  <c r="G137" i="142"/>
  <c r="G41" i="142"/>
  <c r="G43" i="142"/>
  <c r="G38" i="142"/>
  <c r="G136" i="142"/>
  <c r="G64" i="142"/>
  <c r="H11" i="142"/>
  <c r="H131" i="142"/>
  <c r="H59" i="142"/>
  <c r="H35" i="142"/>
  <c r="I49" i="142" l="1"/>
  <c r="I25" i="142"/>
  <c r="E66" i="142"/>
  <c r="E71" i="142" s="1"/>
  <c r="E42" i="142"/>
  <c r="E47" i="142" s="1"/>
  <c r="F42" i="142"/>
  <c r="G132" i="142"/>
  <c r="G36" i="142"/>
  <c r="G45" i="142"/>
  <c r="G12" i="142"/>
  <c r="G60" i="142"/>
  <c r="G39" i="142"/>
  <c r="F46" i="142"/>
  <c r="F71" i="142"/>
  <c r="G66" i="142"/>
  <c r="G138" i="142"/>
  <c r="G142" i="142"/>
  <c r="F23" i="142"/>
  <c r="G70" i="142"/>
  <c r="I1" i="142"/>
  <c r="F143" i="142"/>
  <c r="H13" i="142"/>
  <c r="H61" i="142"/>
  <c r="H133" i="142"/>
  <c r="I38" i="142"/>
  <c r="H37" i="142"/>
  <c r="H137" i="142"/>
  <c r="H134" i="142"/>
  <c r="H14" i="142"/>
  <c r="H41" i="142"/>
  <c r="H38" i="142"/>
  <c r="H67" i="142"/>
  <c r="H43" i="142"/>
  <c r="H62" i="142"/>
  <c r="I14" i="142"/>
  <c r="G16" i="142"/>
  <c r="H17" i="142"/>
  <c r="H19" i="142"/>
  <c r="H139" i="142"/>
  <c r="H65" i="142"/>
  <c r="I35" i="142"/>
  <c r="I11" i="142"/>
  <c r="I59" i="142"/>
  <c r="I131" i="142"/>
  <c r="J49" i="142" l="1"/>
  <c r="J25" i="142"/>
  <c r="H135" i="142"/>
  <c r="H36" i="142"/>
  <c r="H141" i="142"/>
  <c r="H142" i="142" s="1"/>
  <c r="H63" i="142"/>
  <c r="H132" i="142"/>
  <c r="H15" i="142"/>
  <c r="H12" i="142"/>
  <c r="H45" i="142"/>
  <c r="H69" i="142"/>
  <c r="H70" i="142" s="1"/>
  <c r="H21" i="142"/>
  <c r="H22" i="142" s="1"/>
  <c r="H60" i="142"/>
  <c r="H39" i="142"/>
  <c r="G46" i="142"/>
  <c r="F47" i="142"/>
  <c r="G18" i="142"/>
  <c r="G23" i="142" s="1"/>
  <c r="G143" i="142"/>
  <c r="J1" i="142"/>
  <c r="G71" i="142"/>
  <c r="I139" i="142"/>
  <c r="I65" i="142"/>
  <c r="I41" i="142"/>
  <c r="I67" i="142"/>
  <c r="I62" i="142"/>
  <c r="I43" i="142"/>
  <c r="I13" i="142"/>
  <c r="I17" i="142"/>
  <c r="J38" i="142"/>
  <c r="J61" i="142"/>
  <c r="J43" i="142"/>
  <c r="G40" i="142"/>
  <c r="I133" i="142"/>
  <c r="I137" i="142"/>
  <c r="J14" i="142"/>
  <c r="I19" i="142"/>
  <c r="I37" i="142"/>
  <c r="I61" i="142"/>
  <c r="I134" i="142"/>
  <c r="J59" i="142"/>
  <c r="J35" i="142"/>
  <c r="J131" i="142"/>
  <c r="J11" i="142"/>
  <c r="K25" i="142" l="1"/>
  <c r="K49" i="142"/>
  <c r="I63" i="142"/>
  <c r="I12" i="142"/>
  <c r="I15" i="142"/>
  <c r="I45" i="142"/>
  <c r="I46" i="142" s="1"/>
  <c r="I36" i="142"/>
  <c r="I141" i="142"/>
  <c r="I142" i="142" s="1"/>
  <c r="I69" i="142"/>
  <c r="I70" i="142" s="1"/>
  <c r="I60" i="142"/>
  <c r="G42" i="142"/>
  <c r="G47" i="142" s="1"/>
  <c r="I21" i="142"/>
  <c r="I39" i="142"/>
  <c r="I132" i="142"/>
  <c r="I135" i="142"/>
  <c r="H46" i="142"/>
  <c r="J63" i="142"/>
  <c r="J45" i="142"/>
  <c r="K1" i="142"/>
  <c r="AB2" i="1"/>
  <c r="J19" i="142"/>
  <c r="K17" i="142"/>
  <c r="K37" i="142"/>
  <c r="J13" i="142"/>
  <c r="K134" i="142"/>
  <c r="H136" i="142"/>
  <c r="J133" i="142"/>
  <c r="K62" i="142"/>
  <c r="J37" i="142"/>
  <c r="K43" i="142"/>
  <c r="J134" i="142"/>
  <c r="H40" i="142"/>
  <c r="J17" i="142"/>
  <c r="J137" i="142"/>
  <c r="J41" i="142"/>
  <c r="H64" i="142"/>
  <c r="K19" i="142"/>
  <c r="J65" i="142"/>
  <c r="H16" i="142"/>
  <c r="J139" i="142"/>
  <c r="K67" i="142"/>
  <c r="J62" i="142"/>
  <c r="J67" i="142"/>
  <c r="I64" i="142"/>
  <c r="J40" i="142"/>
  <c r="K131" i="142"/>
  <c r="K59" i="142"/>
  <c r="K35" i="142"/>
  <c r="K11" i="142"/>
  <c r="J69" i="142" l="1"/>
  <c r="J70" i="142" s="1"/>
  <c r="J21" i="142"/>
  <c r="J22" i="142" s="1"/>
  <c r="L49" i="142"/>
  <c r="L25" i="142"/>
  <c r="R3" i="118"/>
  <c r="E3" i="118"/>
  <c r="H66" i="142"/>
  <c r="H71" i="142" s="1"/>
  <c r="H138" i="142"/>
  <c r="H143" i="142" s="1"/>
  <c r="H18" i="142"/>
  <c r="H23" i="142" s="1"/>
  <c r="J15" i="142"/>
  <c r="J36" i="142"/>
  <c r="I66" i="142"/>
  <c r="I71" i="142" s="1"/>
  <c r="J141" i="142"/>
  <c r="J142" i="142" s="1"/>
  <c r="J135" i="142"/>
  <c r="J132" i="142"/>
  <c r="J39" i="142"/>
  <c r="J60" i="142"/>
  <c r="H42" i="142"/>
  <c r="H47" i="142" s="1"/>
  <c r="J12" i="142"/>
  <c r="I22" i="142"/>
  <c r="Q3" i="118"/>
  <c r="AD2" i="57"/>
  <c r="AD1" i="35"/>
  <c r="AE2" i="57"/>
  <c r="AE1" i="35"/>
  <c r="J42" i="142"/>
  <c r="K39" i="142"/>
  <c r="K69" i="142"/>
  <c r="K45" i="142"/>
  <c r="K21" i="142"/>
  <c r="K22" i="142" s="1"/>
  <c r="J46" i="142"/>
  <c r="L1" i="142"/>
  <c r="AA169" i="1"/>
  <c r="L38" i="142"/>
  <c r="K133" i="142"/>
  <c r="K14" i="142"/>
  <c r="L13" i="142"/>
  <c r="I16" i="142"/>
  <c r="L134" i="142"/>
  <c r="L19" i="142"/>
  <c r="K139" i="142"/>
  <c r="L17" i="142"/>
  <c r="K137" i="142"/>
  <c r="L43" i="142"/>
  <c r="J64" i="142"/>
  <c r="K64" i="142"/>
  <c r="L61" i="142"/>
  <c r="K65" i="142"/>
  <c r="K61" i="142"/>
  <c r="L37" i="142"/>
  <c r="K13" i="142"/>
  <c r="I40" i="142"/>
  <c r="K38" i="142"/>
  <c r="L139" i="142"/>
  <c r="K41" i="142"/>
  <c r="L67" i="142"/>
  <c r="L62" i="142"/>
  <c r="I136" i="142"/>
  <c r="J16" i="142"/>
  <c r="L14" i="142"/>
  <c r="L133" i="142"/>
  <c r="K40" i="142"/>
  <c r="L131" i="142"/>
  <c r="L11" i="142"/>
  <c r="L35" i="142"/>
  <c r="L59" i="142"/>
  <c r="J66" i="142" l="1"/>
  <c r="J71" i="142" s="1"/>
  <c r="M49" i="142"/>
  <c r="M25" i="142"/>
  <c r="I42" i="142"/>
  <c r="I47" i="142" s="1"/>
  <c r="I138" i="142"/>
  <c r="I143" i="142" s="1"/>
  <c r="K15" i="142"/>
  <c r="K60" i="142"/>
  <c r="K141" i="142"/>
  <c r="K142" i="142" s="1"/>
  <c r="I18" i="142"/>
  <c r="I23" i="142" s="1"/>
  <c r="K12" i="142"/>
  <c r="K63" i="142"/>
  <c r="K36" i="142"/>
  <c r="K135" i="142"/>
  <c r="K132" i="142"/>
  <c r="J18" i="142"/>
  <c r="J23" i="142" s="1"/>
  <c r="K42" i="142"/>
  <c r="L135" i="142"/>
  <c r="L39" i="142"/>
  <c r="L63" i="142"/>
  <c r="L15" i="142"/>
  <c r="K66" i="142"/>
  <c r="L141" i="142"/>
  <c r="L69" i="142"/>
  <c r="L45" i="142"/>
  <c r="L21" i="142"/>
  <c r="M1" i="142"/>
  <c r="J47" i="142"/>
  <c r="K46" i="142"/>
  <c r="K70" i="142"/>
  <c r="L65" i="142"/>
  <c r="E33" i="118"/>
  <c r="K16" i="142"/>
  <c r="L64" i="142"/>
  <c r="L41" i="142"/>
  <c r="M43" i="142"/>
  <c r="L137" i="142"/>
  <c r="L16" i="142"/>
  <c r="M37" i="142"/>
  <c r="E69" i="118"/>
  <c r="J136" i="142"/>
  <c r="E27" i="118"/>
  <c r="M62" i="142"/>
  <c r="L40" i="142"/>
  <c r="M134" i="142"/>
  <c r="M38" i="142"/>
  <c r="L136" i="142"/>
  <c r="E24" i="118"/>
  <c r="E30" i="118"/>
  <c r="M131" i="142"/>
  <c r="E64" i="118"/>
  <c r="M59" i="142"/>
  <c r="M35" i="142"/>
  <c r="E28" i="118"/>
  <c r="E66" i="118"/>
  <c r="E25" i="118"/>
  <c r="E22" i="118"/>
  <c r="E31" i="118"/>
  <c r="E67" i="118"/>
  <c r="E68" i="118" l="1"/>
  <c r="E65" i="118"/>
  <c r="N25" i="142"/>
  <c r="N49" i="142"/>
  <c r="E32" i="118"/>
  <c r="E29" i="118"/>
  <c r="J138" i="142"/>
  <c r="J143" i="142" s="1"/>
  <c r="E26" i="118"/>
  <c r="E23" i="118"/>
  <c r="L12" i="142"/>
  <c r="L36" i="142"/>
  <c r="L132" i="142"/>
  <c r="L60" i="142"/>
  <c r="K18" i="142"/>
  <c r="K23" i="142" s="1"/>
  <c r="L18" i="142"/>
  <c r="L42" i="142"/>
  <c r="L138" i="142"/>
  <c r="L66" i="142"/>
  <c r="M39" i="142"/>
  <c r="L70" i="142"/>
  <c r="K47" i="142"/>
  <c r="M45" i="142"/>
  <c r="L46" i="142"/>
  <c r="N1" i="142"/>
  <c r="K71" i="142"/>
  <c r="L22" i="142"/>
  <c r="L142" i="142"/>
  <c r="N62" i="142"/>
  <c r="N38" i="142"/>
  <c r="N67" i="142"/>
  <c r="N17" i="142"/>
  <c r="M17" i="142"/>
  <c r="M13" i="142"/>
  <c r="M14" i="142"/>
  <c r="N139" i="142"/>
  <c r="N37" i="142"/>
  <c r="N19" i="142"/>
  <c r="N13" i="142"/>
  <c r="M19" i="142"/>
  <c r="M139" i="142"/>
  <c r="M67" i="142"/>
  <c r="M137" i="142"/>
  <c r="M41" i="142"/>
  <c r="M65" i="142"/>
  <c r="M61" i="142"/>
  <c r="N133" i="142"/>
  <c r="N43" i="142"/>
  <c r="N134" i="142"/>
  <c r="N14" i="142"/>
  <c r="N61" i="142"/>
  <c r="M133" i="142"/>
  <c r="K136" i="142"/>
  <c r="M40" i="142"/>
  <c r="N131" i="142"/>
  <c r="N11" i="142"/>
  <c r="M11" i="142"/>
  <c r="N59" i="142"/>
  <c r="N35" i="142"/>
  <c r="M135" i="142" l="1"/>
  <c r="M63" i="142"/>
  <c r="M21" i="142"/>
  <c r="M22" i="142" s="1"/>
  <c r="M15" i="142"/>
  <c r="O49" i="142"/>
  <c r="O25" i="142"/>
  <c r="K138" i="142"/>
  <c r="K143" i="142" s="1"/>
  <c r="M36" i="142"/>
  <c r="M60" i="142"/>
  <c r="M69" i="142"/>
  <c r="M70" i="142" s="1"/>
  <c r="M12" i="142"/>
  <c r="M141" i="142"/>
  <c r="M142" i="142" s="1"/>
  <c r="M132" i="142"/>
  <c r="N18" i="112"/>
  <c r="L18" i="112"/>
  <c r="L71" i="142"/>
  <c r="N63" i="142"/>
  <c r="N15" i="142"/>
  <c r="M42" i="142"/>
  <c r="N135" i="142"/>
  <c r="N39" i="142"/>
  <c r="N141" i="142"/>
  <c r="N69" i="142"/>
  <c r="N45" i="142"/>
  <c r="N21" i="142"/>
  <c r="N22" i="142" s="1"/>
  <c r="O1" i="142"/>
  <c r="L23" i="142"/>
  <c r="M46" i="142"/>
  <c r="L143" i="142"/>
  <c r="L47" i="142"/>
  <c r="O38" i="142"/>
  <c r="O133" i="142"/>
  <c r="M16" i="142"/>
  <c r="N137" i="142"/>
  <c r="N136" i="142"/>
  <c r="AA167" i="1"/>
  <c r="N41" i="142"/>
  <c r="N65" i="142"/>
  <c r="N64" i="142"/>
  <c r="M64" i="142"/>
  <c r="N40" i="142"/>
  <c r="AA141" i="1"/>
  <c r="O59" i="142"/>
  <c r="O131" i="142"/>
  <c r="O35" i="142"/>
  <c r="P49" i="142" l="1"/>
  <c r="P25" i="142"/>
  <c r="N60" i="142"/>
  <c r="M18" i="142"/>
  <c r="M23" i="142" s="1"/>
  <c r="N36" i="142"/>
  <c r="N132" i="142"/>
  <c r="M66" i="142"/>
  <c r="M71" i="142" s="1"/>
  <c r="N12" i="142"/>
  <c r="N66" i="142"/>
  <c r="N42" i="142"/>
  <c r="N138" i="142"/>
  <c r="N70" i="142"/>
  <c r="M47" i="142"/>
  <c r="N46" i="142"/>
  <c r="P1" i="142"/>
  <c r="N142" i="142"/>
  <c r="O126" i="121"/>
  <c r="O117" i="121"/>
  <c r="O62" i="142"/>
  <c r="O65" i="142"/>
  <c r="O61" i="142"/>
  <c r="O14" i="142"/>
  <c r="O17" i="142"/>
  <c r="O67" i="142"/>
  <c r="O19" i="142"/>
  <c r="O13" i="142"/>
  <c r="O137" i="142"/>
  <c r="O37" i="142"/>
  <c r="O139" i="142"/>
  <c r="P19" i="142"/>
  <c r="M136" i="142"/>
  <c r="O134" i="142"/>
  <c r="O43" i="142"/>
  <c r="N16" i="142"/>
  <c r="O41" i="142"/>
  <c r="P59" i="142"/>
  <c r="O11" i="142"/>
  <c r="P11" i="142"/>
  <c r="P35" i="142"/>
  <c r="P131" i="142"/>
  <c r="Q25" i="142" l="1"/>
  <c r="Q49" i="142"/>
  <c r="M138" i="142"/>
  <c r="M143" i="142" s="1"/>
  <c r="O15" i="142"/>
  <c r="O63" i="142"/>
  <c r="O39" i="142"/>
  <c r="O60" i="142"/>
  <c r="O21" i="142"/>
  <c r="O141" i="142"/>
  <c r="O142" i="142" s="1"/>
  <c r="O69" i="142"/>
  <c r="O12" i="142"/>
  <c r="O36" i="142"/>
  <c r="O135" i="142"/>
  <c r="O45" i="142"/>
  <c r="O46" i="142" s="1"/>
  <c r="O132" i="142"/>
  <c r="N18" i="142"/>
  <c r="N71" i="142"/>
  <c r="P21" i="142"/>
  <c r="P22" i="142" s="1"/>
  <c r="N143" i="142"/>
  <c r="Q1" i="142"/>
  <c r="N47" i="142"/>
  <c r="P17" i="142"/>
  <c r="P38" i="142"/>
  <c r="P61" i="142"/>
  <c r="P134" i="142"/>
  <c r="Q62" i="142"/>
  <c r="P65" i="142"/>
  <c r="P62" i="142"/>
  <c r="P41" i="142"/>
  <c r="P13" i="142"/>
  <c r="P43" i="142"/>
  <c r="Q17" i="142"/>
  <c r="P14" i="142"/>
  <c r="Q19" i="142"/>
  <c r="P37" i="142"/>
  <c r="P133" i="142"/>
  <c r="P139" i="142"/>
  <c r="P67" i="142"/>
  <c r="P137" i="142"/>
  <c r="O64" i="142"/>
  <c r="AA143" i="1"/>
  <c r="Q131" i="142"/>
  <c r="Q11" i="142"/>
  <c r="Q59" i="142"/>
  <c r="Q35" i="142"/>
  <c r="R49" i="142" l="1"/>
  <c r="R25" i="142"/>
  <c r="P63" i="142"/>
  <c r="P69" i="142"/>
  <c r="P70" i="142" s="1"/>
  <c r="P132" i="142"/>
  <c r="P39" i="142"/>
  <c r="O66" i="142"/>
  <c r="P15" i="142"/>
  <c r="P36" i="142"/>
  <c r="P135" i="142"/>
  <c r="P60" i="142"/>
  <c r="P141" i="142"/>
  <c r="P142" i="142" s="1"/>
  <c r="P45" i="142"/>
  <c r="P46" i="142" s="1"/>
  <c r="P12" i="142"/>
  <c r="O22" i="142"/>
  <c r="O70" i="142"/>
  <c r="N23" i="142"/>
  <c r="Q21" i="142"/>
  <c r="Q22" i="142" s="1"/>
  <c r="R1" i="142"/>
  <c r="R3" i="133"/>
  <c r="R4" i="133"/>
  <c r="R5" i="133"/>
  <c r="R6" i="133"/>
  <c r="R7" i="133"/>
  <c r="R8" i="133"/>
  <c r="R9" i="133"/>
  <c r="R10" i="133"/>
  <c r="R11" i="133"/>
  <c r="R12" i="133"/>
  <c r="R13" i="133"/>
  <c r="R14" i="133"/>
  <c r="R15" i="133"/>
  <c r="R16" i="133"/>
  <c r="R17" i="133"/>
  <c r="R18" i="133"/>
  <c r="R19" i="133"/>
  <c r="R20" i="133"/>
  <c r="R21" i="133"/>
  <c r="R22" i="133"/>
  <c r="R23" i="133"/>
  <c r="R24" i="133"/>
  <c r="R25" i="133"/>
  <c r="R26" i="133"/>
  <c r="R27" i="133"/>
  <c r="R28" i="133"/>
  <c r="R29" i="133"/>
  <c r="R30" i="133"/>
  <c r="R31" i="133"/>
  <c r="R32" i="133"/>
  <c r="R33" i="133"/>
  <c r="R34" i="133"/>
  <c r="R35" i="133"/>
  <c r="R36" i="133"/>
  <c r="R37" i="133"/>
  <c r="R38" i="133"/>
  <c r="R39" i="133"/>
  <c r="R40" i="133"/>
  <c r="R41" i="133"/>
  <c r="R42" i="133"/>
  <c r="R43" i="133"/>
  <c r="R44" i="133"/>
  <c r="R45" i="133"/>
  <c r="R46" i="133"/>
  <c r="R47" i="133"/>
  <c r="R48" i="133"/>
  <c r="R49" i="133"/>
  <c r="R50" i="133"/>
  <c r="R51" i="133"/>
  <c r="R52" i="133"/>
  <c r="R53" i="133"/>
  <c r="R54" i="133"/>
  <c r="R55" i="133"/>
  <c r="R56" i="133"/>
  <c r="R57" i="133"/>
  <c r="R58" i="133"/>
  <c r="R59" i="133"/>
  <c r="R60" i="133"/>
  <c r="R61" i="133"/>
  <c r="R62" i="133"/>
  <c r="R63" i="133"/>
  <c r="R64" i="133"/>
  <c r="R65" i="133"/>
  <c r="R66" i="133"/>
  <c r="R67" i="133"/>
  <c r="R68" i="133"/>
  <c r="R69" i="133"/>
  <c r="R70" i="133"/>
  <c r="R71" i="133"/>
  <c r="R72" i="133"/>
  <c r="R73" i="133"/>
  <c r="R74" i="133"/>
  <c r="R75" i="133"/>
  <c r="R76" i="133"/>
  <c r="R77" i="133"/>
  <c r="R78" i="133"/>
  <c r="R79" i="133"/>
  <c r="R80" i="133"/>
  <c r="R81" i="133"/>
  <c r="R82" i="133"/>
  <c r="R83" i="133"/>
  <c r="R84" i="133"/>
  <c r="R85" i="133"/>
  <c r="R86" i="133"/>
  <c r="R87" i="133"/>
  <c r="R88" i="133"/>
  <c r="R89" i="133"/>
  <c r="R90" i="133"/>
  <c r="R91" i="133"/>
  <c r="R92" i="133"/>
  <c r="R93" i="133"/>
  <c r="R94" i="133"/>
  <c r="R95" i="133"/>
  <c r="R96" i="133"/>
  <c r="R97" i="133"/>
  <c r="R98" i="133"/>
  <c r="R99" i="133"/>
  <c r="R100" i="133"/>
  <c r="R101" i="133"/>
  <c r="R102" i="133"/>
  <c r="R103" i="133"/>
  <c r="R104" i="133"/>
  <c r="R105" i="133"/>
  <c r="R106" i="133"/>
  <c r="R107" i="133"/>
  <c r="R108" i="133"/>
  <c r="R109" i="133"/>
  <c r="R110" i="133"/>
  <c r="R111" i="133"/>
  <c r="R112" i="133"/>
  <c r="R113" i="133"/>
  <c r="R114" i="133"/>
  <c r="R115" i="133"/>
  <c r="R116" i="133"/>
  <c r="R117" i="133"/>
  <c r="R118" i="133"/>
  <c r="R119" i="133"/>
  <c r="R120" i="133"/>
  <c r="R121" i="133"/>
  <c r="R122" i="133"/>
  <c r="R123" i="133"/>
  <c r="R124" i="133"/>
  <c r="R125" i="133"/>
  <c r="R126" i="133"/>
  <c r="R127" i="133"/>
  <c r="R128" i="133"/>
  <c r="R129" i="133"/>
  <c r="R130" i="133"/>
  <c r="R131" i="133"/>
  <c r="R132" i="133"/>
  <c r="R133" i="133"/>
  <c r="R134" i="133"/>
  <c r="R135" i="133"/>
  <c r="R136" i="133"/>
  <c r="R137" i="133"/>
  <c r="R138" i="133"/>
  <c r="R139" i="133"/>
  <c r="R140" i="133"/>
  <c r="R141" i="133"/>
  <c r="R142" i="133"/>
  <c r="R143" i="133"/>
  <c r="R144" i="133"/>
  <c r="R145" i="133"/>
  <c r="R146" i="133"/>
  <c r="R147" i="133"/>
  <c r="R148" i="133"/>
  <c r="R149" i="133"/>
  <c r="R150" i="133"/>
  <c r="R151" i="133"/>
  <c r="R152" i="133"/>
  <c r="R153" i="133"/>
  <c r="R154" i="133"/>
  <c r="R155" i="133"/>
  <c r="R156" i="133"/>
  <c r="R157" i="133"/>
  <c r="R158" i="133"/>
  <c r="R159" i="133"/>
  <c r="R160" i="133"/>
  <c r="R161" i="133"/>
  <c r="R162" i="133"/>
  <c r="R163" i="133"/>
  <c r="R164" i="133"/>
  <c r="R165" i="133"/>
  <c r="R166" i="133"/>
  <c r="R167" i="133"/>
  <c r="R168" i="133"/>
  <c r="R169" i="133"/>
  <c r="R170" i="133"/>
  <c r="R171" i="133"/>
  <c r="R172" i="133"/>
  <c r="R173" i="133"/>
  <c r="R174" i="133"/>
  <c r="R175" i="133"/>
  <c r="R176" i="133"/>
  <c r="R177" i="133"/>
  <c r="R178" i="133"/>
  <c r="R179" i="133"/>
  <c r="R180" i="133"/>
  <c r="R181" i="133"/>
  <c r="R182" i="133"/>
  <c r="R183" i="133"/>
  <c r="R184" i="133"/>
  <c r="R185" i="133"/>
  <c r="R186" i="133"/>
  <c r="R187" i="133"/>
  <c r="R188" i="133"/>
  <c r="R189" i="133"/>
  <c r="R190" i="133"/>
  <c r="R191" i="133"/>
  <c r="R192" i="133"/>
  <c r="R193" i="133"/>
  <c r="R194" i="133"/>
  <c r="R195" i="133"/>
  <c r="R196" i="133"/>
  <c r="R197" i="133"/>
  <c r="R198" i="133"/>
  <c r="R199" i="133"/>
  <c r="R200" i="133"/>
  <c r="R201" i="133"/>
  <c r="R202" i="133"/>
  <c r="R203" i="133"/>
  <c r="R204" i="133"/>
  <c r="R205" i="133"/>
  <c r="R206" i="133"/>
  <c r="R207" i="133"/>
  <c r="R208" i="133"/>
  <c r="R209" i="133"/>
  <c r="R210" i="133"/>
  <c r="R211" i="133"/>
  <c r="R212" i="133"/>
  <c r="R213" i="133"/>
  <c r="R214" i="133"/>
  <c r="R215" i="133"/>
  <c r="R216" i="133"/>
  <c r="R217" i="133"/>
  <c r="R218" i="133"/>
  <c r="R219" i="133"/>
  <c r="R220" i="133"/>
  <c r="R221" i="133"/>
  <c r="R222" i="133"/>
  <c r="R223" i="133"/>
  <c r="R224" i="133"/>
  <c r="R225" i="133"/>
  <c r="R226" i="133"/>
  <c r="R227" i="133"/>
  <c r="R228" i="133"/>
  <c r="R229" i="133"/>
  <c r="R230" i="133"/>
  <c r="R231" i="133"/>
  <c r="R232" i="133"/>
  <c r="R233" i="133"/>
  <c r="R234" i="133"/>
  <c r="R235" i="133"/>
  <c r="R236" i="133"/>
  <c r="R237" i="133"/>
  <c r="R238" i="133"/>
  <c r="R239" i="133"/>
  <c r="R240" i="133"/>
  <c r="R241" i="133"/>
  <c r="R242" i="133"/>
  <c r="R243" i="133"/>
  <c r="R244" i="133"/>
  <c r="R245" i="133"/>
  <c r="R246" i="133"/>
  <c r="R247" i="133"/>
  <c r="R248" i="133"/>
  <c r="R249" i="133"/>
  <c r="R250" i="133"/>
  <c r="R251" i="133"/>
  <c r="R252" i="133"/>
  <c r="R253" i="133"/>
  <c r="R254" i="133"/>
  <c r="R255" i="133"/>
  <c r="R256" i="133"/>
  <c r="R257" i="133"/>
  <c r="R258" i="133"/>
  <c r="R259" i="133"/>
  <c r="R260" i="133"/>
  <c r="R261" i="133"/>
  <c r="R262" i="133"/>
  <c r="R263" i="133"/>
  <c r="R264" i="133"/>
  <c r="R265" i="133"/>
  <c r="R266" i="133"/>
  <c r="R267" i="133"/>
  <c r="R268" i="133"/>
  <c r="R269" i="133"/>
  <c r="R270" i="133"/>
  <c r="R271" i="133"/>
  <c r="R272" i="133"/>
  <c r="R273" i="133"/>
  <c r="R274" i="133"/>
  <c r="R275" i="133"/>
  <c r="R276" i="133"/>
  <c r="R277" i="133"/>
  <c r="R278" i="133"/>
  <c r="R279" i="133"/>
  <c r="R280" i="133"/>
  <c r="R281" i="133"/>
  <c r="R282" i="133"/>
  <c r="R283" i="133"/>
  <c r="R284" i="133"/>
  <c r="R285" i="133"/>
  <c r="R286" i="133"/>
  <c r="R287" i="133"/>
  <c r="R288" i="133"/>
  <c r="R289" i="133"/>
  <c r="R290" i="133"/>
  <c r="R291" i="133"/>
  <c r="R292" i="133"/>
  <c r="R293" i="133"/>
  <c r="R294" i="133"/>
  <c r="R295" i="133"/>
  <c r="R296" i="133"/>
  <c r="R297" i="133"/>
  <c r="R298" i="133"/>
  <c r="R299" i="133"/>
  <c r="R300" i="133"/>
  <c r="R301" i="133"/>
  <c r="R302" i="133"/>
  <c r="R303" i="133"/>
  <c r="R304" i="133"/>
  <c r="R305" i="133"/>
  <c r="R306" i="133"/>
  <c r="R307" i="133"/>
  <c r="R308" i="133"/>
  <c r="R309" i="133"/>
  <c r="R310" i="133"/>
  <c r="R311" i="133"/>
  <c r="R312" i="133"/>
  <c r="R313" i="133"/>
  <c r="R314" i="133"/>
  <c r="R315" i="133"/>
  <c r="R316" i="133"/>
  <c r="R317" i="133"/>
  <c r="R318" i="133"/>
  <c r="R319" i="133"/>
  <c r="R320" i="133"/>
  <c r="R321" i="133"/>
  <c r="R322" i="133"/>
  <c r="R323" i="133"/>
  <c r="R324" i="133"/>
  <c r="R325" i="133"/>
  <c r="R326" i="133"/>
  <c r="R327" i="133"/>
  <c r="R328" i="133"/>
  <c r="R329" i="133"/>
  <c r="R330" i="133"/>
  <c r="R331" i="133"/>
  <c r="R332" i="133"/>
  <c r="R333" i="133"/>
  <c r="R334" i="133"/>
  <c r="R335" i="133"/>
  <c r="R336" i="133"/>
  <c r="R337" i="133"/>
  <c r="R338" i="133"/>
  <c r="R339" i="133"/>
  <c r="R340" i="133"/>
  <c r="R341" i="133"/>
  <c r="R342" i="133"/>
  <c r="R343" i="133"/>
  <c r="R344" i="133"/>
  <c r="R345" i="133"/>
  <c r="R346" i="133"/>
  <c r="R347" i="133"/>
  <c r="R348" i="133"/>
  <c r="R349" i="133"/>
  <c r="R350" i="133"/>
  <c r="R351" i="133"/>
  <c r="R352" i="133"/>
  <c r="R353" i="133"/>
  <c r="R354" i="133"/>
  <c r="R355" i="133"/>
  <c r="R356" i="133"/>
  <c r="R357" i="133"/>
  <c r="R358" i="133"/>
  <c r="R359" i="133"/>
  <c r="R360" i="133"/>
  <c r="R361" i="133"/>
  <c r="R362" i="133"/>
  <c r="R363" i="133"/>
  <c r="R364" i="133"/>
  <c r="R365" i="133"/>
  <c r="R366" i="133"/>
  <c r="R367" i="133"/>
  <c r="R368" i="133"/>
  <c r="R369" i="133"/>
  <c r="R370" i="133"/>
  <c r="R371" i="133"/>
  <c r="R372" i="133"/>
  <c r="R373" i="133"/>
  <c r="R374" i="133"/>
  <c r="R375" i="133"/>
  <c r="R376" i="133"/>
  <c r="R377" i="133"/>
  <c r="R378" i="133"/>
  <c r="R379" i="133"/>
  <c r="R380" i="133"/>
  <c r="R381" i="133"/>
  <c r="R382" i="133"/>
  <c r="R383" i="133"/>
  <c r="R384" i="133"/>
  <c r="R385" i="133"/>
  <c r="R386" i="133"/>
  <c r="R387" i="133"/>
  <c r="R388" i="133"/>
  <c r="R389" i="133"/>
  <c r="R390" i="133"/>
  <c r="R391" i="133"/>
  <c r="R392" i="133"/>
  <c r="R393" i="133"/>
  <c r="R394" i="133"/>
  <c r="R395" i="133"/>
  <c r="R396" i="133"/>
  <c r="R397" i="133"/>
  <c r="R398" i="133"/>
  <c r="R399" i="133"/>
  <c r="R400" i="133"/>
  <c r="R401" i="133"/>
  <c r="R402" i="133"/>
  <c r="R403" i="133"/>
  <c r="R404" i="133"/>
  <c r="R405" i="133"/>
  <c r="R406" i="133"/>
  <c r="R407" i="133"/>
  <c r="R408" i="133"/>
  <c r="R409" i="133"/>
  <c r="R410" i="133"/>
  <c r="R411" i="133"/>
  <c r="R412" i="133"/>
  <c r="R413" i="133"/>
  <c r="R414" i="133"/>
  <c r="R415" i="133"/>
  <c r="R416" i="133"/>
  <c r="R417" i="133"/>
  <c r="R418" i="133"/>
  <c r="R419" i="133"/>
  <c r="R420" i="133"/>
  <c r="R421" i="133"/>
  <c r="R422" i="133"/>
  <c r="R423" i="133"/>
  <c r="R424" i="133"/>
  <c r="R425" i="133"/>
  <c r="R426" i="133"/>
  <c r="R427" i="133"/>
  <c r="R428" i="133"/>
  <c r="R429" i="133"/>
  <c r="R430" i="133"/>
  <c r="R431" i="133"/>
  <c r="R432" i="133"/>
  <c r="R433" i="133"/>
  <c r="R434" i="133"/>
  <c r="R435" i="133"/>
  <c r="R436" i="133"/>
  <c r="R437" i="133"/>
  <c r="R438" i="133"/>
  <c r="R439" i="133"/>
  <c r="R440" i="133"/>
  <c r="R441" i="133"/>
  <c r="R442" i="133"/>
  <c r="R443" i="133"/>
  <c r="R444" i="133"/>
  <c r="R445" i="133"/>
  <c r="R446" i="133"/>
  <c r="R447" i="133"/>
  <c r="R448" i="133"/>
  <c r="R449" i="133"/>
  <c r="R450" i="133"/>
  <c r="R451" i="133"/>
  <c r="R452" i="133"/>
  <c r="R453" i="133"/>
  <c r="R454" i="133"/>
  <c r="R455" i="133"/>
  <c r="R456" i="133"/>
  <c r="R457" i="133"/>
  <c r="R458" i="133"/>
  <c r="R459" i="133"/>
  <c r="R460" i="133"/>
  <c r="R461" i="133"/>
  <c r="R462" i="133"/>
  <c r="R463" i="133"/>
  <c r="R464" i="133"/>
  <c r="R465" i="133"/>
  <c r="R466" i="133"/>
  <c r="R467" i="133"/>
  <c r="R468" i="133"/>
  <c r="R469" i="133"/>
  <c r="R470" i="133"/>
  <c r="R471" i="133"/>
  <c r="R472" i="133"/>
  <c r="R473" i="133"/>
  <c r="R474" i="133"/>
  <c r="R475" i="133"/>
  <c r="R476" i="133"/>
  <c r="R477" i="133"/>
  <c r="R478" i="133"/>
  <c r="R479" i="133"/>
  <c r="R480" i="133"/>
  <c r="R481" i="133"/>
  <c r="R482" i="133"/>
  <c r="R483" i="133"/>
  <c r="R484" i="133"/>
  <c r="R485" i="133"/>
  <c r="R486" i="133"/>
  <c r="R487" i="133"/>
  <c r="R488" i="133"/>
  <c r="R489" i="133"/>
  <c r="R490" i="133"/>
  <c r="R491" i="133"/>
  <c r="R492" i="133"/>
  <c r="R493" i="133"/>
  <c r="R494" i="133"/>
  <c r="R495" i="133"/>
  <c r="R496" i="133"/>
  <c r="R497" i="133"/>
  <c r="R498" i="133"/>
  <c r="R499" i="133"/>
  <c r="R500" i="133"/>
  <c r="R38" i="142"/>
  <c r="Q41" i="142"/>
  <c r="R19" i="142"/>
  <c r="R139" i="142"/>
  <c r="R37" i="142"/>
  <c r="Q65" i="142"/>
  <c r="P16" i="142"/>
  <c r="Q37" i="142"/>
  <c r="Q134" i="142"/>
  <c r="R61" i="142"/>
  <c r="R43" i="142"/>
  <c r="R67" i="142"/>
  <c r="Q14" i="142"/>
  <c r="Q133" i="142"/>
  <c r="O16" i="142"/>
  <c r="R17" i="142"/>
  <c r="R133" i="142"/>
  <c r="Q38" i="142"/>
  <c r="Q139" i="142"/>
  <c r="Q13" i="142"/>
  <c r="Q137" i="142"/>
  <c r="R134" i="142"/>
  <c r="O136" i="142"/>
  <c r="Q67" i="142"/>
  <c r="Q43" i="142"/>
  <c r="Q61" i="142"/>
  <c r="R14" i="142"/>
  <c r="R13" i="142"/>
  <c r="R62" i="142"/>
  <c r="O40" i="142"/>
  <c r="R131" i="142"/>
  <c r="R35" i="142"/>
  <c r="R11" i="142"/>
  <c r="R59" i="142"/>
  <c r="S49" i="142" l="1"/>
  <c r="S25" i="142"/>
  <c r="O71" i="142"/>
  <c r="O138" i="142"/>
  <c r="O143" i="142" s="1"/>
  <c r="O42" i="142"/>
  <c r="O47" i="142" s="1"/>
  <c r="Q45" i="142"/>
  <c r="Q46" i="142" s="1"/>
  <c r="O18" i="142"/>
  <c r="O23" i="142" s="1"/>
  <c r="Q12" i="142"/>
  <c r="Q15" i="142"/>
  <c r="Q132" i="142"/>
  <c r="Q141" i="142"/>
  <c r="Q142" i="142" s="1"/>
  <c r="Q39" i="142"/>
  <c r="Q69" i="142"/>
  <c r="Q70" i="142" s="1"/>
  <c r="Q36" i="142"/>
  <c r="Q63" i="142"/>
  <c r="Q135" i="142"/>
  <c r="Q60" i="142"/>
  <c r="P18" i="142"/>
  <c r="R39" i="142"/>
  <c r="R63" i="142"/>
  <c r="R15" i="142"/>
  <c r="R135" i="142"/>
  <c r="R141" i="142"/>
  <c r="R69" i="142"/>
  <c r="R45" i="142"/>
  <c r="R21" i="142"/>
  <c r="R22" i="142" s="1"/>
  <c r="S1" i="142"/>
  <c r="O2" i="124"/>
  <c r="N2" i="124" s="1"/>
  <c r="P2" i="124" s="1"/>
  <c r="R137" i="142"/>
  <c r="R65" i="142"/>
  <c r="Q16" i="142"/>
  <c r="R136" i="142"/>
  <c r="S139" i="142"/>
  <c r="P40" i="142"/>
  <c r="P64" i="142"/>
  <c r="S14" i="142"/>
  <c r="S17" i="142"/>
  <c r="P136" i="142"/>
  <c r="R41" i="142"/>
  <c r="S133" i="142"/>
  <c r="R64" i="142"/>
  <c r="R40" i="142"/>
  <c r="S11" i="142"/>
  <c r="S35" i="142"/>
  <c r="S131" i="142"/>
  <c r="S59" i="142"/>
  <c r="T25" i="142" l="1"/>
  <c r="T49" i="142"/>
  <c r="P66" i="142"/>
  <c r="P71" i="142" s="1"/>
  <c r="P138" i="142"/>
  <c r="P143" i="142" s="1"/>
  <c r="P42" i="142"/>
  <c r="P47" i="142" s="1"/>
  <c r="R132" i="142"/>
  <c r="R60" i="142"/>
  <c r="R36" i="142"/>
  <c r="R12" i="142"/>
  <c r="Q18" i="142"/>
  <c r="P23" i="142"/>
  <c r="R42" i="142"/>
  <c r="R138" i="142"/>
  <c r="S135" i="142"/>
  <c r="R66" i="142"/>
  <c r="R70" i="142"/>
  <c r="S141" i="142"/>
  <c r="R46" i="142"/>
  <c r="T1" i="142"/>
  <c r="R142" i="142"/>
  <c r="G2" i="113"/>
  <c r="T139" i="142"/>
  <c r="T109" i="142"/>
  <c r="T62" i="142"/>
  <c r="T133" i="142"/>
  <c r="T37" i="142"/>
  <c r="T17" i="142"/>
  <c r="S38" i="142"/>
  <c r="S37" i="142"/>
  <c r="R16" i="142"/>
  <c r="T85" i="142"/>
  <c r="S67" i="142"/>
  <c r="S13" i="142"/>
  <c r="T14" i="142"/>
  <c r="S43" i="142"/>
  <c r="S41" i="142"/>
  <c r="T115" i="142"/>
  <c r="T113" i="142"/>
  <c r="Q64" i="142"/>
  <c r="S61" i="142"/>
  <c r="S62" i="142"/>
  <c r="S19" i="142"/>
  <c r="T86" i="142"/>
  <c r="T43" i="142"/>
  <c r="S134" i="142"/>
  <c r="T67" i="142"/>
  <c r="S65" i="142"/>
  <c r="T19" i="142"/>
  <c r="Q136" i="142"/>
  <c r="S137" i="142"/>
  <c r="T89" i="142"/>
  <c r="T61" i="142"/>
  <c r="T13" i="142"/>
  <c r="T110" i="142"/>
  <c r="T91" i="142"/>
  <c r="T38" i="142"/>
  <c r="T134" i="142"/>
  <c r="Q40" i="142"/>
  <c r="S136" i="142"/>
  <c r="T11" i="142"/>
  <c r="T35" i="142"/>
  <c r="T59" i="142"/>
  <c r="T131" i="142"/>
  <c r="S63" i="142" l="1"/>
  <c r="S45" i="142"/>
  <c r="T111" i="142"/>
  <c r="T117" i="142"/>
  <c r="T118" i="142" s="1"/>
  <c r="T93" i="142"/>
  <c r="T87" i="142"/>
  <c r="U49" i="142"/>
  <c r="U25" i="142"/>
  <c r="Q42" i="142"/>
  <c r="Q47" i="142" s="1"/>
  <c r="BA39" i="151"/>
  <c r="Q138" i="142"/>
  <c r="Q143" i="142" s="1"/>
  <c r="Q66" i="142"/>
  <c r="Q71" i="142" s="1"/>
  <c r="S15" i="142"/>
  <c r="S132" i="142"/>
  <c r="S39" i="142"/>
  <c r="S36" i="142"/>
  <c r="S21" i="142"/>
  <c r="S22" i="142" s="1"/>
  <c r="S12" i="142"/>
  <c r="S69" i="142"/>
  <c r="S70" i="142" s="1"/>
  <c r="S60" i="142"/>
  <c r="H2" i="113"/>
  <c r="Q23" i="142"/>
  <c r="R18" i="142"/>
  <c r="R71" i="142"/>
  <c r="T39" i="142"/>
  <c r="T63" i="142"/>
  <c r="T15" i="142"/>
  <c r="T135" i="142"/>
  <c r="S138" i="142"/>
  <c r="S46" i="142"/>
  <c r="T141" i="142"/>
  <c r="T69" i="142"/>
  <c r="T45" i="142"/>
  <c r="T21" i="142"/>
  <c r="T22" i="142" s="1"/>
  <c r="R143" i="142"/>
  <c r="U1" i="142"/>
  <c r="R47" i="142"/>
  <c r="S142" i="142"/>
  <c r="J467" i="136"/>
  <c r="L467" i="136" s="1"/>
  <c r="L468" i="136"/>
  <c r="J469" i="136"/>
  <c r="L469" i="136" s="1"/>
  <c r="J470" i="136"/>
  <c r="L470" i="136" s="1"/>
  <c r="J471" i="136"/>
  <c r="L471" i="136" s="1"/>
  <c r="J472" i="136"/>
  <c r="L472" i="136" s="1"/>
  <c r="J473" i="136"/>
  <c r="L473" i="136" s="1"/>
  <c r="J474" i="136"/>
  <c r="L474" i="136" s="1"/>
  <c r="J475" i="136"/>
  <c r="L475" i="136" s="1"/>
  <c r="J476" i="136"/>
  <c r="L476" i="136" s="1"/>
  <c r="J477" i="136"/>
  <c r="L477" i="136" s="1"/>
  <c r="J478" i="136"/>
  <c r="L478" i="136" s="1"/>
  <c r="J479" i="136"/>
  <c r="L479" i="136" s="1"/>
  <c r="J480" i="136"/>
  <c r="L480" i="136" s="1"/>
  <c r="J481" i="136"/>
  <c r="L481" i="136" s="1"/>
  <c r="J482" i="136"/>
  <c r="L482" i="136" s="1"/>
  <c r="J483" i="136"/>
  <c r="L483" i="136" s="1"/>
  <c r="J484" i="136"/>
  <c r="L484" i="136" s="1"/>
  <c r="J485" i="136"/>
  <c r="L485" i="136" s="1"/>
  <c r="J486" i="136"/>
  <c r="L486" i="136" s="1"/>
  <c r="J487" i="136"/>
  <c r="L487" i="136" s="1"/>
  <c r="J488" i="136"/>
  <c r="L488" i="136" s="1"/>
  <c r="J489" i="136"/>
  <c r="L489" i="136" s="1"/>
  <c r="J490" i="136"/>
  <c r="L490" i="136" s="1"/>
  <c r="J491" i="136"/>
  <c r="L491" i="136" s="1"/>
  <c r="J492" i="136"/>
  <c r="L492" i="136" s="1"/>
  <c r="F467" i="136"/>
  <c r="F468" i="136"/>
  <c r="F469" i="136"/>
  <c r="F470" i="136"/>
  <c r="F471" i="136"/>
  <c r="F472" i="136"/>
  <c r="F473" i="136"/>
  <c r="F474" i="136"/>
  <c r="F475" i="136"/>
  <c r="F476" i="136"/>
  <c r="F477" i="136"/>
  <c r="F478" i="136"/>
  <c r="F479" i="136"/>
  <c r="F480" i="136"/>
  <c r="F481" i="136"/>
  <c r="F482" i="136"/>
  <c r="F483" i="136"/>
  <c r="F484" i="136"/>
  <c r="F485" i="136"/>
  <c r="F486" i="136"/>
  <c r="F487" i="136"/>
  <c r="F488" i="136"/>
  <c r="F489" i="136"/>
  <c r="F490" i="136"/>
  <c r="F491" i="136"/>
  <c r="F492" i="136"/>
  <c r="F493" i="136"/>
  <c r="F494" i="136"/>
  <c r="F495" i="136"/>
  <c r="D466" i="136"/>
  <c r="D467" i="136"/>
  <c r="D468" i="136"/>
  <c r="D469" i="136"/>
  <c r="D470" i="136"/>
  <c r="D471" i="136"/>
  <c r="D472" i="136"/>
  <c r="D473" i="136"/>
  <c r="D474" i="136"/>
  <c r="D475" i="136"/>
  <c r="D476" i="136"/>
  <c r="D477" i="136"/>
  <c r="D478" i="136"/>
  <c r="D479" i="136"/>
  <c r="D480" i="136"/>
  <c r="D481" i="136"/>
  <c r="D482" i="136"/>
  <c r="D483" i="136"/>
  <c r="D484" i="136"/>
  <c r="D485" i="136"/>
  <c r="D486" i="136"/>
  <c r="D487" i="136"/>
  <c r="D488" i="136"/>
  <c r="D489" i="136"/>
  <c r="D490" i="136"/>
  <c r="D491" i="136"/>
  <c r="D492" i="136"/>
  <c r="D493" i="136"/>
  <c r="D494" i="136"/>
  <c r="D495" i="136"/>
  <c r="D496" i="136"/>
  <c r="D497" i="136"/>
  <c r="D498" i="136"/>
  <c r="D499" i="136"/>
  <c r="B468" i="136"/>
  <c r="B469" i="136"/>
  <c r="B470" i="136"/>
  <c r="B471" i="136"/>
  <c r="B472" i="136"/>
  <c r="B473" i="136"/>
  <c r="B474" i="136"/>
  <c r="B475" i="136"/>
  <c r="B476" i="136"/>
  <c r="B477" i="136"/>
  <c r="B478" i="136"/>
  <c r="B479" i="136"/>
  <c r="B480" i="136"/>
  <c r="B481" i="136"/>
  <c r="B482" i="136"/>
  <c r="B483" i="136"/>
  <c r="B484" i="136"/>
  <c r="B485" i="136"/>
  <c r="B486" i="136"/>
  <c r="B487" i="136"/>
  <c r="B488" i="136"/>
  <c r="B489" i="136"/>
  <c r="B490" i="136"/>
  <c r="B491" i="136"/>
  <c r="B492" i="136"/>
  <c r="B493" i="136"/>
  <c r="B494" i="136"/>
  <c r="U17" i="142"/>
  <c r="U133" i="142"/>
  <c r="T41" i="142"/>
  <c r="T88" i="142"/>
  <c r="G60" i="113"/>
  <c r="G62" i="113"/>
  <c r="U19" i="142"/>
  <c r="G59" i="113"/>
  <c r="T64" i="142"/>
  <c r="U13" i="142"/>
  <c r="G51" i="113"/>
  <c r="T65" i="142"/>
  <c r="U67" i="142"/>
  <c r="U113" i="142"/>
  <c r="U38" i="142"/>
  <c r="T40" i="142"/>
  <c r="G50" i="113"/>
  <c r="T137" i="142"/>
  <c r="G61" i="113"/>
  <c r="T112" i="142"/>
  <c r="G148" i="113"/>
  <c r="U62" i="142"/>
  <c r="S40" i="142"/>
  <c r="U85" i="142"/>
  <c r="U115" i="142"/>
  <c r="U37" i="142"/>
  <c r="G49" i="113"/>
  <c r="T136" i="142"/>
  <c r="G52" i="113"/>
  <c r="U86" i="142"/>
  <c r="U35" i="142"/>
  <c r="U59" i="142"/>
  <c r="U11" i="142"/>
  <c r="U131" i="142"/>
  <c r="S42" i="142" l="1"/>
  <c r="S47" i="142" s="1"/>
  <c r="U117" i="142"/>
  <c r="U118" i="142" s="1"/>
  <c r="T114" i="142"/>
  <c r="T119" i="142" s="1"/>
  <c r="U87" i="142"/>
  <c r="T90" i="142"/>
  <c r="V25" i="142"/>
  <c r="V49" i="142"/>
  <c r="T94" i="142"/>
  <c r="E67" i="116"/>
  <c r="E70" i="116" s="1"/>
  <c r="E64" i="116"/>
  <c r="E66" i="116"/>
  <c r="G63" i="113"/>
  <c r="E69" i="116"/>
  <c r="E68" i="116"/>
  <c r="E167" i="116"/>
  <c r="BB35" i="151"/>
  <c r="BB37" i="151"/>
  <c r="R23" i="142"/>
  <c r="BB38" i="151"/>
  <c r="BE39" i="151"/>
  <c r="T36" i="142"/>
  <c r="E56" i="116"/>
  <c r="T60" i="142"/>
  <c r="E55" i="116"/>
  <c r="E58" i="116" s="1"/>
  <c r="T132" i="142"/>
  <c r="T84" i="142"/>
  <c r="G53" i="113"/>
  <c r="E54" i="116"/>
  <c r="T12" i="142"/>
  <c r="E57" i="116"/>
  <c r="I2" i="113"/>
  <c r="U39" i="142"/>
  <c r="T42" i="142"/>
  <c r="T66" i="142"/>
  <c r="T138" i="142"/>
  <c r="T70" i="142"/>
  <c r="U69" i="142"/>
  <c r="U21" i="142"/>
  <c r="V1" i="142"/>
  <c r="S143" i="142"/>
  <c r="T46" i="142"/>
  <c r="T142" i="142"/>
  <c r="U64" i="142"/>
  <c r="U41" i="142"/>
  <c r="H61" i="113"/>
  <c r="U65" i="142"/>
  <c r="U61" i="142"/>
  <c r="H52" i="113"/>
  <c r="V85" i="142"/>
  <c r="H60" i="113"/>
  <c r="T16" i="142"/>
  <c r="V89" i="142"/>
  <c r="V115" i="142"/>
  <c r="V17" i="142"/>
  <c r="V109" i="142"/>
  <c r="H49" i="113"/>
  <c r="V110" i="142"/>
  <c r="H62" i="113"/>
  <c r="U16" i="142"/>
  <c r="U112" i="142"/>
  <c r="U109" i="142"/>
  <c r="H59" i="113"/>
  <c r="U137" i="142"/>
  <c r="V86" i="142"/>
  <c r="U43" i="142"/>
  <c r="H51" i="113"/>
  <c r="U134" i="142"/>
  <c r="U89" i="142"/>
  <c r="U139" i="142"/>
  <c r="V91" i="142"/>
  <c r="H148" i="113"/>
  <c r="H50" i="113"/>
  <c r="U91" i="142"/>
  <c r="V113" i="142"/>
  <c r="U14" i="142"/>
  <c r="S16" i="142"/>
  <c r="S64" i="142"/>
  <c r="V11" i="142"/>
  <c r="V59" i="142"/>
  <c r="V35" i="142"/>
  <c r="V131" i="142"/>
  <c r="U93" i="142" l="1"/>
  <c r="U94" i="142" s="1"/>
  <c r="U135" i="142"/>
  <c r="U141" i="142"/>
  <c r="U142" i="142" s="1"/>
  <c r="U15" i="142"/>
  <c r="U45" i="142"/>
  <c r="U46" i="142" s="1"/>
  <c r="U63" i="142"/>
  <c r="U111" i="142"/>
  <c r="V117" i="142"/>
  <c r="V111" i="142"/>
  <c r="U114" i="142"/>
  <c r="U119" i="142" s="1"/>
  <c r="V87" i="142"/>
  <c r="V93" i="142"/>
  <c r="T95" i="142"/>
  <c r="W49" i="142"/>
  <c r="W25" i="142"/>
  <c r="F68" i="116"/>
  <c r="F66" i="116"/>
  <c r="H63" i="113"/>
  <c r="F167" i="116"/>
  <c r="F69" i="116"/>
  <c r="F67" i="116"/>
  <c r="F70" i="116" s="1"/>
  <c r="F64" i="116"/>
  <c r="E65" i="116"/>
  <c r="E160" i="116"/>
  <c r="E71" i="116"/>
  <c r="S66" i="142"/>
  <c r="S18" i="142"/>
  <c r="BF35" i="151"/>
  <c r="BF37" i="151"/>
  <c r="BB39" i="151"/>
  <c r="BF38" i="151"/>
  <c r="S71" i="142"/>
  <c r="F55" i="116"/>
  <c r="F58" i="116" s="1"/>
  <c r="U12" i="142"/>
  <c r="F57" i="116"/>
  <c r="U132" i="142"/>
  <c r="U84" i="142"/>
  <c r="F56" i="116"/>
  <c r="U36" i="142"/>
  <c r="H53" i="113"/>
  <c r="F54" i="116"/>
  <c r="U60" i="142"/>
  <c r="J2" i="113"/>
  <c r="E59" i="116"/>
  <c r="T18" i="142"/>
  <c r="T23" i="142" s="1"/>
  <c r="T71" i="142"/>
  <c r="U18" i="142"/>
  <c r="U66" i="142"/>
  <c r="T47" i="142"/>
  <c r="W1" i="142"/>
  <c r="U70" i="142"/>
  <c r="T143" i="142"/>
  <c r="U22" i="142"/>
  <c r="A175" i="123"/>
  <c r="W113" i="142"/>
  <c r="V137" i="142"/>
  <c r="W115" i="142"/>
  <c r="V67" i="142"/>
  <c r="W133" i="142"/>
  <c r="I59" i="113"/>
  <c r="W134" i="142"/>
  <c r="W86" i="142"/>
  <c r="W43" i="142"/>
  <c r="I49" i="113"/>
  <c r="V61" i="142"/>
  <c r="I62" i="113"/>
  <c r="I148" i="113"/>
  <c r="V112" i="142"/>
  <c r="V37" i="142"/>
  <c r="V43" i="142"/>
  <c r="I60" i="113"/>
  <c r="I50" i="113"/>
  <c r="V65" i="142"/>
  <c r="W62" i="142"/>
  <c r="V139" i="142"/>
  <c r="W85" i="142"/>
  <c r="I51" i="113"/>
  <c r="V88" i="142"/>
  <c r="I52" i="113"/>
  <c r="V13" i="142"/>
  <c r="V134" i="142"/>
  <c r="I61" i="113"/>
  <c r="W67" i="142"/>
  <c r="V19" i="142"/>
  <c r="W89" i="142"/>
  <c r="W17" i="142"/>
  <c r="W14" i="142"/>
  <c r="V62" i="142"/>
  <c r="V133" i="142"/>
  <c r="V14" i="142"/>
  <c r="V38" i="142"/>
  <c r="V41" i="142"/>
  <c r="U88" i="142"/>
  <c r="W59" i="142"/>
  <c r="W35" i="142"/>
  <c r="W131" i="142"/>
  <c r="W11" i="142"/>
  <c r="U90" i="142" l="1"/>
  <c r="U175" i="123"/>
  <c r="Q175" i="123"/>
  <c r="N175" i="123"/>
  <c r="W117" i="142"/>
  <c r="W118" i="142" s="1"/>
  <c r="V114" i="142"/>
  <c r="V118" i="142"/>
  <c r="W87" i="142"/>
  <c r="V90" i="142"/>
  <c r="X49" i="142"/>
  <c r="U95" i="142"/>
  <c r="X25" i="142"/>
  <c r="V94" i="142"/>
  <c r="V15" i="142"/>
  <c r="G69" i="116"/>
  <c r="G67" i="116"/>
  <c r="G70" i="116" s="1"/>
  <c r="G64" i="116"/>
  <c r="G167" i="116"/>
  <c r="G66" i="116"/>
  <c r="I63" i="113"/>
  <c r="G68" i="116"/>
  <c r="F71" i="116"/>
  <c r="F65" i="116"/>
  <c r="F160" i="116"/>
  <c r="BF39" i="151"/>
  <c r="S23" i="142"/>
  <c r="F59" i="116"/>
  <c r="G57" i="116"/>
  <c r="V141" i="142"/>
  <c r="V142" i="142" s="1"/>
  <c r="V63" i="142"/>
  <c r="V36" i="142"/>
  <c r="V84" i="142"/>
  <c r="G56" i="116"/>
  <c r="V12" i="142"/>
  <c r="G54" i="116"/>
  <c r="I53" i="113"/>
  <c r="V69" i="142"/>
  <c r="V70" i="142" s="1"/>
  <c r="V39" i="142"/>
  <c r="V60" i="142"/>
  <c r="V135" i="142"/>
  <c r="G55" i="116"/>
  <c r="G58" i="116" s="1"/>
  <c r="V21" i="142"/>
  <c r="V22" i="142" s="1"/>
  <c r="V45" i="142"/>
  <c r="V46" i="142" s="1"/>
  <c r="V132" i="142"/>
  <c r="K2" i="113"/>
  <c r="W135" i="142"/>
  <c r="U23" i="142"/>
  <c r="U71" i="142"/>
  <c r="W69" i="142"/>
  <c r="W45" i="142"/>
  <c r="X1" i="142"/>
  <c r="X86" i="142"/>
  <c r="X109" i="142"/>
  <c r="J61" i="113"/>
  <c r="X110" i="142"/>
  <c r="J62" i="113"/>
  <c r="J52" i="113"/>
  <c r="J51" i="113"/>
  <c r="W40" i="142"/>
  <c r="W109" i="142"/>
  <c r="W110" i="142"/>
  <c r="W61" i="142"/>
  <c r="J50" i="113"/>
  <c r="J148" i="113"/>
  <c r="W38" i="142"/>
  <c r="W91" i="142"/>
  <c r="U136" i="142"/>
  <c r="X89" i="142"/>
  <c r="X115" i="142"/>
  <c r="W139" i="142"/>
  <c r="X113" i="142"/>
  <c r="W19" i="142"/>
  <c r="W137" i="142"/>
  <c r="J59" i="113"/>
  <c r="W37" i="142"/>
  <c r="X38" i="142"/>
  <c r="W65" i="142"/>
  <c r="W41" i="142"/>
  <c r="J49" i="113"/>
  <c r="J60" i="113"/>
  <c r="W13" i="142"/>
  <c r="X91" i="142"/>
  <c r="X85" i="142"/>
  <c r="U40" i="142"/>
  <c r="W64" i="142"/>
  <c r="X35" i="142"/>
  <c r="X11" i="142"/>
  <c r="X59" i="142"/>
  <c r="X131" i="142"/>
  <c r="U138" i="142" l="1"/>
  <c r="U143" i="142" s="1"/>
  <c r="U42" i="142"/>
  <c r="U47" i="142" s="1"/>
  <c r="W93" i="142"/>
  <c r="W94" i="142" s="1"/>
  <c r="W63" i="142"/>
  <c r="W111" i="142"/>
  <c r="V119" i="142"/>
  <c r="X111" i="142"/>
  <c r="X117" i="142"/>
  <c r="X118" i="142" s="1"/>
  <c r="V95" i="142"/>
  <c r="X93" i="142"/>
  <c r="X87" i="142"/>
  <c r="Y49" i="142"/>
  <c r="Y25" i="142"/>
  <c r="W15" i="142"/>
  <c r="H69" i="116"/>
  <c r="H68" i="116"/>
  <c r="H167" i="116"/>
  <c r="H67" i="116"/>
  <c r="H70" i="116" s="1"/>
  <c r="H64" i="116"/>
  <c r="J63" i="113"/>
  <c r="H66" i="116"/>
  <c r="G71" i="116"/>
  <c r="G65" i="116"/>
  <c r="G160" i="116"/>
  <c r="W39" i="142"/>
  <c r="W132" i="142"/>
  <c r="H55" i="116"/>
  <c r="H58" i="116" s="1"/>
  <c r="W21" i="142"/>
  <c r="W22" i="142" s="1"/>
  <c r="W36" i="142"/>
  <c r="H56" i="116"/>
  <c r="W60" i="142"/>
  <c r="W84" i="142"/>
  <c r="J53" i="113"/>
  <c r="H54" i="116"/>
  <c r="W141" i="142"/>
  <c r="W142" i="142" s="1"/>
  <c r="W12" i="142"/>
  <c r="H57" i="116"/>
  <c r="L2" i="113"/>
  <c r="G59" i="116"/>
  <c r="W42" i="142"/>
  <c r="W66" i="142"/>
  <c r="W46" i="142"/>
  <c r="Y1" i="142"/>
  <c r="W70" i="142"/>
  <c r="AB150" i="1"/>
  <c r="E15" i="118"/>
  <c r="X67" i="142"/>
  <c r="Y85" i="142"/>
  <c r="Y86" i="142"/>
  <c r="Y139" i="142"/>
  <c r="X137" i="142"/>
  <c r="Y109" i="142"/>
  <c r="E21" i="118"/>
  <c r="Y134" i="142"/>
  <c r="X134" i="142"/>
  <c r="X37" i="142"/>
  <c r="X14" i="142"/>
  <c r="K49" i="113"/>
  <c r="X88" i="142"/>
  <c r="W88" i="142"/>
  <c r="Y61" i="142"/>
  <c r="Y67" i="142"/>
  <c r="E39" i="118"/>
  <c r="X139" i="142"/>
  <c r="F151" i="113"/>
  <c r="X61" i="142"/>
  <c r="K59" i="113"/>
  <c r="K60" i="113"/>
  <c r="K50" i="113"/>
  <c r="G151" i="113"/>
  <c r="K52" i="113"/>
  <c r="Y37" i="142"/>
  <c r="Y89" i="142"/>
  <c r="X62" i="142"/>
  <c r="E45" i="118"/>
  <c r="V64" i="142"/>
  <c r="Y14" i="142"/>
  <c r="K148" i="113"/>
  <c r="Y62" i="142"/>
  <c r="E51" i="118"/>
  <c r="K61" i="113"/>
  <c r="X17" i="142"/>
  <c r="Y113" i="142"/>
  <c r="Y19" i="142"/>
  <c r="Y91" i="142"/>
  <c r="E9" i="118"/>
  <c r="G150" i="113"/>
  <c r="E63" i="118"/>
  <c r="Y17" i="142"/>
  <c r="X41" i="142"/>
  <c r="V40" i="142"/>
  <c r="W112" i="142"/>
  <c r="X43" i="142"/>
  <c r="E75" i="118"/>
  <c r="X133" i="142"/>
  <c r="K51" i="113"/>
  <c r="X65" i="142"/>
  <c r="X13" i="142"/>
  <c r="Y38" i="142"/>
  <c r="E57" i="118"/>
  <c r="Y110" i="142"/>
  <c r="Y43" i="142"/>
  <c r="Y115" i="142"/>
  <c r="K62" i="113"/>
  <c r="V16" i="142"/>
  <c r="X19" i="142"/>
  <c r="V136" i="142"/>
  <c r="Y59" i="142"/>
  <c r="Y131" i="142"/>
  <c r="Y11" i="142"/>
  <c r="Y35" i="142"/>
  <c r="W90" i="142" l="1"/>
  <c r="W114" i="142"/>
  <c r="W119" i="142" s="1"/>
  <c r="Y111" i="142"/>
  <c r="Y117" i="142"/>
  <c r="Y118" i="142" s="1"/>
  <c r="X90" i="142"/>
  <c r="Y93" i="142"/>
  <c r="Y87" i="142"/>
  <c r="Z49" i="142"/>
  <c r="X94" i="142"/>
  <c r="Z25" i="142"/>
  <c r="W95" i="142"/>
  <c r="X15" i="142"/>
  <c r="I68" i="116"/>
  <c r="I66" i="116"/>
  <c r="K63" i="113"/>
  <c r="I167" i="116"/>
  <c r="I67" i="116"/>
  <c r="I70" i="116" s="1"/>
  <c r="I64" i="116"/>
  <c r="I69" i="116"/>
  <c r="H71" i="116"/>
  <c r="H65" i="116"/>
  <c r="H160" i="116"/>
  <c r="V42" i="142"/>
  <c r="V138" i="142"/>
  <c r="V143" i="142" s="1"/>
  <c r="V66" i="142"/>
  <c r="V18" i="142"/>
  <c r="H59" i="116"/>
  <c r="X141" i="142"/>
  <c r="X142" i="142" s="1"/>
  <c r="K53" i="113"/>
  <c r="I54" i="116"/>
  <c r="X132" i="142"/>
  <c r="X63" i="142"/>
  <c r="X21" i="142"/>
  <c r="X22" i="142" s="1"/>
  <c r="I56" i="116"/>
  <c r="X12" i="142"/>
  <c r="X39" i="142"/>
  <c r="I55" i="116"/>
  <c r="I58" i="116" s="1"/>
  <c r="X60" i="142"/>
  <c r="X69" i="142"/>
  <c r="X70" i="142" s="1"/>
  <c r="X45" i="142"/>
  <c r="X46" i="142" s="1"/>
  <c r="I57" i="116"/>
  <c r="X36" i="142"/>
  <c r="X84" i="142"/>
  <c r="X135" i="142"/>
  <c r="M2" i="113"/>
  <c r="W47" i="142"/>
  <c r="Y63" i="142"/>
  <c r="Y39" i="142"/>
  <c r="Y141" i="142"/>
  <c r="Y69" i="142"/>
  <c r="Y45" i="142"/>
  <c r="Y21" i="142"/>
  <c r="Z1" i="142"/>
  <c r="W71" i="142"/>
  <c r="AC16" i="60"/>
  <c r="L59" i="113"/>
  <c r="Y133" i="142"/>
  <c r="Z91" i="142"/>
  <c r="Z67" i="142"/>
  <c r="Y65" i="142"/>
  <c r="W136" i="142"/>
  <c r="Z109" i="142"/>
  <c r="L49" i="113"/>
  <c r="Y41" i="142"/>
  <c r="Z113" i="142"/>
  <c r="Y13" i="142"/>
  <c r="L51" i="113"/>
  <c r="Y137" i="142"/>
  <c r="Z110" i="142"/>
  <c r="Z86" i="142"/>
  <c r="Z115" i="142"/>
  <c r="L60" i="113"/>
  <c r="L148" i="113"/>
  <c r="L61" i="113"/>
  <c r="Z85" i="142"/>
  <c r="W16" i="142"/>
  <c r="L50" i="113"/>
  <c r="L52" i="113"/>
  <c r="X112" i="142"/>
  <c r="Z89" i="142"/>
  <c r="Y88" i="142"/>
  <c r="L62" i="113"/>
  <c r="Z131" i="142"/>
  <c r="Z35" i="142"/>
  <c r="Z11" i="142"/>
  <c r="Z59" i="142"/>
  <c r="X114" i="142" l="1"/>
  <c r="X119" i="142" s="1"/>
  <c r="E4" i="171"/>
  <c r="E8" i="171"/>
  <c r="I7" i="171"/>
  <c r="I9" i="171" s="1"/>
  <c r="D8" i="171"/>
  <c r="H5" i="171"/>
  <c r="D7" i="171"/>
  <c r="D9" i="171" s="1"/>
  <c r="H4" i="171"/>
  <c r="K4" i="171"/>
  <c r="C8" i="171"/>
  <c r="G4" i="171"/>
  <c r="K7" i="171"/>
  <c r="K9" i="171" s="1"/>
  <c r="C7" i="171"/>
  <c r="C9" i="171" s="1"/>
  <c r="G5" i="171"/>
  <c r="J8" i="171"/>
  <c r="F5" i="171"/>
  <c r="J4" i="171"/>
  <c r="F4" i="171"/>
  <c r="I5" i="171"/>
  <c r="I8" i="171"/>
  <c r="E5" i="171"/>
  <c r="H7" i="171"/>
  <c r="H9" i="171" s="1"/>
  <c r="D5" i="171"/>
  <c r="H8" i="171"/>
  <c r="D4" i="171"/>
  <c r="G7" i="171"/>
  <c r="G9" i="171" s="1"/>
  <c r="K5" i="171"/>
  <c r="C5" i="171"/>
  <c r="G8" i="171"/>
  <c r="K8" i="171"/>
  <c r="C4" i="171"/>
  <c r="F8" i="171"/>
  <c r="J5" i="171"/>
  <c r="F7" i="171"/>
  <c r="F9" i="171" s="1"/>
  <c r="J7" i="171"/>
  <c r="J9" i="171" s="1"/>
  <c r="E7" i="171"/>
  <c r="E9" i="171" s="1"/>
  <c r="I4" i="171"/>
  <c r="Z111" i="142"/>
  <c r="Z117" i="142"/>
  <c r="Z87" i="142"/>
  <c r="Z93" i="142"/>
  <c r="Y90" i="142"/>
  <c r="AA1" i="142"/>
  <c r="AA49" i="142"/>
  <c r="Y94" i="142"/>
  <c r="AA25" i="142"/>
  <c r="X95" i="142"/>
  <c r="Y15" i="142"/>
  <c r="J69" i="116"/>
  <c r="J67" i="116"/>
  <c r="J70" i="116" s="1"/>
  <c r="J64" i="116"/>
  <c r="J167" i="116"/>
  <c r="J68" i="116"/>
  <c r="J66" i="116"/>
  <c r="L63" i="113"/>
  <c r="I65" i="116"/>
  <c r="I160" i="116"/>
  <c r="I71" i="116"/>
  <c r="V71" i="142"/>
  <c r="V47" i="142"/>
  <c r="V23" i="142"/>
  <c r="W138" i="142"/>
  <c r="W143" i="142" s="1"/>
  <c r="W18" i="142"/>
  <c r="W23" i="142" s="1"/>
  <c r="J54" i="116"/>
  <c r="L53" i="113"/>
  <c r="Y12" i="142"/>
  <c r="J56" i="116"/>
  <c r="Y60" i="142"/>
  <c r="Y135" i="142"/>
  <c r="J57" i="116"/>
  <c r="Y36" i="142"/>
  <c r="Y84" i="142"/>
  <c r="J55" i="116"/>
  <c r="J58" i="116" s="1"/>
  <c r="Y132" i="142"/>
  <c r="I59" i="116"/>
  <c r="N2" i="113"/>
  <c r="Y142" i="142"/>
  <c r="Y70" i="142"/>
  <c r="Y22" i="142"/>
  <c r="Y46" i="142"/>
  <c r="AC25" i="60"/>
  <c r="AC15" i="60"/>
  <c r="AC17" i="60"/>
  <c r="AC12" i="60"/>
  <c r="AC14" i="60"/>
  <c r="AC11" i="60"/>
  <c r="AC18" i="60"/>
  <c r="AC22" i="60"/>
  <c r="AC13" i="60"/>
  <c r="AC26" i="60"/>
  <c r="AC23" i="60"/>
  <c r="AC21" i="60"/>
  <c r="AC20" i="60"/>
  <c r="AA16" i="60"/>
  <c r="AC19" i="60"/>
  <c r="AA89" i="142"/>
  <c r="M59" i="113"/>
  <c r="Z17" i="142"/>
  <c r="AA139" i="142"/>
  <c r="AA85" i="142"/>
  <c r="AA110" i="142"/>
  <c r="Z137" i="142"/>
  <c r="Z43" i="142"/>
  <c r="Z38" i="142"/>
  <c r="Z62" i="142"/>
  <c r="X16" i="142"/>
  <c r="Z133" i="142"/>
  <c r="AA61" i="142"/>
  <c r="AA14" i="142"/>
  <c r="AA134" i="142"/>
  <c r="Z134" i="142"/>
  <c r="M51" i="113"/>
  <c r="AA19" i="142"/>
  <c r="M61" i="113"/>
  <c r="Z13" i="142"/>
  <c r="X40" i="142"/>
  <c r="X136" i="142"/>
  <c r="Z14" i="142"/>
  <c r="Z37" i="142"/>
  <c r="AA65" i="142"/>
  <c r="Z61" i="142"/>
  <c r="Z65" i="142"/>
  <c r="M62" i="113"/>
  <c r="M52" i="113"/>
  <c r="AA113" i="142"/>
  <c r="Z19" i="142"/>
  <c r="Y136" i="142"/>
  <c r="Y64" i="142"/>
  <c r="Z139" i="142"/>
  <c r="M60" i="113"/>
  <c r="Z41" i="142"/>
  <c r="AA137" i="142"/>
  <c r="X64" i="142"/>
  <c r="Y112" i="142"/>
  <c r="M49" i="113"/>
  <c r="M50" i="113"/>
  <c r="M148" i="113"/>
  <c r="AA37" i="142"/>
  <c r="Y40" i="142"/>
  <c r="Y16" i="142"/>
  <c r="Z112" i="142"/>
  <c r="Z88" i="142"/>
  <c r="AC6" i="60"/>
  <c r="AC9" i="60"/>
  <c r="AC8" i="60"/>
  <c r="AC5" i="60"/>
  <c r="AA35" i="142"/>
  <c r="AA59" i="142"/>
  <c r="AA131" i="142"/>
  <c r="L5" i="171" l="1"/>
  <c r="L8" i="171"/>
  <c r="L4" i="171"/>
  <c r="L7" i="171"/>
  <c r="L9" i="171" s="1"/>
  <c r="Y114" i="142"/>
  <c r="Y119" i="142" s="1"/>
  <c r="I6" i="171"/>
  <c r="F6" i="171"/>
  <c r="H6" i="171"/>
  <c r="J6" i="171"/>
  <c r="E6" i="171"/>
  <c r="C6" i="171"/>
  <c r="D6" i="171"/>
  <c r="G6" i="171"/>
  <c r="K6" i="171"/>
  <c r="Z114" i="142"/>
  <c r="Z118" i="142"/>
  <c r="AA36" i="142"/>
  <c r="AA60" i="142"/>
  <c r="AA132" i="142"/>
  <c r="AA141" i="142"/>
  <c r="AA21" i="142"/>
  <c r="Z90" i="142"/>
  <c r="AB25" i="142"/>
  <c r="AB49" i="142"/>
  <c r="Y95" i="142"/>
  <c r="AB1" i="142"/>
  <c r="M7" i="171" s="1"/>
  <c r="M9" i="171" s="1"/>
  <c r="Z94" i="142"/>
  <c r="AC27" i="60"/>
  <c r="Z15" i="142"/>
  <c r="J71" i="116"/>
  <c r="K67" i="116"/>
  <c r="K70" i="116" s="1"/>
  <c r="K64" i="116"/>
  <c r="K68" i="116"/>
  <c r="K167" i="116"/>
  <c r="K66" i="116"/>
  <c r="M63" i="113"/>
  <c r="K69" i="116"/>
  <c r="J65" i="116"/>
  <c r="J160" i="116"/>
  <c r="X66" i="142"/>
  <c r="X42" i="142"/>
  <c r="X18" i="142"/>
  <c r="X23" i="142" s="1"/>
  <c r="X138" i="142"/>
  <c r="X143" i="142" s="1"/>
  <c r="K56" i="116"/>
  <c r="Z132" i="142"/>
  <c r="K55" i="116"/>
  <c r="K58" i="116" s="1"/>
  <c r="Z60" i="142"/>
  <c r="K57" i="116"/>
  <c r="AC28" i="60"/>
  <c r="Z36" i="142"/>
  <c r="Z84" i="142"/>
  <c r="M53" i="113"/>
  <c r="K54" i="116"/>
  <c r="Z12" i="142"/>
  <c r="O2" i="113"/>
  <c r="J59" i="116"/>
  <c r="Z69" i="142"/>
  <c r="Z70" i="142" s="1"/>
  <c r="Y66" i="142"/>
  <c r="Z21" i="142"/>
  <c r="Y138" i="142"/>
  <c r="Y143" i="142" s="1"/>
  <c r="Z45" i="142"/>
  <c r="Z46" i="142" s="1"/>
  <c r="Z63" i="142"/>
  <c r="Y42" i="142"/>
  <c r="Z39" i="142"/>
  <c r="Z135" i="142"/>
  <c r="Y18" i="142"/>
  <c r="Y23" i="142" s="1"/>
  <c r="Z141" i="142"/>
  <c r="Z142" i="142" s="1"/>
  <c r="AA17" i="60"/>
  <c r="AA12" i="60"/>
  <c r="AA15" i="60"/>
  <c r="AA20" i="60"/>
  <c r="AA21" i="60"/>
  <c r="AA13" i="60"/>
  <c r="AA23" i="60"/>
  <c r="AA11" i="60"/>
  <c r="AA18" i="60"/>
  <c r="AA22" i="60"/>
  <c r="Z16" i="60"/>
  <c r="AA26" i="60"/>
  <c r="AA14" i="60"/>
  <c r="AA25" i="60"/>
  <c r="AA19" i="60"/>
  <c r="N50" i="113"/>
  <c r="AB134" i="142"/>
  <c r="AA67" i="142"/>
  <c r="AB86" i="142"/>
  <c r="AA86" i="142"/>
  <c r="AB137" i="142"/>
  <c r="N148" i="113"/>
  <c r="AB61" i="142"/>
  <c r="AB109" i="142"/>
  <c r="AB139" i="142"/>
  <c r="N59" i="113"/>
  <c r="N60" i="113"/>
  <c r="AA43" i="142"/>
  <c r="AA17" i="142"/>
  <c r="AB91" i="142"/>
  <c r="AB38" i="142"/>
  <c r="O150" i="113"/>
  <c r="AB19" i="142"/>
  <c r="AB14" i="142"/>
  <c r="N62" i="113"/>
  <c r="AB113" i="142"/>
  <c r="N52" i="113"/>
  <c r="AA115" i="142"/>
  <c r="AB133" i="142"/>
  <c r="AA62" i="142"/>
  <c r="AB65" i="142"/>
  <c r="AA13" i="142"/>
  <c r="AA109" i="142"/>
  <c r="AB85" i="142"/>
  <c r="AB13" i="142"/>
  <c r="AB89" i="142"/>
  <c r="AA38" i="142"/>
  <c r="AB115" i="142"/>
  <c r="AB43" i="142"/>
  <c r="AA91" i="142"/>
  <c r="AB37" i="142"/>
  <c r="AB62" i="142"/>
  <c r="N49" i="113"/>
  <c r="AA41" i="142"/>
  <c r="AB110" i="142"/>
  <c r="N61" i="113"/>
  <c r="AB41" i="142"/>
  <c r="AA133" i="142"/>
  <c r="AB67" i="142"/>
  <c r="N51" i="113"/>
  <c r="AB17" i="142"/>
  <c r="AA136" i="142"/>
  <c r="AA16" i="142"/>
  <c r="AA9" i="60"/>
  <c r="AA6" i="60"/>
  <c r="AA5" i="60"/>
  <c r="AA8" i="60"/>
  <c r="E10" i="118"/>
  <c r="E60" i="118"/>
  <c r="E6" i="118"/>
  <c r="E52" i="118"/>
  <c r="E19" i="118"/>
  <c r="E18" i="118"/>
  <c r="E36" i="118"/>
  <c r="E42" i="118"/>
  <c r="E73" i="118"/>
  <c r="E72" i="118"/>
  <c r="E70" i="118"/>
  <c r="E7" i="118"/>
  <c r="E49" i="118"/>
  <c r="E37" i="118"/>
  <c r="E46" i="118"/>
  <c r="E55" i="118"/>
  <c r="E48" i="118"/>
  <c r="E40" i="118"/>
  <c r="AB35" i="142"/>
  <c r="AB131" i="142"/>
  <c r="E4" i="118"/>
  <c r="E58" i="118"/>
  <c r="E54" i="118"/>
  <c r="E61" i="118"/>
  <c r="E43" i="118"/>
  <c r="E12" i="118"/>
  <c r="AB59" i="142"/>
  <c r="AA11" i="142"/>
  <c r="E16" i="118"/>
  <c r="E13" i="118"/>
  <c r="AB11" i="142"/>
  <c r="E34" i="118"/>
  <c r="L6" i="171" l="1"/>
  <c r="AA45" i="142"/>
  <c r="AA46" i="142" s="1"/>
  <c r="AA135" i="142"/>
  <c r="AA87" i="142"/>
  <c r="AA93" i="142"/>
  <c r="AA39" i="142"/>
  <c r="AA63" i="142"/>
  <c r="AA15" i="142"/>
  <c r="AA69" i="142"/>
  <c r="AA70" i="142" s="1"/>
  <c r="AA111" i="142"/>
  <c r="AA117" i="142"/>
  <c r="AA12" i="142"/>
  <c r="M8" i="171"/>
  <c r="M5" i="171"/>
  <c r="M4" i="171"/>
  <c r="E76" i="118"/>
  <c r="Y47" i="142"/>
  <c r="Y71" i="142"/>
  <c r="AB111" i="142"/>
  <c r="AB117" i="142"/>
  <c r="AB118" i="142" s="1"/>
  <c r="Z119" i="142"/>
  <c r="AB135" i="142"/>
  <c r="AB39" i="142"/>
  <c r="AB87" i="142"/>
  <c r="AB69" i="142"/>
  <c r="AB70" i="142" s="1"/>
  <c r="AB21" i="142"/>
  <c r="AB22" i="142" s="1"/>
  <c r="AB63" i="142"/>
  <c r="AB141" i="142"/>
  <c r="AB142" i="142" s="1"/>
  <c r="AB15" i="142"/>
  <c r="AB93" i="142"/>
  <c r="AB94" i="142" s="1"/>
  <c r="AB45" i="142"/>
  <c r="AB12" i="142"/>
  <c r="AB36" i="142"/>
  <c r="AA138" i="142"/>
  <c r="AB132" i="142"/>
  <c r="AB60" i="142"/>
  <c r="AA18" i="142"/>
  <c r="AC1" i="142"/>
  <c r="N4" i="171" s="1"/>
  <c r="AC25" i="142"/>
  <c r="AA142" i="142"/>
  <c r="AC49" i="142"/>
  <c r="Z95" i="142"/>
  <c r="AA22" i="142"/>
  <c r="AA94" i="142"/>
  <c r="AA27" i="60"/>
  <c r="X47" i="142"/>
  <c r="X71" i="142"/>
  <c r="L67" i="116"/>
  <c r="L70" i="116" s="1"/>
  <c r="L64" i="116"/>
  <c r="N63" i="113"/>
  <c r="L66" i="116"/>
  <c r="L167" i="116"/>
  <c r="L69" i="116"/>
  <c r="L68" i="116"/>
  <c r="K65" i="116"/>
  <c r="K160" i="116"/>
  <c r="U64" i="116"/>
  <c r="K71" i="116"/>
  <c r="K59" i="116"/>
  <c r="L54" i="116"/>
  <c r="N53" i="113"/>
  <c r="L55" i="116"/>
  <c r="L58" i="116" s="1"/>
  <c r="AA28" i="60"/>
  <c r="L56" i="116"/>
  <c r="L57" i="116"/>
  <c r="P2" i="113"/>
  <c r="Z22" i="142"/>
  <c r="E74" i="118"/>
  <c r="E71" i="118"/>
  <c r="E5" i="118"/>
  <c r="E50" i="118"/>
  <c r="E47" i="118"/>
  <c r="E59" i="118"/>
  <c r="E62" i="118"/>
  <c r="E56" i="118"/>
  <c r="E53" i="118"/>
  <c r="E11" i="118"/>
  <c r="E14" i="118"/>
  <c r="E20" i="118"/>
  <c r="E17" i="118"/>
  <c r="E44" i="118"/>
  <c r="E41" i="118"/>
  <c r="E35" i="118"/>
  <c r="E38" i="118"/>
  <c r="Z23" i="60"/>
  <c r="Y16" i="60"/>
  <c r="Z11" i="60"/>
  <c r="Z12" i="60"/>
  <c r="Z14" i="60"/>
  <c r="Z19" i="60"/>
  <c r="Z17" i="60"/>
  <c r="Z25" i="60"/>
  <c r="Z18" i="60"/>
  <c r="Z22" i="60"/>
  <c r="Z15" i="60"/>
  <c r="Z26" i="60"/>
  <c r="Z21" i="60"/>
  <c r="Z20" i="60"/>
  <c r="Z13" i="60"/>
  <c r="AC85" i="142"/>
  <c r="O62" i="113"/>
  <c r="AC110" i="142"/>
  <c r="AC43" i="142"/>
  <c r="AC115" i="142"/>
  <c r="AC37" i="142"/>
  <c r="AC61" i="142"/>
  <c r="AC86" i="142"/>
  <c r="Z64" i="142"/>
  <c r="Z136" i="142"/>
  <c r="AC91" i="142"/>
  <c r="AC14" i="142"/>
  <c r="AC62" i="142"/>
  <c r="AC109" i="142"/>
  <c r="AC38" i="142"/>
  <c r="AC113" i="142"/>
  <c r="O50" i="113"/>
  <c r="O61" i="113"/>
  <c r="AA88" i="142"/>
  <c r="AC67" i="142"/>
  <c r="AC139" i="142"/>
  <c r="AC19" i="142"/>
  <c r="O148" i="113"/>
  <c r="O49" i="113"/>
  <c r="AC41" i="142"/>
  <c r="O51" i="113"/>
  <c r="O59" i="113"/>
  <c r="Z40" i="142"/>
  <c r="AC133" i="142"/>
  <c r="AC137" i="142"/>
  <c r="AC65" i="142"/>
  <c r="AC134" i="142"/>
  <c r="AA64" i="142"/>
  <c r="O52" i="113"/>
  <c r="AC89" i="142"/>
  <c r="AC17" i="142"/>
  <c r="O60" i="113"/>
  <c r="AC13" i="142"/>
  <c r="Z16" i="142"/>
  <c r="AB40" i="142"/>
  <c r="Z8" i="60"/>
  <c r="Z6" i="60"/>
  <c r="Z9" i="60"/>
  <c r="Z5" i="60"/>
  <c r="AC59" i="142"/>
  <c r="AC35" i="142"/>
  <c r="AC11" i="142"/>
  <c r="AC131" i="142"/>
  <c r="M6" i="171" l="1"/>
  <c r="AA66" i="142"/>
  <c r="AA71" i="142" s="1"/>
  <c r="AA90" i="142"/>
  <c r="N7" i="171"/>
  <c r="N9" i="171" s="1"/>
  <c r="N5" i="171"/>
  <c r="N6" i="171" s="1"/>
  <c r="AA118" i="142"/>
  <c r="N8" i="171"/>
  <c r="E81" i="118"/>
  <c r="E79" i="118"/>
  <c r="E78" i="118"/>
  <c r="E80" i="118" s="1"/>
  <c r="E77" i="118"/>
  <c r="AC117" i="142"/>
  <c r="AC118" i="142" s="1"/>
  <c r="AC111" i="142"/>
  <c r="AC60" i="142"/>
  <c r="AC36" i="142"/>
  <c r="AC132" i="142"/>
  <c r="AC69" i="142"/>
  <c r="AC87" i="142"/>
  <c r="AC93" i="142"/>
  <c r="AC94" i="142" s="1"/>
  <c r="AC141" i="142"/>
  <c r="AC142" i="142" s="1"/>
  <c r="AC135" i="142"/>
  <c r="AC39" i="142"/>
  <c r="AC15" i="142"/>
  <c r="AC63" i="142"/>
  <c r="AC21" i="142"/>
  <c r="AC22" i="142" s="1"/>
  <c r="AC45" i="142"/>
  <c r="AC46" i="142" s="1"/>
  <c r="AC12" i="142"/>
  <c r="AB42" i="142"/>
  <c r="AD49" i="142"/>
  <c r="AD25" i="142"/>
  <c r="AA23" i="142"/>
  <c r="AD1" i="142"/>
  <c r="AA95" i="142"/>
  <c r="AA143" i="142"/>
  <c r="AB46" i="142"/>
  <c r="Z27" i="60"/>
  <c r="M68" i="116"/>
  <c r="M69" i="116"/>
  <c r="M67" i="116"/>
  <c r="M70" i="116" s="1"/>
  <c r="M66" i="116"/>
  <c r="O63" i="113"/>
  <c r="M167" i="116"/>
  <c r="L71" i="116"/>
  <c r="L65" i="116"/>
  <c r="U65" i="116" s="1"/>
  <c r="L160" i="116"/>
  <c r="Z28" i="60"/>
  <c r="M57" i="116"/>
  <c r="M56" i="116"/>
  <c r="M54" i="116"/>
  <c r="O53" i="113"/>
  <c r="M55" i="116"/>
  <c r="M58" i="116" s="1"/>
  <c r="L59" i="116"/>
  <c r="Q2" i="113"/>
  <c r="Z66" i="142"/>
  <c r="Z42" i="142"/>
  <c r="Z138" i="142"/>
  <c r="Z143" i="142" s="1"/>
  <c r="Z18" i="142"/>
  <c r="Y26" i="60"/>
  <c r="Y18" i="60"/>
  <c r="Y23" i="60"/>
  <c r="X16" i="60"/>
  <c r="Y12" i="60"/>
  <c r="Y20" i="60"/>
  <c r="Y13" i="60"/>
  <c r="Y15" i="60"/>
  <c r="Y11" i="60"/>
  <c r="Y19" i="60"/>
  <c r="Y21" i="60"/>
  <c r="Y14" i="60"/>
  <c r="Y17" i="60"/>
  <c r="Y25" i="60"/>
  <c r="Y22" i="60"/>
  <c r="AB64" i="142"/>
  <c r="P59" i="113"/>
  <c r="P50" i="113"/>
  <c r="AD65" i="142"/>
  <c r="AD109" i="142"/>
  <c r="P148" i="113"/>
  <c r="P51" i="113"/>
  <c r="P61" i="113"/>
  <c r="AD85" i="142"/>
  <c r="AA40" i="142"/>
  <c r="AB88" i="142"/>
  <c r="AD41" i="142"/>
  <c r="AD14" i="142"/>
  <c r="AD113" i="142"/>
  <c r="AD137" i="142"/>
  <c r="P52" i="113"/>
  <c r="AD62" i="142"/>
  <c r="AD61" i="142"/>
  <c r="P60" i="113"/>
  <c r="AB136" i="142"/>
  <c r="AC64" i="142"/>
  <c r="AB112" i="142"/>
  <c r="AD86" i="142"/>
  <c r="AD115" i="142"/>
  <c r="P49" i="113"/>
  <c r="AD133" i="142"/>
  <c r="AD110" i="142"/>
  <c r="AD17" i="142"/>
  <c r="P62" i="113"/>
  <c r="AD91" i="142"/>
  <c r="AB16" i="142"/>
  <c r="AA112" i="142"/>
  <c r="AD19" i="142"/>
  <c r="AD43" i="142"/>
  <c r="AD13" i="142"/>
  <c r="AD89" i="142"/>
  <c r="AD134" i="142"/>
  <c r="AD139" i="142"/>
  <c r="AD67" i="142"/>
  <c r="AD38" i="142"/>
  <c r="AD37" i="142"/>
  <c r="AC40" i="142"/>
  <c r="Y6" i="60"/>
  <c r="Y8" i="60"/>
  <c r="Y9" i="60"/>
  <c r="Y5" i="60"/>
  <c r="AD59" i="142"/>
  <c r="AD131" i="142"/>
  <c r="AD11" i="142"/>
  <c r="AD35" i="142"/>
  <c r="AB114" i="142" l="1"/>
  <c r="AB119" i="142" s="1"/>
  <c r="D7" i="151"/>
  <c r="D8" i="151" s="1"/>
  <c r="E4" i="151" s="1"/>
  <c r="N7" i="151"/>
  <c r="N8" i="151" s="1"/>
  <c r="O4" i="151" s="1"/>
  <c r="D38" i="151"/>
  <c r="D39" i="151" s="1"/>
  <c r="E37" i="151" s="1"/>
  <c r="AB90" i="142"/>
  <c r="AB95" i="142" s="1"/>
  <c r="AB138" i="142"/>
  <c r="AB143" i="142" s="1"/>
  <c r="AB18" i="142"/>
  <c r="AB23" i="142" s="1"/>
  <c r="AA42" i="142"/>
  <c r="AA47" i="142" s="1"/>
  <c r="AA114" i="142"/>
  <c r="AA119" i="142" s="1"/>
  <c r="AB66" i="142"/>
  <c r="AB71" i="142" s="1"/>
  <c r="Z71" i="142"/>
  <c r="Z23" i="142"/>
  <c r="Z47" i="142"/>
  <c r="F164" i="113"/>
  <c r="AD117" i="142"/>
  <c r="AD111" i="142"/>
  <c r="AD63" i="142"/>
  <c r="AD45" i="142"/>
  <c r="AD69" i="142"/>
  <c r="AD93" i="142"/>
  <c r="AD94" i="142" s="1"/>
  <c r="AD39" i="142"/>
  <c r="AD87" i="142"/>
  <c r="AD15" i="142"/>
  <c r="F5" i="151" s="1"/>
  <c r="AD141" i="142"/>
  <c r="AD21" i="142"/>
  <c r="AD135" i="142"/>
  <c r="AD12" i="142"/>
  <c r="AD36" i="142"/>
  <c r="AC66" i="142"/>
  <c r="AD132" i="142"/>
  <c r="AD60" i="142"/>
  <c r="AC42" i="142"/>
  <c r="AC47" i="142" s="1"/>
  <c r="AE1" i="142"/>
  <c r="AE25" i="142"/>
  <c r="AB47" i="142"/>
  <c r="AC70" i="142"/>
  <c r="AE49" i="142"/>
  <c r="Y27" i="60"/>
  <c r="M71" i="116"/>
  <c r="N68" i="116"/>
  <c r="N69" i="116"/>
  <c r="N66" i="116"/>
  <c r="P63" i="113"/>
  <c r="N67" i="116"/>
  <c r="N70" i="116" s="1"/>
  <c r="N167" i="116"/>
  <c r="M59" i="116"/>
  <c r="N56" i="116"/>
  <c r="P53" i="113"/>
  <c r="N54" i="116"/>
  <c r="N55" i="116"/>
  <c r="N58" i="116" s="1"/>
  <c r="N57" i="116"/>
  <c r="Y28" i="60"/>
  <c r="X13" i="60"/>
  <c r="X17" i="60"/>
  <c r="X21" i="60"/>
  <c r="X23" i="60"/>
  <c r="X20" i="60"/>
  <c r="X12" i="60"/>
  <c r="X25" i="60"/>
  <c r="X15" i="60"/>
  <c r="X14" i="60"/>
  <c r="X26" i="60"/>
  <c r="X19" i="60"/>
  <c r="W16" i="60"/>
  <c r="X22" i="60"/>
  <c r="X18" i="60"/>
  <c r="X11" i="60"/>
  <c r="Q60" i="113"/>
  <c r="Q52" i="113"/>
  <c r="AE91" i="142"/>
  <c r="AE139" i="142"/>
  <c r="AE13" i="142"/>
  <c r="AE137" i="142"/>
  <c r="AD136" i="142"/>
  <c r="AC136" i="142"/>
  <c r="Q51" i="113"/>
  <c r="Q61" i="113"/>
  <c r="Q59" i="113"/>
  <c r="AE133" i="142"/>
  <c r="AE134" i="142"/>
  <c r="AE110" i="142"/>
  <c r="AC16" i="142"/>
  <c r="AC88" i="142"/>
  <c r="Q50" i="113"/>
  <c r="AE86" i="142"/>
  <c r="AE89" i="142"/>
  <c r="AE41" i="142"/>
  <c r="Q148" i="113"/>
  <c r="AE38" i="142"/>
  <c r="AC112" i="142"/>
  <c r="AD40" i="142"/>
  <c r="Q49" i="113"/>
  <c r="AE37" i="142"/>
  <c r="Q62" i="113"/>
  <c r="AE19" i="142"/>
  <c r="AE61" i="142"/>
  <c r="AE62" i="142"/>
  <c r="AD112" i="142"/>
  <c r="AD64" i="142"/>
  <c r="AD16" i="142"/>
  <c r="X5" i="60"/>
  <c r="X8" i="60"/>
  <c r="X6" i="60"/>
  <c r="X9" i="60"/>
  <c r="AE131" i="142"/>
  <c r="AE59" i="142"/>
  <c r="AE35" i="142"/>
  <c r="AE11" i="142"/>
  <c r="O7" i="151" l="1"/>
  <c r="O6" i="151"/>
  <c r="E7" i="151"/>
  <c r="E6" i="151"/>
  <c r="P36" i="151"/>
  <c r="BC36" i="151"/>
  <c r="P5" i="151"/>
  <c r="F36" i="151"/>
  <c r="BC38" i="151"/>
  <c r="BD38" i="151" s="1"/>
  <c r="E38" i="151"/>
  <c r="E39" i="151" s="1"/>
  <c r="H7" i="151"/>
  <c r="H8" i="151" s="1"/>
  <c r="I6" i="151" s="1"/>
  <c r="H38" i="151"/>
  <c r="H39" i="151" s="1"/>
  <c r="I37" i="151" s="1"/>
  <c r="R7" i="151"/>
  <c r="R8" i="151" s="1"/>
  <c r="S6" i="151" s="1"/>
  <c r="E35" i="151"/>
  <c r="AC114" i="142"/>
  <c r="P35" i="151" s="1"/>
  <c r="AC18" i="142"/>
  <c r="AC90" i="142"/>
  <c r="AC138" i="142"/>
  <c r="AC143" i="142" s="1"/>
  <c r="F122" i="156"/>
  <c r="F196" i="165"/>
  <c r="G164" i="113"/>
  <c r="AD114" i="142"/>
  <c r="AD118" i="142"/>
  <c r="AE132" i="142"/>
  <c r="AE39" i="142"/>
  <c r="T5" i="151" s="1"/>
  <c r="AE21" i="142"/>
  <c r="AE93" i="142"/>
  <c r="AE94" i="142" s="1"/>
  <c r="BG38" i="151" s="1"/>
  <c r="BH38" i="151" s="1"/>
  <c r="AE141" i="142"/>
  <c r="AE135" i="142"/>
  <c r="AE63" i="142"/>
  <c r="J36" i="151" s="1"/>
  <c r="AE15" i="142"/>
  <c r="J5" i="151" s="1"/>
  <c r="AE12" i="142"/>
  <c r="AD18" i="142"/>
  <c r="AD66" i="142"/>
  <c r="AE60" i="142"/>
  <c r="AE36" i="142"/>
  <c r="AD138" i="142"/>
  <c r="AD42" i="142"/>
  <c r="AF1" i="142"/>
  <c r="AD22" i="142"/>
  <c r="AD70" i="142"/>
  <c r="F38" i="151" s="1"/>
  <c r="G38" i="151" s="1"/>
  <c r="AF49" i="142"/>
  <c r="AF25" i="142"/>
  <c r="AC71" i="142"/>
  <c r="AD142" i="142"/>
  <c r="AD46" i="142"/>
  <c r="X27" i="60"/>
  <c r="O69" i="116"/>
  <c r="O68" i="116"/>
  <c r="O66" i="116"/>
  <c r="Q63" i="113"/>
  <c r="O67" i="116"/>
  <c r="O70" i="116" s="1"/>
  <c r="O167" i="116"/>
  <c r="N71" i="116"/>
  <c r="S117" i="113"/>
  <c r="S115" i="113"/>
  <c r="S118" i="113"/>
  <c r="S116" i="113"/>
  <c r="S114" i="113"/>
  <c r="S148" i="113"/>
  <c r="S63" i="113"/>
  <c r="S62" i="113"/>
  <c r="S60" i="113"/>
  <c r="S57" i="113"/>
  <c r="S55" i="113"/>
  <c r="S61" i="113"/>
  <c r="S59" i="113"/>
  <c r="S58" i="113"/>
  <c r="S56" i="113"/>
  <c r="S54" i="113"/>
  <c r="T59" i="113" s="1"/>
  <c r="X28" i="60"/>
  <c r="O55" i="116"/>
  <c r="O58" i="116" s="1"/>
  <c r="O57" i="116"/>
  <c r="O56" i="116"/>
  <c r="O54" i="116"/>
  <c r="Q53" i="113"/>
  <c r="S53" i="113" s="1"/>
  <c r="S45" i="113"/>
  <c r="S46" i="113"/>
  <c r="S52" i="113"/>
  <c r="S44" i="113"/>
  <c r="S49" i="113"/>
  <c r="S50" i="113"/>
  <c r="S143" i="113"/>
  <c r="S51" i="113"/>
  <c r="S3" i="113"/>
  <c r="S47" i="113"/>
  <c r="S48" i="113"/>
  <c r="N59" i="116"/>
  <c r="W25" i="60"/>
  <c r="V16" i="60"/>
  <c r="W12" i="60"/>
  <c r="W26" i="60"/>
  <c r="W19" i="60"/>
  <c r="W15" i="60"/>
  <c r="W23" i="60"/>
  <c r="W20" i="60"/>
  <c r="W13" i="60"/>
  <c r="W17" i="60"/>
  <c r="W18" i="60"/>
  <c r="W14" i="60"/>
  <c r="W22" i="60"/>
  <c r="W11" i="60"/>
  <c r="W21" i="60"/>
  <c r="AF85" i="142"/>
  <c r="AF37" i="142"/>
  <c r="AE65" i="142"/>
  <c r="AF17" i="142"/>
  <c r="AF133" i="142"/>
  <c r="AF62" i="142"/>
  <c r="AF65" i="142"/>
  <c r="AF13" i="142"/>
  <c r="AF43" i="142"/>
  <c r="AE17" i="142"/>
  <c r="AE109" i="142"/>
  <c r="AF38" i="142"/>
  <c r="AF137" i="142"/>
  <c r="AF14" i="142"/>
  <c r="AF115" i="142"/>
  <c r="AF61" i="142"/>
  <c r="AE43" i="142"/>
  <c r="AE113" i="142"/>
  <c r="AF89" i="142"/>
  <c r="AF110" i="142"/>
  <c r="AF41" i="142"/>
  <c r="AF86" i="142"/>
  <c r="AE14" i="142"/>
  <c r="AF67" i="142"/>
  <c r="AE85" i="142"/>
  <c r="AF109" i="142"/>
  <c r="AF19" i="142"/>
  <c r="AE115" i="142"/>
  <c r="AF139" i="142"/>
  <c r="AD88" i="142"/>
  <c r="AF113" i="142"/>
  <c r="AF134" i="142"/>
  <c r="AE67" i="142"/>
  <c r="AF91" i="142"/>
  <c r="AE136" i="142"/>
  <c r="AE16" i="142"/>
  <c r="W8" i="60"/>
  <c r="W9" i="60"/>
  <c r="W5" i="60"/>
  <c r="W6" i="60"/>
  <c r="AF11" i="142"/>
  <c r="AF59" i="142"/>
  <c r="AF35" i="142"/>
  <c r="AF131" i="142"/>
  <c r="O8" i="151" l="1"/>
  <c r="I38" i="151"/>
  <c r="I39" i="151" s="1"/>
  <c r="I35" i="151"/>
  <c r="E8" i="151"/>
  <c r="I4" i="151"/>
  <c r="P37" i="151"/>
  <c r="Q37" i="151" s="1"/>
  <c r="P7" i="151"/>
  <c r="Q7" i="151" s="1"/>
  <c r="F7" i="151"/>
  <c r="G7" i="151" s="1"/>
  <c r="F4" i="151"/>
  <c r="G4" i="151" s="1"/>
  <c r="F35" i="151"/>
  <c r="F37" i="151" s="1"/>
  <c r="P38" i="151"/>
  <c r="Q38" i="151" s="1"/>
  <c r="P4" i="151"/>
  <c r="Q4" i="151" s="1"/>
  <c r="I7" i="151"/>
  <c r="I8" i="151" s="1"/>
  <c r="S7" i="151"/>
  <c r="S8" i="151" s="1"/>
  <c r="S4" i="151"/>
  <c r="Q35" i="151"/>
  <c r="AE87" i="142"/>
  <c r="BG36" i="151" s="1"/>
  <c r="AE45" i="142"/>
  <c r="AE46" i="142" s="1"/>
  <c r="T7" i="151" s="1"/>
  <c r="U7" i="151" s="1"/>
  <c r="AE117" i="142"/>
  <c r="AE118" i="142" s="1"/>
  <c r="T38" i="151" s="1"/>
  <c r="U38" i="151" s="1"/>
  <c r="AE111" i="142"/>
  <c r="T36" i="151" s="1"/>
  <c r="AE69" i="142"/>
  <c r="AE70" i="142" s="1"/>
  <c r="J38" i="151" s="1"/>
  <c r="K38" i="151" s="1"/>
  <c r="AC23" i="142"/>
  <c r="AC95" i="142"/>
  <c r="AC119" i="142"/>
  <c r="AD90" i="142"/>
  <c r="AD95" i="142" s="1"/>
  <c r="G122" i="156"/>
  <c r="H164" i="113"/>
  <c r="G196" i="165"/>
  <c r="AF111" i="142"/>
  <c r="AF117" i="142"/>
  <c r="AF118" i="142" s="1"/>
  <c r="AD119" i="142"/>
  <c r="AF60" i="142"/>
  <c r="AF132" i="142"/>
  <c r="AE18" i="142"/>
  <c r="J4" i="151" s="1"/>
  <c r="AF36" i="142"/>
  <c r="AF87" i="142"/>
  <c r="AF21" i="142"/>
  <c r="AF93" i="142"/>
  <c r="AF69" i="142"/>
  <c r="AF70" i="142" s="1"/>
  <c r="AF141" i="142"/>
  <c r="AF142" i="142" s="1"/>
  <c r="AF63" i="142"/>
  <c r="AF15" i="142"/>
  <c r="AF45" i="142"/>
  <c r="AF46" i="142" s="1"/>
  <c r="AF39" i="142"/>
  <c r="AF135" i="142"/>
  <c r="AF12" i="142"/>
  <c r="AE138" i="142"/>
  <c r="AG49" i="142"/>
  <c r="AD71" i="142"/>
  <c r="AE22" i="142"/>
  <c r="J7" i="151" s="1"/>
  <c r="K7" i="151" s="1"/>
  <c r="AG25" i="142"/>
  <c r="AG1" i="142"/>
  <c r="AD47" i="142"/>
  <c r="AD143" i="142"/>
  <c r="AD23" i="142"/>
  <c r="AE142" i="142"/>
  <c r="W27" i="60"/>
  <c r="T62" i="113"/>
  <c r="R62" i="113" s="1"/>
  <c r="T60" i="113"/>
  <c r="R60" i="113" s="1"/>
  <c r="T53" i="113"/>
  <c r="R53" i="113" s="1"/>
  <c r="T61" i="113"/>
  <c r="R61" i="113" s="1"/>
  <c r="U143" i="113"/>
  <c r="T52" i="113"/>
  <c r="R52" i="113" s="1"/>
  <c r="T49" i="113"/>
  <c r="R49" i="113" s="1"/>
  <c r="T63" i="113"/>
  <c r="R63" i="113" s="1"/>
  <c r="T50" i="113"/>
  <c r="R50" i="113" s="1"/>
  <c r="T51" i="113"/>
  <c r="R51" i="113" s="1"/>
  <c r="U118" i="113"/>
  <c r="U48" i="113"/>
  <c r="U58" i="113"/>
  <c r="U45" i="113"/>
  <c r="U56" i="113"/>
  <c r="U55" i="113"/>
  <c r="U114" i="113"/>
  <c r="U117" i="113"/>
  <c r="U47" i="113"/>
  <c r="U44" i="113"/>
  <c r="U46" i="113"/>
  <c r="U54" i="113"/>
  <c r="R59" i="113"/>
  <c r="U57" i="113"/>
  <c r="U116" i="113"/>
  <c r="U115" i="113"/>
  <c r="U3" i="113"/>
  <c r="U148" i="113"/>
  <c r="W148" i="113" s="1"/>
  <c r="K26" i="112"/>
  <c r="H122" i="156"/>
  <c r="O71" i="116"/>
  <c r="U59" i="113"/>
  <c r="W59" i="113" s="1"/>
  <c r="U60" i="113"/>
  <c r="W60" i="113" s="1"/>
  <c r="U63" i="113"/>
  <c r="W63" i="113" s="1"/>
  <c r="U61" i="113"/>
  <c r="W61" i="113" s="1"/>
  <c r="U62" i="113"/>
  <c r="W62" i="113" s="1"/>
  <c r="O59" i="116"/>
  <c r="W28" i="60"/>
  <c r="U49" i="113"/>
  <c r="W49" i="113" s="1"/>
  <c r="U51" i="113"/>
  <c r="W51" i="113" s="1"/>
  <c r="U50" i="113"/>
  <c r="W50" i="113" s="1"/>
  <c r="U52" i="113"/>
  <c r="W52" i="113" s="1"/>
  <c r="U53" i="113"/>
  <c r="W53" i="113" s="1"/>
  <c r="V17" i="60"/>
  <c r="V20" i="60"/>
  <c r="V25" i="60"/>
  <c r="T16" i="60"/>
  <c r="V14" i="60"/>
  <c r="V13" i="60"/>
  <c r="V15" i="60"/>
  <c r="V18" i="60"/>
  <c r="V23" i="60"/>
  <c r="V11" i="60"/>
  <c r="V12" i="60"/>
  <c r="V26" i="60"/>
  <c r="V19" i="60"/>
  <c r="V22" i="60"/>
  <c r="V21" i="60"/>
  <c r="AG86" i="142"/>
  <c r="AF88" i="142"/>
  <c r="AG109" i="142"/>
  <c r="AG67" i="142"/>
  <c r="AG110" i="142"/>
  <c r="AE88" i="142"/>
  <c r="AF136" i="142"/>
  <c r="AE40" i="142"/>
  <c r="AG38" i="142"/>
  <c r="AG133" i="142"/>
  <c r="AG115" i="142"/>
  <c r="AG113" i="142"/>
  <c r="AE64" i="142"/>
  <c r="AG91" i="142"/>
  <c r="AG139" i="142"/>
  <c r="AG89" i="142"/>
  <c r="AG13" i="142"/>
  <c r="AG14" i="142"/>
  <c r="AG37" i="142"/>
  <c r="AF40" i="142"/>
  <c r="AF16" i="142"/>
  <c r="AG43" i="142"/>
  <c r="AG17" i="142"/>
  <c r="AG41" i="142"/>
  <c r="AE112" i="142"/>
  <c r="AG65" i="142"/>
  <c r="AG134" i="142"/>
  <c r="AG61" i="142"/>
  <c r="AG62" i="142"/>
  <c r="AG137" i="142"/>
  <c r="AF112" i="142"/>
  <c r="AG85" i="142"/>
  <c r="AG19" i="142"/>
  <c r="V9" i="60"/>
  <c r="V6" i="60"/>
  <c r="V8" i="60"/>
  <c r="V5" i="60"/>
  <c r="AG59" i="142"/>
  <c r="AG131" i="142"/>
  <c r="AG11" i="142"/>
  <c r="AG35" i="142"/>
  <c r="G35" i="151" l="1"/>
  <c r="F6" i="151"/>
  <c r="G6" i="151" s="1"/>
  <c r="P6" i="151"/>
  <c r="P8" i="151" s="1"/>
  <c r="Q8" i="151" s="1"/>
  <c r="P39" i="151"/>
  <c r="Q39" i="151" s="1"/>
  <c r="BC35" i="151"/>
  <c r="F8" i="151"/>
  <c r="G8" i="151" s="1"/>
  <c r="AE42" i="142"/>
  <c r="T4" i="151" s="1"/>
  <c r="AE66" i="142"/>
  <c r="J35" i="151" s="1"/>
  <c r="G37" i="151"/>
  <c r="F39" i="151"/>
  <c r="G39" i="151" s="1"/>
  <c r="J6" i="151"/>
  <c r="K4" i="151"/>
  <c r="AE114" i="142"/>
  <c r="AE90" i="142"/>
  <c r="AE95" i="142" s="1"/>
  <c r="I164" i="113"/>
  <c r="H196" i="165"/>
  <c r="AG117" i="142"/>
  <c r="AG118" i="142" s="1"/>
  <c r="AG111" i="142"/>
  <c r="AF114" i="142"/>
  <c r="AF119" i="142" s="1"/>
  <c r="AG135" i="142"/>
  <c r="AG63" i="142"/>
  <c r="AG39" i="142"/>
  <c r="AG45" i="142"/>
  <c r="AG15" i="142"/>
  <c r="AG69" i="142"/>
  <c r="AG141" i="142"/>
  <c r="AG93" i="142"/>
  <c r="AG21" i="142"/>
  <c r="AG87" i="142"/>
  <c r="AG12" i="142"/>
  <c r="AG60" i="142"/>
  <c r="AF42" i="142"/>
  <c r="AF47" i="142" s="1"/>
  <c r="AF138" i="142"/>
  <c r="AF143" i="142" s="1"/>
  <c r="AF18" i="142"/>
  <c r="AG36" i="142"/>
  <c r="AG132" i="142"/>
  <c r="AF90" i="142"/>
  <c r="AH1" i="142"/>
  <c r="AH49" i="142"/>
  <c r="AF22" i="142"/>
  <c r="AE23" i="142"/>
  <c r="AH25" i="142"/>
  <c r="AE47" i="142"/>
  <c r="AE143" i="142"/>
  <c r="AF94" i="142"/>
  <c r="AE71" i="142"/>
  <c r="V27" i="60"/>
  <c r="X52" i="113"/>
  <c r="V52" i="113" s="1"/>
  <c r="X51" i="113"/>
  <c r="V51" i="113" s="1"/>
  <c r="X62" i="113"/>
  <c r="V62" i="113" s="1"/>
  <c r="X63" i="113"/>
  <c r="V63" i="113" s="1"/>
  <c r="X53" i="113"/>
  <c r="V53" i="113" s="1"/>
  <c r="X50" i="113"/>
  <c r="V50" i="113" s="1"/>
  <c r="X49" i="113"/>
  <c r="V49" i="113" s="1"/>
  <c r="X61" i="113"/>
  <c r="V61" i="113" s="1"/>
  <c r="X60" i="113"/>
  <c r="V60" i="113" s="1"/>
  <c r="R23" i="159"/>
  <c r="R24" i="159"/>
  <c r="R22" i="159"/>
  <c r="V28" i="60"/>
  <c r="T14" i="60"/>
  <c r="T20" i="60"/>
  <c r="T18" i="60"/>
  <c r="T13" i="60"/>
  <c r="S16" i="60"/>
  <c r="T19" i="60"/>
  <c r="T12" i="60"/>
  <c r="T26" i="60"/>
  <c r="T22" i="60"/>
  <c r="T23" i="60"/>
  <c r="T21" i="60"/>
  <c r="T17" i="60"/>
  <c r="T25" i="60"/>
  <c r="T11" i="60"/>
  <c r="T15" i="60"/>
  <c r="AH65" i="142"/>
  <c r="AH89" i="142"/>
  <c r="AH17" i="142"/>
  <c r="AH133" i="142"/>
  <c r="AH14" i="142"/>
  <c r="AH62" i="142"/>
  <c r="AG64" i="142"/>
  <c r="AH67" i="142"/>
  <c r="AH43" i="142"/>
  <c r="AH38" i="142"/>
  <c r="AH13" i="142"/>
  <c r="AG16" i="142"/>
  <c r="AH113" i="142"/>
  <c r="AH137" i="142"/>
  <c r="AH91" i="142"/>
  <c r="AH19" i="142"/>
  <c r="AH109" i="142"/>
  <c r="AH110" i="142"/>
  <c r="AH37" i="142"/>
  <c r="AH139" i="142"/>
  <c r="AH86" i="142"/>
  <c r="AH134" i="142"/>
  <c r="AH61" i="142"/>
  <c r="AH41" i="142"/>
  <c r="AH85" i="142"/>
  <c r="AG136" i="142"/>
  <c r="AF64" i="142"/>
  <c r="AH115" i="142"/>
  <c r="AG40" i="142"/>
  <c r="AG88" i="142"/>
  <c r="T6" i="60"/>
  <c r="T5" i="60"/>
  <c r="T9" i="60"/>
  <c r="T8" i="60"/>
  <c r="AH131" i="142"/>
  <c r="AH35" i="142"/>
  <c r="AH59" i="142"/>
  <c r="AH11" i="142"/>
  <c r="Q6" i="151" l="1"/>
  <c r="J37" i="151"/>
  <c r="K35" i="151"/>
  <c r="BG35" i="151"/>
  <c r="BG37" i="151" s="1"/>
  <c r="BH37" i="151" s="1"/>
  <c r="AE119" i="142"/>
  <c r="T35" i="151"/>
  <c r="U4" i="151"/>
  <c r="T6" i="151"/>
  <c r="BD35" i="151"/>
  <c r="BC37" i="151"/>
  <c r="J8" i="151"/>
  <c r="K8" i="151" s="1"/>
  <c r="K6" i="151"/>
  <c r="I122" i="156"/>
  <c r="AF66" i="142"/>
  <c r="AF71" i="142" s="1"/>
  <c r="I196" i="165"/>
  <c r="AH117" i="142"/>
  <c r="AH111" i="142"/>
  <c r="AH132" i="142"/>
  <c r="AH60" i="142"/>
  <c r="AG90" i="142"/>
  <c r="AG66" i="142"/>
  <c r="AH36" i="142"/>
  <c r="AH63" i="142"/>
  <c r="AH39" i="142"/>
  <c r="AH141" i="142"/>
  <c r="AH142" i="142" s="1"/>
  <c r="AH135" i="142"/>
  <c r="AH15" i="142"/>
  <c r="AH21" i="142"/>
  <c r="AH93" i="142"/>
  <c r="AH94" i="142" s="1"/>
  <c r="AH45" i="142"/>
  <c r="AH46" i="142" s="1"/>
  <c r="AH87" i="142"/>
  <c r="AH69" i="142"/>
  <c r="AH70" i="142" s="1"/>
  <c r="AH12" i="142"/>
  <c r="AG18" i="142"/>
  <c r="AG138" i="142"/>
  <c r="AG42" i="142"/>
  <c r="AI49" i="142"/>
  <c r="AF95" i="142"/>
  <c r="AG94" i="142"/>
  <c r="AG70" i="142"/>
  <c r="AI25" i="142"/>
  <c r="AI1" i="142"/>
  <c r="AF23" i="142"/>
  <c r="AG22" i="142"/>
  <c r="AG142" i="142"/>
  <c r="AG46" i="142"/>
  <c r="T27" i="60"/>
  <c r="R25" i="159"/>
  <c r="R19" i="159"/>
  <c r="R20" i="159"/>
  <c r="R18" i="159"/>
  <c r="T28" i="60"/>
  <c r="S23" i="60"/>
  <c r="R16" i="60"/>
  <c r="S11" i="60"/>
  <c r="S13" i="60"/>
  <c r="S25" i="60"/>
  <c r="S21" i="60"/>
  <c r="S14" i="60"/>
  <c r="S19" i="60"/>
  <c r="S20" i="60"/>
  <c r="S26" i="60"/>
  <c r="S22" i="60"/>
  <c r="S12" i="60"/>
  <c r="S17" i="60"/>
  <c r="S18" i="60"/>
  <c r="S15" i="60"/>
  <c r="AI67" i="142"/>
  <c r="AI91" i="142"/>
  <c r="AG112" i="142"/>
  <c r="AI43" i="142"/>
  <c r="AI137" i="142"/>
  <c r="AI133" i="142"/>
  <c r="AI109" i="142"/>
  <c r="AI41" i="142"/>
  <c r="AI13" i="142"/>
  <c r="AI65" i="142"/>
  <c r="AI38" i="142"/>
  <c r="AI17" i="142"/>
  <c r="AI86" i="142"/>
  <c r="AH16" i="142"/>
  <c r="AI37" i="142"/>
  <c r="AI110" i="142"/>
  <c r="AI113" i="142"/>
  <c r="AH112" i="142"/>
  <c r="AI19" i="142"/>
  <c r="AI14" i="142"/>
  <c r="AI134" i="142"/>
  <c r="AI62" i="142"/>
  <c r="AI89" i="142"/>
  <c r="AI139" i="142"/>
  <c r="AI61" i="142"/>
  <c r="AI85" i="142"/>
  <c r="AI115" i="142"/>
  <c r="S8" i="60"/>
  <c r="S6" i="60"/>
  <c r="S9" i="60"/>
  <c r="S5" i="60"/>
  <c r="AI35" i="142"/>
  <c r="AI11" i="142"/>
  <c r="AI59" i="142"/>
  <c r="AI131" i="142"/>
  <c r="BG39" i="151" l="1"/>
  <c r="BH39" i="151" s="1"/>
  <c r="BC39" i="151"/>
  <c r="BD39" i="151" s="1"/>
  <c r="BD37" i="151"/>
  <c r="T8" i="151"/>
  <c r="U8" i="151" s="1"/>
  <c r="U6" i="151"/>
  <c r="BH35" i="151"/>
  <c r="U35" i="151"/>
  <c r="T37" i="151"/>
  <c r="J39" i="151"/>
  <c r="K39" i="151" s="1"/>
  <c r="K37" i="151"/>
  <c r="AG114" i="142"/>
  <c r="AG119" i="142" s="1"/>
  <c r="AI117" i="142"/>
  <c r="AI118" i="142" s="1"/>
  <c r="AI111" i="142"/>
  <c r="AH114" i="142"/>
  <c r="AH118" i="142"/>
  <c r="AI36" i="142"/>
  <c r="AI60" i="142"/>
  <c r="AH18" i="142"/>
  <c r="AI63" i="142"/>
  <c r="AI87" i="142"/>
  <c r="AI45" i="142"/>
  <c r="AI21" i="142"/>
  <c r="AI15" i="142"/>
  <c r="AI93" i="142"/>
  <c r="AI69" i="142"/>
  <c r="AI39" i="142"/>
  <c r="AI141" i="142"/>
  <c r="AI135" i="142"/>
  <c r="AI12" i="142"/>
  <c r="AI132" i="142"/>
  <c r="AJ25" i="142"/>
  <c r="AJ49" i="142"/>
  <c r="AG47" i="142"/>
  <c r="AG23" i="142"/>
  <c r="AH22" i="142"/>
  <c r="AG71" i="142"/>
  <c r="AJ1" i="142"/>
  <c r="AG143" i="142"/>
  <c r="AG95" i="142"/>
  <c r="S27" i="60"/>
  <c r="R21" i="159"/>
  <c r="S28" i="60"/>
  <c r="R23" i="60"/>
  <c r="R18" i="60"/>
  <c r="R12" i="60"/>
  <c r="R13" i="60"/>
  <c r="Q16" i="60"/>
  <c r="R26" i="60"/>
  <c r="R15" i="60"/>
  <c r="R21" i="60"/>
  <c r="R25" i="60"/>
  <c r="R14" i="60"/>
  <c r="R19" i="60"/>
  <c r="R20" i="60"/>
  <c r="R22" i="60"/>
  <c r="R17" i="60"/>
  <c r="R11" i="60"/>
  <c r="AJ17" i="142"/>
  <c r="AJ89" i="142"/>
  <c r="AJ67" i="142"/>
  <c r="AH64" i="142"/>
  <c r="AI64" i="142"/>
  <c r="AJ65" i="142"/>
  <c r="AJ13" i="142"/>
  <c r="AJ115" i="142"/>
  <c r="AI88" i="142"/>
  <c r="AI16" i="142"/>
  <c r="AH136" i="142"/>
  <c r="AJ19" i="142"/>
  <c r="AJ139" i="142"/>
  <c r="AJ43" i="142"/>
  <c r="AJ109" i="142"/>
  <c r="AH88" i="142"/>
  <c r="AI136" i="142"/>
  <c r="AJ14" i="142"/>
  <c r="AJ133" i="142"/>
  <c r="AJ137" i="142"/>
  <c r="AI40" i="142"/>
  <c r="AH40" i="142"/>
  <c r="R9" i="60"/>
  <c r="R6" i="60"/>
  <c r="R8" i="60"/>
  <c r="R5" i="60"/>
  <c r="AJ59" i="142"/>
  <c r="AJ11" i="142"/>
  <c r="AJ35" i="142"/>
  <c r="AJ131" i="142"/>
  <c r="U37" i="151" l="1"/>
  <c r="T39" i="151"/>
  <c r="U39" i="151" s="1"/>
  <c r="AH42" i="142"/>
  <c r="AH47" i="142" s="1"/>
  <c r="AH66" i="142"/>
  <c r="AH71" i="142" s="1"/>
  <c r="AH90" i="142"/>
  <c r="AH95" i="142" s="1"/>
  <c r="AH138" i="142"/>
  <c r="AH143" i="142" s="1"/>
  <c r="AJ111" i="142"/>
  <c r="AJ117" i="142"/>
  <c r="AJ118" i="142" s="1"/>
  <c r="AH119" i="142"/>
  <c r="AJ132" i="142"/>
  <c r="AJ60" i="142"/>
  <c r="AI66" i="142"/>
  <c r="AI18" i="142"/>
  <c r="AJ15" i="142"/>
  <c r="AJ21" i="142"/>
  <c r="AJ135" i="142"/>
  <c r="AJ141" i="142"/>
  <c r="AJ45" i="142"/>
  <c r="AJ46" i="142" s="1"/>
  <c r="AJ69" i="142"/>
  <c r="AJ12" i="142"/>
  <c r="AJ36" i="142"/>
  <c r="AI138" i="142"/>
  <c r="AI90" i="142"/>
  <c r="AI42" i="142"/>
  <c r="AK49" i="142"/>
  <c r="AI70" i="142"/>
  <c r="AI22" i="142"/>
  <c r="AK1" i="142"/>
  <c r="AK25" i="142"/>
  <c r="AI142" i="142"/>
  <c r="AI94" i="142"/>
  <c r="AI46" i="142"/>
  <c r="AH23" i="142"/>
  <c r="R27" i="60"/>
  <c r="R28" i="60"/>
  <c r="Q26" i="60"/>
  <c r="Q22" i="60"/>
  <c r="Q21" i="60"/>
  <c r="Q14" i="60"/>
  <c r="P16" i="60"/>
  <c r="Q11" i="60"/>
  <c r="Q25" i="60"/>
  <c r="Q18" i="60"/>
  <c r="Q23" i="60"/>
  <c r="Q19" i="60"/>
  <c r="Q20" i="60"/>
  <c r="Q15" i="60"/>
  <c r="Q13" i="60"/>
  <c r="Q12" i="60"/>
  <c r="Q17" i="60"/>
  <c r="AK67" i="142"/>
  <c r="AJ37" i="142"/>
  <c r="AK14" i="142"/>
  <c r="AK19" i="142"/>
  <c r="AK61" i="142"/>
  <c r="AJ61" i="142"/>
  <c r="AK43" i="142"/>
  <c r="AK41" i="142"/>
  <c r="AJ134" i="142"/>
  <c r="AJ91" i="142"/>
  <c r="AK38" i="142"/>
  <c r="AJ86" i="142"/>
  <c r="AJ64" i="142"/>
  <c r="AJ16" i="142"/>
  <c r="AK62" i="142"/>
  <c r="AJ85" i="142"/>
  <c r="AJ113" i="142"/>
  <c r="AJ38" i="142"/>
  <c r="AJ62" i="142"/>
  <c r="AK65" i="142"/>
  <c r="AJ110" i="142"/>
  <c r="AJ41" i="142"/>
  <c r="AK110" i="142"/>
  <c r="AK134" i="142"/>
  <c r="AK115" i="142"/>
  <c r="AK13" i="142"/>
  <c r="AI112" i="142"/>
  <c r="AJ136" i="142"/>
  <c r="Q8" i="60"/>
  <c r="Q5" i="60"/>
  <c r="Q6" i="60"/>
  <c r="Q9" i="60"/>
  <c r="AK35" i="142"/>
  <c r="AK131" i="142"/>
  <c r="AK59" i="142"/>
  <c r="AK11" i="142"/>
  <c r="AJ63" i="142" l="1"/>
  <c r="AJ87" i="142"/>
  <c r="AJ39" i="142"/>
  <c r="AJ93" i="142"/>
  <c r="AJ94" i="142" s="1"/>
  <c r="AI114" i="142"/>
  <c r="AI119" i="142" s="1"/>
  <c r="AK117" i="142"/>
  <c r="AK118" i="142" s="1"/>
  <c r="AK36" i="142"/>
  <c r="AK60" i="142"/>
  <c r="AJ138" i="142"/>
  <c r="AK15" i="142"/>
  <c r="AK69" i="142"/>
  <c r="AK21" i="142"/>
  <c r="AK45" i="142"/>
  <c r="AK63" i="142"/>
  <c r="AK12" i="142"/>
  <c r="AK132" i="142"/>
  <c r="AJ66" i="142"/>
  <c r="AJ18" i="142"/>
  <c r="AL25" i="142"/>
  <c r="AL49" i="142"/>
  <c r="AI47" i="142"/>
  <c r="AI143" i="142"/>
  <c r="AJ142" i="142"/>
  <c r="AI23" i="142"/>
  <c r="AL1" i="142"/>
  <c r="AI95" i="142"/>
  <c r="AJ70" i="142"/>
  <c r="AJ22" i="142"/>
  <c r="AI71" i="142"/>
  <c r="Q27" i="60"/>
  <c r="Q28" i="60"/>
  <c r="P19" i="60"/>
  <c r="P20" i="60"/>
  <c r="P17" i="60"/>
  <c r="P15" i="60"/>
  <c r="P18" i="60"/>
  <c r="P22" i="60"/>
  <c r="P14" i="60"/>
  <c r="P26" i="60"/>
  <c r="P13" i="60"/>
  <c r="P23" i="60"/>
  <c r="P11" i="60"/>
  <c r="P21" i="60"/>
  <c r="P25" i="60"/>
  <c r="O16" i="60"/>
  <c r="P12" i="60"/>
  <c r="AK91" i="142"/>
  <c r="AL14" i="142"/>
  <c r="AL17" i="142"/>
  <c r="AL61" i="142"/>
  <c r="AK89" i="142"/>
  <c r="AK17" i="142"/>
  <c r="AL65" i="142"/>
  <c r="AL139" i="142"/>
  <c r="AL137" i="142"/>
  <c r="AK112" i="142"/>
  <c r="AJ40" i="142"/>
  <c r="AL19" i="142"/>
  <c r="AL62" i="142"/>
  <c r="AL37" i="142"/>
  <c r="AK133" i="142"/>
  <c r="AL13" i="142"/>
  <c r="AL38" i="142"/>
  <c r="AK113" i="142"/>
  <c r="AK37" i="142"/>
  <c r="AK16" i="142"/>
  <c r="AJ112" i="142"/>
  <c r="AK86" i="142"/>
  <c r="AK109" i="142"/>
  <c r="AL110" i="142"/>
  <c r="AL115" i="142"/>
  <c r="AK139" i="142"/>
  <c r="AL89" i="142"/>
  <c r="AL91" i="142"/>
  <c r="AL86" i="142"/>
  <c r="AL41" i="142"/>
  <c r="AJ88" i="142"/>
  <c r="AK85" i="142"/>
  <c r="AL133" i="142"/>
  <c r="AK137" i="142"/>
  <c r="AL67" i="142"/>
  <c r="AL113" i="142"/>
  <c r="AL109" i="142"/>
  <c r="AL85" i="142"/>
  <c r="AL43" i="142"/>
  <c r="AL134" i="142"/>
  <c r="AK64" i="142"/>
  <c r="AK40" i="142"/>
  <c r="P8" i="60"/>
  <c r="P6" i="60"/>
  <c r="P9" i="60"/>
  <c r="P5" i="60"/>
  <c r="AL11" i="142"/>
  <c r="AL35" i="142"/>
  <c r="AL131" i="142"/>
  <c r="AL59" i="142"/>
  <c r="AK141" i="142" l="1"/>
  <c r="AK135" i="142"/>
  <c r="AK87" i="142"/>
  <c r="AJ114" i="142"/>
  <c r="AJ119" i="142" s="1"/>
  <c r="AK39" i="142"/>
  <c r="AK111" i="142"/>
  <c r="AK93" i="142"/>
  <c r="AJ42" i="142"/>
  <c r="AJ47" i="142" s="1"/>
  <c r="AJ90" i="142"/>
  <c r="AJ95" i="142" s="1"/>
  <c r="AL117" i="142"/>
  <c r="AL111" i="142"/>
  <c r="AK114" i="142"/>
  <c r="AK119" i="142" s="1"/>
  <c r="AL132" i="142"/>
  <c r="AL60" i="142"/>
  <c r="AK18" i="142"/>
  <c r="AL135" i="142"/>
  <c r="AL63" i="142"/>
  <c r="AL21" i="142"/>
  <c r="AL45" i="142"/>
  <c r="AL141" i="142"/>
  <c r="AL15" i="142"/>
  <c r="AL93" i="142"/>
  <c r="AL69" i="142"/>
  <c r="AL39" i="142"/>
  <c r="AL87" i="142"/>
  <c r="AL12" i="142"/>
  <c r="AL36" i="142"/>
  <c r="AK42" i="142"/>
  <c r="AK66" i="142"/>
  <c r="AM49" i="142"/>
  <c r="AK94" i="142"/>
  <c r="AK22" i="142"/>
  <c r="AK142" i="142"/>
  <c r="AM1" i="142"/>
  <c r="AM25" i="142"/>
  <c r="AJ23" i="142"/>
  <c r="AJ71" i="142"/>
  <c r="AK46" i="142"/>
  <c r="AK70" i="142"/>
  <c r="AJ143" i="142"/>
  <c r="P27" i="60"/>
  <c r="P30" i="60" s="1"/>
  <c r="P28" i="60"/>
  <c r="P31" i="60" s="1"/>
  <c r="O20" i="60"/>
  <c r="O22" i="60"/>
  <c r="M16" i="60"/>
  <c r="O25" i="60"/>
  <c r="O11" i="60"/>
  <c r="O14" i="60"/>
  <c r="O26" i="60"/>
  <c r="O12" i="60"/>
  <c r="O13" i="60"/>
  <c r="O15" i="60"/>
  <c r="O23" i="60"/>
  <c r="O17" i="60"/>
  <c r="O21" i="60"/>
  <c r="O19" i="60"/>
  <c r="O18" i="60"/>
  <c r="AM89" i="142"/>
  <c r="AM61" i="142"/>
  <c r="AM134" i="142"/>
  <c r="AM133" i="142"/>
  <c r="AM65" i="142"/>
  <c r="AM43" i="142"/>
  <c r="AK88" i="142"/>
  <c r="AL88" i="142"/>
  <c r="AM38" i="142"/>
  <c r="AM41" i="142"/>
  <c r="AM37" i="142"/>
  <c r="AM67" i="142"/>
  <c r="AM14" i="142"/>
  <c r="AM13" i="142"/>
  <c r="AL112" i="142"/>
  <c r="AL16" i="142"/>
  <c r="AL40" i="142"/>
  <c r="AM139" i="142"/>
  <c r="AM115" i="142"/>
  <c r="AM17" i="142"/>
  <c r="AM109" i="142"/>
  <c r="AM85" i="142"/>
  <c r="AM91" i="142"/>
  <c r="AK136" i="142"/>
  <c r="AL136" i="142"/>
  <c r="AM137" i="142"/>
  <c r="AM19" i="142"/>
  <c r="AM113" i="142"/>
  <c r="AM86" i="142"/>
  <c r="AM110" i="142"/>
  <c r="AM62" i="142"/>
  <c r="AL64" i="142"/>
  <c r="O6" i="60"/>
  <c r="O8" i="60"/>
  <c r="O5" i="60"/>
  <c r="O9" i="60"/>
  <c r="AM11" i="142"/>
  <c r="AM59" i="142"/>
  <c r="AM131" i="142"/>
  <c r="AM35" i="142"/>
  <c r="AK90" i="142" l="1"/>
  <c r="AK95" i="142" s="1"/>
  <c r="AK138" i="142"/>
  <c r="AM117" i="142"/>
  <c r="AM118" i="142" s="1"/>
  <c r="AM111" i="142"/>
  <c r="AL114" i="142"/>
  <c r="AL118" i="142"/>
  <c r="AM36" i="142"/>
  <c r="AM132" i="142"/>
  <c r="AL66" i="142"/>
  <c r="AL90" i="142"/>
  <c r="AL138" i="142"/>
  <c r="AL42" i="142"/>
  <c r="AL18" i="142"/>
  <c r="AM45" i="142"/>
  <c r="AM141" i="142"/>
  <c r="AM69" i="142"/>
  <c r="AM70" i="142" s="1"/>
  <c r="AM21" i="142"/>
  <c r="AM135" i="142"/>
  <c r="AM87" i="142"/>
  <c r="AM39" i="142"/>
  <c r="AM93" i="142"/>
  <c r="AM94" i="142" s="1"/>
  <c r="AM63" i="142"/>
  <c r="AM15" i="142"/>
  <c r="AM12" i="142"/>
  <c r="AM60" i="142"/>
  <c r="AN25" i="142"/>
  <c r="AK47" i="142"/>
  <c r="AK23" i="142"/>
  <c r="AN1" i="142"/>
  <c r="AN49" i="142"/>
  <c r="AK71" i="142"/>
  <c r="AL70" i="142"/>
  <c r="AL94" i="142"/>
  <c r="AL142" i="142"/>
  <c r="AL46" i="142"/>
  <c r="AL22" i="142"/>
  <c r="AK143" i="142"/>
  <c r="O27" i="60"/>
  <c r="O30" i="60" s="1"/>
  <c r="O28" i="60"/>
  <c r="O31" i="60" s="1"/>
  <c r="M23" i="60"/>
  <c r="M12" i="60"/>
  <c r="M25" i="60"/>
  <c r="M20" i="60"/>
  <c r="M15" i="60"/>
  <c r="M14" i="60"/>
  <c r="M22" i="60"/>
  <c r="M18" i="60"/>
  <c r="M21" i="60"/>
  <c r="M17" i="60"/>
  <c r="L16" i="60"/>
  <c r="M19" i="60"/>
  <c r="M11" i="60"/>
  <c r="M26" i="60"/>
  <c r="M13" i="60"/>
  <c r="AN43" i="142"/>
  <c r="AN89" i="142"/>
  <c r="AN14" i="142"/>
  <c r="AN85" i="142"/>
  <c r="AN139" i="142"/>
  <c r="AM136" i="142"/>
  <c r="AN38" i="142"/>
  <c r="AN65" i="142"/>
  <c r="AM16" i="142"/>
  <c r="AN41" i="142"/>
  <c r="AN19" i="142"/>
  <c r="AN62" i="142"/>
  <c r="AN67" i="142"/>
  <c r="AN61" i="142"/>
  <c r="AM40" i="142"/>
  <c r="M9" i="60"/>
  <c r="M8" i="60"/>
  <c r="M6" i="60"/>
  <c r="M5" i="60"/>
  <c r="AN59" i="142"/>
  <c r="AN35" i="142"/>
  <c r="AN131" i="142"/>
  <c r="AL119" i="142" l="1"/>
  <c r="AN63" i="142"/>
  <c r="AN141" i="142"/>
  <c r="AN87" i="142"/>
  <c r="AN69" i="142"/>
  <c r="AN21" i="142"/>
  <c r="AN45" i="142"/>
  <c r="AN60" i="142"/>
  <c r="AN132" i="142"/>
  <c r="AM18" i="142"/>
  <c r="AM42" i="142"/>
  <c r="AN36" i="142"/>
  <c r="AM138" i="142"/>
  <c r="AO1" i="142"/>
  <c r="AO49" i="142"/>
  <c r="AM22" i="142"/>
  <c r="AM46" i="142"/>
  <c r="AL47" i="142"/>
  <c r="AL95" i="142"/>
  <c r="AO25" i="142"/>
  <c r="AM142" i="142"/>
  <c r="AL23" i="142"/>
  <c r="AL143" i="142"/>
  <c r="AL71" i="142"/>
  <c r="M27" i="60"/>
  <c r="M30" i="60" s="1"/>
  <c r="M28" i="60"/>
  <c r="M31" i="60" s="1"/>
  <c r="Z296" i="9"/>
  <c r="Y296" i="9"/>
  <c r="X296" i="9"/>
  <c r="W296" i="9"/>
  <c r="V296" i="9"/>
  <c r="U296" i="9"/>
  <c r="T296" i="9"/>
  <c r="S296" i="9"/>
  <c r="R296" i="9"/>
  <c r="Q296" i="9"/>
  <c r="P296" i="9"/>
  <c r="O296" i="9"/>
  <c r="N296" i="9"/>
  <c r="M296" i="9"/>
  <c r="L296" i="9"/>
  <c r="K296" i="9"/>
  <c r="J296" i="9"/>
  <c r="I296" i="9"/>
  <c r="H296" i="9"/>
  <c r="G296" i="9"/>
  <c r="F296" i="9"/>
  <c r="E296" i="9"/>
  <c r="D296" i="9"/>
  <c r="C296" i="9"/>
  <c r="C23" i="9"/>
  <c r="L25" i="60"/>
  <c r="L23" i="60"/>
  <c r="L15" i="60"/>
  <c r="L11" i="60"/>
  <c r="L26" i="60"/>
  <c r="L17" i="60"/>
  <c r="L21" i="60"/>
  <c r="L19" i="60"/>
  <c r="L22" i="60"/>
  <c r="L14" i="60"/>
  <c r="L12" i="60"/>
  <c r="L18" i="60"/>
  <c r="L20" i="60"/>
  <c r="K16" i="60"/>
  <c r="L13" i="60"/>
  <c r="AO86" i="142"/>
  <c r="AN113" i="142"/>
  <c r="AN134" i="142"/>
  <c r="AO137" i="142"/>
  <c r="AN40" i="142"/>
  <c r="AN91" i="142"/>
  <c r="AN115" i="142"/>
  <c r="AO67" i="142"/>
  <c r="AO41" i="142"/>
  <c r="AO19" i="142"/>
  <c r="AO109" i="142"/>
  <c r="AO115" i="142"/>
  <c r="AO43" i="142"/>
  <c r="AO65" i="142"/>
  <c r="AM88" i="142"/>
  <c r="AO38" i="142"/>
  <c r="AN13" i="142"/>
  <c r="AO62" i="142"/>
  <c r="AN109" i="142"/>
  <c r="AO85" i="142"/>
  <c r="AM64" i="142"/>
  <c r="AO61" i="142"/>
  <c r="AN133" i="142"/>
  <c r="AN17" i="142"/>
  <c r="AN16" i="142"/>
  <c r="AO113" i="142"/>
  <c r="AN137" i="142"/>
  <c r="AO91" i="142"/>
  <c r="AO17" i="142"/>
  <c r="AO14" i="142"/>
  <c r="AO134" i="142"/>
  <c r="AO89" i="142"/>
  <c r="AO139" i="142"/>
  <c r="AN37" i="142"/>
  <c r="AM112" i="142"/>
  <c r="AO13" i="142"/>
  <c r="AN110" i="142"/>
  <c r="AO110" i="142"/>
  <c r="AO133" i="142"/>
  <c r="AN86" i="142"/>
  <c r="AO37" i="142"/>
  <c r="AN136" i="142"/>
  <c r="AN64" i="142"/>
  <c r="L8" i="60"/>
  <c r="L9" i="60"/>
  <c r="L5" i="60"/>
  <c r="L6" i="60"/>
  <c r="AO11" i="142"/>
  <c r="AO59" i="142"/>
  <c r="AN11" i="142"/>
  <c r="AO131" i="142"/>
  <c r="AO35" i="142"/>
  <c r="AN15" i="142" l="1"/>
  <c r="AN111" i="142"/>
  <c r="AN93" i="142"/>
  <c r="AN94" i="142" s="1"/>
  <c r="AN117" i="142"/>
  <c r="AN135" i="142"/>
  <c r="AN39" i="142"/>
  <c r="AN12" i="142"/>
  <c r="AM66" i="142"/>
  <c r="AM71" i="142" s="1"/>
  <c r="AM90" i="142"/>
  <c r="AM95" i="142" s="1"/>
  <c r="AM114" i="142"/>
  <c r="AM119" i="142" s="1"/>
  <c r="AO117" i="142"/>
  <c r="AO118" i="142" s="1"/>
  <c r="AO111" i="142"/>
  <c r="AM23" i="142"/>
  <c r="AO132" i="142"/>
  <c r="AO36" i="142"/>
  <c r="AO60" i="142"/>
  <c r="AN18" i="142"/>
  <c r="AO63" i="142"/>
  <c r="AO15" i="142"/>
  <c r="AO21" i="142"/>
  <c r="AO141" i="142"/>
  <c r="AO87" i="142"/>
  <c r="AO135" i="142"/>
  <c r="AO69" i="142"/>
  <c r="AO93" i="142"/>
  <c r="AO39" i="142"/>
  <c r="AO45" i="142"/>
  <c r="AO12" i="142"/>
  <c r="AN42" i="142"/>
  <c r="AN66" i="142"/>
  <c r="AN138" i="142"/>
  <c r="AP25" i="142"/>
  <c r="AP49" i="142"/>
  <c r="AM143" i="142"/>
  <c r="AN22" i="142"/>
  <c r="AP1" i="142"/>
  <c r="AM47" i="142"/>
  <c r="AN46" i="142"/>
  <c r="AN70" i="142"/>
  <c r="AN142" i="142"/>
  <c r="L27" i="60"/>
  <c r="L30" i="60" s="1"/>
  <c r="L28" i="60"/>
  <c r="L31" i="60" s="1"/>
  <c r="K14" i="60"/>
  <c r="K19" i="60"/>
  <c r="K17" i="60"/>
  <c r="K26" i="60"/>
  <c r="K23" i="60"/>
  <c r="K21" i="60"/>
  <c r="K15" i="60"/>
  <c r="K11" i="60"/>
  <c r="K25" i="60"/>
  <c r="J16" i="60"/>
  <c r="K18" i="60"/>
  <c r="K22" i="60"/>
  <c r="K12" i="60"/>
  <c r="K20" i="60"/>
  <c r="K13" i="60"/>
  <c r="AP89" i="142"/>
  <c r="AP62" i="142"/>
  <c r="AO136" i="142"/>
  <c r="AP113" i="142"/>
  <c r="AP137" i="142"/>
  <c r="AP19" i="142"/>
  <c r="AO64" i="142"/>
  <c r="AP91" i="142"/>
  <c r="AP110" i="142"/>
  <c r="AP14" i="142"/>
  <c r="AP85" i="142"/>
  <c r="AO16" i="142"/>
  <c r="AP61" i="142"/>
  <c r="AP139" i="142"/>
  <c r="AO40" i="142"/>
  <c r="AP134" i="142"/>
  <c r="AP41" i="142"/>
  <c r="AO88" i="142"/>
  <c r="K9" i="60"/>
  <c r="K5" i="60"/>
  <c r="K6" i="60"/>
  <c r="K8" i="60"/>
  <c r="AP59" i="142"/>
  <c r="AP35" i="142"/>
  <c r="AP131" i="142"/>
  <c r="AN118" i="142" l="1"/>
  <c r="AN71" i="142"/>
  <c r="AP63" i="142"/>
  <c r="AP93" i="142"/>
  <c r="AP87" i="142"/>
  <c r="AP21" i="142"/>
  <c r="AP141" i="142"/>
  <c r="AP142" i="142" s="1"/>
  <c r="AP60" i="142"/>
  <c r="AO90" i="142"/>
  <c r="AO138" i="142"/>
  <c r="AP36" i="142"/>
  <c r="AO42" i="142"/>
  <c r="AO66" i="142"/>
  <c r="AO18" i="142"/>
  <c r="AP132" i="142"/>
  <c r="AQ1" i="142"/>
  <c r="AQ49" i="142"/>
  <c r="AO94" i="142"/>
  <c r="AO142" i="142"/>
  <c r="AQ25" i="142"/>
  <c r="AN143" i="142"/>
  <c r="AN47" i="142"/>
  <c r="AO46" i="142"/>
  <c r="AO70" i="142"/>
  <c r="AO22" i="142"/>
  <c r="AN23" i="142"/>
  <c r="K27" i="60"/>
  <c r="K7" i="60"/>
  <c r="K28" i="60"/>
  <c r="K31" i="60" s="1"/>
  <c r="K10" i="60"/>
  <c r="K30" i="60"/>
  <c r="D313" i="121"/>
  <c r="E313" i="121"/>
  <c r="F313" i="121"/>
  <c r="G313" i="121"/>
  <c r="H313" i="121"/>
  <c r="I313" i="121"/>
  <c r="J313" i="121"/>
  <c r="K313" i="121"/>
  <c r="L313" i="121"/>
  <c r="M313" i="121"/>
  <c r="D314" i="121"/>
  <c r="E314" i="121"/>
  <c r="F314" i="121"/>
  <c r="G314" i="121"/>
  <c r="H314" i="121"/>
  <c r="I314" i="121"/>
  <c r="J314" i="121"/>
  <c r="K314" i="121"/>
  <c r="L314" i="121"/>
  <c r="M314" i="121"/>
  <c r="D315" i="121"/>
  <c r="E315" i="121"/>
  <c r="F315" i="121"/>
  <c r="G315" i="121"/>
  <c r="H315" i="121"/>
  <c r="I315" i="121"/>
  <c r="J315" i="121"/>
  <c r="K315" i="121"/>
  <c r="L315" i="121"/>
  <c r="M315" i="121"/>
  <c r="D316" i="121"/>
  <c r="E316" i="121"/>
  <c r="F316" i="121"/>
  <c r="G316" i="121"/>
  <c r="H316" i="121"/>
  <c r="I316" i="121"/>
  <c r="J316" i="121"/>
  <c r="K316" i="121"/>
  <c r="L316" i="121"/>
  <c r="M316" i="121"/>
  <c r="D317" i="121"/>
  <c r="E317" i="121"/>
  <c r="F317" i="121"/>
  <c r="G317" i="121"/>
  <c r="H317" i="121"/>
  <c r="I317" i="121"/>
  <c r="J317" i="121"/>
  <c r="K317" i="121"/>
  <c r="L317" i="121"/>
  <c r="M317" i="121"/>
  <c r="D318" i="121"/>
  <c r="E318" i="121"/>
  <c r="F318" i="121"/>
  <c r="G318" i="121"/>
  <c r="H318" i="121"/>
  <c r="I318" i="121"/>
  <c r="J318" i="121"/>
  <c r="K318" i="121"/>
  <c r="L318" i="121"/>
  <c r="M318" i="121"/>
  <c r="D319" i="121"/>
  <c r="E319" i="121"/>
  <c r="F319" i="121"/>
  <c r="G319" i="121"/>
  <c r="H319" i="121"/>
  <c r="I319" i="121"/>
  <c r="J319" i="121"/>
  <c r="K319" i="121"/>
  <c r="L319" i="121"/>
  <c r="M319" i="121"/>
  <c r="D320" i="121"/>
  <c r="E320" i="121"/>
  <c r="F320" i="121"/>
  <c r="G320" i="121"/>
  <c r="H320" i="121"/>
  <c r="I320" i="121"/>
  <c r="J320" i="121"/>
  <c r="K320" i="121"/>
  <c r="L320" i="121"/>
  <c r="M320" i="121"/>
  <c r="D321" i="121"/>
  <c r="E321" i="121"/>
  <c r="F321" i="121"/>
  <c r="G321" i="121"/>
  <c r="H321" i="121"/>
  <c r="I321" i="121"/>
  <c r="J321" i="121"/>
  <c r="K321" i="121"/>
  <c r="L321" i="121"/>
  <c r="M321" i="121"/>
  <c r="D322" i="121"/>
  <c r="E322" i="121"/>
  <c r="F322" i="121"/>
  <c r="G322" i="121"/>
  <c r="H322" i="121"/>
  <c r="I322" i="121"/>
  <c r="J322" i="121"/>
  <c r="K322" i="121"/>
  <c r="L322" i="121"/>
  <c r="M322" i="121"/>
  <c r="D323" i="121"/>
  <c r="E323" i="121"/>
  <c r="F323" i="121"/>
  <c r="G323" i="121"/>
  <c r="H323" i="121"/>
  <c r="I323" i="121"/>
  <c r="J323" i="121"/>
  <c r="K323" i="121"/>
  <c r="L323" i="121"/>
  <c r="M323" i="121"/>
  <c r="D324" i="121"/>
  <c r="E324" i="121"/>
  <c r="F324" i="121"/>
  <c r="G324" i="121"/>
  <c r="H324" i="121"/>
  <c r="I324" i="121"/>
  <c r="J324" i="121"/>
  <c r="K324" i="121"/>
  <c r="L324" i="121"/>
  <c r="M324" i="121"/>
  <c r="D325" i="121"/>
  <c r="E325" i="121"/>
  <c r="F325" i="121"/>
  <c r="G325" i="121"/>
  <c r="H325" i="121"/>
  <c r="I325" i="121"/>
  <c r="J325" i="121"/>
  <c r="K325" i="121"/>
  <c r="L325" i="121"/>
  <c r="M325" i="121"/>
  <c r="D326" i="121"/>
  <c r="E326" i="121"/>
  <c r="F326" i="121"/>
  <c r="G326" i="121"/>
  <c r="H326" i="121"/>
  <c r="I326" i="121"/>
  <c r="J326" i="121"/>
  <c r="K326" i="121"/>
  <c r="L326" i="121"/>
  <c r="M326" i="121"/>
  <c r="D327" i="121"/>
  <c r="E327" i="121"/>
  <c r="F327" i="121"/>
  <c r="G327" i="121"/>
  <c r="H327" i="121"/>
  <c r="I327" i="121"/>
  <c r="J327" i="121"/>
  <c r="K327" i="121"/>
  <c r="L327" i="121"/>
  <c r="M327" i="121"/>
  <c r="D328" i="121"/>
  <c r="E328" i="121"/>
  <c r="F328" i="121"/>
  <c r="G328" i="121"/>
  <c r="H328" i="121"/>
  <c r="I328" i="121"/>
  <c r="J328" i="121"/>
  <c r="K328" i="121"/>
  <c r="L328" i="121"/>
  <c r="M328" i="121"/>
  <c r="D329" i="121"/>
  <c r="E329" i="121"/>
  <c r="F329" i="121"/>
  <c r="G329" i="121"/>
  <c r="H329" i="121"/>
  <c r="I329" i="121"/>
  <c r="J329" i="121"/>
  <c r="K329" i="121"/>
  <c r="L329" i="121"/>
  <c r="M329" i="121"/>
  <c r="D330" i="121"/>
  <c r="E330" i="121"/>
  <c r="F330" i="121"/>
  <c r="G330" i="121"/>
  <c r="H330" i="121"/>
  <c r="I330" i="121"/>
  <c r="J330" i="121"/>
  <c r="K330" i="121"/>
  <c r="L330" i="121"/>
  <c r="M330" i="121"/>
  <c r="D331" i="121"/>
  <c r="E331" i="121"/>
  <c r="F331" i="121"/>
  <c r="G331" i="121"/>
  <c r="H331" i="121"/>
  <c r="I331" i="121"/>
  <c r="J331" i="121"/>
  <c r="K331" i="121"/>
  <c r="L331" i="121"/>
  <c r="M331" i="121"/>
  <c r="D332" i="121"/>
  <c r="E332" i="121"/>
  <c r="F332" i="121"/>
  <c r="G332" i="121"/>
  <c r="H332" i="121"/>
  <c r="I332" i="121"/>
  <c r="J332" i="121"/>
  <c r="K332" i="121"/>
  <c r="L332" i="121"/>
  <c r="M332" i="121"/>
  <c r="D333" i="121"/>
  <c r="E333" i="121"/>
  <c r="F333" i="121"/>
  <c r="G333" i="121"/>
  <c r="H333" i="121"/>
  <c r="I333" i="121"/>
  <c r="J333" i="121"/>
  <c r="K333" i="121"/>
  <c r="L333" i="121"/>
  <c r="M333" i="121"/>
  <c r="D334" i="121"/>
  <c r="E334" i="121"/>
  <c r="F334" i="121"/>
  <c r="G334" i="121"/>
  <c r="H334" i="121"/>
  <c r="I334" i="121"/>
  <c r="J334" i="121"/>
  <c r="K334" i="121"/>
  <c r="L334" i="121"/>
  <c r="M334" i="121"/>
  <c r="D335" i="121"/>
  <c r="E335" i="121"/>
  <c r="F335" i="121"/>
  <c r="G335" i="121"/>
  <c r="H335" i="121"/>
  <c r="I335" i="121"/>
  <c r="J335" i="121"/>
  <c r="K335" i="121"/>
  <c r="L335" i="121"/>
  <c r="M335" i="121"/>
  <c r="D336" i="121"/>
  <c r="E336" i="121"/>
  <c r="F336" i="121"/>
  <c r="G336" i="121"/>
  <c r="H336" i="121"/>
  <c r="I336" i="121"/>
  <c r="J336" i="121"/>
  <c r="K336" i="121"/>
  <c r="L336" i="121"/>
  <c r="M336" i="121"/>
  <c r="D337" i="121"/>
  <c r="E337" i="121"/>
  <c r="F337" i="121"/>
  <c r="G337" i="121"/>
  <c r="H337" i="121"/>
  <c r="I337" i="121"/>
  <c r="J337" i="121"/>
  <c r="K337" i="121"/>
  <c r="L337" i="121"/>
  <c r="M337" i="121"/>
  <c r="D338" i="121"/>
  <c r="E338" i="121"/>
  <c r="F338" i="121"/>
  <c r="G338" i="121"/>
  <c r="H338" i="121"/>
  <c r="I338" i="121"/>
  <c r="J338" i="121"/>
  <c r="K338" i="121"/>
  <c r="L338" i="121"/>
  <c r="M338" i="121"/>
  <c r="D339" i="121"/>
  <c r="E339" i="121"/>
  <c r="F339" i="121"/>
  <c r="G339" i="121"/>
  <c r="H339" i="121"/>
  <c r="I339" i="121"/>
  <c r="J339" i="121"/>
  <c r="K339" i="121"/>
  <c r="L339" i="121"/>
  <c r="M339" i="121"/>
  <c r="D340" i="121"/>
  <c r="E340" i="121"/>
  <c r="F340" i="121"/>
  <c r="G340" i="121"/>
  <c r="H340" i="121"/>
  <c r="I340" i="121"/>
  <c r="J340" i="121"/>
  <c r="K340" i="121"/>
  <c r="L340" i="121"/>
  <c r="M340" i="121"/>
  <c r="D341" i="121"/>
  <c r="E341" i="121"/>
  <c r="F341" i="121"/>
  <c r="G341" i="121"/>
  <c r="H341" i="121"/>
  <c r="I341" i="121"/>
  <c r="J341" i="121"/>
  <c r="K341" i="121"/>
  <c r="L341" i="121"/>
  <c r="M341" i="121"/>
  <c r="D342" i="121"/>
  <c r="E342" i="121"/>
  <c r="F342" i="121"/>
  <c r="G342" i="121"/>
  <c r="H342" i="121"/>
  <c r="I342" i="121"/>
  <c r="J342" i="121"/>
  <c r="K342" i="121"/>
  <c r="L342" i="121"/>
  <c r="M342" i="121"/>
  <c r="D343" i="121"/>
  <c r="E343" i="121"/>
  <c r="F343" i="121"/>
  <c r="G343" i="121"/>
  <c r="H343" i="121"/>
  <c r="I343" i="121"/>
  <c r="J343" i="121"/>
  <c r="K343" i="121"/>
  <c r="L343" i="121"/>
  <c r="M343" i="121"/>
  <c r="D344" i="121"/>
  <c r="E344" i="121"/>
  <c r="F344" i="121"/>
  <c r="G344" i="121"/>
  <c r="H344" i="121"/>
  <c r="I344" i="121"/>
  <c r="J344" i="121"/>
  <c r="K344" i="121"/>
  <c r="L344" i="121"/>
  <c r="M344" i="121"/>
  <c r="D345" i="121"/>
  <c r="E345" i="121"/>
  <c r="F345" i="121"/>
  <c r="G345" i="121"/>
  <c r="H345" i="121"/>
  <c r="I345" i="121"/>
  <c r="J345" i="121"/>
  <c r="K345" i="121"/>
  <c r="L345" i="121"/>
  <c r="M345" i="121"/>
  <c r="D346" i="121"/>
  <c r="E346" i="121"/>
  <c r="F346" i="121"/>
  <c r="G346" i="121"/>
  <c r="H346" i="121"/>
  <c r="I346" i="121"/>
  <c r="J346" i="121"/>
  <c r="K346" i="121"/>
  <c r="L346" i="121"/>
  <c r="M346" i="121"/>
  <c r="D347" i="121"/>
  <c r="E347" i="121"/>
  <c r="F347" i="121"/>
  <c r="G347" i="121"/>
  <c r="H347" i="121"/>
  <c r="I347" i="121"/>
  <c r="J347" i="121"/>
  <c r="K347" i="121"/>
  <c r="L347" i="121"/>
  <c r="M347" i="121"/>
  <c r="D348" i="121"/>
  <c r="E348" i="121"/>
  <c r="F348" i="121"/>
  <c r="G348" i="121"/>
  <c r="H348" i="121"/>
  <c r="I348" i="121"/>
  <c r="J348" i="121"/>
  <c r="K348" i="121"/>
  <c r="L348" i="121"/>
  <c r="M348" i="121"/>
  <c r="D349" i="121"/>
  <c r="E349" i="121"/>
  <c r="F349" i="121"/>
  <c r="G349" i="121"/>
  <c r="H349" i="121"/>
  <c r="I349" i="121"/>
  <c r="J349" i="121"/>
  <c r="K349" i="121"/>
  <c r="L349" i="121"/>
  <c r="M349" i="121"/>
  <c r="D350" i="121"/>
  <c r="E350" i="121"/>
  <c r="F350" i="121"/>
  <c r="G350" i="121"/>
  <c r="H350" i="121"/>
  <c r="I350" i="121"/>
  <c r="J350" i="121"/>
  <c r="K350" i="121"/>
  <c r="L350" i="121"/>
  <c r="M350" i="121"/>
  <c r="D351" i="121"/>
  <c r="E351" i="121"/>
  <c r="F351" i="121"/>
  <c r="G351" i="121"/>
  <c r="H351" i="121"/>
  <c r="I351" i="121"/>
  <c r="J351" i="121"/>
  <c r="K351" i="121"/>
  <c r="L351" i="121"/>
  <c r="M351" i="121"/>
  <c r="D352" i="121"/>
  <c r="E352" i="121"/>
  <c r="F352" i="121"/>
  <c r="G352" i="121"/>
  <c r="H352" i="121"/>
  <c r="I352" i="121"/>
  <c r="J352" i="121"/>
  <c r="K352" i="121"/>
  <c r="L352" i="121"/>
  <c r="M352" i="121"/>
  <c r="D353" i="121"/>
  <c r="E353" i="121"/>
  <c r="F353" i="121"/>
  <c r="G353" i="121"/>
  <c r="H353" i="121"/>
  <c r="I353" i="121"/>
  <c r="J353" i="121"/>
  <c r="K353" i="121"/>
  <c r="L353" i="121"/>
  <c r="M353" i="121"/>
  <c r="D354" i="121"/>
  <c r="E354" i="121"/>
  <c r="F354" i="121"/>
  <c r="G354" i="121"/>
  <c r="H354" i="121"/>
  <c r="I354" i="121"/>
  <c r="J354" i="121"/>
  <c r="K354" i="121"/>
  <c r="L354" i="121"/>
  <c r="M354" i="121"/>
  <c r="D355" i="121"/>
  <c r="E355" i="121"/>
  <c r="F355" i="121"/>
  <c r="G355" i="121"/>
  <c r="H355" i="121"/>
  <c r="I355" i="121"/>
  <c r="J355" i="121"/>
  <c r="K355" i="121"/>
  <c r="L355" i="121"/>
  <c r="M355" i="121"/>
  <c r="D356" i="121"/>
  <c r="E356" i="121"/>
  <c r="F356" i="121"/>
  <c r="G356" i="121"/>
  <c r="H356" i="121"/>
  <c r="I356" i="121"/>
  <c r="J356" i="121"/>
  <c r="K356" i="121"/>
  <c r="L356" i="121"/>
  <c r="M356" i="121"/>
  <c r="D357" i="121"/>
  <c r="E357" i="121"/>
  <c r="F357" i="121"/>
  <c r="G357" i="121"/>
  <c r="H357" i="121"/>
  <c r="I357" i="121"/>
  <c r="J357" i="121"/>
  <c r="K357" i="121"/>
  <c r="L357" i="121"/>
  <c r="M357" i="121"/>
  <c r="D358" i="121"/>
  <c r="E358" i="121"/>
  <c r="F358" i="121"/>
  <c r="G358" i="121"/>
  <c r="H358" i="121"/>
  <c r="I358" i="121"/>
  <c r="J358" i="121"/>
  <c r="K358" i="121"/>
  <c r="L358" i="121"/>
  <c r="M358" i="121"/>
  <c r="D359" i="121"/>
  <c r="E359" i="121"/>
  <c r="F359" i="121"/>
  <c r="G359" i="121"/>
  <c r="H359" i="121"/>
  <c r="I359" i="121"/>
  <c r="J359" i="121"/>
  <c r="K359" i="121"/>
  <c r="L359" i="121"/>
  <c r="M359" i="121"/>
  <c r="D360" i="121"/>
  <c r="E360" i="121"/>
  <c r="F360" i="121"/>
  <c r="G360" i="121"/>
  <c r="H360" i="121"/>
  <c r="I360" i="121"/>
  <c r="J360" i="121"/>
  <c r="K360" i="121"/>
  <c r="L360" i="121"/>
  <c r="M360" i="121"/>
  <c r="D361" i="121"/>
  <c r="E361" i="121"/>
  <c r="F361" i="121"/>
  <c r="G361" i="121"/>
  <c r="H361" i="121"/>
  <c r="I361" i="121"/>
  <c r="J361" i="121"/>
  <c r="K361" i="121"/>
  <c r="L361" i="121"/>
  <c r="M361" i="121"/>
  <c r="D362" i="121"/>
  <c r="E362" i="121"/>
  <c r="F362" i="121"/>
  <c r="G362" i="121"/>
  <c r="H362" i="121"/>
  <c r="I362" i="121"/>
  <c r="J362" i="121"/>
  <c r="K362" i="121"/>
  <c r="L362" i="121"/>
  <c r="M362" i="121"/>
  <c r="D363" i="121"/>
  <c r="E363" i="121"/>
  <c r="F363" i="121"/>
  <c r="G363" i="121"/>
  <c r="H363" i="121"/>
  <c r="I363" i="121"/>
  <c r="J363" i="121"/>
  <c r="K363" i="121"/>
  <c r="L363" i="121"/>
  <c r="M363" i="121"/>
  <c r="D364" i="121"/>
  <c r="E364" i="121"/>
  <c r="F364" i="121"/>
  <c r="G364" i="121"/>
  <c r="H364" i="121"/>
  <c r="I364" i="121"/>
  <c r="J364" i="121"/>
  <c r="K364" i="121"/>
  <c r="L364" i="121"/>
  <c r="M364" i="121"/>
  <c r="D365" i="121"/>
  <c r="E365" i="121"/>
  <c r="F365" i="121"/>
  <c r="G365" i="121"/>
  <c r="H365" i="121"/>
  <c r="I365" i="121"/>
  <c r="J365" i="121"/>
  <c r="K365" i="121"/>
  <c r="L365" i="121"/>
  <c r="M365" i="121"/>
  <c r="D366" i="121"/>
  <c r="E366" i="121"/>
  <c r="F366" i="121"/>
  <c r="G366" i="121"/>
  <c r="H366" i="121"/>
  <c r="I366" i="121"/>
  <c r="J366" i="121"/>
  <c r="K366" i="121"/>
  <c r="L366" i="121"/>
  <c r="M366" i="121"/>
  <c r="D367" i="121"/>
  <c r="E367" i="121"/>
  <c r="F367" i="121"/>
  <c r="G367" i="121"/>
  <c r="H367" i="121"/>
  <c r="I367" i="121"/>
  <c r="J367" i="121"/>
  <c r="K367" i="121"/>
  <c r="L367" i="121"/>
  <c r="M367" i="121"/>
  <c r="D368" i="121"/>
  <c r="E368" i="121"/>
  <c r="F368" i="121"/>
  <c r="G368" i="121"/>
  <c r="H368" i="121"/>
  <c r="I368" i="121"/>
  <c r="J368" i="121"/>
  <c r="K368" i="121"/>
  <c r="L368" i="121"/>
  <c r="M368" i="121"/>
  <c r="D369" i="121"/>
  <c r="E369" i="121"/>
  <c r="F369" i="121"/>
  <c r="G369" i="121"/>
  <c r="H369" i="121"/>
  <c r="I369" i="121"/>
  <c r="J369" i="121"/>
  <c r="K369" i="121"/>
  <c r="L369" i="121"/>
  <c r="M369" i="121"/>
  <c r="D370" i="121"/>
  <c r="E370" i="121"/>
  <c r="F370" i="121"/>
  <c r="G370" i="121"/>
  <c r="H370" i="121"/>
  <c r="I370" i="121"/>
  <c r="J370" i="121"/>
  <c r="K370" i="121"/>
  <c r="L370" i="121"/>
  <c r="M370" i="121"/>
  <c r="D371" i="121"/>
  <c r="E371" i="121"/>
  <c r="F371" i="121"/>
  <c r="G371" i="121"/>
  <c r="H371" i="121"/>
  <c r="I371" i="121"/>
  <c r="J371" i="121"/>
  <c r="K371" i="121"/>
  <c r="L371" i="121"/>
  <c r="M371" i="121"/>
  <c r="D372" i="121"/>
  <c r="E372" i="121"/>
  <c r="F372" i="121"/>
  <c r="G372" i="121"/>
  <c r="H372" i="121"/>
  <c r="I372" i="121"/>
  <c r="J372" i="121"/>
  <c r="K372" i="121"/>
  <c r="L372" i="121"/>
  <c r="M372" i="121"/>
  <c r="D373" i="121"/>
  <c r="E373" i="121"/>
  <c r="F373" i="121"/>
  <c r="G373" i="121"/>
  <c r="H373" i="121"/>
  <c r="I373" i="121"/>
  <c r="J373" i="121"/>
  <c r="K373" i="121"/>
  <c r="L373" i="121"/>
  <c r="M373" i="121"/>
  <c r="D374" i="121"/>
  <c r="E374" i="121"/>
  <c r="F374" i="121"/>
  <c r="G374" i="121"/>
  <c r="H374" i="121"/>
  <c r="I374" i="121"/>
  <c r="J374" i="121"/>
  <c r="K374" i="121"/>
  <c r="L374" i="121"/>
  <c r="M374" i="121"/>
  <c r="D375" i="121"/>
  <c r="E375" i="121"/>
  <c r="F375" i="121"/>
  <c r="G375" i="121"/>
  <c r="H375" i="121"/>
  <c r="I375" i="121"/>
  <c r="J375" i="121"/>
  <c r="K375" i="121"/>
  <c r="L375" i="121"/>
  <c r="M375" i="121"/>
  <c r="D376" i="121"/>
  <c r="E376" i="121"/>
  <c r="F376" i="121"/>
  <c r="G376" i="121"/>
  <c r="H376" i="121"/>
  <c r="I376" i="121"/>
  <c r="J376" i="121"/>
  <c r="K376" i="121"/>
  <c r="L376" i="121"/>
  <c r="M376" i="121"/>
  <c r="D377" i="121"/>
  <c r="E377" i="121"/>
  <c r="F377" i="121"/>
  <c r="G377" i="121"/>
  <c r="H377" i="121"/>
  <c r="I377" i="121"/>
  <c r="J377" i="121"/>
  <c r="K377" i="121"/>
  <c r="L377" i="121"/>
  <c r="M377" i="121"/>
  <c r="D378" i="121"/>
  <c r="E378" i="121"/>
  <c r="F378" i="121"/>
  <c r="G378" i="121"/>
  <c r="H378" i="121"/>
  <c r="I378" i="121"/>
  <c r="J378" i="121"/>
  <c r="K378" i="121"/>
  <c r="L378" i="121"/>
  <c r="M378" i="121"/>
  <c r="D379" i="121"/>
  <c r="E379" i="121"/>
  <c r="F379" i="121"/>
  <c r="G379" i="121"/>
  <c r="H379" i="121"/>
  <c r="I379" i="121"/>
  <c r="J379" i="121"/>
  <c r="K379" i="121"/>
  <c r="L379" i="121"/>
  <c r="M379" i="121"/>
  <c r="D380" i="121"/>
  <c r="E380" i="121"/>
  <c r="F380" i="121"/>
  <c r="G380" i="121"/>
  <c r="H380" i="121"/>
  <c r="I380" i="121"/>
  <c r="J380" i="121"/>
  <c r="K380" i="121"/>
  <c r="L380" i="121"/>
  <c r="M380" i="121"/>
  <c r="D381" i="121"/>
  <c r="E381" i="121"/>
  <c r="F381" i="121"/>
  <c r="G381" i="121"/>
  <c r="H381" i="121"/>
  <c r="I381" i="121"/>
  <c r="J381" i="121"/>
  <c r="K381" i="121"/>
  <c r="L381" i="121"/>
  <c r="M381" i="121"/>
  <c r="D382" i="121"/>
  <c r="E382" i="121"/>
  <c r="F382" i="121"/>
  <c r="G382" i="121"/>
  <c r="H382" i="121"/>
  <c r="I382" i="121"/>
  <c r="J382" i="121"/>
  <c r="K382" i="121"/>
  <c r="L382" i="121"/>
  <c r="M382" i="121"/>
  <c r="D383" i="121"/>
  <c r="E383" i="121"/>
  <c r="F383" i="121"/>
  <c r="G383" i="121"/>
  <c r="H383" i="121"/>
  <c r="I383" i="121"/>
  <c r="J383" i="121"/>
  <c r="K383" i="121"/>
  <c r="L383" i="121"/>
  <c r="M383" i="121"/>
  <c r="D384" i="121"/>
  <c r="E384" i="121"/>
  <c r="F384" i="121"/>
  <c r="G384" i="121"/>
  <c r="H384" i="121"/>
  <c r="I384" i="121"/>
  <c r="J384" i="121"/>
  <c r="K384" i="121"/>
  <c r="L384" i="121"/>
  <c r="M384" i="121"/>
  <c r="D385" i="121"/>
  <c r="E385" i="121"/>
  <c r="F385" i="121"/>
  <c r="G385" i="121"/>
  <c r="H385" i="121"/>
  <c r="I385" i="121"/>
  <c r="J385" i="121"/>
  <c r="K385" i="121"/>
  <c r="L385" i="121"/>
  <c r="M385" i="121"/>
  <c r="D386" i="121"/>
  <c r="E386" i="121"/>
  <c r="F386" i="121"/>
  <c r="G386" i="121"/>
  <c r="H386" i="121"/>
  <c r="I386" i="121"/>
  <c r="J386" i="121"/>
  <c r="K386" i="121"/>
  <c r="L386" i="121"/>
  <c r="M386" i="121"/>
  <c r="D387" i="121"/>
  <c r="E387" i="121"/>
  <c r="F387" i="121"/>
  <c r="G387" i="121"/>
  <c r="H387" i="121"/>
  <c r="I387" i="121"/>
  <c r="J387" i="121"/>
  <c r="K387" i="121"/>
  <c r="L387" i="121"/>
  <c r="M387" i="121"/>
  <c r="D388" i="121"/>
  <c r="E388" i="121"/>
  <c r="F388" i="121"/>
  <c r="G388" i="121"/>
  <c r="H388" i="121"/>
  <c r="I388" i="121"/>
  <c r="J388" i="121"/>
  <c r="K388" i="121"/>
  <c r="L388" i="121"/>
  <c r="M388" i="121"/>
  <c r="D389" i="121"/>
  <c r="E389" i="121"/>
  <c r="F389" i="121"/>
  <c r="G389" i="121"/>
  <c r="H389" i="121"/>
  <c r="I389" i="121"/>
  <c r="J389" i="121"/>
  <c r="K389" i="121"/>
  <c r="L389" i="121"/>
  <c r="M389" i="121"/>
  <c r="D390" i="121"/>
  <c r="E390" i="121"/>
  <c r="F390" i="121"/>
  <c r="G390" i="121"/>
  <c r="H390" i="121"/>
  <c r="I390" i="121"/>
  <c r="J390" i="121"/>
  <c r="K390" i="121"/>
  <c r="L390" i="121"/>
  <c r="M390" i="121"/>
  <c r="D391" i="121"/>
  <c r="E391" i="121"/>
  <c r="F391" i="121"/>
  <c r="G391" i="121"/>
  <c r="H391" i="121"/>
  <c r="I391" i="121"/>
  <c r="J391" i="121"/>
  <c r="K391" i="121"/>
  <c r="L391" i="121"/>
  <c r="M391" i="121"/>
  <c r="D392" i="121"/>
  <c r="E392" i="121"/>
  <c r="F392" i="121"/>
  <c r="G392" i="121"/>
  <c r="H392" i="121"/>
  <c r="I392" i="121"/>
  <c r="J392" i="121"/>
  <c r="K392" i="121"/>
  <c r="L392" i="121"/>
  <c r="M392" i="121"/>
  <c r="D393" i="121"/>
  <c r="E393" i="121"/>
  <c r="F393" i="121"/>
  <c r="G393" i="121"/>
  <c r="H393" i="121"/>
  <c r="I393" i="121"/>
  <c r="J393" i="121"/>
  <c r="K393" i="121"/>
  <c r="L393" i="121"/>
  <c r="M393" i="121"/>
  <c r="D394" i="121"/>
  <c r="E394" i="121"/>
  <c r="F394" i="121"/>
  <c r="G394" i="121"/>
  <c r="H394" i="121"/>
  <c r="I394" i="121"/>
  <c r="J394" i="121"/>
  <c r="K394" i="121"/>
  <c r="L394" i="121"/>
  <c r="M394" i="121"/>
  <c r="D395" i="121"/>
  <c r="E395" i="121"/>
  <c r="F395" i="121"/>
  <c r="G395" i="121"/>
  <c r="H395" i="121"/>
  <c r="I395" i="121"/>
  <c r="J395" i="121"/>
  <c r="K395" i="121"/>
  <c r="L395" i="121"/>
  <c r="M395" i="121"/>
  <c r="D396" i="121"/>
  <c r="E396" i="121"/>
  <c r="F396" i="121"/>
  <c r="G396" i="121"/>
  <c r="H396" i="121"/>
  <c r="I396" i="121"/>
  <c r="J396" i="121"/>
  <c r="K396" i="121"/>
  <c r="L396" i="121"/>
  <c r="M396" i="121"/>
  <c r="D397" i="121"/>
  <c r="E397" i="121"/>
  <c r="F397" i="121"/>
  <c r="G397" i="121"/>
  <c r="H397" i="121"/>
  <c r="I397" i="121"/>
  <c r="J397" i="121"/>
  <c r="K397" i="121"/>
  <c r="L397" i="121"/>
  <c r="M397" i="121"/>
  <c r="D398" i="121"/>
  <c r="E398" i="121"/>
  <c r="F398" i="121"/>
  <c r="G398" i="121"/>
  <c r="H398" i="121"/>
  <c r="I398" i="121"/>
  <c r="J398" i="121"/>
  <c r="K398" i="121"/>
  <c r="L398" i="121"/>
  <c r="M398" i="121"/>
  <c r="D399" i="121"/>
  <c r="E399" i="121"/>
  <c r="F399" i="121"/>
  <c r="G399" i="121"/>
  <c r="H399" i="121"/>
  <c r="I399" i="121"/>
  <c r="J399" i="121"/>
  <c r="K399" i="121"/>
  <c r="L399" i="121"/>
  <c r="M399" i="121"/>
  <c r="D400" i="121"/>
  <c r="E400" i="121"/>
  <c r="F400" i="121"/>
  <c r="G400" i="121"/>
  <c r="H400" i="121"/>
  <c r="I400" i="121"/>
  <c r="J400" i="121"/>
  <c r="K400" i="121"/>
  <c r="L400" i="121"/>
  <c r="M400" i="121"/>
  <c r="D401" i="121"/>
  <c r="E401" i="121"/>
  <c r="F401" i="121"/>
  <c r="G401" i="121"/>
  <c r="H401" i="121"/>
  <c r="I401" i="121"/>
  <c r="J401" i="121"/>
  <c r="K401" i="121"/>
  <c r="L401" i="121"/>
  <c r="M401" i="121"/>
  <c r="D402" i="121"/>
  <c r="E402" i="121"/>
  <c r="F402" i="121"/>
  <c r="G402" i="121"/>
  <c r="H402" i="121"/>
  <c r="I402" i="121"/>
  <c r="J402" i="121"/>
  <c r="K402" i="121"/>
  <c r="L402" i="121"/>
  <c r="M402" i="121"/>
  <c r="D403" i="121"/>
  <c r="E403" i="121"/>
  <c r="F403" i="121"/>
  <c r="G403" i="121"/>
  <c r="H403" i="121"/>
  <c r="I403" i="121"/>
  <c r="J403" i="121"/>
  <c r="K403" i="121"/>
  <c r="L403" i="121"/>
  <c r="M403" i="121"/>
  <c r="D404" i="121"/>
  <c r="E404" i="121"/>
  <c r="F404" i="121"/>
  <c r="G404" i="121"/>
  <c r="H404" i="121"/>
  <c r="I404" i="121"/>
  <c r="J404" i="121"/>
  <c r="K404" i="121"/>
  <c r="L404" i="121"/>
  <c r="M404" i="121"/>
  <c r="D405" i="121"/>
  <c r="E405" i="121"/>
  <c r="F405" i="121"/>
  <c r="G405" i="121"/>
  <c r="H405" i="121"/>
  <c r="I405" i="121"/>
  <c r="J405" i="121"/>
  <c r="K405" i="121"/>
  <c r="L405" i="121"/>
  <c r="M405" i="121"/>
  <c r="D406" i="121"/>
  <c r="E406" i="121"/>
  <c r="F406" i="121"/>
  <c r="G406" i="121"/>
  <c r="H406" i="121"/>
  <c r="I406" i="121"/>
  <c r="J406" i="121"/>
  <c r="K406" i="121"/>
  <c r="L406" i="121"/>
  <c r="M406" i="121"/>
  <c r="D407" i="121"/>
  <c r="E407" i="121"/>
  <c r="F407" i="121"/>
  <c r="G407" i="121"/>
  <c r="H407" i="121"/>
  <c r="I407" i="121"/>
  <c r="J407" i="121"/>
  <c r="K407" i="121"/>
  <c r="L407" i="121"/>
  <c r="M407" i="121"/>
  <c r="D408" i="121"/>
  <c r="E408" i="121"/>
  <c r="F408" i="121"/>
  <c r="G408" i="121"/>
  <c r="H408" i="121"/>
  <c r="I408" i="121"/>
  <c r="J408" i="121"/>
  <c r="K408" i="121"/>
  <c r="L408" i="121"/>
  <c r="M408" i="121"/>
  <c r="D409" i="121"/>
  <c r="E409" i="121"/>
  <c r="F409" i="121"/>
  <c r="G409" i="121"/>
  <c r="H409" i="121"/>
  <c r="I409" i="121"/>
  <c r="J409" i="121"/>
  <c r="K409" i="121"/>
  <c r="L409" i="121"/>
  <c r="M409" i="121"/>
  <c r="D410" i="121"/>
  <c r="E410" i="121"/>
  <c r="F410" i="121"/>
  <c r="G410" i="121"/>
  <c r="H410" i="121"/>
  <c r="I410" i="121"/>
  <c r="J410" i="121"/>
  <c r="K410" i="121"/>
  <c r="L410" i="121"/>
  <c r="M410" i="121"/>
  <c r="D411" i="121"/>
  <c r="E411" i="121"/>
  <c r="F411" i="121"/>
  <c r="G411" i="121"/>
  <c r="H411" i="121"/>
  <c r="I411" i="121"/>
  <c r="J411" i="121"/>
  <c r="K411" i="121"/>
  <c r="L411" i="121"/>
  <c r="M411" i="121"/>
  <c r="D412" i="121"/>
  <c r="E412" i="121"/>
  <c r="F412" i="121"/>
  <c r="G412" i="121"/>
  <c r="H412" i="121"/>
  <c r="I412" i="121"/>
  <c r="J412" i="121"/>
  <c r="K412" i="121"/>
  <c r="L412" i="121"/>
  <c r="M412" i="121"/>
  <c r="D413" i="121"/>
  <c r="E413" i="121"/>
  <c r="F413" i="121"/>
  <c r="G413" i="121"/>
  <c r="H413" i="121"/>
  <c r="I413" i="121"/>
  <c r="J413" i="121"/>
  <c r="K413" i="121"/>
  <c r="L413" i="121"/>
  <c r="M413" i="121"/>
  <c r="D414" i="121"/>
  <c r="E414" i="121"/>
  <c r="F414" i="121"/>
  <c r="G414" i="121"/>
  <c r="H414" i="121"/>
  <c r="I414" i="121"/>
  <c r="J414" i="121"/>
  <c r="K414" i="121"/>
  <c r="L414" i="121"/>
  <c r="M414" i="121"/>
  <c r="D415" i="121"/>
  <c r="E415" i="121"/>
  <c r="F415" i="121"/>
  <c r="G415" i="121"/>
  <c r="H415" i="121"/>
  <c r="I415" i="121"/>
  <c r="J415" i="121"/>
  <c r="K415" i="121"/>
  <c r="L415" i="121"/>
  <c r="M415" i="121"/>
  <c r="D416" i="121"/>
  <c r="E416" i="121"/>
  <c r="F416" i="121"/>
  <c r="G416" i="121"/>
  <c r="H416" i="121"/>
  <c r="I416" i="121"/>
  <c r="J416" i="121"/>
  <c r="K416" i="121"/>
  <c r="L416" i="121"/>
  <c r="M416" i="121"/>
  <c r="D417" i="121"/>
  <c r="E417" i="121"/>
  <c r="F417" i="121"/>
  <c r="G417" i="121"/>
  <c r="H417" i="121"/>
  <c r="I417" i="121"/>
  <c r="J417" i="121"/>
  <c r="K417" i="121"/>
  <c r="L417" i="121"/>
  <c r="M417" i="121"/>
  <c r="D418" i="121"/>
  <c r="E418" i="121"/>
  <c r="F418" i="121"/>
  <c r="G418" i="121"/>
  <c r="H418" i="121"/>
  <c r="I418" i="121"/>
  <c r="J418" i="121"/>
  <c r="K418" i="121"/>
  <c r="L418" i="121"/>
  <c r="M418" i="121"/>
  <c r="D419" i="121"/>
  <c r="E419" i="121"/>
  <c r="F419" i="121"/>
  <c r="G419" i="121"/>
  <c r="H419" i="121"/>
  <c r="I419" i="121"/>
  <c r="J419" i="121"/>
  <c r="K419" i="121"/>
  <c r="L419" i="121"/>
  <c r="M419" i="121"/>
  <c r="D420" i="121"/>
  <c r="E420" i="121"/>
  <c r="F420" i="121"/>
  <c r="G420" i="121"/>
  <c r="H420" i="121"/>
  <c r="I420" i="121"/>
  <c r="J420" i="121"/>
  <c r="K420" i="121"/>
  <c r="L420" i="121"/>
  <c r="M420" i="121"/>
  <c r="D421" i="121"/>
  <c r="E421" i="121"/>
  <c r="F421" i="121"/>
  <c r="G421" i="121"/>
  <c r="H421" i="121"/>
  <c r="I421" i="121"/>
  <c r="J421" i="121"/>
  <c r="K421" i="121"/>
  <c r="L421" i="121"/>
  <c r="M421" i="121"/>
  <c r="D422" i="121"/>
  <c r="E422" i="121"/>
  <c r="F422" i="121"/>
  <c r="G422" i="121"/>
  <c r="H422" i="121"/>
  <c r="I422" i="121"/>
  <c r="J422" i="121"/>
  <c r="K422" i="121"/>
  <c r="L422" i="121"/>
  <c r="M422" i="121"/>
  <c r="D423" i="121"/>
  <c r="E423" i="121"/>
  <c r="F423" i="121"/>
  <c r="G423" i="121"/>
  <c r="H423" i="121"/>
  <c r="I423" i="121"/>
  <c r="J423" i="121"/>
  <c r="K423" i="121"/>
  <c r="L423" i="121"/>
  <c r="M423" i="121"/>
  <c r="D424" i="121"/>
  <c r="E424" i="121"/>
  <c r="F424" i="121"/>
  <c r="G424" i="121"/>
  <c r="H424" i="121"/>
  <c r="I424" i="121"/>
  <c r="J424" i="121"/>
  <c r="K424" i="121"/>
  <c r="L424" i="121"/>
  <c r="M424" i="121"/>
  <c r="D425" i="121"/>
  <c r="E425" i="121"/>
  <c r="F425" i="121"/>
  <c r="G425" i="121"/>
  <c r="H425" i="121"/>
  <c r="I425" i="121"/>
  <c r="J425" i="121"/>
  <c r="K425" i="121"/>
  <c r="L425" i="121"/>
  <c r="M425" i="121"/>
  <c r="D426" i="121"/>
  <c r="E426" i="121"/>
  <c r="F426" i="121"/>
  <c r="G426" i="121"/>
  <c r="H426" i="121"/>
  <c r="I426" i="121"/>
  <c r="J426" i="121"/>
  <c r="K426" i="121"/>
  <c r="L426" i="121"/>
  <c r="M426" i="121"/>
  <c r="D427" i="121"/>
  <c r="E427" i="121"/>
  <c r="F427" i="121"/>
  <c r="G427" i="121"/>
  <c r="H427" i="121"/>
  <c r="I427" i="121"/>
  <c r="J427" i="121"/>
  <c r="K427" i="121"/>
  <c r="L427" i="121"/>
  <c r="M427" i="121"/>
  <c r="D428" i="121"/>
  <c r="E428" i="121"/>
  <c r="F428" i="121"/>
  <c r="G428" i="121"/>
  <c r="H428" i="121"/>
  <c r="I428" i="121"/>
  <c r="J428" i="121"/>
  <c r="K428" i="121"/>
  <c r="L428" i="121"/>
  <c r="M428" i="121"/>
  <c r="D429" i="121"/>
  <c r="E429" i="121"/>
  <c r="F429" i="121"/>
  <c r="G429" i="121"/>
  <c r="H429" i="121"/>
  <c r="I429" i="121"/>
  <c r="J429" i="121"/>
  <c r="K429" i="121"/>
  <c r="L429" i="121"/>
  <c r="M429" i="121"/>
  <c r="D430" i="121"/>
  <c r="E430" i="121"/>
  <c r="F430" i="121"/>
  <c r="G430" i="121"/>
  <c r="H430" i="121"/>
  <c r="I430" i="121"/>
  <c r="J430" i="121"/>
  <c r="K430" i="121"/>
  <c r="L430" i="121"/>
  <c r="M430" i="121"/>
  <c r="D431" i="121"/>
  <c r="E431" i="121"/>
  <c r="F431" i="121"/>
  <c r="G431" i="121"/>
  <c r="H431" i="121"/>
  <c r="I431" i="121"/>
  <c r="J431" i="121"/>
  <c r="K431" i="121"/>
  <c r="L431" i="121"/>
  <c r="M431" i="121"/>
  <c r="D432" i="121"/>
  <c r="E432" i="121"/>
  <c r="F432" i="121"/>
  <c r="G432" i="121"/>
  <c r="H432" i="121"/>
  <c r="I432" i="121"/>
  <c r="J432" i="121"/>
  <c r="K432" i="121"/>
  <c r="L432" i="121"/>
  <c r="M432" i="121"/>
  <c r="D433" i="121"/>
  <c r="E433" i="121"/>
  <c r="F433" i="121"/>
  <c r="G433" i="121"/>
  <c r="H433" i="121"/>
  <c r="I433" i="121"/>
  <c r="J433" i="121"/>
  <c r="K433" i="121"/>
  <c r="L433" i="121"/>
  <c r="M433" i="121"/>
  <c r="D434" i="121"/>
  <c r="E434" i="121"/>
  <c r="F434" i="121"/>
  <c r="G434" i="121"/>
  <c r="H434" i="121"/>
  <c r="I434" i="121"/>
  <c r="J434" i="121"/>
  <c r="K434" i="121"/>
  <c r="L434" i="121"/>
  <c r="M434" i="121"/>
  <c r="D435" i="121"/>
  <c r="E435" i="121"/>
  <c r="F435" i="121"/>
  <c r="G435" i="121"/>
  <c r="H435" i="121"/>
  <c r="I435" i="121"/>
  <c r="J435" i="121"/>
  <c r="K435" i="121"/>
  <c r="L435" i="121"/>
  <c r="M435" i="121"/>
  <c r="D436" i="121"/>
  <c r="E436" i="121"/>
  <c r="F436" i="121"/>
  <c r="G436" i="121"/>
  <c r="H436" i="121"/>
  <c r="I436" i="121"/>
  <c r="J436" i="121"/>
  <c r="K436" i="121"/>
  <c r="L436" i="121"/>
  <c r="M436" i="121"/>
  <c r="D437" i="121"/>
  <c r="E437" i="121"/>
  <c r="F437" i="121"/>
  <c r="G437" i="121"/>
  <c r="H437" i="121"/>
  <c r="I437" i="121"/>
  <c r="J437" i="121"/>
  <c r="K437" i="121"/>
  <c r="L437" i="121"/>
  <c r="M437" i="121"/>
  <c r="D438" i="121"/>
  <c r="E438" i="121"/>
  <c r="F438" i="121"/>
  <c r="G438" i="121"/>
  <c r="H438" i="121"/>
  <c r="I438" i="121"/>
  <c r="J438" i="121"/>
  <c r="K438" i="121"/>
  <c r="L438" i="121"/>
  <c r="M438" i="121"/>
  <c r="D439" i="121"/>
  <c r="E439" i="121"/>
  <c r="F439" i="121"/>
  <c r="G439" i="121"/>
  <c r="H439" i="121"/>
  <c r="I439" i="121"/>
  <c r="J439" i="121"/>
  <c r="K439" i="121"/>
  <c r="L439" i="121"/>
  <c r="M439" i="121"/>
  <c r="D440" i="121"/>
  <c r="E440" i="121"/>
  <c r="F440" i="121"/>
  <c r="G440" i="121"/>
  <c r="H440" i="121"/>
  <c r="I440" i="121"/>
  <c r="J440" i="121"/>
  <c r="K440" i="121"/>
  <c r="L440" i="121"/>
  <c r="M440" i="121"/>
  <c r="D441" i="121"/>
  <c r="E441" i="121"/>
  <c r="F441" i="121"/>
  <c r="G441" i="121"/>
  <c r="H441" i="121"/>
  <c r="I441" i="121"/>
  <c r="J441" i="121"/>
  <c r="K441" i="121"/>
  <c r="L441" i="121"/>
  <c r="M441" i="121"/>
  <c r="D442" i="121"/>
  <c r="E442" i="121"/>
  <c r="F442" i="121"/>
  <c r="G442" i="121"/>
  <c r="H442" i="121"/>
  <c r="I442" i="121"/>
  <c r="J442" i="121"/>
  <c r="K442" i="121"/>
  <c r="L442" i="121"/>
  <c r="M442" i="121"/>
  <c r="D443" i="121"/>
  <c r="E443" i="121"/>
  <c r="F443" i="121"/>
  <c r="G443" i="121"/>
  <c r="H443" i="121"/>
  <c r="I443" i="121"/>
  <c r="J443" i="121"/>
  <c r="K443" i="121"/>
  <c r="L443" i="121"/>
  <c r="M443" i="121"/>
  <c r="D444" i="121"/>
  <c r="E444" i="121"/>
  <c r="F444" i="121"/>
  <c r="G444" i="121"/>
  <c r="H444" i="121"/>
  <c r="I444" i="121"/>
  <c r="J444" i="121"/>
  <c r="K444" i="121"/>
  <c r="L444" i="121"/>
  <c r="M444" i="121"/>
  <c r="D445" i="121"/>
  <c r="E445" i="121"/>
  <c r="F445" i="121"/>
  <c r="G445" i="121"/>
  <c r="H445" i="121"/>
  <c r="I445" i="121"/>
  <c r="J445" i="121"/>
  <c r="K445" i="121"/>
  <c r="L445" i="121"/>
  <c r="M445" i="121"/>
  <c r="D446" i="121"/>
  <c r="E446" i="121"/>
  <c r="F446" i="121"/>
  <c r="G446" i="121"/>
  <c r="H446" i="121"/>
  <c r="I446" i="121"/>
  <c r="J446" i="121"/>
  <c r="K446" i="121"/>
  <c r="L446" i="121"/>
  <c r="M446" i="121"/>
  <c r="D447" i="121"/>
  <c r="E447" i="121"/>
  <c r="F447" i="121"/>
  <c r="G447" i="121"/>
  <c r="H447" i="121"/>
  <c r="I447" i="121"/>
  <c r="J447" i="121"/>
  <c r="K447" i="121"/>
  <c r="L447" i="121"/>
  <c r="M447" i="121"/>
  <c r="D448" i="121"/>
  <c r="E448" i="121"/>
  <c r="F448" i="121"/>
  <c r="G448" i="121"/>
  <c r="H448" i="121"/>
  <c r="I448" i="121"/>
  <c r="J448" i="121"/>
  <c r="K448" i="121"/>
  <c r="L448" i="121"/>
  <c r="M448" i="121"/>
  <c r="D449" i="121"/>
  <c r="E449" i="121"/>
  <c r="F449" i="121"/>
  <c r="G449" i="121"/>
  <c r="H449" i="121"/>
  <c r="I449" i="121"/>
  <c r="J449" i="121"/>
  <c r="K449" i="121"/>
  <c r="L449" i="121"/>
  <c r="M449" i="121"/>
  <c r="D450" i="121"/>
  <c r="E450" i="121"/>
  <c r="F450" i="121"/>
  <c r="G450" i="121"/>
  <c r="H450" i="121"/>
  <c r="I450" i="121"/>
  <c r="J450" i="121"/>
  <c r="K450" i="121"/>
  <c r="L450" i="121"/>
  <c r="M450" i="121"/>
  <c r="D451" i="121"/>
  <c r="E451" i="121"/>
  <c r="F451" i="121"/>
  <c r="G451" i="121"/>
  <c r="H451" i="121"/>
  <c r="I451" i="121"/>
  <c r="J451" i="121"/>
  <c r="K451" i="121"/>
  <c r="L451" i="121"/>
  <c r="M451" i="121"/>
  <c r="D452" i="121"/>
  <c r="E452" i="121"/>
  <c r="F452" i="121"/>
  <c r="G452" i="121"/>
  <c r="H452" i="121"/>
  <c r="I452" i="121"/>
  <c r="J452" i="121"/>
  <c r="K452" i="121"/>
  <c r="L452" i="121"/>
  <c r="M452" i="121"/>
  <c r="D453" i="121"/>
  <c r="E453" i="121"/>
  <c r="F453" i="121"/>
  <c r="G453" i="121"/>
  <c r="H453" i="121"/>
  <c r="I453" i="121"/>
  <c r="J453" i="121"/>
  <c r="K453" i="121"/>
  <c r="L453" i="121"/>
  <c r="M453" i="121"/>
  <c r="D454" i="121"/>
  <c r="E454" i="121"/>
  <c r="F454" i="121"/>
  <c r="G454" i="121"/>
  <c r="H454" i="121"/>
  <c r="I454" i="121"/>
  <c r="J454" i="121"/>
  <c r="K454" i="121"/>
  <c r="L454" i="121"/>
  <c r="M454" i="121"/>
  <c r="D455" i="121"/>
  <c r="E455" i="121"/>
  <c r="F455" i="121"/>
  <c r="G455" i="121"/>
  <c r="H455" i="121"/>
  <c r="I455" i="121"/>
  <c r="J455" i="121"/>
  <c r="K455" i="121"/>
  <c r="L455" i="121"/>
  <c r="M455" i="121"/>
  <c r="D456" i="121"/>
  <c r="E456" i="121"/>
  <c r="F456" i="121"/>
  <c r="G456" i="121"/>
  <c r="H456" i="121"/>
  <c r="I456" i="121"/>
  <c r="J456" i="121"/>
  <c r="K456" i="121"/>
  <c r="L456" i="121"/>
  <c r="M456" i="121"/>
  <c r="D457" i="121"/>
  <c r="E457" i="121"/>
  <c r="F457" i="121"/>
  <c r="G457" i="121"/>
  <c r="H457" i="121"/>
  <c r="I457" i="121"/>
  <c r="J457" i="121"/>
  <c r="K457" i="121"/>
  <c r="L457" i="121"/>
  <c r="M457" i="121"/>
  <c r="D458" i="121"/>
  <c r="E458" i="121"/>
  <c r="F458" i="121"/>
  <c r="G458" i="121"/>
  <c r="H458" i="121"/>
  <c r="I458" i="121"/>
  <c r="J458" i="121"/>
  <c r="K458" i="121"/>
  <c r="L458" i="121"/>
  <c r="M458" i="121"/>
  <c r="D459" i="121"/>
  <c r="E459" i="121"/>
  <c r="F459" i="121"/>
  <c r="G459" i="121"/>
  <c r="H459" i="121"/>
  <c r="I459" i="121"/>
  <c r="J459" i="121"/>
  <c r="K459" i="121"/>
  <c r="L459" i="121"/>
  <c r="M459" i="121"/>
  <c r="D460" i="121"/>
  <c r="E460" i="121"/>
  <c r="F460" i="121"/>
  <c r="G460" i="121"/>
  <c r="H460" i="121"/>
  <c r="I460" i="121"/>
  <c r="J460" i="121"/>
  <c r="K460" i="121"/>
  <c r="L460" i="121"/>
  <c r="M460" i="121"/>
  <c r="D461" i="121"/>
  <c r="E461" i="121"/>
  <c r="F461" i="121"/>
  <c r="G461" i="121"/>
  <c r="H461" i="121"/>
  <c r="I461" i="121"/>
  <c r="J461" i="121"/>
  <c r="K461" i="121"/>
  <c r="L461" i="121"/>
  <c r="M461" i="121"/>
  <c r="D462" i="121"/>
  <c r="E462" i="121"/>
  <c r="F462" i="121"/>
  <c r="G462" i="121"/>
  <c r="H462" i="121"/>
  <c r="I462" i="121"/>
  <c r="J462" i="121"/>
  <c r="K462" i="121"/>
  <c r="L462" i="121"/>
  <c r="M462" i="121"/>
  <c r="D463" i="121"/>
  <c r="E463" i="121"/>
  <c r="F463" i="121"/>
  <c r="G463" i="121"/>
  <c r="H463" i="121"/>
  <c r="I463" i="121"/>
  <c r="J463" i="121"/>
  <c r="K463" i="121"/>
  <c r="L463" i="121"/>
  <c r="M463" i="121"/>
  <c r="D464" i="121"/>
  <c r="E464" i="121"/>
  <c r="F464" i="121"/>
  <c r="G464" i="121"/>
  <c r="H464" i="121"/>
  <c r="I464" i="121"/>
  <c r="J464" i="121"/>
  <c r="K464" i="121"/>
  <c r="L464" i="121"/>
  <c r="M464" i="121"/>
  <c r="D465" i="121"/>
  <c r="E465" i="121"/>
  <c r="F465" i="121"/>
  <c r="G465" i="121"/>
  <c r="H465" i="121"/>
  <c r="I465" i="121"/>
  <c r="J465" i="121"/>
  <c r="K465" i="121"/>
  <c r="L465" i="121"/>
  <c r="M465" i="121"/>
  <c r="D466" i="121"/>
  <c r="E466" i="121"/>
  <c r="F466" i="121"/>
  <c r="G466" i="121"/>
  <c r="H466" i="121"/>
  <c r="I466" i="121"/>
  <c r="J466" i="121"/>
  <c r="K466" i="121"/>
  <c r="L466" i="121"/>
  <c r="M466" i="121"/>
  <c r="D467" i="121"/>
  <c r="E467" i="121"/>
  <c r="F467" i="121"/>
  <c r="G467" i="121"/>
  <c r="H467" i="121"/>
  <c r="I467" i="121"/>
  <c r="J467" i="121"/>
  <c r="K467" i="121"/>
  <c r="L467" i="121"/>
  <c r="M467" i="121"/>
  <c r="D468" i="121"/>
  <c r="E468" i="121"/>
  <c r="F468" i="121"/>
  <c r="G468" i="121"/>
  <c r="H468" i="121"/>
  <c r="I468" i="121"/>
  <c r="J468" i="121"/>
  <c r="K468" i="121"/>
  <c r="L468" i="121"/>
  <c r="M468" i="121"/>
  <c r="D469" i="121"/>
  <c r="E469" i="121"/>
  <c r="F469" i="121"/>
  <c r="G469" i="121"/>
  <c r="H469" i="121"/>
  <c r="I469" i="121"/>
  <c r="J469" i="121"/>
  <c r="K469" i="121"/>
  <c r="L469" i="121"/>
  <c r="M469" i="121"/>
  <c r="D470" i="121"/>
  <c r="E470" i="121"/>
  <c r="F470" i="121"/>
  <c r="G470" i="121"/>
  <c r="H470" i="121"/>
  <c r="I470" i="121"/>
  <c r="J470" i="121"/>
  <c r="K470" i="121"/>
  <c r="L470" i="121"/>
  <c r="M470" i="121"/>
  <c r="D471" i="121"/>
  <c r="E471" i="121"/>
  <c r="F471" i="121"/>
  <c r="G471" i="121"/>
  <c r="H471" i="121"/>
  <c r="I471" i="121"/>
  <c r="J471" i="121"/>
  <c r="K471" i="121"/>
  <c r="L471" i="121"/>
  <c r="M471" i="121"/>
  <c r="D472" i="121"/>
  <c r="E472" i="121"/>
  <c r="F472" i="121"/>
  <c r="G472" i="121"/>
  <c r="H472" i="121"/>
  <c r="I472" i="121"/>
  <c r="J472" i="121"/>
  <c r="K472" i="121"/>
  <c r="L472" i="121"/>
  <c r="M472" i="121"/>
  <c r="D473" i="121"/>
  <c r="E473" i="121"/>
  <c r="F473" i="121"/>
  <c r="G473" i="121"/>
  <c r="H473" i="121"/>
  <c r="I473" i="121"/>
  <c r="J473" i="121"/>
  <c r="K473" i="121"/>
  <c r="L473" i="121"/>
  <c r="M473" i="121"/>
  <c r="D474" i="121"/>
  <c r="E474" i="121"/>
  <c r="F474" i="121"/>
  <c r="G474" i="121"/>
  <c r="H474" i="121"/>
  <c r="I474" i="121"/>
  <c r="J474" i="121"/>
  <c r="K474" i="121"/>
  <c r="L474" i="121"/>
  <c r="M474" i="121"/>
  <c r="D475" i="121"/>
  <c r="E475" i="121"/>
  <c r="F475" i="121"/>
  <c r="G475" i="121"/>
  <c r="H475" i="121"/>
  <c r="I475" i="121"/>
  <c r="J475" i="121"/>
  <c r="K475" i="121"/>
  <c r="L475" i="121"/>
  <c r="M475" i="121"/>
  <c r="D476" i="121"/>
  <c r="E476" i="121"/>
  <c r="F476" i="121"/>
  <c r="G476" i="121"/>
  <c r="H476" i="121"/>
  <c r="I476" i="121"/>
  <c r="J476" i="121"/>
  <c r="K476" i="121"/>
  <c r="L476" i="121"/>
  <c r="M476" i="121"/>
  <c r="D477" i="121"/>
  <c r="E477" i="121"/>
  <c r="F477" i="121"/>
  <c r="G477" i="121"/>
  <c r="H477" i="121"/>
  <c r="I477" i="121"/>
  <c r="J477" i="121"/>
  <c r="K477" i="121"/>
  <c r="L477" i="121"/>
  <c r="M477" i="121"/>
  <c r="D478" i="121"/>
  <c r="E478" i="121"/>
  <c r="F478" i="121"/>
  <c r="G478" i="121"/>
  <c r="H478" i="121"/>
  <c r="I478" i="121"/>
  <c r="J478" i="121"/>
  <c r="K478" i="121"/>
  <c r="L478" i="121"/>
  <c r="M478" i="121"/>
  <c r="D479" i="121"/>
  <c r="E479" i="121"/>
  <c r="F479" i="121"/>
  <c r="G479" i="121"/>
  <c r="H479" i="121"/>
  <c r="I479" i="121"/>
  <c r="J479" i="121"/>
  <c r="K479" i="121"/>
  <c r="L479" i="121"/>
  <c r="M479" i="121"/>
  <c r="D480" i="121"/>
  <c r="E480" i="121"/>
  <c r="F480" i="121"/>
  <c r="G480" i="121"/>
  <c r="H480" i="121"/>
  <c r="I480" i="121"/>
  <c r="J480" i="121"/>
  <c r="K480" i="121"/>
  <c r="L480" i="121"/>
  <c r="M480" i="121"/>
  <c r="D481" i="121"/>
  <c r="E481" i="121"/>
  <c r="F481" i="121"/>
  <c r="G481" i="121"/>
  <c r="H481" i="121"/>
  <c r="I481" i="121"/>
  <c r="J481" i="121"/>
  <c r="K481" i="121"/>
  <c r="L481" i="121"/>
  <c r="M481" i="121"/>
  <c r="D482" i="121"/>
  <c r="E482" i="121"/>
  <c r="F482" i="121"/>
  <c r="G482" i="121"/>
  <c r="H482" i="121"/>
  <c r="I482" i="121"/>
  <c r="J482" i="121"/>
  <c r="K482" i="121"/>
  <c r="L482" i="121"/>
  <c r="M482" i="121"/>
  <c r="D483" i="121"/>
  <c r="E483" i="121"/>
  <c r="F483" i="121"/>
  <c r="G483" i="121"/>
  <c r="H483" i="121"/>
  <c r="I483" i="121"/>
  <c r="J483" i="121"/>
  <c r="K483" i="121"/>
  <c r="L483" i="121"/>
  <c r="M483" i="121"/>
  <c r="D484" i="121"/>
  <c r="E484" i="121"/>
  <c r="F484" i="121"/>
  <c r="G484" i="121"/>
  <c r="H484" i="121"/>
  <c r="I484" i="121"/>
  <c r="J484" i="121"/>
  <c r="K484" i="121"/>
  <c r="L484" i="121"/>
  <c r="M484" i="121"/>
  <c r="D485" i="121"/>
  <c r="E485" i="121"/>
  <c r="F485" i="121"/>
  <c r="G485" i="121"/>
  <c r="H485" i="121"/>
  <c r="I485" i="121"/>
  <c r="J485" i="121"/>
  <c r="K485" i="121"/>
  <c r="L485" i="121"/>
  <c r="M485" i="121"/>
  <c r="D486" i="121"/>
  <c r="E486" i="121"/>
  <c r="F486" i="121"/>
  <c r="G486" i="121"/>
  <c r="H486" i="121"/>
  <c r="I486" i="121"/>
  <c r="J486" i="121"/>
  <c r="K486" i="121"/>
  <c r="L486" i="121"/>
  <c r="M486" i="121"/>
  <c r="D487" i="121"/>
  <c r="E487" i="121"/>
  <c r="F487" i="121"/>
  <c r="G487" i="121"/>
  <c r="H487" i="121"/>
  <c r="I487" i="121"/>
  <c r="J487" i="121"/>
  <c r="K487" i="121"/>
  <c r="L487" i="121"/>
  <c r="M487" i="121"/>
  <c r="D488" i="121"/>
  <c r="E488" i="121"/>
  <c r="F488" i="121"/>
  <c r="G488" i="121"/>
  <c r="H488" i="121"/>
  <c r="I488" i="121"/>
  <c r="J488" i="121"/>
  <c r="K488" i="121"/>
  <c r="L488" i="121"/>
  <c r="M488" i="121"/>
  <c r="D489" i="121"/>
  <c r="E489" i="121"/>
  <c r="F489" i="121"/>
  <c r="G489" i="121"/>
  <c r="H489" i="121"/>
  <c r="I489" i="121"/>
  <c r="J489" i="121"/>
  <c r="K489" i="121"/>
  <c r="L489" i="121"/>
  <c r="M489" i="121"/>
  <c r="D490" i="121"/>
  <c r="E490" i="121"/>
  <c r="F490" i="121"/>
  <c r="G490" i="121"/>
  <c r="H490" i="121"/>
  <c r="I490" i="121"/>
  <c r="J490" i="121"/>
  <c r="K490" i="121"/>
  <c r="L490" i="121"/>
  <c r="M490" i="121"/>
  <c r="D491" i="121"/>
  <c r="E491" i="121"/>
  <c r="F491" i="121"/>
  <c r="G491" i="121"/>
  <c r="H491" i="121"/>
  <c r="I491" i="121"/>
  <c r="J491" i="121"/>
  <c r="K491" i="121"/>
  <c r="L491" i="121"/>
  <c r="M491" i="121"/>
  <c r="D492" i="121"/>
  <c r="E492" i="121"/>
  <c r="F492" i="121"/>
  <c r="G492" i="121"/>
  <c r="H492" i="121"/>
  <c r="I492" i="121"/>
  <c r="J492" i="121"/>
  <c r="K492" i="121"/>
  <c r="L492" i="121"/>
  <c r="M492" i="121"/>
  <c r="D493" i="121"/>
  <c r="E493" i="121"/>
  <c r="F493" i="121"/>
  <c r="G493" i="121"/>
  <c r="H493" i="121"/>
  <c r="I493" i="121"/>
  <c r="J493" i="121"/>
  <c r="K493" i="121"/>
  <c r="L493" i="121"/>
  <c r="M493" i="121"/>
  <c r="D494" i="121"/>
  <c r="E494" i="121"/>
  <c r="F494" i="121"/>
  <c r="G494" i="121"/>
  <c r="H494" i="121"/>
  <c r="I494" i="121"/>
  <c r="J494" i="121"/>
  <c r="K494" i="121"/>
  <c r="L494" i="121"/>
  <c r="M494" i="121"/>
  <c r="D495" i="121"/>
  <c r="E495" i="121"/>
  <c r="F495" i="121"/>
  <c r="G495" i="121"/>
  <c r="H495" i="121"/>
  <c r="I495" i="121"/>
  <c r="J495" i="121"/>
  <c r="K495" i="121"/>
  <c r="L495" i="121"/>
  <c r="M495" i="121"/>
  <c r="D496" i="121"/>
  <c r="E496" i="121"/>
  <c r="F496" i="121"/>
  <c r="G496" i="121"/>
  <c r="H496" i="121"/>
  <c r="I496" i="121"/>
  <c r="J496" i="121"/>
  <c r="K496" i="121"/>
  <c r="L496" i="121"/>
  <c r="M496" i="121"/>
  <c r="D497" i="121"/>
  <c r="E497" i="121"/>
  <c r="F497" i="121"/>
  <c r="G497" i="121"/>
  <c r="H497" i="121"/>
  <c r="I497" i="121"/>
  <c r="J497" i="121"/>
  <c r="K497" i="121"/>
  <c r="L497" i="121"/>
  <c r="M497" i="121"/>
  <c r="D498" i="121"/>
  <c r="E498" i="121"/>
  <c r="F498" i="121"/>
  <c r="G498" i="121"/>
  <c r="H498" i="121"/>
  <c r="I498" i="121"/>
  <c r="J498" i="121"/>
  <c r="K498" i="121"/>
  <c r="L498" i="121"/>
  <c r="M498" i="121"/>
  <c r="D499" i="121"/>
  <c r="E499" i="121"/>
  <c r="F499" i="121"/>
  <c r="G499" i="121"/>
  <c r="H499" i="121"/>
  <c r="I499" i="121"/>
  <c r="J499" i="121"/>
  <c r="K499" i="121"/>
  <c r="L499" i="121"/>
  <c r="M499" i="121"/>
  <c r="D500" i="121"/>
  <c r="E500" i="121"/>
  <c r="F500" i="121"/>
  <c r="G500" i="121"/>
  <c r="H500" i="121"/>
  <c r="I500" i="121"/>
  <c r="J500" i="121"/>
  <c r="K500" i="121"/>
  <c r="L500" i="121"/>
  <c r="M500" i="121"/>
  <c r="X3" i="41"/>
  <c r="J12" i="60"/>
  <c r="J20" i="60"/>
  <c r="J23" i="60"/>
  <c r="J21" i="60"/>
  <c r="J14" i="60"/>
  <c r="J15" i="60"/>
  <c r="I16" i="60"/>
  <c r="J25" i="60"/>
  <c r="J13" i="60"/>
  <c r="J17" i="60"/>
  <c r="J19" i="60"/>
  <c r="J22" i="60"/>
  <c r="J18" i="60"/>
  <c r="J11" i="60"/>
  <c r="J26" i="60"/>
  <c r="AB24" i="53"/>
  <c r="AP37" i="142"/>
  <c r="AQ17" i="142"/>
  <c r="AP86" i="142"/>
  <c r="AQ113" i="142"/>
  <c r="AP133" i="142"/>
  <c r="AB112" i="53"/>
  <c r="AB16" i="53"/>
  <c r="AB32" i="53"/>
  <c r="AQ110" i="142"/>
  <c r="AB31" i="53"/>
  <c r="AP109" i="142"/>
  <c r="AB111" i="53"/>
  <c r="AP88" i="142"/>
  <c r="AB7" i="53"/>
  <c r="AQ137" i="142"/>
  <c r="AB96" i="53"/>
  <c r="AB15" i="53"/>
  <c r="AQ134" i="142"/>
  <c r="AP67" i="142"/>
  <c r="AB95" i="53"/>
  <c r="AB72" i="53"/>
  <c r="AB71" i="53"/>
  <c r="AP17" i="142"/>
  <c r="AQ62" i="142"/>
  <c r="AB63" i="53"/>
  <c r="AP65" i="142"/>
  <c r="AQ133" i="142"/>
  <c r="AN112" i="142"/>
  <c r="AQ13" i="142"/>
  <c r="AP38" i="142"/>
  <c r="AB79" i="53"/>
  <c r="AQ91" i="142"/>
  <c r="AQ139" i="142"/>
  <c r="AQ115" i="142"/>
  <c r="AB64" i="53"/>
  <c r="AB88" i="53"/>
  <c r="AP115" i="142"/>
  <c r="AQ65" i="142"/>
  <c r="AQ61" i="142"/>
  <c r="AQ37" i="142"/>
  <c r="AQ86" i="142"/>
  <c r="AQ89" i="142"/>
  <c r="AO112" i="142"/>
  <c r="AQ67" i="142"/>
  <c r="AQ14" i="142"/>
  <c r="AQ38" i="142"/>
  <c r="AQ43" i="142"/>
  <c r="AP43" i="142"/>
  <c r="AP13" i="142"/>
  <c r="AQ85" i="142"/>
  <c r="AB80" i="53"/>
  <c r="AQ109" i="142"/>
  <c r="AQ19" i="142"/>
  <c r="AB87" i="53"/>
  <c r="AQ41" i="142"/>
  <c r="AB23" i="53"/>
  <c r="AN88" i="142"/>
  <c r="AP16" i="142"/>
  <c r="AB29" i="53"/>
  <c r="J6" i="60"/>
  <c r="AB109" i="53"/>
  <c r="AB85" i="53"/>
  <c r="J8" i="60"/>
  <c r="AB93" i="53"/>
  <c r="AB77" i="53"/>
  <c r="J5" i="60"/>
  <c r="AB21" i="53"/>
  <c r="AB13" i="53"/>
  <c r="AB5" i="53"/>
  <c r="AB69" i="53"/>
  <c r="J9" i="60"/>
  <c r="AB61" i="53"/>
  <c r="X9" i="41"/>
  <c r="AQ59" i="142"/>
  <c r="AP11" i="142"/>
  <c r="AQ11" i="142"/>
  <c r="AQ35" i="142"/>
  <c r="AQ131" i="142"/>
  <c r="X16" i="41"/>
  <c r="AN90" i="142" l="1"/>
  <c r="AN95" i="142" s="1"/>
  <c r="AP135" i="142"/>
  <c r="AP111" i="142"/>
  <c r="AP15" i="142"/>
  <c r="AP12" i="142"/>
  <c r="AN114" i="142"/>
  <c r="AN119" i="142" s="1"/>
  <c r="AP39" i="142"/>
  <c r="AP117" i="142"/>
  <c r="AP118" i="142" s="1"/>
  <c r="AP69" i="142"/>
  <c r="AP70" i="142" s="1"/>
  <c r="AP45" i="142"/>
  <c r="AP46" i="142" s="1"/>
  <c r="AO114" i="142"/>
  <c r="AO119" i="142" s="1"/>
  <c r="AQ117" i="142"/>
  <c r="AQ118" i="142" s="1"/>
  <c r="AQ111" i="142"/>
  <c r="AO71" i="142"/>
  <c r="AO95" i="142"/>
  <c r="AQ36" i="142"/>
  <c r="AQ93" i="142"/>
  <c r="AQ69" i="142"/>
  <c r="AQ141" i="142"/>
  <c r="AQ87" i="142"/>
  <c r="AQ15" i="142"/>
  <c r="AQ21" i="142"/>
  <c r="AQ63" i="142"/>
  <c r="AQ39" i="142"/>
  <c r="AQ45" i="142"/>
  <c r="AQ135" i="142"/>
  <c r="AQ12" i="142"/>
  <c r="AP18" i="142"/>
  <c r="AQ132" i="142"/>
  <c r="AQ60" i="142"/>
  <c r="AP90" i="142"/>
  <c r="AR25" i="142"/>
  <c r="AR1" i="142"/>
  <c r="AO23" i="142"/>
  <c r="AO47" i="142"/>
  <c r="AO143" i="142"/>
  <c r="AP22" i="142"/>
  <c r="AR49" i="142"/>
  <c r="AP94" i="142"/>
  <c r="J27" i="60"/>
  <c r="J30" i="60" s="1"/>
  <c r="J10" i="60"/>
  <c r="J7" i="60"/>
  <c r="J28" i="60"/>
  <c r="J31" i="60" s="1"/>
  <c r="W3" i="41"/>
  <c r="D23" i="9"/>
  <c r="E23" i="9"/>
  <c r="F23" i="9"/>
  <c r="G23" i="9"/>
  <c r="H23" i="9"/>
  <c r="I23" i="9"/>
  <c r="J23" i="9"/>
  <c r="K23" i="9"/>
  <c r="C63" i="9"/>
  <c r="D63" i="9"/>
  <c r="E63" i="9"/>
  <c r="F63" i="9"/>
  <c r="G63" i="9"/>
  <c r="H63" i="9"/>
  <c r="I63" i="9"/>
  <c r="J63" i="9"/>
  <c r="K63" i="9"/>
  <c r="C103" i="9"/>
  <c r="D103" i="9"/>
  <c r="E103" i="9"/>
  <c r="F103" i="9"/>
  <c r="G103" i="9"/>
  <c r="H103" i="9"/>
  <c r="I103" i="9"/>
  <c r="J103" i="9"/>
  <c r="K103" i="9"/>
  <c r="C226" i="9"/>
  <c r="D226" i="9"/>
  <c r="E226" i="9"/>
  <c r="F226" i="9"/>
  <c r="G226" i="9"/>
  <c r="H226" i="9"/>
  <c r="I226" i="9"/>
  <c r="J226" i="9"/>
  <c r="K226" i="9"/>
  <c r="C266" i="9"/>
  <c r="D266" i="9"/>
  <c r="E266" i="9"/>
  <c r="F266" i="9"/>
  <c r="G266" i="9"/>
  <c r="H266" i="9"/>
  <c r="I266" i="9"/>
  <c r="J266" i="9"/>
  <c r="K266" i="9"/>
  <c r="C349" i="9"/>
  <c r="D349" i="9"/>
  <c r="E349" i="9"/>
  <c r="F349" i="9"/>
  <c r="G349" i="9"/>
  <c r="H349" i="9"/>
  <c r="I349" i="9"/>
  <c r="J349" i="9"/>
  <c r="K349" i="9"/>
  <c r="C390" i="9"/>
  <c r="D390" i="9"/>
  <c r="E390" i="9"/>
  <c r="F390" i="9"/>
  <c r="G390" i="9"/>
  <c r="H390" i="9"/>
  <c r="I390" i="9"/>
  <c r="J390" i="9"/>
  <c r="K390" i="9"/>
  <c r="C432" i="9"/>
  <c r="D432" i="9"/>
  <c r="E432" i="9"/>
  <c r="F432" i="9"/>
  <c r="G432" i="9"/>
  <c r="H432" i="9"/>
  <c r="I432" i="9"/>
  <c r="J432" i="9"/>
  <c r="K432" i="9"/>
  <c r="I25" i="60"/>
  <c r="I23" i="60"/>
  <c r="I22" i="60"/>
  <c r="I11" i="60"/>
  <c r="I13" i="60"/>
  <c r="I20" i="60"/>
  <c r="I18" i="60"/>
  <c r="I14" i="60"/>
  <c r="I21" i="60"/>
  <c r="I17" i="60"/>
  <c r="H16" i="60"/>
  <c r="I15" i="60"/>
  <c r="I12" i="60"/>
  <c r="I19" i="60"/>
  <c r="I26" i="60"/>
  <c r="AR133" i="142"/>
  <c r="AR37" i="142"/>
  <c r="AR62" i="142"/>
  <c r="AR134" i="142"/>
  <c r="AQ136" i="142"/>
  <c r="AR139" i="142"/>
  <c r="AR14" i="142"/>
  <c r="AA162" i="1"/>
  <c r="AA161" i="1"/>
  <c r="AA165" i="1"/>
  <c r="AR13" i="142"/>
  <c r="AR65" i="142"/>
  <c r="AA164" i="1"/>
  <c r="Z10" i="5"/>
  <c r="AQ40" i="142"/>
  <c r="AQ16" i="142"/>
  <c r="Z18" i="5"/>
  <c r="AR115" i="142"/>
  <c r="AR91" i="142"/>
  <c r="AR89" i="142"/>
  <c r="Z5" i="5"/>
  <c r="Z13" i="5"/>
  <c r="AR19" i="142"/>
  <c r="AR85" i="142"/>
  <c r="AQ88" i="142"/>
  <c r="AR110" i="142"/>
  <c r="AR113" i="142"/>
  <c r="AR86" i="142"/>
  <c r="AR43" i="142"/>
  <c r="AR41" i="142"/>
  <c r="Z15" i="5"/>
  <c r="AR137" i="142"/>
  <c r="Z6" i="5"/>
  <c r="AR67" i="142"/>
  <c r="AP64" i="142"/>
  <c r="AQ64" i="142"/>
  <c r="AR17" i="142"/>
  <c r="AR38" i="142"/>
  <c r="Z7" i="5"/>
  <c r="AR61" i="142"/>
  <c r="Z12" i="5"/>
  <c r="AR109" i="142"/>
  <c r="AP136" i="142"/>
  <c r="Z14" i="5"/>
  <c r="I5" i="60"/>
  <c r="I9" i="60"/>
  <c r="I8" i="60"/>
  <c r="I6" i="60"/>
  <c r="W16" i="41"/>
  <c r="AR59" i="142"/>
  <c r="W8" i="41"/>
  <c r="W9" i="41"/>
  <c r="AR131" i="142"/>
  <c r="AR11" i="142"/>
  <c r="AR35" i="142"/>
  <c r="X8" i="41"/>
  <c r="Z19" i="5" l="1"/>
  <c r="Z17" i="5"/>
  <c r="AF16" i="41"/>
  <c r="O312" i="41" s="1"/>
  <c r="AP138" i="142"/>
  <c r="AP143" i="142" s="1"/>
  <c r="AP66" i="142"/>
  <c r="AP71" i="142" s="1"/>
  <c r="J514" i="9"/>
  <c r="H514" i="9"/>
  <c r="F514" i="9"/>
  <c r="K514" i="9"/>
  <c r="I514" i="9"/>
  <c r="G514" i="9"/>
  <c r="E514" i="9"/>
  <c r="C514" i="9"/>
  <c r="D514" i="9"/>
  <c r="AR111" i="142"/>
  <c r="AR117" i="142"/>
  <c r="AR118" i="142" s="1"/>
  <c r="AR132" i="142"/>
  <c r="AR36" i="142"/>
  <c r="AQ138" i="142"/>
  <c r="AQ66" i="142"/>
  <c r="AR60" i="142"/>
  <c r="AR93" i="142"/>
  <c r="AR15" i="142"/>
  <c r="AR141" i="142"/>
  <c r="AR69" i="142"/>
  <c r="AR63" i="142"/>
  <c r="AR45" i="142"/>
  <c r="AR135" i="142"/>
  <c r="AR21" i="142"/>
  <c r="AR39" i="142"/>
  <c r="AR87" i="142"/>
  <c r="AR12" i="142"/>
  <c r="AQ42" i="142"/>
  <c r="AQ90" i="142"/>
  <c r="AQ18" i="142"/>
  <c r="AP95" i="142"/>
  <c r="AP23" i="142"/>
  <c r="AQ46" i="142"/>
  <c r="AQ142" i="142"/>
  <c r="AQ70" i="142"/>
  <c r="AQ94" i="142"/>
  <c r="AQ22" i="142"/>
  <c r="I27" i="60"/>
  <c r="I30" i="60" s="1"/>
  <c r="C8" i="169"/>
  <c r="C9" i="169"/>
  <c r="AF9" i="41"/>
  <c r="O184" i="41" s="1"/>
  <c r="I10" i="60"/>
  <c r="I28" i="60"/>
  <c r="I31" i="60" s="1"/>
  <c r="I7" i="60"/>
  <c r="AF8" i="41"/>
  <c r="V3" i="41"/>
  <c r="H20" i="60"/>
  <c r="H12" i="60"/>
  <c r="H14" i="60"/>
  <c r="F16" i="60"/>
  <c r="H11" i="60"/>
  <c r="H15" i="60"/>
  <c r="H17" i="60"/>
  <c r="H13" i="60"/>
  <c r="H18" i="60"/>
  <c r="H21" i="60"/>
  <c r="H25" i="60"/>
  <c r="H23" i="60"/>
  <c r="H22" i="60"/>
  <c r="H19" i="60"/>
  <c r="H26" i="60"/>
  <c r="AR136" i="142"/>
  <c r="AP112" i="142"/>
  <c r="AR88" i="142"/>
  <c r="AQ112" i="142"/>
  <c r="AR16" i="142"/>
  <c r="AP40" i="142"/>
  <c r="AR40" i="142"/>
  <c r="AR64" i="142"/>
  <c r="AA6" i="1"/>
  <c r="AA3" i="1"/>
  <c r="H9" i="60"/>
  <c r="AA8" i="1"/>
  <c r="AA7" i="1"/>
  <c r="H5" i="60"/>
  <c r="H6" i="60"/>
  <c r="AA5" i="1"/>
  <c r="H8" i="60"/>
  <c r="AA4" i="1"/>
  <c r="V9" i="41"/>
  <c r="V16" i="41"/>
  <c r="AP42" i="142" l="1"/>
  <c r="AP47" i="142" s="1"/>
  <c r="AP114" i="142"/>
  <c r="AP119" i="142" s="1"/>
  <c r="AQ114" i="142"/>
  <c r="AQ119" i="142" s="1"/>
  <c r="AQ95" i="142"/>
  <c r="AQ143" i="142"/>
  <c r="AR42" i="142"/>
  <c r="AR138" i="142"/>
  <c r="AR18" i="142"/>
  <c r="AR66" i="142"/>
  <c r="AR90" i="142"/>
  <c r="AR46" i="142"/>
  <c r="AR142" i="142"/>
  <c r="AQ23" i="142"/>
  <c r="AQ47" i="142"/>
  <c r="AR22" i="142"/>
  <c r="AR70" i="142"/>
  <c r="AR94" i="142"/>
  <c r="AQ71" i="142"/>
  <c r="O166" i="41"/>
  <c r="H27" i="60"/>
  <c r="H30" i="60" s="1"/>
  <c r="H10" i="60"/>
  <c r="H7" i="60"/>
  <c r="H28" i="60"/>
  <c r="H31" i="60" s="1"/>
  <c r="U3" i="41"/>
  <c r="AA40" i="1"/>
  <c r="F20" i="60"/>
  <c r="F13" i="60"/>
  <c r="F17" i="60"/>
  <c r="F21" i="60"/>
  <c r="F26" i="60"/>
  <c r="F12" i="60"/>
  <c r="F15" i="60"/>
  <c r="F19" i="60"/>
  <c r="F23" i="60"/>
  <c r="F25" i="60"/>
  <c r="F22" i="60"/>
  <c r="F18" i="60"/>
  <c r="E16" i="60"/>
  <c r="F11" i="60"/>
  <c r="F14" i="60"/>
  <c r="AR112" i="142"/>
  <c r="F6" i="60"/>
  <c r="F8" i="60"/>
  <c r="F9" i="60"/>
  <c r="F5" i="60"/>
  <c r="U8" i="41"/>
  <c r="V8" i="41"/>
  <c r="U16" i="41"/>
  <c r="AR114" i="142" l="1"/>
  <c r="AR119" i="142" s="1"/>
  <c r="AR95" i="142"/>
  <c r="AR23" i="142"/>
  <c r="AR47" i="142"/>
  <c r="AR71" i="142"/>
  <c r="AR143" i="142"/>
  <c r="O185" i="41"/>
  <c r="F27" i="60"/>
  <c r="F28" i="60"/>
  <c r="F31" i="60" s="1"/>
  <c r="F7" i="60"/>
  <c r="F10" i="60"/>
  <c r="F30" i="60"/>
  <c r="F29" i="60"/>
  <c r="T3" i="41"/>
  <c r="J988" i="136"/>
  <c r="L988" i="136" s="1"/>
  <c r="F988" i="136"/>
  <c r="J987" i="136"/>
  <c r="L987" i="136" s="1"/>
  <c r="F987" i="136"/>
  <c r="J986" i="136"/>
  <c r="L986" i="136" s="1"/>
  <c r="F986" i="136"/>
  <c r="J985" i="136"/>
  <c r="L985" i="136" s="1"/>
  <c r="F985" i="136"/>
  <c r="L984" i="136"/>
  <c r="J984" i="136"/>
  <c r="F984" i="136"/>
  <c r="J983" i="136"/>
  <c r="L983" i="136" s="1"/>
  <c r="F983" i="136"/>
  <c r="J982" i="136"/>
  <c r="L982" i="136" s="1"/>
  <c r="F982" i="136"/>
  <c r="J981" i="136"/>
  <c r="L981" i="136" s="1"/>
  <c r="F981" i="136"/>
  <c r="J980" i="136"/>
  <c r="L980" i="136" s="1"/>
  <c r="F980" i="136"/>
  <c r="J979" i="136"/>
  <c r="L979" i="136" s="1"/>
  <c r="F979" i="136"/>
  <c r="J978" i="136"/>
  <c r="L978" i="136" s="1"/>
  <c r="F978" i="136"/>
  <c r="J977" i="136"/>
  <c r="L977" i="136" s="1"/>
  <c r="F977" i="136"/>
  <c r="J976" i="136"/>
  <c r="L976" i="136" s="1"/>
  <c r="F976" i="136"/>
  <c r="J975" i="136"/>
  <c r="L975" i="136" s="1"/>
  <c r="F975" i="136"/>
  <c r="J974" i="136"/>
  <c r="L974" i="136" s="1"/>
  <c r="F974" i="136"/>
  <c r="J973" i="136"/>
  <c r="L973" i="136" s="1"/>
  <c r="F973" i="136"/>
  <c r="J972" i="136"/>
  <c r="L972" i="136" s="1"/>
  <c r="F972" i="136"/>
  <c r="J971" i="136"/>
  <c r="L971" i="136" s="1"/>
  <c r="F971" i="136"/>
  <c r="J970" i="136"/>
  <c r="L970" i="136" s="1"/>
  <c r="F970" i="136"/>
  <c r="J969" i="136"/>
  <c r="L969" i="136" s="1"/>
  <c r="F969" i="136"/>
  <c r="J968" i="136"/>
  <c r="L968" i="136" s="1"/>
  <c r="F968" i="136"/>
  <c r="J967" i="136"/>
  <c r="L967" i="136" s="1"/>
  <c r="F967" i="136"/>
  <c r="J966" i="136"/>
  <c r="L966" i="136" s="1"/>
  <c r="F966" i="136"/>
  <c r="J965" i="136"/>
  <c r="L965" i="136" s="1"/>
  <c r="F965" i="136"/>
  <c r="J964" i="136"/>
  <c r="L964" i="136" s="1"/>
  <c r="F964" i="136"/>
  <c r="J963" i="136"/>
  <c r="L963" i="136" s="1"/>
  <c r="F963" i="136"/>
  <c r="J962" i="136"/>
  <c r="L962" i="136" s="1"/>
  <c r="F962" i="136"/>
  <c r="J961" i="136"/>
  <c r="L961" i="136" s="1"/>
  <c r="F961" i="136"/>
  <c r="J960" i="136"/>
  <c r="L960" i="136" s="1"/>
  <c r="F960" i="136"/>
  <c r="J959" i="136"/>
  <c r="L959" i="136" s="1"/>
  <c r="F959" i="136"/>
  <c r="J958" i="136"/>
  <c r="L958" i="136" s="1"/>
  <c r="F958" i="136"/>
  <c r="J957" i="136"/>
  <c r="L957" i="136" s="1"/>
  <c r="F957" i="136"/>
  <c r="J956" i="136"/>
  <c r="L956" i="136" s="1"/>
  <c r="F956" i="136"/>
  <c r="J955" i="136"/>
  <c r="L955" i="136" s="1"/>
  <c r="F955" i="136"/>
  <c r="J954" i="136"/>
  <c r="L954" i="136" s="1"/>
  <c r="F954" i="136"/>
  <c r="J953" i="136"/>
  <c r="L953" i="136" s="1"/>
  <c r="F953" i="136"/>
  <c r="J952" i="136"/>
  <c r="L952" i="136" s="1"/>
  <c r="F952" i="136"/>
  <c r="J951" i="136"/>
  <c r="L951" i="136" s="1"/>
  <c r="F951" i="136"/>
  <c r="J950" i="136"/>
  <c r="L950" i="136" s="1"/>
  <c r="F950" i="136"/>
  <c r="L949" i="136"/>
  <c r="J949" i="136"/>
  <c r="F949" i="136"/>
  <c r="J948" i="136"/>
  <c r="L948" i="136" s="1"/>
  <c r="F948" i="136"/>
  <c r="J947" i="136"/>
  <c r="L947" i="136" s="1"/>
  <c r="F947" i="136"/>
  <c r="J946" i="136"/>
  <c r="L946" i="136" s="1"/>
  <c r="F946" i="136"/>
  <c r="J945" i="136"/>
  <c r="L945" i="136" s="1"/>
  <c r="F945" i="136"/>
  <c r="J944" i="136"/>
  <c r="L944" i="136" s="1"/>
  <c r="F944" i="136"/>
  <c r="J943" i="136"/>
  <c r="L943" i="136" s="1"/>
  <c r="F943" i="136"/>
  <c r="J942" i="136"/>
  <c r="L942" i="136" s="1"/>
  <c r="F942" i="136"/>
  <c r="J941" i="136"/>
  <c r="L941" i="136" s="1"/>
  <c r="F941" i="136"/>
  <c r="J940" i="136"/>
  <c r="L940" i="136" s="1"/>
  <c r="F940" i="136"/>
  <c r="J939" i="136"/>
  <c r="L939" i="136" s="1"/>
  <c r="F939" i="136"/>
  <c r="J938" i="136"/>
  <c r="L938" i="136" s="1"/>
  <c r="F938" i="136"/>
  <c r="J937" i="136"/>
  <c r="L937" i="136" s="1"/>
  <c r="F937" i="136"/>
  <c r="J936" i="136"/>
  <c r="L936" i="136" s="1"/>
  <c r="F936" i="136"/>
  <c r="J935" i="136"/>
  <c r="L935" i="136" s="1"/>
  <c r="F935" i="136"/>
  <c r="J934" i="136"/>
  <c r="L934" i="136" s="1"/>
  <c r="F934" i="136"/>
  <c r="J933" i="136"/>
  <c r="L933" i="136" s="1"/>
  <c r="F933" i="136"/>
  <c r="J932" i="136"/>
  <c r="L932" i="136" s="1"/>
  <c r="F932" i="136"/>
  <c r="J931" i="136"/>
  <c r="L931" i="136" s="1"/>
  <c r="F931" i="136"/>
  <c r="J930" i="136"/>
  <c r="L930" i="136" s="1"/>
  <c r="F930" i="136"/>
  <c r="J929" i="136"/>
  <c r="L929" i="136" s="1"/>
  <c r="F929" i="136"/>
  <c r="J928" i="136"/>
  <c r="L928" i="136" s="1"/>
  <c r="F928" i="136"/>
  <c r="J927" i="136"/>
  <c r="L927" i="136" s="1"/>
  <c r="F927" i="136"/>
  <c r="J926" i="136"/>
  <c r="L926" i="136" s="1"/>
  <c r="F926" i="136"/>
  <c r="J925" i="136"/>
  <c r="L925" i="136" s="1"/>
  <c r="F925" i="136"/>
  <c r="J924" i="136"/>
  <c r="L924" i="136" s="1"/>
  <c r="F924" i="136"/>
  <c r="J923" i="136"/>
  <c r="L923" i="136" s="1"/>
  <c r="F923" i="136"/>
  <c r="J922" i="136"/>
  <c r="L922" i="136" s="1"/>
  <c r="F922" i="136"/>
  <c r="J921" i="136"/>
  <c r="L921" i="136" s="1"/>
  <c r="F921" i="136"/>
  <c r="J920" i="136"/>
  <c r="L920" i="136" s="1"/>
  <c r="F920" i="136"/>
  <c r="J919" i="136"/>
  <c r="L919" i="136" s="1"/>
  <c r="F919" i="136"/>
  <c r="J918" i="136"/>
  <c r="L918" i="136" s="1"/>
  <c r="F918" i="136"/>
  <c r="J917" i="136"/>
  <c r="L917" i="136" s="1"/>
  <c r="F917" i="136"/>
  <c r="J916" i="136"/>
  <c r="L916" i="136" s="1"/>
  <c r="F916" i="136"/>
  <c r="J915" i="136"/>
  <c r="L915" i="136" s="1"/>
  <c r="F915" i="136"/>
  <c r="J914" i="136"/>
  <c r="L914" i="136" s="1"/>
  <c r="F914" i="136"/>
  <c r="J913" i="136"/>
  <c r="L913" i="136" s="1"/>
  <c r="F913" i="136"/>
  <c r="J912" i="136"/>
  <c r="L912" i="136" s="1"/>
  <c r="F912" i="136"/>
  <c r="J911" i="136"/>
  <c r="L911" i="136" s="1"/>
  <c r="F911" i="136"/>
  <c r="J910" i="136"/>
  <c r="L910" i="136" s="1"/>
  <c r="F910" i="136"/>
  <c r="J909" i="136"/>
  <c r="L909" i="136" s="1"/>
  <c r="F909" i="136"/>
  <c r="J908" i="136"/>
  <c r="L908" i="136" s="1"/>
  <c r="F908" i="136"/>
  <c r="J907" i="136"/>
  <c r="L907" i="136" s="1"/>
  <c r="F907" i="136"/>
  <c r="J906" i="136"/>
  <c r="L906" i="136" s="1"/>
  <c r="F906" i="136"/>
  <c r="J905" i="136"/>
  <c r="L905" i="136" s="1"/>
  <c r="F905" i="136"/>
  <c r="J904" i="136"/>
  <c r="L904" i="136" s="1"/>
  <c r="F904" i="136"/>
  <c r="J903" i="136"/>
  <c r="L903" i="136" s="1"/>
  <c r="F903" i="136"/>
  <c r="J902" i="136"/>
  <c r="L902" i="136" s="1"/>
  <c r="F902" i="136"/>
  <c r="J901" i="136"/>
  <c r="L901" i="136" s="1"/>
  <c r="F901" i="136"/>
  <c r="J900" i="136"/>
  <c r="L900" i="136" s="1"/>
  <c r="F900" i="136"/>
  <c r="J899" i="136"/>
  <c r="L899" i="136" s="1"/>
  <c r="F899" i="136"/>
  <c r="J898" i="136"/>
  <c r="L898" i="136" s="1"/>
  <c r="F898" i="136"/>
  <c r="J897" i="136"/>
  <c r="L897" i="136" s="1"/>
  <c r="F897" i="136"/>
  <c r="J896" i="136"/>
  <c r="L896" i="136" s="1"/>
  <c r="F896" i="136"/>
  <c r="J895" i="136"/>
  <c r="L895" i="136" s="1"/>
  <c r="F895" i="136"/>
  <c r="J894" i="136"/>
  <c r="L894" i="136" s="1"/>
  <c r="F894" i="136"/>
  <c r="J893" i="136"/>
  <c r="L893" i="136" s="1"/>
  <c r="F893" i="136"/>
  <c r="J892" i="136"/>
  <c r="L892" i="136" s="1"/>
  <c r="F892" i="136"/>
  <c r="J891" i="136"/>
  <c r="L891" i="136" s="1"/>
  <c r="F891" i="136"/>
  <c r="J890" i="136"/>
  <c r="L890" i="136" s="1"/>
  <c r="F890" i="136"/>
  <c r="J889" i="136"/>
  <c r="L889" i="136" s="1"/>
  <c r="F889" i="136"/>
  <c r="J888" i="136"/>
  <c r="L888" i="136" s="1"/>
  <c r="F888" i="136"/>
  <c r="J887" i="136"/>
  <c r="L887" i="136" s="1"/>
  <c r="F887" i="136"/>
  <c r="J886" i="136"/>
  <c r="L886" i="136" s="1"/>
  <c r="F886" i="136"/>
  <c r="J885" i="136"/>
  <c r="L885" i="136" s="1"/>
  <c r="F885" i="136"/>
  <c r="J884" i="136"/>
  <c r="L884" i="136" s="1"/>
  <c r="F884" i="136"/>
  <c r="J883" i="136"/>
  <c r="L883" i="136" s="1"/>
  <c r="F883" i="136"/>
  <c r="J882" i="136"/>
  <c r="L882" i="136" s="1"/>
  <c r="F882" i="136"/>
  <c r="J881" i="136"/>
  <c r="L881" i="136" s="1"/>
  <c r="F881" i="136"/>
  <c r="J880" i="136"/>
  <c r="L880" i="136" s="1"/>
  <c r="F880" i="136"/>
  <c r="J879" i="136"/>
  <c r="L879" i="136" s="1"/>
  <c r="F879" i="136"/>
  <c r="J878" i="136"/>
  <c r="L878" i="136" s="1"/>
  <c r="F878" i="136"/>
  <c r="J877" i="136"/>
  <c r="L877" i="136" s="1"/>
  <c r="F877" i="136"/>
  <c r="J876" i="136"/>
  <c r="L876" i="136" s="1"/>
  <c r="F876" i="136"/>
  <c r="J875" i="136"/>
  <c r="L875" i="136" s="1"/>
  <c r="F875" i="136"/>
  <c r="J874" i="136"/>
  <c r="L874" i="136" s="1"/>
  <c r="F874" i="136"/>
  <c r="J873" i="136"/>
  <c r="L873" i="136" s="1"/>
  <c r="F873" i="136"/>
  <c r="J872" i="136"/>
  <c r="L872" i="136" s="1"/>
  <c r="F872" i="136"/>
  <c r="J871" i="136"/>
  <c r="L871" i="136" s="1"/>
  <c r="F871" i="136"/>
  <c r="J870" i="136"/>
  <c r="L870" i="136" s="1"/>
  <c r="F870" i="136"/>
  <c r="J869" i="136"/>
  <c r="L869" i="136" s="1"/>
  <c r="F869" i="136"/>
  <c r="J868" i="136"/>
  <c r="L868" i="136" s="1"/>
  <c r="F868" i="136"/>
  <c r="J867" i="136"/>
  <c r="L867" i="136" s="1"/>
  <c r="F867" i="136"/>
  <c r="J866" i="136"/>
  <c r="L866" i="136" s="1"/>
  <c r="F866" i="136"/>
  <c r="J865" i="136"/>
  <c r="L865" i="136" s="1"/>
  <c r="F865" i="136"/>
  <c r="J864" i="136"/>
  <c r="L864" i="136" s="1"/>
  <c r="F864" i="136"/>
  <c r="J863" i="136"/>
  <c r="L863" i="136" s="1"/>
  <c r="F863" i="136"/>
  <c r="J862" i="136"/>
  <c r="L862" i="136" s="1"/>
  <c r="F862" i="136"/>
  <c r="J861" i="136"/>
  <c r="L861" i="136" s="1"/>
  <c r="F861" i="136"/>
  <c r="J860" i="136"/>
  <c r="L860" i="136" s="1"/>
  <c r="F860" i="136"/>
  <c r="J859" i="136"/>
  <c r="L859" i="136" s="1"/>
  <c r="F859" i="136"/>
  <c r="J858" i="136"/>
  <c r="L858" i="136" s="1"/>
  <c r="F858" i="136"/>
  <c r="J857" i="136"/>
  <c r="L857" i="136" s="1"/>
  <c r="F857" i="136"/>
  <c r="J856" i="136"/>
  <c r="L856" i="136" s="1"/>
  <c r="F856" i="136"/>
  <c r="J855" i="136"/>
  <c r="L855" i="136" s="1"/>
  <c r="F855" i="136"/>
  <c r="J854" i="136"/>
  <c r="L854" i="136" s="1"/>
  <c r="F854" i="136"/>
  <c r="J853" i="136"/>
  <c r="L853" i="136" s="1"/>
  <c r="F853" i="136"/>
  <c r="J852" i="136"/>
  <c r="L852" i="136" s="1"/>
  <c r="F852" i="136"/>
  <c r="J851" i="136"/>
  <c r="L851" i="136" s="1"/>
  <c r="F851" i="136"/>
  <c r="J850" i="136"/>
  <c r="L850" i="136" s="1"/>
  <c r="F850" i="136"/>
  <c r="J849" i="136"/>
  <c r="L849" i="136" s="1"/>
  <c r="F849" i="136"/>
  <c r="J848" i="136"/>
  <c r="L848" i="136" s="1"/>
  <c r="F848" i="136"/>
  <c r="J847" i="136"/>
  <c r="L847" i="136" s="1"/>
  <c r="F847" i="136"/>
  <c r="J846" i="136"/>
  <c r="L846" i="136" s="1"/>
  <c r="F846" i="136"/>
  <c r="J845" i="136"/>
  <c r="L845" i="136" s="1"/>
  <c r="F845" i="136"/>
  <c r="J844" i="136"/>
  <c r="L844" i="136" s="1"/>
  <c r="F844" i="136"/>
  <c r="J843" i="136"/>
  <c r="L843" i="136" s="1"/>
  <c r="F843" i="136"/>
  <c r="J842" i="136"/>
  <c r="L842" i="136" s="1"/>
  <c r="F842" i="136"/>
  <c r="J841" i="136"/>
  <c r="L841" i="136" s="1"/>
  <c r="F841" i="136"/>
  <c r="J840" i="136"/>
  <c r="L840" i="136" s="1"/>
  <c r="F840" i="136"/>
  <c r="J839" i="136"/>
  <c r="L839" i="136" s="1"/>
  <c r="F839" i="136"/>
  <c r="J838" i="136"/>
  <c r="L838" i="136" s="1"/>
  <c r="F838" i="136"/>
  <c r="J837" i="136"/>
  <c r="L837" i="136" s="1"/>
  <c r="F837" i="136"/>
  <c r="J836" i="136"/>
  <c r="L836" i="136" s="1"/>
  <c r="F836" i="136"/>
  <c r="J835" i="136"/>
  <c r="L835" i="136" s="1"/>
  <c r="F835" i="136"/>
  <c r="J834" i="136"/>
  <c r="L834" i="136" s="1"/>
  <c r="F834" i="136"/>
  <c r="J833" i="136"/>
  <c r="L833" i="136" s="1"/>
  <c r="F833" i="136"/>
  <c r="J832" i="136"/>
  <c r="L832" i="136" s="1"/>
  <c r="F832" i="136"/>
  <c r="J831" i="136"/>
  <c r="L831" i="136" s="1"/>
  <c r="F831" i="136"/>
  <c r="J830" i="136"/>
  <c r="L830" i="136" s="1"/>
  <c r="F830" i="136"/>
  <c r="J829" i="136"/>
  <c r="L829" i="136" s="1"/>
  <c r="F829" i="136"/>
  <c r="J828" i="136"/>
  <c r="L828" i="136" s="1"/>
  <c r="F828" i="136"/>
  <c r="J827" i="136"/>
  <c r="L827" i="136" s="1"/>
  <c r="F827" i="136"/>
  <c r="J826" i="136"/>
  <c r="L826" i="136" s="1"/>
  <c r="F826" i="136"/>
  <c r="J825" i="136"/>
  <c r="L825" i="136" s="1"/>
  <c r="F825" i="136"/>
  <c r="J824" i="136"/>
  <c r="L824" i="136" s="1"/>
  <c r="F824" i="136"/>
  <c r="J823" i="136"/>
  <c r="L823" i="136" s="1"/>
  <c r="F823" i="136"/>
  <c r="J822" i="136"/>
  <c r="L822" i="136" s="1"/>
  <c r="F822" i="136"/>
  <c r="J821" i="136"/>
  <c r="L821" i="136" s="1"/>
  <c r="F821" i="136"/>
  <c r="J820" i="136"/>
  <c r="L820" i="136" s="1"/>
  <c r="F820" i="136"/>
  <c r="J819" i="136"/>
  <c r="L819" i="136" s="1"/>
  <c r="F819" i="136"/>
  <c r="J818" i="136"/>
  <c r="L818" i="136" s="1"/>
  <c r="F818" i="136"/>
  <c r="J817" i="136"/>
  <c r="L817" i="136" s="1"/>
  <c r="F817" i="136"/>
  <c r="J816" i="136"/>
  <c r="L816" i="136" s="1"/>
  <c r="F816" i="136"/>
  <c r="J815" i="136"/>
  <c r="L815" i="136" s="1"/>
  <c r="F815" i="136"/>
  <c r="J814" i="136"/>
  <c r="L814" i="136" s="1"/>
  <c r="F814" i="136"/>
  <c r="J813" i="136"/>
  <c r="L813" i="136" s="1"/>
  <c r="F813" i="136"/>
  <c r="J812" i="136"/>
  <c r="L812" i="136" s="1"/>
  <c r="F812" i="136"/>
  <c r="J811" i="136"/>
  <c r="L811" i="136" s="1"/>
  <c r="F811" i="136"/>
  <c r="J810" i="136"/>
  <c r="L810" i="136" s="1"/>
  <c r="F810" i="136"/>
  <c r="J809" i="136"/>
  <c r="L809" i="136" s="1"/>
  <c r="F809" i="136"/>
  <c r="J808" i="136"/>
  <c r="L808" i="136" s="1"/>
  <c r="F808" i="136"/>
  <c r="J807" i="136"/>
  <c r="L807" i="136" s="1"/>
  <c r="F807" i="136"/>
  <c r="J806" i="136"/>
  <c r="L806" i="136" s="1"/>
  <c r="F806" i="136"/>
  <c r="J805" i="136"/>
  <c r="L805" i="136" s="1"/>
  <c r="F805" i="136"/>
  <c r="J804" i="136"/>
  <c r="L804" i="136" s="1"/>
  <c r="F804" i="136"/>
  <c r="J803" i="136"/>
  <c r="L803" i="136" s="1"/>
  <c r="F803" i="136"/>
  <c r="J802" i="136"/>
  <c r="L802" i="136" s="1"/>
  <c r="F802" i="136"/>
  <c r="J801" i="136"/>
  <c r="L801" i="136" s="1"/>
  <c r="F801" i="136"/>
  <c r="J800" i="136"/>
  <c r="L800" i="136" s="1"/>
  <c r="F800" i="136"/>
  <c r="J799" i="136"/>
  <c r="L799" i="136" s="1"/>
  <c r="F799" i="136"/>
  <c r="J798" i="136"/>
  <c r="L798" i="136" s="1"/>
  <c r="F798" i="136"/>
  <c r="J797" i="136"/>
  <c r="L797" i="136" s="1"/>
  <c r="F797" i="136"/>
  <c r="J796" i="136"/>
  <c r="L796" i="136" s="1"/>
  <c r="F796" i="136"/>
  <c r="J795" i="136"/>
  <c r="L795" i="136" s="1"/>
  <c r="F795" i="136"/>
  <c r="J794" i="136"/>
  <c r="L794" i="136" s="1"/>
  <c r="F794" i="136"/>
  <c r="J793" i="136"/>
  <c r="L793" i="136" s="1"/>
  <c r="F793" i="136"/>
  <c r="J792" i="136"/>
  <c r="L792" i="136" s="1"/>
  <c r="F792" i="136"/>
  <c r="J791" i="136"/>
  <c r="L791" i="136" s="1"/>
  <c r="F791" i="136"/>
  <c r="J790" i="136"/>
  <c r="L790" i="136" s="1"/>
  <c r="F790" i="136"/>
  <c r="J789" i="136"/>
  <c r="L789" i="136" s="1"/>
  <c r="F789" i="136"/>
  <c r="J788" i="136"/>
  <c r="L788" i="136" s="1"/>
  <c r="F788" i="136"/>
  <c r="J787" i="136"/>
  <c r="L787" i="136" s="1"/>
  <c r="F787" i="136"/>
  <c r="J786" i="136"/>
  <c r="L786" i="136" s="1"/>
  <c r="F786" i="136"/>
  <c r="J785" i="136"/>
  <c r="L785" i="136" s="1"/>
  <c r="F785" i="136"/>
  <c r="J784" i="136"/>
  <c r="L784" i="136" s="1"/>
  <c r="F784" i="136"/>
  <c r="J783" i="136"/>
  <c r="L783" i="136" s="1"/>
  <c r="F783" i="136"/>
  <c r="J782" i="136"/>
  <c r="L782" i="136" s="1"/>
  <c r="F782" i="136"/>
  <c r="J781" i="136"/>
  <c r="L781" i="136" s="1"/>
  <c r="F781" i="136"/>
  <c r="J780" i="136"/>
  <c r="L780" i="136" s="1"/>
  <c r="F780" i="136"/>
  <c r="J779" i="136"/>
  <c r="L779" i="136" s="1"/>
  <c r="F779" i="136"/>
  <c r="J778" i="136"/>
  <c r="L778" i="136" s="1"/>
  <c r="F778" i="136"/>
  <c r="J777" i="136"/>
  <c r="L777" i="136" s="1"/>
  <c r="F777" i="136"/>
  <c r="J776" i="136"/>
  <c r="L776" i="136" s="1"/>
  <c r="F776" i="136"/>
  <c r="J775" i="136"/>
  <c r="L775" i="136" s="1"/>
  <c r="F775" i="136"/>
  <c r="J774" i="136"/>
  <c r="L774" i="136" s="1"/>
  <c r="F774" i="136"/>
  <c r="J773" i="136"/>
  <c r="L773" i="136" s="1"/>
  <c r="F773" i="136"/>
  <c r="J772" i="136"/>
  <c r="L772" i="136" s="1"/>
  <c r="F772" i="136"/>
  <c r="J771" i="136"/>
  <c r="L771" i="136" s="1"/>
  <c r="F771" i="136"/>
  <c r="J770" i="136"/>
  <c r="L770" i="136" s="1"/>
  <c r="F770" i="136"/>
  <c r="J769" i="136"/>
  <c r="L769" i="136" s="1"/>
  <c r="F769" i="136"/>
  <c r="J768" i="136"/>
  <c r="L768" i="136" s="1"/>
  <c r="F768" i="136"/>
  <c r="J767" i="136"/>
  <c r="L767" i="136" s="1"/>
  <c r="F767" i="136"/>
  <c r="J766" i="136"/>
  <c r="L766" i="136" s="1"/>
  <c r="F766" i="136"/>
  <c r="J765" i="136"/>
  <c r="L765" i="136" s="1"/>
  <c r="F765" i="136"/>
  <c r="J764" i="136"/>
  <c r="L764" i="136" s="1"/>
  <c r="F764" i="136"/>
  <c r="J763" i="136"/>
  <c r="L763" i="136" s="1"/>
  <c r="F763" i="136"/>
  <c r="J762" i="136"/>
  <c r="L762" i="136" s="1"/>
  <c r="F762" i="136"/>
  <c r="J761" i="136"/>
  <c r="L761" i="136" s="1"/>
  <c r="F761" i="136"/>
  <c r="J760" i="136"/>
  <c r="L760" i="136" s="1"/>
  <c r="F760" i="136"/>
  <c r="J759" i="136"/>
  <c r="L759" i="136" s="1"/>
  <c r="F759" i="136"/>
  <c r="J758" i="136"/>
  <c r="L758" i="136" s="1"/>
  <c r="F758" i="136"/>
  <c r="J757" i="136"/>
  <c r="L757" i="136" s="1"/>
  <c r="F757" i="136"/>
  <c r="J756" i="136"/>
  <c r="L756" i="136" s="1"/>
  <c r="F756" i="136"/>
  <c r="J755" i="136"/>
  <c r="L755" i="136" s="1"/>
  <c r="F755" i="136"/>
  <c r="J754" i="136"/>
  <c r="L754" i="136" s="1"/>
  <c r="F754" i="136"/>
  <c r="J753" i="136"/>
  <c r="L753" i="136" s="1"/>
  <c r="F753" i="136"/>
  <c r="J752" i="136"/>
  <c r="L752" i="136" s="1"/>
  <c r="F752" i="136"/>
  <c r="J751" i="136"/>
  <c r="L751" i="136" s="1"/>
  <c r="F751" i="136"/>
  <c r="J750" i="136"/>
  <c r="L750" i="136" s="1"/>
  <c r="F750" i="136"/>
  <c r="J749" i="136"/>
  <c r="L749" i="136" s="1"/>
  <c r="F749" i="136"/>
  <c r="J748" i="136"/>
  <c r="L748" i="136" s="1"/>
  <c r="F748" i="136"/>
  <c r="J747" i="136"/>
  <c r="L747" i="136" s="1"/>
  <c r="F747" i="136"/>
  <c r="J746" i="136"/>
  <c r="L746" i="136" s="1"/>
  <c r="F746" i="136"/>
  <c r="J745" i="136"/>
  <c r="L745" i="136" s="1"/>
  <c r="F745" i="136"/>
  <c r="J744" i="136"/>
  <c r="L744" i="136" s="1"/>
  <c r="F744" i="136"/>
  <c r="J743" i="136"/>
  <c r="L743" i="136" s="1"/>
  <c r="F743" i="136"/>
  <c r="J742" i="136"/>
  <c r="L742" i="136" s="1"/>
  <c r="F742" i="136"/>
  <c r="J741" i="136"/>
  <c r="L741" i="136" s="1"/>
  <c r="F741" i="136"/>
  <c r="J740" i="136"/>
  <c r="L740" i="136" s="1"/>
  <c r="F740" i="136"/>
  <c r="J739" i="136"/>
  <c r="L739" i="136" s="1"/>
  <c r="F739" i="136"/>
  <c r="J738" i="136"/>
  <c r="L738" i="136" s="1"/>
  <c r="F738" i="136"/>
  <c r="J737" i="136"/>
  <c r="L737" i="136" s="1"/>
  <c r="F737" i="136"/>
  <c r="J736" i="136"/>
  <c r="L736" i="136" s="1"/>
  <c r="F736" i="136"/>
  <c r="J735" i="136"/>
  <c r="L735" i="136" s="1"/>
  <c r="F735" i="136"/>
  <c r="J734" i="136"/>
  <c r="L734" i="136" s="1"/>
  <c r="F734" i="136"/>
  <c r="J733" i="136"/>
  <c r="L733" i="136" s="1"/>
  <c r="F733" i="136"/>
  <c r="J732" i="136"/>
  <c r="L732" i="136" s="1"/>
  <c r="F732" i="136"/>
  <c r="J731" i="136"/>
  <c r="L731" i="136" s="1"/>
  <c r="F731" i="136"/>
  <c r="J730" i="136"/>
  <c r="L730" i="136" s="1"/>
  <c r="F730" i="136"/>
  <c r="J729" i="136"/>
  <c r="L729" i="136" s="1"/>
  <c r="F729" i="136"/>
  <c r="J728" i="136"/>
  <c r="L728" i="136" s="1"/>
  <c r="F728" i="136"/>
  <c r="J727" i="136"/>
  <c r="L727" i="136" s="1"/>
  <c r="F727" i="136"/>
  <c r="J726" i="136"/>
  <c r="L726" i="136" s="1"/>
  <c r="F726" i="136"/>
  <c r="J725" i="136"/>
  <c r="L725" i="136" s="1"/>
  <c r="F725" i="136"/>
  <c r="J724" i="136"/>
  <c r="L724" i="136" s="1"/>
  <c r="F724" i="136"/>
  <c r="J723" i="136"/>
  <c r="L723" i="136" s="1"/>
  <c r="F723" i="136"/>
  <c r="J722" i="136"/>
  <c r="L722" i="136" s="1"/>
  <c r="F722" i="136"/>
  <c r="J721" i="136"/>
  <c r="L721" i="136" s="1"/>
  <c r="F721" i="136"/>
  <c r="J720" i="136"/>
  <c r="L720" i="136" s="1"/>
  <c r="F720" i="136"/>
  <c r="J719" i="136"/>
  <c r="L719" i="136" s="1"/>
  <c r="F719" i="136"/>
  <c r="J718" i="136"/>
  <c r="L718" i="136" s="1"/>
  <c r="F718" i="136"/>
  <c r="J717" i="136"/>
  <c r="L717" i="136" s="1"/>
  <c r="F717" i="136"/>
  <c r="J716" i="136"/>
  <c r="L716" i="136" s="1"/>
  <c r="F716" i="136"/>
  <c r="J715" i="136"/>
  <c r="L715" i="136" s="1"/>
  <c r="F715" i="136"/>
  <c r="J714" i="136"/>
  <c r="L714" i="136" s="1"/>
  <c r="F714" i="136"/>
  <c r="J713" i="136"/>
  <c r="L713" i="136" s="1"/>
  <c r="F713" i="136"/>
  <c r="J712" i="136"/>
  <c r="L712" i="136" s="1"/>
  <c r="F712" i="136"/>
  <c r="J711" i="136"/>
  <c r="L711" i="136" s="1"/>
  <c r="F711" i="136"/>
  <c r="J710" i="136"/>
  <c r="L710" i="136" s="1"/>
  <c r="F710" i="136"/>
  <c r="J709" i="136"/>
  <c r="L709" i="136" s="1"/>
  <c r="F709" i="136"/>
  <c r="J708" i="136"/>
  <c r="L708" i="136" s="1"/>
  <c r="F708" i="136"/>
  <c r="J707" i="136"/>
  <c r="L707" i="136" s="1"/>
  <c r="F707" i="136"/>
  <c r="J706" i="136"/>
  <c r="L706" i="136" s="1"/>
  <c r="F706" i="136"/>
  <c r="J705" i="136"/>
  <c r="L705" i="136" s="1"/>
  <c r="F705" i="136"/>
  <c r="J704" i="136"/>
  <c r="L704" i="136" s="1"/>
  <c r="F704" i="136"/>
  <c r="J703" i="136"/>
  <c r="L703" i="136" s="1"/>
  <c r="F703" i="136"/>
  <c r="J702" i="136"/>
  <c r="L702" i="136" s="1"/>
  <c r="F702" i="136"/>
  <c r="J701" i="136"/>
  <c r="L701" i="136" s="1"/>
  <c r="F701" i="136"/>
  <c r="J700" i="136"/>
  <c r="L700" i="136" s="1"/>
  <c r="F700" i="136"/>
  <c r="J699" i="136"/>
  <c r="L699" i="136" s="1"/>
  <c r="F699" i="136"/>
  <c r="J698" i="136"/>
  <c r="L698" i="136" s="1"/>
  <c r="F698" i="136"/>
  <c r="J697" i="136"/>
  <c r="L697" i="136" s="1"/>
  <c r="F697" i="136"/>
  <c r="J696" i="136"/>
  <c r="L696" i="136" s="1"/>
  <c r="F696" i="136"/>
  <c r="J695" i="136"/>
  <c r="L695" i="136" s="1"/>
  <c r="F695" i="136"/>
  <c r="J694" i="136"/>
  <c r="L694" i="136" s="1"/>
  <c r="F694" i="136"/>
  <c r="J693" i="136"/>
  <c r="L693" i="136" s="1"/>
  <c r="F693" i="136"/>
  <c r="J692" i="136"/>
  <c r="L692" i="136" s="1"/>
  <c r="F692" i="136"/>
  <c r="J691" i="136"/>
  <c r="L691" i="136" s="1"/>
  <c r="F691" i="136"/>
  <c r="J690" i="136"/>
  <c r="L690" i="136" s="1"/>
  <c r="F690" i="136"/>
  <c r="J689" i="136"/>
  <c r="L689" i="136" s="1"/>
  <c r="F689" i="136"/>
  <c r="J688" i="136"/>
  <c r="L688" i="136" s="1"/>
  <c r="F688" i="136"/>
  <c r="J687" i="136"/>
  <c r="L687" i="136" s="1"/>
  <c r="F687" i="136"/>
  <c r="J686" i="136"/>
  <c r="L686" i="136" s="1"/>
  <c r="F686" i="136"/>
  <c r="J685" i="136"/>
  <c r="L685" i="136" s="1"/>
  <c r="F685" i="136"/>
  <c r="J684" i="136"/>
  <c r="L684" i="136" s="1"/>
  <c r="F684" i="136"/>
  <c r="J683" i="136"/>
  <c r="L683" i="136" s="1"/>
  <c r="F683" i="136"/>
  <c r="L682" i="136"/>
  <c r="F682" i="136"/>
  <c r="J681" i="136"/>
  <c r="L681" i="136" s="1"/>
  <c r="F681" i="136"/>
  <c r="J680" i="136"/>
  <c r="L680" i="136" s="1"/>
  <c r="F680" i="136"/>
  <c r="J679" i="136"/>
  <c r="L679" i="136" s="1"/>
  <c r="F679" i="136"/>
  <c r="J678" i="136"/>
  <c r="L678" i="136" s="1"/>
  <c r="F678" i="136"/>
  <c r="J677" i="136"/>
  <c r="L677" i="136" s="1"/>
  <c r="F677" i="136"/>
  <c r="J676" i="136"/>
  <c r="L676" i="136" s="1"/>
  <c r="F676" i="136"/>
  <c r="J675" i="136"/>
  <c r="L675" i="136" s="1"/>
  <c r="F675" i="136"/>
  <c r="J674" i="136"/>
  <c r="L674" i="136" s="1"/>
  <c r="F674" i="136"/>
  <c r="J673" i="136"/>
  <c r="L673" i="136" s="1"/>
  <c r="F673" i="136"/>
  <c r="J672" i="136"/>
  <c r="L672" i="136" s="1"/>
  <c r="F672" i="136"/>
  <c r="J671" i="136"/>
  <c r="L671" i="136" s="1"/>
  <c r="F671" i="136"/>
  <c r="J670" i="136"/>
  <c r="L670" i="136" s="1"/>
  <c r="F670" i="136"/>
  <c r="J669" i="136"/>
  <c r="L669" i="136" s="1"/>
  <c r="F669" i="136"/>
  <c r="J668" i="136"/>
  <c r="L668" i="136" s="1"/>
  <c r="F668" i="136"/>
  <c r="J667" i="136"/>
  <c r="L667" i="136" s="1"/>
  <c r="F667" i="136"/>
  <c r="J666" i="136"/>
  <c r="L666" i="136" s="1"/>
  <c r="F666" i="136"/>
  <c r="J665" i="136"/>
  <c r="L665" i="136" s="1"/>
  <c r="F665" i="136"/>
  <c r="J664" i="136"/>
  <c r="L664" i="136" s="1"/>
  <c r="F664" i="136"/>
  <c r="J663" i="136"/>
  <c r="L663" i="136" s="1"/>
  <c r="F663" i="136"/>
  <c r="J662" i="136"/>
  <c r="L662" i="136" s="1"/>
  <c r="F662" i="136"/>
  <c r="J661" i="136"/>
  <c r="L661" i="136" s="1"/>
  <c r="F661" i="136"/>
  <c r="J660" i="136"/>
  <c r="L660" i="136" s="1"/>
  <c r="F660" i="136"/>
  <c r="J659" i="136"/>
  <c r="L659" i="136" s="1"/>
  <c r="F659" i="136"/>
  <c r="J658" i="136"/>
  <c r="L658" i="136" s="1"/>
  <c r="F658" i="136"/>
  <c r="J657" i="136"/>
  <c r="L657" i="136" s="1"/>
  <c r="F657" i="136"/>
  <c r="J656" i="136"/>
  <c r="L656" i="136" s="1"/>
  <c r="F656" i="136"/>
  <c r="J655" i="136"/>
  <c r="L655" i="136" s="1"/>
  <c r="F655" i="136"/>
  <c r="J654" i="136"/>
  <c r="L654" i="136" s="1"/>
  <c r="F654" i="136"/>
  <c r="J653" i="136"/>
  <c r="L653" i="136" s="1"/>
  <c r="F653" i="136"/>
  <c r="J652" i="136"/>
  <c r="L652" i="136" s="1"/>
  <c r="F652" i="136"/>
  <c r="J651" i="136"/>
  <c r="L651" i="136" s="1"/>
  <c r="F651" i="136"/>
  <c r="J650" i="136"/>
  <c r="L650" i="136" s="1"/>
  <c r="F650" i="136"/>
  <c r="J649" i="136"/>
  <c r="L649" i="136" s="1"/>
  <c r="F649" i="136"/>
  <c r="J648" i="136"/>
  <c r="L648" i="136" s="1"/>
  <c r="F648" i="136"/>
  <c r="J647" i="136"/>
  <c r="L647" i="136" s="1"/>
  <c r="F647" i="136"/>
  <c r="J646" i="136"/>
  <c r="L646" i="136" s="1"/>
  <c r="F646" i="136"/>
  <c r="J645" i="136"/>
  <c r="L645" i="136" s="1"/>
  <c r="F645" i="136"/>
  <c r="J644" i="136"/>
  <c r="L644" i="136" s="1"/>
  <c r="F644" i="136"/>
  <c r="J643" i="136"/>
  <c r="L643" i="136" s="1"/>
  <c r="F643" i="136"/>
  <c r="J642" i="136"/>
  <c r="L642" i="136" s="1"/>
  <c r="F642" i="136"/>
  <c r="J641" i="136"/>
  <c r="L641" i="136" s="1"/>
  <c r="F641" i="136"/>
  <c r="J640" i="136"/>
  <c r="L640" i="136" s="1"/>
  <c r="F640" i="136"/>
  <c r="J639" i="136"/>
  <c r="L639" i="136" s="1"/>
  <c r="F639" i="136"/>
  <c r="J638" i="136"/>
  <c r="L638" i="136" s="1"/>
  <c r="F638" i="136"/>
  <c r="J637" i="136"/>
  <c r="L637" i="136" s="1"/>
  <c r="F637" i="136"/>
  <c r="J636" i="136"/>
  <c r="L636" i="136" s="1"/>
  <c r="F636" i="136"/>
  <c r="J635" i="136"/>
  <c r="L635" i="136" s="1"/>
  <c r="F635" i="136"/>
  <c r="J634" i="136"/>
  <c r="L634" i="136" s="1"/>
  <c r="F634" i="136"/>
  <c r="J633" i="136"/>
  <c r="L633" i="136" s="1"/>
  <c r="F633" i="136"/>
  <c r="J632" i="136"/>
  <c r="L632" i="136" s="1"/>
  <c r="F632" i="136"/>
  <c r="J631" i="136"/>
  <c r="L631" i="136" s="1"/>
  <c r="F631" i="136"/>
  <c r="J630" i="136"/>
  <c r="L630" i="136" s="1"/>
  <c r="F630" i="136"/>
  <c r="J629" i="136"/>
  <c r="L629" i="136" s="1"/>
  <c r="F629" i="136"/>
  <c r="J628" i="136"/>
  <c r="L628" i="136" s="1"/>
  <c r="F628" i="136"/>
  <c r="J627" i="136"/>
  <c r="L627" i="136" s="1"/>
  <c r="F627" i="136"/>
  <c r="J626" i="136"/>
  <c r="L626" i="136" s="1"/>
  <c r="F626" i="136"/>
  <c r="J625" i="136"/>
  <c r="L625" i="136" s="1"/>
  <c r="F625" i="136"/>
  <c r="J624" i="136"/>
  <c r="L624" i="136" s="1"/>
  <c r="F624" i="136"/>
  <c r="J623" i="136"/>
  <c r="L623" i="136" s="1"/>
  <c r="F623" i="136"/>
  <c r="J622" i="136"/>
  <c r="L622" i="136" s="1"/>
  <c r="F622" i="136"/>
  <c r="J621" i="136"/>
  <c r="L621" i="136" s="1"/>
  <c r="F621" i="136"/>
  <c r="J620" i="136"/>
  <c r="L620" i="136" s="1"/>
  <c r="F620" i="136"/>
  <c r="J619" i="136"/>
  <c r="L619" i="136" s="1"/>
  <c r="F619" i="136"/>
  <c r="J618" i="136"/>
  <c r="L618" i="136" s="1"/>
  <c r="F618" i="136"/>
  <c r="J617" i="136"/>
  <c r="L617" i="136" s="1"/>
  <c r="F617" i="136"/>
  <c r="J616" i="136"/>
  <c r="L616" i="136" s="1"/>
  <c r="F616" i="136"/>
  <c r="J615" i="136"/>
  <c r="L615" i="136" s="1"/>
  <c r="F615" i="136"/>
  <c r="J614" i="136"/>
  <c r="L614" i="136" s="1"/>
  <c r="F614" i="136"/>
  <c r="J613" i="136"/>
  <c r="L613" i="136" s="1"/>
  <c r="F613" i="136"/>
  <c r="J612" i="136"/>
  <c r="L612" i="136" s="1"/>
  <c r="F612" i="136"/>
  <c r="J611" i="136"/>
  <c r="L611" i="136" s="1"/>
  <c r="F611" i="136"/>
  <c r="J610" i="136"/>
  <c r="L610" i="136" s="1"/>
  <c r="F610" i="136"/>
  <c r="J609" i="136"/>
  <c r="L609" i="136" s="1"/>
  <c r="F609" i="136"/>
  <c r="J608" i="136"/>
  <c r="L608" i="136" s="1"/>
  <c r="F608" i="136"/>
  <c r="J607" i="136"/>
  <c r="L607" i="136" s="1"/>
  <c r="F607" i="136"/>
  <c r="J606" i="136"/>
  <c r="L606" i="136" s="1"/>
  <c r="F606" i="136"/>
  <c r="J605" i="136"/>
  <c r="L605" i="136" s="1"/>
  <c r="F605" i="136"/>
  <c r="J604" i="136"/>
  <c r="L604" i="136" s="1"/>
  <c r="F604" i="136"/>
  <c r="J603" i="136"/>
  <c r="L603" i="136" s="1"/>
  <c r="F603" i="136"/>
  <c r="J602" i="136"/>
  <c r="L602" i="136" s="1"/>
  <c r="F602" i="136"/>
  <c r="J601" i="136"/>
  <c r="L601" i="136" s="1"/>
  <c r="F601" i="136"/>
  <c r="J600" i="136"/>
  <c r="L600" i="136" s="1"/>
  <c r="F600" i="136"/>
  <c r="J599" i="136"/>
  <c r="L599" i="136" s="1"/>
  <c r="F599" i="136"/>
  <c r="J598" i="136"/>
  <c r="L598" i="136" s="1"/>
  <c r="F598" i="136"/>
  <c r="J597" i="136"/>
  <c r="L597" i="136" s="1"/>
  <c r="F597" i="136"/>
  <c r="J596" i="136"/>
  <c r="L596" i="136" s="1"/>
  <c r="F596" i="136"/>
  <c r="J595" i="136"/>
  <c r="L595" i="136" s="1"/>
  <c r="F595" i="136"/>
  <c r="J594" i="136"/>
  <c r="L594" i="136" s="1"/>
  <c r="F594" i="136"/>
  <c r="J593" i="136"/>
  <c r="L593" i="136" s="1"/>
  <c r="F593" i="136"/>
  <c r="J592" i="136"/>
  <c r="L592" i="136" s="1"/>
  <c r="F592" i="136"/>
  <c r="J591" i="136"/>
  <c r="L591" i="136" s="1"/>
  <c r="F591" i="136"/>
  <c r="J590" i="136"/>
  <c r="L590" i="136" s="1"/>
  <c r="F590" i="136"/>
  <c r="J589" i="136"/>
  <c r="L589" i="136" s="1"/>
  <c r="F589" i="136"/>
  <c r="J588" i="136"/>
  <c r="L588" i="136" s="1"/>
  <c r="F588" i="136"/>
  <c r="J587" i="136"/>
  <c r="L587" i="136" s="1"/>
  <c r="F587" i="136"/>
  <c r="J586" i="136"/>
  <c r="L586" i="136" s="1"/>
  <c r="F586" i="136"/>
  <c r="J585" i="136"/>
  <c r="L585" i="136" s="1"/>
  <c r="F585" i="136"/>
  <c r="J584" i="136"/>
  <c r="L584" i="136" s="1"/>
  <c r="F584" i="136"/>
  <c r="J583" i="136"/>
  <c r="L583" i="136" s="1"/>
  <c r="F583" i="136"/>
  <c r="J582" i="136"/>
  <c r="L582" i="136" s="1"/>
  <c r="F582" i="136"/>
  <c r="J581" i="136"/>
  <c r="L581" i="136" s="1"/>
  <c r="F581" i="136"/>
  <c r="J580" i="136"/>
  <c r="L580" i="136" s="1"/>
  <c r="F580" i="136"/>
  <c r="J579" i="136"/>
  <c r="L579" i="136" s="1"/>
  <c r="F579" i="136"/>
  <c r="J578" i="136"/>
  <c r="L578" i="136" s="1"/>
  <c r="F578" i="136"/>
  <c r="J577" i="136"/>
  <c r="L577" i="136" s="1"/>
  <c r="F577" i="136"/>
  <c r="J576" i="136"/>
  <c r="L576" i="136" s="1"/>
  <c r="F576" i="136"/>
  <c r="J575" i="136"/>
  <c r="L575" i="136" s="1"/>
  <c r="F575" i="136"/>
  <c r="J574" i="136"/>
  <c r="L574" i="136" s="1"/>
  <c r="F574" i="136"/>
  <c r="J573" i="136"/>
  <c r="L573" i="136" s="1"/>
  <c r="F573" i="136"/>
  <c r="J572" i="136"/>
  <c r="L572" i="136" s="1"/>
  <c r="F572" i="136"/>
  <c r="J571" i="136"/>
  <c r="L571" i="136" s="1"/>
  <c r="F571" i="136"/>
  <c r="J570" i="136"/>
  <c r="L570" i="136" s="1"/>
  <c r="F570" i="136"/>
  <c r="J569" i="136"/>
  <c r="L569" i="136" s="1"/>
  <c r="F569" i="136"/>
  <c r="J568" i="136"/>
  <c r="L568" i="136" s="1"/>
  <c r="F568" i="136"/>
  <c r="J567" i="136"/>
  <c r="L567" i="136" s="1"/>
  <c r="F567" i="136"/>
  <c r="J566" i="136"/>
  <c r="L566" i="136" s="1"/>
  <c r="F566" i="136"/>
  <c r="J565" i="136"/>
  <c r="L565" i="136" s="1"/>
  <c r="F565" i="136"/>
  <c r="J564" i="136"/>
  <c r="L564" i="136" s="1"/>
  <c r="F564" i="136"/>
  <c r="J563" i="136"/>
  <c r="L563" i="136" s="1"/>
  <c r="F563" i="136"/>
  <c r="J562" i="136"/>
  <c r="L562" i="136" s="1"/>
  <c r="F562" i="136"/>
  <c r="J561" i="136"/>
  <c r="L561" i="136" s="1"/>
  <c r="F561" i="136"/>
  <c r="J560" i="136"/>
  <c r="L560" i="136" s="1"/>
  <c r="F560" i="136"/>
  <c r="J559" i="136"/>
  <c r="L559" i="136" s="1"/>
  <c r="F559" i="136"/>
  <c r="J558" i="136"/>
  <c r="L558" i="136" s="1"/>
  <c r="F558" i="136"/>
  <c r="J557" i="136"/>
  <c r="L557" i="136" s="1"/>
  <c r="F557" i="136"/>
  <c r="J556" i="136"/>
  <c r="L556" i="136" s="1"/>
  <c r="F556" i="136"/>
  <c r="J555" i="136"/>
  <c r="L555" i="136" s="1"/>
  <c r="F555" i="136"/>
  <c r="J554" i="136"/>
  <c r="L554" i="136" s="1"/>
  <c r="F554" i="136"/>
  <c r="J553" i="136"/>
  <c r="L553" i="136" s="1"/>
  <c r="F553" i="136"/>
  <c r="J552" i="136"/>
  <c r="L552" i="136" s="1"/>
  <c r="F552" i="136"/>
  <c r="J551" i="136"/>
  <c r="L551" i="136" s="1"/>
  <c r="F551" i="136"/>
  <c r="J550" i="136"/>
  <c r="L550" i="136" s="1"/>
  <c r="F550" i="136"/>
  <c r="J549" i="136"/>
  <c r="L549" i="136" s="1"/>
  <c r="F549" i="136"/>
  <c r="J548" i="136"/>
  <c r="L548" i="136" s="1"/>
  <c r="F548" i="136"/>
  <c r="J547" i="136"/>
  <c r="L547" i="136" s="1"/>
  <c r="F547" i="136"/>
  <c r="J546" i="136"/>
  <c r="L546" i="136" s="1"/>
  <c r="F546" i="136"/>
  <c r="J545" i="136"/>
  <c r="L545" i="136" s="1"/>
  <c r="F545" i="136"/>
  <c r="J544" i="136"/>
  <c r="L544" i="136" s="1"/>
  <c r="F544" i="136"/>
  <c r="J543" i="136"/>
  <c r="L543" i="136" s="1"/>
  <c r="F543" i="136"/>
  <c r="J542" i="136"/>
  <c r="L542" i="136" s="1"/>
  <c r="F542" i="136"/>
  <c r="J541" i="136"/>
  <c r="L541" i="136" s="1"/>
  <c r="F541" i="136"/>
  <c r="J540" i="136"/>
  <c r="L540" i="136" s="1"/>
  <c r="F540" i="136"/>
  <c r="J539" i="136"/>
  <c r="L539" i="136" s="1"/>
  <c r="F539" i="136"/>
  <c r="J538" i="136"/>
  <c r="L538" i="136" s="1"/>
  <c r="F538" i="136"/>
  <c r="J537" i="136"/>
  <c r="L537" i="136" s="1"/>
  <c r="F537" i="136"/>
  <c r="J536" i="136"/>
  <c r="L536" i="136" s="1"/>
  <c r="F536" i="136"/>
  <c r="J535" i="136"/>
  <c r="L535" i="136" s="1"/>
  <c r="F535" i="136"/>
  <c r="J534" i="136"/>
  <c r="L534" i="136" s="1"/>
  <c r="F534" i="136"/>
  <c r="J533" i="136"/>
  <c r="L533" i="136" s="1"/>
  <c r="F533" i="136"/>
  <c r="J532" i="136"/>
  <c r="L532" i="136" s="1"/>
  <c r="F532" i="136"/>
  <c r="J531" i="136"/>
  <c r="L531" i="136" s="1"/>
  <c r="F531" i="136"/>
  <c r="J530" i="136"/>
  <c r="L530" i="136" s="1"/>
  <c r="F530" i="136"/>
  <c r="J529" i="136"/>
  <c r="L529" i="136" s="1"/>
  <c r="F529" i="136"/>
  <c r="J528" i="136"/>
  <c r="L528" i="136" s="1"/>
  <c r="F528" i="136"/>
  <c r="J527" i="136"/>
  <c r="L527" i="136" s="1"/>
  <c r="F527" i="136"/>
  <c r="J526" i="136"/>
  <c r="L526" i="136" s="1"/>
  <c r="F526" i="136"/>
  <c r="J525" i="136"/>
  <c r="L525" i="136" s="1"/>
  <c r="F525" i="136"/>
  <c r="J524" i="136"/>
  <c r="L524" i="136" s="1"/>
  <c r="F524" i="136"/>
  <c r="J523" i="136"/>
  <c r="L523" i="136" s="1"/>
  <c r="F523" i="136"/>
  <c r="J522" i="136"/>
  <c r="L522" i="136" s="1"/>
  <c r="F522" i="136"/>
  <c r="J521" i="136"/>
  <c r="L521" i="136" s="1"/>
  <c r="F521" i="136"/>
  <c r="J520" i="136"/>
  <c r="L520" i="136" s="1"/>
  <c r="F520" i="136"/>
  <c r="J519" i="136"/>
  <c r="L519" i="136" s="1"/>
  <c r="F519" i="136"/>
  <c r="J518" i="136"/>
  <c r="L518" i="136" s="1"/>
  <c r="F518" i="136"/>
  <c r="J517" i="136"/>
  <c r="L517" i="136" s="1"/>
  <c r="F517" i="136"/>
  <c r="J516" i="136"/>
  <c r="L516" i="136" s="1"/>
  <c r="F516" i="136"/>
  <c r="J515" i="136"/>
  <c r="L515" i="136" s="1"/>
  <c r="F515" i="136"/>
  <c r="J514" i="136"/>
  <c r="L514" i="136" s="1"/>
  <c r="F514" i="136"/>
  <c r="J513" i="136"/>
  <c r="L513" i="136" s="1"/>
  <c r="F513" i="136"/>
  <c r="J512" i="136"/>
  <c r="L512" i="136" s="1"/>
  <c r="F512" i="136"/>
  <c r="J511" i="136"/>
  <c r="L511" i="136" s="1"/>
  <c r="F511" i="136"/>
  <c r="J510" i="136"/>
  <c r="L510" i="136" s="1"/>
  <c r="F510" i="136"/>
  <c r="J509" i="136"/>
  <c r="L509" i="136" s="1"/>
  <c r="F509" i="136"/>
  <c r="J508" i="136"/>
  <c r="L508" i="136" s="1"/>
  <c r="F508" i="136"/>
  <c r="J507" i="136"/>
  <c r="L507" i="136" s="1"/>
  <c r="F507" i="136"/>
  <c r="J506" i="136"/>
  <c r="L506" i="136" s="1"/>
  <c r="F506" i="136"/>
  <c r="F505" i="136"/>
  <c r="F504" i="136"/>
  <c r="F503" i="136"/>
  <c r="F502" i="136"/>
  <c r="F501" i="136"/>
  <c r="J131" i="136"/>
  <c r="L131" i="136" s="1"/>
  <c r="J99" i="136"/>
  <c r="L99" i="136" s="1"/>
  <c r="J67" i="136"/>
  <c r="L67" i="136" s="1"/>
  <c r="J35" i="136"/>
  <c r="L35" i="136" s="1"/>
  <c r="J3" i="136"/>
  <c r="L3" i="136" s="1"/>
  <c r="J437" i="136"/>
  <c r="L437" i="136" s="1"/>
  <c r="J407" i="136"/>
  <c r="L407" i="136" s="1"/>
  <c r="J377" i="136"/>
  <c r="L377" i="136" s="1"/>
  <c r="J347" i="136"/>
  <c r="L347" i="136" s="1"/>
  <c r="J317" i="136"/>
  <c r="L317" i="136" s="1"/>
  <c r="J287" i="136"/>
  <c r="L287" i="136" s="1"/>
  <c r="J257" i="136"/>
  <c r="L257" i="136" s="1"/>
  <c r="J227" i="136"/>
  <c r="L227" i="136" s="1"/>
  <c r="J197" i="136"/>
  <c r="L197" i="136" s="1"/>
  <c r="J167" i="136"/>
  <c r="L167" i="136" s="1"/>
  <c r="J137" i="136"/>
  <c r="L137" i="136" s="1"/>
  <c r="J105" i="136"/>
  <c r="L105" i="136" s="1"/>
  <c r="J73" i="136"/>
  <c r="L73" i="136" s="1"/>
  <c r="J41" i="136"/>
  <c r="L41" i="136" s="1"/>
  <c r="J9" i="136"/>
  <c r="L9" i="136" s="1"/>
  <c r="J466" i="136"/>
  <c r="L466" i="136" s="1"/>
  <c r="J436" i="136"/>
  <c r="L436" i="136" s="1"/>
  <c r="J406" i="136"/>
  <c r="L406" i="136" s="1"/>
  <c r="J376" i="136"/>
  <c r="L376" i="136" s="1"/>
  <c r="J346" i="136"/>
  <c r="L346" i="136" s="1"/>
  <c r="J316" i="136"/>
  <c r="L316" i="136" s="1"/>
  <c r="J286" i="136"/>
  <c r="L286" i="136" s="1"/>
  <c r="J256" i="136"/>
  <c r="L256" i="136" s="1"/>
  <c r="J226" i="136"/>
  <c r="L226" i="136" s="1"/>
  <c r="J196" i="136"/>
  <c r="L196" i="136" s="1"/>
  <c r="J166" i="136"/>
  <c r="L166" i="136" s="1"/>
  <c r="J136" i="136"/>
  <c r="L136" i="136" s="1"/>
  <c r="J104" i="136"/>
  <c r="L104" i="136" s="1"/>
  <c r="J72" i="136"/>
  <c r="L72" i="136" s="1"/>
  <c r="J40" i="136"/>
  <c r="L40" i="136" s="1"/>
  <c r="J8" i="136"/>
  <c r="L8" i="136" s="1"/>
  <c r="J465" i="136"/>
  <c r="L465" i="136" s="1"/>
  <c r="J435" i="136"/>
  <c r="L435" i="136" s="1"/>
  <c r="J405" i="136"/>
  <c r="L405" i="136" s="1"/>
  <c r="J375" i="136"/>
  <c r="L375" i="136" s="1"/>
  <c r="J345" i="136"/>
  <c r="L345" i="136" s="1"/>
  <c r="J315" i="136"/>
  <c r="L315" i="136" s="1"/>
  <c r="J285" i="136"/>
  <c r="L285" i="136" s="1"/>
  <c r="J255" i="136"/>
  <c r="L255" i="136" s="1"/>
  <c r="J225" i="136"/>
  <c r="L225" i="136" s="1"/>
  <c r="J195" i="136"/>
  <c r="L195" i="136" s="1"/>
  <c r="J165" i="136"/>
  <c r="L165" i="136" s="1"/>
  <c r="J135" i="136"/>
  <c r="L135" i="136" s="1"/>
  <c r="J103" i="136"/>
  <c r="L103" i="136" s="1"/>
  <c r="J71" i="136"/>
  <c r="L71" i="136" s="1"/>
  <c r="J39" i="136"/>
  <c r="L39" i="136" s="1"/>
  <c r="J7" i="136"/>
  <c r="L7" i="136" s="1"/>
  <c r="J443" i="136"/>
  <c r="L443" i="136" s="1"/>
  <c r="J413" i="136"/>
  <c r="L413" i="136" s="1"/>
  <c r="J383" i="136"/>
  <c r="L383" i="136" s="1"/>
  <c r="J353" i="136"/>
  <c r="L353" i="136" s="1"/>
  <c r="J323" i="136"/>
  <c r="L323" i="136" s="1"/>
  <c r="J293" i="136"/>
  <c r="L293" i="136" s="1"/>
  <c r="J263" i="136"/>
  <c r="L263" i="136" s="1"/>
  <c r="J233" i="136"/>
  <c r="L233" i="136" s="1"/>
  <c r="J203" i="136"/>
  <c r="L203" i="136" s="1"/>
  <c r="J173" i="136"/>
  <c r="L173" i="136" s="1"/>
  <c r="J143" i="136"/>
  <c r="L143" i="136" s="1"/>
  <c r="J111" i="136"/>
  <c r="L111" i="136" s="1"/>
  <c r="J79" i="136"/>
  <c r="L79" i="136" s="1"/>
  <c r="J47" i="136"/>
  <c r="L47" i="136" s="1"/>
  <c r="J15" i="136"/>
  <c r="L15" i="136" s="1"/>
  <c r="J442" i="136"/>
  <c r="L442" i="136" s="1"/>
  <c r="J412" i="136"/>
  <c r="L412" i="136" s="1"/>
  <c r="J382" i="136"/>
  <c r="L382" i="136" s="1"/>
  <c r="J352" i="136"/>
  <c r="L352" i="136" s="1"/>
  <c r="J322" i="136"/>
  <c r="L322" i="136" s="1"/>
  <c r="J292" i="136"/>
  <c r="L292" i="136" s="1"/>
  <c r="J262" i="136"/>
  <c r="L262" i="136" s="1"/>
  <c r="J232" i="136"/>
  <c r="L232" i="136" s="1"/>
  <c r="J202" i="136"/>
  <c r="L202" i="136" s="1"/>
  <c r="J172" i="136"/>
  <c r="L172" i="136" s="1"/>
  <c r="J142" i="136"/>
  <c r="L142" i="136" s="1"/>
  <c r="J110" i="136"/>
  <c r="L110" i="136" s="1"/>
  <c r="J78" i="136"/>
  <c r="L78" i="136" s="1"/>
  <c r="J46" i="136"/>
  <c r="L46" i="136" s="1"/>
  <c r="J14" i="136"/>
  <c r="L14" i="136" s="1"/>
  <c r="J441" i="136"/>
  <c r="L441" i="136" s="1"/>
  <c r="J411" i="136"/>
  <c r="L411" i="136" s="1"/>
  <c r="J381" i="136"/>
  <c r="L381" i="136" s="1"/>
  <c r="J351" i="136"/>
  <c r="L351" i="136" s="1"/>
  <c r="J321" i="136"/>
  <c r="L321" i="136" s="1"/>
  <c r="J291" i="136"/>
  <c r="L291" i="136" s="1"/>
  <c r="J261" i="136"/>
  <c r="L261" i="136" s="1"/>
  <c r="J231" i="136"/>
  <c r="L231" i="136" s="1"/>
  <c r="J201" i="136"/>
  <c r="L201" i="136" s="1"/>
  <c r="J171" i="136"/>
  <c r="L171" i="136" s="1"/>
  <c r="J141" i="136"/>
  <c r="L141" i="136" s="1"/>
  <c r="J109" i="136"/>
  <c r="L109" i="136" s="1"/>
  <c r="J77" i="136"/>
  <c r="L77" i="136" s="1"/>
  <c r="J45" i="136"/>
  <c r="L45" i="136" s="1"/>
  <c r="J13" i="136"/>
  <c r="L13" i="136" s="1"/>
  <c r="J447" i="136"/>
  <c r="L447" i="136" s="1"/>
  <c r="J417" i="136"/>
  <c r="L417" i="136" s="1"/>
  <c r="J387" i="136"/>
  <c r="L387" i="136" s="1"/>
  <c r="J357" i="136"/>
  <c r="L357" i="136" s="1"/>
  <c r="J327" i="136"/>
  <c r="L327" i="136" s="1"/>
  <c r="J297" i="136"/>
  <c r="L297" i="136" s="1"/>
  <c r="J267" i="136"/>
  <c r="L267" i="136" s="1"/>
  <c r="J237" i="136"/>
  <c r="L237" i="136" s="1"/>
  <c r="J207" i="136"/>
  <c r="L207" i="136" s="1"/>
  <c r="J177" i="136"/>
  <c r="L177" i="136" s="1"/>
  <c r="J147" i="136"/>
  <c r="L147" i="136" s="1"/>
  <c r="J115" i="136"/>
  <c r="L115" i="136" s="1"/>
  <c r="J83" i="136"/>
  <c r="L83" i="136" s="1"/>
  <c r="J51" i="136"/>
  <c r="L51" i="136" s="1"/>
  <c r="J19" i="136"/>
  <c r="L19" i="136" s="1"/>
  <c r="J446" i="136"/>
  <c r="L446" i="136" s="1"/>
  <c r="J416" i="136"/>
  <c r="L416" i="136" s="1"/>
  <c r="J386" i="136"/>
  <c r="L386" i="136" s="1"/>
  <c r="J356" i="136"/>
  <c r="L356" i="136" s="1"/>
  <c r="J326" i="136"/>
  <c r="L326" i="136" s="1"/>
  <c r="J296" i="136"/>
  <c r="L296" i="136" s="1"/>
  <c r="J266" i="136"/>
  <c r="L266" i="136" s="1"/>
  <c r="J236" i="136"/>
  <c r="L236" i="136" s="1"/>
  <c r="J206" i="136"/>
  <c r="L206" i="136" s="1"/>
  <c r="J176" i="136"/>
  <c r="L176" i="136" s="1"/>
  <c r="J146" i="136"/>
  <c r="L146" i="136" s="1"/>
  <c r="J114" i="136"/>
  <c r="L114" i="136" s="1"/>
  <c r="J82" i="136"/>
  <c r="L82" i="136" s="1"/>
  <c r="J50" i="136"/>
  <c r="L50" i="136" s="1"/>
  <c r="J18" i="136"/>
  <c r="L18" i="136" s="1"/>
  <c r="J449" i="136"/>
  <c r="L449" i="136" s="1"/>
  <c r="J419" i="136"/>
  <c r="L419" i="136" s="1"/>
  <c r="J389" i="136"/>
  <c r="L389" i="136" s="1"/>
  <c r="J359" i="136"/>
  <c r="L359" i="136" s="1"/>
  <c r="J329" i="136"/>
  <c r="L329" i="136" s="1"/>
  <c r="J299" i="136"/>
  <c r="L299" i="136" s="1"/>
  <c r="J269" i="136"/>
  <c r="L269" i="136" s="1"/>
  <c r="J239" i="136"/>
  <c r="L239" i="136" s="1"/>
  <c r="J209" i="136"/>
  <c r="L209" i="136" s="1"/>
  <c r="J179" i="136"/>
  <c r="L179" i="136" s="1"/>
  <c r="J149" i="136"/>
  <c r="L149" i="136" s="1"/>
  <c r="J117" i="136"/>
  <c r="L117" i="136" s="1"/>
  <c r="J85" i="136"/>
  <c r="L85" i="136" s="1"/>
  <c r="J53" i="136"/>
  <c r="L53" i="136" s="1"/>
  <c r="J21" i="136"/>
  <c r="L21" i="136" s="1"/>
  <c r="J451" i="136"/>
  <c r="L451" i="136" s="1"/>
  <c r="J421" i="136"/>
  <c r="L421" i="136" s="1"/>
  <c r="J391" i="136"/>
  <c r="L391" i="136" s="1"/>
  <c r="J361" i="136"/>
  <c r="L361" i="136" s="1"/>
  <c r="J331" i="136"/>
  <c r="L331" i="136" s="1"/>
  <c r="J301" i="136"/>
  <c r="L301" i="136" s="1"/>
  <c r="J271" i="136"/>
  <c r="L271" i="136" s="1"/>
  <c r="J241" i="136"/>
  <c r="L241" i="136" s="1"/>
  <c r="J211" i="136"/>
  <c r="L211" i="136" s="1"/>
  <c r="J181" i="136"/>
  <c r="L181" i="136" s="1"/>
  <c r="J151" i="136"/>
  <c r="L151" i="136" s="1"/>
  <c r="J119" i="136"/>
  <c r="L119" i="136" s="1"/>
  <c r="J87" i="136"/>
  <c r="L87" i="136" s="1"/>
  <c r="J55" i="136"/>
  <c r="L55" i="136" s="1"/>
  <c r="J23" i="136"/>
  <c r="L23" i="136" s="1"/>
  <c r="J273" i="136"/>
  <c r="L273" i="136" s="1"/>
  <c r="J243" i="136"/>
  <c r="L243" i="136" s="1"/>
  <c r="J213" i="136"/>
  <c r="L213" i="136" s="1"/>
  <c r="J183" i="136"/>
  <c r="L183" i="136" s="1"/>
  <c r="J153" i="136"/>
  <c r="L153" i="136" s="1"/>
  <c r="J121" i="136"/>
  <c r="L121" i="136" s="1"/>
  <c r="J89" i="136"/>
  <c r="L89" i="136" s="1"/>
  <c r="J57" i="136"/>
  <c r="L57" i="136" s="1"/>
  <c r="J25" i="136"/>
  <c r="L25" i="136" s="1"/>
  <c r="J453" i="136"/>
  <c r="L453" i="136" s="1"/>
  <c r="J423" i="136"/>
  <c r="L423" i="136" s="1"/>
  <c r="J393" i="136"/>
  <c r="L393" i="136" s="1"/>
  <c r="J363" i="136"/>
  <c r="L363" i="136" s="1"/>
  <c r="J333" i="136"/>
  <c r="L333" i="136" s="1"/>
  <c r="J303" i="136"/>
  <c r="L303" i="136" s="1"/>
  <c r="J275" i="136"/>
  <c r="L275" i="136" s="1"/>
  <c r="J245" i="136"/>
  <c r="L245" i="136" s="1"/>
  <c r="J215" i="136"/>
  <c r="L215" i="136" s="1"/>
  <c r="J185" i="136"/>
  <c r="L185" i="136" s="1"/>
  <c r="J155" i="136"/>
  <c r="L155" i="136" s="1"/>
  <c r="J123" i="136"/>
  <c r="L123" i="136" s="1"/>
  <c r="J91" i="136"/>
  <c r="L91" i="136" s="1"/>
  <c r="J59" i="136"/>
  <c r="J27" i="136"/>
  <c r="L27" i="136" s="1"/>
  <c r="J455" i="136"/>
  <c r="L455" i="136" s="1"/>
  <c r="J425" i="136"/>
  <c r="L425" i="136" s="1"/>
  <c r="J395" i="136"/>
  <c r="L395" i="136" s="1"/>
  <c r="J365" i="136"/>
  <c r="L365" i="136" s="1"/>
  <c r="J335" i="136"/>
  <c r="L335" i="136" s="1"/>
  <c r="J305" i="136"/>
  <c r="L305" i="136" s="1"/>
  <c r="J277" i="136"/>
  <c r="L277" i="136" s="1"/>
  <c r="J247" i="136"/>
  <c r="L247" i="136" s="1"/>
  <c r="J217" i="136"/>
  <c r="L217" i="136" s="1"/>
  <c r="J187" i="136"/>
  <c r="L187" i="136" s="1"/>
  <c r="J157" i="136"/>
  <c r="L157" i="136" s="1"/>
  <c r="J125" i="136"/>
  <c r="L125" i="136" s="1"/>
  <c r="J93" i="136"/>
  <c r="L93" i="136" s="1"/>
  <c r="J61" i="136"/>
  <c r="L61" i="136" s="1"/>
  <c r="J29" i="136"/>
  <c r="L29" i="136" s="1"/>
  <c r="J457" i="136"/>
  <c r="L457" i="136" s="1"/>
  <c r="J427" i="136"/>
  <c r="L427" i="136" s="1"/>
  <c r="J397" i="136"/>
  <c r="L397" i="136" s="1"/>
  <c r="J367" i="136"/>
  <c r="L367" i="136" s="1"/>
  <c r="J337" i="136"/>
  <c r="L337" i="136" s="1"/>
  <c r="J307" i="136"/>
  <c r="L307" i="136" s="1"/>
  <c r="J461" i="136"/>
  <c r="L461" i="136" s="1"/>
  <c r="J431" i="136"/>
  <c r="L431" i="136" s="1"/>
  <c r="J401" i="136"/>
  <c r="L401" i="136" s="1"/>
  <c r="J371" i="136"/>
  <c r="L371" i="136" s="1"/>
  <c r="J341" i="136"/>
  <c r="L341" i="136" s="1"/>
  <c r="J311" i="136"/>
  <c r="L311" i="136" s="1"/>
  <c r="J281" i="136"/>
  <c r="L281" i="136" s="1"/>
  <c r="J251" i="136"/>
  <c r="L251" i="136" s="1"/>
  <c r="J221" i="136"/>
  <c r="L221" i="136" s="1"/>
  <c r="J191" i="136"/>
  <c r="L191" i="136" s="1"/>
  <c r="J161" i="136"/>
  <c r="L161" i="136" s="1"/>
  <c r="J129" i="136"/>
  <c r="L129" i="136" s="1"/>
  <c r="J97" i="136"/>
  <c r="L97" i="136" s="1"/>
  <c r="J65" i="136"/>
  <c r="L65" i="136" s="1"/>
  <c r="J33" i="136"/>
  <c r="L33" i="136" s="1"/>
  <c r="J460" i="136"/>
  <c r="L460" i="136" s="1"/>
  <c r="J430" i="136"/>
  <c r="L430" i="136" s="1"/>
  <c r="J400" i="136"/>
  <c r="L400" i="136" s="1"/>
  <c r="J370" i="136"/>
  <c r="L370" i="136" s="1"/>
  <c r="J340" i="136"/>
  <c r="L340" i="136" s="1"/>
  <c r="J310" i="136"/>
  <c r="L310" i="136" s="1"/>
  <c r="J280" i="136"/>
  <c r="L280" i="136" s="1"/>
  <c r="J250" i="136"/>
  <c r="L250" i="136" s="1"/>
  <c r="J220" i="136"/>
  <c r="L220" i="136" s="1"/>
  <c r="J190" i="136"/>
  <c r="L190" i="136" s="1"/>
  <c r="J160" i="136"/>
  <c r="L160" i="136" s="1"/>
  <c r="J128" i="136"/>
  <c r="L128" i="136" s="1"/>
  <c r="J96" i="136"/>
  <c r="L96" i="136" s="1"/>
  <c r="J64" i="136"/>
  <c r="L64" i="136" s="1"/>
  <c r="J32" i="136"/>
  <c r="L32" i="136" s="1"/>
  <c r="J130" i="136"/>
  <c r="L130" i="136" s="1"/>
  <c r="J98" i="136"/>
  <c r="L98" i="136" s="1"/>
  <c r="J66" i="136"/>
  <c r="L66" i="136" s="1"/>
  <c r="J34" i="136"/>
  <c r="L34" i="136" s="1"/>
  <c r="J2" i="136"/>
  <c r="L2" i="136" s="1"/>
  <c r="J464" i="136"/>
  <c r="L464" i="136" s="1"/>
  <c r="J434" i="136"/>
  <c r="L434" i="136" s="1"/>
  <c r="J404" i="136"/>
  <c r="L404" i="136" s="1"/>
  <c r="J374" i="136"/>
  <c r="L374" i="136" s="1"/>
  <c r="J344" i="136"/>
  <c r="L344" i="136" s="1"/>
  <c r="J314" i="136"/>
  <c r="L314" i="136" s="1"/>
  <c r="J284" i="136"/>
  <c r="L284" i="136" s="1"/>
  <c r="J254" i="136"/>
  <c r="L254" i="136" s="1"/>
  <c r="J224" i="136"/>
  <c r="L224" i="136" s="1"/>
  <c r="J194" i="136"/>
  <c r="L194" i="136" s="1"/>
  <c r="J164" i="136"/>
  <c r="L164" i="136" s="1"/>
  <c r="J134" i="136"/>
  <c r="L134" i="136" s="1"/>
  <c r="J102" i="136"/>
  <c r="L102" i="136" s="1"/>
  <c r="J70" i="136"/>
  <c r="L70" i="136" s="1"/>
  <c r="J38" i="136"/>
  <c r="L38" i="136" s="1"/>
  <c r="J6" i="136"/>
  <c r="L6" i="136" s="1"/>
  <c r="J463" i="136"/>
  <c r="L463" i="136" s="1"/>
  <c r="J433" i="136"/>
  <c r="L433" i="136" s="1"/>
  <c r="J403" i="136"/>
  <c r="L403" i="136" s="1"/>
  <c r="J373" i="136"/>
  <c r="L373" i="136" s="1"/>
  <c r="J343" i="136"/>
  <c r="L343" i="136" s="1"/>
  <c r="J313" i="136"/>
  <c r="L313" i="136" s="1"/>
  <c r="J283" i="136"/>
  <c r="L283" i="136" s="1"/>
  <c r="J253" i="136"/>
  <c r="L253" i="136" s="1"/>
  <c r="J223" i="136"/>
  <c r="L223" i="136" s="1"/>
  <c r="J193" i="136"/>
  <c r="L193" i="136" s="1"/>
  <c r="J163" i="136"/>
  <c r="L163" i="136" s="1"/>
  <c r="J133" i="136"/>
  <c r="L133" i="136" s="1"/>
  <c r="J101" i="136"/>
  <c r="L101" i="136" s="1"/>
  <c r="J69" i="136"/>
  <c r="L69" i="136" s="1"/>
  <c r="J37" i="136"/>
  <c r="L37" i="136" s="1"/>
  <c r="J5" i="136"/>
  <c r="L5" i="136" s="1"/>
  <c r="J462" i="136"/>
  <c r="L462" i="136" s="1"/>
  <c r="J432" i="136"/>
  <c r="L432" i="136" s="1"/>
  <c r="J402" i="136"/>
  <c r="L402" i="136" s="1"/>
  <c r="J372" i="136"/>
  <c r="L372" i="136" s="1"/>
  <c r="J342" i="136"/>
  <c r="L342" i="136" s="1"/>
  <c r="J312" i="136"/>
  <c r="L312" i="136" s="1"/>
  <c r="J282" i="136"/>
  <c r="L282" i="136" s="1"/>
  <c r="J252" i="136"/>
  <c r="L252" i="136" s="1"/>
  <c r="J222" i="136"/>
  <c r="L222" i="136" s="1"/>
  <c r="J192" i="136"/>
  <c r="L192" i="136" s="1"/>
  <c r="J162" i="136"/>
  <c r="L162" i="136" s="1"/>
  <c r="J132" i="136"/>
  <c r="L132" i="136" s="1"/>
  <c r="J100" i="136"/>
  <c r="L100" i="136" s="1"/>
  <c r="J68" i="136"/>
  <c r="L68" i="136" s="1"/>
  <c r="J36" i="136"/>
  <c r="L36" i="136" s="1"/>
  <c r="J4" i="136"/>
  <c r="L4" i="136" s="1"/>
  <c r="J440" i="136"/>
  <c r="L440" i="136" s="1"/>
  <c r="J410" i="136"/>
  <c r="L410" i="136" s="1"/>
  <c r="J380" i="136"/>
  <c r="L380" i="136" s="1"/>
  <c r="J350" i="136"/>
  <c r="L350" i="136" s="1"/>
  <c r="J320" i="136"/>
  <c r="L320" i="136" s="1"/>
  <c r="J290" i="136"/>
  <c r="L290" i="136" s="1"/>
  <c r="J260" i="136"/>
  <c r="L260" i="136" s="1"/>
  <c r="J230" i="136"/>
  <c r="L230" i="136" s="1"/>
  <c r="J200" i="136"/>
  <c r="L200" i="136" s="1"/>
  <c r="J170" i="136"/>
  <c r="L170" i="136" s="1"/>
  <c r="J140" i="136"/>
  <c r="L140" i="136" s="1"/>
  <c r="J108" i="136"/>
  <c r="L108" i="136" s="1"/>
  <c r="J76" i="136"/>
  <c r="L76" i="136" s="1"/>
  <c r="J44" i="136"/>
  <c r="L44" i="136" s="1"/>
  <c r="J12" i="136"/>
  <c r="L12" i="136" s="1"/>
  <c r="J439" i="136"/>
  <c r="L439" i="136" s="1"/>
  <c r="J409" i="136"/>
  <c r="L409" i="136" s="1"/>
  <c r="J379" i="136"/>
  <c r="L379" i="136" s="1"/>
  <c r="J349" i="136"/>
  <c r="L349" i="136" s="1"/>
  <c r="J319" i="136"/>
  <c r="L319" i="136" s="1"/>
  <c r="J289" i="136"/>
  <c r="L289" i="136" s="1"/>
  <c r="J259" i="136"/>
  <c r="L259" i="136" s="1"/>
  <c r="J229" i="136"/>
  <c r="L229" i="136" s="1"/>
  <c r="J199" i="136"/>
  <c r="L199" i="136" s="1"/>
  <c r="J169" i="136"/>
  <c r="L169" i="136" s="1"/>
  <c r="J139" i="136"/>
  <c r="L139" i="136" s="1"/>
  <c r="J107" i="136"/>
  <c r="L107" i="136" s="1"/>
  <c r="J75" i="136"/>
  <c r="L75" i="136" s="1"/>
  <c r="J43" i="136"/>
  <c r="L43" i="136" s="1"/>
  <c r="J11" i="136"/>
  <c r="L11" i="136" s="1"/>
  <c r="J438" i="136"/>
  <c r="L438" i="136" s="1"/>
  <c r="J408" i="136"/>
  <c r="L408" i="136" s="1"/>
  <c r="J378" i="136"/>
  <c r="L378" i="136" s="1"/>
  <c r="J348" i="136"/>
  <c r="L348" i="136" s="1"/>
  <c r="J318" i="136"/>
  <c r="L318" i="136" s="1"/>
  <c r="J288" i="136"/>
  <c r="L288" i="136" s="1"/>
  <c r="J258" i="136"/>
  <c r="L258" i="136" s="1"/>
  <c r="J228" i="136"/>
  <c r="L228" i="136" s="1"/>
  <c r="J198" i="136"/>
  <c r="L198" i="136" s="1"/>
  <c r="J168" i="136"/>
  <c r="L168" i="136" s="1"/>
  <c r="J138" i="136"/>
  <c r="L138" i="136" s="1"/>
  <c r="J106" i="136"/>
  <c r="L106" i="136" s="1"/>
  <c r="J74" i="136"/>
  <c r="L74" i="136" s="1"/>
  <c r="J42" i="136"/>
  <c r="L42" i="136" s="1"/>
  <c r="J10" i="136"/>
  <c r="L10" i="136" s="1"/>
  <c r="J445" i="136"/>
  <c r="L445" i="136" s="1"/>
  <c r="J415" i="136"/>
  <c r="L415" i="136" s="1"/>
  <c r="J385" i="136"/>
  <c r="L385" i="136" s="1"/>
  <c r="J355" i="136"/>
  <c r="L355" i="136" s="1"/>
  <c r="J325" i="136"/>
  <c r="L325" i="136" s="1"/>
  <c r="J295" i="136"/>
  <c r="L295" i="136" s="1"/>
  <c r="J265" i="136"/>
  <c r="L265" i="136" s="1"/>
  <c r="J235" i="136"/>
  <c r="L235" i="136" s="1"/>
  <c r="J205" i="136"/>
  <c r="L205" i="136" s="1"/>
  <c r="J175" i="136"/>
  <c r="L175" i="136" s="1"/>
  <c r="J145" i="136"/>
  <c r="L145" i="136" s="1"/>
  <c r="J113" i="136"/>
  <c r="L113" i="136" s="1"/>
  <c r="J81" i="136"/>
  <c r="L81" i="136" s="1"/>
  <c r="J49" i="136"/>
  <c r="L49" i="136" s="1"/>
  <c r="J17" i="136"/>
  <c r="L17" i="136" s="1"/>
  <c r="J444" i="136"/>
  <c r="L444" i="136" s="1"/>
  <c r="J414" i="136"/>
  <c r="L414" i="136" s="1"/>
  <c r="J384" i="136"/>
  <c r="L384" i="136" s="1"/>
  <c r="J354" i="136"/>
  <c r="L354" i="136" s="1"/>
  <c r="J324" i="136"/>
  <c r="L324" i="136" s="1"/>
  <c r="J294" i="136"/>
  <c r="L294" i="136" s="1"/>
  <c r="J264" i="136"/>
  <c r="L264" i="136" s="1"/>
  <c r="J234" i="136"/>
  <c r="L234" i="136" s="1"/>
  <c r="J204" i="136"/>
  <c r="L204" i="136" s="1"/>
  <c r="J174" i="136"/>
  <c r="L174" i="136" s="1"/>
  <c r="J144" i="136"/>
  <c r="L144" i="136" s="1"/>
  <c r="J112" i="136"/>
  <c r="L112" i="136" s="1"/>
  <c r="J80" i="136"/>
  <c r="L80" i="136" s="1"/>
  <c r="J48" i="136"/>
  <c r="L48" i="136" s="1"/>
  <c r="J16" i="136"/>
  <c r="L16" i="136" s="1"/>
  <c r="J448" i="136"/>
  <c r="L448" i="136" s="1"/>
  <c r="J418" i="136"/>
  <c r="L418" i="136" s="1"/>
  <c r="J388" i="136"/>
  <c r="L388" i="136" s="1"/>
  <c r="J358" i="136"/>
  <c r="L358" i="136" s="1"/>
  <c r="J328" i="136"/>
  <c r="L328" i="136" s="1"/>
  <c r="J298" i="136"/>
  <c r="L298" i="136" s="1"/>
  <c r="J268" i="136"/>
  <c r="L268" i="136" s="1"/>
  <c r="J238" i="136"/>
  <c r="L238" i="136" s="1"/>
  <c r="J208" i="136"/>
  <c r="L208" i="136" s="1"/>
  <c r="J178" i="136"/>
  <c r="L178" i="136" s="1"/>
  <c r="J148" i="136"/>
  <c r="L148" i="136" s="1"/>
  <c r="J116" i="136"/>
  <c r="L116" i="136" s="1"/>
  <c r="J84" i="136"/>
  <c r="L84" i="136" s="1"/>
  <c r="J52" i="136"/>
  <c r="L52" i="136" s="1"/>
  <c r="J20" i="136"/>
  <c r="L20" i="136" s="1"/>
  <c r="J450" i="136"/>
  <c r="L450" i="136" s="1"/>
  <c r="J420" i="136"/>
  <c r="L420" i="136" s="1"/>
  <c r="J390" i="136"/>
  <c r="L390" i="136" s="1"/>
  <c r="J360" i="136"/>
  <c r="L360" i="136" s="1"/>
  <c r="J330" i="136"/>
  <c r="L330" i="136" s="1"/>
  <c r="J300" i="136"/>
  <c r="L300" i="136" s="1"/>
  <c r="J270" i="136"/>
  <c r="L270" i="136" s="1"/>
  <c r="J240" i="136"/>
  <c r="L240" i="136" s="1"/>
  <c r="J210" i="136"/>
  <c r="L210" i="136" s="1"/>
  <c r="J180" i="136"/>
  <c r="L180" i="136" s="1"/>
  <c r="J150" i="136"/>
  <c r="L150" i="136" s="1"/>
  <c r="J118" i="136"/>
  <c r="L118" i="136" s="1"/>
  <c r="J86" i="136"/>
  <c r="L86" i="136" s="1"/>
  <c r="J54" i="136"/>
  <c r="L54" i="136" s="1"/>
  <c r="J22" i="136"/>
  <c r="L22" i="136" s="1"/>
  <c r="J272" i="136"/>
  <c r="L272" i="136" s="1"/>
  <c r="J242" i="136"/>
  <c r="L242" i="136" s="1"/>
  <c r="J212" i="136"/>
  <c r="L212" i="136" s="1"/>
  <c r="J182" i="136"/>
  <c r="L182" i="136" s="1"/>
  <c r="J152" i="136"/>
  <c r="L152" i="136" s="1"/>
  <c r="J120" i="136"/>
  <c r="L120" i="136" s="1"/>
  <c r="J88" i="136"/>
  <c r="L88" i="136" s="1"/>
  <c r="J56" i="136"/>
  <c r="L56" i="136" s="1"/>
  <c r="J24" i="136"/>
  <c r="L24" i="136" s="1"/>
  <c r="J452" i="136"/>
  <c r="L452" i="136" s="1"/>
  <c r="J422" i="136"/>
  <c r="L422" i="136" s="1"/>
  <c r="J392" i="136"/>
  <c r="L392" i="136" s="1"/>
  <c r="J362" i="136"/>
  <c r="L362" i="136" s="1"/>
  <c r="J332" i="136"/>
  <c r="L332" i="136" s="1"/>
  <c r="J302" i="136"/>
  <c r="L302" i="136" s="1"/>
  <c r="J274" i="136"/>
  <c r="L274" i="136" s="1"/>
  <c r="J244" i="136"/>
  <c r="L244" i="136" s="1"/>
  <c r="J214" i="136"/>
  <c r="L214" i="136" s="1"/>
  <c r="J184" i="136"/>
  <c r="L184" i="136" s="1"/>
  <c r="J154" i="136"/>
  <c r="L154" i="136" s="1"/>
  <c r="J122" i="136"/>
  <c r="L122" i="136" s="1"/>
  <c r="J90" i="136"/>
  <c r="L90" i="136" s="1"/>
  <c r="J58" i="136"/>
  <c r="L58" i="136" s="1"/>
  <c r="J26" i="136"/>
  <c r="L26" i="136" s="1"/>
  <c r="J454" i="136"/>
  <c r="L454" i="136" s="1"/>
  <c r="J424" i="136"/>
  <c r="L424" i="136" s="1"/>
  <c r="J394" i="136"/>
  <c r="L394" i="136" s="1"/>
  <c r="J364" i="136"/>
  <c r="L364" i="136" s="1"/>
  <c r="J334" i="136"/>
  <c r="L334" i="136" s="1"/>
  <c r="J304" i="136"/>
  <c r="L304" i="136" s="1"/>
  <c r="J276" i="136"/>
  <c r="L276" i="136" s="1"/>
  <c r="J246" i="136"/>
  <c r="L246" i="136" s="1"/>
  <c r="J216" i="136"/>
  <c r="L216" i="136" s="1"/>
  <c r="J186" i="136"/>
  <c r="L186" i="136" s="1"/>
  <c r="J156" i="136"/>
  <c r="L156" i="136" s="1"/>
  <c r="J124" i="136"/>
  <c r="L124" i="136" s="1"/>
  <c r="J92" i="136"/>
  <c r="L92" i="136" s="1"/>
  <c r="J60" i="136"/>
  <c r="J28" i="136"/>
  <c r="L28" i="136" s="1"/>
  <c r="J456" i="136"/>
  <c r="L456" i="136" s="1"/>
  <c r="J426" i="136"/>
  <c r="L426" i="136" s="1"/>
  <c r="J396" i="136"/>
  <c r="L396" i="136" s="1"/>
  <c r="J366" i="136"/>
  <c r="L366" i="136" s="1"/>
  <c r="J336" i="136"/>
  <c r="L336" i="136" s="1"/>
  <c r="J306" i="136"/>
  <c r="L306" i="136" s="1"/>
  <c r="J459" i="136"/>
  <c r="L459" i="136" s="1"/>
  <c r="J429" i="136"/>
  <c r="L429" i="136" s="1"/>
  <c r="J399" i="136"/>
  <c r="L399" i="136" s="1"/>
  <c r="J369" i="136"/>
  <c r="L369" i="136" s="1"/>
  <c r="J339" i="136"/>
  <c r="L339" i="136" s="1"/>
  <c r="J309" i="136"/>
  <c r="L309" i="136" s="1"/>
  <c r="J279" i="136"/>
  <c r="L279" i="136" s="1"/>
  <c r="J249" i="136"/>
  <c r="L249" i="136" s="1"/>
  <c r="J219" i="136"/>
  <c r="L219" i="136" s="1"/>
  <c r="J189" i="136"/>
  <c r="L189" i="136" s="1"/>
  <c r="J159" i="136"/>
  <c r="L159" i="136" s="1"/>
  <c r="J127" i="136"/>
  <c r="L127" i="136" s="1"/>
  <c r="J95" i="136"/>
  <c r="L95" i="136" s="1"/>
  <c r="J63" i="136"/>
  <c r="L63" i="136" s="1"/>
  <c r="J31" i="136"/>
  <c r="L31" i="136" s="1"/>
  <c r="J458" i="136"/>
  <c r="L458" i="136" s="1"/>
  <c r="J428" i="136"/>
  <c r="L428" i="136" s="1"/>
  <c r="J398" i="136"/>
  <c r="L398" i="136" s="1"/>
  <c r="J368" i="136"/>
  <c r="L368" i="136" s="1"/>
  <c r="J338" i="136"/>
  <c r="L338" i="136" s="1"/>
  <c r="J308" i="136"/>
  <c r="L308" i="136" s="1"/>
  <c r="J278" i="136"/>
  <c r="L278" i="136" s="1"/>
  <c r="J248" i="136"/>
  <c r="L248" i="136" s="1"/>
  <c r="J218" i="136"/>
  <c r="L218" i="136" s="1"/>
  <c r="J188" i="136"/>
  <c r="L188" i="136" s="1"/>
  <c r="J158" i="136"/>
  <c r="L158" i="136" s="1"/>
  <c r="J126" i="136"/>
  <c r="L126" i="136" s="1"/>
  <c r="J94" i="136"/>
  <c r="L94" i="136" s="1"/>
  <c r="J62" i="136"/>
  <c r="L62" i="136" s="1"/>
  <c r="J30" i="136"/>
  <c r="L30" i="136" s="1"/>
  <c r="F500" i="136"/>
  <c r="F499" i="136"/>
  <c r="F498" i="136"/>
  <c r="F497" i="136"/>
  <c r="F496" i="136"/>
  <c r="F131" i="136"/>
  <c r="F99" i="136"/>
  <c r="F67" i="136"/>
  <c r="F35" i="136"/>
  <c r="F3" i="136"/>
  <c r="F437" i="136"/>
  <c r="F407" i="136"/>
  <c r="F377" i="136"/>
  <c r="F347" i="136"/>
  <c r="F317" i="136"/>
  <c r="F287" i="136"/>
  <c r="F257" i="136"/>
  <c r="F227" i="136"/>
  <c r="F197" i="136"/>
  <c r="F167" i="136"/>
  <c r="F137" i="136"/>
  <c r="F105" i="136"/>
  <c r="F73" i="136"/>
  <c r="F41" i="136"/>
  <c r="F9" i="136"/>
  <c r="F466" i="136"/>
  <c r="F436" i="136"/>
  <c r="F406" i="136"/>
  <c r="F376" i="136"/>
  <c r="F346" i="136"/>
  <c r="F316" i="136"/>
  <c r="F286" i="136"/>
  <c r="F256" i="136"/>
  <c r="F226" i="136"/>
  <c r="F196" i="136"/>
  <c r="F166" i="136"/>
  <c r="F136" i="136"/>
  <c r="F104" i="136"/>
  <c r="F72" i="136"/>
  <c r="F40" i="136"/>
  <c r="F8" i="136"/>
  <c r="F465" i="136"/>
  <c r="F435" i="136"/>
  <c r="F405" i="136"/>
  <c r="F375" i="136"/>
  <c r="F345" i="136"/>
  <c r="F315" i="136"/>
  <c r="F285" i="136"/>
  <c r="F255" i="136"/>
  <c r="F225" i="136"/>
  <c r="F195" i="136"/>
  <c r="F165" i="136"/>
  <c r="F135" i="136"/>
  <c r="F103" i="136"/>
  <c r="F71" i="136"/>
  <c r="F39" i="136"/>
  <c r="F7" i="136"/>
  <c r="F443" i="136"/>
  <c r="F413" i="136"/>
  <c r="F383" i="136"/>
  <c r="F353" i="136"/>
  <c r="F323" i="136"/>
  <c r="F293" i="136"/>
  <c r="F263" i="136"/>
  <c r="F233" i="136"/>
  <c r="F203" i="136"/>
  <c r="F173" i="136"/>
  <c r="F143" i="136"/>
  <c r="F111" i="136"/>
  <c r="F79" i="136"/>
  <c r="F47" i="136"/>
  <c r="F15" i="136"/>
  <c r="F442" i="136"/>
  <c r="F412" i="136"/>
  <c r="F382" i="136"/>
  <c r="F352" i="136"/>
  <c r="F322" i="136"/>
  <c r="F292" i="136"/>
  <c r="F262" i="136"/>
  <c r="F232" i="136"/>
  <c r="F202" i="136"/>
  <c r="F172" i="136"/>
  <c r="F142" i="136"/>
  <c r="F110" i="136"/>
  <c r="F78" i="136"/>
  <c r="F46" i="136"/>
  <c r="F14" i="136"/>
  <c r="F441" i="136"/>
  <c r="F411" i="136"/>
  <c r="F381" i="136"/>
  <c r="F351" i="136"/>
  <c r="F321" i="136"/>
  <c r="F291" i="136"/>
  <c r="F261" i="136"/>
  <c r="F231" i="136"/>
  <c r="F201" i="136"/>
  <c r="F171" i="136"/>
  <c r="F141" i="136"/>
  <c r="F109" i="136"/>
  <c r="F77" i="136"/>
  <c r="F45" i="136"/>
  <c r="F13" i="136"/>
  <c r="F447" i="136"/>
  <c r="F417" i="136"/>
  <c r="F387" i="136"/>
  <c r="F357" i="136"/>
  <c r="F327" i="136"/>
  <c r="F297" i="136"/>
  <c r="F267" i="136"/>
  <c r="F237" i="136"/>
  <c r="F207" i="136"/>
  <c r="F177" i="136"/>
  <c r="F147" i="136"/>
  <c r="F115" i="136"/>
  <c r="F83" i="136"/>
  <c r="F51" i="136"/>
  <c r="F19" i="136"/>
  <c r="F446" i="136"/>
  <c r="F416" i="136"/>
  <c r="F386" i="136"/>
  <c r="F356" i="136"/>
  <c r="F326" i="136"/>
  <c r="F296" i="136"/>
  <c r="F266" i="136"/>
  <c r="F236" i="136"/>
  <c r="F206" i="136"/>
  <c r="F176" i="136"/>
  <c r="F146" i="136"/>
  <c r="F114" i="136"/>
  <c r="F82" i="136"/>
  <c r="F50" i="136"/>
  <c r="F18" i="136"/>
  <c r="F449" i="136"/>
  <c r="F419" i="136"/>
  <c r="F389" i="136"/>
  <c r="F359" i="136"/>
  <c r="F329" i="136"/>
  <c r="F299" i="136"/>
  <c r="F269" i="136"/>
  <c r="F239" i="136"/>
  <c r="F209" i="136"/>
  <c r="F179" i="136"/>
  <c r="F149" i="136"/>
  <c r="F117" i="136"/>
  <c r="F85" i="136"/>
  <c r="F53" i="136"/>
  <c r="F21" i="136"/>
  <c r="F451" i="136"/>
  <c r="F421" i="136"/>
  <c r="F391" i="136"/>
  <c r="F361" i="136"/>
  <c r="F331" i="136"/>
  <c r="F301" i="136"/>
  <c r="F271" i="136"/>
  <c r="F241" i="136"/>
  <c r="F211" i="136"/>
  <c r="F181" i="136"/>
  <c r="F151" i="136"/>
  <c r="F119" i="136"/>
  <c r="F87" i="136"/>
  <c r="F55" i="136"/>
  <c r="F23" i="136"/>
  <c r="F273" i="136"/>
  <c r="F243" i="136"/>
  <c r="F213" i="136"/>
  <c r="F183" i="136"/>
  <c r="F153" i="136"/>
  <c r="F121" i="136"/>
  <c r="F89" i="136"/>
  <c r="F57" i="136"/>
  <c r="F25" i="136"/>
  <c r="F453" i="136"/>
  <c r="F423" i="136"/>
  <c r="F393" i="136"/>
  <c r="F363" i="136"/>
  <c r="F333" i="136"/>
  <c r="F303" i="136"/>
  <c r="F275" i="136"/>
  <c r="F245" i="136"/>
  <c r="F215" i="136"/>
  <c r="F185" i="136"/>
  <c r="F155" i="136"/>
  <c r="F123" i="136"/>
  <c r="F91" i="136"/>
  <c r="F59" i="136"/>
  <c r="F27" i="136"/>
  <c r="F455" i="136"/>
  <c r="F425" i="136"/>
  <c r="F395" i="136"/>
  <c r="F365" i="136"/>
  <c r="F335" i="136"/>
  <c r="F305" i="136"/>
  <c r="F277" i="136"/>
  <c r="F247" i="136"/>
  <c r="F217" i="136"/>
  <c r="F187" i="136"/>
  <c r="F157" i="136"/>
  <c r="F125" i="136"/>
  <c r="F93" i="136"/>
  <c r="F61" i="136"/>
  <c r="F29" i="136"/>
  <c r="F457" i="136"/>
  <c r="F427" i="136"/>
  <c r="F397" i="136"/>
  <c r="F367" i="136"/>
  <c r="F337" i="136"/>
  <c r="F307" i="136"/>
  <c r="F461" i="136"/>
  <c r="F431" i="136"/>
  <c r="F401" i="136"/>
  <c r="F371" i="136"/>
  <c r="F341" i="136"/>
  <c r="F311" i="136"/>
  <c r="F281" i="136"/>
  <c r="F251" i="136"/>
  <c r="F221" i="136"/>
  <c r="F191" i="136"/>
  <c r="F161" i="136"/>
  <c r="F129" i="136"/>
  <c r="F97" i="136"/>
  <c r="F65" i="136"/>
  <c r="F33" i="136"/>
  <c r="F460" i="136"/>
  <c r="F430" i="136"/>
  <c r="F400" i="136"/>
  <c r="F370" i="136"/>
  <c r="F340" i="136"/>
  <c r="F310" i="136"/>
  <c r="F280" i="136"/>
  <c r="F250" i="136"/>
  <c r="F220" i="136"/>
  <c r="F190" i="136"/>
  <c r="F160" i="136"/>
  <c r="F128" i="136"/>
  <c r="F96" i="136"/>
  <c r="F64" i="136"/>
  <c r="F32" i="136"/>
  <c r="F130" i="136"/>
  <c r="F98" i="136"/>
  <c r="F66" i="136"/>
  <c r="F34" i="136"/>
  <c r="F2" i="136"/>
  <c r="F464" i="136"/>
  <c r="F434" i="136"/>
  <c r="F404" i="136"/>
  <c r="F374" i="136"/>
  <c r="F344" i="136"/>
  <c r="F314" i="136"/>
  <c r="F284" i="136"/>
  <c r="F254" i="136"/>
  <c r="F224" i="136"/>
  <c r="F194" i="136"/>
  <c r="F164" i="136"/>
  <c r="F134" i="136"/>
  <c r="F102" i="136"/>
  <c r="F70" i="136"/>
  <c r="F38" i="136"/>
  <c r="F6" i="136"/>
  <c r="F463" i="136"/>
  <c r="F433" i="136"/>
  <c r="F403" i="136"/>
  <c r="F373" i="136"/>
  <c r="F343" i="136"/>
  <c r="F313" i="136"/>
  <c r="F283" i="136"/>
  <c r="F253" i="136"/>
  <c r="F223" i="136"/>
  <c r="F193" i="136"/>
  <c r="F163" i="136"/>
  <c r="F133" i="136"/>
  <c r="F101" i="136"/>
  <c r="F69" i="136"/>
  <c r="F37" i="136"/>
  <c r="F5" i="136"/>
  <c r="F462" i="136"/>
  <c r="F432" i="136"/>
  <c r="F402" i="136"/>
  <c r="F372" i="136"/>
  <c r="F342" i="136"/>
  <c r="F312" i="136"/>
  <c r="F282" i="136"/>
  <c r="F252" i="136"/>
  <c r="F222" i="136"/>
  <c r="F192" i="136"/>
  <c r="F162" i="136"/>
  <c r="F132" i="136"/>
  <c r="F100" i="136"/>
  <c r="F68" i="136"/>
  <c r="F36" i="136"/>
  <c r="F4" i="136"/>
  <c r="F440" i="136"/>
  <c r="F410" i="136"/>
  <c r="F380" i="136"/>
  <c r="F350" i="136"/>
  <c r="F320" i="136"/>
  <c r="F290" i="136"/>
  <c r="F260" i="136"/>
  <c r="F230" i="136"/>
  <c r="F200" i="136"/>
  <c r="F170" i="136"/>
  <c r="F140" i="136"/>
  <c r="F108" i="136"/>
  <c r="F76" i="136"/>
  <c r="F44" i="136"/>
  <c r="F12" i="136"/>
  <c r="F439" i="136"/>
  <c r="F409" i="136"/>
  <c r="F379" i="136"/>
  <c r="F349" i="136"/>
  <c r="F319" i="136"/>
  <c r="F289" i="136"/>
  <c r="F259" i="136"/>
  <c r="F229" i="136"/>
  <c r="F199" i="136"/>
  <c r="F169" i="136"/>
  <c r="F139" i="136"/>
  <c r="F107" i="136"/>
  <c r="F75" i="136"/>
  <c r="F43" i="136"/>
  <c r="F11" i="136"/>
  <c r="F438" i="136"/>
  <c r="F408" i="136"/>
  <c r="F378" i="136"/>
  <c r="F348" i="136"/>
  <c r="F318" i="136"/>
  <c r="F288" i="136"/>
  <c r="F258" i="136"/>
  <c r="F228" i="136"/>
  <c r="F198" i="136"/>
  <c r="F168" i="136"/>
  <c r="F138" i="136"/>
  <c r="F106" i="136"/>
  <c r="F74" i="136"/>
  <c r="F42" i="136"/>
  <c r="F10" i="136"/>
  <c r="F445" i="136"/>
  <c r="F415" i="136"/>
  <c r="F385" i="136"/>
  <c r="F355" i="136"/>
  <c r="F325" i="136"/>
  <c r="F295" i="136"/>
  <c r="F265" i="136"/>
  <c r="F235" i="136"/>
  <c r="F205" i="136"/>
  <c r="F175" i="136"/>
  <c r="F145" i="136"/>
  <c r="F113" i="136"/>
  <c r="F81" i="136"/>
  <c r="F49" i="136"/>
  <c r="F17" i="136"/>
  <c r="F444" i="136"/>
  <c r="F414" i="136"/>
  <c r="F384" i="136"/>
  <c r="F354" i="136"/>
  <c r="F324" i="136"/>
  <c r="F294" i="136"/>
  <c r="F264" i="136"/>
  <c r="F234" i="136"/>
  <c r="F204" i="136"/>
  <c r="F174" i="136"/>
  <c r="F144" i="136"/>
  <c r="F112" i="136"/>
  <c r="F80" i="136"/>
  <c r="F48" i="136"/>
  <c r="F16" i="136"/>
  <c r="F448" i="136"/>
  <c r="F418" i="136"/>
  <c r="F388" i="136"/>
  <c r="F358" i="136"/>
  <c r="F328" i="136"/>
  <c r="F298" i="136"/>
  <c r="F268" i="136"/>
  <c r="F238" i="136"/>
  <c r="F208" i="136"/>
  <c r="F178" i="136"/>
  <c r="F148" i="136"/>
  <c r="F116" i="136"/>
  <c r="F84" i="136"/>
  <c r="F52" i="136"/>
  <c r="F20" i="136"/>
  <c r="F450" i="136"/>
  <c r="F420" i="136"/>
  <c r="F390" i="136"/>
  <c r="F360" i="136"/>
  <c r="F330" i="136"/>
  <c r="F300" i="136"/>
  <c r="F270" i="136"/>
  <c r="F240" i="136"/>
  <c r="F210" i="136"/>
  <c r="F180" i="136"/>
  <c r="F150" i="136"/>
  <c r="F118" i="136"/>
  <c r="F86" i="136"/>
  <c r="F54" i="136"/>
  <c r="F22" i="136"/>
  <c r="F272" i="136"/>
  <c r="F242" i="136"/>
  <c r="F212" i="136"/>
  <c r="F182" i="136"/>
  <c r="F152" i="136"/>
  <c r="F120" i="136"/>
  <c r="F88" i="136"/>
  <c r="F56" i="136"/>
  <c r="F24" i="136"/>
  <c r="F452" i="136"/>
  <c r="F422" i="136"/>
  <c r="F392" i="136"/>
  <c r="F362" i="136"/>
  <c r="F332" i="136"/>
  <c r="F302" i="136"/>
  <c r="F274" i="136"/>
  <c r="F244" i="136"/>
  <c r="F214" i="136"/>
  <c r="F184" i="136"/>
  <c r="F154" i="136"/>
  <c r="F122" i="136"/>
  <c r="F90" i="136"/>
  <c r="F58" i="136"/>
  <c r="F26" i="136"/>
  <c r="F454" i="136"/>
  <c r="F424" i="136"/>
  <c r="F394" i="136"/>
  <c r="F364" i="136"/>
  <c r="F334" i="136"/>
  <c r="F304" i="136"/>
  <c r="F276" i="136"/>
  <c r="F246" i="136"/>
  <c r="F216" i="136"/>
  <c r="F186" i="136"/>
  <c r="F156" i="136"/>
  <c r="F124" i="136"/>
  <c r="F92" i="136"/>
  <c r="F60" i="136"/>
  <c r="F28" i="136"/>
  <c r="F456" i="136"/>
  <c r="F426" i="136"/>
  <c r="F396" i="136"/>
  <c r="F366" i="136"/>
  <c r="F336" i="136"/>
  <c r="F306" i="136"/>
  <c r="F459" i="136"/>
  <c r="F429" i="136"/>
  <c r="F399" i="136"/>
  <c r="F369" i="136"/>
  <c r="F339" i="136"/>
  <c r="F309" i="136"/>
  <c r="F279" i="136"/>
  <c r="F249" i="136"/>
  <c r="F219" i="136"/>
  <c r="F189" i="136"/>
  <c r="F159" i="136"/>
  <c r="F127" i="136"/>
  <c r="F95" i="136"/>
  <c r="F63" i="136"/>
  <c r="F31" i="136"/>
  <c r="F458" i="136"/>
  <c r="F428" i="136"/>
  <c r="F398" i="136"/>
  <c r="F368" i="136"/>
  <c r="F338" i="136"/>
  <c r="F308" i="136"/>
  <c r="F278" i="136"/>
  <c r="F248" i="136"/>
  <c r="F218" i="136"/>
  <c r="F188" i="136"/>
  <c r="F158" i="136"/>
  <c r="F126" i="136"/>
  <c r="F94" i="136"/>
  <c r="F62" i="136"/>
  <c r="F30" i="136"/>
  <c r="D131" i="136"/>
  <c r="D99" i="136"/>
  <c r="D67" i="136"/>
  <c r="D35" i="136"/>
  <c r="D3" i="136"/>
  <c r="D437" i="136"/>
  <c r="D407" i="136"/>
  <c r="D377" i="136"/>
  <c r="D347" i="136"/>
  <c r="D317" i="136"/>
  <c r="D287" i="136"/>
  <c r="D257" i="136"/>
  <c r="D227" i="136"/>
  <c r="D197" i="136"/>
  <c r="D167" i="136"/>
  <c r="D137" i="136"/>
  <c r="D105" i="136"/>
  <c r="D73" i="136"/>
  <c r="D41" i="136"/>
  <c r="D9" i="136"/>
  <c r="D436" i="136"/>
  <c r="D406" i="136"/>
  <c r="D376" i="136"/>
  <c r="D346" i="136"/>
  <c r="D316" i="136"/>
  <c r="D286" i="136"/>
  <c r="D256" i="136"/>
  <c r="D226" i="136"/>
  <c r="D196" i="136"/>
  <c r="D166" i="136"/>
  <c r="D136" i="136"/>
  <c r="D104" i="136"/>
  <c r="D72" i="136"/>
  <c r="D40" i="136"/>
  <c r="D8" i="136"/>
  <c r="D465" i="136"/>
  <c r="D435" i="136"/>
  <c r="D405" i="136"/>
  <c r="D375" i="136"/>
  <c r="D345" i="136"/>
  <c r="D315" i="136"/>
  <c r="D285" i="136"/>
  <c r="D255" i="136"/>
  <c r="D225" i="136"/>
  <c r="D195" i="136"/>
  <c r="D165" i="136"/>
  <c r="D135" i="136"/>
  <c r="D103" i="136"/>
  <c r="D71" i="136"/>
  <c r="D39" i="136"/>
  <c r="D7" i="136"/>
  <c r="D443" i="136"/>
  <c r="D413" i="136"/>
  <c r="D383" i="136"/>
  <c r="D353" i="136"/>
  <c r="D323" i="136"/>
  <c r="D293" i="136"/>
  <c r="D263" i="136"/>
  <c r="D233" i="136"/>
  <c r="D203" i="136"/>
  <c r="D173" i="136"/>
  <c r="D143" i="136"/>
  <c r="D111" i="136"/>
  <c r="D79" i="136"/>
  <c r="D47" i="136"/>
  <c r="D15" i="136"/>
  <c r="D442" i="136"/>
  <c r="D412" i="136"/>
  <c r="D382" i="136"/>
  <c r="D352" i="136"/>
  <c r="D322" i="136"/>
  <c r="D292" i="136"/>
  <c r="D262" i="136"/>
  <c r="D232" i="136"/>
  <c r="D202" i="136"/>
  <c r="D172" i="136"/>
  <c r="D142" i="136"/>
  <c r="D110" i="136"/>
  <c r="D78" i="136"/>
  <c r="D46" i="136"/>
  <c r="D14" i="136"/>
  <c r="D441" i="136"/>
  <c r="D411" i="136"/>
  <c r="D381" i="136"/>
  <c r="D351" i="136"/>
  <c r="D321" i="136"/>
  <c r="D291" i="136"/>
  <c r="D261" i="136"/>
  <c r="D231" i="136"/>
  <c r="D201" i="136"/>
  <c r="D171" i="136"/>
  <c r="D141" i="136"/>
  <c r="D109" i="136"/>
  <c r="D77" i="136"/>
  <c r="D45" i="136"/>
  <c r="D13" i="136"/>
  <c r="D447" i="136"/>
  <c r="D417" i="136"/>
  <c r="D387" i="136"/>
  <c r="D357" i="136"/>
  <c r="D327" i="136"/>
  <c r="D297" i="136"/>
  <c r="D267" i="136"/>
  <c r="D237" i="136"/>
  <c r="D207" i="136"/>
  <c r="D177" i="136"/>
  <c r="D147" i="136"/>
  <c r="D115" i="136"/>
  <c r="D83" i="136"/>
  <c r="D51" i="136"/>
  <c r="D19" i="136"/>
  <c r="D446" i="136"/>
  <c r="D416" i="136"/>
  <c r="D386" i="136"/>
  <c r="D356" i="136"/>
  <c r="D326" i="136"/>
  <c r="D296" i="136"/>
  <c r="D266" i="136"/>
  <c r="D236" i="136"/>
  <c r="D206" i="136"/>
  <c r="D176" i="136"/>
  <c r="D146" i="136"/>
  <c r="D114" i="136"/>
  <c r="D82" i="136"/>
  <c r="D50" i="136"/>
  <c r="D18" i="136"/>
  <c r="D449" i="136"/>
  <c r="D419" i="136"/>
  <c r="D389" i="136"/>
  <c r="D359" i="136"/>
  <c r="D329" i="136"/>
  <c r="D299" i="136"/>
  <c r="D269" i="136"/>
  <c r="D239" i="136"/>
  <c r="D209" i="136"/>
  <c r="D179" i="136"/>
  <c r="D149" i="136"/>
  <c r="D117" i="136"/>
  <c r="D85" i="136"/>
  <c r="D53" i="136"/>
  <c r="D21" i="136"/>
  <c r="D451" i="136"/>
  <c r="D421" i="136"/>
  <c r="D391" i="136"/>
  <c r="D361" i="136"/>
  <c r="D331" i="136"/>
  <c r="D301" i="136"/>
  <c r="D271" i="136"/>
  <c r="D241" i="136"/>
  <c r="D211" i="136"/>
  <c r="D181" i="136"/>
  <c r="D151" i="136"/>
  <c r="D119" i="136"/>
  <c r="D87" i="136"/>
  <c r="D55" i="136"/>
  <c r="D23" i="136"/>
  <c r="D273" i="136"/>
  <c r="D243" i="136"/>
  <c r="D213" i="136"/>
  <c r="D183" i="136"/>
  <c r="D153" i="136"/>
  <c r="D121" i="136"/>
  <c r="D89" i="136"/>
  <c r="D57" i="136"/>
  <c r="D25" i="136"/>
  <c r="D453" i="136"/>
  <c r="D423" i="136"/>
  <c r="D393" i="136"/>
  <c r="D363" i="136"/>
  <c r="D333" i="136"/>
  <c r="D303" i="136"/>
  <c r="D275" i="136"/>
  <c r="D245" i="136"/>
  <c r="D215" i="136"/>
  <c r="D185" i="136"/>
  <c r="D155" i="136"/>
  <c r="D123" i="136"/>
  <c r="D91" i="136"/>
  <c r="D59" i="136"/>
  <c r="D27" i="136"/>
  <c r="D455" i="136"/>
  <c r="D425" i="136"/>
  <c r="D395" i="136"/>
  <c r="D365" i="136"/>
  <c r="D335" i="136"/>
  <c r="D305" i="136"/>
  <c r="D277" i="136"/>
  <c r="D247" i="136"/>
  <c r="D217" i="136"/>
  <c r="D187" i="136"/>
  <c r="D157" i="136"/>
  <c r="D125" i="136"/>
  <c r="D93" i="136"/>
  <c r="D61" i="136"/>
  <c r="D29" i="136"/>
  <c r="D457" i="136"/>
  <c r="D427" i="136"/>
  <c r="D397" i="136"/>
  <c r="D367" i="136"/>
  <c r="D337" i="136"/>
  <c r="D307" i="136"/>
  <c r="D461" i="136"/>
  <c r="D431" i="136"/>
  <c r="D401" i="136"/>
  <c r="D371" i="136"/>
  <c r="D341" i="136"/>
  <c r="D311" i="136"/>
  <c r="D281" i="136"/>
  <c r="D251" i="136"/>
  <c r="D221" i="136"/>
  <c r="D191" i="136"/>
  <c r="D161" i="136"/>
  <c r="D129" i="136"/>
  <c r="D97" i="136"/>
  <c r="D65" i="136"/>
  <c r="D33" i="136"/>
  <c r="D460" i="136"/>
  <c r="D430" i="136"/>
  <c r="D400" i="136"/>
  <c r="D370" i="136"/>
  <c r="D340" i="136"/>
  <c r="D310" i="136"/>
  <c r="D280" i="136"/>
  <c r="D250" i="136"/>
  <c r="D220" i="136"/>
  <c r="D190" i="136"/>
  <c r="D160" i="136"/>
  <c r="D128" i="136"/>
  <c r="D96" i="136"/>
  <c r="D64" i="136"/>
  <c r="D32" i="136"/>
  <c r="D130" i="136"/>
  <c r="D98" i="136"/>
  <c r="D66" i="136"/>
  <c r="D34" i="136"/>
  <c r="D2" i="136"/>
  <c r="D464" i="136"/>
  <c r="D434" i="136"/>
  <c r="D404" i="136"/>
  <c r="D374" i="136"/>
  <c r="D344" i="136"/>
  <c r="D314" i="136"/>
  <c r="D284" i="136"/>
  <c r="D254" i="136"/>
  <c r="D224" i="136"/>
  <c r="D194" i="136"/>
  <c r="D164" i="136"/>
  <c r="D134" i="136"/>
  <c r="D102" i="136"/>
  <c r="D70" i="136"/>
  <c r="D38" i="136"/>
  <c r="D6" i="136"/>
  <c r="D463" i="136"/>
  <c r="D433" i="136"/>
  <c r="D403" i="136"/>
  <c r="D373" i="136"/>
  <c r="D343" i="136"/>
  <c r="D313" i="136"/>
  <c r="D283" i="136"/>
  <c r="D253" i="136"/>
  <c r="D223" i="136"/>
  <c r="D193" i="136"/>
  <c r="D163" i="136"/>
  <c r="D133" i="136"/>
  <c r="D101" i="136"/>
  <c r="D69" i="136"/>
  <c r="D37" i="136"/>
  <c r="D5" i="136"/>
  <c r="D462" i="136"/>
  <c r="D432" i="136"/>
  <c r="D402" i="136"/>
  <c r="D372" i="136"/>
  <c r="D342" i="136"/>
  <c r="D312" i="136"/>
  <c r="D282" i="136"/>
  <c r="D252" i="136"/>
  <c r="D222" i="136"/>
  <c r="D192" i="136"/>
  <c r="D162" i="136"/>
  <c r="D132" i="136"/>
  <c r="D100" i="136"/>
  <c r="D68" i="136"/>
  <c r="D36" i="136"/>
  <c r="D4" i="136"/>
  <c r="D440" i="136"/>
  <c r="D410" i="136"/>
  <c r="D380" i="136"/>
  <c r="D350" i="136"/>
  <c r="D320" i="136"/>
  <c r="D290" i="136"/>
  <c r="D260" i="136"/>
  <c r="D230" i="136"/>
  <c r="D200" i="136"/>
  <c r="D170" i="136"/>
  <c r="D140" i="136"/>
  <c r="D108" i="136"/>
  <c r="D76" i="136"/>
  <c r="D44" i="136"/>
  <c r="D12" i="136"/>
  <c r="D439" i="136"/>
  <c r="D409" i="136"/>
  <c r="D379" i="136"/>
  <c r="D349" i="136"/>
  <c r="D319" i="136"/>
  <c r="D289" i="136"/>
  <c r="D259" i="136"/>
  <c r="D229" i="136"/>
  <c r="D199" i="136"/>
  <c r="D169" i="136"/>
  <c r="D139" i="136"/>
  <c r="D107" i="136"/>
  <c r="D75" i="136"/>
  <c r="D43" i="136"/>
  <c r="D11" i="136"/>
  <c r="D438" i="136"/>
  <c r="D408" i="136"/>
  <c r="D378" i="136"/>
  <c r="D348" i="136"/>
  <c r="D318" i="136"/>
  <c r="D288" i="136"/>
  <c r="D258" i="136"/>
  <c r="D228" i="136"/>
  <c r="D198" i="136"/>
  <c r="D168" i="136"/>
  <c r="D138" i="136"/>
  <c r="D106" i="136"/>
  <c r="D74" i="136"/>
  <c r="D42" i="136"/>
  <c r="D10" i="136"/>
  <c r="D445" i="136"/>
  <c r="D415" i="136"/>
  <c r="D385" i="136"/>
  <c r="D355" i="136"/>
  <c r="D325" i="136"/>
  <c r="D295" i="136"/>
  <c r="D265" i="136"/>
  <c r="D235" i="136"/>
  <c r="D205" i="136"/>
  <c r="D175" i="136"/>
  <c r="D145" i="136"/>
  <c r="D113" i="136"/>
  <c r="D81" i="136"/>
  <c r="D49" i="136"/>
  <c r="D17" i="136"/>
  <c r="D444" i="136"/>
  <c r="D414" i="136"/>
  <c r="D384" i="136"/>
  <c r="D354" i="136"/>
  <c r="D324" i="136"/>
  <c r="D294" i="136"/>
  <c r="D264" i="136"/>
  <c r="D234" i="136"/>
  <c r="D204" i="136"/>
  <c r="D174" i="136"/>
  <c r="D144" i="136"/>
  <c r="D112" i="136"/>
  <c r="D80" i="136"/>
  <c r="D48" i="136"/>
  <c r="D16" i="136"/>
  <c r="D448" i="136"/>
  <c r="D418" i="136"/>
  <c r="D388" i="136"/>
  <c r="D358" i="136"/>
  <c r="D328" i="136"/>
  <c r="D298" i="136"/>
  <c r="D268" i="136"/>
  <c r="D238" i="136"/>
  <c r="D208" i="136"/>
  <c r="D178" i="136"/>
  <c r="D148" i="136"/>
  <c r="D116" i="136"/>
  <c r="D84" i="136"/>
  <c r="D52" i="136"/>
  <c r="D20" i="136"/>
  <c r="D450" i="136"/>
  <c r="D420" i="136"/>
  <c r="D390" i="136"/>
  <c r="D360" i="136"/>
  <c r="D330" i="136"/>
  <c r="D300" i="136"/>
  <c r="D270" i="136"/>
  <c r="D240" i="136"/>
  <c r="D210" i="136"/>
  <c r="D180" i="136"/>
  <c r="D150" i="136"/>
  <c r="D118" i="136"/>
  <c r="D86" i="136"/>
  <c r="D54" i="136"/>
  <c r="D22" i="136"/>
  <c r="D272" i="136"/>
  <c r="D242" i="136"/>
  <c r="D212" i="136"/>
  <c r="D182" i="136"/>
  <c r="D152" i="136"/>
  <c r="D120" i="136"/>
  <c r="D88" i="136"/>
  <c r="D56" i="136"/>
  <c r="D24" i="136"/>
  <c r="D452" i="136"/>
  <c r="D422" i="136"/>
  <c r="D392" i="136"/>
  <c r="D362" i="136"/>
  <c r="D332" i="136"/>
  <c r="D302" i="136"/>
  <c r="D274" i="136"/>
  <c r="D244" i="136"/>
  <c r="D214" i="136"/>
  <c r="D184" i="136"/>
  <c r="D154" i="136"/>
  <c r="D122" i="136"/>
  <c r="D90" i="136"/>
  <c r="D58" i="136"/>
  <c r="D26" i="136"/>
  <c r="D454" i="136"/>
  <c r="D424" i="136"/>
  <c r="D394" i="136"/>
  <c r="D364" i="136"/>
  <c r="D334" i="136"/>
  <c r="D304" i="136"/>
  <c r="D276" i="136"/>
  <c r="D246" i="136"/>
  <c r="D216" i="136"/>
  <c r="D186" i="136"/>
  <c r="D156" i="136"/>
  <c r="D124" i="136"/>
  <c r="D92" i="136"/>
  <c r="D60" i="136"/>
  <c r="D28" i="136"/>
  <c r="D456" i="136"/>
  <c r="D426" i="136"/>
  <c r="D396" i="136"/>
  <c r="D366" i="136"/>
  <c r="D336" i="136"/>
  <c r="D306" i="136"/>
  <c r="D459" i="136"/>
  <c r="D429" i="136"/>
  <c r="D399" i="136"/>
  <c r="D369" i="136"/>
  <c r="D339" i="136"/>
  <c r="D309" i="136"/>
  <c r="D279" i="136"/>
  <c r="D249" i="136"/>
  <c r="D219" i="136"/>
  <c r="D189" i="136"/>
  <c r="D159" i="136"/>
  <c r="D127" i="136"/>
  <c r="D95" i="136"/>
  <c r="D63" i="136"/>
  <c r="D31" i="136"/>
  <c r="D458" i="136"/>
  <c r="D428" i="136"/>
  <c r="D398" i="136"/>
  <c r="D368" i="136"/>
  <c r="D338" i="136"/>
  <c r="D308" i="136"/>
  <c r="D278" i="136"/>
  <c r="D248" i="136"/>
  <c r="D218" i="136"/>
  <c r="D188" i="136"/>
  <c r="D158" i="136"/>
  <c r="D126" i="136"/>
  <c r="D94" i="136"/>
  <c r="D62" i="136"/>
  <c r="D30" i="136"/>
  <c r="B499" i="136"/>
  <c r="B498" i="136"/>
  <c r="B497" i="136"/>
  <c r="B496" i="136"/>
  <c r="B495" i="136"/>
  <c r="B131" i="136"/>
  <c r="B99" i="136"/>
  <c r="B67" i="136"/>
  <c r="B35" i="136"/>
  <c r="B3" i="136"/>
  <c r="B467" i="136"/>
  <c r="B437" i="136"/>
  <c r="B407" i="136"/>
  <c r="B377" i="136"/>
  <c r="B347" i="136"/>
  <c r="B317" i="136"/>
  <c r="B287" i="136"/>
  <c r="B257" i="136"/>
  <c r="B227" i="136"/>
  <c r="B197" i="136"/>
  <c r="B167" i="136"/>
  <c r="B137" i="136"/>
  <c r="B105" i="136"/>
  <c r="B73" i="136"/>
  <c r="B41" i="136"/>
  <c r="B9" i="136"/>
  <c r="B466" i="136"/>
  <c r="B436" i="136"/>
  <c r="B406" i="136"/>
  <c r="B376" i="136"/>
  <c r="B346" i="136"/>
  <c r="B316" i="136"/>
  <c r="B286" i="136"/>
  <c r="B256" i="136"/>
  <c r="B226" i="136"/>
  <c r="B196" i="136"/>
  <c r="B166" i="136"/>
  <c r="B136" i="136"/>
  <c r="B104" i="136"/>
  <c r="B72" i="136"/>
  <c r="B40" i="136"/>
  <c r="B8" i="136"/>
  <c r="B465" i="136"/>
  <c r="B435" i="136"/>
  <c r="B405" i="136"/>
  <c r="B375" i="136"/>
  <c r="B345" i="136"/>
  <c r="B315" i="136"/>
  <c r="B285" i="136"/>
  <c r="B255" i="136"/>
  <c r="B225" i="136"/>
  <c r="B195" i="136"/>
  <c r="B165" i="136"/>
  <c r="B135" i="136"/>
  <c r="B103" i="136"/>
  <c r="B71" i="136"/>
  <c r="B39" i="136"/>
  <c r="B7" i="136"/>
  <c r="B443" i="136"/>
  <c r="B413" i="136"/>
  <c r="B383" i="136"/>
  <c r="B353" i="136"/>
  <c r="B323" i="136"/>
  <c r="B293" i="136"/>
  <c r="B263" i="136"/>
  <c r="B233" i="136"/>
  <c r="B203" i="136"/>
  <c r="B173" i="136"/>
  <c r="B143" i="136"/>
  <c r="B111" i="136"/>
  <c r="B79" i="136"/>
  <c r="B47" i="136"/>
  <c r="B15" i="136"/>
  <c r="B442" i="136"/>
  <c r="B412" i="136"/>
  <c r="B382" i="136"/>
  <c r="B352" i="136"/>
  <c r="B322" i="136"/>
  <c r="B292" i="136"/>
  <c r="B262" i="136"/>
  <c r="B232" i="136"/>
  <c r="B202" i="136"/>
  <c r="B172" i="136"/>
  <c r="B142" i="136"/>
  <c r="B110" i="136"/>
  <c r="B78" i="136"/>
  <c r="B46" i="136"/>
  <c r="B14" i="136"/>
  <c r="B441" i="136"/>
  <c r="B411" i="136"/>
  <c r="B381" i="136"/>
  <c r="B351" i="136"/>
  <c r="B321" i="136"/>
  <c r="B291" i="136"/>
  <c r="B261" i="136"/>
  <c r="B231" i="136"/>
  <c r="B201" i="136"/>
  <c r="B171" i="136"/>
  <c r="B141" i="136"/>
  <c r="B109" i="136"/>
  <c r="B77" i="136"/>
  <c r="B45" i="136"/>
  <c r="B13" i="136"/>
  <c r="B447" i="136"/>
  <c r="B417" i="136"/>
  <c r="B387" i="136"/>
  <c r="B357" i="136"/>
  <c r="B327" i="136"/>
  <c r="B297" i="136"/>
  <c r="B267" i="136"/>
  <c r="B237" i="136"/>
  <c r="B207" i="136"/>
  <c r="B177" i="136"/>
  <c r="B147" i="136"/>
  <c r="B115" i="136"/>
  <c r="B83" i="136"/>
  <c r="B51" i="136"/>
  <c r="B19" i="136"/>
  <c r="B446" i="136"/>
  <c r="B416" i="136"/>
  <c r="B386" i="136"/>
  <c r="B356" i="136"/>
  <c r="B326" i="136"/>
  <c r="B296" i="136"/>
  <c r="B266" i="136"/>
  <c r="B236" i="136"/>
  <c r="B206" i="136"/>
  <c r="B176" i="136"/>
  <c r="B146" i="136"/>
  <c r="B114" i="136"/>
  <c r="B82" i="136"/>
  <c r="B50" i="136"/>
  <c r="B18" i="136"/>
  <c r="B449" i="136"/>
  <c r="B419" i="136"/>
  <c r="B389" i="136"/>
  <c r="B359" i="136"/>
  <c r="B329" i="136"/>
  <c r="B299" i="136"/>
  <c r="B269" i="136"/>
  <c r="B239" i="136"/>
  <c r="B209" i="136"/>
  <c r="B179" i="136"/>
  <c r="B149" i="136"/>
  <c r="B117" i="136"/>
  <c r="B85" i="136"/>
  <c r="B53" i="136"/>
  <c r="B21" i="136"/>
  <c r="B451" i="136"/>
  <c r="B421" i="136"/>
  <c r="B391" i="136"/>
  <c r="B361" i="136"/>
  <c r="B331" i="136"/>
  <c r="B301" i="136"/>
  <c r="B271" i="136"/>
  <c r="B241" i="136"/>
  <c r="B211" i="136"/>
  <c r="B181" i="136"/>
  <c r="B151" i="136"/>
  <c r="B119" i="136"/>
  <c r="B87" i="136"/>
  <c r="B55" i="136"/>
  <c r="B23" i="136"/>
  <c r="B273" i="136"/>
  <c r="B243" i="136"/>
  <c r="B213" i="136"/>
  <c r="B183" i="136"/>
  <c r="B153" i="136"/>
  <c r="B121" i="136"/>
  <c r="B89" i="136"/>
  <c r="B57" i="136"/>
  <c r="B25" i="136"/>
  <c r="B453" i="136"/>
  <c r="B423" i="136"/>
  <c r="B393" i="136"/>
  <c r="B363" i="136"/>
  <c r="B333" i="136"/>
  <c r="B303" i="136"/>
  <c r="B275" i="136"/>
  <c r="B245" i="136"/>
  <c r="B215" i="136"/>
  <c r="B185" i="136"/>
  <c r="B155" i="136"/>
  <c r="B123" i="136"/>
  <c r="B91" i="136"/>
  <c r="B59" i="136"/>
  <c r="B27" i="136"/>
  <c r="B455" i="136"/>
  <c r="B425" i="136"/>
  <c r="B395" i="136"/>
  <c r="B365" i="136"/>
  <c r="B335" i="136"/>
  <c r="B305" i="136"/>
  <c r="B277" i="136"/>
  <c r="B247" i="136"/>
  <c r="B217" i="136"/>
  <c r="B187" i="136"/>
  <c r="B157" i="136"/>
  <c r="B125" i="136"/>
  <c r="B93" i="136"/>
  <c r="B61" i="136"/>
  <c r="B29" i="136"/>
  <c r="B457" i="136"/>
  <c r="B427" i="136"/>
  <c r="B397" i="136"/>
  <c r="B367" i="136"/>
  <c r="B337" i="136"/>
  <c r="B307" i="136"/>
  <c r="B461" i="136"/>
  <c r="B431" i="136"/>
  <c r="B401" i="136"/>
  <c r="B371" i="136"/>
  <c r="B341" i="136"/>
  <c r="B311" i="136"/>
  <c r="B281" i="136"/>
  <c r="B251" i="136"/>
  <c r="B221" i="136"/>
  <c r="B191" i="136"/>
  <c r="B161" i="136"/>
  <c r="B129" i="136"/>
  <c r="B97" i="136"/>
  <c r="B65" i="136"/>
  <c r="B33" i="136"/>
  <c r="B460" i="136"/>
  <c r="B430" i="136"/>
  <c r="B400" i="136"/>
  <c r="B370" i="136"/>
  <c r="B340" i="136"/>
  <c r="B310" i="136"/>
  <c r="B280" i="136"/>
  <c r="B250" i="136"/>
  <c r="B220" i="136"/>
  <c r="B190" i="136"/>
  <c r="B160" i="136"/>
  <c r="B128" i="136"/>
  <c r="B96" i="136"/>
  <c r="B64" i="136"/>
  <c r="B32" i="136"/>
  <c r="B130" i="136"/>
  <c r="B98" i="136"/>
  <c r="B66" i="136"/>
  <c r="B34" i="136"/>
  <c r="B2" i="136"/>
  <c r="B464" i="136"/>
  <c r="B434" i="136"/>
  <c r="B404" i="136"/>
  <c r="B374" i="136"/>
  <c r="B344" i="136"/>
  <c r="B314" i="136"/>
  <c r="B284" i="136"/>
  <c r="B254" i="136"/>
  <c r="B224" i="136"/>
  <c r="B194" i="136"/>
  <c r="B164" i="136"/>
  <c r="B134" i="136"/>
  <c r="B102" i="136"/>
  <c r="B70" i="136"/>
  <c r="B38" i="136"/>
  <c r="B6" i="136"/>
  <c r="B463" i="136"/>
  <c r="B433" i="136"/>
  <c r="B403" i="136"/>
  <c r="B373" i="136"/>
  <c r="B343" i="136"/>
  <c r="B313" i="136"/>
  <c r="B283" i="136"/>
  <c r="B253" i="136"/>
  <c r="B223" i="136"/>
  <c r="B193" i="136"/>
  <c r="B163" i="136"/>
  <c r="B133" i="136"/>
  <c r="B101" i="136"/>
  <c r="B69" i="136"/>
  <c r="B37" i="136"/>
  <c r="B5" i="136"/>
  <c r="B462" i="136"/>
  <c r="B432" i="136"/>
  <c r="B402" i="136"/>
  <c r="B372" i="136"/>
  <c r="B342" i="136"/>
  <c r="B312" i="136"/>
  <c r="B282" i="136"/>
  <c r="B252" i="136"/>
  <c r="B222" i="136"/>
  <c r="B192" i="136"/>
  <c r="B162" i="136"/>
  <c r="B132" i="136"/>
  <c r="B100" i="136"/>
  <c r="B68" i="136"/>
  <c r="B36" i="136"/>
  <c r="B4" i="136"/>
  <c r="B440" i="136"/>
  <c r="B410" i="136"/>
  <c r="B380" i="136"/>
  <c r="B350" i="136"/>
  <c r="B320" i="136"/>
  <c r="B290" i="136"/>
  <c r="B260" i="136"/>
  <c r="B230" i="136"/>
  <c r="B200" i="136"/>
  <c r="B170" i="136"/>
  <c r="B140" i="136"/>
  <c r="B108" i="136"/>
  <c r="B76" i="136"/>
  <c r="B44" i="136"/>
  <c r="B12" i="136"/>
  <c r="B439" i="136"/>
  <c r="B409" i="136"/>
  <c r="B379" i="136"/>
  <c r="B349" i="136"/>
  <c r="B319" i="136"/>
  <c r="B289" i="136"/>
  <c r="B259" i="136"/>
  <c r="B229" i="136"/>
  <c r="B199" i="136"/>
  <c r="B169" i="136"/>
  <c r="B139" i="136"/>
  <c r="B107" i="136"/>
  <c r="B75" i="136"/>
  <c r="B43" i="136"/>
  <c r="B11" i="136"/>
  <c r="B438" i="136"/>
  <c r="B408" i="136"/>
  <c r="B378" i="136"/>
  <c r="B348" i="136"/>
  <c r="B318" i="136"/>
  <c r="B288" i="136"/>
  <c r="B258" i="136"/>
  <c r="B228" i="136"/>
  <c r="B198" i="136"/>
  <c r="B168" i="136"/>
  <c r="B138" i="136"/>
  <c r="B106" i="136"/>
  <c r="B74" i="136"/>
  <c r="B42" i="136"/>
  <c r="B10" i="136"/>
  <c r="B445" i="136"/>
  <c r="B415" i="136"/>
  <c r="B385" i="136"/>
  <c r="B355" i="136"/>
  <c r="B325" i="136"/>
  <c r="B295" i="136"/>
  <c r="B265" i="136"/>
  <c r="B235" i="136"/>
  <c r="B205" i="136"/>
  <c r="B175" i="136"/>
  <c r="B145" i="136"/>
  <c r="B113" i="136"/>
  <c r="B81" i="136"/>
  <c r="B49" i="136"/>
  <c r="B17" i="136"/>
  <c r="B444" i="136"/>
  <c r="B414" i="136"/>
  <c r="B384" i="136"/>
  <c r="B354" i="136"/>
  <c r="B324" i="136"/>
  <c r="B294" i="136"/>
  <c r="B264" i="136"/>
  <c r="B234" i="136"/>
  <c r="B204" i="136"/>
  <c r="B174" i="136"/>
  <c r="B144" i="136"/>
  <c r="B112" i="136"/>
  <c r="B80" i="136"/>
  <c r="B48" i="136"/>
  <c r="B16" i="136"/>
  <c r="B448" i="136"/>
  <c r="B418" i="136"/>
  <c r="B388" i="136"/>
  <c r="B358" i="136"/>
  <c r="B328" i="136"/>
  <c r="B298" i="136"/>
  <c r="B268" i="136"/>
  <c r="B238" i="136"/>
  <c r="B208" i="136"/>
  <c r="B178" i="136"/>
  <c r="B148" i="136"/>
  <c r="B116" i="136"/>
  <c r="B84" i="136"/>
  <c r="B52" i="136"/>
  <c r="B20" i="136"/>
  <c r="B450" i="136"/>
  <c r="B420" i="136"/>
  <c r="B390" i="136"/>
  <c r="B360" i="136"/>
  <c r="B330" i="136"/>
  <c r="B300" i="136"/>
  <c r="B270" i="136"/>
  <c r="B240" i="136"/>
  <c r="B210" i="136"/>
  <c r="B180" i="136"/>
  <c r="B150" i="136"/>
  <c r="B118" i="136"/>
  <c r="B86" i="136"/>
  <c r="B54" i="136"/>
  <c r="B22" i="136"/>
  <c r="B272" i="136"/>
  <c r="B242" i="136"/>
  <c r="B212" i="136"/>
  <c r="B182" i="136"/>
  <c r="B152" i="136"/>
  <c r="B120" i="136"/>
  <c r="B88" i="136"/>
  <c r="B56" i="136"/>
  <c r="B24" i="136"/>
  <c r="B452" i="136"/>
  <c r="B422" i="136"/>
  <c r="B392" i="136"/>
  <c r="B362" i="136"/>
  <c r="B332" i="136"/>
  <c r="B302" i="136"/>
  <c r="B274" i="136"/>
  <c r="B244" i="136"/>
  <c r="B214" i="136"/>
  <c r="B184" i="136"/>
  <c r="B154" i="136"/>
  <c r="B122" i="136"/>
  <c r="B90" i="136"/>
  <c r="B58" i="136"/>
  <c r="B26" i="136"/>
  <c r="B454" i="136"/>
  <c r="B424" i="136"/>
  <c r="B394" i="136"/>
  <c r="B364" i="136"/>
  <c r="B334" i="136"/>
  <c r="B304" i="136"/>
  <c r="B276" i="136"/>
  <c r="B246" i="136"/>
  <c r="B216" i="136"/>
  <c r="B186" i="136"/>
  <c r="B156" i="136"/>
  <c r="B124" i="136"/>
  <c r="B92" i="136"/>
  <c r="B60" i="136"/>
  <c r="B28" i="136"/>
  <c r="B456" i="136"/>
  <c r="B426" i="136"/>
  <c r="B396" i="136"/>
  <c r="B366" i="136"/>
  <c r="B336" i="136"/>
  <c r="B306" i="136"/>
  <c r="B459" i="136"/>
  <c r="B429" i="136"/>
  <c r="B399" i="136"/>
  <c r="B369" i="136"/>
  <c r="B339" i="136"/>
  <c r="B309" i="136"/>
  <c r="B279" i="136"/>
  <c r="B249" i="136"/>
  <c r="B219" i="136"/>
  <c r="B189" i="136"/>
  <c r="B159" i="136"/>
  <c r="B127" i="136"/>
  <c r="B95" i="136"/>
  <c r="B63" i="136"/>
  <c r="B31" i="136"/>
  <c r="B458" i="136"/>
  <c r="B428" i="136"/>
  <c r="B398" i="136"/>
  <c r="B368" i="136"/>
  <c r="B338" i="136"/>
  <c r="B308" i="136"/>
  <c r="B278" i="136"/>
  <c r="B248" i="136"/>
  <c r="B218" i="136"/>
  <c r="B188" i="136"/>
  <c r="B158" i="136"/>
  <c r="B126" i="136"/>
  <c r="B94" i="136"/>
  <c r="B62" i="136"/>
  <c r="B30" i="136"/>
  <c r="E11" i="60"/>
  <c r="E19" i="60"/>
  <c r="E13" i="60"/>
  <c r="E14" i="60"/>
  <c r="D16" i="60"/>
  <c r="E18" i="60"/>
  <c r="E22" i="60"/>
  <c r="E15" i="60"/>
  <c r="E26" i="60"/>
  <c r="E23" i="60"/>
  <c r="E17" i="60"/>
  <c r="E12" i="60"/>
  <c r="E20" i="60"/>
  <c r="E21" i="60"/>
  <c r="E25" i="60"/>
  <c r="E5" i="60"/>
  <c r="E9" i="60"/>
  <c r="E8" i="60"/>
  <c r="E6" i="60"/>
  <c r="T8" i="41"/>
  <c r="T16" i="41"/>
  <c r="U9" i="41"/>
  <c r="AE16" i="41" l="1"/>
  <c r="N312" i="41" s="1"/>
  <c r="AD16" i="41"/>
  <c r="O311" i="41" s="1"/>
  <c r="E27" i="60"/>
  <c r="E30" i="60" s="1"/>
  <c r="L60" i="136"/>
  <c r="L59" i="136"/>
  <c r="E29" i="60"/>
  <c r="E28" i="60"/>
  <c r="E31" i="60" s="1"/>
  <c r="E10" i="60"/>
  <c r="E32" i="60" s="1"/>
  <c r="E7" i="60"/>
  <c r="F32" i="60"/>
  <c r="AD8" i="41"/>
  <c r="AE8" i="41"/>
  <c r="S3" i="41"/>
  <c r="AA1" i="53"/>
  <c r="Y3" i="5"/>
  <c r="D18" i="60"/>
  <c r="D22" i="60"/>
  <c r="D11" i="60"/>
  <c r="D12" i="60"/>
  <c r="D15" i="60"/>
  <c r="D19" i="60"/>
  <c r="D20" i="60"/>
  <c r="D26" i="60"/>
  <c r="D23" i="60"/>
  <c r="D21" i="60"/>
  <c r="C16" i="60"/>
  <c r="D25" i="60"/>
  <c r="D13" i="60"/>
  <c r="D17" i="60"/>
  <c r="D14" i="60"/>
  <c r="Y20" i="5"/>
  <c r="Y16" i="5"/>
  <c r="D5" i="60"/>
  <c r="AA102" i="1"/>
  <c r="D6" i="60"/>
  <c r="T9" i="41"/>
  <c r="S16" i="41"/>
  <c r="S9" i="41"/>
  <c r="O165" i="41" l="1"/>
  <c r="N166" i="41"/>
  <c r="D27" i="60"/>
  <c r="D30" i="60" s="1"/>
  <c r="AD9" i="41"/>
  <c r="O183" i="41" s="1"/>
  <c r="AE9" i="41"/>
  <c r="N184" i="41" s="1"/>
  <c r="P184" i="41" s="1"/>
  <c r="D28" i="60"/>
  <c r="D31" i="60" s="1"/>
  <c r="Z1" i="53"/>
  <c r="R3" i="41"/>
  <c r="X3" i="5"/>
  <c r="C15" i="60"/>
  <c r="C13" i="60"/>
  <c r="C19" i="60"/>
  <c r="C14" i="60"/>
  <c r="C25" i="60"/>
  <c r="C22" i="60"/>
  <c r="C20" i="60"/>
  <c r="C11" i="60"/>
  <c r="C18" i="60"/>
  <c r="C26" i="60"/>
  <c r="C23" i="60"/>
  <c r="C17" i="60"/>
  <c r="C21" i="60"/>
  <c r="C12" i="60"/>
  <c r="Y13" i="5"/>
  <c r="AA56" i="53"/>
  <c r="AA8" i="53"/>
  <c r="Y4" i="5"/>
  <c r="Y9" i="5"/>
  <c r="AA72" i="53"/>
  <c r="AA24" i="53"/>
  <c r="Y12" i="5"/>
  <c r="Y5" i="5"/>
  <c r="AA103" i="53"/>
  <c r="AA7" i="53"/>
  <c r="AA63" i="53"/>
  <c r="AA95" i="53"/>
  <c r="AA40" i="53"/>
  <c r="X16" i="5"/>
  <c r="AA31" i="53"/>
  <c r="AA104" i="53"/>
  <c r="AA16" i="53"/>
  <c r="Y6" i="5"/>
  <c r="AA47" i="53"/>
  <c r="AA32" i="53"/>
  <c r="AA111" i="53"/>
  <c r="AA71" i="53"/>
  <c r="Y8" i="5"/>
  <c r="AA55" i="53"/>
  <c r="AA96" i="53"/>
  <c r="AA64" i="53"/>
  <c r="X8" i="5"/>
  <c r="AA15" i="53"/>
  <c r="AA48" i="53"/>
  <c r="AA79" i="53"/>
  <c r="Y18" i="5"/>
  <c r="AA23" i="53"/>
  <c r="Y11" i="5"/>
  <c r="Y7" i="5"/>
  <c r="AA88" i="53"/>
  <c r="AA80" i="53"/>
  <c r="Y14" i="5"/>
  <c r="AA112" i="53"/>
  <c r="AA39" i="53"/>
  <c r="AA87" i="53"/>
  <c r="Y10" i="5"/>
  <c r="Y15" i="5"/>
  <c r="Z93" i="53"/>
  <c r="AA61" i="53"/>
  <c r="AA37" i="53"/>
  <c r="AA29" i="53"/>
  <c r="AA13" i="53"/>
  <c r="AA5" i="53"/>
  <c r="AA101" i="53"/>
  <c r="AA85" i="53"/>
  <c r="AA45" i="53"/>
  <c r="C6" i="60"/>
  <c r="AA93" i="53"/>
  <c r="AA53" i="53"/>
  <c r="AA109" i="53"/>
  <c r="Z77" i="53"/>
  <c r="AA69" i="53"/>
  <c r="AA77" i="53"/>
  <c r="AA21" i="53"/>
  <c r="C5" i="60"/>
  <c r="S8" i="41"/>
  <c r="AA52" i="53"/>
  <c r="AA42" i="53"/>
  <c r="AA100" i="53"/>
  <c r="AA99" i="53"/>
  <c r="AA34" i="53"/>
  <c r="AA36" i="53"/>
  <c r="R9" i="41"/>
  <c r="R16" i="41"/>
  <c r="AA50" i="53"/>
  <c r="AA44" i="53"/>
  <c r="AA51" i="53"/>
  <c r="AA43" i="53"/>
  <c r="AA35" i="53"/>
  <c r="AA98" i="53"/>
  <c r="Y19" i="5" l="1"/>
  <c r="Y17" i="5"/>
  <c r="AG16" i="5"/>
  <c r="AA102" i="53"/>
  <c r="AA105" i="53" s="1"/>
  <c r="Y1" i="53"/>
  <c r="X1" i="53" s="1"/>
  <c r="C27" i="60"/>
  <c r="C30" i="60" s="1"/>
  <c r="AA46" i="53"/>
  <c r="AA49" i="53" s="1"/>
  <c r="AA54" i="53"/>
  <c r="AA57" i="53" s="1"/>
  <c r="AG8" i="5"/>
  <c r="T190" i="5" s="1"/>
  <c r="T191" i="5" s="1"/>
  <c r="AA38" i="53"/>
  <c r="AA41" i="53" s="1"/>
  <c r="C28" i="60"/>
  <c r="C31" i="60" s="1"/>
  <c r="Q3" i="41"/>
  <c r="W3" i="5"/>
  <c r="Z39" i="53"/>
  <c r="X11" i="5"/>
  <c r="X9" i="5"/>
  <c r="Z63" i="53"/>
  <c r="Z23" i="53"/>
  <c r="Z71" i="53"/>
  <c r="X12" i="5"/>
  <c r="Z80" i="53"/>
  <c r="Z79" i="53"/>
  <c r="Z103" i="53"/>
  <c r="Z96" i="53"/>
  <c r="Y31" i="53"/>
  <c r="Z88" i="53"/>
  <c r="X15" i="5"/>
  <c r="X18" i="5"/>
  <c r="W16" i="5"/>
  <c r="Z47" i="53"/>
  <c r="Z111" i="53"/>
  <c r="Z31" i="53"/>
  <c r="X14" i="5"/>
  <c r="Z112" i="53"/>
  <c r="X20" i="5"/>
  <c r="X5" i="5"/>
  <c r="Z32" i="53"/>
  <c r="Z56" i="53"/>
  <c r="Z95" i="53"/>
  <c r="Z40" i="53"/>
  <c r="Z104" i="53"/>
  <c r="Z15" i="53"/>
  <c r="X16" i="53"/>
  <c r="X10" i="5"/>
  <c r="X4" i="5"/>
  <c r="Z8" i="53"/>
  <c r="Z24" i="53"/>
  <c r="X6" i="5"/>
  <c r="Z87" i="53"/>
  <c r="Y48" i="53"/>
  <c r="Z64" i="53"/>
  <c r="X7" i="5"/>
  <c r="Z72" i="53"/>
  <c r="X13" i="5"/>
  <c r="Z16" i="53"/>
  <c r="Z48" i="53"/>
  <c r="Z55" i="53"/>
  <c r="Z7" i="53"/>
  <c r="Z5" i="53"/>
  <c r="Z13" i="53"/>
  <c r="Z109" i="53"/>
  <c r="Z101" i="53"/>
  <c r="Z21" i="53"/>
  <c r="Z85" i="53"/>
  <c r="Z37" i="53"/>
  <c r="Z61" i="53"/>
  <c r="Z53" i="53"/>
  <c r="Z45" i="53"/>
  <c r="Z29" i="53"/>
  <c r="Z69" i="53"/>
  <c r="Z98" i="53"/>
  <c r="Z36" i="53"/>
  <c r="Z34" i="53"/>
  <c r="Z50" i="53"/>
  <c r="Y36" i="53"/>
  <c r="Z43" i="53"/>
  <c r="Z35" i="53"/>
  <c r="R8" i="41"/>
  <c r="Z99" i="53"/>
  <c r="Q9" i="41"/>
  <c r="Q16" i="41"/>
  <c r="Z42" i="53"/>
  <c r="Z51" i="53"/>
  <c r="Z44" i="53"/>
  <c r="Z100" i="53"/>
  <c r="Z52" i="53"/>
  <c r="X19" i="5" l="1"/>
  <c r="AG19" i="5" s="1"/>
  <c r="X17" i="5"/>
  <c r="Z102" i="53"/>
  <c r="Z105" i="53" s="1"/>
  <c r="W1" i="53"/>
  <c r="V1" i="53" s="1"/>
  <c r="AG9" i="5"/>
  <c r="T208" i="5" s="1"/>
  <c r="Z46" i="53"/>
  <c r="Z49" i="53" s="1"/>
  <c r="Z54" i="53"/>
  <c r="Z57" i="53" s="1"/>
  <c r="Z38" i="53"/>
  <c r="Z41" i="53" s="1"/>
  <c r="P3" i="41"/>
  <c r="V3" i="5"/>
  <c r="X95" i="53"/>
  <c r="Y39" i="53"/>
  <c r="W11" i="5"/>
  <c r="Y80" i="53"/>
  <c r="V20" i="5"/>
  <c r="Y64" i="53"/>
  <c r="Y23" i="53"/>
  <c r="X55" i="53"/>
  <c r="X56" i="53"/>
  <c r="W7" i="5"/>
  <c r="W16" i="53"/>
  <c r="W23" i="53"/>
  <c r="W95" i="53"/>
  <c r="W18" i="5"/>
  <c r="W88" i="53"/>
  <c r="Y47" i="53"/>
  <c r="W6" i="5"/>
  <c r="W63" i="53"/>
  <c r="Y104" i="53"/>
  <c r="Y72" i="53"/>
  <c r="Y56" i="53"/>
  <c r="Y32" i="53"/>
  <c r="W13" i="5"/>
  <c r="Y112" i="53"/>
  <c r="X31" i="53"/>
  <c r="W87" i="53"/>
  <c r="X71" i="53"/>
  <c r="X15" i="53"/>
  <c r="Y103" i="53"/>
  <c r="X72" i="53"/>
  <c r="X79" i="53"/>
  <c r="Y55" i="53"/>
  <c r="V9" i="5"/>
  <c r="Y87" i="53"/>
  <c r="X24" i="53"/>
  <c r="X40" i="53"/>
  <c r="W9" i="5"/>
  <c r="V16" i="5"/>
  <c r="Y88" i="53"/>
  <c r="X7" i="53"/>
  <c r="X80" i="53"/>
  <c r="X23" i="53"/>
  <c r="X47" i="53"/>
  <c r="X104" i="53"/>
  <c r="X48" i="53"/>
  <c r="Y16" i="53"/>
  <c r="W80" i="53"/>
  <c r="Y111" i="53"/>
  <c r="X88" i="53"/>
  <c r="W12" i="5"/>
  <c r="W5" i="5"/>
  <c r="X63" i="53"/>
  <c r="Y79" i="53"/>
  <c r="X87" i="53"/>
  <c r="X111" i="53"/>
  <c r="Y96" i="53"/>
  <c r="W8" i="5"/>
  <c r="Y8" i="53"/>
  <c r="Y24" i="53"/>
  <c r="Y15" i="53"/>
  <c r="Y95" i="53"/>
  <c r="W4" i="5"/>
  <c r="Y63" i="53"/>
  <c r="W14" i="5"/>
  <c r="W39" i="53"/>
  <c r="W15" i="5"/>
  <c r="Y7" i="53"/>
  <c r="X39" i="53"/>
  <c r="X112" i="53"/>
  <c r="X64" i="53"/>
  <c r="X103" i="53"/>
  <c r="Y40" i="53"/>
  <c r="X32" i="53"/>
  <c r="X8" i="53"/>
  <c r="X96" i="53"/>
  <c r="W20" i="5"/>
  <c r="Y71" i="53"/>
  <c r="W10" i="5"/>
  <c r="Y37" i="53"/>
  <c r="Y109" i="53"/>
  <c r="Y61" i="53"/>
  <c r="Y69" i="53"/>
  <c r="X29" i="53"/>
  <c r="Y77" i="53"/>
  <c r="W69" i="53"/>
  <c r="X85" i="53"/>
  <c r="W5" i="53"/>
  <c r="Y101" i="53"/>
  <c r="W13" i="53"/>
  <c r="X13" i="53"/>
  <c r="X77" i="53"/>
  <c r="Y85" i="53"/>
  <c r="W21" i="53"/>
  <c r="Y45" i="53"/>
  <c r="Y5" i="53"/>
  <c r="X37" i="53"/>
  <c r="W29" i="53"/>
  <c r="W61" i="53"/>
  <c r="X21" i="53"/>
  <c r="W45" i="53"/>
  <c r="W93" i="53"/>
  <c r="Y21" i="53"/>
  <c r="W53" i="53"/>
  <c r="Y93" i="53"/>
  <c r="Y13" i="53"/>
  <c r="X45" i="53"/>
  <c r="X93" i="53"/>
  <c r="Y53" i="53"/>
  <c r="X101" i="53"/>
  <c r="X69" i="53"/>
  <c r="Y29" i="53"/>
  <c r="X5" i="53"/>
  <c r="X61" i="53"/>
  <c r="W37" i="53"/>
  <c r="X53" i="53"/>
  <c r="W109" i="53"/>
  <c r="X109" i="53"/>
  <c r="X44" i="53"/>
  <c r="Q8" i="41"/>
  <c r="Y35" i="53"/>
  <c r="Y52" i="53"/>
  <c r="Y98" i="53"/>
  <c r="X42" i="53"/>
  <c r="Y99" i="53"/>
  <c r="X50" i="53"/>
  <c r="Y42" i="53"/>
  <c r="X52" i="53"/>
  <c r="W50" i="53"/>
  <c r="W44" i="53"/>
  <c r="W52" i="53"/>
  <c r="P9" i="41"/>
  <c r="X43" i="53"/>
  <c r="Y44" i="53"/>
  <c r="Y50" i="53"/>
  <c r="Y34" i="53"/>
  <c r="X34" i="53"/>
  <c r="W43" i="53"/>
  <c r="X36" i="53"/>
  <c r="X35" i="53"/>
  <c r="X98" i="53"/>
  <c r="W35" i="53"/>
  <c r="X99" i="53"/>
  <c r="Y43" i="53"/>
  <c r="Y51" i="53"/>
  <c r="P16" i="41"/>
  <c r="W42" i="53"/>
  <c r="X51" i="53"/>
  <c r="X100" i="53"/>
  <c r="P8" i="41"/>
  <c r="W36" i="53"/>
  <c r="Y100" i="53"/>
  <c r="W19" i="5" l="1"/>
  <c r="W17" i="5"/>
  <c r="Y38" i="53"/>
  <c r="Y41" i="53" s="1"/>
  <c r="Y46" i="53"/>
  <c r="Y49" i="53" s="1"/>
  <c r="Y54" i="53"/>
  <c r="Y57" i="53" s="1"/>
  <c r="X102" i="53"/>
  <c r="X105" i="53" s="1"/>
  <c r="Y102" i="53"/>
  <c r="Y105" i="53" s="1"/>
  <c r="T209" i="5"/>
  <c r="X54" i="53"/>
  <c r="X57" i="53" s="1"/>
  <c r="X38" i="53"/>
  <c r="X41" i="53" s="1"/>
  <c r="X46" i="53"/>
  <c r="X49" i="53" s="1"/>
  <c r="W46" i="53"/>
  <c r="O3" i="41"/>
  <c r="U3" i="5"/>
  <c r="U1" i="53"/>
  <c r="Q96" i="123"/>
  <c r="G41" i="113"/>
  <c r="W112" i="53"/>
  <c r="V72" i="53"/>
  <c r="F131" i="113"/>
  <c r="W55" i="53"/>
  <c r="W71" i="53"/>
  <c r="G101" i="113"/>
  <c r="V13" i="5"/>
  <c r="V10" i="5"/>
  <c r="V8" i="5"/>
  <c r="G91" i="113"/>
  <c r="G81" i="113"/>
  <c r="W72" i="53"/>
  <c r="W40" i="53"/>
  <c r="V8" i="53"/>
  <c r="V63" i="53"/>
  <c r="V11" i="5"/>
  <c r="V31" i="53"/>
  <c r="G131" i="113"/>
  <c r="W104" i="53"/>
  <c r="V39" i="53"/>
  <c r="V64" i="53"/>
  <c r="V111" i="53"/>
  <c r="V18" i="5"/>
  <c r="V32" i="53"/>
  <c r="G11" i="113"/>
  <c r="G31" i="113"/>
  <c r="V7" i="53"/>
  <c r="W47" i="53"/>
  <c r="V56" i="53"/>
  <c r="W48" i="53"/>
  <c r="V80" i="53"/>
  <c r="U9" i="5"/>
  <c r="F81" i="113"/>
  <c r="V15" i="5"/>
  <c r="W103" i="53"/>
  <c r="V87" i="53"/>
  <c r="V112" i="53"/>
  <c r="W24" i="53"/>
  <c r="V96" i="53"/>
  <c r="W15" i="53"/>
  <c r="V12" i="5"/>
  <c r="W56" i="53"/>
  <c r="F21" i="113"/>
  <c r="W96" i="53"/>
  <c r="W64" i="53"/>
  <c r="V95" i="53"/>
  <c r="W8" i="53"/>
  <c r="V15" i="53"/>
  <c r="V104" i="53"/>
  <c r="F111" i="113"/>
  <c r="F41" i="113"/>
  <c r="V4" i="5"/>
  <c r="W111" i="53"/>
  <c r="G111" i="113"/>
  <c r="V47" i="53"/>
  <c r="F31" i="113"/>
  <c r="V23" i="53"/>
  <c r="U16" i="5"/>
  <c r="W31" i="53"/>
  <c r="V103" i="53"/>
  <c r="W32" i="53"/>
  <c r="V40" i="53"/>
  <c r="V24" i="53"/>
  <c r="V7" i="5"/>
  <c r="V48" i="53"/>
  <c r="V14" i="5"/>
  <c r="W7" i="53"/>
  <c r="G21" i="113"/>
  <c r="V79" i="53"/>
  <c r="G71" i="113"/>
  <c r="F91" i="113"/>
  <c r="V55" i="53"/>
  <c r="W79" i="53"/>
  <c r="V16" i="53"/>
  <c r="V6" i="5"/>
  <c r="V88" i="53"/>
  <c r="V5" i="5"/>
  <c r="F101" i="113"/>
  <c r="F11" i="113"/>
  <c r="V71" i="53"/>
  <c r="V109" i="53"/>
  <c r="V101" i="53"/>
  <c r="V93" i="53"/>
  <c r="V45" i="53"/>
  <c r="V21" i="53"/>
  <c r="V53" i="53"/>
  <c r="V69" i="53"/>
  <c r="V61" i="53"/>
  <c r="V37" i="53"/>
  <c r="V13" i="53"/>
  <c r="W77" i="53"/>
  <c r="V77" i="53"/>
  <c r="W85" i="53"/>
  <c r="W101" i="53"/>
  <c r="V29" i="53"/>
  <c r="V85" i="53"/>
  <c r="V5" i="53"/>
  <c r="V42" i="53"/>
  <c r="W99" i="53"/>
  <c r="W100" i="53"/>
  <c r="V50" i="53"/>
  <c r="W34" i="53"/>
  <c r="V43" i="53"/>
  <c r="W98" i="53"/>
  <c r="V52" i="53"/>
  <c r="O16" i="41"/>
  <c r="V34" i="53"/>
  <c r="V99" i="53"/>
  <c r="V100" i="53"/>
  <c r="V98" i="53"/>
  <c r="V35" i="53"/>
  <c r="V44" i="53"/>
  <c r="O8" i="41"/>
  <c r="V36" i="53"/>
  <c r="V51" i="53"/>
  <c r="W51" i="53"/>
  <c r="V19" i="5" l="1"/>
  <c r="W38" i="53"/>
  <c r="W54" i="53"/>
  <c r="W57" i="53" s="1"/>
  <c r="W41" i="53"/>
  <c r="V17" i="5"/>
  <c r="AE16" i="5"/>
  <c r="AF16" i="5"/>
  <c r="W49" i="53"/>
  <c r="V102" i="53"/>
  <c r="V105" i="53" s="1"/>
  <c r="W102" i="53"/>
  <c r="W105" i="53" s="1"/>
  <c r="F121" i="113"/>
  <c r="G121" i="113"/>
  <c r="G146" i="113"/>
  <c r="F146" i="113"/>
  <c r="V46" i="53"/>
  <c r="V49" i="53" s="1"/>
  <c r="AE9" i="5"/>
  <c r="T207" i="5" s="1"/>
  <c r="AF9" i="5"/>
  <c r="S208" i="5" s="1"/>
  <c r="U208" i="5" s="1"/>
  <c r="V54" i="53"/>
  <c r="V57" i="53" s="1"/>
  <c r="V38" i="53"/>
  <c r="V41" i="53" s="1"/>
  <c r="N3" i="41"/>
  <c r="T3" i="5"/>
  <c r="T1" i="53"/>
  <c r="F3" i="118"/>
  <c r="AC1" i="35"/>
  <c r="U15" i="53"/>
  <c r="U48" i="53"/>
  <c r="G89" i="113"/>
  <c r="U14" i="5"/>
  <c r="F32" i="113"/>
  <c r="G79" i="113"/>
  <c r="F69" i="113"/>
  <c r="G99" i="113"/>
  <c r="G102" i="113"/>
  <c r="G42" i="113"/>
  <c r="AC85" i="35"/>
  <c r="U10" i="5"/>
  <c r="U24" i="53"/>
  <c r="G92" i="113"/>
  <c r="U56" i="53"/>
  <c r="U104" i="53"/>
  <c r="F132" i="113"/>
  <c r="U80" i="53"/>
  <c r="F82" i="113"/>
  <c r="G22" i="113"/>
  <c r="U103" i="53"/>
  <c r="F70" i="113"/>
  <c r="G39" i="113"/>
  <c r="G20" i="113"/>
  <c r="U87" i="53"/>
  <c r="U63" i="53"/>
  <c r="F42" i="113"/>
  <c r="F112" i="113"/>
  <c r="G12" i="113"/>
  <c r="F40" i="113"/>
  <c r="U12" i="5"/>
  <c r="G29" i="113"/>
  <c r="F72" i="113"/>
  <c r="U5" i="5"/>
  <c r="U8" i="53"/>
  <c r="F89" i="113"/>
  <c r="G72" i="113"/>
  <c r="U16" i="53"/>
  <c r="U15" i="5"/>
  <c r="F30" i="113"/>
  <c r="G130" i="113"/>
  <c r="U20" i="5"/>
  <c r="F12" i="113"/>
  <c r="U88" i="53"/>
  <c r="F39" i="113"/>
  <c r="G132" i="113"/>
  <c r="U32" i="53"/>
  <c r="U23" i="53"/>
  <c r="U13" i="5"/>
  <c r="G82" i="113"/>
  <c r="U11" i="5"/>
  <c r="U8" i="5"/>
  <c r="F29" i="113"/>
  <c r="F102" i="113"/>
  <c r="F20" i="113"/>
  <c r="G32" i="113"/>
  <c r="F10" i="113"/>
  <c r="G30" i="113"/>
  <c r="U72" i="53"/>
  <c r="AC4" i="35"/>
  <c r="G69" i="113"/>
  <c r="G40" i="113"/>
  <c r="G100" i="113"/>
  <c r="U55" i="53"/>
  <c r="F79" i="113"/>
  <c r="F9" i="113"/>
  <c r="U31" i="53"/>
  <c r="U71" i="53"/>
  <c r="G90" i="113"/>
  <c r="G80" i="113"/>
  <c r="G112" i="113"/>
  <c r="U79" i="53"/>
  <c r="U47" i="53"/>
  <c r="G110" i="113"/>
  <c r="U18" i="5"/>
  <c r="F19" i="113"/>
  <c r="G10" i="113"/>
  <c r="G129" i="113"/>
  <c r="G153" i="113"/>
  <c r="U4" i="5"/>
  <c r="U95" i="53"/>
  <c r="F130" i="113"/>
  <c r="T16" i="5"/>
  <c r="G70" i="113"/>
  <c r="U112" i="53"/>
  <c r="U7" i="5"/>
  <c r="F92" i="113"/>
  <c r="U39" i="53"/>
  <c r="F109" i="113"/>
  <c r="G109" i="113"/>
  <c r="F80" i="113"/>
  <c r="U40" i="53"/>
  <c r="G9" i="113"/>
  <c r="G19" i="113"/>
  <c r="U64" i="53"/>
  <c r="F22" i="113"/>
  <c r="U96" i="53"/>
  <c r="F90" i="113"/>
  <c r="U7" i="53"/>
  <c r="U111" i="53"/>
  <c r="U6" i="5"/>
  <c r="F99" i="113"/>
  <c r="F129" i="113"/>
  <c r="U13" i="53"/>
  <c r="U61" i="53"/>
  <c r="U53" i="53"/>
  <c r="U45" i="53"/>
  <c r="U93" i="53"/>
  <c r="U29" i="53"/>
  <c r="U37" i="53"/>
  <c r="U101" i="53"/>
  <c r="U21" i="53"/>
  <c r="U5" i="53"/>
  <c r="U69" i="53"/>
  <c r="U85" i="53"/>
  <c r="U77" i="53"/>
  <c r="U109" i="53"/>
  <c r="U34" i="53"/>
  <c r="U44" i="53"/>
  <c r="U52" i="53"/>
  <c r="U98" i="53"/>
  <c r="U36" i="53"/>
  <c r="U43" i="53"/>
  <c r="O9" i="41"/>
  <c r="U99" i="53"/>
  <c r="U35" i="53"/>
  <c r="N16" i="41"/>
  <c r="U50" i="53"/>
  <c r="N8" i="41"/>
  <c r="U42" i="53"/>
  <c r="U51" i="53"/>
  <c r="U100" i="53"/>
  <c r="U19" i="5" l="1"/>
  <c r="Z16" i="41"/>
  <c r="AA16" i="41"/>
  <c r="O310" i="41" s="1"/>
  <c r="AC16" i="41"/>
  <c r="N311" i="41" s="1"/>
  <c r="U17" i="5"/>
  <c r="U102" i="53"/>
  <c r="U105" i="53" s="1"/>
  <c r="AF8" i="5"/>
  <c r="S190" i="5" s="1"/>
  <c r="U190" i="5" s="1"/>
  <c r="AE8" i="5"/>
  <c r="T189" i="5" s="1"/>
  <c r="F122" i="113"/>
  <c r="G119" i="113"/>
  <c r="F120" i="113"/>
  <c r="G120" i="113"/>
  <c r="G122" i="113"/>
  <c r="F119" i="113"/>
  <c r="F147" i="113"/>
  <c r="F145" i="113"/>
  <c r="G144" i="113"/>
  <c r="G147" i="113"/>
  <c r="G145" i="113"/>
  <c r="F144" i="113"/>
  <c r="U46" i="53"/>
  <c r="U49" i="53" s="1"/>
  <c r="G133" i="113"/>
  <c r="F133" i="113"/>
  <c r="F13" i="113"/>
  <c r="G13" i="113"/>
  <c r="D170" i="116"/>
  <c r="U54" i="53"/>
  <c r="U57" i="53" s="1"/>
  <c r="U38" i="53"/>
  <c r="U41" i="53" s="1"/>
  <c r="AC8" i="41"/>
  <c r="Z8" i="41"/>
  <c r="AA8" i="41"/>
  <c r="M3" i="41"/>
  <c r="S3" i="5"/>
  <c r="G3" i="118"/>
  <c r="S1" i="53"/>
  <c r="F23" i="113"/>
  <c r="G23" i="113"/>
  <c r="F33" i="113"/>
  <c r="F43" i="113"/>
  <c r="G33" i="113"/>
  <c r="G43" i="113"/>
  <c r="G73" i="113"/>
  <c r="G83" i="113"/>
  <c r="G93" i="113"/>
  <c r="G103" i="113"/>
  <c r="G113" i="113"/>
  <c r="F73" i="113"/>
  <c r="F83" i="113"/>
  <c r="F93" i="113"/>
  <c r="F103" i="113"/>
  <c r="F113" i="113"/>
  <c r="Q46" i="123"/>
  <c r="Q47" i="123"/>
  <c r="Q48" i="123"/>
  <c r="Q49" i="123"/>
  <c r="Q50" i="123"/>
  <c r="Q51" i="123"/>
  <c r="Q52" i="123"/>
  <c r="Q53" i="123"/>
  <c r="Q54" i="123"/>
  <c r="Q55" i="123"/>
  <c r="Q57" i="123"/>
  <c r="Q58" i="123"/>
  <c r="Q59" i="123"/>
  <c r="Q60" i="123"/>
  <c r="Q61" i="123"/>
  <c r="Q62" i="123"/>
  <c r="Q63" i="123"/>
  <c r="Q64" i="123"/>
  <c r="Q65" i="123"/>
  <c r="Q67" i="123"/>
  <c r="Q68" i="123"/>
  <c r="Q69" i="123"/>
  <c r="Q70" i="123"/>
  <c r="Q71" i="123"/>
  <c r="Q72" i="123"/>
  <c r="Q73" i="123"/>
  <c r="Q74" i="123"/>
  <c r="Q75" i="123"/>
  <c r="Q77" i="123"/>
  <c r="Q78" i="123"/>
  <c r="Q79" i="123"/>
  <c r="Q80" i="123"/>
  <c r="Q81" i="123"/>
  <c r="Q82" i="123"/>
  <c r="Q83" i="123"/>
  <c r="Q84" i="123"/>
  <c r="Q85" i="123"/>
  <c r="Q86" i="123"/>
  <c r="Q88" i="123"/>
  <c r="Q89" i="123"/>
  <c r="Q90" i="123"/>
  <c r="Q91" i="123"/>
  <c r="Q92" i="123"/>
  <c r="Q93" i="123"/>
  <c r="Q94" i="123"/>
  <c r="Q95" i="123"/>
  <c r="Q97" i="123"/>
  <c r="Q99" i="123"/>
  <c r="Q100" i="123"/>
  <c r="Q101" i="123"/>
  <c r="Q102" i="123"/>
  <c r="Q103" i="123"/>
  <c r="Q104" i="123"/>
  <c r="Q105" i="123"/>
  <c r="Q106" i="123"/>
  <c r="Q107" i="123"/>
  <c r="Q108" i="123"/>
  <c r="Q110" i="123"/>
  <c r="Q111" i="123"/>
  <c r="Q112" i="123"/>
  <c r="Q113" i="123"/>
  <c r="Q114" i="123"/>
  <c r="Q115" i="123"/>
  <c r="Q116" i="123"/>
  <c r="Q117" i="123"/>
  <c r="Q118" i="123"/>
  <c r="Q119" i="123"/>
  <c r="Q121" i="123"/>
  <c r="Q122" i="123"/>
  <c r="Q123" i="123"/>
  <c r="Q124" i="123"/>
  <c r="Q125" i="123"/>
  <c r="Q126" i="123"/>
  <c r="Q127" i="123"/>
  <c r="Q128" i="123"/>
  <c r="Q129" i="123"/>
  <c r="Q130" i="123"/>
  <c r="Q132" i="123"/>
  <c r="Q133" i="123"/>
  <c r="Q134" i="123"/>
  <c r="Q135" i="123"/>
  <c r="Q136" i="123"/>
  <c r="Q137" i="123"/>
  <c r="Q138" i="123"/>
  <c r="Q139" i="123"/>
  <c r="Q140" i="123"/>
  <c r="Q141" i="123"/>
  <c r="Q143" i="123"/>
  <c r="Q144" i="123"/>
  <c r="Q145" i="123"/>
  <c r="Q146" i="123"/>
  <c r="Q147" i="123"/>
  <c r="Q148" i="123"/>
  <c r="Q149" i="123"/>
  <c r="Q150" i="123"/>
  <c r="Q151" i="123"/>
  <c r="Q152" i="123"/>
  <c r="Q154" i="123"/>
  <c r="Q155" i="123"/>
  <c r="Q156" i="123"/>
  <c r="Q157" i="123"/>
  <c r="Q158" i="123"/>
  <c r="Q159" i="123"/>
  <c r="Q160" i="123"/>
  <c r="Q161" i="123"/>
  <c r="Q162" i="123"/>
  <c r="Q163" i="123"/>
  <c r="Q165" i="123"/>
  <c r="Q166" i="123"/>
  <c r="Q167" i="123"/>
  <c r="Q168" i="123"/>
  <c r="Q169" i="123"/>
  <c r="Q170" i="123"/>
  <c r="Q171" i="123"/>
  <c r="Q172" i="123"/>
  <c r="Q173" i="123"/>
  <c r="Q174" i="123"/>
  <c r="Q176" i="123"/>
  <c r="Q177" i="123"/>
  <c r="Q178" i="123"/>
  <c r="Q179" i="123"/>
  <c r="Q180" i="123"/>
  <c r="Q181" i="123"/>
  <c r="Q182" i="123"/>
  <c r="Q183" i="123"/>
  <c r="Q186" i="123"/>
  <c r="Q187" i="123"/>
  <c r="Q188" i="123"/>
  <c r="Q189" i="123"/>
  <c r="Q190" i="123"/>
  <c r="Q191" i="123"/>
  <c r="Q192" i="123"/>
  <c r="Q193" i="123"/>
  <c r="Q196" i="123"/>
  <c r="Q197" i="123"/>
  <c r="Q198" i="123"/>
  <c r="Q199" i="123"/>
  <c r="Q200" i="123"/>
  <c r="Q201" i="123"/>
  <c r="Q202" i="123"/>
  <c r="Q203" i="123"/>
  <c r="Q206" i="123"/>
  <c r="Q207" i="123"/>
  <c r="Q208" i="123"/>
  <c r="Q209" i="123"/>
  <c r="Q210" i="123"/>
  <c r="Q211" i="123"/>
  <c r="Q212" i="123"/>
  <c r="Q213" i="123"/>
  <c r="Q216" i="123"/>
  <c r="Q217" i="123"/>
  <c r="Q218" i="123"/>
  <c r="Q219" i="123"/>
  <c r="Q220" i="123"/>
  <c r="Q221" i="123"/>
  <c r="Q222" i="123"/>
  <c r="Q223" i="123"/>
  <c r="Q226" i="123"/>
  <c r="Q227" i="123"/>
  <c r="Q228" i="123"/>
  <c r="Q229" i="123"/>
  <c r="Q230" i="123"/>
  <c r="Q231" i="123"/>
  <c r="Q232" i="123"/>
  <c r="Q233" i="123"/>
  <c r="Q236" i="123"/>
  <c r="Q237" i="123"/>
  <c r="Q238" i="123"/>
  <c r="Q239" i="123"/>
  <c r="Q240" i="123"/>
  <c r="Q241" i="123"/>
  <c r="Q242" i="123"/>
  <c r="Q243" i="123"/>
  <c r="Q245" i="123"/>
  <c r="Q247" i="123"/>
  <c r="Q248" i="123"/>
  <c r="Q249" i="123"/>
  <c r="Q250" i="123"/>
  <c r="Q251" i="123"/>
  <c r="Q252" i="123"/>
  <c r="Q253" i="123"/>
  <c r="Q254" i="123"/>
  <c r="Q255" i="123"/>
  <c r="Q258" i="123"/>
  <c r="Q259" i="123"/>
  <c r="Q260" i="123"/>
  <c r="Q261" i="123"/>
  <c r="Q262" i="123"/>
  <c r="Q263" i="123"/>
  <c r="Q264" i="123"/>
  <c r="Q265" i="123"/>
  <c r="Q266" i="123"/>
  <c r="Q269" i="123"/>
  <c r="Q270" i="123"/>
  <c r="Q271" i="123"/>
  <c r="Q272" i="123"/>
  <c r="Q273" i="123"/>
  <c r="Q274" i="123"/>
  <c r="Q275" i="123"/>
  <c r="Q276" i="123"/>
  <c r="Q277" i="123"/>
  <c r="Q280" i="123"/>
  <c r="Q281" i="123"/>
  <c r="Q282" i="123"/>
  <c r="Q283" i="123"/>
  <c r="Q284" i="123"/>
  <c r="Q285" i="123"/>
  <c r="Q286" i="123"/>
  <c r="Q287" i="123"/>
  <c r="Q288" i="123"/>
  <c r="Q2" i="123"/>
  <c r="A62" i="28"/>
  <c r="T40" i="53"/>
  <c r="T95" i="53"/>
  <c r="T4" i="5"/>
  <c r="L62" i="28"/>
  <c r="T63" i="53"/>
  <c r="AC54" i="35"/>
  <c r="T56" i="53"/>
  <c r="T6" i="5"/>
  <c r="AC22" i="35"/>
  <c r="T32" i="53"/>
  <c r="T9" i="5"/>
  <c r="AC28" i="35"/>
  <c r="AC33" i="35"/>
  <c r="T7" i="53"/>
  <c r="T10" i="5"/>
  <c r="AC48" i="35"/>
  <c r="AC51" i="35"/>
  <c r="F9" i="118"/>
  <c r="AC78" i="35"/>
  <c r="T5" i="5"/>
  <c r="AC21" i="35"/>
  <c r="AC15" i="35"/>
  <c r="T80" i="53"/>
  <c r="T48" i="53"/>
  <c r="T79" i="53"/>
  <c r="AC88" i="35"/>
  <c r="AC70" i="35"/>
  <c r="T47" i="53"/>
  <c r="AC42" i="35"/>
  <c r="F15" i="118"/>
  <c r="AC9" i="35"/>
  <c r="AC6" i="35"/>
  <c r="AC60" i="35"/>
  <c r="AC12" i="35"/>
  <c r="AC93" i="35"/>
  <c r="AC16" i="35"/>
  <c r="S16" i="5"/>
  <c r="T55" i="53"/>
  <c r="T104" i="53"/>
  <c r="T12" i="5"/>
  <c r="AC66" i="35"/>
  <c r="T20" i="5"/>
  <c r="T87" i="53"/>
  <c r="AC72" i="35"/>
  <c r="T14" i="5"/>
  <c r="AC18" i="35"/>
  <c r="F69" i="118"/>
  <c r="T8" i="5"/>
  <c r="F75" i="118"/>
  <c r="F57" i="118"/>
  <c r="T24" i="53"/>
  <c r="F63" i="118"/>
  <c r="AC2" i="35"/>
  <c r="AC40" i="35"/>
  <c r="AC75" i="35"/>
  <c r="AC52" i="35"/>
  <c r="T64" i="53"/>
  <c r="T103" i="53"/>
  <c r="AC64" i="35"/>
  <c r="F21" i="118"/>
  <c r="F27" i="118"/>
  <c r="T71" i="53"/>
  <c r="AC76" i="35"/>
  <c r="AC45" i="35"/>
  <c r="AC27" i="35"/>
  <c r="F39" i="118"/>
  <c r="AC10" i="35"/>
  <c r="AC89" i="35"/>
  <c r="T112" i="53"/>
  <c r="AC46" i="35"/>
  <c r="F45" i="118"/>
  <c r="AC3" i="35"/>
  <c r="T18" i="5"/>
  <c r="F33" i="118"/>
  <c r="T31" i="53"/>
  <c r="AC57" i="35"/>
  <c r="T7" i="5"/>
  <c r="AC34" i="35"/>
  <c r="S9" i="5"/>
  <c r="AC69" i="35"/>
  <c r="T72" i="53"/>
  <c r="T15" i="5"/>
  <c r="T23" i="53"/>
  <c r="AC58" i="35"/>
  <c r="T13" i="5"/>
  <c r="T16" i="53"/>
  <c r="AC39" i="35"/>
  <c r="T39" i="53"/>
  <c r="T111" i="53"/>
  <c r="AC30" i="35"/>
  <c r="T8" i="53"/>
  <c r="AC63" i="35"/>
  <c r="T88" i="53"/>
  <c r="T15" i="53"/>
  <c r="F51" i="118"/>
  <c r="AC36" i="35"/>
  <c r="AC24" i="35"/>
  <c r="T96" i="53"/>
  <c r="T11" i="5"/>
  <c r="T29" i="53"/>
  <c r="T21" i="53"/>
  <c r="T61" i="53"/>
  <c r="T53" i="53"/>
  <c r="T69" i="53"/>
  <c r="T85" i="53"/>
  <c r="T45" i="53"/>
  <c r="T93" i="53"/>
  <c r="T109" i="53"/>
  <c r="T5" i="53"/>
  <c r="T13" i="53"/>
  <c r="T101" i="53"/>
  <c r="T37" i="53"/>
  <c r="T77" i="53"/>
  <c r="F66" i="118"/>
  <c r="M16" i="41"/>
  <c r="F64" i="118"/>
  <c r="F22" i="118"/>
  <c r="T43" i="53"/>
  <c r="M8" i="41"/>
  <c r="M9" i="41"/>
  <c r="T50" i="53"/>
  <c r="N9" i="41"/>
  <c r="F67" i="118"/>
  <c r="T44" i="53"/>
  <c r="T42" i="53"/>
  <c r="T51" i="53"/>
  <c r="F31" i="118"/>
  <c r="T52" i="53"/>
  <c r="T34" i="53"/>
  <c r="F28" i="118"/>
  <c r="T35" i="53"/>
  <c r="T36" i="53"/>
  <c r="T99" i="53"/>
  <c r="F30" i="118"/>
  <c r="T98" i="53"/>
  <c r="F25" i="118"/>
  <c r="F24" i="118"/>
  <c r="T100" i="53"/>
  <c r="T19" i="5" l="1"/>
  <c r="AE19" i="5"/>
  <c r="AF19" i="5"/>
  <c r="F68" i="118"/>
  <c r="F65" i="118"/>
  <c r="T17" i="5"/>
  <c r="F149" i="113"/>
  <c r="F152" i="113" s="1"/>
  <c r="AC82" i="35"/>
  <c r="AC81" i="35"/>
  <c r="AC84" i="35"/>
  <c r="AC71" i="35"/>
  <c r="AC73" i="35"/>
  <c r="AC74" i="35" s="1"/>
  <c r="T102" i="53"/>
  <c r="T105" i="53" s="1"/>
  <c r="O164" i="41"/>
  <c r="N165" i="41"/>
  <c r="F32" i="118"/>
  <c r="F29" i="118"/>
  <c r="AC9" i="41"/>
  <c r="N183" i="41" s="1"/>
  <c r="P183" i="41" s="1"/>
  <c r="Z9" i="41"/>
  <c r="AA9" i="41"/>
  <c r="O182" i="41" s="1"/>
  <c r="F123" i="113"/>
  <c r="G123" i="113"/>
  <c r="AC29" i="35"/>
  <c r="AC31" i="35"/>
  <c r="AC32" i="35" s="1"/>
  <c r="T46" i="53"/>
  <c r="T49" i="53" s="1"/>
  <c r="G149" i="113"/>
  <c r="AC79" i="35"/>
  <c r="AC80" i="35" s="1"/>
  <c r="AC67" i="35"/>
  <c r="AC68" i="35" s="1"/>
  <c r="F58" i="112"/>
  <c r="F57" i="112"/>
  <c r="AC53" i="35"/>
  <c r="F23" i="118"/>
  <c r="T38" i="53"/>
  <c r="T41" i="53" s="1"/>
  <c r="AC90" i="35"/>
  <c r="F26" i="118"/>
  <c r="T54" i="53"/>
  <c r="T57" i="53" s="1"/>
  <c r="L3" i="41"/>
  <c r="AC23" i="35"/>
  <c r="AC25" i="35"/>
  <c r="AC26" i="35" s="1"/>
  <c r="F23" i="112"/>
  <c r="R3" i="5"/>
  <c r="AC35" i="35"/>
  <c r="AC37" i="35"/>
  <c r="AC38" i="35" s="1"/>
  <c r="AC11" i="35"/>
  <c r="AC13" i="35"/>
  <c r="AC14" i="35" s="1"/>
  <c r="AC17" i="35"/>
  <c r="AC7" i="35"/>
  <c r="AC8" i="35" s="1"/>
  <c r="AC5" i="35"/>
  <c r="AC65" i="35"/>
  <c r="AC61" i="35"/>
  <c r="AC62" i="35" s="1"/>
  <c r="AC59" i="35"/>
  <c r="AC55" i="35"/>
  <c r="AC56" i="35" s="1"/>
  <c r="AC49" i="35"/>
  <c r="AC50" i="35" s="1"/>
  <c r="AC47" i="35"/>
  <c r="AC77" i="35"/>
  <c r="AC41" i="35"/>
  <c r="AC43" i="35"/>
  <c r="AC44" i="35" s="1"/>
  <c r="AC19" i="35"/>
  <c r="AC20" i="35" s="1"/>
  <c r="H3" i="118"/>
  <c r="R1" i="53"/>
  <c r="A61" i="28"/>
  <c r="G63" i="118"/>
  <c r="S24" i="53"/>
  <c r="G27" i="118"/>
  <c r="O62" i="28"/>
  <c r="R62" i="28"/>
  <c r="G51" i="118"/>
  <c r="S96" i="53"/>
  <c r="S71" i="53"/>
  <c r="D62" i="28"/>
  <c r="S104" i="53"/>
  <c r="S8" i="5"/>
  <c r="P62" i="28"/>
  <c r="S6" i="5"/>
  <c r="I62" i="28"/>
  <c r="S48" i="53"/>
  <c r="S4" i="5"/>
  <c r="S20" i="5"/>
  <c r="S14" i="5"/>
  <c r="S39" i="53"/>
  <c r="S72" i="53"/>
  <c r="S79" i="53"/>
  <c r="S103" i="53"/>
  <c r="G9" i="118"/>
  <c r="S88" i="53"/>
  <c r="S32" i="53"/>
  <c r="S31" i="53"/>
  <c r="S5" i="5"/>
  <c r="G57" i="118"/>
  <c r="C62" i="28"/>
  <c r="S23" i="53"/>
  <c r="S63" i="53"/>
  <c r="S7" i="53"/>
  <c r="G45" i="118"/>
  <c r="S7" i="5"/>
  <c r="S56" i="53"/>
  <c r="I61" i="28"/>
  <c r="G39" i="118"/>
  <c r="S64" i="53"/>
  <c r="S11" i="5"/>
  <c r="F62" i="28"/>
  <c r="G15" i="118"/>
  <c r="S15" i="5"/>
  <c r="E62" i="28"/>
  <c r="B62" i="28"/>
  <c r="S80" i="53"/>
  <c r="G21" i="118"/>
  <c r="S95" i="53"/>
  <c r="S13" i="5"/>
  <c r="S15" i="53"/>
  <c r="H62" i="28"/>
  <c r="S47" i="53"/>
  <c r="G62" i="28"/>
  <c r="S12" i="5"/>
  <c r="R16" i="5"/>
  <c r="S10" i="5"/>
  <c r="S16" i="53"/>
  <c r="G75" i="118"/>
  <c r="G33" i="118"/>
  <c r="S40" i="53"/>
  <c r="S87" i="53"/>
  <c r="S8" i="53"/>
  <c r="S111" i="53"/>
  <c r="J62" i="28"/>
  <c r="S55" i="53"/>
  <c r="G69" i="118"/>
  <c r="S18" i="5"/>
  <c r="S112" i="53"/>
  <c r="S5" i="53"/>
  <c r="S101" i="53"/>
  <c r="S77" i="53"/>
  <c r="S29" i="53"/>
  <c r="S21" i="53"/>
  <c r="S93" i="53"/>
  <c r="S45" i="53"/>
  <c r="S69" i="53"/>
  <c r="S61" i="53"/>
  <c r="S85" i="53"/>
  <c r="S37" i="53"/>
  <c r="S53" i="53"/>
  <c r="S109" i="53"/>
  <c r="S13" i="53"/>
  <c r="S99" i="53"/>
  <c r="S34" i="53"/>
  <c r="G25" i="118"/>
  <c r="S35" i="53"/>
  <c r="L9" i="41"/>
  <c r="S50" i="53"/>
  <c r="G30" i="118"/>
  <c r="G67" i="118"/>
  <c r="S44" i="53"/>
  <c r="S52" i="53"/>
  <c r="S36" i="53"/>
  <c r="G24" i="118"/>
  <c r="G64" i="118"/>
  <c r="S98" i="53"/>
  <c r="S100" i="53"/>
  <c r="S43" i="53"/>
  <c r="G31" i="118"/>
  <c r="G28" i="118"/>
  <c r="S42" i="53"/>
  <c r="G22" i="118"/>
  <c r="L16" i="41"/>
  <c r="S51" i="53"/>
  <c r="S19" i="5" l="1"/>
  <c r="G68" i="118"/>
  <c r="G65" i="118"/>
  <c r="S17" i="5"/>
  <c r="S102" i="53"/>
  <c r="S105" i="53" s="1"/>
  <c r="N185" i="41"/>
  <c r="P185" i="41" s="1"/>
  <c r="G32" i="118"/>
  <c r="G29" i="118"/>
  <c r="G23" i="112"/>
  <c r="H23" i="112" s="1"/>
  <c r="AC83" i="35"/>
  <c r="AC86" i="35"/>
  <c r="AC87" i="35" s="1"/>
  <c r="S46" i="53"/>
  <c r="S49" i="53" s="1"/>
  <c r="K62" i="28"/>
  <c r="N62" i="28" s="1"/>
  <c r="S54" i="53"/>
  <c r="S57" i="53" s="1"/>
  <c r="S38" i="53"/>
  <c r="S41" i="53" s="1"/>
  <c r="G23" i="118"/>
  <c r="G26" i="118"/>
  <c r="K3" i="41"/>
  <c r="Q3" i="5"/>
  <c r="I3" i="118"/>
  <c r="M62" i="28"/>
  <c r="C5" i="169" s="1"/>
  <c r="Q1" i="53"/>
  <c r="A60" i="28"/>
  <c r="R87" i="53"/>
  <c r="H33" i="118"/>
  <c r="R13" i="5"/>
  <c r="R72" i="53"/>
  <c r="R7" i="5"/>
  <c r="H27" i="118"/>
  <c r="R56" i="53"/>
  <c r="R71" i="53"/>
  <c r="R20" i="5"/>
  <c r="D61" i="28"/>
  <c r="H51" i="118"/>
  <c r="R111" i="53"/>
  <c r="H39" i="118"/>
  <c r="B61" i="28"/>
  <c r="H45" i="118"/>
  <c r="R55" i="53"/>
  <c r="R80" i="53"/>
  <c r="R47" i="53"/>
  <c r="R8" i="53"/>
  <c r="R112" i="53"/>
  <c r="R96" i="53"/>
  <c r="R40" i="53"/>
  <c r="R18" i="5"/>
  <c r="R15" i="53"/>
  <c r="R60" i="28"/>
  <c r="R48" i="53"/>
  <c r="H21" i="118"/>
  <c r="J61" i="28"/>
  <c r="R8" i="5"/>
  <c r="R12" i="5"/>
  <c r="R10" i="5"/>
  <c r="H75" i="118"/>
  <c r="G61" i="28"/>
  <c r="R7" i="53"/>
  <c r="R31" i="53"/>
  <c r="R103" i="53"/>
  <c r="Q16" i="5"/>
  <c r="C61" i="28"/>
  <c r="R63" i="53"/>
  <c r="F61" i="28"/>
  <c r="R32" i="53"/>
  <c r="P61" i="28"/>
  <c r="H15" i="118"/>
  <c r="R6" i="5"/>
  <c r="H63" i="118"/>
  <c r="L61" i="28"/>
  <c r="R88" i="53"/>
  <c r="R14" i="5"/>
  <c r="H69" i="118"/>
  <c r="R39" i="53"/>
  <c r="R95" i="53"/>
  <c r="R11" i="5"/>
  <c r="R23" i="53"/>
  <c r="R79" i="53"/>
  <c r="R16" i="53"/>
  <c r="R24" i="53"/>
  <c r="R64" i="53"/>
  <c r="H9" i="118"/>
  <c r="R104" i="53"/>
  <c r="R15" i="5"/>
  <c r="R61" i="28"/>
  <c r="O61" i="28"/>
  <c r="E61" i="28"/>
  <c r="H61" i="28"/>
  <c r="R4" i="5"/>
  <c r="R9" i="5"/>
  <c r="H57" i="118"/>
  <c r="R5" i="5"/>
  <c r="R109" i="53"/>
  <c r="R101" i="53"/>
  <c r="R53" i="53"/>
  <c r="R77" i="53"/>
  <c r="R85" i="53"/>
  <c r="R21" i="53"/>
  <c r="R93" i="53"/>
  <c r="R13" i="53"/>
  <c r="R69" i="53"/>
  <c r="R61" i="53"/>
  <c r="R5" i="53"/>
  <c r="R45" i="53"/>
  <c r="R37" i="53"/>
  <c r="R29" i="53"/>
  <c r="H30" i="118"/>
  <c r="R52" i="53"/>
  <c r="H28" i="118"/>
  <c r="R100" i="53"/>
  <c r="R50" i="53"/>
  <c r="H31" i="118"/>
  <c r="R43" i="53"/>
  <c r="L8" i="41"/>
  <c r="R98" i="53"/>
  <c r="R44" i="53"/>
  <c r="R51" i="53"/>
  <c r="H24" i="118"/>
  <c r="R42" i="53"/>
  <c r="R35" i="53"/>
  <c r="K8" i="41"/>
  <c r="R36" i="53"/>
  <c r="R34" i="53"/>
  <c r="H67" i="118"/>
  <c r="K16" i="41"/>
  <c r="R99" i="53"/>
  <c r="H64" i="118"/>
  <c r="H22" i="118"/>
  <c r="H25" i="118"/>
  <c r="R19" i="5" l="1"/>
  <c r="H65" i="118"/>
  <c r="H68" i="118"/>
  <c r="R17" i="5"/>
  <c r="R102" i="53"/>
  <c r="R105" i="53" s="1"/>
  <c r="H32" i="118"/>
  <c r="H29" i="118"/>
  <c r="R46" i="53"/>
  <c r="R49" i="53" s="1"/>
  <c r="K61" i="28"/>
  <c r="H23" i="118"/>
  <c r="R38" i="53"/>
  <c r="R41" i="53" s="1"/>
  <c r="R54" i="53"/>
  <c r="R57" i="53" s="1"/>
  <c r="H26" i="118"/>
  <c r="AC91" i="35"/>
  <c r="AC92" i="35" s="1"/>
  <c r="J3" i="41"/>
  <c r="P3" i="5"/>
  <c r="J3" i="118"/>
  <c r="M61" i="28"/>
  <c r="D5" i="169" s="1"/>
  <c r="F5" i="169" s="1"/>
  <c r="E5" i="169" s="1"/>
  <c r="P1" i="53"/>
  <c r="A59" i="28"/>
  <c r="Q7" i="53"/>
  <c r="I63" i="118"/>
  <c r="Q104" i="53"/>
  <c r="I60" i="28"/>
  <c r="F60" i="28"/>
  <c r="L60" i="28"/>
  <c r="Q71" i="53"/>
  <c r="Q32" i="53"/>
  <c r="I57" i="118"/>
  <c r="Q6" i="5"/>
  <c r="I33" i="118"/>
  <c r="Q47" i="53"/>
  <c r="Q64" i="53"/>
  <c r="Q23" i="53"/>
  <c r="Q15" i="53"/>
  <c r="Q39" i="53"/>
  <c r="D60" i="28"/>
  <c r="I69" i="118"/>
  <c r="Q79" i="53"/>
  <c r="Q103" i="53"/>
  <c r="C60" i="28"/>
  <c r="Q40" i="53"/>
  <c r="I9" i="118"/>
  <c r="Q87" i="53"/>
  <c r="Q31" i="53"/>
  <c r="Q88" i="53"/>
  <c r="Q96" i="53"/>
  <c r="Q72" i="53"/>
  <c r="I15" i="118"/>
  <c r="Q24" i="53"/>
  <c r="Q8" i="53"/>
  <c r="I45" i="118"/>
  <c r="E60" i="28"/>
  <c r="Q18" i="5"/>
  <c r="Q80" i="53"/>
  <c r="Q56" i="53"/>
  <c r="I27" i="118"/>
  <c r="J60" i="28"/>
  <c r="H60" i="28"/>
  <c r="Q8" i="5"/>
  <c r="B60" i="28"/>
  <c r="Q13" i="5"/>
  <c r="Q63" i="53"/>
  <c r="Q11" i="5"/>
  <c r="I21" i="118"/>
  <c r="Q15" i="5"/>
  <c r="Q20" i="5"/>
  <c r="Q95" i="53"/>
  <c r="Q10" i="5"/>
  <c r="I51" i="118"/>
  <c r="Q12" i="5"/>
  <c r="Q9" i="5"/>
  <c r="G60" i="28"/>
  <c r="P16" i="5"/>
  <c r="P20" i="5"/>
  <c r="O60" i="28"/>
  <c r="Q5" i="5"/>
  <c r="Q111" i="53"/>
  <c r="Q14" i="5"/>
  <c r="Q4" i="5"/>
  <c r="Q55" i="53"/>
  <c r="P60" i="28"/>
  <c r="Q16" i="53"/>
  <c r="I39" i="118"/>
  <c r="Q48" i="53"/>
  <c r="Q7" i="5"/>
  <c r="Q112" i="53"/>
  <c r="I75" i="118"/>
  <c r="J59" i="28"/>
  <c r="Q109" i="53"/>
  <c r="Q37" i="53"/>
  <c r="Q101" i="53"/>
  <c r="Q45" i="53"/>
  <c r="Q61" i="53"/>
  <c r="Q53" i="53"/>
  <c r="Q77" i="53"/>
  <c r="Q69" i="53"/>
  <c r="Q21" i="53"/>
  <c r="Q29" i="53"/>
  <c r="Q5" i="53"/>
  <c r="Q13" i="53"/>
  <c r="Q85" i="53"/>
  <c r="Q93" i="53"/>
  <c r="Q42" i="53"/>
  <c r="I67" i="118"/>
  <c r="Q35" i="53"/>
  <c r="I66" i="118"/>
  <c r="Q99" i="53"/>
  <c r="I28" i="118"/>
  <c r="Q52" i="53"/>
  <c r="K9" i="41"/>
  <c r="J16" i="41"/>
  <c r="Q43" i="53"/>
  <c r="I64" i="118"/>
  <c r="I31" i="118"/>
  <c r="I30" i="118"/>
  <c r="Q50" i="53"/>
  <c r="Q34" i="53"/>
  <c r="Q36" i="53"/>
  <c r="Q98" i="53"/>
  <c r="J8" i="41"/>
  <c r="I25" i="118"/>
  <c r="Q100" i="53"/>
  <c r="Q51" i="53"/>
  <c r="I22" i="118"/>
  <c r="I24" i="118"/>
  <c r="Q44" i="53"/>
  <c r="Q19" i="5" l="1"/>
  <c r="I68" i="118"/>
  <c r="I65" i="118"/>
  <c r="Q17" i="5"/>
  <c r="AD104" i="53"/>
  <c r="AC104" i="53"/>
  <c r="AC99" i="53"/>
  <c r="AD99" i="53"/>
  <c r="AC101" i="53"/>
  <c r="AD101" i="53"/>
  <c r="AD98" i="53"/>
  <c r="Q102" i="53"/>
  <c r="AC98" i="53"/>
  <c r="AD103" i="53"/>
  <c r="AC103" i="53"/>
  <c r="AC100" i="53"/>
  <c r="AD100" i="53"/>
  <c r="I32" i="118"/>
  <c r="I29" i="118"/>
  <c r="AD47" i="53"/>
  <c r="AC47" i="53"/>
  <c r="AD44" i="53"/>
  <c r="AC44" i="53"/>
  <c r="AC45" i="53"/>
  <c r="AD45" i="53"/>
  <c r="Q46" i="53"/>
  <c r="AC42" i="53"/>
  <c r="AD42" i="53"/>
  <c r="AC43" i="53"/>
  <c r="AD43" i="53"/>
  <c r="AC48" i="53"/>
  <c r="AD48" i="53"/>
  <c r="K60" i="28"/>
  <c r="AD55" i="53"/>
  <c r="AC55" i="53"/>
  <c r="AD35" i="53"/>
  <c r="AC35" i="53"/>
  <c r="AD51" i="53"/>
  <c r="AC51" i="53"/>
  <c r="AC53" i="53"/>
  <c r="AD53" i="53"/>
  <c r="AC36" i="53"/>
  <c r="AD36" i="53"/>
  <c r="AD52" i="53"/>
  <c r="AC52" i="53"/>
  <c r="AC37" i="53"/>
  <c r="AD37" i="53"/>
  <c r="Q54" i="53"/>
  <c r="AD50" i="53"/>
  <c r="AC50" i="53"/>
  <c r="AC56" i="53"/>
  <c r="AD56" i="53"/>
  <c r="AC40" i="53"/>
  <c r="AD40" i="53"/>
  <c r="I26" i="118"/>
  <c r="AC34" i="53"/>
  <c r="Q38" i="53"/>
  <c r="AD34" i="53"/>
  <c r="I23" i="118"/>
  <c r="AD39" i="53"/>
  <c r="AC39" i="53"/>
  <c r="I3" i="41"/>
  <c r="AC5" i="53"/>
  <c r="O3" i="5"/>
  <c r="K3" i="118"/>
  <c r="M60" i="28"/>
  <c r="AC15" i="53"/>
  <c r="AD15" i="53"/>
  <c r="AD8" i="53"/>
  <c r="AC8" i="53"/>
  <c r="AC16" i="53"/>
  <c r="AD16" i="53"/>
  <c r="AC23" i="53"/>
  <c r="AD23" i="53"/>
  <c r="AC31" i="53"/>
  <c r="AD31" i="53"/>
  <c r="AC63" i="53"/>
  <c r="AD63" i="53"/>
  <c r="AC79" i="53"/>
  <c r="AD79" i="53"/>
  <c r="AC88" i="53"/>
  <c r="AD88" i="53"/>
  <c r="AC96" i="53"/>
  <c r="AD96" i="53"/>
  <c r="AC112" i="53"/>
  <c r="AD112" i="53"/>
  <c r="AC71" i="53"/>
  <c r="AD71" i="53"/>
  <c r="AD69" i="53"/>
  <c r="AC69" i="53"/>
  <c r="AD21" i="53"/>
  <c r="AC21" i="53"/>
  <c r="AD77" i="53"/>
  <c r="AC77" i="53"/>
  <c r="AD93" i="53"/>
  <c r="AC93" i="53"/>
  <c r="AC80" i="53"/>
  <c r="AD80" i="53"/>
  <c r="AD7" i="53"/>
  <c r="AC7" i="53"/>
  <c r="AC72" i="53"/>
  <c r="AD72" i="53"/>
  <c r="AC24" i="53"/>
  <c r="AD24" i="53"/>
  <c r="AC32" i="53"/>
  <c r="AD32" i="53"/>
  <c r="AC64" i="53"/>
  <c r="AD64" i="53"/>
  <c r="AC87" i="53"/>
  <c r="AD87" i="53"/>
  <c r="AC95" i="53"/>
  <c r="AD95" i="53"/>
  <c r="AC111" i="53"/>
  <c r="AD111" i="53"/>
  <c r="AD5" i="53"/>
  <c r="AD13" i="53"/>
  <c r="AC13" i="53"/>
  <c r="AD29" i="53"/>
  <c r="AC29" i="53"/>
  <c r="AD61" i="53"/>
  <c r="AC61" i="53"/>
  <c r="AD85" i="53"/>
  <c r="AC85" i="53"/>
  <c r="AD109" i="53"/>
  <c r="AC109" i="53"/>
  <c r="O1" i="53"/>
  <c r="A58" i="28"/>
  <c r="P32" i="53"/>
  <c r="P95" i="53"/>
  <c r="P24" i="53"/>
  <c r="P112" i="53"/>
  <c r="J63" i="118"/>
  <c r="P7" i="5"/>
  <c r="J27" i="118"/>
  <c r="P111" i="53"/>
  <c r="C59" i="28"/>
  <c r="J33" i="118"/>
  <c r="J51" i="118"/>
  <c r="P96" i="53"/>
  <c r="P64" i="53"/>
  <c r="P13" i="5"/>
  <c r="P72" i="53"/>
  <c r="P31" i="53"/>
  <c r="P63" i="53"/>
  <c r="P8" i="53"/>
  <c r="P71" i="53"/>
  <c r="P23" i="53"/>
  <c r="F59" i="28"/>
  <c r="P88" i="53"/>
  <c r="B59" i="28"/>
  <c r="P8" i="5"/>
  <c r="P11" i="5"/>
  <c r="P55" i="53"/>
  <c r="P12" i="5"/>
  <c r="J75" i="118"/>
  <c r="P7" i="53"/>
  <c r="G59" i="28"/>
  <c r="P104" i="53"/>
  <c r="P15" i="53"/>
  <c r="J21" i="118"/>
  <c r="P56" i="53"/>
  <c r="R59" i="28"/>
  <c r="P15" i="5"/>
  <c r="P47" i="53"/>
  <c r="P5" i="5"/>
  <c r="J9" i="118"/>
  <c r="J39" i="118"/>
  <c r="O20" i="5"/>
  <c r="P14" i="5"/>
  <c r="P6" i="5"/>
  <c r="E59" i="28"/>
  <c r="D58" i="28"/>
  <c r="D59" i="28"/>
  <c r="J15" i="118"/>
  <c r="J45" i="118"/>
  <c r="P59" i="28"/>
  <c r="L59" i="28"/>
  <c r="P10" i="5"/>
  <c r="P4" i="5"/>
  <c r="H59" i="28"/>
  <c r="P39" i="53"/>
  <c r="P18" i="5"/>
  <c r="P9" i="5"/>
  <c r="P40" i="53"/>
  <c r="P48" i="53"/>
  <c r="P80" i="53"/>
  <c r="P16" i="53"/>
  <c r="P103" i="53"/>
  <c r="J69" i="118"/>
  <c r="P87" i="53"/>
  <c r="I59" i="28"/>
  <c r="P79" i="53"/>
  <c r="O59" i="28"/>
  <c r="J57" i="118"/>
  <c r="P21" i="53"/>
  <c r="P101" i="53"/>
  <c r="P45" i="53"/>
  <c r="P13" i="53"/>
  <c r="P69" i="53"/>
  <c r="P85" i="53"/>
  <c r="P61" i="53"/>
  <c r="P37" i="53"/>
  <c r="P53" i="53"/>
  <c r="P5" i="53"/>
  <c r="P29" i="53"/>
  <c r="P109" i="53"/>
  <c r="P93" i="53"/>
  <c r="P77" i="53"/>
  <c r="P44" i="53"/>
  <c r="I11" i="41"/>
  <c r="P50" i="53"/>
  <c r="J30" i="118"/>
  <c r="P99" i="53"/>
  <c r="P98" i="53"/>
  <c r="J66" i="118"/>
  <c r="P36" i="53"/>
  <c r="I12" i="41"/>
  <c r="J22" i="118"/>
  <c r="P42" i="53"/>
  <c r="I16" i="41"/>
  <c r="J25" i="118"/>
  <c r="I15" i="41"/>
  <c r="P35" i="53"/>
  <c r="P43" i="53"/>
  <c r="P52" i="53"/>
  <c r="J9" i="41"/>
  <c r="J64" i="118"/>
  <c r="P51" i="53"/>
  <c r="I9" i="41"/>
  <c r="J67" i="118"/>
  <c r="P34" i="53"/>
  <c r="J31" i="118"/>
  <c r="J24" i="118"/>
  <c r="P100" i="53"/>
  <c r="J28" i="118"/>
  <c r="P19" i="5" l="1"/>
  <c r="J68" i="118"/>
  <c r="J65" i="118"/>
  <c r="P17" i="5"/>
  <c r="P102" i="53"/>
  <c r="P105" i="53" s="1"/>
  <c r="AD102" i="53"/>
  <c r="Q105" i="53"/>
  <c r="AC102" i="53"/>
  <c r="J32" i="118"/>
  <c r="J29" i="118"/>
  <c r="P46" i="53"/>
  <c r="P49" i="53" s="1"/>
  <c r="AC46" i="53"/>
  <c r="Q49" i="53"/>
  <c r="AD46" i="53"/>
  <c r="AA20" i="5"/>
  <c r="K59" i="28"/>
  <c r="J23" i="118"/>
  <c r="P38" i="53"/>
  <c r="P41" i="53" s="1"/>
  <c r="J26" i="118"/>
  <c r="P54" i="53"/>
  <c r="P57" i="53" s="1"/>
  <c r="AC54" i="53"/>
  <c r="Q57" i="53"/>
  <c r="AD54" i="53"/>
  <c r="Q41" i="53"/>
  <c r="AD38" i="53"/>
  <c r="AC38" i="53"/>
  <c r="H3" i="41"/>
  <c r="N3" i="5"/>
  <c r="M59" i="28"/>
  <c r="L3" i="118"/>
  <c r="N1" i="53"/>
  <c r="A57" i="28"/>
  <c r="G58" i="28"/>
  <c r="O79" i="53"/>
  <c r="N9" i="5"/>
  <c r="O63" i="53"/>
  <c r="O11" i="5"/>
  <c r="J58" i="28"/>
  <c r="O10" i="5"/>
  <c r="K57" i="118"/>
  <c r="O95" i="53"/>
  <c r="E58" i="28"/>
  <c r="I58" i="28"/>
  <c r="K69" i="118"/>
  <c r="O31" i="53"/>
  <c r="O72" i="53"/>
  <c r="O6" i="5"/>
  <c r="C58" i="28"/>
  <c r="P58" i="28"/>
  <c r="H58" i="28"/>
  <c r="K27" i="118"/>
  <c r="O71" i="53"/>
  <c r="K15" i="118"/>
  <c r="K9" i="118"/>
  <c r="O80" i="53"/>
  <c r="I57" i="28"/>
  <c r="K21" i="118"/>
  <c r="R58" i="28"/>
  <c r="O15" i="5"/>
  <c r="O15" i="53"/>
  <c r="O8" i="5"/>
  <c r="O39" i="53"/>
  <c r="O5" i="5"/>
  <c r="K75" i="118"/>
  <c r="O48" i="53"/>
  <c r="O16" i="5"/>
  <c r="O14" i="5"/>
  <c r="K33" i="118"/>
  <c r="O23" i="53"/>
  <c r="O55" i="53"/>
  <c r="O56" i="53"/>
  <c r="K63" i="118"/>
  <c r="O16" i="53"/>
  <c r="O7" i="5"/>
  <c r="O40" i="53"/>
  <c r="O9" i="5"/>
  <c r="O96" i="53"/>
  <c r="O12" i="5"/>
  <c r="K39" i="118"/>
  <c r="O8" i="53"/>
  <c r="O111" i="53"/>
  <c r="K45" i="118"/>
  <c r="O58" i="28"/>
  <c r="O87" i="53"/>
  <c r="N16" i="5"/>
  <c r="O24" i="53"/>
  <c r="O7" i="53"/>
  <c r="O64" i="53"/>
  <c r="O18" i="5"/>
  <c r="O13" i="5"/>
  <c r="O4" i="5"/>
  <c r="F58" i="28"/>
  <c r="L58" i="28"/>
  <c r="O104" i="53"/>
  <c r="O88" i="53"/>
  <c r="O103" i="53"/>
  <c r="O112" i="53"/>
  <c r="B58" i="28"/>
  <c r="O32" i="53"/>
  <c r="K51" i="118"/>
  <c r="O47" i="53"/>
  <c r="O53" i="53"/>
  <c r="O109" i="53"/>
  <c r="O101" i="53"/>
  <c r="O85" i="53"/>
  <c r="O93" i="53"/>
  <c r="O69" i="53"/>
  <c r="O29" i="53"/>
  <c r="O37" i="53"/>
  <c r="O13" i="53"/>
  <c r="O5" i="53"/>
  <c r="O45" i="53"/>
  <c r="O61" i="53"/>
  <c r="O77" i="53"/>
  <c r="O21" i="53"/>
  <c r="O34" i="53"/>
  <c r="I6" i="41"/>
  <c r="I13" i="41"/>
  <c r="O42" i="53"/>
  <c r="K22" i="118"/>
  <c r="K31" i="118"/>
  <c r="I10" i="41"/>
  <c r="I14" i="41"/>
  <c r="K30" i="118"/>
  <c r="K64" i="118"/>
  <c r="H16" i="41"/>
  <c r="O52" i="53"/>
  <c r="O50" i="53"/>
  <c r="K67" i="118"/>
  <c r="I8" i="41"/>
  <c r="O36" i="53"/>
  <c r="I7" i="41"/>
  <c r="O99" i="53"/>
  <c r="O44" i="53"/>
  <c r="O98" i="53"/>
  <c r="K24" i="118"/>
  <c r="K66" i="118"/>
  <c r="O51" i="53"/>
  <c r="I17" i="41"/>
  <c r="O43" i="53"/>
  <c r="O100" i="53"/>
  <c r="O35" i="53"/>
  <c r="H14" i="41"/>
  <c r="I5" i="41"/>
  <c r="I4" i="41"/>
  <c r="K28" i="118"/>
  <c r="K25" i="118"/>
  <c r="AD16" i="5" l="1"/>
  <c r="AA16" i="5"/>
  <c r="AB16" i="5"/>
  <c r="O19" i="5"/>
  <c r="K68" i="118"/>
  <c r="K65" i="118"/>
  <c r="O17" i="5"/>
  <c r="O102" i="53"/>
  <c r="O105" i="53" s="1"/>
  <c r="AD105" i="53"/>
  <c r="AC105" i="53"/>
  <c r="K32" i="118"/>
  <c r="K29" i="118"/>
  <c r="AB9" i="5"/>
  <c r="T206" i="5" s="1"/>
  <c r="S209" i="5" s="1"/>
  <c r="U209" i="5" s="1"/>
  <c r="AA9" i="5"/>
  <c r="AD9" i="5"/>
  <c r="S207" i="5" s="1"/>
  <c r="U207" i="5" s="1"/>
  <c r="O46" i="53"/>
  <c r="O49" i="53" s="1"/>
  <c r="AD49" i="53"/>
  <c r="AC49" i="53"/>
  <c r="K58" i="28"/>
  <c r="AB8" i="5"/>
  <c r="T188" i="5" s="1"/>
  <c r="AA8" i="5"/>
  <c r="AD8" i="5"/>
  <c r="S189" i="5" s="1"/>
  <c r="U189" i="5" s="1"/>
  <c r="K23" i="118"/>
  <c r="K26" i="118"/>
  <c r="O38" i="53"/>
  <c r="O41" i="53" s="1"/>
  <c r="O54" i="53"/>
  <c r="O57" i="53" s="1"/>
  <c r="AD41" i="53"/>
  <c r="AC41" i="53"/>
  <c r="AC57" i="53"/>
  <c r="AD57" i="53"/>
  <c r="G3" i="41"/>
  <c r="AA5" i="5"/>
  <c r="AA14" i="5"/>
  <c r="AA4" i="5"/>
  <c r="M3" i="5"/>
  <c r="M3" i="118"/>
  <c r="M58" i="28"/>
  <c r="M1" i="53"/>
  <c r="A56" i="28"/>
  <c r="F57" i="28"/>
  <c r="L69" i="118"/>
  <c r="C57" i="28"/>
  <c r="N56" i="53"/>
  <c r="J57" i="28"/>
  <c r="N48" i="53"/>
  <c r="N40" i="53"/>
  <c r="L57" i="28"/>
  <c r="N96" i="53"/>
  <c r="L39" i="118"/>
  <c r="N8" i="5"/>
  <c r="N5" i="5"/>
  <c r="L21" i="118"/>
  <c r="N10" i="5"/>
  <c r="N4" i="5"/>
  <c r="N88" i="53"/>
  <c r="L15" i="118"/>
  <c r="N16" i="53"/>
  <c r="R57" i="28"/>
  <c r="L27" i="118"/>
  <c r="L75" i="118"/>
  <c r="N80" i="53"/>
  <c r="N23" i="53"/>
  <c r="N79" i="53"/>
  <c r="M16" i="5"/>
  <c r="N55" i="53"/>
  <c r="L45" i="118"/>
  <c r="N95" i="53"/>
  <c r="N15" i="5"/>
  <c r="N8" i="53"/>
  <c r="N18" i="5"/>
  <c r="N31" i="53"/>
  <c r="N104" i="53"/>
  <c r="E57" i="28"/>
  <c r="N111" i="53"/>
  <c r="H57" i="28"/>
  <c r="I56" i="28"/>
  <c r="L57" i="118"/>
  <c r="M20" i="5"/>
  <c r="N14" i="5"/>
  <c r="N72" i="53"/>
  <c r="O57" i="28"/>
  <c r="N87" i="53"/>
  <c r="N103" i="53"/>
  <c r="L51" i="118"/>
  <c r="N11" i="5"/>
  <c r="N64" i="53"/>
  <c r="N7" i="53"/>
  <c r="L33" i="118"/>
  <c r="L63" i="118"/>
  <c r="B57" i="28"/>
  <c r="N7" i="5"/>
  <c r="N24" i="53"/>
  <c r="N20" i="5"/>
  <c r="N32" i="53"/>
  <c r="G57" i="28"/>
  <c r="N63" i="53"/>
  <c r="N47" i="53"/>
  <c r="N13" i="5"/>
  <c r="N71" i="53"/>
  <c r="N6" i="5"/>
  <c r="D57" i="28"/>
  <c r="N12" i="5"/>
  <c r="L9" i="118"/>
  <c r="N15" i="53"/>
  <c r="N39" i="53"/>
  <c r="P57" i="28"/>
  <c r="N112" i="53"/>
  <c r="N61" i="53"/>
  <c r="N101" i="53"/>
  <c r="N93" i="53"/>
  <c r="N37" i="53"/>
  <c r="N85" i="53"/>
  <c r="N109" i="53"/>
  <c r="N77" i="53"/>
  <c r="N5" i="53"/>
  <c r="N13" i="53"/>
  <c r="N69" i="53"/>
  <c r="N21" i="53"/>
  <c r="N29" i="53"/>
  <c r="N45" i="53"/>
  <c r="N53" i="53"/>
  <c r="H6" i="41"/>
  <c r="L67" i="118"/>
  <c r="H7" i="41"/>
  <c r="N50" i="53"/>
  <c r="L64" i="118"/>
  <c r="N98" i="53"/>
  <c r="N51" i="53"/>
  <c r="L24" i="118"/>
  <c r="H13" i="41"/>
  <c r="H17" i="41"/>
  <c r="H5" i="41"/>
  <c r="N99" i="53"/>
  <c r="H15" i="41"/>
  <c r="H4" i="41"/>
  <c r="L31" i="118"/>
  <c r="N44" i="53"/>
  <c r="L30" i="118"/>
  <c r="L28" i="118"/>
  <c r="N43" i="53"/>
  <c r="L22" i="118"/>
  <c r="N42" i="53"/>
  <c r="G9" i="41"/>
  <c r="N34" i="53"/>
  <c r="N36" i="53"/>
  <c r="L25" i="118"/>
  <c r="H8" i="41"/>
  <c r="H10" i="41"/>
  <c r="N52" i="53"/>
  <c r="N100" i="53"/>
  <c r="L66" i="118"/>
  <c r="G16" i="41"/>
  <c r="H9" i="41"/>
  <c r="H11" i="41"/>
  <c r="N35" i="53"/>
  <c r="H12" i="41"/>
  <c r="N19" i="5" l="1"/>
  <c r="AD19" i="5"/>
  <c r="AB19" i="5"/>
  <c r="L68" i="118"/>
  <c r="L65" i="118"/>
  <c r="N17" i="5"/>
  <c r="N102" i="53"/>
  <c r="N105" i="53" s="1"/>
  <c r="AA19" i="5"/>
  <c r="L32" i="118"/>
  <c r="L29" i="118"/>
  <c r="S191" i="5"/>
  <c r="U191" i="5" s="1"/>
  <c r="N46" i="53"/>
  <c r="N49" i="53" s="1"/>
  <c r="K57" i="28"/>
  <c r="N54" i="53"/>
  <c r="N57" i="53" s="1"/>
  <c r="L26" i="118"/>
  <c r="N38" i="53"/>
  <c r="N41" i="53" s="1"/>
  <c r="L23" i="118"/>
  <c r="F3" i="41"/>
  <c r="L3" i="5"/>
  <c r="N3" i="118"/>
  <c r="M57" i="28"/>
  <c r="L1" i="53"/>
  <c r="A55" i="28"/>
  <c r="M80" i="53"/>
  <c r="L16" i="5"/>
  <c r="M104" i="53"/>
  <c r="M79" i="53"/>
  <c r="M72" i="53"/>
  <c r="M27" i="118"/>
  <c r="M39" i="118"/>
  <c r="D56" i="28"/>
  <c r="M15" i="53"/>
  <c r="M64" i="53"/>
  <c r="I55" i="28"/>
  <c r="H56" i="28"/>
  <c r="L20" i="5"/>
  <c r="O56" i="28"/>
  <c r="M7" i="53"/>
  <c r="G56" i="28"/>
  <c r="M48" i="53"/>
  <c r="R56" i="28"/>
  <c r="M96" i="53"/>
  <c r="M15" i="118"/>
  <c r="M75" i="118"/>
  <c r="M9" i="5"/>
  <c r="M18" i="5"/>
  <c r="M47" i="53"/>
  <c r="M95" i="53"/>
  <c r="B56" i="28"/>
  <c r="C56" i="28"/>
  <c r="M7" i="5"/>
  <c r="M103" i="53"/>
  <c r="F56" i="28"/>
  <c r="M71" i="53"/>
  <c r="L16" i="53"/>
  <c r="L88" i="53"/>
  <c r="M51" i="118"/>
  <c r="M88" i="53"/>
  <c r="M33" i="118"/>
  <c r="M21" i="118"/>
  <c r="M8" i="5"/>
  <c r="M111" i="53"/>
  <c r="M112" i="53"/>
  <c r="M5" i="5"/>
  <c r="M32" i="53"/>
  <c r="M10" i="5"/>
  <c r="M55" i="53"/>
  <c r="M14" i="5"/>
  <c r="M69" i="118"/>
  <c r="M9" i="118"/>
  <c r="M15" i="5"/>
  <c r="M56" i="53"/>
  <c r="J56" i="28"/>
  <c r="P56" i="28"/>
  <c r="E56" i="28"/>
  <c r="M23" i="53"/>
  <c r="M8" i="53"/>
  <c r="M63" i="53"/>
  <c r="M57" i="118"/>
  <c r="M31" i="53"/>
  <c r="M63" i="118"/>
  <c r="M16" i="53"/>
  <c r="M11" i="5"/>
  <c r="M6" i="5"/>
  <c r="M13" i="5"/>
  <c r="M39" i="53"/>
  <c r="L56" i="28"/>
  <c r="M40" i="53"/>
  <c r="M24" i="53"/>
  <c r="M87" i="53"/>
  <c r="M12" i="5"/>
  <c r="M45" i="118"/>
  <c r="M5" i="53"/>
  <c r="M29" i="53"/>
  <c r="M45" i="53"/>
  <c r="M109" i="53"/>
  <c r="M21" i="53"/>
  <c r="M13" i="53"/>
  <c r="M93" i="53"/>
  <c r="M37" i="53"/>
  <c r="M85" i="53"/>
  <c r="M101" i="53"/>
  <c r="M69" i="53"/>
  <c r="M61" i="53"/>
  <c r="M53" i="53"/>
  <c r="M77" i="53"/>
  <c r="G13" i="41"/>
  <c r="G8" i="41"/>
  <c r="G17" i="41"/>
  <c r="M25" i="118"/>
  <c r="M28" i="118"/>
  <c r="G5" i="41"/>
  <c r="M66" i="118"/>
  <c r="M98" i="53"/>
  <c r="G4" i="41"/>
  <c r="M34" i="53"/>
  <c r="G12" i="41"/>
  <c r="M100" i="53"/>
  <c r="G15" i="41"/>
  <c r="M67" i="118"/>
  <c r="M43" i="53"/>
  <c r="G11" i="41"/>
  <c r="M99" i="53"/>
  <c r="M52" i="53"/>
  <c r="M50" i="53"/>
  <c r="G7" i="41"/>
  <c r="G10" i="41"/>
  <c r="M30" i="118"/>
  <c r="G14" i="41"/>
  <c r="M64" i="118"/>
  <c r="M35" i="53"/>
  <c r="M31" i="118"/>
  <c r="F16" i="41"/>
  <c r="M36" i="53"/>
  <c r="F9" i="41"/>
  <c r="G6" i="41"/>
  <c r="M22" i="118"/>
  <c r="M51" i="53"/>
  <c r="M42" i="53"/>
  <c r="M24" i="118"/>
  <c r="M44" i="53"/>
  <c r="M19" i="5" l="1"/>
  <c r="M68" i="118"/>
  <c r="M65" i="118"/>
  <c r="M17" i="5"/>
  <c r="D22" i="5"/>
  <c r="F22" i="5"/>
  <c r="H22" i="5"/>
  <c r="J22" i="5"/>
  <c r="L22" i="5"/>
  <c r="N22" i="5"/>
  <c r="P22" i="5"/>
  <c r="R22" i="5"/>
  <c r="T22" i="5"/>
  <c r="V22" i="5"/>
  <c r="X22" i="5"/>
  <c r="Z22" i="5"/>
  <c r="E22" i="5"/>
  <c r="G22" i="5"/>
  <c r="I22" i="5"/>
  <c r="K22" i="5"/>
  <c r="M22" i="5"/>
  <c r="O22" i="5"/>
  <c r="Q22" i="5"/>
  <c r="S22" i="5"/>
  <c r="U22" i="5"/>
  <c r="W22" i="5"/>
  <c r="Y22" i="5"/>
  <c r="C22" i="5"/>
  <c r="M102" i="53"/>
  <c r="M105" i="53" s="1"/>
  <c r="M32" i="118"/>
  <c r="M29" i="118"/>
  <c r="M46" i="53"/>
  <c r="M49" i="53" s="1"/>
  <c r="K56" i="28"/>
  <c r="E3" i="41"/>
  <c r="M38" i="53"/>
  <c r="M41" i="53" s="1"/>
  <c r="M54" i="53"/>
  <c r="M57" i="53" s="1"/>
  <c r="M23" i="118"/>
  <c r="M26" i="118"/>
  <c r="G18" i="41"/>
  <c r="K1" i="53"/>
  <c r="K3" i="5"/>
  <c r="O3" i="118"/>
  <c r="M56" i="28"/>
  <c r="A54" i="28"/>
  <c r="AC2" i="57"/>
  <c r="L432" i="9"/>
  <c r="M432" i="9"/>
  <c r="N432" i="9"/>
  <c r="O432" i="9"/>
  <c r="P432" i="9"/>
  <c r="Q432" i="9"/>
  <c r="R432" i="9"/>
  <c r="S432" i="9"/>
  <c r="T432" i="9"/>
  <c r="L103" i="9"/>
  <c r="M103" i="9"/>
  <c r="N103" i="9"/>
  <c r="O103" i="9"/>
  <c r="P103" i="9"/>
  <c r="Q103" i="9"/>
  <c r="R103" i="9"/>
  <c r="S103" i="9"/>
  <c r="T103" i="9"/>
  <c r="L63" i="9"/>
  <c r="M63" i="9"/>
  <c r="N63" i="9"/>
  <c r="O63" i="9"/>
  <c r="P63" i="9"/>
  <c r="Q63" i="9"/>
  <c r="R63" i="9"/>
  <c r="S63" i="9"/>
  <c r="T6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Z13" i="9"/>
  <c r="P55" i="28"/>
  <c r="D55" i="28"/>
  <c r="L103" i="53"/>
  <c r="J55" i="28"/>
  <c r="K79" i="53"/>
  <c r="N45" i="118"/>
  <c r="R55" i="28"/>
  <c r="L63" i="53"/>
  <c r="L5" i="5"/>
  <c r="G55" i="28"/>
  <c r="Z384" i="9"/>
  <c r="N39" i="118"/>
  <c r="N33" i="118"/>
  <c r="B55" i="28"/>
  <c r="L80" i="53"/>
  <c r="L104" i="53"/>
  <c r="L55" i="28"/>
  <c r="L112" i="53"/>
  <c r="L14" i="5"/>
  <c r="L47" i="53"/>
  <c r="N51" i="118"/>
  <c r="N75" i="118"/>
  <c r="L64" i="53"/>
  <c r="N63" i="118"/>
  <c r="L55" i="53"/>
  <c r="L79" i="53"/>
  <c r="AC8" i="57"/>
  <c r="L95" i="53"/>
  <c r="L8" i="5"/>
  <c r="N57" i="118"/>
  <c r="L18" i="5"/>
  <c r="K9" i="5"/>
  <c r="L15" i="5"/>
  <c r="L12" i="5"/>
  <c r="L11" i="5"/>
  <c r="O55" i="28"/>
  <c r="L96" i="53"/>
  <c r="H55" i="28"/>
  <c r="N69" i="118"/>
  <c r="L56" i="53"/>
  <c r="B54" i="28"/>
  <c r="L24" i="53"/>
  <c r="L39" i="53"/>
  <c r="N27" i="118"/>
  <c r="E55" i="28"/>
  <c r="L31" i="53"/>
  <c r="L7" i="53"/>
  <c r="L48" i="53"/>
  <c r="AC6" i="57"/>
  <c r="N21" i="118"/>
  <c r="L4" i="5"/>
  <c r="Z429" i="9"/>
  <c r="L13" i="5"/>
  <c r="L32" i="53"/>
  <c r="L8" i="53"/>
  <c r="L40" i="53"/>
  <c r="L6" i="5"/>
  <c r="L111" i="53"/>
  <c r="F55" i="28"/>
  <c r="L23" i="53"/>
  <c r="L87" i="53"/>
  <c r="N9" i="118"/>
  <c r="L10" i="5"/>
  <c r="L72" i="53"/>
  <c r="C55" i="28"/>
  <c r="L7" i="5"/>
  <c r="L9" i="5"/>
  <c r="L15" i="53"/>
  <c r="N15" i="118"/>
  <c r="L71" i="53"/>
  <c r="L109" i="53"/>
  <c r="L21" i="53"/>
  <c r="L37" i="53"/>
  <c r="L5" i="53"/>
  <c r="L61" i="53"/>
  <c r="L93" i="53"/>
  <c r="L45" i="53"/>
  <c r="L101" i="53"/>
  <c r="L69" i="53"/>
  <c r="L77" i="53"/>
  <c r="L85" i="53"/>
  <c r="L29" i="53"/>
  <c r="L13" i="53"/>
  <c r="L53" i="53"/>
  <c r="F6" i="41"/>
  <c r="F4" i="41"/>
  <c r="F17" i="41"/>
  <c r="L34" i="53"/>
  <c r="L42" i="53"/>
  <c r="E9" i="41"/>
  <c r="N64" i="118"/>
  <c r="L50" i="53"/>
  <c r="E16" i="41"/>
  <c r="F8" i="41"/>
  <c r="N66" i="118"/>
  <c r="F7" i="41"/>
  <c r="N25" i="118"/>
  <c r="L99" i="53"/>
  <c r="F15" i="41"/>
  <c r="N28" i="118"/>
  <c r="F5" i="41"/>
  <c r="F12" i="41"/>
  <c r="L44" i="53"/>
  <c r="L98" i="53"/>
  <c r="N31" i="118"/>
  <c r="L43" i="53"/>
  <c r="L35" i="53"/>
  <c r="E7" i="41"/>
  <c r="L100" i="53"/>
  <c r="F14" i="41"/>
  <c r="N22" i="118"/>
  <c r="N67" i="118"/>
  <c r="L51" i="53"/>
  <c r="L52" i="53"/>
  <c r="L36" i="53"/>
  <c r="F11" i="41"/>
  <c r="F13" i="41"/>
  <c r="N30" i="118"/>
  <c r="N24" i="118"/>
  <c r="F10" i="41"/>
  <c r="L19" i="5" l="1"/>
  <c r="N68" i="118"/>
  <c r="N65" i="118"/>
  <c r="L17" i="5"/>
  <c r="Z463" i="9"/>
  <c r="L102" i="53"/>
  <c r="L105" i="53" s="1"/>
  <c r="N32" i="118"/>
  <c r="N29" i="118"/>
  <c r="Z504" i="9"/>
  <c r="Z175" i="9"/>
  <c r="L46" i="53"/>
  <c r="L49" i="53" s="1"/>
  <c r="K55" i="28"/>
  <c r="F18" i="41"/>
  <c r="D3" i="41"/>
  <c r="N23" i="118"/>
  <c r="N26" i="118"/>
  <c r="L38" i="53"/>
  <c r="L41" i="53" s="1"/>
  <c r="L54" i="53"/>
  <c r="L57" i="53" s="1"/>
  <c r="Z134" i="9"/>
  <c r="J1" i="53"/>
  <c r="J3" i="5"/>
  <c r="P3" i="118"/>
  <c r="M55" i="28"/>
  <c r="AC9" i="57"/>
  <c r="A53" i="28"/>
  <c r="Y13" i="9"/>
  <c r="Z93" i="9"/>
  <c r="Z468" i="9"/>
  <c r="I54" i="28"/>
  <c r="AC82" i="57"/>
  <c r="AC96" i="57"/>
  <c r="AC64" i="57"/>
  <c r="AC22" i="57"/>
  <c r="Z466" i="9"/>
  <c r="Z464" i="9"/>
  <c r="AC72" i="57"/>
  <c r="AC56" i="57"/>
  <c r="K8" i="5"/>
  <c r="Z469" i="9"/>
  <c r="O33" i="118"/>
  <c r="AC76" i="57"/>
  <c r="K104" i="53"/>
  <c r="K20" i="5"/>
  <c r="O69" i="118"/>
  <c r="K103" i="53"/>
  <c r="Z472" i="9"/>
  <c r="J16" i="5"/>
  <c r="Z471" i="9"/>
  <c r="Z467" i="9"/>
  <c r="AC74" i="57"/>
  <c r="Z465" i="9"/>
  <c r="K16" i="5"/>
  <c r="Z470" i="9"/>
  <c r="K21" i="53"/>
  <c r="AC73" i="57"/>
  <c r="K101" i="53"/>
  <c r="AC61" i="57"/>
  <c r="AC19" i="57"/>
  <c r="AC67" i="57"/>
  <c r="O67" i="118"/>
  <c r="K99" i="53"/>
  <c r="D16" i="41"/>
  <c r="E11" i="41"/>
  <c r="O28" i="118"/>
  <c r="O66" i="118"/>
  <c r="E13" i="41"/>
  <c r="O30" i="118"/>
  <c r="K98" i="53"/>
  <c r="O31" i="118"/>
  <c r="K100" i="53"/>
  <c r="E4" i="41"/>
  <c r="O64" i="118"/>
  <c r="O68" i="118" l="1"/>
  <c r="O65" i="118"/>
  <c r="AC77" i="57"/>
  <c r="AC75" i="57"/>
  <c r="Z474" i="9"/>
  <c r="Z475" i="9" s="1"/>
  <c r="Y463" i="9"/>
  <c r="K102" i="53"/>
  <c r="K105" i="53" s="1"/>
  <c r="O32" i="118"/>
  <c r="O29" i="118"/>
  <c r="Y504" i="9"/>
  <c r="Y175" i="9"/>
  <c r="C3" i="41"/>
  <c r="I1" i="53"/>
  <c r="Y134" i="9"/>
  <c r="I3" i="5"/>
  <c r="A52" i="28"/>
  <c r="X13" i="9"/>
  <c r="Y93" i="9"/>
  <c r="Y467" i="9"/>
  <c r="P33" i="118"/>
  <c r="J104" i="53"/>
  <c r="Y468" i="9"/>
  <c r="Y465" i="9"/>
  <c r="Y472" i="9"/>
  <c r="J103" i="53"/>
  <c r="P69" i="118"/>
  <c r="Y464" i="9"/>
  <c r="Y469" i="9"/>
  <c r="I16" i="5"/>
  <c r="Y470" i="9"/>
  <c r="Y466" i="9"/>
  <c r="Y471" i="9"/>
  <c r="J101" i="53"/>
  <c r="P66" i="118"/>
  <c r="P64" i="118"/>
  <c r="P67" i="118"/>
  <c r="P31" i="118"/>
  <c r="C16" i="41"/>
  <c r="J98" i="53"/>
  <c r="J99" i="53"/>
  <c r="P30" i="118"/>
  <c r="J100" i="53"/>
  <c r="P28" i="118"/>
  <c r="R64" i="118" l="1"/>
  <c r="Q64" i="118"/>
  <c r="R67" i="118"/>
  <c r="Q67" i="118"/>
  <c r="P68" i="118"/>
  <c r="R68" i="118" s="1"/>
  <c r="R66" i="118"/>
  <c r="Q66" i="118"/>
  <c r="P65" i="118"/>
  <c r="R69" i="118"/>
  <c r="Y474" i="9"/>
  <c r="Y475" i="9" s="1"/>
  <c r="X463" i="9"/>
  <c r="J102" i="53"/>
  <c r="J105" i="53" s="1"/>
  <c r="Q28" i="118"/>
  <c r="R28" i="118"/>
  <c r="Q31" i="118"/>
  <c r="R31" i="118"/>
  <c r="P32" i="118"/>
  <c r="R32" i="118" s="1"/>
  <c r="R30" i="118"/>
  <c r="Q30" i="118"/>
  <c r="Q32" i="118" s="1"/>
  <c r="P29" i="118"/>
  <c r="R33" i="118"/>
  <c r="B3" i="41"/>
  <c r="X504" i="9"/>
  <c r="X175" i="9"/>
  <c r="H1" i="53"/>
  <c r="X134" i="9"/>
  <c r="H3" i="5"/>
  <c r="A51" i="28"/>
  <c r="W13" i="9"/>
  <c r="X93" i="9"/>
  <c r="X472" i="9"/>
  <c r="X469" i="9"/>
  <c r="I104" i="53"/>
  <c r="H16" i="5"/>
  <c r="X466" i="9"/>
  <c r="X471" i="9"/>
  <c r="X467" i="9"/>
  <c r="X470" i="9"/>
  <c r="X465" i="9"/>
  <c r="I103" i="53"/>
  <c r="X464" i="9"/>
  <c r="X468" i="9"/>
  <c r="I101" i="53"/>
  <c r="B16" i="41"/>
  <c r="I100" i="53"/>
  <c r="I98" i="53"/>
  <c r="I99" i="53"/>
  <c r="AB16" i="41" l="1"/>
  <c r="N310" i="41" s="1"/>
  <c r="Q68" i="118"/>
  <c r="R65" i="118"/>
  <c r="Q65" i="118"/>
  <c r="Q69" i="118" s="1"/>
  <c r="X474" i="9"/>
  <c r="X475" i="9" s="1"/>
  <c r="W463" i="9"/>
  <c r="I102" i="53"/>
  <c r="I105" i="53" s="1"/>
  <c r="Q29" i="118"/>
  <c r="Q33" i="118" s="1"/>
  <c r="R29" i="118"/>
  <c r="W504" i="9"/>
  <c r="W175" i="9"/>
  <c r="G1" i="53"/>
  <c r="P165" i="41"/>
  <c r="O167" i="41"/>
  <c r="P166" i="41"/>
  <c r="N167" i="41"/>
  <c r="W134" i="9"/>
  <c r="G3" i="5"/>
  <c r="A50" i="28"/>
  <c r="V13" i="9"/>
  <c r="W93" i="9"/>
  <c r="G16" i="5"/>
  <c r="H103" i="53"/>
  <c r="H104" i="53"/>
  <c r="W467" i="9"/>
  <c r="W466" i="9"/>
  <c r="W468" i="9"/>
  <c r="W465" i="9"/>
  <c r="W471" i="9"/>
  <c r="W472" i="9"/>
  <c r="W469" i="9"/>
  <c r="W470" i="9"/>
  <c r="W464" i="9"/>
  <c r="H101" i="53"/>
  <c r="H100" i="53"/>
  <c r="H99" i="53"/>
  <c r="H98" i="53"/>
  <c r="W474" i="9" l="1"/>
  <c r="W475" i="9" s="1"/>
  <c r="V463" i="9"/>
  <c r="H102" i="53"/>
  <c r="H105" i="53" s="1"/>
  <c r="V504" i="9"/>
  <c r="V175" i="9"/>
  <c r="F1" i="53"/>
  <c r="F3" i="5"/>
  <c r="P167" i="41"/>
  <c r="V134" i="9"/>
  <c r="A49" i="28"/>
  <c r="U13" i="9"/>
  <c r="V93" i="9"/>
  <c r="G104" i="53"/>
  <c r="V471" i="9"/>
  <c r="V465" i="9"/>
  <c r="F16" i="5"/>
  <c r="V470" i="9"/>
  <c r="V468" i="9"/>
  <c r="V472" i="9"/>
  <c r="V466" i="9"/>
  <c r="V464" i="9"/>
  <c r="V467" i="9"/>
  <c r="G103" i="53"/>
  <c r="V469" i="9"/>
  <c r="G101" i="53"/>
  <c r="G99" i="53"/>
  <c r="G98" i="53"/>
  <c r="G100" i="53"/>
  <c r="V474" i="9" l="1"/>
  <c r="V475" i="9" s="1"/>
  <c r="U463" i="9"/>
  <c r="G102" i="53"/>
  <c r="G105" i="53" s="1"/>
  <c r="U504" i="9"/>
  <c r="U175" i="9"/>
  <c r="E1" i="53"/>
  <c r="U134" i="9"/>
  <c r="E3" i="5"/>
  <c r="A48" i="28"/>
  <c r="T13" i="9"/>
  <c r="U93" i="9"/>
  <c r="U472" i="9"/>
  <c r="U471" i="9"/>
  <c r="U467" i="9"/>
  <c r="F104" i="53"/>
  <c r="U469" i="9"/>
  <c r="U465" i="9"/>
  <c r="E16" i="5"/>
  <c r="F103" i="53"/>
  <c r="U468" i="9"/>
  <c r="U464" i="9"/>
  <c r="U470" i="9"/>
  <c r="U466" i="9"/>
  <c r="F101" i="53"/>
  <c r="F99" i="53"/>
  <c r="F98" i="53"/>
  <c r="F100" i="53"/>
  <c r="U474" i="9" l="1"/>
  <c r="U475" i="9" s="1"/>
  <c r="T463" i="9"/>
  <c r="F102" i="53"/>
  <c r="F105" i="53" s="1"/>
  <c r="T504" i="9"/>
  <c r="T175" i="9"/>
  <c r="T134" i="9"/>
  <c r="D3" i="5"/>
  <c r="A47" i="28"/>
  <c r="S13" i="9"/>
  <c r="T93" i="9"/>
  <c r="T464" i="9"/>
  <c r="T465" i="9"/>
  <c r="T470" i="9"/>
  <c r="T469" i="9"/>
  <c r="T468" i="9"/>
  <c r="T467" i="9"/>
  <c r="E103" i="53"/>
  <c r="T471" i="9"/>
  <c r="T466" i="9"/>
  <c r="E104" i="53"/>
  <c r="D16" i="5"/>
  <c r="T472" i="9"/>
  <c r="E101" i="53"/>
  <c r="E98" i="53"/>
  <c r="E100" i="53"/>
  <c r="E99" i="53"/>
  <c r="T474" i="9" l="1"/>
  <c r="T475" i="9" s="1"/>
  <c r="S463" i="9"/>
  <c r="E102" i="53"/>
  <c r="E105" i="53" s="1"/>
  <c r="S504" i="9"/>
  <c r="S175" i="9"/>
  <c r="S134" i="9"/>
  <c r="C3" i="5"/>
  <c r="A46" i="28"/>
  <c r="R13" i="9"/>
  <c r="S93" i="9"/>
  <c r="S466" i="9"/>
  <c r="S468" i="9"/>
  <c r="S470" i="9"/>
  <c r="S464" i="9"/>
  <c r="S469" i="9"/>
  <c r="S467" i="9"/>
  <c r="S465" i="9"/>
  <c r="C16" i="5"/>
  <c r="S471" i="9"/>
  <c r="S472" i="9"/>
  <c r="AC16" i="5" l="1"/>
  <c r="S474" i="9"/>
  <c r="S475" i="9" s="1"/>
  <c r="R463" i="9"/>
  <c r="R504" i="9"/>
  <c r="R175" i="9"/>
  <c r="R134" i="9"/>
  <c r="A45" i="28"/>
  <c r="Q13" i="9"/>
  <c r="R93" i="9"/>
  <c r="R471" i="9"/>
  <c r="R469" i="9"/>
  <c r="R468" i="9"/>
  <c r="R472" i="9"/>
  <c r="R467" i="9"/>
  <c r="R466" i="9"/>
  <c r="R465" i="9"/>
  <c r="R470" i="9"/>
  <c r="R464" i="9"/>
  <c r="R474" i="9" l="1"/>
  <c r="R475" i="9" s="1"/>
  <c r="Q463" i="9"/>
  <c r="Q504" i="9"/>
  <c r="Q175" i="9"/>
  <c r="Q134" i="9"/>
  <c r="A44" i="28"/>
  <c r="P13" i="9"/>
  <c r="Q93" i="9"/>
  <c r="Q472" i="9"/>
  <c r="Q470" i="9"/>
  <c r="Q468" i="9"/>
  <c r="Q469" i="9"/>
  <c r="Q467" i="9"/>
  <c r="Q464" i="9"/>
  <c r="Q465" i="9"/>
  <c r="Q471" i="9"/>
  <c r="Q466" i="9"/>
  <c r="Q474" i="9" l="1"/>
  <c r="Q475" i="9" s="1"/>
  <c r="P463" i="9"/>
  <c r="P504" i="9"/>
  <c r="P175" i="9"/>
  <c r="P134" i="9"/>
  <c r="A43" i="28"/>
  <c r="O13" i="9"/>
  <c r="P93" i="9"/>
  <c r="P465" i="9"/>
  <c r="P468" i="9"/>
  <c r="P470" i="9"/>
  <c r="P466" i="9"/>
  <c r="P467" i="9"/>
  <c r="P471" i="9"/>
  <c r="P472" i="9"/>
  <c r="P464" i="9"/>
  <c r="P469" i="9"/>
  <c r="P474" i="9" l="1"/>
  <c r="P475" i="9" s="1"/>
  <c r="O463" i="9"/>
  <c r="O504" i="9"/>
  <c r="O175" i="9"/>
  <c r="O134" i="9"/>
  <c r="A42" i="28"/>
  <c r="N13" i="9"/>
  <c r="O93" i="9"/>
  <c r="N463" i="9" l="1"/>
  <c r="N504" i="9"/>
  <c r="N175" i="9"/>
  <c r="N134" i="9"/>
  <c r="A41" i="28"/>
  <c r="M13" i="9"/>
  <c r="N93" i="9"/>
  <c r="M463" i="9" l="1"/>
  <c r="M504" i="9"/>
  <c r="M175" i="9"/>
  <c r="M134" i="9"/>
  <c r="A40" i="28"/>
  <c r="L13" i="9"/>
  <c r="M93" i="9"/>
  <c r="L463" i="9" l="1"/>
  <c r="L504" i="9"/>
  <c r="L175" i="9"/>
  <c r="L134" i="9"/>
  <c r="K13" i="9"/>
  <c r="A39" i="28"/>
  <c r="L93" i="9"/>
  <c r="K463" i="9" l="1"/>
  <c r="K504" i="9"/>
  <c r="K175" i="9"/>
  <c r="K134" i="9"/>
  <c r="J13" i="9"/>
  <c r="K53" i="9"/>
  <c r="K93" i="9"/>
  <c r="K216" i="9"/>
  <c r="K256" i="9"/>
  <c r="K297" i="9"/>
  <c r="K545" i="9"/>
  <c r="K339" i="9"/>
  <c r="K380" i="9"/>
  <c r="K422" i="9"/>
  <c r="A38" i="28"/>
  <c r="J463" i="9" l="1"/>
  <c r="J504" i="9"/>
  <c r="J175" i="9"/>
  <c r="J134" i="9"/>
  <c r="J545" i="9"/>
  <c r="J53" i="9"/>
  <c r="J216" i="9"/>
  <c r="J297" i="9"/>
  <c r="J380" i="9"/>
  <c r="I13" i="9"/>
  <c r="J93" i="9"/>
  <c r="J256" i="9"/>
  <c r="J339" i="9"/>
  <c r="J422" i="9"/>
  <c r="A37" i="28"/>
  <c r="I463" i="9" l="1"/>
  <c r="I504" i="9"/>
  <c r="I175" i="9"/>
  <c r="I134" i="9"/>
  <c r="I53" i="9"/>
  <c r="I216" i="9"/>
  <c r="I256" i="9"/>
  <c r="I339" i="9"/>
  <c r="I422" i="9"/>
  <c r="H13" i="9"/>
  <c r="I93" i="9"/>
  <c r="I297" i="9"/>
  <c r="I380" i="9"/>
  <c r="I545" i="9"/>
  <c r="A36" i="28"/>
  <c r="H463" i="9" l="1"/>
  <c r="H504" i="9"/>
  <c r="H175" i="9"/>
  <c r="H134" i="9"/>
  <c r="H93" i="9"/>
  <c r="H256" i="9"/>
  <c r="H297" i="9"/>
  <c r="H380" i="9"/>
  <c r="H545" i="9"/>
  <c r="H216" i="9"/>
  <c r="H422" i="9"/>
  <c r="G13" i="9"/>
  <c r="H53" i="9"/>
  <c r="H339" i="9"/>
  <c r="A35" i="28"/>
  <c r="G463" i="9" l="1"/>
  <c r="G504" i="9"/>
  <c r="G175" i="9"/>
  <c r="G134" i="9"/>
  <c r="F13" i="9"/>
  <c r="G216" i="9"/>
  <c r="G297" i="9"/>
  <c r="G380" i="9"/>
  <c r="G545" i="9"/>
  <c r="G53" i="9"/>
  <c r="G93" i="9"/>
  <c r="G256" i="9"/>
  <c r="G339" i="9"/>
  <c r="G422" i="9"/>
  <c r="A34" i="28"/>
  <c r="F463" i="9" l="1"/>
  <c r="F504" i="9"/>
  <c r="F175" i="9"/>
  <c r="F134" i="9"/>
  <c r="F53" i="9"/>
  <c r="F216" i="9"/>
  <c r="F297" i="9"/>
  <c r="F380" i="9"/>
  <c r="F545" i="9"/>
  <c r="E13" i="9"/>
  <c r="F93" i="9"/>
  <c r="F256" i="9"/>
  <c r="F339" i="9"/>
  <c r="F422" i="9"/>
  <c r="A33" i="28"/>
  <c r="E463" i="9" l="1"/>
  <c r="E504" i="9"/>
  <c r="E175" i="9"/>
  <c r="E134" i="9"/>
  <c r="D13" i="9"/>
  <c r="E297" i="9"/>
  <c r="E53" i="9"/>
  <c r="E93" i="9"/>
  <c r="E216" i="9"/>
  <c r="E339" i="9"/>
  <c r="E422" i="9"/>
  <c r="E256" i="9"/>
  <c r="E380" i="9"/>
  <c r="E545" i="9"/>
  <c r="A32" i="28"/>
  <c r="D463" i="9" l="1"/>
  <c r="D504" i="9"/>
  <c r="D175" i="9"/>
  <c r="D134" i="9"/>
  <c r="D93" i="9"/>
  <c r="D256" i="9"/>
  <c r="D339" i="9"/>
  <c r="D422" i="9"/>
  <c r="D545" i="9"/>
  <c r="C13" i="9"/>
  <c r="D216" i="9"/>
  <c r="D297" i="9"/>
  <c r="D380" i="9"/>
  <c r="D53" i="9"/>
  <c r="A31" i="28"/>
  <c r="W306" i="9"/>
  <c r="D472" i="9"/>
  <c r="P39" i="118"/>
  <c r="O63" i="118"/>
  <c r="Q303" i="9"/>
  <c r="L348" i="9"/>
  <c r="K95" i="53"/>
  <c r="E24" i="53"/>
  <c r="J300" i="9"/>
  <c r="AC46" i="57"/>
  <c r="Z301" i="9"/>
  <c r="G143" i="9"/>
  <c r="X135" i="9"/>
  <c r="K470" i="9"/>
  <c r="Z430" i="9"/>
  <c r="K32" i="53"/>
  <c r="R179" i="9"/>
  <c r="AC50" i="57"/>
  <c r="AC42" i="57"/>
  <c r="P75" i="118"/>
  <c r="O52" i="28"/>
  <c r="H472" i="9"/>
  <c r="J303" i="9"/>
  <c r="K80" i="53"/>
  <c r="S306" i="9"/>
  <c r="X548" i="9"/>
  <c r="F22" i="9"/>
  <c r="Y261" i="9"/>
  <c r="D348" i="9"/>
  <c r="Y551" i="9"/>
  <c r="M464" i="9"/>
  <c r="Y223" i="9"/>
  <c r="D177" i="9"/>
  <c r="X14" i="9"/>
  <c r="D62" i="9"/>
  <c r="X60" i="9"/>
  <c r="AC12" i="57"/>
  <c r="Y221" i="9"/>
  <c r="Z16" i="9"/>
  <c r="E55" i="53"/>
  <c r="I102" i="9"/>
  <c r="Q304" i="9"/>
  <c r="N468" i="9"/>
  <c r="W389" i="9"/>
  <c r="Y180" i="9"/>
  <c r="Y99" i="9"/>
  <c r="G62" i="9"/>
  <c r="F177" i="9"/>
  <c r="AC5" i="57"/>
  <c r="X550" i="9"/>
  <c r="D176" i="9"/>
  <c r="G302" i="9"/>
  <c r="W340" i="9"/>
  <c r="N62" i="9"/>
  <c r="O143" i="9"/>
  <c r="F299" i="9"/>
  <c r="Z265" i="9"/>
  <c r="J176" i="9"/>
  <c r="L102" i="9"/>
  <c r="M471" i="9"/>
  <c r="X218" i="9"/>
  <c r="V102" i="9"/>
  <c r="Z141" i="9"/>
  <c r="Q305" i="9"/>
  <c r="S178" i="9"/>
  <c r="X383" i="9"/>
  <c r="U300" i="9"/>
  <c r="F225" i="9"/>
  <c r="H179" i="9"/>
  <c r="O466" i="9"/>
  <c r="X427" i="9"/>
  <c r="N303" i="9"/>
  <c r="K40" i="53"/>
  <c r="J348" i="9"/>
  <c r="L469" i="9"/>
  <c r="K55" i="53"/>
  <c r="Y218" i="9"/>
  <c r="H466" i="9"/>
  <c r="X382" i="9"/>
  <c r="L300" i="9"/>
  <c r="F52" i="28"/>
  <c r="I50" i="28"/>
  <c r="U348" i="9"/>
  <c r="N305" i="9"/>
  <c r="V178" i="9"/>
  <c r="Y386" i="9"/>
  <c r="X58" i="9"/>
  <c r="Q62" i="9"/>
  <c r="X257" i="9"/>
  <c r="L467" i="9"/>
  <c r="G180" i="9"/>
  <c r="Z57" i="9"/>
  <c r="T179" i="9"/>
  <c r="W60" i="9"/>
  <c r="I47" i="53"/>
  <c r="O27" i="118"/>
  <c r="O181" i="9"/>
  <c r="Y383" i="9"/>
  <c r="K305" i="9"/>
  <c r="V302" i="9"/>
  <c r="T184" i="9"/>
  <c r="I470" i="9"/>
  <c r="Y16" i="9"/>
  <c r="T554" i="9"/>
  <c r="D183" i="9"/>
  <c r="F306" i="9"/>
  <c r="Z261" i="9"/>
  <c r="J469" i="9"/>
  <c r="Y382" i="9"/>
  <c r="T265" i="9"/>
  <c r="U225" i="9"/>
  <c r="X301" i="9"/>
  <c r="K8" i="53"/>
  <c r="I471" i="9"/>
  <c r="I31" i="28"/>
  <c r="Y341" i="9"/>
  <c r="N302" i="9"/>
  <c r="R299" i="9"/>
  <c r="M389" i="9"/>
  <c r="G96" i="53"/>
  <c r="G112" i="53"/>
  <c r="X551" i="9"/>
  <c r="K47" i="53"/>
  <c r="H464" i="9"/>
  <c r="V180" i="9"/>
  <c r="M554" i="9"/>
  <c r="Z549" i="9"/>
  <c r="G300" i="9"/>
  <c r="J52" i="28"/>
  <c r="X179" i="9"/>
  <c r="G389" i="9"/>
  <c r="K24" i="53"/>
  <c r="N22" i="9"/>
  <c r="K304" i="9"/>
  <c r="W176" i="9"/>
  <c r="E303" i="9"/>
  <c r="H72" i="53"/>
  <c r="L299" i="9"/>
  <c r="E305" i="9"/>
  <c r="W181" i="9"/>
  <c r="Z182" i="9"/>
  <c r="O177" i="9"/>
  <c r="K299" i="9"/>
  <c r="Q183" i="9"/>
  <c r="K15" i="53"/>
  <c r="X220" i="9"/>
  <c r="L54" i="28"/>
  <c r="I31" i="53"/>
  <c r="Z102" i="9"/>
  <c r="W299" i="9"/>
  <c r="X180" i="9"/>
  <c r="Y428" i="9"/>
  <c r="V62" i="9"/>
  <c r="K16" i="53"/>
  <c r="Y178" i="9"/>
  <c r="I302" i="9"/>
  <c r="I180" i="9"/>
  <c r="J32" i="53"/>
  <c r="AC44" i="57"/>
  <c r="O431" i="9"/>
  <c r="AC10" i="57"/>
  <c r="E80" i="53"/>
  <c r="G80" i="53"/>
  <c r="W262" i="9"/>
  <c r="J306" i="9"/>
  <c r="H348" i="9"/>
  <c r="K87" i="53"/>
  <c r="P52" i="28"/>
  <c r="F304" i="9"/>
  <c r="X95" i="9"/>
  <c r="Z61" i="9"/>
  <c r="U304" i="9"/>
  <c r="X348" i="9"/>
  <c r="Z177" i="9"/>
  <c r="Z219" i="9"/>
  <c r="N471" i="9"/>
  <c r="H111" i="53"/>
  <c r="L22" i="9"/>
  <c r="P45" i="118"/>
  <c r="U389" i="9"/>
  <c r="F32" i="53"/>
  <c r="J80" i="53"/>
  <c r="V176" i="9"/>
  <c r="X97" i="9"/>
  <c r="I303" i="9"/>
  <c r="G467" i="9"/>
  <c r="F40" i="53"/>
  <c r="I182" i="9"/>
  <c r="H301" i="9"/>
  <c r="E301" i="9"/>
  <c r="F96" i="53"/>
  <c r="F554" i="9"/>
  <c r="Z222" i="9"/>
  <c r="P54" i="28"/>
  <c r="AC66" i="57"/>
  <c r="S184" i="9"/>
  <c r="U62" i="9"/>
  <c r="X264" i="9"/>
  <c r="O303" i="9"/>
  <c r="O304" i="9"/>
  <c r="L176" i="9"/>
  <c r="G184" i="9"/>
  <c r="Z302" i="9"/>
  <c r="I176" i="9"/>
  <c r="I184" i="9"/>
  <c r="J180" i="9"/>
  <c r="T300" i="9"/>
  <c r="Y423" i="9"/>
  <c r="Y553" i="9"/>
  <c r="F181" i="9"/>
  <c r="Y304" i="9"/>
  <c r="F39" i="53"/>
  <c r="V301" i="9"/>
  <c r="E32" i="53"/>
  <c r="P303" i="9"/>
  <c r="R554" i="9"/>
  <c r="U183" i="9"/>
  <c r="Y139" i="9"/>
  <c r="N179" i="9"/>
  <c r="E88" i="53"/>
  <c r="Y98" i="9"/>
  <c r="H265" i="9"/>
  <c r="Y19" i="9"/>
  <c r="J182" i="9"/>
  <c r="Z347" i="9"/>
  <c r="P143" i="9"/>
  <c r="R303" i="9"/>
  <c r="V299" i="9"/>
  <c r="Z305" i="9"/>
  <c r="P305" i="9"/>
  <c r="Y550" i="9"/>
  <c r="F305" i="9"/>
  <c r="H47" i="53"/>
  <c r="D54" i="28"/>
  <c r="Y14" i="9"/>
  <c r="O180" i="9"/>
  <c r="X429" i="9"/>
  <c r="E23" i="53"/>
  <c r="Z95" i="9"/>
  <c r="M22" i="9"/>
  <c r="X299" i="9"/>
  <c r="I225" i="9"/>
  <c r="X546" i="9"/>
  <c r="J47" i="53"/>
  <c r="H177" i="9"/>
  <c r="N183" i="9"/>
  <c r="I38" i="28"/>
  <c r="Y300" i="9"/>
  <c r="Z546" i="9"/>
  <c r="X387" i="9"/>
  <c r="Y21" i="9"/>
  <c r="U143" i="9"/>
  <c r="W225" i="9"/>
  <c r="K72" i="53"/>
  <c r="L306" i="9"/>
  <c r="S305" i="9"/>
  <c r="J39" i="53"/>
  <c r="O265" i="9"/>
  <c r="I53" i="28"/>
  <c r="K7" i="53"/>
  <c r="J304" i="9"/>
  <c r="Z258" i="9"/>
  <c r="P183" i="9"/>
  <c r="P182" i="9"/>
  <c r="Q265" i="9"/>
  <c r="AC26" i="57"/>
  <c r="T180" i="9"/>
  <c r="X62" i="9"/>
  <c r="I306" i="9"/>
  <c r="E87" i="53"/>
  <c r="K303" i="9"/>
  <c r="K111" i="53"/>
  <c r="P181" i="9"/>
  <c r="I15" i="53"/>
  <c r="X138" i="9"/>
  <c r="V184" i="9"/>
  <c r="I23" i="53"/>
  <c r="E71" i="53"/>
  <c r="F184" i="9"/>
  <c r="I40" i="53"/>
  <c r="N177" i="9"/>
  <c r="Y181" i="9"/>
  <c r="P304" i="9"/>
  <c r="I265" i="9"/>
  <c r="G15" i="53"/>
  <c r="E111" i="53"/>
  <c r="E112" i="53"/>
  <c r="X260" i="9"/>
  <c r="Z550" i="9"/>
  <c r="O469" i="9"/>
  <c r="Y430" i="9"/>
  <c r="Z14" i="9"/>
  <c r="AC80" i="57"/>
  <c r="V182" i="9"/>
  <c r="H79" i="53"/>
  <c r="R178" i="9"/>
  <c r="P102" i="9"/>
  <c r="O184" i="9"/>
  <c r="X224" i="9"/>
  <c r="N389" i="9"/>
  <c r="G87" i="53"/>
  <c r="Y184" i="9"/>
  <c r="K180" i="9"/>
  <c r="H431" i="9"/>
  <c r="M465" i="9"/>
  <c r="V179" i="9"/>
  <c r="W180" i="9"/>
  <c r="X342" i="9"/>
  <c r="Q102" i="9"/>
  <c r="L304" i="9"/>
  <c r="H63" i="53"/>
  <c r="I96" i="53"/>
  <c r="T302" i="9"/>
  <c r="J178" i="9"/>
  <c r="N102" i="9"/>
  <c r="M303" i="9"/>
  <c r="I46" i="28"/>
  <c r="E40" i="53"/>
  <c r="M306" i="9"/>
  <c r="K176" i="9"/>
  <c r="E39" i="53"/>
  <c r="O301" i="9"/>
  <c r="W56" i="9"/>
  <c r="F56" i="53"/>
  <c r="Z427" i="9"/>
  <c r="K22" i="9"/>
  <c r="W558" i="9"/>
  <c r="X259" i="9"/>
  <c r="N300" i="9"/>
  <c r="M302" i="9"/>
  <c r="H71" i="53"/>
  <c r="Y427" i="9"/>
  <c r="Y101" i="9"/>
  <c r="F47" i="53"/>
  <c r="AC34" i="57"/>
  <c r="AC30" i="57"/>
  <c r="W300" i="9"/>
  <c r="Y135" i="9"/>
  <c r="F472" i="9"/>
  <c r="G465" i="9"/>
  <c r="H32" i="53"/>
  <c r="Y389" i="9"/>
  <c r="J8" i="53"/>
  <c r="V303" i="9"/>
  <c r="X263" i="9"/>
  <c r="F8" i="53"/>
  <c r="Z94" i="9"/>
  <c r="I16" i="53"/>
  <c r="Y306" i="9"/>
  <c r="Y424" i="9"/>
  <c r="Z60" i="9"/>
  <c r="K31" i="53"/>
  <c r="X99" i="9"/>
  <c r="T62" i="9"/>
  <c r="T176" i="9"/>
  <c r="Z262" i="9"/>
  <c r="G31" i="53"/>
  <c r="X430" i="9"/>
  <c r="L554" i="9"/>
  <c r="P554" i="9"/>
  <c r="O176" i="9"/>
  <c r="R184" i="9"/>
  <c r="I179" i="9"/>
  <c r="N180" i="9"/>
  <c r="I18" i="5"/>
  <c r="C4" i="5"/>
  <c r="K112" i="53"/>
  <c r="T182" i="9"/>
  <c r="Y54" i="9"/>
  <c r="Y220" i="9"/>
  <c r="F302" i="9"/>
  <c r="M468" i="9"/>
  <c r="X346" i="9"/>
  <c r="N184" i="9"/>
  <c r="Q181" i="9"/>
  <c r="E52" i="28"/>
  <c r="H465" i="9"/>
  <c r="P176" i="9"/>
  <c r="Q180" i="9"/>
  <c r="T304" i="9"/>
  <c r="J302" i="9"/>
  <c r="O300" i="9"/>
  <c r="W219" i="9"/>
  <c r="Z98" i="9"/>
  <c r="Q302" i="9"/>
  <c r="P431" i="9"/>
  <c r="K389" i="9"/>
  <c r="N469" i="9"/>
  <c r="G88" i="53"/>
  <c r="Z225" i="9"/>
  <c r="I39" i="53"/>
  <c r="K302" i="9"/>
  <c r="K184" i="9"/>
  <c r="Y62" i="9"/>
  <c r="Z558" i="9"/>
  <c r="F54" i="28"/>
  <c r="Q22" i="9"/>
  <c r="X552" i="9"/>
  <c r="F79" i="53"/>
  <c r="W260" i="9"/>
  <c r="S176" i="9"/>
  <c r="H468" i="9"/>
  <c r="H389" i="9"/>
  <c r="J56" i="53"/>
  <c r="X222" i="9"/>
  <c r="D471" i="9"/>
  <c r="Y262" i="9"/>
  <c r="I62" i="9"/>
  <c r="O15" i="118"/>
  <c r="G176" i="9"/>
  <c r="H40" i="53"/>
  <c r="H16" i="53"/>
  <c r="Z100" i="9"/>
  <c r="E102" i="9"/>
  <c r="N465" i="9"/>
  <c r="I472" i="9"/>
  <c r="H102" i="9"/>
  <c r="AC16" i="57"/>
  <c r="Z304" i="9"/>
  <c r="D554" i="9"/>
  <c r="O305" i="9"/>
  <c r="I87" i="53"/>
  <c r="D389" i="9"/>
  <c r="AC24" i="57"/>
  <c r="W348" i="9"/>
  <c r="Y258" i="9"/>
  <c r="Q225" i="9"/>
  <c r="I43" i="28"/>
  <c r="P302" i="9"/>
  <c r="Y55" i="9"/>
  <c r="G16" i="53"/>
  <c r="P21" i="118"/>
  <c r="L472" i="9"/>
  <c r="J181" i="9"/>
  <c r="R304" i="9"/>
  <c r="E348" i="9"/>
  <c r="D22" i="9"/>
  <c r="X181" i="9"/>
  <c r="Z551" i="9"/>
  <c r="E225" i="9"/>
  <c r="Y299" i="9"/>
  <c r="F470" i="9"/>
  <c r="V389" i="9"/>
  <c r="Z176" i="9"/>
  <c r="V265" i="9"/>
  <c r="Q299" i="9"/>
  <c r="J472" i="9"/>
  <c r="Y141" i="9"/>
  <c r="AC62" i="57"/>
  <c r="AC52" i="57"/>
  <c r="S177" i="9"/>
  <c r="Y549" i="9"/>
  <c r="R22" i="9"/>
  <c r="F95" i="53"/>
  <c r="X225" i="9"/>
  <c r="Z21" i="9"/>
  <c r="J102" i="9"/>
  <c r="W303" i="9"/>
  <c r="R143" i="9"/>
  <c r="Y100" i="9"/>
  <c r="O554" i="9"/>
  <c r="P389" i="9"/>
  <c r="Y176" i="9"/>
  <c r="W182" i="9"/>
  <c r="K102" i="9"/>
  <c r="S265" i="9"/>
  <c r="O45" i="118"/>
  <c r="D305" i="9"/>
  <c r="F179" i="9"/>
  <c r="H225" i="9"/>
  <c r="Z389" i="9"/>
  <c r="G299" i="9"/>
  <c r="J470" i="9"/>
  <c r="L468" i="9"/>
  <c r="J111" i="53"/>
  <c r="E48" i="53"/>
  <c r="X139" i="9"/>
  <c r="H470" i="9"/>
  <c r="D178" i="9"/>
  <c r="C53" i="28"/>
  <c r="Y265" i="9"/>
  <c r="R389" i="9"/>
  <c r="J301" i="9"/>
  <c r="N182" i="9"/>
  <c r="F48" i="53"/>
  <c r="W57" i="9"/>
  <c r="X305" i="9"/>
  <c r="Z19" i="9"/>
  <c r="Y59" i="9"/>
  <c r="K179" i="9"/>
  <c r="I45" i="28"/>
  <c r="W143" i="9"/>
  <c r="J23" i="53"/>
  <c r="N301" i="9"/>
  <c r="Y20" i="9"/>
  <c r="Z382" i="9"/>
  <c r="Q554" i="9"/>
  <c r="X347" i="9"/>
  <c r="I111" i="53"/>
  <c r="J179" i="9"/>
  <c r="W184" i="9"/>
  <c r="J15" i="53"/>
  <c r="F182" i="9"/>
  <c r="X22" i="9"/>
  <c r="E304" i="9"/>
  <c r="Z58" i="9"/>
  <c r="Z20" i="9"/>
  <c r="F64" i="53"/>
  <c r="G301" i="9"/>
  <c r="U299" i="9"/>
  <c r="F88" i="53"/>
  <c r="Y95" i="9"/>
  <c r="T431" i="9"/>
  <c r="X18" i="9"/>
  <c r="J95" i="53"/>
  <c r="F71" i="53"/>
  <c r="X178" i="9"/>
  <c r="AC36" i="57"/>
  <c r="I49" i="28"/>
  <c r="F348" i="9"/>
  <c r="E47" i="53"/>
  <c r="P53" i="28"/>
  <c r="G48" i="53"/>
  <c r="E178" i="9"/>
  <c r="M182" i="9"/>
  <c r="Z218" i="9"/>
  <c r="I40" i="28"/>
  <c r="Z554" i="9"/>
  <c r="Z345" i="9"/>
  <c r="Y182" i="9"/>
  <c r="J40" i="53"/>
  <c r="E466" i="9"/>
  <c r="U554" i="9"/>
  <c r="I37" i="28"/>
  <c r="Z343" i="9"/>
  <c r="I80" i="53"/>
  <c r="Z298" i="9"/>
  <c r="T183" i="9"/>
  <c r="Y138" i="9"/>
  <c r="X98" i="9"/>
  <c r="T177" i="9"/>
  <c r="F63" i="53"/>
  <c r="L465" i="9"/>
  <c r="D431" i="9"/>
  <c r="V225" i="9"/>
  <c r="W546" i="9"/>
  <c r="Z56" i="9"/>
  <c r="D301" i="9"/>
  <c r="X341" i="9"/>
  <c r="M180" i="9"/>
  <c r="X20" i="9"/>
  <c r="O299" i="9"/>
  <c r="X17" i="9"/>
  <c r="H54" i="28"/>
  <c r="M183" i="9"/>
  <c r="P27" i="118"/>
  <c r="L143" i="9"/>
  <c r="X182" i="9"/>
  <c r="Y143" i="9"/>
  <c r="S300" i="9"/>
  <c r="R53" i="28"/>
  <c r="L177" i="9"/>
  <c r="Z140" i="9"/>
  <c r="X426" i="9"/>
  <c r="H15" i="53"/>
  <c r="X16" i="9"/>
  <c r="M466" i="9"/>
  <c r="Y260" i="9"/>
  <c r="P301" i="9"/>
  <c r="E469" i="9"/>
  <c r="M176" i="9"/>
  <c r="J64" i="53"/>
  <c r="M300" i="9"/>
  <c r="O178" i="9"/>
  <c r="H306" i="9"/>
  <c r="Z97" i="9"/>
  <c r="I47" i="28"/>
  <c r="Q178" i="9"/>
  <c r="B52" i="28"/>
  <c r="E299" i="9"/>
  <c r="V304" i="9"/>
  <c r="O54" i="28"/>
  <c r="S304" i="9"/>
  <c r="H178" i="9"/>
  <c r="H471" i="9"/>
  <c r="K301" i="9"/>
  <c r="J53" i="28"/>
  <c r="S225" i="9"/>
  <c r="I95" i="53"/>
  <c r="M225" i="9"/>
  <c r="X176" i="9"/>
  <c r="Q300" i="9"/>
  <c r="E11" i="5"/>
  <c r="I468" i="9"/>
  <c r="I79" i="53"/>
  <c r="Z223" i="9"/>
  <c r="R302" i="9"/>
  <c r="Z340" i="9"/>
  <c r="M469" i="9"/>
  <c r="J79" i="53"/>
  <c r="M143" i="9"/>
  <c r="J112" i="53"/>
  <c r="P184" i="9"/>
  <c r="E302" i="9"/>
  <c r="H180" i="9"/>
  <c r="Y179" i="9"/>
  <c r="K23" i="53"/>
  <c r="Y58" i="9"/>
  <c r="Z217" i="9"/>
  <c r="X141" i="9"/>
  <c r="Y177" i="9"/>
  <c r="N472" i="9"/>
  <c r="N470" i="9"/>
  <c r="X136" i="9"/>
  <c r="G95" i="53"/>
  <c r="I52" i="28"/>
  <c r="J72" i="53"/>
  <c r="L182" i="9"/>
  <c r="R177" i="9"/>
  <c r="X21" i="9"/>
  <c r="G39" i="53"/>
  <c r="X302" i="9"/>
  <c r="G102" i="9"/>
  <c r="U182" i="9"/>
  <c r="H48" i="53"/>
  <c r="I464" i="9"/>
  <c r="Z96" i="9"/>
  <c r="X547" i="9"/>
  <c r="F389" i="9"/>
  <c r="H182" i="9"/>
  <c r="X553" i="9"/>
  <c r="Z17" i="9"/>
  <c r="F72" i="53"/>
  <c r="V22" i="9"/>
  <c r="X261" i="9"/>
  <c r="L301" i="9"/>
  <c r="G22" i="9"/>
  <c r="P22" i="9"/>
  <c r="X143" i="9"/>
  <c r="N466" i="9"/>
  <c r="K465" i="9"/>
  <c r="X140" i="9"/>
  <c r="Y22" i="9"/>
  <c r="H112" i="53"/>
  <c r="X57" i="9"/>
  <c r="S431" i="9"/>
  <c r="P9" i="118"/>
  <c r="H87" i="53"/>
  <c r="X94" i="9"/>
  <c r="K71" i="53"/>
  <c r="P348" i="9"/>
  <c r="Z179" i="9"/>
  <c r="Y17" i="9"/>
  <c r="I143" i="9"/>
  <c r="X423" i="9"/>
  <c r="M62" i="9"/>
  <c r="X100" i="9"/>
  <c r="N464" i="9"/>
  <c r="J16" i="53"/>
  <c r="G178" i="9"/>
  <c r="K48" i="53"/>
  <c r="Y219" i="9"/>
  <c r="I8" i="53"/>
  <c r="Z387" i="9"/>
  <c r="M431" i="9"/>
  <c r="Y303" i="9"/>
  <c r="G182" i="9"/>
  <c r="W177" i="9"/>
  <c r="X298" i="9"/>
  <c r="F300" i="9"/>
  <c r="D181" i="9"/>
  <c r="Y57" i="9"/>
  <c r="T181" i="9"/>
  <c r="G47" i="53"/>
  <c r="Z428" i="9"/>
  <c r="Y546" i="9"/>
  <c r="G471" i="9"/>
  <c r="M179" i="9"/>
  <c r="R301" i="9"/>
  <c r="J24" i="53"/>
  <c r="X386" i="9"/>
  <c r="Y388" i="9"/>
  <c r="Z143" i="9"/>
  <c r="K467" i="9"/>
  <c r="X425" i="9"/>
  <c r="H181" i="9"/>
  <c r="L181" i="9"/>
  <c r="S181" i="9"/>
  <c r="H302" i="9"/>
  <c r="AC3" i="57"/>
  <c r="AC40" i="57"/>
  <c r="D468" i="9"/>
  <c r="Y552" i="9"/>
  <c r="P51" i="118"/>
  <c r="F471" i="9"/>
  <c r="AC28" i="57"/>
  <c r="N265" i="9"/>
  <c r="K466" i="9"/>
  <c r="J62" i="9"/>
  <c r="H184" i="9"/>
  <c r="J225" i="9"/>
  <c r="X184" i="9"/>
  <c r="D304" i="9"/>
  <c r="X431" i="9"/>
  <c r="G7" i="53"/>
  <c r="I33" i="28"/>
  <c r="R102" i="9"/>
  <c r="K471" i="9"/>
  <c r="L470" i="9"/>
  <c r="O51" i="118"/>
  <c r="Y345" i="9"/>
  <c r="X265" i="9"/>
  <c r="T301" i="9"/>
  <c r="Y387" i="9"/>
  <c r="X96" i="9"/>
  <c r="Z138" i="9"/>
  <c r="J7" i="53"/>
  <c r="Z385" i="9"/>
  <c r="Y346" i="9"/>
  <c r="K6" i="5"/>
  <c r="D15" i="5"/>
  <c r="H305" i="9"/>
  <c r="I181" i="9"/>
  <c r="O102" i="9"/>
  <c r="Q301" i="9"/>
  <c r="Z306" i="9"/>
  <c r="V183" i="9"/>
  <c r="U22" i="9"/>
  <c r="G111" i="53"/>
  <c r="Z388" i="9"/>
  <c r="O467" i="9"/>
  <c r="E265" i="9"/>
  <c r="V143" i="9"/>
  <c r="M177" i="9"/>
  <c r="N467" i="9"/>
  <c r="X384" i="9"/>
  <c r="F180" i="9"/>
  <c r="M470" i="9"/>
  <c r="X183" i="9"/>
  <c r="M299" i="9"/>
  <c r="I64" i="53"/>
  <c r="U265" i="9"/>
  <c r="C15" i="5"/>
  <c r="D465" i="9"/>
  <c r="Z183" i="9"/>
  <c r="Y425" i="9"/>
  <c r="J184" i="9"/>
  <c r="J54" i="28"/>
  <c r="N304" i="9"/>
  <c r="E176" i="9"/>
  <c r="K300" i="9"/>
  <c r="I469" i="9"/>
  <c r="Z259" i="9"/>
  <c r="Z221" i="9"/>
  <c r="T299" i="9"/>
  <c r="Z423" i="9"/>
  <c r="H304" i="9"/>
  <c r="W257" i="9"/>
  <c r="Z101" i="9"/>
  <c r="I178" i="9"/>
  <c r="O182" i="9"/>
  <c r="N178" i="9"/>
  <c r="D184" i="9"/>
  <c r="L303" i="9"/>
  <c r="Z346" i="9"/>
  <c r="G54" i="28"/>
  <c r="Q431" i="9"/>
  <c r="F87" i="53"/>
  <c r="I183" i="9"/>
  <c r="W62" i="9"/>
  <c r="I48" i="53"/>
  <c r="D464" i="9"/>
  <c r="F112" i="53"/>
  <c r="N181" i="9"/>
  <c r="X56" i="9"/>
  <c r="E56" i="53"/>
  <c r="N306" i="9"/>
  <c r="Y94" i="9"/>
  <c r="I32" i="28"/>
  <c r="S183" i="9"/>
  <c r="G472" i="9"/>
  <c r="W218" i="9"/>
  <c r="K472" i="9"/>
  <c r="Z300" i="9"/>
  <c r="H469" i="9"/>
  <c r="I35" i="28"/>
  <c r="X343" i="9"/>
  <c r="Y381" i="9"/>
  <c r="Q182" i="9"/>
  <c r="O468" i="9"/>
  <c r="O225" i="9"/>
  <c r="Z99" i="9"/>
  <c r="E468" i="9"/>
  <c r="L464" i="9"/>
  <c r="Z55" i="9"/>
  <c r="E431" i="9"/>
  <c r="M304" i="9"/>
  <c r="I7" i="5"/>
  <c r="D182" i="9"/>
  <c r="Y60" i="9"/>
  <c r="P177" i="9"/>
  <c r="Y384" i="9"/>
  <c r="F53" i="28"/>
  <c r="L389" i="9"/>
  <c r="Y136" i="9"/>
  <c r="Y102" i="9"/>
  <c r="F23" i="53"/>
  <c r="M178" i="9"/>
  <c r="K63" i="53"/>
  <c r="S62" i="9"/>
  <c r="L184" i="9"/>
  <c r="Y225" i="9"/>
  <c r="Z381" i="9"/>
  <c r="I24" i="53"/>
  <c r="Z547" i="9"/>
  <c r="Z220" i="9"/>
  <c r="G469" i="9"/>
  <c r="O465" i="9"/>
  <c r="Y15" i="9"/>
  <c r="E72" i="53"/>
  <c r="E95" i="53"/>
  <c r="Z431" i="9"/>
  <c r="P300" i="9"/>
  <c r="X54" i="9"/>
  <c r="J10" i="5"/>
  <c r="K14" i="5"/>
  <c r="H52" i="28"/>
  <c r="L471" i="9"/>
  <c r="P225" i="9"/>
  <c r="C54" i="28"/>
  <c r="M181" i="9"/>
  <c r="Y298" i="9"/>
  <c r="I301" i="9"/>
  <c r="K265" i="9"/>
  <c r="S554" i="9"/>
  <c r="I44" i="28"/>
  <c r="X344" i="9"/>
  <c r="D53" i="28"/>
  <c r="K181" i="9"/>
  <c r="G23" i="53"/>
  <c r="J465" i="9"/>
  <c r="I465" i="9"/>
  <c r="C18" i="5"/>
  <c r="N431" i="9"/>
  <c r="C5" i="5"/>
  <c r="E18" i="5"/>
  <c r="I11" i="5"/>
  <c r="E472" i="9"/>
  <c r="I8" i="5"/>
  <c r="G8" i="53"/>
  <c r="K464" i="9"/>
  <c r="J12" i="5"/>
  <c r="F20" i="5"/>
  <c r="F9" i="5"/>
  <c r="N176" i="9"/>
  <c r="Z299" i="9"/>
  <c r="D20" i="5"/>
  <c r="D11" i="5"/>
  <c r="G12" i="5"/>
  <c r="I20" i="5"/>
  <c r="F466" i="9"/>
  <c r="R54" i="28"/>
  <c r="U181" i="9"/>
  <c r="G466" i="9"/>
  <c r="E177" i="9"/>
  <c r="U102" i="9"/>
  <c r="J265" i="9"/>
  <c r="Z15" i="9"/>
  <c r="J143" i="9"/>
  <c r="R180" i="9"/>
  <c r="D8" i="5"/>
  <c r="I112" i="53"/>
  <c r="R300" i="9"/>
  <c r="Z553" i="9"/>
  <c r="Z257" i="9"/>
  <c r="Y56" i="9"/>
  <c r="F431" i="9"/>
  <c r="F301" i="9"/>
  <c r="D102" i="9"/>
  <c r="Z263" i="9"/>
  <c r="G32" i="53"/>
  <c r="D52" i="28"/>
  <c r="R182" i="9"/>
  <c r="M467" i="9"/>
  <c r="F468" i="9"/>
  <c r="K348" i="9"/>
  <c r="Y257" i="9"/>
  <c r="D10" i="5"/>
  <c r="E183" i="9"/>
  <c r="P299" i="9"/>
  <c r="I34" i="28"/>
  <c r="D143" i="9"/>
  <c r="U305" i="9"/>
  <c r="W301" i="9"/>
  <c r="Z136" i="9"/>
  <c r="Q143" i="9"/>
  <c r="Z54" i="9"/>
  <c r="F143" i="9"/>
  <c r="Z62" i="9"/>
  <c r="J468" i="9"/>
  <c r="AC14" i="57"/>
  <c r="G183" i="9"/>
  <c r="W22" i="9"/>
  <c r="J63" i="53"/>
  <c r="W102" i="9"/>
  <c r="Z344" i="9"/>
  <c r="E53" i="28"/>
  <c r="I63" i="53"/>
  <c r="O472" i="9"/>
  <c r="G468" i="9"/>
  <c r="Z425" i="9"/>
  <c r="I466" i="9"/>
  <c r="L305" i="9"/>
  <c r="B53" i="28"/>
  <c r="U303" i="9"/>
  <c r="R52" i="28"/>
  <c r="G64" i="53"/>
  <c r="M301" i="9"/>
  <c r="L183" i="9"/>
  <c r="Z181" i="9"/>
  <c r="J466" i="9"/>
  <c r="X340" i="9"/>
  <c r="D302" i="9"/>
  <c r="G181" i="9"/>
  <c r="Z424" i="9"/>
  <c r="O22" i="9"/>
  <c r="T306" i="9"/>
  <c r="V181" i="9"/>
  <c r="I48" i="28"/>
  <c r="K39" i="53"/>
  <c r="Y61" i="9"/>
  <c r="W178" i="9"/>
  <c r="E54" i="28"/>
  <c r="T305" i="9"/>
  <c r="Z18" i="9"/>
  <c r="F15" i="5"/>
  <c r="G10" i="5"/>
  <c r="H53" i="28"/>
  <c r="E300" i="9"/>
  <c r="X303" i="9"/>
  <c r="C52" i="28"/>
  <c r="J55" i="53"/>
  <c r="H8" i="53"/>
  <c r="Y222" i="9"/>
  <c r="F178" i="9"/>
  <c r="J88" i="53"/>
  <c r="K178" i="9"/>
  <c r="D469" i="9"/>
  <c r="G52" i="28"/>
  <c r="H55" i="53"/>
  <c r="E179" i="9"/>
  <c r="W549" i="9"/>
  <c r="X300" i="9"/>
  <c r="D179" i="9"/>
  <c r="M472" i="9"/>
  <c r="K62" i="9"/>
  <c r="N299" i="9"/>
  <c r="F7" i="53"/>
  <c r="Z260" i="9"/>
  <c r="K306" i="9"/>
  <c r="O306" i="9"/>
  <c r="I467" i="9"/>
  <c r="G554" i="9"/>
  <c r="D9" i="5"/>
  <c r="J4" i="5"/>
  <c r="J305" i="9"/>
  <c r="Y547" i="9"/>
  <c r="I7" i="53"/>
  <c r="I32" i="53"/>
  <c r="AC48" i="57"/>
  <c r="AC18" i="57"/>
  <c r="I299" i="9"/>
  <c r="I348" i="9"/>
  <c r="W179" i="9"/>
  <c r="H31" i="53"/>
  <c r="G24" i="53"/>
  <c r="T303" i="9"/>
  <c r="S22" i="9"/>
  <c r="L431" i="9"/>
  <c r="E464" i="9"/>
  <c r="G470" i="9"/>
  <c r="J48" i="53"/>
  <c r="X137" i="9"/>
  <c r="F10" i="5"/>
  <c r="I5" i="5"/>
  <c r="G11" i="5"/>
  <c r="R62" i="9"/>
  <c r="G14" i="5"/>
  <c r="Y340" i="9"/>
  <c r="D467" i="9"/>
  <c r="C11" i="5"/>
  <c r="C6" i="5"/>
  <c r="I13" i="5"/>
  <c r="Q177" i="9"/>
  <c r="W265" i="9"/>
  <c r="T22" i="9"/>
  <c r="O57" i="118"/>
  <c r="G20" i="5"/>
  <c r="L225" i="9"/>
  <c r="F111" i="53"/>
  <c r="E471" i="9"/>
  <c r="E64" i="53"/>
  <c r="O62" i="9"/>
  <c r="P179" i="9"/>
  <c r="I71" i="53"/>
  <c r="J471" i="9"/>
  <c r="I389" i="9"/>
  <c r="G40" i="53"/>
  <c r="Y263" i="9"/>
  <c r="K177" i="9"/>
  <c r="Z184" i="9"/>
  <c r="O471" i="9"/>
  <c r="Z178" i="9"/>
  <c r="O39" i="118"/>
  <c r="E31" i="53"/>
  <c r="X221" i="9"/>
  <c r="V431" i="9"/>
  <c r="H554" i="9"/>
  <c r="X217" i="9"/>
  <c r="H176" i="9"/>
  <c r="Z386" i="9"/>
  <c r="F265" i="9"/>
  <c r="W425" i="9"/>
  <c r="F303" i="9"/>
  <c r="L52" i="28"/>
  <c r="O9" i="118"/>
  <c r="H24" i="53"/>
  <c r="P62" i="9"/>
  <c r="AC38" i="57"/>
  <c r="F467" i="9"/>
  <c r="Z303" i="9"/>
  <c r="T225" i="9"/>
  <c r="D300" i="9"/>
  <c r="Y554" i="9"/>
  <c r="AC68" i="57"/>
  <c r="P306" i="9"/>
  <c r="Z142" i="9"/>
  <c r="X177" i="9"/>
  <c r="W305" i="9"/>
  <c r="Z426" i="9"/>
  <c r="M265" i="9"/>
  <c r="X101" i="9"/>
  <c r="H88" i="53"/>
  <c r="L178" i="9"/>
  <c r="J31" i="53"/>
  <c r="Z135" i="9"/>
  <c r="X554" i="9"/>
  <c r="Y217" i="9"/>
  <c r="P180" i="9"/>
  <c r="I56" i="53"/>
  <c r="Z341" i="9"/>
  <c r="G15" i="5"/>
  <c r="J18" i="5"/>
  <c r="S299" i="9"/>
  <c r="E143" i="9"/>
  <c r="I304" i="9"/>
  <c r="H299" i="9"/>
  <c r="J96" i="53"/>
  <c r="X59" i="9"/>
  <c r="O53" i="28"/>
  <c r="N554" i="9"/>
  <c r="Y558" i="9"/>
  <c r="Y343" i="9"/>
  <c r="M102" i="9"/>
  <c r="P265" i="9"/>
  <c r="D225" i="9"/>
  <c r="R431" i="9"/>
  <c r="E63" i="53"/>
  <c r="K96" i="53"/>
  <c r="D306" i="9"/>
  <c r="G53" i="28"/>
  <c r="R225" i="9"/>
  <c r="V348" i="9"/>
  <c r="K64" i="53"/>
  <c r="H62" i="9"/>
  <c r="Y347" i="9"/>
  <c r="V300" i="9"/>
  <c r="F31" i="53"/>
  <c r="S301" i="9"/>
  <c r="D4" i="5"/>
  <c r="Y96" i="9"/>
  <c r="E389" i="9"/>
  <c r="H303" i="9"/>
  <c r="W554" i="9"/>
  <c r="J467" i="9"/>
  <c r="Z22" i="9"/>
  <c r="X142" i="9"/>
  <c r="O75" i="118"/>
  <c r="T143" i="9"/>
  <c r="Z59" i="9"/>
  <c r="L53" i="28"/>
  <c r="G303" i="9"/>
  <c r="E306" i="9"/>
  <c r="D265" i="9"/>
  <c r="S348" i="9"/>
  <c r="D466" i="9"/>
  <c r="E12" i="5"/>
  <c r="F62" i="9"/>
  <c r="I305" i="9"/>
  <c r="D12" i="5"/>
  <c r="E5" i="5"/>
  <c r="G9" i="5"/>
  <c r="Y426" i="9"/>
  <c r="J8" i="5"/>
  <c r="F80" i="53"/>
  <c r="C8" i="5"/>
  <c r="G7" i="5"/>
  <c r="H20" i="5"/>
  <c r="G71" i="53"/>
  <c r="X219" i="9"/>
  <c r="Y142" i="9"/>
  <c r="C12" i="5"/>
  <c r="E4" i="5"/>
  <c r="H23" i="53"/>
  <c r="Y97" i="9"/>
  <c r="I88" i="53"/>
  <c r="L62" i="9"/>
  <c r="I55" i="53"/>
  <c r="O21" i="118"/>
  <c r="Z264" i="9"/>
  <c r="E79" i="53"/>
  <c r="D303" i="9"/>
  <c r="G431" i="9"/>
  <c r="K554" i="9"/>
  <c r="J6" i="5"/>
  <c r="G18" i="5"/>
  <c r="K431" i="9"/>
  <c r="P15" i="118"/>
  <c r="F465" i="9"/>
  <c r="R183" i="9"/>
  <c r="Q179" i="9"/>
  <c r="H467" i="9"/>
  <c r="H80" i="53"/>
  <c r="O389" i="9"/>
  <c r="Q348" i="9"/>
  <c r="AC20" i="57"/>
  <c r="K225" i="9"/>
  <c r="T389" i="9"/>
  <c r="U178" i="9"/>
  <c r="Q389" i="9"/>
  <c r="O183" i="9"/>
  <c r="Z348" i="9"/>
  <c r="I300" i="9"/>
  <c r="I431" i="9"/>
  <c r="R348" i="9"/>
  <c r="G348" i="9"/>
  <c r="Q184" i="9"/>
  <c r="O302" i="9"/>
  <c r="S180" i="9"/>
  <c r="S303" i="9"/>
  <c r="X19" i="9"/>
  <c r="W429" i="9"/>
  <c r="S179" i="9"/>
  <c r="G79" i="53"/>
  <c r="E181" i="9"/>
  <c r="U176" i="9"/>
  <c r="K183" i="9"/>
  <c r="X61" i="9"/>
  <c r="I42" i="28"/>
  <c r="U184" i="9"/>
  <c r="G56" i="53"/>
  <c r="V554" i="9"/>
  <c r="U179" i="9"/>
  <c r="X15" i="9"/>
  <c r="Y344" i="9"/>
  <c r="X304" i="9"/>
  <c r="Q306" i="9"/>
  <c r="H95" i="53"/>
  <c r="J299" i="9"/>
  <c r="K143" i="9"/>
  <c r="L466" i="9"/>
  <c r="S102" i="9"/>
  <c r="R176" i="9"/>
  <c r="K56" i="53"/>
  <c r="Y137" i="9"/>
  <c r="Y429" i="9"/>
  <c r="S182" i="9"/>
  <c r="I36" i="28"/>
  <c r="S143" i="9"/>
  <c r="X223" i="9"/>
  <c r="D180" i="9"/>
  <c r="T348" i="9"/>
  <c r="G304" i="9"/>
  <c r="Z552" i="9"/>
  <c r="R306" i="9"/>
  <c r="X55" i="9"/>
  <c r="J554" i="9"/>
  <c r="U302" i="9"/>
  <c r="I72" i="53"/>
  <c r="G72" i="53"/>
  <c r="C20" i="5"/>
  <c r="I177" i="9"/>
  <c r="J177" i="9"/>
  <c r="G464" i="9"/>
  <c r="P178" i="9"/>
  <c r="Y18" i="9"/>
  <c r="E467" i="9"/>
  <c r="Y548" i="9"/>
  <c r="E96" i="53"/>
  <c r="H39" i="53"/>
  <c r="K182" i="9"/>
  <c r="J22" i="9"/>
  <c r="P63" i="118"/>
  <c r="U180" i="9"/>
  <c r="L180" i="9"/>
  <c r="H56" i="53"/>
  <c r="H22" i="9"/>
  <c r="I51" i="28"/>
  <c r="Y342" i="9"/>
  <c r="T102" i="9"/>
  <c r="H183" i="9"/>
  <c r="J431" i="9"/>
  <c r="G306" i="9"/>
  <c r="Y183" i="9"/>
  <c r="Y264" i="9"/>
  <c r="N225" i="9"/>
  <c r="X258" i="9"/>
  <c r="H143" i="9"/>
  <c r="F12" i="5"/>
  <c r="V306" i="9"/>
  <c r="F15" i="53"/>
  <c r="R305" i="9"/>
  <c r="W183" i="9"/>
  <c r="D470" i="9"/>
  <c r="AC4" i="57"/>
  <c r="F16" i="53"/>
  <c r="X424" i="9"/>
  <c r="X345" i="9"/>
  <c r="J87" i="53"/>
  <c r="F469" i="9"/>
  <c r="E554" i="9"/>
  <c r="Q176" i="9"/>
  <c r="Y302" i="9"/>
  <c r="M184" i="9"/>
  <c r="X102" i="9"/>
  <c r="F5" i="5"/>
  <c r="O348" i="9"/>
  <c r="X306" i="9"/>
  <c r="K5" i="5"/>
  <c r="G5" i="5"/>
  <c r="Y348" i="9"/>
  <c r="I10" i="5"/>
  <c r="X558" i="9"/>
  <c r="S389" i="9"/>
  <c r="J9" i="5"/>
  <c r="E6" i="5"/>
  <c r="I4" i="5"/>
  <c r="E180" i="9"/>
  <c r="U431" i="9"/>
  <c r="J71" i="53"/>
  <c r="C10" i="5"/>
  <c r="E9" i="5"/>
  <c r="I554" i="9"/>
  <c r="U301" i="9"/>
  <c r="F464" i="9"/>
  <c r="H64" i="53"/>
  <c r="Y259" i="9"/>
  <c r="Z548" i="9"/>
  <c r="F176" i="9"/>
  <c r="N143" i="9"/>
  <c r="X389" i="9"/>
  <c r="E62" i="9"/>
  <c r="D299" i="9"/>
  <c r="D14" i="5"/>
  <c r="AC70" i="57"/>
  <c r="G179" i="9"/>
  <c r="M348" i="9"/>
  <c r="E182" i="9"/>
  <c r="G6" i="5"/>
  <c r="Y224" i="9"/>
  <c r="G177" i="9"/>
  <c r="F183" i="9"/>
  <c r="H96" i="53"/>
  <c r="AC58" i="57"/>
  <c r="V305" i="9"/>
  <c r="K12" i="5"/>
  <c r="AC60" i="57"/>
  <c r="W302" i="9"/>
  <c r="F55" i="53"/>
  <c r="H300" i="9"/>
  <c r="G305" i="9"/>
  <c r="Y301" i="9"/>
  <c r="U306" i="9"/>
  <c r="AC32" i="57"/>
  <c r="Y140" i="9"/>
  <c r="V558" i="9"/>
  <c r="K11" i="5"/>
  <c r="E8" i="5"/>
  <c r="D13" i="5"/>
  <c r="K15" i="5"/>
  <c r="Z137" i="9"/>
  <c r="D7" i="5"/>
  <c r="X428" i="9"/>
  <c r="G225" i="9"/>
  <c r="D18" i="5"/>
  <c r="J11" i="5"/>
  <c r="H9" i="5"/>
  <c r="Y385" i="9"/>
  <c r="Z383" i="9"/>
  <c r="I14" i="5"/>
  <c r="J15" i="5"/>
  <c r="W431" i="9"/>
  <c r="G63" i="53"/>
  <c r="X549" i="9"/>
  <c r="Z224" i="9"/>
  <c r="J389" i="9"/>
  <c r="F24" i="53"/>
  <c r="J5" i="5"/>
  <c r="G55" i="53"/>
  <c r="J20" i="5"/>
  <c r="F4" i="5"/>
  <c r="O470" i="9"/>
  <c r="C9" i="5"/>
  <c r="H7" i="53"/>
  <c r="O464" i="9"/>
  <c r="F8" i="5"/>
  <c r="I9" i="5"/>
  <c r="G4" i="5"/>
  <c r="Z139" i="9"/>
  <c r="I39" i="28"/>
  <c r="F7" i="5"/>
  <c r="E13" i="5"/>
  <c r="E10" i="5"/>
  <c r="S302" i="9"/>
  <c r="D6" i="5"/>
  <c r="G8" i="5"/>
  <c r="E14" i="5"/>
  <c r="AC54" i="57"/>
  <c r="D5" i="5"/>
  <c r="F13" i="5"/>
  <c r="J464" i="9"/>
  <c r="E465" i="9"/>
  <c r="W304" i="9"/>
  <c r="P57" i="118"/>
  <c r="I6" i="5"/>
  <c r="K468" i="9"/>
  <c r="AC78" i="57"/>
  <c r="Y305" i="9"/>
  <c r="K88" i="53"/>
  <c r="E470" i="9"/>
  <c r="K469" i="9"/>
  <c r="L302" i="9"/>
  <c r="U177" i="9"/>
  <c r="Z342" i="9"/>
  <c r="M305" i="9"/>
  <c r="X262" i="9"/>
  <c r="E184" i="9"/>
  <c r="G13" i="5"/>
  <c r="I15" i="5"/>
  <c r="K13" i="5"/>
  <c r="R265" i="9"/>
  <c r="J13" i="5"/>
  <c r="N348" i="9"/>
  <c r="K7" i="5"/>
  <c r="F11" i="5"/>
  <c r="C7" i="5"/>
  <c r="F102" i="9"/>
  <c r="L179" i="9"/>
  <c r="V177" i="9"/>
  <c r="K18" i="5"/>
  <c r="K10" i="5"/>
  <c r="I22" i="9"/>
  <c r="I41" i="28"/>
  <c r="L265" i="9"/>
  <c r="J183" i="9"/>
  <c r="Y431" i="9"/>
  <c r="X381" i="9"/>
  <c r="X388" i="9"/>
  <c r="C14" i="5"/>
  <c r="F18" i="5"/>
  <c r="E15" i="5"/>
  <c r="O179" i="9"/>
  <c r="F14" i="5"/>
  <c r="Z180" i="9"/>
  <c r="I12" i="5"/>
  <c r="K4" i="5"/>
  <c r="E7" i="5"/>
  <c r="J14" i="5"/>
  <c r="X385" i="9"/>
  <c r="T178" i="9"/>
  <c r="F6" i="5"/>
  <c r="E20" i="5"/>
  <c r="R181" i="9"/>
  <c r="G265" i="9"/>
  <c r="E22" i="9"/>
  <c r="C13" i="5"/>
  <c r="J7" i="5"/>
  <c r="I85" i="53"/>
  <c r="H85" i="53"/>
  <c r="E29" i="53"/>
  <c r="I109" i="53"/>
  <c r="J45" i="53"/>
  <c r="J5" i="53"/>
  <c r="E77" i="53"/>
  <c r="K29" i="53"/>
  <c r="I61" i="53"/>
  <c r="J61" i="53"/>
  <c r="J69" i="53"/>
  <c r="H77" i="53"/>
  <c r="H109" i="53"/>
  <c r="I29" i="53"/>
  <c r="J85" i="53"/>
  <c r="G61" i="53"/>
  <c r="E61" i="53"/>
  <c r="H21" i="53"/>
  <c r="I5" i="53"/>
  <c r="F29" i="53"/>
  <c r="H45" i="53"/>
  <c r="G13" i="53"/>
  <c r="F5" i="53"/>
  <c r="G69" i="53"/>
  <c r="AC31" i="57"/>
  <c r="J37" i="53"/>
  <c r="F69" i="53"/>
  <c r="I45" i="53"/>
  <c r="K93" i="53"/>
  <c r="K85" i="53"/>
  <c r="J29" i="53"/>
  <c r="AC13" i="57"/>
  <c r="G29" i="53"/>
  <c r="F77" i="53"/>
  <c r="H29" i="53"/>
  <c r="E85" i="53"/>
  <c r="I13" i="53"/>
  <c r="F85" i="53"/>
  <c r="E45" i="53"/>
  <c r="G45" i="53"/>
  <c r="F45" i="53"/>
  <c r="F21" i="53"/>
  <c r="AC7" i="57"/>
  <c r="H5" i="53"/>
  <c r="AC37" i="57"/>
  <c r="K13" i="53"/>
  <c r="H37" i="53"/>
  <c r="E109" i="53"/>
  <c r="F53" i="53"/>
  <c r="E93" i="53"/>
  <c r="H69" i="53"/>
  <c r="J109" i="53"/>
  <c r="J77" i="53"/>
  <c r="E53" i="53"/>
  <c r="AC55" i="57"/>
  <c r="K37" i="53"/>
  <c r="K69" i="53"/>
  <c r="E37" i="53"/>
  <c r="J13" i="53"/>
  <c r="J21" i="53"/>
  <c r="I53" i="53"/>
  <c r="G5" i="53"/>
  <c r="K61" i="53"/>
  <c r="G85" i="53"/>
  <c r="J53" i="53"/>
  <c r="I21" i="53"/>
  <c r="I93" i="53"/>
  <c r="AC25" i="57"/>
  <c r="K45" i="53"/>
  <c r="F13" i="53"/>
  <c r="I37" i="53"/>
  <c r="G53" i="53"/>
  <c r="K77" i="53"/>
  <c r="K109" i="53"/>
  <c r="I69" i="53"/>
  <c r="F61" i="53"/>
  <c r="F37" i="53"/>
  <c r="G21" i="53"/>
  <c r="K53" i="53"/>
  <c r="E69" i="53"/>
  <c r="G77" i="53"/>
  <c r="G37" i="53"/>
  <c r="K5" i="53"/>
  <c r="F109" i="53"/>
  <c r="F93" i="53"/>
  <c r="H93" i="53"/>
  <c r="I77" i="53"/>
  <c r="G109" i="53"/>
  <c r="H53" i="53"/>
  <c r="H61" i="53"/>
  <c r="G93" i="53"/>
  <c r="H13" i="53"/>
  <c r="J93" i="53"/>
  <c r="E19" i="5" l="1"/>
  <c r="J19" i="5"/>
  <c r="J21" i="5" s="1"/>
  <c r="G19" i="5"/>
  <c r="C19" i="5"/>
  <c r="C21" i="5" s="1"/>
  <c r="I19" i="5"/>
  <c r="F19" i="5"/>
  <c r="K19" i="5"/>
  <c r="D19" i="5"/>
  <c r="Z507" i="9"/>
  <c r="Y510" i="9"/>
  <c r="Z513" i="9"/>
  <c r="X505" i="9"/>
  <c r="Z506" i="9"/>
  <c r="E513" i="9"/>
  <c r="Y391" i="9"/>
  <c r="Y392" i="9" s="1"/>
  <c r="M474" i="9"/>
  <c r="M475" i="9" s="1"/>
  <c r="K513" i="9"/>
  <c r="F513" i="9"/>
  <c r="X510" i="9"/>
  <c r="H513" i="9"/>
  <c r="Z505" i="9"/>
  <c r="W513" i="9"/>
  <c r="N474" i="9"/>
  <c r="N475" i="9" s="1"/>
  <c r="Y505" i="9"/>
  <c r="Z512" i="9"/>
  <c r="Z350" i="9"/>
  <c r="Z351" i="9" s="1"/>
  <c r="X391" i="9"/>
  <c r="X392" i="9" s="1"/>
  <c r="Z391" i="9"/>
  <c r="Z392" i="9" s="1"/>
  <c r="Y508" i="9"/>
  <c r="H474" i="9"/>
  <c r="H475" i="9" s="1"/>
  <c r="K474" i="9"/>
  <c r="K475" i="9" s="1"/>
  <c r="Y267" i="9"/>
  <c r="Y268" i="9" s="1"/>
  <c r="Z24" i="9"/>
  <c r="Z25" i="9" s="1"/>
  <c r="AC17" i="57"/>
  <c r="Z104" i="9"/>
  <c r="Z105" i="9" s="1"/>
  <c r="J17" i="5"/>
  <c r="I17" i="5"/>
  <c r="AC15" i="57"/>
  <c r="Z509" i="9"/>
  <c r="X511" i="9"/>
  <c r="I513" i="9"/>
  <c r="G474" i="9"/>
  <c r="G475" i="9" s="1"/>
  <c r="J513" i="9"/>
  <c r="R513" i="9"/>
  <c r="U513" i="9"/>
  <c r="X506" i="9"/>
  <c r="O474" i="9"/>
  <c r="O475" i="9" s="1"/>
  <c r="AA475" i="9" s="1"/>
  <c r="X350" i="9"/>
  <c r="X351" i="9" s="1"/>
  <c r="X512" i="9"/>
  <c r="N513" i="9"/>
  <c r="I186" i="9"/>
  <c r="I187" i="9" s="1"/>
  <c r="Z145" i="9"/>
  <c r="Z146" i="9" s="1"/>
  <c r="O186" i="9"/>
  <c r="O187" i="9" s="1"/>
  <c r="R186" i="9"/>
  <c r="R187" i="9" s="1"/>
  <c r="Y433" i="9"/>
  <c r="Y434" i="9" s="1"/>
  <c r="Z433" i="9"/>
  <c r="Z434" i="9" s="1"/>
  <c r="Y506" i="9"/>
  <c r="X513" i="9"/>
  <c r="Y507" i="9"/>
  <c r="S513" i="9"/>
  <c r="T513" i="9"/>
  <c r="AC63" i="57"/>
  <c r="Z556" i="9"/>
  <c r="Z557" i="9" s="1"/>
  <c r="AC11" i="57"/>
  <c r="Z186" i="9"/>
  <c r="Z187" i="9" s="1"/>
  <c r="G17" i="5"/>
  <c r="W186" i="9"/>
  <c r="W187" i="9" s="1"/>
  <c r="AC57" i="57"/>
  <c r="AC59" i="57"/>
  <c r="R27" i="118"/>
  <c r="Z510" i="9"/>
  <c r="Q513" i="9"/>
  <c r="P513" i="9"/>
  <c r="L513" i="9"/>
  <c r="G513" i="9"/>
  <c r="O513" i="9"/>
  <c r="M53" i="28"/>
  <c r="D21" i="5"/>
  <c r="E186" i="9"/>
  <c r="E187" i="9" s="1"/>
  <c r="E474" i="9"/>
  <c r="E475" i="9" s="1"/>
  <c r="Y513" i="9"/>
  <c r="J474" i="9"/>
  <c r="J475" i="9" s="1"/>
  <c r="F474" i="9"/>
  <c r="F475" i="9" s="1"/>
  <c r="X507" i="9"/>
  <c r="X508" i="9"/>
  <c r="M513" i="9"/>
  <c r="Z511" i="9"/>
  <c r="X433" i="9"/>
  <c r="X434" i="9" s="1"/>
  <c r="Y511" i="9"/>
  <c r="L474" i="9"/>
  <c r="L475" i="9" s="1"/>
  <c r="F186" i="9"/>
  <c r="F187" i="9" s="1"/>
  <c r="AC35" i="57"/>
  <c r="I474" i="9"/>
  <c r="I475" i="9" s="1"/>
  <c r="V513" i="9"/>
  <c r="Y509" i="9"/>
  <c r="X509" i="9"/>
  <c r="Z508" i="9"/>
  <c r="Y350" i="9"/>
  <c r="Y351" i="9" s="1"/>
  <c r="Y512" i="9"/>
  <c r="F21" i="5"/>
  <c r="AC23" i="57"/>
  <c r="Y186" i="9"/>
  <c r="Y187" i="9" s="1"/>
  <c r="AC29" i="57"/>
  <c r="Y24" i="9"/>
  <c r="Y25" i="9" s="1"/>
  <c r="X186" i="9"/>
  <c r="X187" i="9" s="1"/>
  <c r="C17" i="5"/>
  <c r="X24" i="9"/>
  <c r="X25" i="9" s="1"/>
  <c r="F17" i="5"/>
  <c r="K17" i="5"/>
  <c r="Z227" i="9"/>
  <c r="Z228" i="9" s="1"/>
  <c r="AC21" i="57"/>
  <c r="Q186" i="9"/>
  <c r="Q187" i="9" s="1"/>
  <c r="L186" i="9"/>
  <c r="L187" i="9" s="1"/>
  <c r="X556" i="9"/>
  <c r="X557" i="9" s="1"/>
  <c r="AC41" i="57"/>
  <c r="K21" i="5"/>
  <c r="X64" i="9"/>
  <c r="X65" i="9" s="1"/>
  <c r="X267" i="9"/>
  <c r="X268" i="9" s="1"/>
  <c r="K54" i="28"/>
  <c r="N186" i="9"/>
  <c r="N187" i="9" s="1"/>
  <c r="E17" i="5"/>
  <c r="G186" i="9"/>
  <c r="G187" i="9" s="1"/>
  <c r="AC53" i="57"/>
  <c r="U186" i="9"/>
  <c r="U187" i="9" s="1"/>
  <c r="AC81" i="57"/>
  <c r="AC69" i="57"/>
  <c r="Y556" i="9"/>
  <c r="Y557" i="9" s="1"/>
  <c r="E21" i="5"/>
  <c r="AC47" i="57"/>
  <c r="X145" i="9"/>
  <c r="X146" i="9" s="1"/>
  <c r="P186" i="9"/>
  <c r="P187" i="9" s="1"/>
  <c r="S186" i="9"/>
  <c r="S187" i="9" s="1"/>
  <c r="I63" i="28" a="1"/>
  <c r="I63" i="28" s="1"/>
  <c r="I64" i="28" a="1"/>
  <c r="I64" i="28" s="1"/>
  <c r="Y145" i="9"/>
  <c r="Y146" i="9" s="1"/>
  <c r="M186" i="9"/>
  <c r="M187" i="9" s="1"/>
  <c r="E25" i="53"/>
  <c r="AC27" i="57"/>
  <c r="AC39" i="57"/>
  <c r="G21" i="5"/>
  <c r="Z267" i="9"/>
  <c r="Z268" i="9" s="1"/>
  <c r="AC84" i="57"/>
  <c r="AC90" i="57"/>
  <c r="AC92" i="57"/>
  <c r="V186" i="9"/>
  <c r="V187" i="9" s="1"/>
  <c r="AC71" i="57"/>
  <c r="J186" i="9"/>
  <c r="J187" i="9" s="1"/>
  <c r="AC51" i="57"/>
  <c r="Y227" i="9"/>
  <c r="Y228" i="9" s="1"/>
  <c r="K52" i="28"/>
  <c r="X227" i="9"/>
  <c r="X228" i="9" s="1"/>
  <c r="AC45" i="57"/>
  <c r="Y104" i="9"/>
  <c r="Y105" i="9" s="1"/>
  <c r="T186" i="9"/>
  <c r="T187" i="9" s="1"/>
  <c r="Y64" i="9"/>
  <c r="Y65" i="9" s="1"/>
  <c r="M54" i="28"/>
  <c r="AC33" i="57"/>
  <c r="X104" i="9"/>
  <c r="X105" i="9" s="1"/>
  <c r="AC9" i="5"/>
  <c r="S206" i="5" s="1"/>
  <c r="U206" i="5" s="1"/>
  <c r="K186" i="9"/>
  <c r="K187" i="9" s="1"/>
  <c r="Z64" i="9"/>
  <c r="Z65" i="9" s="1"/>
  <c r="H186" i="9"/>
  <c r="H187" i="9" s="1"/>
  <c r="K53" i="28"/>
  <c r="M52" i="28"/>
  <c r="AC65" i="57"/>
  <c r="D17" i="5"/>
  <c r="I21" i="5"/>
  <c r="Z515" i="9"/>
  <c r="Z516" i="9" s="1"/>
  <c r="D513" i="9"/>
  <c r="D474" i="9"/>
  <c r="D475" i="9" s="1"/>
  <c r="C463" i="9"/>
  <c r="C504" i="9"/>
  <c r="D186" i="9"/>
  <c r="D187" i="9" s="1"/>
  <c r="C175" i="9"/>
  <c r="C134" i="9"/>
  <c r="C93" i="9"/>
  <c r="C256" i="9"/>
  <c r="C339" i="9"/>
  <c r="C422" i="9"/>
  <c r="C53" i="9"/>
  <c r="C216" i="9"/>
  <c r="C297" i="9"/>
  <c r="C380" i="9"/>
  <c r="C545" i="9"/>
  <c r="A30" i="28"/>
  <c r="C299" i="9"/>
  <c r="C298" i="9"/>
  <c r="AC93" i="57"/>
  <c r="C469" i="9"/>
  <c r="C303" i="9"/>
  <c r="C302" i="9"/>
  <c r="C389" i="9"/>
  <c r="C102" i="9"/>
  <c r="C143" i="9"/>
  <c r="C464" i="9"/>
  <c r="C554" i="9"/>
  <c r="C471" i="9"/>
  <c r="C300" i="9"/>
  <c r="C304" i="9"/>
  <c r="C183" i="9"/>
  <c r="C181" i="9"/>
  <c r="C348" i="9"/>
  <c r="C472" i="9"/>
  <c r="C301" i="9"/>
  <c r="C184" i="9"/>
  <c r="AC88" i="57"/>
  <c r="C431" i="9"/>
  <c r="C22" i="9"/>
  <c r="C305" i="9"/>
  <c r="C182" i="9"/>
  <c r="C468" i="9"/>
  <c r="C225" i="9"/>
  <c r="C467" i="9"/>
  <c r="C178" i="9"/>
  <c r="C179" i="9"/>
  <c r="C470" i="9"/>
  <c r="C265" i="9"/>
  <c r="C62" i="9"/>
  <c r="C177" i="9"/>
  <c r="C306" i="9"/>
  <c r="C176" i="9"/>
  <c r="I30" i="28"/>
  <c r="C465" i="9"/>
  <c r="C466" i="9"/>
  <c r="C180" i="9"/>
  <c r="AC79" i="57"/>
  <c r="AC43" i="57"/>
  <c r="AC49" i="57"/>
  <c r="AC85" i="57"/>
  <c r="AC86" i="57"/>
  <c r="X515" i="9" l="1"/>
  <c r="X516" i="9" s="1"/>
  <c r="Y515" i="9"/>
  <c r="Y516" i="9" s="1"/>
  <c r="AC91" i="57"/>
  <c r="AC87" i="57"/>
  <c r="AC89" i="57" s="1"/>
  <c r="AC94" i="57"/>
  <c r="AC83" i="57"/>
  <c r="AA187" i="9"/>
  <c r="C513" i="9"/>
  <c r="C474" i="9"/>
  <c r="C475" i="9" s="1"/>
  <c r="C186" i="9"/>
  <c r="C187" i="9" s="1"/>
  <c r="A29" i="28"/>
  <c r="I29" i="28"/>
  <c r="AC95" i="57" l="1"/>
  <c r="A28" i="28"/>
  <c r="I28" i="28"/>
  <c r="A27" i="28" l="1"/>
  <c r="I27" i="28"/>
  <c r="A26" i="28" l="1"/>
  <c r="I26" i="28"/>
  <c r="A25" i="28" l="1"/>
  <c r="I25" i="28"/>
  <c r="A24" i="28" l="1"/>
  <c r="I24" i="28"/>
  <c r="A23" i="28" l="1"/>
  <c r="I23" i="28"/>
  <c r="A22" i="28" l="1"/>
  <c r="I22" i="28"/>
  <c r="A21" i="28" l="1"/>
  <c r="I21" i="28"/>
  <c r="A20" i="28" l="1"/>
  <c r="I20" i="28"/>
  <c r="A19" i="28" l="1"/>
  <c r="H12" i="5"/>
  <c r="H6" i="5"/>
  <c r="H18" i="5"/>
  <c r="H8" i="5"/>
  <c r="H7" i="5"/>
  <c r="H11" i="5"/>
  <c r="H15" i="5"/>
  <c r="H13" i="5"/>
  <c r="H10" i="5"/>
  <c r="H5" i="5"/>
  <c r="I19" i="28"/>
  <c r="H14" i="5"/>
  <c r="H4" i="5"/>
  <c r="H19" i="5" l="1"/>
  <c r="AC19" i="5" s="1"/>
  <c r="H17" i="5"/>
  <c r="AC8" i="5"/>
  <c r="S188" i="5" s="1"/>
  <c r="U188" i="5" s="1"/>
  <c r="A18" i="28"/>
  <c r="I18" i="28"/>
  <c r="H21" i="5" l="1"/>
  <c r="A17" i="28"/>
  <c r="I17" i="28"/>
  <c r="A16" i="28" l="1"/>
  <c r="I16" i="28"/>
  <c r="A15" i="28" l="1"/>
  <c r="I15" i="28"/>
  <c r="A14" i="28" l="1"/>
  <c r="I14" i="28"/>
  <c r="A13" i="28" l="1"/>
  <c r="I13" i="28"/>
  <c r="A12" i="28" l="1"/>
  <c r="I12" i="28"/>
  <c r="A11" i="28" l="1"/>
  <c r="I11" i="28"/>
  <c r="A10" i="28" l="1"/>
  <c r="I10" i="28"/>
  <c r="A9" i="28" l="1"/>
  <c r="A8" i="28" l="1"/>
  <c r="A7" i="28" l="1"/>
  <c r="A6" i="28" l="1"/>
  <c r="AB38" i="1"/>
  <c r="A5" i="28" l="1"/>
  <c r="A56" i="123"/>
  <c r="Y500" i="121"/>
  <c r="Y313" i="121"/>
  <c r="Y314" i="121"/>
  <c r="Y315" i="121"/>
  <c r="Y316" i="121"/>
  <c r="Y317" i="121"/>
  <c r="Y318" i="121"/>
  <c r="Y319" i="121"/>
  <c r="Y320" i="121"/>
  <c r="Y321" i="121"/>
  <c r="Y322" i="121"/>
  <c r="Y323" i="121"/>
  <c r="Y324" i="121"/>
  <c r="Y325" i="121"/>
  <c r="Y326" i="121"/>
  <c r="Y327" i="121"/>
  <c r="Y328" i="121"/>
  <c r="Y329" i="121"/>
  <c r="Y330" i="121"/>
  <c r="Y331" i="121"/>
  <c r="Y332" i="121"/>
  <c r="Y333" i="121"/>
  <c r="Y334" i="121"/>
  <c r="Y335" i="121"/>
  <c r="Y336" i="121"/>
  <c r="Y337" i="121"/>
  <c r="Y338" i="121"/>
  <c r="Y339" i="121"/>
  <c r="Y340" i="121"/>
  <c r="Y341" i="121"/>
  <c r="Y342" i="121"/>
  <c r="Y343" i="121"/>
  <c r="Y344" i="121"/>
  <c r="Y345" i="121"/>
  <c r="Y346" i="121"/>
  <c r="Y347" i="121"/>
  <c r="Y348" i="121"/>
  <c r="Y349" i="121"/>
  <c r="Y350" i="121"/>
  <c r="Y351" i="121"/>
  <c r="Y352" i="121"/>
  <c r="Y353" i="121"/>
  <c r="Y354" i="121"/>
  <c r="Y355" i="121"/>
  <c r="Y356" i="121"/>
  <c r="Y357" i="121"/>
  <c r="Y358" i="121"/>
  <c r="Y359" i="121"/>
  <c r="Y360" i="121"/>
  <c r="Y361" i="121"/>
  <c r="Y362" i="121"/>
  <c r="Y363" i="121"/>
  <c r="Y364" i="121"/>
  <c r="Y365" i="121"/>
  <c r="Y366" i="121"/>
  <c r="Y367" i="121"/>
  <c r="Y368" i="121"/>
  <c r="Y369" i="121"/>
  <c r="Y370" i="121"/>
  <c r="Y371" i="121"/>
  <c r="Y372" i="121"/>
  <c r="Y373" i="121"/>
  <c r="Y374" i="121"/>
  <c r="Y375" i="121"/>
  <c r="Y376" i="121"/>
  <c r="Y377" i="121"/>
  <c r="Y378" i="121"/>
  <c r="Y379" i="121"/>
  <c r="Y380" i="121"/>
  <c r="Y381" i="121"/>
  <c r="Y382" i="121"/>
  <c r="Y383" i="121"/>
  <c r="Y384" i="121"/>
  <c r="Y385" i="121"/>
  <c r="Y386" i="121"/>
  <c r="Y387" i="121"/>
  <c r="Y388" i="121"/>
  <c r="Y389" i="121"/>
  <c r="Y390" i="121"/>
  <c r="Y391" i="121"/>
  <c r="Y392" i="121"/>
  <c r="Y393" i="121"/>
  <c r="Y394" i="121"/>
  <c r="Y395" i="121"/>
  <c r="Y396" i="121"/>
  <c r="Y397" i="121"/>
  <c r="Y398" i="121"/>
  <c r="Y399" i="121"/>
  <c r="Y400" i="121"/>
  <c r="Y401" i="121"/>
  <c r="Y402" i="121"/>
  <c r="Y403" i="121"/>
  <c r="Y404" i="121"/>
  <c r="Y405" i="121"/>
  <c r="Y406" i="121"/>
  <c r="Y407" i="121"/>
  <c r="Y408" i="121"/>
  <c r="Y409" i="121"/>
  <c r="Y410" i="121"/>
  <c r="Y411" i="121"/>
  <c r="Y412" i="121"/>
  <c r="Y413" i="121"/>
  <c r="Y414" i="121"/>
  <c r="Y415" i="121"/>
  <c r="Y416" i="121"/>
  <c r="Y417" i="121"/>
  <c r="Y418" i="121"/>
  <c r="Y419" i="121"/>
  <c r="Y420" i="121"/>
  <c r="Y421" i="121"/>
  <c r="Y422" i="121"/>
  <c r="Y423" i="121"/>
  <c r="Y424" i="121"/>
  <c r="Y425" i="121"/>
  <c r="Y426" i="121"/>
  <c r="Y427" i="121"/>
  <c r="Y428" i="121"/>
  <c r="Y429" i="121"/>
  <c r="Y430" i="121"/>
  <c r="Y431" i="121"/>
  <c r="Y432" i="121"/>
  <c r="Y433" i="121"/>
  <c r="Y434" i="121"/>
  <c r="Y435" i="121"/>
  <c r="Y436" i="121"/>
  <c r="Y437" i="121"/>
  <c r="Y438" i="121"/>
  <c r="Y439" i="121"/>
  <c r="Y440" i="121"/>
  <c r="Y441" i="121"/>
  <c r="Y442" i="121"/>
  <c r="Y443" i="121"/>
  <c r="Y444" i="121"/>
  <c r="Y445" i="121"/>
  <c r="Y446" i="121"/>
  <c r="Y447" i="121"/>
  <c r="Y448" i="121"/>
  <c r="Y449" i="121"/>
  <c r="Y450" i="121"/>
  <c r="Y451" i="121"/>
  <c r="Y452" i="121"/>
  <c r="Y453" i="121"/>
  <c r="Y454" i="121"/>
  <c r="Y455" i="121"/>
  <c r="Y456" i="121"/>
  <c r="Y457" i="121"/>
  <c r="Y458" i="121"/>
  <c r="Y459" i="121"/>
  <c r="Y460" i="121"/>
  <c r="Y461" i="121"/>
  <c r="Y462" i="121"/>
  <c r="Y463" i="121"/>
  <c r="Y464" i="121"/>
  <c r="Y465" i="121"/>
  <c r="Y466" i="121"/>
  <c r="Y467" i="121"/>
  <c r="Y468" i="121"/>
  <c r="Y469" i="121"/>
  <c r="Y470" i="121"/>
  <c r="Y471" i="121"/>
  <c r="Y472" i="121"/>
  <c r="Y473" i="121"/>
  <c r="Y474" i="121"/>
  <c r="Y475" i="121"/>
  <c r="Y476" i="121"/>
  <c r="Y477" i="121"/>
  <c r="Y478" i="121"/>
  <c r="Y479" i="121"/>
  <c r="Y480" i="121"/>
  <c r="Y481" i="121"/>
  <c r="Y482" i="121"/>
  <c r="Y483" i="121"/>
  <c r="Y484" i="121"/>
  <c r="Y485" i="121"/>
  <c r="Y486" i="121"/>
  <c r="Y487" i="121"/>
  <c r="Y488" i="121"/>
  <c r="Y489" i="121"/>
  <c r="Y490" i="121"/>
  <c r="Y491" i="121"/>
  <c r="Y492" i="121"/>
  <c r="Y493" i="121"/>
  <c r="Y494" i="121"/>
  <c r="Y495" i="121"/>
  <c r="Y496" i="121"/>
  <c r="Y497" i="121"/>
  <c r="Y499" i="121"/>
  <c r="AA1" i="1"/>
  <c r="Z2" i="1"/>
  <c r="Z156" i="1"/>
  <c r="Z153" i="1"/>
  <c r="Z157" i="1"/>
  <c r="Z155" i="1"/>
  <c r="Z30" i="1"/>
  <c r="Z69" i="1"/>
  <c r="Z28" i="1"/>
  <c r="Z34" i="1"/>
  <c r="Z74" i="1"/>
  <c r="Z32" i="1"/>
  <c r="Z49" i="1" l="1"/>
  <c r="U56" i="123"/>
  <c r="N56" i="123"/>
  <c r="Z158" i="1"/>
  <c r="Z185" i="1"/>
  <c r="Z246" i="1"/>
  <c r="Z170" i="1"/>
  <c r="Z169" i="1"/>
  <c r="A4" i="28"/>
  <c r="AB1" i="35"/>
  <c r="A66" i="123"/>
  <c r="Q56" i="123"/>
  <c r="Z1" i="1"/>
  <c r="Y2" i="1"/>
  <c r="AB2" i="57"/>
  <c r="Y157" i="1"/>
  <c r="AB96" i="57"/>
  <c r="Y156" i="1"/>
  <c r="AB85" i="35"/>
  <c r="Y153" i="1"/>
  <c r="Y155" i="1"/>
  <c r="Z152" i="1"/>
  <c r="Z130" i="1"/>
  <c r="Z35" i="1"/>
  <c r="Z29" i="1"/>
  <c r="Z33" i="1"/>
  <c r="Z31" i="1"/>
  <c r="Z132" i="1"/>
  <c r="Z129" i="1"/>
  <c r="Z131" i="1"/>
  <c r="Y30" i="1"/>
  <c r="Y34" i="1"/>
  <c r="Y32" i="1"/>
  <c r="Z128" i="1"/>
  <c r="Y28" i="1"/>
  <c r="Y49" i="1" l="1"/>
  <c r="Z133" i="1"/>
  <c r="Z259" i="1" s="1"/>
  <c r="U66" i="123"/>
  <c r="N66" i="123"/>
  <c r="Z154" i="1"/>
  <c r="D6" i="169" s="1"/>
  <c r="F6" i="169" s="1"/>
  <c r="E6" i="169" s="1"/>
  <c r="Y158" i="1"/>
  <c r="Y185" i="1"/>
  <c r="Y246" i="1"/>
  <c r="Y170" i="1"/>
  <c r="Y169" i="1"/>
  <c r="A3" i="28"/>
  <c r="AA1" i="35"/>
  <c r="A76" i="123"/>
  <c r="Q66" i="123"/>
  <c r="X2" i="1"/>
  <c r="AA2" i="57"/>
  <c r="Y1" i="1"/>
  <c r="S137" i="9"/>
  <c r="V264" i="9"/>
  <c r="W426" i="9"/>
  <c r="W428" i="9"/>
  <c r="W137" i="9"/>
  <c r="W383" i="9"/>
  <c r="W427" i="9"/>
  <c r="L137" i="9"/>
  <c r="C138" i="9"/>
  <c r="K141" i="9"/>
  <c r="J138" i="9"/>
  <c r="V222" i="9"/>
  <c r="W258" i="9"/>
  <c r="W98" i="9"/>
  <c r="W221" i="9"/>
  <c r="K136" i="9"/>
  <c r="U140" i="9"/>
  <c r="U137" i="9"/>
  <c r="W217" i="9"/>
  <c r="W55" i="9"/>
  <c r="W547" i="9"/>
  <c r="W101" i="9"/>
  <c r="V100" i="9"/>
  <c r="U135" i="9"/>
  <c r="P50" i="28"/>
  <c r="Q137" i="9"/>
  <c r="H51" i="28"/>
  <c r="K142" i="9"/>
  <c r="E51" i="28"/>
  <c r="P140" i="9"/>
  <c r="U261" i="9"/>
  <c r="V381" i="9"/>
  <c r="O140" i="9"/>
  <c r="V262" i="9"/>
  <c r="U384" i="9"/>
  <c r="J137" i="9"/>
  <c r="V258" i="9"/>
  <c r="U382" i="9"/>
  <c r="F51" i="28"/>
  <c r="V553" i="9"/>
  <c r="Q136" i="9"/>
  <c r="W135" i="9"/>
  <c r="W344" i="9"/>
  <c r="J50" i="28"/>
  <c r="V98" i="9"/>
  <c r="T139" i="9"/>
  <c r="H50" i="28"/>
  <c r="I7" i="28"/>
  <c r="I5" i="28"/>
  <c r="P138" i="9"/>
  <c r="W59" i="9"/>
  <c r="M139" i="9"/>
  <c r="R135" i="9"/>
  <c r="J141" i="9"/>
  <c r="I137" i="9"/>
  <c r="W346" i="9"/>
  <c r="W54" i="9"/>
  <c r="W220" i="9"/>
  <c r="G138" i="9"/>
  <c r="V387" i="9"/>
  <c r="X155" i="1"/>
  <c r="X157" i="1"/>
  <c r="Q138" i="9"/>
  <c r="U218" i="9"/>
  <c r="V385" i="9"/>
  <c r="Q140" i="9"/>
  <c r="U547" i="9"/>
  <c r="D137" i="9"/>
  <c r="N138" i="9"/>
  <c r="B50" i="28"/>
  <c r="I4" i="28"/>
  <c r="T137" i="9"/>
  <c r="V135" i="9"/>
  <c r="V548" i="9"/>
  <c r="V552" i="9"/>
  <c r="F49" i="28"/>
  <c r="I9" i="28"/>
  <c r="V138" i="9"/>
  <c r="U142" i="9"/>
  <c r="T140" i="9"/>
  <c r="G142" i="9"/>
  <c r="V58" i="9"/>
  <c r="D141" i="9"/>
  <c r="V99" i="9"/>
  <c r="U388" i="9"/>
  <c r="V223" i="9"/>
  <c r="U258" i="9"/>
  <c r="U60" i="9"/>
  <c r="I8" i="28"/>
  <c r="L139" i="9"/>
  <c r="W343" i="9"/>
  <c r="R136" i="9"/>
  <c r="W382" i="9"/>
  <c r="U423" i="9"/>
  <c r="V263" i="9"/>
  <c r="V96" i="9"/>
  <c r="R139" i="9"/>
  <c r="I138" i="9"/>
  <c r="W100" i="9"/>
  <c r="O137" i="9"/>
  <c r="V20" i="9"/>
  <c r="J140" i="9"/>
  <c r="V388" i="9"/>
  <c r="C51" i="28"/>
  <c r="U224" i="9"/>
  <c r="V59" i="9"/>
  <c r="W97" i="9"/>
  <c r="W96" i="9"/>
  <c r="W58" i="9"/>
  <c r="J135" i="9"/>
  <c r="G141" i="9"/>
  <c r="W342" i="9"/>
  <c r="R137" i="9"/>
  <c r="T136" i="9"/>
  <c r="L135" i="9"/>
  <c r="Y152" i="1"/>
  <c r="N135" i="9"/>
  <c r="D140" i="9"/>
  <c r="U56" i="9"/>
  <c r="W17" i="9"/>
  <c r="J136" i="9"/>
  <c r="U15" i="9"/>
  <c r="V428" i="9"/>
  <c r="L141" i="9"/>
  <c r="B51" i="28"/>
  <c r="V344" i="9"/>
  <c r="U427" i="9"/>
  <c r="AB76" i="57"/>
  <c r="V101" i="9"/>
  <c r="M140" i="9"/>
  <c r="C136" i="9"/>
  <c r="H140" i="9"/>
  <c r="P142" i="9"/>
  <c r="P141" i="9"/>
  <c r="D51" i="28"/>
  <c r="W15" i="9"/>
  <c r="J139" i="9"/>
  <c r="D135" i="9"/>
  <c r="T141" i="9"/>
  <c r="S139" i="9"/>
  <c r="G136" i="9"/>
  <c r="W263" i="9"/>
  <c r="L51" i="28"/>
  <c r="U549" i="9"/>
  <c r="E135" i="9"/>
  <c r="R141" i="9"/>
  <c r="I140" i="9"/>
  <c r="V141" i="9"/>
  <c r="V60" i="9"/>
  <c r="I6" i="28"/>
  <c r="V550" i="9"/>
  <c r="W386" i="9"/>
  <c r="W99" i="9"/>
  <c r="U425" i="9"/>
  <c r="I136" i="9"/>
  <c r="Z167" i="1"/>
  <c r="W552" i="9"/>
  <c r="K135" i="9"/>
  <c r="F135" i="9"/>
  <c r="U342" i="9"/>
  <c r="V427" i="9"/>
  <c r="I135" i="9"/>
  <c r="N142" i="9"/>
  <c r="P137" i="9"/>
  <c r="H49" i="28"/>
  <c r="F140" i="9"/>
  <c r="V345" i="9"/>
  <c r="H139" i="9"/>
  <c r="U553" i="9"/>
  <c r="V429" i="9"/>
  <c r="U220" i="9"/>
  <c r="C137" i="9"/>
  <c r="V220" i="9"/>
  <c r="V383" i="9"/>
  <c r="F138" i="9"/>
  <c r="H138" i="9"/>
  <c r="W61" i="9"/>
  <c r="W430" i="9"/>
  <c r="V547" i="9"/>
  <c r="F142" i="9"/>
  <c r="R142" i="9"/>
  <c r="V218" i="9"/>
  <c r="V347" i="9"/>
  <c r="E50" i="28"/>
  <c r="V346" i="9"/>
  <c r="M137" i="9"/>
  <c r="U429" i="9"/>
  <c r="G140" i="9"/>
  <c r="O139" i="9"/>
  <c r="F136" i="9"/>
  <c r="W341" i="9"/>
  <c r="W384" i="9"/>
  <c r="M142" i="9"/>
  <c r="V219" i="9"/>
  <c r="V221" i="9"/>
  <c r="W139" i="9"/>
  <c r="V19" i="9"/>
  <c r="G139" i="9"/>
  <c r="O136" i="9"/>
  <c r="R140" i="9"/>
  <c r="AA96" i="57"/>
  <c r="L50" i="28"/>
  <c r="V136" i="9"/>
  <c r="U138" i="9"/>
  <c r="G135" i="9"/>
  <c r="U263" i="9"/>
  <c r="W14" i="9"/>
  <c r="H141" i="9"/>
  <c r="V340" i="9"/>
  <c r="M135" i="9"/>
  <c r="O138" i="9"/>
  <c r="U136" i="9"/>
  <c r="V423" i="9"/>
  <c r="V139" i="9"/>
  <c r="V55" i="9"/>
  <c r="J142" i="9"/>
  <c r="K139" i="9"/>
  <c r="AA85" i="35"/>
  <c r="V94" i="9"/>
  <c r="S142" i="9"/>
  <c r="E137" i="9"/>
  <c r="E139" i="9"/>
  <c r="V21" i="9"/>
  <c r="V342" i="9"/>
  <c r="V217" i="9"/>
  <c r="I142" i="9"/>
  <c r="D136" i="9"/>
  <c r="F141" i="9"/>
  <c r="U341" i="9"/>
  <c r="I141" i="9"/>
  <c r="V259" i="9"/>
  <c r="R51" i="28"/>
  <c r="E140" i="9"/>
  <c r="V18" i="9"/>
  <c r="K138" i="9"/>
  <c r="W550" i="9"/>
  <c r="H135" i="9"/>
  <c r="V260" i="9"/>
  <c r="M138" i="9"/>
  <c r="L138" i="9"/>
  <c r="C141" i="9"/>
  <c r="V382" i="9"/>
  <c r="W548" i="9"/>
  <c r="J49" i="28"/>
  <c r="R138" i="9"/>
  <c r="O49" i="28"/>
  <c r="V341" i="9"/>
  <c r="U345" i="9"/>
  <c r="W423" i="9"/>
  <c r="C135" i="9"/>
  <c r="U139" i="9"/>
  <c r="W136" i="9"/>
  <c r="W551" i="9"/>
  <c r="W21" i="9"/>
  <c r="U346" i="9"/>
  <c r="W553" i="9"/>
  <c r="U141" i="9"/>
  <c r="S135" i="9"/>
  <c r="M136" i="9"/>
  <c r="AB70" i="35"/>
  <c r="V549" i="9"/>
  <c r="S140" i="9"/>
  <c r="V14" i="9"/>
  <c r="D50" i="28"/>
  <c r="W95" i="9"/>
  <c r="H137" i="9"/>
  <c r="U260" i="9"/>
  <c r="H142" i="9"/>
  <c r="Q141" i="9"/>
  <c r="T138" i="9"/>
  <c r="W222" i="9"/>
  <c r="V343" i="9"/>
  <c r="R50" i="28"/>
  <c r="K137" i="9"/>
  <c r="W261" i="9"/>
  <c r="S141" i="9"/>
  <c r="V142" i="9"/>
  <c r="C142" i="9"/>
  <c r="W138" i="9"/>
  <c r="V430" i="9"/>
  <c r="V97" i="9"/>
  <c r="W264" i="9"/>
  <c r="W347" i="9"/>
  <c r="O135" i="9"/>
  <c r="W381" i="9"/>
  <c r="L140" i="9"/>
  <c r="P135" i="9"/>
  <c r="H136" i="9"/>
  <c r="Q139" i="9"/>
  <c r="N139" i="9"/>
  <c r="W298" i="9"/>
  <c r="P136" i="9"/>
  <c r="E49" i="28"/>
  <c r="W94" i="9"/>
  <c r="P139" i="9"/>
  <c r="N141" i="9"/>
  <c r="O50" i="28"/>
  <c r="G137" i="9"/>
  <c r="W16" i="9"/>
  <c r="T135" i="9"/>
  <c r="V224" i="9"/>
  <c r="G50" i="28"/>
  <c r="W385" i="9"/>
  <c r="V426" i="9"/>
  <c r="P51" i="28"/>
  <c r="L136" i="9"/>
  <c r="W259" i="9"/>
  <c r="W140" i="9"/>
  <c r="E142" i="9"/>
  <c r="Q135" i="9"/>
  <c r="C139" i="9"/>
  <c r="G49" i="28"/>
  <c r="K140" i="9"/>
  <c r="U222" i="9"/>
  <c r="W142" i="9"/>
  <c r="W224" i="9"/>
  <c r="V257" i="9"/>
  <c r="S138" i="9"/>
  <c r="G51" i="28"/>
  <c r="V54" i="9"/>
  <c r="E136" i="9"/>
  <c r="W20" i="9"/>
  <c r="V16" i="9"/>
  <c r="F137" i="9"/>
  <c r="C50" i="28"/>
  <c r="V61" i="9"/>
  <c r="W18" i="9"/>
  <c r="W223" i="9"/>
  <c r="N136" i="9"/>
  <c r="L142" i="9"/>
  <c r="O51" i="28"/>
  <c r="D142" i="9"/>
  <c r="AB72" i="57"/>
  <c r="O141" i="9"/>
  <c r="I139" i="9"/>
  <c r="D139" i="9"/>
  <c r="V140" i="9"/>
  <c r="F139" i="9"/>
  <c r="E141" i="9"/>
  <c r="N137" i="9"/>
  <c r="E138" i="9"/>
  <c r="C140" i="9"/>
  <c r="AB72" i="35"/>
  <c r="V137" i="9"/>
  <c r="W345" i="9"/>
  <c r="W387" i="9"/>
  <c r="V56" i="9"/>
  <c r="W388" i="9"/>
  <c r="U58" i="9"/>
  <c r="AB74" i="57"/>
  <c r="Q142" i="9"/>
  <c r="V298" i="9"/>
  <c r="V425" i="9"/>
  <c r="AB69" i="35"/>
  <c r="V95" i="9"/>
  <c r="V17" i="9"/>
  <c r="U21" i="9"/>
  <c r="V15" i="9"/>
  <c r="M141" i="9"/>
  <c r="F50" i="28"/>
  <c r="V384" i="9"/>
  <c r="U386" i="9"/>
  <c r="N140" i="9"/>
  <c r="V551" i="9"/>
  <c r="T142" i="9"/>
  <c r="U54" i="9"/>
  <c r="U551" i="9"/>
  <c r="D138" i="9"/>
  <c r="J51" i="28"/>
  <c r="C49" i="28"/>
  <c r="V386" i="9"/>
  <c r="V57" i="9"/>
  <c r="V424" i="9"/>
  <c r="W19" i="9"/>
  <c r="O142" i="9"/>
  <c r="V546" i="9"/>
  <c r="W424" i="9"/>
  <c r="W141" i="9"/>
  <c r="S136" i="9"/>
  <c r="V261" i="9"/>
  <c r="X32" i="1"/>
  <c r="Z24" i="1"/>
  <c r="Z92" i="1"/>
  <c r="X30" i="1"/>
  <c r="Y74" i="1"/>
  <c r="Z23" i="1"/>
  <c r="Z95" i="1"/>
  <c r="Z22" i="1"/>
  <c r="Y130" i="1"/>
  <c r="Z96" i="1"/>
  <c r="X28" i="1"/>
  <c r="Z25" i="1"/>
  <c r="Z94" i="1"/>
  <c r="Y69" i="1"/>
  <c r="X74" i="1"/>
  <c r="Y132" i="1"/>
  <c r="Z93" i="1"/>
  <c r="Y29" i="1"/>
  <c r="Y128" i="1"/>
  <c r="Y33" i="1"/>
  <c r="X24" i="1"/>
  <c r="Y31" i="1"/>
  <c r="Y129" i="1"/>
  <c r="Y35" i="1"/>
  <c r="X34" i="1"/>
  <c r="AB73" i="57"/>
  <c r="Y131" i="1"/>
  <c r="X49" i="1" l="1"/>
  <c r="Y133" i="1"/>
  <c r="Y259" i="1" s="1"/>
  <c r="L64" i="28" a="1"/>
  <c r="L64" i="28" s="1"/>
  <c r="L63" i="28" a="1"/>
  <c r="L63" i="28" s="1"/>
  <c r="B64" i="28" a="1"/>
  <c r="B64" i="28" s="1"/>
  <c r="B63" i="28" a="1"/>
  <c r="B63" i="28" s="1"/>
  <c r="G63" i="28" a="1"/>
  <c r="G63" i="28" s="1"/>
  <c r="G64" i="28" a="1"/>
  <c r="G64" i="28" s="1"/>
  <c r="O63" i="28" a="1"/>
  <c r="O63" i="28" s="1"/>
  <c r="O64" i="28" a="1"/>
  <c r="O64" i="28" s="1"/>
  <c r="D64" i="28" a="1"/>
  <c r="D64" i="28" s="1"/>
  <c r="D63" i="28" a="1"/>
  <c r="D63" i="28" s="1"/>
  <c r="H64" i="28" a="1"/>
  <c r="H64" i="28" s="1"/>
  <c r="H63" i="28" a="1"/>
  <c r="H63" i="28" s="1"/>
  <c r="J63" i="28" a="1"/>
  <c r="J63" i="28" s="1"/>
  <c r="J64" i="28" a="1"/>
  <c r="J64" i="28" s="1"/>
  <c r="R64" i="28" a="1"/>
  <c r="R64" i="28" s="1"/>
  <c r="R63" i="28" a="1"/>
  <c r="R63" i="28" s="1"/>
  <c r="F63" i="28" a="1"/>
  <c r="F63" i="28" s="1"/>
  <c r="F64" i="28" a="1"/>
  <c r="F64" i="28" s="1"/>
  <c r="P64" i="28" a="1"/>
  <c r="P64" i="28" s="1"/>
  <c r="P63" i="28" a="1"/>
  <c r="P63" i="28" s="1"/>
  <c r="C63" i="28" a="1"/>
  <c r="C63" i="28" s="1"/>
  <c r="C64" i="28" a="1"/>
  <c r="C64" i="28" s="1"/>
  <c r="E63" i="28" a="1"/>
  <c r="E63" i="28" s="1"/>
  <c r="E64" i="28" a="1"/>
  <c r="E64" i="28" s="1"/>
  <c r="U76" i="123"/>
  <c r="N76" i="123"/>
  <c r="AB71" i="35"/>
  <c r="AB73" i="35"/>
  <c r="AB77" i="57"/>
  <c r="AB75" i="57"/>
  <c r="W509" i="9"/>
  <c r="W505" i="9"/>
  <c r="W510" i="9"/>
  <c r="V510" i="9"/>
  <c r="W508" i="9"/>
  <c r="V508" i="9"/>
  <c r="W512" i="9"/>
  <c r="W506" i="9"/>
  <c r="W507" i="9"/>
  <c r="V507" i="9"/>
  <c r="V512" i="9"/>
  <c r="V511" i="9"/>
  <c r="V506" i="9"/>
  <c r="W511" i="9"/>
  <c r="V505" i="9"/>
  <c r="V509" i="9"/>
  <c r="Y154" i="1"/>
  <c r="Z97" i="1"/>
  <c r="Z252" i="1" s="1"/>
  <c r="F22" i="169" s="1"/>
  <c r="E22" i="169" s="1"/>
  <c r="L145" i="9"/>
  <c r="L146" i="9" s="1"/>
  <c r="V145" i="9"/>
  <c r="V146" i="9" s="1"/>
  <c r="T145" i="9"/>
  <c r="T146" i="9" s="1"/>
  <c r="C145" i="9"/>
  <c r="C146" i="9" s="1"/>
  <c r="W391" i="9"/>
  <c r="W392" i="9" s="1"/>
  <c r="K51" i="28"/>
  <c r="G145" i="9"/>
  <c r="G146" i="9" s="1"/>
  <c r="Q145" i="9"/>
  <c r="Q146" i="9" s="1"/>
  <c r="V227" i="9"/>
  <c r="V228" i="9" s="1"/>
  <c r="O145" i="9"/>
  <c r="O146" i="9" s="1"/>
  <c r="Z44" i="1"/>
  <c r="W433" i="9"/>
  <c r="W434" i="9" s="1"/>
  <c r="R145" i="9"/>
  <c r="R146" i="9" s="1"/>
  <c r="U24" i="9"/>
  <c r="V104" i="9"/>
  <c r="V105" i="9" s="1"/>
  <c r="W145" i="9"/>
  <c r="W146" i="9" s="1"/>
  <c r="E145" i="9"/>
  <c r="E146" i="9" s="1"/>
  <c r="W267" i="9"/>
  <c r="W268" i="9" s="1"/>
  <c r="U145" i="9"/>
  <c r="U146" i="9" s="1"/>
  <c r="N145" i="9"/>
  <c r="N146" i="9" s="1"/>
  <c r="M50" i="28"/>
  <c r="M145" i="9"/>
  <c r="M146" i="9" s="1"/>
  <c r="F145" i="9"/>
  <c r="F146" i="9" s="1"/>
  <c r="V391" i="9"/>
  <c r="V392" i="9" s="1"/>
  <c r="P145" i="9"/>
  <c r="P146" i="9" s="1"/>
  <c r="V556" i="9"/>
  <c r="V557" i="9" s="1"/>
  <c r="W104" i="9"/>
  <c r="W105" i="9" s="1"/>
  <c r="W64" i="9"/>
  <c r="W65" i="9" s="1"/>
  <c r="V350" i="9"/>
  <c r="M51" i="28"/>
  <c r="W24" i="9"/>
  <c r="W25" i="9" s="1"/>
  <c r="W556" i="9"/>
  <c r="W557" i="9" s="1"/>
  <c r="K50" i="28"/>
  <c r="J145" i="9"/>
  <c r="J146" i="9" s="1"/>
  <c r="S145" i="9"/>
  <c r="S146" i="9" s="1"/>
  <c r="V267" i="9"/>
  <c r="V268" i="9" s="1"/>
  <c r="V24" i="9"/>
  <c r="V25" i="9" s="1"/>
  <c r="D145" i="9"/>
  <c r="D146" i="9" s="1"/>
  <c r="H145" i="9"/>
  <c r="H146" i="9" s="1"/>
  <c r="V64" i="9"/>
  <c r="V65" i="9" s="1"/>
  <c r="W350" i="9"/>
  <c r="I145" i="9"/>
  <c r="I146" i="9" s="1"/>
  <c r="W227" i="9"/>
  <c r="W228" i="9" s="1"/>
  <c r="K145" i="9"/>
  <c r="K146" i="9" s="1"/>
  <c r="V433" i="9"/>
  <c r="V434" i="9" s="1"/>
  <c r="X185" i="1"/>
  <c r="X246" i="1"/>
  <c r="U391" i="9"/>
  <c r="U556" i="9"/>
  <c r="K49" i="28"/>
  <c r="U227" i="9"/>
  <c r="X170" i="1"/>
  <c r="X169" i="1"/>
  <c r="Z1" i="35"/>
  <c r="A87" i="123"/>
  <c r="Q76" i="123"/>
  <c r="W2" i="1"/>
  <c r="Z2" i="57"/>
  <c r="X1" i="1"/>
  <c r="D401" i="123"/>
  <c r="D402" i="123"/>
  <c r="D403" i="123"/>
  <c r="D404" i="123"/>
  <c r="D405" i="123"/>
  <c r="D406" i="123"/>
  <c r="D407" i="123"/>
  <c r="D408" i="123"/>
  <c r="D409" i="123"/>
  <c r="D410" i="123"/>
  <c r="D411" i="123"/>
  <c r="D412" i="123"/>
  <c r="D413" i="123"/>
  <c r="D414" i="123"/>
  <c r="D415" i="123"/>
  <c r="D416" i="123"/>
  <c r="D417" i="123"/>
  <c r="D418" i="123"/>
  <c r="D419" i="123"/>
  <c r="D420" i="123"/>
  <c r="D421" i="123"/>
  <c r="D422" i="123"/>
  <c r="D423" i="123"/>
  <c r="D424" i="123"/>
  <c r="D425" i="123"/>
  <c r="D426" i="123"/>
  <c r="D427" i="123"/>
  <c r="D428" i="123"/>
  <c r="D429" i="123"/>
  <c r="D430" i="123"/>
  <c r="D431" i="123"/>
  <c r="D432" i="123"/>
  <c r="D433" i="123"/>
  <c r="D434" i="123"/>
  <c r="D435" i="123"/>
  <c r="D436" i="123"/>
  <c r="D437" i="123"/>
  <c r="D438" i="123"/>
  <c r="D439" i="123"/>
  <c r="D440" i="123"/>
  <c r="D441" i="123"/>
  <c r="D442" i="123"/>
  <c r="D443" i="123"/>
  <c r="D444" i="123"/>
  <c r="D445" i="123"/>
  <c r="D446" i="123"/>
  <c r="D447" i="123"/>
  <c r="D448" i="123"/>
  <c r="D449" i="123"/>
  <c r="D450" i="123"/>
  <c r="D451" i="123"/>
  <c r="D452" i="123"/>
  <c r="D453" i="123"/>
  <c r="D454" i="123"/>
  <c r="D455" i="123"/>
  <c r="D456" i="123"/>
  <c r="D457" i="123"/>
  <c r="D458" i="123"/>
  <c r="D459" i="123"/>
  <c r="D460" i="123"/>
  <c r="D461" i="123"/>
  <c r="D462" i="123"/>
  <c r="D463" i="123"/>
  <c r="D464" i="123"/>
  <c r="D465" i="123"/>
  <c r="D466" i="123"/>
  <c r="D467" i="123"/>
  <c r="D468" i="123"/>
  <c r="D469" i="123"/>
  <c r="D470" i="123"/>
  <c r="D471" i="123"/>
  <c r="D472" i="123"/>
  <c r="D473" i="123"/>
  <c r="D474" i="123"/>
  <c r="D475" i="123"/>
  <c r="D476" i="123"/>
  <c r="D477" i="123"/>
  <c r="D478" i="123"/>
  <c r="D479" i="123"/>
  <c r="D480" i="123"/>
  <c r="D481" i="123"/>
  <c r="D482" i="123"/>
  <c r="D483" i="123"/>
  <c r="D484" i="123"/>
  <c r="D485" i="123"/>
  <c r="D486" i="123"/>
  <c r="D487" i="123"/>
  <c r="D488" i="123"/>
  <c r="D489" i="123"/>
  <c r="D490" i="123"/>
  <c r="D491" i="123"/>
  <c r="D492" i="123"/>
  <c r="D493" i="123"/>
  <c r="D494" i="123"/>
  <c r="D495" i="123"/>
  <c r="D496" i="123"/>
  <c r="D497" i="123"/>
  <c r="D498" i="123"/>
  <c r="D499" i="123"/>
  <c r="D500" i="123"/>
  <c r="D501" i="123"/>
  <c r="X152" i="1"/>
  <c r="X156" i="1"/>
  <c r="AA76" i="57"/>
  <c r="AA69" i="35"/>
  <c r="AA72" i="57"/>
  <c r="W156" i="1"/>
  <c r="AA72" i="35"/>
  <c r="AA74" i="57"/>
  <c r="W153" i="1"/>
  <c r="W157" i="1"/>
  <c r="AA70" i="35"/>
  <c r="Z85" i="35"/>
  <c r="Z96" i="57"/>
  <c r="X153" i="1"/>
  <c r="X131" i="1"/>
  <c r="X31" i="1"/>
  <c r="AA73" i="57"/>
  <c r="X35" i="1"/>
  <c r="X33" i="1"/>
  <c r="X29" i="1"/>
  <c r="X129" i="1"/>
  <c r="X132" i="1"/>
  <c r="X130" i="1"/>
  <c r="W74" i="1"/>
  <c r="X128" i="1"/>
  <c r="W34" i="1"/>
  <c r="W28" i="1"/>
  <c r="W30" i="1"/>
  <c r="W32" i="1"/>
  <c r="X69" i="1"/>
  <c r="W49" i="1" l="1"/>
  <c r="X133" i="1"/>
  <c r="X259" i="1" s="1"/>
  <c r="K63" i="28" a="1"/>
  <c r="K63" i="28" s="1"/>
  <c r="K64" i="28" a="1"/>
  <c r="K64" i="28" s="1"/>
  <c r="S3" i="28"/>
  <c r="S4" i="28"/>
  <c r="S6" i="28"/>
  <c r="S8" i="28"/>
  <c r="S10" i="28"/>
  <c r="S12" i="28"/>
  <c r="S14" i="28"/>
  <c r="S16" i="28"/>
  <c r="S18" i="28"/>
  <c r="S20" i="28"/>
  <c r="S22" i="28"/>
  <c r="S24" i="28"/>
  <c r="S26" i="28"/>
  <c r="S28" i="28"/>
  <c r="S30" i="28"/>
  <c r="S32" i="28"/>
  <c r="S34" i="28"/>
  <c r="S36" i="28"/>
  <c r="S38" i="28"/>
  <c r="S40" i="28"/>
  <c r="S42" i="28"/>
  <c r="S44" i="28"/>
  <c r="S46" i="28"/>
  <c r="S48" i="28"/>
  <c r="S50" i="28"/>
  <c r="S52" i="28"/>
  <c r="S54" i="28"/>
  <c r="S56" i="28"/>
  <c r="S58" i="28"/>
  <c r="S60" i="28"/>
  <c r="S62" i="28"/>
  <c r="S5" i="28"/>
  <c r="S7" i="28"/>
  <c r="S9" i="28"/>
  <c r="S11" i="28"/>
  <c r="S13" i="28"/>
  <c r="S15" i="28"/>
  <c r="S17" i="28"/>
  <c r="S19" i="28"/>
  <c r="S21" i="28"/>
  <c r="S23" i="28"/>
  <c r="S25" i="28"/>
  <c r="S27" i="28"/>
  <c r="S29" i="28"/>
  <c r="S31" i="28"/>
  <c r="S33" i="28"/>
  <c r="S35" i="28"/>
  <c r="S37" i="28"/>
  <c r="S39" i="28"/>
  <c r="S41" i="28"/>
  <c r="S43" i="28"/>
  <c r="S45" i="28"/>
  <c r="S47" i="28"/>
  <c r="S49" i="28"/>
  <c r="S51" i="28"/>
  <c r="S53" i="28"/>
  <c r="S55" i="28"/>
  <c r="S57" i="28"/>
  <c r="S59" i="28"/>
  <c r="S61" i="28"/>
  <c r="U87" i="123"/>
  <c r="N87" i="123"/>
  <c r="AA71" i="35"/>
  <c r="AA73" i="35"/>
  <c r="AA74" i="35" s="1"/>
  <c r="AB74" i="35"/>
  <c r="AA77" i="57"/>
  <c r="AA75" i="57"/>
  <c r="W351" i="9"/>
  <c r="W515" i="9"/>
  <c r="W516" i="9" s="1"/>
  <c r="V351" i="9"/>
  <c r="V515" i="9"/>
  <c r="V516" i="9" s="1"/>
  <c r="X158" i="1"/>
  <c r="X154" i="1"/>
  <c r="AA146" i="9"/>
  <c r="W185" i="1"/>
  <c r="W246" i="1"/>
  <c r="W170" i="1"/>
  <c r="W169" i="1"/>
  <c r="Y1" i="35"/>
  <c r="A98" i="123"/>
  <c r="Q87" i="123"/>
  <c r="V2" i="1"/>
  <c r="Y2" i="57"/>
  <c r="W1" i="1"/>
  <c r="Z70" i="35"/>
  <c r="Y96" i="57"/>
  <c r="Z72" i="57"/>
  <c r="Z72" i="35"/>
  <c r="W155" i="1"/>
  <c r="V157" i="1"/>
  <c r="Z69" i="35"/>
  <c r="Z76" i="57"/>
  <c r="W152" i="1"/>
  <c r="Y85" i="35"/>
  <c r="Z74" i="57"/>
  <c r="W69" i="1"/>
  <c r="W35" i="1"/>
  <c r="W29" i="1"/>
  <c r="Z73" i="57"/>
  <c r="W33" i="1"/>
  <c r="W129" i="1"/>
  <c r="V28" i="1"/>
  <c r="W131" i="1"/>
  <c r="W130" i="1"/>
  <c r="W31" i="1"/>
  <c r="V32" i="1"/>
  <c r="V30" i="1"/>
  <c r="W128" i="1"/>
  <c r="V34" i="1"/>
  <c r="V74" i="1"/>
  <c r="W132" i="1"/>
  <c r="V49" i="1" l="1"/>
  <c r="W133" i="1"/>
  <c r="U98" i="123"/>
  <c r="N98" i="123"/>
  <c r="Z71" i="35"/>
  <c r="Z73" i="35"/>
  <c r="Z75" i="57"/>
  <c r="Z77" i="57"/>
  <c r="W154" i="1"/>
  <c r="W158" i="1"/>
  <c r="V185" i="1"/>
  <c r="V246" i="1"/>
  <c r="V170" i="1"/>
  <c r="V169" i="1"/>
  <c r="X1" i="35"/>
  <c r="A109" i="123"/>
  <c r="Q98" i="123"/>
  <c r="U2" i="1"/>
  <c r="X2" i="57"/>
  <c r="V1" i="1"/>
  <c r="Y69" i="35"/>
  <c r="Y74" i="57"/>
  <c r="Y76" i="57"/>
  <c r="V155" i="1"/>
  <c r="Y72" i="57"/>
  <c r="Y72" i="35"/>
  <c r="V156" i="1"/>
  <c r="Y70" i="35"/>
  <c r="X85" i="35"/>
  <c r="V153" i="1"/>
  <c r="X96" i="57"/>
  <c r="V152" i="1"/>
  <c r="V130" i="1"/>
  <c r="U28" i="1"/>
  <c r="U34" i="1"/>
  <c r="U69" i="1"/>
  <c r="U30" i="1"/>
  <c r="V31" i="1"/>
  <c r="V29" i="1"/>
  <c r="U74" i="1"/>
  <c r="V128" i="1"/>
  <c r="V33" i="1"/>
  <c r="V35" i="1"/>
  <c r="V129" i="1"/>
  <c r="V132" i="1"/>
  <c r="V131" i="1"/>
  <c r="Y73" i="57"/>
  <c r="U32" i="1"/>
  <c r="V69" i="1"/>
  <c r="U49" i="1" l="1"/>
  <c r="W259" i="1"/>
  <c r="V133" i="1"/>
  <c r="V259" i="1" s="1"/>
  <c r="U109" i="123"/>
  <c r="N109" i="123"/>
  <c r="Z74" i="35"/>
  <c r="Y71" i="35"/>
  <c r="Y73" i="35"/>
  <c r="Y74" i="35" s="1"/>
  <c r="Y77" i="57"/>
  <c r="Y75" i="57"/>
  <c r="V158" i="1"/>
  <c r="V154" i="1"/>
  <c r="U185" i="1"/>
  <c r="U246" i="1"/>
  <c r="U170" i="1"/>
  <c r="U169" i="1"/>
  <c r="W1" i="35"/>
  <c r="A120" i="123"/>
  <c r="Q109" i="123"/>
  <c r="T2" i="1"/>
  <c r="W2" i="57"/>
  <c r="U1" i="1"/>
  <c r="K206" i="123"/>
  <c r="K207" i="123"/>
  <c r="K208" i="123"/>
  <c r="K209" i="123"/>
  <c r="K210" i="123"/>
  <c r="K211" i="123"/>
  <c r="K212" i="123"/>
  <c r="K213" i="123"/>
  <c r="K214" i="123"/>
  <c r="K46" i="123"/>
  <c r="K56" i="123"/>
  <c r="K66" i="123"/>
  <c r="K76" i="123"/>
  <c r="K87" i="123"/>
  <c r="K98" i="123"/>
  <c r="K109" i="123"/>
  <c r="K216" i="123"/>
  <c r="K217" i="123"/>
  <c r="K218" i="123"/>
  <c r="K219" i="123"/>
  <c r="K220" i="123"/>
  <c r="K221" i="123"/>
  <c r="K222" i="123"/>
  <c r="K223" i="123"/>
  <c r="K224" i="123"/>
  <c r="K225" i="123"/>
  <c r="K226" i="123"/>
  <c r="K227" i="123"/>
  <c r="K228" i="123"/>
  <c r="K229" i="123"/>
  <c r="K230" i="123"/>
  <c r="K231" i="123"/>
  <c r="K232" i="123"/>
  <c r="K233" i="123"/>
  <c r="K234" i="123"/>
  <c r="K235" i="123"/>
  <c r="K236" i="123"/>
  <c r="K237" i="123"/>
  <c r="K238" i="123"/>
  <c r="K239" i="123"/>
  <c r="K240" i="123"/>
  <c r="K241" i="123"/>
  <c r="K242" i="123"/>
  <c r="K243" i="123"/>
  <c r="K244" i="123"/>
  <c r="K245" i="123"/>
  <c r="K246" i="123"/>
  <c r="K247" i="123"/>
  <c r="K248" i="123"/>
  <c r="K249" i="123"/>
  <c r="K250" i="123"/>
  <c r="K251" i="123"/>
  <c r="K252" i="123"/>
  <c r="K253" i="123"/>
  <c r="K254" i="123"/>
  <c r="K255" i="123"/>
  <c r="K256" i="123"/>
  <c r="K257" i="123"/>
  <c r="K258" i="123"/>
  <c r="K259" i="123"/>
  <c r="K260" i="123"/>
  <c r="K261" i="123"/>
  <c r="K262" i="123"/>
  <c r="K263" i="123"/>
  <c r="K264" i="123"/>
  <c r="K265" i="123"/>
  <c r="K266" i="123"/>
  <c r="K267" i="123"/>
  <c r="K268" i="123"/>
  <c r="K269" i="123"/>
  <c r="K270" i="123"/>
  <c r="K271" i="123"/>
  <c r="K272" i="123"/>
  <c r="K273" i="123"/>
  <c r="K274" i="123"/>
  <c r="K275" i="123"/>
  <c r="K276" i="123"/>
  <c r="K277" i="123"/>
  <c r="K278" i="123"/>
  <c r="K279" i="123"/>
  <c r="K280" i="123"/>
  <c r="K281" i="123"/>
  <c r="K282" i="123"/>
  <c r="K284" i="123"/>
  <c r="K285" i="123"/>
  <c r="K286" i="123"/>
  <c r="K287" i="123"/>
  <c r="K288" i="123"/>
  <c r="K289" i="123"/>
  <c r="K290" i="123"/>
  <c r="K291" i="123"/>
  <c r="K292" i="123"/>
  <c r="K293" i="123"/>
  <c r="K294" i="123"/>
  <c r="K295" i="123"/>
  <c r="K296" i="123"/>
  <c r="K297" i="123"/>
  <c r="K298" i="123"/>
  <c r="K299" i="123"/>
  <c r="K300" i="123"/>
  <c r="K301" i="123"/>
  <c r="K302" i="123"/>
  <c r="K316" i="123"/>
  <c r="K317" i="123"/>
  <c r="K318" i="123"/>
  <c r="K319" i="123"/>
  <c r="K320" i="123"/>
  <c r="K321" i="123"/>
  <c r="K322" i="123"/>
  <c r="K336" i="123"/>
  <c r="K337" i="123"/>
  <c r="K338" i="123"/>
  <c r="K339" i="123"/>
  <c r="K340" i="123"/>
  <c r="K341" i="123"/>
  <c r="K342" i="123"/>
  <c r="K343" i="123"/>
  <c r="K344" i="123"/>
  <c r="K345" i="123"/>
  <c r="K346" i="123"/>
  <c r="K347" i="123"/>
  <c r="K348" i="123"/>
  <c r="K349" i="123"/>
  <c r="K350" i="123"/>
  <c r="K351" i="123"/>
  <c r="K352" i="123"/>
  <c r="K353" i="123"/>
  <c r="K354" i="123"/>
  <c r="K355" i="123"/>
  <c r="K356" i="123"/>
  <c r="K357" i="123"/>
  <c r="K358" i="123"/>
  <c r="K359" i="123"/>
  <c r="K360" i="123"/>
  <c r="K361" i="123"/>
  <c r="K362" i="123"/>
  <c r="K363" i="123"/>
  <c r="K364" i="123"/>
  <c r="K365" i="123"/>
  <c r="K366" i="123"/>
  <c r="K367" i="123"/>
  <c r="K368" i="123"/>
  <c r="K369" i="123"/>
  <c r="K370" i="123"/>
  <c r="K371" i="123"/>
  <c r="K372" i="123"/>
  <c r="K373" i="123"/>
  <c r="K374" i="123"/>
  <c r="K375" i="123"/>
  <c r="K376" i="123"/>
  <c r="K377" i="123"/>
  <c r="K378" i="123"/>
  <c r="K379" i="123"/>
  <c r="K380" i="123"/>
  <c r="K381" i="123"/>
  <c r="K382" i="123"/>
  <c r="K383" i="123"/>
  <c r="K384" i="123"/>
  <c r="K385" i="123"/>
  <c r="K386" i="123"/>
  <c r="K387" i="123"/>
  <c r="K388" i="123"/>
  <c r="K389" i="123"/>
  <c r="K390" i="123"/>
  <c r="K391" i="123"/>
  <c r="K392" i="123"/>
  <c r="K393" i="123"/>
  <c r="K394" i="123"/>
  <c r="K395" i="123"/>
  <c r="K396" i="123"/>
  <c r="K397" i="123"/>
  <c r="K398" i="123"/>
  <c r="K399" i="123"/>
  <c r="K400" i="123"/>
  <c r="K401" i="123"/>
  <c r="K402" i="123"/>
  <c r="K403" i="123"/>
  <c r="K404" i="123"/>
  <c r="K405" i="123"/>
  <c r="K406" i="123"/>
  <c r="K407" i="123"/>
  <c r="K408" i="123"/>
  <c r="K409" i="123"/>
  <c r="K410" i="123"/>
  <c r="K411" i="123"/>
  <c r="K412" i="123"/>
  <c r="K413" i="123"/>
  <c r="K414" i="123"/>
  <c r="K415" i="123"/>
  <c r="K416" i="123"/>
  <c r="K417" i="123"/>
  <c r="K418" i="123"/>
  <c r="K419" i="123"/>
  <c r="K420" i="123"/>
  <c r="K421" i="123"/>
  <c r="K422" i="123"/>
  <c r="K423" i="123"/>
  <c r="K424" i="123"/>
  <c r="K425" i="123"/>
  <c r="K426" i="123"/>
  <c r="K427" i="123"/>
  <c r="K428" i="123"/>
  <c r="K429" i="123"/>
  <c r="K430" i="123"/>
  <c r="K431" i="123"/>
  <c r="K432" i="123"/>
  <c r="K433" i="123"/>
  <c r="K434" i="123"/>
  <c r="K435" i="123"/>
  <c r="K436" i="123"/>
  <c r="K437" i="123"/>
  <c r="K438" i="123"/>
  <c r="K439" i="123"/>
  <c r="K440" i="123"/>
  <c r="K441" i="123"/>
  <c r="K442" i="123"/>
  <c r="K443" i="123"/>
  <c r="K444" i="123"/>
  <c r="K445" i="123"/>
  <c r="K446" i="123"/>
  <c r="K447" i="123"/>
  <c r="K448" i="123"/>
  <c r="K449" i="123"/>
  <c r="K450" i="123"/>
  <c r="K451" i="123"/>
  <c r="K452" i="123"/>
  <c r="K453" i="123"/>
  <c r="K454" i="123"/>
  <c r="K455" i="123"/>
  <c r="K456" i="123"/>
  <c r="K457" i="123"/>
  <c r="K458" i="123"/>
  <c r="K459" i="123"/>
  <c r="K460" i="123"/>
  <c r="K461" i="123"/>
  <c r="K462" i="123"/>
  <c r="K463" i="123"/>
  <c r="K464" i="123"/>
  <c r="K465" i="123"/>
  <c r="K466" i="123"/>
  <c r="K467" i="123"/>
  <c r="K468" i="123"/>
  <c r="K469" i="123"/>
  <c r="K470" i="123"/>
  <c r="K471" i="123"/>
  <c r="K472" i="123"/>
  <c r="K473" i="123"/>
  <c r="K474" i="123"/>
  <c r="K475" i="123"/>
  <c r="K476" i="123"/>
  <c r="K477" i="123"/>
  <c r="K478" i="123"/>
  <c r="K479" i="123"/>
  <c r="K480" i="123"/>
  <c r="K481" i="123"/>
  <c r="K482" i="123"/>
  <c r="K483" i="123"/>
  <c r="K484" i="123"/>
  <c r="K485" i="123"/>
  <c r="K486" i="123"/>
  <c r="K487" i="123"/>
  <c r="K488" i="123"/>
  <c r="K489" i="123"/>
  <c r="K490" i="123"/>
  <c r="K491" i="123"/>
  <c r="K492" i="123"/>
  <c r="K493" i="123"/>
  <c r="K494" i="123"/>
  <c r="K495" i="123"/>
  <c r="K496" i="123"/>
  <c r="K497" i="123"/>
  <c r="K498" i="123"/>
  <c r="K499" i="123"/>
  <c r="K500" i="123"/>
  <c r="K501" i="123"/>
  <c r="K47" i="123"/>
  <c r="K57" i="123"/>
  <c r="K67" i="123"/>
  <c r="K77" i="123"/>
  <c r="K88" i="123"/>
  <c r="K99" i="123"/>
  <c r="K110" i="123"/>
  <c r="K121" i="123"/>
  <c r="K132" i="123"/>
  <c r="K143" i="123"/>
  <c r="K154" i="123"/>
  <c r="K165" i="123"/>
  <c r="K176" i="123"/>
  <c r="K186" i="123"/>
  <c r="K196" i="123"/>
  <c r="K48" i="123"/>
  <c r="K58" i="123"/>
  <c r="K68" i="123"/>
  <c r="K78" i="123"/>
  <c r="K89" i="123"/>
  <c r="K100" i="123"/>
  <c r="K111" i="123"/>
  <c r="K122" i="123"/>
  <c r="K133" i="123"/>
  <c r="K144" i="123"/>
  <c r="K155" i="123"/>
  <c r="K166" i="123"/>
  <c r="K177" i="123"/>
  <c r="K187" i="123"/>
  <c r="K197" i="123"/>
  <c r="K49" i="123"/>
  <c r="K59" i="123"/>
  <c r="K69" i="123"/>
  <c r="K79" i="123"/>
  <c r="K90" i="123"/>
  <c r="K101" i="123"/>
  <c r="K112" i="123"/>
  <c r="K123" i="123"/>
  <c r="K134" i="123"/>
  <c r="K145" i="123"/>
  <c r="K156" i="123"/>
  <c r="K167" i="123"/>
  <c r="K178" i="123"/>
  <c r="K188" i="123"/>
  <c r="K198" i="123"/>
  <c r="K50" i="123"/>
  <c r="K60" i="123"/>
  <c r="K70" i="123"/>
  <c r="K80" i="123"/>
  <c r="K91" i="123"/>
  <c r="K102" i="123"/>
  <c r="K113" i="123"/>
  <c r="K124" i="123"/>
  <c r="K135" i="123"/>
  <c r="K146" i="123"/>
  <c r="K157" i="123"/>
  <c r="K168" i="123"/>
  <c r="K179" i="123"/>
  <c r="K189" i="123"/>
  <c r="K199" i="123"/>
  <c r="K51" i="123"/>
  <c r="K61" i="123"/>
  <c r="K71" i="123"/>
  <c r="K81" i="123"/>
  <c r="K92" i="123"/>
  <c r="K103" i="123"/>
  <c r="K114" i="123"/>
  <c r="K125" i="123"/>
  <c r="K136" i="123"/>
  <c r="K147" i="123"/>
  <c r="K158" i="123"/>
  <c r="K169" i="123"/>
  <c r="K180" i="123"/>
  <c r="K190" i="123"/>
  <c r="K200" i="123"/>
  <c r="K52" i="123"/>
  <c r="K62" i="123"/>
  <c r="K72" i="123"/>
  <c r="K82" i="123"/>
  <c r="K93" i="123"/>
  <c r="K104" i="123"/>
  <c r="K115" i="123"/>
  <c r="K126" i="123"/>
  <c r="K137" i="123"/>
  <c r="K148" i="123"/>
  <c r="K159" i="123"/>
  <c r="K170" i="123"/>
  <c r="K53" i="123"/>
  <c r="K63" i="123"/>
  <c r="K73" i="123"/>
  <c r="K83" i="123"/>
  <c r="K94" i="123"/>
  <c r="K105" i="123"/>
  <c r="K116" i="123"/>
  <c r="K127" i="123"/>
  <c r="K138" i="123"/>
  <c r="K149" i="123"/>
  <c r="K160" i="123"/>
  <c r="K171" i="123"/>
  <c r="K181" i="123"/>
  <c r="K191" i="123"/>
  <c r="K201" i="123"/>
  <c r="K54" i="123"/>
  <c r="K64" i="123"/>
  <c r="K74" i="123"/>
  <c r="K84" i="123"/>
  <c r="K95" i="123"/>
  <c r="K106" i="123"/>
  <c r="K117" i="123"/>
  <c r="K128" i="123"/>
  <c r="K139" i="123"/>
  <c r="K150" i="123"/>
  <c r="K161" i="123"/>
  <c r="K172" i="123"/>
  <c r="K182" i="123"/>
  <c r="K192" i="123"/>
  <c r="K202" i="123"/>
  <c r="K85" i="123"/>
  <c r="K96" i="123"/>
  <c r="K107" i="123"/>
  <c r="K118" i="123"/>
  <c r="K129" i="123"/>
  <c r="K140" i="123"/>
  <c r="K151" i="123"/>
  <c r="K162" i="123"/>
  <c r="K173" i="123"/>
  <c r="K183" i="123"/>
  <c r="K193" i="123"/>
  <c r="K203" i="123"/>
  <c r="K55" i="123"/>
  <c r="K65" i="123"/>
  <c r="K75" i="123"/>
  <c r="K86" i="123"/>
  <c r="K97" i="123"/>
  <c r="K108" i="123"/>
  <c r="K119" i="123"/>
  <c r="K130" i="123"/>
  <c r="K141" i="123"/>
  <c r="K152" i="123"/>
  <c r="K163" i="123"/>
  <c r="K174" i="123"/>
  <c r="K184" i="123"/>
  <c r="K194" i="123"/>
  <c r="K204" i="123"/>
  <c r="B53" i="123"/>
  <c r="B63" i="123"/>
  <c r="B73" i="123"/>
  <c r="B83" i="123"/>
  <c r="B94" i="123"/>
  <c r="B105" i="123"/>
  <c r="B116" i="123"/>
  <c r="B127" i="123"/>
  <c r="B138" i="123"/>
  <c r="B149" i="123"/>
  <c r="B160" i="123"/>
  <c r="B171" i="123"/>
  <c r="B181" i="123"/>
  <c r="B191" i="123"/>
  <c r="B201" i="123"/>
  <c r="B54" i="123"/>
  <c r="B64" i="123"/>
  <c r="B74" i="123"/>
  <c r="B84" i="123"/>
  <c r="B95" i="123"/>
  <c r="B106" i="123"/>
  <c r="B117" i="123"/>
  <c r="B128" i="123"/>
  <c r="B139" i="123"/>
  <c r="B150" i="123"/>
  <c r="B161" i="123"/>
  <c r="B172" i="123"/>
  <c r="B182" i="123"/>
  <c r="B192" i="123"/>
  <c r="B202" i="123"/>
  <c r="B49" i="123"/>
  <c r="B59" i="123"/>
  <c r="B69" i="123"/>
  <c r="B79" i="123"/>
  <c r="B90" i="123"/>
  <c r="B101" i="123"/>
  <c r="B112" i="123"/>
  <c r="B123" i="123"/>
  <c r="B134" i="123"/>
  <c r="O16" i="9"/>
  <c r="Z68" i="57"/>
  <c r="G222" i="9"/>
  <c r="AB57" i="35"/>
  <c r="R20" i="9"/>
  <c r="AB38" i="57"/>
  <c r="J13" i="28"/>
  <c r="AA60" i="57"/>
  <c r="N99" i="9"/>
  <c r="P29" i="28"/>
  <c r="Z6" i="57"/>
  <c r="X28" i="35"/>
  <c r="X36" i="57"/>
  <c r="X58" i="57"/>
  <c r="F259" i="9"/>
  <c r="C8" i="28"/>
  <c r="O546" i="9"/>
  <c r="T55" i="9"/>
  <c r="F547" i="9"/>
  <c r="T220" i="9"/>
  <c r="J423" i="9"/>
  <c r="C550" i="9"/>
  <c r="R27" i="28"/>
  <c r="M429" i="9"/>
  <c r="AB60" i="35"/>
  <c r="W10" i="35"/>
  <c r="H218" i="9"/>
  <c r="Z161" i="1"/>
  <c r="O387" i="9"/>
  <c r="P262" i="9"/>
  <c r="J3" i="28"/>
  <c r="F424" i="9"/>
  <c r="H95" i="9"/>
  <c r="F57" i="9"/>
  <c r="K257" i="9"/>
  <c r="O14" i="9"/>
  <c r="H42" i="28"/>
  <c r="N551" i="9"/>
  <c r="D60" i="9"/>
  <c r="S548" i="9"/>
  <c r="X75" i="35"/>
  <c r="Y36" i="57"/>
  <c r="B39" i="28"/>
  <c r="D10" i="28"/>
  <c r="Y78" i="57"/>
  <c r="S221" i="9"/>
  <c r="M549" i="9"/>
  <c r="H385" i="9"/>
  <c r="L41" i="28"/>
  <c r="H423" i="9"/>
  <c r="K97" i="9"/>
  <c r="Z12" i="57"/>
  <c r="N55" i="9"/>
  <c r="U387" i="9"/>
  <c r="P342" i="9"/>
  <c r="S345" i="9"/>
  <c r="I222" i="9"/>
  <c r="AB32" i="57"/>
  <c r="G424" i="9"/>
  <c r="T100" i="9"/>
  <c r="K223" i="9"/>
  <c r="K382" i="9"/>
  <c r="I100" i="9"/>
  <c r="P430" i="9"/>
  <c r="S385" i="9"/>
  <c r="K344" i="9"/>
  <c r="H12" i="28"/>
  <c r="P94" i="9"/>
  <c r="P10" i="28"/>
  <c r="B17" i="28"/>
  <c r="D223" i="9"/>
  <c r="P17" i="9"/>
  <c r="G388" i="9"/>
  <c r="Y16" i="57"/>
  <c r="M15" i="9"/>
  <c r="M58" i="9"/>
  <c r="P21" i="9"/>
  <c r="O7" i="28"/>
  <c r="H36" i="28"/>
  <c r="K381" i="9"/>
  <c r="H550" i="9"/>
  <c r="D40" i="28"/>
  <c r="O340" i="9"/>
  <c r="F44" i="28"/>
  <c r="AA78" i="35"/>
  <c r="J553" i="9"/>
  <c r="Z33" i="35"/>
  <c r="G21" i="9"/>
  <c r="O31" i="28"/>
  <c r="L223" i="9"/>
  <c r="J33" i="28"/>
  <c r="D33" i="28"/>
  <c r="AB51" i="35"/>
  <c r="J220" i="9"/>
  <c r="Y56" i="57"/>
  <c r="G342" i="9"/>
  <c r="D38" i="28"/>
  <c r="AB82" i="57"/>
  <c r="B34" i="28"/>
  <c r="D100" i="9"/>
  <c r="X68" i="57"/>
  <c r="L340" i="9"/>
  <c r="D99" i="9"/>
  <c r="G98" i="9"/>
  <c r="N98" i="9"/>
  <c r="U167" i="1"/>
  <c r="E298" i="9"/>
  <c r="T346" i="9"/>
  <c r="J222" i="9"/>
  <c r="X162" i="1"/>
  <c r="F40" i="28"/>
  <c r="X16" i="57"/>
  <c r="S551" i="9"/>
  <c r="I548" i="9"/>
  <c r="N56" i="9"/>
  <c r="G60" i="9"/>
  <c r="T161" i="1"/>
  <c r="J97" i="9"/>
  <c r="K346" i="9"/>
  <c r="X167" i="1"/>
  <c r="S54" i="9"/>
  <c r="I54" i="9"/>
  <c r="I19" i="9"/>
  <c r="T344" i="9"/>
  <c r="I18" i="9"/>
  <c r="M262" i="9"/>
  <c r="W48" i="35"/>
  <c r="AA34" i="57"/>
  <c r="X76" i="35"/>
  <c r="C7" i="28"/>
  <c r="F21" i="9"/>
  <c r="J54" i="9"/>
  <c r="Q342" i="9"/>
  <c r="L30" i="28"/>
  <c r="E340" i="9"/>
  <c r="L58" i="9"/>
  <c r="L40" i="28"/>
  <c r="I20" i="9"/>
  <c r="Z51" i="35"/>
  <c r="D426" i="9"/>
  <c r="F220" i="9"/>
  <c r="N345" i="9"/>
  <c r="E343" i="9"/>
  <c r="AA68" i="57"/>
  <c r="C21" i="9"/>
  <c r="T430" i="9"/>
  <c r="AB15" i="35"/>
  <c r="P13" i="28"/>
  <c r="O17" i="28"/>
  <c r="B6" i="28"/>
  <c r="P26" i="28"/>
  <c r="L258" i="9"/>
  <c r="L60" i="9"/>
  <c r="F37" i="28"/>
  <c r="C3" i="28"/>
  <c r="K224" i="9"/>
  <c r="P49" i="28"/>
  <c r="M219" i="9"/>
  <c r="Y42" i="57"/>
  <c r="C220" i="9"/>
  <c r="K261" i="9"/>
  <c r="Y20" i="57"/>
  <c r="M259" i="9"/>
  <c r="H27" i="28"/>
  <c r="F386" i="9"/>
  <c r="L3" i="28"/>
  <c r="J59" i="9"/>
  <c r="L32" i="28"/>
  <c r="B43" i="28"/>
  <c r="D20" i="9"/>
  <c r="Y5" i="57"/>
  <c r="B23" i="28"/>
  <c r="G14" i="28"/>
  <c r="M16" i="9"/>
  <c r="N558" i="9"/>
  <c r="M424" i="9"/>
  <c r="F10" i="28"/>
  <c r="G262" i="9"/>
  <c r="Q551" i="9"/>
  <c r="J345" i="9"/>
  <c r="R551" i="9"/>
  <c r="W9" i="35"/>
  <c r="M94" i="9"/>
  <c r="D18" i="9"/>
  <c r="M220" i="9"/>
  <c r="Q97" i="9"/>
  <c r="C30" i="28"/>
  <c r="E546" i="9"/>
  <c r="I224" i="9"/>
  <c r="H19" i="28"/>
  <c r="C60" i="9"/>
  <c r="M221" i="9"/>
  <c r="Y34" i="35"/>
  <c r="F8" i="28"/>
  <c r="S101" i="9"/>
  <c r="M217" i="9"/>
  <c r="D260" i="9"/>
  <c r="J298" i="9"/>
  <c r="Z46" i="57"/>
  <c r="N58" i="9"/>
  <c r="R7" i="28"/>
  <c r="L260" i="9"/>
  <c r="I98" i="9"/>
  <c r="Q99" i="9"/>
  <c r="Y66" i="57"/>
  <c r="U162" i="1"/>
  <c r="Q343" i="9"/>
  <c r="E258" i="9"/>
  <c r="AB9" i="35"/>
  <c r="Z24" i="35"/>
  <c r="H14" i="9"/>
  <c r="J262" i="9"/>
  <c r="H48" i="28"/>
  <c r="L5" i="28"/>
  <c r="R19" i="9"/>
  <c r="N387" i="9"/>
  <c r="J17" i="28"/>
  <c r="G15" i="9"/>
  <c r="W6" i="35"/>
  <c r="S258" i="9"/>
  <c r="Z39" i="35"/>
  <c r="O223" i="9"/>
  <c r="W165" i="1"/>
  <c r="R99" i="9"/>
  <c r="O55" i="9"/>
  <c r="AA48" i="57"/>
  <c r="E384" i="9"/>
  <c r="W76" i="35"/>
  <c r="P388" i="9"/>
  <c r="M558" i="9"/>
  <c r="E430" i="9"/>
  <c r="S340" i="9"/>
  <c r="R342" i="9"/>
  <c r="E224" i="9"/>
  <c r="E45" i="28"/>
  <c r="C10" i="28"/>
  <c r="B5" i="28"/>
  <c r="R36" i="28"/>
  <c r="P41" i="28"/>
  <c r="J387" i="9"/>
  <c r="E263" i="9"/>
  <c r="N423" i="9"/>
  <c r="Q347" i="9"/>
  <c r="D386" i="9"/>
  <c r="P33" i="28"/>
  <c r="B10" i="28"/>
  <c r="E259" i="9"/>
  <c r="H41" i="28"/>
  <c r="F21" i="28"/>
  <c r="G15" i="28"/>
  <c r="E59" i="9"/>
  <c r="E23" i="28"/>
  <c r="T547" i="9"/>
  <c r="Y76" i="35"/>
  <c r="H257" i="9"/>
  <c r="U20" i="9"/>
  <c r="C13" i="28"/>
  <c r="Z54" i="35"/>
  <c r="R25" i="28"/>
  <c r="K260" i="9"/>
  <c r="R31" i="28"/>
  <c r="D261" i="9"/>
  <c r="J95" i="9"/>
  <c r="AA28" i="35"/>
  <c r="F222" i="9"/>
  <c r="Z75" i="35"/>
  <c r="M98" i="9"/>
  <c r="Y82" i="57"/>
  <c r="C17" i="28"/>
  <c r="O43" i="28"/>
  <c r="C217" i="9"/>
  <c r="J4" i="28"/>
  <c r="X165" i="1"/>
  <c r="AA27" i="35"/>
  <c r="P57" i="9"/>
  <c r="R61" i="9"/>
  <c r="G218" i="9"/>
  <c r="R29" i="28"/>
  <c r="K388" i="9"/>
  <c r="O386" i="9"/>
  <c r="AA4" i="57"/>
  <c r="L22" i="28"/>
  <c r="X32" i="57"/>
  <c r="H551" i="9"/>
  <c r="M218" i="9"/>
  <c r="X14" i="57"/>
  <c r="F423" i="9"/>
  <c r="E100" i="9"/>
  <c r="S218" i="9"/>
  <c r="Z28" i="35"/>
  <c r="C341" i="9"/>
  <c r="W48" i="57"/>
  <c r="P345" i="9"/>
  <c r="AB46" i="35"/>
  <c r="T263" i="9"/>
  <c r="L19" i="9"/>
  <c r="X3" i="35"/>
  <c r="J224" i="9"/>
  <c r="I97" i="9"/>
  <c r="F48" i="28"/>
  <c r="AA46" i="35"/>
  <c r="T16" i="9"/>
  <c r="L549" i="9"/>
  <c r="AA82" i="57"/>
  <c r="D95" i="9"/>
  <c r="R430" i="9"/>
  <c r="R384" i="9"/>
  <c r="I553" i="9"/>
  <c r="E26" i="28"/>
  <c r="P16" i="28"/>
  <c r="U344" i="9"/>
  <c r="I429" i="9"/>
  <c r="R56" i="9"/>
  <c r="P58" i="9"/>
  <c r="C19" i="28"/>
  <c r="E22" i="28"/>
  <c r="B29" i="28"/>
  <c r="D430" i="9"/>
  <c r="H96" i="9"/>
  <c r="G347" i="9"/>
  <c r="R346" i="9"/>
  <c r="J425" i="9"/>
  <c r="E383" i="9"/>
  <c r="W64" i="57"/>
  <c r="S558" i="9"/>
  <c r="M548" i="9"/>
  <c r="T20" i="9"/>
  <c r="T388" i="9"/>
  <c r="F16" i="28"/>
  <c r="Q388" i="9"/>
  <c r="Q262" i="9"/>
  <c r="AA48" i="35"/>
  <c r="X12" i="35"/>
  <c r="L61" i="9"/>
  <c r="O4" i="28"/>
  <c r="G551" i="9"/>
  <c r="S430" i="9"/>
  <c r="D262" i="9"/>
  <c r="E14" i="9"/>
  <c r="N19" i="9"/>
  <c r="P40" i="28"/>
  <c r="H547" i="9"/>
  <c r="O6" i="28"/>
  <c r="K217" i="9"/>
  <c r="H22" i="28"/>
  <c r="N218" i="9"/>
  <c r="K258" i="9"/>
  <c r="Z26" i="57"/>
  <c r="Y12" i="57"/>
  <c r="N100" i="9"/>
  <c r="G48" i="28"/>
  <c r="Y18" i="35"/>
  <c r="O38" i="28"/>
  <c r="R381" i="9"/>
  <c r="I345" i="9"/>
  <c r="E44" i="28"/>
  <c r="X6" i="57"/>
  <c r="C387" i="9"/>
  <c r="H3" i="28"/>
  <c r="Z62" i="57"/>
  <c r="H30" i="28"/>
  <c r="Z32" i="57"/>
  <c r="C427" i="9"/>
  <c r="K383" i="9"/>
  <c r="R423" i="9"/>
  <c r="J41" i="28"/>
  <c r="L257" i="9"/>
  <c r="L48" i="28"/>
  <c r="N54" i="9"/>
  <c r="P221" i="9"/>
  <c r="N16" i="9"/>
  <c r="AB3" i="35"/>
  <c r="B18" i="28"/>
  <c r="Q21" i="9"/>
  <c r="N18" i="9"/>
  <c r="Z60" i="35"/>
  <c r="K553" i="9"/>
  <c r="G61" i="9"/>
  <c r="L59" i="9"/>
  <c r="N97" i="9"/>
  <c r="AA10" i="57"/>
  <c r="Q220" i="9"/>
  <c r="G384" i="9"/>
  <c r="Q59" i="9"/>
  <c r="Z66" i="35"/>
  <c r="Y167" i="1"/>
  <c r="F385" i="9"/>
  <c r="S59" i="9"/>
  <c r="N221" i="9"/>
  <c r="B12" i="28"/>
  <c r="S220" i="9"/>
  <c r="X36" i="35"/>
  <c r="P61" i="9"/>
  <c r="E35" i="28"/>
  <c r="H29" i="28"/>
  <c r="AA3" i="57"/>
  <c r="K101" i="9"/>
  <c r="L24" i="28"/>
  <c r="T97" i="9"/>
  <c r="D46" i="28"/>
  <c r="Y88" i="35"/>
  <c r="R261" i="9"/>
  <c r="M385" i="9"/>
  <c r="Y63" i="35"/>
  <c r="L37" i="28"/>
  <c r="AA80" i="57"/>
  <c r="E18" i="9"/>
  <c r="L385" i="9"/>
  <c r="G18" i="9"/>
  <c r="I558" i="9"/>
  <c r="Z42" i="35"/>
  <c r="O14" i="28"/>
  <c r="W85" i="35"/>
  <c r="F22" i="28"/>
  <c r="M552" i="9"/>
  <c r="Z5" i="57"/>
  <c r="N386" i="9"/>
  <c r="P18" i="28"/>
  <c r="Z28" i="57"/>
  <c r="P35" i="28"/>
  <c r="C20" i="9"/>
  <c r="H558" i="9"/>
  <c r="J257" i="9"/>
  <c r="G546" i="9"/>
  <c r="E29" i="28"/>
  <c r="O15" i="9"/>
  <c r="B27" i="28"/>
  <c r="R57" i="9"/>
  <c r="Y75" i="35"/>
  <c r="G30" i="28"/>
  <c r="O57" i="9"/>
  <c r="AA10" i="35"/>
  <c r="N260" i="9"/>
  <c r="AB75" i="35"/>
  <c r="G33" i="28"/>
  <c r="K549" i="9"/>
  <c r="Z54" i="57"/>
  <c r="E8" i="28"/>
  <c r="G257" i="9"/>
  <c r="AA36" i="57"/>
  <c r="T219" i="9"/>
  <c r="F20" i="9"/>
  <c r="AA22" i="35"/>
  <c r="AA62" i="57"/>
  <c r="D15" i="28"/>
  <c r="F11" i="28"/>
  <c r="AA6" i="35"/>
  <c r="Q101" i="9"/>
  <c r="K20" i="9"/>
  <c r="X15" i="35"/>
  <c r="S264" i="9"/>
  <c r="Y64" i="35"/>
  <c r="U347" i="9"/>
  <c r="F58" i="9"/>
  <c r="W18" i="35"/>
  <c r="P217" i="9"/>
  <c r="L14" i="28"/>
  <c r="L17" i="9"/>
  <c r="L101" i="9"/>
  <c r="H7" i="28"/>
  <c r="X64" i="35"/>
  <c r="C16" i="9"/>
  <c r="P15" i="28"/>
  <c r="C552" i="9"/>
  <c r="N298" i="9"/>
  <c r="X54" i="35"/>
  <c r="E28" i="28"/>
  <c r="L219" i="9"/>
  <c r="P346" i="9"/>
  <c r="D59" i="9"/>
  <c r="H383" i="9"/>
  <c r="AA30" i="35"/>
  <c r="O344" i="9"/>
  <c r="C57" i="9"/>
  <c r="H552" i="9"/>
  <c r="O95" i="9"/>
  <c r="D381" i="9"/>
  <c r="I425" i="9"/>
  <c r="V161" i="1"/>
  <c r="W88" i="35"/>
  <c r="C33" i="28"/>
  <c r="AA89" i="35"/>
  <c r="O220" i="9"/>
  <c r="F33" i="28"/>
  <c r="N222" i="9"/>
  <c r="AA57" i="35"/>
  <c r="D19" i="28"/>
  <c r="L17" i="28"/>
  <c r="AB6" i="35"/>
  <c r="L423" i="9"/>
  <c r="I342" i="9"/>
  <c r="K547" i="9"/>
  <c r="J21" i="9"/>
  <c r="X33" i="35"/>
  <c r="L262" i="9"/>
  <c r="T21" i="9"/>
  <c r="N259" i="9"/>
  <c r="E221" i="9"/>
  <c r="O8" i="28"/>
  <c r="AA28" i="57"/>
  <c r="C24" i="28"/>
  <c r="X18" i="57"/>
  <c r="I16" i="9"/>
  <c r="X44" i="57"/>
  <c r="J44" i="28"/>
  <c r="H341" i="9"/>
  <c r="D58" i="9"/>
  <c r="E57" i="9"/>
  <c r="R95" i="9"/>
  <c r="AB63" i="35"/>
  <c r="AA40" i="57"/>
  <c r="C5" i="28"/>
  <c r="E98" i="9"/>
  <c r="G34" i="28"/>
  <c r="AA16" i="57"/>
  <c r="S217" i="9"/>
  <c r="D11" i="28"/>
  <c r="O35" i="28"/>
  <c r="P46" i="28"/>
  <c r="I550" i="9"/>
  <c r="L343" i="9"/>
  <c r="R23" i="28"/>
  <c r="Q553" i="9"/>
  <c r="AB93" i="35"/>
  <c r="R547" i="9"/>
  <c r="G426" i="9"/>
  <c r="J40" i="28"/>
  <c r="R35" i="28"/>
  <c r="E550" i="9"/>
  <c r="P28" i="28"/>
  <c r="O20" i="9"/>
  <c r="U340" i="9"/>
  <c r="U57" i="9"/>
  <c r="H44" i="28"/>
  <c r="D94" i="9"/>
  <c r="Y52" i="35"/>
  <c r="Q546" i="9"/>
  <c r="X18" i="35"/>
  <c r="K220" i="9"/>
  <c r="G386" i="9"/>
  <c r="T423" i="9"/>
  <c r="L550" i="9"/>
  <c r="J344" i="9"/>
  <c r="D24" i="28"/>
  <c r="O5" i="28"/>
  <c r="G39" i="28"/>
  <c r="S98" i="9"/>
  <c r="S386" i="9"/>
  <c r="X10" i="35"/>
  <c r="J37" i="28"/>
  <c r="J261" i="9"/>
  <c r="F15" i="28"/>
  <c r="M96" i="9"/>
  <c r="K99" i="9"/>
  <c r="B15" i="28"/>
  <c r="AA14" i="57"/>
  <c r="D257" i="9"/>
  <c r="R94" i="9"/>
  <c r="K58" i="9"/>
  <c r="Q345" i="9"/>
  <c r="Z9" i="35"/>
  <c r="I56" i="9"/>
  <c r="G558" i="9"/>
  <c r="J19" i="28"/>
  <c r="F426" i="9"/>
  <c r="P427" i="9"/>
  <c r="T429" i="9"/>
  <c r="Q57" i="9"/>
  <c r="Y21" i="35"/>
  <c r="L56" i="9"/>
  <c r="J346" i="9"/>
  <c r="P550" i="9"/>
  <c r="O343" i="9"/>
  <c r="B36" i="28"/>
  <c r="R97" i="9"/>
  <c r="F343" i="9"/>
  <c r="L8" i="28"/>
  <c r="G427" i="9"/>
  <c r="E341" i="9"/>
  <c r="F9" i="28"/>
  <c r="O261" i="9"/>
  <c r="E21" i="28"/>
  <c r="P27" i="28"/>
  <c r="J388" i="9"/>
  <c r="X38" i="57"/>
  <c r="M426" i="9"/>
  <c r="J42" i="28"/>
  <c r="T59" i="9"/>
  <c r="X70" i="35"/>
  <c r="T164" i="1"/>
  <c r="H9" i="28"/>
  <c r="M386" i="9"/>
  <c r="F23" i="28"/>
  <c r="B3" i="28"/>
  <c r="C382" i="9"/>
  <c r="X34" i="35"/>
  <c r="AB89" i="35"/>
  <c r="S17" i="9"/>
  <c r="B42" i="28"/>
  <c r="J43" i="28"/>
  <c r="X52" i="57"/>
  <c r="J14" i="28"/>
  <c r="C94" i="9"/>
  <c r="R15" i="28"/>
  <c r="P36" i="28"/>
  <c r="Z36" i="35"/>
  <c r="H223" i="9"/>
  <c r="K14" i="9"/>
  <c r="K59" i="9"/>
  <c r="R9" i="28"/>
  <c r="P23" i="28"/>
  <c r="K218" i="9"/>
  <c r="F56" i="9"/>
  <c r="O222" i="9"/>
  <c r="N429" i="9"/>
  <c r="J17" i="9"/>
  <c r="G56" i="9"/>
  <c r="D7" i="28"/>
  <c r="R347" i="9"/>
  <c r="G101" i="9"/>
  <c r="W57" i="35"/>
  <c r="AB33" i="35"/>
  <c r="T101" i="9"/>
  <c r="D43" i="28"/>
  <c r="T218" i="9"/>
  <c r="H11" i="28"/>
  <c r="R257" i="9"/>
  <c r="R548" i="9"/>
  <c r="AA93" i="35"/>
  <c r="J259" i="9"/>
  <c r="Y93" i="35"/>
  <c r="J34" i="28"/>
  <c r="AA52" i="57"/>
  <c r="K429" i="9"/>
  <c r="M343" i="9"/>
  <c r="H54" i="9"/>
  <c r="U165" i="1"/>
  <c r="Q383" i="9"/>
  <c r="K427" i="9"/>
  <c r="AB28" i="35"/>
  <c r="L425" i="9"/>
  <c r="AA24" i="57"/>
  <c r="L427" i="9"/>
  <c r="K425" i="9"/>
  <c r="R44" i="28"/>
  <c r="U18" i="9"/>
  <c r="G219" i="9"/>
  <c r="X21" i="35"/>
  <c r="I347" i="9"/>
  <c r="F428" i="9"/>
  <c r="P428" i="9"/>
  <c r="J96" i="9"/>
  <c r="D347" i="9"/>
  <c r="G259" i="9"/>
  <c r="I219" i="9"/>
  <c r="Q298" i="9"/>
  <c r="Q222" i="9"/>
  <c r="AB24" i="57"/>
  <c r="G16" i="28"/>
  <c r="B7" i="28"/>
  <c r="E547" i="9"/>
  <c r="R47" i="28"/>
  <c r="Q426" i="9"/>
  <c r="W60" i="35"/>
  <c r="P20" i="9"/>
  <c r="L46" i="28"/>
  <c r="P11" i="28"/>
  <c r="R40" i="28"/>
  <c r="X42" i="35"/>
  <c r="G38" i="28"/>
  <c r="S346" i="9"/>
  <c r="AA24" i="35"/>
  <c r="U550" i="9"/>
  <c r="G223" i="9"/>
  <c r="W42" i="35"/>
  <c r="Z4" i="57"/>
  <c r="C101" i="9"/>
  <c r="U59" i="9"/>
  <c r="D55" i="9"/>
  <c r="H17" i="28"/>
  <c r="P12" i="28"/>
  <c r="F19" i="9"/>
  <c r="I95" i="9"/>
  <c r="G58" i="9"/>
  <c r="M550" i="9"/>
  <c r="L25" i="28"/>
  <c r="D29" i="28"/>
  <c r="W16" i="35"/>
  <c r="L15" i="9"/>
  <c r="AB20" i="57"/>
  <c r="F19" i="28"/>
  <c r="F36" i="28"/>
  <c r="F41" i="28"/>
  <c r="AB42" i="35"/>
  <c r="O98" i="9"/>
  <c r="B32" i="28"/>
  <c r="H19" i="9"/>
  <c r="H23" i="28"/>
  <c r="Z88" i="35"/>
  <c r="E11" i="28"/>
  <c r="E15" i="9"/>
  <c r="W50" i="57"/>
  <c r="Y64" i="57"/>
  <c r="R553" i="9"/>
  <c r="G220" i="9"/>
  <c r="W39" i="35"/>
  <c r="D32" i="28"/>
  <c r="C14" i="28"/>
  <c r="P96" i="9"/>
  <c r="R26" i="28"/>
  <c r="X72" i="57"/>
  <c r="C4" i="28"/>
  <c r="R387" i="9"/>
  <c r="Z64" i="35"/>
  <c r="F384" i="9"/>
  <c r="S261" i="9"/>
  <c r="L381" i="9"/>
  <c r="X20" i="57"/>
  <c r="Y51" i="35"/>
  <c r="S99" i="9"/>
  <c r="T14" i="9"/>
  <c r="F14" i="9"/>
  <c r="C218" i="9"/>
  <c r="J342" i="9"/>
  <c r="U264" i="9"/>
  <c r="M257" i="9"/>
  <c r="Q18" i="9"/>
  <c r="O264" i="9"/>
  <c r="P56" i="9"/>
  <c r="P257" i="9"/>
  <c r="F221" i="9"/>
  <c r="Q423" i="9"/>
  <c r="F14" i="28"/>
  <c r="H60" i="9"/>
  <c r="F258" i="9"/>
  <c r="G298" i="9"/>
  <c r="Z151" i="1"/>
  <c r="E260" i="9"/>
  <c r="M546" i="9"/>
  <c r="O96" i="9"/>
  <c r="R427" i="9"/>
  <c r="R100" i="9"/>
  <c r="Z20" i="57"/>
  <c r="O552" i="9"/>
  <c r="L259" i="9"/>
  <c r="H424" i="9"/>
  <c r="H343" i="9"/>
  <c r="I340" i="9"/>
  <c r="H220" i="9"/>
  <c r="X5" i="57"/>
  <c r="X64" i="57"/>
  <c r="X66" i="57"/>
  <c r="I260" i="9"/>
  <c r="J347" i="9"/>
  <c r="B47" i="28"/>
  <c r="F261" i="9"/>
  <c r="L43" i="28"/>
  <c r="I547" i="9"/>
  <c r="E38" i="28"/>
  <c r="N21" i="9"/>
  <c r="Z12" i="35"/>
  <c r="C43" i="28"/>
  <c r="G548" i="9"/>
  <c r="R558" i="9"/>
  <c r="P549" i="9"/>
  <c r="P39" i="28"/>
  <c r="B40" i="28"/>
  <c r="H33" i="28"/>
  <c r="I14" i="9"/>
  <c r="E41" i="28"/>
  <c r="Q430" i="9"/>
  <c r="D553" i="9"/>
  <c r="J48" i="28"/>
  <c r="G94" i="9"/>
  <c r="F45" i="28"/>
  <c r="P20" i="28"/>
  <c r="AA64" i="35"/>
  <c r="H40" i="28"/>
  <c r="Y48" i="57"/>
  <c r="I257" i="9"/>
  <c r="F32" i="28"/>
  <c r="G4" i="28"/>
  <c r="K60" i="9"/>
  <c r="Q263" i="9"/>
  <c r="C549" i="9"/>
  <c r="W52" i="35"/>
  <c r="F383" i="9"/>
  <c r="W16" i="57"/>
  <c r="L386" i="9"/>
  <c r="M21" i="9"/>
  <c r="J14" i="9"/>
  <c r="D9" i="28"/>
  <c r="U55" i="9"/>
  <c r="X46" i="57"/>
  <c r="I344" i="9"/>
  <c r="T550" i="9"/>
  <c r="E48" i="28"/>
  <c r="R382" i="9"/>
  <c r="W80" i="57"/>
  <c r="N427" i="9"/>
  <c r="C46" i="28"/>
  <c r="C547" i="9"/>
  <c r="F59" i="9"/>
  <c r="D221" i="9"/>
  <c r="X30" i="35"/>
  <c r="L298" i="9"/>
  <c r="Z48" i="57"/>
  <c r="R33" i="28"/>
  <c r="X27" i="35"/>
  <c r="I101" i="9"/>
  <c r="F7" i="28"/>
  <c r="L10" i="28"/>
  <c r="L13" i="28"/>
  <c r="G340" i="9"/>
  <c r="K384" i="9"/>
  <c r="C428" i="9"/>
  <c r="W78" i="35"/>
  <c r="Q223" i="9"/>
  <c r="U381" i="9"/>
  <c r="E217" i="9"/>
  <c r="G21" i="28"/>
  <c r="T340" i="9"/>
  <c r="AA6" i="57"/>
  <c r="E30" i="28"/>
  <c r="G382" i="9"/>
  <c r="R546" i="9"/>
  <c r="R224" i="9"/>
  <c r="P60" i="9"/>
  <c r="R383" i="9"/>
  <c r="L383" i="9"/>
  <c r="Q96" i="9"/>
  <c r="J429" i="9"/>
  <c r="E424" i="9"/>
  <c r="H388" i="9"/>
  <c r="X80" i="57"/>
  <c r="H57" i="9"/>
  <c r="E96" i="9"/>
  <c r="H56" i="9"/>
  <c r="I57" i="9"/>
  <c r="U19" i="9"/>
  <c r="D343" i="9"/>
  <c r="Y9" i="35"/>
  <c r="Q257" i="9"/>
  <c r="W161" i="1"/>
  <c r="R264" i="9"/>
  <c r="P34" i="28"/>
  <c r="F35" i="28"/>
  <c r="R429" i="9"/>
  <c r="AB39" i="35"/>
  <c r="D23" i="28"/>
  <c r="J21" i="28"/>
  <c r="H549" i="9"/>
  <c r="P55" i="9"/>
  <c r="I59" i="9"/>
  <c r="O33" i="28"/>
  <c r="L39" i="28"/>
  <c r="J264" i="9"/>
  <c r="X74" i="57"/>
  <c r="H55" i="9"/>
  <c r="AB46" i="57"/>
  <c r="C18" i="9"/>
  <c r="Z22" i="57"/>
  <c r="AB34" i="35"/>
  <c r="M553" i="9"/>
  <c r="L426" i="9"/>
  <c r="AB88" i="35"/>
  <c r="M258" i="9"/>
  <c r="T94" i="9"/>
  <c r="J428" i="9"/>
  <c r="I552" i="9"/>
  <c r="B44" i="28"/>
  <c r="M17" i="9"/>
  <c r="F388" i="9"/>
  <c r="O341" i="9"/>
  <c r="AB58" i="35"/>
  <c r="G44" i="28"/>
  <c r="I259" i="9"/>
  <c r="AA9" i="35"/>
  <c r="D13" i="28"/>
  <c r="S60" i="9"/>
  <c r="Q14" i="9"/>
  <c r="F4" i="28"/>
  <c r="AB58" i="57"/>
  <c r="Y89" i="35"/>
  <c r="H8" i="28"/>
  <c r="R552" i="9"/>
  <c r="H260" i="9"/>
  <c r="M99" i="9"/>
  <c r="AB44" i="57"/>
  <c r="N343" i="9"/>
  <c r="U16" i="9"/>
  <c r="X9" i="35"/>
  <c r="J384" i="9"/>
  <c r="X52" i="35"/>
  <c r="J219" i="9"/>
  <c r="T385" i="9"/>
  <c r="Y30" i="57"/>
  <c r="I17" i="9"/>
  <c r="AB28" i="57"/>
  <c r="D16" i="28"/>
  <c r="C343" i="9"/>
  <c r="R32" i="28"/>
  <c r="L94" i="9"/>
  <c r="L347" i="9"/>
  <c r="X63" i="35"/>
  <c r="Y54" i="57"/>
  <c r="D219" i="9"/>
  <c r="I261" i="9"/>
  <c r="R428" i="9"/>
  <c r="L382" i="9"/>
  <c r="H38" i="28"/>
  <c r="K428" i="9"/>
  <c r="D17" i="28"/>
  <c r="G425" i="9"/>
  <c r="W70" i="57"/>
  <c r="B16" i="28"/>
  <c r="O17" i="9"/>
  <c r="C263" i="9"/>
  <c r="H345" i="9"/>
  <c r="D14" i="28"/>
  <c r="L218" i="9"/>
  <c r="P258" i="9"/>
  <c r="N223" i="9"/>
  <c r="F550" i="9"/>
  <c r="M427" i="9"/>
  <c r="O56" i="9"/>
  <c r="S426" i="9"/>
  <c r="R221" i="9"/>
  <c r="G43" i="28"/>
  <c r="D298" i="9"/>
  <c r="D31" i="28"/>
  <c r="AA39" i="35"/>
  <c r="J39" i="28"/>
  <c r="T98" i="9"/>
  <c r="Y151" i="1"/>
  <c r="S223" i="9"/>
  <c r="L47" i="28"/>
  <c r="O257" i="9"/>
  <c r="D19" i="9"/>
  <c r="W15" i="35"/>
  <c r="Z66" i="57"/>
  <c r="Z58" i="57"/>
  <c r="G55" i="9"/>
  <c r="X76" i="57"/>
  <c r="O262" i="9"/>
  <c r="AB80" i="57"/>
  <c r="T54" i="9"/>
  <c r="P548" i="9"/>
  <c r="AA42" i="57"/>
  <c r="M97" i="9"/>
  <c r="R14" i="28"/>
  <c r="L551" i="9"/>
  <c r="P38" i="28"/>
  <c r="W54" i="35"/>
  <c r="U95" i="9"/>
  <c r="H18" i="9"/>
  <c r="G59" i="9"/>
  <c r="E32" i="28"/>
  <c r="Q264" i="9"/>
  <c r="AA34" i="35"/>
  <c r="N261" i="9"/>
  <c r="L28" i="28"/>
  <c r="O224" i="9"/>
  <c r="L388" i="9"/>
  <c r="I385" i="9"/>
  <c r="W36" i="35"/>
  <c r="O45" i="28"/>
  <c r="C28" i="28"/>
  <c r="D54" i="9"/>
  <c r="I3" i="28"/>
  <c r="O36" i="28"/>
  <c r="X57" i="35"/>
  <c r="U385" i="9"/>
  <c r="Q344" i="9"/>
  <c r="Q550" i="9"/>
  <c r="H28" i="28"/>
  <c r="L20" i="28"/>
  <c r="H26" i="28"/>
  <c r="AB18" i="35"/>
  <c r="P19" i="9"/>
  <c r="P381" i="9"/>
  <c r="T426" i="9"/>
  <c r="M387" i="9"/>
  <c r="R219" i="9"/>
  <c r="G224" i="9"/>
  <c r="F552" i="9"/>
  <c r="W3" i="35"/>
  <c r="AB64" i="35"/>
  <c r="M298" i="9"/>
  <c r="I298" i="9"/>
  <c r="G549" i="9"/>
  <c r="Z14" i="57"/>
  <c r="Y12" i="35"/>
  <c r="P218" i="9"/>
  <c r="V162" i="1"/>
  <c r="AB12" i="57"/>
  <c r="Q346" i="9"/>
  <c r="C430" i="9"/>
  <c r="G221" i="9"/>
  <c r="I21" i="9"/>
  <c r="M344" i="9"/>
  <c r="S57" i="9"/>
  <c r="J547" i="9"/>
  <c r="AB76" i="35"/>
  <c r="J15" i="28"/>
  <c r="I263" i="9"/>
  <c r="Q429" i="9"/>
  <c r="G40" i="28"/>
  <c r="AB64" i="57"/>
  <c r="E56" i="9"/>
  <c r="X2" i="35"/>
  <c r="Z18" i="35"/>
  <c r="S428" i="9"/>
  <c r="P558" i="9"/>
  <c r="S546" i="9"/>
  <c r="T162" i="1"/>
  <c r="C345" i="9"/>
  <c r="I551" i="9"/>
  <c r="Y44" i="57"/>
  <c r="E382" i="9"/>
  <c r="F27" i="28"/>
  <c r="Y30" i="35"/>
  <c r="L344" i="9"/>
  <c r="W66" i="35"/>
  <c r="W34" i="35"/>
  <c r="H347" i="9"/>
  <c r="C344" i="9"/>
  <c r="D35" i="28"/>
  <c r="E427" i="9"/>
  <c r="C346" i="9"/>
  <c r="B9" i="28"/>
  <c r="P224" i="9"/>
  <c r="Z30" i="35"/>
  <c r="S56" i="9"/>
  <c r="C260" i="9"/>
  <c r="T387" i="9"/>
  <c r="P15" i="9"/>
  <c r="E426" i="9"/>
  <c r="AB62" i="57"/>
  <c r="W75" i="35"/>
  <c r="D12" i="28"/>
  <c r="D14" i="9"/>
  <c r="Y28" i="57"/>
  <c r="J223" i="9"/>
  <c r="I546" i="9"/>
  <c r="M224" i="9"/>
  <c r="H34" i="28"/>
  <c r="Y16" i="35"/>
  <c r="Q427" i="9"/>
  <c r="F5" i="28"/>
  <c r="K98" i="9"/>
  <c r="Q217" i="9"/>
  <c r="T157" i="1"/>
  <c r="J28" i="28"/>
  <c r="E20" i="28"/>
  <c r="L553" i="9"/>
  <c r="AA75" i="35"/>
  <c r="B22" i="28"/>
  <c r="G17" i="9"/>
  <c r="B48" i="28"/>
  <c r="E27" i="28"/>
  <c r="W46" i="35"/>
  <c r="Y46" i="57"/>
  <c r="M547" i="9"/>
  <c r="P4" i="28"/>
  <c r="F101" i="9"/>
  <c r="K550" i="9"/>
  <c r="Y161" i="1"/>
  <c r="L387" i="9"/>
  <c r="P340" i="9"/>
  <c r="AA30" i="57"/>
  <c r="Q552" i="9"/>
  <c r="F298" i="9"/>
  <c r="O39" i="28"/>
  <c r="O58" i="9"/>
  <c r="C40" i="28"/>
  <c r="H387" i="9"/>
  <c r="F345" i="9"/>
  <c r="H20" i="28"/>
  <c r="Q58" i="9"/>
  <c r="L45" i="28"/>
  <c r="G29" i="28"/>
  <c r="K298" i="9"/>
  <c r="G7" i="28"/>
  <c r="J427" i="9"/>
  <c r="G20" i="9"/>
  <c r="T342" i="9"/>
  <c r="R386" i="9"/>
  <c r="S262" i="9"/>
  <c r="S387" i="9"/>
  <c r="P31" i="28"/>
  <c r="Y18" i="57"/>
  <c r="N60" i="9"/>
  <c r="O24" i="28"/>
  <c r="E14" i="28"/>
  <c r="C95" i="9"/>
  <c r="AA12" i="57"/>
  <c r="O423" i="9"/>
  <c r="J221" i="9"/>
  <c r="R17" i="28"/>
  <c r="AA8" i="57"/>
  <c r="R39" i="28"/>
  <c r="M263" i="9"/>
  <c r="C222" i="9"/>
  <c r="AA66" i="35"/>
  <c r="M381" i="9"/>
  <c r="B45" i="28"/>
  <c r="Y14" i="57"/>
  <c r="M341" i="9"/>
  <c r="AB48" i="35"/>
  <c r="P30" i="28"/>
  <c r="G97" i="9"/>
  <c r="N553" i="9"/>
  <c r="Z2" i="35"/>
  <c r="Q16" i="9"/>
  <c r="F38" i="28"/>
  <c r="U257" i="9"/>
  <c r="E16" i="9"/>
  <c r="Y58" i="35"/>
  <c r="E46" i="28"/>
  <c r="B41" i="28"/>
  <c r="AB45" i="35"/>
  <c r="H35" i="28"/>
  <c r="D264" i="9"/>
  <c r="X8" i="57"/>
  <c r="H546" i="9"/>
  <c r="C26" i="28"/>
  <c r="H39" i="28"/>
  <c r="F98" i="9"/>
  <c r="G35" i="28"/>
  <c r="Y57" i="35"/>
  <c r="G552" i="9"/>
  <c r="L261" i="9"/>
  <c r="M428" i="9"/>
  <c r="X62" i="57"/>
  <c r="H37" i="28"/>
  <c r="R259" i="9"/>
  <c r="AB5" i="57"/>
  <c r="P553" i="9"/>
  <c r="R3" i="28"/>
  <c r="S55" i="9"/>
  <c r="Q385" i="9"/>
  <c r="N549" i="9"/>
  <c r="X60" i="35"/>
  <c r="Q382" i="9"/>
  <c r="J56" i="9"/>
  <c r="Y54" i="35"/>
  <c r="J18" i="9"/>
  <c r="Y8" i="57"/>
  <c r="E381" i="9"/>
  <c r="D342" i="9"/>
  <c r="M346" i="9"/>
  <c r="C29" i="28"/>
  <c r="AA54" i="35"/>
  <c r="R220" i="9"/>
  <c r="X88" i="35"/>
  <c r="G10" i="28"/>
  <c r="H18" i="28"/>
  <c r="K262" i="9"/>
  <c r="J29" i="28"/>
  <c r="X60" i="57"/>
  <c r="AB22" i="35"/>
  <c r="F342" i="9"/>
  <c r="C553" i="9"/>
  <c r="R549" i="9"/>
  <c r="O259" i="9"/>
  <c r="H20" i="9"/>
  <c r="S427" i="9"/>
  <c r="AA38" i="57"/>
  <c r="T264" i="9"/>
  <c r="J548" i="9"/>
  <c r="V167" i="1"/>
  <c r="R8" i="28"/>
  <c r="Z63" i="35"/>
  <c r="C423" i="9"/>
  <c r="Z162" i="1"/>
  <c r="D57" i="9"/>
  <c r="O18" i="28"/>
  <c r="R21" i="9"/>
  <c r="F558" i="9"/>
  <c r="J57" i="9"/>
  <c r="L19" i="28"/>
  <c r="P3" i="28"/>
  <c r="Q341" i="9"/>
  <c r="L49" i="28"/>
  <c r="E55" i="9"/>
  <c r="G346" i="9"/>
  <c r="K343" i="9"/>
  <c r="Z64" i="57"/>
  <c r="Q549" i="9"/>
  <c r="AB6" i="57"/>
  <c r="N424" i="9"/>
  <c r="H384" i="9"/>
  <c r="U558" i="9"/>
  <c r="F18" i="28"/>
  <c r="C96" i="9"/>
  <c r="O298" i="9"/>
  <c r="W93" i="35"/>
  <c r="W2" i="35"/>
  <c r="Y46" i="35"/>
  <c r="D224" i="9"/>
  <c r="L31" i="28"/>
  <c r="Q61" i="9"/>
  <c r="C34" i="28"/>
  <c r="T259" i="9"/>
  <c r="O94" i="9"/>
  <c r="W40" i="57"/>
  <c r="E9" i="28"/>
  <c r="Z56" i="57"/>
  <c r="L20" i="9"/>
  <c r="Y3" i="57"/>
  <c r="S424" i="9"/>
  <c r="H261" i="9"/>
  <c r="J45" i="28"/>
  <c r="E5" i="28"/>
  <c r="E552" i="9"/>
  <c r="F54" i="9"/>
  <c r="H427" i="9"/>
  <c r="AA32" i="57"/>
  <c r="T151" i="1"/>
  <c r="F264" i="9"/>
  <c r="J47" i="28"/>
  <c r="F94" i="9"/>
  <c r="Z10" i="35"/>
  <c r="F46" i="28"/>
  <c r="R260" i="9"/>
  <c r="M57" i="9"/>
  <c r="P260" i="9"/>
  <c r="AA44" i="57"/>
  <c r="F28" i="28"/>
  <c r="AA46" i="57"/>
  <c r="B31" i="28"/>
  <c r="H21" i="9"/>
  <c r="W151" i="1"/>
  <c r="Q20" i="9"/>
  <c r="O61" i="9"/>
  <c r="F96" i="9"/>
  <c r="Y48" i="35"/>
  <c r="F262" i="9"/>
  <c r="J430" i="9"/>
  <c r="J55" i="9"/>
  <c r="L9" i="28"/>
  <c r="Y28" i="35"/>
  <c r="M100" i="9"/>
  <c r="B26" i="28"/>
  <c r="Y33" i="35"/>
  <c r="F344" i="9"/>
  <c r="O37" i="28"/>
  <c r="X161" i="1"/>
  <c r="AB10" i="57"/>
  <c r="U161" i="1"/>
  <c r="H101" i="9"/>
  <c r="AA20" i="57"/>
  <c r="P18" i="9"/>
  <c r="R101" i="9"/>
  <c r="P223" i="9"/>
  <c r="AA12" i="35"/>
  <c r="J24" i="28"/>
  <c r="H298" i="9"/>
  <c r="D5" i="28"/>
  <c r="X78" i="35"/>
  <c r="E558" i="9"/>
  <c r="T156" i="1"/>
  <c r="X66" i="35"/>
  <c r="B49" i="28"/>
  <c r="Q424" i="9"/>
  <c r="O19" i="28"/>
  <c r="M54" i="9"/>
  <c r="H16" i="28"/>
  <c r="R54" i="9"/>
  <c r="C425" i="9"/>
  <c r="H5" i="28"/>
  <c r="O15" i="28"/>
  <c r="D30" i="28"/>
  <c r="AB70" i="57"/>
  <c r="T258" i="9"/>
  <c r="F3" i="28"/>
  <c r="J100" i="9"/>
  <c r="X50" i="57"/>
  <c r="W164" i="1"/>
  <c r="I430" i="9"/>
  <c r="R13" i="28"/>
  <c r="U155" i="1"/>
  <c r="J426" i="9"/>
  <c r="L55" i="9"/>
  <c r="O23" i="28"/>
  <c r="P341" i="9"/>
  <c r="S425" i="9"/>
  <c r="Z93" i="35"/>
  <c r="E342" i="9"/>
  <c r="S550" i="9"/>
  <c r="Z60" i="57"/>
  <c r="L16" i="9"/>
  <c r="F387" i="9"/>
  <c r="P386" i="9"/>
  <c r="R343" i="9"/>
  <c r="Z27" i="35"/>
  <c r="C32" i="28"/>
  <c r="AB8" i="57"/>
  <c r="C97" i="9"/>
  <c r="P423" i="9"/>
  <c r="X40" i="57"/>
  <c r="P6" i="28"/>
  <c r="O101" i="9"/>
  <c r="C257" i="9"/>
  <c r="Q428" i="9"/>
  <c r="H217" i="9"/>
  <c r="R42" i="28"/>
  <c r="S94" i="9"/>
  <c r="L44" i="28"/>
  <c r="O383" i="9"/>
  <c r="L38" i="28"/>
  <c r="X48" i="57"/>
  <c r="F60" i="9"/>
  <c r="N552" i="9"/>
  <c r="H10" i="28"/>
  <c r="F218" i="9"/>
  <c r="S16" i="9"/>
  <c r="D56" i="9"/>
  <c r="P101" i="9"/>
  <c r="D37" i="28"/>
  <c r="AB66" i="57"/>
  <c r="I96" i="9"/>
  <c r="Z52" i="35"/>
  <c r="J260" i="9"/>
  <c r="AB3" i="57"/>
  <c r="D552" i="9"/>
  <c r="D61" i="9"/>
  <c r="Y66" i="35"/>
  <c r="T95" i="9"/>
  <c r="Y15" i="35"/>
  <c r="AB34" i="57"/>
  <c r="Z34" i="57"/>
  <c r="M18" i="9"/>
  <c r="N15" i="9"/>
  <c r="J30" i="28"/>
  <c r="E218" i="9"/>
  <c r="U14" i="9"/>
  <c r="I99" i="9"/>
  <c r="K423" i="9"/>
  <c r="G8" i="28"/>
  <c r="R217" i="9"/>
  <c r="C9" i="28"/>
  <c r="F382" i="9"/>
  <c r="N347" i="9"/>
  <c r="P42" i="28"/>
  <c r="D547" i="9"/>
  <c r="P385" i="9"/>
  <c r="Q98" i="9"/>
  <c r="O11" i="28"/>
  <c r="X4" i="57"/>
  <c r="J385" i="9"/>
  <c r="Q218" i="9"/>
  <c r="F548" i="9"/>
  <c r="P298" i="9"/>
  <c r="J546" i="9"/>
  <c r="F18" i="9"/>
  <c r="Y50" i="57"/>
  <c r="K558" i="9"/>
  <c r="E13" i="28"/>
  <c r="F99" i="9"/>
  <c r="E43" i="28"/>
  <c r="E19" i="9"/>
  <c r="E20" i="9"/>
  <c r="E18" i="28"/>
  <c r="S257" i="9"/>
  <c r="T382" i="9"/>
  <c r="D20" i="28"/>
  <c r="G47" i="28"/>
  <c r="E17" i="28"/>
  <c r="P425" i="9"/>
  <c r="H99" i="9"/>
  <c r="G20" i="28"/>
  <c r="W20" i="57"/>
  <c r="Y40" i="57"/>
  <c r="Z8" i="57"/>
  <c r="J550" i="9"/>
  <c r="J27" i="28"/>
  <c r="E10" i="28"/>
  <c r="V164" i="1"/>
  <c r="F16" i="9"/>
  <c r="F219" i="9"/>
  <c r="B33" i="28"/>
  <c r="X22" i="57"/>
  <c r="E94" i="9"/>
  <c r="C219" i="9"/>
  <c r="B14" i="28"/>
  <c r="U156" i="1"/>
  <c r="R14" i="9"/>
  <c r="J23" i="28"/>
  <c r="Z42" i="57"/>
  <c r="C45" i="28"/>
  <c r="O34" i="28"/>
  <c r="D3" i="28"/>
  <c r="D346" i="9"/>
  <c r="AB14" i="57"/>
  <c r="AB2" i="35"/>
  <c r="I223" i="9"/>
  <c r="H58" i="9"/>
  <c r="O29" i="28"/>
  <c r="B4" i="28"/>
  <c r="G99" i="9"/>
  <c r="G22" i="28"/>
  <c r="T153" i="1"/>
  <c r="J20" i="28"/>
  <c r="P546" i="9"/>
  <c r="T551" i="9"/>
  <c r="S259" i="9"/>
  <c r="M101" i="9"/>
  <c r="G261" i="9"/>
  <c r="N426" i="9"/>
  <c r="N217" i="9"/>
  <c r="X12" i="57"/>
  <c r="G5" i="28"/>
  <c r="R21" i="28"/>
  <c r="AA58" i="35"/>
  <c r="T56" i="9"/>
  <c r="Y22" i="35"/>
  <c r="S21" i="9"/>
  <c r="B13" i="28"/>
  <c r="H15" i="9"/>
  <c r="O9" i="28"/>
  <c r="U98" i="9"/>
  <c r="AB36" i="57"/>
  <c r="S61" i="9"/>
  <c r="AB66" i="35"/>
  <c r="O18" i="9"/>
  <c r="L7" i="28"/>
  <c r="J263" i="9"/>
  <c r="O426" i="9"/>
  <c r="L57" i="9"/>
  <c r="Y4" i="57"/>
  <c r="M551" i="9"/>
  <c r="P552" i="9"/>
  <c r="O558" i="9"/>
  <c r="X39" i="35"/>
  <c r="N57" i="9"/>
  <c r="C42" i="28"/>
  <c r="D427" i="9"/>
  <c r="F31" i="28"/>
  <c r="L34" i="28"/>
  <c r="H100" i="9"/>
  <c r="Y40" i="35"/>
  <c r="B24" i="28"/>
  <c r="G387" i="9"/>
  <c r="D97" i="9"/>
  <c r="W4" i="57"/>
  <c r="F224" i="9"/>
  <c r="F47" i="28"/>
  <c r="N430" i="9"/>
  <c r="T224" i="9"/>
  <c r="Z40" i="35"/>
  <c r="E219" i="9"/>
  <c r="U223" i="9"/>
  <c r="F55" i="9"/>
  <c r="K55" i="9"/>
  <c r="Q261" i="9"/>
  <c r="E4" i="28"/>
  <c r="O27" i="28"/>
  <c r="O551" i="9"/>
  <c r="E551" i="9"/>
  <c r="C27" i="28"/>
  <c r="M19" i="9"/>
  <c r="R55" i="9"/>
  <c r="P21" i="28"/>
  <c r="Z164" i="1"/>
  <c r="B20" i="28"/>
  <c r="L35" i="28"/>
  <c r="D15" i="9"/>
  <c r="Y34" i="57"/>
  <c r="C100" i="9"/>
  <c r="O46" i="28"/>
  <c r="C259" i="9"/>
  <c r="Q381" i="9"/>
  <c r="L428" i="9"/>
  <c r="E19" i="28"/>
  <c r="M423" i="9"/>
  <c r="U99" i="9"/>
  <c r="J552" i="9"/>
  <c r="X48" i="35"/>
  <c r="AB54" i="57"/>
  <c r="W4" i="35"/>
  <c r="R12" i="28"/>
  <c r="G54" i="9"/>
  <c r="S552" i="9"/>
  <c r="X58" i="35"/>
  <c r="G46" i="28"/>
  <c r="M56" i="9"/>
  <c r="J99" i="9"/>
  <c r="P382" i="9"/>
  <c r="D4" i="28"/>
  <c r="S95" i="9"/>
  <c r="N341" i="9"/>
  <c r="P37" i="28"/>
  <c r="Y26" i="57"/>
  <c r="P32" i="28"/>
  <c r="E428" i="9"/>
  <c r="O100" i="9"/>
  <c r="O44" i="28"/>
  <c r="C25" i="28"/>
  <c r="I58" i="9"/>
  <c r="K96" i="9"/>
  <c r="N425" i="9"/>
  <c r="G343" i="9"/>
  <c r="AB12" i="35"/>
  <c r="C17" i="9"/>
  <c r="C39" i="28"/>
  <c r="Y80" i="57"/>
  <c r="F34" i="28"/>
  <c r="H259" i="9"/>
  <c r="C385" i="9"/>
  <c r="C14" i="9"/>
  <c r="M261" i="9"/>
  <c r="R298" i="9"/>
  <c r="F257" i="9"/>
  <c r="G385" i="9"/>
  <c r="H263" i="9"/>
  <c r="H45" i="28"/>
  <c r="O99" i="9"/>
  <c r="F26" i="28"/>
  <c r="R43" i="28"/>
  <c r="F347" i="9"/>
  <c r="U151" i="1"/>
  <c r="D549" i="9"/>
  <c r="Z4" i="35"/>
  <c r="E101" i="9"/>
  <c r="Q100" i="9"/>
  <c r="N219" i="9"/>
  <c r="AB16" i="57"/>
  <c r="R45" i="28"/>
  <c r="J18" i="28"/>
  <c r="AA60" i="35"/>
  <c r="O219" i="9"/>
  <c r="F29" i="28"/>
  <c r="X56" i="57"/>
  <c r="U157" i="1"/>
  <c r="P343" i="9"/>
  <c r="L346" i="9"/>
  <c r="X24" i="57"/>
  <c r="E262" i="9"/>
  <c r="L97" i="9"/>
  <c r="T96" i="9"/>
  <c r="F551" i="9"/>
  <c r="J381" i="9"/>
  <c r="Q425" i="9"/>
  <c r="K387" i="9"/>
  <c r="O221" i="9"/>
  <c r="Z46" i="35"/>
  <c r="J20" i="9"/>
  <c r="N95" i="9"/>
  <c r="P48" i="28"/>
  <c r="L98" i="9"/>
  <c r="Y70" i="57"/>
  <c r="C23" i="28"/>
  <c r="Z89" i="35"/>
  <c r="Q260" i="9"/>
  <c r="G95" i="9"/>
  <c r="S19" i="9"/>
  <c r="Z82" i="57"/>
  <c r="R18" i="28"/>
  <c r="C261" i="9"/>
  <c r="U100" i="9"/>
  <c r="G42" i="28"/>
  <c r="Q95" i="9"/>
  <c r="P344" i="9"/>
  <c r="P14" i="9"/>
  <c r="C221" i="9"/>
  <c r="F42" i="28"/>
  <c r="J19" i="9"/>
  <c r="I383" i="9"/>
  <c r="R258" i="9"/>
  <c r="Z78" i="35"/>
  <c r="F100" i="9"/>
  <c r="Q15" i="9"/>
  <c r="O260" i="9"/>
  <c r="K551" i="9"/>
  <c r="L6" i="28"/>
  <c r="X42" i="57"/>
  <c r="C59" i="9"/>
  <c r="G14" i="9"/>
  <c r="R19" i="28"/>
  <c r="G36" i="28"/>
  <c r="AB36" i="35"/>
  <c r="X24" i="35"/>
  <c r="AA36" i="35"/>
  <c r="D98" i="9"/>
  <c r="AA4" i="35"/>
  <c r="L95" i="9"/>
  <c r="M20" i="9"/>
  <c r="L546" i="9"/>
  <c r="H428" i="9"/>
  <c r="I428" i="9"/>
  <c r="T165" i="1"/>
  <c r="AA21" i="35"/>
  <c r="I426" i="9"/>
  <c r="Z3" i="57"/>
  <c r="G16" i="9"/>
  <c r="C347" i="9"/>
  <c r="E386" i="9"/>
  <c r="C383" i="9"/>
  <c r="K426" i="9"/>
  <c r="C38" i="28"/>
  <c r="D42" i="28"/>
  <c r="AA5" i="57"/>
  <c r="P220" i="9"/>
  <c r="I382" i="9"/>
  <c r="U428" i="9"/>
  <c r="E17" i="9"/>
  <c r="E429" i="9"/>
  <c r="F17" i="28"/>
  <c r="P547" i="9"/>
  <c r="U262" i="9"/>
  <c r="R222" i="9"/>
  <c r="E31" i="28"/>
  <c r="E423" i="9"/>
  <c r="I264" i="9"/>
  <c r="D345" i="9"/>
  <c r="N382" i="9"/>
  <c r="AB78" i="57"/>
  <c r="J11" i="28"/>
  <c r="L96" i="9"/>
  <c r="AB48" i="57"/>
  <c r="C558" i="9"/>
  <c r="N385" i="9"/>
  <c r="X164" i="1"/>
  <c r="D26" i="28"/>
  <c r="AA18" i="57"/>
  <c r="D217" i="9"/>
  <c r="C223" i="9"/>
  <c r="E40" i="28"/>
  <c r="F549" i="9"/>
  <c r="E344" i="9"/>
  <c r="S341" i="9"/>
  <c r="K61" i="9"/>
  <c r="M59" i="9"/>
  <c r="C224" i="9"/>
  <c r="AB52" i="35"/>
  <c r="D44" i="28"/>
  <c r="R37" i="28"/>
  <c r="K94" i="9"/>
  <c r="C21" i="28"/>
  <c r="AB22" i="57"/>
  <c r="Z45" i="35"/>
  <c r="F97" i="9"/>
  <c r="Q259" i="9"/>
  <c r="P47" i="28"/>
  <c r="J31" i="28"/>
  <c r="K263" i="9"/>
  <c r="U552" i="9"/>
  <c r="N101" i="9"/>
  <c r="J32" i="28"/>
  <c r="I384" i="9"/>
  <c r="P384" i="9"/>
  <c r="C551" i="9"/>
  <c r="O32" i="28"/>
  <c r="Q55" i="9"/>
  <c r="P25" i="28"/>
  <c r="O26" i="28"/>
  <c r="L342" i="9"/>
  <c r="G9" i="28"/>
  <c r="H4" i="28"/>
  <c r="F340" i="9"/>
  <c r="P426" i="9"/>
  <c r="C98" i="9"/>
  <c r="J7" i="28"/>
  <c r="W40" i="35"/>
  <c r="C99" i="9"/>
  <c r="B28" i="28"/>
  <c r="O217" i="9"/>
  <c r="Y6" i="57"/>
  <c r="X54" i="57"/>
  <c r="N344" i="9"/>
  <c r="O19" i="9"/>
  <c r="T341" i="9"/>
  <c r="J558" i="9"/>
  <c r="Z165" i="1"/>
  <c r="N14" i="9"/>
  <c r="F430" i="9"/>
  <c r="B8" i="28"/>
  <c r="D45" i="28"/>
  <c r="E387" i="9"/>
  <c r="Z24" i="57"/>
  <c r="K386" i="9"/>
  <c r="R6" i="28"/>
  <c r="X78" i="57"/>
  <c r="L27" i="28"/>
  <c r="D22" i="28"/>
  <c r="AB52" i="57"/>
  <c r="H16" i="9"/>
  <c r="H15" i="28"/>
  <c r="T262" i="9"/>
  <c r="S97" i="9"/>
  <c r="C11" i="28"/>
  <c r="D49" i="28"/>
  <c r="E25" i="28"/>
  <c r="M383" i="9"/>
  <c r="O3" i="28"/>
  <c r="O12" i="28"/>
  <c r="G25" i="28"/>
  <c r="M382" i="9"/>
  <c r="T19" i="9"/>
  <c r="Q94" i="9"/>
  <c r="O429" i="9"/>
  <c r="M264" i="9"/>
  <c r="T60" i="9"/>
  <c r="Y4" i="35"/>
  <c r="S15" i="9"/>
  <c r="C384" i="9"/>
  <c r="O30" i="28"/>
  <c r="L42" i="28"/>
  <c r="R41" i="28"/>
  <c r="D429" i="9"/>
  <c r="Y162" i="1"/>
  <c r="K221" i="9"/>
  <c r="S20" i="9"/>
  <c r="Z58" i="35"/>
  <c r="E58" i="9"/>
  <c r="M95" i="9"/>
  <c r="Z36" i="57"/>
  <c r="Q56" i="9"/>
  <c r="H14" i="28"/>
  <c r="V151" i="1"/>
  <c r="U219" i="9"/>
  <c r="X151" i="1"/>
  <c r="Z3" i="35"/>
  <c r="O97" i="9"/>
  <c r="S298" i="9"/>
  <c r="AA51" i="35"/>
  <c r="U221" i="9"/>
  <c r="E16" i="28"/>
  <c r="K546" i="9"/>
  <c r="W63" i="35"/>
  <c r="E425" i="9"/>
  <c r="C548" i="9"/>
  <c r="X3" i="57"/>
  <c r="O16" i="28"/>
  <c r="K19" i="9"/>
  <c r="O28" i="28"/>
  <c r="AB68" i="57"/>
  <c r="S388" i="9"/>
  <c r="R426" i="9"/>
  <c r="M425" i="9"/>
  <c r="R46" i="28"/>
  <c r="X45" i="35"/>
  <c r="K219" i="9"/>
  <c r="J61" i="9"/>
  <c r="T61" i="9"/>
  <c r="R5" i="28"/>
  <c r="AB24" i="35"/>
  <c r="L11" i="28"/>
  <c r="G345" i="9"/>
  <c r="N263" i="9"/>
  <c r="K18" i="9"/>
  <c r="E261" i="9"/>
  <c r="X16" i="35"/>
  <c r="E347" i="9"/>
  <c r="H222" i="9"/>
  <c r="Y58" i="57"/>
  <c r="E21" i="9"/>
  <c r="R30" i="28"/>
  <c r="L99" i="9"/>
  <c r="C20" i="28"/>
  <c r="G258" i="9"/>
  <c r="R385" i="9"/>
  <c r="R58" i="9"/>
  <c r="O347" i="9"/>
  <c r="Z78" i="57"/>
  <c r="AA78" i="57"/>
  <c r="P387" i="9"/>
  <c r="G6" i="28"/>
  <c r="H430" i="9"/>
  <c r="E15" i="28"/>
  <c r="N383" i="9"/>
  <c r="H425" i="9"/>
  <c r="U426" i="9"/>
  <c r="W45" i="35"/>
  <c r="D6" i="28"/>
  <c r="P16" i="9"/>
  <c r="N224" i="9"/>
  <c r="Y22" i="57"/>
  <c r="W162" i="1"/>
  <c r="G18" i="28"/>
  <c r="G430" i="9"/>
  <c r="I388" i="9"/>
  <c r="H46" i="28"/>
  <c r="AB54" i="35"/>
  <c r="L547" i="9"/>
  <c r="H553" i="9"/>
  <c r="P5" i="28"/>
  <c r="D263" i="9"/>
  <c r="I15" i="9"/>
  <c r="I346" i="9"/>
  <c r="AB50" i="57"/>
  <c r="R24" i="28"/>
  <c r="X30" i="57"/>
  <c r="J9" i="28"/>
  <c r="T261" i="9"/>
  <c r="T217" i="9"/>
  <c r="M347" i="9"/>
  <c r="S224" i="9"/>
  <c r="H94" i="9"/>
  <c r="C340" i="9"/>
  <c r="L264" i="9"/>
  <c r="J16" i="28"/>
  <c r="S342" i="9"/>
  <c r="G263" i="9"/>
  <c r="E223" i="9"/>
  <c r="R38" i="28"/>
  <c r="W96" i="57"/>
  <c r="C6" i="28"/>
  <c r="L54" i="9"/>
  <c r="H382" i="9"/>
  <c r="T221" i="9"/>
  <c r="I424" i="9"/>
  <c r="Q387" i="9"/>
  <c r="P17" i="28"/>
  <c r="D101" i="9"/>
  <c r="T553" i="9"/>
  <c r="J12" i="28"/>
  <c r="R48" i="28"/>
  <c r="L21" i="9"/>
  <c r="J46" i="28"/>
  <c r="C18" i="28"/>
  <c r="O548" i="9"/>
  <c r="C58" i="9"/>
  <c r="E222" i="9"/>
  <c r="E220" i="9"/>
  <c r="Z80" i="57"/>
  <c r="C56" i="9"/>
  <c r="D8" i="28"/>
  <c r="Y42" i="35"/>
  <c r="Y39" i="35"/>
  <c r="Y60" i="57"/>
  <c r="C61" i="9"/>
  <c r="E42" i="28"/>
  <c r="AB60" i="57"/>
  <c r="T549" i="9"/>
  <c r="P54" i="9"/>
  <c r="H262" i="9"/>
  <c r="H264" i="9"/>
  <c r="C16" i="28"/>
  <c r="H548" i="9"/>
  <c r="G27" i="28"/>
  <c r="L548" i="9"/>
  <c r="C41" i="28"/>
  <c r="AB27" i="35"/>
  <c r="AB78" i="35"/>
  <c r="AA15" i="35"/>
  <c r="N381" i="9"/>
  <c r="R344" i="9"/>
  <c r="P219" i="9"/>
  <c r="B38" i="28"/>
  <c r="G423" i="9"/>
  <c r="D220" i="9"/>
  <c r="S96" i="9"/>
  <c r="Z38" i="57"/>
  <c r="E345" i="9"/>
  <c r="B30" i="28"/>
  <c r="X89" i="35"/>
  <c r="U61" i="9"/>
  <c r="N17" i="9"/>
  <c r="E95" i="9"/>
  <c r="Z15" i="35"/>
  <c r="J98" i="9"/>
  <c r="R425" i="9"/>
  <c r="T427" i="9"/>
  <c r="I381" i="9"/>
  <c r="H61" i="9"/>
  <c r="H342" i="9"/>
  <c r="H340" i="9"/>
  <c r="F427" i="9"/>
  <c r="G428" i="9"/>
  <c r="E36" i="28"/>
  <c r="F341" i="9"/>
  <c r="L430" i="9"/>
  <c r="D34" i="28"/>
  <c r="AA54" i="57"/>
  <c r="T260" i="9"/>
  <c r="N264" i="9"/>
  <c r="R34" i="28"/>
  <c r="J60" i="9"/>
  <c r="G12" i="28"/>
  <c r="J386" i="9"/>
  <c r="E24" i="28"/>
  <c r="K16" i="9"/>
  <c r="T99" i="9"/>
  <c r="T257" i="9"/>
  <c r="S547" i="9"/>
  <c r="O41" i="28"/>
  <c r="C264" i="9"/>
  <c r="D546" i="9"/>
  <c r="K345" i="9"/>
  <c r="D17" i="9"/>
  <c r="H24" i="28"/>
  <c r="H224" i="9"/>
  <c r="C262" i="9"/>
  <c r="F553" i="9"/>
  <c r="I218" i="9"/>
  <c r="F260" i="9"/>
  <c r="S553" i="9"/>
  <c r="C37" i="28"/>
  <c r="D18" i="28"/>
  <c r="C546" i="9"/>
  <c r="Z76" i="35"/>
  <c r="G344" i="9"/>
  <c r="J25" i="28"/>
  <c r="P261" i="9"/>
  <c r="R17" i="9"/>
  <c r="F61" i="9"/>
  <c r="L29" i="28"/>
  <c r="I217" i="9"/>
  <c r="U298" i="9"/>
  <c r="O553" i="9"/>
  <c r="U217" i="9"/>
  <c r="F12" i="28"/>
  <c r="J26" i="28"/>
  <c r="O424" i="9"/>
  <c r="L12" i="28"/>
  <c r="AA33" i="35"/>
  <c r="T552" i="9"/>
  <c r="Y24" i="35"/>
  <c r="E34" i="28"/>
  <c r="X40" i="35"/>
  <c r="Y68" i="57"/>
  <c r="D558" i="9"/>
  <c r="H13" i="28"/>
  <c r="AB21" i="35"/>
  <c r="R262" i="9"/>
  <c r="AB40" i="35"/>
  <c r="O60" i="9"/>
  <c r="D383" i="9"/>
  <c r="J15" i="9"/>
  <c r="H386" i="9"/>
  <c r="Q386" i="9"/>
  <c r="C424" i="9"/>
  <c r="H97" i="9"/>
  <c r="P551" i="9"/>
  <c r="AB30" i="35"/>
  <c r="H426" i="9"/>
  <c r="P43" i="28"/>
  <c r="O25" i="28"/>
  <c r="M430" i="9"/>
  <c r="E6" i="28"/>
  <c r="Y10" i="35"/>
  <c r="R340" i="9"/>
  <c r="C15" i="9"/>
  <c r="J38" i="28"/>
  <c r="D48" i="28"/>
  <c r="J217" i="9"/>
  <c r="P97" i="9"/>
  <c r="N61" i="9"/>
  <c r="K57" i="9"/>
  <c r="P95" i="9"/>
  <c r="O427" i="9"/>
  <c r="L558" i="9"/>
  <c r="Y36" i="35"/>
  <c r="T548" i="9"/>
  <c r="U164" i="1"/>
  <c r="Y10" i="57"/>
  <c r="L341" i="9"/>
  <c r="E3" i="28"/>
  <c r="AB26" i="57"/>
  <c r="K54" i="9"/>
  <c r="P263" i="9"/>
  <c r="B11" i="28"/>
  <c r="C31" i="28"/>
  <c r="S18" i="9"/>
  <c r="P347" i="9"/>
  <c r="N20" i="9"/>
  <c r="M61" i="9"/>
  <c r="D388" i="9"/>
  <c r="G32" i="28"/>
  <c r="E257" i="9"/>
  <c r="M14" i="9"/>
  <c r="I61" i="9"/>
  <c r="O48" i="28"/>
  <c r="Q54" i="9"/>
  <c r="R10" i="28"/>
  <c r="E548" i="9"/>
  <c r="L221" i="9"/>
  <c r="G11" i="28"/>
  <c r="Q221" i="9"/>
  <c r="J35" i="28"/>
  <c r="I262" i="9"/>
  <c r="O40" i="28"/>
  <c r="N548" i="9"/>
  <c r="Q19" i="9"/>
  <c r="I221" i="9"/>
  <c r="X82" i="57"/>
  <c r="C55" i="9"/>
  <c r="N96" i="9"/>
  <c r="J340" i="9"/>
  <c r="S219" i="9"/>
  <c r="D423" i="9"/>
  <c r="N547" i="9"/>
  <c r="T386" i="9"/>
  <c r="I386" i="9"/>
  <c r="S384" i="9"/>
  <c r="O342" i="9"/>
  <c r="M345" i="9"/>
  <c r="D385" i="9"/>
  <c r="T425" i="9"/>
  <c r="H59" i="9"/>
  <c r="W52" i="57"/>
  <c r="D259" i="9"/>
  <c r="AA56" i="57"/>
  <c r="O10" i="28"/>
  <c r="E33" i="28"/>
  <c r="X26" i="57"/>
  <c r="O382" i="9"/>
  <c r="Z30" i="57"/>
  <c r="AB4" i="57"/>
  <c r="AB10" i="35"/>
  <c r="J8" i="28"/>
  <c r="X72" i="35"/>
  <c r="T15" i="9"/>
  <c r="Y24" i="57"/>
  <c r="D96" i="9"/>
  <c r="J16" i="9"/>
  <c r="P98" i="9"/>
  <c r="Q258" i="9"/>
  <c r="D47" i="28"/>
  <c r="C381" i="9"/>
  <c r="N257" i="9"/>
  <c r="T428" i="9"/>
  <c r="L384" i="9"/>
  <c r="S344" i="9"/>
  <c r="S549" i="9"/>
  <c r="P429" i="9"/>
  <c r="G31" i="28"/>
  <c r="D340" i="9"/>
  <c r="D550" i="9"/>
  <c r="L224" i="9"/>
  <c r="N59" i="9"/>
  <c r="AA70" i="57"/>
  <c r="M55" i="9"/>
  <c r="H31" i="28"/>
  <c r="H32" i="28"/>
  <c r="T17" i="9"/>
  <c r="W33" i="35"/>
  <c r="U96" i="9"/>
  <c r="K340" i="9"/>
  <c r="E39" i="28"/>
  <c r="Y32" i="57"/>
  <c r="U259" i="9"/>
  <c r="G17" i="28"/>
  <c r="F425" i="9"/>
  <c r="R424" i="9"/>
  <c r="O20" i="28"/>
  <c r="T57" i="9"/>
  <c r="M223" i="9"/>
  <c r="Z16" i="35"/>
  <c r="X69" i="35"/>
  <c r="S222" i="9"/>
  <c r="G41" i="28"/>
  <c r="Z6" i="35"/>
  <c r="B46" i="28"/>
  <c r="E7" i="28"/>
  <c r="R28" i="28"/>
  <c r="U546" i="9"/>
  <c r="O218" i="9"/>
  <c r="O385" i="9"/>
  <c r="H25" i="28"/>
  <c r="U94" i="9"/>
  <c r="F17" i="9"/>
  <c r="M260" i="9"/>
  <c r="O345" i="9"/>
  <c r="G26" i="28"/>
  <c r="E385" i="9"/>
  <c r="B35" i="28"/>
  <c r="P19" i="28"/>
  <c r="J218" i="9"/>
  <c r="Y2" i="35"/>
  <c r="AA16" i="35"/>
  <c r="E346" i="9"/>
  <c r="F13" i="28"/>
  <c r="X46" i="35"/>
  <c r="Q60" i="9"/>
  <c r="J341" i="9"/>
  <c r="O430" i="9"/>
  <c r="E99" i="9"/>
  <c r="Q384" i="9"/>
  <c r="O428" i="9"/>
  <c r="L222" i="9"/>
  <c r="X28" i="57"/>
  <c r="R22" i="28"/>
  <c r="X93" i="35"/>
  <c r="Y164" i="1"/>
  <c r="M222" i="9"/>
  <c r="L552" i="9"/>
  <c r="J101" i="9"/>
  <c r="P8" i="28"/>
  <c r="D222" i="9"/>
  <c r="O59" i="9"/>
  <c r="D258" i="9"/>
  <c r="D28" i="28"/>
  <c r="J343" i="9"/>
  <c r="D551" i="9"/>
  <c r="R96" i="9"/>
  <c r="P264" i="9"/>
  <c r="C15" i="28"/>
  <c r="R11" i="28"/>
  <c r="P45" i="28"/>
  <c r="Z34" i="35"/>
  <c r="E549" i="9"/>
  <c r="R60" i="9"/>
  <c r="W64" i="35"/>
  <c r="D16" i="9"/>
  <c r="R16" i="28"/>
  <c r="B19" i="28"/>
  <c r="P9" i="28"/>
  <c r="X10" i="57"/>
  <c r="C35" i="28"/>
  <c r="Y52" i="57"/>
  <c r="U343" i="9"/>
  <c r="R98" i="9"/>
  <c r="J549" i="9"/>
  <c r="F30" i="28"/>
  <c r="M384" i="9"/>
  <c r="E264" i="9"/>
  <c r="I258" i="9"/>
  <c r="AA18" i="35"/>
  <c r="O381" i="9"/>
  <c r="C48" i="28"/>
  <c r="G429" i="9"/>
  <c r="K21" i="9"/>
  <c r="U101" i="9"/>
  <c r="P14" i="28"/>
  <c r="Z40" i="57"/>
  <c r="K342" i="9"/>
  <c r="S260" i="9"/>
  <c r="S423" i="9"/>
  <c r="Q558" i="9"/>
  <c r="L14" i="9"/>
  <c r="T298" i="9"/>
  <c r="O54" i="9"/>
  <c r="G381" i="9"/>
  <c r="R345" i="9"/>
  <c r="C19" i="9"/>
  <c r="G37" i="28"/>
  <c r="C54" i="9"/>
  <c r="Q219" i="9"/>
  <c r="J10" i="28"/>
  <c r="U152" i="1"/>
  <c r="C388" i="9"/>
  <c r="AA52" i="35"/>
  <c r="K385" i="9"/>
  <c r="P424" i="9"/>
  <c r="L21" i="28"/>
  <c r="F217" i="9"/>
  <c r="G24" i="28"/>
  <c r="K264" i="9"/>
  <c r="E553" i="9"/>
  <c r="I60" i="9"/>
  <c r="X51" i="35"/>
  <c r="G553" i="9"/>
  <c r="AA88" i="35"/>
  <c r="F15" i="9"/>
  <c r="AA63" i="35"/>
  <c r="Z52" i="57"/>
  <c r="X70" i="57"/>
  <c r="Y62" i="57"/>
  <c r="J58" i="9"/>
  <c r="R49" i="28"/>
  <c r="K56" i="9"/>
  <c r="G550" i="9"/>
  <c r="AA40" i="35"/>
  <c r="O21" i="9"/>
  <c r="L217" i="9"/>
  <c r="M340" i="9"/>
  <c r="W89" i="35"/>
  <c r="L424" i="9"/>
  <c r="Z18" i="57"/>
  <c r="K424" i="9"/>
  <c r="H221" i="9"/>
  <c r="G13" i="28"/>
  <c r="K548" i="9"/>
  <c r="F95" i="9"/>
  <c r="G547" i="9"/>
  <c r="T384" i="9"/>
  <c r="E388" i="9"/>
  <c r="T167" i="1"/>
  <c r="X4" i="35"/>
  <c r="N346" i="9"/>
  <c r="S343" i="9"/>
  <c r="H17" i="9"/>
  <c r="AA66" i="57"/>
  <c r="N340" i="9"/>
  <c r="D548" i="9"/>
  <c r="D39" i="28"/>
  <c r="G260" i="9"/>
  <c r="AA64" i="57"/>
  <c r="Q340" i="9"/>
  <c r="D218" i="9"/>
  <c r="E54" i="9"/>
  <c r="F43" i="28"/>
  <c r="S429" i="9"/>
  <c r="C47" i="28"/>
  <c r="K341" i="9"/>
  <c r="G341" i="9"/>
  <c r="K552" i="9"/>
  <c r="AA76" i="35"/>
  <c r="P44" i="28"/>
  <c r="O346" i="9"/>
  <c r="H346" i="9"/>
  <c r="L15" i="28"/>
  <c r="L16" i="28"/>
  <c r="J551" i="9"/>
  <c r="O547" i="9"/>
  <c r="R550" i="9"/>
  <c r="H219" i="9"/>
  <c r="M342" i="9"/>
  <c r="L36" i="28"/>
  <c r="H6" i="28"/>
  <c r="U17" i="9"/>
  <c r="R59" i="9"/>
  <c r="K95" i="9"/>
  <c r="P222" i="9"/>
  <c r="AB18" i="57"/>
  <c r="Y3" i="35"/>
  <c r="F381" i="9"/>
  <c r="AB30" i="57"/>
  <c r="C258" i="9"/>
  <c r="R4" i="28"/>
  <c r="C426" i="9"/>
  <c r="C342" i="9"/>
  <c r="O550" i="9"/>
  <c r="K222" i="9"/>
  <c r="F25" i="28"/>
  <c r="J382" i="9"/>
  <c r="P59" i="9"/>
  <c r="AA42" i="35"/>
  <c r="C12" i="28"/>
  <c r="K347" i="9"/>
  <c r="T58" i="9"/>
  <c r="F24" i="28"/>
  <c r="J5" i="28"/>
  <c r="R263" i="9"/>
  <c r="D425" i="9"/>
  <c r="C386" i="9"/>
  <c r="J36" i="28"/>
  <c r="AB42" i="57"/>
  <c r="W51" i="35"/>
  <c r="S100" i="9"/>
  <c r="Z70" i="57"/>
  <c r="J94" i="9"/>
  <c r="Y165" i="1"/>
  <c r="I94" i="9"/>
  <c r="F6" i="28"/>
  <c r="E60" i="9"/>
  <c r="N342" i="9"/>
  <c r="P100" i="9"/>
  <c r="S347" i="9"/>
  <c r="Z48" i="35"/>
  <c r="G45" i="28"/>
  <c r="D428" i="9"/>
  <c r="S58" i="9"/>
  <c r="L33" i="28"/>
  <c r="AA2" i="35"/>
  <c r="G28" i="28"/>
  <c r="R218" i="9"/>
  <c r="U153" i="1"/>
  <c r="W167" i="1"/>
  <c r="D384" i="9"/>
  <c r="Y45" i="35"/>
  <c r="T343" i="9"/>
  <c r="R341" i="9"/>
  <c r="G217" i="9"/>
  <c r="U430" i="9"/>
  <c r="T381" i="9"/>
  <c r="I220" i="9"/>
  <c r="O388" i="9"/>
  <c r="AB4" i="35"/>
  <c r="P7" i="28"/>
  <c r="AA50" i="57"/>
  <c r="R16" i="9"/>
  <c r="D27" i="28"/>
  <c r="S14" i="9"/>
  <c r="C44" i="28"/>
  <c r="U383" i="9"/>
  <c r="L345" i="9"/>
  <c r="AA45" i="35"/>
  <c r="AA22" i="57"/>
  <c r="B25" i="28"/>
  <c r="O42" i="28"/>
  <c r="D21" i="28"/>
  <c r="AA58" i="57"/>
  <c r="L23" i="28"/>
  <c r="Z22" i="35"/>
  <c r="J22" i="28"/>
  <c r="L4" i="28"/>
  <c r="D382" i="9"/>
  <c r="D344" i="9"/>
  <c r="S382" i="9"/>
  <c r="I427" i="9"/>
  <c r="H98" i="9"/>
  <c r="N550" i="9"/>
  <c r="T546" i="9"/>
  <c r="L263" i="9"/>
  <c r="O47" i="28"/>
  <c r="N428" i="9"/>
  <c r="H429" i="9"/>
  <c r="F223" i="9"/>
  <c r="L429" i="9"/>
  <c r="H43" i="28"/>
  <c r="P24" i="28"/>
  <c r="N258" i="9"/>
  <c r="X6" i="35"/>
  <c r="D41" i="28"/>
  <c r="C22" i="28"/>
  <c r="Y27" i="35"/>
  <c r="E61" i="9"/>
  <c r="Y60" i="35"/>
  <c r="X34" i="57"/>
  <c r="T558" i="9"/>
  <c r="E37" i="28"/>
  <c r="O263" i="9"/>
  <c r="N384" i="9"/>
  <c r="AB40" i="57"/>
  <c r="D25" i="28"/>
  <c r="U97" i="9"/>
  <c r="I343" i="9"/>
  <c r="F429" i="9"/>
  <c r="Y6" i="35"/>
  <c r="AB16" i="35"/>
  <c r="N388" i="9"/>
  <c r="G264" i="9"/>
  <c r="J383" i="9"/>
  <c r="R388" i="9"/>
  <c r="T155" i="1"/>
  <c r="I423" i="9"/>
  <c r="M60" i="9"/>
  <c r="O549" i="9"/>
  <c r="H21" i="28"/>
  <c r="P99" i="9"/>
  <c r="T18" i="9"/>
  <c r="F20" i="28"/>
  <c r="J258" i="9"/>
  <c r="J6" i="28"/>
  <c r="AA26" i="57"/>
  <c r="AB56" i="57"/>
  <c r="T223" i="9"/>
  <c r="R20" i="28"/>
  <c r="F546" i="9"/>
  <c r="L220" i="9"/>
  <c r="G100" i="9"/>
  <c r="O22" i="28"/>
  <c r="Z44" i="57"/>
  <c r="P22" i="28"/>
  <c r="L26" i="28"/>
  <c r="B21" i="28"/>
  <c r="K430" i="9"/>
  <c r="G19" i="9"/>
  <c r="Q224" i="9"/>
  <c r="H258" i="9"/>
  <c r="G19" i="28"/>
  <c r="T424" i="9"/>
  <c r="K259" i="9"/>
  <c r="C429" i="9"/>
  <c r="I341" i="9"/>
  <c r="G383" i="9"/>
  <c r="W12" i="35"/>
  <c r="F346" i="9"/>
  <c r="G23" i="28"/>
  <c r="Z21" i="35"/>
  <c r="H381" i="9"/>
  <c r="E12" i="28"/>
  <c r="O425" i="9"/>
  <c r="O384" i="9"/>
  <c r="K100" i="9"/>
  <c r="T345" i="9"/>
  <c r="R223" i="9"/>
  <c r="G57" i="9"/>
  <c r="I55" i="9"/>
  <c r="J424" i="9"/>
  <c r="G3" i="28"/>
  <c r="L18" i="9"/>
  <c r="Y38" i="57"/>
  <c r="C36" i="28"/>
  <c r="AA3" i="35"/>
  <c r="N262" i="9"/>
  <c r="H344" i="9"/>
  <c r="S381" i="9"/>
  <c r="D341" i="9"/>
  <c r="G96" i="9"/>
  <c r="S383" i="9"/>
  <c r="T383" i="9"/>
  <c r="H47" i="28"/>
  <c r="I549" i="9"/>
  <c r="R18" i="9"/>
  <c r="P259" i="9"/>
  <c r="Z50" i="57"/>
  <c r="O258" i="9"/>
  <c r="Q548" i="9"/>
  <c r="X22" i="35"/>
  <c r="R15" i="9"/>
  <c r="S263" i="9"/>
  <c r="B37" i="28"/>
  <c r="T152" i="1"/>
  <c r="K17" i="9"/>
  <c r="T222" i="9"/>
  <c r="F39" i="28"/>
  <c r="N546" i="9"/>
  <c r="W58" i="35"/>
  <c r="F263" i="9"/>
  <c r="L100" i="9"/>
  <c r="L18" i="28"/>
  <c r="K15" i="9"/>
  <c r="Z57" i="35"/>
  <c r="N94" i="9"/>
  <c r="E47" i="28"/>
  <c r="D21" i="9"/>
  <c r="Q17" i="9"/>
  <c r="E97" i="9"/>
  <c r="P383" i="9"/>
  <c r="Z16" i="57"/>
  <c r="U548" i="9"/>
  <c r="Q547" i="9"/>
  <c r="I387" i="9"/>
  <c r="Z10" i="57"/>
  <c r="T347" i="9"/>
  <c r="O13" i="28"/>
  <c r="Y78" i="35"/>
  <c r="M388" i="9"/>
  <c r="D387" i="9"/>
  <c r="D424" i="9"/>
  <c r="V165" i="1"/>
  <c r="D36" i="28"/>
  <c r="O21" i="28"/>
  <c r="U424" i="9"/>
  <c r="N220" i="9"/>
  <c r="V100" i="1"/>
  <c r="T32" i="1"/>
  <c r="AA142" i="1"/>
  <c r="T34" i="1"/>
  <c r="Z18" i="1"/>
  <c r="T80" i="1"/>
  <c r="X103" i="1"/>
  <c r="X58" i="1"/>
  <c r="Z25" i="57"/>
  <c r="X76" i="1"/>
  <c r="V92" i="1"/>
  <c r="Y126" i="1"/>
  <c r="X67" i="1"/>
  <c r="T83" i="1"/>
  <c r="Z142" i="1"/>
  <c r="T62" i="1"/>
  <c r="U96" i="1"/>
  <c r="X89" i="1"/>
  <c r="U79" i="1"/>
  <c r="X100" i="1"/>
  <c r="T26" i="1"/>
  <c r="T143" i="1"/>
  <c r="X13" i="1"/>
  <c r="V3" i="1"/>
  <c r="T11" i="1"/>
  <c r="Y25" i="1"/>
  <c r="Z72" i="1"/>
  <c r="Z73" i="1"/>
  <c r="X104" i="1"/>
  <c r="V64" i="1"/>
  <c r="Y26" i="1"/>
  <c r="V4" i="1"/>
  <c r="Z100" i="1"/>
  <c r="W143" i="1"/>
  <c r="U73" i="1"/>
  <c r="U62" i="1"/>
  <c r="AA59" i="1"/>
  <c r="AA65" i="1"/>
  <c r="V73" i="1"/>
  <c r="Z79" i="1"/>
  <c r="X98" i="1"/>
  <c r="Y83" i="1"/>
  <c r="V63" i="1"/>
  <c r="T77" i="1"/>
  <c r="Y92" i="1"/>
  <c r="V93" i="1"/>
  <c r="U86" i="1"/>
  <c r="W9" i="1"/>
  <c r="Y11" i="1"/>
  <c r="AB13" i="57"/>
  <c r="AA72" i="1"/>
  <c r="U18" i="1"/>
  <c r="V88" i="1"/>
  <c r="Z19" i="57"/>
  <c r="AA73" i="1"/>
  <c r="V90" i="1"/>
  <c r="Y144" i="1"/>
  <c r="Z3" i="1"/>
  <c r="W64" i="1"/>
  <c r="Z107" i="1"/>
  <c r="V77" i="1"/>
  <c r="X9" i="1"/>
  <c r="X95" i="1"/>
  <c r="W61" i="57"/>
  <c r="T27" i="1"/>
  <c r="AA81" i="1"/>
  <c r="AA100" i="1"/>
  <c r="U81" i="1"/>
  <c r="W90" i="1"/>
  <c r="T3" i="1"/>
  <c r="T20" i="1"/>
  <c r="X19" i="57"/>
  <c r="T107" i="1"/>
  <c r="U130" i="1"/>
  <c r="T110" i="1"/>
  <c r="V59" i="1"/>
  <c r="X68" i="1"/>
  <c r="U25" i="1"/>
  <c r="W107" i="1"/>
  <c r="V79" i="1"/>
  <c r="T15" i="1"/>
  <c r="AA10" i="1"/>
  <c r="T142" i="1"/>
  <c r="U31" i="1"/>
  <c r="AA122" i="1"/>
  <c r="X108" i="1"/>
  <c r="X65" i="1"/>
  <c r="Y72" i="1"/>
  <c r="Z26" i="1"/>
  <c r="AA77" i="1"/>
  <c r="U67" i="1"/>
  <c r="W75" i="1"/>
  <c r="Z99" i="1"/>
  <c r="X62" i="1"/>
  <c r="Z144" i="1"/>
  <c r="W93" i="1"/>
  <c r="V82" i="1"/>
  <c r="W65" i="1"/>
  <c r="Y68" i="1"/>
  <c r="X66" i="1"/>
  <c r="U141" i="1"/>
  <c r="T75" i="1"/>
  <c r="V124" i="1"/>
  <c r="U7" i="1"/>
  <c r="W23" i="1"/>
  <c r="Y8" i="1"/>
  <c r="T8" i="1"/>
  <c r="Y61" i="1"/>
  <c r="W14" i="1"/>
  <c r="X77" i="1"/>
  <c r="U75" i="1"/>
  <c r="X73" i="57"/>
  <c r="W140" i="1"/>
  <c r="U26" i="1"/>
  <c r="T86" i="1"/>
  <c r="X8" i="1"/>
  <c r="V108" i="1"/>
  <c r="U29" i="1"/>
  <c r="Z80" i="1"/>
  <c r="T144" i="1"/>
  <c r="Z103" i="1"/>
  <c r="Y66" i="1"/>
  <c r="T4" i="1"/>
  <c r="X86" i="1"/>
  <c r="W103" i="1"/>
  <c r="U22" i="1"/>
  <c r="T64" i="1"/>
  <c r="T73" i="1"/>
  <c r="X107" i="1"/>
  <c r="U140" i="1"/>
  <c r="W87" i="1"/>
  <c r="U10" i="1"/>
  <c r="U98" i="1"/>
  <c r="X17" i="1"/>
  <c r="X10" i="1"/>
  <c r="W79" i="1"/>
  <c r="U16" i="1"/>
  <c r="Y4" i="1"/>
  <c r="Z13" i="1"/>
  <c r="Z6" i="1"/>
  <c r="W59" i="1"/>
  <c r="W82" i="1"/>
  <c r="U142" i="1"/>
  <c r="AB31" i="57"/>
  <c r="W16" i="1"/>
  <c r="Z82" i="1"/>
  <c r="AA17" i="1"/>
  <c r="Y17" i="1"/>
  <c r="Y120" i="1"/>
  <c r="Z21" i="1"/>
  <c r="AA12" i="1"/>
  <c r="AA11" i="1"/>
  <c r="Y13" i="57"/>
  <c r="Z90" i="1"/>
  <c r="X71" i="1"/>
  <c r="V66" i="1"/>
  <c r="X63" i="1"/>
  <c r="T18" i="1"/>
  <c r="X64" i="1"/>
  <c r="V94" i="1"/>
  <c r="W4" i="1"/>
  <c r="U64" i="1"/>
  <c r="U76" i="1"/>
  <c r="X83" i="1"/>
  <c r="X5" i="1"/>
  <c r="W94" i="1"/>
  <c r="V103" i="1"/>
  <c r="T13" i="1"/>
  <c r="V22" i="1"/>
  <c r="W62" i="1"/>
  <c r="Y13" i="1"/>
  <c r="X37" i="57"/>
  <c r="U8" i="1"/>
  <c r="AA66" i="1"/>
  <c r="Y12" i="1"/>
  <c r="U15" i="1"/>
  <c r="Y27" i="1"/>
  <c r="W141" i="1"/>
  <c r="Z55" i="57"/>
  <c r="X73" i="1"/>
  <c r="T141" i="1"/>
  <c r="U144" i="1"/>
  <c r="Z66" i="1"/>
  <c r="Y84" i="1"/>
  <c r="U72" i="1"/>
  <c r="W3" i="1"/>
  <c r="V13" i="1"/>
  <c r="AA79" i="1"/>
  <c r="V75" i="1"/>
  <c r="Z9" i="1"/>
  <c r="W61" i="1"/>
  <c r="X79" i="1"/>
  <c r="X90" i="1"/>
  <c r="Y21" i="1"/>
  <c r="U65" i="1"/>
  <c r="Y107" i="1"/>
  <c r="Z143" i="1"/>
  <c r="T74" i="1"/>
  <c r="Z17" i="1"/>
  <c r="Y143" i="1"/>
  <c r="X113" i="1"/>
  <c r="Y93" i="1"/>
  <c r="X114" i="1"/>
  <c r="Y96" i="1"/>
  <c r="V24" i="1"/>
  <c r="AA67" i="57"/>
  <c r="X81" i="1"/>
  <c r="W71" i="1"/>
  <c r="T5" i="1"/>
  <c r="T7" i="1"/>
  <c r="U143" i="1"/>
  <c r="Z110" i="1"/>
  <c r="V25" i="1"/>
  <c r="Y55" i="57"/>
  <c r="X26" i="1"/>
  <c r="Z14" i="1"/>
  <c r="W144" i="1"/>
  <c r="W102" i="1"/>
  <c r="V5" i="1"/>
  <c r="X59" i="1"/>
  <c r="T16" i="1"/>
  <c r="AB61" i="57"/>
  <c r="AA104" i="1"/>
  <c r="T63" i="1"/>
  <c r="Y37" i="57"/>
  <c r="AA13" i="57"/>
  <c r="V107" i="1"/>
  <c r="Y61" i="57"/>
  <c r="T10" i="1"/>
  <c r="V141" i="1"/>
  <c r="W68" i="1"/>
  <c r="U63" i="1"/>
  <c r="AA61" i="1"/>
  <c r="AA80" i="1"/>
  <c r="Z4" i="1"/>
  <c r="AA82" i="1"/>
  <c r="X75" i="1"/>
  <c r="AA61" i="57"/>
  <c r="U112" i="1"/>
  <c r="U122" i="1"/>
  <c r="V98" i="1"/>
  <c r="U33" i="1"/>
  <c r="X19" i="1"/>
  <c r="V114" i="1"/>
  <c r="AA14" i="1"/>
  <c r="V58" i="1"/>
  <c r="V61" i="1"/>
  <c r="Y75" i="1"/>
  <c r="Y19" i="1"/>
  <c r="Z113" i="1"/>
  <c r="Z118" i="1"/>
  <c r="Y90" i="1"/>
  <c r="T140" i="1"/>
  <c r="X102" i="1"/>
  <c r="V125" i="1"/>
  <c r="U88" i="1"/>
  <c r="Y22" i="1"/>
  <c r="U116" i="1"/>
  <c r="X144" i="1"/>
  <c r="Y116" i="1"/>
  <c r="X142" i="1"/>
  <c r="T76" i="1"/>
  <c r="T14" i="1"/>
  <c r="T103" i="1"/>
  <c r="W114" i="1"/>
  <c r="Z88" i="1"/>
  <c r="Z124" i="1"/>
  <c r="U20" i="1"/>
  <c r="T19" i="1"/>
  <c r="T111" i="1"/>
  <c r="Y16" i="1"/>
  <c r="Z123" i="1"/>
  <c r="W58" i="1"/>
  <c r="Y86" i="1"/>
  <c r="X106" i="1"/>
  <c r="Y77" i="1"/>
  <c r="U3" i="1"/>
  <c r="V76" i="1"/>
  <c r="X110" i="1"/>
  <c r="V118" i="1"/>
  <c r="W142" i="1"/>
  <c r="V119" i="1"/>
  <c r="V142" i="1"/>
  <c r="V81" i="1"/>
  <c r="V87" i="1"/>
  <c r="Z19" i="1"/>
  <c r="Y95" i="1"/>
  <c r="X96" i="1"/>
  <c r="X141" i="1"/>
  <c r="Z20" i="1"/>
  <c r="Z116" i="1"/>
  <c r="AA64" i="1"/>
  <c r="W76" i="1"/>
  <c r="Y58" i="1"/>
  <c r="U11" i="1"/>
  <c r="Z102" i="1"/>
  <c r="Y10" i="1"/>
  <c r="Y65" i="1"/>
  <c r="X14" i="1"/>
  <c r="Y112" i="1"/>
  <c r="V84" i="1"/>
  <c r="U13" i="1"/>
  <c r="X15" i="1"/>
  <c r="Z126" i="1"/>
  <c r="U117" i="1"/>
  <c r="AA111" i="1"/>
  <c r="Z11" i="1"/>
  <c r="V126" i="1"/>
  <c r="U92" i="1"/>
  <c r="Y113" i="1"/>
  <c r="W77" i="1"/>
  <c r="Z86" i="1"/>
  <c r="AB67" i="57"/>
  <c r="Z5" i="1"/>
  <c r="AA15" i="1"/>
  <c r="Y73" i="1"/>
  <c r="AA62" i="1"/>
  <c r="AA119" i="1"/>
  <c r="W5" i="1"/>
  <c r="X88" i="1"/>
  <c r="U82" i="1"/>
  <c r="Y106" i="1"/>
  <c r="W18" i="1"/>
  <c r="Z15" i="1"/>
  <c r="X13" i="57"/>
  <c r="Z67" i="57"/>
  <c r="T21" i="1"/>
  <c r="U129" i="1"/>
  <c r="X120" i="1"/>
  <c r="Y119" i="1"/>
  <c r="T59" i="1"/>
  <c r="X18" i="1"/>
  <c r="W24" i="1"/>
  <c r="W25" i="1"/>
  <c r="V67" i="1"/>
  <c r="T17" i="1"/>
  <c r="T84" i="1"/>
  <c r="Y103" i="1"/>
  <c r="W89" i="1"/>
  <c r="U77" i="1"/>
  <c r="Y62" i="1"/>
  <c r="Z27" i="1"/>
  <c r="Z12" i="1"/>
  <c r="X116" i="1"/>
  <c r="X6" i="1"/>
  <c r="V72" i="1"/>
  <c r="W96" i="1"/>
  <c r="U93" i="1"/>
  <c r="AA26" i="1"/>
  <c r="V104" i="1"/>
  <c r="AA75" i="1"/>
  <c r="AA19" i="57"/>
  <c r="T69" i="1"/>
  <c r="T82" i="1"/>
  <c r="Y59" i="1"/>
  <c r="W73" i="1"/>
  <c r="T99" i="1"/>
  <c r="X61" i="1"/>
  <c r="Y67" i="1"/>
  <c r="Z141" i="1"/>
  <c r="Y82" i="1"/>
  <c r="Z108" i="1"/>
  <c r="V83" i="1"/>
  <c r="V71" i="1"/>
  <c r="W86" i="1"/>
  <c r="W99" i="1"/>
  <c r="AA13" i="1"/>
  <c r="X27" i="1"/>
  <c r="W21" i="1"/>
  <c r="W6" i="1"/>
  <c r="Y6" i="1"/>
  <c r="AB55" i="57"/>
  <c r="Y98" i="1"/>
  <c r="W80" i="1"/>
  <c r="V11" i="1"/>
  <c r="Z87" i="1"/>
  <c r="U104" i="1"/>
  <c r="X94" i="1"/>
  <c r="W104" i="1"/>
  <c r="Y5" i="1"/>
  <c r="X93" i="1"/>
  <c r="AA58" i="1"/>
  <c r="Y24" i="1"/>
  <c r="W13" i="1"/>
  <c r="U87" i="1"/>
  <c r="U66" i="1"/>
  <c r="T66" i="1"/>
  <c r="W72" i="1"/>
  <c r="Z31" i="57"/>
  <c r="V111" i="1"/>
  <c r="W123" i="1"/>
  <c r="Y71" i="1"/>
  <c r="U94" i="1"/>
  <c r="T113" i="1"/>
  <c r="T65" i="1"/>
  <c r="U12" i="1"/>
  <c r="AA84" i="1"/>
  <c r="AA37" i="57"/>
  <c r="X118" i="1"/>
  <c r="U5" i="1"/>
  <c r="Z13" i="57"/>
  <c r="Z37" i="57"/>
  <c r="V27" i="1"/>
  <c r="T61" i="1"/>
  <c r="V143" i="1"/>
  <c r="X4" i="1"/>
  <c r="T9" i="1"/>
  <c r="Y20" i="1"/>
  <c r="U125" i="1"/>
  <c r="Y67" i="57"/>
  <c r="X140" i="1"/>
  <c r="T81" i="1"/>
  <c r="AA83" i="1"/>
  <c r="AA112" i="1"/>
  <c r="T119" i="1"/>
  <c r="Y23" i="1"/>
  <c r="X119" i="1"/>
  <c r="V102" i="1"/>
  <c r="Y89" i="1"/>
  <c r="Y19" i="57"/>
  <c r="V140" i="1"/>
  <c r="V106" i="1"/>
  <c r="U71" i="1"/>
  <c r="U113" i="1"/>
  <c r="AA67" i="1"/>
  <c r="W19" i="1"/>
  <c r="V117" i="1"/>
  <c r="Z98" i="1"/>
  <c r="X143" i="1"/>
  <c r="Z65" i="1"/>
  <c r="U100" i="1"/>
  <c r="AA71" i="1"/>
  <c r="T100" i="1"/>
  <c r="V122" i="1"/>
  <c r="W111" i="1"/>
  <c r="AA140" i="1"/>
  <c r="AA103" i="1"/>
  <c r="U58" i="1"/>
  <c r="V14" i="1"/>
  <c r="W124" i="1"/>
  <c r="Z61" i="57"/>
  <c r="T67" i="1"/>
  <c r="U68" i="1"/>
  <c r="X7" i="1"/>
  <c r="U4" i="1"/>
  <c r="AA9" i="1"/>
  <c r="V8" i="1"/>
  <c r="AA123" i="1"/>
  <c r="X31" i="57"/>
  <c r="Y81" i="1"/>
  <c r="T90" i="1"/>
  <c r="AA55" i="57"/>
  <c r="X21" i="1"/>
  <c r="W27" i="1"/>
  <c r="V99" i="1"/>
  <c r="V21" i="1"/>
  <c r="Z58" i="1"/>
  <c r="X55" i="57"/>
  <c r="T88" i="1"/>
  <c r="T68" i="1"/>
  <c r="V20" i="1"/>
  <c r="W84" i="1"/>
  <c r="Z122" i="1"/>
  <c r="V86" i="1"/>
  <c r="W119" i="1"/>
  <c r="Y88" i="1"/>
  <c r="U110" i="1"/>
  <c r="AA25" i="57"/>
  <c r="AA31" i="57"/>
  <c r="Y79" i="1"/>
  <c r="Z67" i="1"/>
  <c r="Y94" i="1"/>
  <c r="AA27" i="1"/>
  <c r="AA118" i="1"/>
  <c r="Z64" i="1"/>
  <c r="X61" i="57"/>
  <c r="U61" i="1"/>
  <c r="Z76" i="1"/>
  <c r="Z125" i="1"/>
  <c r="AA126" i="1"/>
  <c r="Z112" i="1"/>
  <c r="V95" i="1"/>
  <c r="T108" i="1"/>
  <c r="U128" i="1"/>
  <c r="W88" i="1"/>
  <c r="Z59" i="1"/>
  <c r="W7" i="1"/>
  <c r="V120" i="1"/>
  <c r="T30" i="1"/>
  <c r="AA16" i="1"/>
  <c r="Y25" i="57"/>
  <c r="Y123" i="1"/>
  <c r="Y63" i="1"/>
  <c r="Z81" i="1"/>
  <c r="AA98" i="1"/>
  <c r="W95" i="1"/>
  <c r="V12" i="1"/>
  <c r="T126" i="1"/>
  <c r="T79" i="1"/>
  <c r="U132" i="1"/>
  <c r="T106" i="1"/>
  <c r="X72" i="1"/>
  <c r="AA116" i="1"/>
  <c r="W108" i="1"/>
  <c r="Z16" i="1"/>
  <c r="X84" i="1"/>
  <c r="Z77" i="1"/>
  <c r="Z68" i="1"/>
  <c r="W67" i="1"/>
  <c r="U120" i="1"/>
  <c r="V16" i="1"/>
  <c r="T124" i="1"/>
  <c r="W11" i="1"/>
  <c r="W118" i="1"/>
  <c r="X16" i="1"/>
  <c r="Z83" i="1"/>
  <c r="AA108" i="1"/>
  <c r="U83" i="1"/>
  <c r="Y104" i="1"/>
  <c r="W122" i="1"/>
  <c r="V89" i="1"/>
  <c r="Z111" i="1"/>
  <c r="X80" i="1"/>
  <c r="Y110" i="1"/>
  <c r="Z7" i="1"/>
  <c r="Y117" i="1"/>
  <c r="Y80" i="1"/>
  <c r="V68" i="1"/>
  <c r="W126" i="1"/>
  <c r="AA120" i="1"/>
  <c r="Y122" i="1"/>
  <c r="V26" i="1"/>
  <c r="U9" i="1"/>
  <c r="Z61" i="1"/>
  <c r="V65" i="1"/>
  <c r="V10" i="1"/>
  <c r="V123" i="1"/>
  <c r="T125" i="1"/>
  <c r="X125" i="1"/>
  <c r="U107" i="1"/>
  <c r="U126" i="1"/>
  <c r="U119" i="1"/>
  <c r="U102" i="1"/>
  <c r="V113" i="1"/>
  <c r="Y141" i="1"/>
  <c r="T71" i="1"/>
  <c r="W63" i="1"/>
  <c r="T104" i="1"/>
  <c r="V23" i="1"/>
  <c r="X112" i="1"/>
  <c r="U108" i="1"/>
  <c r="T102" i="1"/>
  <c r="Y142" i="1"/>
  <c r="Y31" i="57"/>
  <c r="W116" i="1"/>
  <c r="T114" i="1"/>
  <c r="W22" i="1"/>
  <c r="U89" i="1"/>
  <c r="U84" i="1"/>
  <c r="AB25" i="57"/>
  <c r="X117" i="1"/>
  <c r="Z71" i="1"/>
  <c r="X12" i="1"/>
  <c r="Y102" i="1"/>
  <c r="U59" i="1"/>
  <c r="T12" i="1"/>
  <c r="X123" i="1"/>
  <c r="Y124" i="1"/>
  <c r="V17" i="1"/>
  <c r="W67" i="57"/>
  <c r="W26" i="1"/>
  <c r="W100" i="1"/>
  <c r="Y7" i="1"/>
  <c r="T89" i="1"/>
  <c r="Z117" i="1"/>
  <c r="V144" i="1"/>
  <c r="X126" i="1"/>
  <c r="V15" i="1"/>
  <c r="X23" i="1"/>
  <c r="V62" i="1"/>
  <c r="W92" i="1"/>
  <c r="V96" i="1"/>
  <c r="AA99" i="1"/>
  <c r="U95" i="1"/>
  <c r="Y111" i="1"/>
  <c r="X67" i="57"/>
  <c r="T6" i="1"/>
  <c r="X99" i="1"/>
  <c r="X82" i="1"/>
  <c r="AA144" i="1"/>
  <c r="U19" i="1"/>
  <c r="U6" i="1"/>
  <c r="W17" i="1"/>
  <c r="X122" i="1"/>
  <c r="W8" i="1"/>
  <c r="U27" i="1"/>
  <c r="U21" i="1"/>
  <c r="AB19" i="57"/>
  <c r="T58" i="1"/>
  <c r="AB37" i="57"/>
  <c r="U24" i="1"/>
  <c r="Z104" i="1"/>
  <c r="AA76" i="1"/>
  <c r="W106" i="1"/>
  <c r="V9" i="1"/>
  <c r="W125" i="1"/>
  <c r="V110" i="1"/>
  <c r="W117" i="1"/>
  <c r="W20" i="1"/>
  <c r="Y114" i="1"/>
  <c r="Z106" i="1"/>
  <c r="Y140" i="1"/>
  <c r="U103" i="1"/>
  <c r="Z140" i="1"/>
  <c r="U17" i="1"/>
  <c r="U131" i="1"/>
  <c r="W10" i="1"/>
  <c r="U80" i="1"/>
  <c r="U23" i="1"/>
  <c r="Y15" i="1"/>
  <c r="U123" i="1"/>
  <c r="T118" i="1"/>
  <c r="U99" i="1"/>
  <c r="Z89" i="1"/>
  <c r="Z8" i="1"/>
  <c r="Z62" i="1"/>
  <c r="X87" i="1"/>
  <c r="X25" i="57"/>
  <c r="T117" i="1"/>
  <c r="U106" i="1"/>
  <c r="X25" i="1"/>
  <c r="U124" i="1"/>
  <c r="W110" i="1"/>
  <c r="U90" i="1"/>
  <c r="AA107" i="1"/>
  <c r="X11" i="1"/>
  <c r="AA113" i="1"/>
  <c r="W15" i="1"/>
  <c r="W81" i="1"/>
  <c r="V18" i="1"/>
  <c r="Z63" i="1"/>
  <c r="W113" i="1"/>
  <c r="T120" i="1"/>
  <c r="Z120" i="1"/>
  <c r="U118" i="1"/>
  <c r="T28" i="1"/>
  <c r="V19" i="1"/>
  <c r="W120" i="1"/>
  <c r="V80" i="1"/>
  <c r="V112" i="1"/>
  <c r="W12" i="1"/>
  <c r="Y9" i="1"/>
  <c r="Y3" i="1"/>
  <c r="T116" i="1"/>
  <c r="Y99" i="1"/>
  <c r="X20" i="1"/>
  <c r="Z114" i="1"/>
  <c r="W66" i="1"/>
  <c r="W98" i="1"/>
  <c r="W112" i="1"/>
  <c r="Y14" i="1"/>
  <c r="Y100" i="1"/>
  <c r="Z119" i="1"/>
  <c r="Y64" i="1"/>
  <c r="X111" i="1"/>
  <c r="U14" i="1"/>
  <c r="T122" i="1"/>
  <c r="AA124" i="1"/>
  <c r="T123" i="1"/>
  <c r="Z75" i="1"/>
  <c r="X3" i="1"/>
  <c r="T112" i="1"/>
  <c r="X22" i="1"/>
  <c r="U35" i="1"/>
  <c r="Y118" i="1"/>
  <c r="Y108" i="1"/>
  <c r="AA106" i="1"/>
  <c r="AA114" i="1"/>
  <c r="T98" i="1"/>
  <c r="V116" i="1"/>
  <c r="Y125" i="1"/>
  <c r="Y87" i="1"/>
  <c r="AA117" i="1"/>
  <c r="V6" i="1"/>
  <c r="T87" i="1"/>
  <c r="Y18" i="1"/>
  <c r="V7" i="1"/>
  <c r="Z10" i="1"/>
  <c r="W83" i="1"/>
  <c r="X124" i="1"/>
  <c r="Y76" i="1"/>
  <c r="U111" i="1"/>
  <c r="T72" i="1"/>
  <c r="U114" i="1"/>
  <c r="X92" i="1"/>
  <c r="AA125" i="1"/>
  <c r="Z84" i="1"/>
  <c r="J83" i="53"/>
  <c r="F68" i="53"/>
  <c r="G108" i="53"/>
  <c r="S27" i="53"/>
  <c r="C6" i="41"/>
  <c r="K43" i="118"/>
  <c r="J59" i="53"/>
  <c r="J52" i="53"/>
  <c r="E12" i="41"/>
  <c r="M73" i="118"/>
  <c r="N2" i="53"/>
  <c r="F51" i="53"/>
  <c r="J12" i="53"/>
  <c r="C8" i="41"/>
  <c r="K58" i="53"/>
  <c r="U67" i="53"/>
  <c r="P24" i="118"/>
  <c r="J4" i="53"/>
  <c r="G12" i="53"/>
  <c r="Y26" i="53"/>
  <c r="P60" i="118"/>
  <c r="K10" i="41"/>
  <c r="J18" i="53"/>
  <c r="G3" i="53"/>
  <c r="T19" i="53"/>
  <c r="K61" i="118"/>
  <c r="T12" i="53"/>
  <c r="G107" i="53"/>
  <c r="B4" i="41"/>
  <c r="I66" i="53"/>
  <c r="U74" i="53"/>
  <c r="O37" i="118"/>
  <c r="J35" i="53"/>
  <c r="F42" i="53"/>
  <c r="E92" i="53"/>
  <c r="U26" i="53"/>
  <c r="M7" i="118"/>
  <c r="I35" i="53"/>
  <c r="H43" i="53"/>
  <c r="H83" i="53"/>
  <c r="F36" i="118"/>
  <c r="D11" i="41"/>
  <c r="Q66" i="53"/>
  <c r="H67" i="53"/>
  <c r="E68" i="53"/>
  <c r="N59" i="53"/>
  <c r="W12" i="53"/>
  <c r="S10" i="53"/>
  <c r="F60" i="53"/>
  <c r="B15" i="41"/>
  <c r="I75" i="53"/>
  <c r="K6" i="118"/>
  <c r="AB108" i="53"/>
  <c r="G28" i="53"/>
  <c r="I34" i="53"/>
  <c r="J92" i="53"/>
  <c r="W58" i="53"/>
  <c r="K3" i="53"/>
  <c r="G44" i="53"/>
  <c r="P25" i="118"/>
  <c r="E82" i="53"/>
  <c r="I70" i="118"/>
  <c r="I58" i="53"/>
  <c r="P58" i="118"/>
  <c r="O22" i="118"/>
  <c r="F59" i="53"/>
  <c r="C10" i="41"/>
  <c r="T10" i="53"/>
  <c r="L107" i="53"/>
  <c r="B10" i="41"/>
  <c r="B6" i="41"/>
  <c r="F43" i="53"/>
  <c r="N12" i="118"/>
  <c r="Z76" i="53"/>
  <c r="H84" i="53"/>
  <c r="R108" i="53"/>
  <c r="D15" i="41"/>
  <c r="G34" i="118"/>
  <c r="P34" i="118"/>
  <c r="G55" i="118"/>
  <c r="G27" i="53"/>
  <c r="F66" i="53"/>
  <c r="K46" i="118"/>
  <c r="S18" i="53"/>
  <c r="T107" i="53"/>
  <c r="E15" i="41"/>
  <c r="E75" i="53"/>
  <c r="D5" i="41"/>
  <c r="L74" i="53"/>
  <c r="H72" i="118"/>
  <c r="H58" i="53"/>
  <c r="G18" i="53"/>
  <c r="G11" i="53"/>
  <c r="W67" i="53"/>
  <c r="F10" i="118"/>
  <c r="F20" i="53"/>
  <c r="E36" i="53"/>
  <c r="G4" i="53"/>
  <c r="AA12" i="53"/>
  <c r="E107" i="53"/>
  <c r="M52" i="118"/>
  <c r="H28" i="53"/>
  <c r="J108" i="53"/>
  <c r="Q4" i="53"/>
  <c r="U28" i="53"/>
  <c r="F61" i="118"/>
  <c r="F90" i="53"/>
  <c r="H35" i="53"/>
  <c r="J60" i="53"/>
  <c r="AB60" i="53"/>
  <c r="K12" i="53"/>
  <c r="H44" i="53"/>
  <c r="G34" i="53"/>
  <c r="O24" i="118"/>
  <c r="O26" i="53"/>
  <c r="X59" i="53"/>
  <c r="G51" i="53"/>
  <c r="H18" i="53"/>
  <c r="G26" i="53"/>
  <c r="T2" i="53"/>
  <c r="D4" i="41"/>
  <c r="O92" i="53"/>
  <c r="I52" i="53"/>
  <c r="I90" i="53"/>
  <c r="D12" i="41"/>
  <c r="T76" i="53"/>
  <c r="I16" i="118"/>
  <c r="H108" i="53"/>
  <c r="G2" i="53"/>
  <c r="H59" i="53"/>
  <c r="J52" i="118"/>
  <c r="G4" i="118"/>
  <c r="H26" i="53"/>
  <c r="F18" i="53"/>
  <c r="D6" i="41"/>
  <c r="O16" i="118"/>
  <c r="H10" i="118"/>
  <c r="I13" i="118"/>
  <c r="G36" i="53"/>
  <c r="F82" i="53"/>
  <c r="I49" i="118"/>
  <c r="M6" i="118"/>
  <c r="O11" i="53"/>
  <c r="F12" i="53"/>
  <c r="I42" i="53"/>
  <c r="D10" i="41"/>
  <c r="AA90" i="53"/>
  <c r="O4" i="118"/>
  <c r="P22" i="118"/>
  <c r="J91" i="53"/>
  <c r="H19" i="53"/>
  <c r="P3" i="53"/>
  <c r="J70" i="118"/>
  <c r="I108" i="53"/>
  <c r="K35" i="53"/>
  <c r="E35" i="53"/>
  <c r="P27" i="53"/>
  <c r="S106" i="53"/>
  <c r="H51" i="53"/>
  <c r="H12" i="53"/>
  <c r="F28" i="53"/>
  <c r="P75" i="53"/>
  <c r="K12" i="41"/>
  <c r="K73" i="118"/>
  <c r="I60" i="53"/>
  <c r="K51" i="53"/>
  <c r="N3" i="53"/>
  <c r="N92" i="53"/>
  <c r="S74" i="53"/>
  <c r="H82" i="53"/>
  <c r="G75" i="53"/>
  <c r="I28" i="53"/>
  <c r="O73" i="118"/>
  <c r="Y66" i="53"/>
  <c r="G90" i="53"/>
  <c r="J43" i="53"/>
  <c r="F58" i="53"/>
  <c r="Y67" i="53"/>
  <c r="G43" i="53"/>
  <c r="F7" i="118"/>
  <c r="G35" i="53"/>
  <c r="F92" i="53"/>
  <c r="I3" i="53"/>
  <c r="N6" i="118"/>
  <c r="V3" i="53"/>
  <c r="H3" i="53"/>
  <c r="I20" i="53"/>
  <c r="I74" i="53"/>
  <c r="N108" i="53"/>
  <c r="P36" i="118"/>
  <c r="C4" i="41"/>
  <c r="G76" i="53"/>
  <c r="I51" i="53"/>
  <c r="J40" i="118"/>
  <c r="N58" i="118"/>
  <c r="K70" i="118"/>
  <c r="F3" i="53"/>
  <c r="E66" i="53"/>
  <c r="F34" i="118"/>
  <c r="C9" i="41"/>
  <c r="AA59" i="53"/>
  <c r="F4" i="53"/>
  <c r="J82" i="53"/>
  <c r="E10" i="41"/>
  <c r="H37" i="118"/>
  <c r="F18" i="118"/>
  <c r="F75" i="53"/>
  <c r="I84" i="53"/>
  <c r="G60" i="53"/>
  <c r="S26" i="53"/>
  <c r="R28" i="53"/>
  <c r="J67" i="53"/>
  <c r="C11" i="41"/>
  <c r="E60" i="53"/>
  <c r="P52" i="118"/>
  <c r="P2" i="53"/>
  <c r="G43" i="118"/>
  <c r="H11" i="53"/>
  <c r="I67" i="53"/>
  <c r="M37" i="118"/>
  <c r="T106" i="53"/>
  <c r="L42" i="118"/>
  <c r="F52" i="53"/>
  <c r="J68" i="53"/>
  <c r="F36" i="53"/>
  <c r="L90" i="53"/>
  <c r="S12" i="53"/>
  <c r="E84" i="53"/>
  <c r="E67" i="53"/>
  <c r="K36" i="53"/>
  <c r="H13" i="118"/>
  <c r="H43" i="118"/>
  <c r="G10" i="53"/>
  <c r="G82" i="53"/>
  <c r="H2" i="53"/>
  <c r="S68" i="53"/>
  <c r="C12" i="41"/>
  <c r="T27" i="53"/>
  <c r="E34" i="53"/>
  <c r="H52" i="53"/>
  <c r="D17" i="41"/>
  <c r="AB106" i="53"/>
  <c r="N13" i="118"/>
  <c r="E74" i="53"/>
  <c r="I83" i="53"/>
  <c r="D14" i="41"/>
  <c r="AA19" i="53"/>
  <c r="K68" i="53"/>
  <c r="I26" i="53"/>
  <c r="O58" i="118"/>
  <c r="H91" i="53"/>
  <c r="F16" i="118"/>
  <c r="AB58" i="53"/>
  <c r="L76" i="53"/>
  <c r="H40" i="118"/>
  <c r="G61" i="118"/>
  <c r="F60" i="118"/>
  <c r="U19" i="53"/>
  <c r="L36" i="118"/>
  <c r="R66" i="53"/>
  <c r="J10" i="118"/>
  <c r="I10" i="53"/>
  <c r="X84" i="53"/>
  <c r="L15" i="41"/>
  <c r="V6" i="41"/>
  <c r="P12" i="118"/>
  <c r="AA92" i="53"/>
  <c r="X82" i="53"/>
  <c r="N66" i="53"/>
  <c r="V12" i="53"/>
  <c r="M18" i="53"/>
  <c r="O76" i="53"/>
  <c r="X91" i="53"/>
  <c r="J11" i="53"/>
  <c r="V14" i="41"/>
  <c r="L17" i="41"/>
  <c r="X36" i="1"/>
  <c r="P12" i="41"/>
  <c r="M16" i="118"/>
  <c r="AB59" i="53"/>
  <c r="M82" i="53"/>
  <c r="F46" i="118"/>
  <c r="AA66" i="53"/>
  <c r="K92" i="53"/>
  <c r="K60" i="118"/>
  <c r="H50" i="53"/>
  <c r="O91" i="53"/>
  <c r="K50" i="53"/>
  <c r="J84" i="53"/>
  <c r="P4" i="53"/>
  <c r="J37" i="118"/>
  <c r="O2" i="53"/>
  <c r="G18" i="118"/>
  <c r="V90" i="53"/>
  <c r="P4" i="41"/>
  <c r="T90" i="53"/>
  <c r="S11" i="53"/>
  <c r="P4" i="118"/>
  <c r="G42" i="118"/>
  <c r="V11" i="53"/>
  <c r="U6" i="41"/>
  <c r="F12" i="118"/>
  <c r="Z108" i="53"/>
  <c r="F76" i="53"/>
  <c r="F26" i="53"/>
  <c r="W107" i="53"/>
  <c r="X4" i="53"/>
  <c r="X13" i="41"/>
  <c r="U27" i="53"/>
  <c r="J27" i="53"/>
  <c r="N68" i="53"/>
  <c r="R75" i="53"/>
  <c r="K18" i="118"/>
  <c r="T17" i="41"/>
  <c r="W83" i="53"/>
  <c r="X107" i="53"/>
  <c r="M72" i="118"/>
  <c r="Q3" i="53"/>
  <c r="P58" i="53"/>
  <c r="U11" i="53"/>
  <c r="H4" i="53"/>
  <c r="L40" i="118"/>
  <c r="M10" i="53"/>
  <c r="H16" i="118"/>
  <c r="K10" i="118"/>
  <c r="N61" i="118"/>
  <c r="L4" i="41"/>
  <c r="P19" i="53"/>
  <c r="V13" i="41"/>
  <c r="AA60" i="53"/>
  <c r="K12" i="118"/>
  <c r="Y18" i="53"/>
  <c r="S14" i="41"/>
  <c r="K17" i="41"/>
  <c r="K66" i="53"/>
  <c r="AA106" i="53"/>
  <c r="E42" i="53"/>
  <c r="W7" i="41"/>
  <c r="AB90" i="53"/>
  <c r="N49" i="118"/>
  <c r="M91" i="53"/>
  <c r="B9" i="41"/>
  <c r="W59" i="53"/>
  <c r="S91" i="53"/>
  <c r="N10" i="41"/>
  <c r="AA75" i="53"/>
  <c r="Z19" i="53"/>
  <c r="AB2" i="53"/>
  <c r="J46" i="118"/>
  <c r="K13" i="118"/>
  <c r="F19" i="53"/>
  <c r="H61" i="118"/>
  <c r="H55" i="118"/>
  <c r="F72" i="118"/>
  <c r="X28" i="53"/>
  <c r="J72" i="118"/>
  <c r="V36" i="1"/>
  <c r="Q108" i="53"/>
  <c r="V108" i="53"/>
  <c r="O10" i="53"/>
  <c r="B12" i="41"/>
  <c r="L72" i="118"/>
  <c r="S59" i="53"/>
  <c r="U17" i="41"/>
  <c r="Y68" i="53"/>
  <c r="F49" i="118"/>
  <c r="K52" i="53"/>
  <c r="K74" i="53"/>
  <c r="P108" i="53"/>
  <c r="M14" i="41"/>
  <c r="X3" i="53"/>
  <c r="P74" i="53"/>
  <c r="M59" i="53"/>
  <c r="W3" i="53"/>
  <c r="O6" i="118"/>
  <c r="Z10" i="53"/>
  <c r="K44" i="53"/>
  <c r="L60" i="53"/>
  <c r="O108" i="53"/>
  <c r="G70" i="118"/>
  <c r="C15" i="41"/>
  <c r="G72" i="118"/>
  <c r="K76" i="53"/>
  <c r="H76" i="53"/>
  <c r="L92" i="53"/>
  <c r="AA82" i="53"/>
  <c r="V84" i="53"/>
  <c r="H49" i="118"/>
  <c r="K90" i="53"/>
  <c r="U58" i="53"/>
  <c r="U18" i="53"/>
  <c r="H46" i="118"/>
  <c r="O3" i="53"/>
  <c r="F34" i="53"/>
  <c r="U76" i="53"/>
  <c r="R92" i="53"/>
  <c r="K4" i="41"/>
  <c r="Q12" i="41"/>
  <c r="Z91" i="53"/>
  <c r="I92" i="53"/>
  <c r="K75" i="53"/>
  <c r="Z36" i="1"/>
  <c r="X75" i="53"/>
  <c r="T12" i="41"/>
  <c r="G58" i="118"/>
  <c r="B17" i="41"/>
  <c r="X60" i="53"/>
  <c r="K7" i="41"/>
  <c r="X74" i="53"/>
  <c r="E43" i="53"/>
  <c r="O72" i="118"/>
  <c r="V92" i="53"/>
  <c r="G46" i="118"/>
  <c r="V59" i="53"/>
  <c r="I10" i="118"/>
  <c r="N91" i="53"/>
  <c r="N90" i="53"/>
  <c r="V19" i="53"/>
  <c r="R90" i="53"/>
  <c r="AB4" i="53"/>
  <c r="S20" i="53"/>
  <c r="M58" i="53"/>
  <c r="X12" i="53"/>
  <c r="J5" i="41"/>
  <c r="G42" i="53"/>
  <c r="L58" i="53"/>
  <c r="Q76" i="53"/>
  <c r="V76" i="53"/>
  <c r="L68" i="53"/>
  <c r="S28" i="53"/>
  <c r="W66" i="53"/>
  <c r="U59" i="53"/>
  <c r="Z92" i="53"/>
  <c r="V11" i="41"/>
  <c r="R4" i="41"/>
  <c r="I7" i="118"/>
  <c r="L66" i="53"/>
  <c r="P28" i="53"/>
  <c r="L6" i="118"/>
  <c r="Q11" i="53"/>
  <c r="H42" i="53"/>
  <c r="Z28" i="53"/>
  <c r="F48" i="118"/>
  <c r="O60" i="53"/>
  <c r="Y28" i="53"/>
  <c r="J58" i="118"/>
  <c r="J28" i="53"/>
  <c r="J18" i="118"/>
  <c r="O4" i="53"/>
  <c r="L18" i="53"/>
  <c r="P70" i="118"/>
  <c r="Y90" i="53"/>
  <c r="M61" i="118"/>
  <c r="Y83" i="53"/>
  <c r="M74" i="53"/>
  <c r="K72" i="118"/>
  <c r="F84" i="53"/>
  <c r="O43" i="118"/>
  <c r="T26" i="53"/>
  <c r="F54" i="118"/>
  <c r="I43" i="118"/>
  <c r="M76" i="53"/>
  <c r="M49" i="118"/>
  <c r="AA26" i="53"/>
  <c r="R7" i="41"/>
  <c r="W17" i="41"/>
  <c r="V107" i="53"/>
  <c r="AB76" i="53"/>
  <c r="W91" i="53"/>
  <c r="V20" i="53"/>
  <c r="L28" i="53"/>
  <c r="L60" i="118"/>
  <c r="H27" i="53"/>
  <c r="L52" i="118"/>
  <c r="L106" i="53"/>
  <c r="K42" i="118"/>
  <c r="J42" i="118"/>
  <c r="AB3" i="53"/>
  <c r="U82" i="53"/>
  <c r="H36" i="53"/>
  <c r="R84" i="53"/>
  <c r="E44" i="53"/>
  <c r="L18" i="118"/>
  <c r="F91" i="53"/>
  <c r="S76" i="53"/>
  <c r="O67" i="53"/>
  <c r="N13" i="41"/>
  <c r="U68" i="53"/>
  <c r="Z75" i="53"/>
  <c r="Q18" i="53"/>
  <c r="M4" i="118"/>
  <c r="E8" i="41"/>
  <c r="X11" i="53"/>
  <c r="M2" i="53"/>
  <c r="K27" i="53"/>
  <c r="G67" i="53"/>
  <c r="Q92" i="53"/>
  <c r="K4" i="53"/>
  <c r="V106" i="53"/>
  <c r="U83" i="53"/>
  <c r="S58" i="53"/>
  <c r="I54" i="118"/>
  <c r="U84" i="53"/>
  <c r="U91" i="53"/>
  <c r="Q75" i="53"/>
  <c r="H66" i="53"/>
  <c r="Q107" i="53"/>
  <c r="N107" i="53"/>
  <c r="J61" i="118"/>
  <c r="K10" i="53"/>
  <c r="U12" i="53"/>
  <c r="U75" i="53"/>
  <c r="J10" i="53"/>
  <c r="F106" i="53"/>
  <c r="L59" i="53"/>
  <c r="L6" i="41"/>
  <c r="N54" i="118"/>
  <c r="O54" i="118"/>
  <c r="G52" i="53"/>
  <c r="H20" i="53"/>
  <c r="M67" i="53"/>
  <c r="T36" i="1"/>
  <c r="O34" i="118"/>
  <c r="B13" i="41"/>
  <c r="B8" i="41"/>
  <c r="U2" i="53"/>
  <c r="O10" i="118"/>
  <c r="D13" i="41"/>
  <c r="P84" i="53"/>
  <c r="V58" i="53"/>
  <c r="K43" i="53"/>
  <c r="B11" i="41"/>
  <c r="L11" i="41"/>
  <c r="O58" i="53"/>
  <c r="S66" i="53"/>
  <c r="P42" i="118"/>
  <c r="S60" i="53"/>
  <c r="I4" i="118"/>
  <c r="P17" i="41"/>
  <c r="Y10" i="41"/>
  <c r="M7" i="41"/>
  <c r="L13" i="118"/>
  <c r="I12" i="53"/>
  <c r="O28" i="53"/>
  <c r="T58" i="53"/>
  <c r="P107" i="53"/>
  <c r="P19" i="118"/>
  <c r="N40" i="118"/>
  <c r="W74" i="53"/>
  <c r="Q4" i="41"/>
  <c r="Z106" i="53"/>
  <c r="T4" i="53"/>
  <c r="R18" i="53"/>
  <c r="G91" i="53"/>
  <c r="I19" i="118"/>
  <c r="S17" i="41"/>
  <c r="S6" i="41"/>
  <c r="N82" i="53"/>
  <c r="T11" i="41"/>
  <c r="T59" i="53"/>
  <c r="AA36" i="1"/>
  <c r="Z58" i="53"/>
  <c r="AB75" i="53"/>
  <c r="R11" i="41"/>
  <c r="E52" i="53"/>
  <c r="O36" i="118"/>
  <c r="T60" i="53"/>
  <c r="O48" i="118"/>
  <c r="D9" i="41"/>
  <c r="J4" i="41"/>
  <c r="I43" i="53"/>
  <c r="AB83" i="53"/>
  <c r="H52" i="118"/>
  <c r="P43" i="118"/>
  <c r="S3" i="53"/>
  <c r="I91" i="53"/>
  <c r="G19" i="53"/>
  <c r="Q17" i="41"/>
  <c r="L26" i="53"/>
  <c r="G6" i="118"/>
  <c r="Z4" i="53"/>
  <c r="U14" i="41"/>
  <c r="H34" i="53"/>
  <c r="N16" i="118"/>
  <c r="Q28" i="53"/>
  <c r="B14" i="41"/>
  <c r="T74" i="53"/>
  <c r="K48" i="118"/>
  <c r="M66" i="53"/>
  <c r="N75" i="53"/>
  <c r="H75" i="53"/>
  <c r="S12" i="41"/>
  <c r="V68" i="53"/>
  <c r="H10" i="53"/>
  <c r="E26" i="53"/>
  <c r="G49" i="118"/>
  <c r="Y108" i="53"/>
  <c r="M106" i="53"/>
  <c r="W10" i="53"/>
  <c r="K11" i="41"/>
  <c r="P90" i="53"/>
  <c r="U107" i="53"/>
  <c r="N19" i="53"/>
  <c r="R26" i="53"/>
  <c r="Y11" i="41"/>
  <c r="I11" i="53"/>
  <c r="Y92" i="53"/>
  <c r="U60" i="53"/>
  <c r="J13" i="41"/>
  <c r="E14" i="41"/>
  <c r="R19" i="53"/>
  <c r="K18" i="53"/>
  <c r="O13" i="118"/>
  <c r="N52" i="118"/>
  <c r="X68" i="53"/>
  <c r="AA74" i="53"/>
  <c r="H60" i="53"/>
  <c r="P16" i="118"/>
  <c r="M4" i="53"/>
  <c r="J19" i="118"/>
  <c r="G16" i="118"/>
  <c r="R68" i="53"/>
  <c r="K19" i="118"/>
  <c r="T5" i="41"/>
  <c r="L12" i="118"/>
  <c r="K2" i="53"/>
  <c r="M10" i="41"/>
  <c r="W92" i="53"/>
  <c r="F35" i="53"/>
  <c r="F55" i="118"/>
  <c r="I6" i="118"/>
  <c r="F83" i="53"/>
  <c r="Z60" i="53"/>
  <c r="J34" i="53"/>
  <c r="Z59" i="53"/>
  <c r="O74" i="53"/>
  <c r="K40" i="118"/>
  <c r="L12" i="41"/>
  <c r="S92" i="53"/>
  <c r="K5" i="41"/>
  <c r="K42" i="53"/>
  <c r="N106" i="53"/>
  <c r="K6" i="41"/>
  <c r="G52" i="118"/>
  <c r="N10" i="118"/>
  <c r="J106" i="53"/>
  <c r="F44" i="53"/>
  <c r="P13" i="41"/>
  <c r="M92" i="53"/>
  <c r="E17" i="41"/>
  <c r="H12" i="118"/>
  <c r="X27" i="53"/>
  <c r="J90" i="53"/>
  <c r="X11" i="41"/>
  <c r="W4" i="41"/>
  <c r="V28" i="53"/>
  <c r="W11" i="53"/>
  <c r="E108" i="53"/>
  <c r="F50" i="53"/>
  <c r="O6" i="41"/>
  <c r="S10" i="41"/>
  <c r="Z2" i="53"/>
  <c r="U66" i="53"/>
  <c r="P73" i="118"/>
  <c r="I58" i="118"/>
  <c r="U12" i="41"/>
  <c r="K60" i="53"/>
  <c r="P76" i="53"/>
  <c r="W90" i="53"/>
  <c r="G50" i="53"/>
  <c r="AB82" i="53"/>
  <c r="T83" i="53"/>
  <c r="T10" i="41"/>
  <c r="V75" i="53"/>
  <c r="P6" i="118"/>
  <c r="M11" i="41"/>
  <c r="M12" i="41"/>
  <c r="N58" i="53"/>
  <c r="M83" i="53"/>
  <c r="N12" i="41"/>
  <c r="I36" i="53"/>
  <c r="U10" i="41"/>
  <c r="M13" i="41"/>
  <c r="N4" i="118"/>
  <c r="F73" i="118"/>
  <c r="W28" i="53"/>
  <c r="P48" i="118"/>
  <c r="O106" i="53"/>
  <c r="P68" i="53"/>
  <c r="F52" i="118"/>
  <c r="V83" i="53"/>
  <c r="I76" i="53"/>
  <c r="E28" i="53"/>
  <c r="L67" i="53"/>
  <c r="L37" i="118"/>
  <c r="F108" i="53"/>
  <c r="N70" i="118"/>
  <c r="G36" i="118"/>
  <c r="Y10" i="53"/>
  <c r="N74" i="53"/>
  <c r="Q15" i="41"/>
  <c r="X14" i="41"/>
  <c r="M26" i="53"/>
  <c r="H90" i="53"/>
  <c r="I59" i="53"/>
  <c r="R14" i="41"/>
  <c r="Q19" i="53"/>
  <c r="AA84" i="53"/>
  <c r="G59" i="53"/>
  <c r="J19" i="53"/>
  <c r="R12" i="53"/>
  <c r="O83" i="53"/>
  <c r="I107" i="53"/>
  <c r="K28" i="53"/>
  <c r="F107" i="53"/>
  <c r="M12" i="118"/>
  <c r="Y82" i="53"/>
  <c r="J2" i="53"/>
  <c r="R20" i="53"/>
  <c r="K83" i="53"/>
  <c r="J44" i="53"/>
  <c r="C5" i="41"/>
  <c r="M84" i="53"/>
  <c r="Y12" i="53"/>
  <c r="O19" i="118"/>
  <c r="AB68" i="53"/>
  <c r="Z20" i="53"/>
  <c r="O27" i="53"/>
  <c r="M108" i="53"/>
  <c r="J48" i="118"/>
  <c r="Q83" i="53"/>
  <c r="Y59" i="53"/>
  <c r="J50" i="53"/>
  <c r="J12" i="118"/>
  <c r="M12" i="53"/>
  <c r="O12" i="41"/>
  <c r="AB27" i="53"/>
  <c r="N73" i="118"/>
  <c r="G13" i="118"/>
  <c r="AB67" i="53"/>
  <c r="M17" i="41"/>
  <c r="M60" i="118"/>
  <c r="R10" i="41"/>
  <c r="J66" i="53"/>
  <c r="T84" i="53"/>
  <c r="T75" i="53"/>
  <c r="M90" i="53"/>
  <c r="J12" i="41"/>
  <c r="K7" i="118"/>
  <c r="R60" i="53"/>
  <c r="Y91" i="53"/>
  <c r="I18" i="118"/>
  <c r="K49" i="118"/>
  <c r="K36" i="118"/>
  <c r="V2" i="53"/>
  <c r="I18" i="53"/>
  <c r="Y60" i="53"/>
  <c r="Y74" i="53"/>
  <c r="B5" i="41"/>
  <c r="O61" i="118"/>
  <c r="X92" i="53"/>
  <c r="G74" i="53"/>
  <c r="P7" i="41"/>
  <c r="M11" i="53"/>
  <c r="T4" i="41"/>
  <c r="M107" i="53"/>
  <c r="O55" i="118"/>
  <c r="I2" i="53"/>
  <c r="E59" i="53"/>
  <c r="Z82" i="53"/>
  <c r="O7" i="118"/>
  <c r="P20" i="53"/>
  <c r="N43" i="118"/>
  <c r="J75" i="53"/>
  <c r="J107" i="53"/>
  <c r="R10" i="53"/>
  <c r="T11" i="53"/>
  <c r="O59" i="53"/>
  <c r="AB18" i="53"/>
  <c r="E106" i="53"/>
  <c r="X20" i="53"/>
  <c r="AB28" i="53"/>
  <c r="L91" i="53"/>
  <c r="Y3" i="53"/>
  <c r="G58" i="53"/>
  <c r="I44" i="53"/>
  <c r="E5" i="41"/>
  <c r="S15" i="41"/>
  <c r="H19" i="118"/>
  <c r="T67" i="53"/>
  <c r="AB91" i="53"/>
  <c r="L46" i="118"/>
  <c r="N26" i="53"/>
  <c r="P46" i="118"/>
  <c r="W108" i="53"/>
  <c r="W68" i="53"/>
  <c r="I19" i="53"/>
  <c r="O12" i="118"/>
  <c r="E27" i="53"/>
  <c r="T82" i="53"/>
  <c r="D8" i="41"/>
  <c r="N76" i="53"/>
  <c r="M46" i="118"/>
  <c r="P49" i="118"/>
  <c r="Y107" i="53"/>
  <c r="R3" i="53"/>
  <c r="P61" i="118"/>
  <c r="H74" i="53"/>
  <c r="Z83" i="53"/>
  <c r="F19" i="118"/>
  <c r="P5" i="41"/>
  <c r="U108" i="53"/>
  <c r="V18" i="53"/>
  <c r="Q5" i="41"/>
  <c r="R67" i="53"/>
  <c r="L4" i="118"/>
  <c r="L7" i="41"/>
  <c r="N83" i="53"/>
  <c r="O4" i="41"/>
  <c r="F10" i="53"/>
  <c r="O68" i="53"/>
  <c r="AB11" i="53"/>
  <c r="I27" i="53"/>
  <c r="U10" i="53"/>
  <c r="L82" i="53"/>
  <c r="H92" i="53"/>
  <c r="P67" i="53"/>
  <c r="X17" i="41"/>
  <c r="Y7" i="41"/>
  <c r="I52" i="118"/>
  <c r="C14" i="41"/>
  <c r="E51" i="53"/>
  <c r="O10" i="41"/>
  <c r="O5" i="41"/>
  <c r="U3" i="53"/>
  <c r="S82" i="53"/>
  <c r="G83" i="53"/>
  <c r="E90" i="53"/>
  <c r="R58" i="53"/>
  <c r="AB10" i="53"/>
  <c r="B7" i="41"/>
  <c r="F11" i="53"/>
  <c r="J76" i="53"/>
  <c r="M27" i="53"/>
  <c r="K67" i="53"/>
  <c r="M19" i="53"/>
  <c r="C7" i="41"/>
  <c r="H107" i="53"/>
  <c r="E50" i="53"/>
  <c r="L73" i="118"/>
  <c r="Q82" i="53"/>
  <c r="M55" i="118"/>
  <c r="O90" i="53"/>
  <c r="N60" i="53"/>
  <c r="AB74" i="53"/>
  <c r="T91" i="53"/>
  <c r="M19" i="118"/>
  <c r="X26" i="53"/>
  <c r="Q26" i="53"/>
  <c r="F67" i="53"/>
  <c r="W20" i="53"/>
  <c r="M28" i="53"/>
  <c r="T18" i="53"/>
  <c r="Q84" i="53"/>
  <c r="O12" i="53"/>
  <c r="J73" i="118"/>
  <c r="L83" i="53"/>
  <c r="O17" i="41"/>
  <c r="AA107" i="53"/>
  <c r="V26" i="53"/>
  <c r="X19" i="53"/>
  <c r="T7" i="41"/>
  <c r="M36" i="118"/>
  <c r="W27" i="53"/>
  <c r="N15" i="41"/>
  <c r="T108" i="53"/>
  <c r="N11" i="53"/>
  <c r="L55" i="118"/>
  <c r="H58" i="118"/>
  <c r="O75" i="53"/>
  <c r="L43" i="118"/>
  <c r="U92" i="53"/>
  <c r="C17" i="41"/>
  <c r="Z90" i="53"/>
  <c r="W13" i="41"/>
  <c r="J74" i="53"/>
  <c r="AA27" i="53"/>
  <c r="W5" i="41"/>
  <c r="O25" i="118"/>
  <c r="V91" i="53"/>
  <c r="R6" i="41"/>
  <c r="O60" i="118"/>
  <c r="J4" i="118"/>
  <c r="S83" i="53"/>
  <c r="G20" i="53"/>
  <c r="G84" i="53"/>
  <c r="N18" i="118"/>
  <c r="AB12" i="53"/>
  <c r="Z74" i="53"/>
  <c r="L19" i="118"/>
  <c r="J26" i="53"/>
  <c r="J3" i="53"/>
  <c r="K34" i="118"/>
  <c r="N7" i="118"/>
  <c r="I12" i="118"/>
  <c r="G68" i="53"/>
  <c r="F27" i="53"/>
  <c r="K84" i="53"/>
  <c r="R13" i="41"/>
  <c r="N20" i="53"/>
  <c r="Q10" i="53"/>
  <c r="E76" i="53"/>
  <c r="G92" i="53"/>
  <c r="O7" i="41"/>
  <c r="V5" i="41"/>
  <c r="AA4" i="53"/>
  <c r="Y2" i="53"/>
  <c r="G66" i="53"/>
  <c r="Y76" i="53"/>
  <c r="W75" i="53"/>
  <c r="H48" i="118"/>
  <c r="L2" i="53"/>
  <c r="P7" i="118"/>
  <c r="G19" i="118"/>
  <c r="E58" i="53"/>
  <c r="N34" i="118"/>
  <c r="Q60" i="53"/>
  <c r="T68" i="53"/>
  <c r="I60" i="118"/>
  <c r="G48" i="118"/>
  <c r="W18" i="53"/>
  <c r="N17" i="41"/>
  <c r="O107" i="53"/>
  <c r="V27" i="53"/>
  <c r="P10" i="53"/>
  <c r="I4" i="53"/>
  <c r="X76" i="53"/>
  <c r="L108" i="53"/>
  <c r="AA2" i="53"/>
  <c r="M3" i="53"/>
  <c r="N4" i="41"/>
  <c r="R74" i="53"/>
  <c r="G7" i="118"/>
  <c r="G37" i="118"/>
  <c r="P10" i="118"/>
  <c r="Z68" i="53"/>
  <c r="F2" i="53"/>
  <c r="Q27" i="53"/>
  <c r="X10" i="53"/>
  <c r="I68" i="53"/>
  <c r="O18" i="118"/>
  <c r="G12" i="118"/>
  <c r="H68" i="53"/>
  <c r="O13" i="41"/>
  <c r="S5" i="41"/>
  <c r="F42" i="118"/>
  <c r="Z11" i="53"/>
  <c r="K34" i="53"/>
  <c r="J42" i="53"/>
  <c r="L34" i="118"/>
  <c r="V7" i="41"/>
  <c r="R59" i="53"/>
  <c r="D7" i="41"/>
  <c r="G106" i="53"/>
  <c r="J20" i="53"/>
  <c r="N60" i="118"/>
  <c r="I46" i="118"/>
  <c r="E91" i="53"/>
  <c r="N10" i="53"/>
  <c r="I50" i="53"/>
  <c r="F40" i="118"/>
  <c r="Q11" i="41"/>
  <c r="C13" i="41"/>
  <c r="L10" i="41"/>
  <c r="V66" i="53"/>
  <c r="J51" i="53"/>
  <c r="N19" i="118"/>
  <c r="K20" i="53"/>
  <c r="O19" i="53"/>
  <c r="AB66" i="53"/>
  <c r="L27" i="53"/>
  <c r="F58" i="118"/>
  <c r="M5" i="41"/>
  <c r="K108" i="53"/>
  <c r="X2" i="53"/>
  <c r="P54" i="118"/>
  <c r="Z66" i="53"/>
  <c r="H106" i="53"/>
  <c r="R4" i="53"/>
  <c r="R2" i="53"/>
  <c r="L54" i="118"/>
  <c r="M34" i="118"/>
  <c r="O52" i="118"/>
  <c r="AB19" i="53"/>
  <c r="T28" i="53"/>
  <c r="X66" i="53"/>
  <c r="AA68" i="53"/>
  <c r="T20" i="53"/>
  <c r="J36" i="53"/>
  <c r="I36" i="118"/>
  <c r="L49" i="118"/>
  <c r="Y27" i="53"/>
  <c r="K16" i="118"/>
  <c r="K19" i="53"/>
  <c r="V12" i="41"/>
  <c r="O11" i="41"/>
  <c r="O84" i="53"/>
  <c r="T14" i="41"/>
  <c r="X15" i="41"/>
  <c r="I82" i="53"/>
  <c r="Q59" i="53"/>
  <c r="N5" i="41"/>
  <c r="E83" i="53"/>
  <c r="AA76" i="53"/>
  <c r="R15" i="41"/>
  <c r="F74" i="53"/>
  <c r="H73" i="118"/>
  <c r="L7" i="118"/>
  <c r="Q2" i="53"/>
  <c r="J13" i="118"/>
  <c r="L12" i="53"/>
  <c r="P11" i="53"/>
  <c r="Q74" i="53"/>
  <c r="W36" i="1"/>
  <c r="Z12" i="53"/>
  <c r="J60" i="118"/>
  <c r="O49" i="118"/>
  <c r="X18" i="53"/>
  <c r="Y17" i="41"/>
  <c r="M4" i="41"/>
  <c r="Y6" i="41"/>
  <c r="Q106" i="53"/>
  <c r="I106" i="53"/>
  <c r="F37" i="118"/>
  <c r="N72" i="118"/>
  <c r="Q7" i="41"/>
  <c r="G73" i="118"/>
  <c r="K14" i="41"/>
  <c r="V17" i="41"/>
  <c r="O82" i="53"/>
  <c r="H6" i="118"/>
  <c r="L11" i="53"/>
  <c r="L61" i="118"/>
  <c r="Z67" i="53"/>
  <c r="J10" i="41"/>
  <c r="G54" i="118"/>
  <c r="K82" i="53"/>
  <c r="F13" i="118"/>
  <c r="K4" i="118"/>
  <c r="N11" i="41"/>
  <c r="Q68" i="53"/>
  <c r="R11" i="53"/>
  <c r="H60" i="118"/>
  <c r="K55" i="118"/>
  <c r="S90" i="53"/>
  <c r="W11" i="41"/>
  <c r="H4" i="118"/>
  <c r="P18" i="53"/>
  <c r="AA11" i="53"/>
  <c r="Y20" i="53"/>
  <c r="N18" i="53"/>
  <c r="O42" i="118"/>
  <c r="M75" i="53"/>
  <c r="Z26" i="53"/>
  <c r="I73" i="118"/>
  <c r="N28" i="53"/>
  <c r="J15" i="41"/>
  <c r="Q20" i="53"/>
  <c r="L16" i="118"/>
  <c r="U106" i="53"/>
  <c r="P26" i="53"/>
  <c r="L10" i="118"/>
  <c r="I72" i="118"/>
  <c r="V10" i="53"/>
  <c r="X83" i="53"/>
  <c r="R106" i="53"/>
  <c r="F43" i="118"/>
  <c r="AB20" i="53"/>
  <c r="J58" i="53"/>
  <c r="U4" i="41"/>
  <c r="Y75" i="53"/>
  <c r="U13" i="41"/>
  <c r="W76" i="53"/>
  <c r="Y84" i="53"/>
  <c r="G10" i="118"/>
  <c r="M20" i="53"/>
  <c r="AB92" i="53"/>
  <c r="L20" i="53"/>
  <c r="L75" i="53"/>
  <c r="V67" i="53"/>
  <c r="Y11" i="53"/>
  <c r="L3" i="53"/>
  <c r="K15" i="41"/>
  <c r="L58" i="118"/>
  <c r="M58" i="118"/>
  <c r="J7" i="41"/>
  <c r="F70" i="118"/>
  <c r="S7" i="41"/>
  <c r="G60" i="118"/>
  <c r="L48" i="118"/>
  <c r="AA3" i="53"/>
  <c r="L4" i="53"/>
  <c r="H42" i="118"/>
  <c r="X5" i="41"/>
  <c r="J36" i="118"/>
  <c r="U5" i="41"/>
  <c r="Z18" i="53"/>
  <c r="T92" i="53"/>
  <c r="J43" i="118"/>
  <c r="W106" i="53"/>
  <c r="O14" i="41"/>
  <c r="M48" i="118"/>
  <c r="J14" i="41"/>
  <c r="AB26" i="53"/>
  <c r="N14" i="41"/>
  <c r="H54" i="118"/>
  <c r="H7" i="118"/>
  <c r="P12" i="53"/>
  <c r="W12" i="41"/>
  <c r="P82" i="53"/>
  <c r="M60" i="53"/>
  <c r="M70" i="118"/>
  <c r="AB107" i="53"/>
  <c r="K54" i="118"/>
  <c r="P83" i="53"/>
  <c r="X7" i="41"/>
  <c r="I61" i="118"/>
  <c r="L84" i="53"/>
  <c r="U20" i="53"/>
  <c r="T66" i="53"/>
  <c r="Q10" i="41"/>
  <c r="S75" i="53"/>
  <c r="S107" i="53"/>
  <c r="N67" i="53"/>
  <c r="L13" i="41"/>
  <c r="P13" i="118"/>
  <c r="Y36" i="1"/>
  <c r="M15" i="41"/>
  <c r="N4" i="53"/>
  <c r="S2" i="53"/>
  <c r="K91" i="53"/>
  <c r="S84" i="53"/>
  <c r="N55" i="118"/>
  <c r="R91" i="53"/>
  <c r="J6" i="118"/>
  <c r="N6" i="41"/>
  <c r="Y58" i="53"/>
  <c r="V10" i="41"/>
  <c r="O66" i="53"/>
  <c r="L10" i="53"/>
  <c r="S19" i="53"/>
  <c r="AA58" i="53"/>
  <c r="I42" i="118"/>
  <c r="S11" i="41"/>
  <c r="R76" i="53"/>
  <c r="H34" i="118"/>
  <c r="M43" i="118"/>
  <c r="P18" i="118"/>
  <c r="H18" i="118"/>
  <c r="L19" i="53"/>
  <c r="V82" i="53"/>
  <c r="J17" i="41"/>
  <c r="J55" i="118"/>
  <c r="M40" i="118"/>
  <c r="I48" i="118"/>
  <c r="H70" i="118"/>
  <c r="Y4" i="41"/>
  <c r="W14" i="41"/>
  <c r="J6" i="41"/>
  <c r="Y4" i="53"/>
  <c r="Q91" i="53"/>
  <c r="R17" i="41"/>
  <c r="V4" i="41"/>
  <c r="G40" i="118"/>
  <c r="R107" i="53"/>
  <c r="T3" i="53"/>
  <c r="X58" i="53"/>
  <c r="I34" i="118"/>
  <c r="K52" i="118"/>
  <c r="U90" i="53"/>
  <c r="N12" i="53"/>
  <c r="O18" i="53"/>
  <c r="W60" i="53"/>
  <c r="O46" i="118"/>
  <c r="U7" i="41"/>
  <c r="M54" i="118"/>
  <c r="E6" i="41"/>
  <c r="N46" i="118"/>
  <c r="X6" i="41"/>
  <c r="X10" i="41"/>
  <c r="V74" i="53"/>
  <c r="N7" i="41"/>
  <c r="R12" i="41"/>
  <c r="P72" i="118"/>
  <c r="M18" i="118"/>
  <c r="L70" i="118"/>
  <c r="AA83" i="53"/>
  <c r="Z107" i="53"/>
  <c r="N84" i="53"/>
  <c r="S67" i="53"/>
  <c r="AA108" i="53"/>
  <c r="P14" i="41"/>
  <c r="AA91" i="53"/>
  <c r="Q6" i="41"/>
  <c r="Q14" i="41"/>
  <c r="L5" i="41"/>
  <c r="J16" i="118"/>
  <c r="V60" i="53"/>
  <c r="T15" i="41"/>
  <c r="V15" i="41"/>
  <c r="P15" i="41"/>
  <c r="S108" i="53"/>
  <c r="Q13" i="41"/>
  <c r="J34" i="118"/>
  <c r="Y14" i="41"/>
  <c r="AB84" i="53"/>
  <c r="K107" i="53"/>
  <c r="R27" i="53"/>
  <c r="P55" i="118"/>
  <c r="Y12" i="41"/>
  <c r="W26" i="53"/>
  <c r="K26" i="53"/>
  <c r="N27" i="53"/>
  <c r="X106" i="53"/>
  <c r="AA10" i="53"/>
  <c r="P59" i="53"/>
  <c r="Z3" i="53"/>
  <c r="W6" i="41"/>
  <c r="Q12" i="53"/>
  <c r="W10" i="41"/>
  <c r="AA28" i="53"/>
  <c r="Z84" i="53"/>
  <c r="S4" i="53"/>
  <c r="R5" i="41"/>
  <c r="M10" i="118"/>
  <c r="U4" i="53"/>
  <c r="M13" i="118"/>
  <c r="Q58" i="53"/>
  <c r="K37" i="118"/>
  <c r="J54" i="118"/>
  <c r="P40" i="118"/>
  <c r="O40" i="118"/>
  <c r="P106" i="53"/>
  <c r="X12" i="41"/>
  <c r="S13" i="41"/>
  <c r="X4" i="41"/>
  <c r="U11" i="41"/>
  <c r="I40" i="118"/>
  <c r="T13" i="41"/>
  <c r="L14" i="41"/>
  <c r="W84" i="53"/>
  <c r="Q90" i="53"/>
  <c r="F6" i="118"/>
  <c r="M42" i="118"/>
  <c r="AA67" i="53"/>
  <c r="J7" i="118"/>
  <c r="N36" i="118"/>
  <c r="O70" i="118"/>
  <c r="O20" i="53"/>
  <c r="X90" i="53"/>
  <c r="S4" i="41"/>
  <c r="P10" i="41"/>
  <c r="P91" i="53"/>
  <c r="W15" i="41"/>
  <c r="P66" i="53"/>
  <c r="U15" i="41"/>
  <c r="Y19" i="53"/>
  <c r="W82" i="53"/>
  <c r="K58" i="118"/>
  <c r="U36" i="1"/>
  <c r="K11" i="53"/>
  <c r="V4" i="53"/>
  <c r="F4" i="118"/>
  <c r="W19" i="53"/>
  <c r="AA20" i="53"/>
  <c r="X67" i="53"/>
  <c r="R82" i="53"/>
  <c r="T6" i="41"/>
  <c r="N48" i="118"/>
  <c r="N42" i="118"/>
  <c r="Z27" i="53"/>
  <c r="I37" i="118"/>
  <c r="M68" i="53"/>
  <c r="Q67" i="53"/>
  <c r="W4" i="53"/>
  <c r="N37" i="118"/>
  <c r="H36" i="118"/>
  <c r="R83" i="53"/>
  <c r="W2" i="53"/>
  <c r="P92" i="53"/>
  <c r="M6" i="41"/>
  <c r="P6" i="41"/>
  <c r="K13" i="41"/>
  <c r="Y15" i="41"/>
  <c r="X108" i="53"/>
  <c r="O15" i="41"/>
  <c r="P60" i="53"/>
  <c r="K59" i="53"/>
  <c r="I55" i="118"/>
  <c r="K106" i="53"/>
  <c r="P37" i="118"/>
  <c r="Y106" i="53"/>
  <c r="Y13" i="41"/>
  <c r="P11" i="41"/>
  <c r="J11" i="41"/>
  <c r="Y5" i="41"/>
  <c r="J49" i="118"/>
  <c r="AA18" i="53"/>
  <c r="D117" i="123"/>
  <c r="D105" i="123"/>
  <c r="D182" i="123"/>
  <c r="D54" i="123"/>
  <c r="D172" i="123"/>
  <c r="D191" i="123"/>
  <c r="D79" i="123"/>
  <c r="D171" i="123"/>
  <c r="D139" i="123"/>
  <c r="D59" i="123"/>
  <c r="D94" i="123"/>
  <c r="D116" i="123"/>
  <c r="D63" i="123"/>
  <c r="D64" i="123"/>
  <c r="D149" i="123"/>
  <c r="D127" i="123"/>
  <c r="D128" i="123"/>
  <c r="D84" i="123"/>
  <c r="D69" i="123"/>
  <c r="D49" i="123"/>
  <c r="D192" i="123"/>
  <c r="D73" i="123"/>
  <c r="D150" i="123"/>
  <c r="D95" i="123"/>
  <c r="D138" i="123"/>
  <c r="D101" i="123"/>
  <c r="D201" i="123"/>
  <c r="D123" i="123"/>
  <c r="D181" i="123"/>
  <c r="D83" i="123"/>
  <c r="D161" i="123"/>
  <c r="D90" i="123"/>
  <c r="D134" i="123"/>
  <c r="D53" i="123"/>
  <c r="D106" i="123"/>
  <c r="D202" i="123"/>
  <c r="D74" i="123"/>
  <c r="D112" i="123"/>
  <c r="D160" i="123"/>
  <c r="E30" i="53" l="1"/>
  <c r="E33" i="53" s="1"/>
  <c r="J94" i="53"/>
  <c r="J97" i="53" s="1"/>
  <c r="I62" i="53"/>
  <c r="I65" i="53" s="1"/>
  <c r="I70" i="53"/>
  <c r="I73" i="53" s="1"/>
  <c r="G38" i="53"/>
  <c r="G41" i="53" s="1"/>
  <c r="G78" i="53"/>
  <c r="G81" i="53" s="1"/>
  <c r="I38" i="53"/>
  <c r="I41" i="53" s="1"/>
  <c r="I6" i="53"/>
  <c r="I9" i="53" s="1"/>
  <c r="E110" i="53"/>
  <c r="E113" i="53"/>
  <c r="I86" i="53"/>
  <c r="I89" i="53" s="1"/>
  <c r="G70" i="53"/>
  <c r="G73" i="53" s="1"/>
  <c r="F22" i="53"/>
  <c r="F25" i="53" s="1"/>
  <c r="G62" i="53"/>
  <c r="G65" i="53" s="1"/>
  <c r="E54" i="53"/>
  <c r="E57" i="53" s="1"/>
  <c r="H70" i="53"/>
  <c r="H73" i="53" s="1"/>
  <c r="I78" i="53"/>
  <c r="I81" i="53" s="1"/>
  <c r="F54" i="53"/>
  <c r="F57" i="53" s="1"/>
  <c r="R25" i="118"/>
  <c r="Q25" i="118"/>
  <c r="H94" i="53"/>
  <c r="H97" i="53" s="1"/>
  <c r="E62" i="53"/>
  <c r="E65" i="53" s="1"/>
  <c r="G86" i="53"/>
  <c r="G89" i="53" s="1"/>
  <c r="F78" i="53"/>
  <c r="F81" i="53" s="1"/>
  <c r="H22" i="53"/>
  <c r="H25" i="53" s="1"/>
  <c r="J14" i="53"/>
  <c r="J17" i="53" s="1"/>
  <c r="O23" i="118"/>
  <c r="R24" i="118"/>
  <c r="Q24" i="118"/>
  <c r="O26" i="118"/>
  <c r="J30" i="53"/>
  <c r="J33" i="53" s="1"/>
  <c r="J38" i="53"/>
  <c r="J41" i="53" s="1"/>
  <c r="J22" i="53"/>
  <c r="J25" i="53" s="1"/>
  <c r="J78" i="53"/>
  <c r="J81" i="53" s="1"/>
  <c r="K38" i="53"/>
  <c r="K41" i="53" s="1"/>
  <c r="F110" i="53"/>
  <c r="F113" i="53"/>
  <c r="J70" i="53"/>
  <c r="J73" i="53" s="1"/>
  <c r="G54" i="53"/>
  <c r="G57" i="53" s="1"/>
  <c r="H110" i="53"/>
  <c r="H113" i="53"/>
  <c r="E38" i="53"/>
  <c r="E41" i="53" s="1"/>
  <c r="H6" i="53"/>
  <c r="H9" i="53" s="1"/>
  <c r="R22" i="118"/>
  <c r="Q22" i="118"/>
  <c r="F62" i="53"/>
  <c r="F65" i="53" s="1"/>
  <c r="J46" i="53"/>
  <c r="J49" i="53" s="1"/>
  <c r="G30" i="53"/>
  <c r="G33" i="53" s="1"/>
  <c r="E86" i="53"/>
  <c r="E89" i="53" s="1"/>
  <c r="J113" i="53"/>
  <c r="J110" i="53"/>
  <c r="G110" i="53"/>
  <c r="G113" i="53"/>
  <c r="E70" i="53"/>
  <c r="E73" i="53" s="1"/>
  <c r="J6" i="53"/>
  <c r="J9" i="53" s="1"/>
  <c r="E94" i="53"/>
  <c r="E97" i="53" s="1"/>
  <c r="F86" i="53"/>
  <c r="F89" i="53" s="1"/>
  <c r="I54" i="53"/>
  <c r="I57" i="53" s="1"/>
  <c r="F70" i="53"/>
  <c r="F73" i="53" s="1"/>
  <c r="H78" i="53"/>
  <c r="H81" i="53" s="1"/>
  <c r="I113" i="53"/>
  <c r="I110" i="53"/>
  <c r="F94" i="53"/>
  <c r="F97" i="53" s="1"/>
  <c r="J62" i="53"/>
  <c r="J65" i="53" s="1"/>
  <c r="J54" i="53"/>
  <c r="J57" i="53" s="1"/>
  <c r="E78" i="53"/>
  <c r="E81" i="53" s="1"/>
  <c r="I14" i="53"/>
  <c r="I17" i="53" s="1"/>
  <c r="AB9" i="41"/>
  <c r="N182" i="41" s="1"/>
  <c r="P182" i="41" s="1"/>
  <c r="F38" i="53"/>
  <c r="F41" i="53" s="1"/>
  <c r="I94" i="53"/>
  <c r="I97" i="53" s="1"/>
  <c r="H54" i="53"/>
  <c r="H57" i="53" s="1"/>
  <c r="K54" i="53"/>
  <c r="K57" i="53" s="1"/>
  <c r="H38" i="53"/>
  <c r="H41" i="53" s="1"/>
  <c r="H62" i="53"/>
  <c r="H65" i="53" s="1"/>
  <c r="J86" i="53"/>
  <c r="J89" i="53" s="1"/>
  <c r="I46" i="53"/>
  <c r="I49" i="53" s="1"/>
  <c r="AB8" i="41"/>
  <c r="N164" i="41" s="1"/>
  <c r="P164" i="41" s="1"/>
  <c r="F14" i="53"/>
  <c r="F17" i="53" s="1"/>
  <c r="H86" i="53"/>
  <c r="H89" i="53" s="1"/>
  <c r="B18" i="41"/>
  <c r="H14" i="53"/>
  <c r="H17" i="53" s="1"/>
  <c r="I30" i="53"/>
  <c r="I33" i="53" s="1"/>
  <c r="H30" i="53"/>
  <c r="H33" i="53" s="1"/>
  <c r="F6" i="53"/>
  <c r="F9" i="53" s="1"/>
  <c r="I22" i="53"/>
  <c r="I25" i="53" s="1"/>
  <c r="P26" i="118"/>
  <c r="P23" i="118"/>
  <c r="G6" i="53"/>
  <c r="G9" i="53" s="1"/>
  <c r="E46" i="53"/>
  <c r="E49" i="53" s="1"/>
  <c r="G46" i="53"/>
  <c r="G49" i="53" s="1"/>
  <c r="K46" i="53"/>
  <c r="K49" i="53" s="1"/>
  <c r="G14" i="53"/>
  <c r="G17" i="53" s="1"/>
  <c r="G22" i="53"/>
  <c r="G25" i="53" s="1"/>
  <c r="G94" i="53"/>
  <c r="G97" i="53" s="1"/>
  <c r="F46" i="53"/>
  <c r="F49" i="53" s="1"/>
  <c r="H46" i="53"/>
  <c r="H49" i="53" s="1"/>
  <c r="F30" i="53"/>
  <c r="F33" i="53" s="1"/>
  <c r="R26" i="118"/>
  <c r="Q26" i="118"/>
  <c r="AA197" i="1"/>
  <c r="Y18" i="41"/>
  <c r="T49" i="1"/>
  <c r="AA51" i="1"/>
  <c r="W51" i="1"/>
  <c r="X51" i="1"/>
  <c r="Z51" i="1"/>
  <c r="U51" i="1"/>
  <c r="Y51" i="1"/>
  <c r="V51" i="1"/>
  <c r="W50" i="1"/>
  <c r="V50" i="1"/>
  <c r="U50" i="1"/>
  <c r="Y50" i="1"/>
  <c r="AA50" i="1"/>
  <c r="X50" i="1"/>
  <c r="Z50" i="1"/>
  <c r="AA190" i="1"/>
  <c r="C77" i="169" s="1"/>
  <c r="H76" i="118"/>
  <c r="L76" i="118"/>
  <c r="F76" i="118"/>
  <c r="I76" i="118"/>
  <c r="M76" i="118"/>
  <c r="N76" i="118"/>
  <c r="G76" i="118"/>
  <c r="K76" i="118"/>
  <c r="O76" i="118"/>
  <c r="J76" i="118"/>
  <c r="P76" i="118"/>
  <c r="AA134" i="1"/>
  <c r="U133" i="1"/>
  <c r="U259" i="1" s="1"/>
  <c r="V192" i="1"/>
  <c r="X192" i="1"/>
  <c r="W192" i="1"/>
  <c r="U192" i="1"/>
  <c r="Z192" i="1"/>
  <c r="D79" i="169" s="1"/>
  <c r="AA192" i="1"/>
  <c r="C79" i="169" s="1"/>
  <c r="Y192" i="1"/>
  <c r="X135" i="1"/>
  <c r="U138" i="1"/>
  <c r="Z137" i="1"/>
  <c r="V134" i="1"/>
  <c r="AA135" i="1"/>
  <c r="W136" i="1"/>
  <c r="V137" i="1"/>
  <c r="W135" i="1"/>
  <c r="V138" i="1"/>
  <c r="Y134" i="1"/>
  <c r="X137" i="1"/>
  <c r="AA138" i="1"/>
  <c r="AA137" i="1"/>
  <c r="Y136" i="1"/>
  <c r="Z134" i="1"/>
  <c r="W134" i="1"/>
  <c r="U137" i="1"/>
  <c r="U136" i="1"/>
  <c r="Z138" i="1"/>
  <c r="Z135" i="1"/>
  <c r="Z136" i="1"/>
  <c r="X136" i="1"/>
  <c r="V135" i="1"/>
  <c r="V136" i="1"/>
  <c r="U134" i="1"/>
  <c r="X134" i="1"/>
  <c r="W138" i="1"/>
  <c r="Y138" i="1"/>
  <c r="AA136" i="1"/>
  <c r="X138" i="1"/>
  <c r="Y135" i="1"/>
  <c r="Y137" i="1"/>
  <c r="W137" i="1"/>
  <c r="U135" i="1"/>
  <c r="K120" i="123"/>
  <c r="U120" i="123"/>
  <c r="N120" i="123"/>
  <c r="U70" i="1"/>
  <c r="AA199" i="1"/>
  <c r="C86" i="169" s="1"/>
  <c r="AA188" i="1"/>
  <c r="C75" i="169" s="1"/>
  <c r="Y70" i="1"/>
  <c r="W70" i="1"/>
  <c r="AA78" i="1"/>
  <c r="AA249" i="1" s="1"/>
  <c r="T70" i="1"/>
  <c r="AA70" i="1"/>
  <c r="Z70" i="1"/>
  <c r="V70" i="1"/>
  <c r="X70" i="1"/>
  <c r="Z82" i="35"/>
  <c r="AB92" i="57"/>
  <c r="AB90" i="57"/>
  <c r="AB84" i="57"/>
  <c r="AB81" i="35"/>
  <c r="AA81" i="35"/>
  <c r="X82" i="35"/>
  <c r="AA82" i="35"/>
  <c r="AA83" i="35" s="1"/>
  <c r="Y92" i="57"/>
  <c r="Y90" i="57"/>
  <c r="Y84" i="57"/>
  <c r="Y82" i="35"/>
  <c r="Y81" i="35"/>
  <c r="Z92" i="57"/>
  <c r="Z90" i="57"/>
  <c r="Z84" i="57"/>
  <c r="AB84" i="35"/>
  <c r="Z81" i="35"/>
  <c r="X92" i="57"/>
  <c r="X90" i="57"/>
  <c r="X84" i="57"/>
  <c r="Z84" i="35"/>
  <c r="Y84" i="35"/>
  <c r="AA84" i="35"/>
  <c r="X84" i="35"/>
  <c r="X81" i="35"/>
  <c r="AB82" i="35"/>
  <c r="AA92" i="57"/>
  <c r="AA90" i="57"/>
  <c r="AA84" i="57"/>
  <c r="X71" i="35"/>
  <c r="X73" i="35"/>
  <c r="X74" i="35" s="1"/>
  <c r="X77" i="57"/>
  <c r="X75" i="57"/>
  <c r="T510" i="9"/>
  <c r="P507" i="9"/>
  <c r="F505" i="9"/>
  <c r="Q510" i="9"/>
  <c r="N505" i="9"/>
  <c r="O505" i="9"/>
  <c r="D510" i="9"/>
  <c r="G505" i="9"/>
  <c r="M510" i="9"/>
  <c r="G510" i="9"/>
  <c r="N509" i="9"/>
  <c r="J509" i="9"/>
  <c r="M506" i="9"/>
  <c r="E511" i="9"/>
  <c r="F510" i="9"/>
  <c r="F506" i="9"/>
  <c r="H505" i="9"/>
  <c r="G509" i="9"/>
  <c r="D507" i="9"/>
  <c r="Q512" i="9"/>
  <c r="C507" i="9"/>
  <c r="F512" i="9"/>
  <c r="H508" i="9"/>
  <c r="U506" i="9"/>
  <c r="G508" i="9"/>
  <c r="K507" i="9"/>
  <c r="N511" i="9"/>
  <c r="L509" i="9"/>
  <c r="H512" i="9"/>
  <c r="S510" i="9"/>
  <c r="I507" i="9"/>
  <c r="D508" i="9"/>
  <c r="H510" i="9"/>
  <c r="R505" i="9"/>
  <c r="U507" i="9"/>
  <c r="E508" i="9"/>
  <c r="D506" i="9"/>
  <c r="N507" i="9"/>
  <c r="L512" i="9"/>
  <c r="J505" i="9"/>
  <c r="O509" i="9"/>
  <c r="I512" i="9"/>
  <c r="M512" i="9"/>
  <c r="T506" i="9"/>
  <c r="D511" i="9"/>
  <c r="K505" i="9"/>
  <c r="C510" i="9"/>
  <c r="F507" i="9"/>
  <c r="I511" i="9"/>
  <c r="R510" i="9"/>
  <c r="K509" i="9"/>
  <c r="J506" i="9"/>
  <c r="F509" i="9"/>
  <c r="C509" i="9"/>
  <c r="H507" i="9"/>
  <c r="K508" i="9"/>
  <c r="C505" i="9"/>
  <c r="U511" i="9"/>
  <c r="M505" i="9"/>
  <c r="D509" i="9"/>
  <c r="J507" i="9"/>
  <c r="P506" i="9"/>
  <c r="E506" i="9"/>
  <c r="L510" i="9"/>
  <c r="F508" i="9"/>
  <c r="P505" i="9"/>
  <c r="U508" i="9"/>
  <c r="K510" i="9"/>
  <c r="K511" i="9"/>
  <c r="I509" i="9"/>
  <c r="T511" i="9"/>
  <c r="E507" i="9"/>
  <c r="L507" i="9"/>
  <c r="F511" i="9"/>
  <c r="C511" i="9"/>
  <c r="E505" i="9"/>
  <c r="O508" i="9"/>
  <c r="S507" i="9"/>
  <c r="M509" i="9"/>
  <c r="Q509" i="9"/>
  <c r="S508" i="9"/>
  <c r="T509" i="9"/>
  <c r="T508" i="9"/>
  <c r="S506" i="9"/>
  <c r="R506" i="9"/>
  <c r="O511" i="9"/>
  <c r="P511" i="9"/>
  <c r="S511" i="9"/>
  <c r="N508" i="9"/>
  <c r="J512" i="9"/>
  <c r="P508" i="9"/>
  <c r="O506" i="9"/>
  <c r="D505" i="9"/>
  <c r="Q506" i="9"/>
  <c r="G506" i="9"/>
  <c r="G511" i="9"/>
  <c r="O507" i="9"/>
  <c r="M511" i="9"/>
  <c r="S505" i="9"/>
  <c r="T512" i="9"/>
  <c r="N506" i="9"/>
  <c r="I510" i="9"/>
  <c r="K506" i="9"/>
  <c r="I508" i="9"/>
  <c r="Q507" i="9"/>
  <c r="T505" i="9"/>
  <c r="C512" i="9"/>
  <c r="H506" i="9"/>
  <c r="C506" i="9"/>
  <c r="P509" i="9"/>
  <c r="S509" i="9"/>
  <c r="I505" i="9"/>
  <c r="T507" i="9"/>
  <c r="N510" i="9"/>
  <c r="U510" i="9"/>
  <c r="L508" i="9"/>
  <c r="U509" i="9"/>
  <c r="I506" i="9"/>
  <c r="R512" i="9"/>
  <c r="M507" i="9"/>
  <c r="J511" i="9"/>
  <c r="U512" i="9"/>
  <c r="R507" i="9"/>
  <c r="O510" i="9"/>
  <c r="H509" i="9"/>
  <c r="D512" i="9"/>
  <c r="U505" i="9"/>
  <c r="R511" i="9"/>
  <c r="Q505" i="9"/>
  <c r="P510" i="9"/>
  <c r="O512" i="9"/>
  <c r="E510" i="9"/>
  <c r="P512" i="9"/>
  <c r="N512" i="9"/>
  <c r="J510" i="9"/>
  <c r="K512" i="9"/>
  <c r="E509" i="9"/>
  <c r="R508" i="9"/>
  <c r="L506" i="9"/>
  <c r="H511" i="9"/>
  <c r="L511" i="9"/>
  <c r="E512" i="9"/>
  <c r="S512" i="9"/>
  <c r="M508" i="9"/>
  <c r="C508" i="9"/>
  <c r="G507" i="9"/>
  <c r="R509" i="9"/>
  <c r="Q508" i="9"/>
  <c r="L505" i="9"/>
  <c r="J508" i="9"/>
  <c r="G512" i="9"/>
  <c r="Q511" i="9"/>
  <c r="W193" i="1"/>
  <c r="X193" i="1"/>
  <c r="W190" i="1"/>
  <c r="U186" i="1"/>
  <c r="X188" i="1"/>
  <c r="Y187" i="1"/>
  <c r="Z200" i="1"/>
  <c r="D87" i="169" s="1"/>
  <c r="V201" i="1"/>
  <c r="V188" i="1"/>
  <c r="U200" i="1"/>
  <c r="Y197" i="1"/>
  <c r="U195" i="1"/>
  <c r="AA195" i="1"/>
  <c r="C82" i="169" s="1"/>
  <c r="Y186" i="1"/>
  <c r="T196" i="1"/>
  <c r="W186" i="1"/>
  <c r="V199" i="1"/>
  <c r="V193" i="1"/>
  <c r="W200" i="1"/>
  <c r="Z198" i="1"/>
  <c r="D85" i="169" s="1"/>
  <c r="Y198" i="1"/>
  <c r="X195" i="1"/>
  <c r="W201" i="1"/>
  <c r="X201" i="1"/>
  <c r="X190" i="1"/>
  <c r="X197" i="1"/>
  <c r="X199" i="1"/>
  <c r="Z201" i="1"/>
  <c r="D88" i="169" s="1"/>
  <c r="Y190" i="1"/>
  <c r="T201" i="1"/>
  <c r="U187" i="1"/>
  <c r="V190" i="1"/>
  <c r="Y195" i="1"/>
  <c r="Y199" i="1"/>
  <c r="U193" i="1"/>
  <c r="Z186" i="1"/>
  <c r="D73" i="169" s="1"/>
  <c r="V197" i="1"/>
  <c r="U201" i="1"/>
  <c r="X189" i="1"/>
  <c r="Y193" i="1"/>
  <c r="W197" i="1"/>
  <c r="Z193" i="1"/>
  <c r="D80" i="169" s="1"/>
  <c r="U199" i="1"/>
  <c r="T193" i="1"/>
  <c r="Y201" i="1"/>
  <c r="T194" i="1"/>
  <c r="AA198" i="1"/>
  <c r="C85" i="169" s="1"/>
  <c r="W189" i="1"/>
  <c r="W187" i="1"/>
  <c r="V196" i="1"/>
  <c r="X187" i="1"/>
  <c r="W199" i="1"/>
  <c r="Z189" i="1"/>
  <c r="D76" i="169" s="1"/>
  <c r="T199" i="1"/>
  <c r="U196" i="1"/>
  <c r="Z187" i="1"/>
  <c r="D74" i="169" s="1"/>
  <c r="W195" i="1"/>
  <c r="U197" i="1"/>
  <c r="Y196" i="1"/>
  <c r="Z197" i="1"/>
  <c r="D84" i="169" s="1"/>
  <c r="W194" i="1"/>
  <c r="Y188" i="1"/>
  <c r="Z199" i="1"/>
  <c r="D86" i="169" s="1"/>
  <c r="U189" i="1"/>
  <c r="U188" i="1"/>
  <c r="X196" i="1"/>
  <c r="Z195" i="1"/>
  <c r="V189" i="1"/>
  <c r="W198" i="1"/>
  <c r="T187" i="1"/>
  <c r="Z194" i="1"/>
  <c r="D81" i="169" s="1"/>
  <c r="U194" i="1"/>
  <c r="V186" i="1"/>
  <c r="V194" i="1"/>
  <c r="Y194" i="1"/>
  <c r="Y200" i="1"/>
  <c r="X198" i="1"/>
  <c r="Z196" i="1"/>
  <c r="D83" i="169" s="1"/>
  <c r="F83" i="169" s="1"/>
  <c r="E83" i="169" s="1"/>
  <c r="V198" i="1"/>
  <c r="V187" i="1"/>
  <c r="X186" i="1"/>
  <c r="Y189" i="1"/>
  <c r="V200" i="1"/>
  <c r="X194" i="1"/>
  <c r="X200" i="1"/>
  <c r="U190" i="1"/>
  <c r="W196" i="1"/>
  <c r="W188" i="1"/>
  <c r="U198" i="1"/>
  <c r="V195" i="1"/>
  <c r="Z190" i="1"/>
  <c r="Z188" i="1"/>
  <c r="D75" i="169" s="1"/>
  <c r="D9" i="169"/>
  <c r="F9" i="169" s="1"/>
  <c r="D8" i="169"/>
  <c r="D4" i="169"/>
  <c r="U158" i="1"/>
  <c r="U154" i="1"/>
  <c r="T154" i="1"/>
  <c r="T158" i="1"/>
  <c r="V159" i="1"/>
  <c r="W159" i="1"/>
  <c r="Y159" i="1"/>
  <c r="Z159" i="1"/>
  <c r="X159" i="1"/>
  <c r="Y11" i="57"/>
  <c r="Y23" i="57"/>
  <c r="Y65" i="57"/>
  <c r="Y11" i="35"/>
  <c r="Y79" i="35"/>
  <c r="Y80" i="35" s="1"/>
  <c r="Y5" i="35"/>
  <c r="Y53" i="57"/>
  <c r="Y57" i="57"/>
  <c r="Y47" i="57"/>
  <c r="Y65" i="35"/>
  <c r="Y21" i="57"/>
  <c r="Y47" i="35"/>
  <c r="Y29" i="57"/>
  <c r="Y77" i="35"/>
  <c r="Y45" i="57"/>
  <c r="Y35" i="57"/>
  <c r="Y33" i="57"/>
  <c r="Y17" i="35"/>
  <c r="Y59" i="35"/>
  <c r="Y71" i="57"/>
  <c r="Y7" i="35"/>
  <c r="Y8" i="35" s="1"/>
  <c r="Y17" i="57"/>
  <c r="Y25" i="35"/>
  <c r="Y26" i="35" s="1"/>
  <c r="Y9" i="57"/>
  <c r="Y41" i="35"/>
  <c r="Y13" i="35"/>
  <c r="Y14" i="35" s="1"/>
  <c r="Y23" i="35"/>
  <c r="Y49" i="35"/>
  <c r="Y50" i="35" s="1"/>
  <c r="Y37" i="35"/>
  <c r="Y38" i="35" s="1"/>
  <c r="Y29" i="35"/>
  <c r="Y39" i="57"/>
  <c r="Y61" i="35"/>
  <c r="Y62" i="35" s="1"/>
  <c r="Y41" i="57"/>
  <c r="Y59" i="57"/>
  <c r="Z13" i="35"/>
  <c r="Z14" i="35" s="1"/>
  <c r="Z65" i="57"/>
  <c r="Z59" i="35"/>
  <c r="Z35" i="57"/>
  <c r="Z51" i="57"/>
  <c r="Z29" i="35"/>
  <c r="AA77" i="35"/>
  <c r="AB65" i="57"/>
  <c r="AB27" i="57"/>
  <c r="AB63" i="57"/>
  <c r="E556" i="9"/>
  <c r="E557" i="9" s="1"/>
  <c r="AB41" i="57"/>
  <c r="AA67" i="35"/>
  <c r="AA68" i="35" s="1"/>
  <c r="AA33" i="57"/>
  <c r="AB71" i="57"/>
  <c r="AA27" i="57"/>
  <c r="Z45" i="57"/>
  <c r="Z90" i="35"/>
  <c r="Z27" i="57"/>
  <c r="Z41" i="57"/>
  <c r="Z25" i="35"/>
  <c r="Z26" i="35" s="1"/>
  <c r="Z37" i="35"/>
  <c r="Z38" i="35" s="1"/>
  <c r="Z53" i="35"/>
  <c r="Z5" i="35"/>
  <c r="Z43" i="35"/>
  <c r="Z44" i="35" s="1"/>
  <c r="Z29" i="57"/>
  <c r="Z57" i="57"/>
  <c r="AA79" i="35"/>
  <c r="AA80" i="35" s="1"/>
  <c r="AA35" i="57"/>
  <c r="AA39" i="57"/>
  <c r="AA41" i="35"/>
  <c r="AA5" i="35"/>
  <c r="AB45" i="57"/>
  <c r="AB29" i="57"/>
  <c r="AA37" i="35"/>
  <c r="AA38" i="35" s="1"/>
  <c r="Z19" i="35"/>
  <c r="Z20" i="35" s="1"/>
  <c r="AA47" i="57"/>
  <c r="AA49" i="35"/>
  <c r="AA50" i="35" s="1"/>
  <c r="AA71" i="57"/>
  <c r="O350" i="9"/>
  <c r="AB5" i="35"/>
  <c r="AA25" i="35"/>
  <c r="AA26" i="35" s="1"/>
  <c r="Q267" i="9"/>
  <c r="Q268" i="9" s="1"/>
  <c r="F24" i="9"/>
  <c r="F25" i="9" s="1"/>
  <c r="M556" i="9"/>
  <c r="M557" i="9" s="1"/>
  <c r="I104" i="9"/>
  <c r="I105" i="9" s="1"/>
  <c r="S227" i="9"/>
  <c r="S228" i="9" s="1"/>
  <c r="Y69" i="57"/>
  <c r="Y51" i="57"/>
  <c r="Y67" i="35"/>
  <c r="Y68" i="35" s="1"/>
  <c r="Y90" i="35"/>
  <c r="Y43" i="35"/>
  <c r="Y44" i="35" s="1"/>
  <c r="Y27" i="57"/>
  <c r="Y31" i="35"/>
  <c r="Y32" i="35" s="1"/>
  <c r="Y19" i="35"/>
  <c r="Y20" i="35" s="1"/>
  <c r="Y35" i="35"/>
  <c r="Y55" i="35"/>
  <c r="Y56" i="35" s="1"/>
  <c r="Y15" i="57"/>
  <c r="Y53" i="35"/>
  <c r="Y63" i="57"/>
  <c r="Z35" i="35"/>
  <c r="Z31" i="35"/>
  <c r="Z32" i="35" s="1"/>
  <c r="Z7" i="35"/>
  <c r="Z8" i="35" s="1"/>
  <c r="Y81" i="57"/>
  <c r="Z11" i="35"/>
  <c r="Z9" i="57"/>
  <c r="Z17" i="57"/>
  <c r="Z23" i="35"/>
  <c r="Z69" i="57"/>
  <c r="Z71" i="57"/>
  <c r="Z61" i="35"/>
  <c r="Z62" i="35" s="1"/>
  <c r="AB9" i="57"/>
  <c r="AB79" i="35"/>
  <c r="AB80" i="35" s="1"/>
  <c r="AA23" i="57"/>
  <c r="AA47" i="35"/>
  <c r="AB17" i="57"/>
  <c r="Z55" i="35"/>
  <c r="Z56" i="35" s="1"/>
  <c r="Z15" i="57"/>
  <c r="Z11" i="57"/>
  <c r="Z79" i="35"/>
  <c r="Z80" i="35" s="1"/>
  <c r="Z65" i="35"/>
  <c r="Z63" i="57"/>
  <c r="Z81" i="57"/>
  <c r="Z23" i="57"/>
  <c r="Z77" i="35"/>
  <c r="Z33" i="57"/>
  <c r="Z47" i="57"/>
  <c r="Z49" i="35"/>
  <c r="Z50" i="35" s="1"/>
  <c r="Z59" i="57"/>
  <c r="M3" i="28"/>
  <c r="AA7" i="35"/>
  <c r="AA8" i="35" s="1"/>
  <c r="AA17" i="35"/>
  <c r="AA65" i="57"/>
  <c r="AB15" i="57"/>
  <c r="AA81" i="57"/>
  <c r="AA11" i="57"/>
  <c r="AA63" i="57"/>
  <c r="AB37" i="35"/>
  <c r="AB38" i="35" s="1"/>
  <c r="AA65" i="35"/>
  <c r="AB61" i="35"/>
  <c r="AB62" i="35" s="1"/>
  <c r="AA11" i="35"/>
  <c r="AA17" i="57"/>
  <c r="AA59" i="35"/>
  <c r="AA31" i="35"/>
  <c r="AA32" i="35" s="1"/>
  <c r="AA35" i="35"/>
  <c r="AA53" i="35"/>
  <c r="M24" i="9"/>
  <c r="M25" i="9" s="1"/>
  <c r="K3" i="28"/>
  <c r="AB43" i="35"/>
  <c r="AB44" i="35" s="1"/>
  <c r="Q433" i="9"/>
  <c r="Q434" i="9" s="1"/>
  <c r="E24" i="9"/>
  <c r="E25" i="9" s="1"/>
  <c r="S350" i="9"/>
  <c r="G267" i="9"/>
  <c r="G268" i="9" s="1"/>
  <c r="J24" i="9"/>
  <c r="J25" i="9" s="1"/>
  <c r="AB29" i="35"/>
  <c r="K34" i="28"/>
  <c r="AB25" i="35"/>
  <c r="AB26" i="35" s="1"/>
  <c r="Z39" i="57"/>
  <c r="AA57" i="57"/>
  <c r="O227" i="9"/>
  <c r="O228" i="9" s="1"/>
  <c r="H391" i="9"/>
  <c r="H392" i="9" s="1"/>
  <c r="I391" i="9"/>
  <c r="I392" i="9" s="1"/>
  <c r="C391" i="9"/>
  <c r="C392" i="9" s="1"/>
  <c r="J391" i="9"/>
  <c r="J392" i="9" s="1"/>
  <c r="K104" i="9"/>
  <c r="K105" i="9" s="1"/>
  <c r="M6" i="28"/>
  <c r="L227" i="9"/>
  <c r="L228" i="9" s="1"/>
  <c r="M35" i="28"/>
  <c r="N391" i="9"/>
  <c r="N392" i="9" s="1"/>
  <c r="K64" i="9"/>
  <c r="K65" i="9" s="1"/>
  <c r="H267" i="9"/>
  <c r="H268" i="9" s="1"/>
  <c r="L267" i="9"/>
  <c r="L268" i="9" s="1"/>
  <c r="G24" i="9"/>
  <c r="G25" i="9" s="1"/>
  <c r="C267" i="9"/>
  <c r="C268" i="9" s="1"/>
  <c r="AA61" i="35"/>
  <c r="AA62" i="35" s="1"/>
  <c r="AA90" i="35"/>
  <c r="Z53" i="57"/>
  <c r="AA13" i="35"/>
  <c r="AA14" i="35" s="1"/>
  <c r="AB69" i="57"/>
  <c r="G391" i="9"/>
  <c r="G392" i="9" s="1"/>
  <c r="N433" i="9"/>
  <c r="N434" i="9" s="1"/>
  <c r="D227" i="9"/>
  <c r="D228" i="9" s="1"/>
  <c r="U392" i="9"/>
  <c r="M267" i="9"/>
  <c r="M268" i="9" s="1"/>
  <c r="S64" i="9"/>
  <c r="S65" i="9" s="1"/>
  <c r="I24" i="9"/>
  <c r="I25" i="9" s="1"/>
  <c r="AA51" i="57"/>
  <c r="Z41" i="35"/>
  <c r="Z47" i="35"/>
  <c r="AB47" i="57"/>
  <c r="AA29" i="35"/>
  <c r="AA45" i="57"/>
  <c r="D24" i="9"/>
  <c r="D25" i="9" s="1"/>
  <c r="L24" i="9"/>
  <c r="L25" i="9" s="1"/>
  <c r="K37" i="28"/>
  <c r="N350" i="9"/>
  <c r="M64" i="9"/>
  <c r="M65" i="9" s="1"/>
  <c r="M27" i="28"/>
  <c r="AB17" i="35"/>
  <c r="AA21" i="57"/>
  <c r="AB57" i="57"/>
  <c r="AA55" i="35"/>
  <c r="AA56" i="35" s="1"/>
  <c r="AB23" i="57"/>
  <c r="T350" i="9"/>
  <c r="K6" i="28"/>
  <c r="I433" i="9"/>
  <c r="I434" i="9" s="1"/>
  <c r="K32" i="28"/>
  <c r="H433" i="9"/>
  <c r="H434" i="9" s="1"/>
  <c r="K25" i="28"/>
  <c r="L104" i="9"/>
  <c r="L105" i="9" s="1"/>
  <c r="I350" i="9"/>
  <c r="H104" i="9"/>
  <c r="H105" i="9" s="1"/>
  <c r="K350" i="9"/>
  <c r="K26" i="28"/>
  <c r="M32" i="28"/>
  <c r="M21" i="28"/>
  <c r="J350" i="9"/>
  <c r="E267" i="9"/>
  <c r="E268" i="9" s="1"/>
  <c r="K28" i="28"/>
  <c r="R556" i="9"/>
  <c r="R557" i="9" s="1"/>
  <c r="J227" i="9"/>
  <c r="J228" i="9" s="1"/>
  <c r="K29" i="28"/>
  <c r="AA9" i="57"/>
  <c r="AA43" i="35"/>
  <c r="AA44" i="35" s="1"/>
  <c r="K4" i="28"/>
  <c r="N4" i="28" s="1"/>
  <c r="Q4" i="28" s="1"/>
  <c r="R64" i="9"/>
  <c r="R65" i="9" s="1"/>
  <c r="F350" i="9"/>
  <c r="R267" i="9"/>
  <c r="R268" i="9" s="1"/>
  <c r="M350" i="9"/>
  <c r="H227" i="9"/>
  <c r="H228" i="9" s="1"/>
  <c r="M19" i="28"/>
  <c r="J64" i="9"/>
  <c r="J65" i="9" s="1"/>
  <c r="M9" i="28"/>
  <c r="H64" i="9"/>
  <c r="H65" i="9" s="1"/>
  <c r="AA19" i="35"/>
  <c r="AA20" i="35" s="1"/>
  <c r="AA29" i="57"/>
  <c r="AA41" i="57"/>
  <c r="AB51" i="57"/>
  <c r="R24" i="9"/>
  <c r="R25" i="9" s="1"/>
  <c r="I64" i="9"/>
  <c r="I65" i="9" s="1"/>
  <c r="K7" i="28"/>
  <c r="D350" i="9"/>
  <c r="O433" i="9"/>
  <c r="O434" i="9" s="1"/>
  <c r="L64" i="9"/>
  <c r="L65" i="9" s="1"/>
  <c r="G433" i="9"/>
  <c r="G434" i="9" s="1"/>
  <c r="C24" i="9"/>
  <c r="C25" i="9" s="1"/>
  <c r="M36" i="28"/>
  <c r="O556" i="9"/>
  <c r="O557" i="9" s="1"/>
  <c r="T391" i="9"/>
  <c r="T392" i="9" s="1"/>
  <c r="Z21" i="57"/>
  <c r="AB59" i="57"/>
  <c r="AA53" i="57"/>
  <c r="AA23" i="35"/>
  <c r="F556" i="9"/>
  <c r="F557" i="9" s="1"/>
  <c r="S391" i="9"/>
  <c r="S392" i="9" s="1"/>
  <c r="T433" i="9"/>
  <c r="T434" i="9" s="1"/>
  <c r="AB55" i="35"/>
  <c r="AB56" i="35" s="1"/>
  <c r="R227" i="9"/>
  <c r="R228" i="9" s="1"/>
  <c r="I267" i="9"/>
  <c r="I268" i="9" s="1"/>
  <c r="K5" i="28"/>
  <c r="G104" i="9"/>
  <c r="G105" i="9" s="1"/>
  <c r="AB13" i="35"/>
  <c r="AB14" i="35" s="1"/>
  <c r="AB81" i="57"/>
  <c r="AB49" i="35"/>
  <c r="AB50" i="35" s="1"/>
  <c r="Z67" i="35"/>
  <c r="Z68" i="35" s="1"/>
  <c r="AA15" i="57"/>
  <c r="K13" i="28"/>
  <c r="K24" i="28"/>
  <c r="J433" i="9"/>
  <c r="J434" i="9" s="1"/>
  <c r="O104" i="9"/>
  <c r="O105" i="9" s="1"/>
  <c r="F391" i="9"/>
  <c r="F392" i="9" s="1"/>
  <c r="G227" i="9"/>
  <c r="G228" i="9" s="1"/>
  <c r="D391" i="9"/>
  <c r="D392" i="9" s="1"/>
  <c r="AB21" i="57"/>
  <c r="AB90" i="35"/>
  <c r="AA59" i="57"/>
  <c r="AA69" i="57"/>
  <c r="AB23" i="35"/>
  <c r="H350" i="9"/>
  <c r="C433" i="9"/>
  <c r="C434" i="9" s="1"/>
  <c r="M24" i="28"/>
  <c r="P104" i="9"/>
  <c r="P105" i="9" s="1"/>
  <c r="E104" i="9"/>
  <c r="E105" i="9" s="1"/>
  <c r="T24" i="9"/>
  <c r="T25" i="9" s="1"/>
  <c r="M15" i="28"/>
  <c r="C556" i="9"/>
  <c r="C557" i="9" s="1"/>
  <c r="D64" i="9"/>
  <c r="D65" i="9" s="1"/>
  <c r="Q24" i="9"/>
  <c r="Q25" i="9" s="1"/>
  <c r="K24" i="9"/>
  <c r="K25" i="9" s="1"/>
  <c r="Z17" i="35"/>
  <c r="AB39" i="57"/>
  <c r="E433" i="9"/>
  <c r="E434" i="9" s="1"/>
  <c r="T227" i="9"/>
  <c r="T228" i="9" s="1"/>
  <c r="R104" i="9"/>
  <c r="R105" i="9" s="1"/>
  <c r="P391" i="9"/>
  <c r="P392" i="9" s="1"/>
  <c r="H24" i="9"/>
  <c r="H25" i="9" s="1"/>
  <c r="K40" i="28"/>
  <c r="S267" i="9"/>
  <c r="S268" i="9" s="1"/>
  <c r="Q556" i="9"/>
  <c r="Q557" i="9" s="1"/>
  <c r="M41" i="28"/>
  <c r="Q391" i="9"/>
  <c r="Q392" i="9" s="1"/>
  <c r="U350" i="9"/>
  <c r="Q104" i="9"/>
  <c r="Q105" i="9" s="1"/>
  <c r="U267" i="9"/>
  <c r="U268" i="9" s="1"/>
  <c r="K27" i="28"/>
  <c r="L433" i="9"/>
  <c r="L434" i="9" s="1"/>
  <c r="Q64" i="9"/>
  <c r="Q65" i="9" s="1"/>
  <c r="N267" i="9"/>
  <c r="N268" i="9" s="1"/>
  <c r="U25" i="9"/>
  <c r="C104" i="9"/>
  <c r="C105" i="9" s="1"/>
  <c r="M227" i="9"/>
  <c r="M228" i="9" s="1"/>
  <c r="F64" i="9"/>
  <c r="F65" i="9" s="1"/>
  <c r="J556" i="9"/>
  <c r="J557" i="9" s="1"/>
  <c r="M47" i="28"/>
  <c r="R433" i="9"/>
  <c r="R434" i="9" s="1"/>
  <c r="K9" i="28"/>
  <c r="K46" i="28"/>
  <c r="K14" i="28"/>
  <c r="S556" i="9"/>
  <c r="S557" i="9" s="1"/>
  <c r="M40" i="28"/>
  <c r="M17" i="28"/>
  <c r="K41" i="28"/>
  <c r="M42" i="28"/>
  <c r="T104" i="9"/>
  <c r="T105" i="9" s="1"/>
  <c r="M33" i="28"/>
  <c r="Q227" i="9"/>
  <c r="Q228" i="9" s="1"/>
  <c r="E64" i="9"/>
  <c r="E65" i="9" s="1"/>
  <c r="U557" i="9"/>
  <c r="G64" i="9"/>
  <c r="G65" i="9" s="1"/>
  <c r="S24" i="9"/>
  <c r="S25" i="9" s="1"/>
  <c r="L556" i="9"/>
  <c r="L557" i="9" s="1"/>
  <c r="K391" i="9"/>
  <c r="K392" i="9" s="1"/>
  <c r="J267" i="9"/>
  <c r="J268" i="9" s="1"/>
  <c r="K267" i="9"/>
  <c r="K268" i="9" s="1"/>
  <c r="K8" i="28"/>
  <c r="M38" i="28"/>
  <c r="AB77" i="35"/>
  <c r="U228" i="9"/>
  <c r="C350" i="9"/>
  <c r="T556" i="9"/>
  <c r="T557" i="9" s="1"/>
  <c r="P64" i="9"/>
  <c r="P65" i="9" s="1"/>
  <c r="M39" i="28"/>
  <c r="N104" i="9"/>
  <c r="N105" i="9" s="1"/>
  <c r="F267" i="9"/>
  <c r="F268" i="9" s="1"/>
  <c r="M104" i="9"/>
  <c r="M105" i="9" s="1"/>
  <c r="AB59" i="35"/>
  <c r="M26" i="28"/>
  <c r="U64" i="9"/>
  <c r="U65" i="9" s="1"/>
  <c r="P433" i="9"/>
  <c r="P434" i="9" s="1"/>
  <c r="I556" i="9"/>
  <c r="I557" i="9" s="1"/>
  <c r="P267" i="9"/>
  <c r="P268" i="9" s="1"/>
  <c r="P24" i="9"/>
  <c r="P25" i="9" s="1"/>
  <c r="N227" i="9"/>
  <c r="N228" i="9" s="1"/>
  <c r="AB65" i="35"/>
  <c r="O391" i="9"/>
  <c r="O392" i="9" s="1"/>
  <c r="AB19" i="35"/>
  <c r="AB20" i="35" s="1"/>
  <c r="K18" i="28"/>
  <c r="AB35" i="35"/>
  <c r="N64" i="9"/>
  <c r="N65" i="9" s="1"/>
  <c r="K227" i="9"/>
  <c r="K228" i="9" s="1"/>
  <c r="K556" i="9"/>
  <c r="K557" i="9" s="1"/>
  <c r="E391" i="9"/>
  <c r="E392" i="9" s="1"/>
  <c r="G350" i="9"/>
  <c r="F227" i="9"/>
  <c r="F228" i="9" s="1"/>
  <c r="M22" i="28"/>
  <c r="K36" i="28"/>
  <c r="E350" i="9"/>
  <c r="N556" i="9"/>
  <c r="N557" i="9" s="1"/>
  <c r="O267" i="9"/>
  <c r="O268" i="9" s="1"/>
  <c r="P227" i="9"/>
  <c r="P228" i="9" s="1"/>
  <c r="K12" i="28"/>
  <c r="O24" i="9"/>
  <c r="O25" i="9" s="1"/>
  <c r="R350" i="9"/>
  <c r="AB11" i="35"/>
  <c r="K45" i="28"/>
  <c r="K15" i="28"/>
  <c r="K42" i="28"/>
  <c r="K38" i="28"/>
  <c r="AB7" i="35"/>
  <c r="AB8" i="35" s="1"/>
  <c r="M43" i="28"/>
  <c r="K23" i="28"/>
  <c r="M4" i="28"/>
  <c r="M7" i="28"/>
  <c r="M10" i="28"/>
  <c r="K39" i="28"/>
  <c r="K47" i="28"/>
  <c r="D556" i="9"/>
  <c r="D557" i="9" s="1"/>
  <c r="K11" i="28"/>
  <c r="N24" i="9"/>
  <c r="N25" i="9" s="1"/>
  <c r="M433" i="9"/>
  <c r="M434" i="9" s="1"/>
  <c r="M30" i="28"/>
  <c r="K31" i="28"/>
  <c r="I227" i="9"/>
  <c r="I228" i="9" s="1"/>
  <c r="P556" i="9"/>
  <c r="P557" i="9" s="1"/>
  <c r="U433" i="9"/>
  <c r="U434" i="9" s="1"/>
  <c r="F433" i="9"/>
  <c r="F434" i="9" s="1"/>
  <c r="P350" i="9"/>
  <c r="M16" i="28"/>
  <c r="M18" i="28"/>
  <c r="M44" i="28"/>
  <c r="M46" i="28"/>
  <c r="C64" i="9"/>
  <c r="C65" i="9" s="1"/>
  <c r="E227" i="9"/>
  <c r="E228" i="9" s="1"/>
  <c r="K20" i="28"/>
  <c r="T267" i="9"/>
  <c r="T268" i="9" s="1"/>
  <c r="AB11" i="57"/>
  <c r="M48" i="28"/>
  <c r="K16" i="28"/>
  <c r="K21" i="28"/>
  <c r="M20" i="28"/>
  <c r="M11" i="28"/>
  <c r="M34" i="28"/>
  <c r="Q350" i="9"/>
  <c r="M31" i="28"/>
  <c r="L350" i="9"/>
  <c r="K43" i="28"/>
  <c r="S433" i="9"/>
  <c r="S434" i="9" s="1"/>
  <c r="K30" i="28"/>
  <c r="AB35" i="57"/>
  <c r="D433" i="9"/>
  <c r="D434" i="9" s="1"/>
  <c r="L391" i="9"/>
  <c r="L392" i="9" s="1"/>
  <c r="T64" i="9"/>
  <c r="T65" i="9" s="1"/>
  <c r="F104" i="9"/>
  <c r="F105" i="9" s="1"/>
  <c r="K48" i="28"/>
  <c r="K33" i="28"/>
  <c r="M45" i="28"/>
  <c r="M28" i="28"/>
  <c r="M14" i="28"/>
  <c r="AB31" i="35"/>
  <c r="AB32" i="35" s="1"/>
  <c r="M23" i="28"/>
  <c r="G556" i="9"/>
  <c r="G557" i="9" s="1"/>
  <c r="O64" i="9"/>
  <c r="O65" i="9" s="1"/>
  <c r="AB47" i="35"/>
  <c r="J104" i="9"/>
  <c r="J105" i="9" s="1"/>
  <c r="U104" i="9"/>
  <c r="U105" i="9" s="1"/>
  <c r="AB53" i="35"/>
  <c r="D104" i="9"/>
  <c r="D105" i="9" s="1"/>
  <c r="K35" i="28"/>
  <c r="M25" i="28"/>
  <c r="AB33" i="57"/>
  <c r="M29" i="28"/>
  <c r="K44" i="28"/>
  <c r="M37" i="28"/>
  <c r="M49" i="28"/>
  <c r="K10" i="28"/>
  <c r="AB67" i="35"/>
  <c r="AB68" i="35" s="1"/>
  <c r="M13" i="28"/>
  <c r="M8" i="28"/>
  <c r="C227" i="9"/>
  <c r="C228" i="9" s="1"/>
  <c r="M391" i="9"/>
  <c r="M392" i="9" s="1"/>
  <c r="AB53" i="57"/>
  <c r="R391" i="9"/>
  <c r="R392" i="9" s="1"/>
  <c r="S104" i="9"/>
  <c r="S105" i="9" s="1"/>
  <c r="H556" i="9"/>
  <c r="H557" i="9" s="1"/>
  <c r="M12" i="28"/>
  <c r="K22" i="28"/>
  <c r="K19" i="28"/>
  <c r="K433" i="9"/>
  <c r="K434" i="9" s="1"/>
  <c r="M5" i="28"/>
  <c r="AB41" i="35"/>
  <c r="K17" i="28"/>
  <c r="D267" i="9"/>
  <c r="D268" i="9" s="1"/>
  <c r="V97" i="1"/>
  <c r="V252" i="1" s="1"/>
  <c r="V60" i="1"/>
  <c r="V91" i="1"/>
  <c r="V251" i="1" s="1"/>
  <c r="AB3" i="1"/>
  <c r="Y60" i="1"/>
  <c r="W60" i="1"/>
  <c r="X43" i="1"/>
  <c r="X97" i="1"/>
  <c r="X252" i="1" s="1"/>
  <c r="V43" i="1"/>
  <c r="V44" i="1"/>
  <c r="W44" i="1"/>
  <c r="W97" i="1"/>
  <c r="W252" i="1" s="1"/>
  <c r="W91" i="1"/>
  <c r="W251" i="1" s="1"/>
  <c r="X60" i="1"/>
  <c r="W43" i="1"/>
  <c r="AA42" i="1"/>
  <c r="Y44" i="1"/>
  <c r="Z43" i="1"/>
  <c r="AA46" i="1"/>
  <c r="Y91" i="1"/>
  <c r="Y251" i="1" s="1"/>
  <c r="AA189" i="1"/>
  <c r="C76" i="169" s="1"/>
  <c r="AA60" i="1"/>
  <c r="Z91" i="1"/>
  <c r="Z251" i="1" s="1"/>
  <c r="F21" i="169" s="1"/>
  <c r="E21" i="169" s="1"/>
  <c r="Z45" i="1"/>
  <c r="AA41" i="1"/>
  <c r="AA187" i="1"/>
  <c r="C74" i="169" s="1"/>
  <c r="X44" i="1"/>
  <c r="Z60" i="1"/>
  <c r="AA186" i="1"/>
  <c r="AA45" i="1"/>
  <c r="X91" i="1"/>
  <c r="X251" i="1" s="1"/>
  <c r="AA201" i="1"/>
  <c r="C88" i="169" s="1"/>
  <c r="AA194" i="1"/>
  <c r="C81" i="169" s="1"/>
  <c r="AA200" i="1"/>
  <c r="C87" i="169" s="1"/>
  <c r="AA47" i="1"/>
  <c r="Y97" i="1"/>
  <c r="Y252" i="1" s="1"/>
  <c r="Y43" i="1"/>
  <c r="AA193" i="1"/>
  <c r="C80" i="169" s="1"/>
  <c r="X65" i="35"/>
  <c r="X13" i="35"/>
  <c r="X14" i="35" s="1"/>
  <c r="X11" i="35"/>
  <c r="T185" i="1"/>
  <c r="T246" i="1"/>
  <c r="T60" i="1"/>
  <c r="U60" i="1"/>
  <c r="U44" i="1"/>
  <c r="X9" i="57"/>
  <c r="X11" i="57"/>
  <c r="U97" i="1"/>
  <c r="U252" i="1" s="1"/>
  <c r="X41" i="35"/>
  <c r="X43" i="35"/>
  <c r="X44" i="35" s="1"/>
  <c r="X35" i="35"/>
  <c r="X47" i="35"/>
  <c r="X49" i="35"/>
  <c r="X50" i="35" s="1"/>
  <c r="R22" i="53"/>
  <c r="R25" i="53" s="1"/>
  <c r="Q94" i="53"/>
  <c r="Q97" i="53" s="1"/>
  <c r="AF11" i="41"/>
  <c r="M62" i="53"/>
  <c r="M65" i="53" s="1"/>
  <c r="N78" i="53"/>
  <c r="N81" i="53" s="1"/>
  <c r="Q70" i="53"/>
  <c r="Q73" i="53" s="1"/>
  <c r="P6" i="53"/>
  <c r="P9" i="53" s="1"/>
  <c r="AF7" i="41"/>
  <c r="AD15" i="41"/>
  <c r="AE15" i="41"/>
  <c r="P113" i="53"/>
  <c r="P110" i="53"/>
  <c r="R14" i="53"/>
  <c r="R17" i="53" s="1"/>
  <c r="T6" i="53"/>
  <c r="T9" i="53" s="1"/>
  <c r="W78" i="53"/>
  <c r="W81" i="53" s="1"/>
  <c r="U110" i="53"/>
  <c r="U113" i="53"/>
  <c r="AF10" i="41"/>
  <c r="T62" i="53"/>
  <c r="T65" i="53" s="1"/>
  <c r="S14" i="53"/>
  <c r="S17" i="53" s="1"/>
  <c r="K86" i="53"/>
  <c r="K89" i="53" s="1"/>
  <c r="X62" i="53"/>
  <c r="X65" i="53" s="1"/>
  <c r="AB17" i="41"/>
  <c r="V30" i="53"/>
  <c r="V33" i="53" s="1"/>
  <c r="AC2" i="53"/>
  <c r="Q6" i="53"/>
  <c r="Q9" i="53" s="1"/>
  <c r="T86" i="53"/>
  <c r="T89" i="53" s="1"/>
  <c r="Q78" i="53"/>
  <c r="Q81" i="53" s="1"/>
  <c r="L110" i="53"/>
  <c r="L113" i="53"/>
  <c r="AF13" i="41"/>
  <c r="N70" i="53"/>
  <c r="N73" i="53" s="1"/>
  <c r="AB14" i="41"/>
  <c r="O94" i="53"/>
  <c r="O97" i="53" s="1"/>
  <c r="N6" i="53"/>
  <c r="N9" i="53" s="1"/>
  <c r="AB11" i="41"/>
  <c r="Q22" i="53"/>
  <c r="Q25" i="53" s="1"/>
  <c r="M14" i="53"/>
  <c r="M17" i="53" s="1"/>
  <c r="Y110" i="53"/>
  <c r="Y113" i="53"/>
  <c r="K70" i="53"/>
  <c r="K73" i="53" s="1"/>
  <c r="AD7" i="41"/>
  <c r="AE7" i="41"/>
  <c r="AD107" i="53"/>
  <c r="AC107" i="53"/>
  <c r="T110" i="53"/>
  <c r="T113" i="53"/>
  <c r="AE11" i="41"/>
  <c r="AD11" i="41"/>
  <c r="L62" i="53"/>
  <c r="L65" i="53" s="1"/>
  <c r="AC92" i="53"/>
  <c r="AD92" i="53"/>
  <c r="N30" i="53"/>
  <c r="N33" i="53" s="1"/>
  <c r="AB7" i="41"/>
  <c r="Z14" i="41"/>
  <c r="AA14" i="41"/>
  <c r="AC14" i="41"/>
  <c r="Y94" i="53"/>
  <c r="Y97" i="53" s="1"/>
  <c r="AA5" i="41"/>
  <c r="Z5" i="41"/>
  <c r="AC5" i="41"/>
  <c r="AB6" i="41"/>
  <c r="O22" i="53"/>
  <c r="O25" i="53" s="1"/>
  <c r="T78" i="53"/>
  <c r="T81" i="53" s="1"/>
  <c r="AC91" i="53"/>
  <c r="AD91" i="53"/>
  <c r="U78" i="53"/>
  <c r="U81" i="53" s="1"/>
  <c r="AD17" i="41"/>
  <c r="AE17" i="41"/>
  <c r="AF15" i="41"/>
  <c r="AD4" i="53"/>
  <c r="AC4" i="53"/>
  <c r="AB12" i="41"/>
  <c r="V113" i="53"/>
  <c r="V110" i="53"/>
  <c r="N71" i="118"/>
  <c r="N74" i="118"/>
  <c r="X94" i="53"/>
  <c r="X97" i="53" s="1"/>
  <c r="T22" i="53"/>
  <c r="T25" i="53" s="1"/>
  <c r="AB13" i="41"/>
  <c r="M70" i="53"/>
  <c r="M73" i="53" s="1"/>
  <c r="T14" i="53"/>
  <c r="T17" i="53" s="1"/>
  <c r="M50" i="118"/>
  <c r="M47" i="118"/>
  <c r="AA30" i="53"/>
  <c r="AA33" i="53" s="1"/>
  <c r="N94" i="53"/>
  <c r="N97" i="53" s="1"/>
  <c r="AD75" i="53"/>
  <c r="AC75" i="53"/>
  <c r="X113" i="53"/>
  <c r="X110" i="53"/>
  <c r="X14" i="53"/>
  <c r="X17" i="53" s="1"/>
  <c r="W30" i="53"/>
  <c r="W33" i="53" s="1"/>
  <c r="W94" i="53"/>
  <c r="W97" i="53" s="1"/>
  <c r="V6" i="53"/>
  <c r="V9" i="53" s="1"/>
  <c r="AD59" i="53"/>
  <c r="AC59" i="53"/>
  <c r="X86" i="53"/>
  <c r="X89" i="53" s="1"/>
  <c r="AC11" i="41"/>
  <c r="AA11" i="41"/>
  <c r="Z11" i="41"/>
  <c r="AE10" i="41"/>
  <c r="AD10" i="41"/>
  <c r="K62" i="53"/>
  <c r="K65" i="53" s="1"/>
  <c r="M78" i="53"/>
  <c r="M81" i="53" s="1"/>
  <c r="AD6" i="41"/>
  <c r="AE6" i="41"/>
  <c r="T94" i="53"/>
  <c r="T97" i="53" s="1"/>
  <c r="K22" i="53"/>
  <c r="K25" i="53" s="1"/>
  <c r="AC84" i="53"/>
  <c r="AD84" i="53"/>
  <c r="M30" i="53"/>
  <c r="M33" i="53" s="1"/>
  <c r="V14" i="53"/>
  <c r="V17" i="53" s="1"/>
  <c r="AD20" i="53"/>
  <c r="AC20" i="53"/>
  <c r="Z22" i="53"/>
  <c r="Z25" i="53" s="1"/>
  <c r="AC10" i="41"/>
  <c r="Z10" i="41"/>
  <c r="AA10" i="41"/>
  <c r="W14" i="53"/>
  <c r="W17" i="53" s="1"/>
  <c r="AE13" i="41"/>
  <c r="AD13" i="41"/>
  <c r="S86" i="53"/>
  <c r="S89" i="53" s="1"/>
  <c r="L78" i="53"/>
  <c r="L81" i="53" s="1"/>
  <c r="Z86" i="53"/>
  <c r="Z89" i="53" s="1"/>
  <c r="AE5" i="41"/>
  <c r="AD5" i="41"/>
  <c r="X30" i="53"/>
  <c r="X33" i="53" s="1"/>
  <c r="H35" i="118"/>
  <c r="H38" i="118"/>
  <c r="AD14" i="41"/>
  <c r="AE14" i="41"/>
  <c r="AB94" i="53"/>
  <c r="AB97" i="53" s="1"/>
  <c r="AA70" i="53"/>
  <c r="AA73" i="53" s="1"/>
  <c r="R62" i="53"/>
  <c r="R65" i="53" s="1"/>
  <c r="S78" i="53"/>
  <c r="S81" i="53" s="1"/>
  <c r="V70" i="53"/>
  <c r="V73" i="53" s="1"/>
  <c r="R6" i="53"/>
  <c r="R9" i="53" s="1"/>
  <c r="S110" i="53"/>
  <c r="S113" i="53"/>
  <c r="AB70" i="53"/>
  <c r="AB73" i="53" s="1"/>
  <c r="W6" i="53"/>
  <c r="W9" i="53" s="1"/>
  <c r="V78" i="53"/>
  <c r="V81" i="53" s="1"/>
  <c r="U30" i="53"/>
  <c r="U33" i="53" s="1"/>
  <c r="P30" i="53"/>
  <c r="P33" i="53" s="1"/>
  <c r="AE12" i="41"/>
  <c r="AD12" i="41"/>
  <c r="V62" i="53"/>
  <c r="V65" i="53" s="1"/>
  <c r="AA13" i="41"/>
  <c r="Z13" i="41"/>
  <c r="AC13" i="41"/>
  <c r="AF12" i="41"/>
  <c r="AB10" i="41"/>
  <c r="Z15" i="41"/>
  <c r="AC15" i="41"/>
  <c r="AA15" i="41"/>
  <c r="AB15" i="41"/>
  <c r="AD3" i="53"/>
  <c r="AC3" i="53"/>
  <c r="L14" i="53"/>
  <c r="L17" i="53" s="1"/>
  <c r="AB30" i="53"/>
  <c r="AB33" i="53" s="1"/>
  <c r="U86" i="53"/>
  <c r="U89" i="53" s="1"/>
  <c r="T30" i="53"/>
  <c r="T33" i="53" s="1"/>
  <c r="O70" i="53"/>
  <c r="O73" i="53" s="1"/>
  <c r="Z6" i="41"/>
  <c r="AA6" i="41"/>
  <c r="AC6" i="41"/>
  <c r="U62" i="53"/>
  <c r="U65" i="53" s="1"/>
  <c r="P78" i="53"/>
  <c r="P81" i="53" s="1"/>
  <c r="AF14" i="41"/>
  <c r="M22" i="53"/>
  <c r="M25" i="53" s="1"/>
  <c r="AA78" i="53"/>
  <c r="AA81" i="53" s="1"/>
  <c r="AC76" i="53"/>
  <c r="AD76" i="53"/>
  <c r="S62" i="53"/>
  <c r="S65" i="53" s="1"/>
  <c r="O86" i="53"/>
  <c r="O89" i="53" s="1"/>
  <c r="AC17" i="41"/>
  <c r="AA17" i="41"/>
  <c r="Z17" i="41"/>
  <c r="Z110" i="53"/>
  <c r="Z113" i="53"/>
  <c r="R30" i="53"/>
  <c r="R33" i="53" s="1"/>
  <c r="U14" i="53"/>
  <c r="U17" i="53" s="1"/>
  <c r="AA7" i="41"/>
  <c r="Z7" i="41"/>
  <c r="AC7" i="41"/>
  <c r="AA110" i="53"/>
  <c r="AA113" i="53"/>
  <c r="Y86" i="53"/>
  <c r="Y89" i="53" s="1"/>
  <c r="S6" i="53"/>
  <c r="S9" i="53" s="1"/>
  <c r="AB5" i="41"/>
  <c r="Z70" i="53"/>
  <c r="Z73" i="53" s="1"/>
  <c r="AC60" i="53"/>
  <c r="AD60" i="53"/>
  <c r="O62" i="53"/>
  <c r="O65" i="53" s="1"/>
  <c r="Z30" i="53"/>
  <c r="Z33" i="53" s="1"/>
  <c r="S22" i="53"/>
  <c r="S25" i="53" s="1"/>
  <c r="AC12" i="53"/>
  <c r="AD12" i="53"/>
  <c r="R70" i="53"/>
  <c r="R73" i="53" s="1"/>
  <c r="Y30" i="53"/>
  <c r="Y33" i="53" s="1"/>
  <c r="R86" i="53"/>
  <c r="R89" i="53" s="1"/>
  <c r="AC11" i="53"/>
  <c r="AD11" i="53"/>
  <c r="AD68" i="53"/>
  <c r="AC68" i="53"/>
  <c r="P70" i="53"/>
  <c r="P73" i="53" s="1"/>
  <c r="AC83" i="53"/>
  <c r="AD83" i="53"/>
  <c r="M71" i="118"/>
  <c r="M74" i="118"/>
  <c r="K94" i="53"/>
  <c r="K97" i="53" s="1"/>
  <c r="O113" i="53"/>
  <c r="O110" i="53"/>
  <c r="L30" i="53"/>
  <c r="L33" i="53" s="1"/>
  <c r="AB78" i="53"/>
  <c r="AB81" i="53" s="1"/>
  <c r="AF6" i="41"/>
  <c r="U94" i="53"/>
  <c r="U97" i="53" s="1"/>
  <c r="M94" i="53"/>
  <c r="M97" i="53" s="1"/>
  <c r="T70" i="53"/>
  <c r="T73" i="53" s="1"/>
  <c r="Z62" i="53"/>
  <c r="Z65" i="53" s="1"/>
  <c r="N14" i="53"/>
  <c r="N17" i="53" s="1"/>
  <c r="U6" i="53"/>
  <c r="U9" i="53" s="1"/>
  <c r="AA14" i="53"/>
  <c r="AA17" i="53" s="1"/>
  <c r="AD67" i="53"/>
  <c r="AC67" i="53"/>
  <c r="AF17" i="41"/>
  <c r="AA12" i="41"/>
  <c r="AC12" i="41"/>
  <c r="Z12" i="41"/>
  <c r="O6" i="53"/>
  <c r="O9" i="53" s="1"/>
  <c r="L22" i="53"/>
  <c r="L25" i="53" s="1"/>
  <c r="J59" i="118"/>
  <c r="J62" i="118"/>
  <c r="F44" i="118"/>
  <c r="F41" i="118"/>
  <c r="O14" i="118"/>
  <c r="O11" i="118"/>
  <c r="G53" i="118"/>
  <c r="G56" i="118"/>
  <c r="AB113" i="53"/>
  <c r="AB110" i="53"/>
  <c r="Y22" i="53"/>
  <c r="Y25" i="53" s="1"/>
  <c r="P5" i="118"/>
  <c r="P8" i="118"/>
  <c r="L74" i="118"/>
  <c r="L71" i="118"/>
  <c r="R94" i="53"/>
  <c r="R97" i="53" s="1"/>
  <c r="L35" i="118"/>
  <c r="L38" i="118"/>
  <c r="I14" i="118"/>
  <c r="I11" i="118"/>
  <c r="N44" i="118"/>
  <c r="N41" i="118"/>
  <c r="M44" i="118"/>
  <c r="M41" i="118"/>
  <c r="Q30" i="53"/>
  <c r="Q33" i="53" s="1"/>
  <c r="N86" i="53"/>
  <c r="N89" i="53" s="1"/>
  <c r="M17" i="118"/>
  <c r="M20" i="118"/>
  <c r="O74" i="118"/>
  <c r="O71" i="118"/>
  <c r="L70" i="53"/>
  <c r="L73" i="53" s="1"/>
  <c r="AC27" i="53"/>
  <c r="AD27" i="53"/>
  <c r="U70" i="53"/>
  <c r="U73" i="53" s="1"/>
  <c r="AA62" i="53"/>
  <c r="AA65" i="53" s="1"/>
  <c r="AD108" i="53"/>
  <c r="AC108" i="53"/>
  <c r="P22" i="53"/>
  <c r="P25" i="53" s="1"/>
  <c r="H59" i="118"/>
  <c r="H62" i="118"/>
  <c r="K17" i="118"/>
  <c r="K20" i="118"/>
  <c r="J20" i="118"/>
  <c r="J17" i="118"/>
  <c r="Z94" i="53"/>
  <c r="Z97" i="53" s="1"/>
  <c r="L86" i="53"/>
  <c r="L89" i="53" s="1"/>
  <c r="G11" i="118"/>
  <c r="G14" i="118"/>
  <c r="K35" i="118"/>
  <c r="K38" i="118"/>
  <c r="K110" i="53"/>
  <c r="K113" i="53"/>
  <c r="Q52" i="118"/>
  <c r="J47" i="118"/>
  <c r="J50" i="118"/>
  <c r="V22" i="53"/>
  <c r="V25" i="53" s="1"/>
  <c r="V86" i="53"/>
  <c r="V89" i="53" s="1"/>
  <c r="O20" i="118"/>
  <c r="O17" i="118"/>
  <c r="J35" i="118"/>
  <c r="J38" i="118"/>
  <c r="S30" i="53"/>
  <c r="S33" i="53" s="1"/>
  <c r="H50" i="118"/>
  <c r="H47" i="118"/>
  <c r="P62" i="118"/>
  <c r="P59" i="118"/>
  <c r="N62" i="53"/>
  <c r="N65" i="53" s="1"/>
  <c r="F35" i="118"/>
  <c r="F38" i="118"/>
  <c r="S70" i="53"/>
  <c r="S73" i="53" s="1"/>
  <c r="L6" i="53"/>
  <c r="L9" i="53" s="1"/>
  <c r="M5" i="118"/>
  <c r="M8" i="118"/>
  <c r="I8" i="118"/>
  <c r="I5" i="118"/>
  <c r="M86" i="53"/>
  <c r="M89" i="53" s="1"/>
  <c r="J14" i="118"/>
  <c r="J11" i="118"/>
  <c r="H71" i="118"/>
  <c r="H74" i="118"/>
  <c r="AF5" i="41"/>
  <c r="AA6" i="53"/>
  <c r="AA9" i="53" s="1"/>
  <c r="F71" i="118"/>
  <c r="F74" i="118"/>
  <c r="W113" i="53"/>
  <c r="W110" i="53"/>
  <c r="N11" i="118"/>
  <c r="N14" i="118"/>
  <c r="R78" i="53"/>
  <c r="R81" i="53" s="1"/>
  <c r="V94" i="53"/>
  <c r="V97" i="53" s="1"/>
  <c r="O30" i="53"/>
  <c r="O33" i="53" s="1"/>
  <c r="Y14" i="53"/>
  <c r="Y17" i="53" s="1"/>
  <c r="M53" i="118"/>
  <c r="M56" i="118"/>
  <c r="N22" i="53"/>
  <c r="N25" i="53" s="1"/>
  <c r="AB86" i="53"/>
  <c r="AB89" i="53" s="1"/>
  <c r="L8" i="118"/>
  <c r="L5" i="118"/>
  <c r="Q62" i="53"/>
  <c r="Q65" i="53" s="1"/>
  <c r="P62" i="53"/>
  <c r="P65" i="53" s="1"/>
  <c r="J71" i="118"/>
  <c r="J74" i="118"/>
  <c r="K8" i="118"/>
  <c r="K5" i="118"/>
  <c r="X22" i="53"/>
  <c r="X25" i="53" s="1"/>
  <c r="L47" i="118"/>
  <c r="L50" i="118"/>
  <c r="AA86" i="53"/>
  <c r="AA89" i="53" s="1"/>
  <c r="S94" i="53"/>
  <c r="S97" i="53" s="1"/>
  <c r="P38" i="118"/>
  <c r="P35" i="118"/>
  <c r="I53" i="118"/>
  <c r="I56" i="118"/>
  <c r="M62" i="118"/>
  <c r="M59" i="118"/>
  <c r="AC19" i="53"/>
  <c r="AD19" i="53"/>
  <c r="I62" i="118"/>
  <c r="I59" i="118"/>
  <c r="AB14" i="53"/>
  <c r="AB17" i="53" s="1"/>
  <c r="O38" i="118"/>
  <c r="O35" i="118"/>
  <c r="Q110" i="53"/>
  <c r="Q113" i="53"/>
  <c r="H53" i="118"/>
  <c r="H56" i="118"/>
  <c r="O50" i="118"/>
  <c r="O47" i="118"/>
  <c r="F62" i="118"/>
  <c r="F59" i="118"/>
  <c r="O78" i="53"/>
  <c r="O81" i="53" s="1"/>
  <c r="AB22" i="53"/>
  <c r="AB25" i="53" s="1"/>
  <c r="I41" i="118"/>
  <c r="I44" i="118"/>
  <c r="W70" i="53"/>
  <c r="W73" i="53" s="1"/>
  <c r="G17" i="118"/>
  <c r="G20" i="118"/>
  <c r="F20" i="118"/>
  <c r="F17" i="118"/>
  <c r="L11" i="118"/>
  <c r="L14" i="118"/>
  <c r="L20" i="118"/>
  <c r="L17" i="118"/>
  <c r="F14" i="118"/>
  <c r="F11" i="118"/>
  <c r="P17" i="118"/>
  <c r="P20" i="118"/>
  <c r="Y78" i="53"/>
  <c r="Y81" i="53" s="1"/>
  <c r="L41" i="118"/>
  <c r="L44" i="118"/>
  <c r="G59" i="118"/>
  <c r="G62" i="118"/>
  <c r="J44" i="118"/>
  <c r="J41" i="118"/>
  <c r="Q4" i="118"/>
  <c r="R4" i="118"/>
  <c r="H17" i="118"/>
  <c r="H20" i="118"/>
  <c r="G35" i="118"/>
  <c r="G38" i="118"/>
  <c r="N38" i="118"/>
  <c r="N35" i="118"/>
  <c r="R113" i="53"/>
  <c r="R110" i="53"/>
  <c r="N8" i="118"/>
  <c r="N5" i="118"/>
  <c r="X70" i="53"/>
  <c r="X73" i="53" s="1"/>
  <c r="K62" i="118"/>
  <c r="K59" i="118"/>
  <c r="F5" i="118"/>
  <c r="F8" i="118"/>
  <c r="Y62" i="53"/>
  <c r="Y65" i="53" s="1"/>
  <c r="K30" i="53"/>
  <c r="K33" i="53" s="1"/>
  <c r="P41" i="118"/>
  <c r="P44" i="118"/>
  <c r="P74" i="118"/>
  <c r="P71" i="118"/>
  <c r="K78" i="53"/>
  <c r="K81" i="53" s="1"/>
  <c r="H41" i="118"/>
  <c r="H44" i="118"/>
  <c r="O59" i="118"/>
  <c r="O62" i="118"/>
  <c r="G71" i="118"/>
  <c r="G74" i="118"/>
  <c r="O5" i="118"/>
  <c r="O8" i="118"/>
  <c r="K11" i="118"/>
  <c r="K14" i="118"/>
  <c r="N50" i="118"/>
  <c r="N47" i="118"/>
  <c r="O44" i="118"/>
  <c r="O41" i="118"/>
  <c r="G41" i="118"/>
  <c r="G44" i="118"/>
  <c r="I20" i="118"/>
  <c r="I17" i="118"/>
  <c r="M38" i="118"/>
  <c r="M35" i="118"/>
  <c r="AA94" i="53"/>
  <c r="AA97" i="53" s="1"/>
  <c r="U22" i="53"/>
  <c r="U25" i="53" s="1"/>
  <c r="K71" i="118"/>
  <c r="K74" i="118"/>
  <c r="Z14" i="53"/>
  <c r="Z17" i="53" s="1"/>
  <c r="K6" i="53"/>
  <c r="K9" i="53" s="1"/>
  <c r="W86" i="53"/>
  <c r="W89" i="53" s="1"/>
  <c r="P94" i="53"/>
  <c r="P97" i="53" s="1"/>
  <c r="P56" i="118"/>
  <c r="P53" i="118"/>
  <c r="G50" i="118"/>
  <c r="G47" i="118"/>
  <c r="L94" i="53"/>
  <c r="L97" i="53" s="1"/>
  <c r="N59" i="118"/>
  <c r="N62" i="118"/>
  <c r="O14" i="53"/>
  <c r="O17" i="53" s="1"/>
  <c r="W22" i="53"/>
  <c r="W25" i="53" s="1"/>
  <c r="L59" i="118"/>
  <c r="L62" i="118"/>
  <c r="AC28" i="53"/>
  <c r="AD28" i="53"/>
  <c r="K47" i="118"/>
  <c r="K50" i="118"/>
  <c r="K41" i="118"/>
  <c r="K44" i="118"/>
  <c r="I38" i="118"/>
  <c r="I35" i="118"/>
  <c r="I47" i="118"/>
  <c r="I50" i="118"/>
  <c r="X6" i="53"/>
  <c r="X9" i="53" s="1"/>
  <c r="Y6" i="53"/>
  <c r="Y9" i="53" s="1"/>
  <c r="Q14" i="53"/>
  <c r="Q17" i="53" s="1"/>
  <c r="K14" i="53"/>
  <c r="K17" i="53" s="1"/>
  <c r="J56" i="118"/>
  <c r="J53" i="118"/>
  <c r="I74" i="118"/>
  <c r="I71" i="118"/>
  <c r="F56" i="118"/>
  <c r="F53" i="118"/>
  <c r="AB62" i="53"/>
  <c r="AB65" i="53" s="1"/>
  <c r="M6" i="53"/>
  <c r="M9" i="53" s="1"/>
  <c r="P47" i="118"/>
  <c r="P50" i="118"/>
  <c r="N110" i="53"/>
  <c r="N113" i="53"/>
  <c r="AA22" i="53"/>
  <c r="AA25" i="53" s="1"/>
  <c r="L53" i="118"/>
  <c r="L56" i="118"/>
  <c r="N17" i="118"/>
  <c r="N20" i="118"/>
  <c r="Q86" i="53"/>
  <c r="Q89" i="53" s="1"/>
  <c r="Z78" i="53"/>
  <c r="Z81" i="53" s="1"/>
  <c r="P14" i="118"/>
  <c r="P11" i="118"/>
  <c r="F50" i="118"/>
  <c r="F47" i="118"/>
  <c r="J8" i="118"/>
  <c r="J5" i="118"/>
  <c r="M113" i="53"/>
  <c r="M110" i="53"/>
  <c r="P86" i="53"/>
  <c r="P89" i="53" s="1"/>
  <c r="Z6" i="53"/>
  <c r="Z9" i="53" s="1"/>
  <c r="X78" i="53"/>
  <c r="X81" i="53" s="1"/>
  <c r="W62" i="53"/>
  <c r="W65" i="53" s="1"/>
  <c r="H5" i="118"/>
  <c r="H8" i="118"/>
  <c r="Y70" i="53"/>
  <c r="Y73" i="53" s="1"/>
  <c r="K53" i="118"/>
  <c r="K56" i="118"/>
  <c r="N56" i="118"/>
  <c r="N53" i="118"/>
  <c r="M11" i="118"/>
  <c r="M14" i="118"/>
  <c r="P14" i="53"/>
  <c r="P17" i="53" s="1"/>
  <c r="H14" i="118"/>
  <c r="H11" i="118"/>
  <c r="O53" i="118"/>
  <c r="O56" i="118"/>
  <c r="G5" i="118"/>
  <c r="G8" i="118"/>
  <c r="X29" i="35"/>
  <c r="X31" i="35"/>
  <c r="X32" i="35" s="1"/>
  <c r="X35" i="57"/>
  <c r="X33" i="57"/>
  <c r="T127" i="1"/>
  <c r="U91" i="1"/>
  <c r="U251" i="1" s="1"/>
  <c r="X79" i="35"/>
  <c r="X80" i="35" s="1"/>
  <c r="W79" i="35"/>
  <c r="W80" i="35" s="1"/>
  <c r="T41" i="1"/>
  <c r="U43" i="1"/>
  <c r="X23" i="35"/>
  <c r="X25" i="35"/>
  <c r="X26" i="35" s="1"/>
  <c r="X29" i="57"/>
  <c r="X27" i="57"/>
  <c r="T91" i="1"/>
  <c r="T251" i="1" s="1"/>
  <c r="T43" i="1"/>
  <c r="X67" i="35"/>
  <c r="X68" i="35" s="1"/>
  <c r="X5" i="35"/>
  <c r="X77" i="35"/>
  <c r="X21" i="57"/>
  <c r="X23" i="57"/>
  <c r="X15" i="57"/>
  <c r="X55" i="35"/>
  <c r="X56" i="35" s="1"/>
  <c r="X53" i="35"/>
  <c r="X53" i="57"/>
  <c r="X51" i="57"/>
  <c r="X19" i="35"/>
  <c r="X20" i="35" s="1"/>
  <c r="X7" i="35"/>
  <c r="X8" i="35" s="1"/>
  <c r="X37" i="35"/>
  <c r="X38" i="35" s="1"/>
  <c r="X65" i="57"/>
  <c r="X63" i="57"/>
  <c r="X47" i="57"/>
  <c r="X17" i="35"/>
  <c r="X17" i="57"/>
  <c r="X45" i="57"/>
  <c r="X81" i="57"/>
  <c r="X59" i="57"/>
  <c r="X71" i="57"/>
  <c r="X69" i="57"/>
  <c r="X57" i="57"/>
  <c r="X90" i="35"/>
  <c r="X41" i="57"/>
  <c r="X39" i="57"/>
  <c r="X61" i="35"/>
  <c r="X62" i="35" s="1"/>
  <c r="X59" i="35"/>
  <c r="T170" i="1"/>
  <c r="T169" i="1"/>
  <c r="AB191" i="1"/>
  <c r="G78" i="169" s="1"/>
  <c r="I78" i="169" s="1"/>
  <c r="W90" i="35"/>
  <c r="W47" i="35"/>
  <c r="W49" i="35"/>
  <c r="W50" i="35" s="1"/>
  <c r="W43" i="35"/>
  <c r="W44" i="35" s="1"/>
  <c r="W41" i="35"/>
  <c r="W77" i="35"/>
  <c r="W65" i="35"/>
  <c r="W67" i="35"/>
  <c r="W68" i="35" s="1"/>
  <c r="W59" i="35"/>
  <c r="W61" i="35"/>
  <c r="W62" i="35" s="1"/>
  <c r="W53" i="35"/>
  <c r="W55" i="35"/>
  <c r="W56" i="35" s="1"/>
  <c r="W35" i="35"/>
  <c r="W37" i="35"/>
  <c r="W38" i="35" s="1"/>
  <c r="W17" i="35"/>
  <c r="W19" i="35"/>
  <c r="W20" i="35" s="1"/>
  <c r="W11" i="35"/>
  <c r="W13" i="35"/>
  <c r="W14" i="35" s="1"/>
  <c r="W7" i="35"/>
  <c r="W8" i="35" s="1"/>
  <c r="W5" i="35"/>
  <c r="W51" i="57"/>
  <c r="W53" i="57"/>
  <c r="V1" i="35"/>
  <c r="A131" i="123"/>
  <c r="Q120" i="123"/>
  <c r="S2" i="1"/>
  <c r="V2" i="57"/>
  <c r="T1" i="1"/>
  <c r="Y93" i="57"/>
  <c r="W21" i="35"/>
  <c r="W24" i="57"/>
  <c r="W72" i="57"/>
  <c r="W62" i="57"/>
  <c r="W3" i="57"/>
  <c r="W72" i="35"/>
  <c r="W30" i="35"/>
  <c r="W38" i="57"/>
  <c r="W34" i="57"/>
  <c r="W12" i="57"/>
  <c r="W74" i="57"/>
  <c r="AB88" i="57"/>
  <c r="W69" i="35"/>
  <c r="Y88" i="57"/>
  <c r="W27" i="35"/>
  <c r="W60" i="57"/>
  <c r="X88" i="57"/>
  <c r="W6" i="57"/>
  <c r="W82" i="57"/>
  <c r="W22" i="35"/>
  <c r="W44" i="57"/>
  <c r="W30" i="57"/>
  <c r="W26" i="57"/>
  <c r="W56" i="57"/>
  <c r="Z88" i="57"/>
  <c r="W5" i="57"/>
  <c r="W70" i="35"/>
  <c r="W14" i="57"/>
  <c r="W68" i="57"/>
  <c r="W10" i="57"/>
  <c r="W66" i="57"/>
  <c r="W36" i="57"/>
  <c r="V58" i="35"/>
  <c r="W28" i="57"/>
  <c r="W32" i="57"/>
  <c r="AA93" i="57"/>
  <c r="W54" i="57"/>
  <c r="W42" i="57"/>
  <c r="AB93" i="57"/>
  <c r="Z93" i="57"/>
  <c r="W24" i="35"/>
  <c r="W76" i="57"/>
  <c r="V96" i="57"/>
  <c r="W28" i="35"/>
  <c r="W46" i="57"/>
  <c r="W8" i="57"/>
  <c r="W78" i="57"/>
  <c r="W18" i="57"/>
  <c r="W58" i="57"/>
  <c r="X93" i="57"/>
  <c r="AA88" i="57"/>
  <c r="W22" i="57"/>
  <c r="S75" i="1"/>
  <c r="AA86" i="57"/>
  <c r="Y49" i="57"/>
  <c r="Y43" i="57"/>
  <c r="T95" i="1"/>
  <c r="Z79" i="57"/>
  <c r="T22" i="1"/>
  <c r="T132" i="1"/>
  <c r="T31" i="1"/>
  <c r="T92" i="1"/>
  <c r="AA43" i="57"/>
  <c r="T33" i="1"/>
  <c r="W19" i="57"/>
  <c r="Z49" i="57"/>
  <c r="S96" i="1"/>
  <c r="X85" i="57"/>
  <c r="Z86" i="57"/>
  <c r="T129" i="1"/>
  <c r="X86" i="57"/>
  <c r="AA85" i="57"/>
  <c r="AB79" i="57"/>
  <c r="W13" i="57"/>
  <c r="W55" i="57"/>
  <c r="AB85" i="57"/>
  <c r="T94" i="1"/>
  <c r="Z7" i="57"/>
  <c r="Z85" i="57"/>
  <c r="W25" i="57"/>
  <c r="X7" i="57"/>
  <c r="S32" i="1"/>
  <c r="Y79" i="57"/>
  <c r="T128" i="1"/>
  <c r="AB49" i="57"/>
  <c r="AB86" i="57"/>
  <c r="X49" i="57"/>
  <c r="W31" i="57"/>
  <c r="X43" i="57"/>
  <c r="T131" i="1"/>
  <c r="T25" i="1"/>
  <c r="T130" i="1"/>
  <c r="T96" i="1"/>
  <c r="Y86" i="57"/>
  <c r="X79" i="57"/>
  <c r="W37" i="57"/>
  <c r="S28" i="1"/>
  <c r="Y85" i="57"/>
  <c r="AB43" i="57"/>
  <c r="AA79" i="57"/>
  <c r="S34" i="1"/>
  <c r="Y7" i="57"/>
  <c r="T23" i="1"/>
  <c r="AB7" i="57"/>
  <c r="S30" i="1"/>
  <c r="AA7" i="57"/>
  <c r="T93" i="1"/>
  <c r="AA49" i="57"/>
  <c r="Z43" i="57"/>
  <c r="S74" i="1"/>
  <c r="T35" i="1"/>
  <c r="T24" i="1"/>
  <c r="W73" i="57"/>
  <c r="T29" i="1"/>
  <c r="Q23" i="118" l="1"/>
  <c r="Q27" i="118" s="1"/>
  <c r="R23" i="118"/>
  <c r="O313" i="41"/>
  <c r="P312" i="41"/>
  <c r="N313" i="41"/>
  <c r="P310" i="41"/>
  <c r="P311" i="41"/>
  <c r="S49" i="1"/>
  <c r="T51" i="1"/>
  <c r="Z52" i="1"/>
  <c r="W52" i="1"/>
  <c r="X52" i="1"/>
  <c r="T50" i="1"/>
  <c r="AA146" i="1"/>
  <c r="J77" i="118"/>
  <c r="J78" i="118"/>
  <c r="J80" i="118" s="1"/>
  <c r="J81" i="118"/>
  <c r="J79" i="118"/>
  <c r="K77" i="118"/>
  <c r="K78" i="118"/>
  <c r="K80" i="118" s="1"/>
  <c r="K79" i="118"/>
  <c r="K81" i="118"/>
  <c r="N77" i="118"/>
  <c r="N78" i="118"/>
  <c r="N80" i="118" s="1"/>
  <c r="N81" i="118"/>
  <c r="N79" i="118"/>
  <c r="I77" i="118"/>
  <c r="I78" i="118"/>
  <c r="I80" i="118" s="1"/>
  <c r="I81" i="118"/>
  <c r="I79" i="118"/>
  <c r="L78" i="118"/>
  <c r="L80" i="118" s="1"/>
  <c r="L79" i="118"/>
  <c r="L77" i="118"/>
  <c r="L81" i="118"/>
  <c r="P78" i="118"/>
  <c r="P80" i="118" s="1"/>
  <c r="P79" i="118"/>
  <c r="P77" i="118"/>
  <c r="P81" i="118"/>
  <c r="O77" i="118"/>
  <c r="O78" i="118"/>
  <c r="O80" i="118" s="1"/>
  <c r="O79" i="118"/>
  <c r="O81" i="118"/>
  <c r="G77" i="118"/>
  <c r="G78" i="118"/>
  <c r="G80" i="118" s="1"/>
  <c r="G79" i="118"/>
  <c r="G81" i="118"/>
  <c r="M77" i="118"/>
  <c r="M78" i="118"/>
  <c r="M80" i="118" s="1"/>
  <c r="M81" i="118"/>
  <c r="M79" i="118"/>
  <c r="F77" i="118"/>
  <c r="F78" i="118"/>
  <c r="F80" i="118" s="1"/>
  <c r="F81" i="118"/>
  <c r="F79" i="118"/>
  <c r="H78" i="118"/>
  <c r="H80" i="118" s="1"/>
  <c r="H79" i="118"/>
  <c r="H77" i="118"/>
  <c r="H81" i="118"/>
  <c r="T197" i="1"/>
  <c r="T137" i="1"/>
  <c r="T133" i="1"/>
  <c r="T259" i="1" s="1"/>
  <c r="T134" i="1"/>
  <c r="T190" i="1"/>
  <c r="T138" i="1"/>
  <c r="T198" i="1"/>
  <c r="T136" i="1"/>
  <c r="T195" i="1"/>
  <c r="T135" i="1"/>
  <c r="T192" i="1"/>
  <c r="U131" i="123"/>
  <c r="N131" i="123"/>
  <c r="Z91" i="57"/>
  <c r="AB91" i="57"/>
  <c r="X91" i="57"/>
  <c r="AA87" i="57"/>
  <c r="AA89" i="57" s="1"/>
  <c r="Z87" i="57"/>
  <c r="Z89" i="57" s="1"/>
  <c r="X87" i="57"/>
  <c r="X89" i="57" s="1"/>
  <c r="Y87" i="57"/>
  <c r="Y89" i="57" s="1"/>
  <c r="AB87" i="57"/>
  <c r="AB89" i="57" s="1"/>
  <c r="AB83" i="35"/>
  <c r="Y83" i="35"/>
  <c r="Z86" i="35"/>
  <c r="Z87" i="35" s="1"/>
  <c r="AA91" i="57"/>
  <c r="Y91" i="57"/>
  <c r="AA248" i="1"/>
  <c r="AA202" i="1"/>
  <c r="C84" i="169"/>
  <c r="F84" i="169" s="1"/>
  <c r="E84" i="169" s="1"/>
  <c r="D82" i="169"/>
  <c r="F82" i="169" s="1"/>
  <c r="E82" i="169" s="1"/>
  <c r="X86" i="35"/>
  <c r="X87" i="35" s="1"/>
  <c r="W82" i="35"/>
  <c r="W81" i="35"/>
  <c r="X94" i="57"/>
  <c r="Z94" i="57"/>
  <c r="AB94" i="57"/>
  <c r="W84" i="35"/>
  <c r="W92" i="57"/>
  <c r="W90" i="57"/>
  <c r="W84" i="57"/>
  <c r="Y94" i="57"/>
  <c r="AA94" i="57"/>
  <c r="Y86" i="35"/>
  <c r="Y87" i="35" s="1"/>
  <c r="AA86" i="35"/>
  <c r="AA87" i="35" s="1"/>
  <c r="X83" i="35"/>
  <c r="AB86" i="35"/>
  <c r="AB87" i="35" s="1"/>
  <c r="Z83" i="35"/>
  <c r="W71" i="35"/>
  <c r="W73" i="35"/>
  <c r="W74" i="35" s="1"/>
  <c r="W77" i="57"/>
  <c r="W75" i="57"/>
  <c r="P351" i="9"/>
  <c r="P515" i="9"/>
  <c r="P516" i="9" s="1"/>
  <c r="R351" i="9"/>
  <c r="R515" i="9"/>
  <c r="R516" i="9" s="1"/>
  <c r="E351" i="9"/>
  <c r="E515" i="9"/>
  <c r="E516" i="9" s="1"/>
  <c r="G351" i="9"/>
  <c r="G515" i="9"/>
  <c r="G516" i="9" s="1"/>
  <c r="C351" i="9"/>
  <c r="C515" i="9"/>
  <c r="C516" i="9" s="1"/>
  <c r="H351" i="9"/>
  <c r="H515" i="9"/>
  <c r="H516" i="9" s="1"/>
  <c r="M351" i="9"/>
  <c r="M515" i="9"/>
  <c r="M516" i="9" s="1"/>
  <c r="F351" i="9"/>
  <c r="F515" i="9"/>
  <c r="F516" i="9" s="1"/>
  <c r="J351" i="9"/>
  <c r="J515" i="9"/>
  <c r="J516" i="9" s="1"/>
  <c r="K351" i="9"/>
  <c r="K515" i="9"/>
  <c r="K516" i="9" s="1"/>
  <c r="I351" i="9"/>
  <c r="I515" i="9"/>
  <c r="I516" i="9" s="1"/>
  <c r="S351" i="9"/>
  <c r="S515" i="9"/>
  <c r="S516" i="9" s="1"/>
  <c r="L351" i="9"/>
  <c r="L515" i="9"/>
  <c r="L516" i="9" s="1"/>
  <c r="Q351" i="9"/>
  <c r="Q515" i="9"/>
  <c r="Q516" i="9" s="1"/>
  <c r="U351" i="9"/>
  <c r="U515" i="9"/>
  <c r="U516" i="9" s="1"/>
  <c r="D351" i="9"/>
  <c r="D515" i="9"/>
  <c r="D516" i="9" s="1"/>
  <c r="T351" i="9"/>
  <c r="T515" i="9"/>
  <c r="T516" i="9" s="1"/>
  <c r="N351" i="9"/>
  <c r="N515" i="9"/>
  <c r="N516" i="9" s="1"/>
  <c r="O351" i="9"/>
  <c r="AA351" i="9" s="1"/>
  <c r="O515" i="9"/>
  <c r="O516" i="9" s="1"/>
  <c r="D77" i="169"/>
  <c r="T200" i="1"/>
  <c r="T186" i="1"/>
  <c r="T189" i="1"/>
  <c r="T188" i="1"/>
  <c r="C73" i="169"/>
  <c r="Z139" i="1"/>
  <c r="AA139" i="1"/>
  <c r="Y139" i="1"/>
  <c r="X139" i="1"/>
  <c r="V139" i="1"/>
  <c r="W139" i="1"/>
  <c r="U139" i="1"/>
  <c r="AA268" i="9"/>
  <c r="F81" i="169"/>
  <c r="E81" i="169" s="1"/>
  <c r="U159" i="1"/>
  <c r="F4" i="169"/>
  <c r="E4" i="169" s="1"/>
  <c r="T159" i="1"/>
  <c r="F80" i="169"/>
  <c r="E80" i="169" s="1"/>
  <c r="F74" i="169"/>
  <c r="E74" i="169" s="1"/>
  <c r="W65" i="57"/>
  <c r="W71" i="57"/>
  <c r="W39" i="57"/>
  <c r="W47" i="57"/>
  <c r="W15" i="57"/>
  <c r="W9" i="57"/>
  <c r="W23" i="57"/>
  <c r="W21" i="57"/>
  <c r="W69" i="57"/>
  <c r="W17" i="57"/>
  <c r="W57" i="57"/>
  <c r="W45" i="57"/>
  <c r="W11" i="57"/>
  <c r="W63" i="57"/>
  <c r="W59" i="57"/>
  <c r="W41" i="57"/>
  <c r="W81" i="57"/>
  <c r="F88" i="169"/>
  <c r="E88" i="169" s="1"/>
  <c r="F75" i="169"/>
  <c r="E75" i="169" s="1"/>
  <c r="F85" i="169"/>
  <c r="E85" i="169" s="1"/>
  <c r="AA65" i="9"/>
  <c r="F86" i="169"/>
  <c r="E86" i="169" s="1"/>
  <c r="F87" i="169"/>
  <c r="E87" i="169" s="1"/>
  <c r="F79" i="169"/>
  <c r="E79" i="169" s="1"/>
  <c r="F76" i="169"/>
  <c r="E76" i="169" s="1"/>
  <c r="AA392" i="9"/>
  <c r="AA434" i="9"/>
  <c r="AB83" i="57"/>
  <c r="AA83" i="57"/>
  <c r="Y83" i="57"/>
  <c r="Z83" i="57"/>
  <c r="AA25" i="9"/>
  <c r="V202" i="1"/>
  <c r="X146" i="1"/>
  <c r="X160" i="1" s="1"/>
  <c r="V146" i="1"/>
  <c r="V160" i="1" s="1"/>
  <c r="Z202" i="1"/>
  <c r="Z146" i="1"/>
  <c r="Y146" i="1"/>
  <c r="Y160" i="1" s="1"/>
  <c r="AA557" i="9"/>
  <c r="AA228" i="9"/>
  <c r="AA105" i="9"/>
  <c r="Y52" i="1"/>
  <c r="V52" i="1"/>
  <c r="Y202" i="1"/>
  <c r="X202" i="1"/>
  <c r="W202" i="1"/>
  <c r="W146" i="1"/>
  <c r="W160" i="1" s="1"/>
  <c r="S185" i="1"/>
  <c r="S246" i="1"/>
  <c r="U202" i="1"/>
  <c r="T97" i="1"/>
  <c r="T252" i="1" s="1"/>
  <c r="T44" i="1"/>
  <c r="Q76" i="118"/>
  <c r="R76" i="118"/>
  <c r="W29" i="35"/>
  <c r="W31" i="35"/>
  <c r="W32" i="35" s="1"/>
  <c r="W35" i="57"/>
  <c r="W33" i="57"/>
  <c r="W23" i="35"/>
  <c r="W25" i="35"/>
  <c r="W29" i="57"/>
  <c r="W27" i="57"/>
  <c r="X83" i="57"/>
  <c r="U52" i="1"/>
  <c r="S170" i="1"/>
  <c r="S169" i="1"/>
  <c r="U146" i="1"/>
  <c r="U1" i="35"/>
  <c r="A142" i="123"/>
  <c r="Q131" i="123"/>
  <c r="K131" i="123"/>
  <c r="R2" i="1"/>
  <c r="U2" i="57"/>
  <c r="S1" i="1"/>
  <c r="V44" i="57"/>
  <c r="V68" i="57"/>
  <c r="V12" i="35"/>
  <c r="S164" i="1"/>
  <c r="V4" i="35"/>
  <c r="V70" i="57"/>
  <c r="V80" i="57"/>
  <c r="V42" i="35"/>
  <c r="V63" i="35"/>
  <c r="S152" i="1"/>
  <c r="V82" i="57"/>
  <c r="R157" i="1"/>
  <c r="U85" i="35"/>
  <c r="V58" i="57"/>
  <c r="S161" i="1"/>
  <c r="S156" i="1"/>
  <c r="V89" i="35"/>
  <c r="V3" i="35"/>
  <c r="V18" i="57"/>
  <c r="S167" i="1"/>
  <c r="W88" i="57"/>
  <c r="V38" i="57"/>
  <c r="V12" i="57"/>
  <c r="V88" i="35"/>
  <c r="V60" i="35"/>
  <c r="V3" i="57"/>
  <c r="V36" i="57"/>
  <c r="V46" i="35"/>
  <c r="S151" i="1"/>
  <c r="S157" i="1"/>
  <c r="V52" i="57"/>
  <c r="V34" i="35"/>
  <c r="V34" i="57"/>
  <c r="V33" i="35"/>
  <c r="V64" i="35"/>
  <c r="V78" i="57"/>
  <c r="S165" i="1"/>
  <c r="V39" i="35"/>
  <c r="V72" i="57"/>
  <c r="V78" i="35"/>
  <c r="V21" i="35"/>
  <c r="V72" i="35"/>
  <c r="V24" i="57"/>
  <c r="V15" i="35"/>
  <c r="V14" i="57"/>
  <c r="V54" i="35"/>
  <c r="V10" i="57"/>
  <c r="V46" i="57"/>
  <c r="V22" i="35"/>
  <c r="V76" i="35"/>
  <c r="V70" i="35"/>
  <c r="V26" i="57"/>
  <c r="V16" i="57"/>
  <c r="V64" i="57"/>
  <c r="V51" i="35"/>
  <c r="V75" i="35"/>
  <c r="V4" i="57"/>
  <c r="V9" i="35"/>
  <c r="V32" i="57"/>
  <c r="W93" i="57"/>
  <c r="V30" i="57"/>
  <c r="V62" i="57"/>
  <c r="V8" i="57"/>
  <c r="V45" i="35"/>
  <c r="V27" i="35"/>
  <c r="V54" i="57"/>
  <c r="V5" i="57"/>
  <c r="V6" i="57"/>
  <c r="V24" i="35"/>
  <c r="V56" i="57"/>
  <c r="V28" i="35"/>
  <c r="V28" i="57"/>
  <c r="V18" i="35"/>
  <c r="S155" i="1"/>
  <c r="V40" i="57"/>
  <c r="V42" i="57"/>
  <c r="V2" i="35"/>
  <c r="V60" i="57"/>
  <c r="V40" i="35"/>
  <c r="V30" i="35"/>
  <c r="V22" i="57"/>
  <c r="V74" i="57"/>
  <c r="S153" i="1"/>
  <c r="V10" i="35"/>
  <c r="V6" i="35"/>
  <c r="V52" i="35"/>
  <c r="V50" i="57"/>
  <c r="V36" i="35"/>
  <c r="S162" i="1"/>
  <c r="V69" i="35"/>
  <c r="V16" i="35"/>
  <c r="V20" i="57"/>
  <c r="V48" i="57"/>
  <c r="V85" i="35"/>
  <c r="U96" i="57"/>
  <c r="V57" i="35"/>
  <c r="V76" i="57"/>
  <c r="V66" i="57"/>
  <c r="V93" i="35"/>
  <c r="V66" i="35"/>
  <c r="V48" i="35"/>
  <c r="S22" i="1"/>
  <c r="S140" i="1"/>
  <c r="S81" i="1"/>
  <c r="V25" i="57"/>
  <c r="S118" i="1"/>
  <c r="S141" i="1"/>
  <c r="S19" i="1"/>
  <c r="S108" i="1"/>
  <c r="S94" i="1"/>
  <c r="W85" i="57"/>
  <c r="S4" i="1"/>
  <c r="S80" i="1"/>
  <c r="S26" i="1"/>
  <c r="S119" i="1"/>
  <c r="S67" i="1"/>
  <c r="S122" i="1"/>
  <c r="V67" i="57"/>
  <c r="S64" i="1"/>
  <c r="S65" i="1"/>
  <c r="S12" i="1"/>
  <c r="S18" i="1"/>
  <c r="S111" i="1"/>
  <c r="S82" i="1"/>
  <c r="W43" i="57"/>
  <c r="V55" i="57"/>
  <c r="S71" i="1"/>
  <c r="S35" i="1"/>
  <c r="V37" i="57"/>
  <c r="S102" i="1"/>
  <c r="S131" i="1"/>
  <c r="S3" i="1"/>
  <c r="S144" i="1"/>
  <c r="S72" i="1"/>
  <c r="S17" i="1"/>
  <c r="S132" i="1"/>
  <c r="S14" i="1"/>
  <c r="W7" i="57"/>
  <c r="W79" i="57"/>
  <c r="S92" i="1"/>
  <c r="S31" i="1"/>
  <c r="S116" i="1"/>
  <c r="S7" i="1"/>
  <c r="S100" i="1"/>
  <c r="V19" i="57"/>
  <c r="S66" i="1"/>
  <c r="S24" i="1"/>
  <c r="S76" i="1"/>
  <c r="S79" i="1"/>
  <c r="S8" i="1"/>
  <c r="S103" i="1"/>
  <c r="S129" i="1"/>
  <c r="S6" i="1"/>
  <c r="S58" i="1"/>
  <c r="S113" i="1"/>
  <c r="S59" i="1"/>
  <c r="S25" i="1"/>
  <c r="S110" i="1"/>
  <c r="S21" i="1"/>
  <c r="S90" i="1"/>
  <c r="S27" i="1"/>
  <c r="S86" i="1"/>
  <c r="S124" i="1"/>
  <c r="S114" i="1"/>
  <c r="S117" i="1"/>
  <c r="S15" i="1"/>
  <c r="S130" i="1"/>
  <c r="S11" i="1"/>
  <c r="V61" i="57"/>
  <c r="V73" i="57"/>
  <c r="S143" i="1"/>
  <c r="S73" i="1"/>
  <c r="S13" i="1"/>
  <c r="S16" i="1"/>
  <c r="S84" i="1"/>
  <c r="S126" i="1"/>
  <c r="S29" i="1"/>
  <c r="V13" i="57"/>
  <c r="S104" i="1"/>
  <c r="S61" i="1"/>
  <c r="S20" i="1"/>
  <c r="S63" i="1"/>
  <c r="S142" i="1"/>
  <c r="S98" i="1"/>
  <c r="S88" i="1"/>
  <c r="W86" i="57"/>
  <c r="S128" i="1"/>
  <c r="V31" i="57"/>
  <c r="S107" i="1"/>
  <c r="S83" i="1"/>
  <c r="S89" i="1"/>
  <c r="S106" i="1"/>
  <c r="S93" i="1"/>
  <c r="S77" i="1"/>
  <c r="S5" i="1"/>
  <c r="S69" i="1"/>
  <c r="S9" i="1"/>
  <c r="S123" i="1"/>
  <c r="S112" i="1"/>
  <c r="S125" i="1"/>
  <c r="S62" i="1"/>
  <c r="S120" i="1"/>
  <c r="S33" i="1"/>
  <c r="W49" i="57"/>
  <c r="S68" i="1"/>
  <c r="S10" i="1"/>
  <c r="S87" i="1"/>
  <c r="S95" i="1"/>
  <c r="S23" i="1"/>
  <c r="S99" i="1"/>
  <c r="S36" i="1"/>
  <c r="P313" i="41" l="1"/>
  <c r="AA160" i="1"/>
  <c r="S51" i="1"/>
  <c r="S50" i="1"/>
  <c r="T139" i="1"/>
  <c r="S133" i="1"/>
  <c r="S192" i="1"/>
  <c r="S134" i="1"/>
  <c r="S137" i="1"/>
  <c r="S136" i="1"/>
  <c r="S135" i="1"/>
  <c r="S138" i="1"/>
  <c r="U142" i="123"/>
  <c r="N142" i="123"/>
  <c r="AA91" i="35"/>
  <c r="AA92" i="35" s="1"/>
  <c r="D89" i="169"/>
  <c r="W87" i="57"/>
  <c r="W89" i="57" s="1"/>
  <c r="F77" i="169"/>
  <c r="E77" i="169" s="1"/>
  <c r="W91" i="57"/>
  <c r="W83" i="35"/>
  <c r="S70" i="1"/>
  <c r="U160" i="1"/>
  <c r="C89" i="169"/>
  <c r="V81" i="35"/>
  <c r="V84" i="35"/>
  <c r="V82" i="35"/>
  <c r="V83" i="35" s="1"/>
  <c r="V92" i="57"/>
  <c r="V90" i="57"/>
  <c r="V84" i="57"/>
  <c r="W94" i="57"/>
  <c r="AA95" i="57"/>
  <c r="Z95" i="57"/>
  <c r="W86" i="35"/>
  <c r="W87" i="35" s="1"/>
  <c r="Y95" i="57"/>
  <c r="AB95" i="57"/>
  <c r="X95" i="57"/>
  <c r="F73" i="169"/>
  <c r="E73" i="169" s="1"/>
  <c r="V71" i="35"/>
  <c r="V73" i="35"/>
  <c r="V74" i="35" s="1"/>
  <c r="V75" i="57"/>
  <c r="V77" i="57"/>
  <c r="S201" i="1"/>
  <c r="S189" i="1"/>
  <c r="S195" i="1"/>
  <c r="S198" i="1"/>
  <c r="S194" i="1"/>
  <c r="S196" i="1"/>
  <c r="S186" i="1"/>
  <c r="S193" i="1"/>
  <c r="S187" i="1"/>
  <c r="S190" i="1"/>
  <c r="S200" i="1"/>
  <c r="S197" i="1"/>
  <c r="S188" i="1"/>
  <c r="S199" i="1"/>
  <c r="W83" i="57"/>
  <c r="S154" i="1"/>
  <c r="S158" i="1"/>
  <c r="C3" i="169"/>
  <c r="Z160" i="1"/>
  <c r="D7" i="169" s="1"/>
  <c r="D3" i="169"/>
  <c r="Y91" i="35"/>
  <c r="Y92" i="35" s="1"/>
  <c r="AB91" i="35"/>
  <c r="AB92" i="35" s="1"/>
  <c r="V59" i="35"/>
  <c r="AA516" i="9"/>
  <c r="Z91" i="35"/>
  <c r="Z92" i="35" s="1"/>
  <c r="R185" i="1"/>
  <c r="R246" i="1"/>
  <c r="S60" i="1"/>
  <c r="T202" i="1"/>
  <c r="T146" i="1"/>
  <c r="T160" i="1" s="1"/>
  <c r="V21" i="57"/>
  <c r="S44" i="1"/>
  <c r="S97" i="1"/>
  <c r="S252" i="1" s="1"/>
  <c r="R77" i="118"/>
  <c r="R81" i="118"/>
  <c r="Q77" i="118"/>
  <c r="Q78" i="118"/>
  <c r="Q80" i="118" s="1"/>
  <c r="Q79" i="118"/>
  <c r="R80" i="118"/>
  <c r="R78" i="118"/>
  <c r="R79" i="118"/>
  <c r="V29" i="35"/>
  <c r="V31" i="35"/>
  <c r="V32" i="35" s="1"/>
  <c r="V33" i="57"/>
  <c r="V35" i="57"/>
  <c r="S91" i="1"/>
  <c r="S251" i="1" s="1"/>
  <c r="S43" i="1"/>
  <c r="S41" i="1"/>
  <c r="V79" i="35"/>
  <c r="V57" i="57"/>
  <c r="V55" i="35"/>
  <c r="V56" i="35" s="1"/>
  <c r="V53" i="35"/>
  <c r="V9" i="57"/>
  <c r="V41" i="35"/>
  <c r="V15" i="57"/>
  <c r="V61" i="35"/>
  <c r="V63" i="57"/>
  <c r="V11" i="57"/>
  <c r="X91" i="35"/>
  <c r="X92" i="35" s="1"/>
  <c r="V23" i="35"/>
  <c r="V25" i="35"/>
  <c r="V26" i="35" s="1"/>
  <c r="W26" i="35"/>
  <c r="V27" i="57"/>
  <c r="V29" i="57"/>
  <c r="V35" i="35"/>
  <c r="V37" i="35"/>
  <c r="V49" i="35"/>
  <c r="V51" i="57"/>
  <c r="V53" i="57"/>
  <c r="V59" i="57"/>
  <c r="V5" i="35"/>
  <c r="V81" i="57"/>
  <c r="V43" i="35"/>
  <c r="V23" i="57"/>
  <c r="V39" i="57"/>
  <c r="V41" i="57"/>
  <c r="V65" i="57"/>
  <c r="V45" i="57"/>
  <c r="V47" i="57"/>
  <c r="V13" i="35"/>
  <c r="V17" i="57"/>
  <c r="V7" i="35"/>
  <c r="V65" i="35"/>
  <c r="V67" i="35"/>
  <c r="V77" i="35"/>
  <c r="V11" i="35"/>
  <c r="V71" i="57"/>
  <c r="V69" i="57"/>
  <c r="V90" i="35"/>
  <c r="V47" i="35"/>
  <c r="V17" i="35"/>
  <c r="V19" i="35"/>
  <c r="T52" i="1"/>
  <c r="R170" i="1"/>
  <c r="R169" i="1"/>
  <c r="T1" i="35"/>
  <c r="A153" i="123"/>
  <c r="Q142" i="123"/>
  <c r="K142" i="123"/>
  <c r="Q2" i="1"/>
  <c r="T2" i="57"/>
  <c r="R1" i="1"/>
  <c r="U46" i="35"/>
  <c r="U3" i="57"/>
  <c r="U72" i="57"/>
  <c r="U33" i="35"/>
  <c r="U64" i="35"/>
  <c r="U14" i="57"/>
  <c r="U50" i="57"/>
  <c r="R155" i="1"/>
  <c r="U12" i="57"/>
  <c r="U28" i="57"/>
  <c r="U8" i="57"/>
  <c r="U6" i="57"/>
  <c r="T4" i="35"/>
  <c r="R151" i="1"/>
  <c r="U4" i="35"/>
  <c r="R153" i="1"/>
  <c r="U42" i="35"/>
  <c r="U60" i="35"/>
  <c r="U39" i="35"/>
  <c r="U74" i="57"/>
  <c r="U89" i="35"/>
  <c r="U38" i="57"/>
  <c r="U22" i="35"/>
  <c r="U58" i="35"/>
  <c r="U93" i="35"/>
  <c r="U57" i="35"/>
  <c r="U27" i="35"/>
  <c r="U16" i="57"/>
  <c r="U52" i="35"/>
  <c r="U12" i="35"/>
  <c r="U76" i="35"/>
  <c r="U54" i="35"/>
  <c r="U36" i="57"/>
  <c r="R152" i="1"/>
  <c r="U10" i="57"/>
  <c r="U54" i="57"/>
  <c r="U24" i="57"/>
  <c r="U28" i="35"/>
  <c r="U52" i="57"/>
  <c r="U48" i="35"/>
  <c r="T85" i="35"/>
  <c r="U76" i="57"/>
  <c r="R162" i="1"/>
  <c r="U48" i="57"/>
  <c r="V93" i="57"/>
  <c r="U75" i="35"/>
  <c r="U66" i="57"/>
  <c r="U72" i="35"/>
  <c r="U3" i="35"/>
  <c r="U78" i="57"/>
  <c r="U32" i="57"/>
  <c r="U10" i="35"/>
  <c r="U30" i="57"/>
  <c r="U46" i="57"/>
  <c r="U34" i="57"/>
  <c r="U30" i="35"/>
  <c r="R165" i="1"/>
  <c r="U66" i="35"/>
  <c r="U56" i="57"/>
  <c r="U24" i="35"/>
  <c r="U22" i="57"/>
  <c r="U78" i="35"/>
  <c r="U62" i="57"/>
  <c r="U70" i="35"/>
  <c r="R164" i="1"/>
  <c r="R161" i="1"/>
  <c r="U88" i="35"/>
  <c r="U51" i="35"/>
  <c r="R167" i="1"/>
  <c r="U80" i="57"/>
  <c r="U60" i="57"/>
  <c r="U70" i="57"/>
  <c r="U82" i="57"/>
  <c r="U20" i="57"/>
  <c r="U34" i="35"/>
  <c r="U5" i="57"/>
  <c r="U6" i="35"/>
  <c r="U15" i="35"/>
  <c r="V88" i="57"/>
  <c r="U58" i="57"/>
  <c r="U45" i="35"/>
  <c r="R156" i="1"/>
  <c r="U21" i="35"/>
  <c r="U69" i="35"/>
  <c r="U18" i="35"/>
  <c r="U26" i="57"/>
  <c r="U63" i="35"/>
  <c r="U2" i="35"/>
  <c r="U40" i="35"/>
  <c r="U42" i="57"/>
  <c r="U44" i="57"/>
  <c r="T96" i="57"/>
  <c r="U9" i="35"/>
  <c r="U64" i="57"/>
  <c r="U68" i="57"/>
  <c r="U4" i="57"/>
  <c r="U16" i="35"/>
  <c r="U18" i="57"/>
  <c r="U36" i="35"/>
  <c r="U40" i="57"/>
  <c r="U13" i="57"/>
  <c r="R71" i="1"/>
  <c r="R77" i="1"/>
  <c r="R3" i="1"/>
  <c r="R102" i="1"/>
  <c r="R141" i="1"/>
  <c r="R87" i="1"/>
  <c r="Q74" i="1"/>
  <c r="R20" i="1"/>
  <c r="V86" i="57"/>
  <c r="V49" i="57"/>
  <c r="R100" i="1"/>
  <c r="V7" i="57"/>
  <c r="R27" i="1"/>
  <c r="R131" i="1"/>
  <c r="Q28" i="1"/>
  <c r="R4" i="1"/>
  <c r="R129" i="1"/>
  <c r="Q32" i="1"/>
  <c r="R144" i="1"/>
  <c r="U37" i="57"/>
  <c r="R80" i="1"/>
  <c r="R72" i="1"/>
  <c r="R89" i="1"/>
  <c r="R90" i="1"/>
  <c r="R112" i="1"/>
  <c r="R84" i="1"/>
  <c r="R23" i="1"/>
  <c r="R81" i="1"/>
  <c r="R22" i="1"/>
  <c r="R110" i="1"/>
  <c r="R63" i="1"/>
  <c r="R30" i="1"/>
  <c r="R103" i="1"/>
  <c r="V43" i="57"/>
  <c r="U67" i="57"/>
  <c r="V85" i="57"/>
  <c r="R123" i="1"/>
  <c r="R106" i="1"/>
  <c r="R8" i="1"/>
  <c r="R28" i="1"/>
  <c r="R88" i="1"/>
  <c r="R119" i="1"/>
  <c r="R5" i="1"/>
  <c r="R104" i="1"/>
  <c r="R19" i="1"/>
  <c r="R66" i="1"/>
  <c r="R94" i="1"/>
  <c r="U61" i="57"/>
  <c r="R64" i="1"/>
  <c r="R24" i="1"/>
  <c r="R61" i="1"/>
  <c r="R108" i="1"/>
  <c r="R34" i="1"/>
  <c r="R74" i="1"/>
  <c r="Q62" i="1"/>
  <c r="R116" i="1"/>
  <c r="U19" i="57"/>
  <c r="R125" i="1"/>
  <c r="R73" i="1"/>
  <c r="R128" i="1"/>
  <c r="Q34" i="1"/>
  <c r="U31" i="57"/>
  <c r="R11" i="1"/>
  <c r="R68" i="1"/>
  <c r="R111" i="1"/>
  <c r="R26" i="1"/>
  <c r="R92" i="1"/>
  <c r="R124" i="1"/>
  <c r="R82" i="1"/>
  <c r="U55" i="57"/>
  <c r="R98" i="1"/>
  <c r="R69" i="1"/>
  <c r="R142" i="1"/>
  <c r="R65" i="1"/>
  <c r="R58" i="1"/>
  <c r="R67" i="1"/>
  <c r="R7" i="1"/>
  <c r="R140" i="1"/>
  <c r="U25" i="57"/>
  <c r="R9" i="1"/>
  <c r="R143" i="1"/>
  <c r="R75" i="1"/>
  <c r="U73" i="57"/>
  <c r="R99" i="1"/>
  <c r="R21" i="1"/>
  <c r="R18" i="1"/>
  <c r="R120" i="1"/>
  <c r="R93" i="1"/>
  <c r="R86" i="1"/>
  <c r="R83" i="1"/>
  <c r="R96" i="1"/>
  <c r="R12" i="1"/>
  <c r="R13" i="1"/>
  <c r="R10" i="1"/>
  <c r="R117" i="1"/>
  <c r="V79" i="57"/>
  <c r="R79" i="1"/>
  <c r="R76" i="1"/>
  <c r="R16" i="1"/>
  <c r="R122" i="1"/>
  <c r="R62" i="1"/>
  <c r="R132" i="1"/>
  <c r="R130" i="1"/>
  <c r="R32" i="1"/>
  <c r="R113" i="1"/>
  <c r="R17" i="1"/>
  <c r="R59" i="1"/>
  <c r="R25" i="1"/>
  <c r="R15" i="1"/>
  <c r="Q30" i="1"/>
  <c r="R118" i="1"/>
  <c r="R95" i="1"/>
  <c r="R114" i="1"/>
  <c r="R14" i="1"/>
  <c r="R126" i="1"/>
  <c r="R6" i="1"/>
  <c r="R107" i="1"/>
  <c r="Q10" i="1"/>
  <c r="R36" i="1"/>
  <c r="AB74" i="1" l="1"/>
  <c r="AB34" i="1"/>
  <c r="AB128" i="1"/>
  <c r="AB131" i="1"/>
  <c r="AB132" i="1"/>
  <c r="AB129" i="1"/>
  <c r="AB130" i="1"/>
  <c r="S259" i="1"/>
  <c r="AB259" i="1" s="1"/>
  <c r="R49" i="1"/>
  <c r="AB49" i="1" s="1"/>
  <c r="Q49" i="1"/>
  <c r="R50" i="1"/>
  <c r="R133" i="1"/>
  <c r="R259" i="1" s="1"/>
  <c r="R192" i="1"/>
  <c r="R138" i="1"/>
  <c r="R134" i="1"/>
  <c r="R137" i="1"/>
  <c r="R135" i="1"/>
  <c r="R136" i="1"/>
  <c r="U153" i="123"/>
  <c r="N153" i="123"/>
  <c r="F89" i="169"/>
  <c r="E89" i="169" s="1"/>
  <c r="V91" i="57"/>
  <c r="V87" i="57"/>
  <c r="R70" i="1"/>
  <c r="U92" i="57"/>
  <c r="U90" i="57"/>
  <c r="U84" i="57"/>
  <c r="U81" i="35"/>
  <c r="U84" i="35"/>
  <c r="U82" i="35"/>
  <c r="U83" i="35" s="1"/>
  <c r="V94" i="57"/>
  <c r="W95" i="57"/>
  <c r="V89" i="57"/>
  <c r="V86" i="35"/>
  <c r="V87" i="35" s="1"/>
  <c r="U71" i="35"/>
  <c r="U73" i="35"/>
  <c r="U77" i="57"/>
  <c r="U75" i="57"/>
  <c r="R187" i="1"/>
  <c r="R201" i="1"/>
  <c r="R195" i="1"/>
  <c r="R193" i="1"/>
  <c r="R200" i="1"/>
  <c r="R186" i="1"/>
  <c r="R189" i="1"/>
  <c r="R199" i="1"/>
  <c r="R197" i="1"/>
  <c r="R196" i="1"/>
  <c r="R188" i="1"/>
  <c r="R194" i="1"/>
  <c r="R190" i="1"/>
  <c r="R198" i="1"/>
  <c r="S159" i="1"/>
  <c r="R158" i="1"/>
  <c r="S139" i="1"/>
  <c r="R154" i="1"/>
  <c r="F3" i="169"/>
  <c r="E3" i="169" s="1"/>
  <c r="C7" i="169"/>
  <c r="Q185" i="1"/>
  <c r="Q246" i="1"/>
  <c r="R60" i="1"/>
  <c r="S202" i="1"/>
  <c r="R97" i="1"/>
  <c r="R252" i="1" s="1"/>
  <c r="R44" i="1"/>
  <c r="Q81" i="118"/>
  <c r="U29" i="35"/>
  <c r="U31" i="35"/>
  <c r="U32" i="35" s="1"/>
  <c r="U35" i="57"/>
  <c r="U33" i="57"/>
  <c r="S146" i="1"/>
  <c r="U79" i="35"/>
  <c r="U80" i="35" s="1"/>
  <c r="U90" i="35"/>
  <c r="R41" i="1"/>
  <c r="V20" i="35"/>
  <c r="V80" i="35"/>
  <c r="V44" i="35"/>
  <c r="V50" i="35"/>
  <c r="V68" i="35"/>
  <c r="V8" i="35"/>
  <c r="V14" i="35"/>
  <c r="V38" i="35"/>
  <c r="V62" i="35"/>
  <c r="U77" i="35"/>
  <c r="U69" i="57"/>
  <c r="U35" i="35"/>
  <c r="R91" i="1"/>
  <c r="R43" i="1"/>
  <c r="U61" i="35"/>
  <c r="U62" i="35" s="1"/>
  <c r="U65" i="35"/>
  <c r="U67" i="35"/>
  <c r="U68" i="35" s="1"/>
  <c r="U59" i="35"/>
  <c r="W91" i="35"/>
  <c r="U23" i="35"/>
  <c r="U25" i="35"/>
  <c r="U26" i="35" s="1"/>
  <c r="U29" i="57"/>
  <c r="U27" i="57"/>
  <c r="U37" i="35"/>
  <c r="U38" i="35" s="1"/>
  <c r="U49" i="35"/>
  <c r="U50" i="35" s="1"/>
  <c r="U47" i="35"/>
  <c r="U41" i="35"/>
  <c r="U43" i="35"/>
  <c r="U44" i="35" s="1"/>
  <c r="U17" i="35"/>
  <c r="U19" i="35"/>
  <c r="U20" i="35" s="1"/>
  <c r="U53" i="35"/>
  <c r="U55" i="35"/>
  <c r="U7" i="35"/>
  <c r="U8" i="35" s="1"/>
  <c r="U5" i="35"/>
  <c r="U11" i="35"/>
  <c r="U13" i="35"/>
  <c r="U14" i="35" s="1"/>
  <c r="U15" i="57"/>
  <c r="U71" i="57"/>
  <c r="U63" i="57"/>
  <c r="U65" i="57"/>
  <c r="U17" i="57"/>
  <c r="U41" i="57"/>
  <c r="U39" i="57"/>
  <c r="U53" i="57"/>
  <c r="U21" i="57"/>
  <c r="U23" i="57"/>
  <c r="U9" i="57"/>
  <c r="U11" i="57"/>
  <c r="U45" i="57"/>
  <c r="U47" i="57"/>
  <c r="U57" i="57"/>
  <c r="U59" i="57"/>
  <c r="U81" i="57"/>
  <c r="U51" i="57"/>
  <c r="V83" i="57"/>
  <c r="S52" i="1"/>
  <c r="Q170" i="1"/>
  <c r="Q169" i="1"/>
  <c r="S1" i="35"/>
  <c r="A164" i="123"/>
  <c r="Q153" i="123"/>
  <c r="K153" i="123"/>
  <c r="P2" i="1"/>
  <c r="S2" i="57"/>
  <c r="Q1" i="1"/>
  <c r="T30" i="57"/>
  <c r="Q155" i="1"/>
  <c r="T8" i="57"/>
  <c r="T76" i="35"/>
  <c r="T80" i="57"/>
  <c r="T12" i="57"/>
  <c r="T52" i="35"/>
  <c r="T75" i="35"/>
  <c r="T22" i="57"/>
  <c r="T6" i="57"/>
  <c r="T34" i="57"/>
  <c r="S80" i="57"/>
  <c r="T26" i="57"/>
  <c r="T16" i="35"/>
  <c r="T40" i="35"/>
  <c r="T9" i="35"/>
  <c r="T78" i="35"/>
  <c r="U88" i="57"/>
  <c r="T34" i="35"/>
  <c r="T40" i="57"/>
  <c r="T46" i="35"/>
  <c r="T14" i="57"/>
  <c r="T76" i="57"/>
  <c r="T21" i="35"/>
  <c r="T51" i="35"/>
  <c r="T72" i="35"/>
  <c r="Q162" i="1"/>
  <c r="T89" i="35"/>
  <c r="T33" i="35"/>
  <c r="T27" i="35"/>
  <c r="T70" i="57"/>
  <c r="Q153" i="1"/>
  <c r="T10" i="35"/>
  <c r="T4" i="57"/>
  <c r="T30" i="35"/>
  <c r="Q156" i="1"/>
  <c r="Q157" i="1"/>
  <c r="T64" i="35"/>
  <c r="S85" i="35"/>
  <c r="T74" i="57"/>
  <c r="T63" i="35"/>
  <c r="Q161" i="1"/>
  <c r="T69" i="35"/>
  <c r="T50" i="57"/>
  <c r="T60" i="57"/>
  <c r="T32" i="57"/>
  <c r="T60" i="35"/>
  <c r="T54" i="35"/>
  <c r="T62" i="57"/>
  <c r="T48" i="57"/>
  <c r="T16" i="57"/>
  <c r="Q165" i="1"/>
  <c r="T20" i="57"/>
  <c r="T18" i="57"/>
  <c r="T3" i="57"/>
  <c r="T57" i="35"/>
  <c r="T36" i="35"/>
  <c r="T38" i="57"/>
  <c r="T15" i="35"/>
  <c r="T45" i="35"/>
  <c r="T68" i="57"/>
  <c r="T64" i="57"/>
  <c r="T42" i="35"/>
  <c r="Q167" i="1"/>
  <c r="Q164" i="1"/>
  <c r="T66" i="57"/>
  <c r="U93" i="57"/>
  <c r="T54" i="57"/>
  <c r="T5" i="57"/>
  <c r="T56" i="57"/>
  <c r="T66" i="35"/>
  <c r="Q152" i="1"/>
  <c r="T48" i="35"/>
  <c r="T58" i="35"/>
  <c r="T46" i="57"/>
  <c r="T28" i="35"/>
  <c r="T93" i="35"/>
  <c r="T72" i="57"/>
  <c r="T39" i="35"/>
  <c r="T44" i="57"/>
  <c r="T6" i="35"/>
  <c r="T58" i="57"/>
  <c r="S96" i="57"/>
  <c r="T42" i="57"/>
  <c r="T2" i="35"/>
  <c r="T88" i="35"/>
  <c r="T70" i="35"/>
  <c r="T52" i="57"/>
  <c r="T82" i="57"/>
  <c r="Q151" i="1"/>
  <c r="T10" i="57"/>
  <c r="T24" i="57"/>
  <c r="T3" i="35"/>
  <c r="T12" i="35"/>
  <c r="T78" i="57"/>
  <c r="T24" i="35"/>
  <c r="T18" i="35"/>
  <c r="T22" i="35"/>
  <c r="T36" i="57"/>
  <c r="T28" i="57"/>
  <c r="Q20" i="1"/>
  <c r="Q11" i="1"/>
  <c r="Q81" i="1"/>
  <c r="Q72" i="1"/>
  <c r="Q13" i="1"/>
  <c r="P32" i="1"/>
  <c r="Q83" i="1"/>
  <c r="Q17" i="1"/>
  <c r="Q86" i="1"/>
  <c r="Q132" i="1"/>
  <c r="R33" i="1"/>
  <c r="Q140" i="1"/>
  <c r="Q24" i="1"/>
  <c r="Q141" i="1"/>
  <c r="Q119" i="1"/>
  <c r="Q68" i="1"/>
  <c r="Q84" i="1"/>
  <c r="P6" i="1"/>
  <c r="Q93" i="1"/>
  <c r="Q5" i="1"/>
  <c r="Q69" i="1"/>
  <c r="Q90" i="1"/>
  <c r="Q27" i="1"/>
  <c r="Q144" i="1"/>
  <c r="Q106" i="1"/>
  <c r="Q9" i="1"/>
  <c r="Q123" i="1"/>
  <c r="Q125" i="1"/>
  <c r="Q103" i="1"/>
  <c r="Q122" i="1"/>
  <c r="Q89" i="1"/>
  <c r="Q111" i="1"/>
  <c r="Q73" i="1"/>
  <c r="Q107" i="1"/>
  <c r="Q77" i="1"/>
  <c r="Q7" i="1"/>
  <c r="P28" i="1"/>
  <c r="Q3" i="1"/>
  <c r="Q33" i="1"/>
  <c r="Q117" i="1"/>
  <c r="Q116" i="1"/>
  <c r="Q102" i="1"/>
  <c r="Q108" i="1"/>
  <c r="Q35" i="1"/>
  <c r="Q114" i="1"/>
  <c r="Q76" i="1"/>
  <c r="Q92" i="1"/>
  <c r="Q130" i="1"/>
  <c r="T19" i="57"/>
  <c r="Q64" i="1"/>
  <c r="Q31" i="1"/>
  <c r="Q75" i="1"/>
  <c r="Q59" i="1"/>
  <c r="Q14" i="1"/>
  <c r="Q88" i="1"/>
  <c r="T13" i="57"/>
  <c r="Q23" i="1"/>
  <c r="Q99" i="1"/>
  <c r="Q18" i="1"/>
  <c r="U85" i="57"/>
  <c r="Q61" i="1"/>
  <c r="Q118" i="1"/>
  <c r="Q15" i="1"/>
  <c r="Q128" i="1"/>
  <c r="Q94" i="1"/>
  <c r="Q124" i="1"/>
  <c r="Q25" i="1"/>
  <c r="Q71" i="1"/>
  <c r="Q65" i="1"/>
  <c r="R29" i="1"/>
  <c r="T55" i="57"/>
  <c r="Q95" i="1"/>
  <c r="T37" i="57"/>
  <c r="Q142" i="1"/>
  <c r="U49" i="57"/>
  <c r="Q19" i="1"/>
  <c r="Q82" i="1"/>
  <c r="Q112" i="1"/>
  <c r="U86" i="57"/>
  <c r="T31" i="57"/>
  <c r="Q22" i="1"/>
  <c r="R35" i="1"/>
  <c r="Q79" i="1"/>
  <c r="Q12" i="1"/>
  <c r="Q66" i="1"/>
  <c r="Q129" i="1"/>
  <c r="Q58" i="1"/>
  <c r="U7" i="57"/>
  <c r="Q110" i="1"/>
  <c r="T73" i="57"/>
  <c r="Q26" i="1"/>
  <c r="Q143" i="1"/>
  <c r="Q67" i="1"/>
  <c r="U79" i="57"/>
  <c r="Q98" i="1"/>
  <c r="Q100" i="1"/>
  <c r="Q6" i="1"/>
  <c r="Q126" i="1"/>
  <c r="Q131" i="1"/>
  <c r="T25" i="57"/>
  <c r="R31" i="1"/>
  <c r="Q80" i="1"/>
  <c r="Q96" i="1"/>
  <c r="Q16" i="1"/>
  <c r="Q87" i="1"/>
  <c r="Q120" i="1"/>
  <c r="Q104" i="1"/>
  <c r="Q113" i="1"/>
  <c r="Q4" i="1"/>
  <c r="Q21" i="1"/>
  <c r="Q8" i="1"/>
  <c r="T67" i="57"/>
  <c r="P69" i="1"/>
  <c r="U43" i="57"/>
  <c r="Q29" i="1"/>
  <c r="T61" i="57"/>
  <c r="Q63" i="1"/>
  <c r="Q36" i="1"/>
  <c r="AE73" i="57" l="1"/>
  <c r="AD73" i="57"/>
  <c r="AB35" i="1"/>
  <c r="AE74" i="57"/>
  <c r="AD74" i="57"/>
  <c r="AD69" i="35"/>
  <c r="AE69" i="35"/>
  <c r="AD76" i="57"/>
  <c r="AE76" i="57"/>
  <c r="AE70" i="35"/>
  <c r="AD70" i="35"/>
  <c r="AE72" i="57"/>
  <c r="AD72" i="57"/>
  <c r="AE72" i="35"/>
  <c r="AD72" i="35"/>
  <c r="AB133" i="1"/>
  <c r="U74" i="35"/>
  <c r="R51" i="1"/>
  <c r="R52" i="1" s="1"/>
  <c r="Q51" i="1"/>
  <c r="Q50" i="1"/>
  <c r="Q133" i="1"/>
  <c r="Q259" i="1" s="1"/>
  <c r="S160" i="1"/>
  <c r="Q192" i="1"/>
  <c r="Q136" i="1"/>
  <c r="Q134" i="1"/>
  <c r="Q135" i="1"/>
  <c r="Q138" i="1"/>
  <c r="Q137" i="1"/>
  <c r="U164" i="123"/>
  <c r="N164" i="123"/>
  <c r="U87" i="57"/>
  <c r="U91" i="57"/>
  <c r="Q70" i="1"/>
  <c r="T84" i="35"/>
  <c r="U94" i="57"/>
  <c r="T92" i="57"/>
  <c r="T90" i="57"/>
  <c r="T84" i="57"/>
  <c r="T82" i="35"/>
  <c r="T81" i="35"/>
  <c r="U86" i="35"/>
  <c r="U87" i="35" s="1"/>
  <c r="V95" i="57"/>
  <c r="U89" i="57"/>
  <c r="R159" i="1"/>
  <c r="T71" i="35"/>
  <c r="T73" i="35"/>
  <c r="T74" i="35" s="1"/>
  <c r="T77" i="57"/>
  <c r="AD77" i="57" s="1"/>
  <c r="T75" i="57"/>
  <c r="Q199" i="1"/>
  <c r="Q194" i="1"/>
  <c r="Q196" i="1"/>
  <c r="Q197" i="1"/>
  <c r="Q186" i="1"/>
  <c r="Q190" i="1"/>
  <c r="Q200" i="1"/>
  <c r="Q193" i="1"/>
  <c r="Q189" i="1"/>
  <c r="Q188" i="1"/>
  <c r="Q198" i="1"/>
  <c r="Q201" i="1"/>
  <c r="Q187" i="1"/>
  <c r="Q195" i="1"/>
  <c r="R139" i="1"/>
  <c r="F7" i="169"/>
  <c r="E7" i="169" s="1"/>
  <c r="F8" i="169"/>
  <c r="E8" i="169" s="1"/>
  <c r="Q158" i="1"/>
  <c r="Q154" i="1"/>
  <c r="AB69" i="1"/>
  <c r="AB62" i="1"/>
  <c r="P185" i="1"/>
  <c r="P246" i="1"/>
  <c r="Q60" i="1"/>
  <c r="R202" i="1"/>
  <c r="Q44" i="1"/>
  <c r="Q97" i="1"/>
  <c r="T29" i="35"/>
  <c r="T31" i="35"/>
  <c r="T32" i="35" s="1"/>
  <c r="T35" i="57"/>
  <c r="T33" i="57"/>
  <c r="T51" i="57"/>
  <c r="AB6" i="1"/>
  <c r="R251" i="1"/>
  <c r="T79" i="35"/>
  <c r="U56" i="35"/>
  <c r="U83" i="57"/>
  <c r="R146" i="1"/>
  <c r="Q43" i="1"/>
  <c r="T57" i="57"/>
  <c r="T39" i="57"/>
  <c r="Q91" i="1"/>
  <c r="Q251" i="1" s="1"/>
  <c r="V91" i="35"/>
  <c r="V92" i="35" s="1"/>
  <c r="W92" i="35"/>
  <c r="T23" i="35"/>
  <c r="T25" i="35"/>
  <c r="T26" i="35" s="1"/>
  <c r="T29" i="57"/>
  <c r="T27" i="57"/>
  <c r="T17" i="35"/>
  <c r="T71" i="57"/>
  <c r="T69" i="57"/>
  <c r="T41" i="57"/>
  <c r="T11" i="57"/>
  <c r="T9" i="57"/>
  <c r="T59" i="57"/>
  <c r="T53" i="57"/>
  <c r="P170" i="1"/>
  <c r="P169" i="1"/>
  <c r="T65" i="35"/>
  <c r="T5" i="35"/>
  <c r="T7" i="35"/>
  <c r="T8" i="35" s="1"/>
  <c r="T19" i="35"/>
  <c r="T20" i="35" s="1"/>
  <c r="T59" i="35"/>
  <c r="T61" i="35"/>
  <c r="T62" i="35" s="1"/>
  <c r="T35" i="35"/>
  <c r="T37" i="35"/>
  <c r="T38" i="35" s="1"/>
  <c r="T41" i="35"/>
  <c r="T43" i="35"/>
  <c r="T44" i="35" s="1"/>
  <c r="T90" i="35"/>
  <c r="T11" i="35"/>
  <c r="T13" i="35"/>
  <c r="T14" i="35" s="1"/>
  <c r="T55" i="35"/>
  <c r="T56" i="35" s="1"/>
  <c r="T67" i="35"/>
  <c r="T68" i="35" s="1"/>
  <c r="T49" i="35"/>
  <c r="T50" i="35" s="1"/>
  <c r="T47" i="35"/>
  <c r="T53" i="35"/>
  <c r="T77" i="35"/>
  <c r="T17" i="57"/>
  <c r="T15" i="57"/>
  <c r="T21" i="57"/>
  <c r="T23" i="57"/>
  <c r="T63" i="57"/>
  <c r="T65" i="57"/>
  <c r="T45" i="57"/>
  <c r="T47" i="57"/>
  <c r="T81" i="57"/>
  <c r="R1" i="35"/>
  <c r="Q164" i="123"/>
  <c r="K164" i="123"/>
  <c r="O2" i="1"/>
  <c r="R2" i="57"/>
  <c r="P1" i="1"/>
  <c r="B9" i="121"/>
  <c r="B19" i="121"/>
  <c r="B28" i="121"/>
  <c r="B38" i="121"/>
  <c r="B48" i="121"/>
  <c r="B58" i="121"/>
  <c r="B67" i="121"/>
  <c r="B76" i="121"/>
  <c r="B85" i="121"/>
  <c r="B95" i="121"/>
  <c r="B104" i="121"/>
  <c r="B113" i="121"/>
  <c r="B122" i="121"/>
  <c r="B140" i="121"/>
  <c r="B130" i="121"/>
  <c r="B121" i="121"/>
  <c r="B112" i="121"/>
  <c r="B103" i="121"/>
  <c r="B94" i="121"/>
  <c r="S78" i="35"/>
  <c r="S48" i="57"/>
  <c r="S12" i="57"/>
  <c r="S62" i="57"/>
  <c r="S68" i="57"/>
  <c r="P164" i="1"/>
  <c r="S54" i="57"/>
  <c r="P157" i="1"/>
  <c r="S26" i="57"/>
  <c r="P155" i="1"/>
  <c r="S78" i="57"/>
  <c r="P167" i="1"/>
  <c r="S38" i="57"/>
  <c r="S52" i="35"/>
  <c r="S22" i="57"/>
  <c r="S8" i="57"/>
  <c r="S42" i="57"/>
  <c r="S48" i="35"/>
  <c r="S54" i="35"/>
  <c r="P153" i="1"/>
  <c r="S14" i="57"/>
  <c r="S72" i="35"/>
  <c r="S16" i="57"/>
  <c r="S30" i="57"/>
  <c r="S76" i="35"/>
  <c r="S60" i="35"/>
  <c r="S32" i="57"/>
  <c r="S34" i="35"/>
  <c r="S40" i="57"/>
  <c r="S18" i="35"/>
  <c r="T88" i="57"/>
  <c r="S10" i="57"/>
  <c r="S58" i="57"/>
  <c r="S5" i="57"/>
  <c r="P161" i="1"/>
  <c r="P156" i="1"/>
  <c r="R62" i="57"/>
  <c r="S74" i="57"/>
  <c r="S66" i="35"/>
  <c r="S88" i="35"/>
  <c r="R96" i="57"/>
  <c r="S76" i="57"/>
  <c r="R33" i="35"/>
  <c r="S64" i="35"/>
  <c r="S66" i="57"/>
  <c r="P152" i="1"/>
  <c r="S21" i="35"/>
  <c r="S6" i="57"/>
  <c r="S51" i="35"/>
  <c r="P162" i="1"/>
  <c r="S45" i="35"/>
  <c r="S3" i="57"/>
  <c r="S44" i="57"/>
  <c r="S60" i="57"/>
  <c r="S82" i="57"/>
  <c r="S50" i="57"/>
  <c r="P151" i="1"/>
  <c r="S6" i="35"/>
  <c r="S4" i="35"/>
  <c r="S36" i="57"/>
  <c r="R75" i="35"/>
  <c r="S24" i="57"/>
  <c r="S12" i="35"/>
  <c r="S9" i="35"/>
  <c r="R80" i="57"/>
  <c r="S52" i="57"/>
  <c r="S36" i="35"/>
  <c r="S22" i="35"/>
  <c r="S27" i="35"/>
  <c r="S28" i="35"/>
  <c r="S69" i="35"/>
  <c r="O152" i="1"/>
  <c r="S30" i="35"/>
  <c r="S56" i="57"/>
  <c r="S63" i="35"/>
  <c r="S75" i="35"/>
  <c r="S3" i="35"/>
  <c r="S2" i="35"/>
  <c r="S40" i="35"/>
  <c r="O155" i="1"/>
  <c r="S46" i="35"/>
  <c r="S10" i="35"/>
  <c r="S93" i="35"/>
  <c r="S46" i="57"/>
  <c r="S16" i="35"/>
  <c r="S70" i="57"/>
  <c r="S34" i="57"/>
  <c r="S70" i="35"/>
  <c r="S4" i="57"/>
  <c r="S39" i="35"/>
  <c r="S33" i="35"/>
  <c r="T93" i="57"/>
  <c r="R85" i="35"/>
  <c r="S28" i="57"/>
  <c r="S24" i="35"/>
  <c r="P165" i="1"/>
  <c r="S89" i="35"/>
  <c r="S58" i="35"/>
  <c r="S64" i="57"/>
  <c r="S57" i="35"/>
  <c r="S18" i="57"/>
  <c r="O153" i="1"/>
  <c r="R88" i="35"/>
  <c r="S72" i="57"/>
  <c r="S42" i="35"/>
  <c r="S15" i="35"/>
  <c r="S20" i="57"/>
  <c r="P23" i="1"/>
  <c r="P83" i="1"/>
  <c r="P80" i="1"/>
  <c r="P77" i="1"/>
  <c r="P67" i="1"/>
  <c r="P9" i="1"/>
  <c r="P13" i="1"/>
  <c r="P15" i="1"/>
  <c r="T79" i="57"/>
  <c r="P26" i="1"/>
  <c r="P102" i="1"/>
  <c r="S61" i="57"/>
  <c r="P116" i="1"/>
  <c r="S73" i="57"/>
  <c r="T43" i="57"/>
  <c r="P129" i="1"/>
  <c r="P62" i="1"/>
  <c r="P74" i="1"/>
  <c r="S19" i="57"/>
  <c r="P141" i="1"/>
  <c r="O12" i="1"/>
  <c r="S55" i="57"/>
  <c r="T49" i="57"/>
  <c r="P82" i="1"/>
  <c r="P92" i="1"/>
  <c r="P140" i="1"/>
  <c r="P98" i="1"/>
  <c r="P17" i="1"/>
  <c r="O30" i="1"/>
  <c r="P144" i="1"/>
  <c r="S67" i="57"/>
  <c r="P3" i="1"/>
  <c r="P124" i="1"/>
  <c r="S13" i="57"/>
  <c r="P84" i="1"/>
  <c r="P118" i="1"/>
  <c r="P130" i="1"/>
  <c r="P132" i="1"/>
  <c r="P86" i="1"/>
  <c r="S31" i="57"/>
  <c r="P7" i="1"/>
  <c r="P21" i="1"/>
  <c r="P14" i="1"/>
  <c r="P112" i="1"/>
  <c r="P142" i="1"/>
  <c r="P96" i="1"/>
  <c r="P114" i="1"/>
  <c r="P93" i="1"/>
  <c r="P119" i="1"/>
  <c r="P34" i="1"/>
  <c r="P106" i="1"/>
  <c r="P22" i="1"/>
  <c r="P66" i="1"/>
  <c r="P111" i="1"/>
  <c r="P126" i="1"/>
  <c r="P120" i="1"/>
  <c r="P94" i="1"/>
  <c r="O74" i="1"/>
  <c r="P100" i="1"/>
  <c r="P75" i="1"/>
  <c r="P12" i="1"/>
  <c r="P20" i="1"/>
  <c r="P125" i="1"/>
  <c r="P19" i="1"/>
  <c r="O32" i="1"/>
  <c r="P88" i="1"/>
  <c r="P123" i="1"/>
  <c r="P25" i="1"/>
  <c r="P90" i="1"/>
  <c r="T7" i="57"/>
  <c r="T85" i="57"/>
  <c r="P71" i="1"/>
  <c r="P79" i="1"/>
  <c r="P5" i="1"/>
  <c r="P59" i="1"/>
  <c r="P110" i="1"/>
  <c r="P76" i="1"/>
  <c r="S25" i="57"/>
  <c r="P95" i="1"/>
  <c r="P131" i="1"/>
  <c r="P27" i="1"/>
  <c r="P24" i="1"/>
  <c r="P18" i="1"/>
  <c r="P99" i="1"/>
  <c r="P143" i="1"/>
  <c r="P4" i="1"/>
  <c r="O28" i="1"/>
  <c r="P107" i="1"/>
  <c r="T86" i="57"/>
  <c r="O81" i="1"/>
  <c r="P122" i="1"/>
  <c r="P64" i="1"/>
  <c r="P108" i="1"/>
  <c r="P89" i="1"/>
  <c r="P68" i="1"/>
  <c r="P8" i="1"/>
  <c r="P128" i="1"/>
  <c r="P58" i="1"/>
  <c r="P16" i="1"/>
  <c r="P81" i="1"/>
  <c r="P104" i="1"/>
  <c r="P11" i="1"/>
  <c r="P30" i="1"/>
  <c r="P113" i="1"/>
  <c r="P87" i="1"/>
  <c r="P65" i="1"/>
  <c r="P117" i="1"/>
  <c r="P72" i="1"/>
  <c r="P103" i="1"/>
  <c r="O34" i="1"/>
  <c r="P73" i="1"/>
  <c r="P10" i="1"/>
  <c r="P63" i="1"/>
  <c r="P61" i="1"/>
  <c r="S37" i="57"/>
  <c r="P36" i="1"/>
  <c r="AD75" i="57" l="1"/>
  <c r="AE75" i="57"/>
  <c r="AD71" i="35"/>
  <c r="AD73" i="35"/>
  <c r="AD74" i="35" s="1"/>
  <c r="AE77" i="57"/>
  <c r="AE73" i="35"/>
  <c r="AE74" i="35" s="1"/>
  <c r="AE71" i="35"/>
  <c r="P49" i="1"/>
  <c r="O49" i="1"/>
  <c r="P50" i="1"/>
  <c r="Q52" i="1"/>
  <c r="P133" i="1"/>
  <c r="P259" i="1" s="1"/>
  <c r="P192" i="1"/>
  <c r="P136" i="1"/>
  <c r="P135" i="1"/>
  <c r="P137" i="1"/>
  <c r="P138" i="1"/>
  <c r="P134" i="1"/>
  <c r="T87" i="57"/>
  <c r="T83" i="35"/>
  <c r="P70" i="1"/>
  <c r="R160" i="1"/>
  <c r="T91" i="57"/>
  <c r="S82" i="35"/>
  <c r="S84" i="35"/>
  <c r="S92" i="57"/>
  <c r="S90" i="57"/>
  <c r="S84" i="57"/>
  <c r="S81" i="35"/>
  <c r="T94" i="57"/>
  <c r="T86" i="35"/>
  <c r="T87" i="35" s="1"/>
  <c r="U95" i="57"/>
  <c r="T89" i="57"/>
  <c r="S71" i="35"/>
  <c r="S73" i="35"/>
  <c r="S74" i="35" s="1"/>
  <c r="S77" i="57"/>
  <c r="S75" i="57"/>
  <c r="P186" i="1"/>
  <c r="P198" i="1"/>
  <c r="P200" i="1"/>
  <c r="P195" i="1"/>
  <c r="P197" i="1"/>
  <c r="P201" i="1"/>
  <c r="P199" i="1"/>
  <c r="P194" i="1"/>
  <c r="P196" i="1"/>
  <c r="P193" i="1"/>
  <c r="P187" i="1"/>
  <c r="P189" i="1"/>
  <c r="P190" i="1"/>
  <c r="P188" i="1"/>
  <c r="Q159" i="1"/>
  <c r="AB138" i="1"/>
  <c r="AB136" i="1"/>
  <c r="Q139" i="1"/>
  <c r="E9" i="169"/>
  <c r="AB15" i="1"/>
  <c r="AB7" i="1"/>
  <c r="AB156" i="1"/>
  <c r="AB157" i="1"/>
  <c r="AB119" i="1"/>
  <c r="AB152" i="1"/>
  <c r="P154" i="1"/>
  <c r="AB154" i="1" s="1"/>
  <c r="AB120" i="1"/>
  <c r="AB17" i="1"/>
  <c r="AB153" i="1"/>
  <c r="AB14" i="1"/>
  <c r="AB155" i="1"/>
  <c r="P158" i="1"/>
  <c r="AB116" i="1"/>
  <c r="AB88" i="1"/>
  <c r="AB11" i="1"/>
  <c r="AB82" i="1"/>
  <c r="AB104" i="1"/>
  <c r="AB144" i="1"/>
  <c r="AB71" i="1"/>
  <c r="AB19" i="1"/>
  <c r="AB8" i="1"/>
  <c r="AB4" i="1"/>
  <c r="AB164" i="1"/>
  <c r="AB118" i="1"/>
  <c r="AB114" i="1"/>
  <c r="AB13" i="1"/>
  <c r="O154" i="1"/>
  <c r="AB161" i="1"/>
  <c r="AB64" i="1"/>
  <c r="AB18" i="1"/>
  <c r="AB68" i="1"/>
  <c r="AB111" i="1"/>
  <c r="AB21" i="1"/>
  <c r="AB84" i="1"/>
  <c r="AB77" i="1"/>
  <c r="AB158" i="1"/>
  <c r="AB102" i="1"/>
  <c r="AB26" i="1"/>
  <c r="AB106" i="1"/>
  <c r="AB79" i="1"/>
  <c r="AB143" i="1"/>
  <c r="AB80" i="1"/>
  <c r="AB196" i="1"/>
  <c r="G83" i="169" s="1"/>
  <c r="AB151" i="1"/>
  <c r="AB22" i="1"/>
  <c r="AB122" i="1"/>
  <c r="AB59" i="1"/>
  <c r="AB66" i="1"/>
  <c r="AB25" i="1"/>
  <c r="AB72" i="1"/>
  <c r="AB27" i="1"/>
  <c r="AB117" i="1"/>
  <c r="AB5" i="1"/>
  <c r="AB162" i="1"/>
  <c r="AB165" i="1"/>
  <c r="AB167" i="1"/>
  <c r="AB100" i="1"/>
  <c r="AB126" i="1"/>
  <c r="AB140" i="1"/>
  <c r="AB112" i="1"/>
  <c r="AB94" i="1"/>
  <c r="AB107" i="1"/>
  <c r="AB83" i="1"/>
  <c r="AB28" i="1"/>
  <c r="AB63" i="1"/>
  <c r="AB75" i="1"/>
  <c r="AB98" i="1"/>
  <c r="AB12" i="1"/>
  <c r="AB125" i="1"/>
  <c r="AB93" i="1"/>
  <c r="AB103" i="1"/>
  <c r="AB61" i="1"/>
  <c r="AB142" i="1"/>
  <c r="AB99" i="1"/>
  <c r="AB65" i="1"/>
  <c r="AB110" i="1"/>
  <c r="AB92" i="1"/>
  <c r="AB20" i="1"/>
  <c r="AB30" i="1"/>
  <c r="AB90" i="1"/>
  <c r="AB96" i="1"/>
  <c r="AB10" i="1"/>
  <c r="AB67" i="1"/>
  <c r="AB73" i="1"/>
  <c r="AB24" i="1"/>
  <c r="AB81" i="1"/>
  <c r="AB123" i="1"/>
  <c r="AB76" i="1"/>
  <c r="AB58" i="1"/>
  <c r="AB89" i="1"/>
  <c r="AB108" i="1"/>
  <c r="AB9" i="1"/>
  <c r="AB95" i="1"/>
  <c r="AB16" i="1"/>
  <c r="AB141" i="1"/>
  <c r="AB124" i="1"/>
  <c r="AB86" i="1"/>
  <c r="AB113" i="1"/>
  <c r="AB87" i="1"/>
  <c r="AB23" i="1"/>
  <c r="AE80" i="57"/>
  <c r="AD80" i="57"/>
  <c r="O185" i="1"/>
  <c r="O246" i="1"/>
  <c r="P60" i="1"/>
  <c r="Q202" i="1"/>
  <c r="P97" i="1"/>
  <c r="P252" i="1" s="1"/>
  <c r="S53" i="35"/>
  <c r="S55" i="35"/>
  <c r="S56" i="35" s="1"/>
  <c r="P44" i="1"/>
  <c r="AB44" i="1" s="1"/>
  <c r="AE88" i="35"/>
  <c r="AD88" i="35"/>
  <c r="S90" i="35"/>
  <c r="Q252" i="1"/>
  <c r="S29" i="35"/>
  <c r="S31" i="35"/>
  <c r="S35" i="57"/>
  <c r="S33" i="57"/>
  <c r="AE33" i="35"/>
  <c r="AD33" i="35"/>
  <c r="AD75" i="35"/>
  <c r="AE75" i="35"/>
  <c r="AE62" i="57"/>
  <c r="AD62" i="57"/>
  <c r="T80" i="35"/>
  <c r="S65" i="35"/>
  <c r="S67" i="35"/>
  <c r="S68" i="35" s="1"/>
  <c r="S37" i="35"/>
  <c r="S38" i="35" s="1"/>
  <c r="S41" i="35"/>
  <c r="AB198" i="1"/>
  <c r="G85" i="169" s="1"/>
  <c r="AB193" i="1"/>
  <c r="G80" i="169" s="1"/>
  <c r="AB189" i="1"/>
  <c r="G76" i="169" s="1"/>
  <c r="S35" i="35"/>
  <c r="S59" i="35"/>
  <c r="AB200" i="1"/>
  <c r="G87" i="169" s="1"/>
  <c r="S79" i="35"/>
  <c r="S7" i="35"/>
  <c r="S8" i="35" s="1"/>
  <c r="S5" i="35"/>
  <c r="U91" i="35"/>
  <c r="S45" i="57"/>
  <c r="S11" i="35"/>
  <c r="S13" i="35"/>
  <c r="S14" i="35" s="1"/>
  <c r="S61" i="35"/>
  <c r="S62" i="35" s="1"/>
  <c r="S77" i="35"/>
  <c r="AB194" i="1"/>
  <c r="G81" i="169" s="1"/>
  <c r="S43" i="35"/>
  <c r="S44" i="35" s="1"/>
  <c r="S17" i="35"/>
  <c r="P91" i="1"/>
  <c r="P251" i="1" s="1"/>
  <c r="AB251" i="1" s="1"/>
  <c r="AB195" i="1"/>
  <c r="G82" i="169" s="1"/>
  <c r="P109" i="1"/>
  <c r="P255" i="1" s="1"/>
  <c r="AB201" i="1"/>
  <c r="G88" i="169" s="1"/>
  <c r="AB188" i="1"/>
  <c r="G75" i="169" s="1"/>
  <c r="AB70" i="1"/>
  <c r="AB187" i="1"/>
  <c r="G74" i="169" s="1"/>
  <c r="P43" i="1"/>
  <c r="AB43" i="1" s="1"/>
  <c r="S19" i="35"/>
  <c r="S20" i="35" s="1"/>
  <c r="S47" i="35"/>
  <c r="S49" i="35"/>
  <c r="S50" i="35" s="1"/>
  <c r="AB199" i="1"/>
  <c r="G86" i="169" s="1"/>
  <c r="S23" i="35"/>
  <c r="S25" i="35"/>
  <c r="S26" i="35" s="1"/>
  <c r="S29" i="57"/>
  <c r="S27" i="57"/>
  <c r="T83" i="57"/>
  <c r="O170" i="1"/>
  <c r="O169" i="1"/>
  <c r="Q146" i="1"/>
  <c r="S71" i="57"/>
  <c r="S69" i="57"/>
  <c r="S81" i="57"/>
  <c r="S65" i="57"/>
  <c r="S63" i="57"/>
  <c r="S17" i="57"/>
  <c r="S23" i="57"/>
  <c r="S21" i="57"/>
  <c r="S15" i="57"/>
  <c r="S59" i="57"/>
  <c r="S57" i="57"/>
  <c r="S9" i="57"/>
  <c r="S11" i="57"/>
  <c r="S51" i="57"/>
  <c r="S53" i="57"/>
  <c r="S39" i="57"/>
  <c r="S41" i="57"/>
  <c r="S47" i="57"/>
  <c r="Q1" i="35"/>
  <c r="A185" i="123"/>
  <c r="K175" i="123"/>
  <c r="N2" i="1"/>
  <c r="Q2" i="57"/>
  <c r="O1" i="1"/>
  <c r="A3" i="123"/>
  <c r="R12" i="35"/>
  <c r="R72" i="57"/>
  <c r="R64" i="35"/>
  <c r="R20" i="57"/>
  <c r="R36" i="57"/>
  <c r="R74" i="57"/>
  <c r="N152" i="1"/>
  <c r="Q85" i="35"/>
  <c r="R9" i="35"/>
  <c r="R93" i="35"/>
  <c r="R27" i="35"/>
  <c r="R76" i="35"/>
  <c r="R18" i="35"/>
  <c r="R70" i="35"/>
  <c r="R24" i="35"/>
  <c r="N156" i="1"/>
  <c r="R24" i="57"/>
  <c r="R48" i="57"/>
  <c r="R64" i="57"/>
  <c r="R58" i="35"/>
  <c r="R6" i="35"/>
  <c r="R16" i="57"/>
  <c r="O157" i="1"/>
  <c r="Q96" i="57"/>
  <c r="R89" i="35"/>
  <c r="N151" i="1"/>
  <c r="R14" i="57"/>
  <c r="R45" i="35"/>
  <c r="S93" i="57"/>
  <c r="R36" i="35"/>
  <c r="R82" i="57"/>
  <c r="R42" i="35"/>
  <c r="N153" i="1"/>
  <c r="R32" i="57"/>
  <c r="R40" i="35"/>
  <c r="S88" i="57"/>
  <c r="R66" i="57"/>
  <c r="O167" i="1"/>
  <c r="R30" i="35"/>
  <c r="R54" i="35"/>
  <c r="R34" i="35"/>
  <c r="R42" i="57"/>
  <c r="R44" i="57"/>
  <c r="R16" i="35"/>
  <c r="R70" i="57"/>
  <c r="O162" i="1"/>
  <c r="R63" i="35"/>
  <c r="R6" i="57"/>
  <c r="R66" i="35"/>
  <c r="R52" i="35"/>
  <c r="Q75" i="35"/>
  <c r="O161" i="1"/>
  <c r="R46" i="35"/>
  <c r="R10" i="57"/>
  <c r="R46" i="57"/>
  <c r="R18" i="57"/>
  <c r="O151" i="1"/>
  <c r="O165" i="1"/>
  <c r="R4" i="57"/>
  <c r="R22" i="35"/>
  <c r="R5" i="57"/>
  <c r="R39" i="35"/>
  <c r="R2" i="35"/>
  <c r="R34" i="57"/>
  <c r="R57" i="35"/>
  <c r="R28" i="35"/>
  <c r="R52" i="57"/>
  <c r="R50" i="57"/>
  <c r="R12" i="57"/>
  <c r="R8" i="57"/>
  <c r="R22" i="57"/>
  <c r="R48" i="35"/>
  <c r="R76" i="57"/>
  <c r="R69" i="35"/>
  <c r="R38" i="57"/>
  <c r="R78" i="57"/>
  <c r="R40" i="57"/>
  <c r="R10" i="35"/>
  <c r="R3" i="57"/>
  <c r="R3" i="35"/>
  <c r="R60" i="35"/>
  <c r="O156" i="1"/>
  <c r="R26" i="57"/>
  <c r="R78" i="35"/>
  <c r="R15" i="35"/>
  <c r="R51" i="35"/>
  <c r="R21" i="35"/>
  <c r="R60" i="57"/>
  <c r="O164" i="1"/>
  <c r="R58" i="57"/>
  <c r="R30" i="57"/>
  <c r="R4" i="35"/>
  <c r="R56" i="57"/>
  <c r="R72" i="35"/>
  <c r="R68" i="57"/>
  <c r="R54" i="57"/>
  <c r="R28" i="57"/>
  <c r="S43" i="57"/>
  <c r="O16" i="1"/>
  <c r="N30" i="1"/>
  <c r="O24" i="1"/>
  <c r="O111" i="1"/>
  <c r="O93" i="1"/>
  <c r="O102" i="1"/>
  <c r="O89" i="1"/>
  <c r="O123" i="1"/>
  <c r="O72" i="1"/>
  <c r="O62" i="1"/>
  <c r="N69" i="1"/>
  <c r="O77" i="1"/>
  <c r="N122" i="1"/>
  <c r="O64" i="1"/>
  <c r="R37" i="57"/>
  <c r="O17" i="1"/>
  <c r="O79" i="1"/>
  <c r="O128" i="1"/>
  <c r="O11" i="1"/>
  <c r="O59" i="1"/>
  <c r="O8" i="1"/>
  <c r="O141" i="1"/>
  <c r="O68" i="1"/>
  <c r="O19" i="1"/>
  <c r="O119" i="1"/>
  <c r="O92" i="1"/>
  <c r="N74" i="1"/>
  <c r="O99" i="1"/>
  <c r="P35" i="1"/>
  <c r="O84" i="1"/>
  <c r="R55" i="57"/>
  <c r="R31" i="57"/>
  <c r="O103" i="1"/>
  <c r="O143" i="1"/>
  <c r="O140" i="1"/>
  <c r="O108" i="1"/>
  <c r="O29" i="1"/>
  <c r="O88" i="1"/>
  <c r="O95" i="1"/>
  <c r="N103" i="1"/>
  <c r="O22" i="1"/>
  <c r="R67" i="57"/>
  <c r="O107" i="1"/>
  <c r="O125" i="1"/>
  <c r="S86" i="57"/>
  <c r="O63" i="1"/>
  <c r="O5" i="1"/>
  <c r="O18" i="1"/>
  <c r="O144" i="1"/>
  <c r="R25" i="57"/>
  <c r="O117" i="1"/>
  <c r="O126" i="1"/>
  <c r="O75" i="1"/>
  <c r="O114" i="1"/>
  <c r="N71" i="1"/>
  <c r="P31" i="1"/>
  <c r="N28" i="1"/>
  <c r="O94" i="1"/>
  <c r="O14" i="1"/>
  <c r="S85" i="57"/>
  <c r="O13" i="1"/>
  <c r="O98" i="1"/>
  <c r="O129" i="1"/>
  <c r="S49" i="57"/>
  <c r="N17" i="1"/>
  <c r="R61" i="57"/>
  <c r="O130" i="1"/>
  <c r="O71" i="1"/>
  <c r="O9" i="1"/>
  <c r="O15" i="1"/>
  <c r="R19" i="57"/>
  <c r="O76" i="1"/>
  <c r="O87" i="1"/>
  <c r="O66" i="1"/>
  <c r="O80" i="1"/>
  <c r="O106" i="1"/>
  <c r="O118" i="1"/>
  <c r="O120" i="1"/>
  <c r="P33" i="1"/>
  <c r="R73" i="57"/>
  <c r="O65" i="1"/>
  <c r="N58" i="1"/>
  <c r="N68" i="1"/>
  <c r="O110" i="1"/>
  <c r="O96" i="1"/>
  <c r="O122" i="1"/>
  <c r="O23" i="1"/>
  <c r="O35" i="1"/>
  <c r="O25" i="1"/>
  <c r="O58" i="1"/>
  <c r="O131" i="1"/>
  <c r="N34" i="1"/>
  <c r="P29" i="1"/>
  <c r="O67" i="1"/>
  <c r="O26" i="1"/>
  <c r="O31" i="1"/>
  <c r="O100" i="1"/>
  <c r="O7" i="1"/>
  <c r="O116" i="1"/>
  <c r="O104" i="1"/>
  <c r="R13" i="57"/>
  <c r="S79" i="57"/>
  <c r="O132" i="1"/>
  <c r="O61" i="1"/>
  <c r="O86" i="1"/>
  <c r="O3" i="1"/>
  <c r="O73" i="1"/>
  <c r="O142" i="1"/>
  <c r="O33" i="1"/>
  <c r="O90" i="1"/>
  <c r="O4" i="1"/>
  <c r="N32" i="1"/>
  <c r="O27" i="1"/>
  <c r="O20" i="1"/>
  <c r="O113" i="1"/>
  <c r="O124" i="1"/>
  <c r="O69" i="1"/>
  <c r="S7" i="57"/>
  <c r="O21" i="1"/>
  <c r="O82" i="1"/>
  <c r="O10" i="1"/>
  <c r="N90" i="1"/>
  <c r="O6" i="1"/>
  <c r="O83" i="1"/>
  <c r="O112" i="1"/>
  <c r="O36" i="1"/>
  <c r="P51" i="1" l="1"/>
  <c r="N49" i="1"/>
  <c r="O51" i="1"/>
  <c r="O50" i="1"/>
  <c r="O133" i="1"/>
  <c r="O259" i="1" s="1"/>
  <c r="O192" i="1"/>
  <c r="O135" i="1"/>
  <c r="O136" i="1"/>
  <c r="O137" i="1"/>
  <c r="O138" i="1"/>
  <c r="O134" i="1"/>
  <c r="U185" i="123"/>
  <c r="N185" i="123"/>
  <c r="S87" i="57"/>
  <c r="S91" i="57"/>
  <c r="O70" i="1"/>
  <c r="S86" i="35"/>
  <c r="S87" i="35" s="1"/>
  <c r="R92" i="57"/>
  <c r="R90" i="57"/>
  <c r="R84" i="57"/>
  <c r="R81" i="35"/>
  <c r="R82" i="35"/>
  <c r="R84" i="35"/>
  <c r="S94" i="57"/>
  <c r="T95" i="57"/>
  <c r="S89" i="57"/>
  <c r="S83" i="35"/>
  <c r="R71" i="35"/>
  <c r="R73" i="35"/>
  <c r="R74" i="35" s="1"/>
  <c r="R75" i="57"/>
  <c r="R77" i="57"/>
  <c r="U3" i="123"/>
  <c r="N3" i="123"/>
  <c r="O193" i="1"/>
  <c r="O189" i="1"/>
  <c r="O188" i="1"/>
  <c r="O194" i="1"/>
  <c r="O186" i="1"/>
  <c r="O200" i="1"/>
  <c r="N196" i="1"/>
  <c r="O201" i="1"/>
  <c r="O190" i="1"/>
  <c r="O199" i="1"/>
  <c r="O195" i="1"/>
  <c r="O197" i="1"/>
  <c r="O198" i="1"/>
  <c r="O187" i="1"/>
  <c r="O196" i="1"/>
  <c r="AB192" i="1"/>
  <c r="G79" i="169" s="1"/>
  <c r="AB135" i="1"/>
  <c r="AB197" i="1"/>
  <c r="G84" i="169" s="1"/>
  <c r="I84" i="169" s="1"/>
  <c r="AB137" i="1"/>
  <c r="AB190" i="1"/>
  <c r="G77" i="169" s="1"/>
  <c r="AB134" i="1"/>
  <c r="AB50" i="1"/>
  <c r="Q160" i="1"/>
  <c r="P139" i="1"/>
  <c r="AB139" i="1" s="1"/>
  <c r="AD44" i="57"/>
  <c r="AE44" i="57"/>
  <c r="O60" i="1"/>
  <c r="O158" i="1"/>
  <c r="O159" i="1" s="1"/>
  <c r="P159" i="1"/>
  <c r="AB159" i="1" s="1"/>
  <c r="AB252" i="1"/>
  <c r="N154" i="1"/>
  <c r="AD67" i="57"/>
  <c r="AE67" i="57"/>
  <c r="AB186" i="1"/>
  <c r="G73" i="169" s="1"/>
  <c r="AD60" i="35"/>
  <c r="AE60" i="35"/>
  <c r="AD10" i="35"/>
  <c r="AE10" i="35"/>
  <c r="AE52" i="35"/>
  <c r="AD52" i="35"/>
  <c r="AE82" i="57"/>
  <c r="AD82" i="57"/>
  <c r="AE66" i="57"/>
  <c r="AD66" i="57"/>
  <c r="AD6" i="35"/>
  <c r="AE6" i="35"/>
  <c r="AE96" i="57"/>
  <c r="AD96" i="57"/>
  <c r="AD36" i="35"/>
  <c r="AE36" i="35"/>
  <c r="AB60" i="1"/>
  <c r="AD25" i="57"/>
  <c r="AE25" i="57"/>
  <c r="AE61" i="57"/>
  <c r="AD61" i="57"/>
  <c r="AD55" i="57"/>
  <c r="AE55" i="57"/>
  <c r="AE50" i="57"/>
  <c r="AD50" i="57"/>
  <c r="AD18" i="35"/>
  <c r="AE18" i="35"/>
  <c r="AE16" i="57"/>
  <c r="AD16" i="57"/>
  <c r="AE78" i="57"/>
  <c r="AD78" i="57"/>
  <c r="AD26" i="57"/>
  <c r="AE26" i="57"/>
  <c r="AD27" i="35"/>
  <c r="AE27" i="35"/>
  <c r="AE28" i="35"/>
  <c r="AD28" i="35"/>
  <c r="AE39" i="35"/>
  <c r="AD39" i="35"/>
  <c r="AE48" i="35"/>
  <c r="AD48" i="35"/>
  <c r="AD70" i="57"/>
  <c r="AE70" i="57"/>
  <c r="AE30" i="57"/>
  <c r="AD30" i="57"/>
  <c r="AD54" i="35"/>
  <c r="AE54" i="35"/>
  <c r="AE78" i="35"/>
  <c r="AD78" i="35"/>
  <c r="AD24" i="35"/>
  <c r="AE24" i="35"/>
  <c r="AE16" i="35"/>
  <c r="AD16" i="35"/>
  <c r="AD4" i="57"/>
  <c r="AE4" i="57"/>
  <c r="AE20" i="57"/>
  <c r="AD20" i="57"/>
  <c r="AD60" i="57"/>
  <c r="AD63" i="57" s="1"/>
  <c r="AE60" i="57"/>
  <c r="AE63" i="57" s="1"/>
  <c r="AE34" i="35"/>
  <c r="AE35" i="35" s="1"/>
  <c r="AD34" i="35"/>
  <c r="AD35" i="35" s="1"/>
  <c r="AD58" i="35"/>
  <c r="AE58" i="35"/>
  <c r="AD31" i="57"/>
  <c r="AE31" i="57"/>
  <c r="AE19" i="57"/>
  <c r="AD19" i="57"/>
  <c r="AD46" i="57"/>
  <c r="AE46" i="57"/>
  <c r="AD24" i="57"/>
  <c r="AE24" i="57"/>
  <c r="AD32" i="57"/>
  <c r="AE32" i="57"/>
  <c r="AD34" i="57"/>
  <c r="AE34" i="57"/>
  <c r="AD42" i="35"/>
  <c r="AE42" i="35"/>
  <c r="AD63" i="35"/>
  <c r="AE63" i="35"/>
  <c r="AD6" i="57"/>
  <c r="AE6" i="57"/>
  <c r="AE12" i="35"/>
  <c r="AD12" i="35"/>
  <c r="AE8" i="57"/>
  <c r="AD8" i="57"/>
  <c r="AD3" i="57"/>
  <c r="AE3" i="57"/>
  <c r="AE51" i="35"/>
  <c r="AD51" i="35"/>
  <c r="AE12" i="57"/>
  <c r="AD12" i="57"/>
  <c r="AD5" i="57"/>
  <c r="AE5" i="57"/>
  <c r="AE36" i="57"/>
  <c r="AD36" i="57"/>
  <c r="AE28" i="57"/>
  <c r="AD28" i="57"/>
  <c r="AD40" i="57"/>
  <c r="AE40" i="57"/>
  <c r="AD42" i="57"/>
  <c r="AE42" i="57"/>
  <c r="AD64" i="57"/>
  <c r="AE64" i="57"/>
  <c r="AE57" i="35"/>
  <c r="AD57" i="35"/>
  <c r="AD54" i="57"/>
  <c r="AE54" i="57"/>
  <c r="AE46" i="35"/>
  <c r="AD46" i="35"/>
  <c r="AE14" i="57"/>
  <c r="AD14" i="57"/>
  <c r="AD48" i="57"/>
  <c r="AE48" i="57"/>
  <c r="AD22" i="57"/>
  <c r="AE22" i="57"/>
  <c r="AD66" i="35"/>
  <c r="AE66" i="35"/>
  <c r="AD58" i="57"/>
  <c r="AE58" i="57"/>
  <c r="AD85" i="35"/>
  <c r="AE85" i="35"/>
  <c r="AE3" i="35"/>
  <c r="AD3" i="35"/>
  <c r="AE37" i="57"/>
  <c r="AD37" i="57"/>
  <c r="AB33" i="1"/>
  <c r="AD13" i="57"/>
  <c r="AE13" i="57"/>
  <c r="AE21" i="35"/>
  <c r="AD21" i="35"/>
  <c r="AE15" i="35"/>
  <c r="AD15" i="35"/>
  <c r="AD22" i="35"/>
  <c r="AE22" i="35"/>
  <c r="AE4" i="35"/>
  <c r="AD4" i="35"/>
  <c r="AE18" i="57"/>
  <c r="AD18" i="57"/>
  <c r="AE64" i="35"/>
  <c r="AD64" i="35"/>
  <c r="AE52" i="57"/>
  <c r="AD52" i="57"/>
  <c r="AE10" i="57"/>
  <c r="AD10" i="57"/>
  <c r="AD45" i="35"/>
  <c r="AE45" i="35"/>
  <c r="AD76" i="35"/>
  <c r="AE76" i="35"/>
  <c r="AD93" i="35"/>
  <c r="AE93" i="35"/>
  <c r="AD30" i="35"/>
  <c r="AE30" i="35"/>
  <c r="AD56" i="57"/>
  <c r="AE56" i="57"/>
  <c r="AE38" i="57"/>
  <c r="AD38" i="57"/>
  <c r="AD40" i="35"/>
  <c r="AE40" i="35"/>
  <c r="AD68" i="57"/>
  <c r="AE68" i="57"/>
  <c r="AD89" i="35"/>
  <c r="AE89" i="35"/>
  <c r="R90" i="35"/>
  <c r="AD90" i="35" s="1"/>
  <c r="AE9" i="35"/>
  <c r="AE11" i="35" s="1"/>
  <c r="AD9" i="35"/>
  <c r="R11" i="35"/>
  <c r="AB97" i="1"/>
  <c r="AB91" i="1"/>
  <c r="R77" i="35"/>
  <c r="R65" i="35"/>
  <c r="N185" i="1"/>
  <c r="N246" i="1"/>
  <c r="R45" i="57"/>
  <c r="O97" i="1"/>
  <c r="O252" i="1" s="1"/>
  <c r="O44" i="1"/>
  <c r="AD82" i="35"/>
  <c r="AE90" i="57"/>
  <c r="AE81" i="35"/>
  <c r="AE84" i="35"/>
  <c r="AE84" i="57"/>
  <c r="AE92" i="57"/>
  <c r="R29" i="35"/>
  <c r="R31" i="35"/>
  <c r="R32" i="35" s="1"/>
  <c r="S32" i="35"/>
  <c r="AE31" i="35"/>
  <c r="R33" i="57"/>
  <c r="R35" i="57"/>
  <c r="AE35" i="57" s="1"/>
  <c r="S80" i="35"/>
  <c r="O43" i="1"/>
  <c r="R79" i="35"/>
  <c r="R80" i="35" s="1"/>
  <c r="U92" i="35"/>
  <c r="R67" i="35"/>
  <c r="R68" i="35" s="1"/>
  <c r="R21" i="57"/>
  <c r="R53" i="35"/>
  <c r="R51" i="57"/>
  <c r="R13" i="35"/>
  <c r="R14" i="35" s="1"/>
  <c r="P146" i="1"/>
  <c r="R47" i="35"/>
  <c r="R49" i="35"/>
  <c r="R50" i="35" s="1"/>
  <c r="R35" i="35"/>
  <c r="R37" i="35"/>
  <c r="R17" i="35"/>
  <c r="R19" i="35"/>
  <c r="R20" i="35" s="1"/>
  <c r="R5" i="35"/>
  <c r="R7" i="35"/>
  <c r="R8" i="35" s="1"/>
  <c r="R47" i="57"/>
  <c r="AD47" i="57" s="1"/>
  <c r="R43" i="35"/>
  <c r="R44" i="35" s="1"/>
  <c r="R41" i="35"/>
  <c r="R23" i="57"/>
  <c r="AE23" i="57" s="1"/>
  <c r="R59" i="35"/>
  <c r="R61" i="35"/>
  <c r="R62" i="35" s="1"/>
  <c r="R55" i="35"/>
  <c r="R56" i="35" s="1"/>
  <c r="O91" i="1"/>
  <c r="O251" i="1" s="1"/>
  <c r="R23" i="35"/>
  <c r="R25" i="35"/>
  <c r="R26" i="35" s="1"/>
  <c r="R27" i="57"/>
  <c r="R29" i="57"/>
  <c r="AE29" i="57" s="1"/>
  <c r="T91" i="35"/>
  <c r="T92" i="35" s="1"/>
  <c r="P52" i="1"/>
  <c r="N170" i="1"/>
  <c r="N169" i="1"/>
  <c r="S83" i="57"/>
  <c r="P1" i="35"/>
  <c r="R39" i="57"/>
  <c r="R81" i="57"/>
  <c r="R65" i="57"/>
  <c r="AD65" i="57" s="1"/>
  <c r="R63" i="57"/>
  <c r="R41" i="57"/>
  <c r="AD41" i="57" s="1"/>
  <c r="R11" i="57"/>
  <c r="AE11" i="57" s="1"/>
  <c r="R69" i="57"/>
  <c r="R71" i="57"/>
  <c r="AE71" i="57" s="1"/>
  <c r="R15" i="57"/>
  <c r="R17" i="57"/>
  <c r="AE17" i="57" s="1"/>
  <c r="R57" i="57"/>
  <c r="R59" i="57"/>
  <c r="AE59" i="57" s="1"/>
  <c r="R53" i="57"/>
  <c r="AD53" i="57" s="1"/>
  <c r="R9" i="57"/>
  <c r="N1" i="1"/>
  <c r="K3" i="123"/>
  <c r="Q3" i="123"/>
  <c r="A195" i="123"/>
  <c r="Q185" i="123"/>
  <c r="K185" i="123"/>
  <c r="M2" i="1"/>
  <c r="P2" i="57"/>
  <c r="A4" i="123"/>
  <c r="B500" i="123"/>
  <c r="B499" i="123"/>
  <c r="B498" i="123"/>
  <c r="B497" i="123"/>
  <c r="B496" i="123"/>
  <c r="B495" i="123"/>
  <c r="B494" i="123"/>
  <c r="B493" i="123"/>
  <c r="B492" i="123"/>
  <c r="B491" i="123"/>
  <c r="B490" i="123"/>
  <c r="B489" i="123"/>
  <c r="B488" i="123"/>
  <c r="B487" i="123"/>
  <c r="B486" i="123"/>
  <c r="B485" i="123"/>
  <c r="B484" i="123"/>
  <c r="B483" i="123"/>
  <c r="B482" i="123"/>
  <c r="B481" i="123"/>
  <c r="B480" i="123"/>
  <c r="B479" i="123"/>
  <c r="B478" i="123"/>
  <c r="B477" i="123"/>
  <c r="B476" i="123"/>
  <c r="B475" i="123"/>
  <c r="B474" i="123"/>
  <c r="B473" i="123"/>
  <c r="B472" i="123"/>
  <c r="B471" i="123"/>
  <c r="B470" i="123"/>
  <c r="B469" i="123"/>
  <c r="B468" i="123"/>
  <c r="B467" i="123"/>
  <c r="B466" i="123"/>
  <c r="B465" i="123"/>
  <c r="B464" i="123"/>
  <c r="B463" i="123"/>
  <c r="B462" i="123"/>
  <c r="B461" i="123"/>
  <c r="B460" i="123"/>
  <c r="B459" i="123"/>
  <c r="B458" i="123"/>
  <c r="B457" i="123"/>
  <c r="B456" i="123"/>
  <c r="B455" i="123"/>
  <c r="B454" i="123"/>
  <c r="B453" i="123"/>
  <c r="B452" i="123"/>
  <c r="B451" i="123"/>
  <c r="B450" i="123"/>
  <c r="B449" i="123"/>
  <c r="B448" i="123"/>
  <c r="B447" i="123"/>
  <c r="B446" i="123"/>
  <c r="B445" i="123"/>
  <c r="B444" i="123"/>
  <c r="B443" i="123"/>
  <c r="B442" i="123"/>
  <c r="B441" i="123"/>
  <c r="B440" i="123"/>
  <c r="B439" i="123"/>
  <c r="B438" i="123"/>
  <c r="B437" i="123"/>
  <c r="B436" i="123"/>
  <c r="B435" i="123"/>
  <c r="B434" i="123"/>
  <c r="B433" i="123"/>
  <c r="B432" i="123"/>
  <c r="B431" i="123"/>
  <c r="B430" i="123"/>
  <c r="B429" i="123"/>
  <c r="B428" i="123"/>
  <c r="B427" i="123"/>
  <c r="B426" i="123"/>
  <c r="B425" i="123"/>
  <c r="B424" i="123"/>
  <c r="B423" i="123"/>
  <c r="B422" i="123"/>
  <c r="B421" i="123"/>
  <c r="B420" i="123"/>
  <c r="B419" i="123"/>
  <c r="B418" i="123"/>
  <c r="B417" i="123"/>
  <c r="B416" i="123"/>
  <c r="B415" i="123"/>
  <c r="B414" i="123"/>
  <c r="B413" i="123"/>
  <c r="B412" i="123"/>
  <c r="B411" i="123"/>
  <c r="B410" i="123"/>
  <c r="B409" i="123"/>
  <c r="B408" i="123"/>
  <c r="B407" i="123"/>
  <c r="B406" i="123"/>
  <c r="B405" i="123"/>
  <c r="B404" i="123"/>
  <c r="B403" i="123"/>
  <c r="B402" i="123"/>
  <c r="B401" i="123"/>
  <c r="B400" i="123"/>
  <c r="B399" i="123"/>
  <c r="B398" i="123"/>
  <c r="B397" i="123"/>
  <c r="B396" i="123"/>
  <c r="B395" i="123"/>
  <c r="B394" i="123"/>
  <c r="B393" i="123"/>
  <c r="B392" i="123"/>
  <c r="B391" i="123"/>
  <c r="B390" i="123"/>
  <c r="B389" i="123"/>
  <c r="B388" i="123"/>
  <c r="B387" i="123"/>
  <c r="B386" i="123"/>
  <c r="B385" i="123"/>
  <c r="B384" i="123"/>
  <c r="B383" i="123"/>
  <c r="B382" i="123"/>
  <c r="B381" i="123"/>
  <c r="B380" i="123"/>
  <c r="B379" i="123"/>
  <c r="B378" i="123"/>
  <c r="B377" i="123"/>
  <c r="B376" i="123"/>
  <c r="B375" i="123"/>
  <c r="B374" i="123"/>
  <c r="B373" i="123"/>
  <c r="B372" i="123"/>
  <c r="B371" i="123"/>
  <c r="B370" i="123"/>
  <c r="B369" i="123"/>
  <c r="B368" i="123"/>
  <c r="B367" i="123"/>
  <c r="B366" i="123"/>
  <c r="B365" i="123"/>
  <c r="B364" i="123"/>
  <c r="B363" i="123"/>
  <c r="B362" i="123"/>
  <c r="B361" i="123"/>
  <c r="B360" i="123"/>
  <c r="B359" i="123"/>
  <c r="B358" i="123"/>
  <c r="B357" i="123"/>
  <c r="B356" i="123"/>
  <c r="B355" i="123"/>
  <c r="B354" i="123"/>
  <c r="B353" i="123"/>
  <c r="B352" i="123"/>
  <c r="B351" i="123"/>
  <c r="B350" i="123"/>
  <c r="B349" i="123"/>
  <c r="B348" i="123"/>
  <c r="B347" i="123"/>
  <c r="B346" i="123"/>
  <c r="B345" i="123"/>
  <c r="B344" i="123"/>
  <c r="B343" i="123"/>
  <c r="B342" i="123"/>
  <c r="B341" i="123"/>
  <c r="B340" i="123"/>
  <c r="B339" i="123"/>
  <c r="B338" i="123"/>
  <c r="B337" i="123"/>
  <c r="B336" i="123"/>
  <c r="B335" i="123"/>
  <c r="B334" i="123"/>
  <c r="B333" i="123"/>
  <c r="B326" i="123"/>
  <c r="B325" i="123"/>
  <c r="B324" i="123"/>
  <c r="B323" i="123"/>
  <c r="B322" i="123"/>
  <c r="B321" i="123"/>
  <c r="B320" i="123"/>
  <c r="B319" i="123"/>
  <c r="B318" i="123"/>
  <c r="B317" i="123"/>
  <c r="B316" i="123"/>
  <c r="B302" i="123"/>
  <c r="B301" i="123"/>
  <c r="B300" i="123"/>
  <c r="B299" i="123"/>
  <c r="B298" i="123"/>
  <c r="B297" i="123"/>
  <c r="B296" i="123"/>
  <c r="B295" i="123"/>
  <c r="B294" i="123"/>
  <c r="B293" i="123"/>
  <c r="B292" i="123"/>
  <c r="B291" i="123"/>
  <c r="B290" i="123"/>
  <c r="B289" i="123"/>
  <c r="B288" i="123"/>
  <c r="B287" i="123"/>
  <c r="B286" i="123"/>
  <c r="B285" i="123"/>
  <c r="B284" i="123"/>
  <c r="B283" i="123"/>
  <c r="B282" i="123"/>
  <c r="B281" i="123"/>
  <c r="B280" i="123"/>
  <c r="B279" i="123"/>
  <c r="B278" i="123"/>
  <c r="B277" i="123"/>
  <c r="B276" i="123"/>
  <c r="B275" i="123"/>
  <c r="B274" i="123"/>
  <c r="B273" i="123"/>
  <c r="B272" i="123"/>
  <c r="B271" i="123"/>
  <c r="B270" i="123"/>
  <c r="B269" i="123"/>
  <c r="B268" i="123"/>
  <c r="B267" i="123"/>
  <c r="B266" i="123"/>
  <c r="B265" i="123"/>
  <c r="B264" i="123"/>
  <c r="B263" i="123"/>
  <c r="B262" i="123"/>
  <c r="B261" i="123"/>
  <c r="B260" i="123"/>
  <c r="B259" i="123"/>
  <c r="B258" i="123"/>
  <c r="B257" i="123"/>
  <c r="B256" i="123"/>
  <c r="B255" i="123"/>
  <c r="B254" i="123"/>
  <c r="B253" i="123"/>
  <c r="B252" i="123"/>
  <c r="B251" i="123"/>
  <c r="B250" i="123"/>
  <c r="B249" i="123"/>
  <c r="B248" i="123"/>
  <c r="B247" i="123"/>
  <c r="B246" i="123"/>
  <c r="B245" i="123"/>
  <c r="B244" i="123"/>
  <c r="B243" i="123"/>
  <c r="B242" i="123"/>
  <c r="B241" i="123"/>
  <c r="B240" i="123"/>
  <c r="B239" i="123"/>
  <c r="B238" i="123"/>
  <c r="B237" i="123"/>
  <c r="B236" i="123"/>
  <c r="B235" i="123"/>
  <c r="B234" i="123"/>
  <c r="B233" i="123"/>
  <c r="B232" i="123"/>
  <c r="B231" i="123"/>
  <c r="B230" i="123"/>
  <c r="B229" i="123"/>
  <c r="B228" i="123"/>
  <c r="B227" i="123"/>
  <c r="B226" i="123"/>
  <c r="B225" i="123"/>
  <c r="B224" i="123"/>
  <c r="B223" i="123"/>
  <c r="B222" i="123"/>
  <c r="B221" i="123"/>
  <c r="B220" i="123"/>
  <c r="B219" i="123"/>
  <c r="B218" i="123"/>
  <c r="B217" i="123"/>
  <c r="B216" i="123"/>
  <c r="B215" i="123"/>
  <c r="B205" i="123"/>
  <c r="B195" i="123"/>
  <c r="B185" i="123"/>
  <c r="B175" i="123"/>
  <c r="B164" i="123"/>
  <c r="B153" i="123"/>
  <c r="B142" i="123"/>
  <c r="B131" i="123"/>
  <c r="B120" i="123"/>
  <c r="B109" i="123"/>
  <c r="B98" i="123"/>
  <c r="B87" i="123"/>
  <c r="B76" i="123"/>
  <c r="B66" i="123"/>
  <c r="B56" i="123"/>
  <c r="B46" i="123"/>
  <c r="B214" i="123"/>
  <c r="B213" i="123"/>
  <c r="B212" i="123"/>
  <c r="B211" i="123"/>
  <c r="B210" i="123"/>
  <c r="B209" i="123"/>
  <c r="B208" i="123"/>
  <c r="B207" i="123"/>
  <c r="B206" i="123"/>
  <c r="B204" i="123"/>
  <c r="B194" i="123"/>
  <c r="B184" i="123"/>
  <c r="B174" i="123"/>
  <c r="B163" i="123"/>
  <c r="B152" i="123"/>
  <c r="B141" i="123"/>
  <c r="B130" i="123"/>
  <c r="B119" i="123"/>
  <c r="B108" i="123"/>
  <c r="B97" i="123"/>
  <c r="B86" i="123"/>
  <c r="B75" i="123"/>
  <c r="B65" i="123"/>
  <c r="B55" i="123"/>
  <c r="B203" i="123"/>
  <c r="B193" i="123"/>
  <c r="B183" i="123"/>
  <c r="B173" i="123"/>
  <c r="B162" i="123"/>
  <c r="B151" i="123"/>
  <c r="B140" i="123"/>
  <c r="B129" i="123"/>
  <c r="B118" i="123"/>
  <c r="B107" i="123"/>
  <c r="B96" i="123"/>
  <c r="B85" i="123"/>
  <c r="B170" i="123"/>
  <c r="B159" i="123"/>
  <c r="B148" i="123"/>
  <c r="B137" i="123"/>
  <c r="B126" i="123"/>
  <c r="B115" i="123"/>
  <c r="B104" i="123"/>
  <c r="B93" i="123"/>
  <c r="B82" i="123"/>
  <c r="B72" i="123"/>
  <c r="B62" i="123"/>
  <c r="B52" i="123"/>
  <c r="B200" i="123"/>
  <c r="B190" i="123"/>
  <c r="B180" i="123"/>
  <c r="B169" i="123"/>
  <c r="B158" i="123"/>
  <c r="B147" i="123"/>
  <c r="B136" i="123"/>
  <c r="B125" i="123"/>
  <c r="B114" i="123"/>
  <c r="B103" i="123"/>
  <c r="B92" i="123"/>
  <c r="B81" i="123"/>
  <c r="B71" i="123"/>
  <c r="B61" i="123"/>
  <c r="B51" i="123"/>
  <c r="B199" i="123"/>
  <c r="B189" i="123"/>
  <c r="B179" i="123"/>
  <c r="B168" i="123"/>
  <c r="B157" i="123"/>
  <c r="B146" i="123"/>
  <c r="B135" i="123"/>
  <c r="B124" i="123"/>
  <c r="B113" i="123"/>
  <c r="B102" i="123"/>
  <c r="B91" i="123"/>
  <c r="B80" i="123"/>
  <c r="B70" i="123"/>
  <c r="B60" i="123"/>
  <c r="B50" i="123"/>
  <c r="B198" i="123"/>
  <c r="B188" i="123"/>
  <c r="B178" i="123"/>
  <c r="B167" i="123"/>
  <c r="B156" i="123"/>
  <c r="B145" i="123"/>
  <c r="B197" i="123"/>
  <c r="B187" i="123"/>
  <c r="B177" i="123"/>
  <c r="B166" i="123"/>
  <c r="B155" i="123"/>
  <c r="B144" i="123"/>
  <c r="B133" i="123"/>
  <c r="B122" i="123"/>
  <c r="B111" i="123"/>
  <c r="B100" i="123"/>
  <c r="B89" i="123"/>
  <c r="B78" i="123"/>
  <c r="B68" i="123"/>
  <c r="B58" i="123"/>
  <c r="B48" i="123"/>
  <c r="B196" i="123"/>
  <c r="B186" i="123"/>
  <c r="B176" i="123"/>
  <c r="B165" i="123"/>
  <c r="B154" i="123"/>
  <c r="B143" i="123"/>
  <c r="B132" i="123"/>
  <c r="B121" i="123"/>
  <c r="B110" i="123"/>
  <c r="B99" i="123"/>
  <c r="B88" i="123"/>
  <c r="B77" i="123"/>
  <c r="B67" i="123"/>
  <c r="B57" i="123"/>
  <c r="B47" i="123"/>
  <c r="B13" i="121"/>
  <c r="B22" i="121"/>
  <c r="B32" i="121"/>
  <c r="B42" i="121"/>
  <c r="B52" i="121"/>
  <c r="B61" i="121"/>
  <c r="B70" i="121"/>
  <c r="B79" i="121"/>
  <c r="B88" i="121"/>
  <c r="B97" i="121"/>
  <c r="B106" i="121"/>
  <c r="B115" i="121"/>
  <c r="B124" i="121"/>
  <c r="B134" i="121"/>
  <c r="B4" i="121"/>
  <c r="B14" i="121"/>
  <c r="B23" i="121"/>
  <c r="B33" i="121"/>
  <c r="B43" i="121"/>
  <c r="B53" i="121"/>
  <c r="B62" i="121"/>
  <c r="B71" i="121"/>
  <c r="B80" i="121"/>
  <c r="B89" i="121"/>
  <c r="B98" i="121"/>
  <c r="B107" i="121"/>
  <c r="B116" i="121"/>
  <c r="B125" i="121"/>
  <c r="B135" i="121"/>
  <c r="B5" i="121"/>
  <c r="B15" i="121"/>
  <c r="B24" i="121"/>
  <c r="B34" i="121"/>
  <c r="B44" i="121"/>
  <c r="B54" i="121"/>
  <c r="B63" i="121"/>
  <c r="B72" i="121"/>
  <c r="B81" i="121"/>
  <c r="B90" i="121"/>
  <c r="B99" i="121"/>
  <c r="B108" i="121"/>
  <c r="B117" i="121"/>
  <c r="B126" i="121"/>
  <c r="B136" i="121"/>
  <c r="B6" i="121"/>
  <c r="B16" i="121"/>
  <c r="B25" i="121"/>
  <c r="B35" i="121"/>
  <c r="B45" i="121"/>
  <c r="B55" i="121"/>
  <c r="B64" i="121"/>
  <c r="B73" i="121"/>
  <c r="B82" i="121"/>
  <c r="B91" i="121"/>
  <c r="B100" i="121"/>
  <c r="B109" i="121"/>
  <c r="B118" i="121"/>
  <c r="B127" i="121"/>
  <c r="B137" i="121"/>
  <c r="B7" i="121"/>
  <c r="B17" i="121"/>
  <c r="B26" i="121"/>
  <c r="B36" i="121"/>
  <c r="B46" i="121"/>
  <c r="B56" i="121"/>
  <c r="B65" i="121"/>
  <c r="B74" i="121"/>
  <c r="B83" i="121"/>
  <c r="B92" i="121"/>
  <c r="B101" i="121"/>
  <c r="B110" i="121"/>
  <c r="B119" i="121"/>
  <c r="B128" i="121"/>
  <c r="B138" i="121"/>
  <c r="B8" i="121"/>
  <c r="B18" i="121"/>
  <c r="B27" i="121"/>
  <c r="B37" i="121"/>
  <c r="B47" i="121"/>
  <c r="B57" i="121"/>
  <c r="B66" i="121"/>
  <c r="B75" i="121"/>
  <c r="B84" i="121"/>
  <c r="B93" i="121"/>
  <c r="B102" i="121"/>
  <c r="B111" i="121"/>
  <c r="B120" i="121"/>
  <c r="B129" i="121"/>
  <c r="B139" i="121"/>
  <c r="B131" i="121"/>
  <c r="B141" i="121"/>
  <c r="B10" i="121"/>
  <c r="B20" i="121"/>
  <c r="B29" i="121"/>
  <c r="B39" i="121"/>
  <c r="B49" i="121"/>
  <c r="B59" i="121"/>
  <c r="B68" i="121"/>
  <c r="B77" i="121"/>
  <c r="B86" i="121"/>
  <c r="B11" i="121"/>
  <c r="B21" i="121"/>
  <c r="B30" i="121"/>
  <c r="B40" i="121"/>
  <c r="B50" i="121"/>
  <c r="B60" i="121"/>
  <c r="B69" i="121"/>
  <c r="B78" i="121"/>
  <c r="B87" i="121"/>
  <c r="B96" i="121"/>
  <c r="B105" i="121"/>
  <c r="B114" i="121"/>
  <c r="B123" i="121"/>
  <c r="B132" i="121"/>
  <c r="B142" i="121"/>
  <c r="B12" i="121"/>
  <c r="B31" i="121"/>
  <c r="B41" i="121"/>
  <c r="B51" i="121"/>
  <c r="B133" i="121"/>
  <c r="B143" i="121"/>
  <c r="B144" i="121"/>
  <c r="B145" i="121"/>
  <c r="B146" i="121"/>
  <c r="B147" i="121"/>
  <c r="B148" i="121"/>
  <c r="B149" i="121"/>
  <c r="B150" i="121"/>
  <c r="B151" i="121"/>
  <c r="B152" i="121"/>
  <c r="B153" i="121"/>
  <c r="B154" i="121"/>
  <c r="B155" i="121"/>
  <c r="B156" i="121"/>
  <c r="B157" i="121"/>
  <c r="B158" i="121"/>
  <c r="B159" i="121"/>
  <c r="B160" i="121"/>
  <c r="B161" i="121"/>
  <c r="B162" i="121"/>
  <c r="B163" i="121"/>
  <c r="B164" i="121"/>
  <c r="B165" i="121"/>
  <c r="B166" i="121"/>
  <c r="B167" i="121"/>
  <c r="B168" i="121"/>
  <c r="B169" i="121"/>
  <c r="B170" i="121"/>
  <c r="B171" i="121"/>
  <c r="B172" i="121"/>
  <c r="B173" i="121"/>
  <c r="B174" i="121"/>
  <c r="B175" i="121"/>
  <c r="B176" i="121"/>
  <c r="B177" i="121"/>
  <c r="B178" i="121"/>
  <c r="B179" i="121"/>
  <c r="B180" i="121"/>
  <c r="B181" i="121"/>
  <c r="B182" i="121"/>
  <c r="B183" i="121"/>
  <c r="B184" i="121"/>
  <c r="B185" i="121"/>
  <c r="B186" i="121"/>
  <c r="B187" i="121"/>
  <c r="B188" i="121"/>
  <c r="B189" i="121"/>
  <c r="B190" i="121"/>
  <c r="B191" i="121"/>
  <c r="B192" i="121"/>
  <c r="B193" i="121"/>
  <c r="B194" i="121"/>
  <c r="B195" i="121"/>
  <c r="B196" i="121"/>
  <c r="B197" i="121"/>
  <c r="B198" i="121"/>
  <c r="B199" i="121"/>
  <c r="B200" i="121"/>
  <c r="Z200" i="121" s="1"/>
  <c r="B201" i="121"/>
  <c r="B202" i="121"/>
  <c r="B203" i="121"/>
  <c r="B204" i="121"/>
  <c r="B205" i="121"/>
  <c r="B206" i="121"/>
  <c r="B207" i="121"/>
  <c r="B208" i="121"/>
  <c r="B209" i="121"/>
  <c r="B210" i="121"/>
  <c r="B211" i="121"/>
  <c r="B212" i="121"/>
  <c r="B213" i="121"/>
  <c r="B214" i="121"/>
  <c r="B215" i="121"/>
  <c r="B216" i="121"/>
  <c r="B217" i="121"/>
  <c r="B218" i="121"/>
  <c r="B219" i="121"/>
  <c r="B220" i="121"/>
  <c r="B221" i="121"/>
  <c r="B222" i="121"/>
  <c r="B223" i="121"/>
  <c r="B224" i="121"/>
  <c r="B225" i="121"/>
  <c r="B226" i="121"/>
  <c r="B227" i="121"/>
  <c r="B228" i="121"/>
  <c r="B229" i="121"/>
  <c r="B230" i="121"/>
  <c r="B231" i="121"/>
  <c r="B232" i="121"/>
  <c r="B233" i="121"/>
  <c r="B234" i="121"/>
  <c r="B235" i="121"/>
  <c r="B236" i="121"/>
  <c r="B237" i="121"/>
  <c r="B238" i="121"/>
  <c r="B239" i="121"/>
  <c r="B240" i="121"/>
  <c r="B241" i="121"/>
  <c r="B242" i="121"/>
  <c r="B243" i="121"/>
  <c r="B244" i="121"/>
  <c r="B245" i="121"/>
  <c r="B246" i="121"/>
  <c r="B247" i="121"/>
  <c r="B248" i="121"/>
  <c r="B249" i="121"/>
  <c r="B250" i="121"/>
  <c r="B251" i="121"/>
  <c r="B252" i="121"/>
  <c r="B253" i="121"/>
  <c r="B254" i="121"/>
  <c r="B255" i="121"/>
  <c r="B256" i="121"/>
  <c r="B257" i="121"/>
  <c r="B258" i="121"/>
  <c r="B259" i="121"/>
  <c r="B260" i="121"/>
  <c r="B261" i="121"/>
  <c r="B262" i="121"/>
  <c r="B263" i="121"/>
  <c r="B264" i="121"/>
  <c r="B265" i="121"/>
  <c r="B266" i="121"/>
  <c r="B267" i="121"/>
  <c r="B268" i="121"/>
  <c r="B269" i="121"/>
  <c r="B270" i="121"/>
  <c r="B271" i="121"/>
  <c r="B272" i="121"/>
  <c r="B273" i="121"/>
  <c r="B274" i="121"/>
  <c r="B275" i="121"/>
  <c r="B276" i="121"/>
  <c r="B277" i="121"/>
  <c r="B278" i="121"/>
  <c r="B279" i="121"/>
  <c r="B280" i="121"/>
  <c r="B281" i="121"/>
  <c r="B282" i="121"/>
  <c r="B283" i="121"/>
  <c r="B284" i="121"/>
  <c r="B285" i="121"/>
  <c r="B286" i="121"/>
  <c r="B287" i="121"/>
  <c r="B288" i="121"/>
  <c r="B289" i="121"/>
  <c r="B290" i="121"/>
  <c r="B291" i="121"/>
  <c r="B292" i="121"/>
  <c r="B293" i="121"/>
  <c r="B294" i="121"/>
  <c r="B295" i="121"/>
  <c r="B296" i="121"/>
  <c r="B297" i="121"/>
  <c r="B298" i="121"/>
  <c r="B299" i="121"/>
  <c r="B300" i="121"/>
  <c r="B301" i="121"/>
  <c r="B302" i="121"/>
  <c r="B303" i="121"/>
  <c r="B304" i="121"/>
  <c r="B305" i="121"/>
  <c r="B306" i="121"/>
  <c r="B307" i="121"/>
  <c r="B308" i="121"/>
  <c r="B309" i="121"/>
  <c r="B310" i="121"/>
  <c r="B311" i="121"/>
  <c r="B312" i="121"/>
  <c r="B313" i="121"/>
  <c r="Z313" i="121" s="1"/>
  <c r="B314" i="121"/>
  <c r="Z314" i="121" s="1"/>
  <c r="B315" i="121"/>
  <c r="Z315" i="121" s="1"/>
  <c r="B316" i="121"/>
  <c r="Z316" i="121" s="1"/>
  <c r="B317" i="121"/>
  <c r="Z317" i="121" s="1"/>
  <c r="B318" i="121"/>
  <c r="Z318" i="121" s="1"/>
  <c r="B319" i="121"/>
  <c r="Z319" i="121" s="1"/>
  <c r="B320" i="121"/>
  <c r="Z320" i="121" s="1"/>
  <c r="B321" i="121"/>
  <c r="Z321" i="121" s="1"/>
  <c r="B322" i="121"/>
  <c r="Z322" i="121" s="1"/>
  <c r="B323" i="121"/>
  <c r="Z323" i="121" s="1"/>
  <c r="B324" i="121"/>
  <c r="Z324" i="121" s="1"/>
  <c r="B325" i="121"/>
  <c r="Z325" i="121" s="1"/>
  <c r="B326" i="121"/>
  <c r="Z326" i="121" s="1"/>
  <c r="B327" i="121"/>
  <c r="Z327" i="121" s="1"/>
  <c r="B328" i="121"/>
  <c r="Z328" i="121" s="1"/>
  <c r="B329" i="121"/>
  <c r="Z329" i="121" s="1"/>
  <c r="B330" i="121"/>
  <c r="Z330" i="121" s="1"/>
  <c r="B331" i="121"/>
  <c r="Z331" i="121" s="1"/>
  <c r="B332" i="121"/>
  <c r="Z332" i="121" s="1"/>
  <c r="B333" i="121"/>
  <c r="Z333" i="121" s="1"/>
  <c r="B334" i="121"/>
  <c r="Z334" i="121" s="1"/>
  <c r="B335" i="121"/>
  <c r="Z335" i="121" s="1"/>
  <c r="B336" i="121"/>
  <c r="Z336" i="121" s="1"/>
  <c r="B337" i="121"/>
  <c r="Z337" i="121" s="1"/>
  <c r="B338" i="121"/>
  <c r="Z338" i="121" s="1"/>
  <c r="B339" i="121"/>
  <c r="Z339" i="121" s="1"/>
  <c r="B340" i="121"/>
  <c r="Z340" i="121" s="1"/>
  <c r="B341" i="121"/>
  <c r="Z341" i="121" s="1"/>
  <c r="B342" i="121"/>
  <c r="Z342" i="121" s="1"/>
  <c r="B343" i="121"/>
  <c r="Z343" i="121" s="1"/>
  <c r="B344" i="121"/>
  <c r="Z344" i="121" s="1"/>
  <c r="B345" i="121"/>
  <c r="Z345" i="121" s="1"/>
  <c r="B346" i="121"/>
  <c r="Z346" i="121" s="1"/>
  <c r="B347" i="121"/>
  <c r="Z347" i="121" s="1"/>
  <c r="B348" i="121"/>
  <c r="Z348" i="121" s="1"/>
  <c r="B349" i="121"/>
  <c r="Z349" i="121" s="1"/>
  <c r="B350" i="121"/>
  <c r="Z350" i="121" s="1"/>
  <c r="B351" i="121"/>
  <c r="Z351" i="121" s="1"/>
  <c r="B352" i="121"/>
  <c r="Z352" i="121" s="1"/>
  <c r="B353" i="121"/>
  <c r="Z353" i="121" s="1"/>
  <c r="B354" i="121"/>
  <c r="Z354" i="121" s="1"/>
  <c r="B355" i="121"/>
  <c r="Z355" i="121" s="1"/>
  <c r="B356" i="121"/>
  <c r="Z356" i="121" s="1"/>
  <c r="B357" i="121"/>
  <c r="Z357" i="121" s="1"/>
  <c r="B358" i="121"/>
  <c r="Z358" i="121" s="1"/>
  <c r="B359" i="121"/>
  <c r="Z359" i="121" s="1"/>
  <c r="B360" i="121"/>
  <c r="Z360" i="121" s="1"/>
  <c r="B361" i="121"/>
  <c r="Z361" i="121" s="1"/>
  <c r="B362" i="121"/>
  <c r="Z362" i="121" s="1"/>
  <c r="B363" i="121"/>
  <c r="Z363" i="121" s="1"/>
  <c r="B364" i="121"/>
  <c r="Z364" i="121" s="1"/>
  <c r="B365" i="121"/>
  <c r="Z365" i="121" s="1"/>
  <c r="B366" i="121"/>
  <c r="Z366" i="121" s="1"/>
  <c r="B367" i="121"/>
  <c r="Z367" i="121" s="1"/>
  <c r="B368" i="121"/>
  <c r="Z368" i="121" s="1"/>
  <c r="B369" i="121"/>
  <c r="Z369" i="121" s="1"/>
  <c r="B370" i="121"/>
  <c r="Z370" i="121" s="1"/>
  <c r="B371" i="121"/>
  <c r="Z371" i="121" s="1"/>
  <c r="B372" i="121"/>
  <c r="Z372" i="121" s="1"/>
  <c r="B373" i="121"/>
  <c r="Z373" i="121" s="1"/>
  <c r="B374" i="121"/>
  <c r="Z374" i="121" s="1"/>
  <c r="B375" i="121"/>
  <c r="Z375" i="121" s="1"/>
  <c r="B376" i="121"/>
  <c r="Z376" i="121" s="1"/>
  <c r="B377" i="121"/>
  <c r="Z377" i="121" s="1"/>
  <c r="B378" i="121"/>
  <c r="Z378" i="121" s="1"/>
  <c r="B379" i="121"/>
  <c r="Z379" i="121" s="1"/>
  <c r="B380" i="121"/>
  <c r="Z380" i="121" s="1"/>
  <c r="B381" i="121"/>
  <c r="Z381" i="121" s="1"/>
  <c r="B382" i="121"/>
  <c r="Z382" i="121" s="1"/>
  <c r="B383" i="121"/>
  <c r="Z383" i="121" s="1"/>
  <c r="B384" i="121"/>
  <c r="Z384" i="121" s="1"/>
  <c r="B385" i="121"/>
  <c r="Z385" i="121" s="1"/>
  <c r="B386" i="121"/>
  <c r="Z386" i="121" s="1"/>
  <c r="B387" i="121"/>
  <c r="Z387" i="121" s="1"/>
  <c r="B388" i="121"/>
  <c r="Z388" i="121" s="1"/>
  <c r="B389" i="121"/>
  <c r="Z389" i="121" s="1"/>
  <c r="B390" i="121"/>
  <c r="Z390" i="121" s="1"/>
  <c r="B391" i="121"/>
  <c r="Z391" i="121" s="1"/>
  <c r="B392" i="121"/>
  <c r="Z392" i="121" s="1"/>
  <c r="B393" i="121"/>
  <c r="Z393" i="121" s="1"/>
  <c r="B394" i="121"/>
  <c r="Z394" i="121" s="1"/>
  <c r="B395" i="121"/>
  <c r="Z395" i="121" s="1"/>
  <c r="B396" i="121"/>
  <c r="Z396" i="121" s="1"/>
  <c r="B397" i="121"/>
  <c r="Z397" i="121" s="1"/>
  <c r="B398" i="121"/>
  <c r="Z398" i="121" s="1"/>
  <c r="B399" i="121"/>
  <c r="Z399" i="121" s="1"/>
  <c r="B400" i="121"/>
  <c r="Z400" i="121" s="1"/>
  <c r="B401" i="121"/>
  <c r="Z401" i="121" s="1"/>
  <c r="B402" i="121"/>
  <c r="Z402" i="121" s="1"/>
  <c r="B403" i="121"/>
  <c r="Z403" i="121" s="1"/>
  <c r="B404" i="121"/>
  <c r="Z404" i="121" s="1"/>
  <c r="B405" i="121"/>
  <c r="Z405" i="121" s="1"/>
  <c r="B406" i="121"/>
  <c r="Z406" i="121" s="1"/>
  <c r="B407" i="121"/>
  <c r="Z407" i="121" s="1"/>
  <c r="B408" i="121"/>
  <c r="Z408" i="121" s="1"/>
  <c r="B409" i="121"/>
  <c r="Z409" i="121" s="1"/>
  <c r="B410" i="121"/>
  <c r="Z410" i="121" s="1"/>
  <c r="B411" i="121"/>
  <c r="Z411" i="121" s="1"/>
  <c r="B412" i="121"/>
  <c r="Z412" i="121" s="1"/>
  <c r="B413" i="121"/>
  <c r="Z413" i="121" s="1"/>
  <c r="B414" i="121"/>
  <c r="Z414" i="121" s="1"/>
  <c r="B415" i="121"/>
  <c r="Z415" i="121" s="1"/>
  <c r="B416" i="121"/>
  <c r="Z416" i="121" s="1"/>
  <c r="B417" i="121"/>
  <c r="Z417" i="121" s="1"/>
  <c r="B418" i="121"/>
  <c r="Z418" i="121" s="1"/>
  <c r="B419" i="121"/>
  <c r="Z419" i="121" s="1"/>
  <c r="B420" i="121"/>
  <c r="Z420" i="121" s="1"/>
  <c r="B421" i="121"/>
  <c r="Z421" i="121" s="1"/>
  <c r="B422" i="121"/>
  <c r="Z422" i="121" s="1"/>
  <c r="B423" i="121"/>
  <c r="Z423" i="121" s="1"/>
  <c r="B424" i="121"/>
  <c r="Z424" i="121" s="1"/>
  <c r="B425" i="121"/>
  <c r="Z425" i="121" s="1"/>
  <c r="B426" i="121"/>
  <c r="Z426" i="121" s="1"/>
  <c r="B427" i="121"/>
  <c r="Z427" i="121" s="1"/>
  <c r="B428" i="121"/>
  <c r="Z428" i="121" s="1"/>
  <c r="B429" i="121"/>
  <c r="Z429" i="121" s="1"/>
  <c r="B430" i="121"/>
  <c r="Z430" i="121" s="1"/>
  <c r="B431" i="121"/>
  <c r="Z431" i="121" s="1"/>
  <c r="B432" i="121"/>
  <c r="Z432" i="121" s="1"/>
  <c r="B433" i="121"/>
  <c r="Z433" i="121" s="1"/>
  <c r="B434" i="121"/>
  <c r="Z434" i="121" s="1"/>
  <c r="B435" i="121"/>
  <c r="Z435" i="121" s="1"/>
  <c r="B436" i="121"/>
  <c r="Z436" i="121" s="1"/>
  <c r="B437" i="121"/>
  <c r="Z437" i="121" s="1"/>
  <c r="B438" i="121"/>
  <c r="Z438" i="121" s="1"/>
  <c r="B439" i="121"/>
  <c r="Z439" i="121" s="1"/>
  <c r="B440" i="121"/>
  <c r="Z440" i="121" s="1"/>
  <c r="B441" i="121"/>
  <c r="Z441" i="121" s="1"/>
  <c r="B442" i="121"/>
  <c r="Z442" i="121" s="1"/>
  <c r="B443" i="121"/>
  <c r="Z443" i="121" s="1"/>
  <c r="B444" i="121"/>
  <c r="Z444" i="121" s="1"/>
  <c r="B445" i="121"/>
  <c r="Z445" i="121" s="1"/>
  <c r="B446" i="121"/>
  <c r="Z446" i="121" s="1"/>
  <c r="B447" i="121"/>
  <c r="Z447" i="121" s="1"/>
  <c r="B448" i="121"/>
  <c r="Z448" i="121" s="1"/>
  <c r="B449" i="121"/>
  <c r="Z449" i="121" s="1"/>
  <c r="B450" i="121"/>
  <c r="Z450" i="121" s="1"/>
  <c r="B451" i="121"/>
  <c r="Z451" i="121" s="1"/>
  <c r="B452" i="121"/>
  <c r="Z452" i="121" s="1"/>
  <c r="B453" i="121"/>
  <c r="Z453" i="121" s="1"/>
  <c r="B454" i="121"/>
  <c r="Z454" i="121" s="1"/>
  <c r="B455" i="121"/>
  <c r="Z455" i="121" s="1"/>
  <c r="B456" i="121"/>
  <c r="Z456" i="121" s="1"/>
  <c r="B457" i="121"/>
  <c r="Z457" i="121" s="1"/>
  <c r="B458" i="121"/>
  <c r="Z458" i="121" s="1"/>
  <c r="B459" i="121"/>
  <c r="Z459" i="121" s="1"/>
  <c r="B460" i="121"/>
  <c r="Z460" i="121" s="1"/>
  <c r="B461" i="121"/>
  <c r="Z461" i="121" s="1"/>
  <c r="B462" i="121"/>
  <c r="Z462" i="121" s="1"/>
  <c r="B463" i="121"/>
  <c r="Z463" i="121" s="1"/>
  <c r="B464" i="121"/>
  <c r="Z464" i="121" s="1"/>
  <c r="B465" i="121"/>
  <c r="Z465" i="121" s="1"/>
  <c r="B466" i="121"/>
  <c r="Z466" i="121" s="1"/>
  <c r="B467" i="121"/>
  <c r="Z467" i="121" s="1"/>
  <c r="B468" i="121"/>
  <c r="Z468" i="121" s="1"/>
  <c r="B469" i="121"/>
  <c r="Z469" i="121" s="1"/>
  <c r="B470" i="121"/>
  <c r="Z470" i="121" s="1"/>
  <c r="B471" i="121"/>
  <c r="Z471" i="121" s="1"/>
  <c r="B472" i="121"/>
  <c r="Z472" i="121" s="1"/>
  <c r="B473" i="121"/>
  <c r="Z473" i="121" s="1"/>
  <c r="B474" i="121"/>
  <c r="Z474" i="121" s="1"/>
  <c r="B475" i="121"/>
  <c r="Z475" i="121" s="1"/>
  <c r="B476" i="121"/>
  <c r="Z476" i="121" s="1"/>
  <c r="B477" i="121"/>
  <c r="Z477" i="121" s="1"/>
  <c r="B478" i="121"/>
  <c r="Z478" i="121" s="1"/>
  <c r="B479" i="121"/>
  <c r="Z479" i="121" s="1"/>
  <c r="B480" i="121"/>
  <c r="Z480" i="121" s="1"/>
  <c r="B481" i="121"/>
  <c r="Z481" i="121" s="1"/>
  <c r="B482" i="121"/>
  <c r="Z482" i="121" s="1"/>
  <c r="B483" i="121"/>
  <c r="Z483" i="121" s="1"/>
  <c r="B484" i="121"/>
  <c r="Z484" i="121" s="1"/>
  <c r="B485" i="121"/>
  <c r="Z485" i="121" s="1"/>
  <c r="B486" i="121"/>
  <c r="Z486" i="121" s="1"/>
  <c r="B487" i="121"/>
  <c r="Z487" i="121" s="1"/>
  <c r="B488" i="121"/>
  <c r="Z488" i="121" s="1"/>
  <c r="B489" i="121"/>
  <c r="Z489" i="121" s="1"/>
  <c r="B490" i="121"/>
  <c r="Z490" i="121" s="1"/>
  <c r="B491" i="121"/>
  <c r="Z491" i="121" s="1"/>
  <c r="B492" i="121"/>
  <c r="Z492" i="121" s="1"/>
  <c r="B493" i="121"/>
  <c r="Z493" i="121" s="1"/>
  <c r="B494" i="121"/>
  <c r="Z494" i="121" s="1"/>
  <c r="B495" i="121"/>
  <c r="Z495" i="121" s="1"/>
  <c r="B496" i="121"/>
  <c r="Z496" i="121" s="1"/>
  <c r="B497" i="121"/>
  <c r="Z497" i="121" s="1"/>
  <c r="B498" i="121"/>
  <c r="Z498" i="121" s="1"/>
  <c r="B499" i="121"/>
  <c r="Z499" i="121" s="1"/>
  <c r="B500" i="121"/>
  <c r="Z500" i="121" s="1"/>
  <c r="B3" i="121"/>
  <c r="D400" i="123"/>
  <c r="Q36" i="35"/>
  <c r="M165" i="1"/>
  <c r="Q48" i="35"/>
  <c r="P88" i="35"/>
  <c r="P54" i="35"/>
  <c r="Q62" i="57"/>
  <c r="P50" i="57"/>
  <c r="P66" i="57"/>
  <c r="Q72" i="35"/>
  <c r="P4" i="35"/>
  <c r="Q82" i="57"/>
  <c r="Q69" i="35"/>
  <c r="Q12" i="35"/>
  <c r="Q70" i="35"/>
  <c r="Q44" i="57"/>
  <c r="P42" i="57"/>
  <c r="Q39" i="35"/>
  <c r="M151" i="1"/>
  <c r="P8" i="57"/>
  <c r="Q64" i="57"/>
  <c r="Q60" i="57"/>
  <c r="P70" i="57"/>
  <c r="P16" i="57"/>
  <c r="Q9" i="35"/>
  <c r="N157" i="1"/>
  <c r="Q21" i="35"/>
  <c r="P48" i="35"/>
  <c r="M162" i="1"/>
  <c r="Q78" i="35"/>
  <c r="Q22" i="35"/>
  <c r="P4" i="57"/>
  <c r="P36" i="57"/>
  <c r="Q16" i="35"/>
  <c r="P46" i="57"/>
  <c r="P58" i="57"/>
  <c r="Q50" i="57"/>
  <c r="Q4" i="35"/>
  <c r="Q18" i="57"/>
  <c r="Q10" i="57"/>
  <c r="Q58" i="57"/>
  <c r="Q4" i="57"/>
  <c r="M152" i="1"/>
  <c r="Q76" i="57"/>
  <c r="Q33" i="35"/>
  <c r="N155" i="1"/>
  <c r="Q36" i="57"/>
  <c r="Q46" i="57"/>
  <c r="P38" i="57"/>
  <c r="Q26" i="57"/>
  <c r="Q45" i="35"/>
  <c r="P6" i="57"/>
  <c r="P56" i="57"/>
  <c r="P10" i="57"/>
  <c r="P78" i="35"/>
  <c r="Q15" i="35"/>
  <c r="Q72" i="57"/>
  <c r="P15" i="35"/>
  <c r="Q28" i="57"/>
  <c r="N161" i="1"/>
  <c r="P60" i="57"/>
  <c r="Q3" i="57"/>
  <c r="P68" i="57"/>
  <c r="Q18" i="35"/>
  <c r="Q76" i="35"/>
  <c r="P89" i="35"/>
  <c r="Q66" i="57"/>
  <c r="P44" i="57"/>
  <c r="Q54" i="35"/>
  <c r="P85" i="35"/>
  <c r="P93" i="35"/>
  <c r="M167" i="1"/>
  <c r="Q5" i="57"/>
  <c r="Q88" i="35"/>
  <c r="Q66" i="35"/>
  <c r="P51" i="35"/>
  <c r="Q46" i="35"/>
  <c r="Q68" i="57"/>
  <c r="Q30" i="35"/>
  <c r="Q64" i="35"/>
  <c r="N164" i="1"/>
  <c r="Q28" i="35"/>
  <c r="Q80" i="57"/>
  <c r="P62" i="57"/>
  <c r="P16" i="35"/>
  <c r="Q89" i="35"/>
  <c r="N162" i="1"/>
  <c r="N165" i="1"/>
  <c r="P40" i="35"/>
  <c r="Q24" i="35"/>
  <c r="P20" i="57"/>
  <c r="Q3" i="35"/>
  <c r="Q51" i="35"/>
  <c r="M157" i="1"/>
  <c r="Q40" i="35"/>
  <c r="Q57" i="35"/>
  <c r="P66" i="35"/>
  <c r="P10" i="35"/>
  <c r="Q6" i="57"/>
  <c r="R93" i="57"/>
  <c r="P52" i="57"/>
  <c r="P40" i="57"/>
  <c r="M164" i="1"/>
  <c r="P3" i="35"/>
  <c r="P48" i="57"/>
  <c r="Q30" i="57"/>
  <c r="P9" i="35"/>
  <c r="N167" i="1"/>
  <c r="Q58" i="35"/>
  <c r="Q56" i="57"/>
  <c r="P22" i="57"/>
  <c r="P18" i="35"/>
  <c r="Q27" i="35"/>
  <c r="M156" i="1"/>
  <c r="Q60" i="35"/>
  <c r="Q42" i="57"/>
  <c r="P78" i="57"/>
  <c r="Q52" i="57"/>
  <c r="Q20" i="57"/>
  <c r="P76" i="35"/>
  <c r="P96" i="57"/>
  <c r="Q16" i="57"/>
  <c r="Q70" i="57"/>
  <c r="Q93" i="35"/>
  <c r="Q52" i="35"/>
  <c r="Q2" i="35"/>
  <c r="M161" i="1"/>
  <c r="Q8" i="57"/>
  <c r="R88" i="57"/>
  <c r="P6" i="35"/>
  <c r="M153" i="1"/>
  <c r="Q48" i="57"/>
  <c r="Q14" i="57"/>
  <c r="P64" i="57"/>
  <c r="Q10" i="35"/>
  <c r="Q22" i="57"/>
  <c r="Q34" i="57"/>
  <c r="Q74" i="57"/>
  <c r="Q6" i="35"/>
  <c r="Q12" i="57"/>
  <c r="Q54" i="57"/>
  <c r="Q24" i="57"/>
  <c r="Q34" i="35"/>
  <c r="P39" i="35"/>
  <c r="Q78" i="57"/>
  <c r="Q38" i="57"/>
  <c r="P3" i="57"/>
  <c r="Q40" i="57"/>
  <c r="Q63" i="35"/>
  <c r="Q42" i="35"/>
  <c r="Q32" i="57"/>
  <c r="M155" i="1"/>
  <c r="M114" i="1"/>
  <c r="M82" i="1"/>
  <c r="M122" i="1"/>
  <c r="M19" i="1"/>
  <c r="M116" i="1"/>
  <c r="N120" i="1"/>
  <c r="M100" i="1"/>
  <c r="N10" i="1"/>
  <c r="N16" i="1"/>
  <c r="Q67" i="57"/>
  <c r="N73" i="1"/>
  <c r="N66" i="1"/>
  <c r="M75" i="1"/>
  <c r="R49" i="57"/>
  <c r="N11" i="1"/>
  <c r="M63" i="1"/>
  <c r="N93" i="1"/>
  <c r="M73" i="1"/>
  <c r="M143" i="1"/>
  <c r="N117" i="1"/>
  <c r="M13" i="1"/>
  <c r="N23" i="1"/>
  <c r="M117" i="1"/>
  <c r="R85" i="57"/>
  <c r="N118" i="1"/>
  <c r="M8" i="1"/>
  <c r="N84" i="1"/>
  <c r="M79" i="1"/>
  <c r="M62" i="1"/>
  <c r="N62" i="1"/>
  <c r="M120" i="1"/>
  <c r="M16" i="1"/>
  <c r="P67" i="57"/>
  <c r="N82" i="1"/>
  <c r="N81" i="1"/>
  <c r="M111" i="1"/>
  <c r="M87" i="1"/>
  <c r="N107" i="1"/>
  <c r="M89" i="1"/>
  <c r="M123" i="1"/>
  <c r="N27" i="1"/>
  <c r="M28" i="1"/>
  <c r="M20" i="1"/>
  <c r="N67" i="1"/>
  <c r="N22" i="1"/>
  <c r="M11" i="1"/>
  <c r="N64" i="1"/>
  <c r="N94" i="1"/>
  <c r="M26" i="1"/>
  <c r="N126" i="1"/>
  <c r="N124" i="1"/>
  <c r="Q25" i="57"/>
  <c r="N6" i="1"/>
  <c r="M32" i="1"/>
  <c r="N131" i="1"/>
  <c r="M141" i="1"/>
  <c r="M27" i="1"/>
  <c r="N76" i="1"/>
  <c r="N35" i="1"/>
  <c r="N111" i="1"/>
  <c r="N87" i="1"/>
  <c r="N33" i="1"/>
  <c r="P61" i="57"/>
  <c r="N65" i="1"/>
  <c r="N102" i="1"/>
  <c r="P19" i="57"/>
  <c r="N108" i="1"/>
  <c r="N106" i="1"/>
  <c r="M142" i="1"/>
  <c r="M21" i="1"/>
  <c r="R7" i="57"/>
  <c r="N75" i="1"/>
  <c r="N112" i="1"/>
  <c r="N12" i="1"/>
  <c r="M84" i="1"/>
  <c r="M72" i="1"/>
  <c r="M34" i="1"/>
  <c r="M61" i="1"/>
  <c r="M99" i="1"/>
  <c r="N63" i="1"/>
  <c r="M108" i="1"/>
  <c r="N123" i="1"/>
  <c r="N100" i="1"/>
  <c r="N119" i="1"/>
  <c r="M125" i="1"/>
  <c r="N20" i="1"/>
  <c r="M103" i="1"/>
  <c r="Q31" i="57"/>
  <c r="N13" i="1"/>
  <c r="M65" i="1"/>
  <c r="N29" i="1"/>
  <c r="M69" i="1"/>
  <c r="N15" i="1"/>
  <c r="N141" i="1"/>
  <c r="N128" i="1"/>
  <c r="M106" i="1"/>
  <c r="N129" i="1"/>
  <c r="M67" i="1"/>
  <c r="M126" i="1"/>
  <c r="N7" i="1"/>
  <c r="M113" i="1"/>
  <c r="M14" i="1"/>
  <c r="N83" i="1"/>
  <c r="M90" i="1"/>
  <c r="Q61" i="57"/>
  <c r="M110" i="1"/>
  <c r="M88" i="1"/>
  <c r="N125" i="1"/>
  <c r="M58" i="1"/>
  <c r="N89" i="1"/>
  <c r="N8" i="1"/>
  <c r="N21" i="1"/>
  <c r="N104" i="1"/>
  <c r="N142" i="1"/>
  <c r="R43" i="57"/>
  <c r="M15" i="1"/>
  <c r="M81" i="1"/>
  <c r="N110" i="1"/>
  <c r="M83" i="1"/>
  <c r="N77" i="1"/>
  <c r="M59" i="1"/>
  <c r="M7" i="1"/>
  <c r="N140" i="1"/>
  <c r="M68" i="1"/>
  <c r="N59" i="1"/>
  <c r="N31" i="1"/>
  <c r="N99" i="1"/>
  <c r="M18" i="1"/>
  <c r="N95" i="1"/>
  <c r="N80" i="1"/>
  <c r="M107" i="1"/>
  <c r="N88" i="1"/>
  <c r="N143" i="1"/>
  <c r="M5" i="1"/>
  <c r="P13" i="57"/>
  <c r="R86" i="57"/>
  <c r="M104" i="1"/>
  <c r="M124" i="1"/>
  <c r="N4" i="1"/>
  <c r="M140" i="1"/>
  <c r="M12" i="1"/>
  <c r="M3" i="1"/>
  <c r="N18" i="1"/>
  <c r="M112" i="1"/>
  <c r="N9" i="1"/>
  <c r="N61" i="1"/>
  <c r="Q55" i="57"/>
  <c r="N14" i="1"/>
  <c r="N5" i="1"/>
  <c r="N72" i="1"/>
  <c r="M77" i="1"/>
  <c r="M98" i="1"/>
  <c r="N132" i="1"/>
  <c r="Q19" i="57"/>
  <c r="Q37" i="57"/>
  <c r="M30" i="1"/>
  <c r="R79" i="57"/>
  <c r="N25" i="1"/>
  <c r="M64" i="1"/>
  <c r="Q73" i="57"/>
  <c r="N24" i="1"/>
  <c r="M76" i="1"/>
  <c r="M80" i="1"/>
  <c r="Q13" i="57"/>
  <c r="N86" i="1"/>
  <c r="M119" i="1"/>
  <c r="N19" i="1"/>
  <c r="M4" i="1"/>
  <c r="N116" i="1"/>
  <c r="M118" i="1"/>
  <c r="N96" i="1"/>
  <c r="M71" i="1"/>
  <c r="M102" i="1"/>
  <c r="M86" i="1"/>
  <c r="N79" i="1"/>
  <c r="M144" i="1"/>
  <c r="M6" i="1"/>
  <c r="N26" i="1"/>
  <c r="M17" i="1"/>
  <c r="N92" i="1"/>
  <c r="P37" i="57"/>
  <c r="N113" i="1"/>
  <c r="P55" i="57"/>
  <c r="M9" i="1"/>
  <c r="N130" i="1"/>
  <c r="N144" i="1"/>
  <c r="M66" i="1"/>
  <c r="M74" i="1"/>
  <c r="N114" i="1"/>
  <c r="M10" i="1"/>
  <c r="N98" i="1"/>
  <c r="N3" i="1"/>
  <c r="N36" i="1"/>
  <c r="M36" i="1"/>
  <c r="D396" i="123"/>
  <c r="D379" i="123"/>
  <c r="D382" i="123"/>
  <c r="D377" i="123"/>
  <c r="D399" i="123"/>
  <c r="D380" i="123"/>
  <c r="D386" i="123"/>
  <c r="D392" i="123"/>
  <c r="D389" i="123"/>
  <c r="D390" i="123"/>
  <c r="D398" i="123"/>
  <c r="D397" i="123"/>
  <c r="D388" i="123"/>
  <c r="D391" i="123"/>
  <c r="D378" i="123"/>
  <c r="D394" i="123"/>
  <c r="D376" i="123"/>
  <c r="D393" i="123"/>
  <c r="D383" i="123"/>
  <c r="D387" i="123"/>
  <c r="D302" i="121"/>
  <c r="D384" i="123"/>
  <c r="D385" i="123"/>
  <c r="D395" i="123"/>
  <c r="D381" i="123"/>
  <c r="Z312" i="121" l="1"/>
  <c r="Z310" i="121"/>
  <c r="Z308" i="121"/>
  <c r="Z306" i="121"/>
  <c r="Z304" i="121"/>
  <c r="Z302" i="121"/>
  <c r="Z311" i="121"/>
  <c r="Z309" i="121"/>
  <c r="Z307" i="121"/>
  <c r="Z305" i="121"/>
  <c r="Z303" i="121"/>
  <c r="Z298" i="121"/>
  <c r="Z296" i="121"/>
  <c r="Z292" i="121"/>
  <c r="Z300" i="121"/>
  <c r="Z294" i="121"/>
  <c r="Z301" i="121"/>
  <c r="Z299" i="121"/>
  <c r="Z297" i="121"/>
  <c r="Z295" i="121"/>
  <c r="Z293" i="121"/>
  <c r="Z291" i="121"/>
  <c r="M49" i="1"/>
  <c r="N51" i="1"/>
  <c r="Z289" i="121"/>
  <c r="Z287" i="121"/>
  <c r="Z285" i="121"/>
  <c r="Z283" i="121"/>
  <c r="Z281" i="121"/>
  <c r="Z290" i="121"/>
  <c r="Z288" i="121"/>
  <c r="Z286" i="121"/>
  <c r="Z284" i="121"/>
  <c r="Z282" i="121"/>
  <c r="Z280" i="121"/>
  <c r="N50" i="1"/>
  <c r="Z279" i="121"/>
  <c r="Z277" i="121"/>
  <c r="Z275" i="121"/>
  <c r="Z273" i="121"/>
  <c r="Z271" i="121"/>
  <c r="Z278" i="121"/>
  <c r="Z276" i="121"/>
  <c r="Z274" i="121"/>
  <c r="Z272" i="121"/>
  <c r="Z270" i="121"/>
  <c r="Z269" i="121"/>
  <c r="N133" i="1"/>
  <c r="N259" i="1" s="1"/>
  <c r="N192" i="1"/>
  <c r="N136" i="1"/>
  <c r="N138" i="1"/>
  <c r="N137" i="1"/>
  <c r="N134" i="1"/>
  <c r="N135" i="1"/>
  <c r="Z267" i="121"/>
  <c r="Z265" i="121"/>
  <c r="Z263" i="121"/>
  <c r="Z261" i="121"/>
  <c r="Z259" i="121"/>
  <c r="Z268" i="121"/>
  <c r="Z266" i="121"/>
  <c r="Z264" i="121"/>
  <c r="Z262" i="121"/>
  <c r="Z260" i="121"/>
  <c r="Z258" i="121"/>
  <c r="A205" i="123"/>
  <c r="U195" i="123"/>
  <c r="N195" i="123"/>
  <c r="R91" i="57"/>
  <c r="Z257" i="121"/>
  <c r="Z255" i="121"/>
  <c r="Z253" i="121"/>
  <c r="Z251" i="121"/>
  <c r="Z249" i="121"/>
  <c r="Z256" i="121"/>
  <c r="Z254" i="121"/>
  <c r="Z252" i="121"/>
  <c r="Z250" i="121"/>
  <c r="Z248" i="121"/>
  <c r="Z247" i="121"/>
  <c r="R87" i="57"/>
  <c r="G89" i="169"/>
  <c r="N70" i="1"/>
  <c r="M70" i="1"/>
  <c r="Q92" i="57"/>
  <c r="Q90" i="57"/>
  <c r="Q84" i="57"/>
  <c r="Q82" i="35"/>
  <c r="Q84" i="35"/>
  <c r="Q81" i="35"/>
  <c r="R94" i="57"/>
  <c r="S95" i="57"/>
  <c r="R83" i="35"/>
  <c r="R86" i="35"/>
  <c r="R87" i="35" s="1"/>
  <c r="R89" i="57"/>
  <c r="Q71" i="35"/>
  <c r="Q73" i="35"/>
  <c r="Q74" i="35" s="1"/>
  <c r="Q77" i="57"/>
  <c r="Q75" i="57"/>
  <c r="Q4" i="123"/>
  <c r="U4" i="123"/>
  <c r="N4" i="123"/>
  <c r="M199" i="1"/>
  <c r="M201" i="1"/>
  <c r="N200" i="1"/>
  <c r="N198" i="1"/>
  <c r="N188" i="1"/>
  <c r="N199" i="1"/>
  <c r="N193" i="1"/>
  <c r="N197" i="1"/>
  <c r="N195" i="1"/>
  <c r="N194" i="1"/>
  <c r="N201" i="1"/>
  <c r="M193" i="1"/>
  <c r="M194" i="1"/>
  <c r="N187" i="1"/>
  <c r="M196" i="1"/>
  <c r="N186" i="1"/>
  <c r="N190" i="1"/>
  <c r="M187" i="1"/>
  <c r="N189" i="1"/>
  <c r="AB202" i="1"/>
  <c r="P202" i="1"/>
  <c r="Z245" i="121"/>
  <c r="Z243" i="121"/>
  <c r="Z241" i="121"/>
  <c r="Z239" i="121"/>
  <c r="Z246" i="121"/>
  <c r="Z244" i="121"/>
  <c r="Z242" i="121"/>
  <c r="Z240" i="121"/>
  <c r="Z238" i="121"/>
  <c r="Z237" i="121"/>
  <c r="N158" i="1"/>
  <c r="N159" i="1" s="1"/>
  <c r="O139" i="1"/>
  <c r="AD11" i="35"/>
  <c r="AD45" i="57"/>
  <c r="AE45" i="57"/>
  <c r="AE15" i="57"/>
  <c r="AD41" i="35"/>
  <c r="AD15" i="57"/>
  <c r="M154" i="1"/>
  <c r="M158" i="1"/>
  <c r="AB146" i="1"/>
  <c r="P160" i="1"/>
  <c r="AE82" i="35"/>
  <c r="AE69" i="57"/>
  <c r="AE53" i="35"/>
  <c r="AD53" i="35"/>
  <c r="AD69" i="57"/>
  <c r="AE41" i="35"/>
  <c r="Z234" i="121"/>
  <c r="Z230" i="121"/>
  <c r="Z235" i="121"/>
  <c r="Z233" i="121"/>
  <c r="Z231" i="121"/>
  <c r="Z229" i="121"/>
  <c r="Z236" i="121"/>
  <c r="Z232" i="121"/>
  <c r="Z228" i="121"/>
  <c r="Z227" i="121"/>
  <c r="AE65" i="35"/>
  <c r="AD65" i="35"/>
  <c r="AD81" i="35"/>
  <c r="AD92" i="57"/>
  <c r="AD84" i="57"/>
  <c r="AD35" i="57"/>
  <c r="AD90" i="57"/>
  <c r="AD84" i="35"/>
  <c r="AE90" i="35"/>
  <c r="AD31" i="35"/>
  <c r="AD32" i="35" s="1"/>
  <c r="AE27" i="57"/>
  <c r="AE32" i="35"/>
  <c r="AD21" i="57"/>
  <c r="AD17" i="35"/>
  <c r="AD51" i="57"/>
  <c r="AE17" i="35"/>
  <c r="AD33" i="57"/>
  <c r="AE21" i="57"/>
  <c r="AE51" i="57"/>
  <c r="AD47" i="35"/>
  <c r="AD39" i="57"/>
  <c r="AE57" i="57"/>
  <c r="AE23" i="35"/>
  <c r="AD57" i="57"/>
  <c r="AD29" i="35"/>
  <c r="AE29" i="35"/>
  <c r="AD23" i="35"/>
  <c r="AE47" i="35"/>
  <c r="AE39" i="57"/>
  <c r="AE33" i="57"/>
  <c r="AD27" i="57"/>
  <c r="AE43" i="57"/>
  <c r="AD43" i="57"/>
  <c r="AE7" i="57"/>
  <c r="AD7" i="57"/>
  <c r="AE88" i="57"/>
  <c r="AD88" i="57"/>
  <c r="AD93" i="57"/>
  <c r="AE93" i="57"/>
  <c r="AD86" i="57"/>
  <c r="AE86" i="57"/>
  <c r="AD85" i="57"/>
  <c r="AE85" i="57"/>
  <c r="AE79" i="57"/>
  <c r="AD79" i="57"/>
  <c r="AE49" i="57"/>
  <c r="AD49" i="57"/>
  <c r="AE91" i="57"/>
  <c r="R38" i="35"/>
  <c r="AE37" i="35"/>
  <c r="AE38" i="35" s="1"/>
  <c r="AD29" i="57"/>
  <c r="AD13" i="35"/>
  <c r="AD14" i="35" s="1"/>
  <c r="AE25" i="35"/>
  <c r="AE26" i="35" s="1"/>
  <c r="AE13" i="35"/>
  <c r="AE14" i="35" s="1"/>
  <c r="AE7" i="35"/>
  <c r="AE79" i="35"/>
  <c r="AD49" i="35"/>
  <c r="AD50" i="35" s="1"/>
  <c r="AD61" i="35"/>
  <c r="AD62" i="35" s="1"/>
  <c r="AD19" i="35"/>
  <c r="AD20" i="35" s="1"/>
  <c r="AE19" i="35"/>
  <c r="AE20" i="35" s="1"/>
  <c r="AE41" i="57"/>
  <c r="AD67" i="35"/>
  <c r="AD68" i="35" s="1"/>
  <c r="AE67" i="35"/>
  <c r="AE68" i="35" s="1"/>
  <c r="AD71" i="57"/>
  <c r="AD17" i="57"/>
  <c r="AE47" i="57"/>
  <c r="AD11" i="57"/>
  <c r="AE59" i="35"/>
  <c r="AE49" i="35"/>
  <c r="AE50" i="35" s="1"/>
  <c r="AD43" i="35"/>
  <c r="AD44" i="35" s="1"/>
  <c r="AE65" i="57"/>
  <c r="AE43" i="35"/>
  <c r="AE44" i="35" s="1"/>
  <c r="AD59" i="57"/>
  <c r="AE53" i="57"/>
  <c r="AD7" i="35"/>
  <c r="AD23" i="57"/>
  <c r="AE61" i="35"/>
  <c r="AE62" i="35" s="1"/>
  <c r="AD25" i="35"/>
  <c r="AD26" i="35" s="1"/>
  <c r="AD79" i="35"/>
  <c r="AD37" i="35"/>
  <c r="AD38" i="35" s="1"/>
  <c r="AE55" i="35"/>
  <c r="AE56" i="35" s="1"/>
  <c r="AD55" i="35"/>
  <c r="AD56" i="35" s="1"/>
  <c r="AD59" i="35"/>
  <c r="Z226" i="121"/>
  <c r="Z224" i="121"/>
  <c r="Z222" i="121"/>
  <c r="Z220" i="121"/>
  <c r="Z218" i="121"/>
  <c r="Z225" i="121"/>
  <c r="Z223" i="121"/>
  <c r="Z221" i="121"/>
  <c r="Z219" i="121"/>
  <c r="M185" i="1"/>
  <c r="M246" i="1"/>
  <c r="N60" i="1"/>
  <c r="M60" i="1"/>
  <c r="O202" i="1"/>
  <c r="N44" i="1"/>
  <c r="AD89" i="57"/>
  <c r="N97" i="1"/>
  <c r="N252" i="1" s="1"/>
  <c r="AE94" i="57"/>
  <c r="Q29" i="35"/>
  <c r="Q31" i="35"/>
  <c r="Q32" i="35" s="1"/>
  <c r="Q35" i="57"/>
  <c r="Q33" i="57"/>
  <c r="Z217" i="121"/>
  <c r="Z215" i="121"/>
  <c r="Z213" i="121"/>
  <c r="Z211" i="121"/>
  <c r="Z209" i="121"/>
  <c r="Z216" i="121"/>
  <c r="Z214" i="121"/>
  <c r="Z212" i="121"/>
  <c r="Z210" i="121"/>
  <c r="Z208" i="121"/>
  <c r="Z207" i="121"/>
  <c r="Z206" i="121"/>
  <c r="Z204" i="121"/>
  <c r="Z202" i="121"/>
  <c r="Z198" i="121"/>
  <c r="Z205" i="121"/>
  <c r="Z203" i="121"/>
  <c r="Z201" i="121"/>
  <c r="Z199" i="121"/>
  <c r="Z197" i="121"/>
  <c r="Q79" i="35"/>
  <c r="Q80" i="35" s="1"/>
  <c r="Z194" i="121"/>
  <c r="Z190" i="121"/>
  <c r="Z195" i="121"/>
  <c r="Z193" i="121"/>
  <c r="Z191" i="121"/>
  <c r="Z189" i="121"/>
  <c r="Z196" i="121"/>
  <c r="Z192" i="121"/>
  <c r="Z188" i="121"/>
  <c r="Z186" i="121"/>
  <c r="Z184" i="121"/>
  <c r="Z182" i="121"/>
  <c r="Z180" i="121"/>
  <c r="Z187" i="121"/>
  <c r="Z185" i="121"/>
  <c r="Z183" i="121"/>
  <c r="Z181" i="121"/>
  <c r="Z179" i="121"/>
  <c r="O146" i="1"/>
  <c r="O160" i="1" s="1"/>
  <c r="S91" i="35"/>
  <c r="S92" i="35" s="1"/>
  <c r="Q7" i="35"/>
  <c r="Q8" i="35" s="1"/>
  <c r="Q5" i="35"/>
  <c r="N43" i="1"/>
  <c r="N91" i="1"/>
  <c r="N251" i="1" s="1"/>
  <c r="K205" i="123"/>
  <c r="Q205" i="123"/>
  <c r="M41" i="1"/>
  <c r="M40" i="1"/>
  <c r="M45" i="1"/>
  <c r="M43" i="1"/>
  <c r="M42" i="1"/>
  <c r="M39" i="1"/>
  <c r="Q23" i="35"/>
  <c r="Q25" i="35"/>
  <c r="Q26" i="35" s="1"/>
  <c r="Q29" i="57"/>
  <c r="Q27" i="57"/>
  <c r="M91" i="1"/>
  <c r="M251" i="1" s="1"/>
  <c r="Z177" i="121"/>
  <c r="Z175" i="121"/>
  <c r="Z173" i="121"/>
  <c r="Z171" i="121"/>
  <c r="Z178" i="121"/>
  <c r="Z176" i="121"/>
  <c r="Z174" i="121"/>
  <c r="Z172" i="121"/>
  <c r="Z170" i="121"/>
  <c r="O52" i="1"/>
  <c r="M170" i="1"/>
  <c r="M169" i="1"/>
  <c r="Q11" i="35"/>
  <c r="Q13" i="35"/>
  <c r="Q14" i="35" s="1"/>
  <c r="Q19" i="35"/>
  <c r="Q20" i="35" s="1"/>
  <c r="Q17" i="35"/>
  <c r="Q37" i="35"/>
  <c r="Q38" i="35" s="1"/>
  <c r="Q35" i="35"/>
  <c r="Q67" i="35"/>
  <c r="Q68" i="35" s="1"/>
  <c r="Q65" i="35"/>
  <c r="Q77" i="35"/>
  <c r="Q41" i="35"/>
  <c r="Q43" i="35"/>
  <c r="Q44" i="35" s="1"/>
  <c r="Q90" i="35"/>
  <c r="Q51" i="57"/>
  <c r="Q55" i="35"/>
  <c r="Q56" i="35" s="1"/>
  <c r="Q53" i="35"/>
  <c r="Q61" i="35"/>
  <c r="Q62" i="35" s="1"/>
  <c r="Q59" i="35"/>
  <c r="Q47" i="35"/>
  <c r="Q49" i="35"/>
  <c r="Q50" i="35" s="1"/>
  <c r="Q9" i="57"/>
  <c r="R83" i="57"/>
  <c r="AE83" i="57" s="1"/>
  <c r="P90" i="35"/>
  <c r="P41" i="35"/>
  <c r="P19" i="35"/>
  <c r="P20" i="35" s="1"/>
  <c r="P11" i="35"/>
  <c r="P17" i="35"/>
  <c r="P5" i="35"/>
  <c r="P7" i="35"/>
  <c r="P8" i="35" s="1"/>
  <c r="O1" i="35"/>
  <c r="P71" i="57"/>
  <c r="P9" i="57"/>
  <c r="Q59" i="57"/>
  <c r="Q57" i="57"/>
  <c r="P39" i="57"/>
  <c r="Q41" i="57"/>
  <c r="Q39" i="57"/>
  <c r="Q11" i="57"/>
  <c r="P41" i="57"/>
  <c r="P45" i="57"/>
  <c r="Q45" i="57"/>
  <c r="Q47" i="57"/>
  <c r="Q81" i="57"/>
  <c r="P47" i="57"/>
  <c r="P69" i="57"/>
  <c r="P11" i="57"/>
  <c r="Q15" i="57"/>
  <c r="Q17" i="57"/>
  <c r="Q53" i="57"/>
  <c r="P63" i="57"/>
  <c r="Q21" i="57"/>
  <c r="Q23" i="57"/>
  <c r="P65" i="57"/>
  <c r="Q71" i="57"/>
  <c r="Q69" i="57"/>
  <c r="Q63" i="57"/>
  <c r="Q65" i="57"/>
  <c r="P53" i="57"/>
  <c r="P51" i="57"/>
  <c r="L2" i="1"/>
  <c r="M1" i="1"/>
  <c r="Q195" i="123"/>
  <c r="K195" i="123"/>
  <c r="M105" i="1"/>
  <c r="M109" i="1"/>
  <c r="M101" i="1"/>
  <c r="O2" i="57"/>
  <c r="K4" i="123"/>
  <c r="A5" i="123"/>
  <c r="C501" i="123"/>
  <c r="Q289" i="123"/>
  <c r="P18" i="57"/>
  <c r="P30" i="35"/>
  <c r="P52" i="35"/>
  <c r="P12" i="57"/>
  <c r="P12" i="35"/>
  <c r="P58" i="35"/>
  <c r="P34" i="35"/>
  <c r="P26" i="57"/>
  <c r="P75" i="35"/>
  <c r="P27" i="35"/>
  <c r="P60" i="35"/>
  <c r="P80" i="57"/>
  <c r="P74" i="57"/>
  <c r="P69" i="35"/>
  <c r="P28" i="35"/>
  <c r="P93" i="57"/>
  <c r="P5" i="57"/>
  <c r="P21" i="35"/>
  <c r="O96" i="57"/>
  <c r="P82" i="57"/>
  <c r="P72" i="35"/>
  <c r="O10" i="35"/>
  <c r="L153" i="1"/>
  <c r="P64" i="35"/>
  <c r="P54" i="57"/>
  <c r="P46" i="35"/>
  <c r="P28" i="57"/>
  <c r="P36" i="35"/>
  <c r="P30" i="57"/>
  <c r="Q93" i="57"/>
  <c r="P42" i="35"/>
  <c r="P72" i="57"/>
  <c r="P24" i="35"/>
  <c r="P24" i="57"/>
  <c r="P70" i="35"/>
  <c r="P63" i="35"/>
  <c r="P34" i="57"/>
  <c r="P45" i="35"/>
  <c r="P2" i="35"/>
  <c r="L155" i="1"/>
  <c r="P33" i="35"/>
  <c r="Q88" i="57"/>
  <c r="P88" i="57"/>
  <c r="P57" i="35"/>
  <c r="P22" i="35"/>
  <c r="P14" i="57"/>
  <c r="P32" i="57"/>
  <c r="P76" i="57"/>
  <c r="M128" i="1"/>
  <c r="Q79" i="57"/>
  <c r="Q49" i="57"/>
  <c r="M130" i="1"/>
  <c r="M33" i="1"/>
  <c r="M95" i="1"/>
  <c r="L117" i="1"/>
  <c r="M22" i="1"/>
  <c r="Q85" i="57"/>
  <c r="M35" i="1"/>
  <c r="P7" i="57"/>
  <c r="M131" i="1"/>
  <c r="M24" i="1"/>
  <c r="M31" i="1"/>
  <c r="M132" i="1"/>
  <c r="M92" i="1"/>
  <c r="Q7" i="57"/>
  <c r="P43" i="57"/>
  <c r="Q43" i="57"/>
  <c r="Q86" i="57"/>
  <c r="L28" i="1"/>
  <c r="M29" i="1"/>
  <c r="M129" i="1"/>
  <c r="M25" i="1"/>
  <c r="P85" i="57"/>
  <c r="P79" i="57"/>
  <c r="M94" i="1"/>
  <c r="M93" i="1"/>
  <c r="P73" i="57"/>
  <c r="P25" i="57"/>
  <c r="M23" i="1"/>
  <c r="P49" i="57"/>
  <c r="M96" i="1"/>
  <c r="P86" i="57"/>
  <c r="P31" i="57"/>
  <c r="I85" i="169" l="1"/>
  <c r="I88" i="169"/>
  <c r="M51" i="1"/>
  <c r="N52" i="1"/>
  <c r="M50" i="1"/>
  <c r="M198" i="1"/>
  <c r="M138" i="1"/>
  <c r="M137" i="1"/>
  <c r="M197" i="1"/>
  <c r="M133" i="1"/>
  <c r="M259" i="1" s="1"/>
  <c r="M134" i="1"/>
  <c r="M190" i="1"/>
  <c r="M135" i="1"/>
  <c r="M136" i="1"/>
  <c r="M195" i="1"/>
  <c r="M192" i="1"/>
  <c r="U205" i="123"/>
  <c r="N205" i="123"/>
  <c r="P87" i="57"/>
  <c r="P89" i="57" s="1"/>
  <c r="Q87" i="57"/>
  <c r="Q89" i="57" s="1"/>
  <c r="I86" i="169"/>
  <c r="I75" i="169"/>
  <c r="I82" i="169"/>
  <c r="I87" i="169"/>
  <c r="I83" i="169"/>
  <c r="I74" i="169"/>
  <c r="I76" i="169"/>
  <c r="I81" i="169"/>
  <c r="I80" i="169"/>
  <c r="I79" i="169"/>
  <c r="I73" i="169"/>
  <c r="I77" i="169"/>
  <c r="Q91" i="57"/>
  <c r="P90" i="57"/>
  <c r="P84" i="57"/>
  <c r="P82" i="35"/>
  <c r="P81" i="35"/>
  <c r="P84" i="35"/>
  <c r="P92" i="57"/>
  <c r="Q94" i="57"/>
  <c r="R95" i="57"/>
  <c r="Q86" i="35"/>
  <c r="Q87" i="35" s="1"/>
  <c r="Q83" i="35"/>
  <c r="P71" i="35"/>
  <c r="P73" i="35"/>
  <c r="P74" i="35" s="1"/>
  <c r="P77" i="57"/>
  <c r="P75" i="57"/>
  <c r="Q5" i="123"/>
  <c r="U5" i="123"/>
  <c r="N5" i="123"/>
  <c r="M189" i="1"/>
  <c r="M188" i="1"/>
  <c r="M200" i="1"/>
  <c r="M186" i="1"/>
  <c r="N139" i="1"/>
  <c r="P43" i="35"/>
  <c r="P44" i="35" s="1"/>
  <c r="P77" i="35"/>
  <c r="P79" i="35"/>
  <c r="P80" i="35" s="1"/>
  <c r="P59" i="57"/>
  <c r="P57" i="57"/>
  <c r="P81" i="57"/>
  <c r="P83" i="57" s="1"/>
  <c r="P65" i="35"/>
  <c r="P61" i="35"/>
  <c r="P62" i="35" s="1"/>
  <c r="P37" i="35"/>
  <c r="P38" i="35" s="1"/>
  <c r="P17" i="57"/>
  <c r="P49" i="35"/>
  <c r="P50" i="35" s="1"/>
  <c r="P47" i="35"/>
  <c r="P55" i="35"/>
  <c r="P56" i="35" s="1"/>
  <c r="P53" i="35"/>
  <c r="P67" i="35"/>
  <c r="P68" i="35" s="1"/>
  <c r="P15" i="57"/>
  <c r="P21" i="57"/>
  <c r="P23" i="57"/>
  <c r="P59" i="35"/>
  <c r="P35" i="35"/>
  <c r="P13" i="35"/>
  <c r="P14" i="35" s="1"/>
  <c r="AE87" i="57"/>
  <c r="M159" i="1"/>
  <c r="AD91" i="57"/>
  <c r="AD87" i="57"/>
  <c r="AE89" i="57"/>
  <c r="AD94" i="57"/>
  <c r="AD95" i="57" s="1"/>
  <c r="AE86" i="35"/>
  <c r="AD86" i="35"/>
  <c r="AD83" i="57"/>
  <c r="L185" i="1"/>
  <c r="L246" i="1"/>
  <c r="AE95" i="57"/>
  <c r="N202" i="1"/>
  <c r="M97" i="1"/>
  <c r="M252" i="1" s="1"/>
  <c r="M44" i="1"/>
  <c r="P29" i="35"/>
  <c r="P31" i="35"/>
  <c r="P32" i="35" s="1"/>
  <c r="P35" i="57"/>
  <c r="P33" i="57"/>
  <c r="R91" i="35"/>
  <c r="R92" i="35" s="1"/>
  <c r="M47" i="1"/>
  <c r="P23" i="35"/>
  <c r="P25" i="35"/>
  <c r="P26" i="35" s="1"/>
  <c r="P29" i="57"/>
  <c r="P27" i="57"/>
  <c r="L170" i="1"/>
  <c r="L169" i="1"/>
  <c r="Q83" i="57"/>
  <c r="N1" i="35"/>
  <c r="N2" i="57"/>
  <c r="N146" i="1"/>
  <c r="N160" i="1" s="1"/>
  <c r="L57" i="1"/>
  <c r="L150" i="1"/>
  <c r="L38" i="1"/>
  <c r="K2" i="1"/>
  <c r="L1" i="1"/>
  <c r="A6" i="123"/>
  <c r="K5" i="123"/>
  <c r="O52" i="35"/>
  <c r="O22" i="35"/>
  <c r="O26" i="57"/>
  <c r="O56" i="57"/>
  <c r="N85" i="35"/>
  <c r="L151" i="1"/>
  <c r="O88" i="35"/>
  <c r="O48" i="57"/>
  <c r="O6" i="35"/>
  <c r="O27" i="35"/>
  <c r="O5" i="57"/>
  <c r="O58" i="57"/>
  <c r="O60" i="57"/>
  <c r="O46" i="57"/>
  <c r="O6" i="57"/>
  <c r="O4" i="35"/>
  <c r="O3" i="57"/>
  <c r="L165" i="1"/>
  <c r="O85" i="35"/>
  <c r="O93" i="35"/>
  <c r="O68" i="57"/>
  <c r="O78" i="35"/>
  <c r="O8" i="57"/>
  <c r="O30" i="57"/>
  <c r="O36" i="35"/>
  <c r="O70" i="35"/>
  <c r="O72" i="35"/>
  <c r="O2" i="35"/>
  <c r="O24" i="35"/>
  <c r="L162" i="1"/>
  <c r="O64" i="57"/>
  <c r="O58" i="35"/>
  <c r="O78" i="57"/>
  <c r="L157" i="1"/>
  <c r="O46" i="35"/>
  <c r="O50" i="57"/>
  <c r="O34" i="57"/>
  <c r="O10" i="57"/>
  <c r="L152" i="1"/>
  <c r="O54" i="57"/>
  <c r="O12" i="35"/>
  <c r="L167" i="1"/>
  <c r="N22" i="57"/>
  <c r="O45" i="35"/>
  <c r="O51" i="35"/>
  <c r="O12" i="57"/>
  <c r="O74" i="57"/>
  <c r="O80" i="57"/>
  <c r="O36" i="57"/>
  <c r="O38" i="57"/>
  <c r="O16" i="57"/>
  <c r="O52" i="57"/>
  <c r="O72" i="57"/>
  <c r="O42" i="57"/>
  <c r="O3" i="35"/>
  <c r="O75" i="35"/>
  <c r="O66" i="57"/>
  <c r="O40" i="57"/>
  <c r="O14" i="57"/>
  <c r="O48" i="35"/>
  <c r="O69" i="35"/>
  <c r="O40" i="35"/>
  <c r="O21" i="35"/>
  <c r="O82" i="57"/>
  <c r="O4" i="57"/>
  <c r="O54" i="35"/>
  <c r="O20" i="57"/>
  <c r="K152" i="1"/>
  <c r="O34" i="35"/>
  <c r="O44" i="57"/>
  <c r="O9" i="35"/>
  <c r="O32" i="57"/>
  <c r="O57" i="35"/>
  <c r="O42" i="35"/>
  <c r="O28" i="57"/>
  <c r="O64" i="35"/>
  <c r="O70" i="57"/>
  <c r="O60" i="35"/>
  <c r="O66" i="35"/>
  <c r="O62" i="57"/>
  <c r="O63" i="35"/>
  <c r="O39" i="35"/>
  <c r="O15" i="35"/>
  <c r="O18" i="57"/>
  <c r="N39" i="35"/>
  <c r="O24" i="57"/>
  <c r="O16" i="35"/>
  <c r="O22" i="57"/>
  <c r="O30" i="35"/>
  <c r="L156" i="1"/>
  <c r="O33" i="35"/>
  <c r="O18" i="35"/>
  <c r="O89" i="35"/>
  <c r="O76" i="35"/>
  <c r="O28" i="35"/>
  <c r="L164" i="1"/>
  <c r="O76" i="57"/>
  <c r="L161" i="1"/>
  <c r="L84" i="1"/>
  <c r="L58" i="1"/>
  <c r="L25" i="1"/>
  <c r="O55" i="57"/>
  <c r="L129" i="1"/>
  <c r="L141" i="1"/>
  <c r="L23" i="1"/>
  <c r="L104" i="1"/>
  <c r="K32" i="1"/>
  <c r="N67" i="57"/>
  <c r="L77" i="1"/>
  <c r="L6" i="1"/>
  <c r="L102" i="1"/>
  <c r="L111" i="1"/>
  <c r="L64" i="1"/>
  <c r="L10" i="1"/>
  <c r="L65" i="1"/>
  <c r="O19" i="57"/>
  <c r="L122" i="1"/>
  <c r="L108" i="1"/>
  <c r="L69" i="1"/>
  <c r="L124" i="1"/>
  <c r="L21" i="1"/>
  <c r="K69" i="1"/>
  <c r="L22" i="1"/>
  <c r="L126" i="1"/>
  <c r="L92" i="1"/>
  <c r="L106" i="1"/>
  <c r="L87" i="1"/>
  <c r="L63" i="1"/>
  <c r="L89" i="1"/>
  <c r="L19" i="1"/>
  <c r="L26" i="1"/>
  <c r="L120" i="1"/>
  <c r="L17" i="1"/>
  <c r="L80" i="1"/>
  <c r="L131" i="1"/>
  <c r="L12" i="1"/>
  <c r="L8" i="1"/>
  <c r="L90" i="1"/>
  <c r="L9" i="1"/>
  <c r="L116" i="1"/>
  <c r="L98" i="1"/>
  <c r="L11" i="1"/>
  <c r="L27" i="1"/>
  <c r="K30" i="1"/>
  <c r="L123" i="1"/>
  <c r="L72" i="1"/>
  <c r="L24" i="1"/>
  <c r="L107" i="1"/>
  <c r="L68" i="1"/>
  <c r="L140" i="1"/>
  <c r="L112" i="1"/>
  <c r="L59" i="1"/>
  <c r="O25" i="57"/>
  <c r="L125" i="1"/>
  <c r="L103" i="1"/>
  <c r="L16" i="1"/>
  <c r="L62" i="1"/>
  <c r="L144" i="1"/>
  <c r="L3" i="1"/>
  <c r="L15" i="1"/>
  <c r="L18" i="1"/>
  <c r="L96" i="1"/>
  <c r="L93" i="1"/>
  <c r="L14" i="1"/>
  <c r="L119" i="1"/>
  <c r="L5" i="1"/>
  <c r="L71" i="1"/>
  <c r="L7" i="1"/>
  <c r="K34" i="1"/>
  <c r="L128" i="1"/>
  <c r="O61" i="57"/>
  <c r="O67" i="57"/>
  <c r="L79" i="1"/>
  <c r="L95" i="1"/>
  <c r="L130" i="1"/>
  <c r="L76" i="1"/>
  <c r="L4" i="1"/>
  <c r="L94" i="1"/>
  <c r="L99" i="1"/>
  <c r="K28" i="1"/>
  <c r="L114" i="1"/>
  <c r="L142" i="1"/>
  <c r="O73" i="57"/>
  <c r="L81" i="1"/>
  <c r="L20" i="1"/>
  <c r="L143" i="1"/>
  <c r="L82" i="1"/>
  <c r="L83" i="1"/>
  <c r="L67" i="1"/>
  <c r="O13" i="57"/>
  <c r="L30" i="1"/>
  <c r="L88" i="1"/>
  <c r="L75" i="1"/>
  <c r="O37" i="57"/>
  <c r="L86" i="1"/>
  <c r="L66" i="1"/>
  <c r="L113" i="1"/>
  <c r="L34" i="1"/>
  <c r="L110" i="1"/>
  <c r="L61" i="1"/>
  <c r="L100" i="1"/>
  <c r="L13" i="1"/>
  <c r="L74" i="1"/>
  <c r="L132" i="1"/>
  <c r="O31" i="57"/>
  <c r="L32" i="1"/>
  <c r="N61" i="57"/>
  <c r="L118" i="1"/>
  <c r="L73" i="1"/>
  <c r="L36" i="1"/>
  <c r="K36" i="1"/>
  <c r="L49" i="1" l="1"/>
  <c r="K49" i="1"/>
  <c r="L50" i="1"/>
  <c r="M52" i="1"/>
  <c r="L154" i="1"/>
  <c r="L158" i="1"/>
  <c r="M139" i="1"/>
  <c r="L133" i="1"/>
  <c r="L259" i="1" s="1"/>
  <c r="L192" i="1"/>
  <c r="L137" i="1"/>
  <c r="L138" i="1"/>
  <c r="L134" i="1"/>
  <c r="L136" i="1"/>
  <c r="L135" i="1"/>
  <c r="I89" i="169"/>
  <c r="P83" i="35"/>
  <c r="L70" i="1"/>
  <c r="L248" i="1" s="1"/>
  <c r="P91" i="57"/>
  <c r="O84" i="35"/>
  <c r="O81" i="35"/>
  <c r="O82" i="35"/>
  <c r="O92" i="57"/>
  <c r="O90" i="57"/>
  <c r="O84" i="57"/>
  <c r="P86" i="35"/>
  <c r="P87" i="35" s="1"/>
  <c r="P94" i="57"/>
  <c r="P95" i="57" s="1"/>
  <c r="Q95" i="57"/>
  <c r="O71" i="35"/>
  <c r="O73" i="35"/>
  <c r="O74" i="35" s="1"/>
  <c r="O77" i="57"/>
  <c r="O75" i="57"/>
  <c r="Q6" i="123"/>
  <c r="U6" i="123"/>
  <c r="N6" i="123"/>
  <c r="L195" i="1"/>
  <c r="L196" i="1"/>
  <c r="L200" i="1"/>
  <c r="L198" i="1"/>
  <c r="L194" i="1"/>
  <c r="L190" i="1"/>
  <c r="L197" i="1"/>
  <c r="L186" i="1"/>
  <c r="L193" i="1"/>
  <c r="L188" i="1"/>
  <c r="L199" i="1"/>
  <c r="L201" i="1"/>
  <c r="L187" i="1"/>
  <c r="L189" i="1"/>
  <c r="AE91" i="35"/>
  <c r="AD91" i="35"/>
  <c r="K185" i="1"/>
  <c r="K246" i="1"/>
  <c r="L60" i="1"/>
  <c r="L247" i="1" s="1"/>
  <c r="M202" i="1"/>
  <c r="M146" i="1"/>
  <c r="M160" i="1" s="1"/>
  <c r="L97" i="1"/>
  <c r="L252" i="1" s="1"/>
  <c r="L44" i="1"/>
  <c r="O29" i="35"/>
  <c r="O31" i="35"/>
  <c r="O32" i="35" s="1"/>
  <c r="O35" i="57"/>
  <c r="O33" i="57"/>
  <c r="L42" i="1"/>
  <c r="L105" i="1"/>
  <c r="L254" i="1" s="1"/>
  <c r="O79" i="35"/>
  <c r="O80" i="35" s="1"/>
  <c r="O69" i="57"/>
  <c r="O71" i="57"/>
  <c r="O81" i="57"/>
  <c r="O51" i="57"/>
  <c r="O53" i="57"/>
  <c r="O11" i="57"/>
  <c r="O9" i="57"/>
  <c r="O23" i="57"/>
  <c r="O63" i="57"/>
  <c r="O65" i="57"/>
  <c r="O41" i="57"/>
  <c r="O39" i="57"/>
  <c r="O45" i="57"/>
  <c r="O15" i="57"/>
  <c r="O17" i="57"/>
  <c r="O21" i="57"/>
  <c r="O47" i="57"/>
  <c r="Q91" i="35"/>
  <c r="Q92" i="35" s="1"/>
  <c r="O77" i="35"/>
  <c r="L127" i="1"/>
  <c r="L258" i="1" s="1"/>
  <c r="L78" i="1"/>
  <c r="L249" i="1" s="1"/>
  <c r="O17" i="35"/>
  <c r="O65" i="35"/>
  <c r="O67" i="35"/>
  <c r="O68" i="35" s="1"/>
  <c r="O11" i="35"/>
  <c r="O13" i="35"/>
  <c r="O14" i="35" s="1"/>
  <c r="L121" i="1"/>
  <c r="L257" i="1" s="1"/>
  <c r="L85" i="1"/>
  <c r="L250" i="1" s="1"/>
  <c r="O55" i="35"/>
  <c r="O56" i="35" s="1"/>
  <c r="L109" i="1"/>
  <c r="L255" i="1" s="1"/>
  <c r="L41" i="1"/>
  <c r="L40" i="1"/>
  <c r="O37" i="35"/>
  <c r="O38" i="35" s="1"/>
  <c r="O90" i="35"/>
  <c r="O35" i="35"/>
  <c r="O19" i="35"/>
  <c r="O20" i="35" s="1"/>
  <c r="L91" i="1"/>
  <c r="L251" i="1" s="1"/>
  <c r="O61" i="35"/>
  <c r="O62" i="35" s="1"/>
  <c r="O59" i="35"/>
  <c r="O43" i="35"/>
  <c r="O44" i="35" s="1"/>
  <c r="O41" i="35"/>
  <c r="O49" i="35"/>
  <c r="O50" i="35" s="1"/>
  <c r="L43" i="1"/>
  <c r="O47" i="35"/>
  <c r="L101" i="1"/>
  <c r="L253" i="1" s="1"/>
  <c r="O53" i="35"/>
  <c r="L115" i="1"/>
  <c r="L256" i="1" s="1"/>
  <c r="L39" i="1"/>
  <c r="O5" i="35"/>
  <c r="O7" i="35"/>
  <c r="O8" i="35" s="1"/>
  <c r="L45" i="1"/>
  <c r="L145" i="1"/>
  <c r="L260" i="1" s="1"/>
  <c r="O23" i="35"/>
  <c r="O25" i="35"/>
  <c r="O26" i="35" s="1"/>
  <c r="O29" i="57"/>
  <c r="O27" i="57"/>
  <c r="L46" i="1"/>
  <c r="L47" i="1"/>
  <c r="L48" i="1"/>
  <c r="K170" i="1"/>
  <c r="K169" i="1"/>
  <c r="O59" i="57"/>
  <c r="O57" i="57"/>
  <c r="M1" i="35"/>
  <c r="M2" i="57"/>
  <c r="K150" i="1"/>
  <c r="K57" i="1"/>
  <c r="K38" i="1"/>
  <c r="J2" i="1"/>
  <c r="K1" i="1"/>
  <c r="A7" i="123"/>
  <c r="K6" i="123"/>
  <c r="N48" i="35"/>
  <c r="N78" i="35"/>
  <c r="N52" i="57"/>
  <c r="N16" i="57"/>
  <c r="N48" i="57"/>
  <c r="N34" i="57"/>
  <c r="N54" i="57"/>
  <c r="N9" i="35"/>
  <c r="N60" i="35"/>
  <c r="K165" i="1"/>
  <c r="N36" i="57"/>
  <c r="N63" i="35"/>
  <c r="N27" i="35"/>
  <c r="N88" i="35"/>
  <c r="N18" i="57"/>
  <c r="M96" i="57"/>
  <c r="N12" i="35"/>
  <c r="N60" i="57"/>
  <c r="N54" i="35"/>
  <c r="N36" i="35"/>
  <c r="N58" i="57"/>
  <c r="N93" i="35"/>
  <c r="K161" i="1"/>
  <c r="N46" i="57"/>
  <c r="N45" i="35"/>
  <c r="M85" i="35"/>
  <c r="N62" i="57"/>
  <c r="N78" i="57"/>
  <c r="K153" i="1"/>
  <c r="N6" i="35"/>
  <c r="N82" i="57"/>
  <c r="N2" i="35"/>
  <c r="N57" i="35"/>
  <c r="N30" i="35"/>
  <c r="N68" i="57"/>
  <c r="N76" i="35"/>
  <c r="N4" i="57"/>
  <c r="N56" i="57"/>
  <c r="M93" i="35"/>
  <c r="N66" i="57"/>
  <c r="N6" i="57"/>
  <c r="N66" i="35"/>
  <c r="N5" i="57"/>
  <c r="K151" i="1"/>
  <c r="N40" i="35"/>
  <c r="N74" i="57"/>
  <c r="N3" i="57"/>
  <c r="N30" i="57"/>
  <c r="N64" i="57"/>
  <c r="N12" i="57"/>
  <c r="N70" i="57"/>
  <c r="N4" i="35"/>
  <c r="N16" i="35"/>
  <c r="N69" i="35"/>
  <c r="N96" i="57"/>
  <c r="N51" i="35"/>
  <c r="N52" i="35"/>
  <c r="N24" i="35"/>
  <c r="N34" i="35"/>
  <c r="N76" i="57"/>
  <c r="K164" i="1"/>
  <c r="N28" i="57"/>
  <c r="N32" i="57"/>
  <c r="N10" i="57"/>
  <c r="N89" i="35"/>
  <c r="N3" i="35"/>
  <c r="N40" i="57"/>
  <c r="N75" i="35"/>
  <c r="N72" i="35"/>
  <c r="N18" i="35"/>
  <c r="N33" i="35"/>
  <c r="K156" i="1"/>
  <c r="K162" i="1"/>
  <c r="N15" i="35"/>
  <c r="N28" i="35"/>
  <c r="N21" i="35"/>
  <c r="N8" i="57"/>
  <c r="K167" i="1"/>
  <c r="N10" i="35"/>
  <c r="N58" i="35"/>
  <c r="N26" i="57"/>
  <c r="N24" i="57"/>
  <c r="N70" i="35"/>
  <c r="O93" i="57"/>
  <c r="N20" i="57"/>
  <c r="J157" i="1"/>
  <c r="N50" i="57"/>
  <c r="N80" i="57"/>
  <c r="N42" i="57"/>
  <c r="N46" i="35"/>
  <c r="O88" i="57"/>
  <c r="N38" i="57"/>
  <c r="N42" i="35"/>
  <c r="K157" i="1"/>
  <c r="K155" i="1"/>
  <c r="M63" i="35"/>
  <c r="N22" i="35"/>
  <c r="N14" i="57"/>
  <c r="N72" i="57"/>
  <c r="N64" i="35"/>
  <c r="N44" i="57"/>
  <c r="K66" i="1"/>
  <c r="J32" i="1"/>
  <c r="K94" i="1"/>
  <c r="K4" i="1"/>
  <c r="K144" i="1"/>
  <c r="K7" i="1"/>
  <c r="K128" i="1"/>
  <c r="K29" i="1"/>
  <c r="K130" i="1"/>
  <c r="K118" i="1"/>
  <c r="K92" i="1"/>
  <c r="K131" i="1"/>
  <c r="O43" i="57"/>
  <c r="N13" i="57"/>
  <c r="K107" i="1"/>
  <c r="K142" i="1"/>
  <c r="K84" i="1"/>
  <c r="N55" i="57"/>
  <c r="K102" i="1"/>
  <c r="L33" i="1"/>
  <c r="K86" i="1"/>
  <c r="K79" i="1"/>
  <c r="K22" i="1"/>
  <c r="K100" i="1"/>
  <c r="K18" i="1"/>
  <c r="K141" i="1"/>
  <c r="K108" i="1"/>
  <c r="K64" i="1"/>
  <c r="K26" i="1"/>
  <c r="J28" i="1"/>
  <c r="K10" i="1"/>
  <c r="K122" i="1"/>
  <c r="L35" i="1"/>
  <c r="K140" i="1"/>
  <c r="K104" i="1"/>
  <c r="K65" i="1"/>
  <c r="K110" i="1"/>
  <c r="K15" i="1"/>
  <c r="K81" i="1"/>
  <c r="K9" i="1"/>
  <c r="K87" i="1"/>
  <c r="K35" i="1"/>
  <c r="K129" i="1"/>
  <c r="K75" i="1"/>
  <c r="O85" i="57"/>
  <c r="K88" i="1"/>
  <c r="K116" i="1"/>
  <c r="J74" i="1"/>
  <c r="K103" i="1"/>
  <c r="K74" i="1"/>
  <c r="K23" i="1"/>
  <c r="K76" i="1"/>
  <c r="K24" i="1"/>
  <c r="K62" i="1"/>
  <c r="O49" i="57"/>
  <c r="K117" i="1"/>
  <c r="O86" i="57"/>
  <c r="K93" i="1"/>
  <c r="K120" i="1"/>
  <c r="K58" i="1"/>
  <c r="N25" i="57"/>
  <c r="K123" i="1"/>
  <c r="K3" i="1"/>
  <c r="K59" i="1"/>
  <c r="N37" i="57"/>
  <c r="O7" i="57"/>
  <c r="K80" i="1"/>
  <c r="K106" i="1"/>
  <c r="K132" i="1"/>
  <c r="N31" i="57"/>
  <c r="K5" i="1"/>
  <c r="K90" i="1"/>
  <c r="K20" i="1"/>
  <c r="K14" i="1"/>
  <c r="K16" i="1"/>
  <c r="K13" i="1"/>
  <c r="K72" i="1"/>
  <c r="K77" i="1"/>
  <c r="K98" i="1"/>
  <c r="K125" i="1"/>
  <c r="K67" i="1"/>
  <c r="J30" i="1"/>
  <c r="K6" i="1"/>
  <c r="K82" i="1"/>
  <c r="K124" i="1"/>
  <c r="L29" i="1"/>
  <c r="K61" i="1"/>
  <c r="K25" i="1"/>
  <c r="K11" i="1"/>
  <c r="K12" i="1"/>
  <c r="K31" i="1"/>
  <c r="K19" i="1"/>
  <c r="K119" i="1"/>
  <c r="K99" i="1"/>
  <c r="O79" i="57"/>
  <c r="K113" i="1"/>
  <c r="K143" i="1"/>
  <c r="K111" i="1"/>
  <c r="K21" i="1"/>
  <c r="K68" i="1"/>
  <c r="K96" i="1"/>
  <c r="K89" i="1"/>
  <c r="L31" i="1"/>
  <c r="K71" i="1"/>
  <c r="J34" i="1"/>
  <c r="K33" i="1"/>
  <c r="K17" i="1"/>
  <c r="K126" i="1"/>
  <c r="K83" i="1"/>
  <c r="N73" i="57"/>
  <c r="K8" i="1"/>
  <c r="K95" i="1"/>
  <c r="K112" i="1"/>
  <c r="K73" i="1"/>
  <c r="K114" i="1"/>
  <c r="K63" i="1"/>
  <c r="N19" i="57"/>
  <c r="K27" i="1"/>
  <c r="L51" i="1" l="1"/>
  <c r="L159" i="1"/>
  <c r="L53" i="1"/>
  <c r="J48" i="1"/>
  <c r="J49" i="1"/>
  <c r="K51" i="1"/>
  <c r="K50" i="1"/>
  <c r="K133" i="1"/>
  <c r="K259" i="1" s="1"/>
  <c r="K192" i="1"/>
  <c r="K137" i="1"/>
  <c r="K138" i="1"/>
  <c r="K135" i="1"/>
  <c r="K134" i="1"/>
  <c r="K136" i="1"/>
  <c r="O87" i="57"/>
  <c r="O91" i="57"/>
  <c r="O83" i="35"/>
  <c r="K70" i="1"/>
  <c r="K248" i="1" s="1"/>
  <c r="N92" i="57"/>
  <c r="N90" i="57"/>
  <c r="N84" i="57"/>
  <c r="N82" i="35"/>
  <c r="O94" i="57"/>
  <c r="N84" i="35"/>
  <c r="N81" i="35"/>
  <c r="O86" i="35"/>
  <c r="O87" i="35" s="1"/>
  <c r="O89" i="57"/>
  <c r="N71" i="35"/>
  <c r="N73" i="35"/>
  <c r="N74" i="35" s="1"/>
  <c r="N75" i="57"/>
  <c r="N77" i="57"/>
  <c r="Q7" i="123"/>
  <c r="U7" i="123"/>
  <c r="N7" i="123"/>
  <c r="K198" i="1"/>
  <c r="K190" i="1"/>
  <c r="K200" i="1"/>
  <c r="K187" i="1"/>
  <c r="K188" i="1"/>
  <c r="K193" i="1"/>
  <c r="K197" i="1"/>
  <c r="K189" i="1"/>
  <c r="K199" i="1"/>
  <c r="K196" i="1"/>
  <c r="K201" i="1"/>
  <c r="K194" i="1"/>
  <c r="K186" i="1"/>
  <c r="K195" i="1"/>
  <c r="L139" i="1"/>
  <c r="K158" i="1"/>
  <c r="K154" i="1"/>
  <c r="N63" i="57"/>
  <c r="N39" i="57"/>
  <c r="N9" i="57"/>
  <c r="J185" i="1"/>
  <c r="J246" i="1"/>
  <c r="K60" i="1"/>
  <c r="L202" i="1"/>
  <c r="N11" i="57"/>
  <c r="K45" i="1"/>
  <c r="N51" i="57"/>
  <c r="N17" i="57"/>
  <c r="K39" i="1"/>
  <c r="N41" i="57"/>
  <c r="N53" i="57"/>
  <c r="N81" i="57"/>
  <c r="N15" i="57"/>
  <c r="K97" i="1"/>
  <c r="K252" i="1" s="1"/>
  <c r="N45" i="57"/>
  <c r="N47" i="57"/>
  <c r="N21" i="57"/>
  <c r="K44" i="1"/>
  <c r="N23" i="57"/>
  <c r="N59" i="57"/>
  <c r="N57" i="57"/>
  <c r="N71" i="57"/>
  <c r="N69" i="57"/>
  <c r="N65" i="57"/>
  <c r="N29" i="35"/>
  <c r="N31" i="35"/>
  <c r="N32" i="35" s="1"/>
  <c r="N33" i="57"/>
  <c r="N35" i="57"/>
  <c r="N79" i="35"/>
  <c r="N80" i="35" s="1"/>
  <c r="N53" i="35"/>
  <c r="N55" i="35"/>
  <c r="N56" i="35" s="1"/>
  <c r="N65" i="35"/>
  <c r="N67" i="35"/>
  <c r="N68" i="35" s="1"/>
  <c r="N43" i="35"/>
  <c r="N44" i="35" s="1"/>
  <c r="N41" i="35"/>
  <c r="N37" i="35"/>
  <c r="N38" i="35" s="1"/>
  <c r="N35" i="35"/>
  <c r="N59" i="35"/>
  <c r="N61" i="35"/>
  <c r="N62" i="35" s="1"/>
  <c r="N47" i="35"/>
  <c r="N11" i="35"/>
  <c r="N49" i="35"/>
  <c r="N50" i="35" s="1"/>
  <c r="N77" i="35"/>
  <c r="O83" i="57"/>
  <c r="L146" i="1"/>
  <c r="L261" i="1"/>
  <c r="N90" i="35"/>
  <c r="N13" i="35"/>
  <c r="N14" i="35" s="1"/>
  <c r="N17" i="35"/>
  <c r="N19" i="35"/>
  <c r="N20" i="35" s="1"/>
  <c r="K43" i="1"/>
  <c r="K91" i="1"/>
  <c r="K251" i="1" s="1"/>
  <c r="N5" i="35"/>
  <c r="N7" i="35"/>
  <c r="N8" i="35" s="1"/>
  <c r="P91" i="35"/>
  <c r="P92" i="35" s="1"/>
  <c r="N23" i="35"/>
  <c r="N25" i="35"/>
  <c r="N26" i="35" s="1"/>
  <c r="N27" i="57"/>
  <c r="N29" i="57"/>
  <c r="K109" i="1"/>
  <c r="K255" i="1" s="1"/>
  <c r="K40" i="1"/>
  <c r="K41" i="1"/>
  <c r="K121" i="1"/>
  <c r="K257" i="1" s="1"/>
  <c r="K101" i="1"/>
  <c r="K253" i="1" s="1"/>
  <c r="K105" i="1"/>
  <c r="K254" i="1" s="1"/>
  <c r="K42" i="1"/>
  <c r="K247" i="1"/>
  <c r="K145" i="1"/>
  <c r="K260" i="1" s="1"/>
  <c r="K115" i="1"/>
  <c r="K256" i="1" s="1"/>
  <c r="K78" i="1"/>
  <c r="K249" i="1" s="1"/>
  <c r="K85" i="1"/>
  <c r="K250" i="1" s="1"/>
  <c r="K127" i="1"/>
  <c r="K258" i="1" s="1"/>
  <c r="K48" i="1"/>
  <c r="K47" i="1"/>
  <c r="L52" i="1"/>
  <c r="K46" i="1"/>
  <c r="J170" i="1"/>
  <c r="J169" i="1"/>
  <c r="L1" i="35"/>
  <c r="L2" i="57"/>
  <c r="J57" i="1"/>
  <c r="J150" i="1"/>
  <c r="J38" i="1"/>
  <c r="I2" i="1"/>
  <c r="J1" i="1"/>
  <c r="A8" i="123"/>
  <c r="K7" i="123"/>
  <c r="I152" i="1"/>
  <c r="M6" i="35"/>
  <c r="M58" i="57"/>
  <c r="M78" i="57"/>
  <c r="J165" i="1"/>
  <c r="M60" i="57"/>
  <c r="M64" i="57"/>
  <c r="M45" i="35"/>
  <c r="M51" i="35"/>
  <c r="J155" i="1"/>
  <c r="J156" i="1"/>
  <c r="M18" i="57"/>
  <c r="M54" i="57"/>
  <c r="M24" i="35"/>
  <c r="M82" i="57"/>
  <c r="M46" i="35"/>
  <c r="M12" i="57"/>
  <c r="M38" i="57"/>
  <c r="M4" i="35"/>
  <c r="M40" i="35"/>
  <c r="M3" i="57"/>
  <c r="M69" i="35"/>
  <c r="M28" i="57"/>
  <c r="M39" i="35"/>
  <c r="M26" i="57"/>
  <c r="M30" i="57"/>
  <c r="M27" i="35"/>
  <c r="M15" i="35"/>
  <c r="M42" i="57"/>
  <c r="M70" i="35"/>
  <c r="J161" i="1"/>
  <c r="M16" i="57"/>
  <c r="M4" i="57"/>
  <c r="M52" i="57"/>
  <c r="J151" i="1"/>
  <c r="M68" i="57"/>
  <c r="M66" i="57"/>
  <c r="M21" i="35"/>
  <c r="M10" i="35"/>
  <c r="M70" i="57"/>
  <c r="M32" i="57"/>
  <c r="L96" i="57"/>
  <c r="M50" i="57"/>
  <c r="M10" i="57"/>
  <c r="M33" i="35"/>
  <c r="M54" i="35"/>
  <c r="M78" i="35"/>
  <c r="J164" i="1"/>
  <c r="M76" i="35"/>
  <c r="M18" i="35"/>
  <c r="M64" i="35"/>
  <c r="I162" i="1"/>
  <c r="M44" i="57"/>
  <c r="M56" i="57"/>
  <c r="M80" i="57"/>
  <c r="J167" i="1"/>
  <c r="M89" i="35"/>
  <c r="M30" i="35"/>
  <c r="M8" i="57"/>
  <c r="M16" i="35"/>
  <c r="M57" i="35"/>
  <c r="M34" i="57"/>
  <c r="M72" i="57"/>
  <c r="M42" i="35"/>
  <c r="M14" i="57"/>
  <c r="M36" i="57"/>
  <c r="M28" i="35"/>
  <c r="J162" i="1"/>
  <c r="M40" i="57"/>
  <c r="L85" i="35"/>
  <c r="M74" i="57"/>
  <c r="M48" i="35"/>
  <c r="M22" i="57"/>
  <c r="M60" i="35"/>
  <c r="N88" i="57"/>
  <c r="M46" i="57"/>
  <c r="M22" i="35"/>
  <c r="M3" i="35"/>
  <c r="M75" i="35"/>
  <c r="J153" i="1"/>
  <c r="M76" i="57"/>
  <c r="M62" i="57"/>
  <c r="M20" i="57"/>
  <c r="M52" i="35"/>
  <c r="M48" i="57"/>
  <c r="N93" i="57"/>
  <c r="M72" i="35"/>
  <c r="M58" i="35"/>
  <c r="J152" i="1"/>
  <c r="M66" i="35"/>
  <c r="M34" i="35"/>
  <c r="M6" i="57"/>
  <c r="M9" i="35"/>
  <c r="M5" i="57"/>
  <c r="M36" i="35"/>
  <c r="M12" i="35"/>
  <c r="M88" i="35"/>
  <c r="M2" i="35"/>
  <c r="M24" i="57"/>
  <c r="J26" i="1"/>
  <c r="J7" i="1"/>
  <c r="J94" i="1"/>
  <c r="N43" i="57"/>
  <c r="M55" i="57"/>
  <c r="M67" i="57"/>
  <c r="J132" i="1"/>
  <c r="J77" i="1"/>
  <c r="M25" i="57"/>
  <c r="J143" i="1"/>
  <c r="N79" i="57"/>
  <c r="J122" i="1"/>
  <c r="J24" i="1"/>
  <c r="J13" i="1"/>
  <c r="J104" i="1"/>
  <c r="M31" i="57"/>
  <c r="J58" i="1"/>
  <c r="J95" i="1"/>
  <c r="J23" i="1"/>
  <c r="N49" i="57"/>
  <c r="J22" i="1"/>
  <c r="J19" i="1"/>
  <c r="J71" i="1"/>
  <c r="J114" i="1"/>
  <c r="J18" i="1"/>
  <c r="J15" i="1"/>
  <c r="J10" i="1"/>
  <c r="J81" i="1"/>
  <c r="J142" i="1"/>
  <c r="J3" i="1"/>
  <c r="J128" i="1"/>
  <c r="J103" i="1"/>
  <c r="J80" i="1"/>
  <c r="J6" i="1"/>
  <c r="J92" i="1"/>
  <c r="J8" i="1"/>
  <c r="J67" i="1"/>
  <c r="J35" i="1"/>
  <c r="J75" i="1"/>
  <c r="J120" i="1"/>
  <c r="I27" i="1"/>
  <c r="J29" i="1"/>
  <c r="J20" i="1"/>
  <c r="J66" i="1"/>
  <c r="J93" i="1"/>
  <c r="M37" i="57"/>
  <c r="J111" i="1"/>
  <c r="N86" i="57"/>
  <c r="M13" i="57"/>
  <c r="N85" i="57"/>
  <c r="J112" i="1"/>
  <c r="J90" i="1"/>
  <c r="J126" i="1"/>
  <c r="J84" i="1"/>
  <c r="M19" i="57"/>
  <c r="J4" i="1"/>
  <c r="J73" i="1"/>
  <c r="J63" i="1"/>
  <c r="J79" i="1"/>
  <c r="M61" i="57"/>
  <c r="J21" i="1"/>
  <c r="J27" i="1"/>
  <c r="J59" i="1"/>
  <c r="J98" i="1"/>
  <c r="J124" i="1"/>
  <c r="J76" i="1"/>
  <c r="J68" i="1"/>
  <c r="J118" i="1"/>
  <c r="J89" i="1"/>
  <c r="J87" i="1"/>
  <c r="J131" i="1"/>
  <c r="J130" i="1"/>
  <c r="J110" i="1"/>
  <c r="J17" i="1"/>
  <c r="J116" i="1"/>
  <c r="J72" i="1"/>
  <c r="J62" i="1"/>
  <c r="J144" i="1"/>
  <c r="I77" i="1"/>
  <c r="J108" i="1"/>
  <c r="J119" i="1"/>
  <c r="J96" i="1"/>
  <c r="J100" i="1"/>
  <c r="J107" i="1"/>
  <c r="J16" i="1"/>
  <c r="I120" i="1"/>
  <c r="M73" i="57"/>
  <c r="J123" i="1"/>
  <c r="J5" i="1"/>
  <c r="J25" i="1"/>
  <c r="J117" i="1"/>
  <c r="J129" i="1"/>
  <c r="I34" i="1"/>
  <c r="J141" i="1"/>
  <c r="J33" i="1"/>
  <c r="J11" i="1"/>
  <c r="J102" i="1"/>
  <c r="J14" i="1"/>
  <c r="J113" i="1"/>
  <c r="J69" i="1"/>
  <c r="J99" i="1"/>
  <c r="J82" i="1"/>
  <c r="J88" i="1"/>
  <c r="N7" i="57"/>
  <c r="J83" i="1"/>
  <c r="J65" i="1"/>
  <c r="J12" i="1"/>
  <c r="J61" i="1"/>
  <c r="I18" i="1"/>
  <c r="J140" i="1"/>
  <c r="J64" i="1"/>
  <c r="I63" i="1"/>
  <c r="J86" i="1"/>
  <c r="J106" i="1"/>
  <c r="J9" i="1"/>
  <c r="J125" i="1"/>
  <c r="J31" i="1"/>
  <c r="I74" i="1"/>
  <c r="J36" i="1"/>
  <c r="L160" i="1" l="1"/>
  <c r="K53" i="1"/>
  <c r="I49" i="1"/>
  <c r="J51" i="1"/>
  <c r="J50" i="1"/>
  <c r="J192" i="1"/>
  <c r="J133" i="1"/>
  <c r="J259" i="1" s="1"/>
  <c r="J136" i="1"/>
  <c r="J135" i="1"/>
  <c r="J138" i="1"/>
  <c r="J134" i="1"/>
  <c r="J137" i="1"/>
  <c r="N87" i="57"/>
  <c r="N89" i="57" s="1"/>
  <c r="N83" i="35"/>
  <c r="J70" i="1"/>
  <c r="J248" i="1" s="1"/>
  <c r="N91" i="57"/>
  <c r="M84" i="35"/>
  <c r="M82" i="35"/>
  <c r="M81" i="35"/>
  <c r="M92" i="57"/>
  <c r="M90" i="57"/>
  <c r="M84" i="57"/>
  <c r="N94" i="57"/>
  <c r="N86" i="35"/>
  <c r="N87" i="35" s="1"/>
  <c r="O95" i="57"/>
  <c r="M71" i="35"/>
  <c r="M73" i="35"/>
  <c r="M74" i="35" s="1"/>
  <c r="M77" i="57"/>
  <c r="M75" i="57"/>
  <c r="Q8" i="123"/>
  <c r="U8" i="123"/>
  <c r="N8" i="123"/>
  <c r="J194" i="1"/>
  <c r="J196" i="1"/>
  <c r="J195" i="1"/>
  <c r="J189" i="1"/>
  <c r="J190" i="1"/>
  <c r="J188" i="1"/>
  <c r="J200" i="1"/>
  <c r="J199" i="1"/>
  <c r="J186" i="1"/>
  <c r="J193" i="1"/>
  <c r="J198" i="1"/>
  <c r="J187" i="1"/>
  <c r="J201" i="1"/>
  <c r="J197" i="1"/>
  <c r="K139" i="1"/>
  <c r="K159" i="1"/>
  <c r="J158" i="1"/>
  <c r="J154" i="1"/>
  <c r="N83" i="57"/>
  <c r="I185" i="1"/>
  <c r="I246" i="1"/>
  <c r="J60" i="1"/>
  <c r="J247" i="1" s="1"/>
  <c r="K202" i="1"/>
  <c r="J97" i="1"/>
  <c r="J252" i="1" s="1"/>
  <c r="J44" i="1"/>
  <c r="M29" i="35"/>
  <c r="M31" i="35"/>
  <c r="M32" i="35" s="1"/>
  <c r="M35" i="57"/>
  <c r="M33" i="57"/>
  <c r="M79" i="35"/>
  <c r="M80" i="35" s="1"/>
  <c r="L147" i="1"/>
  <c r="J45" i="1"/>
  <c r="J42" i="1"/>
  <c r="J43" i="1"/>
  <c r="M49" i="35"/>
  <c r="M50" i="35" s="1"/>
  <c r="M47" i="35"/>
  <c r="J127" i="1"/>
  <c r="J258" i="1" s="1"/>
  <c r="J115" i="1"/>
  <c r="J256" i="1" s="1"/>
  <c r="J121" i="1"/>
  <c r="J257" i="1" s="1"/>
  <c r="J78" i="1"/>
  <c r="J249" i="1" s="1"/>
  <c r="J85" i="1"/>
  <c r="J250" i="1" s="1"/>
  <c r="J109" i="1"/>
  <c r="J255" i="1" s="1"/>
  <c r="J39" i="1"/>
  <c r="J41" i="1"/>
  <c r="J91" i="1"/>
  <c r="J251" i="1" s="1"/>
  <c r="M11" i="35"/>
  <c r="M41" i="35"/>
  <c r="M43" i="35"/>
  <c r="M44" i="35" s="1"/>
  <c r="J40" i="1"/>
  <c r="J145" i="1"/>
  <c r="J260" i="1" s="1"/>
  <c r="J101" i="1"/>
  <c r="J253" i="1" s="1"/>
  <c r="J105" i="1"/>
  <c r="J254" i="1" s="1"/>
  <c r="M51" i="57"/>
  <c r="M45" i="57"/>
  <c r="O91" i="35"/>
  <c r="O92" i="35" s="1"/>
  <c r="M23" i="35"/>
  <c r="M25" i="35"/>
  <c r="M26" i="35" s="1"/>
  <c r="M29" i="57"/>
  <c r="M27" i="57"/>
  <c r="M53" i="57"/>
  <c r="M39" i="57"/>
  <c r="M41" i="57"/>
  <c r="M57" i="57"/>
  <c r="M59" i="57"/>
  <c r="M21" i="57"/>
  <c r="M23" i="57"/>
  <c r="M71" i="57"/>
  <c r="M69" i="57"/>
  <c r="M15" i="57"/>
  <c r="M17" i="57"/>
  <c r="M65" i="57"/>
  <c r="M63" i="57"/>
  <c r="M9" i="57"/>
  <c r="M47" i="57"/>
  <c r="M81" i="57"/>
  <c r="M11" i="57"/>
  <c r="M90" i="35"/>
  <c r="K261" i="1"/>
  <c r="K146" i="1"/>
  <c r="K52" i="1"/>
  <c r="J46" i="1"/>
  <c r="J47" i="1"/>
  <c r="I170" i="1"/>
  <c r="I169" i="1"/>
  <c r="M13" i="35"/>
  <c r="M14" i="35" s="1"/>
  <c r="M19" i="35"/>
  <c r="M20" i="35" s="1"/>
  <c r="M17" i="35"/>
  <c r="M61" i="35"/>
  <c r="M62" i="35" s="1"/>
  <c r="M59" i="35"/>
  <c r="M67" i="35"/>
  <c r="M68" i="35" s="1"/>
  <c r="M65" i="35"/>
  <c r="M5" i="35"/>
  <c r="M7" i="35"/>
  <c r="M8" i="35" s="1"/>
  <c r="M37" i="35"/>
  <c r="M38" i="35" s="1"/>
  <c r="M35" i="35"/>
  <c r="M55" i="35"/>
  <c r="M56" i="35" s="1"/>
  <c r="M53" i="35"/>
  <c r="M77" i="35"/>
  <c r="K1" i="35"/>
  <c r="K2" i="57"/>
  <c r="I150" i="1"/>
  <c r="I57" i="1"/>
  <c r="I38" i="1"/>
  <c r="H2" i="1"/>
  <c r="I1" i="1"/>
  <c r="A9" i="123"/>
  <c r="K8" i="123"/>
  <c r="L72" i="57"/>
  <c r="L40" i="35"/>
  <c r="L48" i="35"/>
  <c r="L12" i="35"/>
  <c r="L54" i="35"/>
  <c r="L89" i="35"/>
  <c r="L66" i="57"/>
  <c r="L58" i="57"/>
  <c r="L38" i="57"/>
  <c r="L14" i="57"/>
  <c r="L44" i="57"/>
  <c r="L78" i="57"/>
  <c r="L2" i="35"/>
  <c r="L18" i="57"/>
  <c r="L70" i="57"/>
  <c r="L82" i="57"/>
  <c r="I164" i="1"/>
  <c r="K85" i="35"/>
  <c r="L46" i="57"/>
  <c r="L10" i="57"/>
  <c r="L18" i="35"/>
  <c r="L16" i="57"/>
  <c r="L66" i="35"/>
  <c r="L58" i="35"/>
  <c r="I161" i="1"/>
  <c r="L69" i="35"/>
  <c r="L36" i="57"/>
  <c r="L45" i="35"/>
  <c r="L46" i="35"/>
  <c r="K96" i="57"/>
  <c r="L88" i="35"/>
  <c r="L33" i="35"/>
  <c r="L56" i="57"/>
  <c r="H161" i="1"/>
  <c r="M93" i="57"/>
  <c r="L52" i="35"/>
  <c r="I151" i="1"/>
  <c r="L4" i="57"/>
  <c r="L80" i="57"/>
  <c r="L76" i="35"/>
  <c r="L39" i="35"/>
  <c r="L3" i="57"/>
  <c r="L40" i="57"/>
  <c r="L76" i="57"/>
  <c r="I165" i="1"/>
  <c r="L57" i="35"/>
  <c r="L6" i="57"/>
  <c r="I157" i="1"/>
  <c r="I155" i="1"/>
  <c r="L34" i="57"/>
  <c r="L42" i="35"/>
  <c r="L27" i="35"/>
  <c r="L4" i="35"/>
  <c r="L10" i="35"/>
  <c r="L54" i="57"/>
  <c r="K82" i="57"/>
  <c r="L63" i="35"/>
  <c r="L75" i="35"/>
  <c r="L50" i="57"/>
  <c r="L24" i="35"/>
  <c r="L12" i="57"/>
  <c r="L22" i="35"/>
  <c r="M88" i="57"/>
  <c r="I156" i="1"/>
  <c r="L8" i="57"/>
  <c r="L36" i="35"/>
  <c r="L48" i="57"/>
  <c r="L28" i="35"/>
  <c r="L51" i="35"/>
  <c r="L6" i="35"/>
  <c r="L26" i="57"/>
  <c r="L34" i="35"/>
  <c r="L60" i="57"/>
  <c r="L15" i="35"/>
  <c r="L78" i="35"/>
  <c r="L64" i="57"/>
  <c r="L30" i="57"/>
  <c r="L9" i="35"/>
  <c r="L70" i="35"/>
  <c r="L64" i="35"/>
  <c r="L5" i="57"/>
  <c r="L68" i="57"/>
  <c r="L20" i="57"/>
  <c r="L62" i="57"/>
  <c r="L72" i="35"/>
  <c r="L42" i="57"/>
  <c r="L16" i="35"/>
  <c r="L52" i="57"/>
  <c r="H156" i="1"/>
  <c r="H153" i="1"/>
  <c r="L24" i="57"/>
  <c r="L74" i="57"/>
  <c r="I167" i="1"/>
  <c r="L93" i="35"/>
  <c r="I153" i="1"/>
  <c r="L30" i="35"/>
  <c r="L32" i="57"/>
  <c r="L21" i="35"/>
  <c r="L3" i="35"/>
  <c r="L22" i="57"/>
  <c r="L28" i="57"/>
  <c r="L60" i="35"/>
  <c r="H32" i="1"/>
  <c r="I113" i="1"/>
  <c r="H74" i="1"/>
  <c r="I89" i="1"/>
  <c r="I84" i="1"/>
  <c r="L25" i="57"/>
  <c r="I30" i="1"/>
  <c r="I140" i="1"/>
  <c r="I108" i="1"/>
  <c r="I88" i="1"/>
  <c r="I94" i="1"/>
  <c r="I82" i="1"/>
  <c r="I28" i="1"/>
  <c r="I21" i="1"/>
  <c r="I106" i="1"/>
  <c r="I22" i="1"/>
  <c r="I12" i="1"/>
  <c r="I132" i="1"/>
  <c r="I11" i="1"/>
  <c r="L13" i="57"/>
  <c r="I102" i="1"/>
  <c r="I80" i="1"/>
  <c r="I71" i="1"/>
  <c r="L67" i="57"/>
  <c r="L61" i="57"/>
  <c r="I8" i="1"/>
  <c r="L55" i="57"/>
  <c r="I90" i="1"/>
  <c r="M43" i="57"/>
  <c r="I23" i="1"/>
  <c r="L73" i="57"/>
  <c r="I119" i="1"/>
  <c r="M85" i="57"/>
  <c r="I126" i="1"/>
  <c r="I59" i="1"/>
  <c r="I7" i="1"/>
  <c r="I98" i="1"/>
  <c r="I144" i="1"/>
  <c r="I79" i="1"/>
  <c r="I67" i="1"/>
  <c r="I130" i="1"/>
  <c r="I58" i="1"/>
  <c r="I6" i="1"/>
  <c r="I69" i="1"/>
  <c r="H28" i="1"/>
  <c r="I123" i="1"/>
  <c r="I14" i="1"/>
  <c r="I75" i="1"/>
  <c r="I93" i="1"/>
  <c r="I122" i="1"/>
  <c r="I87" i="1"/>
  <c r="I111" i="1"/>
  <c r="I72" i="1"/>
  <c r="I100" i="1"/>
  <c r="I124" i="1"/>
  <c r="I116" i="1"/>
  <c r="I3" i="1"/>
  <c r="I83" i="1"/>
  <c r="I16" i="1"/>
  <c r="L37" i="57"/>
  <c r="M49" i="57"/>
  <c r="I17" i="1"/>
  <c r="I118" i="1"/>
  <c r="I81" i="1"/>
  <c r="I13" i="1"/>
  <c r="I86" i="1"/>
  <c r="M79" i="57"/>
  <c r="I10" i="1"/>
  <c r="I110" i="1"/>
  <c r="I107" i="1"/>
  <c r="I64" i="1"/>
  <c r="I61" i="1"/>
  <c r="I131" i="1"/>
  <c r="I73" i="1"/>
  <c r="I24" i="1"/>
  <c r="I68" i="1"/>
  <c r="I99" i="1"/>
  <c r="M7" i="57"/>
  <c r="I103" i="1"/>
  <c r="I9" i="1"/>
  <c r="I104" i="1"/>
  <c r="I62" i="1"/>
  <c r="H34" i="1"/>
  <c r="I129" i="1"/>
  <c r="I114" i="1"/>
  <c r="I76" i="1"/>
  <c r="I66" i="1"/>
  <c r="I117" i="1"/>
  <c r="I112" i="1"/>
  <c r="I141" i="1"/>
  <c r="I142" i="1"/>
  <c r="I20" i="1"/>
  <c r="I15" i="1"/>
  <c r="I4" i="1"/>
  <c r="L19" i="57"/>
  <c r="I5" i="1"/>
  <c r="L31" i="57"/>
  <c r="I19" i="1"/>
  <c r="I143" i="1"/>
  <c r="H30" i="1"/>
  <c r="I125" i="1"/>
  <c r="I32" i="1"/>
  <c r="M86" i="57"/>
  <c r="I95" i="1"/>
  <c r="I92" i="1"/>
  <c r="I26" i="1"/>
  <c r="I128" i="1"/>
  <c r="I96" i="1"/>
  <c r="I65" i="1"/>
  <c r="I25" i="1"/>
  <c r="I36" i="1"/>
  <c r="J53" i="1" l="1"/>
  <c r="H49" i="1"/>
  <c r="I50" i="1"/>
  <c r="I192" i="1"/>
  <c r="I133" i="1"/>
  <c r="I259" i="1" s="1"/>
  <c r="I135" i="1"/>
  <c r="I136" i="1"/>
  <c r="I138" i="1"/>
  <c r="I134" i="1"/>
  <c r="I137" i="1"/>
  <c r="I196" i="1"/>
  <c r="K160" i="1"/>
  <c r="M87" i="57"/>
  <c r="M89" i="57" s="1"/>
  <c r="I70" i="1"/>
  <c r="I248" i="1" s="1"/>
  <c r="M91" i="57"/>
  <c r="M86" i="35"/>
  <c r="M87" i="35" s="1"/>
  <c r="L81" i="35"/>
  <c r="L92" i="57"/>
  <c r="L90" i="57"/>
  <c r="L84" i="57"/>
  <c r="L82" i="35"/>
  <c r="M94" i="57"/>
  <c r="L84" i="35"/>
  <c r="N95" i="57"/>
  <c r="M83" i="35"/>
  <c r="L71" i="35"/>
  <c r="L73" i="35"/>
  <c r="L74" i="35" s="1"/>
  <c r="L77" i="57"/>
  <c r="L75" i="57"/>
  <c r="Q9" i="123"/>
  <c r="U9" i="123"/>
  <c r="N9" i="123"/>
  <c r="I197" i="1"/>
  <c r="I189" i="1"/>
  <c r="I200" i="1"/>
  <c r="I188" i="1"/>
  <c r="I194" i="1"/>
  <c r="I193" i="1"/>
  <c r="I195" i="1"/>
  <c r="I199" i="1"/>
  <c r="I190" i="1"/>
  <c r="I187" i="1"/>
  <c r="I198" i="1"/>
  <c r="I186" i="1"/>
  <c r="I201" i="1"/>
  <c r="J139" i="1"/>
  <c r="J159" i="1"/>
  <c r="I154" i="1"/>
  <c r="I158" i="1"/>
  <c r="I43" i="1"/>
  <c r="I121" i="1"/>
  <c r="I257" i="1" s="1"/>
  <c r="I39" i="1"/>
  <c r="I42" i="1"/>
  <c r="I145" i="1"/>
  <c r="I260" i="1" s="1"/>
  <c r="H185" i="1"/>
  <c r="H246" i="1"/>
  <c r="I60" i="1"/>
  <c r="I247" i="1" s="1"/>
  <c r="I78" i="1"/>
  <c r="I249" i="1" s="1"/>
  <c r="J202" i="1"/>
  <c r="I44" i="1"/>
  <c r="I105" i="1"/>
  <c r="I254" i="1" s="1"/>
  <c r="L11" i="35"/>
  <c r="I41" i="1"/>
  <c r="I109" i="1"/>
  <c r="I255" i="1" s="1"/>
  <c r="L13" i="35"/>
  <c r="L14" i="35" s="1"/>
  <c r="I127" i="1"/>
  <c r="I258" i="1" s="1"/>
  <c r="I40" i="1"/>
  <c r="I85" i="1"/>
  <c r="I250" i="1" s="1"/>
  <c r="I115" i="1"/>
  <c r="I256" i="1" s="1"/>
  <c r="I91" i="1"/>
  <c r="I251" i="1" s="1"/>
  <c r="I101" i="1"/>
  <c r="I253" i="1" s="1"/>
  <c r="I97" i="1"/>
  <c r="I252" i="1" s="1"/>
  <c r="I45" i="1"/>
  <c r="L29" i="35"/>
  <c r="L31" i="35"/>
  <c r="L32" i="35" s="1"/>
  <c r="L35" i="57"/>
  <c r="L33" i="57"/>
  <c r="L61" i="35"/>
  <c r="L62" i="35" s="1"/>
  <c r="L59" i="35"/>
  <c r="L37" i="35"/>
  <c r="L38" i="35" s="1"/>
  <c r="L35" i="35"/>
  <c r="L79" i="35"/>
  <c r="L80" i="35" s="1"/>
  <c r="L17" i="35"/>
  <c r="L19" i="35"/>
  <c r="L20" i="35" s="1"/>
  <c r="L69" i="57"/>
  <c r="L90" i="35"/>
  <c r="L43" i="35"/>
  <c r="L44" i="35" s="1"/>
  <c r="L41" i="35"/>
  <c r="L5" i="35"/>
  <c r="L7" i="35"/>
  <c r="L8" i="35" s="1"/>
  <c r="L77" i="35"/>
  <c r="L53" i="35"/>
  <c r="L55" i="35"/>
  <c r="L56" i="35" s="1"/>
  <c r="L67" i="35"/>
  <c r="L68" i="35" s="1"/>
  <c r="L65" i="35"/>
  <c r="L49" i="35"/>
  <c r="L50" i="35" s="1"/>
  <c r="L47" i="35"/>
  <c r="N91" i="35"/>
  <c r="N92" i="35" s="1"/>
  <c r="J261" i="1"/>
  <c r="J146" i="1"/>
  <c r="M83" i="57"/>
  <c r="L23" i="35"/>
  <c r="L25" i="35"/>
  <c r="L26" i="35" s="1"/>
  <c r="L29" i="57"/>
  <c r="L27" i="57"/>
  <c r="K147" i="1"/>
  <c r="I47" i="1"/>
  <c r="I48" i="1"/>
  <c r="I46" i="1"/>
  <c r="J52" i="1"/>
  <c r="H170" i="1"/>
  <c r="H169" i="1"/>
  <c r="L59" i="57"/>
  <c r="L57" i="57"/>
  <c r="L47" i="57"/>
  <c r="L45" i="57"/>
  <c r="L71" i="57"/>
  <c r="L65" i="57"/>
  <c r="L63" i="57"/>
  <c r="L39" i="57"/>
  <c r="L41" i="57"/>
  <c r="L21" i="57"/>
  <c r="L23" i="57"/>
  <c r="L81" i="57"/>
  <c r="L53" i="57"/>
  <c r="L15" i="57"/>
  <c r="L17" i="57"/>
  <c r="L9" i="57"/>
  <c r="L11" i="57"/>
  <c r="L51" i="57"/>
  <c r="J1" i="35"/>
  <c r="J2" i="57"/>
  <c r="H57" i="1"/>
  <c r="H150" i="1"/>
  <c r="H38" i="1"/>
  <c r="G2" i="1"/>
  <c r="H1" i="1"/>
  <c r="A10" i="123"/>
  <c r="K9" i="123"/>
  <c r="K38" i="57"/>
  <c r="K62" i="57"/>
  <c r="K58" i="35"/>
  <c r="H162" i="1"/>
  <c r="J70" i="57"/>
  <c r="K6" i="57"/>
  <c r="K10" i="35"/>
  <c r="H151" i="1"/>
  <c r="K58" i="57"/>
  <c r="K24" i="57"/>
  <c r="K42" i="35"/>
  <c r="H165" i="1"/>
  <c r="K66" i="57"/>
  <c r="K72" i="57"/>
  <c r="H155" i="1"/>
  <c r="K4" i="35"/>
  <c r="K54" i="57"/>
  <c r="K3" i="57"/>
  <c r="K21" i="35"/>
  <c r="K14" i="57"/>
  <c r="K70" i="35"/>
  <c r="K22" i="57"/>
  <c r="K16" i="57"/>
  <c r="K63" i="35"/>
  <c r="K36" i="35"/>
  <c r="K52" i="57"/>
  <c r="K52" i="35"/>
  <c r="K18" i="35"/>
  <c r="K33" i="35"/>
  <c r="K8" i="57"/>
  <c r="K22" i="35"/>
  <c r="K56" i="57"/>
  <c r="K72" i="35"/>
  <c r="K40" i="35"/>
  <c r="K66" i="35"/>
  <c r="J85" i="35"/>
  <c r="K64" i="57"/>
  <c r="K24" i="35"/>
  <c r="K57" i="35"/>
  <c r="K88" i="35"/>
  <c r="K16" i="35"/>
  <c r="K3" i="35"/>
  <c r="H152" i="1"/>
  <c r="K60" i="57"/>
  <c r="K48" i="35"/>
  <c r="K6" i="35"/>
  <c r="K44" i="57"/>
  <c r="K70" i="57"/>
  <c r="K36" i="57"/>
  <c r="K68" i="57"/>
  <c r="K2" i="35"/>
  <c r="K34" i="35"/>
  <c r="K42" i="57"/>
  <c r="L88" i="57"/>
  <c r="K46" i="35"/>
  <c r="K5" i="57"/>
  <c r="K93" i="35"/>
  <c r="K40" i="57"/>
  <c r="L93" i="57"/>
  <c r="K18" i="57"/>
  <c r="K75" i="35"/>
  <c r="K50" i="57"/>
  <c r="K9" i="35"/>
  <c r="K64" i="35"/>
  <c r="J96" i="57"/>
  <c r="H157" i="1"/>
  <c r="K26" i="57"/>
  <c r="K39" i="35"/>
  <c r="K20" i="57"/>
  <c r="K28" i="35"/>
  <c r="K12" i="35"/>
  <c r="K30" i="35"/>
  <c r="K4" i="57"/>
  <c r="K78" i="57"/>
  <c r="K30" i="57"/>
  <c r="H167" i="1"/>
  <c r="K32" i="57"/>
  <c r="K80" i="57"/>
  <c r="K60" i="35"/>
  <c r="K89" i="35"/>
  <c r="K76" i="57"/>
  <c r="K12" i="57"/>
  <c r="K28" i="57"/>
  <c r="K27" i="35"/>
  <c r="K34" i="57"/>
  <c r="K54" i="35"/>
  <c r="K48" i="57"/>
  <c r="K10" i="57"/>
  <c r="K45" i="35"/>
  <c r="K15" i="35"/>
  <c r="K46" i="57"/>
  <c r="H164" i="1"/>
  <c r="K51" i="35"/>
  <c r="K78" i="35"/>
  <c r="K69" i="35"/>
  <c r="K76" i="35"/>
  <c r="K74" i="57"/>
  <c r="K25" i="57"/>
  <c r="H23" i="1"/>
  <c r="H14" i="1"/>
  <c r="H126" i="1"/>
  <c r="G67" i="1"/>
  <c r="H80" i="1"/>
  <c r="H33" i="1"/>
  <c r="H35" i="1"/>
  <c r="H132" i="1"/>
  <c r="G141" i="1"/>
  <c r="G34" i="1"/>
  <c r="H69" i="1"/>
  <c r="H8" i="1"/>
  <c r="H20" i="1"/>
  <c r="H120" i="1"/>
  <c r="H15" i="1"/>
  <c r="H75" i="1"/>
  <c r="K73" i="57"/>
  <c r="H144" i="1"/>
  <c r="L86" i="57"/>
  <c r="H62" i="1"/>
  <c r="H68" i="1"/>
  <c r="H9" i="1"/>
  <c r="K19" i="57"/>
  <c r="H116" i="1"/>
  <c r="H65" i="1"/>
  <c r="H104" i="1"/>
  <c r="H82" i="1"/>
  <c r="H124" i="1"/>
  <c r="H73" i="1"/>
  <c r="H95" i="1"/>
  <c r="H12" i="1"/>
  <c r="H129" i="1"/>
  <c r="H58" i="1"/>
  <c r="K67" i="57"/>
  <c r="H113" i="1"/>
  <c r="H59" i="1"/>
  <c r="H103" i="1"/>
  <c r="H90" i="1"/>
  <c r="H110" i="1"/>
  <c r="H140" i="1"/>
  <c r="H17" i="1"/>
  <c r="G74" i="1"/>
  <c r="H64" i="1"/>
  <c r="H3" i="1"/>
  <c r="H18" i="1"/>
  <c r="H96" i="1"/>
  <c r="H22" i="1"/>
  <c r="H31" i="1"/>
  <c r="H108" i="1"/>
  <c r="H92" i="1"/>
  <c r="H19" i="1"/>
  <c r="K31" i="57"/>
  <c r="H114" i="1"/>
  <c r="K13" i="57"/>
  <c r="K37" i="57"/>
  <c r="H98" i="1"/>
  <c r="H61" i="1"/>
  <c r="H10" i="1"/>
  <c r="H107" i="1"/>
  <c r="L85" i="57"/>
  <c r="L43" i="57"/>
  <c r="L79" i="57"/>
  <c r="H24" i="1"/>
  <c r="H125" i="1"/>
  <c r="H93" i="1"/>
  <c r="H11" i="1"/>
  <c r="H141" i="1"/>
  <c r="H21" i="1"/>
  <c r="H143" i="1"/>
  <c r="H29" i="1"/>
  <c r="H106" i="1"/>
  <c r="H84" i="1"/>
  <c r="H112" i="1"/>
  <c r="H122" i="1"/>
  <c r="H118" i="1"/>
  <c r="H128" i="1"/>
  <c r="H67" i="1"/>
  <c r="G32" i="1"/>
  <c r="L7" i="57"/>
  <c r="H102" i="1"/>
  <c r="H27" i="1"/>
  <c r="I33" i="1"/>
  <c r="H7" i="1"/>
  <c r="H76" i="1"/>
  <c r="H83" i="1"/>
  <c r="L49" i="57"/>
  <c r="H25" i="1"/>
  <c r="H142" i="1"/>
  <c r="H89" i="1"/>
  <c r="H26" i="1"/>
  <c r="K61" i="57"/>
  <c r="H123" i="1"/>
  <c r="H88" i="1"/>
  <c r="H117" i="1"/>
  <c r="G103" i="1"/>
  <c r="I31" i="1"/>
  <c r="H79" i="1"/>
  <c r="H72" i="1"/>
  <c r="H13" i="1"/>
  <c r="H99" i="1"/>
  <c r="H16" i="1"/>
  <c r="G28" i="1"/>
  <c r="H77" i="1"/>
  <c r="H130" i="1"/>
  <c r="H131" i="1"/>
  <c r="H66" i="1"/>
  <c r="H100" i="1"/>
  <c r="K55" i="57"/>
  <c r="H86" i="1"/>
  <c r="J61" i="57"/>
  <c r="H81" i="1"/>
  <c r="H94" i="1"/>
  <c r="H71" i="1"/>
  <c r="H63" i="1"/>
  <c r="H87" i="1"/>
  <c r="H119" i="1"/>
  <c r="H111" i="1"/>
  <c r="H5" i="1"/>
  <c r="I35" i="1"/>
  <c r="G30" i="1"/>
  <c r="I29" i="1"/>
  <c r="H4" i="1"/>
  <c r="H6" i="1"/>
  <c r="H36" i="1"/>
  <c r="I53" i="1" l="1"/>
  <c r="G49" i="1"/>
  <c r="H51" i="1"/>
  <c r="I51" i="1"/>
  <c r="H50" i="1"/>
  <c r="H192" i="1"/>
  <c r="H133" i="1"/>
  <c r="H259" i="1" s="1"/>
  <c r="H137" i="1"/>
  <c r="H134" i="1"/>
  <c r="H135" i="1"/>
  <c r="H136" i="1"/>
  <c r="H138" i="1"/>
  <c r="J160" i="1"/>
  <c r="L91" i="57"/>
  <c r="L87" i="57"/>
  <c r="L83" i="35"/>
  <c r="H70" i="1"/>
  <c r="H248" i="1" s="1"/>
  <c r="K92" i="57"/>
  <c r="K90" i="57"/>
  <c r="K84" i="57"/>
  <c r="K84" i="35"/>
  <c r="L94" i="57"/>
  <c r="K82" i="35"/>
  <c r="K81" i="35"/>
  <c r="L89" i="57"/>
  <c r="M95" i="57"/>
  <c r="L86" i="35"/>
  <c r="L87" i="35" s="1"/>
  <c r="K71" i="35"/>
  <c r="K73" i="35"/>
  <c r="K74" i="35" s="1"/>
  <c r="K77" i="57"/>
  <c r="K75" i="57"/>
  <c r="Q10" i="123"/>
  <c r="U10" i="123"/>
  <c r="N10" i="123"/>
  <c r="H196" i="1"/>
  <c r="H198" i="1"/>
  <c r="H200" i="1"/>
  <c r="H186" i="1"/>
  <c r="H195" i="1"/>
  <c r="H190" i="1"/>
  <c r="H197" i="1"/>
  <c r="H187" i="1"/>
  <c r="H194" i="1"/>
  <c r="H188" i="1"/>
  <c r="H189" i="1"/>
  <c r="H201" i="1"/>
  <c r="H199" i="1"/>
  <c r="H193" i="1"/>
  <c r="H158" i="1"/>
  <c r="I139" i="1"/>
  <c r="I159" i="1"/>
  <c r="H154" i="1"/>
  <c r="H45" i="1"/>
  <c r="G185" i="1"/>
  <c r="G246" i="1"/>
  <c r="I202" i="1"/>
  <c r="H44" i="1"/>
  <c r="H97" i="1"/>
  <c r="H252" i="1" s="1"/>
  <c r="I261" i="1"/>
  <c r="I146" i="1"/>
  <c r="K29" i="35"/>
  <c r="K31" i="35"/>
  <c r="K32" i="35" s="1"/>
  <c r="K35" i="57"/>
  <c r="K33" i="57"/>
  <c r="K41" i="57"/>
  <c r="K39" i="57"/>
  <c r="K79" i="35"/>
  <c r="K80" i="35" s="1"/>
  <c r="H85" i="1"/>
  <c r="H250" i="1" s="1"/>
  <c r="H60" i="1"/>
  <c r="H247" i="1" s="1"/>
  <c r="H78" i="1"/>
  <c r="H249" i="1" s="1"/>
  <c r="H115" i="1"/>
  <c r="H256" i="1" s="1"/>
  <c r="H39" i="1"/>
  <c r="H127" i="1"/>
  <c r="H258" i="1" s="1"/>
  <c r="H91" i="1"/>
  <c r="H251" i="1" s="1"/>
  <c r="H105" i="1"/>
  <c r="H254" i="1" s="1"/>
  <c r="H109" i="1"/>
  <c r="H255" i="1" s="1"/>
  <c r="H145" i="1"/>
  <c r="H260" i="1" s="1"/>
  <c r="H101" i="1"/>
  <c r="H253" i="1" s="1"/>
  <c r="H40" i="1"/>
  <c r="H43" i="1"/>
  <c r="H121" i="1"/>
  <c r="H257" i="1" s="1"/>
  <c r="H42" i="1"/>
  <c r="H41" i="1"/>
  <c r="J147" i="1"/>
  <c r="K90" i="35"/>
  <c r="K19" i="35"/>
  <c r="K20" i="35" s="1"/>
  <c r="K17" i="35"/>
  <c r="K65" i="35"/>
  <c r="K41" i="35"/>
  <c r="K43" i="35"/>
  <c r="K44" i="35" s="1"/>
  <c r="K61" i="35"/>
  <c r="K62" i="35" s="1"/>
  <c r="K59" i="35"/>
  <c r="K77" i="35"/>
  <c r="K47" i="35"/>
  <c r="K49" i="35"/>
  <c r="K50" i="35" s="1"/>
  <c r="K53" i="35"/>
  <c r="K55" i="35"/>
  <c r="K56" i="35" s="1"/>
  <c r="K13" i="35"/>
  <c r="K14" i="35" s="1"/>
  <c r="K11" i="35"/>
  <c r="K35" i="35"/>
  <c r="K7" i="35"/>
  <c r="K8" i="35" s="1"/>
  <c r="K5" i="35"/>
  <c r="K37" i="35"/>
  <c r="K38" i="35" s="1"/>
  <c r="M91" i="35"/>
  <c r="M92" i="35" s="1"/>
  <c r="K23" i="35"/>
  <c r="K25" i="35"/>
  <c r="K26" i="35" s="1"/>
  <c r="K29" i="57"/>
  <c r="K27" i="57"/>
  <c r="L83" i="57"/>
  <c r="K51" i="57"/>
  <c r="K67" i="35"/>
  <c r="K68" i="35" s="1"/>
  <c r="H47" i="1"/>
  <c r="H48" i="1"/>
  <c r="K81" i="57"/>
  <c r="H46" i="1"/>
  <c r="I52" i="1"/>
  <c r="G170" i="1"/>
  <c r="G169" i="1"/>
  <c r="K57" i="57"/>
  <c r="K59" i="57"/>
  <c r="K21" i="57"/>
  <c r="K23" i="57"/>
  <c r="K47" i="57"/>
  <c r="K45" i="57"/>
  <c r="K65" i="57"/>
  <c r="K63" i="57"/>
  <c r="K69" i="57"/>
  <c r="K71" i="57"/>
  <c r="K9" i="57"/>
  <c r="K11" i="57"/>
  <c r="K15" i="57"/>
  <c r="K17" i="57"/>
  <c r="K53" i="57"/>
  <c r="I1" i="35"/>
  <c r="I2" i="57"/>
  <c r="G150" i="1"/>
  <c r="G57" i="1"/>
  <c r="G38" i="1"/>
  <c r="F2" i="1"/>
  <c r="G1" i="1"/>
  <c r="A11" i="123"/>
  <c r="K10" i="123"/>
  <c r="J40" i="35"/>
  <c r="J2" i="35"/>
  <c r="J46" i="57"/>
  <c r="J38" i="57"/>
  <c r="J18" i="35"/>
  <c r="G151" i="1"/>
  <c r="J22" i="35"/>
  <c r="J58" i="57"/>
  <c r="J78" i="35"/>
  <c r="G157" i="1"/>
  <c r="J30" i="57"/>
  <c r="J16" i="35"/>
  <c r="J34" i="35"/>
  <c r="J66" i="57"/>
  <c r="G165" i="1"/>
  <c r="J68" i="57"/>
  <c r="I89" i="35"/>
  <c r="J88" i="35"/>
  <c r="J44" i="57"/>
  <c r="J24" i="57"/>
  <c r="K93" i="57"/>
  <c r="J51" i="35"/>
  <c r="J42" i="35"/>
  <c r="J12" i="57"/>
  <c r="J75" i="35"/>
  <c r="F153" i="1"/>
  <c r="J3" i="57"/>
  <c r="J50" i="57"/>
  <c r="J20" i="57"/>
  <c r="J27" i="35"/>
  <c r="J58" i="35"/>
  <c r="J10" i="57"/>
  <c r="J36" i="35"/>
  <c r="J66" i="35"/>
  <c r="J74" i="57"/>
  <c r="G161" i="1"/>
  <c r="J76" i="57"/>
  <c r="J28" i="57"/>
  <c r="J9" i="35"/>
  <c r="J57" i="35"/>
  <c r="J4" i="57"/>
  <c r="J8" i="57"/>
  <c r="J36" i="57"/>
  <c r="J21" i="35"/>
  <c r="J56" i="57"/>
  <c r="J39" i="35"/>
  <c r="J60" i="35"/>
  <c r="J89" i="35"/>
  <c r="J40" i="57"/>
  <c r="J3" i="35"/>
  <c r="J70" i="35"/>
  <c r="J34" i="57"/>
  <c r="J4" i="35"/>
  <c r="J16" i="57"/>
  <c r="J26" i="57"/>
  <c r="J63" i="35"/>
  <c r="G153" i="1"/>
  <c r="G167" i="1"/>
  <c r="J76" i="35"/>
  <c r="J54" i="57"/>
  <c r="J52" i="35"/>
  <c r="J22" i="57"/>
  <c r="J60" i="57"/>
  <c r="J30" i="35"/>
  <c r="J64" i="35"/>
  <c r="J48" i="57"/>
  <c r="J10" i="35"/>
  <c r="G162" i="1"/>
  <c r="J5" i="57"/>
  <c r="J42" i="57"/>
  <c r="G164" i="1"/>
  <c r="J28" i="35"/>
  <c r="J72" i="35"/>
  <c r="I96" i="57"/>
  <c r="J93" i="35"/>
  <c r="J48" i="35"/>
  <c r="J12" i="35"/>
  <c r="J6" i="35"/>
  <c r="J80" i="57"/>
  <c r="J14" i="57"/>
  <c r="J15" i="35"/>
  <c r="J32" i="57"/>
  <c r="J82" i="57"/>
  <c r="I85" i="35"/>
  <c r="J54" i="35"/>
  <c r="J62" i="57"/>
  <c r="J45" i="35"/>
  <c r="J33" i="35"/>
  <c r="J78" i="57"/>
  <c r="G155" i="1"/>
  <c r="K88" i="57"/>
  <c r="G156" i="1"/>
  <c r="J64" i="57"/>
  <c r="J69" i="35"/>
  <c r="J24" i="35"/>
  <c r="J6" i="57"/>
  <c r="J52" i="57"/>
  <c r="J18" i="57"/>
  <c r="G152" i="1"/>
  <c r="J46" i="35"/>
  <c r="J72" i="57"/>
  <c r="G80" i="1"/>
  <c r="G88" i="1"/>
  <c r="G118" i="1"/>
  <c r="G95" i="1"/>
  <c r="G24" i="1"/>
  <c r="G35" i="1"/>
  <c r="G10" i="1"/>
  <c r="G108" i="1"/>
  <c r="F28" i="1"/>
  <c r="G23" i="1"/>
  <c r="K43" i="57"/>
  <c r="G18" i="1"/>
  <c r="F69" i="1"/>
  <c r="G144" i="1"/>
  <c r="G114" i="1"/>
  <c r="G106" i="1"/>
  <c r="F32" i="1"/>
  <c r="G22" i="1"/>
  <c r="G99" i="1"/>
  <c r="G29" i="1"/>
  <c r="G116" i="1"/>
  <c r="G79" i="1"/>
  <c r="F74" i="1"/>
  <c r="G17" i="1"/>
  <c r="G117" i="1"/>
  <c r="G96" i="1"/>
  <c r="G12" i="1"/>
  <c r="J67" i="57"/>
  <c r="G124" i="1"/>
  <c r="G25" i="1"/>
  <c r="G73" i="1"/>
  <c r="J37" i="57"/>
  <c r="G59" i="1"/>
  <c r="G112" i="1"/>
  <c r="F19" i="1"/>
  <c r="G92" i="1"/>
  <c r="K49" i="57"/>
  <c r="G122" i="1"/>
  <c r="G11" i="1"/>
  <c r="G15" i="1"/>
  <c r="G86" i="1"/>
  <c r="G142" i="1"/>
  <c r="G102" i="1"/>
  <c r="F30" i="1"/>
  <c r="G19" i="1"/>
  <c r="G107" i="1"/>
  <c r="G4" i="1"/>
  <c r="G132" i="1"/>
  <c r="G100" i="1"/>
  <c r="G113" i="1"/>
  <c r="G3" i="1"/>
  <c r="G125" i="1"/>
  <c r="G26" i="1"/>
  <c r="G69" i="1"/>
  <c r="J19" i="57"/>
  <c r="G5" i="1"/>
  <c r="G76" i="1"/>
  <c r="G110" i="1"/>
  <c r="G33" i="1"/>
  <c r="K79" i="57"/>
  <c r="G27" i="1"/>
  <c r="J73" i="57"/>
  <c r="G21" i="1"/>
  <c r="G72" i="1"/>
  <c r="F144" i="1"/>
  <c r="G16" i="1"/>
  <c r="G82" i="1"/>
  <c r="G129" i="1"/>
  <c r="G84" i="1"/>
  <c r="K7" i="57"/>
  <c r="J25" i="57"/>
  <c r="G8" i="1"/>
  <c r="G81" i="1"/>
  <c r="G90" i="1"/>
  <c r="G14" i="1"/>
  <c r="G71" i="1"/>
  <c r="G20" i="1"/>
  <c r="G140" i="1"/>
  <c r="G13" i="1"/>
  <c r="G9" i="1"/>
  <c r="G58" i="1"/>
  <c r="G65" i="1"/>
  <c r="G6" i="1"/>
  <c r="G87" i="1"/>
  <c r="J31" i="57"/>
  <c r="G126" i="1"/>
  <c r="G89" i="1"/>
  <c r="F34" i="1"/>
  <c r="G62" i="1"/>
  <c r="J13" i="57"/>
  <c r="G130" i="1"/>
  <c r="J55" i="57"/>
  <c r="G128" i="1"/>
  <c r="G123" i="1"/>
  <c r="G61" i="1"/>
  <c r="G64" i="1"/>
  <c r="G120" i="1"/>
  <c r="G66" i="1"/>
  <c r="G7" i="1"/>
  <c r="G131" i="1"/>
  <c r="K86" i="57"/>
  <c r="K85" i="57"/>
  <c r="G104" i="1"/>
  <c r="G68" i="1"/>
  <c r="G111" i="1"/>
  <c r="G98" i="1"/>
  <c r="G77" i="1"/>
  <c r="G119" i="1"/>
  <c r="G75" i="1"/>
  <c r="G63" i="1"/>
  <c r="G93" i="1"/>
  <c r="G31" i="1"/>
  <c r="G83" i="1"/>
  <c r="G143" i="1"/>
  <c r="G94" i="1"/>
  <c r="G36" i="1"/>
  <c r="H53" i="1" l="1"/>
  <c r="F49" i="1"/>
  <c r="G51" i="1"/>
  <c r="G50" i="1"/>
  <c r="G192" i="1"/>
  <c r="G133" i="1"/>
  <c r="G259" i="1" s="1"/>
  <c r="H159" i="1"/>
  <c r="G137" i="1"/>
  <c r="G136" i="1"/>
  <c r="G134" i="1"/>
  <c r="G138" i="1"/>
  <c r="G135" i="1"/>
  <c r="K87" i="57"/>
  <c r="K83" i="35"/>
  <c r="G70" i="1"/>
  <c r="G248" i="1" s="1"/>
  <c r="J92" i="57"/>
  <c r="J90" i="57"/>
  <c r="J84" i="57"/>
  <c r="J81" i="35"/>
  <c r="J82" i="35"/>
  <c r="J84" i="35"/>
  <c r="K94" i="57"/>
  <c r="K86" i="35"/>
  <c r="K87" i="35" s="1"/>
  <c r="L95" i="57"/>
  <c r="K89" i="57"/>
  <c r="J71" i="35"/>
  <c r="J73" i="35"/>
  <c r="J74" i="35" s="1"/>
  <c r="J75" i="57"/>
  <c r="J77" i="57"/>
  <c r="Q11" i="123"/>
  <c r="U11" i="123"/>
  <c r="N11" i="123"/>
  <c r="G196" i="1"/>
  <c r="G194" i="1"/>
  <c r="G186" i="1"/>
  <c r="G195" i="1"/>
  <c r="G198" i="1"/>
  <c r="G199" i="1"/>
  <c r="G201" i="1"/>
  <c r="G197" i="1"/>
  <c r="G190" i="1"/>
  <c r="G200" i="1"/>
  <c r="G188" i="1"/>
  <c r="G193" i="1"/>
  <c r="G189" i="1"/>
  <c r="G187" i="1"/>
  <c r="H139" i="1"/>
  <c r="I160" i="1"/>
  <c r="G154" i="1"/>
  <c r="G158" i="1"/>
  <c r="I147" i="1"/>
  <c r="F185" i="1"/>
  <c r="F246" i="1"/>
  <c r="H202" i="1"/>
  <c r="G44" i="1"/>
  <c r="G97" i="1"/>
  <c r="G252" i="1" s="1"/>
  <c r="J29" i="35"/>
  <c r="J31" i="35"/>
  <c r="J32" i="35" s="1"/>
  <c r="J33" i="57"/>
  <c r="J35" i="57"/>
  <c r="J79" i="35"/>
  <c r="J80" i="35" s="1"/>
  <c r="H146" i="1"/>
  <c r="H261" i="1"/>
  <c r="G60" i="1"/>
  <c r="G247" i="1" s="1"/>
  <c r="G42" i="1"/>
  <c r="G45" i="1"/>
  <c r="G40" i="1"/>
  <c r="G101" i="1"/>
  <c r="G253" i="1" s="1"/>
  <c r="G105" i="1"/>
  <c r="G254" i="1" s="1"/>
  <c r="G43" i="1"/>
  <c r="G78" i="1"/>
  <c r="G249" i="1" s="1"/>
  <c r="G145" i="1"/>
  <c r="G260" i="1" s="1"/>
  <c r="G115" i="1"/>
  <c r="G256" i="1" s="1"/>
  <c r="G121" i="1"/>
  <c r="G257" i="1" s="1"/>
  <c r="G109" i="1"/>
  <c r="G255" i="1" s="1"/>
  <c r="G41" i="1"/>
  <c r="J17" i="35"/>
  <c r="J81" i="57"/>
  <c r="J59" i="57"/>
  <c r="J57" i="57"/>
  <c r="G39" i="1"/>
  <c r="G91" i="1"/>
  <c r="G251" i="1" s="1"/>
  <c r="J63" i="57"/>
  <c r="J15" i="57"/>
  <c r="J17" i="57"/>
  <c r="J65" i="57"/>
  <c r="J45" i="57"/>
  <c r="J47" i="57"/>
  <c r="G127" i="1"/>
  <c r="G258" i="1" s="1"/>
  <c r="G85" i="1"/>
  <c r="G250" i="1" s="1"/>
  <c r="L91" i="35"/>
  <c r="L92" i="35" s="1"/>
  <c r="J23" i="35"/>
  <c r="J25" i="35"/>
  <c r="J26" i="35" s="1"/>
  <c r="J27" i="57"/>
  <c r="J29" i="57"/>
  <c r="J71" i="57"/>
  <c r="J69" i="57"/>
  <c r="J11" i="57"/>
  <c r="J9" i="57"/>
  <c r="J39" i="57"/>
  <c r="J41" i="57"/>
  <c r="J51" i="57"/>
  <c r="J53" i="57"/>
  <c r="J21" i="57"/>
  <c r="J23" i="57"/>
  <c r="G46" i="1"/>
  <c r="G47" i="1"/>
  <c r="H52" i="1"/>
  <c r="K83" i="57"/>
  <c r="G48" i="1"/>
  <c r="F170" i="1"/>
  <c r="F169" i="1"/>
  <c r="J5" i="35"/>
  <c r="J7" i="35"/>
  <c r="J8" i="35" s="1"/>
  <c r="J19" i="35"/>
  <c r="J20" i="35" s="1"/>
  <c r="J55" i="35"/>
  <c r="J56" i="35" s="1"/>
  <c r="J77" i="35"/>
  <c r="J11" i="35"/>
  <c r="J13" i="35"/>
  <c r="J14" i="35" s="1"/>
  <c r="J53" i="35"/>
  <c r="J41" i="35"/>
  <c r="J43" i="35"/>
  <c r="J44" i="35" s="1"/>
  <c r="J37" i="35"/>
  <c r="J38" i="35" s="1"/>
  <c r="J35" i="35"/>
  <c r="J61" i="35"/>
  <c r="J62" i="35" s="1"/>
  <c r="J59" i="35"/>
  <c r="J67" i="35"/>
  <c r="J68" i="35" s="1"/>
  <c r="J65" i="35"/>
  <c r="J49" i="35"/>
  <c r="J50" i="35" s="1"/>
  <c r="J47" i="35"/>
  <c r="J90" i="35"/>
  <c r="H1" i="35"/>
  <c r="H2" i="57"/>
  <c r="F57" i="1"/>
  <c r="F150" i="1"/>
  <c r="F38" i="1"/>
  <c r="E2" i="1"/>
  <c r="F1" i="1"/>
  <c r="A12" i="123"/>
  <c r="K11" i="123"/>
  <c r="I54" i="35"/>
  <c r="I18" i="57"/>
  <c r="H85" i="35"/>
  <c r="I33" i="35"/>
  <c r="I72" i="57"/>
  <c r="I57" i="35"/>
  <c r="I22" i="35"/>
  <c r="I78" i="35"/>
  <c r="I30" i="35"/>
  <c r="I60" i="35"/>
  <c r="I30" i="57"/>
  <c r="H64" i="35"/>
  <c r="I60" i="57"/>
  <c r="I46" i="35"/>
  <c r="I2" i="35"/>
  <c r="I75" i="35"/>
  <c r="F155" i="1"/>
  <c r="J88" i="57"/>
  <c r="I16" i="57"/>
  <c r="I10" i="35"/>
  <c r="I66" i="35"/>
  <c r="I44" i="57"/>
  <c r="I34" i="35"/>
  <c r="I9" i="35"/>
  <c r="I26" i="57"/>
  <c r="I48" i="57"/>
  <c r="F151" i="1"/>
  <c r="I24" i="35"/>
  <c r="I28" i="35"/>
  <c r="I80" i="57"/>
  <c r="J93" i="57"/>
  <c r="I64" i="35"/>
  <c r="F161" i="1"/>
  <c r="I18" i="35"/>
  <c r="I70" i="57"/>
  <c r="I15" i="35"/>
  <c r="I51" i="35"/>
  <c r="I34" i="57"/>
  <c r="I20" i="57"/>
  <c r="I58" i="35"/>
  <c r="I5" i="57"/>
  <c r="I88" i="35"/>
  <c r="H54" i="57"/>
  <c r="I24" i="57"/>
  <c r="F157" i="1"/>
  <c r="I62" i="57"/>
  <c r="I74" i="57"/>
  <c r="F167" i="1"/>
  <c r="I4" i="57"/>
  <c r="I48" i="35"/>
  <c r="I10" i="57"/>
  <c r="I46" i="57"/>
  <c r="I40" i="35"/>
  <c r="I66" i="57"/>
  <c r="I76" i="57"/>
  <c r="I4" i="35"/>
  <c r="I82" i="57"/>
  <c r="I76" i="35"/>
  <c r="I36" i="57"/>
  <c r="I32" i="57"/>
  <c r="I12" i="35"/>
  <c r="I6" i="35"/>
  <c r="I8" i="57"/>
  <c r="I27" i="35"/>
  <c r="I12" i="57"/>
  <c r="I14" i="57"/>
  <c r="I64" i="57"/>
  <c r="I22" i="57"/>
  <c r="H96" i="57"/>
  <c r="I3" i="35"/>
  <c r="F164" i="1"/>
  <c r="I52" i="35"/>
  <c r="I21" i="35"/>
  <c r="I78" i="57"/>
  <c r="F156" i="1"/>
  <c r="I3" i="57"/>
  <c r="I70" i="35"/>
  <c r="I69" i="35"/>
  <c r="I45" i="35"/>
  <c r="I39" i="35"/>
  <c r="I28" i="57"/>
  <c r="I38" i="57"/>
  <c r="I6" i="57"/>
  <c r="I68" i="57"/>
  <c r="I93" i="35"/>
  <c r="I40" i="57"/>
  <c r="I58" i="57"/>
  <c r="F162" i="1"/>
  <c r="F165" i="1"/>
  <c r="F152" i="1"/>
  <c r="I16" i="35"/>
  <c r="E152" i="1"/>
  <c r="I72" i="35"/>
  <c r="I50" i="57"/>
  <c r="I63" i="35"/>
  <c r="I42" i="57"/>
  <c r="I54" i="57"/>
  <c r="I52" i="57"/>
  <c r="I36" i="35"/>
  <c r="I42" i="35"/>
  <c r="I56" i="57"/>
  <c r="F63" i="1"/>
  <c r="F126" i="1"/>
  <c r="I19" i="57"/>
  <c r="F140" i="1"/>
  <c r="F130" i="1"/>
  <c r="F108" i="1"/>
  <c r="F129" i="1"/>
  <c r="F68" i="1"/>
  <c r="F142" i="1"/>
  <c r="F114" i="1"/>
  <c r="F116" i="1"/>
  <c r="F27" i="1"/>
  <c r="F26" i="1"/>
  <c r="F87" i="1"/>
  <c r="F118" i="1"/>
  <c r="I61" i="57"/>
  <c r="F89" i="1"/>
  <c r="J85" i="57"/>
  <c r="F93" i="1"/>
  <c r="F104" i="1"/>
  <c r="F102" i="1"/>
  <c r="F123" i="1"/>
  <c r="I13" i="57"/>
  <c r="J86" i="57"/>
  <c r="I37" i="57"/>
  <c r="F24" i="1"/>
  <c r="I25" i="57"/>
  <c r="E32" i="1"/>
  <c r="F33" i="1"/>
  <c r="F79" i="1"/>
  <c r="F84" i="1"/>
  <c r="F81" i="1"/>
  <c r="F4" i="1"/>
  <c r="F110" i="1"/>
  <c r="F128" i="1"/>
  <c r="F95" i="1"/>
  <c r="F35" i="1"/>
  <c r="F5" i="1"/>
  <c r="F88" i="1"/>
  <c r="F10" i="1"/>
  <c r="I55" i="57"/>
  <c r="F80" i="1"/>
  <c r="F100" i="1"/>
  <c r="F22" i="1"/>
  <c r="J49" i="57"/>
  <c r="F86" i="1"/>
  <c r="F77" i="1"/>
  <c r="F25" i="1"/>
  <c r="F7" i="1"/>
  <c r="F66" i="1"/>
  <c r="F12" i="1"/>
  <c r="F31" i="1"/>
  <c r="F6" i="1"/>
  <c r="F59" i="1"/>
  <c r="F122" i="1"/>
  <c r="F13" i="1"/>
  <c r="F119" i="1"/>
  <c r="F17" i="1"/>
  <c r="F72" i="1"/>
  <c r="J7" i="57"/>
  <c r="F141" i="1"/>
  <c r="F125" i="1"/>
  <c r="F61" i="1"/>
  <c r="I31" i="57"/>
  <c r="F62" i="1"/>
  <c r="F29" i="1"/>
  <c r="F9" i="1"/>
  <c r="F120" i="1"/>
  <c r="F107" i="1"/>
  <c r="F94" i="1"/>
  <c r="E28" i="1"/>
  <c r="I67" i="57"/>
  <c r="F103" i="1"/>
  <c r="F8" i="1"/>
  <c r="F83" i="1"/>
  <c r="F14" i="1"/>
  <c r="F112" i="1"/>
  <c r="F3" i="1"/>
  <c r="F96" i="1"/>
  <c r="F58" i="1"/>
  <c r="F92" i="1"/>
  <c r="F132" i="1"/>
  <c r="F117" i="1"/>
  <c r="F75" i="1"/>
  <c r="F23" i="1"/>
  <c r="F16" i="1"/>
  <c r="J79" i="57"/>
  <c r="F111" i="1"/>
  <c r="F131" i="1"/>
  <c r="F124" i="1"/>
  <c r="F18" i="1"/>
  <c r="I73" i="57"/>
  <c r="F67" i="1"/>
  <c r="F99" i="1"/>
  <c r="F73" i="1"/>
  <c r="J43" i="57"/>
  <c r="F64" i="1"/>
  <c r="F21" i="1"/>
  <c r="F113" i="1"/>
  <c r="F76" i="1"/>
  <c r="F143" i="1"/>
  <c r="F98" i="1"/>
  <c r="F15" i="1"/>
  <c r="F106" i="1"/>
  <c r="F90" i="1"/>
  <c r="F11" i="1"/>
  <c r="F20" i="1"/>
  <c r="F82" i="1"/>
  <c r="F65" i="1"/>
  <c r="F71" i="1"/>
  <c r="F36" i="1"/>
  <c r="G53" i="1" l="1"/>
  <c r="F51" i="1"/>
  <c r="F50" i="1"/>
  <c r="H160" i="1"/>
  <c r="F192" i="1"/>
  <c r="F133" i="1"/>
  <c r="F259" i="1" s="1"/>
  <c r="F138" i="1"/>
  <c r="F135" i="1"/>
  <c r="F137" i="1"/>
  <c r="F136" i="1"/>
  <c r="F134" i="1"/>
  <c r="J87" i="57"/>
  <c r="F70" i="1"/>
  <c r="F248" i="1" s="1"/>
  <c r="K91" i="57"/>
  <c r="J91" i="57"/>
  <c r="I92" i="57"/>
  <c r="I90" i="57"/>
  <c r="I84" i="57"/>
  <c r="I81" i="35"/>
  <c r="I82" i="35"/>
  <c r="I84" i="35"/>
  <c r="J94" i="57"/>
  <c r="K95" i="57"/>
  <c r="J83" i="35"/>
  <c r="J86" i="35"/>
  <c r="J87" i="35" s="1"/>
  <c r="J89" i="57"/>
  <c r="I71" i="35"/>
  <c r="I73" i="35"/>
  <c r="I74" i="35" s="1"/>
  <c r="I77" i="57"/>
  <c r="I75" i="57"/>
  <c r="Q12" i="123"/>
  <c r="U12" i="123"/>
  <c r="N12" i="123"/>
  <c r="F197" i="1"/>
  <c r="F186" i="1"/>
  <c r="F195" i="1"/>
  <c r="F193" i="1"/>
  <c r="F194" i="1"/>
  <c r="F196" i="1"/>
  <c r="F198" i="1"/>
  <c r="F188" i="1"/>
  <c r="F199" i="1"/>
  <c r="F201" i="1"/>
  <c r="F189" i="1"/>
  <c r="F190" i="1"/>
  <c r="F200" i="1"/>
  <c r="F187" i="1"/>
  <c r="G139" i="1"/>
  <c r="G159" i="1"/>
  <c r="F154" i="1"/>
  <c r="F158" i="1"/>
  <c r="E185" i="1"/>
  <c r="E246" i="1"/>
  <c r="G202" i="1"/>
  <c r="F44" i="1"/>
  <c r="I90" i="35"/>
  <c r="F97" i="1"/>
  <c r="F252" i="1" s="1"/>
  <c r="I29" i="35"/>
  <c r="I31" i="35"/>
  <c r="I32" i="35" s="1"/>
  <c r="I35" i="57"/>
  <c r="I33" i="57"/>
  <c r="I21" i="57"/>
  <c r="F43" i="1"/>
  <c r="H147" i="1"/>
  <c r="I79" i="35"/>
  <c r="I80" i="35" s="1"/>
  <c r="G261" i="1"/>
  <c r="I39" i="57"/>
  <c r="G146" i="1"/>
  <c r="F121" i="1"/>
  <c r="F257" i="1" s="1"/>
  <c r="F91" i="1"/>
  <c r="F251" i="1" s="1"/>
  <c r="F45" i="1"/>
  <c r="J83" i="57"/>
  <c r="K91" i="35"/>
  <c r="K92" i="35" s="1"/>
  <c r="I23" i="35"/>
  <c r="I25" i="35"/>
  <c r="I26" i="35" s="1"/>
  <c r="I29" i="57"/>
  <c r="I27" i="57"/>
  <c r="F48" i="1"/>
  <c r="I43" i="35"/>
  <c r="I44" i="35" s="1"/>
  <c r="I41" i="35"/>
  <c r="I53" i="35"/>
  <c r="I55" i="35"/>
  <c r="I56" i="35" s="1"/>
  <c r="I59" i="35"/>
  <c r="I61" i="35"/>
  <c r="I62" i="35" s="1"/>
  <c r="I17" i="35"/>
  <c r="I7" i="35"/>
  <c r="I8" i="35" s="1"/>
  <c r="I5" i="35"/>
  <c r="I65" i="35"/>
  <c r="I67" i="35"/>
  <c r="I68" i="35" s="1"/>
  <c r="F46" i="1"/>
  <c r="I19" i="35"/>
  <c r="I20" i="35" s="1"/>
  <c r="I13" i="35"/>
  <c r="I14" i="35" s="1"/>
  <c r="I11" i="35"/>
  <c r="I49" i="35"/>
  <c r="I50" i="35" s="1"/>
  <c r="I47" i="35"/>
  <c r="I77" i="35"/>
  <c r="I35" i="35"/>
  <c r="I37" i="35"/>
  <c r="I38" i="35" s="1"/>
  <c r="G52" i="1"/>
  <c r="E170" i="1"/>
  <c r="E169" i="1"/>
  <c r="I23" i="57"/>
  <c r="I9" i="57"/>
  <c r="I11" i="57"/>
  <c r="I69" i="57"/>
  <c r="I71" i="57"/>
  <c r="I63" i="57"/>
  <c r="I65" i="57"/>
  <c r="I41" i="57"/>
  <c r="F105" i="1"/>
  <c r="F254" i="1" s="1"/>
  <c r="F78" i="1"/>
  <c r="F249" i="1" s="1"/>
  <c r="F101" i="1"/>
  <c r="F253" i="1" s="1"/>
  <c r="F39" i="1"/>
  <c r="F40" i="1"/>
  <c r="F85" i="1"/>
  <c r="F250" i="1" s="1"/>
  <c r="I17" i="57"/>
  <c r="I15" i="57"/>
  <c r="I51" i="57"/>
  <c r="I53" i="57"/>
  <c r="I81" i="57"/>
  <c r="I57" i="57"/>
  <c r="I59" i="57"/>
  <c r="I45" i="57"/>
  <c r="I47" i="57"/>
  <c r="F42" i="1"/>
  <c r="F60" i="1"/>
  <c r="F247" i="1" s="1"/>
  <c r="F127" i="1"/>
  <c r="F258" i="1" s="1"/>
  <c r="F145" i="1"/>
  <c r="F260" i="1" s="1"/>
  <c r="F41" i="1"/>
  <c r="F109" i="1"/>
  <c r="F255" i="1" s="1"/>
  <c r="F47" i="1"/>
  <c r="F115" i="1"/>
  <c r="F256" i="1" s="1"/>
  <c r="G1" i="35"/>
  <c r="G2" i="57"/>
  <c r="E150" i="1"/>
  <c r="E57" i="1"/>
  <c r="E38" i="1"/>
  <c r="D2" i="1"/>
  <c r="E1" i="1"/>
  <c r="A13" i="123"/>
  <c r="K12" i="123"/>
  <c r="H15" i="35"/>
  <c r="H48" i="57"/>
  <c r="H89" i="35"/>
  <c r="H78" i="35"/>
  <c r="E156" i="1"/>
  <c r="G96" i="57"/>
  <c r="E153" i="1"/>
  <c r="H12" i="35"/>
  <c r="H21" i="35"/>
  <c r="H32" i="57"/>
  <c r="H28" i="57"/>
  <c r="H24" i="57"/>
  <c r="E155" i="1"/>
  <c r="H8" i="57"/>
  <c r="H10" i="35"/>
  <c r="H62" i="57"/>
  <c r="H18" i="35"/>
  <c r="H46" i="57"/>
  <c r="H24" i="35"/>
  <c r="H56" i="57"/>
  <c r="H10" i="57"/>
  <c r="H30" i="57"/>
  <c r="H88" i="35"/>
  <c r="H36" i="35"/>
  <c r="H16" i="35"/>
  <c r="H26" i="57"/>
  <c r="H46" i="35"/>
  <c r="H18" i="57"/>
  <c r="H3" i="35"/>
  <c r="H70" i="35"/>
  <c r="H54" i="35"/>
  <c r="H66" i="57"/>
  <c r="E162" i="1"/>
  <c r="H6" i="57"/>
  <c r="H60" i="35"/>
  <c r="H63" i="35"/>
  <c r="H42" i="57"/>
  <c r="H9" i="35"/>
  <c r="H40" i="35"/>
  <c r="H34" i="57"/>
  <c r="H3" i="57"/>
  <c r="H22" i="57"/>
  <c r="H51" i="35"/>
  <c r="H76" i="57"/>
  <c r="H57" i="35"/>
  <c r="H70" i="57"/>
  <c r="H58" i="57"/>
  <c r="H27" i="35"/>
  <c r="H48" i="35"/>
  <c r="H69" i="35"/>
  <c r="H74" i="57"/>
  <c r="H93" i="35"/>
  <c r="H52" i="35"/>
  <c r="H36" i="57"/>
  <c r="H20" i="57"/>
  <c r="H75" i="35"/>
  <c r="H12" i="57"/>
  <c r="E165" i="1"/>
  <c r="G85" i="35"/>
  <c r="H60" i="57"/>
  <c r="H5" i="57"/>
  <c r="H4" i="35"/>
  <c r="I88" i="57"/>
  <c r="I93" i="57"/>
  <c r="H30" i="35"/>
  <c r="H80" i="57"/>
  <c r="H4" i="57"/>
  <c r="H76" i="35"/>
  <c r="H78" i="57"/>
  <c r="E167" i="1"/>
  <c r="E164" i="1"/>
  <c r="H38" i="57"/>
  <c r="E157" i="1"/>
  <c r="H66" i="35"/>
  <c r="H50" i="57"/>
  <c r="H82" i="57"/>
  <c r="H40" i="57"/>
  <c r="H45" i="35"/>
  <c r="H28" i="35"/>
  <c r="H64" i="57"/>
  <c r="H72" i="35"/>
  <c r="H2" i="35"/>
  <c r="H42" i="35"/>
  <c r="H22" i="35"/>
  <c r="H14" i="57"/>
  <c r="H68" i="57"/>
  <c r="E151" i="1"/>
  <c r="H58" i="35"/>
  <c r="H72" i="57"/>
  <c r="H6" i="35"/>
  <c r="H52" i="57"/>
  <c r="H44" i="57"/>
  <c r="E161" i="1"/>
  <c r="H16" i="57"/>
  <c r="H33" i="35"/>
  <c r="H34" i="35"/>
  <c r="H39" i="35"/>
  <c r="E102" i="1"/>
  <c r="E82" i="1"/>
  <c r="E64" i="1"/>
  <c r="E132" i="1"/>
  <c r="E4" i="1"/>
  <c r="E9" i="1"/>
  <c r="E66" i="1"/>
  <c r="E77" i="1"/>
  <c r="E117" i="1"/>
  <c r="E10" i="1"/>
  <c r="E6" i="1"/>
  <c r="E61" i="1"/>
  <c r="H55" i="57"/>
  <c r="E142" i="1"/>
  <c r="I49" i="57"/>
  <c r="E86" i="1"/>
  <c r="E98" i="1"/>
  <c r="E88" i="1"/>
  <c r="E11" i="1"/>
  <c r="E76" i="1"/>
  <c r="E83" i="1"/>
  <c r="E73" i="1"/>
  <c r="E23" i="1"/>
  <c r="E25" i="1"/>
  <c r="E58" i="1"/>
  <c r="E15" i="1"/>
  <c r="E19" i="1"/>
  <c r="E13" i="1"/>
  <c r="E81" i="1"/>
  <c r="E62" i="1"/>
  <c r="E119" i="1"/>
  <c r="E118" i="1"/>
  <c r="I79" i="57"/>
  <c r="E21" i="1"/>
  <c r="E106" i="1"/>
  <c r="E8" i="1"/>
  <c r="E131" i="1"/>
  <c r="E63" i="1"/>
  <c r="E20" i="1"/>
  <c r="E141" i="1"/>
  <c r="E140" i="1"/>
  <c r="E103" i="1"/>
  <c r="H19" i="57"/>
  <c r="E108" i="1"/>
  <c r="E30" i="1"/>
  <c r="E126" i="1"/>
  <c r="I86" i="57"/>
  <c r="H37" i="57"/>
  <c r="E93" i="1"/>
  <c r="E5" i="1"/>
  <c r="E65" i="1"/>
  <c r="E24" i="1"/>
  <c r="E100" i="1"/>
  <c r="E123" i="1"/>
  <c r="E99" i="1"/>
  <c r="E75" i="1"/>
  <c r="H31" i="57"/>
  <c r="E67" i="1"/>
  <c r="E116" i="1"/>
  <c r="E80" i="1"/>
  <c r="I43" i="57"/>
  <c r="E130" i="1"/>
  <c r="E68" i="1"/>
  <c r="E69" i="1"/>
  <c r="E95" i="1"/>
  <c r="H13" i="57"/>
  <c r="E92" i="1"/>
  <c r="E143" i="1"/>
  <c r="E18" i="1"/>
  <c r="E87" i="1"/>
  <c r="E22" i="1"/>
  <c r="E72" i="1"/>
  <c r="E114" i="1"/>
  <c r="E17" i="1"/>
  <c r="H67" i="57"/>
  <c r="E16" i="1"/>
  <c r="E34" i="1"/>
  <c r="E79" i="1"/>
  <c r="E111" i="1"/>
  <c r="E94" i="1"/>
  <c r="E128" i="1"/>
  <c r="H25" i="57"/>
  <c r="E113" i="1"/>
  <c r="E89" i="1"/>
  <c r="E96" i="1"/>
  <c r="E90" i="1"/>
  <c r="H61" i="57"/>
  <c r="E122" i="1"/>
  <c r="E144" i="1"/>
  <c r="E125" i="1"/>
  <c r="E74" i="1"/>
  <c r="E112" i="1"/>
  <c r="E3" i="1"/>
  <c r="E59" i="1"/>
  <c r="H73" i="57"/>
  <c r="E84" i="1"/>
  <c r="E26" i="1"/>
  <c r="E104" i="1"/>
  <c r="E7" i="1"/>
  <c r="E71" i="1"/>
  <c r="E110" i="1"/>
  <c r="E12" i="1"/>
  <c r="E124" i="1"/>
  <c r="I85" i="57"/>
  <c r="E14" i="1"/>
  <c r="E27" i="1"/>
  <c r="E129" i="1"/>
  <c r="E120" i="1"/>
  <c r="E107" i="1"/>
  <c r="I7" i="57"/>
  <c r="E36" i="1"/>
  <c r="E49" i="1" l="1"/>
  <c r="F53" i="1"/>
  <c r="E50" i="1"/>
  <c r="E133" i="1"/>
  <c r="E259" i="1" s="1"/>
  <c r="E192" i="1"/>
  <c r="E137" i="1"/>
  <c r="E135" i="1"/>
  <c r="E134" i="1"/>
  <c r="E136" i="1"/>
  <c r="E138" i="1"/>
  <c r="I87" i="57"/>
  <c r="I83" i="35"/>
  <c r="I91" i="57"/>
  <c r="E70" i="1"/>
  <c r="E248" i="1" s="1"/>
  <c r="H92" i="57"/>
  <c r="H90" i="57"/>
  <c r="H84" i="57"/>
  <c r="H82" i="35"/>
  <c r="H84" i="35"/>
  <c r="H81" i="35"/>
  <c r="I94" i="57"/>
  <c r="J95" i="57"/>
  <c r="I89" i="57"/>
  <c r="I86" i="35"/>
  <c r="I87" i="35" s="1"/>
  <c r="H71" i="35"/>
  <c r="H73" i="35"/>
  <c r="H74" i="35" s="1"/>
  <c r="H77" i="57"/>
  <c r="H75" i="57"/>
  <c r="Q13" i="123"/>
  <c r="U13" i="123"/>
  <c r="N13" i="123"/>
  <c r="G160" i="1"/>
  <c r="E193" i="1"/>
  <c r="E188" i="1"/>
  <c r="E199" i="1"/>
  <c r="E195" i="1"/>
  <c r="E190" i="1"/>
  <c r="E198" i="1"/>
  <c r="E194" i="1"/>
  <c r="E200" i="1"/>
  <c r="E186" i="1"/>
  <c r="E196" i="1"/>
  <c r="E189" i="1"/>
  <c r="E201" i="1"/>
  <c r="E187" i="1"/>
  <c r="E197" i="1"/>
  <c r="F159" i="1"/>
  <c r="F139" i="1"/>
  <c r="E154" i="1"/>
  <c r="E158" i="1"/>
  <c r="D185" i="1"/>
  <c r="D246" i="1"/>
  <c r="F202" i="1"/>
  <c r="E44" i="1"/>
  <c r="E97" i="1"/>
  <c r="E252" i="1" s="1"/>
  <c r="H29" i="35"/>
  <c r="H31" i="35"/>
  <c r="H32" i="35" s="1"/>
  <c r="H35" i="57"/>
  <c r="H33" i="57"/>
  <c r="H43" i="35"/>
  <c r="H44" i="35" s="1"/>
  <c r="H37" i="35"/>
  <c r="H38" i="35" s="1"/>
  <c r="H79" i="35"/>
  <c r="H80" i="35" s="1"/>
  <c r="G147" i="1"/>
  <c r="H9" i="57"/>
  <c r="H65" i="57"/>
  <c r="H63" i="57"/>
  <c r="H81" i="57"/>
  <c r="H57" i="57"/>
  <c r="E45" i="1"/>
  <c r="E39" i="1"/>
  <c r="E91" i="1"/>
  <c r="E251" i="1" s="1"/>
  <c r="H59" i="57"/>
  <c r="H7" i="35"/>
  <c r="H8" i="35" s="1"/>
  <c r="H5" i="35"/>
  <c r="E43" i="1"/>
  <c r="H39" i="57"/>
  <c r="H41" i="57"/>
  <c r="E105" i="1"/>
  <c r="E254" i="1" s="1"/>
  <c r="J91" i="35"/>
  <c r="J92" i="35" s="1"/>
  <c r="H23" i="35"/>
  <c r="H25" i="35"/>
  <c r="H26" i="35" s="1"/>
  <c r="H29" i="57"/>
  <c r="H27" i="57"/>
  <c r="H45" i="57"/>
  <c r="H47" i="57"/>
  <c r="H21" i="57"/>
  <c r="H23" i="57"/>
  <c r="H17" i="57"/>
  <c r="H15" i="57"/>
  <c r="H53" i="57"/>
  <c r="H51" i="57"/>
  <c r="H11" i="57"/>
  <c r="H71" i="57"/>
  <c r="H69" i="57"/>
  <c r="F52" i="1"/>
  <c r="D170" i="1"/>
  <c r="D169" i="1"/>
  <c r="F146" i="1"/>
  <c r="F261" i="1"/>
  <c r="H17" i="35"/>
  <c r="H19" i="35"/>
  <c r="H20" i="35" s="1"/>
  <c r="H61" i="35"/>
  <c r="H62" i="35" s="1"/>
  <c r="H59" i="35"/>
  <c r="H41" i="35"/>
  <c r="H90" i="35"/>
  <c r="H55" i="35"/>
  <c r="H56" i="35" s="1"/>
  <c r="H49" i="35"/>
  <c r="H50" i="35" s="1"/>
  <c r="H47" i="35"/>
  <c r="E48" i="1"/>
  <c r="E78" i="1"/>
  <c r="E249" i="1" s="1"/>
  <c r="E47" i="1"/>
  <c r="E41" i="1"/>
  <c r="E115" i="1"/>
  <c r="E256" i="1" s="1"/>
  <c r="E145" i="1"/>
  <c r="E260" i="1" s="1"/>
  <c r="E60" i="1"/>
  <c r="E247" i="1" s="1"/>
  <c r="E46" i="1"/>
  <c r="H13" i="35"/>
  <c r="H14" i="35" s="1"/>
  <c r="H11" i="35"/>
  <c r="H53" i="35"/>
  <c r="H67" i="35"/>
  <c r="H68" i="35" s="1"/>
  <c r="H65" i="35"/>
  <c r="H35" i="35"/>
  <c r="H77" i="35"/>
  <c r="E127" i="1"/>
  <c r="E258" i="1" s="1"/>
  <c r="E101" i="1"/>
  <c r="E253" i="1" s="1"/>
  <c r="E121" i="1"/>
  <c r="E257" i="1" s="1"/>
  <c r="E40" i="1"/>
  <c r="E109" i="1"/>
  <c r="E255" i="1" s="1"/>
  <c r="E42" i="1"/>
  <c r="E85" i="1"/>
  <c r="E250" i="1" s="1"/>
  <c r="I83" i="57"/>
  <c r="F2" i="57"/>
  <c r="F1" i="35"/>
  <c r="D57" i="1"/>
  <c r="D150" i="1"/>
  <c r="D38" i="1"/>
  <c r="D1" i="1"/>
  <c r="A14" i="123"/>
  <c r="K13" i="123"/>
  <c r="X30" i="60"/>
  <c r="D29" i="60"/>
  <c r="H29" i="60"/>
  <c r="J29" i="60"/>
  <c r="K29" i="60"/>
  <c r="L29" i="60"/>
  <c r="M29" i="60"/>
  <c r="O29" i="60"/>
  <c r="Q29" i="60"/>
  <c r="X29" i="60"/>
  <c r="G70" i="35"/>
  <c r="G76" i="57"/>
  <c r="G69" i="35"/>
  <c r="G30" i="35"/>
  <c r="G24" i="57"/>
  <c r="G89" i="35"/>
  <c r="G34" i="57"/>
  <c r="G82" i="57"/>
  <c r="G3" i="35"/>
  <c r="G6" i="57"/>
  <c r="F22" i="57"/>
  <c r="G66" i="57"/>
  <c r="G57" i="35"/>
  <c r="G72" i="35"/>
  <c r="G33" i="35"/>
  <c r="G36" i="57"/>
  <c r="G52" i="35"/>
  <c r="G48" i="57"/>
  <c r="G46" i="35"/>
  <c r="G52" i="57"/>
  <c r="G2" i="35"/>
  <c r="G50" i="57"/>
  <c r="G6" i="35"/>
  <c r="G48" i="35"/>
  <c r="H88" i="57"/>
  <c r="G44" i="57"/>
  <c r="G30" i="57"/>
  <c r="G64" i="35"/>
  <c r="G88" i="35"/>
  <c r="G42" i="57"/>
  <c r="G58" i="35"/>
  <c r="G12" i="35"/>
  <c r="G39" i="35"/>
  <c r="G8" i="57"/>
  <c r="G76" i="35"/>
  <c r="G56" i="57"/>
  <c r="G66" i="35"/>
  <c r="G51" i="35"/>
  <c r="G45" i="35"/>
  <c r="G4" i="35"/>
  <c r="G72" i="57"/>
  <c r="G16" i="57"/>
  <c r="G42" i="35"/>
  <c r="G15" i="35"/>
  <c r="G10" i="35"/>
  <c r="G78" i="35"/>
  <c r="G24" i="35"/>
  <c r="G18" i="35"/>
  <c r="H93" i="57"/>
  <c r="G75" i="35"/>
  <c r="G3" i="57"/>
  <c r="G22" i="57"/>
  <c r="G4" i="57"/>
  <c r="G74" i="57"/>
  <c r="G70" i="57"/>
  <c r="G78" i="57"/>
  <c r="G80" i="57"/>
  <c r="G54" i="57"/>
  <c r="G62" i="57"/>
  <c r="G20" i="57"/>
  <c r="G63" i="35"/>
  <c r="F57" i="35"/>
  <c r="G58" i="57"/>
  <c r="G32" i="57"/>
  <c r="G9" i="35"/>
  <c r="G12" i="57"/>
  <c r="G68" i="57"/>
  <c r="G40" i="57"/>
  <c r="G38" i="57"/>
  <c r="G28" i="35"/>
  <c r="G28" i="57"/>
  <c r="G46" i="57"/>
  <c r="G21" i="35"/>
  <c r="G54" i="35"/>
  <c r="G64" i="57"/>
  <c r="G36" i="35"/>
  <c r="G60" i="35"/>
  <c r="G27" i="35"/>
  <c r="G60" i="57"/>
  <c r="G26" i="57"/>
  <c r="G22" i="35"/>
  <c r="G34" i="35"/>
  <c r="G16" i="35"/>
  <c r="G5" i="57"/>
  <c r="G93" i="35"/>
  <c r="G14" i="57"/>
  <c r="G40" i="35"/>
  <c r="G10" i="57"/>
  <c r="G18" i="57"/>
  <c r="G55" i="57"/>
  <c r="E35" i="1"/>
  <c r="G61" i="57"/>
  <c r="H49" i="57"/>
  <c r="E31" i="1"/>
  <c r="E33" i="1"/>
  <c r="G67" i="57"/>
  <c r="H85" i="57"/>
  <c r="G37" i="57"/>
  <c r="D4" i="1"/>
  <c r="G31" i="57"/>
  <c r="D3" i="1"/>
  <c r="G13" i="57"/>
  <c r="G19" i="57"/>
  <c r="H79" i="57"/>
  <c r="E29" i="1"/>
  <c r="G73" i="57"/>
  <c r="H7" i="57"/>
  <c r="H43" i="57"/>
  <c r="H86" i="57"/>
  <c r="D58" i="1"/>
  <c r="G25" i="57"/>
  <c r="I308" i="121"/>
  <c r="E298" i="121"/>
  <c r="E292" i="121"/>
  <c r="H311" i="121"/>
  <c r="M291" i="121"/>
  <c r="J297" i="121"/>
  <c r="K295" i="121"/>
  <c r="I293" i="121"/>
  <c r="G308" i="121"/>
  <c r="J303" i="121"/>
  <c r="K291" i="121"/>
  <c r="H310" i="121"/>
  <c r="H306" i="121"/>
  <c r="H312" i="121"/>
  <c r="I306" i="121"/>
  <c r="H292" i="121"/>
  <c r="K301" i="121"/>
  <c r="G302" i="121"/>
  <c r="J306" i="121"/>
  <c r="M297" i="121"/>
  <c r="J294" i="121"/>
  <c r="E291" i="121"/>
  <c r="D298" i="121"/>
  <c r="D294" i="121"/>
  <c r="M299" i="121"/>
  <c r="D301" i="121"/>
  <c r="H296" i="121"/>
  <c r="K304" i="121"/>
  <c r="H309" i="121"/>
  <c r="I294" i="121"/>
  <c r="K302" i="121"/>
  <c r="D311" i="121"/>
  <c r="J300" i="121"/>
  <c r="F296" i="121"/>
  <c r="L302" i="121"/>
  <c r="I298" i="121"/>
  <c r="D297" i="121"/>
  <c r="M296" i="121"/>
  <c r="K307" i="121"/>
  <c r="H293" i="121"/>
  <c r="M311" i="121"/>
  <c r="F294" i="121"/>
  <c r="D291" i="121"/>
  <c r="G293" i="121"/>
  <c r="H304" i="121"/>
  <c r="M292" i="121"/>
  <c r="E312" i="121"/>
  <c r="D308" i="121"/>
  <c r="L294" i="121"/>
  <c r="G304" i="121"/>
  <c r="J298" i="121"/>
  <c r="E294" i="121"/>
  <c r="J304" i="121"/>
  <c r="E293" i="121"/>
  <c r="I304" i="121"/>
  <c r="M293" i="121"/>
  <c r="H302" i="121"/>
  <c r="E311" i="121"/>
  <c r="M303" i="121"/>
  <c r="H299" i="121"/>
  <c r="L301" i="121"/>
  <c r="H298" i="121"/>
  <c r="L306" i="121"/>
  <c r="M312" i="121"/>
  <c r="H294" i="121"/>
  <c r="D300" i="121"/>
  <c r="I296" i="121"/>
  <c r="I307" i="121"/>
  <c r="K312" i="121"/>
  <c r="K311" i="121"/>
  <c r="F300" i="121"/>
  <c r="L298" i="121"/>
  <c r="D310" i="121"/>
  <c r="M305" i="121"/>
  <c r="H297" i="121"/>
  <c r="D304" i="121"/>
  <c r="F298" i="121"/>
  <c r="J301" i="121"/>
  <c r="K309" i="121"/>
  <c r="K300" i="121"/>
  <c r="G295" i="121"/>
  <c r="L300" i="121"/>
  <c r="L304" i="121"/>
  <c r="G306" i="121"/>
  <c r="F292" i="121"/>
  <c r="E306" i="121"/>
  <c r="J305" i="121"/>
  <c r="D296" i="121"/>
  <c r="L291" i="121"/>
  <c r="M310" i="121"/>
  <c r="J310" i="121"/>
  <c r="I309" i="121"/>
  <c r="K308" i="121"/>
  <c r="D303" i="121"/>
  <c r="I300" i="121"/>
  <c r="D295" i="121"/>
  <c r="D293" i="121"/>
  <c r="I301" i="121"/>
  <c r="F293" i="121"/>
  <c r="K305" i="121"/>
  <c r="K310" i="121"/>
  <c r="D292" i="121"/>
  <c r="G300" i="121"/>
  <c r="L297" i="121"/>
  <c r="K299" i="121"/>
  <c r="D312" i="121"/>
  <c r="F309" i="121"/>
  <c r="F304" i="121"/>
  <c r="G311" i="121"/>
  <c r="D365" i="123"/>
  <c r="D222" i="123"/>
  <c r="D358" i="123"/>
  <c r="D266" i="123"/>
  <c r="D334" i="123"/>
  <c r="D366" i="123"/>
  <c r="D338" i="123"/>
  <c r="D300" i="123"/>
  <c r="D255" i="123"/>
  <c r="D348" i="123"/>
  <c r="D288" i="123"/>
  <c r="D237" i="123"/>
  <c r="D227" i="123"/>
  <c r="L293" i="121"/>
  <c r="G296" i="121"/>
  <c r="E307" i="121"/>
  <c r="F297" i="121"/>
  <c r="M307" i="121"/>
  <c r="G303" i="121"/>
  <c r="H307" i="121"/>
  <c r="K294" i="121"/>
  <c r="K297" i="121"/>
  <c r="H300" i="121"/>
  <c r="E303" i="121"/>
  <c r="H305" i="121"/>
  <c r="H295" i="121"/>
  <c r="K298" i="121"/>
  <c r="I292" i="121"/>
  <c r="L303" i="121"/>
  <c r="G307" i="121"/>
  <c r="F311" i="121"/>
  <c r="D306" i="121"/>
  <c r="K306" i="121"/>
  <c r="I312" i="121"/>
  <c r="M298" i="121"/>
  <c r="K303" i="121"/>
  <c r="E297" i="121"/>
  <c r="J308" i="121"/>
  <c r="J296" i="121"/>
  <c r="E304" i="121"/>
  <c r="F306" i="121"/>
  <c r="H308" i="121"/>
  <c r="J291" i="121"/>
  <c r="G299" i="121"/>
  <c r="G297" i="121"/>
  <c r="F310" i="121"/>
  <c r="L305" i="121"/>
  <c r="F301" i="121"/>
  <c r="G291" i="121"/>
  <c r="K296" i="121"/>
  <c r="F291" i="121"/>
  <c r="F295" i="121"/>
  <c r="F312" i="121"/>
  <c r="E309" i="121"/>
  <c r="F308" i="121"/>
  <c r="L296" i="121"/>
  <c r="G298" i="121"/>
  <c r="G294" i="121"/>
  <c r="M300" i="121"/>
  <c r="H291" i="121"/>
  <c r="L307" i="121"/>
  <c r="I311" i="121"/>
  <c r="L309" i="121"/>
  <c r="I310" i="121"/>
  <c r="G309" i="121"/>
  <c r="F305" i="121"/>
  <c r="E300" i="121"/>
  <c r="L310" i="121"/>
  <c r="L312" i="121"/>
  <c r="K292" i="121"/>
  <c r="G310" i="121"/>
  <c r="M294" i="121"/>
  <c r="L295" i="121"/>
  <c r="J311" i="121"/>
  <c r="M295" i="121"/>
  <c r="G301" i="121"/>
  <c r="E299" i="121"/>
  <c r="E296" i="121"/>
  <c r="E310" i="121"/>
  <c r="J312" i="121"/>
  <c r="F302" i="121"/>
  <c r="J307" i="121"/>
  <c r="G305" i="121"/>
  <c r="J293" i="121"/>
  <c r="F307" i="121"/>
  <c r="L311" i="121"/>
  <c r="I297" i="121"/>
  <c r="J309" i="121"/>
  <c r="G292" i="121"/>
  <c r="D307" i="121"/>
  <c r="L299" i="121"/>
  <c r="I291" i="121"/>
  <c r="M306" i="121"/>
  <c r="E295" i="121"/>
  <c r="L308" i="121"/>
  <c r="M304" i="121"/>
  <c r="J302" i="121"/>
  <c r="M308" i="121"/>
  <c r="D305" i="121"/>
  <c r="F303" i="121"/>
  <c r="J292" i="121"/>
  <c r="J299" i="121"/>
  <c r="L292" i="121"/>
  <c r="J295" i="121"/>
  <c r="E305" i="121"/>
  <c r="I302" i="121"/>
  <c r="M309" i="121"/>
  <c r="I295" i="121"/>
  <c r="E302" i="121"/>
  <c r="M301" i="121"/>
  <c r="E301" i="121"/>
  <c r="I303" i="121"/>
  <c r="I299" i="121"/>
  <c r="M302" i="121"/>
  <c r="K293" i="121"/>
  <c r="H301" i="121"/>
  <c r="D299" i="121"/>
  <c r="H303" i="121"/>
  <c r="G312" i="121"/>
  <c r="I305" i="121"/>
  <c r="F299" i="121"/>
  <c r="E308" i="121"/>
  <c r="D309" i="121"/>
  <c r="D259" i="123"/>
  <c r="D279" i="123"/>
  <c r="D347" i="123"/>
  <c r="D280" i="123"/>
  <c r="D218" i="123"/>
  <c r="D257" i="123"/>
  <c r="D346" i="123"/>
  <c r="D370" i="123"/>
  <c r="D239" i="123"/>
  <c r="D241" i="123"/>
  <c r="D296" i="123"/>
  <c r="D248" i="123"/>
  <c r="D355" i="123"/>
  <c r="D238" i="123"/>
  <c r="D231" i="123"/>
  <c r="D250" i="123"/>
  <c r="D344" i="123"/>
  <c r="D292" i="123"/>
  <c r="D281" i="123"/>
  <c r="D277" i="123"/>
  <c r="D335" i="123"/>
  <c r="I257" i="121"/>
  <c r="D254" i="123"/>
  <c r="D319" i="123"/>
  <c r="D353" i="123"/>
  <c r="D223" i="123"/>
  <c r="D232" i="123"/>
  <c r="D367" i="123"/>
  <c r="D233" i="123"/>
  <c r="D354" i="123"/>
  <c r="D234" i="123"/>
  <c r="D363" i="123"/>
  <c r="D297" i="123"/>
  <c r="D242" i="123"/>
  <c r="D375" i="123"/>
  <c r="D247" i="123"/>
  <c r="D278" i="123"/>
  <c r="D256" i="123"/>
  <c r="D220" i="123"/>
  <c r="D230" i="123"/>
  <c r="Q302" i="123"/>
  <c r="D361" i="123"/>
  <c r="D229" i="123"/>
  <c r="D295" i="123"/>
  <c r="D263" i="123"/>
  <c r="D356" i="123"/>
  <c r="D340" i="123"/>
  <c r="D258" i="123"/>
  <c r="D349" i="123"/>
  <c r="D374" i="123"/>
  <c r="D357" i="123"/>
  <c r="D336" i="123"/>
  <c r="D337" i="123"/>
  <c r="D219" i="123"/>
  <c r="D221" i="123"/>
  <c r="D272" i="123"/>
  <c r="D342" i="123"/>
  <c r="D226" i="123"/>
  <c r="D362" i="123"/>
  <c r="D228" i="123"/>
  <c r="D261" i="123"/>
  <c r="D339" i="123"/>
  <c r="D274" i="123"/>
  <c r="D318" i="123"/>
  <c r="D350" i="123"/>
  <c r="D294" i="123"/>
  <c r="D287" i="123"/>
  <c r="D359" i="123"/>
  <c r="D299" i="123"/>
  <c r="D320" i="123"/>
  <c r="D260" i="123"/>
  <c r="D249" i="123"/>
  <c r="D186" i="121"/>
  <c r="D341" i="123"/>
  <c r="D326" i="123"/>
  <c r="D360" i="123"/>
  <c r="D245" i="123"/>
  <c r="D268" i="123"/>
  <c r="D236" i="123"/>
  <c r="D270" i="123"/>
  <c r="D317" i="123"/>
  <c r="D345" i="123"/>
  <c r="D273" i="123"/>
  <c r="D286" i="123"/>
  <c r="D371" i="123"/>
  <c r="D364" i="123"/>
  <c r="D253" i="123"/>
  <c r="D323" i="123"/>
  <c r="D271" i="123"/>
  <c r="D217" i="123"/>
  <c r="D276" i="123"/>
  <c r="D269" i="123"/>
  <c r="D282" i="123"/>
  <c r="D284" i="123"/>
  <c r="D321" i="123"/>
  <c r="D322" i="123"/>
  <c r="D301" i="123"/>
  <c r="D352" i="123"/>
  <c r="D293" i="123"/>
  <c r="D216" i="123"/>
  <c r="D225" i="123"/>
  <c r="D298" i="123"/>
  <c r="D325" i="123"/>
  <c r="D251" i="123"/>
  <c r="D235" i="123"/>
  <c r="D316" i="123"/>
  <c r="D373" i="123"/>
  <c r="D369" i="123"/>
  <c r="D240" i="123"/>
  <c r="D265" i="123"/>
  <c r="D262" i="123"/>
  <c r="D291" i="123"/>
  <c r="D285" i="123"/>
  <c r="D333" i="123"/>
  <c r="D372" i="123"/>
  <c r="D264" i="123"/>
  <c r="D252" i="123"/>
  <c r="D324" i="123"/>
  <c r="D246" i="123"/>
  <c r="D368" i="123"/>
  <c r="D215" i="123"/>
  <c r="D283" i="123"/>
  <c r="D243" i="123"/>
  <c r="D351" i="123"/>
  <c r="D275" i="123"/>
  <c r="D343" i="123"/>
  <c r="Q290" i="123"/>
  <c r="Y309" i="121" l="1"/>
  <c r="Y299" i="121"/>
  <c r="Y305" i="121"/>
  <c r="Y307" i="121"/>
  <c r="Y302" i="121"/>
  <c r="Y306" i="121"/>
  <c r="Y312" i="121"/>
  <c r="Y292" i="121"/>
  <c r="Y293" i="121"/>
  <c r="Y295" i="121"/>
  <c r="Y303" i="121"/>
  <c r="Y296" i="121"/>
  <c r="Y304" i="121"/>
  <c r="Y310" i="121"/>
  <c r="Y300" i="121"/>
  <c r="Y308" i="121"/>
  <c r="Y291" i="121"/>
  <c r="Y297" i="121"/>
  <c r="Y311" i="121"/>
  <c r="Y301" i="121"/>
  <c r="Y294" i="121"/>
  <c r="Y298" i="121"/>
  <c r="E51" i="1"/>
  <c r="E52" i="1" s="1"/>
  <c r="E53" i="1"/>
  <c r="F160" i="1"/>
  <c r="H91" i="57"/>
  <c r="H87" i="57"/>
  <c r="H89" i="57" s="1"/>
  <c r="H86" i="35"/>
  <c r="H87" i="35" s="1"/>
  <c r="G82" i="35"/>
  <c r="G84" i="35"/>
  <c r="G92" i="57"/>
  <c r="G90" i="57"/>
  <c r="G84" i="57"/>
  <c r="G81" i="35"/>
  <c r="H94" i="57"/>
  <c r="I95" i="57"/>
  <c r="H83" i="35"/>
  <c r="G71" i="35"/>
  <c r="G73" i="35"/>
  <c r="G74" i="35" s="1"/>
  <c r="G77" i="57"/>
  <c r="G75" i="57"/>
  <c r="Q14" i="123"/>
  <c r="U14" i="123"/>
  <c r="N14" i="123"/>
  <c r="E159" i="1"/>
  <c r="E139" i="1"/>
  <c r="E202" i="1"/>
  <c r="G29" i="35"/>
  <c r="G31" i="35"/>
  <c r="G32" i="35" s="1"/>
  <c r="G35" i="57"/>
  <c r="G33" i="57"/>
  <c r="G79" i="35"/>
  <c r="G80" i="35" s="1"/>
  <c r="H83" i="57"/>
  <c r="G47" i="35"/>
  <c r="G23" i="35"/>
  <c r="G25" i="35"/>
  <c r="G26" i="35" s="1"/>
  <c r="G29" i="57"/>
  <c r="G27" i="57"/>
  <c r="G65" i="35"/>
  <c r="G13" i="35"/>
  <c r="G14" i="35" s="1"/>
  <c r="G11" i="35"/>
  <c r="G41" i="35"/>
  <c r="G43" i="35"/>
  <c r="G44" i="35" s="1"/>
  <c r="G17" i="35"/>
  <c r="G55" i="35"/>
  <c r="G56" i="35" s="1"/>
  <c r="G53" i="35"/>
  <c r="G37" i="35"/>
  <c r="G38" i="35" s="1"/>
  <c r="G35" i="35"/>
  <c r="G77" i="35"/>
  <c r="G90" i="35"/>
  <c r="G61" i="35"/>
  <c r="G62" i="35" s="1"/>
  <c r="G59" i="35"/>
  <c r="G49" i="35"/>
  <c r="G50" i="35" s="1"/>
  <c r="G5" i="35"/>
  <c r="G7" i="35"/>
  <c r="G8" i="35" s="1"/>
  <c r="G67" i="35"/>
  <c r="G68" i="35" s="1"/>
  <c r="G19" i="35"/>
  <c r="G20" i="35" s="1"/>
  <c r="Z153" i="121"/>
  <c r="Z162" i="121"/>
  <c r="Z158" i="121"/>
  <c r="Z161" i="121"/>
  <c r="Z159" i="121"/>
  <c r="Z167" i="121"/>
  <c r="Z163" i="121"/>
  <c r="Z157" i="121"/>
  <c r="Z164" i="121"/>
  <c r="Z169" i="121"/>
  <c r="Z156" i="121"/>
  <c r="Z166" i="121"/>
  <c r="Z154" i="121"/>
  <c r="Z160" i="121"/>
  <c r="Z165" i="121"/>
  <c r="Z168" i="121"/>
  <c r="Z155" i="121"/>
  <c r="Z152" i="121"/>
  <c r="F147" i="1"/>
  <c r="G69" i="57"/>
  <c r="G9" i="57"/>
  <c r="G63" i="57"/>
  <c r="E261" i="1"/>
  <c r="E146" i="1"/>
  <c r="G59" i="57"/>
  <c r="G11" i="57"/>
  <c r="G65" i="57"/>
  <c r="G51" i="57"/>
  <c r="G53" i="57"/>
  <c r="G21" i="57"/>
  <c r="G23" i="57"/>
  <c r="G15" i="57"/>
  <c r="D39" i="1"/>
  <c r="G71" i="57"/>
  <c r="G39" i="57"/>
  <c r="G41" i="57"/>
  <c r="G57" i="57"/>
  <c r="G17" i="57"/>
  <c r="G81" i="57"/>
  <c r="G47" i="57"/>
  <c r="G45" i="57"/>
  <c r="X32" i="60"/>
  <c r="X31" i="60"/>
  <c r="A15" i="123"/>
  <c r="K14" i="123"/>
  <c r="F40" i="57"/>
  <c r="F34" i="57"/>
  <c r="F52" i="57"/>
  <c r="F51" i="35"/>
  <c r="F6" i="35"/>
  <c r="F16" i="57"/>
  <c r="F12" i="35"/>
  <c r="G93" i="57"/>
  <c r="F33" i="35"/>
  <c r="G88" i="57"/>
  <c r="F3" i="35"/>
  <c r="F21" i="35"/>
  <c r="F66" i="35"/>
  <c r="F69" i="35"/>
  <c r="F39" i="35"/>
  <c r="F60" i="35"/>
  <c r="F72" i="35"/>
  <c r="F15" i="35"/>
  <c r="F24" i="35"/>
  <c r="F10" i="57"/>
  <c r="F75" i="35"/>
  <c r="F58" i="57"/>
  <c r="F42" i="35"/>
  <c r="F45" i="35"/>
  <c r="F2" i="35"/>
  <c r="F28" i="57"/>
  <c r="F78" i="35"/>
  <c r="F27" i="35"/>
  <c r="F88" i="35"/>
  <c r="F36" i="35"/>
  <c r="F64" i="57"/>
  <c r="F3" i="57"/>
  <c r="F82" i="57"/>
  <c r="F46" i="57"/>
  <c r="F18" i="35"/>
  <c r="F9" i="35"/>
  <c r="F76" i="57"/>
  <c r="F63" i="35"/>
  <c r="F54" i="35"/>
  <c r="F30" i="35"/>
  <c r="F48" i="35"/>
  <c r="F70" i="57"/>
  <c r="G79" i="57"/>
  <c r="G43" i="57"/>
  <c r="G86" i="57"/>
  <c r="G85" i="57"/>
  <c r="G49" i="57"/>
  <c r="G7" i="57"/>
  <c r="E160" i="1" l="1"/>
  <c r="G87" i="57"/>
  <c r="G89" i="57" s="1"/>
  <c r="G91" i="57"/>
  <c r="G86" i="35"/>
  <c r="G87" i="35" s="1"/>
  <c r="F84" i="35"/>
  <c r="F81" i="35"/>
  <c r="G94" i="57"/>
  <c r="H95" i="57"/>
  <c r="G83" i="35"/>
  <c r="Q15" i="123"/>
  <c r="U15" i="123"/>
  <c r="N15" i="123"/>
  <c r="I91" i="35"/>
  <c r="I92" i="35" s="1"/>
  <c r="H91" i="35"/>
  <c r="H92" i="35" s="1"/>
  <c r="E147" i="1"/>
  <c r="G83" i="57"/>
  <c r="A16" i="123"/>
  <c r="K15" i="123"/>
  <c r="G37" i="120"/>
  <c r="H37" i="120" s="1"/>
  <c r="G38" i="120"/>
  <c r="H38" i="120" s="1"/>
  <c r="G39" i="120"/>
  <c r="H39" i="120" s="1"/>
  <c r="G40" i="120"/>
  <c r="H40" i="120" s="1"/>
  <c r="G41" i="120"/>
  <c r="H41" i="120" s="1"/>
  <c r="G42" i="120"/>
  <c r="H42" i="120" s="1"/>
  <c r="G43" i="120"/>
  <c r="H43" i="120" s="1"/>
  <c r="G44" i="120"/>
  <c r="H44" i="120" s="1"/>
  <c r="G45" i="120"/>
  <c r="H45" i="120" s="1"/>
  <c r="G46" i="120"/>
  <c r="H46" i="120" s="1"/>
  <c r="G47" i="120"/>
  <c r="H47" i="120" s="1"/>
  <c r="G48" i="120"/>
  <c r="H48" i="120" s="1"/>
  <c r="G49" i="120"/>
  <c r="H49" i="120" s="1"/>
  <c r="G50" i="120"/>
  <c r="H50" i="120" s="1"/>
  <c r="G51" i="120"/>
  <c r="H51" i="120" s="1"/>
  <c r="G52" i="120"/>
  <c r="H52" i="120" s="1"/>
  <c r="G53" i="120"/>
  <c r="H53" i="120" s="1"/>
  <c r="G54" i="120"/>
  <c r="H54" i="120" s="1"/>
  <c r="G55" i="120"/>
  <c r="H55" i="120" s="1"/>
  <c r="G56" i="120"/>
  <c r="H56" i="120" s="1"/>
  <c r="G57" i="120"/>
  <c r="H57" i="120" s="1"/>
  <c r="G58" i="120"/>
  <c r="H58" i="120" s="1"/>
  <c r="G59" i="120"/>
  <c r="H59" i="120" s="1"/>
  <c r="G60" i="120"/>
  <c r="H60" i="120" s="1"/>
  <c r="G61" i="120"/>
  <c r="H61" i="120" s="1"/>
  <c r="G62" i="120"/>
  <c r="H62" i="120" s="1"/>
  <c r="G63" i="120"/>
  <c r="H63" i="120" s="1"/>
  <c r="G64" i="120"/>
  <c r="H64" i="120" s="1"/>
  <c r="G65" i="120"/>
  <c r="H65" i="120" s="1"/>
  <c r="G66" i="120"/>
  <c r="H66" i="120" s="1"/>
  <c r="G67" i="120"/>
  <c r="H67" i="120" s="1"/>
  <c r="G68" i="120"/>
  <c r="H68" i="120" s="1"/>
  <c r="G69" i="120"/>
  <c r="H69" i="120" s="1"/>
  <c r="G70" i="120"/>
  <c r="H70" i="120" s="1"/>
  <c r="G71" i="120"/>
  <c r="H71" i="120" s="1"/>
  <c r="G72" i="120"/>
  <c r="H72" i="120" s="1"/>
  <c r="G73" i="120"/>
  <c r="H73" i="120" s="1"/>
  <c r="G74" i="120"/>
  <c r="H74" i="120" s="1"/>
  <c r="G2" i="120"/>
  <c r="H2" i="120" s="1"/>
  <c r="G3" i="120"/>
  <c r="H3" i="120" s="1"/>
  <c r="G4" i="120"/>
  <c r="H4" i="120" s="1"/>
  <c r="G5" i="120"/>
  <c r="H5" i="120" s="1"/>
  <c r="G6" i="120"/>
  <c r="H6" i="120" s="1"/>
  <c r="G7" i="120"/>
  <c r="H7" i="120" s="1"/>
  <c r="G8" i="120"/>
  <c r="H8" i="120" s="1"/>
  <c r="G9" i="120"/>
  <c r="H9" i="120" s="1"/>
  <c r="G10" i="120"/>
  <c r="H10" i="120" s="1"/>
  <c r="G11" i="120"/>
  <c r="H11" i="120" s="1"/>
  <c r="G12" i="120"/>
  <c r="H12" i="120" s="1"/>
  <c r="G13" i="120"/>
  <c r="H13" i="120" s="1"/>
  <c r="G14" i="120"/>
  <c r="H14" i="120" s="1"/>
  <c r="G15" i="120"/>
  <c r="H15" i="120" s="1"/>
  <c r="G75" i="120"/>
  <c r="H75" i="120" s="1"/>
  <c r="G76" i="120"/>
  <c r="H76" i="120" s="1"/>
  <c r="G77" i="120"/>
  <c r="H77" i="120" s="1"/>
  <c r="G78" i="120"/>
  <c r="H78" i="120" s="1"/>
  <c r="G79" i="120"/>
  <c r="H79" i="120" s="1"/>
  <c r="G80" i="120"/>
  <c r="H80" i="120" s="1"/>
  <c r="G81" i="120"/>
  <c r="H81" i="120" s="1"/>
  <c r="G82" i="120"/>
  <c r="H82" i="120" s="1"/>
  <c r="G83" i="120"/>
  <c r="H83" i="120" s="1"/>
  <c r="G84" i="120"/>
  <c r="H84" i="120" s="1"/>
  <c r="G85" i="120"/>
  <c r="H85" i="120" s="1"/>
  <c r="G86" i="120"/>
  <c r="H86" i="120" s="1"/>
  <c r="G87" i="120"/>
  <c r="H87" i="120" s="1"/>
  <c r="G88" i="120"/>
  <c r="H88" i="120" s="1"/>
  <c r="G89" i="120"/>
  <c r="H89" i="120" s="1"/>
  <c r="G90" i="120"/>
  <c r="H90" i="120" s="1"/>
  <c r="G91" i="120"/>
  <c r="H91" i="120" s="1"/>
  <c r="G92" i="120"/>
  <c r="H92" i="120" s="1"/>
  <c r="G93" i="120"/>
  <c r="H93" i="120" s="1"/>
  <c r="G94" i="120"/>
  <c r="H94" i="120" s="1"/>
  <c r="G95" i="120"/>
  <c r="H95" i="120" s="1"/>
  <c r="G96" i="120"/>
  <c r="H96" i="120" s="1"/>
  <c r="G97" i="120"/>
  <c r="H97" i="120" s="1"/>
  <c r="G98" i="120"/>
  <c r="H98" i="120" s="1"/>
  <c r="G99" i="120"/>
  <c r="H99" i="120" s="1"/>
  <c r="G100" i="120"/>
  <c r="H100" i="120" s="1"/>
  <c r="M7" i="120"/>
  <c r="M8" i="120"/>
  <c r="M11" i="120"/>
  <c r="M12" i="120"/>
  <c r="M14" i="120"/>
  <c r="M2" i="120"/>
  <c r="N1" i="120"/>
  <c r="N13" i="120" s="1"/>
  <c r="G17" i="120"/>
  <c r="H17" i="120" s="1"/>
  <c r="M3" i="120" s="1"/>
  <c r="G18" i="120"/>
  <c r="H18" i="120" s="1"/>
  <c r="G19" i="120"/>
  <c r="H19" i="120" s="1"/>
  <c r="G20" i="120"/>
  <c r="G21" i="120"/>
  <c r="H21" i="120" s="1"/>
  <c r="G22" i="120"/>
  <c r="H22" i="120" s="1"/>
  <c r="N2" i="120" s="1"/>
  <c r="G23" i="120"/>
  <c r="H23" i="120" s="1"/>
  <c r="N3" i="120" s="1"/>
  <c r="G24" i="120"/>
  <c r="H24" i="120" s="1"/>
  <c r="G25" i="120"/>
  <c r="H25" i="120" s="1"/>
  <c r="G26" i="120"/>
  <c r="H26" i="120" s="1"/>
  <c r="N10" i="120" s="1"/>
  <c r="G27" i="120"/>
  <c r="H27" i="120" s="1"/>
  <c r="G28" i="120"/>
  <c r="H28" i="120" s="1"/>
  <c r="G29" i="120"/>
  <c r="H29" i="120" s="1"/>
  <c r="G30" i="120"/>
  <c r="H30" i="120" s="1"/>
  <c r="G31" i="120"/>
  <c r="H31" i="120" s="1"/>
  <c r="G32" i="120"/>
  <c r="H32" i="120" s="1"/>
  <c r="G33" i="120"/>
  <c r="H33" i="120" s="1"/>
  <c r="G34" i="120"/>
  <c r="H34" i="120" s="1"/>
  <c r="G35" i="120"/>
  <c r="H35" i="120" s="1"/>
  <c r="G36" i="120"/>
  <c r="H36" i="120" s="1"/>
  <c r="G16" i="120"/>
  <c r="T29" i="60"/>
  <c r="V29" i="60"/>
  <c r="G95" i="57" l="1"/>
  <c r="Q16" i="123"/>
  <c r="U16" i="123"/>
  <c r="N16" i="123"/>
  <c r="N9" i="120"/>
  <c r="G91" i="35"/>
  <c r="G92" i="35" s="1"/>
  <c r="N7" i="120"/>
  <c r="N8" i="120"/>
  <c r="N11" i="120"/>
  <c r="N14" i="120"/>
  <c r="N12" i="120"/>
  <c r="O1" i="120"/>
  <c r="N4" i="120"/>
  <c r="A17" i="123"/>
  <c r="K16" i="123"/>
  <c r="H16" i="120"/>
  <c r="M9" i="120" s="1"/>
  <c r="M10" i="120"/>
  <c r="H20" i="120"/>
  <c r="M4" i="120"/>
  <c r="I29" i="60"/>
  <c r="C29" i="60"/>
  <c r="E285" i="121"/>
  <c r="E284" i="121"/>
  <c r="D289" i="121"/>
  <c r="J275" i="121"/>
  <c r="D287" i="121"/>
  <c r="F275" i="121"/>
  <c r="J289" i="121"/>
  <c r="D272" i="121"/>
  <c r="D34" i="1"/>
  <c r="G290" i="121"/>
  <c r="G270" i="121"/>
  <c r="J281" i="121"/>
  <c r="J279" i="121"/>
  <c r="E279" i="121"/>
  <c r="E280" i="121"/>
  <c r="G288" i="121"/>
  <c r="L278" i="121"/>
  <c r="D275" i="121"/>
  <c r="J272" i="121"/>
  <c r="F283" i="121"/>
  <c r="L287" i="121"/>
  <c r="H287" i="121"/>
  <c r="E287" i="121"/>
  <c r="D28" i="1"/>
  <c r="K278" i="121"/>
  <c r="D277" i="121"/>
  <c r="K281" i="121"/>
  <c r="H280" i="121"/>
  <c r="G271" i="121"/>
  <c r="J282" i="121"/>
  <c r="K287" i="121"/>
  <c r="H273" i="121"/>
  <c r="G289" i="121"/>
  <c r="K284" i="121"/>
  <c r="K275" i="121"/>
  <c r="G281" i="121"/>
  <c r="D269" i="121"/>
  <c r="I278" i="121"/>
  <c r="G284" i="121"/>
  <c r="F284" i="121"/>
  <c r="G275" i="121"/>
  <c r="D285" i="121"/>
  <c r="M290" i="121"/>
  <c r="E283" i="121"/>
  <c r="M275" i="121"/>
  <c r="J283" i="121"/>
  <c r="J276" i="121"/>
  <c r="I284" i="121"/>
  <c r="D282" i="121"/>
  <c r="H274" i="121"/>
  <c r="M272" i="121"/>
  <c r="H270" i="121"/>
  <c r="F287" i="121"/>
  <c r="L279" i="121"/>
  <c r="J277" i="121"/>
  <c r="H279" i="121"/>
  <c r="J273" i="121"/>
  <c r="F271" i="121"/>
  <c r="I271" i="121"/>
  <c r="M270" i="121"/>
  <c r="I273" i="121"/>
  <c r="M280" i="121"/>
  <c r="F286" i="121"/>
  <c r="H271" i="121"/>
  <c r="F274" i="121"/>
  <c r="L281" i="121"/>
  <c r="E277" i="121"/>
  <c r="K286" i="121"/>
  <c r="G273" i="121"/>
  <c r="F281" i="121"/>
  <c r="I280" i="121"/>
  <c r="F276" i="121"/>
  <c r="L269" i="121"/>
  <c r="L271" i="121"/>
  <c r="G280" i="121"/>
  <c r="E270" i="121"/>
  <c r="I277" i="121"/>
  <c r="M279" i="121"/>
  <c r="I286" i="121"/>
  <c r="H286" i="121"/>
  <c r="J269" i="121"/>
  <c r="J274" i="121"/>
  <c r="I290" i="121"/>
  <c r="G285" i="121"/>
  <c r="E271" i="121"/>
  <c r="M271" i="121"/>
  <c r="M281" i="121"/>
  <c r="I288" i="121"/>
  <c r="H282" i="121"/>
  <c r="L285" i="121"/>
  <c r="M282" i="121"/>
  <c r="D286" i="121"/>
  <c r="M276" i="121"/>
  <c r="M273" i="121"/>
  <c r="I279" i="121"/>
  <c r="E288" i="121"/>
  <c r="J271" i="121"/>
  <c r="D280" i="121"/>
  <c r="D274" i="121"/>
  <c r="G276" i="121"/>
  <c r="I270" i="121"/>
  <c r="L272" i="121"/>
  <c r="K288" i="121"/>
  <c r="M289" i="121"/>
  <c r="D284" i="121"/>
  <c r="E273" i="121"/>
  <c r="L283" i="121"/>
  <c r="E281" i="121"/>
  <c r="F290" i="121"/>
  <c r="H281" i="121"/>
  <c r="K274" i="121"/>
  <c r="L276" i="121"/>
  <c r="K280" i="121"/>
  <c r="I282" i="121"/>
  <c r="F279" i="121"/>
  <c r="H269" i="121"/>
  <c r="J270" i="121"/>
  <c r="J287" i="121"/>
  <c r="L290" i="121"/>
  <c r="D283" i="121"/>
  <c r="J290" i="121"/>
  <c r="J278" i="121"/>
  <c r="E272" i="121"/>
  <c r="F289" i="121"/>
  <c r="I283" i="121"/>
  <c r="G283" i="121"/>
  <c r="K277" i="121"/>
  <c r="G286" i="121"/>
  <c r="E278" i="121"/>
  <c r="F272" i="121"/>
  <c r="L282" i="121"/>
  <c r="L275" i="121"/>
  <c r="K276" i="121"/>
  <c r="E275" i="121"/>
  <c r="E290" i="121"/>
  <c r="H289" i="121"/>
  <c r="L273" i="121"/>
  <c r="K289" i="121"/>
  <c r="F270" i="121"/>
  <c r="G277" i="121"/>
  <c r="D278" i="121"/>
  <c r="M285" i="121"/>
  <c r="I287" i="121"/>
  <c r="K279" i="121"/>
  <c r="D281" i="121"/>
  <c r="F277" i="121"/>
  <c r="M287" i="121"/>
  <c r="H276" i="121"/>
  <c r="I281" i="121"/>
  <c r="M269" i="121"/>
  <c r="H288" i="121"/>
  <c r="M283" i="121"/>
  <c r="F278" i="121"/>
  <c r="E269" i="121"/>
  <c r="I275" i="121"/>
  <c r="F280" i="121"/>
  <c r="M284" i="121"/>
  <c r="L288" i="121"/>
  <c r="G274" i="121"/>
  <c r="J285" i="121"/>
  <c r="K282" i="121"/>
  <c r="K283" i="121"/>
  <c r="F273" i="121"/>
  <c r="G279" i="121"/>
  <c r="I272" i="121"/>
  <c r="I289" i="121"/>
  <c r="D276" i="121"/>
  <c r="K273" i="121"/>
  <c r="L280" i="121"/>
  <c r="H272" i="121"/>
  <c r="K269" i="121"/>
  <c r="L270" i="121"/>
  <c r="G278" i="121"/>
  <c r="H275" i="121"/>
  <c r="I285" i="121"/>
  <c r="D290" i="121"/>
  <c r="K290" i="121"/>
  <c r="G272" i="121"/>
  <c r="G287" i="121"/>
  <c r="J280" i="121"/>
  <c r="E276" i="121"/>
  <c r="D271" i="121"/>
  <c r="K285" i="121"/>
  <c r="J288" i="121"/>
  <c r="I269" i="121"/>
  <c r="E289" i="121"/>
  <c r="L274" i="121"/>
  <c r="M288" i="121"/>
  <c r="M274" i="121"/>
  <c r="H284" i="121"/>
  <c r="F269" i="121"/>
  <c r="G282" i="121"/>
  <c r="K271" i="121"/>
  <c r="D74" i="1"/>
  <c r="F285" i="121"/>
  <c r="D32" i="1"/>
  <c r="I274" i="121"/>
  <c r="F282" i="121"/>
  <c r="L286" i="121"/>
  <c r="I276" i="121"/>
  <c r="K272" i="121"/>
  <c r="E274" i="121"/>
  <c r="L284" i="121"/>
  <c r="H277" i="121"/>
  <c r="M277" i="121"/>
  <c r="E286" i="121"/>
  <c r="K270" i="121"/>
  <c r="D30" i="1"/>
  <c r="H278" i="121"/>
  <c r="L289" i="121"/>
  <c r="D279" i="121"/>
  <c r="M286" i="121"/>
  <c r="L277" i="121"/>
  <c r="D273" i="121"/>
  <c r="E282" i="121"/>
  <c r="H285" i="121"/>
  <c r="D270" i="121"/>
  <c r="H290" i="121"/>
  <c r="G269" i="121"/>
  <c r="M278" i="121"/>
  <c r="F288" i="121"/>
  <c r="J284" i="121"/>
  <c r="D288" i="121"/>
  <c r="J286" i="121"/>
  <c r="H283" i="121"/>
  <c r="Y283" i="121" l="1"/>
  <c r="Y288" i="121"/>
  <c r="Y284" i="121"/>
  <c r="Y274" i="121"/>
  <c r="Y280" i="121"/>
  <c r="Y270" i="121"/>
  <c r="Y273" i="121"/>
  <c r="Y286" i="121"/>
  <c r="Y279" i="121"/>
  <c r="Y271" i="121"/>
  <c r="Y290" i="121"/>
  <c r="Y282" i="121"/>
  <c r="Y276" i="121"/>
  <c r="Y285" i="121"/>
  <c r="Y269" i="121"/>
  <c r="Y277" i="121"/>
  <c r="Y281" i="121"/>
  <c r="Y278" i="121"/>
  <c r="Y275" i="121"/>
  <c r="D49" i="1"/>
  <c r="Y272" i="121"/>
  <c r="Y287" i="121"/>
  <c r="Y289" i="121"/>
  <c r="O8" i="120"/>
  <c r="O13" i="120"/>
  <c r="Q17" i="123"/>
  <c r="U17" i="123"/>
  <c r="N17" i="123"/>
  <c r="N15" i="120"/>
  <c r="O10" i="120"/>
  <c r="O9" i="120"/>
  <c r="O12" i="120"/>
  <c r="O2" i="120"/>
  <c r="O7" i="120"/>
  <c r="O11" i="120"/>
  <c r="O14" i="120"/>
  <c r="P1" i="120"/>
  <c r="P13" i="120" s="1"/>
  <c r="O3" i="120"/>
  <c r="O4" i="120"/>
  <c r="S29" i="60"/>
  <c r="W29" i="60"/>
  <c r="AC29" i="60"/>
  <c r="Z29" i="60"/>
  <c r="AA29" i="60"/>
  <c r="Y29" i="60"/>
  <c r="A18" i="123"/>
  <c r="K17" i="123"/>
  <c r="P29" i="60"/>
  <c r="R29" i="60"/>
  <c r="M15" i="120"/>
  <c r="D33" i="1"/>
  <c r="D31" i="1"/>
  <c r="D29" i="1"/>
  <c r="D35" i="1"/>
  <c r="Q18" i="123" l="1"/>
  <c r="U18" i="123"/>
  <c r="N18" i="123"/>
  <c r="Q1" i="120"/>
  <c r="Q13" i="120" s="1"/>
  <c r="P2" i="120"/>
  <c r="P7" i="120"/>
  <c r="P8" i="120"/>
  <c r="P10" i="120"/>
  <c r="P11" i="120"/>
  <c r="P14" i="120"/>
  <c r="P12" i="120"/>
  <c r="P4" i="120"/>
  <c r="P3" i="120"/>
  <c r="P9" i="120"/>
  <c r="O15" i="120"/>
  <c r="A19" i="123"/>
  <c r="K18" i="123"/>
  <c r="Q19" i="123" l="1"/>
  <c r="U19" i="123"/>
  <c r="N19" i="123"/>
  <c r="P15" i="120"/>
  <c r="R1" i="120"/>
  <c r="R13" i="120" s="1"/>
  <c r="Q12" i="120"/>
  <c r="Q2" i="120"/>
  <c r="Q3" i="120"/>
  <c r="Q4" i="120"/>
  <c r="Q7" i="120"/>
  <c r="Q8" i="120"/>
  <c r="Q9" i="120"/>
  <c r="Q10" i="120"/>
  <c r="Q11" i="120"/>
  <c r="Q14" i="120"/>
  <c r="A20" i="123"/>
  <c r="K19" i="123"/>
  <c r="Q20" i="123" l="1"/>
  <c r="U20" i="123"/>
  <c r="N20" i="123"/>
  <c r="Q15" i="120"/>
  <c r="S1" i="120"/>
  <c r="S13" i="120" s="1"/>
  <c r="R2" i="120"/>
  <c r="R7" i="120"/>
  <c r="R8" i="120"/>
  <c r="R11" i="120"/>
  <c r="R14" i="120"/>
  <c r="R12" i="120"/>
  <c r="R4" i="120"/>
  <c r="R9" i="120"/>
  <c r="R10" i="120"/>
  <c r="R3" i="120"/>
  <c r="AD29" i="60"/>
  <c r="A21" i="123"/>
  <c r="K20" i="123"/>
  <c r="Q21" i="123" l="1"/>
  <c r="U21" i="123"/>
  <c r="N21" i="123"/>
  <c r="T1" i="120"/>
  <c r="T13" i="120" s="1"/>
  <c r="S3" i="120"/>
  <c r="S4" i="120"/>
  <c r="S9" i="120"/>
  <c r="S10" i="120"/>
  <c r="S12" i="120"/>
  <c r="S2" i="120"/>
  <c r="S7" i="120"/>
  <c r="S8" i="120"/>
  <c r="S11" i="120"/>
  <c r="S14" i="120"/>
  <c r="R15" i="120"/>
  <c r="Z38" i="121"/>
  <c r="Z28" i="121"/>
  <c r="Z94" i="121"/>
  <c r="Z113" i="121"/>
  <c r="Z67" i="121"/>
  <c r="Z122" i="121"/>
  <c r="Z103" i="121"/>
  <c r="Z140" i="121"/>
  <c r="Z85" i="121"/>
  <c r="Z130" i="121"/>
  <c r="Z58" i="121"/>
  <c r="Z104" i="121"/>
  <c r="Z76" i="121"/>
  <c r="Z19" i="121"/>
  <c r="Z48" i="121"/>
  <c r="Z112" i="121"/>
  <c r="Z95" i="121"/>
  <c r="Z121" i="121"/>
  <c r="Z9" i="121"/>
  <c r="A22" i="123"/>
  <c r="K21" i="123"/>
  <c r="Q22" i="123" l="1"/>
  <c r="U22" i="123"/>
  <c r="N22" i="123"/>
  <c r="S15" i="120"/>
  <c r="T2" i="120"/>
  <c r="T7" i="120"/>
  <c r="T8" i="120"/>
  <c r="T11" i="120"/>
  <c r="T14" i="120"/>
  <c r="T3" i="120"/>
  <c r="T4" i="120"/>
  <c r="T9" i="120"/>
  <c r="T10" i="120"/>
  <c r="T12" i="120"/>
  <c r="U1" i="120"/>
  <c r="U13" i="120" s="1"/>
  <c r="A23" i="123"/>
  <c r="K22" i="123"/>
  <c r="Q23" i="123" l="1"/>
  <c r="U23" i="123"/>
  <c r="N23" i="123"/>
  <c r="U3" i="120"/>
  <c r="U4" i="120"/>
  <c r="U9" i="120"/>
  <c r="U10" i="120"/>
  <c r="U12" i="120"/>
  <c r="U2" i="120"/>
  <c r="U7" i="120"/>
  <c r="U8" i="120"/>
  <c r="U11" i="120"/>
  <c r="U14" i="120"/>
  <c r="V1" i="120"/>
  <c r="V13" i="120" s="1"/>
  <c r="T15" i="120"/>
  <c r="A24" i="123"/>
  <c r="K23" i="123"/>
  <c r="Q24" i="123" l="1"/>
  <c r="U24" i="123"/>
  <c r="N24" i="123"/>
  <c r="W1" i="120"/>
  <c r="W13" i="120" s="1"/>
  <c r="V2" i="120"/>
  <c r="V8" i="120"/>
  <c r="V11" i="120"/>
  <c r="V14" i="120"/>
  <c r="V4" i="120"/>
  <c r="V9" i="120"/>
  <c r="V10" i="120"/>
  <c r="V7" i="120"/>
  <c r="V12" i="120"/>
  <c r="V3" i="120"/>
  <c r="U15" i="120"/>
  <c r="A25" i="123"/>
  <c r="K24" i="123"/>
  <c r="F18" i="112"/>
  <c r="Q25" i="123" l="1"/>
  <c r="U25" i="123"/>
  <c r="N25" i="123"/>
  <c r="V15" i="120"/>
  <c r="X1" i="120"/>
  <c r="X13" i="120" s="1"/>
  <c r="W9" i="120"/>
  <c r="W8" i="120"/>
  <c r="W11" i="120"/>
  <c r="W14" i="120"/>
  <c r="W10" i="120"/>
  <c r="W7" i="120"/>
  <c r="W3" i="120"/>
  <c r="W2" i="120"/>
  <c r="W12" i="120"/>
  <c r="W4" i="120"/>
  <c r="A26" i="123"/>
  <c r="K25" i="123"/>
  <c r="X18" i="41"/>
  <c r="Q26" i="123" l="1"/>
  <c r="U26" i="123"/>
  <c r="N26" i="123"/>
  <c r="W15" i="120"/>
  <c r="Y1" i="120"/>
  <c r="Y13" i="120" s="1"/>
  <c r="X8" i="120"/>
  <c r="X11" i="120"/>
  <c r="X9" i="120"/>
  <c r="X10" i="120"/>
  <c r="X12" i="120"/>
  <c r="X2" i="120"/>
  <c r="X3" i="120"/>
  <c r="X7" i="120"/>
  <c r="X14" i="120"/>
  <c r="X4" i="120"/>
  <c r="A27" i="123"/>
  <c r="K26" i="123"/>
  <c r="Q27" i="123" l="1"/>
  <c r="U27" i="123"/>
  <c r="N27" i="123"/>
  <c r="X15" i="120"/>
  <c r="Z1" i="120"/>
  <c r="Z13" i="120" s="1"/>
  <c r="Y4" i="120"/>
  <c r="Y7" i="120"/>
  <c r="Y9" i="120"/>
  <c r="Y10" i="120"/>
  <c r="Y12" i="120"/>
  <c r="Y2" i="120"/>
  <c r="Y3" i="120"/>
  <c r="Y8" i="120"/>
  <c r="Y11" i="120"/>
  <c r="Y14" i="120"/>
  <c r="A28" i="123"/>
  <c r="K27" i="123"/>
  <c r="Q28" i="123" l="1"/>
  <c r="U28" i="123"/>
  <c r="N28" i="123"/>
  <c r="Y15" i="120"/>
  <c r="AA1" i="120"/>
  <c r="AA13" i="120" s="1"/>
  <c r="Z2" i="120"/>
  <c r="Z3" i="120"/>
  <c r="Z8" i="120"/>
  <c r="Z11" i="120"/>
  <c r="Z4" i="120"/>
  <c r="Z7" i="120"/>
  <c r="Z9" i="120"/>
  <c r="Z10" i="120"/>
  <c r="Z12" i="120"/>
  <c r="Z14" i="120"/>
  <c r="A29" i="123"/>
  <c r="K28" i="123"/>
  <c r="Z545" i="9"/>
  <c r="Z422" i="9"/>
  <c r="Z380" i="9"/>
  <c r="Z339" i="9"/>
  <c r="Z297" i="9"/>
  <c r="Z256" i="9"/>
  <c r="Z216" i="9"/>
  <c r="Z53" i="9"/>
  <c r="AA150" i="1"/>
  <c r="AA145" i="1"/>
  <c r="AA260" i="1" s="1"/>
  <c r="AA109" i="1"/>
  <c r="AA255" i="1" s="1"/>
  <c r="AA105" i="1"/>
  <c r="AA254" i="1" s="1"/>
  <c r="AA247" i="1"/>
  <c r="AA57" i="1"/>
  <c r="AA39" i="1"/>
  <c r="AA38" i="1"/>
  <c r="Q29" i="123" l="1"/>
  <c r="U29" i="123"/>
  <c r="N29" i="123"/>
  <c r="AB1" i="120"/>
  <c r="AA4" i="120"/>
  <c r="AA7" i="120"/>
  <c r="AA9" i="120"/>
  <c r="AA10" i="120"/>
  <c r="AA12" i="120"/>
  <c r="AA2" i="120"/>
  <c r="AA3" i="120"/>
  <c r="AA8" i="120"/>
  <c r="AA11" i="120"/>
  <c r="AA14" i="120"/>
  <c r="Z15" i="120"/>
  <c r="AA127" i="1"/>
  <c r="AA258" i="1" s="1"/>
  <c r="K29" i="123"/>
  <c r="A30" i="123"/>
  <c r="AD7" i="60"/>
  <c r="AA85" i="1"/>
  <c r="AA101" i="1"/>
  <c r="AA121" i="1"/>
  <c r="AA115" i="1"/>
  <c r="AB5" i="120" l="1"/>
  <c r="AB13" i="120"/>
  <c r="AA253" i="1"/>
  <c r="AA257" i="1"/>
  <c r="AA250" i="1"/>
  <c r="AA256" i="1"/>
  <c r="Q30" i="123"/>
  <c r="U30" i="123"/>
  <c r="N30" i="123"/>
  <c r="AA15" i="120"/>
  <c r="AC1" i="120"/>
  <c r="AB2" i="120"/>
  <c r="AB3" i="120"/>
  <c r="AB8" i="120"/>
  <c r="AB11" i="120"/>
  <c r="AB4" i="120"/>
  <c r="AB7" i="120"/>
  <c r="AB9" i="120"/>
  <c r="AB10" i="120"/>
  <c r="AB12" i="120"/>
  <c r="AB14" i="120"/>
  <c r="A31" i="123"/>
  <c r="K30" i="123"/>
  <c r="AD2" i="35"/>
  <c r="AC100" i="35"/>
  <c r="AC5" i="120" l="1"/>
  <c r="AC13" i="120"/>
  <c r="Q31" i="123"/>
  <c r="U31" i="123"/>
  <c r="N31" i="123"/>
  <c r="AA261" i="1"/>
  <c r="AD1" i="120"/>
  <c r="AC4" i="120"/>
  <c r="AC7" i="120"/>
  <c r="AC9" i="120"/>
  <c r="AC10" i="120"/>
  <c r="AC12" i="120"/>
  <c r="AC2" i="120"/>
  <c r="AC3" i="120"/>
  <c r="AC8" i="120"/>
  <c r="AC11" i="120"/>
  <c r="AC14" i="120"/>
  <c r="AB15" i="120"/>
  <c r="AE2" i="35"/>
  <c r="A32" i="123"/>
  <c r="K31" i="123"/>
  <c r="AD5" i="120" l="1"/>
  <c r="AD13" i="120"/>
  <c r="Q32" i="123"/>
  <c r="U32" i="123"/>
  <c r="N32" i="123"/>
  <c r="C30" i="169"/>
  <c r="AC15" i="120"/>
  <c r="AE1" i="120"/>
  <c r="AD2" i="120"/>
  <c r="AD3" i="120"/>
  <c r="AD8" i="120"/>
  <c r="AD11" i="120"/>
  <c r="AD4" i="120"/>
  <c r="AD7" i="120"/>
  <c r="AD9" i="120"/>
  <c r="AD10" i="120"/>
  <c r="AD12" i="120"/>
  <c r="AD14" i="120"/>
  <c r="A33" i="123"/>
  <c r="K32" i="123"/>
  <c r="AC94" i="35"/>
  <c r="Z103" i="9"/>
  <c r="AE5" i="120" l="1"/>
  <c r="AE13" i="120"/>
  <c r="Q33" i="123"/>
  <c r="U33" i="123"/>
  <c r="N33" i="123"/>
  <c r="AF1" i="120"/>
  <c r="AE4" i="120"/>
  <c r="AE7" i="120"/>
  <c r="AE9" i="120"/>
  <c r="AE10" i="120"/>
  <c r="AE12" i="120"/>
  <c r="AE2" i="120"/>
  <c r="AE3" i="120"/>
  <c r="AE8" i="120"/>
  <c r="AE11" i="120"/>
  <c r="AE14" i="120"/>
  <c r="AD15" i="120"/>
  <c r="A34" i="123"/>
  <c r="K33" i="123"/>
  <c r="Z226" i="9"/>
  <c r="Z432" i="9"/>
  <c r="Z266" i="9"/>
  <c r="Z63" i="9"/>
  <c r="Z349" i="9"/>
  <c r="Z514" i="9" s="1"/>
  <c r="Z390" i="9"/>
  <c r="AC98" i="35"/>
  <c r="AF6" i="120" l="1"/>
  <c r="AF13" i="120"/>
  <c r="Q34" i="123"/>
  <c r="U34" i="123"/>
  <c r="N34" i="123"/>
  <c r="AF5" i="120"/>
  <c r="AG1" i="120"/>
  <c r="AE15" i="120"/>
  <c r="AF2" i="120"/>
  <c r="AF3" i="120"/>
  <c r="AF8" i="120"/>
  <c r="AF11" i="120"/>
  <c r="AF4" i="120"/>
  <c r="AF7" i="120"/>
  <c r="AF9" i="120"/>
  <c r="AF10" i="120"/>
  <c r="AF12" i="120"/>
  <c r="AF14" i="120"/>
  <c r="A35" i="123"/>
  <c r="K34" i="123"/>
  <c r="AG6" i="120" l="1"/>
  <c r="AG13" i="120"/>
  <c r="Q35" i="123"/>
  <c r="U35" i="123"/>
  <c r="N35" i="123"/>
  <c r="AH1" i="120"/>
  <c r="AG2" i="120"/>
  <c r="AG3" i="120"/>
  <c r="AG4" i="120"/>
  <c r="AG5" i="120"/>
  <c r="AG7" i="120"/>
  <c r="AG8" i="120"/>
  <c r="AG9" i="120"/>
  <c r="AG10" i="120"/>
  <c r="AG11" i="120"/>
  <c r="AG12" i="120"/>
  <c r="AG14" i="120"/>
  <c r="AF15" i="120"/>
  <c r="A36" i="123"/>
  <c r="K35" i="123"/>
  <c r="AH6" i="120" l="1"/>
  <c r="AH13" i="120"/>
  <c r="Q36" i="123"/>
  <c r="U36" i="123"/>
  <c r="N36" i="123"/>
  <c r="AG15" i="120"/>
  <c r="AI1" i="120"/>
  <c r="AH2" i="120"/>
  <c r="AH3" i="120"/>
  <c r="AH4" i="120"/>
  <c r="AH5" i="120"/>
  <c r="AH7" i="120"/>
  <c r="AH8" i="120"/>
  <c r="AH9" i="120"/>
  <c r="AH10" i="120"/>
  <c r="AH11" i="120"/>
  <c r="AH12" i="120"/>
  <c r="AH14" i="120"/>
  <c r="A37" i="123"/>
  <c r="K36" i="123"/>
  <c r="L265" i="121"/>
  <c r="G260" i="121"/>
  <c r="G261" i="121"/>
  <c r="D247" i="121"/>
  <c r="I259" i="121"/>
  <c r="I265" i="121"/>
  <c r="L266" i="121"/>
  <c r="D255" i="121"/>
  <c r="M263" i="121"/>
  <c r="K260" i="121"/>
  <c r="M258" i="121"/>
  <c r="D261" i="121"/>
  <c r="K247" i="121"/>
  <c r="K261" i="121"/>
  <c r="M252" i="121"/>
  <c r="M260" i="121"/>
  <c r="G263" i="121"/>
  <c r="G257" i="121"/>
  <c r="M248" i="121"/>
  <c r="F267" i="121"/>
  <c r="I267" i="121"/>
  <c r="E266" i="121"/>
  <c r="I252" i="121"/>
  <c r="H265" i="121"/>
  <c r="L255" i="121"/>
  <c r="K256" i="121"/>
  <c r="D132" i="1"/>
  <c r="I255" i="121"/>
  <c r="J260" i="121"/>
  <c r="M256" i="121"/>
  <c r="F257" i="121"/>
  <c r="D258" i="121"/>
  <c r="H253" i="121"/>
  <c r="E257" i="121"/>
  <c r="J256" i="121"/>
  <c r="D130" i="1"/>
  <c r="L258" i="121"/>
  <c r="I268" i="121"/>
  <c r="L251" i="121"/>
  <c r="L259" i="121"/>
  <c r="L257" i="121"/>
  <c r="G255" i="121"/>
  <c r="J250" i="121"/>
  <c r="D253" i="121"/>
  <c r="E259" i="121"/>
  <c r="L252" i="121"/>
  <c r="K254" i="121"/>
  <c r="G258" i="121"/>
  <c r="D266" i="121"/>
  <c r="J252" i="121"/>
  <c r="E247" i="121"/>
  <c r="H255" i="121"/>
  <c r="K263" i="121"/>
  <c r="F249" i="121"/>
  <c r="M250" i="121"/>
  <c r="E268" i="121"/>
  <c r="J262" i="121"/>
  <c r="F85" i="35"/>
  <c r="M265" i="121"/>
  <c r="G259" i="121"/>
  <c r="H259" i="121"/>
  <c r="M247" i="121"/>
  <c r="G249" i="121"/>
  <c r="F263" i="121"/>
  <c r="K250" i="121"/>
  <c r="K252" i="121"/>
  <c r="F265" i="121"/>
  <c r="M259" i="121"/>
  <c r="I266" i="121"/>
  <c r="D268" i="121"/>
  <c r="J253" i="121"/>
  <c r="H263" i="121"/>
  <c r="F252" i="121"/>
  <c r="E255" i="121"/>
  <c r="E262" i="121"/>
  <c r="J266" i="121"/>
  <c r="F247" i="121"/>
  <c r="F264" i="121"/>
  <c r="H250" i="121"/>
  <c r="H267" i="121"/>
  <c r="K264" i="121"/>
  <c r="H262" i="121"/>
  <c r="H266" i="121"/>
  <c r="M254" i="121"/>
  <c r="I253" i="121"/>
  <c r="D263" i="121"/>
  <c r="E265" i="121"/>
  <c r="K267" i="121"/>
  <c r="M257" i="121"/>
  <c r="K265" i="121"/>
  <c r="M253" i="121"/>
  <c r="I248" i="121"/>
  <c r="G247" i="121"/>
  <c r="H261" i="121"/>
  <c r="H260" i="121"/>
  <c r="E254" i="121"/>
  <c r="F96" i="57"/>
  <c r="L264" i="121"/>
  <c r="G265" i="121"/>
  <c r="K258" i="121"/>
  <c r="D262" i="121"/>
  <c r="I262" i="121"/>
  <c r="D260" i="121"/>
  <c r="D248" i="121"/>
  <c r="I258" i="121"/>
  <c r="L247" i="121"/>
  <c r="E261" i="121"/>
  <c r="H258" i="121"/>
  <c r="I261" i="121"/>
  <c r="F256" i="121"/>
  <c r="L248" i="121"/>
  <c r="J248" i="121"/>
  <c r="L263" i="121"/>
  <c r="H247" i="121"/>
  <c r="M251" i="121"/>
  <c r="J255" i="121"/>
  <c r="J264" i="121"/>
  <c r="E263" i="121"/>
  <c r="G253" i="121"/>
  <c r="L268" i="121"/>
  <c r="F262" i="121"/>
  <c r="D257" i="121"/>
  <c r="H268" i="121"/>
  <c r="F266" i="121"/>
  <c r="H254" i="121"/>
  <c r="M255" i="121"/>
  <c r="I250" i="121"/>
  <c r="L260" i="121"/>
  <c r="K262" i="121"/>
  <c r="K253" i="121"/>
  <c r="G262" i="121"/>
  <c r="I247" i="121"/>
  <c r="H264" i="121"/>
  <c r="G264" i="121"/>
  <c r="F250" i="121"/>
  <c r="E249" i="121"/>
  <c r="I249" i="121"/>
  <c r="E264" i="121"/>
  <c r="D249" i="121"/>
  <c r="I251" i="121"/>
  <c r="H248" i="121"/>
  <c r="K248" i="121"/>
  <c r="M266" i="121"/>
  <c r="F251" i="121"/>
  <c r="D251" i="121"/>
  <c r="E252" i="121"/>
  <c r="G266" i="121"/>
  <c r="J257" i="121"/>
  <c r="J247" i="121"/>
  <c r="G252" i="121"/>
  <c r="D256" i="121"/>
  <c r="F261" i="121"/>
  <c r="J254" i="121"/>
  <c r="I260" i="121"/>
  <c r="J258" i="121"/>
  <c r="E251" i="121"/>
  <c r="F260" i="121"/>
  <c r="K249" i="121"/>
  <c r="J259" i="121"/>
  <c r="F248" i="121"/>
  <c r="D129" i="1"/>
  <c r="E258" i="121"/>
  <c r="L256" i="121"/>
  <c r="E260" i="121"/>
  <c r="F253" i="121"/>
  <c r="E256" i="121"/>
  <c r="M262" i="121"/>
  <c r="E248" i="121"/>
  <c r="G267" i="121"/>
  <c r="K268" i="121"/>
  <c r="G251" i="121"/>
  <c r="H257" i="121"/>
  <c r="J251" i="121"/>
  <c r="J268" i="121"/>
  <c r="F268" i="121"/>
  <c r="E253" i="121"/>
  <c r="D131" i="1"/>
  <c r="E267" i="121"/>
  <c r="J261" i="121"/>
  <c r="G254" i="121"/>
  <c r="M268" i="121"/>
  <c r="D265" i="121"/>
  <c r="D250" i="121"/>
  <c r="D254" i="121"/>
  <c r="I263" i="121"/>
  <c r="D128" i="1"/>
  <c r="M264" i="121"/>
  <c r="J265" i="121"/>
  <c r="K266" i="121"/>
  <c r="I256" i="121"/>
  <c r="L253" i="121"/>
  <c r="H251" i="121"/>
  <c r="D267" i="121"/>
  <c r="L267" i="121"/>
  <c r="G250" i="121"/>
  <c r="D252" i="121"/>
  <c r="K257" i="121"/>
  <c r="G248" i="121"/>
  <c r="D264" i="121"/>
  <c r="L250" i="121"/>
  <c r="F254" i="121"/>
  <c r="I254" i="121"/>
  <c r="H256" i="121"/>
  <c r="J267" i="121"/>
  <c r="J263" i="121"/>
  <c r="H252" i="121"/>
  <c r="D259" i="121"/>
  <c r="M249" i="121"/>
  <c r="E250" i="121"/>
  <c r="J249" i="121"/>
  <c r="H249" i="121"/>
  <c r="K255" i="121"/>
  <c r="I264" i="121"/>
  <c r="L262" i="121"/>
  <c r="L254" i="121"/>
  <c r="K251" i="121"/>
  <c r="M261" i="121"/>
  <c r="F258" i="121"/>
  <c r="F255" i="121"/>
  <c r="G268" i="121"/>
  <c r="M267" i="121"/>
  <c r="G256" i="121"/>
  <c r="L249" i="121"/>
  <c r="F259" i="121"/>
  <c r="K259" i="121"/>
  <c r="L261" i="121"/>
  <c r="Y255" i="121" l="1"/>
  <c r="Y251" i="121"/>
  <c r="Y266" i="121"/>
  <c r="Y268" i="121"/>
  <c r="Y256" i="121"/>
  <c r="Y259" i="121"/>
  <c r="D133" i="1"/>
  <c r="D259" i="1" s="1"/>
  <c r="Y267" i="121"/>
  <c r="Y248" i="121"/>
  <c r="Y264" i="121"/>
  <c r="Y257" i="121"/>
  <c r="Y261" i="121"/>
  <c r="Y260" i="121"/>
  <c r="Y254" i="121"/>
  <c r="Y258" i="121"/>
  <c r="Y247" i="121"/>
  <c r="Y250" i="121"/>
  <c r="Y262" i="121"/>
  <c r="Y252" i="121"/>
  <c r="Y265" i="121"/>
  <c r="Y253" i="121"/>
  <c r="Y263" i="121"/>
  <c r="Y249" i="121"/>
  <c r="AI6" i="120"/>
  <c r="AI13" i="120"/>
  <c r="Q37" i="123"/>
  <c r="U37" i="123"/>
  <c r="N37" i="123"/>
  <c r="AI4" i="120"/>
  <c r="AI2" i="120"/>
  <c r="AI5" i="120"/>
  <c r="AI8" i="120"/>
  <c r="AI10" i="120"/>
  <c r="AI12" i="120"/>
  <c r="AJ1" i="120"/>
  <c r="AI3" i="120"/>
  <c r="AI7" i="120"/>
  <c r="AI9" i="120"/>
  <c r="AI11" i="120"/>
  <c r="AI14" i="120"/>
  <c r="AH15" i="120"/>
  <c r="A38" i="123"/>
  <c r="K37" i="123"/>
  <c r="AJ6" i="120" l="1"/>
  <c r="AJ13" i="120"/>
  <c r="AI15" i="120"/>
  <c r="Q38" i="123"/>
  <c r="U38" i="123"/>
  <c r="N38" i="123"/>
  <c r="AJ2" i="120"/>
  <c r="AJ4" i="120"/>
  <c r="AJ7" i="120"/>
  <c r="AJ9" i="120"/>
  <c r="AJ11" i="120"/>
  <c r="AJ14" i="120"/>
  <c r="AK1" i="120"/>
  <c r="AJ3" i="120"/>
  <c r="AJ5" i="120"/>
  <c r="AJ8" i="120"/>
  <c r="AJ10" i="120"/>
  <c r="AJ12" i="120"/>
  <c r="A39" i="123"/>
  <c r="K38" i="123"/>
  <c r="D6" i="53"/>
  <c r="AK6" i="120" l="1"/>
  <c r="AK13" i="120"/>
  <c r="Q39" i="123"/>
  <c r="U39" i="123"/>
  <c r="N39" i="123"/>
  <c r="AK2" i="120"/>
  <c r="AK4" i="120"/>
  <c r="AK7" i="120"/>
  <c r="AK9" i="120"/>
  <c r="AK11" i="120"/>
  <c r="AK14" i="120"/>
  <c r="AK3" i="120"/>
  <c r="AK5" i="120"/>
  <c r="AK8" i="120"/>
  <c r="AK10" i="120"/>
  <c r="AK12" i="120"/>
  <c r="AL1" i="120"/>
  <c r="AJ15" i="120"/>
  <c r="A40" i="123"/>
  <c r="K39" i="123"/>
  <c r="AL6" i="120" l="1"/>
  <c r="AL13" i="120"/>
  <c r="Q40" i="123"/>
  <c r="U40" i="123"/>
  <c r="N40" i="123"/>
  <c r="AM1" i="120"/>
  <c r="AL3" i="120"/>
  <c r="AL5" i="120"/>
  <c r="AL8" i="120"/>
  <c r="AL10" i="120"/>
  <c r="AL12" i="120"/>
  <c r="AL2" i="120"/>
  <c r="AL4" i="120"/>
  <c r="AL7" i="120"/>
  <c r="AL9" i="120"/>
  <c r="AL11" i="120"/>
  <c r="AL14" i="120"/>
  <c r="AK15" i="120"/>
  <c r="A41" i="123"/>
  <c r="K40" i="123"/>
  <c r="AM6" i="120" l="1"/>
  <c r="AM13" i="120"/>
  <c r="Q41" i="123"/>
  <c r="U41" i="123"/>
  <c r="N41" i="123"/>
  <c r="AL15" i="120"/>
  <c r="AM2" i="120"/>
  <c r="AM4" i="120"/>
  <c r="AM7" i="120"/>
  <c r="AM9" i="120"/>
  <c r="AM11" i="120"/>
  <c r="AM14" i="120"/>
  <c r="AM3" i="120"/>
  <c r="AM5" i="120"/>
  <c r="AM8" i="120"/>
  <c r="AM10" i="120"/>
  <c r="AM12" i="120"/>
  <c r="A42" i="123"/>
  <c r="K41" i="123"/>
  <c r="Q42" i="123" l="1"/>
  <c r="U42" i="123"/>
  <c r="N42" i="123"/>
  <c r="AM15" i="120"/>
  <c r="A43" i="123"/>
  <c r="K42" i="123"/>
  <c r="Q43" i="123" l="1"/>
  <c r="U43" i="123"/>
  <c r="N43" i="123"/>
  <c r="A44" i="123"/>
  <c r="K43" i="123"/>
  <c r="Q44" i="123" l="1"/>
  <c r="U44" i="123"/>
  <c r="N44" i="123"/>
  <c r="A45" i="123"/>
  <c r="K44" i="123"/>
  <c r="U45" i="123" l="1"/>
  <c r="N45" i="123"/>
  <c r="K45" i="123"/>
  <c r="Q45" i="123"/>
  <c r="E144" i="116" l="1"/>
  <c r="F144" i="116"/>
  <c r="G144" i="116"/>
  <c r="H144" i="116"/>
  <c r="I144" i="116"/>
  <c r="J144" i="116"/>
  <c r="K144" i="116"/>
  <c r="L144" i="116"/>
  <c r="M144" i="116"/>
  <c r="N144" i="116"/>
  <c r="O144" i="116"/>
  <c r="E145" i="116"/>
  <c r="F145" i="116"/>
  <c r="G145" i="116"/>
  <c r="H145" i="116"/>
  <c r="I145" i="116"/>
  <c r="J145" i="116"/>
  <c r="K145" i="116"/>
  <c r="L145" i="116"/>
  <c r="M145" i="116"/>
  <c r="N145" i="116"/>
  <c r="O145" i="116"/>
  <c r="E146" i="116"/>
  <c r="F146" i="116"/>
  <c r="G146" i="116"/>
  <c r="H146" i="116"/>
  <c r="I146" i="116"/>
  <c r="J146" i="116"/>
  <c r="K146" i="116"/>
  <c r="L146" i="116"/>
  <c r="M146" i="116"/>
  <c r="N146" i="116"/>
  <c r="O146" i="116"/>
  <c r="E147" i="116"/>
  <c r="F147" i="116"/>
  <c r="G147" i="116"/>
  <c r="H147" i="116"/>
  <c r="I147" i="116"/>
  <c r="J147" i="116"/>
  <c r="K147" i="116"/>
  <c r="L147" i="116"/>
  <c r="M147" i="116"/>
  <c r="N147" i="116"/>
  <c r="O147" i="116"/>
  <c r="D145" i="116"/>
  <c r="D146" i="116"/>
  <c r="D147" i="116"/>
  <c r="D144" i="116"/>
  <c r="O123" i="116"/>
  <c r="N123" i="116"/>
  <c r="M123" i="116"/>
  <c r="L123" i="116"/>
  <c r="K123" i="116"/>
  <c r="J123" i="116"/>
  <c r="I123" i="116"/>
  <c r="H123" i="116"/>
  <c r="G123" i="116"/>
  <c r="F123" i="116"/>
  <c r="E123" i="116"/>
  <c r="D123" i="116"/>
  <c r="O122" i="116"/>
  <c r="N122" i="116"/>
  <c r="M122" i="116"/>
  <c r="L122" i="116"/>
  <c r="K122" i="116"/>
  <c r="J122" i="116"/>
  <c r="I122" i="116"/>
  <c r="H122" i="116"/>
  <c r="G122" i="116"/>
  <c r="F122" i="116"/>
  <c r="E122" i="116"/>
  <c r="D122" i="116"/>
  <c r="O121" i="116"/>
  <c r="N121" i="116"/>
  <c r="M121" i="116"/>
  <c r="L121" i="116"/>
  <c r="K121" i="116"/>
  <c r="J121" i="116"/>
  <c r="I121" i="116"/>
  <c r="H121" i="116"/>
  <c r="G121" i="116"/>
  <c r="F121" i="116"/>
  <c r="E121" i="116"/>
  <c r="D121" i="116"/>
  <c r="O120" i="116"/>
  <c r="N120" i="116"/>
  <c r="M120" i="116"/>
  <c r="L120" i="116"/>
  <c r="K120" i="116"/>
  <c r="J120" i="116"/>
  <c r="I120" i="116"/>
  <c r="H120" i="116"/>
  <c r="G120" i="116"/>
  <c r="F120" i="116"/>
  <c r="E120" i="116"/>
  <c r="D120" i="116"/>
  <c r="E108" i="116"/>
  <c r="F108" i="116"/>
  <c r="G108" i="116"/>
  <c r="H108" i="116"/>
  <c r="I108" i="116"/>
  <c r="J108" i="116"/>
  <c r="K108" i="116"/>
  <c r="L108" i="116"/>
  <c r="M108" i="116"/>
  <c r="N108" i="116"/>
  <c r="O108" i="116"/>
  <c r="E109" i="116"/>
  <c r="F109" i="116"/>
  <c r="G109" i="116"/>
  <c r="H109" i="116"/>
  <c r="I109" i="116"/>
  <c r="J109" i="116"/>
  <c r="K109" i="116"/>
  <c r="L109" i="116"/>
  <c r="M109" i="116"/>
  <c r="N109" i="116"/>
  <c r="O109" i="116"/>
  <c r="E110" i="116"/>
  <c r="F110" i="116"/>
  <c r="G110" i="116"/>
  <c r="H110" i="116"/>
  <c r="I110" i="116"/>
  <c r="J110" i="116"/>
  <c r="K110" i="116"/>
  <c r="L110" i="116"/>
  <c r="M110" i="116"/>
  <c r="N110" i="116"/>
  <c r="O110" i="116"/>
  <c r="E111" i="116"/>
  <c r="F111" i="116"/>
  <c r="G111" i="116"/>
  <c r="H111" i="116"/>
  <c r="I111" i="116"/>
  <c r="J111" i="116"/>
  <c r="K111" i="116"/>
  <c r="L111" i="116"/>
  <c r="M111" i="116"/>
  <c r="N111" i="116"/>
  <c r="O111" i="116"/>
  <c r="D109" i="116"/>
  <c r="D110" i="116"/>
  <c r="D111" i="116"/>
  <c r="D108" i="116"/>
  <c r="E96" i="116"/>
  <c r="E132" i="116" s="1"/>
  <c r="F96" i="116"/>
  <c r="F132" i="116" s="1"/>
  <c r="G96" i="116"/>
  <c r="G132" i="116" s="1"/>
  <c r="H96" i="116"/>
  <c r="H132" i="116" s="1"/>
  <c r="I96" i="116"/>
  <c r="I132" i="116" s="1"/>
  <c r="J96" i="116"/>
  <c r="J132" i="116" s="1"/>
  <c r="K96" i="116"/>
  <c r="K132" i="116" s="1"/>
  <c r="L96" i="116"/>
  <c r="L132" i="116" s="1"/>
  <c r="M96" i="116"/>
  <c r="M132" i="116" s="1"/>
  <c r="N96" i="116"/>
  <c r="N132" i="116" s="1"/>
  <c r="O96" i="116"/>
  <c r="O132" i="116" s="1"/>
  <c r="E97" i="116"/>
  <c r="F97" i="116"/>
  <c r="G97" i="116"/>
  <c r="H97" i="116"/>
  <c r="I97" i="116"/>
  <c r="J97" i="116"/>
  <c r="K97" i="116"/>
  <c r="L97" i="116"/>
  <c r="M97" i="116"/>
  <c r="N97" i="116"/>
  <c r="O97" i="116"/>
  <c r="E98" i="116"/>
  <c r="E134" i="116" s="1"/>
  <c r="F98" i="116"/>
  <c r="F134" i="116" s="1"/>
  <c r="G98" i="116"/>
  <c r="G134" i="116" s="1"/>
  <c r="H98" i="116"/>
  <c r="H134" i="116" s="1"/>
  <c r="I98" i="116"/>
  <c r="I134" i="116" s="1"/>
  <c r="J98" i="116"/>
  <c r="J134" i="116" s="1"/>
  <c r="K98" i="116"/>
  <c r="K134" i="116" s="1"/>
  <c r="L98" i="116"/>
  <c r="L134" i="116" s="1"/>
  <c r="M98" i="116"/>
  <c r="M134" i="116" s="1"/>
  <c r="N98" i="116"/>
  <c r="N134" i="116" s="1"/>
  <c r="O98" i="116"/>
  <c r="O134" i="116" s="1"/>
  <c r="E99" i="116"/>
  <c r="F99" i="116"/>
  <c r="G99" i="116"/>
  <c r="H99" i="116"/>
  <c r="I99" i="116"/>
  <c r="J99" i="116"/>
  <c r="K99" i="116"/>
  <c r="L99" i="116"/>
  <c r="M99" i="116"/>
  <c r="N99" i="116"/>
  <c r="O99" i="116"/>
  <c r="D97" i="116"/>
  <c r="D98" i="116"/>
  <c r="D134" i="116" s="1"/>
  <c r="D99" i="116"/>
  <c r="D96" i="116"/>
  <c r="E84" i="116"/>
  <c r="F84" i="116"/>
  <c r="G84" i="116"/>
  <c r="H84" i="116"/>
  <c r="I84" i="116"/>
  <c r="J84" i="116"/>
  <c r="K84" i="116"/>
  <c r="L84" i="116"/>
  <c r="M84" i="116"/>
  <c r="N84" i="116"/>
  <c r="O84" i="116"/>
  <c r="E85" i="116"/>
  <c r="F85" i="116"/>
  <c r="G85" i="116"/>
  <c r="H85" i="116"/>
  <c r="I85" i="116"/>
  <c r="J85" i="116"/>
  <c r="K85" i="116"/>
  <c r="L85" i="116"/>
  <c r="M85" i="116"/>
  <c r="N85" i="116"/>
  <c r="O85" i="116"/>
  <c r="E86" i="116"/>
  <c r="F86" i="116"/>
  <c r="G86" i="116"/>
  <c r="H86" i="116"/>
  <c r="I86" i="116"/>
  <c r="J86" i="116"/>
  <c r="K86" i="116"/>
  <c r="L86" i="116"/>
  <c r="M86" i="116"/>
  <c r="N86" i="116"/>
  <c r="O86" i="116"/>
  <c r="E87" i="116"/>
  <c r="F87" i="116"/>
  <c r="G87" i="116"/>
  <c r="H87" i="116"/>
  <c r="I87" i="116"/>
  <c r="J87" i="116"/>
  <c r="K87" i="116"/>
  <c r="L87" i="116"/>
  <c r="M87" i="116"/>
  <c r="N87" i="116"/>
  <c r="O87" i="116"/>
  <c r="D85" i="116"/>
  <c r="D86" i="116"/>
  <c r="D87" i="116"/>
  <c r="D84" i="116"/>
  <c r="E72" i="116"/>
  <c r="F72" i="116"/>
  <c r="G72" i="116"/>
  <c r="H72" i="116"/>
  <c r="I72" i="116"/>
  <c r="J72" i="116"/>
  <c r="K72" i="116"/>
  <c r="L72" i="116"/>
  <c r="M72" i="116"/>
  <c r="N72" i="116"/>
  <c r="O72" i="116"/>
  <c r="E73" i="116"/>
  <c r="F73" i="116"/>
  <c r="G73" i="116"/>
  <c r="H73" i="116"/>
  <c r="I73" i="116"/>
  <c r="J73" i="116"/>
  <c r="K73" i="116"/>
  <c r="L73" i="116"/>
  <c r="M73" i="116"/>
  <c r="N73" i="116"/>
  <c r="O73" i="116"/>
  <c r="E74" i="116"/>
  <c r="F74" i="116"/>
  <c r="G74" i="116"/>
  <c r="H74" i="116"/>
  <c r="I74" i="116"/>
  <c r="J74" i="116"/>
  <c r="K74" i="116"/>
  <c r="L74" i="116"/>
  <c r="M74" i="116"/>
  <c r="N74" i="116"/>
  <c r="O74" i="116"/>
  <c r="E75" i="116"/>
  <c r="F75" i="116"/>
  <c r="G75" i="116"/>
  <c r="H75" i="116"/>
  <c r="I75" i="116"/>
  <c r="J75" i="116"/>
  <c r="K75" i="116"/>
  <c r="L75" i="116"/>
  <c r="M75" i="116"/>
  <c r="N75" i="116"/>
  <c r="O75" i="116"/>
  <c r="D73" i="116"/>
  <c r="D74" i="116"/>
  <c r="D75" i="116"/>
  <c r="D72" i="116"/>
  <c r="E36" i="116"/>
  <c r="F36" i="116"/>
  <c r="G36" i="116"/>
  <c r="H36" i="116"/>
  <c r="I36" i="116"/>
  <c r="J36" i="116"/>
  <c r="K36" i="116"/>
  <c r="L36" i="116"/>
  <c r="M36" i="116"/>
  <c r="N36" i="116"/>
  <c r="O36" i="116"/>
  <c r="E37" i="116"/>
  <c r="F37" i="116"/>
  <c r="G37" i="116"/>
  <c r="H37" i="116"/>
  <c r="I37" i="116"/>
  <c r="J37" i="116"/>
  <c r="K37" i="116"/>
  <c r="L37" i="116"/>
  <c r="M37" i="116"/>
  <c r="N37" i="116"/>
  <c r="O37" i="116"/>
  <c r="E38" i="116"/>
  <c r="F38" i="116"/>
  <c r="G38" i="116"/>
  <c r="H38" i="116"/>
  <c r="I38" i="116"/>
  <c r="J38" i="116"/>
  <c r="K38" i="116"/>
  <c r="L38" i="116"/>
  <c r="M38" i="116"/>
  <c r="N38" i="116"/>
  <c r="O38" i="116"/>
  <c r="E39" i="116"/>
  <c r="F39" i="116"/>
  <c r="G39" i="116"/>
  <c r="H39" i="116"/>
  <c r="I39" i="116"/>
  <c r="J39" i="116"/>
  <c r="K39" i="116"/>
  <c r="L39" i="116"/>
  <c r="M39" i="116"/>
  <c r="N39" i="116"/>
  <c r="O39" i="116"/>
  <c r="D37" i="116"/>
  <c r="D38" i="116"/>
  <c r="D39" i="116"/>
  <c r="D36" i="116"/>
  <c r="E24" i="116"/>
  <c r="F24" i="116"/>
  <c r="G24" i="116"/>
  <c r="H24" i="116"/>
  <c r="I24" i="116"/>
  <c r="J24" i="116"/>
  <c r="K24" i="116"/>
  <c r="L24" i="116"/>
  <c r="M24" i="116"/>
  <c r="N24" i="116"/>
  <c r="O24" i="116"/>
  <c r="E25" i="116"/>
  <c r="F25" i="116"/>
  <c r="G25" i="116"/>
  <c r="H25" i="116"/>
  <c r="I25" i="116"/>
  <c r="J25" i="116"/>
  <c r="K25" i="116"/>
  <c r="L25" i="116"/>
  <c r="M25" i="116"/>
  <c r="N25" i="116"/>
  <c r="O25" i="116"/>
  <c r="E26" i="116"/>
  <c r="F26" i="116"/>
  <c r="G26" i="116"/>
  <c r="H26" i="116"/>
  <c r="I26" i="116"/>
  <c r="J26" i="116"/>
  <c r="K26" i="116"/>
  <c r="L26" i="116"/>
  <c r="M26" i="116"/>
  <c r="N26" i="116"/>
  <c r="O26" i="116"/>
  <c r="E27" i="116"/>
  <c r="F27" i="116"/>
  <c r="G27" i="116"/>
  <c r="H27" i="116"/>
  <c r="I27" i="116"/>
  <c r="J27" i="116"/>
  <c r="K27" i="116"/>
  <c r="L27" i="116"/>
  <c r="M27" i="116"/>
  <c r="N27" i="116"/>
  <c r="O27" i="116"/>
  <c r="D25" i="116"/>
  <c r="D26" i="116"/>
  <c r="D27" i="116"/>
  <c r="D24" i="116"/>
  <c r="E12" i="116"/>
  <c r="F12" i="116"/>
  <c r="G12" i="116"/>
  <c r="H12" i="116"/>
  <c r="I12" i="116"/>
  <c r="J12" i="116"/>
  <c r="K12" i="116"/>
  <c r="L12" i="116"/>
  <c r="M12" i="116"/>
  <c r="N12" i="116"/>
  <c r="O12" i="116"/>
  <c r="E13" i="116"/>
  <c r="F13" i="116"/>
  <c r="G13" i="116"/>
  <c r="E14" i="116"/>
  <c r="E158" i="116" s="1"/>
  <c r="F14" i="116"/>
  <c r="F158" i="116" s="1"/>
  <c r="G14" i="116"/>
  <c r="G158" i="116" s="1"/>
  <c r="H14" i="116"/>
  <c r="H158" i="116" s="1"/>
  <c r="I14" i="116"/>
  <c r="I158" i="116" s="1"/>
  <c r="J14" i="116"/>
  <c r="J158" i="116" s="1"/>
  <c r="K14" i="116"/>
  <c r="K158" i="116" s="1"/>
  <c r="L14" i="116"/>
  <c r="L158" i="116" s="1"/>
  <c r="M14" i="116"/>
  <c r="M158" i="116" s="1"/>
  <c r="N14" i="116"/>
  <c r="N158" i="116" s="1"/>
  <c r="O14" i="116"/>
  <c r="O158" i="116" s="1"/>
  <c r="E15" i="116"/>
  <c r="F15" i="116"/>
  <c r="G15" i="116"/>
  <c r="H15" i="116"/>
  <c r="I15" i="116"/>
  <c r="J15" i="116"/>
  <c r="K15" i="116"/>
  <c r="L15" i="116"/>
  <c r="M15" i="116"/>
  <c r="N15" i="116"/>
  <c r="O15" i="116"/>
  <c r="D13" i="116"/>
  <c r="D14" i="116"/>
  <c r="D158" i="116" s="1"/>
  <c r="D15" i="116"/>
  <c r="D12" i="116"/>
  <c r="E3" i="116"/>
  <c r="E156" i="116" s="1"/>
  <c r="F3" i="116"/>
  <c r="F156" i="116" s="1"/>
  <c r="G3" i="116"/>
  <c r="G156" i="116" s="1"/>
  <c r="H3" i="116"/>
  <c r="H156" i="116" s="1"/>
  <c r="I3" i="116"/>
  <c r="I156" i="116" s="1"/>
  <c r="J3" i="116"/>
  <c r="J156" i="116" s="1"/>
  <c r="K3" i="116"/>
  <c r="K156" i="116" s="1"/>
  <c r="L3" i="116"/>
  <c r="L156" i="116" s="1"/>
  <c r="M3" i="116"/>
  <c r="M156" i="116" s="1"/>
  <c r="N3" i="116"/>
  <c r="N156" i="116" s="1"/>
  <c r="O3" i="116"/>
  <c r="O156" i="116" s="1"/>
  <c r="E4" i="116"/>
  <c r="F4" i="116"/>
  <c r="G4" i="116"/>
  <c r="H4" i="116"/>
  <c r="I4" i="116"/>
  <c r="J4" i="116"/>
  <c r="K4" i="116"/>
  <c r="L4" i="116"/>
  <c r="M4" i="116"/>
  <c r="N4" i="116"/>
  <c r="O4" i="116"/>
  <c r="E5" i="116"/>
  <c r="F5" i="116"/>
  <c r="G5" i="116"/>
  <c r="H5" i="116"/>
  <c r="I5" i="116"/>
  <c r="J5" i="116"/>
  <c r="K5" i="116"/>
  <c r="L5" i="116"/>
  <c r="M5" i="116"/>
  <c r="N5" i="116"/>
  <c r="O5" i="116"/>
  <c r="E6" i="116"/>
  <c r="F6" i="116"/>
  <c r="G6" i="116"/>
  <c r="H6" i="116"/>
  <c r="I6" i="116"/>
  <c r="J6" i="116"/>
  <c r="K6" i="116"/>
  <c r="L6" i="116"/>
  <c r="M6" i="116"/>
  <c r="N6" i="116"/>
  <c r="O6" i="116"/>
  <c r="D6" i="116"/>
  <c r="D5" i="116"/>
  <c r="D4" i="116"/>
  <c r="D3" i="116"/>
  <c r="G139" i="113"/>
  <c r="H139" i="113"/>
  <c r="I139" i="113"/>
  <c r="J139" i="113"/>
  <c r="K139" i="113"/>
  <c r="L139" i="113"/>
  <c r="M139" i="113"/>
  <c r="N139" i="113"/>
  <c r="O139" i="113"/>
  <c r="P139" i="113"/>
  <c r="Q139" i="113"/>
  <c r="F138" i="113"/>
  <c r="F139" i="113" s="1"/>
  <c r="G8" i="113"/>
  <c r="H8" i="113"/>
  <c r="I8" i="113"/>
  <c r="J8" i="113"/>
  <c r="K8" i="113"/>
  <c r="L8" i="113"/>
  <c r="M8" i="113"/>
  <c r="N8" i="113"/>
  <c r="O8" i="113"/>
  <c r="P8" i="113"/>
  <c r="Q8" i="113"/>
  <c r="F8" i="113"/>
  <c r="W7" i="113"/>
  <c r="D157" i="116" l="1"/>
  <c r="D132" i="116"/>
  <c r="U132" i="116" s="1"/>
  <c r="D156" i="116"/>
  <c r="O159" i="116"/>
  <c r="M159" i="116"/>
  <c r="K159" i="116"/>
  <c r="I159" i="116"/>
  <c r="G159" i="116"/>
  <c r="E159" i="116"/>
  <c r="G157" i="116"/>
  <c r="G161" i="116" s="1"/>
  <c r="E157" i="116"/>
  <c r="O157" i="116"/>
  <c r="M157" i="116"/>
  <c r="K157" i="116"/>
  <c r="I157" i="116"/>
  <c r="U134" i="116"/>
  <c r="O135" i="116"/>
  <c r="M135" i="116"/>
  <c r="K135" i="116"/>
  <c r="I135" i="116"/>
  <c r="G135" i="116"/>
  <c r="E135" i="116"/>
  <c r="O133" i="116"/>
  <c r="O137" i="116" s="1"/>
  <c r="M133" i="116"/>
  <c r="K133" i="116"/>
  <c r="K137" i="116" s="1"/>
  <c r="I133" i="116"/>
  <c r="I137" i="116" s="1"/>
  <c r="G133" i="116"/>
  <c r="G137" i="116" s="1"/>
  <c r="E133" i="116"/>
  <c r="D135" i="116"/>
  <c r="D133" i="116"/>
  <c r="N135" i="116"/>
  <c r="L135" i="116"/>
  <c r="J135" i="116"/>
  <c r="H135" i="116"/>
  <c r="F135" i="116"/>
  <c r="N133" i="116"/>
  <c r="L133" i="116"/>
  <c r="J133" i="116"/>
  <c r="H133" i="116"/>
  <c r="F133" i="116"/>
  <c r="M137" i="116"/>
  <c r="E137" i="116"/>
  <c r="D159" i="116"/>
  <c r="N159" i="116"/>
  <c r="L159" i="116"/>
  <c r="J159" i="116"/>
  <c r="H159" i="116"/>
  <c r="F159" i="116"/>
  <c r="F157" i="116"/>
  <c r="N157" i="116"/>
  <c r="L157" i="116"/>
  <c r="L161" i="116" s="1"/>
  <c r="J157" i="116"/>
  <c r="J161" i="116" s="1"/>
  <c r="H157" i="116"/>
  <c r="D149" i="116"/>
  <c r="N149" i="116"/>
  <c r="L149" i="116"/>
  <c r="F179" i="113" s="1"/>
  <c r="J149" i="116"/>
  <c r="H149" i="116"/>
  <c r="F149" i="116"/>
  <c r="O149" i="116"/>
  <c r="I179" i="113" s="1"/>
  <c r="M149" i="116"/>
  <c r="G179" i="113" s="1"/>
  <c r="K149" i="116"/>
  <c r="I149" i="116"/>
  <c r="G149" i="116"/>
  <c r="E149" i="116"/>
  <c r="F142" i="113"/>
  <c r="S138" i="113"/>
  <c r="W138" i="113"/>
  <c r="N7" i="116"/>
  <c r="J7" i="116"/>
  <c r="F7" i="116"/>
  <c r="H179" i="113"/>
  <c r="D7" i="116"/>
  <c r="U6" i="116"/>
  <c r="U147" i="116"/>
  <c r="L7" i="116"/>
  <c r="H7" i="116"/>
  <c r="O7" i="116"/>
  <c r="M7" i="116"/>
  <c r="K7" i="116"/>
  <c r="I7" i="116"/>
  <c r="G7" i="116"/>
  <c r="E7" i="116"/>
  <c r="H211" i="165" l="1"/>
  <c r="I211" i="165"/>
  <c r="F211" i="165"/>
  <c r="G211" i="165"/>
  <c r="H137" i="116"/>
  <c r="G137" i="156"/>
  <c r="H137" i="156"/>
  <c r="I137" i="156"/>
  <c r="N137" i="116"/>
  <c r="F137" i="156"/>
  <c r="L137" i="116"/>
  <c r="F137" i="116"/>
  <c r="J137" i="116"/>
  <c r="U135" i="116"/>
  <c r="D137" i="116"/>
  <c r="U133" i="116"/>
  <c r="F161" i="116"/>
  <c r="K161" i="116"/>
  <c r="O161" i="116"/>
  <c r="I161" i="116"/>
  <c r="M161" i="116"/>
  <c r="U138" i="113"/>
  <c r="N161" i="116"/>
  <c r="D161" i="116"/>
  <c r="H161" i="116"/>
  <c r="E161" i="116"/>
  <c r="D18" i="112"/>
  <c r="C24" i="112" s="1"/>
  <c r="U137" i="116" l="1"/>
  <c r="E152" i="116"/>
  <c r="E128" i="116"/>
  <c r="E116" i="116"/>
  <c r="E104" i="116"/>
  <c r="E92" i="116"/>
  <c r="E80" i="116"/>
  <c r="E44" i="116"/>
  <c r="E32" i="116"/>
  <c r="E20" i="116"/>
  <c r="D152" i="116"/>
  <c r="D128" i="116"/>
  <c r="D116" i="116"/>
  <c r="D104" i="116"/>
  <c r="D92" i="116"/>
  <c r="D80" i="116"/>
  <c r="D44" i="116"/>
  <c r="D32" i="116"/>
  <c r="D20" i="116"/>
  <c r="E2" i="116" l="1"/>
  <c r="F2" i="116" s="1"/>
  <c r="G2" i="116" s="1"/>
  <c r="H2" i="116" s="1"/>
  <c r="I2" i="116" s="1"/>
  <c r="J2" i="116" s="1"/>
  <c r="K2" i="116" s="1"/>
  <c r="L2" i="116" s="1"/>
  <c r="M2" i="116" s="1"/>
  <c r="N2" i="116" s="1"/>
  <c r="O2" i="116" s="1"/>
  <c r="Q48" i="116" s="1"/>
  <c r="A1" i="116"/>
  <c r="E140" i="116"/>
  <c r="D140" i="116"/>
  <c r="E165" i="116"/>
  <c r="D165" i="116"/>
  <c r="E9" i="116"/>
  <c r="S48" i="116" l="1"/>
  <c r="Q147" i="116"/>
  <c r="Q54" i="116"/>
  <c r="R54" i="116" s="1"/>
  <c r="Q71" i="116"/>
  <c r="Q50" i="116"/>
  <c r="Q49" i="116"/>
  <c r="Q52" i="116"/>
  <c r="Q56" i="116"/>
  <c r="S56" i="116" s="1"/>
  <c r="U56" i="116" s="1"/>
  <c r="V56" i="116" s="1"/>
  <c r="Q53" i="116"/>
  <c r="Q156" i="116"/>
  <c r="Q58" i="116"/>
  <c r="Q51" i="116"/>
  <c r="Q57" i="116"/>
  <c r="S57" i="116" s="1"/>
  <c r="U57" i="116" s="1"/>
  <c r="V57" i="116" s="1"/>
  <c r="Q65" i="116"/>
  <c r="Q162" i="116"/>
  <c r="Q62" i="116"/>
  <c r="Q68" i="116"/>
  <c r="S68" i="116" s="1"/>
  <c r="U68" i="116" s="1"/>
  <c r="V68" i="116" s="1"/>
  <c r="Q55" i="116"/>
  <c r="Q59" i="116"/>
  <c r="Q167" i="116"/>
  <c r="S167" i="116" s="1"/>
  <c r="U167" i="116" s="1"/>
  <c r="Q159" i="116"/>
  <c r="Q60" i="116"/>
  <c r="Q66" i="116"/>
  <c r="Q70" i="116"/>
  <c r="Q64" i="116"/>
  <c r="Q136" i="116"/>
  <c r="Q61" i="116"/>
  <c r="Q69" i="116"/>
  <c r="S69" i="116" s="1"/>
  <c r="U69" i="116" s="1"/>
  <c r="V69" i="116" s="1"/>
  <c r="Q132" i="116"/>
  <c r="Q135" i="116"/>
  <c r="Q63" i="116"/>
  <c r="Q67" i="116"/>
  <c r="S67" i="116" s="1"/>
  <c r="U67" i="116" s="1"/>
  <c r="V67" i="116" s="1"/>
  <c r="Q134" i="116"/>
  <c r="Q133" i="116"/>
  <c r="Q137" i="116"/>
  <c r="R69" i="116" l="1"/>
  <c r="P69" i="116" s="1"/>
  <c r="R67" i="116"/>
  <c r="P67" i="116" s="1"/>
  <c r="R59" i="116"/>
  <c r="P59" i="116" s="1"/>
  <c r="R56" i="116"/>
  <c r="P56" i="116" s="1"/>
  <c r="R66" i="116"/>
  <c r="P66" i="116" s="1"/>
  <c r="R68" i="116"/>
  <c r="P68" i="116" s="1"/>
  <c r="R71" i="116"/>
  <c r="P71" i="116" s="1"/>
  <c r="R57" i="116"/>
  <c r="P57" i="116" s="1"/>
  <c r="R55" i="116"/>
  <c r="P55" i="116" s="1"/>
  <c r="T67" i="116"/>
  <c r="T69" i="116"/>
  <c r="T56" i="116"/>
  <c r="T68" i="116"/>
  <c r="T57" i="116"/>
  <c r="P54" i="116"/>
  <c r="S137" i="116"/>
  <c r="S65" i="116"/>
  <c r="S53" i="116"/>
  <c r="S162" i="116"/>
  <c r="S134" i="116"/>
  <c r="S63" i="116"/>
  <c r="S132" i="116"/>
  <c r="S61" i="116"/>
  <c r="S64" i="116"/>
  <c r="S52" i="116"/>
  <c r="S50" i="116"/>
  <c r="S133" i="116"/>
  <c r="S135" i="116"/>
  <c r="S136" i="116"/>
  <c r="S60" i="116"/>
  <c r="S62" i="116"/>
  <c r="S51" i="116"/>
  <c r="S49" i="116"/>
  <c r="S71" i="116"/>
  <c r="U71" i="116" s="1"/>
  <c r="V71" i="116" s="1"/>
  <c r="T71" i="116" s="1"/>
  <c r="S147" i="116"/>
  <c r="S54" i="116"/>
  <c r="U54" i="116" s="1"/>
  <c r="V54" i="116" s="1"/>
  <c r="S58" i="116"/>
  <c r="U58" i="116" s="1"/>
  <c r="S59" i="116"/>
  <c r="U59" i="116" s="1"/>
  <c r="V59" i="116" s="1"/>
  <c r="T59" i="116" s="1"/>
  <c r="S55" i="116"/>
  <c r="U55" i="116" s="1"/>
  <c r="V55" i="116" s="1"/>
  <c r="S66" i="116"/>
  <c r="U66" i="116" s="1"/>
  <c r="S70" i="116"/>
  <c r="U70" i="116" s="1"/>
  <c r="Y545" i="9"/>
  <c r="Y422" i="9"/>
  <c r="Y380" i="9"/>
  <c r="Y339" i="9"/>
  <c r="Y297" i="9"/>
  <c r="Y256" i="9"/>
  <c r="Y216" i="9"/>
  <c r="Y53" i="9"/>
  <c r="W18" i="41"/>
  <c r="AF18" i="41" s="1"/>
  <c r="Z150" i="1"/>
  <c r="Z145" i="1"/>
  <c r="Z260" i="1" s="1"/>
  <c r="F29" i="169" s="1"/>
  <c r="E29" i="169" s="1"/>
  <c r="Z109" i="1"/>
  <c r="Z255" i="1" s="1"/>
  <c r="Z105" i="1"/>
  <c r="Z254" i="1" s="1"/>
  <c r="F24" i="169" s="1"/>
  <c r="E24" i="169" s="1"/>
  <c r="Z247" i="1"/>
  <c r="Z57" i="1"/>
  <c r="Z48" i="1"/>
  <c r="Z47" i="1"/>
  <c r="Z46" i="1"/>
  <c r="Z42" i="1"/>
  <c r="Z41" i="1"/>
  <c r="Z40" i="1"/>
  <c r="Z39" i="1"/>
  <c r="Z38" i="1"/>
  <c r="Z53" i="1" l="1"/>
  <c r="F17" i="169"/>
  <c r="E17" i="169" s="1"/>
  <c r="Z147" i="1"/>
  <c r="T55" i="116"/>
  <c r="T54" i="116"/>
  <c r="E151" i="116"/>
  <c r="E79" i="116"/>
  <c r="E115" i="116"/>
  <c r="E118" i="116" s="1"/>
  <c r="E170" i="116"/>
  <c r="E31" i="116"/>
  <c r="Z127" i="1"/>
  <c r="Z258" i="1" s="1"/>
  <c r="F27" i="169" s="1"/>
  <c r="E27" i="169" s="1"/>
  <c r="Z121" i="1"/>
  <c r="Z257" i="1" s="1"/>
  <c r="F26" i="169" s="1"/>
  <c r="E26" i="169" s="1"/>
  <c r="Z85" i="1"/>
  <c r="Z250" i="1" s="1"/>
  <c r="F20" i="169" s="1"/>
  <c r="E20" i="169" s="1"/>
  <c r="Z78" i="1"/>
  <c r="Z249" i="1" s="1"/>
  <c r="F19" i="169" s="1"/>
  <c r="E19" i="169" s="1"/>
  <c r="Z101" i="1"/>
  <c r="Z253" i="1" s="1"/>
  <c r="F23" i="169" s="1"/>
  <c r="E23" i="169" s="1"/>
  <c r="Z248" i="1"/>
  <c r="E18" i="169" s="1"/>
  <c r="Z115" i="1"/>
  <c r="Z256" i="1" s="1"/>
  <c r="F25" i="169" s="1"/>
  <c r="E25" i="169" s="1"/>
  <c r="D30" i="169" l="1"/>
  <c r="F30" i="169" s="1"/>
  <c r="E30" i="169" s="1"/>
  <c r="Z261" i="1"/>
  <c r="E114" i="116"/>
  <c r="E42" i="116"/>
  <c r="AC7" i="60"/>
  <c r="E90" i="116"/>
  <c r="E78" i="116"/>
  <c r="E18" i="116"/>
  <c r="E150" i="116"/>
  <c r="E91" i="116"/>
  <c r="E103" i="116"/>
  <c r="E127" i="116"/>
  <c r="E30" i="116"/>
  <c r="E43" i="116"/>
  <c r="E19" i="116"/>
  <c r="E81" i="116"/>
  <c r="E33" i="116"/>
  <c r="E129" i="116"/>
  <c r="E105" i="116"/>
  <c r="E10" i="116"/>
  <c r="E11" i="116" s="1"/>
  <c r="E93" i="116"/>
  <c r="E45" i="116"/>
  <c r="E21" i="116"/>
  <c r="E153" i="116"/>
  <c r="E117" i="116"/>
  <c r="E126" i="116"/>
  <c r="E102" i="116"/>
  <c r="E138" i="116" l="1"/>
  <c r="E139" i="116"/>
  <c r="E141" i="116"/>
  <c r="E166" i="116"/>
  <c r="E164" i="116"/>
  <c r="AB95" i="35"/>
  <c r="AB100" i="35"/>
  <c r="E8" i="116" l="1"/>
  <c r="E163" i="116" s="1"/>
  <c r="AB94" i="35"/>
  <c r="AB97" i="35" s="1"/>
  <c r="Y226" i="9"/>
  <c r="Y390" i="9" l="1"/>
  <c r="Y63" i="9"/>
  <c r="Y103" i="9"/>
  <c r="Y432" i="9"/>
  <c r="Y266" i="9"/>
  <c r="Y349" i="9"/>
  <c r="Y514" i="9" s="1"/>
  <c r="AB98" i="35"/>
  <c r="M145" i="1"/>
  <c r="N145" i="1"/>
  <c r="O145" i="1"/>
  <c r="R145" i="1"/>
  <c r="W145" i="1"/>
  <c r="W260" i="1" s="1"/>
  <c r="Y145" i="1"/>
  <c r="Y260" i="1" s="1"/>
  <c r="U127" i="1"/>
  <c r="U258" i="1" s="1"/>
  <c r="T258" i="1"/>
  <c r="S127" i="1"/>
  <c r="R127" i="1"/>
  <c r="Q127" i="1"/>
  <c r="P127" i="1"/>
  <c r="O127" i="1"/>
  <c r="N127" i="1"/>
  <c r="M127" i="1"/>
  <c r="Y109" i="1"/>
  <c r="Y255" i="1" s="1"/>
  <c r="X109" i="1"/>
  <c r="W109" i="1"/>
  <c r="W255" i="1" s="1"/>
  <c r="V109" i="1"/>
  <c r="V255" i="1" s="1"/>
  <c r="T109" i="1"/>
  <c r="T255" i="1" s="1"/>
  <c r="S109" i="1"/>
  <c r="R109" i="1"/>
  <c r="Q109" i="1"/>
  <c r="N109" i="1"/>
  <c r="Y105" i="1"/>
  <c r="Y254" i="1" s="1"/>
  <c r="X105" i="1"/>
  <c r="W105" i="1"/>
  <c r="W254" i="1" s="1"/>
  <c r="V105" i="1"/>
  <c r="V254" i="1" s="1"/>
  <c r="U105" i="1"/>
  <c r="U254" i="1" s="1"/>
  <c r="T105" i="1"/>
  <c r="T254" i="1" s="1"/>
  <c r="S105" i="1"/>
  <c r="R105" i="1"/>
  <c r="Q105" i="1"/>
  <c r="P105" i="1"/>
  <c r="O105" i="1"/>
  <c r="X145" i="1"/>
  <c r="AB105" i="1" l="1"/>
  <c r="X255" i="1"/>
  <c r="X260" i="1"/>
  <c r="X254" i="1"/>
  <c r="P254" i="1"/>
  <c r="W121" i="1"/>
  <c r="W257" i="1" s="1"/>
  <c r="W127" i="1"/>
  <c r="W258" i="1" s="1"/>
  <c r="W115" i="1"/>
  <c r="W256" i="1" s="1"/>
  <c r="V127" i="1"/>
  <c r="V258" i="1" s="1"/>
  <c r="M121" i="1"/>
  <c r="O121" i="1"/>
  <c r="P121" i="1"/>
  <c r="Q121" i="1"/>
  <c r="R121" i="1"/>
  <c r="S121" i="1"/>
  <c r="T121" i="1"/>
  <c r="T257" i="1" s="1"/>
  <c r="U121" i="1"/>
  <c r="U257" i="1" s="1"/>
  <c r="V121" i="1"/>
  <c r="V257" i="1" s="1"/>
  <c r="M115" i="1"/>
  <c r="O115" i="1"/>
  <c r="Q115" i="1"/>
  <c r="R115" i="1"/>
  <c r="S115" i="1"/>
  <c r="T115" i="1"/>
  <c r="T256" i="1" s="1"/>
  <c r="U115" i="1"/>
  <c r="U256" i="1" s="1"/>
  <c r="V115" i="1"/>
  <c r="V256" i="1" s="1"/>
  <c r="N101" i="1"/>
  <c r="O101" i="1"/>
  <c r="P101" i="1"/>
  <c r="Q101" i="1"/>
  <c r="R101" i="1"/>
  <c r="S101" i="1"/>
  <c r="U101" i="1"/>
  <c r="U253" i="1" s="1"/>
  <c r="V101" i="1"/>
  <c r="V253" i="1" s="1"/>
  <c r="P115" i="1" l="1"/>
  <c r="V145" i="1" l="1"/>
  <c r="V260" i="1" l="1"/>
  <c r="U145" i="1"/>
  <c r="U260" i="1" s="1"/>
  <c r="U109" i="1"/>
  <c r="AB109" i="1" s="1"/>
  <c r="U255" i="1" l="1"/>
  <c r="T145" i="1"/>
  <c r="T260" i="1" s="1"/>
  <c r="T101" i="1"/>
  <c r="S145" i="1"/>
  <c r="T253" i="1" l="1"/>
  <c r="Z29" i="121" l="1"/>
  <c r="Z7" i="121"/>
  <c r="Z86" i="121"/>
  <c r="Z26" i="121"/>
  <c r="Z36" i="121"/>
  <c r="Z17" i="121"/>
  <c r="Z106" i="121"/>
  <c r="Z107" i="121"/>
  <c r="Z150" i="121"/>
  <c r="Z12" i="121"/>
  <c r="Z134" i="121"/>
  <c r="Z128" i="121"/>
  <c r="Z50" i="121"/>
  <c r="Z40" i="121"/>
  <c r="Z89" i="121"/>
  <c r="Z27" i="121"/>
  <c r="Z65" i="121"/>
  <c r="Z131" i="121"/>
  <c r="Z24" i="121"/>
  <c r="Z114" i="121"/>
  <c r="Z151" i="121"/>
  <c r="Z16" i="121"/>
  <c r="Z143" i="121"/>
  <c r="Z63" i="121"/>
  <c r="Z71" i="121"/>
  <c r="Z20" i="121"/>
  <c r="Z3" i="121"/>
  <c r="Z74" i="121"/>
  <c r="Z96" i="121"/>
  <c r="Z51" i="121"/>
  <c r="Z69" i="121"/>
  <c r="Z88" i="121"/>
  <c r="Z137" i="121"/>
  <c r="Z6" i="121"/>
  <c r="Z47" i="121"/>
  <c r="Z57" i="121"/>
  <c r="Z35" i="121"/>
  <c r="Z41" i="121"/>
  <c r="Z123" i="121"/>
  <c r="Z84" i="121"/>
  <c r="Z99" i="121"/>
  <c r="Z97" i="121"/>
  <c r="Z90" i="121"/>
  <c r="Z116" i="121"/>
  <c r="Z79" i="121"/>
  <c r="Z119" i="121"/>
  <c r="Z142" i="121"/>
  <c r="Z14" i="121"/>
  <c r="Z110" i="121"/>
  <c r="Z56" i="121"/>
  <c r="Z59" i="121"/>
  <c r="Z101" i="121"/>
  <c r="Z87" i="121"/>
  <c r="Z77" i="121"/>
  <c r="Z52" i="121"/>
  <c r="Z66" i="121"/>
  <c r="Z144" i="121"/>
  <c r="Z49" i="121"/>
  <c r="Z120" i="121"/>
  <c r="Z147" i="121"/>
  <c r="Z78" i="121"/>
  <c r="Z127" i="121"/>
  <c r="Z82" i="121"/>
  <c r="Z148" i="121"/>
  <c r="Z132" i="121"/>
  <c r="Z53" i="121"/>
  <c r="Z30" i="121"/>
  <c r="Z149" i="121"/>
  <c r="Z124" i="121"/>
  <c r="Z31" i="121"/>
  <c r="Z98" i="121"/>
  <c r="Z44" i="121"/>
  <c r="Z46" i="121"/>
  <c r="Z15" i="121"/>
  <c r="Z64" i="121"/>
  <c r="Z43" i="121"/>
  <c r="Z100" i="121"/>
  <c r="Z109" i="121"/>
  <c r="Z60" i="121"/>
  <c r="Z25" i="121"/>
  <c r="Z23" i="121"/>
  <c r="Z83" i="121"/>
  <c r="Z5" i="121"/>
  <c r="Z111" i="121"/>
  <c r="Z117" i="121"/>
  <c r="Z37" i="121"/>
  <c r="Z129" i="121"/>
  <c r="Z72" i="121"/>
  <c r="Z42" i="121"/>
  <c r="Z32" i="121"/>
  <c r="Z141" i="121"/>
  <c r="Z68" i="121"/>
  <c r="Z91" i="121"/>
  <c r="Z80" i="121"/>
  <c r="Z70" i="121"/>
  <c r="Z73" i="121"/>
  <c r="Z135" i="121"/>
  <c r="Z102" i="121"/>
  <c r="Z22" i="121"/>
  <c r="Z145" i="121"/>
  <c r="Z81" i="121"/>
  <c r="Z54" i="121"/>
  <c r="Z18" i="121"/>
  <c r="Z55" i="121"/>
  <c r="Z21" i="121"/>
  <c r="Z11" i="121"/>
  <c r="Z75" i="121"/>
  <c r="Z4" i="121"/>
  <c r="Z105" i="121"/>
  <c r="Z13" i="121"/>
  <c r="Z93" i="121"/>
  <c r="Z62" i="121"/>
  <c r="Z118" i="121"/>
  <c r="Z45" i="121"/>
  <c r="Z138" i="121"/>
  <c r="Z126" i="121"/>
  <c r="Z92" i="121"/>
  <c r="Z125" i="121"/>
  <c r="Z34" i="121"/>
  <c r="Z39" i="121"/>
  <c r="Z33" i="121"/>
  <c r="Z136" i="121"/>
  <c r="Z10" i="121"/>
  <c r="Z139" i="121"/>
  <c r="Z8" i="121"/>
  <c r="Z115" i="121"/>
  <c r="Z146" i="121"/>
  <c r="Z108" i="121"/>
  <c r="Z133" i="121"/>
  <c r="Z61" i="121"/>
  <c r="Q145" i="1"/>
  <c r="P145" i="1" l="1"/>
  <c r="AB145" i="1" s="1"/>
  <c r="O109" i="1" l="1"/>
  <c r="N105" i="1" l="1"/>
  <c r="N121" i="1" l="1"/>
  <c r="N115" i="1"/>
  <c r="M85" i="1"/>
  <c r="R72" i="118" l="1"/>
  <c r="Q72" i="118"/>
  <c r="R60" i="118"/>
  <c r="Q60" i="118"/>
  <c r="R54" i="118"/>
  <c r="Q54" i="118"/>
  <c r="R48" i="118"/>
  <c r="Q48" i="118"/>
  <c r="R42" i="118"/>
  <c r="Q42" i="118"/>
  <c r="R36" i="118"/>
  <c r="Q36" i="118"/>
  <c r="R18" i="118"/>
  <c r="Q18" i="118"/>
  <c r="R12" i="118"/>
  <c r="Q12" i="118"/>
  <c r="R6" i="118"/>
  <c r="Q6" i="118"/>
  <c r="R40" i="118" l="1"/>
  <c r="R43" i="118"/>
  <c r="R70" i="118"/>
  <c r="R73" i="118"/>
  <c r="R74" i="118"/>
  <c r="R44" i="118"/>
  <c r="Q43" i="118"/>
  <c r="Q40" i="118"/>
  <c r="Q44" i="118" s="1"/>
  <c r="Q70" i="118"/>
  <c r="Q74" i="118" s="1"/>
  <c r="Q73" i="118"/>
  <c r="D9" i="116" l="1"/>
  <c r="E34" i="116" l="1"/>
  <c r="E35" i="116" s="1"/>
  <c r="D29" i="116"/>
  <c r="E29" i="116"/>
  <c r="F29" i="116"/>
  <c r="G29" i="116"/>
  <c r="H29" i="116"/>
  <c r="I29" i="116"/>
  <c r="J29" i="116"/>
  <c r="K29" i="116"/>
  <c r="L29" i="116"/>
  <c r="F159" i="113" s="1"/>
  <c r="M29" i="116"/>
  <c r="G159" i="113" s="1"/>
  <c r="N29" i="116"/>
  <c r="H159" i="113" s="1"/>
  <c r="O29" i="116"/>
  <c r="I159" i="113" s="1"/>
  <c r="E46" i="116"/>
  <c r="E47" i="116" s="1"/>
  <c r="D41" i="116"/>
  <c r="E41" i="116"/>
  <c r="F41" i="116"/>
  <c r="G41" i="116"/>
  <c r="H41" i="116"/>
  <c r="I41" i="116"/>
  <c r="J41" i="116"/>
  <c r="K41" i="116"/>
  <c r="L41" i="116"/>
  <c r="F161" i="113" s="1"/>
  <c r="M41" i="116"/>
  <c r="G161" i="113" s="1"/>
  <c r="N41" i="116"/>
  <c r="H161" i="113" s="1"/>
  <c r="O41" i="116"/>
  <c r="I161" i="113" s="1"/>
  <c r="E82" i="116"/>
  <c r="E83" i="116" s="1"/>
  <c r="D77" i="116"/>
  <c r="E77" i="116"/>
  <c r="F77" i="116"/>
  <c r="G77" i="116"/>
  <c r="H77" i="116"/>
  <c r="I77" i="116"/>
  <c r="J77" i="116"/>
  <c r="K77" i="116"/>
  <c r="L77" i="116"/>
  <c r="F167" i="113" s="1"/>
  <c r="M77" i="116"/>
  <c r="G167" i="113" s="1"/>
  <c r="N77" i="116"/>
  <c r="H167" i="113" s="1"/>
  <c r="O77" i="116"/>
  <c r="I167" i="113" s="1"/>
  <c r="H89" i="116"/>
  <c r="D89" i="116"/>
  <c r="L89" i="116"/>
  <c r="F169" i="113" s="1"/>
  <c r="E106" i="116"/>
  <c r="D101" i="116"/>
  <c r="E101" i="116"/>
  <c r="F101" i="116"/>
  <c r="G101" i="116"/>
  <c r="H101" i="116"/>
  <c r="I101" i="116"/>
  <c r="J101" i="116"/>
  <c r="K101" i="116"/>
  <c r="L101" i="116"/>
  <c r="M101" i="116"/>
  <c r="N101" i="116"/>
  <c r="O101" i="116"/>
  <c r="E119" i="116"/>
  <c r="D113" i="116"/>
  <c r="E113" i="116"/>
  <c r="F113" i="116"/>
  <c r="G113" i="116"/>
  <c r="H113" i="116"/>
  <c r="I113" i="116"/>
  <c r="J113" i="116"/>
  <c r="K113" i="116"/>
  <c r="L113" i="116"/>
  <c r="M113" i="116"/>
  <c r="N113" i="116"/>
  <c r="O113" i="116"/>
  <c r="E130" i="116"/>
  <c r="E131" i="116" s="1"/>
  <c r="D125" i="116"/>
  <c r="H125" i="116"/>
  <c r="L125" i="116"/>
  <c r="E22" i="116"/>
  <c r="F201" i="165" l="1"/>
  <c r="H199" i="165"/>
  <c r="F199" i="165"/>
  <c r="I193" i="165"/>
  <c r="G193" i="165"/>
  <c r="H191" i="165"/>
  <c r="F191" i="165"/>
  <c r="I199" i="165"/>
  <c r="G199" i="165"/>
  <c r="H193" i="165"/>
  <c r="F193" i="165"/>
  <c r="I191" i="165"/>
  <c r="G191" i="165"/>
  <c r="F175" i="113"/>
  <c r="I173" i="113"/>
  <c r="G173" i="113"/>
  <c r="H171" i="113"/>
  <c r="F171" i="113"/>
  <c r="H173" i="113"/>
  <c r="F173" i="113"/>
  <c r="F205" i="165" s="1"/>
  <c r="I171" i="113"/>
  <c r="G171" i="113"/>
  <c r="F207" i="165"/>
  <c r="F203" i="165"/>
  <c r="F177" i="113"/>
  <c r="F127" i="156"/>
  <c r="H125" i="156"/>
  <c r="F125" i="156"/>
  <c r="I119" i="156"/>
  <c r="G119" i="156"/>
  <c r="H117" i="156"/>
  <c r="F117" i="156"/>
  <c r="I125" i="156"/>
  <c r="G125" i="156"/>
  <c r="H119" i="156"/>
  <c r="F119" i="156"/>
  <c r="I117" i="156"/>
  <c r="G117" i="156"/>
  <c r="F133" i="156"/>
  <c r="I131" i="156"/>
  <c r="G131" i="156"/>
  <c r="H129" i="156"/>
  <c r="F129" i="156"/>
  <c r="H131" i="156"/>
  <c r="F131" i="156"/>
  <c r="I129" i="156"/>
  <c r="G129" i="156"/>
  <c r="E107" i="116"/>
  <c r="E142" i="116"/>
  <c r="E143" i="116" s="1"/>
  <c r="E23" i="116"/>
  <c r="N89" i="116"/>
  <c r="H169" i="113" s="1"/>
  <c r="J89" i="116"/>
  <c r="F89" i="116"/>
  <c r="N125" i="116"/>
  <c r="J125" i="116"/>
  <c r="F125" i="116"/>
  <c r="U39" i="116"/>
  <c r="U148" i="116"/>
  <c r="E154" i="116"/>
  <c r="E155" i="116" s="1"/>
  <c r="U144" i="116"/>
  <c r="G89" i="116"/>
  <c r="I89" i="116"/>
  <c r="K89" i="116"/>
  <c r="M89" i="116"/>
  <c r="G169" i="113" s="1"/>
  <c r="O89" i="116"/>
  <c r="I169" i="113" s="1"/>
  <c r="E94" i="116"/>
  <c r="E95" i="116" s="1"/>
  <c r="E89" i="116"/>
  <c r="Q37" i="116"/>
  <c r="Q85" i="116"/>
  <c r="Q109" i="116"/>
  <c r="Q122" i="116"/>
  <c r="Q25" i="116"/>
  <c r="Q87" i="116"/>
  <c r="Q74" i="116"/>
  <c r="Q96" i="116"/>
  <c r="Q120" i="116"/>
  <c r="Q145" i="116"/>
  <c r="Q12" i="116"/>
  <c r="Q27" i="116"/>
  <c r="Q124" i="116"/>
  <c r="Q111" i="116"/>
  <c r="Q98" i="116"/>
  <c r="U121" i="116"/>
  <c r="O125" i="116"/>
  <c r="M125" i="116"/>
  <c r="K125" i="116"/>
  <c r="I125" i="116"/>
  <c r="G125" i="116"/>
  <c r="U86" i="116"/>
  <c r="U110" i="116"/>
  <c r="U97" i="116"/>
  <c r="U73" i="116"/>
  <c r="Q15" i="116"/>
  <c r="Q14" i="116"/>
  <c r="Q13" i="116"/>
  <c r="U146" i="116"/>
  <c r="U145" i="116"/>
  <c r="U123" i="116"/>
  <c r="U99" i="116"/>
  <c r="U75" i="116"/>
  <c r="U74" i="116"/>
  <c r="U98" i="116"/>
  <c r="U122" i="116"/>
  <c r="U111" i="116"/>
  <c r="U109" i="116"/>
  <c r="U108" i="116"/>
  <c r="U87" i="116"/>
  <c r="U85" i="116"/>
  <c r="U84" i="116"/>
  <c r="U38" i="116"/>
  <c r="U36" i="116"/>
  <c r="E125" i="116"/>
  <c r="Q148" i="116"/>
  <c r="U96" i="116"/>
  <c r="U120" i="116"/>
  <c r="U124" i="116"/>
  <c r="U27" i="116"/>
  <c r="U26" i="116"/>
  <c r="U24" i="116"/>
  <c r="U77" i="116"/>
  <c r="Q72" i="116"/>
  <c r="U72" i="116"/>
  <c r="U41" i="116"/>
  <c r="U37" i="116"/>
  <c r="Q39" i="116"/>
  <c r="U25" i="116"/>
  <c r="Q36" i="116"/>
  <c r="Q38" i="116"/>
  <c r="Q73" i="116"/>
  <c r="Q75" i="116"/>
  <c r="Q84" i="116"/>
  <c r="Q86" i="116"/>
  <c r="Q97" i="116"/>
  <c r="Q99" i="116"/>
  <c r="Q108" i="116"/>
  <c r="Q110" i="116"/>
  <c r="Q121" i="116"/>
  <c r="Q123" i="116"/>
  <c r="Q144" i="116"/>
  <c r="Q146" i="116"/>
  <c r="Q24" i="116"/>
  <c r="Q26" i="116"/>
  <c r="U112" i="116"/>
  <c r="U100" i="116"/>
  <c r="Q112" i="116"/>
  <c r="U88" i="116"/>
  <c r="Q100" i="116"/>
  <c r="U76" i="116"/>
  <c r="Q88" i="116"/>
  <c r="U40" i="116"/>
  <c r="Q76" i="116"/>
  <c r="Q40" i="116"/>
  <c r="U12" i="116"/>
  <c r="U16" i="116"/>
  <c r="U13" i="116"/>
  <c r="U28" i="116"/>
  <c r="U15" i="116"/>
  <c r="Q17" i="116"/>
  <c r="Q16" i="116"/>
  <c r="Q28" i="116"/>
  <c r="U14" i="116"/>
  <c r="Q29" i="116"/>
  <c r="Q41" i="116"/>
  <c r="U101" i="116"/>
  <c r="U113" i="116"/>
  <c r="U149" i="116"/>
  <c r="Q101" i="116"/>
  <c r="Q113" i="116"/>
  <c r="Q149" i="116"/>
  <c r="I201" i="165" l="1"/>
  <c r="H201" i="165"/>
  <c r="G175" i="113"/>
  <c r="I175" i="113"/>
  <c r="I207" i="165" s="1"/>
  <c r="H175" i="113"/>
  <c r="G203" i="165"/>
  <c r="I203" i="165"/>
  <c r="H205" i="165"/>
  <c r="H203" i="165"/>
  <c r="G205" i="165"/>
  <c r="I205" i="165"/>
  <c r="I177" i="113"/>
  <c r="G201" i="165"/>
  <c r="H177" i="113"/>
  <c r="H207" i="165"/>
  <c r="G207" i="165"/>
  <c r="F135" i="156"/>
  <c r="F209" i="165"/>
  <c r="S113" i="116"/>
  <c r="S149" i="116"/>
  <c r="S101" i="116"/>
  <c r="S41" i="116"/>
  <c r="S29" i="116"/>
  <c r="S17" i="116"/>
  <c r="S28" i="116"/>
  <c r="S40" i="116"/>
  <c r="S26" i="116"/>
  <c r="S146" i="116"/>
  <c r="S123" i="116"/>
  <c r="S110" i="116"/>
  <c r="S99" i="116"/>
  <c r="S86" i="116"/>
  <c r="S75" i="116"/>
  <c r="S38" i="116"/>
  <c r="S98" i="116"/>
  <c r="S124" i="116"/>
  <c r="S120" i="116"/>
  <c r="S74" i="116"/>
  <c r="S25" i="116"/>
  <c r="S109" i="116"/>
  <c r="S37" i="116"/>
  <c r="S76" i="116"/>
  <c r="S88" i="116"/>
  <c r="S100" i="116"/>
  <c r="S112" i="116"/>
  <c r="S24" i="116"/>
  <c r="S144" i="116"/>
  <c r="S121" i="116"/>
  <c r="S108" i="116"/>
  <c r="S97" i="116"/>
  <c r="S84" i="116"/>
  <c r="S73" i="116"/>
  <c r="S36" i="116"/>
  <c r="S39" i="116"/>
  <c r="S72" i="116"/>
  <c r="S148" i="116"/>
  <c r="S111" i="116"/>
  <c r="S27" i="116"/>
  <c r="S145" i="116"/>
  <c r="S87" i="116"/>
  <c r="S122" i="116"/>
  <c r="S85" i="116"/>
  <c r="S16" i="116"/>
  <c r="S14" i="116"/>
  <c r="S13" i="116"/>
  <c r="S15" i="116"/>
  <c r="S12" i="116"/>
  <c r="G177" i="113"/>
  <c r="I127" i="156"/>
  <c r="H127" i="156"/>
  <c r="I133" i="156"/>
  <c r="H133" i="156"/>
  <c r="G133" i="156"/>
  <c r="G127" i="156"/>
  <c r="E168" i="116"/>
  <c r="E169" i="116" s="1"/>
  <c r="S96" i="116"/>
  <c r="Q125" i="116"/>
  <c r="Q89" i="116"/>
  <c r="Q160" i="116"/>
  <c r="Q6" i="116"/>
  <c r="Q4" i="116"/>
  <c r="U125" i="116"/>
  <c r="U160" i="116"/>
  <c r="U89" i="116"/>
  <c r="U158" i="116"/>
  <c r="Q77" i="116"/>
  <c r="U29" i="116"/>
  <c r="Q158" i="116"/>
  <c r="U17" i="116"/>
  <c r="S6" i="116" l="1"/>
  <c r="S4" i="116"/>
  <c r="G135" i="156"/>
  <c r="G209" i="165"/>
  <c r="H135" i="156"/>
  <c r="H209" i="165"/>
  <c r="I135" i="156"/>
  <c r="I209" i="165"/>
  <c r="S125" i="116"/>
  <c r="S77" i="116"/>
  <c r="S89" i="116"/>
  <c r="S158" i="116"/>
  <c r="S160" i="116"/>
  <c r="X545" i="9"/>
  <c r="X422" i="9"/>
  <c r="X380" i="9"/>
  <c r="X339" i="9"/>
  <c r="X297" i="9"/>
  <c r="X256" i="9"/>
  <c r="X216" i="9"/>
  <c r="X53" i="9"/>
  <c r="AF4" i="41"/>
  <c r="AE4" i="41"/>
  <c r="AD4" i="41"/>
  <c r="AC4" i="41"/>
  <c r="AB4" i="41"/>
  <c r="AA4" i="41"/>
  <c r="Z4" i="41"/>
  <c r="V18" i="41"/>
  <c r="Y150" i="1"/>
  <c r="Y57" i="1"/>
  <c r="Y48" i="1"/>
  <c r="Y47" i="1"/>
  <c r="Y46" i="1"/>
  <c r="Y45" i="1"/>
  <c r="Y42" i="1"/>
  <c r="Y41" i="1"/>
  <c r="Y40" i="1"/>
  <c r="Y39" i="1"/>
  <c r="Y38" i="1"/>
  <c r="Y53" i="1" l="1"/>
  <c r="Y147" i="1" s="1"/>
  <c r="AB6" i="53"/>
  <c r="AB9" i="53" s="1"/>
  <c r="Y247" i="1"/>
  <c r="D21" i="116"/>
  <c r="D45" i="116"/>
  <c r="D105" i="116"/>
  <c r="D129" i="116"/>
  <c r="Y127" i="1"/>
  <c r="Y258" i="1" s="1"/>
  <c r="Y101" i="1"/>
  <c r="Y121" i="1"/>
  <c r="Y257" i="1" s="1"/>
  <c r="D79" i="116"/>
  <c r="D82" i="116" s="1"/>
  <c r="D151" i="116"/>
  <c r="D154" i="116" s="1"/>
  <c r="Y115" i="1"/>
  <c r="Y256" i="1" s="1"/>
  <c r="Y85" i="1"/>
  <c r="Y250" i="1" s="1"/>
  <c r="Y78" i="1"/>
  <c r="Y249" i="1" s="1"/>
  <c r="AD31" i="60"/>
  <c r="AG12" i="5"/>
  <c r="AG18" i="5"/>
  <c r="AG11" i="5"/>
  <c r="AG7" i="5"/>
  <c r="Y253" i="1" l="1"/>
  <c r="Y248" i="1"/>
  <c r="D117" i="116"/>
  <c r="D141" i="116" s="1"/>
  <c r="D93" i="116"/>
  <c r="D153" i="116"/>
  <c r="D81" i="116"/>
  <c r="D33" i="116"/>
  <c r="AG14" i="5"/>
  <c r="R51" i="118"/>
  <c r="AG10" i="5"/>
  <c r="D10" i="116"/>
  <c r="D11" i="116" s="1"/>
  <c r="AG15" i="5"/>
  <c r="R49" i="118"/>
  <c r="Q49" i="118"/>
  <c r="D42" i="116"/>
  <c r="D90" i="116"/>
  <c r="D150" i="116"/>
  <c r="D155" i="116" s="1"/>
  <c r="D114" i="116"/>
  <c r="D43" i="116"/>
  <c r="D46" i="116" s="1"/>
  <c r="D103" i="116"/>
  <c r="D19" i="116"/>
  <c r="D31" i="116"/>
  <c r="D34" i="116" s="1"/>
  <c r="D91" i="116"/>
  <c r="D94" i="116" s="1"/>
  <c r="D127" i="116"/>
  <c r="D130" i="116" s="1"/>
  <c r="D115" i="116"/>
  <c r="D118" i="116" s="1"/>
  <c r="AA7" i="60"/>
  <c r="AG5" i="5"/>
  <c r="R45" i="118"/>
  <c r="Q37" i="118"/>
  <c r="R37" i="118"/>
  <c r="R19" i="118"/>
  <c r="Q19" i="118"/>
  <c r="R7" i="118"/>
  <c r="Q7" i="118"/>
  <c r="R75" i="118"/>
  <c r="Q55" i="118"/>
  <c r="R55" i="118"/>
  <c r="R50" i="118"/>
  <c r="Q46" i="118"/>
  <c r="Q50" i="118" s="1"/>
  <c r="R46" i="118"/>
  <c r="Q61" i="118"/>
  <c r="R61" i="118"/>
  <c r="R13" i="118"/>
  <c r="Q13" i="118"/>
  <c r="AA100" i="35"/>
  <c r="AG13" i="5"/>
  <c r="AG6" i="5"/>
  <c r="AG17" i="5" l="1"/>
  <c r="T264" i="5" s="1"/>
  <c r="T265" i="5" s="1"/>
  <c r="D106" i="116"/>
  <c r="D139" i="116"/>
  <c r="D142" i="116"/>
  <c r="D166" i="116"/>
  <c r="D164" i="116"/>
  <c r="D22" i="116"/>
  <c r="Y261" i="1"/>
  <c r="AE81" i="57"/>
  <c r="AD81" i="57"/>
  <c r="Q8" i="118"/>
  <c r="AD32" i="60"/>
  <c r="AD30" i="60"/>
  <c r="R15" i="118"/>
  <c r="D78" i="116"/>
  <c r="AE9" i="57"/>
  <c r="AD9" i="57"/>
  <c r="AE77" i="35"/>
  <c r="AD77" i="35"/>
  <c r="R21" i="118"/>
  <c r="D126" i="116"/>
  <c r="D131" i="116" s="1"/>
  <c r="D102" i="116"/>
  <c r="D30" i="116"/>
  <c r="D18" i="116"/>
  <c r="Y21" i="5"/>
  <c r="R57" i="118"/>
  <c r="R39" i="118"/>
  <c r="R71" i="118"/>
  <c r="Q71" i="118"/>
  <c r="Q75" i="118" s="1"/>
  <c r="E8" i="118"/>
  <c r="R8" i="118" s="1"/>
  <c r="Q34" i="118"/>
  <c r="R34" i="118"/>
  <c r="R38" i="118"/>
  <c r="R41" i="118"/>
  <c r="Q41" i="118"/>
  <c r="Q45" i="118" s="1"/>
  <c r="R17" i="118"/>
  <c r="Q17" i="118"/>
  <c r="Q21" i="118" s="1"/>
  <c r="R56" i="118"/>
  <c r="R52" i="118"/>
  <c r="Q56" i="118"/>
  <c r="R20" i="118"/>
  <c r="R16" i="118"/>
  <c r="Q16" i="118"/>
  <c r="Q20" i="118" s="1"/>
  <c r="Q47" i="118"/>
  <c r="Q51" i="118" s="1"/>
  <c r="R47" i="118"/>
  <c r="R63" i="118"/>
  <c r="R62" i="118"/>
  <c r="Q58" i="118"/>
  <c r="Q62" i="118" s="1"/>
  <c r="R58" i="118"/>
  <c r="R11" i="118"/>
  <c r="Q11" i="118"/>
  <c r="Q15" i="118" s="1"/>
  <c r="Q10" i="118"/>
  <c r="R10" i="118"/>
  <c r="R14" i="118"/>
  <c r="AA95" i="35"/>
  <c r="AG4" i="5"/>
  <c r="D168" i="116" l="1"/>
  <c r="D138" i="116"/>
  <c r="D143" i="116" s="1"/>
  <c r="Q38" i="118"/>
  <c r="AE5" i="35"/>
  <c r="AD5" i="35"/>
  <c r="R35" i="118"/>
  <c r="Q35" i="118"/>
  <c r="Q39" i="118" s="1"/>
  <c r="R53" i="118"/>
  <c r="Q53" i="118"/>
  <c r="Q57" i="118" s="1"/>
  <c r="R59" i="118"/>
  <c r="Q59" i="118"/>
  <c r="Q63" i="118" s="1"/>
  <c r="Q14" i="118"/>
  <c r="AA94" i="35"/>
  <c r="AA97" i="35" s="1"/>
  <c r="F92" i="112"/>
  <c r="E92" i="112"/>
  <c r="D92" i="112"/>
  <c r="C92" i="112"/>
  <c r="E85" i="112"/>
  <c r="E84" i="112"/>
  <c r="E83" i="112"/>
  <c r="E82" i="112"/>
  <c r="E81" i="112"/>
  <c r="E80" i="112"/>
  <c r="E79" i="112"/>
  <c r="E78" i="112"/>
  <c r="E77" i="112"/>
  <c r="E76" i="112"/>
  <c r="E75" i="112"/>
  <c r="E74" i="112"/>
  <c r="E69" i="112"/>
  <c r="C69" i="112"/>
  <c r="E52" i="112"/>
  <c r="C52" i="112"/>
  <c r="E35" i="112"/>
  <c r="N24" i="112"/>
  <c r="N22" i="112"/>
  <c r="C34" i="112"/>
  <c r="C33" i="112"/>
  <c r="C32" i="112"/>
  <c r="C31" i="112"/>
  <c r="I18" i="112"/>
  <c r="C29" i="112" s="1"/>
  <c r="H18" i="112"/>
  <c r="C28" i="112" s="1"/>
  <c r="C27" i="112"/>
  <c r="C26" i="112"/>
  <c r="E18" i="112"/>
  <c r="C25" i="112" s="1"/>
  <c r="C23" i="112"/>
  <c r="O17" i="112"/>
  <c r="O16" i="112"/>
  <c r="O15" i="112"/>
  <c r="O14" i="112"/>
  <c r="O13" i="112"/>
  <c r="O12" i="112"/>
  <c r="O10" i="112"/>
  <c r="O9" i="112"/>
  <c r="O7" i="112"/>
  <c r="W141" i="113"/>
  <c r="W140" i="113"/>
  <c r="D68" i="112"/>
  <c r="D67" i="112"/>
  <c r="D66" i="112"/>
  <c r="D65" i="112"/>
  <c r="D64" i="112"/>
  <c r="D63" i="112"/>
  <c r="D62" i="112"/>
  <c r="D61" i="112"/>
  <c r="D60" i="112"/>
  <c r="D59" i="112"/>
  <c r="D58" i="112"/>
  <c r="D57" i="112"/>
  <c r="D42" i="112"/>
  <c r="D41" i="112"/>
  <c r="D34" i="112"/>
  <c r="D33" i="112"/>
  <c r="D32" i="112"/>
  <c r="D31" i="112"/>
  <c r="D30" i="112"/>
  <c r="D29" i="112"/>
  <c r="D28" i="112"/>
  <c r="D27" i="112"/>
  <c r="D26" i="112"/>
  <c r="D25" i="112"/>
  <c r="D24" i="112"/>
  <c r="D23" i="112"/>
  <c r="W127" i="113"/>
  <c r="W126" i="113"/>
  <c r="W125" i="113"/>
  <c r="W124" i="113"/>
  <c r="Q108" i="113"/>
  <c r="P108" i="113"/>
  <c r="O108" i="113"/>
  <c r="N108" i="113"/>
  <c r="M108" i="113"/>
  <c r="L108" i="113"/>
  <c r="K108" i="113"/>
  <c r="J108" i="113"/>
  <c r="I108" i="113"/>
  <c r="H108" i="113"/>
  <c r="G108" i="113"/>
  <c r="F108" i="113"/>
  <c r="W107" i="113"/>
  <c r="W106" i="113"/>
  <c r="W105" i="113"/>
  <c r="W104" i="113"/>
  <c r="Q98" i="113"/>
  <c r="P98" i="113"/>
  <c r="O98" i="113"/>
  <c r="N98" i="113"/>
  <c r="M98" i="113"/>
  <c r="L98" i="113"/>
  <c r="K98" i="113"/>
  <c r="J98" i="113"/>
  <c r="I98" i="113"/>
  <c r="H98" i="113"/>
  <c r="G98" i="113"/>
  <c r="F98" i="113"/>
  <c r="W97" i="113"/>
  <c r="W96" i="113"/>
  <c r="W95" i="113"/>
  <c r="W94" i="113"/>
  <c r="Q88" i="113"/>
  <c r="P88" i="113"/>
  <c r="O88" i="113"/>
  <c r="N88" i="113"/>
  <c r="M88" i="113"/>
  <c r="L88" i="113"/>
  <c r="K88" i="113"/>
  <c r="J88" i="113"/>
  <c r="I88" i="113"/>
  <c r="H88" i="113"/>
  <c r="G88" i="113"/>
  <c r="F88" i="113"/>
  <c r="W87" i="113"/>
  <c r="W86" i="113"/>
  <c r="W85" i="113"/>
  <c r="W84" i="113"/>
  <c r="Q78" i="113"/>
  <c r="P78" i="113"/>
  <c r="O78" i="113"/>
  <c r="N78" i="113"/>
  <c r="M78" i="113"/>
  <c r="L78" i="113"/>
  <c r="K78" i="113"/>
  <c r="J78" i="113"/>
  <c r="I78" i="113"/>
  <c r="H78" i="113"/>
  <c r="G78" i="113"/>
  <c r="F78" i="113"/>
  <c r="W77" i="113"/>
  <c r="W76" i="113"/>
  <c r="W75" i="113"/>
  <c r="W74" i="113"/>
  <c r="Q68" i="113"/>
  <c r="P68" i="113"/>
  <c r="O68" i="113"/>
  <c r="N68" i="113"/>
  <c r="M68" i="113"/>
  <c r="L68" i="113"/>
  <c r="K68" i="113"/>
  <c r="J68" i="113"/>
  <c r="I68" i="113"/>
  <c r="H68" i="113"/>
  <c r="G68" i="113"/>
  <c r="F68" i="113"/>
  <c r="W67" i="113"/>
  <c r="W66" i="113"/>
  <c r="W65" i="113"/>
  <c r="W64" i="113"/>
  <c r="Q38" i="113"/>
  <c r="P38" i="113"/>
  <c r="O38" i="113"/>
  <c r="N38" i="113"/>
  <c r="M38" i="113"/>
  <c r="L38" i="113"/>
  <c r="K38" i="113"/>
  <c r="J38" i="113"/>
  <c r="I38" i="113"/>
  <c r="H38" i="113"/>
  <c r="G38" i="113"/>
  <c r="F38" i="113"/>
  <c r="W37" i="113"/>
  <c r="W36" i="113"/>
  <c r="W35" i="113"/>
  <c r="W34" i="113"/>
  <c r="Q28" i="113"/>
  <c r="P28" i="113"/>
  <c r="O28" i="113"/>
  <c r="N28" i="113"/>
  <c r="M28" i="113"/>
  <c r="L28" i="113"/>
  <c r="K28" i="113"/>
  <c r="J28" i="113"/>
  <c r="I28" i="113"/>
  <c r="H28" i="113"/>
  <c r="G28" i="113"/>
  <c r="F28" i="113"/>
  <c r="W27" i="113"/>
  <c r="W26" i="113"/>
  <c r="W25" i="113"/>
  <c r="W24" i="113"/>
  <c r="Q18" i="113"/>
  <c r="P18" i="113"/>
  <c r="O18" i="113"/>
  <c r="N18" i="113"/>
  <c r="M18" i="113"/>
  <c r="L18" i="113"/>
  <c r="K18" i="113"/>
  <c r="J18" i="113"/>
  <c r="I18" i="113"/>
  <c r="H18" i="113"/>
  <c r="G18" i="113"/>
  <c r="F18" i="113"/>
  <c r="W17" i="113"/>
  <c r="W16" i="113"/>
  <c r="W15" i="113"/>
  <c r="W14" i="113"/>
  <c r="W6" i="113"/>
  <c r="W5" i="113"/>
  <c r="W4" i="113"/>
  <c r="W3" i="113"/>
  <c r="E37" i="60"/>
  <c r="D37" i="60"/>
  <c r="C37" i="60"/>
  <c r="F35" i="60"/>
  <c r="W545" i="9"/>
  <c r="V545" i="9"/>
  <c r="U545" i="9"/>
  <c r="T545" i="9"/>
  <c r="S545" i="9"/>
  <c r="R545" i="9"/>
  <c r="Q545" i="9"/>
  <c r="P545" i="9"/>
  <c r="O545" i="9"/>
  <c r="N545" i="9"/>
  <c r="M545" i="9"/>
  <c r="L545" i="9"/>
  <c r="W422" i="9"/>
  <c r="V422" i="9"/>
  <c r="U422" i="9"/>
  <c r="T422" i="9"/>
  <c r="S422" i="9"/>
  <c r="R422" i="9"/>
  <c r="Q422" i="9"/>
  <c r="P422" i="9"/>
  <c r="O422" i="9"/>
  <c r="N422" i="9"/>
  <c r="M422" i="9"/>
  <c r="L422" i="9"/>
  <c r="W380" i="9"/>
  <c r="V380" i="9"/>
  <c r="U380" i="9"/>
  <c r="T380" i="9"/>
  <c r="S380" i="9"/>
  <c r="R380" i="9"/>
  <c r="Q380" i="9"/>
  <c r="P380" i="9"/>
  <c r="O380" i="9"/>
  <c r="N380" i="9"/>
  <c r="M380" i="9"/>
  <c r="L380" i="9"/>
  <c r="W339" i="9"/>
  <c r="V339" i="9"/>
  <c r="U339" i="9"/>
  <c r="T339" i="9"/>
  <c r="S339" i="9"/>
  <c r="R339" i="9"/>
  <c r="Q339" i="9"/>
  <c r="P339" i="9"/>
  <c r="O339" i="9"/>
  <c r="N339" i="9"/>
  <c r="M339" i="9"/>
  <c r="L339" i="9"/>
  <c r="W297" i="9"/>
  <c r="V297" i="9"/>
  <c r="U297" i="9"/>
  <c r="T297" i="9"/>
  <c r="S297" i="9"/>
  <c r="R297" i="9"/>
  <c r="Q297" i="9"/>
  <c r="P297" i="9"/>
  <c r="O297" i="9"/>
  <c r="N297" i="9"/>
  <c r="M297" i="9"/>
  <c r="L297" i="9"/>
  <c r="W256" i="9"/>
  <c r="V256" i="9"/>
  <c r="U256" i="9"/>
  <c r="T256" i="9"/>
  <c r="S256" i="9"/>
  <c r="R256" i="9"/>
  <c r="Q256" i="9"/>
  <c r="P256" i="9"/>
  <c r="O256" i="9"/>
  <c r="N256" i="9"/>
  <c r="M256" i="9"/>
  <c r="L256" i="9"/>
  <c r="W216" i="9"/>
  <c r="V216" i="9"/>
  <c r="U216" i="9"/>
  <c r="T216" i="9"/>
  <c r="S216" i="9"/>
  <c r="R216" i="9"/>
  <c r="Q216" i="9"/>
  <c r="P216" i="9"/>
  <c r="O216" i="9"/>
  <c r="N216" i="9"/>
  <c r="M216" i="9"/>
  <c r="L216" i="9"/>
  <c r="W53" i="9"/>
  <c r="V53" i="9"/>
  <c r="U53" i="9"/>
  <c r="T53" i="9"/>
  <c r="S53" i="9"/>
  <c r="R53" i="9"/>
  <c r="Q53" i="9"/>
  <c r="P53" i="9"/>
  <c r="O53" i="9"/>
  <c r="N53" i="9"/>
  <c r="M53" i="9"/>
  <c r="L53" i="9"/>
  <c r="D118" i="53"/>
  <c r="D110" i="53"/>
  <c r="D94" i="53"/>
  <c r="D86" i="53"/>
  <c r="D78" i="53"/>
  <c r="D70" i="53"/>
  <c r="D62" i="53"/>
  <c r="D30" i="53"/>
  <c r="D22" i="53"/>
  <c r="D14" i="53"/>
  <c r="N330" i="41"/>
  <c r="N329" i="41"/>
  <c r="N328" i="41"/>
  <c r="O294" i="41"/>
  <c r="O295" i="41" s="1"/>
  <c r="N294" i="41"/>
  <c r="O293" i="41"/>
  <c r="N293" i="41"/>
  <c r="O292" i="41"/>
  <c r="N292" i="41"/>
  <c r="O276" i="41"/>
  <c r="O277" i="41" s="1"/>
  <c r="N276" i="41"/>
  <c r="O275" i="41"/>
  <c r="N275" i="41"/>
  <c r="O274" i="41"/>
  <c r="N274" i="41"/>
  <c r="O258" i="41"/>
  <c r="O259" i="41" s="1"/>
  <c r="N258" i="41"/>
  <c r="O257" i="41"/>
  <c r="N257" i="41"/>
  <c r="O256" i="41"/>
  <c r="N256" i="41"/>
  <c r="O240" i="41"/>
  <c r="O241" i="41" s="1"/>
  <c r="N240" i="41"/>
  <c r="O239" i="41"/>
  <c r="N239" i="41"/>
  <c r="O238" i="41"/>
  <c r="N238" i="41"/>
  <c r="N222" i="41"/>
  <c r="N221" i="41"/>
  <c r="O220" i="41"/>
  <c r="N220" i="41"/>
  <c r="O203" i="41"/>
  <c r="O204" i="41" s="1"/>
  <c r="N203" i="41"/>
  <c r="O202" i="41"/>
  <c r="N202" i="41"/>
  <c r="O201" i="41"/>
  <c r="N201" i="41"/>
  <c r="O148" i="41"/>
  <c r="O149" i="41" s="1"/>
  <c r="N148" i="41"/>
  <c r="O147" i="41"/>
  <c r="N147" i="41"/>
  <c r="O146" i="41"/>
  <c r="N146" i="41"/>
  <c r="O130" i="41"/>
  <c r="O131" i="41" s="1"/>
  <c r="N130" i="41"/>
  <c r="O129" i="41"/>
  <c r="N129" i="41"/>
  <c r="O128" i="41"/>
  <c r="N128" i="41"/>
  <c r="N114" i="41"/>
  <c r="N113" i="41"/>
  <c r="N112" i="41"/>
  <c r="U18" i="41"/>
  <c r="T18" i="41"/>
  <c r="S18" i="41"/>
  <c r="R18" i="41"/>
  <c r="Q18" i="41"/>
  <c r="P18" i="41"/>
  <c r="O18" i="41"/>
  <c r="N18" i="41"/>
  <c r="M18" i="41"/>
  <c r="L18" i="41"/>
  <c r="K18" i="41"/>
  <c r="J18" i="41"/>
  <c r="I18" i="41"/>
  <c r="H18" i="41"/>
  <c r="E18" i="41"/>
  <c r="D18" i="41"/>
  <c r="C18" i="41"/>
  <c r="O330" i="41"/>
  <c r="O329" i="41"/>
  <c r="O328" i="41"/>
  <c r="O222" i="41"/>
  <c r="O221" i="41"/>
  <c r="O114" i="41"/>
  <c r="O113" i="41"/>
  <c r="O112" i="41"/>
  <c r="G67" i="28"/>
  <c r="F67" i="28"/>
  <c r="X150" i="1"/>
  <c r="W150" i="1"/>
  <c r="V150" i="1"/>
  <c r="U150" i="1"/>
  <c r="T150" i="1"/>
  <c r="S150" i="1"/>
  <c r="R150" i="1"/>
  <c r="Q150" i="1"/>
  <c r="P150" i="1"/>
  <c r="O150" i="1"/>
  <c r="N150" i="1"/>
  <c r="M150" i="1"/>
  <c r="X127" i="1"/>
  <c r="AB127" i="1" s="1"/>
  <c r="N85" i="1"/>
  <c r="S85" i="1"/>
  <c r="R85" i="1"/>
  <c r="Q85" i="1"/>
  <c r="O78" i="1"/>
  <c r="M78" i="1"/>
  <c r="M249" i="1" s="1"/>
  <c r="V78" i="1"/>
  <c r="V249" i="1" s="1"/>
  <c r="AB57" i="1"/>
  <c r="X57" i="1"/>
  <c r="W57" i="1"/>
  <c r="V57" i="1"/>
  <c r="U57" i="1"/>
  <c r="T57" i="1"/>
  <c r="S57" i="1"/>
  <c r="R57" i="1"/>
  <c r="Q57" i="1"/>
  <c r="P57" i="1"/>
  <c r="O57" i="1"/>
  <c r="N57" i="1"/>
  <c r="M57" i="1"/>
  <c r="X48" i="1"/>
  <c r="W48" i="1"/>
  <c r="V48" i="1"/>
  <c r="U48" i="1"/>
  <c r="T48" i="1"/>
  <c r="S48" i="1"/>
  <c r="R48" i="1"/>
  <c r="Q48" i="1"/>
  <c r="P48" i="1"/>
  <c r="O48" i="1"/>
  <c r="N48" i="1"/>
  <c r="M48" i="1"/>
  <c r="X47" i="1"/>
  <c r="W47" i="1"/>
  <c r="V47" i="1"/>
  <c r="U47" i="1"/>
  <c r="T47" i="1"/>
  <c r="S47" i="1"/>
  <c r="R47" i="1"/>
  <c r="Q47" i="1"/>
  <c r="P47" i="1"/>
  <c r="O47" i="1"/>
  <c r="N47" i="1"/>
  <c r="X46" i="1"/>
  <c r="W46" i="1"/>
  <c r="V46" i="1"/>
  <c r="U46" i="1"/>
  <c r="T46" i="1"/>
  <c r="S46" i="1"/>
  <c r="R46" i="1"/>
  <c r="Q46" i="1"/>
  <c r="P46" i="1"/>
  <c r="O46" i="1"/>
  <c r="N46" i="1"/>
  <c r="M46" i="1"/>
  <c r="X45" i="1"/>
  <c r="W45" i="1"/>
  <c r="V45" i="1"/>
  <c r="U45" i="1"/>
  <c r="T45" i="1"/>
  <c r="S45" i="1"/>
  <c r="R45" i="1"/>
  <c r="Q45" i="1"/>
  <c r="P45" i="1"/>
  <c r="O45" i="1"/>
  <c r="N45" i="1"/>
  <c r="X42" i="1"/>
  <c r="W42" i="1"/>
  <c r="V42" i="1"/>
  <c r="U42" i="1"/>
  <c r="T42" i="1"/>
  <c r="S42" i="1"/>
  <c r="R42" i="1"/>
  <c r="Q42" i="1"/>
  <c r="P42" i="1"/>
  <c r="O42" i="1"/>
  <c r="N42" i="1"/>
  <c r="X41" i="1"/>
  <c r="W41" i="1"/>
  <c r="V41" i="1"/>
  <c r="U41" i="1"/>
  <c r="Q41" i="1"/>
  <c r="P41" i="1"/>
  <c r="O41" i="1"/>
  <c r="N41" i="1"/>
  <c r="X40" i="1"/>
  <c r="W40" i="1"/>
  <c r="V40" i="1"/>
  <c r="U40" i="1"/>
  <c r="T40" i="1"/>
  <c r="S40" i="1"/>
  <c r="R40" i="1"/>
  <c r="Q40" i="1"/>
  <c r="P40" i="1"/>
  <c r="O40" i="1"/>
  <c r="N40" i="1"/>
  <c r="X39" i="1"/>
  <c r="W39" i="1"/>
  <c r="V39" i="1"/>
  <c r="U39" i="1"/>
  <c r="T39" i="1"/>
  <c r="S39" i="1"/>
  <c r="R39" i="1"/>
  <c r="Q39" i="1"/>
  <c r="P39" i="1"/>
  <c r="O39" i="1"/>
  <c r="N39" i="1"/>
  <c r="X38" i="1"/>
  <c r="W38" i="1"/>
  <c r="V38" i="1"/>
  <c r="U38" i="1"/>
  <c r="T38" i="1"/>
  <c r="S38" i="1"/>
  <c r="R38" i="1"/>
  <c r="Q38" i="1"/>
  <c r="P38" i="1"/>
  <c r="O38" i="1"/>
  <c r="N38" i="1"/>
  <c r="M38" i="1"/>
  <c r="AB18" i="41" l="1"/>
  <c r="AB47" i="1"/>
  <c r="Z18" i="41"/>
  <c r="M53" i="1"/>
  <c r="O53" i="1"/>
  <c r="O147" i="1" s="1"/>
  <c r="Q53" i="1"/>
  <c r="Q147" i="1" s="1"/>
  <c r="S53" i="1"/>
  <c r="S147" i="1" s="1"/>
  <c r="U53" i="1"/>
  <c r="U147" i="1" s="1"/>
  <c r="W53" i="1"/>
  <c r="N53" i="1"/>
  <c r="P53" i="1"/>
  <c r="P147" i="1" s="1"/>
  <c r="R53" i="1"/>
  <c r="R147" i="1" s="1"/>
  <c r="T53" i="1"/>
  <c r="V53" i="1"/>
  <c r="X53" i="1"/>
  <c r="AA120" i="53"/>
  <c r="E117" i="53"/>
  <c r="F120" i="53"/>
  <c r="E120" i="53"/>
  <c r="E115" i="53"/>
  <c r="F116" i="53"/>
  <c r="E116" i="53"/>
  <c r="AB114" i="53"/>
  <c r="F117" i="53"/>
  <c r="E119" i="53"/>
  <c r="F119" i="53"/>
  <c r="F115" i="53"/>
  <c r="F114" i="53"/>
  <c r="E114" i="53"/>
  <c r="G114" i="53"/>
  <c r="G116" i="53"/>
  <c r="G120" i="53"/>
  <c r="G115" i="53"/>
  <c r="I114" i="53"/>
  <c r="H120" i="53"/>
  <c r="I119" i="53"/>
  <c r="H116" i="53"/>
  <c r="H119" i="53"/>
  <c r="G117" i="53"/>
  <c r="G119" i="53"/>
  <c r="I115" i="53"/>
  <c r="I117" i="53"/>
  <c r="H114" i="53"/>
  <c r="H117" i="53"/>
  <c r="I120" i="53"/>
  <c r="I116" i="53"/>
  <c r="H115" i="53"/>
  <c r="AA117" i="53"/>
  <c r="Y117" i="53"/>
  <c r="V117" i="53"/>
  <c r="U117" i="53"/>
  <c r="T117" i="53"/>
  <c r="Q120" i="53"/>
  <c r="P117" i="53"/>
  <c r="O120" i="53"/>
  <c r="M120" i="53"/>
  <c r="L117" i="53"/>
  <c r="J114" i="53"/>
  <c r="N115" i="53"/>
  <c r="V116" i="53"/>
  <c r="AB116" i="53"/>
  <c r="U115" i="53"/>
  <c r="K115" i="53"/>
  <c r="N114" i="53"/>
  <c r="Z116" i="53"/>
  <c r="P115" i="53"/>
  <c r="M114" i="53"/>
  <c r="S116" i="53"/>
  <c r="T115" i="53"/>
  <c r="AA116" i="53"/>
  <c r="W116" i="53"/>
  <c r="AB117" i="53"/>
  <c r="AA119" i="53"/>
  <c r="Y119" i="53"/>
  <c r="X119" i="53"/>
  <c r="W120" i="53"/>
  <c r="V120" i="53"/>
  <c r="U119" i="53"/>
  <c r="S120" i="53"/>
  <c r="R117" i="53"/>
  <c r="Q117" i="53"/>
  <c r="P119" i="53"/>
  <c r="N120" i="53"/>
  <c r="M119" i="53"/>
  <c r="L120" i="53"/>
  <c r="J116" i="53"/>
  <c r="M116" i="53"/>
  <c r="X116" i="53"/>
  <c r="Z115" i="53"/>
  <c r="W114" i="53"/>
  <c r="N116" i="53"/>
  <c r="U114" i="53"/>
  <c r="Y114" i="53"/>
  <c r="AB115" i="53"/>
  <c r="Q114" i="53"/>
  <c r="W115" i="53"/>
  <c r="T114" i="53"/>
  <c r="K116" i="53"/>
  <c r="J119" i="53"/>
  <c r="AB119" i="53"/>
  <c r="Z117" i="53"/>
  <c r="Z119" i="53"/>
  <c r="Y120" i="53"/>
  <c r="X117" i="53"/>
  <c r="W117" i="53"/>
  <c r="V119" i="53"/>
  <c r="U120" i="53"/>
  <c r="T120" i="53"/>
  <c r="S119" i="53"/>
  <c r="R120" i="53"/>
  <c r="P120" i="53"/>
  <c r="O117" i="53"/>
  <c r="N119" i="53"/>
  <c r="L119" i="53"/>
  <c r="K120" i="53"/>
  <c r="J117" i="53"/>
  <c r="M115" i="53"/>
  <c r="S115" i="53"/>
  <c r="AA114" i="53"/>
  <c r="Q115" i="53"/>
  <c r="V115" i="53"/>
  <c r="Z114" i="53"/>
  <c r="X114" i="53"/>
  <c r="K114" i="53"/>
  <c r="L116" i="53"/>
  <c r="T116" i="53"/>
  <c r="V114" i="53"/>
  <c r="Y115" i="53"/>
  <c r="R115" i="53"/>
  <c r="U116" i="53"/>
  <c r="J120" i="53"/>
  <c r="AB120" i="53"/>
  <c r="Z120" i="53"/>
  <c r="X120" i="53"/>
  <c r="W119" i="53"/>
  <c r="T119" i="53"/>
  <c r="S117" i="53"/>
  <c r="R119" i="53"/>
  <c r="Q119" i="53"/>
  <c r="O119" i="53"/>
  <c r="N117" i="53"/>
  <c r="M117" i="53"/>
  <c r="K119" i="53"/>
  <c r="K117" i="53"/>
  <c r="J115" i="53"/>
  <c r="Q116" i="53"/>
  <c r="P116" i="53"/>
  <c r="AA115" i="53"/>
  <c r="Y116" i="53"/>
  <c r="X115" i="53"/>
  <c r="L115" i="53"/>
  <c r="S114" i="53"/>
  <c r="O116" i="53"/>
  <c r="L114" i="53"/>
  <c r="R116" i="53"/>
  <c r="O115" i="53"/>
  <c r="R114" i="53"/>
  <c r="P114" i="53"/>
  <c r="O114" i="53"/>
  <c r="M147" i="1"/>
  <c r="O18" i="112"/>
  <c r="C75" i="112"/>
  <c r="C76" i="112"/>
  <c r="C81" i="112"/>
  <c r="C83" i="112"/>
  <c r="C85" i="112"/>
  <c r="C80" i="112"/>
  <c r="C82" i="112"/>
  <c r="C84" i="112"/>
  <c r="D43" i="112"/>
  <c r="D45" i="112"/>
  <c r="D47" i="112"/>
  <c r="M142" i="113"/>
  <c r="D49" i="112"/>
  <c r="O142" i="113"/>
  <c r="D51" i="112"/>
  <c r="Q142" i="113"/>
  <c r="D44" i="112"/>
  <c r="J142" i="113"/>
  <c r="D46" i="112"/>
  <c r="D80" i="112" s="1"/>
  <c r="L142" i="113"/>
  <c r="D48" i="112"/>
  <c r="N142" i="113"/>
  <c r="D50" i="112"/>
  <c r="C79" i="112"/>
  <c r="C78" i="112"/>
  <c r="C77" i="112"/>
  <c r="AB39" i="1"/>
  <c r="AB40" i="1"/>
  <c r="AB41" i="1"/>
  <c r="AB42" i="1"/>
  <c r="AB45" i="1"/>
  <c r="AB46" i="1"/>
  <c r="G152" i="113"/>
  <c r="AD2" i="53"/>
  <c r="N346" i="41"/>
  <c r="AC10" i="53"/>
  <c r="AD10" i="53"/>
  <c r="AD18" i="53"/>
  <c r="AC18" i="53"/>
  <c r="AD26" i="53"/>
  <c r="AC26" i="53"/>
  <c r="AD82" i="53"/>
  <c r="AC82" i="53"/>
  <c r="AD90" i="53"/>
  <c r="AC90" i="53"/>
  <c r="AD106" i="53"/>
  <c r="AC106" i="53"/>
  <c r="AC18" i="41"/>
  <c r="N347" i="41" s="1"/>
  <c r="AA18" i="41"/>
  <c r="O346" i="41" s="1"/>
  <c r="AE18" i="41"/>
  <c r="N348" i="41" s="1"/>
  <c r="AD18" i="41"/>
  <c r="O347" i="41" s="1"/>
  <c r="AD58" i="53"/>
  <c r="AC58" i="53"/>
  <c r="AD66" i="53"/>
  <c r="AC66" i="53"/>
  <c r="AD74" i="53"/>
  <c r="AC74" i="53"/>
  <c r="X258" i="1"/>
  <c r="F24" i="112"/>
  <c r="H67" i="28"/>
  <c r="P128" i="41"/>
  <c r="P146" i="41"/>
  <c r="P201" i="41"/>
  <c r="P274" i="41"/>
  <c r="P292" i="41"/>
  <c r="AC31" i="60"/>
  <c r="E86" i="112"/>
  <c r="U247" i="1"/>
  <c r="W247" i="1"/>
  <c r="T247" i="1"/>
  <c r="V247" i="1"/>
  <c r="X390" i="9"/>
  <c r="Z308" i="9"/>
  <c r="Z309" i="9" s="1"/>
  <c r="X226" i="9"/>
  <c r="X63" i="9"/>
  <c r="D8" i="116"/>
  <c r="X432" i="9"/>
  <c r="X349" i="9"/>
  <c r="X266" i="9"/>
  <c r="X103" i="9"/>
  <c r="G58" i="112"/>
  <c r="P113" i="41"/>
  <c r="G57" i="112"/>
  <c r="H57" i="112" s="1"/>
  <c r="W147" i="1"/>
  <c r="X101" i="1"/>
  <c r="W101" i="1"/>
  <c r="X115" i="1"/>
  <c r="AB115" i="1" s="1"/>
  <c r="X121" i="1"/>
  <c r="AB121" i="1" s="1"/>
  <c r="X78" i="1"/>
  <c r="T78" i="1"/>
  <c r="T249" i="1" s="1"/>
  <c r="V147" i="1"/>
  <c r="T147" i="1"/>
  <c r="I19" i="112"/>
  <c r="L19" i="112"/>
  <c r="U248" i="1"/>
  <c r="W248" i="1"/>
  <c r="P78" i="1"/>
  <c r="S78" i="1"/>
  <c r="U78" i="1"/>
  <c r="U249" i="1" s="1"/>
  <c r="W78" i="1"/>
  <c r="N78" i="1"/>
  <c r="R78" i="1"/>
  <c r="P85" i="1"/>
  <c r="T85" i="1"/>
  <c r="T250" i="1" s="1"/>
  <c r="V85" i="1"/>
  <c r="V250" i="1" s="1"/>
  <c r="X85" i="1"/>
  <c r="Q78" i="1"/>
  <c r="O85" i="1"/>
  <c r="U85" i="1"/>
  <c r="U250" i="1" s="1"/>
  <c r="W85" i="1"/>
  <c r="W250" i="1" s="1"/>
  <c r="N147" i="1"/>
  <c r="AA31" i="60"/>
  <c r="R30" i="60"/>
  <c r="AC30" i="60"/>
  <c r="Z31" i="60"/>
  <c r="D83" i="116"/>
  <c r="Q3" i="116"/>
  <c r="U3" i="116"/>
  <c r="W28" i="113"/>
  <c r="W68" i="113"/>
  <c r="W88" i="113"/>
  <c r="W128" i="113"/>
  <c r="W136" i="113"/>
  <c r="D69" i="112"/>
  <c r="W8" i="113"/>
  <c r="W18" i="113"/>
  <c r="W38" i="113"/>
  <c r="W78" i="113"/>
  <c r="H142" i="113"/>
  <c r="P142" i="113"/>
  <c r="W108" i="113"/>
  <c r="D76" i="112"/>
  <c r="W135" i="113"/>
  <c r="W137" i="113"/>
  <c r="D40" i="112"/>
  <c r="G142" i="113"/>
  <c r="I142" i="113"/>
  <c r="K142" i="113"/>
  <c r="D75" i="112"/>
  <c r="D81" i="112"/>
  <c r="D35" i="112"/>
  <c r="W98" i="113"/>
  <c r="W134" i="113"/>
  <c r="P221" i="41"/>
  <c r="P220" i="41"/>
  <c r="P256" i="41"/>
  <c r="P129" i="41"/>
  <c r="P147" i="41"/>
  <c r="P202" i="41"/>
  <c r="P239" i="41"/>
  <c r="P257" i="41"/>
  <c r="P275" i="41"/>
  <c r="P293" i="41"/>
  <c r="F41" i="112"/>
  <c r="G41" i="112" s="1"/>
  <c r="Y308" i="9"/>
  <c r="Y309" i="9" s="1"/>
  <c r="AA98" i="35"/>
  <c r="P238" i="41"/>
  <c r="K100" i="35"/>
  <c r="N131" i="41"/>
  <c r="P131" i="41" s="1"/>
  <c r="N149" i="41"/>
  <c r="P149" i="41" s="1"/>
  <c r="N204" i="41"/>
  <c r="P204" i="41" s="1"/>
  <c r="N241" i="41"/>
  <c r="P241" i="41" s="1"/>
  <c r="N259" i="41"/>
  <c r="P259" i="41" s="1"/>
  <c r="N277" i="41"/>
  <c r="P277" i="41" s="1"/>
  <c r="N295" i="41"/>
  <c r="P295" i="41" s="1"/>
  <c r="P329" i="41"/>
  <c r="P130" i="41"/>
  <c r="P148" i="41"/>
  <c r="P203" i="41"/>
  <c r="P240" i="41"/>
  <c r="P258" i="41"/>
  <c r="P276" i="41"/>
  <c r="P294" i="41"/>
  <c r="Q250" i="1"/>
  <c r="S250" i="1"/>
  <c r="Q253" i="1"/>
  <c r="S253" i="1"/>
  <c r="P258" i="1"/>
  <c r="R258" i="1"/>
  <c r="Q258" i="1"/>
  <c r="S258" i="1"/>
  <c r="AA30" i="60"/>
  <c r="R31" i="60"/>
  <c r="T31" i="60"/>
  <c r="W31" i="60"/>
  <c r="M254" i="1"/>
  <c r="O254" i="1"/>
  <c r="Q254" i="1"/>
  <c r="S254" i="1"/>
  <c r="M255" i="1"/>
  <c r="O255" i="1"/>
  <c r="Q255" i="1"/>
  <c r="S255" i="1"/>
  <c r="M258" i="1"/>
  <c r="O258" i="1"/>
  <c r="N260" i="1"/>
  <c r="P260" i="1"/>
  <c r="R260" i="1"/>
  <c r="Q31" i="60"/>
  <c r="S31" i="60"/>
  <c r="V31" i="60"/>
  <c r="Y31" i="60"/>
  <c r="N254" i="1"/>
  <c r="R254" i="1"/>
  <c r="N255" i="1"/>
  <c r="R255" i="1"/>
  <c r="N258" i="1"/>
  <c r="M260" i="1"/>
  <c r="O260" i="1"/>
  <c r="Q260" i="1"/>
  <c r="S260" i="1"/>
  <c r="P112" i="41"/>
  <c r="N115" i="41"/>
  <c r="O115" i="41"/>
  <c r="P114" i="41"/>
  <c r="O223" i="41"/>
  <c r="P222" i="41"/>
  <c r="N223" i="41"/>
  <c r="O331" i="41"/>
  <c r="P330" i="41"/>
  <c r="N331" i="41"/>
  <c r="P328" i="41"/>
  <c r="O348" i="41"/>
  <c r="C35" i="112"/>
  <c r="C74" i="112"/>
  <c r="X514" i="9" l="1"/>
  <c r="E118" i="53"/>
  <c r="E121" i="53"/>
  <c r="F121" i="53"/>
  <c r="F118" i="53"/>
  <c r="S3" i="116"/>
  <c r="G24" i="112"/>
  <c r="F75" i="112"/>
  <c r="D77" i="112"/>
  <c r="D163" i="116"/>
  <c r="D169" i="116" s="1"/>
  <c r="AB260" i="1"/>
  <c r="AB255" i="1"/>
  <c r="AB254" i="1"/>
  <c r="S118" i="53"/>
  <c r="D78" i="112"/>
  <c r="I118" i="53"/>
  <c r="I121" i="53"/>
  <c r="H118" i="53"/>
  <c r="H121" i="53"/>
  <c r="G121" i="53"/>
  <c r="G118" i="53"/>
  <c r="AB258" i="1"/>
  <c r="O121" i="53"/>
  <c r="AD116" i="53"/>
  <c r="O118" i="53"/>
  <c r="U118" i="53"/>
  <c r="AB118" i="53"/>
  <c r="AB121" i="53"/>
  <c r="Q121" i="53"/>
  <c r="Q118" i="53"/>
  <c r="AD117" i="53"/>
  <c r="AC117" i="53"/>
  <c r="S121" i="53"/>
  <c r="N118" i="53"/>
  <c r="N121" i="53"/>
  <c r="AD115" i="53"/>
  <c r="D85" i="112"/>
  <c r="P121" i="53"/>
  <c r="P118" i="53"/>
  <c r="L121" i="53"/>
  <c r="L118" i="53"/>
  <c r="AC116" i="53"/>
  <c r="AD119" i="53"/>
  <c r="AC119" i="53"/>
  <c r="V118" i="53"/>
  <c r="V121" i="53"/>
  <c r="X118" i="53"/>
  <c r="X121" i="53"/>
  <c r="AA121" i="53"/>
  <c r="AA118" i="53"/>
  <c r="AC115" i="53"/>
  <c r="W121" i="53"/>
  <c r="W118" i="53"/>
  <c r="M121" i="53"/>
  <c r="M118" i="53"/>
  <c r="AC120" i="53"/>
  <c r="AD120" i="53"/>
  <c r="K118" i="53"/>
  <c r="K121" i="53"/>
  <c r="D82" i="112"/>
  <c r="R121" i="53"/>
  <c r="R118" i="53"/>
  <c r="U121" i="53"/>
  <c r="Z118" i="53"/>
  <c r="Z121" i="53"/>
  <c r="T121" i="53"/>
  <c r="T118" i="53"/>
  <c r="Y118" i="53"/>
  <c r="Y121" i="53"/>
  <c r="J121" i="53"/>
  <c r="J118" i="53"/>
  <c r="D83" i="112"/>
  <c r="D79" i="112"/>
  <c r="D84" i="112"/>
  <c r="C86" i="112"/>
  <c r="S139" i="113"/>
  <c r="D52" i="112"/>
  <c r="AB85" i="1"/>
  <c r="AB78" i="1"/>
  <c r="AB101" i="1"/>
  <c r="X147" i="1"/>
  <c r="X249" i="1"/>
  <c r="X253" i="1"/>
  <c r="X248" i="1"/>
  <c r="X250" i="1"/>
  <c r="X247" i="1"/>
  <c r="S141" i="113"/>
  <c r="S125" i="113"/>
  <c r="S105" i="113"/>
  <c r="S95" i="113"/>
  <c r="S86" i="113"/>
  <c r="S74" i="113"/>
  <c r="S66" i="113"/>
  <c r="S34" i="113"/>
  <c r="S26" i="113"/>
  <c r="S16" i="113"/>
  <c r="S7" i="113"/>
  <c r="U7" i="113" s="1"/>
  <c r="S127" i="113"/>
  <c r="S107" i="113"/>
  <c r="S97" i="113"/>
  <c r="S84" i="113"/>
  <c r="S76" i="113"/>
  <c r="S64" i="113"/>
  <c r="S36" i="113"/>
  <c r="S24" i="113"/>
  <c r="S14" i="113"/>
  <c r="P347" i="41"/>
  <c r="AC114" i="53"/>
  <c r="AD114" i="53"/>
  <c r="V248" i="1"/>
  <c r="V261" i="1" s="1"/>
  <c r="T248" i="1"/>
  <c r="T261" i="1" s="1"/>
  <c r="W249" i="1"/>
  <c r="X257" i="1"/>
  <c r="U261" i="1"/>
  <c r="X256" i="1"/>
  <c r="W253" i="1"/>
  <c r="AC6" i="53"/>
  <c r="AD94" i="53"/>
  <c r="AC94" i="53"/>
  <c r="AC110" i="53"/>
  <c r="AD110" i="53"/>
  <c r="AC78" i="53"/>
  <c r="AD78" i="53"/>
  <c r="AD6" i="53"/>
  <c r="AC14" i="53"/>
  <c r="AD14" i="53"/>
  <c r="AC70" i="53"/>
  <c r="AD70" i="53"/>
  <c r="AD30" i="53"/>
  <c r="AC30" i="53"/>
  <c r="AD86" i="53"/>
  <c r="AC86" i="53"/>
  <c r="AD62" i="53"/>
  <c r="AC62" i="53"/>
  <c r="AC22" i="53"/>
  <c r="AD22" i="53"/>
  <c r="Q95" i="35"/>
  <c r="P7" i="60"/>
  <c r="AC15" i="5"/>
  <c r="AC12" i="5"/>
  <c r="AD11" i="5"/>
  <c r="S243" i="5" s="1"/>
  <c r="AA11" i="5"/>
  <c r="AB11" i="5"/>
  <c r="T242" i="5" s="1"/>
  <c r="AF12" i="5"/>
  <c r="AE12" i="5"/>
  <c r="AD18" i="5"/>
  <c r="S280" i="5" s="1"/>
  <c r="AB18" i="5"/>
  <c r="T279" i="5" s="1"/>
  <c r="AA18" i="5"/>
  <c r="AD12" i="5"/>
  <c r="AB12" i="5"/>
  <c r="AA12" i="5"/>
  <c r="AC11" i="5"/>
  <c r="S242" i="5" s="1"/>
  <c r="AF11" i="5"/>
  <c r="S244" i="5" s="1"/>
  <c r="AE11" i="5"/>
  <c r="T243" i="5" s="1"/>
  <c r="AF18" i="5"/>
  <c r="S281" i="5" s="1"/>
  <c r="AE18" i="5"/>
  <c r="T280" i="5" s="1"/>
  <c r="O248" i="1"/>
  <c r="M248" i="1"/>
  <c r="R100" i="35"/>
  <c r="T100" i="35"/>
  <c r="P100" i="35"/>
  <c r="J100" i="35"/>
  <c r="X100" i="35"/>
  <c r="Y100" i="35"/>
  <c r="W100" i="35"/>
  <c r="O100" i="35"/>
  <c r="G100" i="35"/>
  <c r="R10" i="60"/>
  <c r="R32" i="60" s="1"/>
  <c r="Z7" i="60"/>
  <c r="AC10" i="60"/>
  <c r="AC32" i="60" s="1"/>
  <c r="T136" i="5"/>
  <c r="T137" i="5" s="1"/>
  <c r="U100" i="35"/>
  <c r="M100" i="35"/>
  <c r="I100" i="35"/>
  <c r="L100" i="35"/>
  <c r="H100" i="35"/>
  <c r="G75" i="112"/>
  <c r="D74" i="112"/>
  <c r="D86" i="112" s="1"/>
  <c r="W139" i="113"/>
  <c r="S100" i="35"/>
  <c r="Z100" i="35"/>
  <c r="V100" i="35"/>
  <c r="N100" i="35"/>
  <c r="T281" i="5"/>
  <c r="T282" i="5" s="1"/>
  <c r="T244" i="5"/>
  <c r="T245" i="5" s="1"/>
  <c r="Y7" i="60"/>
  <c r="AA10" i="60"/>
  <c r="AA32" i="60" s="1"/>
  <c r="D107" i="116"/>
  <c r="D35" i="116"/>
  <c r="D119" i="116"/>
  <c r="D47" i="116"/>
  <c r="D95" i="116"/>
  <c r="Q7" i="116"/>
  <c r="U7" i="116"/>
  <c r="U5" i="116"/>
  <c r="Q5" i="116"/>
  <c r="U4" i="116"/>
  <c r="U156" i="116"/>
  <c r="S156" i="116"/>
  <c r="W142" i="113"/>
  <c r="S142" i="113"/>
  <c r="N95" i="35"/>
  <c r="J95" i="35"/>
  <c r="E93" i="112"/>
  <c r="H58" i="112"/>
  <c r="L95" i="35"/>
  <c r="H95" i="35"/>
  <c r="N349" i="41"/>
  <c r="P346" i="41"/>
  <c r="U95" i="35"/>
  <c r="M95" i="35"/>
  <c r="I95" i="35"/>
  <c r="Q100" i="35"/>
  <c r="W95" i="35"/>
  <c r="K95" i="35"/>
  <c r="G95" i="35"/>
  <c r="P115" i="41"/>
  <c r="P257" i="1"/>
  <c r="P256" i="1"/>
  <c r="R253" i="1"/>
  <c r="N253" i="1"/>
  <c r="R250" i="1"/>
  <c r="N250" i="1"/>
  <c r="Q249" i="1"/>
  <c r="R248" i="1"/>
  <c r="N248" i="1"/>
  <c r="Q247" i="1"/>
  <c r="M247" i="1"/>
  <c r="Q257" i="1"/>
  <c r="M257" i="1"/>
  <c r="Q256" i="1"/>
  <c r="M256" i="1"/>
  <c r="M253" i="1"/>
  <c r="O250" i="1"/>
  <c r="R249" i="1"/>
  <c r="N249" i="1"/>
  <c r="S248" i="1"/>
  <c r="P247" i="1"/>
  <c r="R257" i="1"/>
  <c r="N257" i="1"/>
  <c r="R256" i="1"/>
  <c r="N256" i="1"/>
  <c r="P253" i="1"/>
  <c r="P250" i="1"/>
  <c r="S249" i="1"/>
  <c r="O249" i="1"/>
  <c r="P248" i="1"/>
  <c r="S247" i="1"/>
  <c r="O247" i="1"/>
  <c r="W7" i="60"/>
  <c r="Z30" i="60"/>
  <c r="T7" i="60"/>
  <c r="R7" i="60"/>
  <c r="M7" i="60"/>
  <c r="P10" i="60"/>
  <c r="P32" i="60" s="1"/>
  <c r="M10" i="60"/>
  <c r="M32" i="60" s="1"/>
  <c r="K32" i="60"/>
  <c r="I32" i="60"/>
  <c r="D7" i="60"/>
  <c r="D10" i="60"/>
  <c r="D32" i="60" s="1"/>
  <c r="S257" i="1"/>
  <c r="O257" i="1"/>
  <c r="S256" i="1"/>
  <c r="O256" i="1"/>
  <c r="O253" i="1"/>
  <c r="M250" i="1"/>
  <c r="P249" i="1"/>
  <c r="Q248" i="1"/>
  <c r="R247" i="1"/>
  <c r="N247" i="1"/>
  <c r="V7" i="60"/>
  <c r="S7" i="60"/>
  <c r="Q7" i="60"/>
  <c r="O7" i="60"/>
  <c r="O10" i="60"/>
  <c r="O32" i="60" s="1"/>
  <c r="L7" i="60"/>
  <c r="L10" i="60"/>
  <c r="L32" i="60" s="1"/>
  <c r="J32" i="60"/>
  <c r="H32" i="60"/>
  <c r="C7" i="60"/>
  <c r="C10" i="60"/>
  <c r="C32" i="60" s="1"/>
  <c r="P223" i="41"/>
  <c r="O349" i="41"/>
  <c r="P348" i="41"/>
  <c r="P331" i="41"/>
  <c r="H11" i="113"/>
  <c r="H129" i="113"/>
  <c r="H12" i="113"/>
  <c r="H79" i="113"/>
  <c r="H39" i="113"/>
  <c r="H150" i="113"/>
  <c r="H22" i="113"/>
  <c r="H21" i="113"/>
  <c r="H32" i="113"/>
  <c r="H41" i="113"/>
  <c r="H10" i="113"/>
  <c r="H82" i="113"/>
  <c r="H111" i="113"/>
  <c r="H42" i="113"/>
  <c r="H91" i="113"/>
  <c r="H100" i="113"/>
  <c r="H132" i="113"/>
  <c r="H72" i="113"/>
  <c r="H151" i="113"/>
  <c r="H131" i="113"/>
  <c r="H40" i="113"/>
  <c r="H110" i="113"/>
  <c r="H19" i="113"/>
  <c r="H153" i="113"/>
  <c r="H101" i="113"/>
  <c r="H109" i="113"/>
  <c r="H102" i="113"/>
  <c r="H31" i="113"/>
  <c r="H80" i="113"/>
  <c r="H92" i="113"/>
  <c r="H70" i="113"/>
  <c r="H29" i="113"/>
  <c r="H130" i="113"/>
  <c r="H90" i="113"/>
  <c r="H20" i="113"/>
  <c r="H69" i="113"/>
  <c r="H30" i="113"/>
  <c r="H9" i="113"/>
  <c r="H112" i="113"/>
  <c r="H99" i="113"/>
  <c r="H81" i="113"/>
  <c r="H71" i="113"/>
  <c r="H89" i="113"/>
  <c r="S7" i="116" l="1"/>
  <c r="S5" i="116"/>
  <c r="U141" i="113"/>
  <c r="U142" i="113"/>
  <c r="U24" i="113"/>
  <c r="U64" i="113"/>
  <c r="U84" i="113"/>
  <c r="U107" i="113"/>
  <c r="U26" i="113"/>
  <c r="U66" i="113"/>
  <c r="U86" i="113"/>
  <c r="U105" i="113"/>
  <c r="U36" i="113"/>
  <c r="U76" i="113"/>
  <c r="U97" i="113"/>
  <c r="U127" i="113"/>
  <c r="U34" i="113"/>
  <c r="U74" i="113"/>
  <c r="U95" i="113"/>
  <c r="U125" i="113"/>
  <c r="U14" i="113"/>
  <c r="U16" i="113"/>
  <c r="H121" i="113"/>
  <c r="H120" i="113"/>
  <c r="H119" i="113"/>
  <c r="H122" i="113"/>
  <c r="H144" i="113"/>
  <c r="H147" i="113"/>
  <c r="H146" i="113"/>
  <c r="H145" i="113"/>
  <c r="U139" i="113"/>
  <c r="AB250" i="1"/>
  <c r="H133" i="113"/>
  <c r="H13" i="113"/>
  <c r="AB247" i="1"/>
  <c r="AB256" i="1"/>
  <c r="AB257" i="1"/>
  <c r="AB248" i="1"/>
  <c r="AB249" i="1"/>
  <c r="AB253" i="1"/>
  <c r="W261" i="1"/>
  <c r="X261" i="1"/>
  <c r="F93" i="116"/>
  <c r="F31" i="116"/>
  <c r="F115" i="116"/>
  <c r="F43" i="116"/>
  <c r="F129" i="116"/>
  <c r="H33" i="113"/>
  <c r="F30" i="116"/>
  <c r="H103" i="113"/>
  <c r="F114" i="116"/>
  <c r="F19" i="116"/>
  <c r="F91" i="116"/>
  <c r="F45" i="116"/>
  <c r="F150" i="116"/>
  <c r="F9" i="116"/>
  <c r="F105" i="116"/>
  <c r="F8" i="116"/>
  <c r="F33" i="116"/>
  <c r="F117" i="116"/>
  <c r="F20" i="116"/>
  <c r="F80" i="116"/>
  <c r="F152" i="116"/>
  <c r="F104" i="116"/>
  <c r="F44" i="116"/>
  <c r="F81" i="116"/>
  <c r="F170" i="116"/>
  <c r="H93" i="113"/>
  <c r="F102" i="116"/>
  <c r="F10" i="116"/>
  <c r="F79" i="116"/>
  <c r="F153" i="116"/>
  <c r="H43" i="113"/>
  <c r="F42" i="116"/>
  <c r="H113" i="113"/>
  <c r="F126" i="116"/>
  <c r="F103" i="116"/>
  <c r="F127" i="116"/>
  <c r="H73" i="113"/>
  <c r="F78" i="116"/>
  <c r="F151" i="116"/>
  <c r="H23" i="113"/>
  <c r="F18" i="116"/>
  <c r="H83" i="113"/>
  <c r="F90" i="116"/>
  <c r="F128" i="116"/>
  <c r="F32" i="116"/>
  <c r="F116" i="116"/>
  <c r="F92" i="116"/>
  <c r="S4" i="113"/>
  <c r="S17" i="113"/>
  <c r="S27" i="113"/>
  <c r="S37" i="113"/>
  <c r="S67" i="113"/>
  <c r="S77" i="113"/>
  <c r="S87" i="113"/>
  <c r="S96" i="113"/>
  <c r="S104" i="113"/>
  <c r="S126" i="113"/>
  <c r="S140" i="113"/>
  <c r="S18" i="113"/>
  <c r="S38" i="113"/>
  <c r="S78" i="113"/>
  <c r="S135" i="113"/>
  <c r="S137" i="113"/>
  <c r="S68" i="113"/>
  <c r="S128" i="113"/>
  <c r="S6" i="113"/>
  <c r="S5" i="113"/>
  <c r="S15" i="113"/>
  <c r="S25" i="113"/>
  <c r="S35" i="113"/>
  <c r="S65" i="113"/>
  <c r="S75" i="113"/>
  <c r="S85" i="113"/>
  <c r="S94" i="113"/>
  <c r="S106" i="113"/>
  <c r="S124" i="113"/>
  <c r="S8" i="113"/>
  <c r="S108" i="113"/>
  <c r="S28" i="113"/>
  <c r="S88" i="113"/>
  <c r="S136" i="113"/>
  <c r="S98" i="113"/>
  <c r="S134" i="113"/>
  <c r="S261" i="1"/>
  <c r="P349" i="41"/>
  <c r="AC121" i="53"/>
  <c r="AD121" i="53"/>
  <c r="AC118" i="53"/>
  <c r="AD118" i="53"/>
  <c r="AE80" i="35"/>
  <c r="AD80" i="35"/>
  <c r="AC113" i="53"/>
  <c r="T95" i="35"/>
  <c r="R95" i="35"/>
  <c r="V95" i="35"/>
  <c r="Y95" i="35"/>
  <c r="S95" i="35"/>
  <c r="X95" i="35"/>
  <c r="AC89" i="53"/>
  <c r="AC9" i="53"/>
  <c r="P95" i="35"/>
  <c r="Z95" i="35"/>
  <c r="AC7" i="5"/>
  <c r="S170" i="5" s="1"/>
  <c r="Q10" i="60"/>
  <c r="Q32" i="60" s="1"/>
  <c r="Q30" i="60"/>
  <c r="S10" i="60"/>
  <c r="S32" i="60" s="1"/>
  <c r="S30" i="60"/>
  <c r="V10" i="60"/>
  <c r="V32" i="60" s="1"/>
  <c r="V30" i="60"/>
  <c r="Y10" i="60"/>
  <c r="Y32" i="60" s="1"/>
  <c r="Y30" i="60"/>
  <c r="T10" i="60"/>
  <c r="T32" i="60" s="1"/>
  <c r="T30" i="60"/>
  <c r="W10" i="60"/>
  <c r="W32" i="60" s="1"/>
  <c r="W30" i="60"/>
  <c r="Z10" i="60"/>
  <c r="Z32" i="60" s="1"/>
  <c r="AD6" i="5"/>
  <c r="S153" i="5" s="1"/>
  <c r="AB6" i="5"/>
  <c r="T152" i="5" s="1"/>
  <c r="AA6" i="5"/>
  <c r="AD5" i="5"/>
  <c r="S135" i="5" s="1"/>
  <c r="AB5" i="5"/>
  <c r="T134" i="5" s="1"/>
  <c r="AD7" i="5"/>
  <c r="S171" i="5" s="1"/>
  <c r="AA7" i="5"/>
  <c r="AB7" i="5"/>
  <c r="T170" i="5" s="1"/>
  <c r="AA13" i="5"/>
  <c r="AD13" i="5"/>
  <c r="AB13" i="5"/>
  <c r="AE13" i="5"/>
  <c r="AF13" i="5"/>
  <c r="AF15" i="5"/>
  <c r="AE15" i="5"/>
  <c r="AF14" i="5"/>
  <c r="AE14" i="5"/>
  <c r="AF5" i="5"/>
  <c r="S136" i="5" s="1"/>
  <c r="U136" i="5" s="1"/>
  <c r="AE5" i="5"/>
  <c r="T135" i="5" s="1"/>
  <c r="AA15" i="5"/>
  <c r="AD15" i="5"/>
  <c r="AC5" i="5"/>
  <c r="S134" i="5" s="1"/>
  <c r="AD10" i="5"/>
  <c r="S225" i="5" s="1"/>
  <c r="AB10" i="5"/>
  <c r="T224" i="5" s="1"/>
  <c r="S227" i="5" s="1"/>
  <c r="AA10" i="5"/>
  <c r="AC14" i="5"/>
  <c r="AF6" i="5"/>
  <c r="S154" i="5" s="1"/>
  <c r="AE6" i="5"/>
  <c r="T153" i="5" s="1"/>
  <c r="AC6" i="5"/>
  <c r="S152" i="5" s="1"/>
  <c r="AC10" i="5"/>
  <c r="S224" i="5" s="1"/>
  <c r="AC13" i="5"/>
  <c r="AD14" i="5"/>
  <c r="AB14" i="5"/>
  <c r="AF10" i="5"/>
  <c r="S226" i="5" s="1"/>
  <c r="AE10" i="5"/>
  <c r="T225" i="5" s="1"/>
  <c r="AF7" i="5"/>
  <c r="S172" i="5" s="1"/>
  <c r="AE7" i="5"/>
  <c r="T171" i="5" s="1"/>
  <c r="AB15" i="5"/>
  <c r="AC18" i="5"/>
  <c r="S279" i="5" s="1"/>
  <c r="U279" i="5" s="1"/>
  <c r="K94" i="35"/>
  <c r="K97" i="35" s="1"/>
  <c r="N94" i="35"/>
  <c r="N97" i="35" s="1"/>
  <c r="H94" i="35"/>
  <c r="H97" i="35" s="1"/>
  <c r="I94" i="35"/>
  <c r="I97" i="35" s="1"/>
  <c r="G94" i="35"/>
  <c r="G97" i="35" s="1"/>
  <c r="AC81" i="53"/>
  <c r="J94" i="35"/>
  <c r="J97" i="35" s="1"/>
  <c r="M261" i="1"/>
  <c r="U281" i="5"/>
  <c r="T172" i="5"/>
  <c r="T173" i="5" s="1"/>
  <c r="M94" i="35"/>
  <c r="M97" i="35" s="1"/>
  <c r="L94" i="35"/>
  <c r="L97" i="35" s="1"/>
  <c r="U244" i="5"/>
  <c r="O261" i="1"/>
  <c r="T226" i="5"/>
  <c r="T227" i="5" s="1"/>
  <c r="U280" i="5"/>
  <c r="T154" i="5"/>
  <c r="Q157" i="116"/>
  <c r="U157" i="116"/>
  <c r="U159" i="116"/>
  <c r="E94" i="112"/>
  <c r="X21" i="5"/>
  <c r="O95" i="35"/>
  <c r="U243" i="5"/>
  <c r="R261" i="1"/>
  <c r="P261" i="1"/>
  <c r="U242" i="5"/>
  <c r="S245" i="5"/>
  <c r="U245" i="5" s="1"/>
  <c r="Q261" i="1"/>
  <c r="N261" i="1"/>
  <c r="S282" i="5"/>
  <c r="U282" i="5" s="1"/>
  <c r="I99" i="113"/>
  <c r="I32" i="113"/>
  <c r="I150" i="113"/>
  <c r="I40" i="113"/>
  <c r="I70" i="113"/>
  <c r="I132" i="113"/>
  <c r="I71" i="113"/>
  <c r="I81" i="113"/>
  <c r="I19" i="113"/>
  <c r="I130" i="113"/>
  <c r="I10" i="113"/>
  <c r="I153" i="113"/>
  <c r="I112" i="113"/>
  <c r="I21" i="113"/>
  <c r="I131" i="113"/>
  <c r="I9" i="113"/>
  <c r="I80" i="113"/>
  <c r="I109" i="113"/>
  <c r="I90" i="113"/>
  <c r="I30" i="113"/>
  <c r="I91" i="113"/>
  <c r="I42" i="113"/>
  <c r="I41" i="113"/>
  <c r="I39" i="113"/>
  <c r="I20" i="113"/>
  <c r="I151" i="113"/>
  <c r="I22" i="113"/>
  <c r="I101" i="113"/>
  <c r="I79" i="113"/>
  <c r="I12" i="113"/>
  <c r="I89" i="113"/>
  <c r="I11" i="113"/>
  <c r="I82" i="113"/>
  <c r="I129" i="113"/>
  <c r="I102" i="113"/>
  <c r="I29" i="113"/>
  <c r="I111" i="113"/>
  <c r="I69" i="113"/>
  <c r="I92" i="113"/>
  <c r="I31" i="113"/>
  <c r="I72" i="113"/>
  <c r="I110" i="113"/>
  <c r="I100" i="113"/>
  <c r="AC17" i="5" l="1"/>
  <c r="AF17" i="5"/>
  <c r="AA17" i="5"/>
  <c r="AB17" i="5"/>
  <c r="T262" i="5" s="1"/>
  <c r="S265" i="5" s="1"/>
  <c r="U265" i="5" s="1"/>
  <c r="AE17" i="5"/>
  <c r="AD17" i="5"/>
  <c r="S263" i="5" s="1"/>
  <c r="S262" i="5"/>
  <c r="S264" i="5"/>
  <c r="T263" i="5"/>
  <c r="U140" i="113"/>
  <c r="U98" i="113"/>
  <c r="U88" i="113"/>
  <c r="U108" i="113"/>
  <c r="U128" i="113"/>
  <c r="U68" i="113"/>
  <c r="U38" i="113"/>
  <c r="U28" i="113"/>
  <c r="U78" i="113"/>
  <c r="U18" i="113"/>
  <c r="U8" i="113"/>
  <c r="S157" i="116"/>
  <c r="U135" i="113"/>
  <c r="U136" i="113"/>
  <c r="U137" i="113"/>
  <c r="U134" i="113"/>
  <c r="U124" i="113"/>
  <c r="U94" i="113"/>
  <c r="U75" i="113"/>
  <c r="U35" i="113"/>
  <c r="U104" i="113"/>
  <c r="U87" i="113"/>
  <c r="U67" i="113"/>
  <c r="U27" i="113"/>
  <c r="U106" i="113"/>
  <c r="U85" i="113"/>
  <c r="U65" i="113"/>
  <c r="U25" i="113"/>
  <c r="U126" i="113"/>
  <c r="U96" i="113"/>
  <c r="U77" i="113"/>
  <c r="U37" i="113"/>
  <c r="U15" i="113"/>
  <c r="U17" i="113"/>
  <c r="U6" i="113"/>
  <c r="U4" i="113"/>
  <c r="U5" i="113"/>
  <c r="F140" i="116"/>
  <c r="F139" i="116"/>
  <c r="F138" i="116"/>
  <c r="F141" i="116"/>
  <c r="I120" i="113"/>
  <c r="I121" i="113"/>
  <c r="I119" i="113"/>
  <c r="I122" i="113"/>
  <c r="H123" i="113"/>
  <c r="I146" i="113"/>
  <c r="I145" i="113"/>
  <c r="I147" i="113"/>
  <c r="I144" i="113"/>
  <c r="F163" i="116"/>
  <c r="F164" i="116"/>
  <c r="F165" i="116"/>
  <c r="H149" i="113"/>
  <c r="S159" i="116"/>
  <c r="I133" i="113"/>
  <c r="I13" i="113"/>
  <c r="F59" i="112"/>
  <c r="AB261" i="1"/>
  <c r="F25" i="112"/>
  <c r="F42" i="112"/>
  <c r="G42" i="112" s="1"/>
  <c r="G21" i="116"/>
  <c r="I43" i="113"/>
  <c r="G42" i="116"/>
  <c r="I83" i="113"/>
  <c r="G90" i="116"/>
  <c r="I23" i="113"/>
  <c r="G18" i="116"/>
  <c r="G81" i="116"/>
  <c r="G8" i="116"/>
  <c r="G117" i="116"/>
  <c r="G153" i="116"/>
  <c r="G19" i="116"/>
  <c r="G9" i="116"/>
  <c r="G127" i="116"/>
  <c r="G130" i="116" s="1"/>
  <c r="I33" i="113"/>
  <c r="G30" i="116"/>
  <c r="G151" i="116"/>
  <c r="G154" i="116" s="1"/>
  <c r="G45" i="116"/>
  <c r="G43" i="116"/>
  <c r="G46" i="116" s="1"/>
  <c r="G104" i="116"/>
  <c r="G116" i="116"/>
  <c r="G80" i="116"/>
  <c r="G152" i="116"/>
  <c r="G170" i="116"/>
  <c r="G91" i="116"/>
  <c r="G94" i="116" s="1"/>
  <c r="G10" i="116"/>
  <c r="I93" i="113"/>
  <c r="G102" i="116"/>
  <c r="I103" i="113"/>
  <c r="G114" i="116"/>
  <c r="G33" i="116"/>
  <c r="I113" i="113"/>
  <c r="G126" i="116"/>
  <c r="G79" i="116"/>
  <c r="G82" i="116" s="1"/>
  <c r="G105" i="116"/>
  <c r="G103" i="116"/>
  <c r="G129" i="116"/>
  <c r="G115" i="116"/>
  <c r="G118" i="116" s="1"/>
  <c r="I73" i="113"/>
  <c r="G78" i="116"/>
  <c r="G31" i="116"/>
  <c r="G34" i="116" s="1"/>
  <c r="G150" i="116"/>
  <c r="G93" i="116"/>
  <c r="G32" i="116"/>
  <c r="G92" i="116"/>
  <c r="G44" i="116"/>
  <c r="G128" i="116"/>
  <c r="G20" i="116"/>
  <c r="F154" i="116"/>
  <c r="F155" i="116" s="1"/>
  <c r="F106" i="116"/>
  <c r="F82" i="116"/>
  <c r="F11" i="116"/>
  <c r="F22" i="116"/>
  <c r="F34" i="116"/>
  <c r="F35" i="116" s="1"/>
  <c r="F130" i="116"/>
  <c r="F131" i="116" s="1"/>
  <c r="F94" i="116"/>
  <c r="F95" i="116" s="1"/>
  <c r="F46" i="116"/>
  <c r="F118" i="116"/>
  <c r="AC73" i="53"/>
  <c r="AC65" i="53"/>
  <c r="AD33" i="53"/>
  <c r="AC97" i="53"/>
  <c r="AD97" i="53"/>
  <c r="AD113" i="53"/>
  <c r="AD89" i="53"/>
  <c r="AD73" i="53"/>
  <c r="AC33" i="53"/>
  <c r="AD9" i="53"/>
  <c r="AD65" i="53"/>
  <c r="AD81" i="53"/>
  <c r="Y94" i="35"/>
  <c r="Y97" i="35" s="1"/>
  <c r="U94" i="35"/>
  <c r="U97" i="35" s="1"/>
  <c r="R94" i="35"/>
  <c r="R97" i="35" s="1"/>
  <c r="Q94" i="35"/>
  <c r="Q97" i="35" s="1"/>
  <c r="O94" i="35"/>
  <c r="O97" i="35" s="1"/>
  <c r="P94" i="35"/>
  <c r="P97" i="35" s="1"/>
  <c r="W94" i="35"/>
  <c r="W97" i="35" s="1"/>
  <c r="T94" i="35"/>
  <c r="T97" i="35" s="1"/>
  <c r="V94" i="35"/>
  <c r="V97" i="35" s="1"/>
  <c r="S94" i="35"/>
  <c r="S97" i="35" s="1"/>
  <c r="Z94" i="35"/>
  <c r="Z97" i="35" s="1"/>
  <c r="AC4" i="5"/>
  <c r="AF4" i="5"/>
  <c r="AE4" i="5"/>
  <c r="AD4" i="5"/>
  <c r="AB4" i="5"/>
  <c r="AD20" i="5"/>
  <c r="S316" i="5" s="1"/>
  <c r="AC20" i="5"/>
  <c r="S315" i="5" s="1"/>
  <c r="AF20" i="5"/>
  <c r="S317" i="5" s="1"/>
  <c r="M64" i="28"/>
  <c r="M63" i="28"/>
  <c r="U225" i="5"/>
  <c r="U171" i="5"/>
  <c r="U264" i="5"/>
  <c r="U226" i="5"/>
  <c r="U172" i="5"/>
  <c r="W21" i="5"/>
  <c r="Q226" i="9"/>
  <c r="Q390" i="9"/>
  <c r="O390" i="9"/>
  <c r="U161" i="116"/>
  <c r="Q161" i="116"/>
  <c r="M226" i="9"/>
  <c r="M390" i="9"/>
  <c r="M349" i="9"/>
  <c r="U63" i="9"/>
  <c r="N349" i="9"/>
  <c r="R390" i="9"/>
  <c r="U152" i="5"/>
  <c r="S155" i="5"/>
  <c r="U224" i="5"/>
  <c r="T155" i="5"/>
  <c r="U154" i="5"/>
  <c r="P21" i="5"/>
  <c r="U153" i="5"/>
  <c r="U170" i="5"/>
  <c r="S173" i="5"/>
  <c r="U173" i="5" s="1"/>
  <c r="U134" i="5"/>
  <c r="S137" i="5"/>
  <c r="U137" i="5" s="1"/>
  <c r="U135" i="5"/>
  <c r="Q21" i="5"/>
  <c r="J42" i="113"/>
  <c r="J9" i="113"/>
  <c r="J153" i="113"/>
  <c r="J19" i="113"/>
  <c r="J129" i="113"/>
  <c r="J79" i="113"/>
  <c r="J32" i="113"/>
  <c r="J101" i="113"/>
  <c r="J81" i="113"/>
  <c r="J82" i="113"/>
  <c r="J100" i="113"/>
  <c r="J69" i="113"/>
  <c r="J11" i="113"/>
  <c r="J72" i="113"/>
  <c r="J12" i="113"/>
  <c r="J131" i="113"/>
  <c r="J132" i="113"/>
  <c r="J99" i="113"/>
  <c r="J22" i="113"/>
  <c r="J112" i="113"/>
  <c r="J110" i="113"/>
  <c r="J89" i="113"/>
  <c r="J29" i="113"/>
  <c r="J151" i="113"/>
  <c r="J20" i="113"/>
  <c r="J102" i="113"/>
  <c r="J31" i="113"/>
  <c r="J150" i="113"/>
  <c r="J130" i="113"/>
  <c r="J71" i="113"/>
  <c r="J90" i="113"/>
  <c r="J39" i="113"/>
  <c r="J111" i="113"/>
  <c r="J91" i="113"/>
  <c r="J92" i="113"/>
  <c r="J70" i="113"/>
  <c r="J41" i="113"/>
  <c r="J30" i="113"/>
  <c r="J109" i="113"/>
  <c r="J80" i="113"/>
  <c r="J40" i="113"/>
  <c r="J21" i="113"/>
  <c r="J10" i="113"/>
  <c r="M514" i="9" l="1"/>
  <c r="U263" i="5"/>
  <c r="U262" i="5"/>
  <c r="G25" i="112"/>
  <c r="F76" i="112"/>
  <c r="G165" i="116"/>
  <c r="G140" i="116"/>
  <c r="G106" i="116"/>
  <c r="G142" i="116" s="1"/>
  <c r="G139" i="116"/>
  <c r="G138" i="116"/>
  <c r="G141" i="116"/>
  <c r="I123" i="113"/>
  <c r="F107" i="116"/>
  <c r="F142" i="116"/>
  <c r="J121" i="113"/>
  <c r="J119" i="113"/>
  <c r="J122" i="113"/>
  <c r="J120" i="113"/>
  <c r="J145" i="113"/>
  <c r="J147" i="113"/>
  <c r="J144" i="113"/>
  <c r="J146" i="113"/>
  <c r="F168" i="116"/>
  <c r="G163" i="116"/>
  <c r="G166" i="116"/>
  <c r="G164" i="116"/>
  <c r="S161" i="116"/>
  <c r="I149" i="113"/>
  <c r="I152" i="113" s="1"/>
  <c r="G155" i="116"/>
  <c r="J133" i="113"/>
  <c r="J13" i="113"/>
  <c r="F60" i="112"/>
  <c r="G60" i="112" s="1"/>
  <c r="J23" i="113"/>
  <c r="J113" i="113"/>
  <c r="F43" i="112"/>
  <c r="G43" i="112" s="1"/>
  <c r="G83" i="116"/>
  <c r="H93" i="116"/>
  <c r="J73" i="113"/>
  <c r="H78" i="116"/>
  <c r="H151" i="116"/>
  <c r="H10" i="116"/>
  <c r="H79" i="116"/>
  <c r="H153" i="116"/>
  <c r="H126" i="116"/>
  <c r="H103" i="116"/>
  <c r="H31" i="116"/>
  <c r="H115" i="116"/>
  <c r="H21" i="116"/>
  <c r="H18" i="116"/>
  <c r="J83" i="113"/>
  <c r="H90" i="116"/>
  <c r="H43" i="116"/>
  <c r="H129" i="116"/>
  <c r="H44" i="116"/>
  <c r="H80" i="116"/>
  <c r="H92" i="116"/>
  <c r="H152" i="116"/>
  <c r="H32" i="116"/>
  <c r="J43" i="113"/>
  <c r="H42" i="116"/>
  <c r="H127" i="116"/>
  <c r="H105" i="116"/>
  <c r="H19" i="116"/>
  <c r="J33" i="113"/>
  <c r="H30" i="116"/>
  <c r="J103" i="113"/>
  <c r="H114" i="116"/>
  <c r="H91" i="116"/>
  <c r="H45" i="116"/>
  <c r="H150" i="116"/>
  <c r="H81" i="116"/>
  <c r="H170" i="116"/>
  <c r="H8" i="116"/>
  <c r="H33" i="116"/>
  <c r="H117" i="116"/>
  <c r="J93" i="113"/>
  <c r="H102" i="116"/>
  <c r="H9" i="116"/>
  <c r="H116" i="116"/>
  <c r="H128" i="116"/>
  <c r="H20" i="116"/>
  <c r="H104" i="116"/>
  <c r="F119" i="116"/>
  <c r="F83" i="116"/>
  <c r="G131" i="116"/>
  <c r="G11" i="116"/>
  <c r="F26" i="112"/>
  <c r="F47" i="116"/>
  <c r="G119" i="116"/>
  <c r="G35" i="116"/>
  <c r="G22" i="116"/>
  <c r="G95" i="116"/>
  <c r="G47" i="116"/>
  <c r="F308" i="9"/>
  <c r="F309" i="9" s="1"/>
  <c r="J308" i="9"/>
  <c r="J309" i="9" s="1"/>
  <c r="K308" i="9"/>
  <c r="K309" i="9" s="1"/>
  <c r="D308" i="9"/>
  <c r="D309" i="9" s="1"/>
  <c r="I308" i="9"/>
  <c r="I309" i="9" s="1"/>
  <c r="E308" i="9"/>
  <c r="E309" i="9" s="1"/>
  <c r="G308" i="9"/>
  <c r="G309" i="9" s="1"/>
  <c r="C308" i="9"/>
  <c r="C309" i="9" s="1"/>
  <c r="H308" i="9"/>
  <c r="H309" i="9" s="1"/>
  <c r="AE83" i="35"/>
  <c r="AD83" i="35"/>
  <c r="AD25" i="53"/>
  <c r="AC25" i="53"/>
  <c r="X94" i="35"/>
  <c r="X97" i="35" s="1"/>
  <c r="S299" i="5"/>
  <c r="T298" i="5"/>
  <c r="S297" i="5"/>
  <c r="S298" i="5"/>
  <c r="T297" i="5"/>
  <c r="O21" i="5"/>
  <c r="U227" i="5"/>
  <c r="T21" i="5"/>
  <c r="N21" i="5"/>
  <c r="Q98" i="35"/>
  <c r="Y98" i="35"/>
  <c r="S98" i="35"/>
  <c r="Z98" i="35"/>
  <c r="W226" i="9"/>
  <c r="W266" i="9"/>
  <c r="W63" i="9"/>
  <c r="W349" i="9"/>
  <c r="W103" i="9"/>
  <c r="W390" i="9"/>
  <c r="W308" i="9"/>
  <c r="W309" i="9" s="1"/>
  <c r="W432" i="9"/>
  <c r="K98" i="35"/>
  <c r="U155" i="5"/>
  <c r="M21" i="5"/>
  <c r="V21" i="5"/>
  <c r="T299" i="5"/>
  <c r="S21" i="5"/>
  <c r="N390" i="9"/>
  <c r="N514" i="9" s="1"/>
  <c r="I98" i="35"/>
  <c r="U98" i="35"/>
  <c r="R308" i="9"/>
  <c r="R309" i="9" s="1"/>
  <c r="R266" i="9"/>
  <c r="V266" i="9"/>
  <c r="V349" i="9"/>
  <c r="V63" i="9"/>
  <c r="V103" i="9"/>
  <c r="J98" i="35"/>
  <c r="V98" i="35"/>
  <c r="S390" i="9"/>
  <c r="S266" i="9"/>
  <c r="O349" i="9"/>
  <c r="O514" i="9" s="1"/>
  <c r="N308" i="9"/>
  <c r="N309" i="9" s="1"/>
  <c r="O226" i="9"/>
  <c r="N98" i="35"/>
  <c r="R98" i="35"/>
  <c r="O308" i="9"/>
  <c r="O309" i="9" s="1"/>
  <c r="M308" i="9"/>
  <c r="M309" i="9" s="1"/>
  <c r="U103" i="9"/>
  <c r="U349" i="9"/>
  <c r="U432" i="9"/>
  <c r="Q349" i="9"/>
  <c r="Q514" i="9" s="1"/>
  <c r="L226" i="9"/>
  <c r="L349" i="9"/>
  <c r="P390" i="9"/>
  <c r="X308" i="9"/>
  <c r="X309" i="9" s="1"/>
  <c r="L308" i="9"/>
  <c r="L309" i="9" s="1"/>
  <c r="T226" i="9"/>
  <c r="T390" i="9"/>
  <c r="T308" i="9"/>
  <c r="T309" i="9" s="1"/>
  <c r="Q266" i="9"/>
  <c r="P308" i="9"/>
  <c r="P309" i="9" s="1"/>
  <c r="P226" i="9"/>
  <c r="P266" i="9"/>
  <c r="H98" i="35"/>
  <c r="R349" i="9"/>
  <c r="R514" i="9" s="1"/>
  <c r="R226" i="9"/>
  <c r="V432" i="9"/>
  <c r="V226" i="9"/>
  <c r="V390" i="9"/>
  <c r="V308" i="9"/>
  <c r="V309" i="9" s="1"/>
  <c r="S349" i="9"/>
  <c r="S514" i="9" s="1"/>
  <c r="S308" i="9"/>
  <c r="S309" i="9" s="1"/>
  <c r="S226" i="9"/>
  <c r="U21" i="5"/>
  <c r="M98" i="35"/>
  <c r="N266" i="9"/>
  <c r="R21" i="5"/>
  <c r="O266" i="9"/>
  <c r="L21" i="5"/>
  <c r="P98" i="35"/>
  <c r="M266" i="9"/>
  <c r="X98" i="35"/>
  <c r="U226" i="9"/>
  <c r="U390" i="9"/>
  <c r="U308" i="9"/>
  <c r="U309" i="9" s="1"/>
  <c r="U266" i="9"/>
  <c r="P349" i="9"/>
  <c r="P514" i="9" s="1"/>
  <c r="L390" i="9"/>
  <c r="G98" i="35"/>
  <c r="O98" i="35"/>
  <c r="L266" i="9"/>
  <c r="W98" i="35"/>
  <c r="T266" i="9"/>
  <c r="T349" i="9"/>
  <c r="T514" i="9" s="1"/>
  <c r="L98" i="35"/>
  <c r="T98" i="35"/>
  <c r="Q308" i="9"/>
  <c r="Q309" i="9" s="1"/>
  <c r="N226" i="9"/>
  <c r="K72" i="113"/>
  <c r="K9" i="113"/>
  <c r="K153" i="113"/>
  <c r="K89" i="113"/>
  <c r="K42" i="113"/>
  <c r="K132" i="113"/>
  <c r="K131" i="113"/>
  <c r="K19" i="113"/>
  <c r="K22" i="113"/>
  <c r="K102" i="113"/>
  <c r="K79" i="113"/>
  <c r="K82" i="113"/>
  <c r="K32" i="113"/>
  <c r="K109" i="113"/>
  <c r="K31" i="113"/>
  <c r="K111" i="113"/>
  <c r="K71" i="113"/>
  <c r="K39" i="113"/>
  <c r="K69" i="113"/>
  <c r="K129" i="113"/>
  <c r="K29" i="113"/>
  <c r="K81" i="113"/>
  <c r="K100" i="113"/>
  <c r="K11" i="113"/>
  <c r="K130" i="113"/>
  <c r="K21" i="113"/>
  <c r="K112" i="113"/>
  <c r="K150" i="113"/>
  <c r="K92" i="113"/>
  <c r="K80" i="113"/>
  <c r="K99" i="113"/>
  <c r="K90" i="113"/>
  <c r="K40" i="113"/>
  <c r="K91" i="113"/>
  <c r="K20" i="113"/>
  <c r="K30" i="113"/>
  <c r="K70" i="113"/>
  <c r="K110" i="113"/>
  <c r="K151" i="113"/>
  <c r="K101" i="113"/>
  <c r="K10" i="113"/>
  <c r="K41" i="113"/>
  <c r="K12" i="113"/>
  <c r="G168" i="116" l="1"/>
  <c r="G169" i="116" s="1"/>
  <c r="G107" i="116"/>
  <c r="V514" i="9"/>
  <c r="L514" i="9"/>
  <c r="U514" i="9"/>
  <c r="W514" i="9"/>
  <c r="F77" i="112"/>
  <c r="G143" i="116"/>
  <c r="H138" i="116"/>
  <c r="H164" i="116"/>
  <c r="H140" i="116"/>
  <c r="H141" i="116"/>
  <c r="H139" i="116"/>
  <c r="F143" i="116"/>
  <c r="K121" i="113"/>
  <c r="K119" i="113"/>
  <c r="K120" i="113"/>
  <c r="K122" i="113"/>
  <c r="H165" i="116"/>
  <c r="J123" i="113"/>
  <c r="K145" i="113"/>
  <c r="K146" i="113"/>
  <c r="K147" i="113"/>
  <c r="K144" i="113"/>
  <c r="H166" i="116"/>
  <c r="H163" i="116"/>
  <c r="J149" i="113"/>
  <c r="K133" i="113"/>
  <c r="K13" i="113"/>
  <c r="F61" i="112"/>
  <c r="G61" i="112" s="1"/>
  <c r="F44" i="112"/>
  <c r="G44" i="112" s="1"/>
  <c r="K23" i="113"/>
  <c r="I18" i="116"/>
  <c r="I9" i="116"/>
  <c r="I127" i="116"/>
  <c r="I130" i="116" s="1"/>
  <c r="I45" i="116"/>
  <c r="I19" i="116"/>
  <c r="I43" i="116"/>
  <c r="I46" i="116" s="1"/>
  <c r="I93" i="116"/>
  <c r="I91" i="116"/>
  <c r="I94" i="116" s="1"/>
  <c r="I115" i="116"/>
  <c r="I118" i="116" s="1"/>
  <c r="I153" i="116"/>
  <c r="K73" i="113"/>
  <c r="I78" i="116"/>
  <c r="K83" i="113"/>
  <c r="I90" i="116"/>
  <c r="K43" i="113"/>
  <c r="I42" i="116"/>
  <c r="I170" i="116"/>
  <c r="K103" i="113"/>
  <c r="I114" i="116"/>
  <c r="I20" i="116"/>
  <c r="I152" i="116"/>
  <c r="I104" i="116"/>
  <c r="I44" i="116"/>
  <c r="I80" i="116"/>
  <c r="K113" i="113"/>
  <c r="I126" i="116"/>
  <c r="I103" i="116"/>
  <c r="K93" i="113"/>
  <c r="I102" i="116"/>
  <c r="K33" i="113"/>
  <c r="I30" i="116"/>
  <c r="I150" i="116"/>
  <c r="I31" i="116"/>
  <c r="I34" i="116" s="1"/>
  <c r="I129" i="116"/>
  <c r="I8" i="116"/>
  <c r="I117" i="116"/>
  <c r="I79" i="116"/>
  <c r="I82" i="116" s="1"/>
  <c r="I33" i="116"/>
  <c r="I151" i="116"/>
  <c r="I154" i="116" s="1"/>
  <c r="I21" i="116"/>
  <c r="I81" i="116"/>
  <c r="I10" i="116"/>
  <c r="I105" i="116"/>
  <c r="I92" i="116"/>
  <c r="I32" i="116"/>
  <c r="I116" i="116"/>
  <c r="I128" i="116"/>
  <c r="G23" i="116"/>
  <c r="G26" i="112"/>
  <c r="G77" i="112" s="1"/>
  <c r="F27" i="112"/>
  <c r="H22" i="116"/>
  <c r="H130" i="116"/>
  <c r="H46" i="116"/>
  <c r="H82" i="116"/>
  <c r="H83" i="116" s="1"/>
  <c r="H94" i="116"/>
  <c r="H118" i="116"/>
  <c r="H34" i="116"/>
  <c r="H106" i="116"/>
  <c r="H154" i="116"/>
  <c r="H155" i="116" s="1"/>
  <c r="AC21" i="5"/>
  <c r="AF21" i="5"/>
  <c r="AD21" i="5"/>
  <c r="U297" i="5"/>
  <c r="S300" i="5"/>
  <c r="T300" i="5"/>
  <c r="U299" i="5"/>
  <c r="U298" i="5"/>
  <c r="AA309" i="9"/>
  <c r="L100" i="113"/>
  <c r="L40" i="113"/>
  <c r="L79" i="113"/>
  <c r="L131" i="113"/>
  <c r="L90" i="113"/>
  <c r="L12" i="113"/>
  <c r="L80" i="113"/>
  <c r="L109" i="113"/>
  <c r="L129" i="113"/>
  <c r="L39" i="113"/>
  <c r="L151" i="113"/>
  <c r="L31" i="113"/>
  <c r="L99" i="113"/>
  <c r="L72" i="113"/>
  <c r="L69" i="113"/>
  <c r="L110" i="113"/>
  <c r="L132" i="113"/>
  <c r="L29" i="113"/>
  <c r="L92" i="113"/>
  <c r="L22" i="113"/>
  <c r="L81" i="113"/>
  <c r="L70" i="113"/>
  <c r="L30" i="113"/>
  <c r="L101" i="113"/>
  <c r="L130" i="113"/>
  <c r="L32" i="113"/>
  <c r="L20" i="113"/>
  <c r="L41" i="113"/>
  <c r="L111" i="113"/>
  <c r="L91" i="113"/>
  <c r="L10" i="113"/>
  <c r="L11" i="113"/>
  <c r="L19" i="113"/>
  <c r="L82" i="113"/>
  <c r="L150" i="113"/>
  <c r="L102" i="113"/>
  <c r="L9" i="113"/>
  <c r="L42" i="113"/>
  <c r="L21" i="113"/>
  <c r="L89" i="113"/>
  <c r="L71" i="113"/>
  <c r="L153" i="113"/>
  <c r="L112" i="113"/>
  <c r="H142" i="116" l="1"/>
  <c r="H143" i="116" s="1"/>
  <c r="F78" i="112"/>
  <c r="I141" i="116"/>
  <c r="I138" i="116"/>
  <c r="I106" i="116"/>
  <c r="I142" i="116" s="1"/>
  <c r="I139" i="116"/>
  <c r="I140" i="116"/>
  <c r="L120" i="113"/>
  <c r="L121" i="113"/>
  <c r="L122" i="113"/>
  <c r="L119" i="113"/>
  <c r="K123" i="113"/>
  <c r="I163" i="116"/>
  <c r="L146" i="113"/>
  <c r="L145" i="113"/>
  <c r="L144" i="113"/>
  <c r="L147" i="113"/>
  <c r="I164" i="116"/>
  <c r="H168" i="116"/>
  <c r="I166" i="116"/>
  <c r="I165" i="116"/>
  <c r="I47" i="116"/>
  <c r="K149" i="113"/>
  <c r="I155" i="116"/>
  <c r="L133" i="113"/>
  <c r="L13" i="113"/>
  <c r="F62" i="112"/>
  <c r="G62" i="112" s="1"/>
  <c r="H23" i="116"/>
  <c r="H169" i="116"/>
  <c r="H11" i="116"/>
  <c r="H35" i="116"/>
  <c r="J152" i="113"/>
  <c r="H131" i="116"/>
  <c r="F45" i="112"/>
  <c r="G45" i="112" s="1"/>
  <c r="I95" i="116"/>
  <c r="J81" i="116"/>
  <c r="J45" i="116"/>
  <c r="J150" i="116"/>
  <c r="L23" i="113"/>
  <c r="J18" i="116"/>
  <c r="L83" i="113"/>
  <c r="J90" i="116"/>
  <c r="J43" i="116"/>
  <c r="J129" i="116"/>
  <c r="J21" i="116"/>
  <c r="L33" i="113"/>
  <c r="J30" i="116"/>
  <c r="L103" i="113"/>
  <c r="J114" i="116"/>
  <c r="J19" i="116"/>
  <c r="J91" i="116"/>
  <c r="J170" i="116"/>
  <c r="J93" i="116"/>
  <c r="L73" i="113"/>
  <c r="J78" i="116"/>
  <c r="J151" i="116"/>
  <c r="J20" i="116"/>
  <c r="J116" i="116"/>
  <c r="J32" i="116"/>
  <c r="J128" i="116"/>
  <c r="J115" i="116"/>
  <c r="J103" i="116"/>
  <c r="J31" i="116"/>
  <c r="J33" i="116"/>
  <c r="J117" i="116"/>
  <c r="L93" i="113"/>
  <c r="J102" i="116"/>
  <c r="J9" i="116"/>
  <c r="J10" i="116"/>
  <c r="J79" i="116"/>
  <c r="J153" i="116"/>
  <c r="L43" i="113"/>
  <c r="J42" i="116"/>
  <c r="L113" i="113"/>
  <c r="J126" i="116"/>
  <c r="J8" i="116"/>
  <c r="J127" i="116"/>
  <c r="J105" i="116"/>
  <c r="J152" i="116"/>
  <c r="J104" i="116"/>
  <c r="J140" i="116" s="1"/>
  <c r="J44" i="116"/>
  <c r="J92" i="116"/>
  <c r="J80" i="116"/>
  <c r="G27" i="112"/>
  <c r="G78" i="112" s="1"/>
  <c r="I35" i="116"/>
  <c r="I131" i="116"/>
  <c r="I119" i="116"/>
  <c r="I83" i="116"/>
  <c r="I22" i="116"/>
  <c r="H119" i="116"/>
  <c r="H95" i="116"/>
  <c r="H47" i="116"/>
  <c r="H107" i="116"/>
  <c r="F28" i="112"/>
  <c r="U300" i="5"/>
  <c r="M80" i="113"/>
  <c r="M112" i="113"/>
  <c r="M89" i="113"/>
  <c r="M91" i="113"/>
  <c r="M70" i="113"/>
  <c r="M39" i="113"/>
  <c r="M71" i="113"/>
  <c r="M69" i="113"/>
  <c r="M92" i="113"/>
  <c r="M19" i="113"/>
  <c r="M131" i="113"/>
  <c r="M99" i="113"/>
  <c r="M79" i="113"/>
  <c r="M30" i="113"/>
  <c r="M31" i="113"/>
  <c r="M111" i="113"/>
  <c r="M10" i="113"/>
  <c r="M40" i="113"/>
  <c r="M102" i="113"/>
  <c r="M100" i="113"/>
  <c r="M20" i="113"/>
  <c r="M150" i="113"/>
  <c r="M101" i="113"/>
  <c r="M132" i="113"/>
  <c r="M22" i="113"/>
  <c r="M109" i="113"/>
  <c r="M153" i="113"/>
  <c r="M81" i="113"/>
  <c r="M29" i="113"/>
  <c r="M32" i="113"/>
  <c r="M82" i="113"/>
  <c r="M42" i="113"/>
  <c r="M9" i="113"/>
  <c r="M11" i="113"/>
  <c r="M129" i="113"/>
  <c r="M72" i="113"/>
  <c r="M151" i="113"/>
  <c r="M110" i="113"/>
  <c r="M130" i="113"/>
  <c r="M41" i="113"/>
  <c r="M21" i="113"/>
  <c r="M12" i="113"/>
  <c r="M90" i="113"/>
  <c r="F79" i="112" l="1"/>
  <c r="I107" i="116"/>
  <c r="I168" i="116"/>
  <c r="J141" i="116"/>
  <c r="J139" i="116"/>
  <c r="I143" i="116"/>
  <c r="J138" i="116"/>
  <c r="M121" i="113"/>
  <c r="M119" i="113"/>
  <c r="M122" i="113"/>
  <c r="M120" i="113"/>
  <c r="L123" i="113"/>
  <c r="J163" i="116"/>
  <c r="M144" i="113"/>
  <c r="M147" i="113"/>
  <c r="M145" i="113"/>
  <c r="M146" i="113"/>
  <c r="J164" i="116"/>
  <c r="J165" i="116"/>
  <c r="J166" i="116"/>
  <c r="L149" i="113"/>
  <c r="M133" i="113"/>
  <c r="M13" i="113"/>
  <c r="F63" i="112"/>
  <c r="G63" i="112" s="1"/>
  <c r="K152" i="113"/>
  <c r="I23" i="116"/>
  <c r="I169" i="116"/>
  <c r="I11" i="116"/>
  <c r="F46" i="112"/>
  <c r="G46" i="112" s="1"/>
  <c r="K103" i="116"/>
  <c r="M33" i="113"/>
  <c r="K30" i="116"/>
  <c r="K19" i="116"/>
  <c r="K10" i="116"/>
  <c r="K129" i="116"/>
  <c r="K153" i="116"/>
  <c r="K151" i="116"/>
  <c r="K154" i="116" s="1"/>
  <c r="K117" i="116"/>
  <c r="M93" i="113"/>
  <c r="K102" i="116"/>
  <c r="K9" i="116"/>
  <c r="K33" i="116"/>
  <c r="M83" i="113"/>
  <c r="K90" i="116"/>
  <c r="K170" i="116"/>
  <c r="K45" i="116"/>
  <c r="M23" i="113"/>
  <c r="K18" i="116"/>
  <c r="K115" i="116"/>
  <c r="K118" i="116" s="1"/>
  <c r="K80" i="116"/>
  <c r="K44" i="116"/>
  <c r="K104" i="116"/>
  <c r="K92" i="116"/>
  <c r="M103" i="113"/>
  <c r="K114" i="116"/>
  <c r="K105" i="116"/>
  <c r="M43" i="113"/>
  <c r="K42" i="116"/>
  <c r="K43" i="116"/>
  <c r="K46" i="116" s="1"/>
  <c r="K79" i="116"/>
  <c r="K82" i="116" s="1"/>
  <c r="M73" i="113"/>
  <c r="K78" i="116"/>
  <c r="K8" i="116"/>
  <c r="K31" i="116"/>
  <c r="K34" i="116" s="1"/>
  <c r="K150" i="116"/>
  <c r="K127" i="116"/>
  <c r="K130" i="116" s="1"/>
  <c r="M113" i="113"/>
  <c r="K126" i="116"/>
  <c r="K81" i="116"/>
  <c r="K21" i="116"/>
  <c r="K93" i="116"/>
  <c r="K91" i="116"/>
  <c r="K94" i="116" s="1"/>
  <c r="K32" i="116"/>
  <c r="K116" i="116"/>
  <c r="K128" i="116"/>
  <c r="K152" i="116"/>
  <c r="K20" i="116"/>
  <c r="J130" i="116"/>
  <c r="J11" i="116"/>
  <c r="J154" i="116"/>
  <c r="J155" i="116" s="1"/>
  <c r="J22" i="116"/>
  <c r="G28" i="112"/>
  <c r="G79" i="112" s="1"/>
  <c r="F29" i="112"/>
  <c r="J82" i="116"/>
  <c r="J34" i="116"/>
  <c r="J106" i="116"/>
  <c r="J118" i="116"/>
  <c r="J94" i="116"/>
  <c r="J46" i="116"/>
  <c r="N100" i="113"/>
  <c r="N42" i="113"/>
  <c r="N29" i="113"/>
  <c r="N71" i="113"/>
  <c r="N129" i="113"/>
  <c r="N132" i="113"/>
  <c r="N150" i="113"/>
  <c r="N153" i="113"/>
  <c r="N69" i="113"/>
  <c r="N81" i="113"/>
  <c r="N82" i="113"/>
  <c r="N90" i="113"/>
  <c r="N102" i="113"/>
  <c r="N130" i="113"/>
  <c r="N91" i="113"/>
  <c r="N70" i="113"/>
  <c r="N41" i="113"/>
  <c r="N30" i="113"/>
  <c r="N99" i="113"/>
  <c r="N80" i="113"/>
  <c r="N9" i="113"/>
  <c r="N31" i="113"/>
  <c r="N19" i="113"/>
  <c r="N40" i="113"/>
  <c r="N110" i="113"/>
  <c r="N20" i="113"/>
  <c r="N72" i="113"/>
  <c r="N111" i="113"/>
  <c r="N89" i="113"/>
  <c r="N112" i="113"/>
  <c r="N22" i="113"/>
  <c r="N101" i="113"/>
  <c r="N39" i="113"/>
  <c r="N11" i="113"/>
  <c r="N131" i="113"/>
  <c r="N92" i="113"/>
  <c r="N21" i="113"/>
  <c r="N10" i="113"/>
  <c r="N32" i="113"/>
  <c r="N79" i="113"/>
  <c r="N109" i="113"/>
  <c r="N151" i="113"/>
  <c r="N12" i="113"/>
  <c r="F80" i="112" l="1"/>
  <c r="K141" i="116"/>
  <c r="K140" i="116"/>
  <c r="K138" i="116"/>
  <c r="K106" i="116"/>
  <c r="K107" i="116" s="1"/>
  <c r="K139" i="116"/>
  <c r="J142" i="116"/>
  <c r="N119" i="113"/>
  <c r="N120" i="113"/>
  <c r="N122" i="113"/>
  <c r="N121" i="113"/>
  <c r="M123" i="113"/>
  <c r="K165" i="116"/>
  <c r="K163" i="116"/>
  <c r="N146" i="113"/>
  <c r="N144" i="113"/>
  <c r="N147" i="113"/>
  <c r="N145" i="113"/>
  <c r="J168" i="116"/>
  <c r="J169" i="116" s="1"/>
  <c r="K166" i="116"/>
  <c r="K164" i="116"/>
  <c r="M149" i="113"/>
  <c r="K155" i="116"/>
  <c r="N133" i="113"/>
  <c r="N13" i="113"/>
  <c r="F64" i="112"/>
  <c r="G64" i="112" s="1"/>
  <c r="L152" i="113"/>
  <c r="J83" i="116"/>
  <c r="J95" i="116"/>
  <c r="J119" i="116"/>
  <c r="J35" i="116"/>
  <c r="J131" i="116"/>
  <c r="F47" i="112"/>
  <c r="G47" i="112" s="1"/>
  <c r="K131" i="116"/>
  <c r="K119" i="116"/>
  <c r="L10" i="116"/>
  <c r="L31" i="116"/>
  <c r="L115" i="116"/>
  <c r="L21" i="116"/>
  <c r="L93" i="116"/>
  <c r="N33" i="113"/>
  <c r="L30" i="116"/>
  <c r="N93" i="113"/>
  <c r="L102" i="116"/>
  <c r="N23" i="113"/>
  <c r="L18" i="116"/>
  <c r="N103" i="113"/>
  <c r="L114" i="116"/>
  <c r="L19" i="116"/>
  <c r="L91" i="116"/>
  <c r="L45" i="116"/>
  <c r="L150" i="116"/>
  <c r="L105" i="116"/>
  <c r="L9" i="116"/>
  <c r="L117" i="116"/>
  <c r="L92" i="116"/>
  <c r="L80" i="116"/>
  <c r="L152" i="116"/>
  <c r="L104" i="116"/>
  <c r="L116" i="116"/>
  <c r="L8" i="116"/>
  <c r="L81" i="116"/>
  <c r="L170" i="116"/>
  <c r="L33" i="116"/>
  <c r="L127" i="116"/>
  <c r="L43" i="116"/>
  <c r="L129" i="116"/>
  <c r="L79" i="116"/>
  <c r="L153" i="116"/>
  <c r="N43" i="113"/>
  <c r="L42" i="116"/>
  <c r="N113" i="113"/>
  <c r="L126" i="116"/>
  <c r="L103" i="116"/>
  <c r="N73" i="113"/>
  <c r="L78" i="116"/>
  <c r="L151" i="116"/>
  <c r="N83" i="113"/>
  <c r="L90" i="116"/>
  <c r="L20" i="116"/>
  <c r="L32" i="116"/>
  <c r="L128" i="116"/>
  <c r="L44" i="116"/>
  <c r="G29" i="112"/>
  <c r="G80" i="112" s="1"/>
  <c r="K11" i="116"/>
  <c r="K22" i="116"/>
  <c r="J23" i="116"/>
  <c r="J107" i="116"/>
  <c r="J47" i="116"/>
  <c r="F30" i="112"/>
  <c r="K83" i="116"/>
  <c r="K47" i="116"/>
  <c r="K95" i="116"/>
  <c r="K35" i="116"/>
  <c r="O31" i="113"/>
  <c r="O72" i="113"/>
  <c r="O90" i="113"/>
  <c r="O21" i="113"/>
  <c r="O131" i="113"/>
  <c r="O91" i="113"/>
  <c r="O79" i="113"/>
  <c r="O92" i="113"/>
  <c r="O70" i="113"/>
  <c r="O82" i="113"/>
  <c r="O102" i="113"/>
  <c r="O9" i="113"/>
  <c r="O29" i="113"/>
  <c r="O39" i="113"/>
  <c r="O12" i="113"/>
  <c r="O81" i="113"/>
  <c r="O151" i="113"/>
  <c r="O129" i="113"/>
  <c r="O89" i="113"/>
  <c r="O110" i="113"/>
  <c r="O101" i="113"/>
  <c r="O22" i="113"/>
  <c r="O11" i="113"/>
  <c r="O40" i="113"/>
  <c r="O32" i="113"/>
  <c r="O80" i="113"/>
  <c r="O19" i="113"/>
  <c r="O69" i="113"/>
  <c r="O42" i="113"/>
  <c r="O132" i="113"/>
  <c r="O153" i="113"/>
  <c r="O10" i="113"/>
  <c r="O100" i="113"/>
  <c r="O112" i="113"/>
  <c r="O130" i="113"/>
  <c r="O111" i="113"/>
  <c r="O71" i="113"/>
  <c r="O99" i="113"/>
  <c r="O30" i="113"/>
  <c r="O41" i="113"/>
  <c r="O109" i="113"/>
  <c r="O20" i="113"/>
  <c r="K142" i="116" l="1"/>
  <c r="K143" i="116" s="1"/>
  <c r="F81" i="112"/>
  <c r="K168" i="116"/>
  <c r="K169" i="116" s="1"/>
  <c r="L139" i="116"/>
  <c r="L140" i="116"/>
  <c r="L141" i="116"/>
  <c r="L138" i="116"/>
  <c r="N123" i="113"/>
  <c r="J143" i="116"/>
  <c r="O122" i="113"/>
  <c r="O121" i="113"/>
  <c r="O120" i="113"/>
  <c r="O119" i="113"/>
  <c r="O145" i="113"/>
  <c r="O146" i="113"/>
  <c r="O147" i="113"/>
  <c r="O144" i="113"/>
  <c r="L164" i="116"/>
  <c r="L166" i="116"/>
  <c r="L165" i="116"/>
  <c r="L163" i="116"/>
  <c r="N149" i="113"/>
  <c r="O133" i="113"/>
  <c r="O13" i="113"/>
  <c r="F65" i="112"/>
  <c r="G65" i="112" s="1"/>
  <c r="M152" i="113"/>
  <c r="K23" i="116"/>
  <c r="F48" i="112"/>
  <c r="G48" i="112" s="1"/>
  <c r="O113" i="113"/>
  <c r="M126" i="116"/>
  <c r="M170" i="116"/>
  <c r="O83" i="113"/>
  <c r="M90" i="116"/>
  <c r="O103" i="113"/>
  <c r="M114" i="116"/>
  <c r="O73" i="113"/>
  <c r="M78" i="116"/>
  <c r="M45" i="116"/>
  <c r="M93" i="116"/>
  <c r="O33" i="113"/>
  <c r="M30" i="116"/>
  <c r="M43" i="116"/>
  <c r="M46" i="116" s="1"/>
  <c r="M21" i="116"/>
  <c r="M127" i="116"/>
  <c r="M130" i="116" s="1"/>
  <c r="M152" i="116"/>
  <c r="M104" i="116"/>
  <c r="M116" i="116"/>
  <c r="M80" i="116"/>
  <c r="M153" i="116"/>
  <c r="M117" i="116"/>
  <c r="M91" i="116"/>
  <c r="M94" i="116" s="1"/>
  <c r="M19" i="116"/>
  <c r="O93" i="113"/>
  <c r="M102" i="116"/>
  <c r="M10" i="116"/>
  <c r="M33" i="116"/>
  <c r="M81" i="116"/>
  <c r="M79" i="116"/>
  <c r="M82" i="116" s="1"/>
  <c r="M8" i="116"/>
  <c r="M115" i="116"/>
  <c r="M118" i="116" s="1"/>
  <c r="M31" i="116"/>
  <c r="M34" i="116" s="1"/>
  <c r="O23" i="113"/>
  <c r="M18" i="116"/>
  <c r="M151" i="116"/>
  <c r="M154" i="116" s="1"/>
  <c r="M150" i="116"/>
  <c r="M9" i="116"/>
  <c r="M105" i="116"/>
  <c r="M103" i="116"/>
  <c r="M129" i="116"/>
  <c r="O43" i="113"/>
  <c r="M42" i="116"/>
  <c r="M92" i="116"/>
  <c r="M32" i="116"/>
  <c r="M44" i="116"/>
  <c r="M20" i="116"/>
  <c r="M128" i="116"/>
  <c r="L130" i="116"/>
  <c r="L11" i="116"/>
  <c r="L94" i="116"/>
  <c r="L118" i="116"/>
  <c r="G30" i="112"/>
  <c r="G81" i="112" s="1"/>
  <c r="L154" i="116"/>
  <c r="L155" i="116" s="1"/>
  <c r="L106" i="116"/>
  <c r="L82" i="116"/>
  <c r="L46" i="116"/>
  <c r="F31" i="112"/>
  <c r="L22" i="116"/>
  <c r="L34" i="116"/>
  <c r="P42" i="113"/>
  <c r="P80" i="113"/>
  <c r="P131" i="113"/>
  <c r="P71" i="113"/>
  <c r="P102" i="113"/>
  <c r="P150" i="113"/>
  <c r="P101" i="113"/>
  <c r="P10" i="113"/>
  <c r="P79" i="113"/>
  <c r="P29" i="113"/>
  <c r="P151" i="113"/>
  <c r="P130" i="113"/>
  <c r="P99" i="113"/>
  <c r="P153" i="113"/>
  <c r="P12" i="113"/>
  <c r="P132" i="113"/>
  <c r="P20" i="113"/>
  <c r="P32" i="113"/>
  <c r="P72" i="113"/>
  <c r="P112" i="113"/>
  <c r="P69" i="113"/>
  <c r="P100" i="113"/>
  <c r="P129" i="113"/>
  <c r="P110" i="113"/>
  <c r="P39" i="113"/>
  <c r="P81" i="113"/>
  <c r="P82" i="113"/>
  <c r="P22" i="113"/>
  <c r="P89" i="113"/>
  <c r="P19" i="113"/>
  <c r="P9" i="113"/>
  <c r="P41" i="113"/>
  <c r="P11" i="113"/>
  <c r="P91" i="113"/>
  <c r="P90" i="113"/>
  <c r="P109" i="113"/>
  <c r="P21" i="113"/>
  <c r="P92" i="113"/>
  <c r="P30" i="113"/>
  <c r="P31" i="113"/>
  <c r="P70" i="113"/>
  <c r="P40" i="113"/>
  <c r="P111" i="113"/>
  <c r="F82" i="112" l="1"/>
  <c r="M138" i="116"/>
  <c r="O123" i="113"/>
  <c r="M106" i="116"/>
  <c r="M142" i="116" s="1"/>
  <c r="M139" i="116"/>
  <c r="M140" i="116"/>
  <c r="M141" i="116"/>
  <c r="L168" i="116"/>
  <c r="L169" i="116" s="1"/>
  <c r="L142" i="116"/>
  <c r="P122" i="113"/>
  <c r="P120" i="113"/>
  <c r="P119" i="113"/>
  <c r="P121" i="113"/>
  <c r="P147" i="113"/>
  <c r="P145" i="113"/>
  <c r="P144" i="113"/>
  <c r="P146" i="113"/>
  <c r="M164" i="116"/>
  <c r="M165" i="116"/>
  <c r="M163" i="116"/>
  <c r="M166" i="116"/>
  <c r="O149" i="113"/>
  <c r="M155" i="116"/>
  <c r="P133" i="113"/>
  <c r="P13" i="113"/>
  <c r="F66" i="112"/>
  <c r="G66" i="112" s="1"/>
  <c r="N152" i="113"/>
  <c r="L35" i="116"/>
  <c r="L47" i="116"/>
  <c r="L107" i="116"/>
  <c r="L83" i="116"/>
  <c r="L119" i="116"/>
  <c r="L131" i="116"/>
  <c r="L95" i="116"/>
  <c r="F49" i="112"/>
  <c r="G49" i="112" s="1"/>
  <c r="M47" i="116"/>
  <c r="N103" i="116"/>
  <c r="N19" i="116"/>
  <c r="P113" i="113"/>
  <c r="N126" i="116"/>
  <c r="P73" i="113"/>
  <c r="N78" i="116"/>
  <c r="N151" i="116"/>
  <c r="N33" i="116"/>
  <c r="N117" i="116"/>
  <c r="P93" i="113"/>
  <c r="N102" i="116"/>
  <c r="N10" i="116"/>
  <c r="N79" i="116"/>
  <c r="N153" i="116"/>
  <c r="N31" i="116"/>
  <c r="N115" i="116"/>
  <c r="N21" i="116"/>
  <c r="N93" i="116"/>
  <c r="N116" i="116"/>
  <c r="N32" i="116"/>
  <c r="N92" i="116"/>
  <c r="N152" i="116"/>
  <c r="N104" i="116"/>
  <c r="N45" i="116"/>
  <c r="N9" i="116"/>
  <c r="N91" i="116"/>
  <c r="N8" i="116"/>
  <c r="N105" i="116"/>
  <c r="P23" i="113"/>
  <c r="N18" i="116"/>
  <c r="P83" i="113"/>
  <c r="N90" i="116"/>
  <c r="N43" i="116"/>
  <c r="N129" i="116"/>
  <c r="P33" i="113"/>
  <c r="N30" i="116"/>
  <c r="P103" i="113"/>
  <c r="N114" i="116"/>
  <c r="N150" i="116"/>
  <c r="N81" i="116"/>
  <c r="N170" i="116"/>
  <c r="P43" i="113"/>
  <c r="N42" i="116"/>
  <c r="N127" i="116"/>
  <c r="N20" i="116"/>
  <c r="N80" i="116"/>
  <c r="N44" i="116"/>
  <c r="N128" i="116"/>
  <c r="G31" i="112"/>
  <c r="G82" i="112" s="1"/>
  <c r="M22" i="116"/>
  <c r="M35" i="116"/>
  <c r="M83" i="116"/>
  <c r="M119" i="116"/>
  <c r="M95" i="116"/>
  <c r="M131" i="116"/>
  <c r="L23" i="116"/>
  <c r="M11" i="116"/>
  <c r="F32" i="112"/>
  <c r="Q32" i="113"/>
  <c r="Q101" i="113"/>
  <c r="Q80" i="113"/>
  <c r="Q110" i="113"/>
  <c r="Q71" i="113"/>
  <c r="Q112" i="113"/>
  <c r="Q40" i="113"/>
  <c r="Q11" i="113"/>
  <c r="Q92" i="113"/>
  <c r="Q130" i="113"/>
  <c r="Q90" i="113"/>
  <c r="Q9" i="113"/>
  <c r="Q129" i="113"/>
  <c r="Q29" i="113"/>
  <c r="Q39" i="113"/>
  <c r="Q22" i="113"/>
  <c r="Q91" i="113"/>
  <c r="Q82" i="113"/>
  <c r="Q42" i="113"/>
  <c r="Q151" i="113"/>
  <c r="Q81" i="113"/>
  <c r="Q111" i="113"/>
  <c r="Q132" i="113"/>
  <c r="Q69" i="113"/>
  <c r="Q150" i="113"/>
  <c r="Q89" i="113"/>
  <c r="Q99" i="113"/>
  <c r="Q102" i="113"/>
  <c r="Q19" i="113"/>
  <c r="Q10" i="113"/>
  <c r="Q72" i="113"/>
  <c r="Q109" i="113"/>
  <c r="Q153" i="113"/>
  <c r="Q20" i="113"/>
  <c r="Q79" i="113"/>
  <c r="Q31" i="113"/>
  <c r="Q30" i="113"/>
  <c r="Q21" i="113"/>
  <c r="Q12" i="113"/>
  <c r="Q100" i="113"/>
  <c r="Q131" i="113"/>
  <c r="Q70" i="113"/>
  <c r="Q41" i="113"/>
  <c r="G176" i="113" l="1"/>
  <c r="F158" i="113"/>
  <c r="F190" i="165" s="1"/>
  <c r="G170" i="113"/>
  <c r="G168" i="113"/>
  <c r="G162" i="113"/>
  <c r="G174" i="113"/>
  <c r="G160" i="113"/>
  <c r="G180" i="113"/>
  <c r="M168" i="116"/>
  <c r="M169" i="116" s="1"/>
  <c r="F83" i="112"/>
  <c r="S100" i="113"/>
  <c r="T100" i="113" s="1"/>
  <c r="S92" i="113"/>
  <c r="T92" i="113" s="1"/>
  <c r="S109" i="113"/>
  <c r="T109" i="113" s="1"/>
  <c r="S110" i="113"/>
  <c r="T110" i="113" s="1"/>
  <c r="S99" i="113"/>
  <c r="T99" i="113" s="1"/>
  <c r="S102" i="113"/>
  <c r="T102" i="113" s="1"/>
  <c r="S101" i="113"/>
  <c r="T101" i="113" s="1"/>
  <c r="S89" i="113"/>
  <c r="T89" i="113" s="1"/>
  <c r="S91" i="113"/>
  <c r="T91" i="113" s="1"/>
  <c r="S112" i="113"/>
  <c r="T112" i="113" s="1"/>
  <c r="S90" i="113"/>
  <c r="T90" i="113" s="1"/>
  <c r="S111" i="113"/>
  <c r="T111" i="113" s="1"/>
  <c r="S32" i="113"/>
  <c r="T32" i="113" s="1"/>
  <c r="S81" i="113"/>
  <c r="T81" i="113" s="1"/>
  <c r="S42" i="113"/>
  <c r="T42" i="113" s="1"/>
  <c r="S29" i="113"/>
  <c r="T29" i="113" s="1"/>
  <c r="S131" i="113"/>
  <c r="T131" i="113" s="1"/>
  <c r="S39" i="113"/>
  <c r="T39" i="113" s="1"/>
  <c r="S82" i="113"/>
  <c r="T82" i="113" s="1"/>
  <c r="S70" i="113"/>
  <c r="T70" i="113" s="1"/>
  <c r="S9" i="113"/>
  <c r="S21" i="113"/>
  <c r="T21" i="113" s="1"/>
  <c r="R21" i="113" s="1"/>
  <c r="S30" i="113"/>
  <c r="T30" i="113" s="1"/>
  <c r="S69" i="113"/>
  <c r="T69" i="113" s="1"/>
  <c r="S11" i="113"/>
  <c r="S12" i="113"/>
  <c r="T12" i="113" s="1"/>
  <c r="S153" i="113"/>
  <c r="T153" i="113" s="1"/>
  <c r="S80" i="113"/>
  <c r="T80" i="113" s="1"/>
  <c r="S71" i="113"/>
  <c r="T71" i="113" s="1"/>
  <c r="S132" i="113"/>
  <c r="T132" i="113" s="1"/>
  <c r="S130" i="113"/>
  <c r="T130" i="113" s="1"/>
  <c r="S151" i="113"/>
  <c r="S40" i="113"/>
  <c r="T40" i="113" s="1"/>
  <c r="S72" i="113"/>
  <c r="T72" i="113" s="1"/>
  <c r="S41" i="113"/>
  <c r="T41" i="113" s="1"/>
  <c r="S79" i="113"/>
  <c r="T79" i="113" s="1"/>
  <c r="S10" i="113"/>
  <c r="S150" i="113"/>
  <c r="T150" i="113" s="1"/>
  <c r="S19" i="113"/>
  <c r="S31" i="113"/>
  <c r="T31" i="113" s="1"/>
  <c r="S129" i="113"/>
  <c r="T129" i="113" s="1"/>
  <c r="G128" i="156"/>
  <c r="G118" i="156"/>
  <c r="G120" i="156"/>
  <c r="G134" i="156"/>
  <c r="M143" i="116"/>
  <c r="M107" i="116"/>
  <c r="N140" i="116"/>
  <c r="N138" i="116"/>
  <c r="N139" i="116"/>
  <c r="N141" i="116"/>
  <c r="L143" i="116"/>
  <c r="Q120" i="113"/>
  <c r="S120" i="113" s="1"/>
  <c r="T120" i="113" s="1"/>
  <c r="Q122" i="113"/>
  <c r="S122" i="113" s="1"/>
  <c r="T122" i="113" s="1"/>
  <c r="Q119" i="113"/>
  <c r="S119" i="113" s="1"/>
  <c r="T119" i="113" s="1"/>
  <c r="Q121" i="113"/>
  <c r="S121" i="113" s="1"/>
  <c r="T121" i="113" s="1"/>
  <c r="P123" i="113"/>
  <c r="Q145" i="113"/>
  <c r="Q146" i="113"/>
  <c r="S146" i="113" s="1"/>
  <c r="T146" i="113" s="1"/>
  <c r="R146" i="113" s="1"/>
  <c r="Q144" i="113"/>
  <c r="Q147" i="113"/>
  <c r="N165" i="116"/>
  <c r="N163" i="116"/>
  <c r="N166" i="116"/>
  <c r="N164" i="116"/>
  <c r="P149" i="113"/>
  <c r="Q133" i="113"/>
  <c r="S133" i="113" s="1"/>
  <c r="T133" i="113" s="1"/>
  <c r="R133" i="113" s="1"/>
  <c r="Q13" i="113"/>
  <c r="F67" i="112"/>
  <c r="G67" i="112" s="1"/>
  <c r="O152" i="113"/>
  <c r="F170" i="113"/>
  <c r="F176" i="113"/>
  <c r="F174" i="113"/>
  <c r="F180" i="113"/>
  <c r="F168" i="113"/>
  <c r="F172" i="113"/>
  <c r="F162" i="113"/>
  <c r="F160" i="113"/>
  <c r="M23" i="116"/>
  <c r="F50" i="112"/>
  <c r="G50" i="112" s="1"/>
  <c r="O43" i="116"/>
  <c r="Q43" i="113"/>
  <c r="S43" i="113" s="1"/>
  <c r="T43" i="113" s="1"/>
  <c r="R43" i="113" s="1"/>
  <c r="O42" i="116"/>
  <c r="Q42" i="116" s="1"/>
  <c r="R42" i="116" s="1"/>
  <c r="O151" i="116"/>
  <c r="O9" i="116"/>
  <c r="Q9" i="116" s="1"/>
  <c r="R9" i="116" s="1"/>
  <c r="O19" i="116"/>
  <c r="O31" i="116"/>
  <c r="Q73" i="113"/>
  <c r="S73" i="113" s="1"/>
  <c r="T73" i="113" s="1"/>
  <c r="R73" i="113" s="1"/>
  <c r="O78" i="116"/>
  <c r="Q78" i="116" s="1"/>
  <c r="R78" i="116" s="1"/>
  <c r="O91" i="116"/>
  <c r="O170" i="116"/>
  <c r="Q170" i="116" s="1"/>
  <c r="R170" i="116" s="1"/>
  <c r="P170" i="116" s="1"/>
  <c r="O153" i="116"/>
  <c r="Q153" i="116" s="1"/>
  <c r="R153" i="116" s="1"/>
  <c r="O103" i="116"/>
  <c r="Q103" i="116" s="1"/>
  <c r="O21" i="116"/>
  <c r="O10" i="116"/>
  <c r="Q10" i="116" s="1"/>
  <c r="O105" i="116"/>
  <c r="Q105" i="116" s="1"/>
  <c r="Q23" i="113"/>
  <c r="O18" i="116"/>
  <c r="O150" i="116"/>
  <c r="Q150" i="116" s="1"/>
  <c r="R150" i="116" s="1"/>
  <c r="O80" i="116"/>
  <c r="Q80" i="116" s="1"/>
  <c r="R80" i="116" s="1"/>
  <c r="O32" i="116"/>
  <c r="Q32" i="116" s="1"/>
  <c r="R32" i="116" s="1"/>
  <c r="O152" i="116"/>
  <c r="Q152" i="116" s="1"/>
  <c r="R152" i="116" s="1"/>
  <c r="O104" i="116"/>
  <c r="Q104" i="116" s="1"/>
  <c r="O129" i="116"/>
  <c r="Q129" i="116" s="1"/>
  <c r="O127" i="116"/>
  <c r="Q83" i="113"/>
  <c r="S83" i="113" s="1"/>
  <c r="T83" i="113" s="1"/>
  <c r="R83" i="113" s="1"/>
  <c r="O90" i="116"/>
  <c r="Q90" i="116" s="1"/>
  <c r="R90" i="116" s="1"/>
  <c r="Q113" i="113"/>
  <c r="S113" i="113" s="1"/>
  <c r="T113" i="113" s="1"/>
  <c r="R113" i="113" s="1"/>
  <c r="O126" i="116"/>
  <c r="Q126" i="116" s="1"/>
  <c r="Q93" i="113"/>
  <c r="S93" i="113" s="1"/>
  <c r="T93" i="113" s="1"/>
  <c r="R93" i="113" s="1"/>
  <c r="O102" i="116"/>
  <c r="Q102" i="116" s="1"/>
  <c r="O93" i="116"/>
  <c r="Q93" i="116" s="1"/>
  <c r="R93" i="116" s="1"/>
  <c r="O117" i="116"/>
  <c r="Q117" i="116" s="1"/>
  <c r="O81" i="116"/>
  <c r="Q81" i="116" s="1"/>
  <c r="R81" i="116" s="1"/>
  <c r="O79" i="116"/>
  <c r="O33" i="116"/>
  <c r="Q33" i="116" s="1"/>
  <c r="R33" i="116" s="1"/>
  <c r="O8" i="116"/>
  <c r="Q8" i="116" s="1"/>
  <c r="O115" i="116"/>
  <c r="Q103" i="113"/>
  <c r="S103" i="113" s="1"/>
  <c r="T103" i="113" s="1"/>
  <c r="R103" i="113" s="1"/>
  <c r="O114" i="116"/>
  <c r="Q114" i="116" s="1"/>
  <c r="Q33" i="113"/>
  <c r="S33" i="113" s="1"/>
  <c r="T33" i="113" s="1"/>
  <c r="R33" i="113" s="1"/>
  <c r="O30" i="116"/>
  <c r="Q30" i="116" s="1"/>
  <c r="R30" i="116" s="1"/>
  <c r="O45" i="116"/>
  <c r="Q45" i="116" s="1"/>
  <c r="R45" i="116" s="1"/>
  <c r="O116" i="116"/>
  <c r="Q116" i="116" s="1"/>
  <c r="O44" i="116"/>
  <c r="Q44" i="116" s="1"/>
  <c r="R44" i="116" s="1"/>
  <c r="O128" i="116"/>
  <c r="Q128" i="116" s="1"/>
  <c r="O92" i="116"/>
  <c r="Q92" i="116" s="1"/>
  <c r="R92" i="116" s="1"/>
  <c r="O20" i="116"/>
  <c r="Q20" i="116" s="1"/>
  <c r="N94" i="116"/>
  <c r="N118" i="116"/>
  <c r="N154" i="116"/>
  <c r="N22" i="116"/>
  <c r="G32" i="112"/>
  <c r="G83" i="112" s="1"/>
  <c r="N130" i="116"/>
  <c r="N46" i="116"/>
  <c r="F33" i="112"/>
  <c r="N11" i="116"/>
  <c r="N34" i="116"/>
  <c r="N82" i="116"/>
  <c r="N106" i="116"/>
  <c r="N142" i="116" s="1"/>
  <c r="G132" i="156" l="1"/>
  <c r="G138" i="156"/>
  <c r="G126" i="156"/>
  <c r="F116" i="156"/>
  <c r="F138" i="156"/>
  <c r="G212" i="165"/>
  <c r="G192" i="165"/>
  <c r="G206" i="165"/>
  <c r="G158" i="113"/>
  <c r="G172" i="113"/>
  <c r="G204" i="165" s="1"/>
  <c r="G194" i="165"/>
  <c r="G200" i="165"/>
  <c r="G202" i="165"/>
  <c r="G208" i="165"/>
  <c r="F84" i="112"/>
  <c r="Q18" i="116"/>
  <c r="R18" i="116" s="1"/>
  <c r="P18" i="116" s="1"/>
  <c r="R117" i="116"/>
  <c r="P117" i="116" s="1"/>
  <c r="R102" i="116"/>
  <c r="P102" i="116" s="1"/>
  <c r="R126" i="116"/>
  <c r="P126" i="116" s="1"/>
  <c r="R104" i="116"/>
  <c r="P104" i="116" s="1"/>
  <c r="R103" i="116"/>
  <c r="P103" i="116" s="1"/>
  <c r="R128" i="116"/>
  <c r="P128" i="116" s="1"/>
  <c r="R116" i="116"/>
  <c r="P116" i="116" s="1"/>
  <c r="R114" i="116"/>
  <c r="P114" i="116" s="1"/>
  <c r="R129" i="116"/>
  <c r="P129" i="116" s="1"/>
  <c r="R105" i="116"/>
  <c r="P105" i="116" s="1"/>
  <c r="R10" i="116"/>
  <c r="P10" i="116" s="1"/>
  <c r="R8" i="116"/>
  <c r="P8" i="116" s="1"/>
  <c r="P9" i="116"/>
  <c r="P44" i="116"/>
  <c r="P45" i="116"/>
  <c r="P90" i="116"/>
  <c r="P32" i="116"/>
  <c r="P150" i="116"/>
  <c r="P78" i="116"/>
  <c r="P42" i="116"/>
  <c r="P92" i="116"/>
  <c r="P30" i="116"/>
  <c r="P33" i="116"/>
  <c r="P81" i="116"/>
  <c r="P93" i="116"/>
  <c r="P152" i="116"/>
  <c r="P80" i="116"/>
  <c r="P153" i="116"/>
  <c r="U151" i="113"/>
  <c r="W151" i="113" s="1"/>
  <c r="T151" i="113"/>
  <c r="R151" i="113" s="1"/>
  <c r="R119" i="113"/>
  <c r="R120" i="113"/>
  <c r="U41" i="113"/>
  <c r="W41" i="113" s="1"/>
  <c r="U101" i="113"/>
  <c r="W101" i="113" s="1"/>
  <c r="R121" i="113"/>
  <c r="R122" i="113"/>
  <c r="F204" i="165"/>
  <c r="F208" i="165"/>
  <c r="F206" i="165"/>
  <c r="T9" i="113"/>
  <c r="R9" i="113" s="1"/>
  <c r="F192" i="165"/>
  <c r="F212" i="165"/>
  <c r="F194" i="165"/>
  <c r="F200" i="165"/>
  <c r="F202" i="165"/>
  <c r="R12" i="113"/>
  <c r="S104" i="116"/>
  <c r="U104" i="116" s="1"/>
  <c r="V104" i="116" s="1"/>
  <c r="S20" i="116"/>
  <c r="U20" i="116" s="1"/>
  <c r="V20" i="116" s="1"/>
  <c r="R20" i="116"/>
  <c r="P20" i="116" s="1"/>
  <c r="R31" i="113"/>
  <c r="R79" i="113"/>
  <c r="R72" i="113"/>
  <c r="R132" i="113"/>
  <c r="R80" i="113"/>
  <c r="R69" i="113"/>
  <c r="R70" i="113"/>
  <c r="R39" i="113"/>
  <c r="R29" i="113"/>
  <c r="R81" i="113"/>
  <c r="R111" i="113"/>
  <c r="R112" i="113"/>
  <c r="R89" i="113"/>
  <c r="R102" i="113"/>
  <c r="R110" i="113"/>
  <c r="R92" i="113"/>
  <c r="R129" i="113"/>
  <c r="R41" i="113"/>
  <c r="R40" i="113"/>
  <c r="R130" i="113"/>
  <c r="R71" i="113"/>
  <c r="R30" i="113"/>
  <c r="R82" i="113"/>
  <c r="R131" i="113"/>
  <c r="R42" i="113"/>
  <c r="R32" i="113"/>
  <c r="R90" i="113"/>
  <c r="R91" i="113"/>
  <c r="R101" i="113"/>
  <c r="R99" i="113"/>
  <c r="R109" i="113"/>
  <c r="R100" i="113"/>
  <c r="T19" i="113"/>
  <c r="R19" i="113" s="1"/>
  <c r="T10" i="113"/>
  <c r="R10" i="113" s="1"/>
  <c r="T11" i="113"/>
  <c r="R11" i="113" s="1"/>
  <c r="U32" i="113"/>
  <c r="W32" i="113" s="1"/>
  <c r="P12" i="159" s="1"/>
  <c r="Q12" i="159" s="1"/>
  <c r="U100" i="113"/>
  <c r="W100" i="113" s="1"/>
  <c r="U109" i="113"/>
  <c r="W109" i="113" s="1"/>
  <c r="U82" i="113"/>
  <c r="W82" i="113" s="1"/>
  <c r="N143" i="116"/>
  <c r="F178" i="113"/>
  <c r="U99" i="113"/>
  <c r="W99" i="113" s="1"/>
  <c r="U42" i="113"/>
  <c r="W42" i="113" s="1"/>
  <c r="U71" i="113"/>
  <c r="W71" i="113" s="1"/>
  <c r="U91" i="113"/>
  <c r="W91" i="113" s="1"/>
  <c r="U90" i="113"/>
  <c r="W90" i="113" s="1"/>
  <c r="U11" i="113"/>
  <c r="W11" i="113" s="1"/>
  <c r="U9" i="113"/>
  <c r="U40" i="113"/>
  <c r="W40" i="113" s="1"/>
  <c r="U153" i="113"/>
  <c r="W153" i="113" s="1"/>
  <c r="X153" i="113" s="1"/>
  <c r="U30" i="113"/>
  <c r="W30" i="113" s="1"/>
  <c r="U130" i="113"/>
  <c r="W130" i="113" s="1"/>
  <c r="U131" i="113"/>
  <c r="W131" i="113" s="1"/>
  <c r="U132" i="113"/>
  <c r="W132" i="113" s="1"/>
  <c r="U146" i="113"/>
  <c r="W146" i="113" s="1"/>
  <c r="X146" i="113" s="1"/>
  <c r="U79" i="113"/>
  <c r="W79" i="113" s="1"/>
  <c r="U72" i="113"/>
  <c r="W72" i="113" s="1"/>
  <c r="U150" i="113"/>
  <c r="W150" i="113" s="1"/>
  <c r="X150" i="113" s="1"/>
  <c r="U21" i="113"/>
  <c r="W21" i="113" s="1"/>
  <c r="U12" i="113"/>
  <c r="W12" i="113" s="1"/>
  <c r="U81" i="113"/>
  <c r="W81" i="113" s="1"/>
  <c r="U112" i="113"/>
  <c r="W112" i="113" s="1"/>
  <c r="U39" i="113"/>
  <c r="W39" i="113" s="1"/>
  <c r="U80" i="113"/>
  <c r="W80" i="113" s="1"/>
  <c r="R150" i="113"/>
  <c r="U111" i="113"/>
  <c r="W111" i="113" s="1"/>
  <c r="U110" i="113"/>
  <c r="W110" i="113" s="1"/>
  <c r="U92" i="113"/>
  <c r="W92" i="113" s="1"/>
  <c r="U102" i="113"/>
  <c r="W102" i="113" s="1"/>
  <c r="U69" i="113"/>
  <c r="W69" i="113" s="1"/>
  <c r="U89" i="113"/>
  <c r="W89" i="113" s="1"/>
  <c r="U29" i="113"/>
  <c r="W29" i="113" s="1"/>
  <c r="U31" i="113"/>
  <c r="W31" i="113" s="1"/>
  <c r="U70" i="113"/>
  <c r="W70" i="113" s="1"/>
  <c r="R153" i="113"/>
  <c r="U19" i="113"/>
  <c r="W19" i="113" s="1"/>
  <c r="U10" i="113"/>
  <c r="W10" i="113" s="1"/>
  <c r="U129" i="113"/>
  <c r="W129" i="113" s="1"/>
  <c r="S92" i="116"/>
  <c r="U92" i="116" s="1"/>
  <c r="V92" i="116" s="1"/>
  <c r="S45" i="116"/>
  <c r="U45" i="116" s="1"/>
  <c r="V45" i="116" s="1"/>
  <c r="U103" i="113"/>
  <c r="W103" i="113" s="1"/>
  <c r="S117" i="116"/>
  <c r="U117" i="116" s="1"/>
  <c r="V117" i="116" s="1"/>
  <c r="S93" i="116"/>
  <c r="U93" i="116" s="1"/>
  <c r="V93" i="116" s="1"/>
  <c r="U113" i="113"/>
  <c r="W113" i="113" s="1"/>
  <c r="S152" i="116"/>
  <c r="U152" i="116" s="1"/>
  <c r="V152" i="116" s="1"/>
  <c r="S128" i="116"/>
  <c r="U128" i="116" s="1"/>
  <c r="V128" i="116" s="1"/>
  <c r="S116" i="116"/>
  <c r="U116" i="116" s="1"/>
  <c r="V116" i="116" s="1"/>
  <c r="S30" i="116"/>
  <c r="U30" i="116" s="1"/>
  <c r="V30" i="116" s="1"/>
  <c r="S114" i="116"/>
  <c r="U114" i="116" s="1"/>
  <c r="V114" i="116" s="1"/>
  <c r="O118" i="116"/>
  <c r="O119" i="116" s="1"/>
  <c r="Q115" i="116"/>
  <c r="S33" i="116"/>
  <c r="U33" i="116" s="1"/>
  <c r="V33" i="116" s="1"/>
  <c r="S81" i="116"/>
  <c r="U81" i="116" s="1"/>
  <c r="V81" i="116" s="1"/>
  <c r="S102" i="116"/>
  <c r="U102" i="116" s="1"/>
  <c r="V102" i="116" s="1"/>
  <c r="S126" i="116"/>
  <c r="U126" i="116" s="1"/>
  <c r="V126" i="116" s="1"/>
  <c r="S90" i="116"/>
  <c r="U90" i="116" s="1"/>
  <c r="V90" i="116" s="1"/>
  <c r="O130" i="116"/>
  <c r="O131" i="116" s="1"/>
  <c r="Q127" i="116"/>
  <c r="S32" i="116"/>
  <c r="U32" i="116" s="1"/>
  <c r="V32" i="116" s="1"/>
  <c r="S150" i="116"/>
  <c r="U150" i="116" s="1"/>
  <c r="V150" i="116" s="1"/>
  <c r="S10" i="116"/>
  <c r="U10" i="116" s="1"/>
  <c r="V10" i="116" s="1"/>
  <c r="S170" i="116"/>
  <c r="U170" i="116" s="1"/>
  <c r="V170" i="116" s="1"/>
  <c r="S78" i="116"/>
  <c r="U78" i="116" s="1"/>
  <c r="V78" i="116" s="1"/>
  <c r="O34" i="116"/>
  <c r="O35" i="116" s="1"/>
  <c r="Q31" i="116"/>
  <c r="R31" i="116" s="1"/>
  <c r="S9" i="116"/>
  <c r="U9" i="116" s="1"/>
  <c r="V9" i="116" s="1"/>
  <c r="S42" i="116"/>
  <c r="U42" i="116" s="1"/>
  <c r="V42" i="116" s="1"/>
  <c r="O46" i="116"/>
  <c r="Q46" i="116" s="1"/>
  <c r="Q43" i="116"/>
  <c r="R43" i="116" s="1"/>
  <c r="F118" i="156"/>
  <c r="U119" i="113"/>
  <c r="W119" i="113" s="1"/>
  <c r="S44" i="116"/>
  <c r="U44" i="116" s="1"/>
  <c r="V44" i="116" s="1"/>
  <c r="U33" i="113"/>
  <c r="W33" i="113" s="1"/>
  <c r="O82" i="116"/>
  <c r="Q82" i="116" s="1"/>
  <c r="Q79" i="116"/>
  <c r="R79" i="116" s="1"/>
  <c r="U93" i="113"/>
  <c r="W93" i="113" s="1"/>
  <c r="U83" i="113"/>
  <c r="W83" i="113" s="1"/>
  <c r="S129" i="116"/>
  <c r="U129" i="116" s="1"/>
  <c r="V129" i="116" s="1"/>
  <c r="S80" i="116"/>
  <c r="U80" i="116" s="1"/>
  <c r="V80" i="116" s="1"/>
  <c r="S153" i="116"/>
  <c r="U153" i="116" s="1"/>
  <c r="V153" i="116" s="1"/>
  <c r="O94" i="116"/>
  <c r="O95" i="116" s="1"/>
  <c r="Q91" i="116"/>
  <c r="R91" i="116" s="1"/>
  <c r="U73" i="113"/>
  <c r="W73" i="113" s="1"/>
  <c r="O154" i="116"/>
  <c r="Q154" i="116" s="1"/>
  <c r="Q151" i="116"/>
  <c r="R151" i="116" s="1"/>
  <c r="U43" i="113"/>
  <c r="W43" i="113" s="1"/>
  <c r="G116" i="156"/>
  <c r="F120" i="156"/>
  <c r="F126" i="156"/>
  <c r="F128" i="156"/>
  <c r="U133" i="113"/>
  <c r="W133" i="113" s="1"/>
  <c r="U121" i="113"/>
  <c r="W121" i="113" s="1"/>
  <c r="U122" i="113"/>
  <c r="W122" i="113" s="1"/>
  <c r="F130" i="156"/>
  <c r="F134" i="156"/>
  <c r="F132" i="156"/>
  <c r="G130" i="156"/>
  <c r="S103" i="116"/>
  <c r="U103" i="116" s="1"/>
  <c r="V103" i="116" s="1"/>
  <c r="S8" i="116"/>
  <c r="U8" i="116" s="1"/>
  <c r="V8" i="116" s="1"/>
  <c r="Q123" i="113"/>
  <c r="S123" i="113" s="1"/>
  <c r="T123" i="113" s="1"/>
  <c r="R123" i="113" s="1"/>
  <c r="S105" i="116"/>
  <c r="U105" i="116" s="1"/>
  <c r="V105" i="116" s="1"/>
  <c r="O163" i="116"/>
  <c r="Q163" i="116" s="1"/>
  <c r="O138" i="116"/>
  <c r="Q138" i="116" s="1"/>
  <c r="R138" i="116" s="1"/>
  <c r="O140" i="116"/>
  <c r="Q140" i="116" s="1"/>
  <c r="R140" i="116" s="1"/>
  <c r="O141" i="116"/>
  <c r="Q141" i="116" s="1"/>
  <c r="R141" i="116" s="1"/>
  <c r="O106" i="116"/>
  <c r="O139" i="116"/>
  <c r="Q139" i="116" s="1"/>
  <c r="R139" i="116" s="1"/>
  <c r="U120" i="113"/>
  <c r="W120" i="113" s="1"/>
  <c r="N168" i="116"/>
  <c r="O165" i="116"/>
  <c r="Q165" i="116" s="1"/>
  <c r="R165" i="116" s="1"/>
  <c r="P165" i="116" s="1"/>
  <c r="O166" i="116"/>
  <c r="O164" i="116"/>
  <c r="N83" i="116"/>
  <c r="N47" i="116"/>
  <c r="N131" i="116"/>
  <c r="N107" i="116"/>
  <c r="N35" i="116"/>
  <c r="N119" i="116"/>
  <c r="N95" i="116"/>
  <c r="Q149" i="113"/>
  <c r="S149" i="113" s="1"/>
  <c r="T149" i="113" s="1"/>
  <c r="R149" i="113" s="1"/>
  <c r="N155" i="116"/>
  <c r="P152" i="113"/>
  <c r="F68" i="112"/>
  <c r="G68" i="112" s="1"/>
  <c r="F51" i="112"/>
  <c r="G51" i="112" s="1"/>
  <c r="F34" i="112"/>
  <c r="G33" i="112"/>
  <c r="G84" i="112" s="1"/>
  <c r="N23" i="116"/>
  <c r="O83" i="116"/>
  <c r="O22" i="116"/>
  <c r="O23" i="116" s="1"/>
  <c r="G178" i="113" l="1"/>
  <c r="H158" i="113"/>
  <c r="H190" i="165" s="1"/>
  <c r="L202" i="174" a="1"/>
  <c r="L202" i="174" s="1"/>
  <c r="I176" i="113"/>
  <c r="G190" i="165"/>
  <c r="L215" i="174" a="1"/>
  <c r="L215" i="174" s="1"/>
  <c r="L205" i="174" a="1"/>
  <c r="L205" i="174" s="1"/>
  <c r="L212" i="174" a="1"/>
  <c r="L212" i="174" s="1"/>
  <c r="L199" i="174" a="1"/>
  <c r="L199" i="174" s="1"/>
  <c r="L217" i="174" a="1"/>
  <c r="L217" i="174" s="1"/>
  <c r="L207" i="174" a="1"/>
  <c r="L207" i="174" s="1"/>
  <c r="L206" i="174" a="1"/>
  <c r="L206" i="174" s="1"/>
  <c r="L223" i="174" a="1"/>
  <c r="L223" i="174" s="1"/>
  <c r="L117" i="176" s="1"/>
  <c r="I174" i="113"/>
  <c r="I132" i="156" s="1"/>
  <c r="L219" i="174" a="1"/>
  <c r="L219" i="174" s="1"/>
  <c r="L209" i="174" a="1"/>
  <c r="L209" i="174" s="1"/>
  <c r="L201" i="174" a="1"/>
  <c r="L201" i="174" s="1"/>
  <c r="L218" i="174" a="1"/>
  <c r="L218" i="174" s="1"/>
  <c r="L208" i="174" a="1"/>
  <c r="L208" i="174" s="1"/>
  <c r="L200" i="174" a="1"/>
  <c r="L200" i="174" s="1"/>
  <c r="L211" i="174" a="1"/>
  <c r="L211" i="174" s="1"/>
  <c r="L105" i="176" s="1"/>
  <c r="L203" i="174" a="1"/>
  <c r="L203" i="174" s="1"/>
  <c r="L220" i="174" a="1"/>
  <c r="L220" i="174" s="1"/>
  <c r="L210" i="174" a="1"/>
  <c r="L210" i="174" s="1"/>
  <c r="L104" i="176" s="1"/>
  <c r="Q94" i="116"/>
  <c r="S94" i="116" s="1"/>
  <c r="U94" i="116" s="1"/>
  <c r="Q34" i="116"/>
  <c r="S34" i="116" s="1"/>
  <c r="U34" i="116" s="1"/>
  <c r="S18" i="116"/>
  <c r="U18" i="116" s="1"/>
  <c r="V18" i="116" s="1"/>
  <c r="T18" i="116" s="1"/>
  <c r="K29" i="112"/>
  <c r="X151" i="113"/>
  <c r="V151" i="113" s="1"/>
  <c r="R127" i="116"/>
  <c r="P127" i="116" s="1"/>
  <c r="R115" i="116"/>
  <c r="P115" i="116" s="1"/>
  <c r="T129" i="116"/>
  <c r="T44" i="116"/>
  <c r="T42" i="116"/>
  <c r="T78" i="116"/>
  <c r="T32" i="116"/>
  <c r="T126" i="116"/>
  <c r="T81" i="116"/>
  <c r="T114" i="116"/>
  <c r="T116" i="116"/>
  <c r="T152" i="116"/>
  <c r="T93" i="116"/>
  <c r="T92" i="116"/>
  <c r="T20" i="116"/>
  <c r="T105" i="116"/>
  <c r="T103" i="116"/>
  <c r="T153" i="116"/>
  <c r="T80" i="116"/>
  <c r="T170" i="116"/>
  <c r="T150" i="116"/>
  <c r="T90" i="116"/>
  <c r="T102" i="116"/>
  <c r="T33" i="116"/>
  <c r="T30" i="116"/>
  <c r="T128" i="116"/>
  <c r="T117" i="116"/>
  <c r="T45" i="116"/>
  <c r="T104" i="116"/>
  <c r="R163" i="116"/>
  <c r="P163" i="116" s="1"/>
  <c r="P140" i="116"/>
  <c r="P151" i="116"/>
  <c r="P43" i="116"/>
  <c r="P31" i="116"/>
  <c r="P139" i="116"/>
  <c r="P141" i="116"/>
  <c r="P138" i="116"/>
  <c r="P91" i="116"/>
  <c r="P79" i="116"/>
  <c r="X121" i="113"/>
  <c r="V121" i="113" s="1"/>
  <c r="X43" i="113"/>
  <c r="V43" i="113" s="1"/>
  <c r="X83" i="113"/>
  <c r="V83" i="113" s="1"/>
  <c r="X33" i="113"/>
  <c r="V33" i="113" s="1"/>
  <c r="X119" i="113"/>
  <c r="V119" i="113" s="1"/>
  <c r="X113" i="113"/>
  <c r="V113" i="113" s="1"/>
  <c r="X129" i="113"/>
  <c r="V129" i="113" s="1"/>
  <c r="X19" i="113"/>
  <c r="V19" i="113" s="1"/>
  <c r="X70" i="113"/>
  <c r="V70" i="113" s="1"/>
  <c r="X29" i="113"/>
  <c r="V29" i="113" s="1"/>
  <c r="X69" i="113"/>
  <c r="V69" i="113" s="1"/>
  <c r="X92" i="113"/>
  <c r="V92" i="113" s="1"/>
  <c r="X111" i="113"/>
  <c r="V111" i="113" s="1"/>
  <c r="X80" i="113"/>
  <c r="V80" i="113" s="1"/>
  <c r="X112" i="113"/>
  <c r="V112" i="113" s="1"/>
  <c r="X12" i="113"/>
  <c r="V12" i="113" s="1"/>
  <c r="V150" i="113"/>
  <c r="X79" i="113"/>
  <c r="V79" i="113" s="1"/>
  <c r="X132" i="113"/>
  <c r="V132" i="113" s="1"/>
  <c r="X130" i="113"/>
  <c r="V130" i="113" s="1"/>
  <c r="X90" i="113"/>
  <c r="V90" i="113" s="1"/>
  <c r="X71" i="113"/>
  <c r="V71" i="113" s="1"/>
  <c r="X99" i="113"/>
  <c r="V99" i="113" s="1"/>
  <c r="X82" i="113"/>
  <c r="V82" i="113" s="1"/>
  <c r="X100" i="113"/>
  <c r="V100" i="113" s="1"/>
  <c r="X41" i="113"/>
  <c r="V41" i="113" s="1"/>
  <c r="X120" i="113"/>
  <c r="V120" i="113" s="1"/>
  <c r="X122" i="113"/>
  <c r="V122" i="113" s="1"/>
  <c r="X133" i="113"/>
  <c r="V133" i="113" s="1"/>
  <c r="X73" i="113"/>
  <c r="V73" i="113" s="1"/>
  <c r="X93" i="113"/>
  <c r="V93" i="113" s="1"/>
  <c r="X103" i="113"/>
  <c r="V103" i="113" s="1"/>
  <c r="X10" i="113"/>
  <c r="V10" i="113" s="1"/>
  <c r="X31" i="113"/>
  <c r="V31" i="113" s="1"/>
  <c r="X89" i="113"/>
  <c r="V89" i="113" s="1"/>
  <c r="X102" i="113"/>
  <c r="V102" i="113" s="1"/>
  <c r="X110" i="113"/>
  <c r="V110" i="113" s="1"/>
  <c r="X39" i="113"/>
  <c r="V39" i="113" s="1"/>
  <c r="X81" i="113"/>
  <c r="V81" i="113" s="1"/>
  <c r="X21" i="113"/>
  <c r="V21" i="113" s="1"/>
  <c r="X72" i="113"/>
  <c r="V72" i="113" s="1"/>
  <c r="V146" i="113"/>
  <c r="X131" i="113"/>
  <c r="V131" i="113" s="1"/>
  <c r="X30" i="113"/>
  <c r="V30" i="113" s="1"/>
  <c r="X40" i="113"/>
  <c r="V40" i="113" s="1"/>
  <c r="X11" i="113"/>
  <c r="V11" i="113" s="1"/>
  <c r="X91" i="113"/>
  <c r="V91" i="113" s="1"/>
  <c r="X42" i="113"/>
  <c r="V42" i="113" s="1"/>
  <c r="X109" i="113"/>
  <c r="V109" i="113" s="1"/>
  <c r="X32" i="113"/>
  <c r="V32" i="113" s="1"/>
  <c r="X101" i="113"/>
  <c r="V101" i="113" s="1"/>
  <c r="F210" i="165"/>
  <c r="V153" i="113"/>
  <c r="G136" i="156"/>
  <c r="G210" i="165"/>
  <c r="Q118" i="116"/>
  <c r="O142" i="116"/>
  <c r="Q142" i="116" s="1"/>
  <c r="F136" i="156"/>
  <c r="P3" i="159"/>
  <c r="R3" i="159" s="1"/>
  <c r="P34" i="159"/>
  <c r="Q34" i="159" s="1"/>
  <c r="P14" i="159"/>
  <c r="Q14" i="159" s="1"/>
  <c r="P28" i="159"/>
  <c r="R28" i="159" s="1"/>
  <c r="P55" i="159"/>
  <c r="Q55" i="159" s="1"/>
  <c r="P35" i="159"/>
  <c r="Q35" i="159" s="1"/>
  <c r="P38" i="159"/>
  <c r="R38" i="159" s="1"/>
  <c r="P32" i="159"/>
  <c r="P39" i="159"/>
  <c r="Q39" i="159" s="1"/>
  <c r="P6" i="159"/>
  <c r="R6" i="159" s="1"/>
  <c r="P10" i="159"/>
  <c r="R10" i="159" s="1"/>
  <c r="P26" i="159"/>
  <c r="R26" i="159" s="1"/>
  <c r="P36" i="159"/>
  <c r="R36" i="159" s="1"/>
  <c r="P31" i="159"/>
  <c r="R31" i="159" s="1"/>
  <c r="P44" i="159"/>
  <c r="Q44" i="159" s="1"/>
  <c r="P4" i="159"/>
  <c r="Q4" i="159" s="1"/>
  <c r="K28" i="112"/>
  <c r="P30" i="159"/>
  <c r="R30" i="159" s="1"/>
  <c r="P56" i="159"/>
  <c r="Q56" i="159" s="1"/>
  <c r="P15" i="159"/>
  <c r="Q15" i="159" s="1"/>
  <c r="P42" i="159"/>
  <c r="Q42" i="159" s="1"/>
  <c r="O47" i="116"/>
  <c r="O107" i="116"/>
  <c r="Q130" i="116"/>
  <c r="O168" i="116"/>
  <c r="O169" i="116" s="1"/>
  <c r="F85" i="112"/>
  <c r="Q106" i="116"/>
  <c r="O155" i="116"/>
  <c r="P16" i="159"/>
  <c r="R16" i="159" s="1"/>
  <c r="P43" i="159"/>
  <c r="Q43" i="159" s="1"/>
  <c r="P11" i="159"/>
  <c r="Q11" i="159" s="1"/>
  <c r="K39" i="163"/>
  <c r="K33" i="112"/>
  <c r="P54" i="159"/>
  <c r="Q54" i="159" s="1"/>
  <c r="P27" i="159"/>
  <c r="Q27" i="159" s="1"/>
  <c r="P40" i="159"/>
  <c r="R40" i="159" s="1"/>
  <c r="S163" i="116"/>
  <c r="U163" i="116" s="1"/>
  <c r="V163" i="116" s="1"/>
  <c r="S165" i="116"/>
  <c r="U165" i="116" s="1"/>
  <c r="V165" i="116" s="1"/>
  <c r="T9" i="116"/>
  <c r="U149" i="113"/>
  <c r="W149" i="113" s="1"/>
  <c r="X149" i="113" s="1"/>
  <c r="V149" i="113" s="1"/>
  <c r="S139" i="116"/>
  <c r="U139" i="116" s="1"/>
  <c r="V139" i="116" s="1"/>
  <c r="S141" i="116"/>
  <c r="U141" i="116" s="1"/>
  <c r="V141" i="116" s="1"/>
  <c r="S138" i="116"/>
  <c r="U138" i="116" s="1"/>
  <c r="V138" i="116" s="1"/>
  <c r="U123" i="113"/>
  <c r="W123" i="113" s="1"/>
  <c r="S140" i="116"/>
  <c r="U140" i="116" s="1"/>
  <c r="V140" i="116" s="1"/>
  <c r="S154" i="116"/>
  <c r="U154" i="116" s="1"/>
  <c r="Q22" i="116"/>
  <c r="S151" i="116"/>
  <c r="U151" i="116" s="1"/>
  <c r="V151" i="116" s="1"/>
  <c r="S31" i="116"/>
  <c r="U31" i="116" s="1"/>
  <c r="V31" i="116" s="1"/>
  <c r="S115" i="116"/>
  <c r="U115" i="116" s="1"/>
  <c r="V115" i="116" s="1"/>
  <c r="S91" i="116"/>
  <c r="U91" i="116" s="1"/>
  <c r="V91" i="116" s="1"/>
  <c r="S79" i="116"/>
  <c r="U79" i="116" s="1"/>
  <c r="V79" i="116" s="1"/>
  <c r="S43" i="116"/>
  <c r="U43" i="116" s="1"/>
  <c r="V43" i="116" s="1"/>
  <c r="S127" i="116"/>
  <c r="U127" i="116" s="1"/>
  <c r="V127" i="116" s="1"/>
  <c r="R12" i="159"/>
  <c r="T10" i="116"/>
  <c r="H180" i="113"/>
  <c r="S46" i="116"/>
  <c r="U46" i="116" s="1"/>
  <c r="S82" i="116"/>
  <c r="U82" i="116" s="1"/>
  <c r="N169" i="116"/>
  <c r="H170" i="113"/>
  <c r="Q95" i="116"/>
  <c r="H174" i="113"/>
  <c r="Q119" i="116"/>
  <c r="H160" i="113"/>
  <c r="Q35" i="116"/>
  <c r="R35" i="116" s="1"/>
  <c r="P35" i="116" s="1"/>
  <c r="H172" i="113"/>
  <c r="H176" i="113"/>
  <c r="Q131" i="116"/>
  <c r="H162" i="113"/>
  <c r="H168" i="113"/>
  <c r="Q83" i="116"/>
  <c r="R83" i="116" s="1"/>
  <c r="P83" i="116" s="1"/>
  <c r="T8" i="116"/>
  <c r="I160" i="113"/>
  <c r="I168" i="113"/>
  <c r="I170" i="113"/>
  <c r="I158" i="113"/>
  <c r="O11" i="116"/>
  <c r="G34" i="112"/>
  <c r="G85" i="112" s="1"/>
  <c r="Q152" i="113"/>
  <c r="L103" i="176" l="1"/>
  <c r="L225" i="174"/>
  <c r="L106" i="176"/>
  <c r="I134" i="156"/>
  <c r="H116" i="156"/>
  <c r="M27" i="169"/>
  <c r="L114" i="176"/>
  <c r="N24" i="169"/>
  <c r="M22" i="169"/>
  <c r="L102" i="176"/>
  <c r="N19" i="169"/>
  <c r="L95" i="176"/>
  <c r="N27" i="169"/>
  <c r="L113" i="176"/>
  <c r="N22" i="169"/>
  <c r="L101" i="176"/>
  <c r="N18" i="169"/>
  <c r="L93" i="176"/>
  <c r="N21" i="169"/>
  <c r="L99" i="176"/>
  <c r="M23" i="169"/>
  <c r="N20" i="169"/>
  <c r="L97" i="176"/>
  <c r="M18" i="169"/>
  <c r="L94" i="176"/>
  <c r="M26" i="169"/>
  <c r="L112" i="176"/>
  <c r="N23" i="169"/>
  <c r="M21" i="169"/>
  <c r="L100" i="176"/>
  <c r="N26" i="169"/>
  <c r="L111" i="176"/>
  <c r="M24" i="169"/>
  <c r="N25" i="169"/>
  <c r="L109" i="176"/>
  <c r="M19" i="169"/>
  <c r="L96" i="176"/>
  <c r="I190" i="165"/>
  <c r="L189" i="165" s="1" a="1"/>
  <c r="L189" i="165" s="1"/>
  <c r="I200" i="165"/>
  <c r="Q47" i="116"/>
  <c r="R47" i="116" s="1"/>
  <c r="P47" i="116" s="1"/>
  <c r="L204" i="174" a="1"/>
  <c r="L204" i="174" s="1"/>
  <c r="I202" i="165"/>
  <c r="I192" i="165"/>
  <c r="I172" i="113"/>
  <c r="L172" i="113" s="1" a="1"/>
  <c r="L172" i="113" s="1"/>
  <c r="I206" i="165"/>
  <c r="I208" i="165"/>
  <c r="Q107" i="116"/>
  <c r="R107" i="116" s="1"/>
  <c r="P107" i="116" s="1"/>
  <c r="O143" i="116"/>
  <c r="Q143" i="116" s="1"/>
  <c r="R143" i="116" s="1"/>
  <c r="P143" i="116" s="1"/>
  <c r="I162" i="113"/>
  <c r="Q26" i="159"/>
  <c r="R34" i="159"/>
  <c r="M29" i="112"/>
  <c r="L35" i="163"/>
  <c r="M35" i="163" s="1"/>
  <c r="L168" i="113" a="1"/>
  <c r="L168" i="113" s="1"/>
  <c r="L162" i="113" a="1"/>
  <c r="L162" i="113" s="1"/>
  <c r="L160" i="113" a="1"/>
  <c r="L160" i="113" s="1"/>
  <c r="L170" i="113" a="1"/>
  <c r="L170" i="113" s="1"/>
  <c r="L173" i="113" a="1"/>
  <c r="L173" i="113" s="1"/>
  <c r="L179" i="113" a="1"/>
  <c r="L179" i="113" s="1"/>
  <c r="L163" i="113" a="1"/>
  <c r="L163" i="113" s="1"/>
  <c r="L166" i="113" a="1"/>
  <c r="L166" i="113" s="1"/>
  <c r="L167" i="113" a="1"/>
  <c r="L167" i="113" s="1"/>
  <c r="L164" i="113" a="1"/>
  <c r="L164" i="113" s="1"/>
  <c r="L165" i="113" a="1"/>
  <c r="L165" i="113" s="1"/>
  <c r="L158" i="113" a="1"/>
  <c r="L158" i="113" s="1"/>
  <c r="L159" i="113" a="1"/>
  <c r="L159" i="113" s="1"/>
  <c r="L175" i="113" a="1"/>
  <c r="L175" i="113" s="1"/>
  <c r="L161" i="113" a="1"/>
  <c r="L161" i="113" s="1"/>
  <c r="L177" i="113" a="1"/>
  <c r="L177" i="113" s="1"/>
  <c r="L157" i="113" a="1"/>
  <c r="L157" i="113" s="1"/>
  <c r="L171" i="113" a="1"/>
  <c r="L171" i="113" s="1"/>
  <c r="L169" i="113" a="1"/>
  <c r="L169" i="113" s="1"/>
  <c r="R131" i="116"/>
  <c r="P131" i="116" s="1"/>
  <c r="R95" i="116"/>
  <c r="P95" i="116" s="1"/>
  <c r="R119" i="116"/>
  <c r="P119" i="116" s="1"/>
  <c r="T127" i="116"/>
  <c r="T79" i="116"/>
  <c r="T115" i="116"/>
  <c r="T151" i="116"/>
  <c r="T141" i="116"/>
  <c r="T165" i="116"/>
  <c r="T43" i="116"/>
  <c r="T91" i="116"/>
  <c r="T31" i="116"/>
  <c r="T140" i="116"/>
  <c r="T138" i="116"/>
  <c r="T139" i="116"/>
  <c r="T163" i="116"/>
  <c r="X123" i="113"/>
  <c r="V123" i="113" s="1"/>
  <c r="H208" i="165"/>
  <c r="L208" i="165" s="1" a="1"/>
  <c r="L208" i="165" s="1"/>
  <c r="L176" i="113" a="1"/>
  <c r="L176" i="113" s="1"/>
  <c r="H204" i="165"/>
  <c r="H206" i="165"/>
  <c r="L206" i="165" s="1" a="1"/>
  <c r="L206" i="165" s="1"/>
  <c r="L174" i="113" a="1"/>
  <c r="L174" i="113" s="1"/>
  <c r="J210" i="165"/>
  <c r="R56" i="159"/>
  <c r="H200" i="165"/>
  <c r="H194" i="165"/>
  <c r="H192" i="165"/>
  <c r="H202" i="165"/>
  <c r="H212" i="165"/>
  <c r="Q155" i="116"/>
  <c r="R155" i="116" s="1"/>
  <c r="P155" i="116" s="1"/>
  <c r="I180" i="113"/>
  <c r="L190" i="165" a="1"/>
  <c r="L190" i="165" s="1"/>
  <c r="S118" i="116"/>
  <c r="U118" i="116" s="1"/>
  <c r="R35" i="159"/>
  <c r="R14" i="159"/>
  <c r="Q3" i="159"/>
  <c r="R44" i="159"/>
  <c r="R4" i="159"/>
  <c r="R39" i="159"/>
  <c r="S142" i="116"/>
  <c r="U142" i="116" s="1"/>
  <c r="Q10" i="159"/>
  <c r="R15" i="159"/>
  <c r="P37" i="159"/>
  <c r="R37" i="159" s="1"/>
  <c r="Q38" i="159"/>
  <c r="Q36" i="159"/>
  <c r="Q168" i="116"/>
  <c r="R42" i="159"/>
  <c r="R55" i="159"/>
  <c r="Q28" i="159"/>
  <c r="P33" i="159"/>
  <c r="Q33" i="159" s="1"/>
  <c r="Q6" i="159"/>
  <c r="Q31" i="159"/>
  <c r="Q30" i="159"/>
  <c r="R32" i="159"/>
  <c r="Q32" i="159"/>
  <c r="S106" i="116"/>
  <c r="U106" i="116" s="1"/>
  <c r="S130" i="116"/>
  <c r="U130" i="116" s="1"/>
  <c r="P13" i="159"/>
  <c r="R13" i="159" s="1"/>
  <c r="R11" i="159"/>
  <c r="P17" i="159"/>
  <c r="R17" i="159" s="1"/>
  <c r="Q16" i="159"/>
  <c r="R43" i="159"/>
  <c r="H178" i="113"/>
  <c r="P45" i="159"/>
  <c r="Q45" i="159" s="1"/>
  <c r="P57" i="159"/>
  <c r="Q57" i="159" s="1"/>
  <c r="L34" i="163"/>
  <c r="R27" i="159"/>
  <c r="K36" i="163"/>
  <c r="R54" i="159"/>
  <c r="P29" i="159"/>
  <c r="Q29" i="159" s="1"/>
  <c r="P41" i="159"/>
  <c r="R41" i="159" s="1"/>
  <c r="Q40" i="159"/>
  <c r="M28" i="112"/>
  <c r="I118" i="156"/>
  <c r="I116" i="156"/>
  <c r="I128" i="156"/>
  <c r="Q11" i="116"/>
  <c r="R11" i="116" s="1"/>
  <c r="I126" i="156"/>
  <c r="I120" i="156"/>
  <c r="S22" i="116"/>
  <c r="U22" i="116" s="1"/>
  <c r="H138" i="156"/>
  <c r="H126" i="156"/>
  <c r="H120" i="156"/>
  <c r="H134" i="156"/>
  <c r="H130" i="156"/>
  <c r="H118" i="156"/>
  <c r="H132" i="156"/>
  <c r="H128" i="156"/>
  <c r="S83" i="116"/>
  <c r="U83" i="116" s="1"/>
  <c r="V83" i="116" s="1"/>
  <c r="T83" i="116" s="1"/>
  <c r="S131" i="116"/>
  <c r="U131" i="116" s="1"/>
  <c r="V131" i="116" s="1"/>
  <c r="T131" i="116" s="1"/>
  <c r="S35" i="116"/>
  <c r="U35" i="116" s="1"/>
  <c r="V35" i="116" s="1"/>
  <c r="T35" i="116" s="1"/>
  <c r="S119" i="116"/>
  <c r="U119" i="116" s="1"/>
  <c r="V119" i="116" s="1"/>
  <c r="T119" i="116" s="1"/>
  <c r="S95" i="116"/>
  <c r="U95" i="116" s="1"/>
  <c r="V95" i="116" s="1"/>
  <c r="T95" i="116" s="1"/>
  <c r="L119" i="176" l="1"/>
  <c r="I204" i="165"/>
  <c r="I130" i="156"/>
  <c r="L133" i="156" a="1"/>
  <c r="L133" i="156" s="1"/>
  <c r="I178" i="113"/>
  <c r="I210" i="165" s="1"/>
  <c r="M20" i="169"/>
  <c r="L98" i="176"/>
  <c r="S47" i="116"/>
  <c r="U47" i="116" s="1"/>
  <c r="V47" i="116" s="1"/>
  <c r="T47" i="116" s="1"/>
  <c r="I194" i="165"/>
  <c r="L193" i="165" s="1" a="1"/>
  <c r="L193" i="165" s="1"/>
  <c r="L180" i="113" a="1"/>
  <c r="L180" i="113" s="1"/>
  <c r="L182" i="113" s="1"/>
  <c r="L224" i="174" a="1"/>
  <c r="L224" i="174" s="1"/>
  <c r="L216" i="174" a="1"/>
  <c r="L216" i="174" s="1"/>
  <c r="L132" i="156" a="1"/>
  <c r="L132" i="156" s="1"/>
  <c r="Q26" i="169" s="1"/>
  <c r="L181" i="113"/>
  <c r="M34" i="163"/>
  <c r="L130" i="156" a="1"/>
  <c r="L130" i="156" s="1"/>
  <c r="S143" i="116"/>
  <c r="U143" i="116" s="1"/>
  <c r="V143" i="116" s="1"/>
  <c r="T143" i="116" s="1"/>
  <c r="S107" i="116"/>
  <c r="U107" i="116" s="1"/>
  <c r="V107" i="116" s="1"/>
  <c r="T107" i="116" s="1"/>
  <c r="L128" i="156" a="1"/>
  <c r="L128" i="156" s="1"/>
  <c r="L118" i="156" a="1"/>
  <c r="L118" i="156" s="1"/>
  <c r="L134" i="156" a="1"/>
  <c r="L134" i="156" s="1"/>
  <c r="L126" i="156" a="1"/>
  <c r="L126" i="156" s="1"/>
  <c r="L205" i="165" a="1"/>
  <c r="L205" i="165" s="1"/>
  <c r="L207" i="165" a="1"/>
  <c r="L207" i="165" s="1"/>
  <c r="K37" i="163"/>
  <c r="L203" i="165" a="1"/>
  <c r="L203" i="165" s="1"/>
  <c r="P11" i="116"/>
  <c r="Q37" i="159"/>
  <c r="H210" i="165"/>
  <c r="L178" i="113" a="1"/>
  <c r="L178" i="113" s="1"/>
  <c r="L120" i="156" a="1"/>
  <c r="L120" i="156" s="1"/>
  <c r="L117" i="156" a="1"/>
  <c r="L117" i="156" s="1"/>
  <c r="L129" i="156" a="1"/>
  <c r="L129" i="156" s="1"/>
  <c r="L125" i="156" a="1"/>
  <c r="L125" i="156" s="1"/>
  <c r="L131" i="156" a="1"/>
  <c r="L131" i="156" s="1"/>
  <c r="L124" i="156" a="1"/>
  <c r="L124" i="156" s="1"/>
  <c r="L123" i="156" a="1"/>
  <c r="L123" i="156" s="1"/>
  <c r="L122" i="156" a="1"/>
  <c r="L122" i="156" s="1"/>
  <c r="L135" i="156" a="1"/>
  <c r="L135" i="156" s="1"/>
  <c r="L119" i="156" a="1"/>
  <c r="L119" i="156" s="1"/>
  <c r="L116" i="156" a="1"/>
  <c r="L116" i="156" s="1"/>
  <c r="L127" i="156" a="1"/>
  <c r="L127" i="156" s="1"/>
  <c r="L121" i="156" a="1"/>
  <c r="L121" i="156" s="1"/>
  <c r="L137" i="156" a="1"/>
  <c r="L137" i="156" s="1"/>
  <c r="L115" i="156" a="1"/>
  <c r="L115" i="156" s="1"/>
  <c r="S168" i="116"/>
  <c r="U168" i="116" s="1"/>
  <c r="S155" i="116"/>
  <c r="U155" i="116" s="1"/>
  <c r="V155" i="116" s="1"/>
  <c r="T155" i="116" s="1"/>
  <c r="I136" i="156"/>
  <c r="I212" i="165"/>
  <c r="L212" i="165" s="1" a="1"/>
  <c r="L212" i="165" s="1"/>
  <c r="I138" i="156"/>
  <c r="L138" i="156" s="1" a="1"/>
  <c r="L138" i="156" s="1"/>
  <c r="L191" i="165" a="1"/>
  <c r="L191" i="165" s="1"/>
  <c r="L192" i="165" a="1"/>
  <c r="L192" i="165" s="1"/>
  <c r="L204" i="165" a="1"/>
  <c r="L204" i="165" s="1"/>
  <c r="L201" i="165" a="1"/>
  <c r="L201" i="165" s="1"/>
  <c r="L202" i="165" a="1"/>
  <c r="L202" i="165" s="1"/>
  <c r="L200" i="165" a="1"/>
  <c r="L200" i="165" s="1"/>
  <c r="L199" i="165" a="1"/>
  <c r="L199" i="165" s="1"/>
  <c r="Q13" i="159"/>
  <c r="R33" i="159"/>
  <c r="R45" i="159"/>
  <c r="Q17" i="159"/>
  <c r="H136" i="156"/>
  <c r="R57" i="159"/>
  <c r="R29" i="159"/>
  <c r="Q41" i="159"/>
  <c r="S11" i="116"/>
  <c r="U11" i="116" s="1"/>
  <c r="V11" i="116" s="1"/>
  <c r="L110" i="176" l="1"/>
  <c r="L120" i="176" s="1"/>
  <c r="L226" i="174"/>
  <c r="L118" i="176"/>
  <c r="L209" i="165" a="1"/>
  <c r="L209" i="165" s="1"/>
  <c r="L136" i="156" a="1"/>
  <c r="L136" i="156" s="1"/>
  <c r="L194" i="165" a="1"/>
  <c r="L194" i="165" s="1"/>
  <c r="M25" i="169"/>
  <c r="P18" i="169"/>
  <c r="O18" i="169" s="1"/>
  <c r="P26" i="169"/>
  <c r="O26" i="169" s="1"/>
  <c r="Q20" i="169"/>
  <c r="Q24" i="169"/>
  <c r="Q21" i="169"/>
  <c r="Q22" i="169"/>
  <c r="P23" i="169"/>
  <c r="O23" i="169" s="1"/>
  <c r="P19" i="169"/>
  <c r="O19" i="169" s="1"/>
  <c r="L140" i="156"/>
  <c r="L139" i="156"/>
  <c r="P27" i="169"/>
  <c r="O27" i="169" s="1"/>
  <c r="P29" i="169"/>
  <c r="O29" i="169" s="1"/>
  <c r="Q29" i="169"/>
  <c r="P25" i="169"/>
  <c r="O25" i="169" s="1"/>
  <c r="L211" i="165" a="1"/>
  <c r="L211" i="165" s="1"/>
  <c r="L210" i="165" a="1"/>
  <c r="L210" i="165" s="1"/>
  <c r="T11" i="116"/>
  <c r="L24" i="112"/>
  <c r="E55" i="112"/>
  <c r="E38" i="112"/>
  <c r="P28" i="169" l="1"/>
  <c r="O28" i="169" s="1"/>
  <c r="Q28" i="169"/>
  <c r="P21" i="169"/>
  <c r="O21" i="169" s="1"/>
  <c r="N30" i="169"/>
  <c r="P20" i="169"/>
  <c r="O20" i="169" s="1"/>
  <c r="P22" i="169"/>
  <c r="O22" i="169" s="1"/>
  <c r="Q19" i="169"/>
  <c r="Q23" i="169"/>
  <c r="P24" i="169"/>
  <c r="O24" i="169" s="1"/>
  <c r="Q18" i="169"/>
  <c r="Q25" i="169"/>
  <c r="M30" i="169"/>
  <c r="Q27" i="169"/>
  <c r="L25" i="112"/>
  <c r="P30" i="169" l="1"/>
  <c r="O30" i="169" s="1"/>
  <c r="Q30" i="169"/>
  <c r="E21" i="112"/>
  <c r="E72" i="112"/>
  <c r="L22" i="112"/>
  <c r="R23" i="169" l="1"/>
  <c r="R28" i="169"/>
  <c r="R20" i="169"/>
  <c r="R17" i="169"/>
  <c r="R29" i="169"/>
  <c r="R18" i="169"/>
  <c r="R22" i="169"/>
  <c r="R25" i="169"/>
  <c r="R24" i="169"/>
  <c r="R27" i="169"/>
  <c r="R21" i="169"/>
  <c r="R19" i="169"/>
  <c r="R26" i="169"/>
  <c r="L32" i="112"/>
  <c r="L27" i="112"/>
  <c r="L30" i="112" l="1"/>
  <c r="L31" i="112" s="1"/>
  <c r="S144" i="113" l="1"/>
  <c r="S13" i="113"/>
  <c r="T13" i="113" s="1"/>
  <c r="R13" i="113" s="1"/>
  <c r="W9" i="113"/>
  <c r="X9" i="113" l="1"/>
  <c r="V9" i="113" s="1"/>
  <c r="T144" i="113"/>
  <c r="R144" i="113" s="1"/>
  <c r="P2" i="159"/>
  <c r="U13" i="113"/>
  <c r="W13" i="113" s="1"/>
  <c r="X13" i="113" s="1"/>
  <c r="V13" i="113" s="1"/>
  <c r="U144" i="113"/>
  <c r="F35" i="112"/>
  <c r="G35" i="112"/>
  <c r="K22" i="112" s="1"/>
  <c r="B3" i="163" s="1"/>
  <c r="Q2" i="159" l="1"/>
  <c r="R2" i="159"/>
  <c r="W144" i="113"/>
  <c r="X144" i="113" s="1"/>
  <c r="M22" i="112"/>
  <c r="H24" i="112"/>
  <c r="C93" i="112"/>
  <c r="V144" i="113" l="1"/>
  <c r="E27" i="163"/>
  <c r="L28" i="163"/>
  <c r="C94" i="112"/>
  <c r="H25" i="112"/>
  <c r="M28" i="163" l="1"/>
  <c r="H26" i="112"/>
  <c r="C95" i="112"/>
  <c r="C96" i="112" l="1"/>
  <c r="H27" i="112"/>
  <c r="C97" i="112" l="1"/>
  <c r="H28" i="112"/>
  <c r="C98" i="112" l="1"/>
  <c r="H29" i="112"/>
  <c r="H30" i="112" l="1"/>
  <c r="C99" i="112"/>
  <c r="C100" i="112" l="1"/>
  <c r="H31" i="112"/>
  <c r="C101" i="112" l="1"/>
  <c r="H32" i="112"/>
  <c r="H33" i="112" l="1"/>
  <c r="C102" i="112"/>
  <c r="H34" i="112" l="1"/>
  <c r="C103" i="112"/>
  <c r="C104" i="112" l="1"/>
  <c r="H35" i="112"/>
  <c r="S20" i="113" l="1"/>
  <c r="T20" i="113" l="1"/>
  <c r="R20" i="113" s="1"/>
  <c r="U20" i="113"/>
  <c r="W20" i="113" s="1"/>
  <c r="S145" i="113"/>
  <c r="F40" i="112"/>
  <c r="F74" i="112" s="1"/>
  <c r="D23" i="116"/>
  <c r="Q19" i="116"/>
  <c r="X20" i="113" l="1"/>
  <c r="V20" i="113" s="1"/>
  <c r="R19" i="116"/>
  <c r="P19" i="116" s="1"/>
  <c r="T145" i="113"/>
  <c r="R145" i="113" s="1"/>
  <c r="P7" i="159"/>
  <c r="S19" i="116"/>
  <c r="U19" i="116" s="1"/>
  <c r="V19" i="116" s="1"/>
  <c r="U145" i="113"/>
  <c r="W145" i="113" s="1"/>
  <c r="X145" i="113" s="1"/>
  <c r="Q164" i="116"/>
  <c r="R164" i="116" s="1"/>
  <c r="P164" i="116" s="1"/>
  <c r="F52" i="112"/>
  <c r="G40" i="112"/>
  <c r="T19" i="116" l="1"/>
  <c r="V145" i="113"/>
  <c r="Q7" i="159"/>
  <c r="R7" i="159"/>
  <c r="S164" i="116"/>
  <c r="U164" i="116" s="1"/>
  <c r="V164" i="116" s="1"/>
  <c r="H40" i="112"/>
  <c r="G52" i="112"/>
  <c r="K23" i="112" s="1"/>
  <c r="C3" i="163" s="1"/>
  <c r="G74" i="112"/>
  <c r="T164" i="116" l="1"/>
  <c r="E44" i="163"/>
  <c r="M23" i="112"/>
  <c r="H74" i="112"/>
  <c r="D93" i="112"/>
  <c r="H41" i="112"/>
  <c r="K32" i="112"/>
  <c r="L29" i="163" l="1"/>
  <c r="M29" i="163" s="1"/>
  <c r="H42" i="112"/>
  <c r="D94" i="112"/>
  <c r="F93" i="112"/>
  <c r="H75" i="112"/>
  <c r="L38" i="163" l="1"/>
  <c r="F94" i="112"/>
  <c r="D95" i="112"/>
  <c r="H43" i="112"/>
  <c r="D96" i="112" l="1"/>
  <c r="H44" i="112"/>
  <c r="D97" i="112" l="1"/>
  <c r="H45" i="112"/>
  <c r="D98" i="112" l="1"/>
  <c r="H46" i="112"/>
  <c r="D99" i="112" l="1"/>
  <c r="H47" i="112"/>
  <c r="D100" i="112" l="1"/>
  <c r="H48" i="112"/>
  <c r="D101" i="112" l="1"/>
  <c r="H49" i="112"/>
  <c r="D102" i="112" l="1"/>
  <c r="H50" i="112"/>
  <c r="D103" i="112" l="1"/>
  <c r="H51" i="112"/>
  <c r="H52" i="112" l="1"/>
  <c r="D104" i="112"/>
  <c r="F21" i="116" l="1"/>
  <c r="F166" i="116" s="1"/>
  <c r="S22" i="113"/>
  <c r="S23" i="113"/>
  <c r="T23" i="113" s="1"/>
  <c r="R23" i="113" s="1"/>
  <c r="T22" i="113" l="1"/>
  <c r="R22" i="113" s="1"/>
  <c r="U23" i="113"/>
  <c r="W23" i="113" s="1"/>
  <c r="F23" i="116"/>
  <c r="Q21" i="116"/>
  <c r="R21" i="116" s="1"/>
  <c r="P21" i="116" s="1"/>
  <c r="U22" i="113"/>
  <c r="W22" i="113" s="1"/>
  <c r="H152" i="113"/>
  <c r="AD17" i="53"/>
  <c r="AC17" i="53"/>
  <c r="S147" i="113"/>
  <c r="F69" i="112"/>
  <c r="AC95" i="35"/>
  <c r="AC97" i="35" s="1"/>
  <c r="F86" i="112"/>
  <c r="AD8" i="35"/>
  <c r="AE8" i="35"/>
  <c r="Q23" i="116"/>
  <c r="R23" i="116" s="1"/>
  <c r="P23" i="116" s="1"/>
  <c r="X22" i="113" l="1"/>
  <c r="V22" i="113" s="1"/>
  <c r="X23" i="113"/>
  <c r="V23" i="113" s="1"/>
  <c r="J196" i="165"/>
  <c r="T147" i="113"/>
  <c r="R147" i="113" s="1"/>
  <c r="P8" i="159"/>
  <c r="S23" i="116"/>
  <c r="U23" i="116" s="1"/>
  <c r="V23" i="116" s="1"/>
  <c r="T23" i="116" s="1"/>
  <c r="S21" i="116"/>
  <c r="U21" i="116" s="1"/>
  <c r="V21" i="116" s="1"/>
  <c r="Q166" i="116"/>
  <c r="R166" i="116" s="1"/>
  <c r="P166" i="116" s="1"/>
  <c r="F169" i="116"/>
  <c r="Q169" i="116" s="1"/>
  <c r="R169" i="116" s="1"/>
  <c r="P169" i="116" s="1"/>
  <c r="U147" i="113"/>
  <c r="W147" i="113" s="1"/>
  <c r="X147" i="113" s="1"/>
  <c r="AD87" i="35"/>
  <c r="G59" i="112"/>
  <c r="H59" i="112" s="1"/>
  <c r="AE87" i="35"/>
  <c r="S152" i="113"/>
  <c r="T152" i="113" s="1"/>
  <c r="R152" i="113" s="1"/>
  <c r="Z21" i="5"/>
  <c r="AB20" i="5"/>
  <c r="T315" i="5" s="1"/>
  <c r="AE20" i="5"/>
  <c r="T316" i="5" s="1"/>
  <c r="U316" i="5" s="1"/>
  <c r="AG20" i="5"/>
  <c r="T317" i="5" s="1"/>
  <c r="T21" i="116" l="1"/>
  <c r="V147" i="113"/>
  <c r="L196" i="165" a="1"/>
  <c r="L196" i="165" s="1"/>
  <c r="L195" i="165" a="1"/>
  <c r="L195" i="165" s="1"/>
  <c r="Q8" i="159"/>
  <c r="R8" i="159"/>
  <c r="P9" i="159"/>
  <c r="S169" i="116"/>
  <c r="U169" i="116" s="1"/>
  <c r="V169" i="116" s="1"/>
  <c r="T169" i="116" s="1"/>
  <c r="U152" i="113"/>
  <c r="W152" i="113" s="1"/>
  <c r="X152" i="113" s="1"/>
  <c r="V152" i="113" s="1"/>
  <c r="S166" i="116"/>
  <c r="U166" i="116" s="1"/>
  <c r="V166" i="116" s="1"/>
  <c r="AD92" i="35"/>
  <c r="G76" i="112"/>
  <c r="G86" i="112" s="1"/>
  <c r="G69" i="112"/>
  <c r="K24" i="112" s="1"/>
  <c r="D3" i="163" s="1"/>
  <c r="AG21" i="5"/>
  <c r="AB21" i="5"/>
  <c r="AA21" i="5"/>
  <c r="AE21" i="5"/>
  <c r="H60" i="112"/>
  <c r="E95" i="112"/>
  <c r="AE92" i="35"/>
  <c r="U317" i="5"/>
  <c r="T318" i="5"/>
  <c r="U315" i="5"/>
  <c r="S318" i="5"/>
  <c r="Q62" i="28"/>
  <c r="T166" i="116" l="1"/>
  <c r="L30" i="163"/>
  <c r="Q9" i="159"/>
  <c r="R9" i="159"/>
  <c r="M24" i="112"/>
  <c r="H76" i="112"/>
  <c r="F95" i="112" s="1"/>
  <c r="K25" i="112"/>
  <c r="K27" i="112" s="1"/>
  <c r="E3" i="163" s="1"/>
  <c r="U318" i="5"/>
  <c r="E96" i="112"/>
  <c r="H61" i="112"/>
  <c r="E61" i="163" l="1"/>
  <c r="M30" i="163"/>
  <c r="L31" i="163"/>
  <c r="M25" i="112"/>
  <c r="H77" i="112"/>
  <c r="H78" i="112" s="1"/>
  <c r="E97" i="112"/>
  <c r="H62" i="112"/>
  <c r="L33" i="163" l="1"/>
  <c r="M31" i="163"/>
  <c r="K30" i="112"/>
  <c r="F3" i="163" s="1"/>
  <c r="E78" i="163"/>
  <c r="M27" i="112"/>
  <c r="F96" i="112"/>
  <c r="F97" i="112"/>
  <c r="H79" i="112"/>
  <c r="E98" i="112"/>
  <c r="H63" i="112"/>
  <c r="D151" i="1"/>
  <c r="D61" i="1"/>
  <c r="K31" i="112" l="1"/>
  <c r="L36" i="163"/>
  <c r="M33" i="163"/>
  <c r="M30" i="112"/>
  <c r="H64" i="112"/>
  <c r="E99" i="112"/>
  <c r="F98" i="112"/>
  <c r="H80" i="112"/>
  <c r="L37" i="163" l="1"/>
  <c r="M36" i="163"/>
  <c r="E100" i="112"/>
  <c r="H65" i="112"/>
  <c r="H81" i="112"/>
  <c r="F99" i="112"/>
  <c r="H82" i="112" l="1"/>
  <c r="F100" i="112"/>
  <c r="E101" i="112"/>
  <c r="H66" i="112"/>
  <c r="F101" i="112" l="1"/>
  <c r="H83" i="112"/>
  <c r="E102" i="112"/>
  <c r="H67" i="112"/>
  <c r="E103" i="112" l="1"/>
  <c r="H68" i="112"/>
  <c r="F102" i="112"/>
  <c r="H84" i="112"/>
  <c r="F103" i="112" l="1"/>
  <c r="H85" i="112"/>
  <c r="E104" i="112"/>
  <c r="H69" i="112"/>
  <c r="K224" i="121"/>
  <c r="E219" i="121"/>
  <c r="J197" i="121"/>
  <c r="F212" i="121"/>
  <c r="D208" i="121"/>
  <c r="M174" i="121"/>
  <c r="L171" i="121"/>
  <c r="J244" i="121"/>
  <c r="H200" i="121"/>
  <c r="F204" i="121"/>
  <c r="H183" i="121"/>
  <c r="H182" i="121"/>
  <c r="E188" i="121"/>
  <c r="H226" i="121"/>
  <c r="M178" i="121"/>
  <c r="D230" i="121"/>
  <c r="F193" i="121"/>
  <c r="G186" i="121"/>
  <c r="K183" i="121"/>
  <c r="E227" i="121"/>
  <c r="J224" i="121"/>
  <c r="K182" i="121"/>
  <c r="E246" i="121"/>
  <c r="F221" i="121"/>
  <c r="K170" i="121"/>
  <c r="L242" i="121"/>
  <c r="D201" i="121"/>
  <c r="H186" i="121"/>
  <c r="F73" i="57"/>
  <c r="L220" i="121"/>
  <c r="D220" i="121"/>
  <c r="H215" i="121"/>
  <c r="F233" i="121"/>
  <c r="M181" i="121"/>
  <c r="E182" i="121"/>
  <c r="E197" i="121"/>
  <c r="H181" i="121"/>
  <c r="F230" i="121"/>
  <c r="K184" i="121"/>
  <c r="G238" i="121"/>
  <c r="D204" i="121"/>
  <c r="J222" i="121"/>
  <c r="E202" i="121"/>
  <c r="M206" i="121"/>
  <c r="L211" i="121"/>
  <c r="G180" i="121"/>
  <c r="G237" i="121"/>
  <c r="L205" i="121"/>
  <c r="I173" i="121"/>
  <c r="D214" i="121"/>
  <c r="L187" i="121"/>
  <c r="M235" i="121"/>
  <c r="M229" i="121"/>
  <c r="L226" i="121"/>
  <c r="J186" i="121"/>
  <c r="F182" i="121"/>
  <c r="J217" i="121"/>
  <c r="H206" i="121"/>
  <c r="I216" i="121"/>
  <c r="L196" i="121"/>
  <c r="D189" i="121"/>
  <c r="M233" i="121"/>
  <c r="L195" i="121"/>
  <c r="E234" i="121"/>
  <c r="L172" i="121"/>
  <c r="E228" i="121"/>
  <c r="K176" i="121"/>
  <c r="M223" i="121"/>
  <c r="M186" i="121"/>
  <c r="D187" i="121"/>
  <c r="D94" i="1"/>
  <c r="L221" i="121"/>
  <c r="J185" i="121"/>
  <c r="L180" i="121"/>
  <c r="E242" i="121"/>
  <c r="F171" i="121"/>
  <c r="F227" i="121"/>
  <c r="J243" i="121"/>
  <c r="K186" i="121"/>
  <c r="L170" i="121"/>
  <c r="Q256" i="123"/>
  <c r="G194" i="121"/>
  <c r="E201" i="121"/>
  <c r="J193" i="121"/>
  <c r="D172" i="121"/>
  <c r="K227" i="121"/>
  <c r="K189" i="121"/>
  <c r="F246" i="121"/>
  <c r="I227" i="121"/>
  <c r="H223" i="121"/>
  <c r="H188" i="121"/>
  <c r="H240" i="121"/>
  <c r="M199" i="121"/>
  <c r="F176" i="121"/>
  <c r="G215" i="121"/>
  <c r="J200" i="121"/>
  <c r="D95" i="1"/>
  <c r="D179" i="121"/>
  <c r="E178" i="121"/>
  <c r="K198" i="121"/>
  <c r="J173" i="121"/>
  <c r="E244" i="121"/>
  <c r="M243" i="121"/>
  <c r="M227" i="121"/>
  <c r="G198" i="121"/>
  <c r="J198" i="121"/>
  <c r="L224" i="121"/>
  <c r="H201" i="121"/>
  <c r="L214" i="121"/>
  <c r="D238" i="121"/>
  <c r="D302" i="123"/>
  <c r="D216" i="121"/>
  <c r="H217" i="121"/>
  <c r="D191" i="121"/>
  <c r="F203" i="121"/>
  <c r="D18" i="1"/>
  <c r="J175" i="121"/>
  <c r="H207" i="121"/>
  <c r="L235" i="121"/>
  <c r="D226" i="121"/>
  <c r="F86" i="57"/>
  <c r="E239" i="121"/>
  <c r="G230" i="121"/>
  <c r="M202" i="121"/>
  <c r="G183" i="121"/>
  <c r="K234" i="121"/>
  <c r="M219" i="121"/>
  <c r="J230" i="121"/>
  <c r="I183" i="121"/>
  <c r="I225" i="121"/>
  <c r="J239" i="121"/>
  <c r="D200" i="121"/>
  <c r="K178" i="121"/>
  <c r="I223" i="121"/>
  <c r="J219" i="121"/>
  <c r="E229" i="121"/>
  <c r="K190" i="121"/>
  <c r="M192" i="121"/>
  <c r="E200" i="121"/>
  <c r="K206" i="121"/>
  <c r="H175" i="121"/>
  <c r="H235" i="121"/>
  <c r="J170" i="121"/>
  <c r="G178" i="121"/>
  <c r="D206" i="121"/>
  <c r="F228" i="121"/>
  <c r="D23" i="1"/>
  <c r="H196" i="121"/>
  <c r="G224" i="121"/>
  <c r="J183" i="121"/>
  <c r="F181" i="121"/>
  <c r="K200" i="121"/>
  <c r="E205" i="121"/>
  <c r="K194" i="121"/>
  <c r="J237" i="121"/>
  <c r="E186" i="121"/>
  <c r="H184" i="121"/>
  <c r="E237" i="121"/>
  <c r="J199" i="121"/>
  <c r="M241" i="121"/>
  <c r="D175" i="121"/>
  <c r="G227" i="121"/>
  <c r="H211" i="121"/>
  <c r="D90" i="1"/>
  <c r="F192" i="121"/>
  <c r="F170" i="121"/>
  <c r="G209" i="121"/>
  <c r="F195" i="121"/>
  <c r="H190" i="121"/>
  <c r="H174" i="121"/>
  <c r="I172" i="121"/>
  <c r="M238" i="121"/>
  <c r="L179" i="121"/>
  <c r="M230" i="121"/>
  <c r="K240" i="121"/>
  <c r="I236" i="121"/>
  <c r="E196" i="121"/>
  <c r="G218" i="121"/>
  <c r="M194" i="121"/>
  <c r="E220" i="121"/>
  <c r="D218" i="121"/>
  <c r="I205" i="121"/>
  <c r="E218" i="121"/>
  <c r="H221" i="121"/>
  <c r="I184" i="121"/>
  <c r="M171" i="121"/>
  <c r="H213" i="121"/>
  <c r="K208" i="121"/>
  <c r="E183" i="121"/>
  <c r="M236" i="121"/>
  <c r="G172" i="121"/>
  <c r="D24" i="1"/>
  <c r="I228" i="121"/>
  <c r="D156" i="1"/>
  <c r="J201" i="121"/>
  <c r="D188" i="121"/>
  <c r="D202" i="121"/>
  <c r="K241" i="121"/>
  <c r="D243" i="121"/>
  <c r="M179" i="121"/>
  <c r="M245" i="121"/>
  <c r="D87" i="1"/>
  <c r="D232" i="121"/>
  <c r="I174" i="121"/>
  <c r="M211" i="121"/>
  <c r="H179" i="121"/>
  <c r="H189" i="121"/>
  <c r="D224" i="121"/>
  <c r="J223" i="121"/>
  <c r="J225" i="121"/>
  <c r="M183" i="121"/>
  <c r="E217" i="121"/>
  <c r="G211" i="121"/>
  <c r="E185" i="121"/>
  <c r="H176" i="121"/>
  <c r="L237" i="121"/>
  <c r="K211" i="121"/>
  <c r="D88" i="1"/>
  <c r="J202" i="121"/>
  <c r="I234" i="121"/>
  <c r="I219" i="121"/>
  <c r="M172" i="121"/>
  <c r="K235" i="121"/>
  <c r="J188" i="121"/>
  <c r="I207" i="121"/>
  <c r="H241" i="121"/>
  <c r="L233" i="121"/>
  <c r="F210" i="121"/>
  <c r="F235" i="121"/>
  <c r="J246" i="121"/>
  <c r="F243" i="121"/>
  <c r="H236" i="121"/>
  <c r="E230" i="121"/>
  <c r="E243" i="121"/>
  <c r="F226" i="121"/>
  <c r="E235" i="121"/>
  <c r="J205" i="121"/>
  <c r="Q267" i="123"/>
  <c r="H232" i="121"/>
  <c r="J211" i="121"/>
  <c r="K214" i="121"/>
  <c r="G240" i="121"/>
  <c r="F85" i="57"/>
  <c r="G228" i="121"/>
  <c r="K188" i="121"/>
  <c r="M177" i="121"/>
  <c r="F25" i="57"/>
  <c r="I175" i="121"/>
  <c r="M221" i="121"/>
  <c r="J171" i="121"/>
  <c r="F185" i="121"/>
  <c r="I220" i="121"/>
  <c r="M198" i="121"/>
  <c r="L227" i="121"/>
  <c r="L174" i="121"/>
  <c r="I244" i="121"/>
  <c r="I180" i="121"/>
  <c r="J210" i="121"/>
  <c r="K218" i="121"/>
  <c r="I233" i="121"/>
  <c r="K193" i="121"/>
  <c r="J231" i="121"/>
  <c r="L183" i="121"/>
  <c r="L243" i="121"/>
  <c r="I192" i="121"/>
  <c r="L189" i="121"/>
  <c r="D233" i="121"/>
  <c r="H216" i="121"/>
  <c r="J235" i="121"/>
  <c r="J195" i="121"/>
  <c r="M237" i="121"/>
  <c r="K172" i="121"/>
  <c r="K244" i="121"/>
  <c r="M193" i="121"/>
  <c r="E231" i="121"/>
  <c r="F242" i="121"/>
  <c r="H219" i="121"/>
  <c r="F217" i="121"/>
  <c r="F179" i="121"/>
  <c r="E192" i="121"/>
  <c r="H204" i="121"/>
  <c r="J178" i="121"/>
  <c r="J242" i="121"/>
  <c r="L229" i="121"/>
  <c r="E209" i="121"/>
  <c r="G193" i="121"/>
  <c r="D234" i="121"/>
  <c r="D242" i="121"/>
  <c r="H238" i="121"/>
  <c r="F26" i="57"/>
  <c r="M244" i="121"/>
  <c r="D193" i="121"/>
  <c r="H180" i="121"/>
  <c r="G176" i="121"/>
  <c r="D157" i="1"/>
  <c r="I215" i="121"/>
  <c r="D205" i="121"/>
  <c r="J177" i="121"/>
  <c r="F28" i="35"/>
  <c r="M234" i="121"/>
  <c r="J172" i="121"/>
  <c r="G181" i="121"/>
  <c r="K171" i="121"/>
  <c r="J238" i="121"/>
  <c r="I232" i="121"/>
  <c r="D183" i="121"/>
  <c r="H203" i="121"/>
  <c r="F188" i="121"/>
  <c r="D178" i="121"/>
  <c r="E180" i="121"/>
  <c r="F183" i="121"/>
  <c r="F245" i="121"/>
  <c r="F32" i="57"/>
  <c r="L244" i="121"/>
  <c r="D174" i="121"/>
  <c r="G179" i="121"/>
  <c r="F187" i="121"/>
  <c r="E174" i="121"/>
  <c r="F216" i="121"/>
  <c r="M190" i="121"/>
  <c r="H227" i="121"/>
  <c r="I237" i="121"/>
  <c r="D152" i="1"/>
  <c r="M215" i="121"/>
  <c r="G217" i="121"/>
  <c r="F201" i="121"/>
  <c r="K222" i="121"/>
  <c r="M188" i="121"/>
  <c r="D245" i="121"/>
  <c r="F22" i="35"/>
  <c r="K239" i="121"/>
  <c r="D227" i="121"/>
  <c r="F202" i="121"/>
  <c r="M175" i="121"/>
  <c r="J196" i="121"/>
  <c r="G207" i="121"/>
  <c r="M200" i="121"/>
  <c r="H218" i="121"/>
  <c r="D170" i="121"/>
  <c r="F205" i="121"/>
  <c r="F173" i="121"/>
  <c r="F191" i="121"/>
  <c r="K238" i="121"/>
  <c r="L207" i="121"/>
  <c r="I211" i="121"/>
  <c r="I203" i="121"/>
  <c r="L203" i="121"/>
  <c r="F225" i="121"/>
  <c r="J181" i="121"/>
  <c r="F244" i="121"/>
  <c r="E223" i="121"/>
  <c r="L246" i="121"/>
  <c r="L231" i="121"/>
  <c r="D176" i="121"/>
  <c r="J215" i="121"/>
  <c r="K201" i="121"/>
  <c r="M239" i="121"/>
  <c r="F224" i="121"/>
  <c r="I224" i="121"/>
  <c r="L213" i="121"/>
  <c r="G234" i="121"/>
  <c r="J207" i="121"/>
  <c r="J206" i="121"/>
  <c r="K173" i="121"/>
  <c r="J189" i="121"/>
  <c r="H220" i="121"/>
  <c r="D203" i="121"/>
  <c r="L245" i="121"/>
  <c r="I212" i="121"/>
  <c r="F88" i="57"/>
  <c r="K187" i="121"/>
  <c r="J203" i="121"/>
  <c r="L241" i="121"/>
  <c r="L194" i="121"/>
  <c r="E179" i="121"/>
  <c r="F184" i="121"/>
  <c r="H234" i="121"/>
  <c r="D21" i="1"/>
  <c r="I198" i="121"/>
  <c r="D96" i="1"/>
  <c r="K220" i="121"/>
  <c r="M170" i="121"/>
  <c r="H205" i="121"/>
  <c r="F198" i="121"/>
  <c r="K213" i="121"/>
  <c r="G232" i="121"/>
  <c r="D155" i="1"/>
  <c r="M232" i="121"/>
  <c r="M180" i="121"/>
  <c r="E194" i="121"/>
  <c r="E191" i="121"/>
  <c r="J204" i="121"/>
  <c r="I243" i="121"/>
  <c r="L175" i="121"/>
  <c r="M226" i="121"/>
  <c r="I208" i="121"/>
  <c r="L182" i="121"/>
  <c r="F222" i="121"/>
  <c r="D207" i="121"/>
  <c r="F209" i="121"/>
  <c r="E214" i="121"/>
  <c r="G236" i="121"/>
  <c r="E208" i="121"/>
  <c r="F241" i="121"/>
  <c r="F196" i="121"/>
  <c r="F238" i="121"/>
  <c r="L209" i="121"/>
  <c r="L238" i="121"/>
  <c r="D289" i="123"/>
  <c r="J229" i="121"/>
  <c r="G210" i="121"/>
  <c r="F208" i="121"/>
  <c r="G223" i="121"/>
  <c r="K233" i="121"/>
  <c r="G187" i="121"/>
  <c r="E207" i="121"/>
  <c r="F74" i="57"/>
  <c r="H245" i="121"/>
  <c r="D215" i="121"/>
  <c r="M231" i="121"/>
  <c r="I200" i="121"/>
  <c r="H214" i="121"/>
  <c r="I213" i="121"/>
  <c r="I218" i="121"/>
  <c r="M224" i="121"/>
  <c r="E232" i="121"/>
  <c r="K229" i="121"/>
  <c r="I245" i="121"/>
  <c r="D194" i="121"/>
  <c r="E198" i="121"/>
  <c r="M195" i="121"/>
  <c r="E199" i="121"/>
  <c r="L184" i="121"/>
  <c r="L185" i="121"/>
  <c r="L177" i="121"/>
  <c r="F93" i="57"/>
  <c r="L181" i="121"/>
  <c r="D69" i="1"/>
  <c r="E245" i="121"/>
  <c r="D244" i="123"/>
  <c r="L188" i="121"/>
  <c r="J232" i="121"/>
  <c r="J212" i="121"/>
  <c r="I238" i="121"/>
  <c r="M216" i="121"/>
  <c r="E190" i="121"/>
  <c r="F214" i="121"/>
  <c r="I204" i="121"/>
  <c r="M173" i="121"/>
  <c r="L228" i="121"/>
  <c r="D93" i="1"/>
  <c r="J221" i="121"/>
  <c r="E224" i="121"/>
  <c r="F197" i="121"/>
  <c r="K196" i="121"/>
  <c r="F219" i="121"/>
  <c r="H231" i="121"/>
  <c r="E206" i="121"/>
  <c r="I191" i="121"/>
  <c r="L217" i="121"/>
  <c r="D19" i="1"/>
  <c r="M185" i="121"/>
  <c r="E226" i="121"/>
  <c r="E240" i="121"/>
  <c r="H224" i="121"/>
  <c r="K175" i="121"/>
  <c r="H208" i="121"/>
  <c r="F239" i="121"/>
  <c r="M201" i="121"/>
  <c r="E181" i="121"/>
  <c r="M196" i="121"/>
  <c r="K205" i="121"/>
  <c r="H209" i="121"/>
  <c r="I197" i="121"/>
  <c r="G239" i="121"/>
  <c r="F207" i="121"/>
  <c r="J176" i="121"/>
  <c r="J174" i="121"/>
  <c r="D228" i="121"/>
  <c r="K217" i="121"/>
  <c r="H202" i="121"/>
  <c r="J192" i="121"/>
  <c r="E187" i="121"/>
  <c r="H170" i="121"/>
  <c r="G184" i="121"/>
  <c r="I182" i="121"/>
  <c r="E222" i="121"/>
  <c r="F186" i="121"/>
  <c r="D246" i="121"/>
  <c r="K219" i="121"/>
  <c r="D190" i="121"/>
  <c r="D236" i="121"/>
  <c r="J240" i="121"/>
  <c r="E203" i="121"/>
  <c r="J184" i="121"/>
  <c r="L200" i="121"/>
  <c r="D235" i="121"/>
  <c r="E193" i="121"/>
  <c r="D219" i="121"/>
  <c r="J228" i="121"/>
  <c r="G203" i="121"/>
  <c r="D221" i="121"/>
  <c r="L192" i="121"/>
  <c r="D171" i="121"/>
  <c r="E204" i="121"/>
  <c r="D196" i="121"/>
  <c r="J213" i="121"/>
  <c r="K245" i="121"/>
  <c r="G231" i="121"/>
  <c r="I176" i="121"/>
  <c r="E221" i="121"/>
  <c r="G182" i="121"/>
  <c r="D192" i="121"/>
  <c r="E177" i="121"/>
  <c r="I246" i="121"/>
  <c r="G212" i="121"/>
  <c r="K243" i="121"/>
  <c r="F229" i="121"/>
  <c r="G221" i="121"/>
  <c r="I240" i="121"/>
  <c r="M240" i="121"/>
  <c r="D89" i="1"/>
  <c r="I241" i="121"/>
  <c r="F24" i="57"/>
  <c r="M184" i="121"/>
  <c r="G235" i="121"/>
  <c r="L202" i="121"/>
  <c r="F30" i="57"/>
  <c r="E216" i="121"/>
  <c r="K185" i="121"/>
  <c r="D213" i="121"/>
  <c r="E189" i="121"/>
  <c r="M220" i="121"/>
  <c r="G220" i="121"/>
  <c r="K174" i="121"/>
  <c r="L223" i="121"/>
  <c r="E170" i="121"/>
  <c r="F218" i="121"/>
  <c r="I221" i="121"/>
  <c r="G192" i="121"/>
  <c r="F200" i="121"/>
  <c r="K207" i="121"/>
  <c r="D181" i="121"/>
  <c r="H222" i="121"/>
  <c r="H244" i="121"/>
  <c r="I222" i="121"/>
  <c r="H191" i="121"/>
  <c r="G222" i="121"/>
  <c r="H233" i="121"/>
  <c r="M217" i="121"/>
  <c r="D267" i="123"/>
  <c r="F177" i="121"/>
  <c r="G195" i="121"/>
  <c r="M213" i="121"/>
  <c r="H192" i="121"/>
  <c r="K216" i="121"/>
  <c r="K232" i="121"/>
  <c r="M182" i="121"/>
  <c r="H193" i="121"/>
  <c r="H195" i="121"/>
  <c r="I170" i="121"/>
  <c r="Q244" i="123"/>
  <c r="K230" i="121"/>
  <c r="J227" i="121"/>
  <c r="F172" i="121"/>
  <c r="H197" i="121"/>
  <c r="M228" i="121"/>
  <c r="I188" i="121"/>
  <c r="F70" i="35"/>
  <c r="E236" i="121"/>
  <c r="F215" i="121"/>
  <c r="G244" i="121"/>
  <c r="J209" i="121"/>
  <c r="D237" i="121"/>
  <c r="D199" i="121"/>
  <c r="J234" i="121"/>
  <c r="I186" i="121"/>
  <c r="K225" i="121"/>
  <c r="G189" i="121"/>
  <c r="L230" i="121"/>
  <c r="G170" i="121"/>
  <c r="D225" i="121"/>
  <c r="I201" i="121"/>
  <c r="J208" i="121"/>
  <c r="G208" i="121"/>
  <c r="H237" i="121"/>
  <c r="G245" i="121"/>
  <c r="E172" i="121"/>
  <c r="D167" i="1"/>
  <c r="K228" i="121"/>
  <c r="L210" i="121"/>
  <c r="G214" i="121"/>
  <c r="F220" i="121"/>
  <c r="K210" i="121"/>
  <c r="J241" i="121"/>
  <c r="K195" i="121"/>
  <c r="D241" i="121"/>
  <c r="E241" i="121"/>
  <c r="K209" i="121"/>
  <c r="M218" i="121"/>
  <c r="K237" i="121"/>
  <c r="M222" i="121"/>
  <c r="M208" i="121"/>
  <c r="K231" i="121"/>
  <c r="G229" i="121"/>
  <c r="H246" i="121"/>
  <c r="G246" i="121"/>
  <c r="E210" i="121"/>
  <c r="D229" i="121"/>
  <c r="F231" i="121"/>
  <c r="I242" i="121"/>
  <c r="E171" i="121"/>
  <c r="F175" i="121"/>
  <c r="F213" i="121"/>
  <c r="M197" i="121"/>
  <c r="H177" i="121"/>
  <c r="M189" i="121"/>
  <c r="G171" i="121"/>
  <c r="G199" i="121"/>
  <c r="J236" i="121"/>
  <c r="M204" i="121"/>
  <c r="D153" i="1"/>
  <c r="L239" i="121"/>
  <c r="D290" i="123"/>
  <c r="I179" i="121"/>
  <c r="I199" i="121"/>
  <c r="I210" i="121"/>
  <c r="J218" i="121"/>
  <c r="D198" i="121"/>
  <c r="D92" i="1"/>
  <c r="M207" i="121"/>
  <c r="L173" i="121"/>
  <c r="M191" i="121"/>
  <c r="G196" i="121"/>
  <c r="J194" i="121"/>
  <c r="L176" i="121"/>
  <c r="J220" i="121"/>
  <c r="L191" i="121"/>
  <c r="I190" i="121"/>
  <c r="I206" i="121"/>
  <c r="I195" i="121"/>
  <c r="I231" i="121"/>
  <c r="E184" i="121"/>
  <c r="L232" i="121"/>
  <c r="E238" i="121"/>
  <c r="K212" i="121"/>
  <c r="L212" i="121"/>
  <c r="M203" i="121"/>
  <c r="J233" i="121"/>
  <c r="G191" i="121"/>
  <c r="I185" i="121"/>
  <c r="I230" i="121"/>
  <c r="I189" i="121"/>
  <c r="K226" i="121"/>
  <c r="L208" i="121"/>
  <c r="D239" i="121"/>
  <c r="K246" i="121"/>
  <c r="D195" i="121"/>
  <c r="D86" i="1"/>
  <c r="H194" i="121"/>
  <c r="G216" i="121"/>
  <c r="L199" i="121"/>
  <c r="I178" i="121"/>
  <c r="F178" i="121"/>
  <c r="E215" i="121"/>
  <c r="L198" i="121"/>
  <c r="L234" i="121"/>
  <c r="J191" i="121"/>
  <c r="G242" i="121"/>
  <c r="G243" i="121"/>
  <c r="F240" i="121"/>
  <c r="D212" i="121"/>
  <c r="E211" i="121"/>
  <c r="J179" i="121"/>
  <c r="H229" i="121"/>
  <c r="L206" i="121"/>
  <c r="D197" i="121"/>
  <c r="E195" i="121"/>
  <c r="L197" i="121"/>
  <c r="H239" i="121"/>
  <c r="G241" i="121"/>
  <c r="F237" i="121"/>
  <c r="M176" i="121"/>
  <c r="L219" i="121"/>
  <c r="D244" i="121"/>
  <c r="G204" i="121"/>
  <c r="H212" i="121"/>
  <c r="D209" i="121"/>
  <c r="I217" i="121"/>
  <c r="L193" i="121"/>
  <c r="L204" i="121"/>
  <c r="I171" i="121"/>
  <c r="I194" i="121"/>
  <c r="F199" i="121"/>
  <c r="G205" i="121"/>
  <c r="F189" i="121"/>
  <c r="I196" i="121"/>
  <c r="G174" i="121"/>
  <c r="D25" i="1"/>
  <c r="K215" i="121"/>
  <c r="G201" i="121"/>
  <c r="H242" i="121"/>
  <c r="D180" i="121"/>
  <c r="J187" i="121"/>
  <c r="F194" i="121"/>
  <c r="I214" i="121"/>
  <c r="G206" i="121"/>
  <c r="I181" i="121"/>
  <c r="F180" i="121"/>
  <c r="E233" i="121"/>
  <c r="F174" i="121"/>
  <c r="L201" i="121"/>
  <c r="G185" i="121"/>
  <c r="H210" i="121"/>
  <c r="M246" i="121"/>
  <c r="D210" i="121"/>
  <c r="L190" i="121"/>
  <c r="E176" i="121"/>
  <c r="Q278" i="123"/>
  <c r="D110" i="1"/>
  <c r="I177" i="121"/>
  <c r="F236" i="121"/>
  <c r="G226" i="121"/>
  <c r="G200" i="121"/>
  <c r="F234" i="121"/>
  <c r="D222" i="121"/>
  <c r="H230" i="121"/>
  <c r="I235" i="121"/>
  <c r="H225" i="121"/>
  <c r="G233" i="121"/>
  <c r="I226" i="121"/>
  <c r="H173" i="121"/>
  <c r="K179" i="121"/>
  <c r="K177" i="121"/>
  <c r="G188" i="121"/>
  <c r="G213" i="121"/>
  <c r="L215" i="121"/>
  <c r="D217" i="121"/>
  <c r="G225" i="121"/>
  <c r="G197" i="121"/>
  <c r="D68" i="1"/>
  <c r="G175" i="121"/>
  <c r="L222" i="121"/>
  <c r="D185" i="121"/>
  <c r="I193" i="121"/>
  <c r="H171" i="121"/>
  <c r="E175" i="121"/>
  <c r="I229" i="121"/>
  <c r="M209" i="121"/>
  <c r="D231" i="121"/>
  <c r="D20" i="1"/>
  <c r="F31" i="57"/>
  <c r="H172" i="121"/>
  <c r="D22" i="1"/>
  <c r="H187" i="121"/>
  <c r="K236" i="121"/>
  <c r="I187" i="121"/>
  <c r="K197" i="121"/>
  <c r="M212" i="121"/>
  <c r="L216" i="121"/>
  <c r="K204" i="121"/>
  <c r="E213" i="121"/>
  <c r="K221" i="121"/>
  <c r="G173" i="121"/>
  <c r="I202" i="121"/>
  <c r="G219" i="121"/>
  <c r="M205" i="121"/>
  <c r="L236" i="121"/>
  <c r="K203" i="121"/>
  <c r="M214" i="121"/>
  <c r="M225" i="121"/>
  <c r="F223" i="121"/>
  <c r="E212" i="121"/>
  <c r="G190" i="121"/>
  <c r="H198" i="121"/>
  <c r="L218" i="121"/>
  <c r="H199" i="121"/>
  <c r="K242" i="121"/>
  <c r="F232" i="121"/>
  <c r="K191" i="121"/>
  <c r="H228" i="121"/>
  <c r="K181" i="121"/>
  <c r="D184" i="121"/>
  <c r="D240" i="121"/>
  <c r="F211" i="121"/>
  <c r="J180" i="121"/>
  <c r="D177" i="121"/>
  <c r="F190" i="121"/>
  <c r="H178" i="121"/>
  <c r="E225" i="121"/>
  <c r="L178" i="121"/>
  <c r="K180" i="121"/>
  <c r="J182" i="121"/>
  <c r="H185" i="121"/>
  <c r="K199" i="121"/>
  <c r="D223" i="121"/>
  <c r="G177" i="121"/>
  <c r="F72" i="57"/>
  <c r="D211" i="121"/>
  <c r="K223" i="121"/>
  <c r="E173" i="121"/>
  <c r="J226" i="121"/>
  <c r="H243" i="121"/>
  <c r="J214" i="121"/>
  <c r="F206" i="121"/>
  <c r="D182" i="121"/>
  <c r="M187" i="121"/>
  <c r="K202" i="121"/>
  <c r="I209" i="121"/>
  <c r="K192" i="121"/>
  <c r="J245" i="121"/>
  <c r="L240" i="121"/>
  <c r="G202" i="121"/>
  <c r="M242" i="121"/>
  <c r="J190" i="121"/>
  <c r="L225" i="121"/>
  <c r="J216" i="121"/>
  <c r="L186" i="121"/>
  <c r="I239" i="121"/>
  <c r="M210" i="121"/>
  <c r="D173" i="121"/>
  <c r="Y173" i="121" l="1"/>
  <c r="Y182" i="121"/>
  <c r="Y211" i="121"/>
  <c r="F77" i="57"/>
  <c r="Y223" i="121"/>
  <c r="Y177" i="121"/>
  <c r="Y240" i="121"/>
  <c r="Y184" i="121"/>
  <c r="D44" i="1"/>
  <c r="Y231" i="121"/>
  <c r="Y185" i="121"/>
  <c r="D196" i="1"/>
  <c r="Y217" i="121"/>
  <c r="Y222" i="121"/>
  <c r="Y210" i="121"/>
  <c r="Y180" i="121"/>
  <c r="Y209" i="121"/>
  <c r="Y244" i="121"/>
  <c r="Y197" i="121"/>
  <c r="Y212" i="121"/>
  <c r="D91" i="1"/>
  <c r="D251" i="1" s="1"/>
  <c r="Y195" i="121"/>
  <c r="Y239" i="121"/>
  <c r="D97" i="1"/>
  <c r="D252" i="1" s="1"/>
  <c r="Y198" i="121"/>
  <c r="Y229" i="121"/>
  <c r="Y241" i="121"/>
  <c r="Y225" i="121"/>
  <c r="Y199" i="121"/>
  <c r="Y237" i="121"/>
  <c r="F71" i="35"/>
  <c r="F73" i="35"/>
  <c r="F74" i="35" s="1"/>
  <c r="Y181" i="121"/>
  <c r="Y213" i="121"/>
  <c r="F35" i="57"/>
  <c r="F29" i="57"/>
  <c r="Y192" i="121"/>
  <c r="Y196" i="121"/>
  <c r="Y171" i="121"/>
  <c r="Y221" i="121"/>
  <c r="Y219" i="121"/>
  <c r="Y235" i="121"/>
  <c r="Y236" i="121"/>
  <c r="Y190" i="121"/>
  <c r="Y246" i="121"/>
  <c r="Y186" i="121"/>
  <c r="Y228" i="121"/>
  <c r="Y194" i="121"/>
  <c r="Y215" i="121"/>
  <c r="F75" i="57"/>
  <c r="Y207" i="121"/>
  <c r="D158" i="1"/>
  <c r="Y203" i="121"/>
  <c r="Y176" i="121"/>
  <c r="Y170" i="121"/>
  <c r="Y227" i="121"/>
  <c r="F25" i="35"/>
  <c r="F26" i="35" s="1"/>
  <c r="F23" i="35"/>
  <c r="Y245" i="121"/>
  <c r="D154" i="1"/>
  <c r="Y174" i="121"/>
  <c r="F33" i="57"/>
  <c r="Y178" i="121"/>
  <c r="Y183" i="121"/>
  <c r="F29" i="35"/>
  <c r="F31" i="35"/>
  <c r="F32" i="35" s="1"/>
  <c r="Y205" i="121"/>
  <c r="Y193" i="121"/>
  <c r="F27" i="57"/>
  <c r="Y242" i="121"/>
  <c r="Y234" i="121"/>
  <c r="Y233" i="121"/>
  <c r="F87" i="57"/>
  <c r="F89" i="57" s="1"/>
  <c r="Y224" i="121"/>
  <c r="Y232" i="121"/>
  <c r="Y243" i="121"/>
  <c r="Y202" i="121"/>
  <c r="Y188" i="121"/>
  <c r="Y218" i="121"/>
  <c r="Y175" i="121"/>
  <c r="Y206" i="121"/>
  <c r="Y200" i="121"/>
  <c r="Y226" i="121"/>
  <c r="D43" i="1"/>
  <c r="Y191" i="121"/>
  <c r="Y216" i="121"/>
  <c r="Y238" i="121"/>
  <c r="Y179" i="121"/>
  <c r="Y172" i="121"/>
  <c r="Y187" i="121"/>
  <c r="Y189" i="121"/>
  <c r="Y214" i="121"/>
  <c r="Y204" i="121"/>
  <c r="Y220" i="121"/>
  <c r="Y201" i="121"/>
  <c r="Y230" i="121"/>
  <c r="Y208" i="121"/>
  <c r="D159" i="1"/>
  <c r="H86" i="112"/>
  <c r="F104" i="112"/>
  <c r="R5" i="118"/>
  <c r="Q5" i="118"/>
  <c r="Q9" i="118" l="1"/>
  <c r="R9" i="118"/>
  <c r="AB32" i="1"/>
  <c r="AB31" i="1"/>
  <c r="AB29" i="1" l="1"/>
  <c r="AA52" i="1"/>
  <c r="AA48" i="1"/>
  <c r="AB48" i="1" l="1"/>
  <c r="AA53" i="1"/>
  <c r="AA147" i="1" s="1"/>
  <c r="AB51" i="1"/>
  <c r="AB52" i="1"/>
  <c r="AB53" i="1" l="1"/>
  <c r="F93" i="35"/>
  <c r="B100" i="169" l="1" a="1"/>
  <c r="B100" i="169" s="1"/>
  <c r="B220" i="169" a="1"/>
  <c r="B220" i="169" s="1"/>
  <c r="B148" i="169" a="1"/>
  <c r="B148" i="169" s="1"/>
  <c r="B124" i="169" a="1"/>
  <c r="B124" i="169" s="1"/>
  <c r="B244" i="169" a="1"/>
  <c r="B244" i="169" s="1"/>
  <c r="C244" i="169" s="1" a="1"/>
  <c r="C244" i="169" s="1"/>
  <c r="B196" i="169" a="1"/>
  <c r="B196" i="169" s="1"/>
  <c r="AB147" i="1"/>
  <c r="B172" i="169" a="1"/>
  <c r="B172" i="169" s="1"/>
  <c r="G163" i="1"/>
  <c r="G166" i="1" s="1"/>
  <c r="E163" i="1"/>
  <c r="E166" i="1" s="1"/>
  <c r="V163" i="1"/>
  <c r="V166" i="1" s="1"/>
  <c r="Y163" i="1"/>
  <c r="Y166" i="1" s="1"/>
  <c r="W163" i="1"/>
  <c r="W166" i="1" s="1"/>
  <c r="P163" i="1"/>
  <c r="P166" i="1" s="1"/>
  <c r="Z163" i="1"/>
  <c r="T163" i="1"/>
  <c r="T166" i="1" s="1"/>
  <c r="R163" i="1"/>
  <c r="R166" i="1" s="1"/>
  <c r="Q163" i="1"/>
  <c r="Q166" i="1" s="1"/>
  <c r="O163" i="1"/>
  <c r="O166" i="1" s="1"/>
  <c r="N163" i="1"/>
  <c r="N166" i="1" s="1"/>
  <c r="M163" i="1"/>
  <c r="M166" i="1" s="1"/>
  <c r="L163" i="1"/>
  <c r="L166" i="1" s="1"/>
  <c r="K163" i="1"/>
  <c r="K166" i="1" s="1"/>
  <c r="J163" i="1"/>
  <c r="J166" i="1" s="1"/>
  <c r="I163" i="1"/>
  <c r="I166" i="1" s="1"/>
  <c r="H163" i="1"/>
  <c r="H166" i="1" s="1"/>
  <c r="AA163" i="1"/>
  <c r="C10" i="169" s="1"/>
  <c r="U163" i="1"/>
  <c r="X163" i="1"/>
  <c r="X166" i="1" s="1"/>
  <c r="F163" i="1"/>
  <c r="F166" i="1" s="1"/>
  <c r="G172" i="169" l="1"/>
  <c r="G244" i="169"/>
  <c r="G124" i="169"/>
  <c r="G220" i="169"/>
  <c r="G196" i="169"/>
  <c r="G148" i="169"/>
  <c r="C100" i="169"/>
  <c r="G100" i="169"/>
  <c r="D244" i="169"/>
  <c r="B245" i="169" a="1"/>
  <c r="B245" i="169" s="1"/>
  <c r="G245" i="169" s="1"/>
  <c r="F244" i="169"/>
  <c r="E244" i="169" s="1"/>
  <c r="C124" i="169"/>
  <c r="D124" i="169"/>
  <c r="B125" i="169" a="1"/>
  <c r="B125" i="169" s="1"/>
  <c r="B221" i="169" a="1"/>
  <c r="B221" i="169" s="1"/>
  <c r="D220" i="169"/>
  <c r="C220" i="169"/>
  <c r="D196" i="169"/>
  <c r="C196" i="169"/>
  <c r="B197" i="169" a="1"/>
  <c r="B197" i="169" s="1"/>
  <c r="D148" i="169"/>
  <c r="C148" i="169"/>
  <c r="B149" i="169" a="1"/>
  <c r="B149" i="169" s="1"/>
  <c r="B101" i="169" a="1"/>
  <c r="B101" i="169" s="1"/>
  <c r="D100" i="169"/>
  <c r="B173" i="169" a="1"/>
  <c r="B173" i="169" s="1"/>
  <c r="D172" i="169"/>
  <c r="C172" i="169"/>
  <c r="Z166" i="1"/>
  <c r="D10" i="169"/>
  <c r="F10" i="169" s="1"/>
  <c r="E10" i="169" s="1"/>
  <c r="AA166" i="1"/>
  <c r="S163" i="1"/>
  <c r="S166" i="1" s="1"/>
  <c r="U166" i="1"/>
  <c r="N39" i="28"/>
  <c r="Q39" i="28" s="1"/>
  <c r="N3" i="28"/>
  <c r="Q3" i="28" s="1"/>
  <c r="N7" i="28"/>
  <c r="Q7" i="28" s="1"/>
  <c r="N46" i="28"/>
  <c r="Q46" i="28" s="1"/>
  <c r="N37" i="28"/>
  <c r="Q37" i="28" s="1"/>
  <c r="N52" i="28"/>
  <c r="Q52" i="28" s="1"/>
  <c r="N12" i="28"/>
  <c r="Q12" i="28" s="1"/>
  <c r="N44" i="28"/>
  <c r="Q44" i="28" s="1"/>
  <c r="N59" i="28"/>
  <c r="Q59" i="28" s="1"/>
  <c r="N20" i="28"/>
  <c r="Q20" i="28" s="1"/>
  <c r="N38" i="28"/>
  <c r="Q38" i="28" s="1"/>
  <c r="N56" i="28"/>
  <c r="Q56" i="28" s="1"/>
  <c r="N54" i="28"/>
  <c r="Q54" i="28" s="1"/>
  <c r="N41" i="28"/>
  <c r="Q41" i="28" s="1"/>
  <c r="N21" i="28"/>
  <c r="Q21" i="28" s="1"/>
  <c r="N47" i="28"/>
  <c r="Q47" i="28" s="1"/>
  <c r="N25" i="28"/>
  <c r="Q25" i="28" s="1"/>
  <c r="N33" i="28"/>
  <c r="Q33" i="28" s="1"/>
  <c r="N31" i="28"/>
  <c r="Q31" i="28" s="1"/>
  <c r="N24" i="28"/>
  <c r="Q24" i="28" s="1"/>
  <c r="N57" i="28"/>
  <c r="Q57" i="28" s="1"/>
  <c r="N50" i="28"/>
  <c r="Q50" i="28" s="1"/>
  <c r="N15" i="28"/>
  <c r="Q15" i="28" s="1"/>
  <c r="N27" i="28"/>
  <c r="Q27" i="28" s="1"/>
  <c r="N8" i="28"/>
  <c r="Q8" i="28" s="1"/>
  <c r="N60" i="28"/>
  <c r="Q60" i="28" s="1"/>
  <c r="N17" i="28"/>
  <c r="Q17" i="28" s="1"/>
  <c r="N14" i="28"/>
  <c r="Q14" i="28" s="1"/>
  <c r="N49" i="28"/>
  <c r="Q49" i="28" s="1"/>
  <c r="N30" i="28"/>
  <c r="Q30" i="28" s="1"/>
  <c r="N16" i="28"/>
  <c r="Q16" i="28" s="1"/>
  <c r="N26" i="28"/>
  <c r="Q26" i="28" s="1"/>
  <c r="N51" i="28"/>
  <c r="N55" i="28"/>
  <c r="Q55" i="28" s="1"/>
  <c r="N6" i="28"/>
  <c r="Q6" i="28" s="1"/>
  <c r="N34" i="28"/>
  <c r="Q34" i="28" s="1"/>
  <c r="N9" i="28"/>
  <c r="Q9" i="28" s="1"/>
  <c r="N18" i="28"/>
  <c r="Q18" i="28" s="1"/>
  <c r="N53" i="28"/>
  <c r="Q53" i="28" s="1"/>
  <c r="N35" i="28"/>
  <c r="Q35" i="28" s="1"/>
  <c r="N40" i="28"/>
  <c r="Q40" i="28" s="1"/>
  <c r="N28" i="28"/>
  <c r="Q28" i="28" s="1"/>
  <c r="N19" i="28"/>
  <c r="Q19" i="28" s="1"/>
  <c r="N29" i="28"/>
  <c r="Q29" i="28" s="1"/>
  <c r="N11" i="28"/>
  <c r="Q11" i="28" s="1"/>
  <c r="N23" i="28"/>
  <c r="Q23" i="28" s="1"/>
  <c r="N32" i="28"/>
  <c r="Q32" i="28" s="1"/>
  <c r="N13" i="28"/>
  <c r="Q13" i="28" s="1"/>
  <c r="N22" i="28"/>
  <c r="Q22" i="28" s="1"/>
  <c r="N61" i="28"/>
  <c r="Q61" i="28" s="1"/>
  <c r="N36" i="28"/>
  <c r="Q36" i="28" s="1"/>
  <c r="N10" i="28"/>
  <c r="Q10" i="28" s="1"/>
  <c r="N5" i="28"/>
  <c r="Q5" i="28" s="1"/>
  <c r="N58" i="28"/>
  <c r="Q58" i="28" s="1"/>
  <c r="N42" i="28"/>
  <c r="Q42" i="28" s="1"/>
  <c r="N45" i="28"/>
  <c r="Q45" i="28" s="1"/>
  <c r="N43" i="28"/>
  <c r="Q43" i="28" s="1"/>
  <c r="N48" i="28"/>
  <c r="Q48" i="28" s="1"/>
  <c r="N64" i="28" l="1" a="1"/>
  <c r="N64" i="28" s="1"/>
  <c r="N63" i="28" a="1"/>
  <c r="N63" i="28" s="1"/>
  <c r="G173" i="169"/>
  <c r="G101" i="169"/>
  <c r="G221" i="169"/>
  <c r="G149" i="169"/>
  <c r="G197" i="169"/>
  <c r="G125" i="169"/>
  <c r="F124" i="169"/>
  <c r="E124" i="169" s="1"/>
  <c r="F100" i="169"/>
  <c r="C197" i="169"/>
  <c r="D197" i="169"/>
  <c r="B198" i="169" a="1"/>
  <c r="B198" i="169" s="1"/>
  <c r="D125" i="169"/>
  <c r="C125" i="169"/>
  <c r="B246" i="169" a="1"/>
  <c r="B246" i="169" s="1"/>
  <c r="G246" i="169" s="1"/>
  <c r="C245" i="169"/>
  <c r="D245" i="169"/>
  <c r="B102" i="169" a="1"/>
  <c r="B102" i="169" s="1"/>
  <c r="C101" i="169"/>
  <c r="D101" i="169"/>
  <c r="D149" i="169"/>
  <c r="C149" i="169"/>
  <c r="B150" i="169" a="1"/>
  <c r="B150" i="169" s="1"/>
  <c r="F148" i="169"/>
  <c r="E148" i="169" s="1"/>
  <c r="F196" i="169"/>
  <c r="E196" i="169" s="1"/>
  <c r="F220" i="169"/>
  <c r="E220" i="169" s="1"/>
  <c r="B222" i="169" a="1"/>
  <c r="B222" i="169" s="1"/>
  <c r="D221" i="169"/>
  <c r="C221" i="169"/>
  <c r="B126" i="169" a="1"/>
  <c r="B126" i="169" s="1"/>
  <c r="F172" i="169"/>
  <c r="B174" i="169" a="1"/>
  <c r="B174" i="169" s="1"/>
  <c r="E172" i="169"/>
  <c r="D173" i="169"/>
  <c r="C173" i="169"/>
  <c r="AB166" i="1"/>
  <c r="AB163" i="1"/>
  <c r="AB160" i="1"/>
  <c r="Q51" i="28"/>
  <c r="F125" i="169" l="1"/>
  <c r="E125" i="169" s="1"/>
  <c r="Q63" i="28" a="1"/>
  <c r="Q63" i="28" s="1"/>
  <c r="Q64" i="28" a="1"/>
  <c r="Q64" i="28" s="1"/>
  <c r="G174" i="169"/>
  <c r="G126" i="169"/>
  <c r="G150" i="169"/>
  <c r="E100" i="169"/>
  <c r="B103" i="169" a="1"/>
  <c r="B103" i="169" s="1"/>
  <c r="C103" i="169" s="1"/>
  <c r="G102" i="169"/>
  <c r="B199" i="169" a="1"/>
  <c r="B199" i="169" s="1"/>
  <c r="G198" i="169"/>
  <c r="B223" i="169" a="1"/>
  <c r="B223" i="169" s="1"/>
  <c r="G222" i="169"/>
  <c r="F221" i="169"/>
  <c r="E221" i="169" s="1"/>
  <c r="D126" i="169"/>
  <c r="C126" i="169"/>
  <c r="B127" i="169" a="1"/>
  <c r="B127" i="169" s="1"/>
  <c r="C102" i="169"/>
  <c r="D102" i="169"/>
  <c r="C246" i="169"/>
  <c r="D246" i="169"/>
  <c r="D198" i="169"/>
  <c r="C198" i="169"/>
  <c r="F197" i="169"/>
  <c r="E197" i="169" s="1"/>
  <c r="C222" i="169"/>
  <c r="D222" i="169"/>
  <c r="B151" i="169" a="1"/>
  <c r="B151" i="169" s="1"/>
  <c r="C150" i="169"/>
  <c r="D150" i="169"/>
  <c r="F149" i="169"/>
  <c r="E149" i="169" s="1"/>
  <c r="F101" i="169"/>
  <c r="E101" i="169" s="1"/>
  <c r="B247" i="169" a="1"/>
  <c r="B247" i="169" s="1"/>
  <c r="G247" i="169" s="1"/>
  <c r="F245" i="169"/>
  <c r="E245" i="169" s="1"/>
  <c r="F173" i="169"/>
  <c r="D174" i="169"/>
  <c r="C174" i="169"/>
  <c r="B175" i="169" a="1"/>
  <c r="B175" i="169" s="1"/>
  <c r="B104" i="169" l="1" a="1"/>
  <c r="B104" i="169" s="1"/>
  <c r="G104" i="169" s="1"/>
  <c r="D223" i="169"/>
  <c r="G199" i="169"/>
  <c r="I199" i="169" s="1"/>
  <c r="D103" i="169"/>
  <c r="G127" i="169"/>
  <c r="G175" i="169"/>
  <c r="B224" i="169" a="1"/>
  <c r="B224" i="169" s="1"/>
  <c r="B225" i="169" s="1" a="1"/>
  <c r="B225" i="169" s="1"/>
  <c r="B200" i="169" a="1"/>
  <c r="B200" i="169" s="1"/>
  <c r="B152" i="169" a="1"/>
  <c r="B152" i="169" s="1"/>
  <c r="G151" i="169"/>
  <c r="G223" i="169"/>
  <c r="I223" i="169" s="1"/>
  <c r="G103" i="169"/>
  <c r="C223" i="169"/>
  <c r="F223" i="169" s="1"/>
  <c r="D199" i="169"/>
  <c r="C199" i="169"/>
  <c r="F126" i="169"/>
  <c r="E126" i="169" s="1"/>
  <c r="F103" i="169"/>
  <c r="E103" i="169" s="1"/>
  <c r="F150" i="169"/>
  <c r="E150" i="169" s="1"/>
  <c r="F198" i="169"/>
  <c r="E198" i="169" s="1"/>
  <c r="D247" i="169"/>
  <c r="C247" i="169"/>
  <c r="B248" i="169" a="1"/>
  <c r="B248" i="169" s="1"/>
  <c r="G248" i="169" s="1"/>
  <c r="F102" i="169"/>
  <c r="E102" i="169" s="1"/>
  <c r="D127" i="169"/>
  <c r="C127" i="169"/>
  <c r="B128" i="169" a="1"/>
  <c r="B128" i="169" s="1"/>
  <c r="D151" i="169"/>
  <c r="C151" i="169"/>
  <c r="F222" i="169"/>
  <c r="E222" i="169" s="1"/>
  <c r="F246" i="169"/>
  <c r="E246" i="169" s="1"/>
  <c r="F174" i="169"/>
  <c r="E174" i="169" s="1"/>
  <c r="C175" i="169"/>
  <c r="D175" i="169"/>
  <c r="B176" i="169" a="1"/>
  <c r="B176" i="169" s="1"/>
  <c r="E173" i="169"/>
  <c r="D104" i="169" l="1"/>
  <c r="B105" i="169" a="1"/>
  <c r="B105" i="169" s="1"/>
  <c r="D105" i="169" s="1"/>
  <c r="C104" i="169"/>
  <c r="G176" i="169"/>
  <c r="G225" i="169"/>
  <c r="I225" i="169" s="1"/>
  <c r="D152" i="169"/>
  <c r="D224" i="169"/>
  <c r="C224" i="169"/>
  <c r="A224" i="169" s="1"/>
  <c r="C152" i="169"/>
  <c r="A223" i="169"/>
  <c r="B153" i="169" a="1"/>
  <c r="B153" i="169" s="1"/>
  <c r="G200" i="169"/>
  <c r="I200" i="169" s="1"/>
  <c r="D200" i="169"/>
  <c r="B201" i="169" a="1"/>
  <c r="B201" i="169" s="1"/>
  <c r="C200" i="169"/>
  <c r="G224" i="169"/>
  <c r="I224" i="169" s="1"/>
  <c r="B129" i="169" a="1"/>
  <c r="B129" i="169" s="1"/>
  <c r="G128" i="169"/>
  <c r="E223" i="169"/>
  <c r="F199" i="169"/>
  <c r="E199" i="169"/>
  <c r="A199" i="169"/>
  <c r="G152" i="169"/>
  <c r="D225" i="169"/>
  <c r="C225" i="169"/>
  <c r="C128" i="169"/>
  <c r="D128" i="169"/>
  <c r="D248" i="169"/>
  <c r="C248" i="169"/>
  <c r="F247" i="169"/>
  <c r="E247" i="169" s="1"/>
  <c r="B226" i="169" a="1"/>
  <c r="B226" i="169" s="1"/>
  <c r="B249" i="169" a="1"/>
  <c r="B249" i="169" s="1"/>
  <c r="F151" i="169"/>
  <c r="E151" i="169" s="1"/>
  <c r="F127" i="169"/>
  <c r="E127" i="169" s="1"/>
  <c r="F104" i="169"/>
  <c r="E104" i="169" s="1"/>
  <c r="B177" i="169" a="1"/>
  <c r="B177" i="169" s="1"/>
  <c r="C176" i="169"/>
  <c r="D176" i="169"/>
  <c r="F175" i="169"/>
  <c r="G105" i="169" l="1"/>
  <c r="C105" i="169"/>
  <c r="F105" i="169" s="1"/>
  <c r="E105" i="169" s="1"/>
  <c r="B106" i="169" a="1"/>
  <c r="B106" i="169" s="1"/>
  <c r="G106" i="169" s="1"/>
  <c r="E224" i="169"/>
  <c r="F224" i="169"/>
  <c r="G226" i="169"/>
  <c r="I226" i="169" s="1"/>
  <c r="G129" i="169"/>
  <c r="C153" i="169"/>
  <c r="F152" i="169"/>
  <c r="E152" i="169" s="1"/>
  <c r="D153" i="169"/>
  <c r="B154" i="169" a="1"/>
  <c r="B154" i="169" s="1"/>
  <c r="D129" i="169"/>
  <c r="G153" i="169"/>
  <c r="C129" i="169"/>
  <c r="F129" i="169" s="1"/>
  <c r="E129" i="169" s="1"/>
  <c r="A200" i="169"/>
  <c r="E200" i="169"/>
  <c r="F200" i="169"/>
  <c r="G201" i="169"/>
  <c r="I201" i="169" s="1"/>
  <c r="D201" i="169"/>
  <c r="B202" i="169" a="1"/>
  <c r="B202" i="169" s="1"/>
  <c r="C201" i="169"/>
  <c r="B178" i="169" a="1"/>
  <c r="B178" i="169" s="1"/>
  <c r="B179" i="169" s="1" a="1"/>
  <c r="B179" i="169" s="1"/>
  <c r="G177" i="169"/>
  <c r="I177" i="169" s="1"/>
  <c r="B130" i="169" a="1"/>
  <c r="B130" i="169" s="1"/>
  <c r="B250" i="169" a="1"/>
  <c r="B250" i="169" s="1"/>
  <c r="G250" i="169" s="1"/>
  <c r="I250" i="169" s="1"/>
  <c r="G249" i="169"/>
  <c r="I249" i="169" s="1"/>
  <c r="F248" i="169"/>
  <c r="E248" i="169" s="1"/>
  <c r="F128" i="169"/>
  <c r="E128" i="169" s="1"/>
  <c r="D226" i="169"/>
  <c r="C226" i="169"/>
  <c r="B227" i="169" a="1"/>
  <c r="B227" i="169" s="1"/>
  <c r="F176" i="169"/>
  <c r="E176" i="169" s="1"/>
  <c r="D249" i="169"/>
  <c r="C249" i="169"/>
  <c r="E225" i="169"/>
  <c r="F225" i="169"/>
  <c r="A225" i="169"/>
  <c r="C177" i="169"/>
  <c r="D177" i="169"/>
  <c r="E175" i="169"/>
  <c r="B107" i="169" l="1" a="1"/>
  <c r="B107" i="169" s="1"/>
  <c r="G107" i="169" s="1"/>
  <c r="D106" i="169"/>
  <c r="C106" i="169"/>
  <c r="F153" i="169"/>
  <c r="E153" i="169" s="1"/>
  <c r="D250" i="169"/>
  <c r="C130" i="169"/>
  <c r="G178" i="169"/>
  <c r="I178" i="169" s="1"/>
  <c r="C154" i="169"/>
  <c r="E154" i="169" s="1"/>
  <c r="G179" i="169"/>
  <c r="I179" i="169" s="1"/>
  <c r="G227" i="169"/>
  <c r="I227" i="169" s="1"/>
  <c r="B155" i="169" a="1"/>
  <c r="B155" i="169" s="1"/>
  <c r="D155" i="169" s="1"/>
  <c r="D154" i="169"/>
  <c r="G154" i="169"/>
  <c r="I154" i="169" s="1"/>
  <c r="D178" i="169"/>
  <c r="C178" i="169"/>
  <c r="E178" i="169" s="1"/>
  <c r="D130" i="169"/>
  <c r="F130" i="169" s="1"/>
  <c r="E201" i="169"/>
  <c r="F201" i="169"/>
  <c r="A201" i="169"/>
  <c r="G202" i="169"/>
  <c r="I202" i="169" s="1"/>
  <c r="B203" i="169" a="1"/>
  <c r="B203" i="169" s="1"/>
  <c r="C202" i="169"/>
  <c r="D202" i="169"/>
  <c r="B131" i="169" a="1"/>
  <c r="B131" i="169" s="1"/>
  <c r="G130" i="169"/>
  <c r="C250" i="169"/>
  <c r="E250" i="169" s="1"/>
  <c r="B251" i="169" a="1"/>
  <c r="B251" i="169" s="1"/>
  <c r="C251" i="169" s="1"/>
  <c r="F154" i="169"/>
  <c r="D227" i="169"/>
  <c r="C227" i="169"/>
  <c r="E226" i="169"/>
  <c r="A226" i="169"/>
  <c r="F226" i="169"/>
  <c r="E249" i="169"/>
  <c r="F249" i="169"/>
  <c r="B228" i="169" a="1"/>
  <c r="B228" i="169" s="1"/>
  <c r="E177" i="169"/>
  <c r="F177" i="169"/>
  <c r="A177" i="169"/>
  <c r="C179" i="169"/>
  <c r="D179" i="169"/>
  <c r="B180" i="169" a="1"/>
  <c r="B180" i="169" s="1"/>
  <c r="D107" i="169" l="1"/>
  <c r="B108" i="169" a="1"/>
  <c r="B108" i="169" s="1"/>
  <c r="G108" i="169" s="1"/>
  <c r="C107" i="169"/>
  <c r="F107" i="169" s="1"/>
  <c r="E107" i="169" s="1"/>
  <c r="F106" i="169"/>
  <c r="E106" i="169" s="1"/>
  <c r="E130" i="169"/>
  <c r="A178" i="169"/>
  <c r="F250" i="169"/>
  <c r="C155" i="169"/>
  <c r="A155" i="169" s="1"/>
  <c r="G180" i="169"/>
  <c r="I180" i="169" s="1"/>
  <c r="D251" i="169"/>
  <c r="F251" i="169" s="1"/>
  <c r="F178" i="169"/>
  <c r="A250" i="169"/>
  <c r="G155" i="169"/>
  <c r="I155" i="169" s="1"/>
  <c r="B156" i="169" a="1"/>
  <c r="B156" i="169" s="1"/>
  <c r="F202" i="169"/>
  <c r="E202" i="169"/>
  <c r="A202" i="169"/>
  <c r="G203" i="169"/>
  <c r="I203" i="169" s="1"/>
  <c r="B204" i="169" a="1"/>
  <c r="B204" i="169" s="1"/>
  <c r="C203" i="169"/>
  <c r="D203" i="169"/>
  <c r="B229" i="169" a="1"/>
  <c r="B229" i="169" s="1"/>
  <c r="G228" i="169"/>
  <c r="I228" i="169" s="1"/>
  <c r="B252" i="169" a="1"/>
  <c r="B252" i="169" s="1"/>
  <c r="G251" i="169"/>
  <c r="I251" i="169" s="1"/>
  <c r="G131" i="169"/>
  <c r="I131" i="169" s="1"/>
  <c r="C131" i="169"/>
  <c r="D131" i="169"/>
  <c r="B132" i="169" a="1"/>
  <c r="B132" i="169" s="1"/>
  <c r="C228" i="169"/>
  <c r="D228" i="169"/>
  <c r="A251" i="169"/>
  <c r="E251" i="169"/>
  <c r="A227" i="169"/>
  <c r="E227" i="169"/>
  <c r="F227" i="169"/>
  <c r="E179" i="169"/>
  <c r="F179" i="169"/>
  <c r="A179" i="169"/>
  <c r="B181" i="169" a="1"/>
  <c r="B181" i="169" s="1"/>
  <c r="D180" i="169"/>
  <c r="C180" i="169"/>
  <c r="D108" i="169" l="1"/>
  <c r="C108" i="169"/>
  <c r="B109" i="169" a="1"/>
  <c r="B109" i="169" s="1"/>
  <c r="D109" i="169" s="1"/>
  <c r="D110" i="169" s="1" a="1"/>
  <c r="D110" i="169" s="1"/>
  <c r="F155" i="169"/>
  <c r="E155" i="169"/>
  <c r="G229" i="169"/>
  <c r="I229" i="169" s="1"/>
  <c r="G181" i="169"/>
  <c r="G182" i="169" s="1" a="1"/>
  <c r="G182" i="169" s="1"/>
  <c r="I176" i="169" s="1"/>
  <c r="G156" i="169"/>
  <c r="C156" i="169"/>
  <c r="B157" i="169" a="1"/>
  <c r="B157" i="169" s="1"/>
  <c r="D156" i="169"/>
  <c r="D229" i="169"/>
  <c r="D230" i="169" s="1" a="1"/>
  <c r="D230" i="169" s="1"/>
  <c r="E203" i="169"/>
  <c r="F203" i="169"/>
  <c r="A203" i="169"/>
  <c r="C229" i="169"/>
  <c r="E229" i="169" s="1"/>
  <c r="G204" i="169"/>
  <c r="I204" i="169" s="1"/>
  <c r="B205" i="169" a="1"/>
  <c r="B205" i="169" s="1"/>
  <c r="C204" i="169"/>
  <c r="D204" i="169"/>
  <c r="B133" i="169" a="1"/>
  <c r="B133" i="169" s="1"/>
  <c r="G132" i="169"/>
  <c r="I132" i="169" s="1"/>
  <c r="C132" i="169"/>
  <c r="D132" i="169"/>
  <c r="F131" i="169"/>
  <c r="A131" i="169"/>
  <c r="E131" i="169"/>
  <c r="B253" i="169" a="1"/>
  <c r="B253" i="169" s="1"/>
  <c r="G252" i="169"/>
  <c r="I252" i="169" s="1"/>
  <c r="C252" i="169"/>
  <c r="D252" i="169"/>
  <c r="F228" i="169"/>
  <c r="A228" i="169"/>
  <c r="E228" i="169"/>
  <c r="D181" i="169"/>
  <c r="D182" i="169" s="1" a="1"/>
  <c r="D182" i="169" s="1"/>
  <c r="C181" i="169"/>
  <c r="E180" i="169"/>
  <c r="F180" i="169"/>
  <c r="A180" i="169"/>
  <c r="C109" i="169" l="1"/>
  <c r="E109" i="169" s="1"/>
  <c r="F108" i="169"/>
  <c r="E108" i="169" s="1"/>
  <c r="G109" i="169"/>
  <c r="I109" i="169" s="1"/>
  <c r="G230" i="169" a="1"/>
  <c r="G230" i="169" s="1"/>
  <c r="I222" i="169" s="1"/>
  <c r="I181" i="169"/>
  <c r="I173" i="169"/>
  <c r="I174" i="169"/>
  <c r="I175" i="169"/>
  <c r="G110" i="169" a="1"/>
  <c r="G110" i="169" s="1"/>
  <c r="I172" i="169"/>
  <c r="F229" i="169"/>
  <c r="F230" i="169" s="1" a="1"/>
  <c r="F230" i="169" s="1"/>
  <c r="A156" i="169"/>
  <c r="F156" i="169"/>
  <c r="E156" i="169"/>
  <c r="G157" i="169"/>
  <c r="I157" i="169" s="1"/>
  <c r="D157" i="169"/>
  <c r="D158" i="169" s="1" a="1"/>
  <c r="D158" i="169" s="1"/>
  <c r="C157" i="169"/>
  <c r="I156" i="169"/>
  <c r="G158" i="169" a="1"/>
  <c r="G158" i="169" s="1"/>
  <c r="A229" i="169"/>
  <c r="C230" i="169" a="1"/>
  <c r="C230" i="169" s="1"/>
  <c r="E230" i="169" s="1"/>
  <c r="G205" i="169"/>
  <c r="C205" i="169"/>
  <c r="D205" i="169"/>
  <c r="D206" i="169" s="1" a="1"/>
  <c r="D206" i="169" s="1"/>
  <c r="E204" i="169"/>
  <c r="F204" i="169"/>
  <c r="A204" i="169"/>
  <c r="A252" i="169"/>
  <c r="F252" i="169"/>
  <c r="E252" i="169"/>
  <c r="G253" i="169"/>
  <c r="D253" i="169"/>
  <c r="C253" i="169"/>
  <c r="C254" i="169" s="1" a="1"/>
  <c r="C254" i="169" s="1"/>
  <c r="D254" i="169" a="1"/>
  <c r="D254" i="169" s="1"/>
  <c r="F132" i="169"/>
  <c r="E132" i="169"/>
  <c r="A132" i="169"/>
  <c r="G133" i="169"/>
  <c r="D133" i="169"/>
  <c r="D134" i="169" s="1" a="1"/>
  <c r="D134" i="169" s="1"/>
  <c r="C133" i="169"/>
  <c r="C182" i="169" a="1"/>
  <c r="C182" i="169" s="1"/>
  <c r="F181" i="169"/>
  <c r="F182" i="169" s="1" a="1"/>
  <c r="F182" i="169" s="1"/>
  <c r="E181" i="169"/>
  <c r="A181" i="169"/>
  <c r="C110" i="169" l="1" a="1"/>
  <c r="C110" i="169" s="1"/>
  <c r="F109" i="169"/>
  <c r="F110" i="169" s="1" a="1"/>
  <c r="F110" i="169" s="1"/>
  <c r="I221" i="169"/>
  <c r="I220" i="169"/>
  <c r="I182" i="169" a="1"/>
  <c r="I182" i="169" s="1"/>
  <c r="I101" i="169"/>
  <c r="I104" i="169"/>
  <c r="I103" i="169"/>
  <c r="I108" i="169"/>
  <c r="I100" i="169"/>
  <c r="I102" i="169"/>
  <c r="I105" i="169"/>
  <c r="I106" i="169"/>
  <c r="I107" i="169"/>
  <c r="E182" i="169"/>
  <c r="I149" i="169"/>
  <c r="I148" i="169"/>
  <c r="I150" i="169"/>
  <c r="I151" i="169"/>
  <c r="I153" i="169"/>
  <c r="I152" i="169"/>
  <c r="C158" i="169" a="1"/>
  <c r="C158" i="169" s="1"/>
  <c r="A157" i="169"/>
  <c r="E157" i="169"/>
  <c r="F157" i="169"/>
  <c r="F158" i="169" s="1" a="1"/>
  <c r="F158" i="169" s="1"/>
  <c r="G254" i="169" a="1"/>
  <c r="G254" i="169" s="1"/>
  <c r="I253" i="169"/>
  <c r="G134" i="169" a="1"/>
  <c r="G134" i="169" s="1"/>
  <c r="I133" i="169"/>
  <c r="G206" i="169" a="1"/>
  <c r="G206" i="169" s="1"/>
  <c r="I205" i="169"/>
  <c r="E205" i="169"/>
  <c r="F205" i="169"/>
  <c r="F206" i="169" s="1" a="1"/>
  <c r="F206" i="169" s="1"/>
  <c r="A205" i="169"/>
  <c r="C206" i="169" a="1"/>
  <c r="C206" i="169" s="1"/>
  <c r="F133" i="169"/>
  <c r="F134" i="169" s="1" a="1"/>
  <c r="F134" i="169" s="1"/>
  <c r="A133" i="169"/>
  <c r="E133" i="169"/>
  <c r="C134" i="169" a="1"/>
  <c r="C134" i="169" s="1"/>
  <c r="A253" i="169"/>
  <c r="F253" i="169"/>
  <c r="E253" i="169"/>
  <c r="F254" i="169" a="1"/>
  <c r="F254" i="169" s="1"/>
  <c r="E254" i="169" s="1"/>
  <c r="E110" i="169" l="1"/>
  <c r="I247" i="169"/>
  <c r="I248" i="169"/>
  <c r="I125" i="169"/>
  <c r="I130" i="169"/>
  <c r="E206" i="169"/>
  <c r="I245" i="169"/>
  <c r="I246" i="169"/>
  <c r="I230" i="169" a="1"/>
  <c r="I230" i="169" s="1"/>
  <c r="I244" i="169"/>
  <c r="I196" i="169"/>
  <c r="I198" i="169"/>
  <c r="I110" i="169" a="1"/>
  <c r="I110" i="169" s="1"/>
  <c r="E134" i="169"/>
  <c r="E158" i="169"/>
  <c r="I158" i="169" a="1"/>
  <c r="I158" i="169" s="1"/>
  <c r="I197" i="169"/>
  <c r="I124" i="169"/>
  <c r="I129" i="169"/>
  <c r="I126" i="169"/>
  <c r="I128" i="169"/>
  <c r="I127" i="169"/>
  <c r="I254" i="169" l="1" a="1"/>
  <c r="I254" i="169" s="1"/>
  <c r="I206" i="169" a="1"/>
  <c r="I206" i="169" s="1"/>
  <c r="I134" i="169" a="1"/>
  <c r="I134" i="169" s="1"/>
  <c r="D48" i="1" l="1"/>
  <c r="D46" i="1"/>
  <c r="D47" i="1"/>
  <c r="H4" i="121"/>
  <c r="D107" i="1"/>
  <c r="E4" i="121"/>
  <c r="I154" i="121"/>
  <c r="D167" i="121"/>
  <c r="F64" i="121"/>
  <c r="D141" i="121"/>
  <c r="I17" i="121"/>
  <c r="J111" i="121"/>
  <c r="D65" i="1"/>
  <c r="F65" i="121"/>
  <c r="I69" i="121"/>
  <c r="E115" i="121"/>
  <c r="F166" i="121"/>
  <c r="L11" i="121"/>
  <c r="K106" i="121"/>
  <c r="K139" i="121"/>
  <c r="F99" i="121"/>
  <c r="G143" i="121"/>
  <c r="I164" i="121"/>
  <c r="J157" i="121"/>
  <c r="D120" i="1"/>
  <c r="I55" i="121"/>
  <c r="D164" i="121"/>
  <c r="H117" i="121"/>
  <c r="I139" i="121"/>
  <c r="M155" i="121"/>
  <c r="M90" i="121"/>
  <c r="F13" i="121"/>
  <c r="M16" i="121"/>
  <c r="K158" i="121"/>
  <c r="G81" i="121"/>
  <c r="G14" i="121"/>
  <c r="K74" i="121"/>
  <c r="G78" i="121"/>
  <c r="D98" i="1"/>
  <c r="H91" i="121"/>
  <c r="D92" i="121"/>
  <c r="K71" i="121"/>
  <c r="G66" i="121"/>
  <c r="L87" i="121"/>
  <c r="I73" i="121"/>
  <c r="I104" i="121"/>
  <c r="L55" i="121"/>
  <c r="K114" i="121"/>
  <c r="M151" i="121"/>
  <c r="G133" i="121"/>
  <c r="E76" i="121"/>
  <c r="D104" i="123"/>
  <c r="E78" i="121"/>
  <c r="I50" i="121"/>
  <c r="F9" i="121"/>
  <c r="M62" i="121"/>
  <c r="J146" i="121"/>
  <c r="M144" i="121"/>
  <c r="K36" i="121"/>
  <c r="E95" i="121"/>
  <c r="H139" i="121"/>
  <c r="D100" i="1"/>
  <c r="D147" i="121"/>
  <c r="F93" i="121"/>
  <c r="H154" i="121"/>
  <c r="I86" i="121"/>
  <c r="K131" i="121"/>
  <c r="D103" i="1"/>
  <c r="D173" i="123"/>
  <c r="D17" i="1"/>
  <c r="D67" i="123"/>
  <c r="D125" i="123"/>
  <c r="I11" i="121"/>
  <c r="F64" i="35"/>
  <c r="H128" i="121"/>
  <c r="D141" i="123"/>
  <c r="F6" i="121"/>
  <c r="J63" i="121"/>
  <c r="F56" i="121"/>
  <c r="D97" i="123"/>
  <c r="G127" i="121"/>
  <c r="K55" i="121"/>
  <c r="F4" i="35"/>
  <c r="K123" i="121"/>
  <c r="H104" i="121"/>
  <c r="L89" i="121"/>
  <c r="M69" i="121"/>
  <c r="D72" i="123"/>
  <c r="D77" i="123"/>
  <c r="K28" i="121"/>
  <c r="E54" i="121"/>
  <c r="L94" i="121"/>
  <c r="E68" i="121"/>
  <c r="F72" i="121"/>
  <c r="D34" i="121"/>
  <c r="F92" i="121"/>
  <c r="G13" i="121"/>
  <c r="D224" i="123"/>
  <c r="K64" i="121"/>
  <c r="K8" i="121"/>
  <c r="F164" i="121"/>
  <c r="M27" i="121"/>
  <c r="E88" i="121"/>
  <c r="F8" i="121"/>
  <c r="E138" i="121"/>
  <c r="G141" i="121"/>
  <c r="J25" i="121"/>
  <c r="D159" i="121"/>
  <c r="I19" i="121"/>
  <c r="D86" i="123"/>
  <c r="D102" i="123"/>
  <c r="K29" i="121"/>
  <c r="J15" i="121"/>
  <c r="D122" i="1"/>
  <c r="G142" i="121"/>
  <c r="I81" i="121"/>
  <c r="H37" i="121"/>
  <c r="K66" i="121"/>
  <c r="D57" i="121"/>
  <c r="M68" i="121"/>
  <c r="L25" i="121"/>
  <c r="D29" i="121"/>
  <c r="F81" i="121"/>
  <c r="K83" i="121"/>
  <c r="K51" i="121"/>
  <c r="G75" i="121"/>
  <c r="J144" i="121"/>
  <c r="H20" i="121"/>
  <c r="F76" i="35"/>
  <c r="F54" i="57"/>
  <c r="D134" i="121"/>
  <c r="D162" i="121"/>
  <c r="I101" i="121"/>
  <c r="I75" i="121"/>
  <c r="H169" i="121"/>
  <c r="K91" i="121"/>
  <c r="E30" i="121"/>
  <c r="I114" i="121"/>
  <c r="H75" i="121"/>
  <c r="I155" i="121"/>
  <c r="G105" i="121"/>
  <c r="D46" i="123"/>
  <c r="I83" i="121"/>
  <c r="L116" i="121"/>
  <c r="D162" i="123"/>
  <c r="K160" i="121"/>
  <c r="F67" i="57"/>
  <c r="M44" i="121"/>
  <c r="D42" i="121"/>
  <c r="D139" i="121"/>
  <c r="L47" i="121"/>
  <c r="G159" i="121"/>
  <c r="M167" i="121"/>
  <c r="G77" i="121"/>
  <c r="J131" i="121"/>
  <c r="G162" i="121"/>
  <c r="K40" i="121"/>
  <c r="E156" i="121"/>
  <c r="I61" i="121"/>
  <c r="G31" i="121"/>
  <c r="E122" i="121"/>
  <c r="D152" i="121"/>
  <c r="D63" i="121"/>
  <c r="G40" i="121"/>
  <c r="M130" i="121"/>
  <c r="J101" i="121"/>
  <c r="D81" i="1"/>
  <c r="F116" i="121"/>
  <c r="J86" i="121"/>
  <c r="I12" i="121"/>
  <c r="H106" i="121"/>
  <c r="D155" i="123"/>
  <c r="G160" i="121"/>
  <c r="L108" i="121"/>
  <c r="D97" i="121"/>
  <c r="E26" i="121"/>
  <c r="F29" i="121"/>
  <c r="H43" i="121"/>
  <c r="G51" i="121"/>
  <c r="J121" i="121"/>
  <c r="K156" i="121"/>
  <c r="D170" i="123"/>
  <c r="E90" i="121"/>
  <c r="J47" i="121"/>
  <c r="G97" i="121"/>
  <c r="M17" i="121"/>
  <c r="M148" i="121"/>
  <c r="H68" i="121"/>
  <c r="M41" i="121"/>
  <c r="D156" i="121"/>
  <c r="E6" i="121"/>
  <c r="D69" i="121"/>
  <c r="J165" i="121"/>
  <c r="D67" i="121"/>
  <c r="I99" i="121"/>
  <c r="J70" i="121"/>
  <c r="E162" i="121"/>
  <c r="F89" i="121"/>
  <c r="J3" i="121"/>
  <c r="D135" i="123"/>
  <c r="M49" i="121"/>
  <c r="D133" i="123"/>
  <c r="M51" i="121"/>
  <c r="D179" i="123"/>
  <c r="H155" i="121"/>
  <c r="I146" i="121"/>
  <c r="D93" i="121"/>
  <c r="F149" i="121"/>
  <c r="L56" i="121"/>
  <c r="D183" i="123"/>
  <c r="L92" i="121"/>
  <c r="D158" i="123"/>
  <c r="H87" i="121"/>
  <c r="K13" i="121"/>
  <c r="D115" i="121"/>
  <c r="D86" i="121"/>
  <c r="M9" i="121"/>
  <c r="K169" i="121"/>
  <c r="J168" i="121"/>
  <c r="E38" i="121"/>
  <c r="J152" i="121"/>
  <c r="H19" i="121"/>
  <c r="M110" i="121"/>
  <c r="D41" i="121"/>
  <c r="H17" i="121"/>
  <c r="K72" i="121"/>
  <c r="L32" i="121"/>
  <c r="D7" i="1"/>
  <c r="H9" i="121"/>
  <c r="F62" i="57"/>
  <c r="D53" i="121"/>
  <c r="G52" i="121"/>
  <c r="I91" i="121"/>
  <c r="D119" i="123"/>
  <c r="I13" i="121"/>
  <c r="G69" i="121"/>
  <c r="D37" i="121"/>
  <c r="D48" i="121"/>
  <c r="H86" i="121"/>
  <c r="D93" i="123"/>
  <c r="H163" i="121"/>
  <c r="K27" i="121"/>
  <c r="K39" i="121"/>
  <c r="D62" i="1"/>
  <c r="D78" i="121"/>
  <c r="F73" i="121"/>
  <c r="H18" i="121"/>
  <c r="L78" i="121"/>
  <c r="G65" i="121"/>
  <c r="D105" i="121"/>
  <c r="L84" i="121"/>
  <c r="I43" i="121"/>
  <c r="L111" i="121"/>
  <c r="F38" i="57"/>
  <c r="J128" i="121"/>
  <c r="E48" i="121"/>
  <c r="G84" i="121"/>
  <c r="E111" i="121"/>
  <c r="K107" i="121"/>
  <c r="D208" i="123"/>
  <c r="D6" i="1"/>
  <c r="J31" i="121"/>
  <c r="M138" i="121"/>
  <c r="I64" i="121"/>
  <c r="G7" i="121"/>
  <c r="D22" i="121"/>
  <c r="G166" i="121"/>
  <c r="E3" i="121"/>
  <c r="L67" i="121"/>
  <c r="F68" i="121"/>
  <c r="G3" i="121"/>
  <c r="K152" i="121"/>
  <c r="J58" i="121"/>
  <c r="E28" i="121"/>
  <c r="D111" i="123"/>
  <c r="G118" i="121"/>
  <c r="J16" i="121"/>
  <c r="E123" i="121"/>
  <c r="D112" i="121"/>
  <c r="I67" i="121"/>
  <c r="H42" i="121"/>
  <c r="F100" i="121"/>
  <c r="H27" i="121"/>
  <c r="J106" i="121"/>
  <c r="H101" i="121"/>
  <c r="L42" i="121"/>
  <c r="H65" i="121"/>
  <c r="M53" i="121"/>
  <c r="G168" i="121"/>
  <c r="E22" i="121"/>
  <c r="J21" i="121"/>
  <c r="L154" i="121"/>
  <c r="L98" i="121"/>
  <c r="L122" i="121"/>
  <c r="L166" i="121"/>
  <c r="E51" i="121"/>
  <c r="E145" i="121"/>
  <c r="H134" i="121"/>
  <c r="F16" i="35"/>
  <c r="L73" i="121"/>
  <c r="M65" i="121"/>
  <c r="M72" i="121"/>
  <c r="G146" i="121"/>
  <c r="D94" i="121"/>
  <c r="D162" i="1"/>
  <c r="D205" i="123"/>
  <c r="H76" i="121"/>
  <c r="D62" i="123"/>
  <c r="F106" i="121"/>
  <c r="D87" i="123"/>
  <c r="E64" i="121"/>
  <c r="D75" i="1"/>
  <c r="J54" i="121"/>
  <c r="E160" i="121"/>
  <c r="E9" i="121"/>
  <c r="D127" i="121"/>
  <c r="J108" i="121"/>
  <c r="H122" i="121"/>
  <c r="D73" i="1"/>
  <c r="M154" i="121"/>
  <c r="E83" i="121"/>
  <c r="H111" i="121"/>
  <c r="K14" i="121"/>
  <c r="D148" i="123"/>
  <c r="F14" i="121"/>
  <c r="I21" i="121"/>
  <c r="D164" i="1"/>
  <c r="D157" i="123"/>
  <c r="G95" i="121"/>
  <c r="I52" i="121"/>
  <c r="D64" i="1"/>
  <c r="D20" i="121"/>
  <c r="J30" i="121"/>
  <c r="J129" i="121"/>
  <c r="H66" i="121"/>
  <c r="H48" i="121"/>
  <c r="M137" i="121"/>
  <c r="G138" i="121"/>
  <c r="G60" i="121"/>
  <c r="I108" i="121"/>
  <c r="L130" i="121"/>
  <c r="F6" i="57"/>
  <c r="E147" i="121"/>
  <c r="L44" i="121"/>
  <c r="M34" i="121"/>
  <c r="I124" i="121"/>
  <c r="L97" i="121"/>
  <c r="I63" i="121"/>
  <c r="M128" i="121"/>
  <c r="E10" i="121"/>
  <c r="F58" i="121"/>
  <c r="J72" i="121"/>
  <c r="J64" i="121"/>
  <c r="D123" i="1"/>
  <c r="E19" i="121"/>
  <c r="D189" i="123"/>
  <c r="G115" i="121"/>
  <c r="F66" i="121"/>
  <c r="K19" i="121"/>
  <c r="L82" i="121"/>
  <c r="D7" i="121"/>
  <c r="L45" i="121"/>
  <c r="E21" i="121"/>
  <c r="F75" i="121"/>
  <c r="D130" i="121"/>
  <c r="D148" i="121"/>
  <c r="D115" i="123"/>
  <c r="D132" i="121"/>
  <c r="H78" i="121"/>
  <c r="I40" i="121"/>
  <c r="D25" i="121"/>
  <c r="H146" i="121"/>
  <c r="K63" i="121"/>
  <c r="F158" i="121"/>
  <c r="G56" i="121"/>
  <c r="E140" i="121"/>
  <c r="L51" i="121"/>
  <c r="J99" i="121"/>
  <c r="E113" i="121"/>
  <c r="M131" i="121"/>
  <c r="F145" i="121"/>
  <c r="D109" i="121"/>
  <c r="G15" i="121"/>
  <c r="L109" i="121"/>
  <c r="D151" i="123"/>
  <c r="L70" i="121"/>
  <c r="J114" i="121"/>
  <c r="D57" i="123"/>
  <c r="D116" i="121"/>
  <c r="I8" i="121"/>
  <c r="D107" i="123"/>
  <c r="G74" i="121"/>
  <c r="F40" i="35"/>
  <c r="D76" i="123"/>
  <c r="K145" i="121"/>
  <c r="D75" i="123"/>
  <c r="G167" i="121"/>
  <c r="H57" i="121"/>
  <c r="I44" i="121"/>
  <c r="E16" i="121"/>
  <c r="J17" i="121"/>
  <c r="D198" i="123"/>
  <c r="K112" i="121"/>
  <c r="H126" i="121"/>
  <c r="K38" i="121"/>
  <c r="L156" i="121"/>
  <c r="L169" i="121"/>
  <c r="D111" i="1"/>
  <c r="H138" i="121"/>
  <c r="E36" i="121"/>
  <c r="M116" i="121"/>
  <c r="I9" i="121"/>
  <c r="D143" i="121"/>
  <c r="H158" i="121"/>
  <c r="D155" i="121"/>
  <c r="D130" i="123"/>
  <c r="H162" i="121"/>
  <c r="L160" i="121"/>
  <c r="K67" i="121"/>
  <c r="L159" i="121"/>
  <c r="L33" i="121"/>
  <c r="D15" i="1"/>
  <c r="G25" i="121"/>
  <c r="Q224" i="123"/>
  <c r="I92" i="121"/>
  <c r="K9" i="121"/>
  <c r="D122" i="121"/>
  <c r="D46" i="121"/>
  <c r="E124" i="121"/>
  <c r="G82" i="121"/>
  <c r="J56" i="121"/>
  <c r="F136" i="121"/>
  <c r="G30" i="121"/>
  <c r="D17" i="121"/>
  <c r="F109" i="121"/>
  <c r="L147" i="121"/>
  <c r="G136" i="121"/>
  <c r="D144" i="123"/>
  <c r="J48" i="121"/>
  <c r="D177" i="123"/>
  <c r="K125" i="121"/>
  <c r="D163" i="121"/>
  <c r="I37" i="121"/>
  <c r="F25" i="121"/>
  <c r="J105" i="121"/>
  <c r="D107" i="121"/>
  <c r="L29" i="121"/>
  <c r="K7" i="121"/>
  <c r="F56" i="57"/>
  <c r="M99" i="121"/>
  <c r="E139" i="121"/>
  <c r="G108" i="121"/>
  <c r="Q204" i="123"/>
  <c r="L164" i="121"/>
  <c r="I6" i="121"/>
  <c r="L112" i="121"/>
  <c r="L126" i="121"/>
  <c r="L158" i="121"/>
  <c r="I134" i="121"/>
  <c r="L71" i="121"/>
  <c r="M67" i="121"/>
  <c r="G49" i="121"/>
  <c r="F55" i="57"/>
  <c r="I158" i="121"/>
  <c r="D211" i="123"/>
  <c r="L3" i="121"/>
  <c r="K108" i="121"/>
  <c r="L72" i="121"/>
  <c r="E119" i="121"/>
  <c r="J120" i="121"/>
  <c r="D161" i="1"/>
  <c r="E117" i="121"/>
  <c r="F17" i="121"/>
  <c r="G70" i="121"/>
  <c r="K56" i="121"/>
  <c r="F13" i="57"/>
  <c r="G90" i="121"/>
  <c r="D111" i="121"/>
  <c r="H62" i="121"/>
  <c r="I153" i="121"/>
  <c r="M61" i="121"/>
  <c r="J83" i="121"/>
  <c r="I106" i="121"/>
  <c r="D156" i="123"/>
  <c r="K103" i="121"/>
  <c r="K159" i="121"/>
  <c r="D13" i="1"/>
  <c r="F54" i="121"/>
  <c r="I105" i="121"/>
  <c r="H36" i="121"/>
  <c r="F61" i="121"/>
  <c r="G8" i="121"/>
  <c r="F128" i="121"/>
  <c r="E73" i="121"/>
  <c r="L12" i="121"/>
  <c r="I141" i="121"/>
  <c r="H90" i="121"/>
  <c r="M109" i="121"/>
  <c r="H3" i="121"/>
  <c r="E53" i="121"/>
  <c r="J150" i="121"/>
  <c r="J88" i="121"/>
  <c r="J74" i="121"/>
  <c r="F142" i="121"/>
  <c r="J154" i="121"/>
  <c r="I161" i="121"/>
  <c r="F104" i="121"/>
  <c r="M20" i="121"/>
  <c r="I159" i="121"/>
  <c r="L135" i="121"/>
  <c r="F32" i="121"/>
  <c r="E141" i="121"/>
  <c r="M101" i="121"/>
  <c r="H143" i="121"/>
  <c r="D101" i="121"/>
  <c r="G149" i="121"/>
  <c r="D6" i="121"/>
  <c r="E63" i="121"/>
  <c r="D87" i="121"/>
  <c r="D98" i="121"/>
  <c r="F11" i="121"/>
  <c r="K96" i="121"/>
  <c r="F12" i="121"/>
  <c r="D52" i="121"/>
  <c r="L114" i="121"/>
  <c r="G123" i="121"/>
  <c r="K76" i="121"/>
  <c r="D82" i="123"/>
  <c r="G62" i="121"/>
  <c r="K115" i="121"/>
  <c r="F66" i="57"/>
  <c r="F162" i="121"/>
  <c r="F19" i="121"/>
  <c r="D62" i="121"/>
  <c r="K33" i="121"/>
  <c r="D33" i="121"/>
  <c r="F141" i="121"/>
  <c r="E153" i="121"/>
  <c r="K18" i="121"/>
  <c r="L137" i="121"/>
  <c r="D121" i="121"/>
  <c r="F71" i="121"/>
  <c r="D168" i="123"/>
  <c r="H35" i="121"/>
  <c r="J87" i="121"/>
  <c r="M77" i="121"/>
  <c r="D188" i="123"/>
  <c r="M71" i="121"/>
  <c r="L99" i="121"/>
  <c r="I130" i="121"/>
  <c r="I82" i="121"/>
  <c r="I16" i="121"/>
  <c r="E104" i="121"/>
  <c r="F48" i="121"/>
  <c r="D78" i="123"/>
  <c r="F114" i="121"/>
  <c r="G20" i="121"/>
  <c r="D76" i="1"/>
  <c r="D119" i="1"/>
  <c r="D142" i="123"/>
  <c r="J69" i="121"/>
  <c r="G144" i="121"/>
  <c r="H55" i="121"/>
  <c r="K104" i="121"/>
  <c r="E84" i="121"/>
  <c r="F96" i="121"/>
  <c r="H44" i="121"/>
  <c r="J112" i="121"/>
  <c r="D145" i="121"/>
  <c r="L141" i="121"/>
  <c r="M119" i="121"/>
  <c r="F10" i="35"/>
  <c r="K147" i="121"/>
  <c r="L133" i="121"/>
  <c r="E37" i="121"/>
  <c r="I123" i="121"/>
  <c r="F53" i="121"/>
  <c r="H99" i="121"/>
  <c r="I46" i="121"/>
  <c r="D195" i="123"/>
  <c r="F143" i="121"/>
  <c r="H69" i="121"/>
  <c r="G50" i="121"/>
  <c r="H10" i="121"/>
  <c r="E134" i="121"/>
  <c r="L66" i="121"/>
  <c r="G92" i="121"/>
  <c r="E151" i="121"/>
  <c r="I142" i="121"/>
  <c r="D160" i="121"/>
  <c r="G85" i="121"/>
  <c r="D102" i="121"/>
  <c r="H51" i="121"/>
  <c r="E31" i="121"/>
  <c r="D49" i="121"/>
  <c r="J117" i="121"/>
  <c r="D91" i="123"/>
  <c r="Q234" i="123"/>
  <c r="D9" i="121"/>
  <c r="M7" i="121"/>
  <c r="F31" i="121"/>
  <c r="D142" i="1"/>
  <c r="D43" i="121"/>
  <c r="I115" i="121"/>
  <c r="J125" i="121"/>
  <c r="H160" i="121"/>
  <c r="J79" i="121"/>
  <c r="J116" i="121"/>
  <c r="I57" i="121"/>
  <c r="H142" i="121"/>
  <c r="D85" i="123"/>
  <c r="M149" i="121"/>
  <c r="G99" i="121"/>
  <c r="I45" i="121"/>
  <c r="F112" i="121"/>
  <c r="I87" i="121"/>
  <c r="K69" i="121"/>
  <c r="F90" i="121"/>
  <c r="K116" i="121"/>
  <c r="L16" i="121"/>
  <c r="D40" i="121"/>
  <c r="M35" i="121"/>
  <c r="E157" i="121"/>
  <c r="M95" i="121"/>
  <c r="H14" i="121"/>
  <c r="D178" i="123"/>
  <c r="G79" i="121"/>
  <c r="I112" i="121"/>
  <c r="E67" i="121"/>
  <c r="G11" i="121"/>
  <c r="D81" i="121"/>
  <c r="F34" i="121"/>
  <c r="D32" i="121"/>
  <c r="D99" i="1"/>
  <c r="D154" i="123"/>
  <c r="D71" i="123"/>
  <c r="E62" i="121"/>
  <c r="I133" i="121"/>
  <c r="K150" i="121"/>
  <c r="G80" i="121"/>
  <c r="L96" i="121"/>
  <c r="M33" i="121"/>
  <c r="G48" i="121"/>
  <c r="F77" i="121"/>
  <c r="E39" i="121"/>
  <c r="D4" i="121"/>
  <c r="J115" i="121"/>
  <c r="K75" i="121"/>
  <c r="H149" i="121"/>
  <c r="F69" i="121"/>
  <c r="M125" i="121"/>
  <c r="G33" i="121"/>
  <c r="G117" i="121"/>
  <c r="L131" i="121"/>
  <c r="F76" i="121"/>
  <c r="K127" i="121"/>
  <c r="M166" i="121"/>
  <c r="G23" i="121"/>
  <c r="J8" i="121"/>
  <c r="K73" i="121"/>
  <c r="K93" i="121"/>
  <c r="K113" i="121"/>
  <c r="L120" i="121"/>
  <c r="L144" i="121"/>
  <c r="H132" i="121"/>
  <c r="M81" i="121"/>
  <c r="E118" i="121"/>
  <c r="F34" i="35"/>
  <c r="H24" i="121"/>
  <c r="F135" i="121"/>
  <c r="F21" i="121"/>
  <c r="D84" i="121"/>
  <c r="G113" i="121"/>
  <c r="G150" i="121"/>
  <c r="H102" i="121"/>
  <c r="D88" i="123"/>
  <c r="J60" i="121"/>
  <c r="D124" i="123"/>
  <c r="L124" i="121"/>
  <c r="I88" i="121"/>
  <c r="G16" i="121"/>
  <c r="H167" i="121"/>
  <c r="L139" i="121"/>
  <c r="F5" i="121"/>
  <c r="D185" i="123"/>
  <c r="F74" i="121"/>
  <c r="M32" i="121"/>
  <c r="D51" i="121"/>
  <c r="M84" i="121"/>
  <c r="J109" i="121"/>
  <c r="J162" i="121"/>
  <c r="G137" i="121"/>
  <c r="H88" i="121"/>
  <c r="M31" i="121"/>
  <c r="L40" i="121"/>
  <c r="J68" i="121"/>
  <c r="J82" i="121"/>
  <c r="M159" i="121"/>
  <c r="M132" i="121"/>
  <c r="E130" i="121"/>
  <c r="I125" i="121"/>
  <c r="I77" i="121"/>
  <c r="H112" i="121"/>
  <c r="L91" i="121"/>
  <c r="D64" i="121"/>
  <c r="M126" i="121"/>
  <c r="H45" i="121"/>
  <c r="E135" i="121"/>
  <c r="F154" i="121"/>
  <c r="M92" i="121"/>
  <c r="J5" i="121"/>
  <c r="K122" i="121"/>
  <c r="K46" i="121"/>
  <c r="G35" i="121"/>
  <c r="G34" i="121"/>
  <c r="D26" i="1"/>
  <c r="D169" i="123"/>
  <c r="E47" i="121"/>
  <c r="D159" i="123"/>
  <c r="M5" i="121"/>
  <c r="D85" i="121"/>
  <c r="I110" i="121"/>
  <c r="L60" i="121"/>
  <c r="D104" i="1"/>
  <c r="D38" i="121"/>
  <c r="H116" i="121"/>
  <c r="K82" i="121"/>
  <c r="H40" i="121"/>
  <c r="J89" i="121"/>
  <c r="J28" i="121"/>
  <c r="M122" i="121"/>
  <c r="F91" i="121"/>
  <c r="I97" i="121"/>
  <c r="H83" i="121"/>
  <c r="K161" i="121"/>
  <c r="D11" i="1"/>
  <c r="M133" i="121"/>
  <c r="J75" i="121"/>
  <c r="L79" i="121"/>
  <c r="D39" i="121"/>
  <c r="D106" i="1"/>
  <c r="E105" i="121"/>
  <c r="M134" i="121"/>
  <c r="L24" i="121"/>
  <c r="M142" i="121"/>
  <c r="D144" i="121"/>
  <c r="F61" i="57"/>
  <c r="I33" i="121"/>
  <c r="M75" i="121"/>
  <c r="E43" i="121"/>
  <c r="J10" i="121"/>
  <c r="K101" i="121"/>
  <c r="H115" i="121"/>
  <c r="D77" i="1"/>
  <c r="E59" i="121"/>
  <c r="E86" i="121"/>
  <c r="J132" i="121"/>
  <c r="D80" i="123"/>
  <c r="M15" i="121"/>
  <c r="G26" i="121"/>
  <c r="D145" i="123"/>
  <c r="F124" i="121"/>
  <c r="L83" i="121"/>
  <c r="D12" i="121"/>
  <c r="I54" i="121"/>
  <c r="H38" i="121"/>
  <c r="J20" i="121"/>
  <c r="F156" i="121"/>
  <c r="F14" i="57"/>
  <c r="F127" i="121"/>
  <c r="G32" i="121"/>
  <c r="F115" i="121"/>
  <c r="F121" i="121"/>
  <c r="E42" i="121"/>
  <c r="M80" i="121"/>
  <c r="J36" i="121"/>
  <c r="J19" i="121"/>
  <c r="I3" i="121"/>
  <c r="L113" i="121"/>
  <c r="L157" i="121"/>
  <c r="K65" i="121"/>
  <c r="F58" i="35"/>
  <c r="D59" i="121"/>
  <c r="L14" i="121"/>
  <c r="H133" i="121"/>
  <c r="K5" i="121"/>
  <c r="H165" i="121"/>
  <c r="L39" i="121"/>
  <c r="E169" i="121"/>
  <c r="H119" i="121"/>
  <c r="E149" i="121"/>
  <c r="H130" i="121"/>
  <c r="K138" i="121"/>
  <c r="H100" i="121"/>
  <c r="J140" i="121"/>
  <c r="M21" i="121"/>
  <c r="I28" i="121"/>
  <c r="F118" i="121"/>
  <c r="K34" i="121"/>
  <c r="J61" i="121"/>
  <c r="M141" i="121"/>
  <c r="K37" i="121"/>
  <c r="E136" i="121"/>
  <c r="E94" i="121"/>
  <c r="L149" i="121"/>
  <c r="G58" i="121"/>
  <c r="I48" i="121"/>
  <c r="K21" i="121"/>
  <c r="K118" i="121"/>
  <c r="D106" i="121"/>
  <c r="G100" i="121"/>
  <c r="G42" i="121"/>
  <c r="L161" i="121"/>
  <c r="D125" i="1"/>
  <c r="H72" i="121"/>
  <c r="L121" i="121"/>
  <c r="G86" i="121"/>
  <c r="L52" i="121"/>
  <c r="J71" i="121"/>
  <c r="D210" i="123"/>
  <c r="J95" i="121"/>
  <c r="F3" i="121"/>
  <c r="M52" i="121"/>
  <c r="H127" i="121"/>
  <c r="D102" i="1"/>
  <c r="K47" i="121"/>
  <c r="I100" i="121"/>
  <c r="F132" i="121"/>
  <c r="I168" i="121"/>
  <c r="E91" i="121"/>
  <c r="H32" i="121"/>
  <c r="G41" i="121"/>
  <c r="G158" i="121"/>
  <c r="J164" i="121"/>
  <c r="G134" i="121"/>
  <c r="F78" i="121"/>
  <c r="K166" i="121"/>
  <c r="D131" i="123"/>
  <c r="K132" i="121"/>
  <c r="Q214" i="123"/>
  <c r="D126" i="1"/>
  <c r="I103" i="121"/>
  <c r="D52" i="123"/>
  <c r="M157" i="121"/>
  <c r="F126" i="121"/>
  <c r="I93" i="121"/>
  <c r="D207" i="123"/>
  <c r="L134" i="121"/>
  <c r="D176" i="123"/>
  <c r="G55" i="121"/>
  <c r="M114" i="121"/>
  <c r="M108" i="121"/>
  <c r="D110" i="121"/>
  <c r="I53" i="121"/>
  <c r="H26" i="121"/>
  <c r="D79" i="1"/>
  <c r="D136" i="121"/>
  <c r="G147" i="121"/>
  <c r="D50" i="121"/>
  <c r="D66" i="1"/>
  <c r="J92" i="121"/>
  <c r="J18" i="121"/>
  <c r="H153" i="121"/>
  <c r="J67" i="121"/>
  <c r="M136" i="121"/>
  <c r="D209" i="123"/>
  <c r="J104" i="121"/>
  <c r="G135" i="121"/>
  <c r="J32" i="121"/>
  <c r="H79" i="121"/>
  <c r="D117" i="121"/>
  <c r="D95" i="121"/>
  <c r="I5" i="121"/>
  <c r="F42" i="57"/>
  <c r="M129" i="121"/>
  <c r="K12" i="121"/>
  <c r="L81" i="121"/>
  <c r="K48" i="121"/>
  <c r="J156" i="121"/>
  <c r="D129" i="121"/>
  <c r="D157" i="121"/>
  <c r="F40" i="121"/>
  <c r="D125" i="121"/>
  <c r="F147" i="121"/>
  <c r="D175" i="123"/>
  <c r="D65" i="123"/>
  <c r="F134" i="121"/>
  <c r="E142" i="121"/>
  <c r="M4" i="121"/>
  <c r="H156" i="121"/>
  <c r="G120" i="121"/>
  <c r="F95" i="121"/>
  <c r="D196" i="123"/>
  <c r="L37" i="121"/>
  <c r="F159" i="121"/>
  <c r="J141" i="121"/>
  <c r="G10" i="121"/>
  <c r="J42" i="121"/>
  <c r="D56" i="121"/>
  <c r="D73" i="121"/>
  <c r="L64" i="121"/>
  <c r="F70" i="121"/>
  <c r="F84" i="121"/>
  <c r="E70" i="121"/>
  <c r="I121" i="121"/>
  <c r="E24" i="121"/>
  <c r="E110" i="121"/>
  <c r="E163" i="121"/>
  <c r="M82" i="121"/>
  <c r="M102" i="121"/>
  <c r="K60" i="121"/>
  <c r="G67" i="121"/>
  <c r="H164" i="121"/>
  <c r="F111" i="121"/>
  <c r="E125" i="121"/>
  <c r="E168" i="121"/>
  <c r="F130" i="121"/>
  <c r="E81" i="121"/>
  <c r="K99" i="121"/>
  <c r="I10" i="121"/>
  <c r="J98" i="121"/>
  <c r="E60" i="121"/>
  <c r="H7" i="121"/>
  <c r="F140" i="121"/>
  <c r="D15" i="121"/>
  <c r="Q184" i="123"/>
  <c r="K6" i="121"/>
  <c r="E85" i="121"/>
  <c r="F20" i="57"/>
  <c r="D199" i="123"/>
  <c r="D166" i="123"/>
  <c r="D126" i="123"/>
  <c r="E112" i="121"/>
  <c r="L35" i="121"/>
  <c r="D81" i="123"/>
  <c r="D153" i="123"/>
  <c r="L53" i="121"/>
  <c r="F68" i="57"/>
  <c r="L54" i="121"/>
  <c r="M64" i="121"/>
  <c r="D68" i="121"/>
  <c r="D123" i="121"/>
  <c r="G57" i="121"/>
  <c r="I76" i="121"/>
  <c r="D137" i="121"/>
  <c r="D118" i="1"/>
  <c r="H31" i="121"/>
  <c r="H141" i="121"/>
  <c r="L21" i="121"/>
  <c r="I163" i="121"/>
  <c r="H125" i="121"/>
  <c r="E128" i="121"/>
  <c r="E8" i="121"/>
  <c r="J127" i="121"/>
  <c r="J44" i="121"/>
  <c r="M24" i="121"/>
  <c r="K117" i="121"/>
  <c r="M135" i="121"/>
  <c r="F18" i="121"/>
  <c r="D114" i="123"/>
  <c r="M117" i="121"/>
  <c r="D140" i="121"/>
  <c r="F88" i="121"/>
  <c r="J22" i="121"/>
  <c r="D132" i="123"/>
  <c r="M79" i="121"/>
  <c r="E29" i="121"/>
  <c r="L69" i="121"/>
  <c r="I71" i="121"/>
  <c r="F23" i="121"/>
  <c r="F37" i="121"/>
  <c r="I131" i="121"/>
  <c r="D204" i="123"/>
  <c r="J155" i="121"/>
  <c r="D82" i="1"/>
  <c r="I20" i="121"/>
  <c r="G6" i="121"/>
  <c r="I120" i="121"/>
  <c r="D88" i="121"/>
  <c r="I51" i="121"/>
  <c r="I59" i="121"/>
  <c r="E12" i="121"/>
  <c r="I111" i="121"/>
  <c r="H58" i="121"/>
  <c r="D131" i="121"/>
  <c r="D146" i="121"/>
  <c r="I15" i="121"/>
  <c r="E137" i="121"/>
  <c r="G17" i="121"/>
  <c r="L163" i="121"/>
  <c r="I26" i="121"/>
  <c r="F163" i="121"/>
  <c r="K16" i="121"/>
  <c r="H98" i="121"/>
  <c r="L115" i="121"/>
  <c r="H95" i="121"/>
  <c r="I79" i="121"/>
  <c r="J122" i="121"/>
  <c r="H144" i="121"/>
  <c r="F47" i="121"/>
  <c r="J4" i="121"/>
  <c r="E164" i="121"/>
  <c r="M113" i="121"/>
  <c r="M127" i="121"/>
  <c r="G106" i="121"/>
  <c r="F33" i="121"/>
  <c r="D126" i="121"/>
  <c r="D138" i="121"/>
  <c r="G24" i="121"/>
  <c r="E126" i="121"/>
  <c r="M19" i="121"/>
  <c r="L103" i="121"/>
  <c r="E80" i="121"/>
  <c r="J13" i="121"/>
  <c r="H8" i="121"/>
  <c r="L23" i="121"/>
  <c r="E154" i="121"/>
  <c r="K70" i="121"/>
  <c r="M88" i="121"/>
  <c r="J26" i="121"/>
  <c r="M164" i="121"/>
  <c r="G121" i="121"/>
  <c r="F45" i="121"/>
  <c r="E108" i="121"/>
  <c r="F8" i="57"/>
  <c r="D140" i="123"/>
  <c r="M23" i="121"/>
  <c r="J153" i="121"/>
  <c r="D44" i="121"/>
  <c r="G45" i="121"/>
  <c r="L100" i="121"/>
  <c r="E57" i="121"/>
  <c r="D83" i="121"/>
  <c r="K57" i="121"/>
  <c r="D58" i="121"/>
  <c r="D190" i="123"/>
  <c r="M14" i="121"/>
  <c r="E87" i="121"/>
  <c r="L86" i="121"/>
  <c r="H41" i="121"/>
  <c r="L17" i="121"/>
  <c r="L7" i="121"/>
  <c r="J52" i="121"/>
  <c r="D18" i="121"/>
  <c r="K62" i="121"/>
  <c r="H161" i="121"/>
  <c r="M57" i="121"/>
  <c r="D144" i="1"/>
  <c r="D23" i="121"/>
  <c r="D96" i="123"/>
  <c r="M161" i="121"/>
  <c r="D165" i="121"/>
  <c r="F153" i="121"/>
  <c r="K94" i="121"/>
  <c r="J103" i="121"/>
  <c r="F50" i="121"/>
  <c r="I72" i="121"/>
  <c r="E55" i="121"/>
  <c r="J53" i="121"/>
  <c r="L65" i="121"/>
  <c r="G4" i="121"/>
  <c r="E14" i="121"/>
  <c r="L80" i="121"/>
  <c r="F57" i="121"/>
  <c r="F22" i="121"/>
  <c r="I135" i="121"/>
  <c r="G91" i="121"/>
  <c r="D174" i="123"/>
  <c r="M153" i="121"/>
  <c r="G163" i="121"/>
  <c r="D67" i="1"/>
  <c r="J139" i="121"/>
  <c r="E107" i="121"/>
  <c r="D99" i="123"/>
  <c r="J46" i="121"/>
  <c r="F36" i="57"/>
  <c r="G36" i="121"/>
  <c r="E166" i="121"/>
  <c r="M42" i="121"/>
  <c r="D54" i="121"/>
  <c r="H123" i="121"/>
  <c r="I62" i="121"/>
  <c r="L118" i="121"/>
  <c r="L85" i="121"/>
  <c r="F46" i="35"/>
  <c r="M13" i="121"/>
  <c r="H59" i="121"/>
  <c r="G125" i="121"/>
  <c r="J107" i="121"/>
  <c r="M6" i="121"/>
  <c r="D71" i="121"/>
  <c r="F169" i="121"/>
  <c r="F28" i="121"/>
  <c r="L50" i="121"/>
  <c r="H61" i="121"/>
  <c r="L48" i="121"/>
  <c r="M147" i="121"/>
  <c r="D146" i="123"/>
  <c r="D56" i="123"/>
  <c r="D24" i="121"/>
  <c r="I31" i="121"/>
  <c r="L148" i="121"/>
  <c r="D13" i="121"/>
  <c r="L155" i="121"/>
  <c r="K25" i="121"/>
  <c r="E120" i="121"/>
  <c r="D151" i="121"/>
  <c r="G46" i="121"/>
  <c r="K79" i="121"/>
  <c r="D58" i="123"/>
  <c r="K126" i="121"/>
  <c r="H80" i="121"/>
  <c r="K128" i="121"/>
  <c r="H147" i="121"/>
  <c r="K119" i="121"/>
  <c r="M146" i="121"/>
  <c r="M78" i="121"/>
  <c r="G157" i="121"/>
  <c r="M145" i="121"/>
  <c r="K157" i="121"/>
  <c r="L132" i="121"/>
  <c r="G93" i="121"/>
  <c r="J85" i="121"/>
  <c r="K45" i="121"/>
  <c r="K31" i="121"/>
  <c r="K89" i="121"/>
  <c r="G122" i="121"/>
  <c r="I30" i="121"/>
  <c r="J149" i="121"/>
  <c r="F51" i="121"/>
  <c r="J62" i="121"/>
  <c r="D166" i="121"/>
  <c r="D136" i="123"/>
  <c r="E34" i="121"/>
  <c r="E75" i="121"/>
  <c r="E56" i="121"/>
  <c r="I127" i="121"/>
  <c r="K50" i="121"/>
  <c r="L143" i="121"/>
  <c r="M76" i="121"/>
  <c r="H5" i="121"/>
  <c r="J43" i="121"/>
  <c r="M30" i="121"/>
  <c r="G102" i="121"/>
  <c r="F155" i="121"/>
  <c r="E72" i="121"/>
  <c r="K120" i="121"/>
  <c r="I166" i="121"/>
  <c r="H140" i="121"/>
  <c r="H56" i="121"/>
  <c r="D114" i="121"/>
  <c r="F168" i="121"/>
  <c r="E5" i="121"/>
  <c r="D11" i="121"/>
  <c r="H145" i="121"/>
  <c r="L4" i="121"/>
  <c r="K163" i="121"/>
  <c r="I89" i="121"/>
  <c r="D50" i="123"/>
  <c r="K109" i="121"/>
  <c r="J73" i="121"/>
  <c r="D75" i="121"/>
  <c r="G132" i="121"/>
  <c r="G68" i="121"/>
  <c r="D147" i="123"/>
  <c r="D16" i="1"/>
  <c r="G71" i="121"/>
  <c r="E69" i="121"/>
  <c r="D14" i="121"/>
  <c r="L90" i="121"/>
  <c r="M112" i="121"/>
  <c r="D55" i="123"/>
  <c r="M152" i="121"/>
  <c r="I39" i="121"/>
  <c r="M94" i="121"/>
  <c r="K10" i="121"/>
  <c r="L75" i="121"/>
  <c r="L152" i="121"/>
  <c r="K61" i="121"/>
  <c r="H105" i="121"/>
  <c r="I58" i="121"/>
  <c r="H49" i="121"/>
  <c r="J81" i="121"/>
  <c r="K58" i="121"/>
  <c r="K85" i="121"/>
  <c r="J110" i="121"/>
  <c r="M43" i="121"/>
  <c r="I122" i="121"/>
  <c r="E155" i="121"/>
  <c r="G119" i="121"/>
  <c r="J14" i="121"/>
  <c r="G109" i="121"/>
  <c r="F120" i="121"/>
  <c r="F119" i="121"/>
  <c r="L138" i="121"/>
  <c r="H82" i="121"/>
  <c r="K4" i="121"/>
  <c r="L19" i="121"/>
  <c r="L15" i="121"/>
  <c r="I107" i="121"/>
  <c r="D60" i="121"/>
  <c r="I22" i="121"/>
  <c r="K100" i="121"/>
  <c r="I147" i="121"/>
  <c r="E25" i="121"/>
  <c r="E93" i="121"/>
  <c r="F108" i="121"/>
  <c r="K80" i="121"/>
  <c r="H151" i="121"/>
  <c r="H21" i="121"/>
  <c r="F165" i="121"/>
  <c r="I169" i="121"/>
  <c r="F4" i="121"/>
  <c r="G139" i="121"/>
  <c r="I49" i="121"/>
  <c r="J135" i="121"/>
  <c r="L128" i="121"/>
  <c r="K42" i="121"/>
  <c r="D120" i="123"/>
  <c r="M160" i="121"/>
  <c r="F83" i="121"/>
  <c r="D10" i="121"/>
  <c r="D51" i="123"/>
  <c r="H120" i="121"/>
  <c r="I27" i="121"/>
  <c r="H107" i="121"/>
  <c r="E144" i="121"/>
  <c r="E58" i="121"/>
  <c r="H63" i="121"/>
  <c r="M29" i="121"/>
  <c r="D180" i="123"/>
  <c r="M140" i="121"/>
  <c r="J7" i="121"/>
  <c r="J49" i="121"/>
  <c r="E92" i="121"/>
  <c r="L27" i="121"/>
  <c r="K88" i="121"/>
  <c r="L107" i="121"/>
  <c r="D141" i="1"/>
  <c r="J96" i="121"/>
  <c r="I151" i="121"/>
  <c r="G63" i="121"/>
  <c r="F30" i="121"/>
  <c r="M124" i="121"/>
  <c r="L5" i="121"/>
  <c r="I36" i="121"/>
  <c r="K111" i="121"/>
  <c r="K86" i="121"/>
  <c r="M162" i="121"/>
  <c r="F113" i="121"/>
  <c r="G64" i="121"/>
  <c r="G37" i="121"/>
  <c r="J130" i="121"/>
  <c r="K15" i="121"/>
  <c r="F131" i="121"/>
  <c r="J24" i="121"/>
  <c r="L110" i="121"/>
  <c r="L68" i="121"/>
  <c r="D108" i="123"/>
  <c r="F167" i="121"/>
  <c r="M10" i="121"/>
  <c r="D113" i="1"/>
  <c r="J160" i="121"/>
  <c r="F4" i="57"/>
  <c r="M103" i="121"/>
  <c r="K90" i="121"/>
  <c r="E27" i="121"/>
  <c r="J39" i="121"/>
  <c r="G96" i="121"/>
  <c r="K53" i="121"/>
  <c r="I60" i="121"/>
  <c r="M66" i="121"/>
  <c r="H96" i="121"/>
  <c r="D128" i="121"/>
  <c r="H137" i="121"/>
  <c r="D163" i="123"/>
  <c r="H30" i="121"/>
  <c r="M83" i="121"/>
  <c r="D184" i="123"/>
  <c r="I32" i="121"/>
  <c r="D124" i="121"/>
  <c r="D165" i="123"/>
  <c r="F105" i="121"/>
  <c r="D169" i="121"/>
  <c r="G19" i="121"/>
  <c r="G164" i="121"/>
  <c r="J124" i="121"/>
  <c r="I66" i="121"/>
  <c r="J35" i="121"/>
  <c r="F63" i="121"/>
  <c r="D80" i="1"/>
  <c r="J41" i="121"/>
  <c r="I7" i="121"/>
  <c r="E101" i="121"/>
  <c r="F7" i="121"/>
  <c r="F36" i="121"/>
  <c r="E45" i="121"/>
  <c r="H12" i="121"/>
  <c r="K168" i="121"/>
  <c r="D194" i="123"/>
  <c r="D103" i="123"/>
  <c r="D16" i="121"/>
  <c r="K144" i="121"/>
  <c r="J123" i="121"/>
  <c r="D89" i="123"/>
  <c r="H47" i="121"/>
  <c r="K59" i="121"/>
  <c r="K43" i="121"/>
  <c r="H114" i="121"/>
  <c r="H29" i="121"/>
  <c r="F39" i="121"/>
  <c r="M168" i="121"/>
  <c r="G128" i="121"/>
  <c r="D164" i="123"/>
  <c r="G154" i="121"/>
  <c r="M74" i="121"/>
  <c r="J147" i="121"/>
  <c r="M26" i="121"/>
  <c r="G54" i="121"/>
  <c r="D72" i="121"/>
  <c r="E129" i="121"/>
  <c r="G161" i="121"/>
  <c r="F67" i="121"/>
  <c r="M163" i="121"/>
  <c r="F5" i="57"/>
  <c r="J138" i="121"/>
  <c r="M105" i="121"/>
  <c r="I132" i="121"/>
  <c r="G151" i="121"/>
  <c r="L153" i="121"/>
  <c r="M156" i="121"/>
  <c r="F85" i="121"/>
  <c r="K20" i="121"/>
  <c r="H121" i="121"/>
  <c r="F12" i="57"/>
  <c r="L46" i="121"/>
  <c r="D133" i="121"/>
  <c r="D27" i="121"/>
  <c r="D165" i="1"/>
  <c r="D65" i="121"/>
  <c r="D8" i="1"/>
  <c r="I145" i="121"/>
  <c r="D74" i="121"/>
  <c r="I143" i="121"/>
  <c r="M48" i="121"/>
  <c r="J23" i="121"/>
  <c r="M104" i="121"/>
  <c r="F16" i="121"/>
  <c r="M25" i="121"/>
  <c r="G110" i="121"/>
  <c r="K78" i="121"/>
  <c r="M123" i="121"/>
  <c r="D31" i="121"/>
  <c r="E132" i="121"/>
  <c r="D83" i="1"/>
  <c r="E98" i="121"/>
  <c r="G21" i="121"/>
  <c r="D137" i="123"/>
  <c r="L62" i="121"/>
  <c r="D117" i="1"/>
  <c r="E52" i="121"/>
  <c r="L6" i="121"/>
  <c r="K102" i="121"/>
  <c r="G87" i="121"/>
  <c r="H81" i="121"/>
  <c r="M115" i="121"/>
  <c r="M106" i="121"/>
  <c r="D80" i="121"/>
  <c r="E121" i="121"/>
  <c r="F43" i="121"/>
  <c r="E46" i="121"/>
  <c r="H89" i="121"/>
  <c r="F150" i="121"/>
  <c r="K124" i="121"/>
  <c r="M60" i="121"/>
  <c r="H64" i="121"/>
  <c r="F144" i="121"/>
  <c r="F157" i="121"/>
  <c r="D161" i="121"/>
  <c r="F52" i="35"/>
  <c r="F89" i="35"/>
  <c r="F103" i="121"/>
  <c r="H118" i="121"/>
  <c r="D91" i="121"/>
  <c r="K142" i="121"/>
  <c r="M37" i="121"/>
  <c r="E66" i="121"/>
  <c r="J142" i="121"/>
  <c r="L150" i="121"/>
  <c r="D200" i="123"/>
  <c r="J51" i="121"/>
  <c r="E33" i="121"/>
  <c r="J9" i="121"/>
  <c r="L38" i="121"/>
  <c r="K35" i="121"/>
  <c r="F50" i="57"/>
  <c r="F117" i="121"/>
  <c r="I116" i="121"/>
  <c r="G116" i="121"/>
  <c r="M96" i="121"/>
  <c r="K167" i="121"/>
  <c r="L59" i="121"/>
  <c r="L13" i="121"/>
  <c r="D48" i="123"/>
  <c r="L31" i="121"/>
  <c r="F137" i="121"/>
  <c r="H94" i="121"/>
  <c r="H150" i="121"/>
  <c r="J91" i="121"/>
  <c r="H73" i="121"/>
  <c r="F18" i="57"/>
  <c r="I119" i="121"/>
  <c r="L162" i="121"/>
  <c r="K77" i="121"/>
  <c r="G98" i="121"/>
  <c r="I35" i="121"/>
  <c r="I14" i="121"/>
  <c r="G61" i="121"/>
  <c r="K146" i="121"/>
  <c r="I68" i="121"/>
  <c r="F152" i="121"/>
  <c r="K68" i="121"/>
  <c r="I94" i="121"/>
  <c r="D89" i="121"/>
  <c r="K153" i="121"/>
  <c r="L119" i="121"/>
  <c r="F44" i="121"/>
  <c r="K32" i="121"/>
  <c r="E159" i="121"/>
  <c r="L26" i="121"/>
  <c r="K87" i="121"/>
  <c r="L8" i="121"/>
  <c r="L61" i="121"/>
  <c r="F110" i="121"/>
  <c r="J100" i="121"/>
  <c r="L18" i="121"/>
  <c r="H109" i="121"/>
  <c r="H152" i="121"/>
  <c r="G169" i="121"/>
  <c r="M59" i="121"/>
  <c r="K154" i="121"/>
  <c r="H70" i="121"/>
  <c r="D10" i="1"/>
  <c r="D92" i="123"/>
  <c r="E102" i="121"/>
  <c r="E148" i="121"/>
  <c r="D187" i="123"/>
  <c r="F42" i="121"/>
  <c r="K105" i="121"/>
  <c r="M18" i="121"/>
  <c r="E49" i="121"/>
  <c r="I56" i="121"/>
  <c r="F86" i="121"/>
  <c r="M89" i="121"/>
  <c r="G53" i="121"/>
  <c r="F46" i="121"/>
  <c r="F139" i="121"/>
  <c r="D35" i="121"/>
  <c r="I78" i="121"/>
  <c r="G12" i="121"/>
  <c r="L74" i="121"/>
  <c r="H22" i="121"/>
  <c r="M158" i="121"/>
  <c r="K97" i="121"/>
  <c r="L9" i="121"/>
  <c r="G29" i="121"/>
  <c r="D213" i="123"/>
  <c r="H85" i="121"/>
  <c r="G59" i="121"/>
  <c r="L136" i="121"/>
  <c r="H39" i="121"/>
  <c r="E40" i="121"/>
  <c r="D21" i="121"/>
  <c r="J113" i="121"/>
  <c r="I85" i="121"/>
  <c r="D124" i="1"/>
  <c r="K81" i="121"/>
  <c r="L127" i="121"/>
  <c r="M111" i="121"/>
  <c r="F87" i="121"/>
  <c r="I70" i="121"/>
  <c r="E116" i="121"/>
  <c r="E133" i="121"/>
  <c r="E18" i="121"/>
  <c r="I84" i="121"/>
  <c r="E32" i="121"/>
  <c r="J12" i="121"/>
  <c r="D118" i="121"/>
  <c r="K52" i="121"/>
  <c r="D143" i="123"/>
  <c r="D19" i="121"/>
  <c r="F122" i="121"/>
  <c r="J45" i="121"/>
  <c r="H46" i="121"/>
  <c r="H92" i="121"/>
  <c r="J11" i="121"/>
  <c r="M70" i="121"/>
  <c r="J134" i="121"/>
  <c r="L57" i="121"/>
  <c r="I150" i="121"/>
  <c r="L28" i="121"/>
  <c r="G114" i="121"/>
  <c r="J84" i="121"/>
  <c r="G38" i="121"/>
  <c r="I162" i="121"/>
  <c r="M118" i="121"/>
  <c r="I23" i="121"/>
  <c r="D72" i="1"/>
  <c r="L104" i="121"/>
  <c r="D103" i="121"/>
  <c r="G145" i="121"/>
  <c r="D82" i="121"/>
  <c r="H168" i="121"/>
  <c r="E131" i="121"/>
  <c r="E50" i="121"/>
  <c r="H6" i="121"/>
  <c r="K133" i="121"/>
  <c r="D152" i="123"/>
  <c r="D168" i="121"/>
  <c r="F125" i="121"/>
  <c r="D60" i="123"/>
  <c r="I148" i="121"/>
  <c r="L95" i="121"/>
  <c r="D5" i="1"/>
  <c r="K17" i="121"/>
  <c r="K143" i="121"/>
  <c r="H67" i="121"/>
  <c r="M91" i="121"/>
  <c r="G83" i="121"/>
  <c r="M56" i="121"/>
  <c r="F107" i="121"/>
  <c r="J118" i="121"/>
  <c r="M22" i="121"/>
  <c r="F37" i="57"/>
  <c r="D76" i="121"/>
  <c r="D109" i="123"/>
  <c r="I4" i="121"/>
  <c r="G27" i="121"/>
  <c r="E100" i="121"/>
  <c r="M28" i="121"/>
  <c r="L43" i="121"/>
  <c r="M45" i="121"/>
  <c r="J33" i="121"/>
  <c r="H131" i="121"/>
  <c r="E13" i="121"/>
  <c r="G73" i="121"/>
  <c r="D63" i="1"/>
  <c r="E146" i="121"/>
  <c r="I118" i="121"/>
  <c r="K149" i="121"/>
  <c r="G18" i="121"/>
  <c r="D61" i="121"/>
  <c r="J90" i="121"/>
  <c r="H52" i="121"/>
  <c r="I25" i="121"/>
  <c r="I80" i="121"/>
  <c r="G156" i="121"/>
  <c r="M93" i="121"/>
  <c r="K11" i="121"/>
  <c r="H23" i="121"/>
  <c r="D108" i="1"/>
  <c r="J161" i="121"/>
  <c r="J37" i="121"/>
  <c r="G89" i="121"/>
  <c r="L102" i="121"/>
  <c r="J57" i="121"/>
  <c r="I24" i="121"/>
  <c r="D26" i="121"/>
  <c r="G107" i="121"/>
  <c r="M98" i="121"/>
  <c r="E82" i="121"/>
  <c r="D113" i="121"/>
  <c r="K165" i="121"/>
  <c r="D129" i="123"/>
  <c r="D96" i="121"/>
  <c r="I136" i="121"/>
  <c r="J27" i="121"/>
  <c r="E109" i="121"/>
  <c r="D110" i="123"/>
  <c r="F123" i="121"/>
  <c r="H54" i="121"/>
  <c r="E61" i="121"/>
  <c r="J136" i="121"/>
  <c r="J80" i="121"/>
  <c r="D120" i="121"/>
  <c r="D118" i="123"/>
  <c r="G88" i="121"/>
  <c r="J76" i="121"/>
  <c r="M8" i="121"/>
  <c r="M97" i="121"/>
  <c r="D112" i="1"/>
  <c r="I98" i="121"/>
  <c r="M3" i="121"/>
  <c r="F44" i="57"/>
  <c r="D203" i="123"/>
  <c r="G101" i="121"/>
  <c r="L22" i="121"/>
  <c r="G72" i="121"/>
  <c r="E77" i="121"/>
  <c r="F62" i="121"/>
  <c r="E106" i="121"/>
  <c r="M169" i="121"/>
  <c r="E35" i="121"/>
  <c r="K136" i="121"/>
  <c r="E97" i="121"/>
  <c r="I102" i="121"/>
  <c r="D214" i="123"/>
  <c r="L140" i="121"/>
  <c r="F78" i="57"/>
  <c r="D84" i="1"/>
  <c r="I34" i="121"/>
  <c r="K140" i="121"/>
  <c r="K22" i="121"/>
  <c r="K30" i="121"/>
  <c r="E65" i="121"/>
  <c r="D8" i="121"/>
  <c r="F80" i="121"/>
  <c r="G103" i="121"/>
  <c r="E17" i="121"/>
  <c r="J169" i="121"/>
  <c r="G43" i="121"/>
  <c r="D143" i="1"/>
  <c r="H50" i="121"/>
  <c r="I138" i="121"/>
  <c r="I156" i="121"/>
  <c r="L105" i="121"/>
  <c r="D100" i="123"/>
  <c r="F49" i="121"/>
  <c r="E44" i="121"/>
  <c r="I167" i="121"/>
  <c r="G131" i="121"/>
  <c r="L117" i="121"/>
  <c r="G124" i="121"/>
  <c r="H53" i="121"/>
  <c r="I144" i="121"/>
  <c r="D55" i="121"/>
  <c r="K155" i="121"/>
  <c r="F82" i="121"/>
  <c r="D77" i="121"/>
  <c r="M150" i="121"/>
  <c r="K110" i="121"/>
  <c r="M50" i="121"/>
  <c r="J151" i="121"/>
  <c r="J55" i="121"/>
  <c r="H74" i="121"/>
  <c r="K130" i="121"/>
  <c r="H13" i="121"/>
  <c r="M47" i="121"/>
  <c r="F98" i="121"/>
  <c r="L63" i="121"/>
  <c r="K49" i="121"/>
  <c r="J159" i="121"/>
  <c r="L36" i="121"/>
  <c r="F60" i="57"/>
  <c r="E143" i="121"/>
  <c r="F20" i="121"/>
  <c r="E11" i="121"/>
  <c r="G47" i="121"/>
  <c r="F148" i="121"/>
  <c r="D167" i="123"/>
  <c r="D68" i="123"/>
  <c r="I41" i="121"/>
  <c r="F35" i="121"/>
  <c r="E89" i="121"/>
  <c r="F80" i="57"/>
  <c r="K164" i="121"/>
  <c r="K162" i="121"/>
  <c r="D142" i="121"/>
  <c r="F41" i="121"/>
  <c r="H15" i="121"/>
  <c r="I126" i="121"/>
  <c r="D90" i="121"/>
  <c r="F24" i="121"/>
  <c r="M87" i="121"/>
  <c r="I42" i="121"/>
  <c r="J133" i="121"/>
  <c r="F55" i="121"/>
  <c r="K121" i="121"/>
  <c r="F10" i="121"/>
  <c r="H84" i="121"/>
  <c r="M12" i="121"/>
  <c r="F151" i="121"/>
  <c r="F160" i="121"/>
  <c r="J102" i="121"/>
  <c r="J59" i="121"/>
  <c r="M36" i="121"/>
  <c r="I113" i="121"/>
  <c r="I137" i="121"/>
  <c r="E7" i="121"/>
  <c r="K24" i="121"/>
  <c r="K151" i="121"/>
  <c r="H157" i="121"/>
  <c r="D66" i="121"/>
  <c r="D153" i="121"/>
  <c r="E41" i="121"/>
  <c r="G111" i="121"/>
  <c r="J78" i="121"/>
  <c r="E167" i="121"/>
  <c r="M107" i="121"/>
  <c r="I117" i="121"/>
  <c r="H135" i="121"/>
  <c r="E96" i="121"/>
  <c r="D12" i="1"/>
  <c r="I109" i="121"/>
  <c r="D154" i="121"/>
  <c r="M143" i="121"/>
  <c r="D149" i="121"/>
  <c r="J65" i="121"/>
  <c r="E79" i="121"/>
  <c r="D212" i="123"/>
  <c r="G5" i="121"/>
  <c r="D27" i="1"/>
  <c r="J143" i="121"/>
  <c r="H166" i="121"/>
  <c r="M120" i="121"/>
  <c r="E165" i="121"/>
  <c r="F138" i="121"/>
  <c r="Q194" i="123"/>
  <c r="D158" i="121"/>
  <c r="D45" i="121"/>
  <c r="F133" i="121"/>
  <c r="K26" i="121"/>
  <c r="I149" i="121"/>
  <c r="G76" i="121"/>
  <c r="H28" i="121"/>
  <c r="F146" i="121"/>
  <c r="L151" i="121"/>
  <c r="L125" i="121"/>
  <c r="F15" i="121"/>
  <c r="H60" i="121"/>
  <c r="F26" i="121"/>
  <c r="H108" i="121"/>
  <c r="D135" i="121"/>
  <c r="J97" i="121"/>
  <c r="F94" i="121"/>
  <c r="F102" i="121"/>
  <c r="J93" i="121"/>
  <c r="H16" i="121"/>
  <c r="F59" i="121"/>
  <c r="D99" i="121"/>
  <c r="M165" i="121"/>
  <c r="D122" i="123"/>
  <c r="G129" i="121"/>
  <c r="J145" i="121"/>
  <c r="G152" i="121"/>
  <c r="H11" i="121"/>
  <c r="F97" i="121"/>
  <c r="L123" i="121"/>
  <c r="J6" i="121"/>
  <c r="J158" i="121"/>
  <c r="F101" i="121"/>
  <c r="D116" i="1"/>
  <c r="M139" i="121"/>
  <c r="D79" i="121"/>
  <c r="D28" i="121"/>
  <c r="M58" i="121"/>
  <c r="H93" i="121"/>
  <c r="L20" i="121"/>
  <c r="L93" i="121"/>
  <c r="K137" i="121"/>
  <c r="I152" i="121"/>
  <c r="K41" i="121"/>
  <c r="L129" i="121"/>
  <c r="G165" i="121"/>
  <c r="L168" i="121"/>
  <c r="I29" i="121"/>
  <c r="E114" i="121"/>
  <c r="E74" i="121"/>
  <c r="L165" i="121"/>
  <c r="J50" i="121"/>
  <c r="D3" i="121"/>
  <c r="D98" i="123"/>
  <c r="M73" i="121"/>
  <c r="K98" i="121"/>
  <c r="D30" i="121"/>
  <c r="L146" i="121"/>
  <c r="L101" i="121"/>
  <c r="D47" i="121"/>
  <c r="G148" i="121"/>
  <c r="L34" i="121"/>
  <c r="J119" i="121"/>
  <c r="D36" i="1"/>
  <c r="H110" i="121"/>
  <c r="M63" i="121"/>
  <c r="G130" i="121"/>
  <c r="G22" i="121"/>
  <c r="G9" i="121"/>
  <c r="H77" i="121"/>
  <c r="G126" i="121"/>
  <c r="E152" i="121"/>
  <c r="I157" i="121"/>
  <c r="J34" i="121"/>
  <c r="I140" i="121"/>
  <c r="G112" i="121"/>
  <c r="E23" i="121"/>
  <c r="D9" i="1"/>
  <c r="H148" i="121"/>
  <c r="L41" i="121"/>
  <c r="K141" i="121"/>
  <c r="I129" i="121"/>
  <c r="M85" i="121"/>
  <c r="M54" i="121"/>
  <c r="K129" i="121"/>
  <c r="E150" i="121"/>
  <c r="L142" i="121"/>
  <c r="G140" i="121"/>
  <c r="I90" i="121"/>
  <c r="J77" i="121"/>
  <c r="D66" i="123"/>
  <c r="H129" i="121"/>
  <c r="D113" i="123"/>
  <c r="E15" i="121"/>
  <c r="F48" i="57"/>
  <c r="F27" i="121"/>
  <c r="I38" i="121"/>
  <c r="M46" i="121"/>
  <c r="I165" i="121"/>
  <c r="J163" i="121"/>
  <c r="H124" i="121"/>
  <c r="M40" i="121"/>
  <c r="J29" i="121"/>
  <c r="D70" i="121"/>
  <c r="M39" i="121"/>
  <c r="D70" i="123"/>
  <c r="H113" i="121"/>
  <c r="I96" i="121"/>
  <c r="H33" i="121"/>
  <c r="D47" i="123"/>
  <c r="F19" i="57"/>
  <c r="D14" i="1"/>
  <c r="H103" i="121"/>
  <c r="L167" i="121"/>
  <c r="K135" i="121"/>
  <c r="D5" i="121"/>
  <c r="K23" i="121"/>
  <c r="L30" i="121"/>
  <c r="I95" i="121"/>
  <c r="E158" i="121"/>
  <c r="D104" i="121"/>
  <c r="K54" i="121"/>
  <c r="D36" i="121"/>
  <c r="J166" i="121"/>
  <c r="D108" i="121"/>
  <c r="J66" i="121"/>
  <c r="D140" i="1"/>
  <c r="D206" i="123"/>
  <c r="L77" i="121"/>
  <c r="J126" i="121"/>
  <c r="J137" i="121"/>
  <c r="G94" i="121"/>
  <c r="J94" i="121"/>
  <c r="D119" i="121"/>
  <c r="F38" i="121"/>
  <c r="M121" i="121"/>
  <c r="H71" i="121"/>
  <c r="K134" i="121"/>
  <c r="E161" i="121"/>
  <c r="L106" i="121"/>
  <c r="L58" i="121"/>
  <c r="J148" i="121"/>
  <c r="K95" i="121"/>
  <c r="E99" i="121"/>
  <c r="L88" i="121"/>
  <c r="K92" i="121"/>
  <c r="I18" i="121"/>
  <c r="K148" i="121"/>
  <c r="E127" i="121"/>
  <c r="D114" i="1"/>
  <c r="H25" i="121"/>
  <c r="H34" i="121"/>
  <c r="J38" i="121"/>
  <c r="D59" i="1"/>
  <c r="J167" i="121"/>
  <c r="L76" i="121"/>
  <c r="I65" i="121"/>
  <c r="D193" i="123"/>
  <c r="I74" i="121"/>
  <c r="E71" i="121"/>
  <c r="M86" i="121"/>
  <c r="D121" i="123"/>
  <c r="M11" i="121"/>
  <c r="M55" i="121"/>
  <c r="H159" i="121"/>
  <c r="E103" i="121"/>
  <c r="G155" i="121"/>
  <c r="J40" i="121"/>
  <c r="L145" i="121"/>
  <c r="G44" i="121"/>
  <c r="K84" i="121"/>
  <c r="K3" i="121"/>
  <c r="E20" i="121"/>
  <c r="G104" i="121"/>
  <c r="L10" i="121"/>
  <c r="K44" i="121"/>
  <c r="F60" i="121"/>
  <c r="D61" i="123"/>
  <c r="F161" i="121"/>
  <c r="F79" i="121"/>
  <c r="H136" i="121"/>
  <c r="M38" i="121"/>
  <c r="D100" i="121"/>
  <c r="G153" i="121"/>
  <c r="D150" i="121"/>
  <c r="G28" i="121"/>
  <c r="I160" i="121"/>
  <c r="L49" i="121"/>
  <c r="M100" i="121"/>
  <c r="F52" i="121"/>
  <c r="G39" i="121"/>
  <c r="D197" i="123"/>
  <c r="H97" i="121"/>
  <c r="D71" i="1"/>
  <c r="I47" i="121"/>
  <c r="I128" i="121"/>
  <c r="F129" i="121"/>
  <c r="D186" i="123"/>
  <c r="D186" i="1" l="1"/>
  <c r="D78" i="1"/>
  <c r="D249" i="1" s="1"/>
  <c r="Y150" i="121"/>
  <c r="Y100" i="121"/>
  <c r="D201" i="1"/>
  <c r="D60" i="1"/>
  <c r="D247" i="1" s="1"/>
  <c r="D198" i="1"/>
  <c r="D138" i="1"/>
  <c r="Y119" i="121"/>
  <c r="D145" i="1"/>
  <c r="D260" i="1" s="1"/>
  <c r="Y108" i="121"/>
  <c r="Y36" i="121"/>
  <c r="Y104" i="121"/>
  <c r="Y5" i="121"/>
  <c r="D42" i="1"/>
  <c r="Y70" i="121"/>
  <c r="F53" i="57"/>
  <c r="D41" i="1"/>
  <c r="Y47" i="121"/>
  <c r="Y30" i="121"/>
  <c r="Y3" i="121"/>
  <c r="Y28" i="121"/>
  <c r="Y79" i="121"/>
  <c r="D121" i="1"/>
  <c r="D257" i="1" s="1"/>
  <c r="D190" i="1"/>
  <c r="D134" i="1"/>
  <c r="Y99" i="121"/>
  <c r="Y135" i="121"/>
  <c r="Y45" i="121"/>
  <c r="Y158" i="121"/>
  <c r="Y149" i="121"/>
  <c r="Y154" i="121"/>
  <c r="Y153" i="121"/>
  <c r="Y66" i="121"/>
  <c r="Y90" i="121"/>
  <c r="Y142" i="121"/>
  <c r="F81" i="57"/>
  <c r="F65" i="57"/>
  <c r="Y77" i="121"/>
  <c r="Y55" i="121"/>
  <c r="Y8" i="121"/>
  <c r="D199" i="1"/>
  <c r="F45" i="57"/>
  <c r="D136" i="1"/>
  <c r="Y120" i="121"/>
  <c r="Y96" i="121"/>
  <c r="Y113" i="121"/>
  <c r="Y26" i="121"/>
  <c r="Y61" i="121"/>
  <c r="D188" i="1"/>
  <c r="Y76" i="121"/>
  <c r="D50" i="1"/>
  <c r="Y168" i="121"/>
  <c r="Y82" i="121"/>
  <c r="Y103" i="121"/>
  <c r="Y19" i="121"/>
  <c r="Y118" i="121"/>
  <c r="Y21" i="121"/>
  <c r="Y35" i="121"/>
  <c r="Y89" i="121"/>
  <c r="F23" i="57"/>
  <c r="F51" i="57"/>
  <c r="Y91" i="121"/>
  <c r="F95" i="35"/>
  <c r="F90" i="35"/>
  <c r="F98" i="35" s="1"/>
  <c r="F55" i="35"/>
  <c r="F56" i="35" s="1"/>
  <c r="F53" i="35"/>
  <c r="Y161" i="121"/>
  <c r="Y80" i="121"/>
  <c r="Y31" i="121"/>
  <c r="Y74" i="121"/>
  <c r="D51" i="1"/>
  <c r="Y65" i="121"/>
  <c r="Y27" i="121"/>
  <c r="Y133" i="121"/>
  <c r="F17" i="57"/>
  <c r="F92" i="57"/>
  <c r="Y72" i="121"/>
  <c r="Y16" i="121"/>
  <c r="Y169" i="121"/>
  <c r="Y124" i="121"/>
  <c r="Y128" i="121"/>
  <c r="F90" i="57"/>
  <c r="D137" i="1"/>
  <c r="D197" i="1"/>
  <c r="Y10" i="121"/>
  <c r="Y60" i="121"/>
  <c r="Y14" i="121"/>
  <c r="Y75" i="121"/>
  <c r="Y11" i="121"/>
  <c r="Y114" i="121"/>
  <c r="Y166" i="121"/>
  <c r="Y151" i="121"/>
  <c r="Y13" i="121"/>
  <c r="Y24" i="121"/>
  <c r="Y71" i="121"/>
  <c r="F49" i="35"/>
  <c r="F50" i="35" s="1"/>
  <c r="F47" i="35"/>
  <c r="Y54" i="121"/>
  <c r="F41" i="57"/>
  <c r="D200" i="1"/>
  <c r="Y165" i="121"/>
  <c r="Y23" i="121"/>
  <c r="Y18" i="121"/>
  <c r="Y58" i="121"/>
  <c r="Y83" i="121"/>
  <c r="Y44" i="121"/>
  <c r="F9" i="57"/>
  <c r="Y138" i="121"/>
  <c r="Y126" i="121"/>
  <c r="Y146" i="121"/>
  <c r="Y131" i="121"/>
  <c r="Y88" i="121"/>
  <c r="Y140" i="121"/>
  <c r="Y137" i="121"/>
  <c r="Y123" i="121"/>
  <c r="Y68" i="121"/>
  <c r="F69" i="57"/>
  <c r="F21" i="57"/>
  <c r="Y15" i="121"/>
  <c r="Y73" i="121"/>
  <c r="Y56" i="121"/>
  <c r="Y125" i="121"/>
  <c r="Y157" i="121"/>
  <c r="Y129" i="121"/>
  <c r="F47" i="57"/>
  <c r="Y95" i="121"/>
  <c r="Y117" i="121"/>
  <c r="D194" i="1"/>
  <c r="Y50" i="121"/>
  <c r="Y136" i="121"/>
  <c r="D85" i="1"/>
  <c r="D250" i="1" s="1"/>
  <c r="Y110" i="121"/>
  <c r="D105" i="1"/>
  <c r="D254" i="1" s="1"/>
  <c r="Y106" i="121"/>
  <c r="Y59" i="121"/>
  <c r="F59" i="35"/>
  <c r="F61" i="35"/>
  <c r="F62" i="35" s="1"/>
  <c r="F15" i="57"/>
  <c r="Y12" i="121"/>
  <c r="Y144" i="121"/>
  <c r="D109" i="1"/>
  <c r="D255" i="1" s="1"/>
  <c r="Y39" i="121"/>
  <c r="Y38" i="121"/>
  <c r="D195" i="1"/>
  <c r="Y85" i="121"/>
  <c r="D45" i="1"/>
  <c r="Y64" i="121"/>
  <c r="Y51" i="121"/>
  <c r="Y84" i="121"/>
  <c r="F35" i="35"/>
  <c r="F100" i="35"/>
  <c r="F37" i="35"/>
  <c r="F38" i="35" s="1"/>
  <c r="Y4" i="121"/>
  <c r="Y32" i="121"/>
  <c r="Y81" i="121"/>
  <c r="Y40" i="121"/>
  <c r="Y43" i="121"/>
  <c r="Y9" i="121"/>
  <c r="Y49" i="121"/>
  <c r="Y102" i="121"/>
  <c r="Y160" i="121"/>
  <c r="F11" i="35"/>
  <c r="F13" i="35"/>
  <c r="F14" i="35" s="1"/>
  <c r="Y145" i="121"/>
  <c r="Y121" i="121"/>
  <c r="Y33" i="121"/>
  <c r="Y62" i="121"/>
  <c r="F71" i="57"/>
  <c r="Y52" i="121"/>
  <c r="Y98" i="121"/>
  <c r="Y87" i="121"/>
  <c r="Y6" i="121"/>
  <c r="Y101" i="121"/>
  <c r="Y111" i="121"/>
  <c r="F57" i="57"/>
  <c r="Y107" i="121"/>
  <c r="Y163" i="121"/>
  <c r="Y17" i="121"/>
  <c r="Y46" i="121"/>
  <c r="Y122" i="121"/>
  <c r="Y155" i="121"/>
  <c r="Y143" i="121"/>
  <c r="D115" i="1"/>
  <c r="D256" i="1" s="1"/>
  <c r="D135" i="1"/>
  <c r="F41" i="35"/>
  <c r="F43" i="35"/>
  <c r="F44" i="35" s="1"/>
  <c r="Y116" i="121"/>
  <c r="Y109" i="121"/>
  <c r="Y25" i="121"/>
  <c r="Y132" i="121"/>
  <c r="Y148" i="121"/>
  <c r="Y130" i="121"/>
  <c r="Y7" i="121"/>
  <c r="F84" i="57"/>
  <c r="F94" i="57" s="1"/>
  <c r="F95" i="57" s="1"/>
  <c r="F11" i="57"/>
  <c r="Y20" i="121"/>
  <c r="D189" i="1"/>
  <c r="Y127" i="121"/>
  <c r="Y94" i="121"/>
  <c r="F17" i="35"/>
  <c r="F19" i="35"/>
  <c r="F20" i="35" s="1"/>
  <c r="Y112" i="121"/>
  <c r="Y22" i="121"/>
  <c r="D40" i="1"/>
  <c r="D53" i="1" s="1"/>
  <c r="F39" i="57"/>
  <c r="Y105" i="121"/>
  <c r="Y78" i="121"/>
  <c r="D187" i="1"/>
  <c r="D70" i="1"/>
  <c r="D248" i="1" s="1"/>
  <c r="Y48" i="121"/>
  <c r="Y37" i="121"/>
  <c r="Y53" i="121"/>
  <c r="F63" i="57"/>
  <c r="Y41" i="121"/>
  <c r="Y86" i="121"/>
  <c r="Y115" i="121"/>
  <c r="Y93" i="121"/>
  <c r="Y67" i="121"/>
  <c r="Y69" i="121"/>
  <c r="Y156" i="121"/>
  <c r="Y97" i="121"/>
  <c r="Y63" i="121"/>
  <c r="Y152" i="121"/>
  <c r="Y139" i="121"/>
  <c r="Y42" i="121"/>
  <c r="Y162" i="121"/>
  <c r="Y134" i="121"/>
  <c r="F59" i="57"/>
  <c r="F79" i="35"/>
  <c r="F80" i="35" s="1"/>
  <c r="F77" i="35"/>
  <c r="Y29" i="121"/>
  <c r="Y57" i="121"/>
  <c r="D127" i="1"/>
  <c r="D258" i="1" s="1"/>
  <c r="Y159" i="121"/>
  <c r="Y34" i="121"/>
  <c r="F82" i="35"/>
  <c r="F5" i="35"/>
  <c r="F7" i="35"/>
  <c r="F8" i="35" s="1"/>
  <c r="F67" i="35"/>
  <c r="F68" i="35" s="1"/>
  <c r="F65" i="35"/>
  <c r="Y147" i="121"/>
  <c r="D193" i="1"/>
  <c r="Y92" i="121"/>
  <c r="D101" i="1"/>
  <c r="D253" i="1" s="1"/>
  <c r="Y164" i="121"/>
  <c r="D192" i="1"/>
  <c r="Y141" i="121"/>
  <c r="Y167" i="121"/>
  <c r="F49" i="57"/>
  <c r="F79" i="57"/>
  <c r="F7" i="57"/>
  <c r="F43" i="57"/>
  <c r="F83" i="57" l="1"/>
  <c r="D148" i="1"/>
  <c r="D52" i="1"/>
  <c r="D261" i="1"/>
  <c r="F83" i="35"/>
  <c r="F86" i="35"/>
  <c r="F94" i="35"/>
  <c r="F97" i="35" s="1"/>
  <c r="F91" i="57"/>
  <c r="D139" i="1"/>
  <c r="D146" i="1"/>
  <c r="D147" i="1" l="1"/>
  <c r="D160" i="1"/>
  <c r="D163" i="1" s="1"/>
  <c r="D166" i="1" s="1"/>
  <c r="F87" i="35"/>
  <c r="F91" i="35"/>
  <c r="F92" i="35" s="1"/>
</calcChain>
</file>

<file path=xl/comments1.xml><?xml version="1.0" encoding="utf-8"?>
<comments xmlns="http://schemas.openxmlformats.org/spreadsheetml/2006/main">
  <authors>
    <author>WADA</author>
  </authors>
  <commentList>
    <comment ref="O229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WADA:</t>
        </r>
        <r>
          <rPr>
            <sz val="9"/>
            <color indexed="81"/>
            <rFont val="ＭＳ Ｐゴシック"/>
            <family val="3"/>
            <charset val="128"/>
          </rPr>
          <t xml:space="preserve">
期末修正　7,070円</t>
        </r>
      </text>
    </comment>
    <comment ref="T26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WADA:</t>
        </r>
        <r>
          <rPr>
            <sz val="9"/>
            <color indexed="81"/>
            <rFont val="ＭＳ Ｐゴシック"/>
            <family val="3"/>
            <charset val="128"/>
          </rPr>
          <t xml:space="preserve">
福島様8月食事代</t>
        </r>
      </text>
    </comment>
  </commentList>
</comments>
</file>

<file path=xl/comments2.xml><?xml version="1.0" encoding="utf-8"?>
<comments xmlns="http://schemas.openxmlformats.org/spreadsheetml/2006/main">
  <authors>
    <author>WADA</author>
    <author>KOMORI</author>
  </authors>
  <commentList>
    <comment ref="U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WADA:</t>
        </r>
        <r>
          <rPr>
            <sz val="9"/>
            <color indexed="81"/>
            <rFont val="ＭＳ Ｐゴシック"/>
            <family val="3"/>
            <charset val="128"/>
          </rPr>
          <t xml:space="preserve">
期末調整は、+の金額を入れる。
利益に+のときは正の数
利益に-のときは負の数で入力</t>
        </r>
      </text>
    </comment>
    <comment ref="F216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KOMORI:</t>
        </r>
        <r>
          <rPr>
            <sz val="9"/>
            <color indexed="81"/>
            <rFont val="ＭＳ Ｐゴシック"/>
            <family val="3"/>
            <charset val="128"/>
          </rPr>
          <t xml:space="preserve">
建石さん給与
タクシー分担</t>
        </r>
      </text>
    </comment>
    <comment ref="F226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KOMORI:</t>
        </r>
        <r>
          <rPr>
            <sz val="9"/>
            <color indexed="81"/>
            <rFont val="ＭＳ Ｐゴシック"/>
            <family val="3"/>
            <charset val="128"/>
          </rPr>
          <t xml:space="preserve">
建石さん給与
タクシー分担</t>
        </r>
      </text>
    </comment>
    <comment ref="F236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KOMORI:</t>
        </r>
        <r>
          <rPr>
            <sz val="9"/>
            <color indexed="81"/>
            <rFont val="ＭＳ Ｐゴシック"/>
            <family val="3"/>
            <charset val="128"/>
          </rPr>
          <t xml:space="preserve">
建石さん給与
タクシー分担</t>
        </r>
      </text>
    </comment>
    <comment ref="F24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KOMORI:</t>
        </r>
        <r>
          <rPr>
            <sz val="9"/>
            <color indexed="81"/>
            <rFont val="ＭＳ Ｐゴシック"/>
            <family val="3"/>
            <charset val="128"/>
          </rPr>
          <t xml:space="preserve">
建石さん給与
タクシー分担</t>
        </r>
      </text>
    </comment>
    <comment ref="R29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WADA:</t>
        </r>
        <r>
          <rPr>
            <sz val="9"/>
            <color indexed="81"/>
            <rFont val="ＭＳ Ｐゴシック"/>
            <family val="3"/>
            <charset val="128"/>
          </rPr>
          <t xml:space="preserve">
損益計算書と仕訳集計でズレがあるため、損益計算書に合わせる</t>
        </r>
      </text>
    </comment>
    <comment ref="V29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WADA:</t>
        </r>
        <r>
          <rPr>
            <sz val="9"/>
            <color indexed="81"/>
            <rFont val="ＭＳ Ｐゴシック"/>
            <family val="3"/>
            <charset val="128"/>
          </rPr>
          <t xml:space="preserve">
期末調整 29,936円</t>
        </r>
      </text>
    </comment>
    <comment ref="W29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WADA:</t>
        </r>
        <r>
          <rPr>
            <sz val="9"/>
            <color indexed="81"/>
            <rFont val="ＭＳ Ｐゴシック"/>
            <family val="3"/>
            <charset val="128"/>
          </rPr>
          <t xml:space="preserve">
期末調整 488,774円</t>
        </r>
      </text>
    </comment>
    <comment ref="X29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WADA:</t>
        </r>
        <r>
          <rPr>
            <sz val="9"/>
            <color indexed="81"/>
            <rFont val="ＭＳ Ｐゴシック"/>
            <family val="3"/>
            <charset val="128"/>
          </rPr>
          <t xml:space="preserve">
期末調整</t>
        </r>
      </text>
    </comment>
    <comment ref="Y29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WADA:</t>
        </r>
        <r>
          <rPr>
            <sz val="9"/>
            <color indexed="81"/>
            <rFont val="ＭＳ Ｐゴシック"/>
            <family val="3"/>
            <charset val="128"/>
          </rPr>
          <t xml:space="preserve">
期末調整</t>
        </r>
      </text>
    </comment>
    <comment ref="T29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WADA:</t>
        </r>
        <r>
          <rPr>
            <sz val="9"/>
            <color indexed="81"/>
            <rFont val="ＭＳ Ｐゴシック"/>
            <family val="3"/>
            <charset val="128"/>
          </rPr>
          <t xml:space="preserve">
弁当仕入代-7,480円
棚卸　　　　　-30,618円</t>
        </r>
      </text>
    </comment>
    <comment ref="F318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WADA:</t>
        </r>
        <r>
          <rPr>
            <sz val="9"/>
            <color indexed="81"/>
            <rFont val="ＭＳ Ｐゴシック"/>
            <family val="3"/>
            <charset val="128"/>
          </rPr>
          <t xml:space="preserve">
鈴木さん車両手当
誤支給修正</t>
        </r>
      </text>
    </comment>
    <comment ref="F36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WADA:</t>
        </r>
        <r>
          <rPr>
            <sz val="9"/>
            <color indexed="81"/>
            <rFont val="ＭＳ Ｐゴシック"/>
            <family val="3"/>
            <charset val="128"/>
          </rPr>
          <t xml:space="preserve">
退職金</t>
        </r>
      </text>
    </comment>
    <comment ref="R36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WADA:</t>
        </r>
        <r>
          <rPr>
            <sz val="9"/>
            <color indexed="81"/>
            <rFont val="ＭＳ Ｐゴシック"/>
            <family val="3"/>
            <charset val="128"/>
          </rPr>
          <t xml:space="preserve">
前期に発生した
過誤修正の返金額
（1割→生保に変更）</t>
        </r>
      </text>
    </comment>
    <comment ref="H37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WADA:</t>
        </r>
        <r>
          <rPr>
            <sz val="9"/>
            <color indexed="81"/>
            <rFont val="ＭＳ Ｐゴシック"/>
            <family val="3"/>
            <charset val="128"/>
          </rPr>
          <t xml:space="preserve">
社長報酬15万円のみ
二日市に分配</t>
        </r>
      </text>
    </comment>
    <comment ref="F37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WADA:</t>
        </r>
        <r>
          <rPr>
            <sz val="9"/>
            <color indexed="81"/>
            <rFont val="ＭＳ Ｐゴシック"/>
            <family val="3"/>
            <charset val="128"/>
          </rPr>
          <t xml:space="preserve">
近藤さん夜勤分15万円
を分担
（デイ・二日市場も調整）</t>
        </r>
      </text>
    </comment>
  </commentList>
</comments>
</file>

<file path=xl/comments3.xml><?xml version="1.0" encoding="utf-8"?>
<comments xmlns="http://schemas.openxmlformats.org/spreadsheetml/2006/main">
  <authors>
    <author>KOMORI</author>
  </authors>
  <commentList>
    <comment ref="D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KOMORI:　</t>
        </r>
        <r>
          <rPr>
            <sz val="9"/>
            <color indexed="81"/>
            <rFont val="ＭＳ Ｐゴシック"/>
            <family val="3"/>
            <charset val="128"/>
          </rPr>
          <t>集計列の値</t>
        </r>
      </text>
    </comment>
  </commentList>
</comments>
</file>

<file path=xl/comments4.xml><?xml version="1.0" encoding="utf-8"?>
<comments xmlns="http://schemas.openxmlformats.org/spreadsheetml/2006/main">
  <authors>
    <author>hanamoto</author>
  </authors>
  <commentList>
    <comment ref="G2" authorId="0" shapeId="0">
      <text>
        <r>
          <rPr>
            <sz val="9"/>
            <color indexed="81"/>
            <rFont val="ＭＳ Ｐゴシック"/>
            <family val="3"/>
            <charset val="128"/>
          </rPr>
          <t xml:space="preserve">会社負担分
</t>
        </r>
      </text>
    </comment>
  </commentList>
</comments>
</file>

<file path=xl/comments5.xml><?xml version="1.0" encoding="utf-8"?>
<comments xmlns="http://schemas.openxmlformats.org/spreadsheetml/2006/main">
  <authors>
    <author>hanamoto</author>
  </authors>
  <commentList>
    <comment ref="B42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本部売り上げを加えた売上額</t>
        </r>
      </text>
    </comment>
    <comment ref="B430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本部を除く人件費</t>
        </r>
      </text>
    </comment>
    <comment ref="B46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本部売り上げを加えた売上額</t>
        </r>
      </text>
    </comment>
    <comment ref="B47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本部を除く人件費</t>
        </r>
      </text>
    </comment>
    <comment ref="B50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本部売り上げを加えた売上額</t>
        </r>
      </text>
    </comment>
    <comment ref="B512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本部を除く人件費</t>
        </r>
      </text>
    </comment>
    <comment ref="B54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本部売り上げを加えた売上額</t>
        </r>
      </text>
    </comment>
    <comment ref="B55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本部を除く人件費</t>
        </r>
      </text>
    </comment>
  </commentList>
</comments>
</file>

<file path=xl/comments6.xml><?xml version="1.0" encoding="utf-8"?>
<comments xmlns="http://schemas.openxmlformats.org/spreadsheetml/2006/main">
  <authors>
    <author>hanamoto</author>
    <author>KOMORI</author>
  </authors>
  <commentList>
    <comment ref="E88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当該月の給与で支払われた処遇改善加算金 ； 3か月前の稼働分
</t>
        </r>
      </text>
    </comment>
    <comment ref="E89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当月売上の加算金-給与で支払った加算金</t>
        </r>
      </text>
    </comment>
    <comment ref="AD95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KOMORI:</t>
        </r>
        <r>
          <rPr>
            <sz val="9"/>
            <color indexed="81"/>
            <rFont val="ＭＳ Ｐゴシック"/>
            <family val="3"/>
            <charset val="128"/>
          </rPr>
          <t xml:space="preserve">
式入ってるので
sum関数コピーしない</t>
        </r>
      </text>
    </comment>
  </commentList>
</comments>
</file>

<file path=xl/comments7.xml><?xml version="1.0" encoding="utf-8"?>
<comments xmlns="http://schemas.openxmlformats.org/spreadsheetml/2006/main">
  <authors>
    <author>KOMORI</author>
  </authors>
  <commentList>
    <comment ref="K29" authorId="0" shapeId="0">
      <text>
        <r>
          <rPr>
            <sz val="9"/>
            <color indexed="81"/>
            <rFont val="ＭＳ Ｐゴシック"/>
            <family val="3"/>
            <charset val="128"/>
          </rPr>
          <t>営業外費用内訳
社用車割賦手数料
借入利息
アクリーティブ手数料
利用者回収不能金
5月営業外費用
523,134円
8800万融資+3000万融資
142,502円</t>
        </r>
      </text>
    </comment>
    <comment ref="C6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KOMORI:</t>
        </r>
        <r>
          <rPr>
            <sz val="9"/>
            <color indexed="81"/>
            <rFont val="ＭＳ Ｐゴシック"/>
            <family val="3"/>
            <charset val="128"/>
          </rPr>
          <t xml:space="preserve">
タクシーリース精算
1,417,038円</t>
        </r>
      </text>
    </comment>
    <comment ref="C6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KOMORI:</t>
        </r>
        <r>
          <rPr>
            <sz val="9"/>
            <color indexed="81"/>
            <rFont val="ＭＳ Ｐゴシック"/>
            <family val="3"/>
            <charset val="128"/>
          </rPr>
          <t xml:space="preserve">
君塚土地購入諸費用
1,494,572円</t>
        </r>
      </text>
    </comment>
  </commentList>
</comments>
</file>

<file path=xl/comments8.xml><?xml version="1.0" encoding="utf-8"?>
<comments xmlns="http://schemas.openxmlformats.org/spreadsheetml/2006/main">
  <authors>
    <author>KOMORI</author>
    <author>matsui</author>
  </authors>
  <commentList>
    <comment ref="D10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KOMORI:</t>
        </r>
        <r>
          <rPr>
            <sz val="9"/>
            <color indexed="81"/>
            <rFont val="ＭＳ Ｐゴシック"/>
            <family val="3"/>
            <charset val="128"/>
          </rPr>
          <t xml:space="preserve">
事務2名
2月から社員</t>
        </r>
      </text>
    </comment>
    <comment ref="J201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matsui:</t>
        </r>
        <r>
          <rPr>
            <sz val="9"/>
            <color indexed="81"/>
            <rFont val="ＭＳ Ｐゴシック"/>
            <family val="3"/>
            <charset val="128"/>
          </rPr>
          <t xml:space="preserve">
ｸﾞﾙｰﾌﾟﾎｰﾑ助成金</t>
        </r>
      </text>
    </comment>
  </commentList>
</comments>
</file>

<file path=xl/sharedStrings.xml><?xml version="1.0" encoding="utf-8"?>
<sst xmlns="http://schemas.openxmlformats.org/spreadsheetml/2006/main" count="18836" uniqueCount="1544">
  <si>
    <t>中高根</t>
    <rPh sb="0" eb="1">
      <t>ナカ</t>
    </rPh>
    <rPh sb="1" eb="3">
      <t>タカネ</t>
    </rPh>
    <phoneticPr fontId="41"/>
  </si>
  <si>
    <t>二日市</t>
    <rPh sb="0" eb="3">
      <t>フツカイチ</t>
    </rPh>
    <phoneticPr fontId="41"/>
  </si>
  <si>
    <t>蘇我</t>
    <rPh sb="0" eb="2">
      <t>ソガ</t>
    </rPh>
    <phoneticPr fontId="41"/>
  </si>
  <si>
    <t>白金</t>
    <rPh sb="0" eb="2">
      <t>シロガネ</t>
    </rPh>
    <phoneticPr fontId="41"/>
  </si>
  <si>
    <t>事業所</t>
    <rPh sb="0" eb="3">
      <t>ジギョウショ</t>
    </rPh>
    <phoneticPr fontId="41"/>
  </si>
  <si>
    <t>全社 計</t>
    <rPh sb="0" eb="2">
      <t>ゼンシャ</t>
    </rPh>
    <rPh sb="3" eb="4">
      <t>ケイ</t>
    </rPh>
    <phoneticPr fontId="41"/>
  </si>
  <si>
    <t>カナミック</t>
    <phoneticPr fontId="41"/>
  </si>
  <si>
    <t>自費</t>
    <rPh sb="0" eb="2">
      <t>ジヒ</t>
    </rPh>
    <phoneticPr fontId="41"/>
  </si>
  <si>
    <t>障害</t>
    <rPh sb="0" eb="2">
      <t>ショウガイ</t>
    </rPh>
    <phoneticPr fontId="41"/>
  </si>
  <si>
    <t>居宅</t>
    <rPh sb="0" eb="2">
      <t>キョタク</t>
    </rPh>
    <phoneticPr fontId="41"/>
  </si>
  <si>
    <t>訪問</t>
    <rPh sb="0" eb="2">
      <t>ホウモン</t>
    </rPh>
    <phoneticPr fontId="41"/>
  </si>
  <si>
    <t>小計</t>
    <rPh sb="0" eb="2">
      <t>ショウケイ</t>
    </rPh>
    <phoneticPr fontId="41"/>
  </si>
  <si>
    <t>生活費</t>
    <rPh sb="0" eb="3">
      <t>セイカツヒ</t>
    </rPh>
    <phoneticPr fontId="41"/>
  </si>
  <si>
    <t>事業</t>
    <rPh sb="0" eb="2">
      <t>ジギョウ</t>
    </rPh>
    <phoneticPr fontId="41"/>
  </si>
  <si>
    <t>計</t>
    <rPh sb="0" eb="1">
      <t>ケイ</t>
    </rPh>
    <phoneticPr fontId="41"/>
  </si>
  <si>
    <t>人件費</t>
    <rPh sb="0" eb="3">
      <t>ジンケンヒ</t>
    </rPh>
    <phoneticPr fontId="40"/>
  </si>
  <si>
    <t>国保連売上</t>
    <rPh sb="0" eb="3">
      <t>コクホレン</t>
    </rPh>
    <rPh sb="3" eb="5">
      <t>ウリアゲ</t>
    </rPh>
    <phoneticPr fontId="40"/>
  </si>
  <si>
    <t>国保連事業所合計</t>
    <rPh sb="0" eb="3">
      <t>コクホレン</t>
    </rPh>
    <rPh sb="3" eb="6">
      <t>ジギョウショ</t>
    </rPh>
    <rPh sb="6" eb="8">
      <t>ゴウケイ</t>
    </rPh>
    <phoneticPr fontId="40"/>
  </si>
  <si>
    <t>友乃家売上／経費</t>
    <rPh sb="0" eb="3">
      <t>トモノイエ</t>
    </rPh>
    <rPh sb="3" eb="5">
      <t>ウリアゲ</t>
    </rPh>
    <rPh sb="6" eb="8">
      <t>ケイヒ</t>
    </rPh>
    <phoneticPr fontId="40"/>
  </si>
  <si>
    <t>全社</t>
    <rPh sb="0" eb="2">
      <t>ゼンシャ</t>
    </rPh>
    <phoneticPr fontId="40"/>
  </si>
  <si>
    <t>事業所売上推移</t>
    <rPh sb="0" eb="3">
      <t>ジギョウショ</t>
    </rPh>
    <rPh sb="3" eb="5">
      <t>ウリアゲ</t>
    </rPh>
    <rPh sb="5" eb="7">
      <t>スイイ</t>
    </rPh>
    <phoneticPr fontId="40"/>
  </si>
  <si>
    <t>売上</t>
    <rPh sb="0" eb="2">
      <t>ウリアゲ</t>
    </rPh>
    <phoneticPr fontId="41"/>
  </si>
  <si>
    <t>9月</t>
  </si>
  <si>
    <t>10月</t>
  </si>
  <si>
    <t>11月</t>
  </si>
  <si>
    <t>12月</t>
  </si>
  <si>
    <t>売上</t>
    <rPh sb="0" eb="2">
      <t>ウリアゲ</t>
    </rPh>
    <phoneticPr fontId="40"/>
  </si>
  <si>
    <t>社員給与</t>
    <rPh sb="0" eb="2">
      <t>シャイン</t>
    </rPh>
    <rPh sb="2" eb="4">
      <t>キュウヨ</t>
    </rPh>
    <phoneticPr fontId="40"/>
  </si>
  <si>
    <t>パート給与</t>
    <rPh sb="3" eb="5">
      <t>キュウヨ</t>
    </rPh>
    <phoneticPr fontId="40"/>
  </si>
  <si>
    <t>法定福利費</t>
    <rPh sb="0" eb="2">
      <t>ホウテイ</t>
    </rPh>
    <rPh sb="2" eb="4">
      <t>フクリ</t>
    </rPh>
    <rPh sb="4" eb="5">
      <t>ヒ</t>
    </rPh>
    <phoneticPr fontId="41"/>
  </si>
  <si>
    <t>事業所経費</t>
    <rPh sb="0" eb="3">
      <t>ジギョウショ</t>
    </rPh>
    <rPh sb="3" eb="5">
      <t>ケイヒ</t>
    </rPh>
    <phoneticPr fontId="41"/>
  </si>
  <si>
    <t>営業利益</t>
    <rPh sb="0" eb="2">
      <t>エイギョウ</t>
    </rPh>
    <phoneticPr fontId="41"/>
  </si>
  <si>
    <t>利益</t>
    <rPh sb="0" eb="2">
      <t>リエキ</t>
    </rPh>
    <phoneticPr fontId="40"/>
  </si>
  <si>
    <t>事業所</t>
    <rPh sb="0" eb="3">
      <t>ジギョウショ</t>
    </rPh>
    <phoneticPr fontId="40"/>
  </si>
  <si>
    <t>白金</t>
    <rPh sb="0" eb="2">
      <t>シロガネ</t>
    </rPh>
    <phoneticPr fontId="40"/>
  </si>
  <si>
    <t>経費</t>
    <rPh sb="0" eb="2">
      <t>ケイヒ</t>
    </rPh>
    <phoneticPr fontId="40"/>
  </si>
  <si>
    <t>白金ディ</t>
    <rPh sb="0" eb="2">
      <t>シロガネ</t>
    </rPh>
    <phoneticPr fontId="40"/>
  </si>
  <si>
    <t>蘇我</t>
    <rPh sb="0" eb="2">
      <t>ソガ</t>
    </rPh>
    <phoneticPr fontId="40"/>
  </si>
  <si>
    <t>二日市場</t>
    <rPh sb="0" eb="4">
      <t>フツカイチバ</t>
    </rPh>
    <phoneticPr fontId="40"/>
  </si>
  <si>
    <t>中高根</t>
    <rPh sb="0" eb="1">
      <t>ナカ</t>
    </rPh>
    <rPh sb="1" eb="3">
      <t>タカネ</t>
    </rPh>
    <phoneticPr fontId="40"/>
  </si>
  <si>
    <t>3月</t>
  </si>
  <si>
    <t>4月</t>
  </si>
  <si>
    <t>5月</t>
  </si>
  <si>
    <t>事業所経費</t>
    <rPh sb="0" eb="3">
      <t>ジギョウショ</t>
    </rPh>
    <rPh sb="3" eb="5">
      <t>ケイヒ</t>
    </rPh>
    <phoneticPr fontId="40"/>
  </si>
  <si>
    <t>経常利益</t>
    <rPh sb="0" eb="2">
      <t>ケイジョウ</t>
    </rPh>
    <rPh sb="2" eb="4">
      <t>リエキ</t>
    </rPh>
    <phoneticPr fontId="41"/>
  </si>
  <si>
    <t>営業利益</t>
    <rPh sb="0" eb="2">
      <t>エイギョウ</t>
    </rPh>
    <rPh sb="2" eb="4">
      <t>リエキ</t>
    </rPh>
    <phoneticPr fontId="40"/>
  </si>
  <si>
    <t>営業外収益</t>
    <rPh sb="0" eb="3">
      <t>エイギョウガイ</t>
    </rPh>
    <rPh sb="3" eb="5">
      <t>シュウエキ</t>
    </rPh>
    <phoneticPr fontId="40"/>
  </si>
  <si>
    <t>営業外費用</t>
    <rPh sb="0" eb="3">
      <t>エイギョウガイ</t>
    </rPh>
    <rPh sb="3" eb="5">
      <t>ヒヨウ</t>
    </rPh>
    <phoneticPr fontId="40"/>
  </si>
  <si>
    <t>人件費率（％）</t>
    <rPh sb="0" eb="3">
      <t>ジンケンヒ</t>
    </rPh>
    <rPh sb="3" eb="4">
      <t>リツ</t>
    </rPh>
    <phoneticPr fontId="40"/>
  </si>
  <si>
    <t>9月</t>
    <rPh sb="1" eb="2">
      <t>ガツ</t>
    </rPh>
    <phoneticPr fontId="40"/>
  </si>
  <si>
    <t>役員給与</t>
    <rPh sb="0" eb="2">
      <t>ヤクイン</t>
    </rPh>
    <rPh sb="2" eb="4">
      <t>キュウヨ</t>
    </rPh>
    <phoneticPr fontId="40"/>
  </si>
  <si>
    <t>福利厚生費</t>
    <rPh sb="0" eb="2">
      <t>フクリ</t>
    </rPh>
    <rPh sb="2" eb="5">
      <t>コウセイヒ</t>
    </rPh>
    <phoneticPr fontId="40"/>
  </si>
  <si>
    <t>本部分担費</t>
    <rPh sb="0" eb="2">
      <t>ホンブ</t>
    </rPh>
    <rPh sb="2" eb="4">
      <t>ブンタン</t>
    </rPh>
    <rPh sb="4" eb="5">
      <t>ヒ</t>
    </rPh>
    <phoneticPr fontId="40"/>
  </si>
  <si>
    <t>経費合計</t>
    <rPh sb="0" eb="2">
      <t>ケイヒ</t>
    </rPh>
    <rPh sb="2" eb="4">
      <t>ゴウケイ</t>
    </rPh>
    <phoneticPr fontId="40"/>
  </si>
  <si>
    <t>生活費</t>
    <rPh sb="0" eb="3">
      <t>セイカツヒ</t>
    </rPh>
    <phoneticPr fontId="40"/>
  </si>
  <si>
    <t>自費</t>
    <rPh sb="0" eb="2">
      <t>ジヒ</t>
    </rPh>
    <phoneticPr fontId="40"/>
  </si>
  <si>
    <t>合計</t>
    <rPh sb="0" eb="2">
      <t>ゴウケイ</t>
    </rPh>
    <phoneticPr fontId="40"/>
  </si>
  <si>
    <t>中高根</t>
    <rPh sb="0" eb="3">
      <t>ナカタカネ</t>
    </rPh>
    <phoneticPr fontId="40"/>
  </si>
  <si>
    <t>7月</t>
  </si>
  <si>
    <t>8月</t>
  </si>
  <si>
    <t>賞与</t>
    <rPh sb="0" eb="2">
      <t>ショウヨ</t>
    </rPh>
    <phoneticPr fontId="40"/>
  </si>
  <si>
    <t>賞与</t>
    <rPh sb="0" eb="2">
      <t>ショウヨ</t>
    </rPh>
    <phoneticPr fontId="40"/>
  </si>
  <si>
    <t>会社利益</t>
    <rPh sb="0" eb="2">
      <t>カイシャ</t>
    </rPh>
    <rPh sb="2" eb="4">
      <t>リエキ</t>
    </rPh>
    <phoneticPr fontId="40"/>
  </si>
  <si>
    <t>二日市場</t>
    <rPh sb="0" eb="4">
      <t>フツカイチバ</t>
    </rPh>
    <phoneticPr fontId="41"/>
  </si>
  <si>
    <t>全社売上</t>
    <rPh sb="0" eb="2">
      <t>ゼンシャ</t>
    </rPh>
    <rPh sb="2" eb="4">
      <t>ウリアゲ</t>
    </rPh>
    <phoneticPr fontId="40"/>
  </si>
  <si>
    <t>営業利益</t>
    <rPh sb="0" eb="2">
      <t>エイギョウ</t>
    </rPh>
    <rPh sb="2" eb="4">
      <t>リエキ</t>
    </rPh>
    <phoneticPr fontId="40"/>
  </si>
  <si>
    <t>誉田</t>
    <rPh sb="0" eb="2">
      <t>ホンダ</t>
    </rPh>
    <phoneticPr fontId="40"/>
  </si>
  <si>
    <t>誉田</t>
    <rPh sb="0" eb="2">
      <t>ホンダ</t>
    </rPh>
    <phoneticPr fontId="41"/>
  </si>
  <si>
    <t>年月</t>
    <rPh sb="0" eb="2">
      <t>ネンゲツ</t>
    </rPh>
    <phoneticPr fontId="48"/>
  </si>
  <si>
    <t>パート</t>
    <phoneticPr fontId="48"/>
  </si>
  <si>
    <t>社員</t>
    <rPh sb="0" eb="2">
      <t>シャイン</t>
    </rPh>
    <phoneticPr fontId="48"/>
  </si>
  <si>
    <t>賞与</t>
    <rPh sb="0" eb="2">
      <t>ショウヨ</t>
    </rPh>
    <phoneticPr fontId="48"/>
  </si>
  <si>
    <t>役員</t>
    <rPh sb="0" eb="2">
      <t>ヤクイン</t>
    </rPh>
    <phoneticPr fontId="48"/>
  </si>
  <si>
    <t>福利厚生費</t>
    <rPh sb="0" eb="2">
      <t>フクリ</t>
    </rPh>
    <rPh sb="2" eb="4">
      <t>コウセイ</t>
    </rPh>
    <rPh sb="4" eb="5">
      <t>ヒ</t>
    </rPh>
    <phoneticPr fontId="48"/>
  </si>
  <si>
    <t>法定福利費</t>
    <rPh sb="0" eb="2">
      <t>ホウテイ</t>
    </rPh>
    <rPh sb="2" eb="4">
      <t>フクリ</t>
    </rPh>
    <rPh sb="4" eb="5">
      <t>ヒ</t>
    </rPh>
    <phoneticPr fontId="48"/>
  </si>
  <si>
    <t>人件費</t>
    <rPh sb="0" eb="3">
      <t>ジンケンヒ</t>
    </rPh>
    <phoneticPr fontId="48"/>
  </si>
  <si>
    <t>売上</t>
    <rPh sb="0" eb="2">
      <t>ウリアゲ</t>
    </rPh>
    <phoneticPr fontId="48"/>
  </si>
  <si>
    <t>備考</t>
    <rPh sb="0" eb="2">
      <t>ビコウ</t>
    </rPh>
    <phoneticPr fontId="40"/>
  </si>
  <si>
    <t>1月</t>
  </si>
  <si>
    <t>2月</t>
  </si>
  <si>
    <t>事業所別売上高</t>
    <rPh sb="0" eb="3">
      <t>ジギョウショ</t>
    </rPh>
    <rPh sb="3" eb="4">
      <t>ベツ</t>
    </rPh>
    <rPh sb="4" eb="6">
      <t>ウリアゲ</t>
    </rPh>
    <rPh sb="6" eb="7">
      <t>ダカ</t>
    </rPh>
    <phoneticPr fontId="40"/>
  </si>
  <si>
    <t>小計</t>
    <rPh sb="0" eb="2">
      <t>ショウケイ</t>
    </rPh>
    <phoneticPr fontId="40"/>
  </si>
  <si>
    <t>通所介護</t>
    <rPh sb="0" eb="4">
      <t>ツウショカイゴ</t>
    </rPh>
    <phoneticPr fontId="41"/>
  </si>
  <si>
    <t>訪問</t>
    <rPh sb="0" eb="2">
      <t>ホウモン</t>
    </rPh>
    <phoneticPr fontId="40"/>
  </si>
  <si>
    <t>障害</t>
    <rPh sb="0" eb="2">
      <t>ショウガイ</t>
    </rPh>
    <phoneticPr fontId="40"/>
  </si>
  <si>
    <t>自費</t>
    <rPh sb="0" eb="2">
      <t>ジヒ</t>
    </rPh>
    <phoneticPr fontId="40"/>
  </si>
  <si>
    <t>誉田</t>
    <rPh sb="0" eb="2">
      <t>ホンダ</t>
    </rPh>
    <phoneticPr fontId="40"/>
  </si>
  <si>
    <t>相談支援事業</t>
    <rPh sb="0" eb="2">
      <t>ソウダン</t>
    </rPh>
    <rPh sb="2" eb="4">
      <t>シエン</t>
    </rPh>
    <rPh sb="4" eb="6">
      <t>ジギョウ</t>
    </rPh>
    <phoneticPr fontId="40"/>
  </si>
  <si>
    <t>本部</t>
    <rPh sb="0" eb="2">
      <t>ホンブ</t>
    </rPh>
    <phoneticPr fontId="41"/>
  </si>
  <si>
    <t>本部</t>
    <rPh sb="0" eb="2">
      <t>ホンブ</t>
    </rPh>
    <phoneticPr fontId="40"/>
  </si>
  <si>
    <t>相談支援</t>
    <rPh sb="0" eb="2">
      <t>ソウダン</t>
    </rPh>
    <rPh sb="2" eb="4">
      <t>シエン</t>
    </rPh>
    <phoneticPr fontId="40"/>
  </si>
  <si>
    <t>経費合計</t>
    <rPh sb="0" eb="2">
      <t>ケイヒ</t>
    </rPh>
    <rPh sb="2" eb="4">
      <t>ゴウケイ</t>
    </rPh>
    <phoneticPr fontId="41"/>
  </si>
  <si>
    <t>誉田</t>
    <rPh sb="0" eb="2">
      <t>ホンダ</t>
    </rPh>
    <phoneticPr fontId="40"/>
  </si>
  <si>
    <t>誉田</t>
    <rPh sb="0" eb="2">
      <t>ホンダ</t>
    </rPh>
    <phoneticPr fontId="41"/>
  </si>
  <si>
    <t>通所介護</t>
    <rPh sb="0" eb="4">
      <t>ツウショカイゴ</t>
    </rPh>
    <phoneticPr fontId="41"/>
  </si>
  <si>
    <t>全事業所
売上/経費</t>
    <rPh sb="0" eb="3">
      <t>ゼンジギョウ</t>
    </rPh>
    <rPh sb="3" eb="4">
      <t>ショ</t>
    </rPh>
    <rPh sb="5" eb="7">
      <t>ウリアゲ</t>
    </rPh>
    <rPh sb="8" eb="10">
      <t>ケイヒ</t>
    </rPh>
    <phoneticPr fontId="40"/>
  </si>
  <si>
    <t>計</t>
    <rPh sb="0" eb="1">
      <t>ケイ</t>
    </rPh>
    <phoneticPr fontId="40"/>
  </si>
  <si>
    <t>事業所経費計</t>
    <rPh sb="0" eb="3">
      <t>ジギョウショ</t>
    </rPh>
    <rPh sb="3" eb="5">
      <t>ケイヒ</t>
    </rPh>
    <rPh sb="5" eb="6">
      <t>ケイ</t>
    </rPh>
    <phoneticPr fontId="40"/>
  </si>
  <si>
    <t>居宅</t>
    <rPh sb="0" eb="2">
      <t>キョタク</t>
    </rPh>
    <phoneticPr fontId="40"/>
  </si>
  <si>
    <t>タクシー運賃</t>
    <rPh sb="4" eb="6">
      <t>ウンチン</t>
    </rPh>
    <phoneticPr fontId="40"/>
  </si>
  <si>
    <t>事業所</t>
    <rPh sb="0" eb="3">
      <t>ジギョウショ</t>
    </rPh>
    <phoneticPr fontId="48"/>
  </si>
  <si>
    <t>6月</t>
  </si>
  <si>
    <t>白金</t>
    <rPh sb="0" eb="2">
      <t>シロガネ</t>
    </rPh>
    <phoneticPr fontId="48"/>
  </si>
  <si>
    <t>白金ディ</t>
    <rPh sb="0" eb="2">
      <t>シロガネ</t>
    </rPh>
    <phoneticPr fontId="48"/>
  </si>
  <si>
    <t>蘇我</t>
    <rPh sb="0" eb="2">
      <t>ソガ</t>
    </rPh>
    <phoneticPr fontId="48"/>
  </si>
  <si>
    <t>誉田</t>
    <rPh sb="0" eb="2">
      <t>ホンダ</t>
    </rPh>
    <phoneticPr fontId="48"/>
  </si>
  <si>
    <t>二日市場</t>
    <rPh sb="0" eb="4">
      <t>フツカイチバ</t>
    </rPh>
    <phoneticPr fontId="48"/>
  </si>
  <si>
    <t>中高根</t>
    <rPh sb="0" eb="3">
      <t>ナカタカネ</t>
    </rPh>
    <phoneticPr fontId="48"/>
  </si>
  <si>
    <t>請求元事業所</t>
    <rPh sb="0" eb="2">
      <t>セイキュウ</t>
    </rPh>
    <rPh sb="2" eb="3">
      <t>モト</t>
    </rPh>
    <rPh sb="3" eb="6">
      <t>ジギョウショ</t>
    </rPh>
    <phoneticPr fontId="48"/>
  </si>
  <si>
    <t>施設込請求額</t>
    <rPh sb="0" eb="2">
      <t>シセツ</t>
    </rPh>
    <rPh sb="2" eb="3">
      <t>コミ</t>
    </rPh>
    <rPh sb="3" eb="5">
      <t>セイキュウ</t>
    </rPh>
    <rPh sb="5" eb="6">
      <t>ガク</t>
    </rPh>
    <phoneticPr fontId="48"/>
  </si>
  <si>
    <t>施設除外</t>
    <rPh sb="0" eb="2">
      <t>シセツ</t>
    </rPh>
    <rPh sb="2" eb="4">
      <t>ジョガイ</t>
    </rPh>
    <phoneticPr fontId="48"/>
  </si>
  <si>
    <t>※ 請求ベースです。</t>
    <rPh sb="2" eb="4">
      <t>セイキュウ</t>
    </rPh>
    <phoneticPr fontId="40"/>
  </si>
  <si>
    <t>事業所分担費</t>
    <rPh sb="0" eb="3">
      <t>ジギョウショ</t>
    </rPh>
    <rPh sb="3" eb="5">
      <t>ブンタン</t>
    </rPh>
    <rPh sb="5" eb="6">
      <t>ヒ</t>
    </rPh>
    <phoneticPr fontId="40"/>
  </si>
  <si>
    <t>蘇我収支へ</t>
    <rPh sb="0" eb="2">
      <t>ソガ</t>
    </rPh>
    <rPh sb="2" eb="4">
      <t>シュウシ</t>
    </rPh>
    <phoneticPr fontId="40"/>
  </si>
  <si>
    <t>白金収支へ</t>
    <phoneticPr fontId="40"/>
  </si>
  <si>
    <t>誉田収支へ</t>
  </si>
  <si>
    <t>白金ディ収支へ</t>
  </si>
  <si>
    <t>二日市場収支へ</t>
  </si>
  <si>
    <t>ＧＨ五井収支へ</t>
  </si>
  <si>
    <t>GH五井</t>
    <rPh sb="2" eb="4">
      <t>ゴイ</t>
    </rPh>
    <phoneticPr fontId="40"/>
  </si>
  <si>
    <t>人件費 合計</t>
    <rPh sb="0" eb="3">
      <t>ジンケンヒ</t>
    </rPh>
    <rPh sb="4" eb="6">
      <t>ゴウケイ</t>
    </rPh>
    <phoneticPr fontId="40"/>
  </si>
  <si>
    <t>事業経費 合計</t>
    <rPh sb="0" eb="2">
      <t>ジギョウ</t>
    </rPh>
    <rPh sb="2" eb="4">
      <t>ケイヒ</t>
    </rPh>
    <rPh sb="5" eb="7">
      <t>ゴウケイ</t>
    </rPh>
    <phoneticPr fontId="40"/>
  </si>
  <si>
    <t>ＧＨ五井</t>
    <rPh sb="2" eb="4">
      <t>ゴイ</t>
    </rPh>
    <phoneticPr fontId="41"/>
  </si>
  <si>
    <t>GＨ五井</t>
    <rPh sb="2" eb="4">
      <t>ゴイ</t>
    </rPh>
    <phoneticPr fontId="41"/>
  </si>
  <si>
    <t>実績</t>
    <rPh sb="0" eb="2">
      <t>ジッセキ</t>
    </rPh>
    <phoneticPr fontId="40"/>
  </si>
  <si>
    <t>ＧＨ五井</t>
    <rPh sb="2" eb="4">
      <t>ゴイ</t>
    </rPh>
    <phoneticPr fontId="40"/>
  </si>
  <si>
    <t>①国保連売上(単月)</t>
    <rPh sb="1" eb="4">
      <t>コクホレン</t>
    </rPh>
    <rPh sb="4" eb="6">
      <t>ウリアゲ</t>
    </rPh>
    <rPh sb="7" eb="9">
      <t>タンゲツ</t>
    </rPh>
    <phoneticPr fontId="40"/>
  </si>
  <si>
    <t>②国保連 返戻・保留・再審査・審査増減・過誤</t>
    <rPh sb="1" eb="4">
      <t>コクホレン</t>
    </rPh>
    <rPh sb="5" eb="7">
      <t>ヘンレイ</t>
    </rPh>
    <rPh sb="8" eb="10">
      <t>ホリュウ</t>
    </rPh>
    <rPh sb="11" eb="14">
      <t>サイシンサ</t>
    </rPh>
    <rPh sb="15" eb="17">
      <t>シンサ</t>
    </rPh>
    <rPh sb="17" eb="19">
      <t>ゾウゲン</t>
    </rPh>
    <rPh sb="20" eb="22">
      <t>カゴ</t>
    </rPh>
    <phoneticPr fontId="40"/>
  </si>
  <si>
    <t>③その他売上</t>
    <rPh sb="3" eb="4">
      <t>タ</t>
    </rPh>
    <rPh sb="4" eb="6">
      <t>ウリアゲ</t>
    </rPh>
    <phoneticPr fontId="40"/>
  </si>
  <si>
    <t>④人件費</t>
    <rPh sb="1" eb="4">
      <t>ジンケンヒ</t>
    </rPh>
    <phoneticPr fontId="40"/>
  </si>
  <si>
    <t>⑤事業所経費</t>
    <rPh sb="1" eb="4">
      <t>ジギョウショ</t>
    </rPh>
    <rPh sb="4" eb="6">
      <t>ケイヒ</t>
    </rPh>
    <phoneticPr fontId="40"/>
  </si>
  <si>
    <t>収支項目</t>
    <rPh sb="0" eb="2">
      <t>シュウシ</t>
    </rPh>
    <rPh sb="2" eb="4">
      <t>コウモク</t>
    </rPh>
    <phoneticPr fontId="40"/>
  </si>
  <si>
    <t>昼食代</t>
    <rPh sb="0" eb="2">
      <t>チュウショク</t>
    </rPh>
    <rPh sb="2" eb="3">
      <t>ダイ</t>
    </rPh>
    <phoneticPr fontId="41"/>
  </si>
  <si>
    <t>昼食代</t>
    <rPh sb="0" eb="2">
      <t>チュウショク</t>
    </rPh>
    <rPh sb="2" eb="3">
      <t>ダイ</t>
    </rPh>
    <phoneticPr fontId="41"/>
  </si>
  <si>
    <t>全社売上推移 (折れ線グラフは経費、棒グラフは売り上げを表します。)</t>
    <rPh sb="0" eb="2">
      <t>ゼンシャ</t>
    </rPh>
    <rPh sb="2" eb="4">
      <t>ウリアゲ</t>
    </rPh>
    <rPh sb="4" eb="6">
      <t>スイイ</t>
    </rPh>
    <rPh sb="8" eb="9">
      <t>オ</t>
    </rPh>
    <rPh sb="10" eb="11">
      <t>セン</t>
    </rPh>
    <rPh sb="15" eb="17">
      <t>ケイヒ</t>
    </rPh>
    <rPh sb="18" eb="19">
      <t>ボウ</t>
    </rPh>
    <rPh sb="23" eb="24">
      <t>ウ</t>
    </rPh>
    <rPh sb="25" eb="26">
      <t>ア</t>
    </rPh>
    <rPh sb="28" eb="29">
      <t>アラワ</t>
    </rPh>
    <phoneticPr fontId="40"/>
  </si>
  <si>
    <t>対本部経費割合</t>
    <rPh sb="0" eb="1">
      <t>タイ</t>
    </rPh>
    <rPh sb="1" eb="3">
      <t>ホンブ</t>
    </rPh>
    <rPh sb="3" eb="5">
      <t>ケイヒ</t>
    </rPh>
    <rPh sb="5" eb="7">
      <t>ワリアイ</t>
    </rPh>
    <phoneticPr fontId="40"/>
  </si>
  <si>
    <t>売上に対する本部費割合</t>
    <rPh sb="0" eb="2">
      <t>ウリアゲ</t>
    </rPh>
    <rPh sb="3" eb="4">
      <t>タイ</t>
    </rPh>
    <rPh sb="6" eb="8">
      <t>ホンブ</t>
    </rPh>
    <rPh sb="8" eb="9">
      <t>ヒ</t>
    </rPh>
    <rPh sb="9" eb="11">
      <t>ワリアイ</t>
    </rPh>
    <phoneticPr fontId="40"/>
  </si>
  <si>
    <t>①'請求保留</t>
    <rPh sb="2" eb="4">
      <t>セイキュウ</t>
    </rPh>
    <rPh sb="4" eb="6">
      <t>ホリュウ</t>
    </rPh>
    <phoneticPr fontId="40"/>
  </si>
  <si>
    <t>⑥当月利益 (①+①'+②+③)-(④+⑤)</t>
    <rPh sb="1" eb="3">
      <t>トウゲツ</t>
    </rPh>
    <rPh sb="3" eb="5">
      <t>リエキ</t>
    </rPh>
    <phoneticPr fontId="40"/>
  </si>
  <si>
    <t>共同生活援助</t>
    <rPh sb="0" eb="2">
      <t>キョウドウ</t>
    </rPh>
    <rPh sb="2" eb="4">
      <t>セイカツ</t>
    </rPh>
    <rPh sb="4" eb="6">
      <t>エンジョ</t>
    </rPh>
    <phoneticPr fontId="41"/>
  </si>
  <si>
    <t>本部</t>
    <rPh sb="0" eb="2">
      <t>ホンブ</t>
    </rPh>
    <phoneticPr fontId="41"/>
  </si>
  <si>
    <t>処遇改善加算金</t>
    <rPh sb="0" eb="2">
      <t>ショグウ</t>
    </rPh>
    <rPh sb="2" eb="4">
      <t>カイゼン</t>
    </rPh>
    <rPh sb="4" eb="6">
      <t>カサン</t>
    </rPh>
    <rPh sb="6" eb="7">
      <t>キン</t>
    </rPh>
    <phoneticPr fontId="41"/>
  </si>
  <si>
    <t>処遇改善加算金</t>
    <rPh sb="0" eb="2">
      <t>ショグウ</t>
    </rPh>
    <rPh sb="2" eb="4">
      <t>カイゼン</t>
    </rPh>
    <rPh sb="4" eb="6">
      <t>カサン</t>
    </rPh>
    <rPh sb="6" eb="7">
      <t>キン</t>
    </rPh>
    <phoneticPr fontId="40"/>
  </si>
  <si>
    <t>処遇改善加算金</t>
    <rPh sb="0" eb="2">
      <t>ショグウ</t>
    </rPh>
    <rPh sb="2" eb="4">
      <t>カイゼン</t>
    </rPh>
    <rPh sb="4" eb="7">
      <t>カサンキン</t>
    </rPh>
    <phoneticPr fontId="41"/>
  </si>
  <si>
    <t>売上(加算込み)</t>
    <rPh sb="0" eb="2">
      <t>ウリアゲ</t>
    </rPh>
    <rPh sb="3" eb="5">
      <t>カサン</t>
    </rPh>
    <rPh sb="5" eb="6">
      <t>コミ</t>
    </rPh>
    <phoneticPr fontId="40"/>
  </si>
  <si>
    <t>予算項目</t>
    <rPh sb="0" eb="2">
      <t>ヨサン</t>
    </rPh>
    <rPh sb="2" eb="4">
      <t>コウモク</t>
    </rPh>
    <phoneticPr fontId="40"/>
  </si>
  <si>
    <t>処遇改善加算金(訪問)</t>
    <rPh sb="0" eb="2">
      <t>ショグウ</t>
    </rPh>
    <rPh sb="2" eb="4">
      <t>カイゼン</t>
    </rPh>
    <rPh sb="4" eb="6">
      <t>カサン</t>
    </rPh>
    <rPh sb="6" eb="7">
      <t>キン</t>
    </rPh>
    <rPh sb="8" eb="10">
      <t>ホウモン</t>
    </rPh>
    <phoneticPr fontId="41"/>
  </si>
  <si>
    <t>処遇改善加算金(障害)</t>
    <rPh sb="0" eb="2">
      <t>ショグウ</t>
    </rPh>
    <rPh sb="2" eb="4">
      <t>カイゼン</t>
    </rPh>
    <rPh sb="4" eb="6">
      <t>カサン</t>
    </rPh>
    <rPh sb="6" eb="7">
      <t>キン</t>
    </rPh>
    <rPh sb="8" eb="10">
      <t>ショウガイ</t>
    </rPh>
    <phoneticPr fontId="41"/>
  </si>
  <si>
    <t>国保連以外売上</t>
    <rPh sb="0" eb="3">
      <t>コクホレン</t>
    </rPh>
    <rPh sb="3" eb="5">
      <t>イガイ</t>
    </rPh>
    <rPh sb="5" eb="7">
      <t>ウリアゲ</t>
    </rPh>
    <phoneticPr fontId="41"/>
  </si>
  <si>
    <t>全社</t>
    <rPh sb="0" eb="2">
      <t>ゼンシャ</t>
    </rPh>
    <phoneticPr fontId="48"/>
  </si>
  <si>
    <t>処遇改善加算金(プール金)</t>
    <rPh sb="0" eb="2">
      <t>ショグウ</t>
    </rPh>
    <rPh sb="2" eb="4">
      <t>カイゼン</t>
    </rPh>
    <rPh sb="4" eb="6">
      <t>カサン</t>
    </rPh>
    <rPh sb="6" eb="7">
      <t>キン</t>
    </rPh>
    <rPh sb="11" eb="12">
      <t>キン</t>
    </rPh>
    <phoneticPr fontId="41"/>
  </si>
  <si>
    <t>支払った加算金</t>
    <rPh sb="0" eb="2">
      <t>シハラ</t>
    </rPh>
    <rPh sb="4" eb="7">
      <t>カサンキン</t>
    </rPh>
    <phoneticPr fontId="40"/>
  </si>
  <si>
    <t>白金パート</t>
    <rPh sb="0" eb="2">
      <t>シロガネ</t>
    </rPh>
    <phoneticPr fontId="40"/>
  </si>
  <si>
    <t>千葉中央パート</t>
    <rPh sb="0" eb="2">
      <t>チバ</t>
    </rPh>
    <rPh sb="2" eb="4">
      <t>チュウオウ</t>
    </rPh>
    <phoneticPr fontId="40"/>
  </si>
  <si>
    <t>姉崎パート</t>
    <rPh sb="0" eb="2">
      <t>アネサキ</t>
    </rPh>
    <phoneticPr fontId="40"/>
  </si>
  <si>
    <t>千葉南パート</t>
    <rPh sb="0" eb="2">
      <t>チバ</t>
    </rPh>
    <rPh sb="2" eb="3">
      <t>ミナミ</t>
    </rPh>
    <phoneticPr fontId="40"/>
  </si>
  <si>
    <t>パート</t>
    <phoneticPr fontId="40"/>
  </si>
  <si>
    <t>中高根パート</t>
    <rPh sb="0" eb="3">
      <t>ナカタカネ</t>
    </rPh>
    <phoneticPr fontId="40"/>
  </si>
  <si>
    <t>二日市場パート</t>
    <rPh sb="0" eb="4">
      <t>フツカイチバ</t>
    </rPh>
    <phoneticPr fontId="40"/>
  </si>
  <si>
    <t>社員</t>
    <rPh sb="0" eb="2">
      <t>シャイン</t>
    </rPh>
    <phoneticPr fontId="40"/>
  </si>
  <si>
    <t>計</t>
    <rPh sb="0" eb="1">
      <t>ケイ</t>
    </rPh>
    <phoneticPr fontId="40"/>
  </si>
  <si>
    <t>処遇改善加算金支払い実績</t>
    <rPh sb="0" eb="2">
      <t>ショグウ</t>
    </rPh>
    <rPh sb="2" eb="4">
      <t>カイゼン</t>
    </rPh>
    <rPh sb="4" eb="6">
      <t>カサン</t>
    </rPh>
    <rPh sb="6" eb="7">
      <t>キン</t>
    </rPh>
    <rPh sb="7" eb="9">
      <t>シハラ</t>
    </rPh>
    <rPh sb="10" eb="12">
      <t>ジッセキ</t>
    </rPh>
    <phoneticPr fontId="40"/>
  </si>
  <si>
    <t>利益-未払加算金</t>
    <rPh sb="0" eb="2">
      <t>リエキ</t>
    </rPh>
    <rPh sb="3" eb="5">
      <t>ミバラ</t>
    </rPh>
    <rPh sb="5" eb="8">
      <t>カサンキン</t>
    </rPh>
    <phoneticPr fontId="40"/>
  </si>
  <si>
    <t>当月未払加算金</t>
    <rPh sb="0" eb="2">
      <t>トウゲツ</t>
    </rPh>
    <rPh sb="2" eb="4">
      <t>ミバラ</t>
    </rPh>
    <rPh sb="4" eb="7">
      <t>カサンキン</t>
    </rPh>
    <phoneticPr fontId="40"/>
  </si>
  <si>
    <t>２月</t>
    <rPh sb="1" eb="2">
      <t>ガツ</t>
    </rPh>
    <phoneticPr fontId="40"/>
  </si>
  <si>
    <t>３月</t>
  </si>
  <si>
    <t>３月</t>
    <rPh sb="1" eb="2">
      <t>ガツ</t>
    </rPh>
    <phoneticPr fontId="40"/>
  </si>
  <si>
    <t>４月</t>
  </si>
  <si>
    <t>４月</t>
    <rPh sb="1" eb="2">
      <t>ガツ</t>
    </rPh>
    <phoneticPr fontId="40"/>
  </si>
  <si>
    <t>５月</t>
  </si>
  <si>
    <t>入金額</t>
    <rPh sb="0" eb="2">
      <t>ニュウキン</t>
    </rPh>
    <rPh sb="2" eb="3">
      <t>ガク</t>
    </rPh>
    <phoneticPr fontId="40"/>
  </si>
  <si>
    <t>１月</t>
    <rPh sb="1" eb="2">
      <t>ガツ</t>
    </rPh>
    <phoneticPr fontId="40"/>
  </si>
  <si>
    <t>１２月</t>
    <rPh sb="2" eb="3">
      <t>ガツ</t>
    </rPh>
    <phoneticPr fontId="40"/>
  </si>
  <si>
    <t>１１月</t>
    <rPh sb="2" eb="3">
      <t>ガツ</t>
    </rPh>
    <phoneticPr fontId="40"/>
  </si>
  <si>
    <t>６月</t>
  </si>
  <si>
    <t>７月</t>
  </si>
  <si>
    <t>稼働月</t>
    <rPh sb="0" eb="2">
      <t>カドウ</t>
    </rPh>
    <rPh sb="2" eb="3">
      <t>ツキ</t>
    </rPh>
    <phoneticPr fontId="40"/>
  </si>
  <si>
    <t>収益率</t>
    <rPh sb="0" eb="2">
      <t>シュウエキ</t>
    </rPh>
    <rPh sb="2" eb="3">
      <t>リツ</t>
    </rPh>
    <phoneticPr fontId="40"/>
  </si>
  <si>
    <t>加算金売上合計</t>
    <rPh sb="0" eb="3">
      <t>カサンキン</t>
    </rPh>
    <rPh sb="3" eb="5">
      <t>ウリアゲ</t>
    </rPh>
    <rPh sb="5" eb="7">
      <t>ゴウケイ</t>
    </rPh>
    <phoneticPr fontId="40"/>
  </si>
  <si>
    <t>訪問加算金売上</t>
    <rPh sb="0" eb="2">
      <t>ホウモン</t>
    </rPh>
    <rPh sb="2" eb="5">
      <t>カサンキン</t>
    </rPh>
    <rPh sb="5" eb="7">
      <t>ウリアゲ</t>
    </rPh>
    <phoneticPr fontId="40"/>
  </si>
  <si>
    <t>障害加算金売上</t>
    <rPh sb="0" eb="2">
      <t>ショウガイ</t>
    </rPh>
    <rPh sb="2" eb="5">
      <t>カサンキン</t>
    </rPh>
    <rPh sb="5" eb="7">
      <t>ウリアゲ</t>
    </rPh>
    <phoneticPr fontId="40"/>
  </si>
  <si>
    <t>計</t>
    <rPh sb="0" eb="1">
      <t>ケイ</t>
    </rPh>
    <phoneticPr fontId="40"/>
  </si>
  <si>
    <t>年月</t>
    <rPh sb="0" eb="2">
      <t>ネンゲツ</t>
    </rPh>
    <phoneticPr fontId="40"/>
  </si>
  <si>
    <t>期平均</t>
    <rPh sb="0" eb="1">
      <t>キ</t>
    </rPh>
    <rPh sb="1" eb="3">
      <t>ヘイキン</t>
    </rPh>
    <phoneticPr fontId="40"/>
  </si>
  <si>
    <t>ＧＨ白金</t>
    <rPh sb="2" eb="4">
      <t>シロガネ</t>
    </rPh>
    <phoneticPr fontId="40"/>
  </si>
  <si>
    <t>ＧＨ白金</t>
    <rPh sb="2" eb="4">
      <t>シロガネ</t>
    </rPh>
    <phoneticPr fontId="41"/>
  </si>
  <si>
    <t>GＨ白金</t>
    <rPh sb="2" eb="4">
      <t>シロガネ</t>
    </rPh>
    <phoneticPr fontId="41"/>
  </si>
  <si>
    <t>共同生活援助</t>
    <rPh sb="0" eb="2">
      <t>キョウドウ</t>
    </rPh>
    <rPh sb="2" eb="4">
      <t>セイカツ</t>
    </rPh>
    <rPh sb="4" eb="6">
      <t>エンジョ</t>
    </rPh>
    <phoneticPr fontId="41"/>
  </si>
  <si>
    <t>事業所</t>
    <rPh sb="0" eb="3">
      <t>ジギョウショ</t>
    </rPh>
    <phoneticPr fontId="40"/>
  </si>
  <si>
    <t>GH白金</t>
    <rPh sb="2" eb="4">
      <t>シロガネ</t>
    </rPh>
    <phoneticPr fontId="40"/>
  </si>
  <si>
    <t>ディ</t>
    <phoneticPr fontId="40"/>
  </si>
  <si>
    <t>単位;万円</t>
    <rPh sb="0" eb="2">
      <t>タンイ</t>
    </rPh>
    <rPh sb="3" eb="5">
      <t>マンエン</t>
    </rPh>
    <phoneticPr fontId="40"/>
  </si>
  <si>
    <t>資金繰り表</t>
    <rPh sb="0" eb="2">
      <t>シキン</t>
    </rPh>
    <rPh sb="2" eb="3">
      <t>グ</t>
    </rPh>
    <rPh sb="4" eb="5">
      <t>ヒョウ</t>
    </rPh>
    <phoneticPr fontId="40"/>
  </si>
  <si>
    <t>人件費／経費／売上推移</t>
    <rPh sb="0" eb="3">
      <t>ジンケンヒ</t>
    </rPh>
    <rPh sb="4" eb="6">
      <t>ケイヒ</t>
    </rPh>
    <rPh sb="7" eb="9">
      <t>ウリアゲ</t>
    </rPh>
    <rPh sb="9" eb="11">
      <t>スイイ</t>
    </rPh>
    <phoneticPr fontId="48"/>
  </si>
  <si>
    <t xml:space="preserve">国保連請求額(単月) </t>
    <rPh sb="0" eb="3">
      <t>コクホレン</t>
    </rPh>
    <rPh sb="3" eb="5">
      <t>セイキュウ</t>
    </rPh>
    <rPh sb="5" eb="6">
      <t>ガク</t>
    </rPh>
    <rPh sb="7" eb="9">
      <t>タンゲツ</t>
    </rPh>
    <phoneticPr fontId="48"/>
  </si>
  <si>
    <t>１２ヶ月累計</t>
    <rPh sb="3" eb="4">
      <t>ゲツ</t>
    </rPh>
    <rPh sb="4" eb="6">
      <t>ルイケイ</t>
    </rPh>
    <phoneticPr fontId="40"/>
  </si>
  <si>
    <t>１２ヶ月平均</t>
    <rPh sb="3" eb="4">
      <t>ゲツ</t>
    </rPh>
    <rPh sb="4" eb="6">
      <t>ヘイキン</t>
    </rPh>
    <phoneticPr fontId="40"/>
  </si>
  <si>
    <t>９月</t>
    <rPh sb="1" eb="2">
      <t>ガツ</t>
    </rPh>
    <phoneticPr fontId="40"/>
  </si>
  <si>
    <t>１０月</t>
    <rPh sb="2" eb="3">
      <t>ガツ</t>
    </rPh>
    <phoneticPr fontId="40"/>
  </si>
  <si>
    <t>１１月</t>
  </si>
  <si>
    <t>１２月</t>
  </si>
  <si>
    <t>１月</t>
  </si>
  <si>
    <t>２月</t>
  </si>
  <si>
    <t>８月</t>
  </si>
  <si>
    <t>予測</t>
    <rPh sb="0" eb="2">
      <t>ヨソク</t>
    </rPh>
    <phoneticPr fontId="40"/>
  </si>
  <si>
    <t>本部予測</t>
    <rPh sb="0" eb="2">
      <t>ホンブ</t>
    </rPh>
    <rPh sb="2" eb="4">
      <t>ヨソク</t>
    </rPh>
    <phoneticPr fontId="40"/>
  </si>
  <si>
    <t>事業所計画</t>
    <rPh sb="0" eb="3">
      <t>ジギョウショ</t>
    </rPh>
    <rPh sb="3" eb="5">
      <t>ケイカク</t>
    </rPh>
    <phoneticPr fontId="40"/>
  </si>
  <si>
    <t>グラフ表示用作業表</t>
    <rPh sb="3" eb="6">
      <t>ヒョウジヨウ</t>
    </rPh>
    <rPh sb="6" eb="8">
      <t>サギョウ</t>
    </rPh>
    <rPh sb="8" eb="9">
      <t>ヒョウ</t>
    </rPh>
    <phoneticPr fontId="40"/>
  </si>
  <si>
    <t>月</t>
    <rPh sb="0" eb="1">
      <t>ツキ</t>
    </rPh>
    <phoneticPr fontId="40"/>
  </si>
  <si>
    <t>適用予測 →</t>
    <rPh sb="0" eb="2">
      <t>テキヨウ</t>
    </rPh>
    <rPh sb="2" eb="4">
      <t>ヨソク</t>
    </rPh>
    <phoneticPr fontId="40"/>
  </si>
  <si>
    <t>５月</t>
    <rPh sb="1" eb="2">
      <t>ガツ</t>
    </rPh>
    <phoneticPr fontId="40"/>
  </si>
  <si>
    <t>６月</t>
    <rPh sb="1" eb="2">
      <t>ガツ</t>
    </rPh>
    <phoneticPr fontId="40"/>
  </si>
  <si>
    <t>７月</t>
    <rPh sb="1" eb="2">
      <t>ガツ</t>
    </rPh>
    <phoneticPr fontId="40"/>
  </si>
  <si>
    <t>８月</t>
    <rPh sb="1" eb="2">
      <t>ガツ</t>
    </rPh>
    <phoneticPr fontId="40"/>
  </si>
  <si>
    <t>売上累計</t>
    <rPh sb="0" eb="2">
      <t>ウリアゲ</t>
    </rPh>
    <rPh sb="2" eb="4">
      <t>ルイケイ</t>
    </rPh>
    <phoneticPr fontId="40"/>
  </si>
  <si>
    <t>人件費累計</t>
    <rPh sb="0" eb="3">
      <t>ジンケンヒ</t>
    </rPh>
    <rPh sb="3" eb="5">
      <t>ルイケイ</t>
    </rPh>
    <phoneticPr fontId="40"/>
  </si>
  <si>
    <t>経費累計</t>
    <rPh sb="0" eb="2">
      <t>ケイヒ</t>
    </rPh>
    <rPh sb="2" eb="4">
      <t>ルイケイ</t>
    </rPh>
    <phoneticPr fontId="40"/>
  </si>
  <si>
    <t>今期収支予測</t>
    <rPh sb="0" eb="2">
      <t>コンキ</t>
    </rPh>
    <rPh sb="2" eb="4">
      <t>シュウシ</t>
    </rPh>
    <rPh sb="4" eb="6">
      <t>ヨソク</t>
    </rPh>
    <phoneticPr fontId="40"/>
  </si>
  <si>
    <t>適用予測</t>
    <rPh sb="0" eb="2">
      <t>テキヨウ</t>
    </rPh>
    <rPh sb="2" eb="4">
      <t>ヨソク</t>
    </rPh>
    <phoneticPr fontId="40"/>
  </si>
  <si>
    <t xml:space="preserve">利益累計 </t>
    <rPh sb="0" eb="2">
      <t>リエキ</t>
    </rPh>
    <rPh sb="2" eb="4">
      <t>ルイケイ</t>
    </rPh>
    <phoneticPr fontId="40"/>
  </si>
  <si>
    <t>当月利益</t>
    <rPh sb="0" eb="2">
      <t>トウゲツ</t>
    </rPh>
    <rPh sb="2" eb="4">
      <t>リエキ</t>
    </rPh>
    <phoneticPr fontId="40"/>
  </si>
  <si>
    <t>前期</t>
    <rPh sb="0" eb="2">
      <t>ゼンキ</t>
    </rPh>
    <phoneticPr fontId="40"/>
  </si>
  <si>
    <t>表１</t>
    <rPh sb="0" eb="1">
      <t>ヒョウ</t>
    </rPh>
    <phoneticPr fontId="40"/>
  </si>
  <si>
    <t>表２</t>
    <rPh sb="0" eb="1">
      <t>ヒョウ</t>
    </rPh>
    <phoneticPr fontId="40"/>
  </si>
  <si>
    <t>表３</t>
    <rPh sb="0" eb="1">
      <t>ヒョウ</t>
    </rPh>
    <phoneticPr fontId="40"/>
  </si>
  <si>
    <t>表４</t>
    <rPh sb="0" eb="1">
      <t>ヒョウ</t>
    </rPh>
    <phoneticPr fontId="40"/>
  </si>
  <si>
    <t>表５</t>
    <rPh sb="0" eb="1">
      <t>ヒョウ</t>
    </rPh>
    <phoneticPr fontId="40"/>
  </si>
  <si>
    <t>表６</t>
    <rPh sb="0" eb="1">
      <t>ヒョウ</t>
    </rPh>
    <phoneticPr fontId="40"/>
  </si>
  <si>
    <t>前期実績</t>
    <rPh sb="0" eb="2">
      <t>ゼンキ</t>
    </rPh>
    <rPh sb="2" eb="4">
      <t>ジッセキ</t>
    </rPh>
    <phoneticPr fontId="40"/>
  </si>
  <si>
    <t>今期予測</t>
    <rPh sb="0" eb="2">
      <t>コンキ</t>
    </rPh>
    <rPh sb="2" eb="4">
      <t>ヨソク</t>
    </rPh>
    <phoneticPr fontId="40"/>
  </si>
  <si>
    <t>差額</t>
    <rPh sb="0" eb="2">
      <t>サガク</t>
    </rPh>
    <phoneticPr fontId="40"/>
  </si>
  <si>
    <t>は、適用予測の選択欄です。</t>
    <rPh sb="2" eb="4">
      <t>テキヨウ</t>
    </rPh>
    <rPh sb="4" eb="6">
      <t>ヨソク</t>
    </rPh>
    <rPh sb="7" eb="9">
      <t>センタク</t>
    </rPh>
    <rPh sb="9" eb="10">
      <t>ラン</t>
    </rPh>
    <phoneticPr fontId="40"/>
  </si>
  <si>
    <t>ＧＨ白金収支へ</t>
    <rPh sb="2" eb="4">
      <t>シロガネ</t>
    </rPh>
    <phoneticPr fontId="40"/>
  </si>
  <si>
    <t>ＧＨ五井</t>
    <rPh sb="2" eb="4">
      <t>ゴイ</t>
    </rPh>
    <phoneticPr fontId="40"/>
  </si>
  <si>
    <t>ＧＨ白金</t>
    <rPh sb="2" eb="4">
      <t>シロガネ</t>
    </rPh>
    <phoneticPr fontId="40"/>
  </si>
  <si>
    <t>合計</t>
    <rPh sb="0" eb="2">
      <t>ゴウケイ</t>
    </rPh>
    <phoneticPr fontId="48"/>
  </si>
  <si>
    <t>広告宣伝費</t>
  </si>
  <si>
    <t>地代家賃</t>
  </si>
  <si>
    <t>水道光熱費</t>
  </si>
  <si>
    <t>燃料費</t>
  </si>
  <si>
    <t>事務用品費</t>
  </si>
  <si>
    <t>消耗品費</t>
  </si>
  <si>
    <t>賃借料</t>
  </si>
  <si>
    <t>支払保険料</t>
  </si>
  <si>
    <t>修繕費</t>
  </si>
  <si>
    <t>租税公課</t>
  </si>
  <si>
    <t>減価償却費</t>
  </si>
  <si>
    <t>接待交際費</t>
  </si>
  <si>
    <t>旅費交通費</t>
  </si>
  <si>
    <t>通信費</t>
  </si>
  <si>
    <t>支払手数料</t>
  </si>
  <si>
    <t>会議費</t>
  </si>
  <si>
    <t>諸会費</t>
  </si>
  <si>
    <t>利用者食費代</t>
  </si>
  <si>
    <t>新聞図書費</t>
  </si>
  <si>
    <t>雑費</t>
  </si>
  <si>
    <t>平均</t>
    <rPh sb="0" eb="2">
      <t>ヘイキン</t>
    </rPh>
    <phoneticPr fontId="40"/>
  </si>
  <si>
    <t>成長率</t>
    <rPh sb="0" eb="3">
      <t>セイチョウリツ</t>
    </rPh>
    <phoneticPr fontId="40"/>
  </si>
  <si>
    <t>1年比較</t>
    <rPh sb="1" eb="2">
      <t>ネン</t>
    </rPh>
    <rPh sb="2" eb="4">
      <t>ヒカク</t>
    </rPh>
    <phoneticPr fontId="40"/>
  </si>
  <si>
    <t>6ヶ月比較</t>
    <rPh sb="2" eb="3">
      <t>ゲツ</t>
    </rPh>
    <rPh sb="3" eb="5">
      <t>ヒカク</t>
    </rPh>
    <phoneticPr fontId="40"/>
  </si>
  <si>
    <t>3ヶ月比較</t>
    <rPh sb="2" eb="3">
      <t>ゲツ</t>
    </rPh>
    <rPh sb="3" eb="5">
      <t>ヒカク</t>
    </rPh>
    <phoneticPr fontId="40"/>
  </si>
  <si>
    <t>前</t>
    <rPh sb="0" eb="1">
      <t>マエ</t>
    </rPh>
    <phoneticPr fontId="40"/>
  </si>
  <si>
    <t>後</t>
    <rPh sb="0" eb="1">
      <t>アト</t>
    </rPh>
    <phoneticPr fontId="40"/>
  </si>
  <si>
    <t>対象期間</t>
    <rPh sb="0" eb="2">
      <t>タイショウ</t>
    </rPh>
    <rPh sb="2" eb="4">
      <t>キカン</t>
    </rPh>
    <phoneticPr fontId="40"/>
  </si>
  <si>
    <t>1年対前3ヶ月</t>
    <rPh sb="1" eb="2">
      <t>ネン</t>
    </rPh>
    <rPh sb="2" eb="3">
      <t>タイ</t>
    </rPh>
    <rPh sb="3" eb="4">
      <t>マエ</t>
    </rPh>
    <rPh sb="6" eb="7">
      <t>ゲツ</t>
    </rPh>
    <phoneticPr fontId="40"/>
  </si>
  <si>
    <t>13ヶ月前～
24ヶ月前平均</t>
    <rPh sb="3" eb="4">
      <t>ゲツ</t>
    </rPh>
    <rPh sb="4" eb="5">
      <t>マエ</t>
    </rPh>
    <rPh sb="10" eb="11">
      <t>ゲツ</t>
    </rPh>
    <rPh sb="11" eb="12">
      <t>マエ</t>
    </rPh>
    <rPh sb="12" eb="14">
      <t>ヘイキン</t>
    </rPh>
    <phoneticPr fontId="40"/>
  </si>
  <si>
    <t>6ヶ月前～
12ヶ月前平均</t>
    <rPh sb="2" eb="3">
      <t>ゲツ</t>
    </rPh>
    <rPh sb="3" eb="4">
      <t>マエ</t>
    </rPh>
    <rPh sb="9" eb="10">
      <t>ゲツ</t>
    </rPh>
    <rPh sb="10" eb="11">
      <t>マエ</t>
    </rPh>
    <rPh sb="11" eb="13">
      <t>ヘイキン</t>
    </rPh>
    <phoneticPr fontId="40"/>
  </si>
  <si>
    <t>6ヶ月平均</t>
    <rPh sb="2" eb="3">
      <t>ゲツ</t>
    </rPh>
    <rPh sb="3" eb="5">
      <t>ヘイキン</t>
    </rPh>
    <phoneticPr fontId="40"/>
  </si>
  <si>
    <t>3ヶ月平均</t>
    <rPh sb="2" eb="3">
      <t>ゲツ</t>
    </rPh>
    <rPh sb="3" eb="5">
      <t>ヘイキン</t>
    </rPh>
    <phoneticPr fontId="40"/>
  </si>
  <si>
    <t>4ヶ月前～
6ヶ月前平均</t>
    <rPh sb="2" eb="3">
      <t>ゲツ</t>
    </rPh>
    <rPh sb="3" eb="4">
      <t>マエ</t>
    </rPh>
    <rPh sb="8" eb="9">
      <t>ゲツ</t>
    </rPh>
    <rPh sb="9" eb="10">
      <t>マエ</t>
    </rPh>
    <rPh sb="10" eb="12">
      <t>ヘイキン</t>
    </rPh>
    <phoneticPr fontId="40"/>
  </si>
  <si>
    <t>期累計</t>
    <rPh sb="0" eb="1">
      <t>キ</t>
    </rPh>
    <rPh sb="1" eb="3">
      <t>ルイケイ</t>
    </rPh>
    <phoneticPr fontId="40"/>
  </si>
  <si>
    <t>期合計
計画／予想</t>
    <rPh sb="0" eb="1">
      <t>キ</t>
    </rPh>
    <rPh sb="1" eb="3">
      <t>ゴウケイ</t>
    </rPh>
    <rPh sb="4" eb="6">
      <t>ケイカク</t>
    </rPh>
    <rPh sb="7" eb="9">
      <t>ヨソウ</t>
    </rPh>
    <phoneticPr fontId="40"/>
  </si>
  <si>
    <t>現在月
予実比率</t>
    <rPh sb="0" eb="2">
      <t>ゲンザイ</t>
    </rPh>
    <rPh sb="2" eb="3">
      <t>ツキ</t>
    </rPh>
    <rPh sb="4" eb="6">
      <t>ヨジツ</t>
    </rPh>
    <rPh sb="6" eb="8">
      <t>ヒリツ</t>
    </rPh>
    <phoneticPr fontId="40"/>
  </si>
  <si>
    <t>期末
予実比率</t>
    <rPh sb="0" eb="2">
      <t>キマツ</t>
    </rPh>
    <rPh sb="3" eb="5">
      <t>ヨジツ</t>
    </rPh>
    <rPh sb="5" eb="7">
      <t>ヒリツ</t>
    </rPh>
    <phoneticPr fontId="40"/>
  </si>
  <si>
    <t>人件費比率</t>
    <rPh sb="0" eb="3">
      <t>ジンケンヒ</t>
    </rPh>
    <rPh sb="3" eb="5">
      <t>ヒリツ</t>
    </rPh>
    <phoneticPr fontId="48"/>
  </si>
  <si>
    <t>営業利益</t>
    <rPh sb="0" eb="2">
      <t>エイギョウ</t>
    </rPh>
    <rPh sb="2" eb="4">
      <t>リエキ</t>
    </rPh>
    <phoneticPr fontId="48"/>
  </si>
  <si>
    <t>営業外収益</t>
    <rPh sb="0" eb="3">
      <t>エイギョウガイ</t>
    </rPh>
    <rPh sb="3" eb="5">
      <t>シュウエキ</t>
    </rPh>
    <phoneticPr fontId="48"/>
  </si>
  <si>
    <t>営業外費用</t>
    <rPh sb="0" eb="3">
      <t>エイギョウガイ</t>
    </rPh>
    <rPh sb="3" eb="5">
      <t>ヒヨウ</t>
    </rPh>
    <phoneticPr fontId="48"/>
  </si>
  <si>
    <t>経常利益</t>
    <rPh sb="0" eb="2">
      <t>ケイジョウ</t>
    </rPh>
    <rPh sb="2" eb="4">
      <t>リエキ</t>
    </rPh>
    <phoneticPr fontId="48"/>
  </si>
  <si>
    <t>推移シートより参照。</t>
    <rPh sb="0" eb="2">
      <t>スイイ</t>
    </rPh>
    <rPh sb="7" eb="9">
      <t>サンショウ</t>
    </rPh>
    <phoneticPr fontId="40"/>
  </si>
  <si>
    <t xml:space="preserve"> 事業所別推移(事業所分担あり)(H25.9～)より参照。</t>
    <rPh sb="1" eb="4">
      <t>ジギョウショ</t>
    </rPh>
    <rPh sb="4" eb="5">
      <t>ベツ</t>
    </rPh>
    <rPh sb="5" eb="7">
      <t>スイイ</t>
    </rPh>
    <rPh sb="8" eb="11">
      <t>ジギョウショ</t>
    </rPh>
    <rPh sb="11" eb="13">
      <t>ブンタン</t>
    </rPh>
    <rPh sb="26" eb="28">
      <t>サンショウ</t>
    </rPh>
    <phoneticPr fontId="40"/>
  </si>
  <si>
    <t>推移より参照</t>
    <rPh sb="0" eb="2">
      <t>スイイ</t>
    </rPh>
    <rPh sb="4" eb="6">
      <t>サンショウ</t>
    </rPh>
    <phoneticPr fontId="40"/>
  </si>
  <si>
    <t>毎月、範囲を変更する｡</t>
    <rPh sb="0" eb="2">
      <t>マイツキ</t>
    </rPh>
    <rPh sb="3" eb="5">
      <t>ハンイ</t>
    </rPh>
    <rPh sb="6" eb="8">
      <t>ヘンコウ</t>
    </rPh>
    <phoneticPr fontId="40"/>
  </si>
  <si>
    <t>国保連集計より手入力</t>
    <rPh sb="0" eb="2">
      <t>コクホ</t>
    </rPh>
    <rPh sb="2" eb="3">
      <t>レン</t>
    </rPh>
    <rPh sb="3" eb="5">
      <t>シュウケイ</t>
    </rPh>
    <rPh sb="7" eb="10">
      <t>テニュウリョク</t>
    </rPh>
    <phoneticPr fontId="40"/>
  </si>
  <si>
    <t>毎月、範囲を変更する｡</t>
    <rPh sb="0" eb="2">
      <t>マイツキ</t>
    </rPh>
    <rPh sb="3" eb="5">
      <t>ハンイ</t>
    </rPh>
    <rPh sb="6" eb="8">
      <t>ヘンコウ</t>
    </rPh>
    <phoneticPr fontId="40"/>
  </si>
  <si>
    <t>国保連単月売上より参照</t>
    <rPh sb="0" eb="2">
      <t>コクホ</t>
    </rPh>
    <rPh sb="2" eb="3">
      <t>レン</t>
    </rPh>
    <rPh sb="3" eb="5">
      <t>タンゲツ</t>
    </rPh>
    <rPh sb="5" eb="7">
      <t>ウリアゲ</t>
    </rPh>
    <rPh sb="9" eb="11">
      <t>サンショウ</t>
    </rPh>
    <phoneticPr fontId="40"/>
  </si>
  <si>
    <t>国保連請求時に各事業所より報告されたら入力する｡</t>
    <rPh sb="0" eb="2">
      <t>コクホ</t>
    </rPh>
    <rPh sb="2" eb="3">
      <t>レン</t>
    </rPh>
    <rPh sb="3" eb="6">
      <t>セイキュウジ</t>
    </rPh>
    <rPh sb="7" eb="8">
      <t>カク</t>
    </rPh>
    <rPh sb="8" eb="11">
      <t>ジギョウショ</t>
    </rPh>
    <rPh sb="13" eb="15">
      <t>ホウコク</t>
    </rPh>
    <rPh sb="19" eb="21">
      <t>ニュウリョク</t>
    </rPh>
    <phoneticPr fontId="40"/>
  </si>
  <si>
    <t>国保連返戻集計の金額を入力する｡</t>
    <rPh sb="0" eb="2">
      <t>コクホ</t>
    </rPh>
    <rPh sb="2" eb="3">
      <t>レン</t>
    </rPh>
    <rPh sb="3" eb="5">
      <t>ヘンレイ</t>
    </rPh>
    <rPh sb="5" eb="7">
      <t>シュウケイ</t>
    </rPh>
    <rPh sb="8" eb="10">
      <t>キンガク</t>
    </rPh>
    <rPh sb="11" eb="13">
      <t>ニュウリョク</t>
    </rPh>
    <phoneticPr fontId="40"/>
  </si>
  <si>
    <t>毎月の売上報告より入力する｡</t>
    <rPh sb="0" eb="2">
      <t>マイツキ</t>
    </rPh>
    <rPh sb="3" eb="5">
      <t>ウリアゲ</t>
    </rPh>
    <rPh sb="5" eb="7">
      <t>ホウコク</t>
    </rPh>
    <rPh sb="9" eb="11">
      <t>ニュウリョク</t>
    </rPh>
    <phoneticPr fontId="40"/>
  </si>
  <si>
    <t>事業所別推移(事業所分担あり) (H25.9～)より参照</t>
    <rPh sb="26" eb="28">
      <t>サンショウ</t>
    </rPh>
    <phoneticPr fontId="40"/>
  </si>
  <si>
    <t>推移より参照</t>
    <rPh sb="0" eb="2">
      <t>スイイ</t>
    </rPh>
    <rPh sb="4" eb="6">
      <t>サンショウ</t>
    </rPh>
    <phoneticPr fontId="40"/>
  </si>
  <si>
    <t>給与シートより集計し、手入力する｡</t>
    <rPh sb="0" eb="2">
      <t>キュウヨ</t>
    </rPh>
    <rPh sb="7" eb="9">
      <t>シュウケイ</t>
    </rPh>
    <rPh sb="11" eb="14">
      <t>テニュウリョク</t>
    </rPh>
    <phoneticPr fontId="40"/>
  </si>
  <si>
    <t>推移より参照</t>
    <rPh sb="0" eb="2">
      <t>スイイ</t>
    </rPh>
    <rPh sb="4" eb="6">
      <t>サンショウ</t>
    </rPh>
    <phoneticPr fontId="40"/>
  </si>
  <si>
    <t>事業所別収支より参照</t>
    <rPh sb="0" eb="3">
      <t>ジギョウショ</t>
    </rPh>
    <rPh sb="3" eb="6">
      <t>ベツシュウシ</t>
    </rPh>
    <rPh sb="8" eb="10">
      <t>サンショウ</t>
    </rPh>
    <phoneticPr fontId="40"/>
  </si>
  <si>
    <t>事業所別推移(事業所分担あり) (H25.9～)より参照</t>
    <rPh sb="0" eb="3">
      <t>ジギョウショ</t>
    </rPh>
    <rPh sb="3" eb="4">
      <t>ベツ</t>
    </rPh>
    <rPh sb="4" eb="6">
      <t>スイイ</t>
    </rPh>
    <rPh sb="7" eb="10">
      <t>ジギョウショ</t>
    </rPh>
    <rPh sb="10" eb="12">
      <t>ブンタン</t>
    </rPh>
    <rPh sb="26" eb="28">
      <t>サンショウ</t>
    </rPh>
    <phoneticPr fontId="40"/>
  </si>
  <si>
    <t>処遇改善加算金支払実績より参照</t>
    <rPh sb="0" eb="2">
      <t>ショグウ</t>
    </rPh>
    <rPh sb="2" eb="4">
      <t>カイゼン</t>
    </rPh>
    <rPh sb="4" eb="7">
      <t>カサンキン</t>
    </rPh>
    <rPh sb="7" eb="9">
      <t>シハライ</t>
    </rPh>
    <rPh sb="9" eb="11">
      <t>ジッセキ</t>
    </rPh>
    <rPh sb="13" eb="15">
      <t>サンショウ</t>
    </rPh>
    <phoneticPr fontId="40"/>
  </si>
  <si>
    <t>事業所別推移(事業所分担あり) (H25.9～)より参照。</t>
    <rPh sb="26" eb="28">
      <t>サンショウ</t>
    </rPh>
    <phoneticPr fontId="40"/>
  </si>
  <si>
    <t>給料手当</t>
  </si>
  <si>
    <t>賞与</t>
  </si>
  <si>
    <t>福利厚生費</t>
  </si>
  <si>
    <t>科目コード</t>
    <phoneticPr fontId="48"/>
  </si>
  <si>
    <t>科目名</t>
    <phoneticPr fontId="48"/>
  </si>
  <si>
    <t>経費合計</t>
    <rPh sb="0" eb="2">
      <t>ケイヒ</t>
    </rPh>
    <rPh sb="2" eb="4">
      <t>ゴウケイ</t>
    </rPh>
    <phoneticPr fontId="48"/>
  </si>
  <si>
    <t>経費＋給与合計</t>
    <rPh sb="0" eb="2">
      <t>ケイヒ</t>
    </rPh>
    <rPh sb="3" eb="5">
      <t>キュウヨ</t>
    </rPh>
    <rPh sb="5" eb="7">
      <t>ゴウケイ</t>
    </rPh>
    <phoneticPr fontId="48"/>
  </si>
  <si>
    <t>GH</t>
    <phoneticPr fontId="41"/>
  </si>
  <si>
    <t>五井</t>
    <rPh sb="0" eb="2">
      <t>ゴイ</t>
    </rPh>
    <phoneticPr fontId="41"/>
  </si>
  <si>
    <t>GH五井</t>
    <rPh sb="2" eb="4">
      <t>ゴイ</t>
    </rPh>
    <phoneticPr fontId="41"/>
  </si>
  <si>
    <t>GH白金</t>
    <rPh sb="2" eb="4">
      <t>シロガネ</t>
    </rPh>
    <phoneticPr fontId="41"/>
  </si>
  <si>
    <t>GH五井</t>
    <rPh sb="2" eb="4">
      <t>ゴイ</t>
    </rPh>
    <phoneticPr fontId="48"/>
  </si>
  <si>
    <t>GH白金</t>
    <rPh sb="2" eb="4">
      <t>シロガネ</t>
    </rPh>
    <phoneticPr fontId="48"/>
  </si>
  <si>
    <t>GH</t>
    <phoneticPr fontId="41"/>
  </si>
  <si>
    <t>タクシー収支へ</t>
    <phoneticPr fontId="40"/>
  </si>
  <si>
    <t>タクシーパート</t>
    <phoneticPr fontId="40"/>
  </si>
  <si>
    <t>平成28年</t>
    <rPh sb="0" eb="2">
      <t>ヘイセイ</t>
    </rPh>
    <rPh sb="4" eb="5">
      <t>ネン</t>
    </rPh>
    <phoneticPr fontId="40"/>
  </si>
  <si>
    <t>移動支援</t>
    <rPh sb="0" eb="2">
      <t>イドウ</t>
    </rPh>
    <rPh sb="2" eb="4">
      <t>シエン</t>
    </rPh>
    <phoneticPr fontId="41"/>
  </si>
  <si>
    <t>タクシー運賃</t>
    <rPh sb="4" eb="6">
      <t>ウンチン</t>
    </rPh>
    <phoneticPr fontId="41"/>
  </si>
  <si>
    <t>返戻後売上総額</t>
    <rPh sb="0" eb="2">
      <t>ヘンレイ</t>
    </rPh>
    <rPh sb="2" eb="3">
      <t>ゴ</t>
    </rPh>
    <rPh sb="3" eb="5">
      <t>ウリアゲ</t>
    </rPh>
    <rPh sb="5" eb="7">
      <t>ソウガク</t>
    </rPh>
    <phoneticPr fontId="48"/>
  </si>
  <si>
    <t>返　戻　率</t>
    <rPh sb="0" eb="1">
      <t>ヘン</t>
    </rPh>
    <rPh sb="2" eb="3">
      <t>モドリ</t>
    </rPh>
    <rPh sb="4" eb="5">
      <t>リツ</t>
    </rPh>
    <phoneticPr fontId="48"/>
  </si>
  <si>
    <t>売上総額</t>
    <rPh sb="0" eb="2">
      <t>ウリアゲ</t>
    </rPh>
    <rPh sb="2" eb="4">
      <t>ソウガク</t>
    </rPh>
    <phoneticPr fontId="48"/>
  </si>
  <si>
    <t>国保連請求</t>
    <rPh sb="0" eb="3">
      <t>コクホレン</t>
    </rPh>
    <rPh sb="3" eb="5">
      <t>セイキュウ</t>
    </rPh>
    <phoneticPr fontId="48"/>
  </si>
  <si>
    <t>H29.8</t>
  </si>
  <si>
    <t>H29.6</t>
  </si>
  <si>
    <t>H29.5</t>
  </si>
  <si>
    <t>H29.4</t>
  </si>
  <si>
    <t>H29.3</t>
  </si>
  <si>
    <t>H29.2</t>
  </si>
  <si>
    <t>請求/返戻</t>
    <rPh sb="0" eb="2">
      <t>セイキュウ</t>
    </rPh>
    <rPh sb="3" eb="5">
      <t>ヘンレイ</t>
    </rPh>
    <phoneticPr fontId="48"/>
  </si>
  <si>
    <t>国保連返戻</t>
    <rPh sb="0" eb="3">
      <t>コクホレン</t>
    </rPh>
    <rPh sb="3" eb="4">
      <t>ヘン</t>
    </rPh>
    <rPh sb="4" eb="5">
      <t>モドリ</t>
    </rPh>
    <phoneticPr fontId="48"/>
  </si>
  <si>
    <t>国保連入金予定</t>
    <rPh sb="0" eb="3">
      <t>コクホレン</t>
    </rPh>
    <rPh sb="3" eb="5">
      <t>ニュウキン</t>
    </rPh>
    <rPh sb="5" eb="7">
      <t>ヨテイ</t>
    </rPh>
    <phoneticPr fontId="48"/>
  </si>
  <si>
    <t>GH西五所</t>
    <rPh sb="2" eb="5">
      <t>ニシゴショ</t>
    </rPh>
    <phoneticPr fontId="40"/>
  </si>
  <si>
    <t>デイ</t>
    <phoneticPr fontId="40"/>
  </si>
  <si>
    <t>西五所</t>
    <rPh sb="0" eb="3">
      <t>ニシゴショ</t>
    </rPh>
    <phoneticPr fontId="40"/>
  </si>
  <si>
    <t>H29.1</t>
    <phoneticPr fontId="40"/>
  </si>
  <si>
    <t>白金タクシー</t>
    <rPh sb="0" eb="2">
      <t>シロガネ</t>
    </rPh>
    <phoneticPr fontId="48"/>
  </si>
  <si>
    <t>タクシー</t>
    <phoneticPr fontId="41"/>
  </si>
  <si>
    <t>白金
タクシー</t>
    <rPh sb="0" eb="2">
      <t>シロガネ</t>
    </rPh>
    <phoneticPr fontId="48"/>
  </si>
  <si>
    <t>白金タクシー</t>
    <rPh sb="0" eb="2">
      <t>シロガネ</t>
    </rPh>
    <phoneticPr fontId="40"/>
  </si>
  <si>
    <t>白金
タクシー</t>
    <rPh sb="0" eb="2">
      <t>シロガネ</t>
    </rPh>
    <phoneticPr fontId="40"/>
  </si>
  <si>
    <t>タクシー</t>
    <phoneticPr fontId="40"/>
  </si>
  <si>
    <t>白金タクシー</t>
    <rPh sb="0" eb="2">
      <t>シロガネ</t>
    </rPh>
    <phoneticPr fontId="41"/>
  </si>
  <si>
    <t>人件費計</t>
    <rPh sb="0" eb="3">
      <t>ジンケンヒ</t>
    </rPh>
    <rPh sb="3" eb="4">
      <t>ケイ</t>
    </rPh>
    <phoneticPr fontId="40"/>
  </si>
  <si>
    <t>パート</t>
  </si>
  <si>
    <t>人件費率</t>
    <rPh sb="0" eb="4">
      <t>ジンケンヒリツ</t>
    </rPh>
    <phoneticPr fontId="40"/>
  </si>
  <si>
    <t>経費算定</t>
    <rPh sb="0" eb="2">
      <t>ケイヒ</t>
    </rPh>
    <rPh sb="2" eb="4">
      <t>サンテイ</t>
    </rPh>
    <phoneticPr fontId="40"/>
  </si>
  <si>
    <t>ベース経費</t>
    <rPh sb="3" eb="5">
      <t>ケイヒ</t>
    </rPh>
    <phoneticPr fontId="48"/>
  </si>
  <si>
    <t>経費
イベントメモ</t>
    <rPh sb="0" eb="2">
      <t>ケイヒ</t>
    </rPh>
    <phoneticPr fontId="41"/>
  </si>
  <si>
    <t>イベントメモ</t>
    <phoneticPr fontId="48"/>
  </si>
  <si>
    <t>人件費
イベントメモ</t>
    <rPh sb="0" eb="3">
      <t>ジンケンヒ</t>
    </rPh>
    <phoneticPr fontId="41"/>
  </si>
  <si>
    <t>人件費算定</t>
    <rPh sb="0" eb="3">
      <t>ジンケンヒ</t>
    </rPh>
    <rPh sb="3" eb="5">
      <t>サンテイ</t>
    </rPh>
    <phoneticPr fontId="41"/>
  </si>
  <si>
    <t>イベントメモ</t>
    <phoneticPr fontId="41"/>
  </si>
  <si>
    <t>9月売上との差額</t>
    <rPh sb="1" eb="2">
      <t>ガツ</t>
    </rPh>
    <rPh sb="2" eb="4">
      <t>ウリアゲ</t>
    </rPh>
    <rPh sb="6" eb="8">
      <t>サガク</t>
    </rPh>
    <phoneticPr fontId="41"/>
  </si>
  <si>
    <t>(社員給与+賞与+役員給与)*13.4％</t>
    <rPh sb="1" eb="3">
      <t>シャイン</t>
    </rPh>
    <rPh sb="3" eb="5">
      <t>キュウヨ</t>
    </rPh>
    <rPh sb="6" eb="8">
      <t>ショウヨ</t>
    </rPh>
    <rPh sb="9" eb="13">
      <t>ヤクインキュウヨ</t>
    </rPh>
    <phoneticPr fontId="41"/>
  </si>
  <si>
    <t>訪問
売上増加分</t>
    <rPh sb="0" eb="2">
      <t>ホウモン</t>
    </rPh>
    <rPh sb="3" eb="7">
      <t>ウリアゲゾウカ</t>
    </rPh>
    <rPh sb="7" eb="8">
      <t>ブン</t>
    </rPh>
    <phoneticPr fontId="40"/>
  </si>
  <si>
    <t>パート計</t>
    <rPh sb="3" eb="4">
      <t>ケイ</t>
    </rPh>
    <phoneticPr fontId="40"/>
  </si>
  <si>
    <t>社員計</t>
    <rPh sb="0" eb="2">
      <t>シャイン</t>
    </rPh>
    <rPh sb="2" eb="3">
      <t>ケイ</t>
    </rPh>
    <phoneticPr fontId="40"/>
  </si>
  <si>
    <t>福利厚生費計</t>
    <rPh sb="0" eb="4">
      <t>フクリコウセイ</t>
    </rPh>
    <rPh sb="4" eb="5">
      <t>ヒ</t>
    </rPh>
    <rPh sb="5" eb="6">
      <t>ケイ</t>
    </rPh>
    <phoneticPr fontId="40"/>
  </si>
  <si>
    <t>法定福利費計</t>
    <rPh sb="0" eb="5">
      <t>ホウテイフクリヒ</t>
    </rPh>
    <rPh sb="5" eb="6">
      <t>ケイ</t>
    </rPh>
    <phoneticPr fontId="40"/>
  </si>
  <si>
    <t>☆売上に応じた人件費増加額(訪問)</t>
    <rPh sb="1" eb="3">
      <t>ウリアゲ</t>
    </rPh>
    <rPh sb="4" eb="5">
      <t>オウ</t>
    </rPh>
    <rPh sb="7" eb="10">
      <t>ジンケンヒ</t>
    </rPh>
    <rPh sb="10" eb="12">
      <t>ゾウカ</t>
    </rPh>
    <rPh sb="12" eb="13">
      <t>ガク</t>
    </rPh>
    <rPh sb="14" eb="16">
      <t>ホウモン</t>
    </rPh>
    <phoneticPr fontId="40"/>
  </si>
  <si>
    <t>白金デイ</t>
    <rPh sb="0" eb="2">
      <t>シロガネ</t>
    </rPh>
    <phoneticPr fontId="40"/>
  </si>
  <si>
    <t>二日市場</t>
    <rPh sb="0" eb="4">
      <t>フツカイ</t>
    </rPh>
    <phoneticPr fontId="40"/>
  </si>
  <si>
    <t>GH白金</t>
    <rPh sb="2" eb="4">
      <t>シロカネ</t>
    </rPh>
    <phoneticPr fontId="40"/>
  </si>
  <si>
    <t>項目</t>
    <rPh sb="0" eb="2">
      <t>コウモク</t>
    </rPh>
    <phoneticPr fontId="40"/>
  </si>
  <si>
    <t>白金ﾀｸｼｰ</t>
    <rPh sb="0" eb="2">
      <t>シロカネ</t>
    </rPh>
    <phoneticPr fontId="40"/>
  </si>
  <si>
    <t>人件費、事業所経費のとこの式が1マス多くずれるずれる</t>
    <rPh sb="0" eb="3">
      <t>ジンケンヒ</t>
    </rPh>
    <rPh sb="4" eb="7">
      <t>ジギョウショ</t>
    </rPh>
    <rPh sb="7" eb="9">
      <t>ケイヒ</t>
    </rPh>
    <rPh sb="13" eb="14">
      <t>シキ</t>
    </rPh>
    <rPh sb="18" eb="19">
      <t>オオ</t>
    </rPh>
    <phoneticPr fontId="40"/>
  </si>
  <si>
    <t>　白金消防設備点検￥35000　　　　　　　　　　</t>
  </si>
  <si>
    <t>☆車税金　￥158900 　　ｸﾞﾙｰﾌﾟﾎｰﾑ五井総合点検￥25920  ＧＨ五所備品購入350万　ＧＨ五所完工差額分196万</t>
  </si>
  <si>
    <t>二日市場機器点検￥25920　　　　　　　　　中高根機器点検￥25920　　</t>
  </si>
  <si>
    <t>ＧＨ五所建設着手￥1,898,640</t>
    <phoneticPr fontId="40"/>
  </si>
  <si>
    <t>地引先生決算報酬￥250000車検ｱﾄﾚｰｽﾛｰﾊﾟｰ￥90000</t>
    <phoneticPr fontId="40"/>
  </si>
  <si>
    <t>☆地引先生　年末調整報酬￥50000</t>
    <phoneticPr fontId="40"/>
  </si>
  <si>
    <t xml:space="preserve"> 二日市場消防設備点検￥24000　　　　　　　　　中高根消防設備点検￥24000</t>
    <phoneticPr fontId="40"/>
  </si>
  <si>
    <t>ＧＨ
西五所</t>
    <rPh sb="3" eb="6">
      <t>ニシゴショ</t>
    </rPh>
    <phoneticPr fontId="41"/>
  </si>
  <si>
    <t>GH西五所</t>
    <rPh sb="2" eb="5">
      <t>ニシゴショ</t>
    </rPh>
    <phoneticPr fontId="41"/>
  </si>
  <si>
    <t>GH西五所</t>
    <rPh sb="2" eb="5">
      <t>ニシゴショ</t>
    </rPh>
    <phoneticPr fontId="48"/>
  </si>
  <si>
    <t>GH</t>
    <phoneticPr fontId="40"/>
  </si>
  <si>
    <t>GH
西五所</t>
    <rPh sb="3" eb="6">
      <t>ニシゴショ</t>
    </rPh>
    <phoneticPr fontId="40"/>
  </si>
  <si>
    <t>西五所</t>
    <rPh sb="0" eb="3">
      <t>ニシゴショ</t>
    </rPh>
    <phoneticPr fontId="41"/>
  </si>
  <si>
    <t>GＨ西五所</t>
    <rPh sb="2" eb="5">
      <t>ニシゴショ</t>
    </rPh>
    <phoneticPr fontId="41"/>
  </si>
  <si>
    <t>白金</t>
  </si>
  <si>
    <t>蘇我</t>
  </si>
  <si>
    <t>誉田</t>
  </si>
  <si>
    <t>二日市場</t>
  </si>
  <si>
    <t>中高根</t>
  </si>
  <si>
    <t>白金タクシー</t>
  </si>
  <si>
    <t>GH西五所</t>
  </si>
  <si>
    <t>一般管理費計</t>
    <rPh sb="0" eb="2">
      <t>イッパン</t>
    </rPh>
    <rPh sb="2" eb="5">
      <t>カンリヒ</t>
    </rPh>
    <rPh sb="5" eb="6">
      <t>ケイ</t>
    </rPh>
    <phoneticPr fontId="22"/>
  </si>
  <si>
    <t>未払い金（ｶｰﾄﾞ）</t>
    <rPh sb="0" eb="1">
      <t>ミ</t>
    </rPh>
    <rPh sb="1" eb="2">
      <t>バラ</t>
    </rPh>
    <rPh sb="3" eb="4">
      <t>キン</t>
    </rPh>
    <phoneticPr fontId="22"/>
  </si>
  <si>
    <t>減価償却分</t>
    <rPh sb="0" eb="2">
      <t>ゲンカ</t>
    </rPh>
    <rPh sb="2" eb="4">
      <t>ショウキャク</t>
    </rPh>
    <rPh sb="4" eb="5">
      <t>ブン</t>
    </rPh>
    <phoneticPr fontId="22"/>
  </si>
  <si>
    <t>資金繰り表経費</t>
    <rPh sb="0" eb="3">
      <t>シキング</t>
    </rPh>
    <rPh sb="4" eb="5">
      <t>ヒョウ</t>
    </rPh>
    <rPh sb="5" eb="7">
      <t>ケイヒ</t>
    </rPh>
    <phoneticPr fontId="40"/>
  </si>
  <si>
    <t>雑収入</t>
    <rPh sb="0" eb="3">
      <t>ザツシュウニュウ</t>
    </rPh>
    <phoneticPr fontId="40"/>
  </si>
  <si>
    <t>買物交通費</t>
    <rPh sb="0" eb="2">
      <t>カイモノ</t>
    </rPh>
    <rPh sb="2" eb="5">
      <t>コウツウヒ</t>
    </rPh>
    <phoneticPr fontId="41"/>
  </si>
  <si>
    <t>二日市</t>
    <rPh sb="0" eb="3">
      <t>フツカイチ</t>
    </rPh>
    <phoneticPr fontId="40"/>
  </si>
  <si>
    <t>☆各事業所査定利益（本部経費分担込み、会社利益含まず）</t>
    <rPh sb="1" eb="5">
      <t>カクジギョウショ</t>
    </rPh>
    <rPh sb="5" eb="7">
      <t>サテイ</t>
    </rPh>
    <rPh sb="7" eb="9">
      <t>リエキ</t>
    </rPh>
    <rPh sb="10" eb="12">
      <t>ホンブ</t>
    </rPh>
    <rPh sb="12" eb="14">
      <t>ケイヒ</t>
    </rPh>
    <rPh sb="14" eb="16">
      <t>ブンタン</t>
    </rPh>
    <rPh sb="16" eb="17">
      <t>コ</t>
    </rPh>
    <rPh sb="19" eb="21">
      <t>カイシャ</t>
    </rPh>
    <rPh sb="21" eb="23">
      <t>リエキ</t>
    </rPh>
    <rPh sb="23" eb="24">
      <t>フク</t>
    </rPh>
    <phoneticPr fontId="40"/>
  </si>
  <si>
    <t>外注費</t>
    <rPh sb="0" eb="3">
      <t>ガイチュウヒ</t>
    </rPh>
    <phoneticPr fontId="40"/>
  </si>
  <si>
    <t>外注費</t>
    <rPh sb="0" eb="3">
      <t>ガイ</t>
    </rPh>
    <phoneticPr fontId="40"/>
  </si>
  <si>
    <t>法定福利費預かり</t>
    <rPh sb="0" eb="5">
      <t>ホウテイフクリ</t>
    </rPh>
    <rPh sb="5" eb="6">
      <t>アズ</t>
    </rPh>
    <phoneticPr fontId="40"/>
  </si>
  <si>
    <t>純利益</t>
    <rPh sb="0" eb="3">
      <t>ジュンリエキ</t>
    </rPh>
    <phoneticPr fontId="41"/>
  </si>
  <si>
    <t>特別損益</t>
    <rPh sb="0" eb="4">
      <t>トクベツソンエキ</t>
    </rPh>
    <phoneticPr fontId="41"/>
  </si>
  <si>
    <t>GH西五所</t>
    <rPh sb="2" eb="5">
      <t>ニ</t>
    </rPh>
    <phoneticPr fontId="40"/>
  </si>
  <si>
    <t>ＧＨ西五所</t>
    <rPh sb="2" eb="5">
      <t>ニシゴショ</t>
    </rPh>
    <phoneticPr fontId="40"/>
  </si>
  <si>
    <t>運営費助成金</t>
    <rPh sb="0" eb="3">
      <t>ウンエイヒ</t>
    </rPh>
    <rPh sb="3" eb="6">
      <t>ジョセイキン</t>
    </rPh>
    <phoneticPr fontId="41"/>
  </si>
  <si>
    <t>運営費助成金</t>
    <rPh sb="0" eb="3">
      <t>ウン</t>
    </rPh>
    <rPh sb="3" eb="6">
      <t>ジョセイキン</t>
    </rPh>
    <phoneticPr fontId="41"/>
  </si>
  <si>
    <t>　</t>
    <phoneticPr fontId="41"/>
  </si>
  <si>
    <t>移動支援</t>
    <rPh sb="0" eb="4">
      <t>イドウシエン</t>
    </rPh>
    <phoneticPr fontId="41"/>
  </si>
  <si>
    <r>
      <t>G</t>
    </r>
    <r>
      <rPr>
        <sz val="11"/>
        <color theme="1"/>
        <rFont val="ＭＳ Ｐゴシック"/>
        <family val="2"/>
        <charset val="128"/>
        <scheme val="minor"/>
      </rPr>
      <t>H西五所</t>
    </r>
    <rPh sb="2" eb="5">
      <t>ニシゴショ</t>
    </rPh>
    <phoneticPr fontId="48"/>
  </si>
  <si>
    <t>利益(予算)</t>
    <rPh sb="0" eb="2">
      <t>リエキ</t>
    </rPh>
    <rPh sb="3" eb="5">
      <t>ヨサン</t>
    </rPh>
    <phoneticPr fontId="38"/>
  </si>
  <si>
    <t>利益(実績)</t>
    <rPh sb="0" eb="2">
      <t>リエキ</t>
    </rPh>
    <rPh sb="3" eb="5">
      <t>ジッセキ</t>
    </rPh>
    <phoneticPr fontId="38"/>
  </si>
  <si>
    <t>H29.10</t>
  </si>
  <si>
    <t>H29.11</t>
  </si>
  <si>
    <t>H29.12</t>
  </si>
  <si>
    <t>H30.1</t>
    <phoneticPr fontId="40"/>
  </si>
  <si>
    <t>H30.2</t>
  </si>
  <si>
    <t>H30.3</t>
  </si>
  <si>
    <t>H30.4</t>
  </si>
  <si>
    <t>H30.5</t>
  </si>
  <si>
    <t>H30.6</t>
  </si>
  <si>
    <t>H30.7</t>
  </si>
  <si>
    <t>H30.8</t>
  </si>
  <si>
    <t>H29.9</t>
  </si>
  <si>
    <t>H29.7(確定)</t>
    <rPh sb="6" eb="8">
      <t>カクテイ</t>
    </rPh>
    <phoneticPr fontId="40"/>
  </si>
  <si>
    <t>H29.10</t>
    <phoneticPr fontId="40"/>
  </si>
  <si>
    <t>H30.1</t>
  </si>
  <si>
    <t>H29.9</t>
    <phoneticPr fontId="40"/>
  </si>
  <si>
    <t>賞与￥15,000,000
夜勤者健康診断￥80,000
忘年会￥600,000</t>
    <phoneticPr fontId="40"/>
  </si>
  <si>
    <t>管理者候補</t>
    <rPh sb="0" eb="3">
      <t>カンリシャ</t>
    </rPh>
    <rPh sb="3" eb="5">
      <t>コウホ</t>
    </rPh>
    <phoneticPr fontId="40"/>
  </si>
  <si>
    <t>6～7月平均</t>
    <rPh sb="3" eb="4">
      <t>ガツ</t>
    </rPh>
    <rPh sb="4" eb="6">
      <t>ヘイキン</t>
    </rPh>
    <phoneticPr fontId="40"/>
  </si>
  <si>
    <t>退職者</t>
    <rPh sb="0" eb="3">
      <t>タイショクシャ</t>
    </rPh>
    <phoneticPr fontId="40"/>
  </si>
  <si>
    <t>管理部パート</t>
    <rPh sb="0" eb="2">
      <t>カンリ</t>
    </rPh>
    <rPh sb="2" eb="3">
      <t>ブ</t>
    </rPh>
    <phoneticPr fontId="40"/>
  </si>
  <si>
    <t>売上</t>
    <rPh sb="0" eb="2">
      <t>ウリア</t>
    </rPh>
    <phoneticPr fontId="40"/>
  </si>
  <si>
    <t>パート人件費</t>
    <rPh sb="3" eb="6">
      <t>ジンケンヒ</t>
    </rPh>
    <phoneticPr fontId="40"/>
  </si>
  <si>
    <t>パート/売上</t>
    <rPh sb="4" eb="6">
      <t>ウリアゲ</t>
    </rPh>
    <phoneticPr fontId="40"/>
  </si>
  <si>
    <t>売上－9月売上</t>
    <rPh sb="0" eb="2">
      <t>ウリアゲ</t>
    </rPh>
    <rPh sb="4" eb="5">
      <t>ガツ</t>
    </rPh>
    <rPh sb="5" eb="7">
      <t>ウリア</t>
    </rPh>
    <phoneticPr fontId="40"/>
  </si>
  <si>
    <t>パート-9月パート</t>
    <rPh sb="5" eb="6">
      <t>ガツ</t>
    </rPh>
    <phoneticPr fontId="40"/>
  </si>
  <si>
    <t>差額*33％</t>
    <rPh sb="0" eb="2">
      <t>サガク</t>
    </rPh>
    <phoneticPr fontId="41"/>
  </si>
  <si>
    <t>差額*27％</t>
    <rPh sb="0" eb="2">
      <t>サガク</t>
    </rPh>
    <phoneticPr fontId="41"/>
  </si>
  <si>
    <t>差額*26％</t>
    <rPh sb="0" eb="2">
      <t>サガク</t>
    </rPh>
    <phoneticPr fontId="41"/>
  </si>
  <si>
    <t>H29年度事業所別目標売上高</t>
    <rPh sb="3" eb="4">
      <t>ネン</t>
    </rPh>
    <rPh sb="4" eb="5">
      <t>ド</t>
    </rPh>
    <rPh sb="5" eb="8">
      <t>ジギョウショ</t>
    </rPh>
    <rPh sb="8" eb="9">
      <t>ベツ</t>
    </rPh>
    <rPh sb="9" eb="11">
      <t>モクヒョウ</t>
    </rPh>
    <rPh sb="11" eb="14">
      <t>ウリアゲダカ</t>
    </rPh>
    <phoneticPr fontId="40"/>
  </si>
  <si>
    <t>H２８年度実績</t>
    <rPh sb="3" eb="4">
      <t>ネン</t>
    </rPh>
    <rPh sb="4" eb="5">
      <t>ド</t>
    </rPh>
    <rPh sb="5" eb="7">
      <t>ジッセキ</t>
    </rPh>
    <phoneticPr fontId="40"/>
  </si>
  <si>
    <t>本部・管理部</t>
    <rPh sb="0" eb="2">
      <t>ホンブ</t>
    </rPh>
    <rPh sb="3" eb="5">
      <t>カンリ</t>
    </rPh>
    <rPh sb="5" eb="6">
      <t>ブ</t>
    </rPh>
    <phoneticPr fontId="40"/>
  </si>
  <si>
    <t>現在月</t>
    <rPh sb="0" eb="2">
      <t>ゲンザイ</t>
    </rPh>
    <rPh sb="2" eb="3">
      <t>ツキ</t>
    </rPh>
    <phoneticPr fontId="48"/>
  </si>
  <si>
    <t>← 現在月を入力してください。</t>
    <rPh sb="2" eb="4">
      <t>ゲンザイ</t>
    </rPh>
    <rPh sb="4" eb="5">
      <t>ツキ</t>
    </rPh>
    <rPh sb="6" eb="8">
      <t>ニュウリョク</t>
    </rPh>
    <phoneticPr fontId="48"/>
  </si>
  <si>
    <t>※白抜きのセルがが入力セルです。</t>
  </si>
  <si>
    <t>予／実</t>
    <rPh sb="0" eb="1">
      <t>ヨ</t>
    </rPh>
    <rPh sb="2" eb="3">
      <t>ジツ</t>
    </rPh>
    <phoneticPr fontId="48"/>
  </si>
  <si>
    <t>計画</t>
    <rPh sb="0" eb="2">
      <t>ケイカク</t>
    </rPh>
    <phoneticPr fontId="48"/>
  </si>
  <si>
    <t>実績</t>
    <rPh sb="0" eb="2">
      <t>ジッセキ</t>
    </rPh>
    <phoneticPr fontId="48"/>
  </si>
  <si>
    <t>経常利益</t>
    <rPh sb="0" eb="2">
      <t>ケイジョウ</t>
    </rPh>
    <rPh sb="2" eb="4">
      <t>リエキ</t>
    </rPh>
    <phoneticPr fontId="40"/>
  </si>
  <si>
    <t>二日市場</t>
    <rPh sb="0" eb="3">
      <t>フツカイチ</t>
    </rPh>
    <rPh sb="3" eb="4">
      <t>バ</t>
    </rPh>
    <phoneticPr fontId="40"/>
  </si>
  <si>
    <t>広告経費</t>
    <rPh sb="0" eb="2">
      <t>コウコク</t>
    </rPh>
    <rPh sb="2" eb="4">
      <t>ケイヒ</t>
    </rPh>
    <phoneticPr fontId="40"/>
  </si>
  <si>
    <t>広告経費</t>
    <rPh sb="0" eb="4">
      <t>コウコクケイ</t>
    </rPh>
    <phoneticPr fontId="40"/>
  </si>
  <si>
    <t>提責増員
(3名)</t>
    <rPh sb="0" eb="1">
      <t>テイ</t>
    </rPh>
    <rPh sb="1" eb="2">
      <t>セキ</t>
    </rPh>
    <rPh sb="2" eb="4">
      <t>ゾウイン</t>
    </rPh>
    <rPh sb="7" eb="8">
      <t>メイ</t>
    </rPh>
    <phoneticPr fontId="40"/>
  </si>
  <si>
    <t>誉田タクシー</t>
    <rPh sb="0" eb="2">
      <t>ホンダ</t>
    </rPh>
    <phoneticPr fontId="40"/>
  </si>
  <si>
    <t>H29経費合計</t>
    <rPh sb="3" eb="5">
      <t>ケイヒ</t>
    </rPh>
    <rPh sb="5" eb="7">
      <t>ゴウケイ</t>
    </rPh>
    <phoneticPr fontId="40"/>
  </si>
  <si>
    <t>H29人件費計</t>
    <rPh sb="3" eb="6">
      <t>ジンケンヒ</t>
    </rPh>
    <rPh sb="6" eb="7">
      <t>ケイ</t>
    </rPh>
    <phoneticPr fontId="40"/>
  </si>
  <si>
    <t>訪問社員
増員(3名)</t>
    <rPh sb="0" eb="2">
      <t>ホウモン</t>
    </rPh>
    <rPh sb="2" eb="4">
      <t>シャイン</t>
    </rPh>
    <rPh sb="5" eb="7">
      <t>ゾウイン</t>
    </rPh>
    <rPh sb="9" eb="10">
      <t>メイ</t>
    </rPh>
    <phoneticPr fontId="40"/>
  </si>
  <si>
    <t>経費計</t>
    <rPh sb="0" eb="2">
      <t>ケイヒ</t>
    </rPh>
    <rPh sb="2" eb="3">
      <t>ケイ</t>
    </rPh>
    <phoneticPr fontId="40"/>
  </si>
  <si>
    <t>+</t>
    <phoneticPr fontId="40"/>
  </si>
  <si>
    <t>＝</t>
    <phoneticPr fontId="40"/>
  </si>
  <si>
    <t>人件費計</t>
    <rPh sb="0" eb="3">
      <t>ジンケン</t>
    </rPh>
    <rPh sb="3" eb="4">
      <t>ケイ</t>
    </rPh>
    <phoneticPr fontId="40"/>
  </si>
  <si>
    <t>国</t>
    <rPh sb="0" eb="1">
      <t>クニ</t>
    </rPh>
    <phoneticPr fontId="40"/>
  </si>
  <si>
    <t>五井</t>
    <rPh sb="0" eb="2">
      <t>ゴイ</t>
    </rPh>
    <phoneticPr fontId="40"/>
  </si>
  <si>
    <t>西五所</t>
    <rPh sb="0" eb="3">
      <t>ニシ</t>
    </rPh>
    <phoneticPr fontId="40"/>
  </si>
  <si>
    <t>/10000</t>
    <phoneticPr fontId="40"/>
  </si>
  <si>
    <t>6.7自費等</t>
    <rPh sb="3" eb="5">
      <t>ジヒ</t>
    </rPh>
    <rPh sb="5" eb="6">
      <t>トウ</t>
    </rPh>
    <phoneticPr fontId="40"/>
  </si>
  <si>
    <t>社用車ハイゼット
\19,614
(72ヶ月減価償却)
ハイゼット保険料￥4,690</t>
    <rPh sb="21" eb="22">
      <t>ゲツ</t>
    </rPh>
    <rPh sb="22" eb="26">
      <t>ゲンカショウキャク</t>
    </rPh>
    <rPh sb="33" eb="36">
      <t>ホケンリョウ</t>
    </rPh>
    <phoneticPr fontId="40"/>
  </si>
  <si>
    <t>GH西五所BMW
￥59,883
(72ヶ月減価償却)
BMW保険料￥11,730
地引先生決算報酬￥250,000
車検ｱﾄﾚｰｽﾛｰﾊﾟｰ￥90,000</t>
    <rPh sb="2" eb="5">
      <t>ニシゴショ</t>
    </rPh>
    <rPh sb="21" eb="22">
      <t>ゲツ</t>
    </rPh>
    <rPh sb="22" eb="26">
      <t>ゲンカ</t>
    </rPh>
    <phoneticPr fontId="40"/>
  </si>
  <si>
    <t>労働保険料￥600,000（２期）</t>
    <phoneticPr fontId="40"/>
  </si>
  <si>
    <t>労働保険3期￥610,000
賞与分社保￥1,634,800
☆年末調整￥900,000（給与に含める）</t>
    <phoneticPr fontId="40"/>
  </si>
  <si>
    <t>健康診断（136名＠8,100）￥1,101,600</t>
    <phoneticPr fontId="40"/>
  </si>
  <si>
    <t>家賃助成返金分</t>
  </si>
  <si>
    <t>家賃助成返金分</t>
    <rPh sb="0" eb="2">
      <t>ヤチン</t>
    </rPh>
    <rPh sb="2" eb="4">
      <t>ジョセイ</t>
    </rPh>
    <rPh sb="4" eb="7">
      <t>ヘンキンブン</t>
    </rPh>
    <phoneticPr fontId="41"/>
  </si>
  <si>
    <t>返戻</t>
    <rPh sb="0" eb="2">
      <t>ヘンレイ</t>
    </rPh>
    <phoneticPr fontId="40"/>
  </si>
  <si>
    <t>蘇我事務員</t>
    <rPh sb="0" eb="2">
      <t>ソガ</t>
    </rPh>
    <rPh sb="2" eb="5">
      <t>ジムイン</t>
    </rPh>
    <phoneticPr fontId="40"/>
  </si>
  <si>
    <t>デイ</t>
  </si>
  <si>
    <t>GH五井</t>
  </si>
  <si>
    <t>GH白金</t>
  </si>
  <si>
    <t>タクシー運賃消費税</t>
    <rPh sb="6" eb="9">
      <t>ショウヒゼイ</t>
    </rPh>
    <phoneticPr fontId="40"/>
  </si>
  <si>
    <t>事　業　所</t>
    <rPh sb="0" eb="1">
      <t>コト</t>
    </rPh>
    <rPh sb="2" eb="3">
      <t>ギョウ</t>
    </rPh>
    <rPh sb="4" eb="5">
      <t>ショ</t>
    </rPh>
    <phoneticPr fontId="40"/>
  </si>
  <si>
    <t>白　　金</t>
    <rPh sb="0" eb="1">
      <t>シロ</t>
    </rPh>
    <rPh sb="3" eb="4">
      <t>キン</t>
    </rPh>
    <phoneticPr fontId="40"/>
  </si>
  <si>
    <t>蘇　　我</t>
    <rPh sb="0" eb="1">
      <t>ソ</t>
    </rPh>
    <rPh sb="3" eb="4">
      <t>ワレ</t>
    </rPh>
    <phoneticPr fontId="40"/>
  </si>
  <si>
    <t>誉　　田</t>
    <rPh sb="0" eb="1">
      <t>ホマレ</t>
    </rPh>
    <rPh sb="3" eb="4">
      <t>タ</t>
    </rPh>
    <phoneticPr fontId="40"/>
  </si>
  <si>
    <t>項　　　目</t>
    <rPh sb="0" eb="1">
      <t>コウ</t>
    </rPh>
    <rPh sb="4" eb="5">
      <t>メ</t>
    </rPh>
    <phoneticPr fontId="40"/>
  </si>
  <si>
    <t>累　　　計</t>
    <rPh sb="0" eb="1">
      <t>ルイ</t>
    </rPh>
    <rPh sb="4" eb="5">
      <t>ケイ</t>
    </rPh>
    <phoneticPr fontId="40"/>
  </si>
  <si>
    <t>雑経費</t>
    <rPh sb="0" eb="1">
      <t>ザツ</t>
    </rPh>
    <rPh sb="1" eb="3">
      <t>ケイヒ</t>
    </rPh>
    <phoneticPr fontId="40"/>
  </si>
  <si>
    <t>雑経費</t>
    <rPh sb="0" eb="1">
      <t>ザツ</t>
    </rPh>
    <rPh sb="1" eb="3">
      <t>ケイヒ</t>
    </rPh>
    <phoneticPr fontId="40"/>
  </si>
  <si>
    <t>人件費+経費+雑経費</t>
    <rPh sb="0" eb="3">
      <t>ジンケンヒ</t>
    </rPh>
    <rPh sb="4" eb="6">
      <t>ケイヒ</t>
    </rPh>
    <rPh sb="7" eb="8">
      <t>ザツ</t>
    </rPh>
    <rPh sb="8" eb="10">
      <t>ケイヒ</t>
    </rPh>
    <phoneticPr fontId="40"/>
  </si>
  <si>
    <t>H28期末調整の入っている間は、</t>
    <rPh sb="8" eb="9">
      <t>ハイ</t>
    </rPh>
    <rPh sb="13" eb="14">
      <t>アイダ</t>
    </rPh>
    <phoneticPr fontId="40"/>
  </si>
  <si>
    <t>12ヶ月累計→13個のセルになっている</t>
    <rPh sb="3" eb="4">
      <t>ゲツ</t>
    </rPh>
    <rPh sb="4" eb="6">
      <t>ルイケイ</t>
    </rPh>
    <rPh sb="9" eb="10">
      <t>コ</t>
    </rPh>
    <phoneticPr fontId="40"/>
  </si>
  <si>
    <t>税金(法人税等)</t>
    <rPh sb="0" eb="2">
      <t>ゼイキン</t>
    </rPh>
    <rPh sb="3" eb="7">
      <t>ホウジンゼイトウ</t>
    </rPh>
    <phoneticPr fontId="41"/>
  </si>
  <si>
    <t>本部・管理部
経費</t>
    <rPh sb="0" eb="2">
      <t>ホンブ</t>
    </rPh>
    <rPh sb="3" eb="5">
      <t>カンリ</t>
    </rPh>
    <rPh sb="5" eb="6">
      <t>ブ</t>
    </rPh>
    <rPh sb="7" eb="9">
      <t>ケイヒ</t>
    </rPh>
    <phoneticPr fontId="40"/>
  </si>
  <si>
    <t>本部
管理部</t>
    <rPh sb="0" eb="2">
      <t>ホンブ</t>
    </rPh>
    <rPh sb="3" eb="5">
      <t>カンリ</t>
    </rPh>
    <rPh sb="5" eb="6">
      <t>ブ</t>
    </rPh>
    <phoneticPr fontId="40"/>
  </si>
  <si>
    <t>管理部</t>
    <rPh sb="0" eb="2">
      <t>カンリ</t>
    </rPh>
    <rPh sb="2" eb="3">
      <t>ブ</t>
    </rPh>
    <phoneticPr fontId="40"/>
  </si>
  <si>
    <t>管理部</t>
    <rPh sb="0" eb="3">
      <t>カ</t>
    </rPh>
    <phoneticPr fontId="41"/>
  </si>
  <si>
    <t>本部・管理部</t>
    <rPh sb="0" eb="2">
      <t>ホンブ</t>
    </rPh>
    <rPh sb="3" eb="5">
      <t>カンリ</t>
    </rPh>
    <rPh sb="5" eb="6">
      <t>ブ</t>
    </rPh>
    <phoneticPr fontId="41"/>
  </si>
  <si>
    <t>本部・</t>
    <rPh sb="0" eb="2">
      <t>ホンブ</t>
    </rPh>
    <phoneticPr fontId="40"/>
  </si>
  <si>
    <t>本部管理部経費分担</t>
    <phoneticPr fontId="40"/>
  </si>
  <si>
    <t>本部管理部経費分担</t>
    <phoneticPr fontId="40"/>
  </si>
  <si>
    <t>本部管理部経費分担</t>
    <phoneticPr fontId="40"/>
  </si>
  <si>
    <t>二日市スプリンクラー\2,000,000
アウディ頭金
\700,000</t>
    <rPh sb="0" eb="3">
      <t>フツカイチ</t>
    </rPh>
    <rPh sb="25" eb="27">
      <t>アタマキン</t>
    </rPh>
    <phoneticPr fontId="40"/>
  </si>
  <si>
    <t>☆地引先生年末調整報酬￥50,000
二日市スプリンクラー\2,000,000</t>
    <rPh sb="19" eb="22">
      <t>フツカイチ</t>
    </rPh>
    <phoneticPr fontId="40"/>
  </si>
  <si>
    <t>消費税</t>
    <rPh sb="0" eb="3">
      <t>ショウヒゼイ</t>
    </rPh>
    <phoneticPr fontId="48"/>
  </si>
  <si>
    <t>消費税</t>
    <rPh sb="0" eb="3">
      <t>ショウヒゼイ</t>
    </rPh>
    <phoneticPr fontId="40"/>
  </si>
  <si>
    <t>消費税</t>
    <rPh sb="0" eb="3">
      <t>ショウヒ</t>
    </rPh>
    <phoneticPr fontId="40"/>
  </si>
  <si>
    <t>消費税</t>
    <rPh sb="0" eb="3">
      <t>ショ</t>
    </rPh>
    <phoneticPr fontId="40"/>
  </si>
  <si>
    <t>GH西五所へ</t>
    <rPh sb="2" eb="5">
      <t>ニシゴショ</t>
    </rPh>
    <phoneticPr fontId="40"/>
  </si>
  <si>
    <t>白金タクシーへ</t>
    <rPh sb="0" eb="2">
      <t>シロガネ</t>
    </rPh>
    <phoneticPr fontId="40"/>
  </si>
  <si>
    <t>査定利益</t>
    <rPh sb="0" eb="2">
      <t>サテイ</t>
    </rPh>
    <rPh sb="2" eb="4">
      <t>リエキ</t>
    </rPh>
    <rPh sb="3" eb="4">
      <t>エイリ</t>
    </rPh>
    <phoneticPr fontId="40"/>
  </si>
  <si>
    <t>期末調整</t>
    <rPh sb="0" eb="2">
      <t>キマツ</t>
    </rPh>
    <rPh sb="2" eb="4">
      <t>チョウセイ</t>
    </rPh>
    <phoneticPr fontId="40"/>
  </si>
  <si>
    <t>人件費＋経費
+消費税+期末調整</t>
    <rPh sb="0" eb="3">
      <t>ジンケンヒ</t>
    </rPh>
    <rPh sb="4" eb="6">
      <t>ケイヒ</t>
    </rPh>
    <rPh sb="8" eb="11">
      <t>ショウヒゼイ</t>
    </rPh>
    <rPh sb="12" eb="16">
      <t>キマツ</t>
    </rPh>
    <phoneticPr fontId="40"/>
  </si>
  <si>
    <t>期末調整</t>
    <rPh sb="0" eb="4">
      <t>キマツ</t>
    </rPh>
    <phoneticPr fontId="40"/>
  </si>
  <si>
    <t>期末調整</t>
    <rPh sb="0" eb="2">
      <t>キマツ</t>
    </rPh>
    <rPh sb="2" eb="4">
      <t>チョウセイ</t>
    </rPh>
    <phoneticPr fontId="40"/>
  </si>
  <si>
    <t>稼働月</t>
    <rPh sb="0" eb="2">
      <t>カドウ</t>
    </rPh>
    <rPh sb="2" eb="3">
      <t>ヅキ</t>
    </rPh>
    <phoneticPr fontId="40"/>
  </si>
  <si>
    <t>所属</t>
    <rPh sb="0" eb="2">
      <t>ショゾク</t>
    </rPh>
    <phoneticPr fontId="40"/>
  </si>
  <si>
    <t>職員名</t>
    <rPh sb="0" eb="3">
      <t>ショ</t>
    </rPh>
    <phoneticPr fontId="40"/>
  </si>
  <si>
    <t>給与①</t>
    <rPh sb="0" eb="2">
      <t>キュウヨ</t>
    </rPh>
    <phoneticPr fontId="40"/>
  </si>
  <si>
    <t>処遇改善加算②</t>
    <rPh sb="0" eb="6">
      <t>ショグウカイ</t>
    </rPh>
    <phoneticPr fontId="40"/>
  </si>
  <si>
    <t>法定福利費③</t>
    <rPh sb="0" eb="5">
      <t>ホウテイフクリヒ</t>
    </rPh>
    <phoneticPr fontId="40"/>
  </si>
  <si>
    <t>③*④</t>
    <phoneticPr fontId="40"/>
  </si>
  <si>
    <t>②/①=④</t>
    <phoneticPr fontId="40"/>
  </si>
  <si>
    <t>布施　恵美</t>
  </si>
  <si>
    <t>林　サオリ</t>
  </si>
  <si>
    <t>鶴岡　和子</t>
  </si>
  <si>
    <t>髙澤　富江</t>
  </si>
  <si>
    <t>根本　礼子</t>
  </si>
  <si>
    <t>田畑　晃代</t>
  </si>
  <si>
    <t>板澤　幸輝</t>
  </si>
  <si>
    <t>齊藤　かすみ</t>
  </si>
  <si>
    <t>森田　あけ美</t>
  </si>
  <si>
    <t>介護保険計</t>
    <rPh sb="0" eb="2">
      <t>カイゴ</t>
    </rPh>
    <rPh sb="2" eb="4">
      <t>ホケン</t>
    </rPh>
    <rPh sb="4" eb="5">
      <t>ケイ</t>
    </rPh>
    <phoneticPr fontId="40"/>
  </si>
  <si>
    <t>障害計</t>
    <rPh sb="0" eb="2">
      <t>ショウガイ</t>
    </rPh>
    <rPh sb="2" eb="3">
      <t>ケイ</t>
    </rPh>
    <phoneticPr fontId="40"/>
  </si>
  <si>
    <t>入
金</t>
    <rPh sb="0" eb="1">
      <t>ハイ</t>
    </rPh>
    <rPh sb="3" eb="4">
      <t>キン</t>
    </rPh>
    <phoneticPr fontId="40"/>
  </si>
  <si>
    <t>売
上</t>
    <rPh sb="0" eb="1">
      <t>バイ</t>
    </rPh>
    <rPh sb="3" eb="4">
      <t>ジョウ</t>
    </rPh>
    <phoneticPr fontId="40"/>
  </si>
  <si>
    <t>支
払</t>
    <rPh sb="0" eb="1">
      <t>シ</t>
    </rPh>
    <rPh sb="6" eb="7">
      <t>バライ</t>
    </rPh>
    <phoneticPr fontId="40"/>
  </si>
  <si>
    <t>入金ー出金</t>
    <rPh sb="0" eb="2">
      <t>ニュウキン</t>
    </rPh>
    <rPh sb="3" eb="5">
      <t>シュッキン</t>
    </rPh>
    <phoneticPr fontId="40"/>
  </si>
  <si>
    <t>介護保険</t>
    <rPh sb="0" eb="4">
      <t>カイゴホケン</t>
    </rPh>
    <phoneticPr fontId="40"/>
  </si>
  <si>
    <t>障害</t>
    <rPh sb="0" eb="2">
      <t>ショウガイ</t>
    </rPh>
    <phoneticPr fontId="40"/>
  </si>
  <si>
    <t>計</t>
    <rPh sb="0" eb="1">
      <t>ケイ</t>
    </rPh>
    <phoneticPr fontId="40"/>
  </si>
  <si>
    <t>白金デイ</t>
    <rPh sb="0" eb="2">
      <t>シロガネ</t>
    </rPh>
    <phoneticPr fontId="48"/>
  </si>
  <si>
    <t>誉田提責</t>
    <rPh sb="0" eb="2">
      <t>ホンダ</t>
    </rPh>
    <rPh sb="2" eb="3">
      <t>テイ</t>
    </rPh>
    <rPh sb="3" eb="4">
      <t>セキ</t>
    </rPh>
    <phoneticPr fontId="40"/>
  </si>
  <si>
    <t>白金提責</t>
    <rPh sb="0" eb="2">
      <t>シロガネ</t>
    </rPh>
    <rPh sb="2" eb="4">
      <t>テイ</t>
    </rPh>
    <phoneticPr fontId="40"/>
  </si>
  <si>
    <t>社用車増減</t>
    <rPh sb="0" eb="3">
      <t>シャヨウシャ</t>
    </rPh>
    <rPh sb="3" eb="5">
      <t>ゾウゲン</t>
    </rPh>
    <phoneticPr fontId="40"/>
  </si>
  <si>
    <t>二日市場消防設備点検￥24,000
二日市スプリンクラー\2,912,000
アウディ1回目\120,720
アウディ2納車？</t>
    <rPh sb="18" eb="21">
      <t>フツカ</t>
    </rPh>
    <rPh sb="44" eb="46">
      <t>カイメ</t>
    </rPh>
    <rPh sb="60" eb="62">
      <t>ノウシャ</t>
    </rPh>
    <phoneticPr fontId="40"/>
  </si>
  <si>
    <t>事業所コード</t>
    <rPh sb="0" eb="3">
      <t>ジギョウショ</t>
    </rPh>
    <phoneticPr fontId="40"/>
  </si>
  <si>
    <t>通所介護</t>
    <rPh sb="0" eb="2">
      <t>ツウショ</t>
    </rPh>
    <rPh sb="2" eb="4">
      <t>カイゴ</t>
    </rPh>
    <phoneticPr fontId="40"/>
  </si>
  <si>
    <t>共同生活援助</t>
    <rPh sb="0" eb="2">
      <t>キョウドウ</t>
    </rPh>
    <rPh sb="2" eb="4">
      <t>セイカツ</t>
    </rPh>
    <rPh sb="4" eb="6">
      <t>エンジョ</t>
    </rPh>
    <phoneticPr fontId="40"/>
  </si>
  <si>
    <t>移動支援</t>
    <rPh sb="0" eb="2">
      <t>イドウ</t>
    </rPh>
    <rPh sb="2" eb="4">
      <t>シエン</t>
    </rPh>
    <phoneticPr fontId="40"/>
  </si>
  <si>
    <t>買物交通費</t>
    <rPh sb="0" eb="1">
      <t>カ</t>
    </rPh>
    <rPh sb="1" eb="2">
      <t>モノ</t>
    </rPh>
    <rPh sb="2" eb="5">
      <t>コウツウヒ</t>
    </rPh>
    <phoneticPr fontId="40"/>
  </si>
  <si>
    <t>昼食代</t>
    <rPh sb="0" eb="2">
      <t>チュウショク</t>
    </rPh>
    <rPh sb="2" eb="3">
      <t>ダイ</t>
    </rPh>
    <phoneticPr fontId="40"/>
  </si>
  <si>
    <t>家賃助成返金分</t>
    <rPh sb="0" eb="2">
      <t>ヤチン</t>
    </rPh>
    <rPh sb="2" eb="4">
      <t>ジョセイ</t>
    </rPh>
    <rPh sb="4" eb="6">
      <t>ヘンキン</t>
    </rPh>
    <rPh sb="6" eb="7">
      <t>ブン</t>
    </rPh>
    <phoneticPr fontId="40"/>
  </si>
  <si>
    <t>運営費助成金</t>
    <rPh sb="0" eb="3">
      <t>ウンエイヒ</t>
    </rPh>
    <rPh sb="3" eb="6">
      <t>ジョセイキン</t>
    </rPh>
    <phoneticPr fontId="40"/>
  </si>
  <si>
    <t>経営コンサルタント</t>
    <rPh sb="0" eb="2">
      <t>ケイエイ</t>
    </rPh>
    <phoneticPr fontId="40"/>
  </si>
  <si>
    <t>カナミック</t>
    <phoneticPr fontId="40"/>
  </si>
  <si>
    <t>事業所コード</t>
    <rPh sb="0" eb="3">
      <t>ジギョウショ</t>
    </rPh>
    <phoneticPr fontId="41"/>
  </si>
  <si>
    <t>年月</t>
    <rPh sb="0" eb="2">
      <t>ネンゲツ</t>
    </rPh>
    <phoneticPr fontId="41"/>
  </si>
  <si>
    <t>事業区分</t>
    <rPh sb="0" eb="2">
      <t>ジギョウ</t>
    </rPh>
    <rPh sb="2" eb="4">
      <t>クブン</t>
    </rPh>
    <phoneticPr fontId="40"/>
  </si>
  <si>
    <t>請求</t>
    <rPh sb="0" eb="2">
      <t>セイキュウ</t>
    </rPh>
    <phoneticPr fontId="40"/>
  </si>
  <si>
    <t>入金予定</t>
    <rPh sb="0" eb="2">
      <t>ニュウキン</t>
    </rPh>
    <rPh sb="2" eb="4">
      <t>ヨテイ</t>
    </rPh>
    <phoneticPr fontId="40"/>
  </si>
  <si>
    <t>00</t>
    <phoneticPr fontId="40"/>
  </si>
  <si>
    <t>処遇改善加算金</t>
    <rPh sb="0" eb="2">
      <t>ショグウ</t>
    </rPh>
    <rPh sb="2" eb="4">
      <t>カイゼン</t>
    </rPh>
    <rPh sb="4" eb="7">
      <t>カサンキン</t>
    </rPh>
    <phoneticPr fontId="40"/>
  </si>
  <si>
    <t>事業区分コード</t>
    <rPh sb="0" eb="2">
      <t>ジギョウ</t>
    </rPh>
    <rPh sb="2" eb="4">
      <t>クブン</t>
    </rPh>
    <phoneticPr fontId="40"/>
  </si>
  <si>
    <t>01</t>
    <phoneticPr fontId="40"/>
  </si>
  <si>
    <t>02</t>
    <phoneticPr fontId="40"/>
  </si>
  <si>
    <t>03</t>
    <phoneticPr fontId="40"/>
  </si>
  <si>
    <t>04</t>
    <phoneticPr fontId="40"/>
  </si>
  <si>
    <t>05</t>
    <phoneticPr fontId="40"/>
  </si>
  <si>
    <t>通称</t>
    <rPh sb="0" eb="2">
      <t>ツウショウ</t>
    </rPh>
    <phoneticPr fontId="40"/>
  </si>
  <si>
    <t>正式名</t>
    <rPh sb="0" eb="3">
      <t>セイシキメイ</t>
    </rPh>
    <phoneticPr fontId="40"/>
  </si>
  <si>
    <t>06</t>
  </si>
  <si>
    <t>07</t>
  </si>
  <si>
    <t>08</t>
  </si>
  <si>
    <t>90</t>
    <phoneticPr fontId="40"/>
  </si>
  <si>
    <t>システム販売</t>
    <rPh sb="4" eb="6">
      <t>ハンバイ</t>
    </rPh>
    <phoneticPr fontId="40"/>
  </si>
  <si>
    <t>介護サービス友乃家白金事業所</t>
    <rPh sb="0" eb="2">
      <t>カイゴ</t>
    </rPh>
    <rPh sb="9" eb="11">
      <t>ハッキン</t>
    </rPh>
    <rPh sb="11" eb="14">
      <t>ジギョウショ</t>
    </rPh>
    <phoneticPr fontId="40"/>
  </si>
  <si>
    <t>介護サービス友乃家千葉中央事業所</t>
    <rPh sb="0" eb="9">
      <t>カイ</t>
    </rPh>
    <rPh sb="9" eb="13">
      <t>チバチュウ</t>
    </rPh>
    <rPh sb="13" eb="16">
      <t>ジギョウ</t>
    </rPh>
    <phoneticPr fontId="40"/>
  </si>
  <si>
    <t>介護サービス友乃家千葉南事業所</t>
    <rPh sb="0" eb="9">
      <t>カイ</t>
    </rPh>
    <rPh sb="9" eb="15">
      <t>チバミナ</t>
    </rPh>
    <phoneticPr fontId="40"/>
  </si>
  <si>
    <t>デイサービス友乃家白金事業所</t>
    <rPh sb="6" eb="9">
      <t>トモノ</t>
    </rPh>
    <rPh sb="9" eb="11">
      <t>ハッキン</t>
    </rPh>
    <rPh sb="11" eb="14">
      <t>ジギョウショ</t>
    </rPh>
    <phoneticPr fontId="40"/>
  </si>
  <si>
    <t>二日市場友乃家</t>
    <rPh sb="0" eb="2">
      <t>フツカ</t>
    </rPh>
    <rPh sb="2" eb="4">
      <t>イチバ</t>
    </rPh>
    <rPh sb="4" eb="5">
      <t>トモ</t>
    </rPh>
    <rPh sb="5" eb="6">
      <t>ノ</t>
    </rPh>
    <rPh sb="6" eb="7">
      <t>イエ</t>
    </rPh>
    <phoneticPr fontId="40"/>
  </si>
  <si>
    <t>グループホーム友乃家五井</t>
    <rPh sb="7" eb="8">
      <t>トモ</t>
    </rPh>
    <rPh sb="8" eb="9">
      <t>ノ</t>
    </rPh>
    <rPh sb="9" eb="10">
      <t>イエ</t>
    </rPh>
    <rPh sb="10" eb="12">
      <t>ゴイ</t>
    </rPh>
    <phoneticPr fontId="40"/>
  </si>
  <si>
    <t>グループホーム友乃家白金</t>
    <rPh sb="7" eb="8">
      <t>トモ</t>
    </rPh>
    <rPh sb="8" eb="9">
      <t>ノ</t>
    </rPh>
    <rPh sb="9" eb="10">
      <t>イエ</t>
    </rPh>
    <rPh sb="10" eb="12">
      <t>シロガネ</t>
    </rPh>
    <phoneticPr fontId="40"/>
  </si>
  <si>
    <t>グループホーム友乃家西五所</t>
    <rPh sb="7" eb="10">
      <t>ト</t>
    </rPh>
    <rPh sb="10" eb="13">
      <t>ニ</t>
    </rPh>
    <phoneticPr fontId="40"/>
  </si>
  <si>
    <t>事業名</t>
    <rPh sb="0" eb="3">
      <t>ジギョウメイ</t>
    </rPh>
    <phoneticPr fontId="40"/>
  </si>
  <si>
    <t>000</t>
    <phoneticPr fontId="40"/>
  </si>
  <si>
    <t>中高根友乃家</t>
    <rPh sb="0" eb="3">
      <t>ナカタカネ</t>
    </rPh>
    <rPh sb="3" eb="4">
      <t>トモ</t>
    </rPh>
    <rPh sb="4" eb="5">
      <t>ノ</t>
    </rPh>
    <rPh sb="5" eb="6">
      <t>イエ</t>
    </rPh>
    <phoneticPr fontId="40"/>
  </si>
  <si>
    <t>09</t>
  </si>
  <si>
    <t>白金タクシー</t>
    <rPh sb="0" eb="2">
      <t>シロガネ</t>
    </rPh>
    <phoneticPr fontId="40"/>
  </si>
  <si>
    <t>介護サービス友乃家白金事務所タクシー事業部</t>
    <rPh sb="0" eb="2">
      <t>カイゴ</t>
    </rPh>
    <rPh sb="9" eb="14">
      <t>シロ</t>
    </rPh>
    <rPh sb="18" eb="21">
      <t>ジギョウブ</t>
    </rPh>
    <phoneticPr fontId="40"/>
  </si>
  <si>
    <t>相談支援</t>
    <rPh sb="0" eb="4">
      <t>ソウダンシエン</t>
    </rPh>
    <phoneticPr fontId="40"/>
  </si>
  <si>
    <t>相談支援</t>
    <rPh sb="0" eb="4">
      <t>ソウダンシエン</t>
    </rPh>
    <phoneticPr fontId="40"/>
  </si>
  <si>
    <t>06</t>
    <phoneticPr fontId="40"/>
  </si>
  <si>
    <t>タクシー
退職者</t>
    <rPh sb="5" eb="8">
      <t>タイショクシャ</t>
    </rPh>
    <phoneticPr fontId="40"/>
  </si>
  <si>
    <t>事務退職者</t>
    <rPh sb="0" eb="2">
      <t>ジム</t>
    </rPh>
    <rPh sb="2" eb="5">
      <t>タイショクシャ</t>
    </rPh>
    <phoneticPr fontId="40"/>
  </si>
  <si>
    <t>誉田事務</t>
    <rPh sb="0" eb="2">
      <t>ホンダ</t>
    </rPh>
    <rPh sb="2" eb="4">
      <t>ジム</t>
    </rPh>
    <phoneticPr fontId="40"/>
  </si>
  <si>
    <t>年月</t>
  </si>
  <si>
    <t>総計</t>
  </si>
  <si>
    <t>事業所</t>
  </si>
  <si>
    <t>管理部</t>
  </si>
  <si>
    <t>事業区分</t>
  </si>
  <si>
    <t>共同生活援助</t>
  </si>
  <si>
    <t>相談支援</t>
  </si>
  <si>
    <t>居宅</t>
  </si>
  <si>
    <t>障害</t>
  </si>
  <si>
    <t>訪問</t>
  </si>
  <si>
    <t>通所介護</t>
  </si>
  <si>
    <t>合計 / 請求</t>
  </si>
  <si>
    <t>値</t>
  </si>
  <si>
    <t>合計 / 入金予定</t>
  </si>
  <si>
    <t>合計 / 入金額</t>
  </si>
  <si>
    <t>合計 / 差額</t>
  </si>
  <si>
    <t>合計 / 処遇改善加算金</t>
  </si>
  <si>
    <t>合計 / 返戻</t>
  </si>
  <si>
    <t>2016年09月 集計</t>
  </si>
  <si>
    <t>2016年10月 集計</t>
  </si>
  <si>
    <t>2016年11月 集計</t>
  </si>
  <si>
    <t>2016年12月 集計</t>
  </si>
  <si>
    <t>2017年01月 集計</t>
  </si>
  <si>
    <t>2017年02月 集計</t>
  </si>
  <si>
    <t>2017年03月 集計</t>
  </si>
  <si>
    <t>2017年04月 集計</t>
  </si>
  <si>
    <t>2017年05月 集計</t>
  </si>
  <si>
    <t>2017年06月 集計</t>
  </si>
  <si>
    <t>2017年07月 集計</t>
  </si>
  <si>
    <t>2017年08月 集計</t>
  </si>
  <si>
    <t>2017年09月 集計</t>
  </si>
  <si>
    <t>2017年10月 集計</t>
  </si>
  <si>
    <t>2017年11月 集計</t>
  </si>
  <si>
    <t>事業所コード</t>
  </si>
  <si>
    <t>00</t>
  </si>
  <si>
    <t>01</t>
  </si>
  <si>
    <t>02</t>
  </si>
  <si>
    <t>03</t>
  </si>
  <si>
    <t>04</t>
  </si>
  <si>
    <t>事業区分コード</t>
  </si>
  <si>
    <t>05</t>
  </si>
  <si>
    <t>2017年12月 集計</t>
  </si>
  <si>
    <t>訪問処遇改善加算金</t>
    <rPh sb="0" eb="2">
      <t>ホウモン</t>
    </rPh>
    <rPh sb="2" eb="4">
      <t>ショグウ</t>
    </rPh>
    <rPh sb="4" eb="6">
      <t>カイゼン</t>
    </rPh>
    <rPh sb="6" eb="8">
      <t>カサン</t>
    </rPh>
    <rPh sb="8" eb="9">
      <t>キン</t>
    </rPh>
    <phoneticPr fontId="41"/>
  </si>
  <si>
    <t>障害処遇改善加算金</t>
    <rPh sb="0" eb="2">
      <t>ショウガイ</t>
    </rPh>
    <rPh sb="2" eb="4">
      <t>ショグウ</t>
    </rPh>
    <rPh sb="4" eb="6">
      <t>カイゼン</t>
    </rPh>
    <rPh sb="6" eb="8">
      <t>カサン</t>
    </rPh>
    <rPh sb="8" eb="9">
      <t>キン</t>
    </rPh>
    <phoneticPr fontId="41"/>
  </si>
  <si>
    <t>通所介護処遇改善加算金</t>
    <rPh sb="0" eb="2">
      <t>ツウショ</t>
    </rPh>
    <rPh sb="2" eb="4">
      <t>カイゴ</t>
    </rPh>
    <rPh sb="4" eb="6">
      <t>ショグウ</t>
    </rPh>
    <rPh sb="6" eb="8">
      <t>カイゼン</t>
    </rPh>
    <rPh sb="8" eb="10">
      <t>カサン</t>
    </rPh>
    <rPh sb="10" eb="11">
      <t>キン</t>
    </rPh>
    <phoneticPr fontId="41"/>
  </si>
  <si>
    <t>共同生活援助処遇改善加算金</t>
    <rPh sb="0" eb="6">
      <t>キョウドウセイ</t>
    </rPh>
    <rPh sb="6" eb="8">
      <t>ショグウ</t>
    </rPh>
    <rPh sb="8" eb="10">
      <t>カイゼン</t>
    </rPh>
    <rPh sb="10" eb="12">
      <t>カサン</t>
    </rPh>
    <rPh sb="12" eb="13">
      <t>キン</t>
    </rPh>
    <phoneticPr fontId="41"/>
  </si>
  <si>
    <t>合計 / 訪問</t>
  </si>
  <si>
    <t>合計 / 訪問処遇改善加算金</t>
  </si>
  <si>
    <t>合計 / 障害</t>
  </si>
  <si>
    <t>合計 / 障害処遇改善加算金</t>
  </si>
  <si>
    <t>合計 / 居宅</t>
  </si>
  <si>
    <t>合計 / 通所介護</t>
  </si>
  <si>
    <t>合計 / 通所介護処遇改善加算金</t>
  </si>
  <si>
    <t>合計 / 共同生活援助</t>
  </si>
  <si>
    <t>合計 / 共同生活援助処遇改善加算金</t>
  </si>
  <si>
    <t>合計 / 相談支援</t>
  </si>
  <si>
    <t>合計 / 自費</t>
  </si>
  <si>
    <t>合計 / 移動支援</t>
  </si>
  <si>
    <t>合計 / タクシー運賃</t>
  </si>
  <si>
    <t>合計 / 買物交通費</t>
  </si>
  <si>
    <t>合計 / カナミック</t>
  </si>
  <si>
    <t>合計 / 生活費</t>
  </si>
  <si>
    <t>合計 / 昼食代</t>
  </si>
  <si>
    <t>合計 / 家賃助成返金分</t>
  </si>
  <si>
    <t>合計 / 運営費助成金</t>
  </si>
  <si>
    <t>合計 / 経営コンサルタント</t>
  </si>
  <si>
    <t>合計</t>
    <rPh sb="0" eb="2">
      <t>ゴウケイ</t>
    </rPh>
    <phoneticPr fontId="40"/>
  </si>
  <si>
    <t>合計 / 合計</t>
  </si>
  <si>
    <t>全社</t>
  </si>
  <si>
    <t>合計 / 売上</t>
  </si>
  <si>
    <t>合計 / パート給与</t>
  </si>
  <si>
    <t>合計 / 社員給与</t>
  </si>
  <si>
    <t>合計 / 賞与</t>
  </si>
  <si>
    <t>合計 / 役員給与</t>
  </si>
  <si>
    <t>合計 / 法定福利費</t>
  </si>
  <si>
    <t>合計 / 福利厚生費</t>
  </si>
  <si>
    <t>合計 / 人件費</t>
  </si>
  <si>
    <t>01</t>
    <phoneticPr fontId="40"/>
  </si>
  <si>
    <t>000</t>
  </si>
  <si>
    <t>000</t>
    <phoneticPr fontId="40"/>
  </si>
  <si>
    <t>10</t>
  </si>
  <si>
    <t>返戻額</t>
    <rPh sb="0" eb="2">
      <t>ヘンレイ</t>
    </rPh>
    <rPh sb="2" eb="3">
      <t>ガク</t>
    </rPh>
    <phoneticPr fontId="41"/>
  </si>
  <si>
    <t>白金</t>
    <rPh sb="0" eb="2">
      <t>シロガネ</t>
    </rPh>
    <phoneticPr fontId="41"/>
  </si>
  <si>
    <t>蘇我</t>
    <rPh sb="0" eb="2">
      <t>ソガ</t>
    </rPh>
    <phoneticPr fontId="41"/>
  </si>
  <si>
    <t>誉田</t>
    <rPh sb="0" eb="2">
      <t>ホンダ</t>
    </rPh>
    <phoneticPr fontId="41"/>
  </si>
  <si>
    <t>白金デイ</t>
  </si>
  <si>
    <t>白金デイ</t>
    <rPh sb="0" eb="2">
      <t>シロガネ</t>
    </rPh>
    <phoneticPr fontId="41"/>
  </si>
  <si>
    <t>GH五井</t>
    <rPh sb="2" eb="4">
      <t>ゴイ</t>
    </rPh>
    <phoneticPr fontId="41"/>
  </si>
  <si>
    <t>GH白金</t>
    <rPh sb="2" eb="4">
      <t>シロガネ</t>
    </rPh>
    <phoneticPr fontId="41"/>
  </si>
  <si>
    <t>GH白金</t>
    <rPh sb="2" eb="4">
      <t>シ</t>
    </rPh>
    <phoneticPr fontId="41"/>
  </si>
  <si>
    <t>GH西五所</t>
    <rPh sb="2" eb="5">
      <t>ニシ</t>
    </rPh>
    <phoneticPr fontId="41"/>
  </si>
  <si>
    <t>GH西五所</t>
    <rPh sb="2" eb="5">
      <t>ニ</t>
    </rPh>
    <phoneticPr fontId="41"/>
  </si>
  <si>
    <t>管理部</t>
    <rPh sb="0" eb="2">
      <t>カンリ</t>
    </rPh>
    <rPh sb="2" eb="3">
      <t>ブ</t>
    </rPh>
    <phoneticPr fontId="41"/>
  </si>
  <si>
    <t>白金</t>
    <rPh sb="0" eb="2">
      <t>シロ</t>
    </rPh>
    <phoneticPr fontId="41"/>
  </si>
  <si>
    <t>GH西五所</t>
    <phoneticPr fontId="41"/>
  </si>
  <si>
    <t>白金タクシー</t>
    <rPh sb="0" eb="2">
      <t>シロガネ</t>
    </rPh>
    <phoneticPr fontId="41"/>
  </si>
  <si>
    <t>白金デイ</t>
    <rPh sb="0" eb="2">
      <t>シロガネ</t>
    </rPh>
    <phoneticPr fontId="41"/>
  </si>
  <si>
    <t>経営コンサルタント</t>
    <rPh sb="0" eb="2">
      <t>ケイエイ</t>
    </rPh>
    <phoneticPr fontId="41"/>
  </si>
  <si>
    <t>2013年01月 集計</t>
  </si>
  <si>
    <t>2013年02月 集計</t>
  </si>
  <si>
    <t>2013年03月 集計</t>
  </si>
  <si>
    <t>2013年04月 集計</t>
  </si>
  <si>
    <t>2013年05月 集計</t>
  </si>
  <si>
    <t>2013年06月 集計</t>
  </si>
  <si>
    <t>2013年07月 集計</t>
  </si>
  <si>
    <t>2013年08月 集計</t>
  </si>
  <si>
    <t>2013年09月 集計</t>
  </si>
  <si>
    <t>2013年10月 集計</t>
  </si>
  <si>
    <t>2013年11月 集計</t>
  </si>
  <si>
    <t>2013年12月 集計</t>
  </si>
  <si>
    <t>2014年01月 集計</t>
  </si>
  <si>
    <t>2014年02月 集計</t>
  </si>
  <si>
    <t>2014年03月 集計</t>
  </si>
  <si>
    <t>2014年04月 集計</t>
  </si>
  <si>
    <t>2014年05月 集計</t>
  </si>
  <si>
    <t>2014年06月 集計</t>
  </si>
  <si>
    <t>2014年07月 集計</t>
  </si>
  <si>
    <t>2014年08月 集計</t>
  </si>
  <si>
    <t>2014年09月 集計</t>
  </si>
  <si>
    <t>2014年10月 集計</t>
  </si>
  <si>
    <t>2014年11月 集計</t>
  </si>
  <si>
    <t>2014年12月 集計</t>
  </si>
  <si>
    <t>2015年01月 集計</t>
  </si>
  <si>
    <t>2015年02月 集計</t>
  </si>
  <si>
    <t>2015年03月 集計</t>
  </si>
  <si>
    <t>2015年04月 集計</t>
  </si>
  <si>
    <t>2015年05月 集計</t>
  </si>
  <si>
    <t>2015年06月 集計</t>
  </si>
  <si>
    <t>2015年07月 集計</t>
  </si>
  <si>
    <t>2015年08月 集計</t>
  </si>
  <si>
    <t>2015年09月 集計</t>
  </si>
  <si>
    <t>2015年10月 集計</t>
  </si>
  <si>
    <t>2015年11月 集計</t>
  </si>
  <si>
    <t>2015年12月 集計</t>
  </si>
  <si>
    <t>2016年01月 集計</t>
  </si>
  <si>
    <t>2016年02月 集計</t>
  </si>
  <si>
    <t>2016年03月 集計</t>
  </si>
  <si>
    <t>2016年04月 集計</t>
  </si>
  <si>
    <t>2016年05月 集計</t>
  </si>
  <si>
    <t>2016年06月 集計</t>
  </si>
  <si>
    <t>2016年07月 集計</t>
  </si>
  <si>
    <t>2016年08月 集計</t>
  </si>
  <si>
    <t>01 集計</t>
  </si>
  <si>
    <t>02 集計</t>
  </si>
  <si>
    <t>03 集計</t>
  </si>
  <si>
    <t>04 集計</t>
  </si>
  <si>
    <t>05 集計</t>
  </si>
  <si>
    <t>06 集計</t>
  </si>
  <si>
    <t>07 集計</t>
  </si>
  <si>
    <t>08 集計</t>
  </si>
  <si>
    <t>00 集計</t>
  </si>
  <si>
    <t>10 集計</t>
  </si>
  <si>
    <t>09 集計</t>
  </si>
  <si>
    <t>白金</t>
    <rPh sb="0" eb="2">
      <t>シロガネ</t>
    </rPh>
    <phoneticPr fontId="40"/>
  </si>
  <si>
    <t>白金タクシー</t>
    <rPh sb="0" eb="2">
      <t>シロガネ</t>
    </rPh>
    <phoneticPr fontId="40"/>
  </si>
  <si>
    <t>GH西五所</t>
    <rPh sb="2" eb="5">
      <t>ニシ</t>
    </rPh>
    <phoneticPr fontId="40"/>
  </si>
  <si>
    <t>GH白金</t>
    <rPh sb="2" eb="4">
      <t>シロガネ</t>
    </rPh>
    <phoneticPr fontId="40"/>
  </si>
  <si>
    <t>GH五井</t>
    <rPh sb="2" eb="4">
      <t>ゴイ</t>
    </rPh>
    <phoneticPr fontId="40"/>
  </si>
  <si>
    <t>白金デイ</t>
    <rPh sb="0" eb="2">
      <t>シロガネ</t>
    </rPh>
    <phoneticPr fontId="40"/>
  </si>
  <si>
    <t>中高根</t>
    <rPh sb="0" eb="3">
      <t>ナカタカネ</t>
    </rPh>
    <phoneticPr fontId="40"/>
  </si>
  <si>
    <t>二日市場</t>
    <rPh sb="0" eb="2">
      <t>フツカ</t>
    </rPh>
    <rPh sb="2" eb="4">
      <t>イチバ</t>
    </rPh>
    <phoneticPr fontId="40"/>
  </si>
  <si>
    <t>誉田</t>
    <rPh sb="0" eb="2">
      <t>ホンダ</t>
    </rPh>
    <phoneticPr fontId="40"/>
  </si>
  <si>
    <t>蘇我</t>
    <rPh sb="0" eb="2">
      <t>ソガ</t>
    </rPh>
    <phoneticPr fontId="40"/>
  </si>
  <si>
    <t>管理部</t>
    <rPh sb="0" eb="2">
      <t>カンリ</t>
    </rPh>
    <rPh sb="2" eb="3">
      <t>ブ</t>
    </rPh>
    <phoneticPr fontId="40"/>
  </si>
  <si>
    <t>二日市場</t>
    <rPh sb="0" eb="4">
      <t>フツカイ</t>
    </rPh>
    <phoneticPr fontId="40"/>
  </si>
  <si>
    <t>GH西五所</t>
    <rPh sb="2" eb="5">
      <t>ニ</t>
    </rPh>
    <phoneticPr fontId="40"/>
  </si>
  <si>
    <t>合計 / 営業外収益</t>
  </si>
  <si>
    <t>合計 / 営業外費用</t>
  </si>
  <si>
    <t>合計 / 特別損益</t>
  </si>
  <si>
    <t>合計 / 税金(法人税等)</t>
  </si>
  <si>
    <t>期末調整</t>
    <rPh sb="0" eb="2">
      <t>キマツ</t>
    </rPh>
    <rPh sb="2" eb="4">
      <t>チョウセイ</t>
    </rPh>
    <phoneticPr fontId="40"/>
  </si>
  <si>
    <t>消費税</t>
    <rPh sb="0" eb="3">
      <t>ショウヒゼイ</t>
    </rPh>
    <phoneticPr fontId="40"/>
  </si>
  <si>
    <t>合計 / 期末調整</t>
  </si>
  <si>
    <t>合計 / 消費税</t>
  </si>
  <si>
    <t>事業所経費</t>
    <rPh sb="0" eb="3">
      <t>ジギョウショ</t>
    </rPh>
    <rPh sb="3" eb="5">
      <t>ケイヒ</t>
    </rPh>
    <phoneticPr fontId="48"/>
  </si>
  <si>
    <t>管理部</t>
    <rPh sb="0" eb="2">
      <t>カンリ</t>
    </rPh>
    <rPh sb="2" eb="3">
      <t>ブ</t>
    </rPh>
    <phoneticPr fontId="40"/>
  </si>
  <si>
    <t>白金</t>
    <rPh sb="0" eb="2">
      <t>シ</t>
    </rPh>
    <phoneticPr fontId="40"/>
  </si>
  <si>
    <t>管理部 集計</t>
  </si>
  <si>
    <t>白金 集計</t>
  </si>
  <si>
    <t>蘇我 集計</t>
  </si>
  <si>
    <t>誉田 集計</t>
  </si>
  <si>
    <t>白金デイ 集計</t>
  </si>
  <si>
    <t>GH五井 集計</t>
  </si>
  <si>
    <t>GH白金 集計</t>
  </si>
  <si>
    <t>中高根 集計</t>
  </si>
  <si>
    <t>二日市場 集計</t>
  </si>
  <si>
    <t>白金タクシー 集計</t>
  </si>
  <si>
    <t>GH西五所 集計</t>
  </si>
  <si>
    <t>白金</t>
    <rPh sb="0" eb="2">
      <t>シロガネ</t>
    </rPh>
    <phoneticPr fontId="40"/>
  </si>
  <si>
    <t>蘇我</t>
    <rPh sb="0" eb="2">
      <t>ソガ</t>
    </rPh>
    <phoneticPr fontId="40"/>
  </si>
  <si>
    <t>誉田</t>
    <rPh sb="0" eb="2">
      <t>ホンダ</t>
    </rPh>
    <phoneticPr fontId="40"/>
  </si>
  <si>
    <t>白金デイ</t>
    <rPh sb="0" eb="2">
      <t>シ</t>
    </rPh>
    <phoneticPr fontId="40"/>
  </si>
  <si>
    <t>二日市場</t>
    <rPh sb="0" eb="4">
      <t>フ</t>
    </rPh>
    <phoneticPr fontId="40"/>
  </si>
  <si>
    <t>二日市場</t>
    <rPh sb="0" eb="4">
      <t>h</t>
    </rPh>
    <phoneticPr fontId="40"/>
  </si>
  <si>
    <t>GH五井</t>
    <rPh sb="2" eb="4">
      <t>ゴイ</t>
    </rPh>
    <phoneticPr fontId="40"/>
  </si>
  <si>
    <t>GH白金</t>
    <rPh sb="2" eb="4">
      <t>シ</t>
    </rPh>
    <phoneticPr fontId="40"/>
  </si>
  <si>
    <t>GH西五所</t>
    <rPh sb="2" eb="5">
      <t>n</t>
    </rPh>
    <phoneticPr fontId="40"/>
  </si>
  <si>
    <t>白金タクシー</t>
    <rPh sb="0" eb="2">
      <t>シ</t>
    </rPh>
    <phoneticPr fontId="40"/>
  </si>
  <si>
    <t>請求</t>
    <rPh sb="0" eb="2">
      <t>セイキュウ</t>
    </rPh>
    <phoneticPr fontId="40"/>
  </si>
  <si>
    <t>返戻</t>
    <rPh sb="0" eb="2">
      <t>ヘンレイ</t>
    </rPh>
    <phoneticPr fontId="40"/>
  </si>
  <si>
    <t>白金</t>
    <rPh sb="0" eb="2">
      <t>s</t>
    </rPh>
    <phoneticPr fontId="40"/>
  </si>
  <si>
    <t>売上</t>
    <rPh sb="0" eb="2">
      <t>ウリアゲ</t>
    </rPh>
    <phoneticPr fontId="40"/>
  </si>
  <si>
    <t>管理部</t>
    <rPh sb="0" eb="2">
      <t>カンリ</t>
    </rPh>
    <rPh sb="2" eb="3">
      <t>ブ</t>
    </rPh>
    <phoneticPr fontId="40"/>
  </si>
  <si>
    <t>白金</t>
    <rPh sb="0" eb="2">
      <t>シロガネ</t>
    </rPh>
    <phoneticPr fontId="40"/>
  </si>
  <si>
    <t>蘇我</t>
    <rPh sb="0" eb="2">
      <t>ソガ</t>
    </rPh>
    <phoneticPr fontId="40"/>
  </si>
  <si>
    <t>誉田</t>
    <rPh sb="0" eb="2">
      <t>ホンダ</t>
    </rPh>
    <phoneticPr fontId="40"/>
  </si>
  <si>
    <t>白金デイ</t>
    <rPh sb="0" eb="2">
      <t>シロガネ</t>
    </rPh>
    <phoneticPr fontId="40"/>
  </si>
  <si>
    <t>二日市場</t>
    <rPh sb="0" eb="4">
      <t>フ</t>
    </rPh>
    <phoneticPr fontId="40"/>
  </si>
  <si>
    <t>GH五井</t>
    <rPh sb="2" eb="4">
      <t>ゴ</t>
    </rPh>
    <phoneticPr fontId="40"/>
  </si>
  <si>
    <t>GH白金</t>
    <rPh sb="2" eb="4">
      <t>シ</t>
    </rPh>
    <phoneticPr fontId="40"/>
  </si>
  <si>
    <t>GH西五所</t>
    <rPh sb="2" eb="5">
      <t>ニ</t>
    </rPh>
    <phoneticPr fontId="40"/>
  </si>
  <si>
    <t>白金タクシー</t>
    <rPh sb="0" eb="2">
      <t>ハッキン</t>
    </rPh>
    <phoneticPr fontId="40"/>
  </si>
  <si>
    <t>広告経費</t>
    <rPh sb="0" eb="2">
      <t>コウコク</t>
    </rPh>
    <rPh sb="2" eb="4">
      <t>ケイヒ</t>
    </rPh>
    <phoneticPr fontId="40"/>
  </si>
  <si>
    <t>合計 / 広告経費</t>
  </si>
  <si>
    <t>管理部</t>
    <rPh sb="0" eb="2">
      <t>カンリ</t>
    </rPh>
    <rPh sb="2" eb="3">
      <t>ブ</t>
    </rPh>
    <phoneticPr fontId="40"/>
  </si>
  <si>
    <t>白金</t>
    <rPh sb="0" eb="2">
      <t>シロ</t>
    </rPh>
    <phoneticPr fontId="40"/>
  </si>
  <si>
    <t>誉田</t>
    <rPh sb="0" eb="2">
      <t>h</t>
    </rPh>
    <phoneticPr fontId="40"/>
  </si>
  <si>
    <t>白金デイ</t>
    <rPh sb="0" eb="4">
      <t>s</t>
    </rPh>
    <phoneticPr fontId="40"/>
  </si>
  <si>
    <t>二日市場</t>
    <rPh sb="0" eb="4">
      <t>h</t>
    </rPh>
    <phoneticPr fontId="40"/>
  </si>
  <si>
    <t>GH五井</t>
    <rPh sb="2" eb="4">
      <t>g</t>
    </rPh>
    <phoneticPr fontId="40"/>
  </si>
  <si>
    <t>GH白金</t>
    <rPh sb="2" eb="4">
      <t>シ</t>
    </rPh>
    <phoneticPr fontId="40"/>
  </si>
  <si>
    <t>GH西五所</t>
    <rPh sb="2" eb="5">
      <t>ニシゴショ</t>
    </rPh>
    <phoneticPr fontId="40"/>
  </si>
  <si>
    <t>白金タクシー</t>
    <rPh sb="0" eb="2">
      <t>s</t>
    </rPh>
    <phoneticPr fontId="40"/>
  </si>
  <si>
    <t>人件費</t>
    <rPh sb="0" eb="3">
      <t>ジンケンヒ</t>
    </rPh>
    <phoneticPr fontId="40"/>
  </si>
  <si>
    <t>その他合計</t>
    <rPh sb="2" eb="3">
      <t>タ</t>
    </rPh>
    <rPh sb="3" eb="5">
      <t>ゴウケイ</t>
    </rPh>
    <phoneticPr fontId="40"/>
  </si>
  <si>
    <t>合計 / その他合計</t>
  </si>
  <si>
    <t>その他合計</t>
    <rPh sb="2" eb="3">
      <t>タ</t>
    </rPh>
    <rPh sb="3" eb="5">
      <t>ゴウケイ</t>
    </rPh>
    <phoneticPr fontId="40"/>
  </si>
  <si>
    <t>蘇我
管理者候補</t>
    <rPh sb="0" eb="2">
      <t>ソガ</t>
    </rPh>
    <rPh sb="3" eb="6">
      <t>カンリシャ</t>
    </rPh>
    <rPh sb="5" eb="6">
      <t>シャ</t>
    </rPh>
    <rPh sb="6" eb="8">
      <t>コウホ</t>
    </rPh>
    <phoneticPr fontId="40"/>
  </si>
  <si>
    <t>白金パート</t>
    <rPh sb="0" eb="2">
      <t>シロガネ</t>
    </rPh>
    <phoneticPr fontId="56"/>
  </si>
  <si>
    <t>千葉中央パート</t>
    <rPh sb="0" eb="2">
      <t>チバ</t>
    </rPh>
    <rPh sb="2" eb="4">
      <t>チュウオウ</t>
    </rPh>
    <phoneticPr fontId="56"/>
  </si>
  <si>
    <t>千葉南パート</t>
    <rPh sb="0" eb="2">
      <t>チバ</t>
    </rPh>
    <rPh sb="2" eb="3">
      <t>ミナミ</t>
    </rPh>
    <phoneticPr fontId="56"/>
  </si>
  <si>
    <t>中高根パート</t>
    <rPh sb="0" eb="3">
      <t>ナカタカネ</t>
    </rPh>
    <phoneticPr fontId="56"/>
  </si>
  <si>
    <t>二日市場パート</t>
    <rPh sb="0" eb="4">
      <t>フツカイチバ</t>
    </rPh>
    <phoneticPr fontId="56"/>
  </si>
  <si>
    <t>ＧＨ五井</t>
    <rPh sb="2" eb="4">
      <t>ゴイ</t>
    </rPh>
    <phoneticPr fontId="56"/>
  </si>
  <si>
    <t>ＧＨ白金</t>
    <rPh sb="2" eb="4">
      <t>シロガネ</t>
    </rPh>
    <phoneticPr fontId="56"/>
  </si>
  <si>
    <t>ＧＨ西五所</t>
    <rPh sb="2" eb="5">
      <t>ニシゴショ</t>
    </rPh>
    <phoneticPr fontId="56"/>
  </si>
  <si>
    <t>タクシーパート</t>
  </si>
  <si>
    <t>社員</t>
    <rPh sb="0" eb="2">
      <t>シャイン</t>
    </rPh>
    <phoneticPr fontId="56"/>
  </si>
  <si>
    <t>合計 / 白金パート</t>
  </si>
  <si>
    <t>合計 / 千葉中央パート</t>
  </si>
  <si>
    <t>合計 / 千葉南パート</t>
  </si>
  <si>
    <t>合計 / パート</t>
  </si>
  <si>
    <t>合計 / 中高根パート</t>
  </si>
  <si>
    <t>合計 / 二日市場パート</t>
  </si>
  <si>
    <t>合計 / ＧＨ五井</t>
  </si>
  <si>
    <t>合計 / ＧＨ白金</t>
  </si>
  <si>
    <t>合計 / ＧＨ西五所</t>
  </si>
  <si>
    <t>合計 / タクシーパート</t>
  </si>
  <si>
    <t>合計 / 社員</t>
  </si>
  <si>
    <t>請求区分</t>
    <rPh sb="0" eb="2">
      <t>セイキュウ</t>
    </rPh>
    <rPh sb="2" eb="4">
      <t>クブン</t>
    </rPh>
    <phoneticPr fontId="40"/>
  </si>
  <si>
    <t>単月</t>
    <rPh sb="0" eb="2">
      <t>タンゲツ</t>
    </rPh>
    <phoneticPr fontId="40"/>
  </si>
  <si>
    <t>再請求</t>
    <rPh sb="0" eb="3">
      <t>サイセイキュ</t>
    </rPh>
    <phoneticPr fontId="40"/>
  </si>
  <si>
    <t>請求区分コード</t>
    <rPh sb="0" eb="4">
      <t>セイキュウクブ</t>
    </rPh>
    <phoneticPr fontId="40"/>
  </si>
  <si>
    <t>請求区分</t>
    <rPh sb="0" eb="4">
      <t>セイキュウ</t>
    </rPh>
    <phoneticPr fontId="40"/>
  </si>
  <si>
    <t>請求区分コード</t>
    <rPh sb="0" eb="7">
      <t>セイキュウ</t>
    </rPh>
    <phoneticPr fontId="40"/>
  </si>
  <si>
    <t>請求保留</t>
    <rPh sb="0" eb="2">
      <t>セイキュウ</t>
    </rPh>
    <rPh sb="2" eb="4">
      <t>ホリュウ</t>
    </rPh>
    <phoneticPr fontId="40"/>
  </si>
  <si>
    <t>再請求</t>
  </si>
  <si>
    <t>請求区分</t>
  </si>
  <si>
    <t>単月</t>
  </si>
  <si>
    <t>請求区分コード</t>
  </si>
  <si>
    <t>相談支援</t>
    <rPh sb="0" eb="2">
      <t>ソウダン</t>
    </rPh>
    <rPh sb="2" eb="4">
      <t>シエン</t>
    </rPh>
    <phoneticPr fontId="41"/>
  </si>
  <si>
    <t>管理部</t>
    <rPh sb="0" eb="3">
      <t>カン</t>
    </rPh>
    <phoneticPr fontId="41"/>
  </si>
  <si>
    <t>単月 集計</t>
  </si>
  <si>
    <t>再請求 集計</t>
  </si>
  <si>
    <t>居宅</t>
    <rPh sb="0" eb="2">
      <t>キョタク</t>
    </rPh>
    <phoneticPr fontId="40"/>
  </si>
  <si>
    <t>本部・管理部</t>
    <rPh sb="0" eb="2">
      <t>ホンブ</t>
    </rPh>
    <rPh sb="3" eb="6">
      <t>カン</t>
    </rPh>
    <phoneticPr fontId="40"/>
  </si>
  <si>
    <t>管理部</t>
    <rPh sb="0" eb="3">
      <t>カ</t>
    </rPh>
    <phoneticPr fontId="40"/>
  </si>
  <si>
    <t>合計 / 請求保留</t>
  </si>
  <si>
    <t>請求</t>
  </si>
  <si>
    <t>請求</t>
    <rPh sb="0" eb="2">
      <t>セイキュウ</t>
    </rPh>
    <phoneticPr fontId="40"/>
  </si>
  <si>
    <t>請求保留</t>
    <rPh sb="0" eb="4">
      <t>セイキュウホ</t>
    </rPh>
    <phoneticPr fontId="40"/>
  </si>
  <si>
    <t>返戻</t>
    <phoneticPr fontId="40"/>
  </si>
  <si>
    <t>白金デイパート</t>
    <rPh sb="0" eb="2">
      <t>シロガネ</t>
    </rPh>
    <phoneticPr fontId="40"/>
  </si>
  <si>
    <t>白金デイパート</t>
    <rPh sb="0" eb="2">
      <t>シロガネ</t>
    </rPh>
    <phoneticPr fontId="40"/>
  </si>
  <si>
    <t>合計 / 白金デイパート</t>
  </si>
  <si>
    <t>合計</t>
    <rPh sb="0" eb="2">
      <t>ゴウケイ</t>
    </rPh>
    <phoneticPr fontId="40"/>
  </si>
  <si>
    <t>管理部</t>
    <rPh sb="0" eb="2">
      <t>カンリ</t>
    </rPh>
    <rPh sb="2" eb="3">
      <t>ブ</t>
    </rPh>
    <phoneticPr fontId="40"/>
  </si>
  <si>
    <t>売上</t>
    <rPh sb="0" eb="2">
      <t>ウリアゲ</t>
    </rPh>
    <phoneticPr fontId="40"/>
  </si>
  <si>
    <t>売上</t>
    <rPh sb="0" eb="2">
      <t>ウリアゲ</t>
    </rPh>
    <phoneticPr fontId="40"/>
  </si>
  <si>
    <t>白金</t>
    <rPh sb="0" eb="2">
      <t>シロガネ</t>
    </rPh>
    <phoneticPr fontId="40"/>
  </si>
  <si>
    <t>入金予定</t>
    <rPh sb="0" eb="2">
      <t>ニュウキン</t>
    </rPh>
    <rPh sb="2" eb="4">
      <t>ヨテイ</t>
    </rPh>
    <phoneticPr fontId="40"/>
  </si>
  <si>
    <t>H２９年度売上予測</t>
    <rPh sb="3" eb="4">
      <t>ネン</t>
    </rPh>
    <rPh sb="4" eb="5">
      <t>ド</t>
    </rPh>
    <rPh sb="5" eb="7">
      <t>ウリアゲ</t>
    </rPh>
    <rPh sb="7" eb="9">
      <t>ヨソク</t>
    </rPh>
    <phoneticPr fontId="40"/>
  </si>
  <si>
    <t>H２９年度人件費予測</t>
    <rPh sb="3" eb="4">
      <t>ネン</t>
    </rPh>
    <rPh sb="4" eb="5">
      <t>ド</t>
    </rPh>
    <rPh sb="5" eb="8">
      <t>ジンケンヒ</t>
    </rPh>
    <rPh sb="8" eb="10">
      <t>ヨソク</t>
    </rPh>
    <phoneticPr fontId="40"/>
  </si>
  <si>
    <t>H２９年度利益予測</t>
    <rPh sb="3" eb="4">
      <t>ネン</t>
    </rPh>
    <rPh sb="4" eb="5">
      <t>ド</t>
    </rPh>
    <rPh sb="5" eb="7">
      <t>リエキ</t>
    </rPh>
    <rPh sb="7" eb="9">
      <t>ヨソク</t>
    </rPh>
    <phoneticPr fontId="40"/>
  </si>
  <si>
    <t>支払い月</t>
    <rPh sb="0" eb="2">
      <t>シハライ</t>
    </rPh>
    <rPh sb="3" eb="4">
      <t>ヅキ</t>
    </rPh>
    <phoneticPr fontId="40"/>
  </si>
  <si>
    <t>当期月数</t>
    <rPh sb="0" eb="2">
      <t>トウキ</t>
    </rPh>
    <rPh sb="2" eb="4">
      <t>ツキスウ</t>
    </rPh>
    <phoneticPr fontId="40"/>
  </si>
  <si>
    <t>現在月</t>
    <rPh sb="0" eb="2">
      <t>ゲンザイ</t>
    </rPh>
    <rPh sb="2" eb="3">
      <t>ヅキ</t>
    </rPh>
    <phoneticPr fontId="40"/>
  </si>
  <si>
    <t>当期始め</t>
    <rPh sb="0" eb="2">
      <t>トウキ</t>
    </rPh>
    <rPh sb="2" eb="3">
      <t>ハジ</t>
    </rPh>
    <phoneticPr fontId="40"/>
  </si>
  <si>
    <t>タクシー
ガソリン代</t>
    <rPh sb="9" eb="10">
      <t>ダイ</t>
    </rPh>
    <phoneticPr fontId="48"/>
  </si>
  <si>
    <t>年度平均</t>
    <rPh sb="0" eb="2">
      <t>ネンド</t>
    </rPh>
    <rPh sb="2" eb="4">
      <t>ヘイキン</t>
    </rPh>
    <phoneticPr fontId="40"/>
  </si>
  <si>
    <t>内容</t>
    <rPh sb="0" eb="2">
      <t>ナイヨ</t>
    </rPh>
    <phoneticPr fontId="40"/>
  </si>
  <si>
    <t>メモ</t>
    <phoneticPr fontId="41"/>
  </si>
  <si>
    <t>年月</t>
    <rPh sb="0" eb="2">
      <t>ネンゲツ</t>
    </rPh>
    <phoneticPr fontId="41"/>
  </si>
  <si>
    <t>蘇我パート</t>
    <rPh sb="0" eb="2">
      <t>ソガ</t>
    </rPh>
    <phoneticPr fontId="40"/>
  </si>
  <si>
    <t>誉田パート</t>
    <rPh sb="0" eb="2">
      <t>コンダ</t>
    </rPh>
    <phoneticPr fontId="48"/>
  </si>
  <si>
    <t>給与減額分</t>
    <rPh sb="0" eb="2">
      <t>キュウヨ</t>
    </rPh>
    <rPh sb="2" eb="5">
      <t>ゲンガクブン</t>
    </rPh>
    <phoneticPr fontId="48"/>
  </si>
  <si>
    <t>計</t>
    <rPh sb="0" eb="1">
      <t>ケイ</t>
    </rPh>
    <phoneticPr fontId="84"/>
  </si>
  <si>
    <t>パート計</t>
    <rPh sb="3" eb="4">
      <t>ケイ</t>
    </rPh>
    <phoneticPr fontId="84"/>
  </si>
  <si>
    <t>法定福利費</t>
    <rPh sb="0" eb="5">
      <t>ホウテイフクリヒ</t>
    </rPh>
    <phoneticPr fontId="84"/>
  </si>
  <si>
    <t>パート賞与</t>
    <rPh sb="3" eb="5">
      <t>ショウヨ</t>
    </rPh>
    <phoneticPr fontId="84"/>
  </si>
  <si>
    <t>パート給与</t>
    <rPh sb="3" eb="5">
      <t>キュウヨ</t>
    </rPh>
    <phoneticPr fontId="84"/>
  </si>
  <si>
    <t>社員計</t>
    <rPh sb="0" eb="2">
      <t>シャイン</t>
    </rPh>
    <rPh sb="2" eb="3">
      <t>ケイ</t>
    </rPh>
    <phoneticPr fontId="84"/>
  </si>
  <si>
    <t>福利厚生費</t>
    <rPh sb="0" eb="5">
      <t>フクリコウセイヒ</t>
    </rPh>
    <phoneticPr fontId="84"/>
  </si>
  <si>
    <t>賞与月割</t>
    <rPh sb="0" eb="2">
      <t>ショウヨ</t>
    </rPh>
    <rPh sb="2" eb="4">
      <t>ツキワリ</t>
    </rPh>
    <phoneticPr fontId="84"/>
  </si>
  <si>
    <t>賞与</t>
    <rPh sb="0" eb="2">
      <t>ショウヨ</t>
    </rPh>
    <phoneticPr fontId="84"/>
  </si>
  <si>
    <t>社員給与</t>
    <rPh sb="0" eb="2">
      <t>シャイン</t>
    </rPh>
    <rPh sb="2" eb="4">
      <t>キュウヨ</t>
    </rPh>
    <phoneticPr fontId="84"/>
  </si>
  <si>
    <t>人
件
費</t>
    <rPh sb="0" eb="1">
      <t>ヒト</t>
    </rPh>
    <rPh sb="2" eb="3">
      <t>ケン</t>
    </rPh>
    <rPh sb="4" eb="5">
      <t>ヒ</t>
    </rPh>
    <phoneticPr fontId="84"/>
  </si>
  <si>
    <t>売
上</t>
    <rPh sb="0" eb="1">
      <t>バイ</t>
    </rPh>
    <rPh sb="2" eb="3">
      <t>ジョウ</t>
    </rPh>
    <phoneticPr fontId="84"/>
  </si>
  <si>
    <t>社員稼働単位</t>
    <rPh sb="0" eb="2">
      <t>シャイン</t>
    </rPh>
    <rPh sb="2" eb="4">
      <t>カドウ</t>
    </rPh>
    <rPh sb="4" eb="6">
      <t>タンイ</t>
    </rPh>
    <phoneticPr fontId="84"/>
  </si>
  <si>
    <t>社員売上</t>
    <rPh sb="0" eb="2">
      <t>シャイン</t>
    </rPh>
    <rPh sb="2" eb="4">
      <t>ウリアゲ</t>
    </rPh>
    <phoneticPr fontId="40"/>
  </si>
  <si>
    <t>パート売上</t>
    <rPh sb="3" eb="5">
      <t>ウリアゲ</t>
    </rPh>
    <phoneticPr fontId="84"/>
  </si>
  <si>
    <t>地域区分</t>
    <rPh sb="0" eb="4">
      <t>チイキクブン</t>
    </rPh>
    <phoneticPr fontId="40"/>
  </si>
  <si>
    <t>売上割合</t>
    <rPh sb="0" eb="2">
      <t>ウリアゲ</t>
    </rPh>
    <rPh sb="2" eb="4">
      <t>ワリアイ</t>
    </rPh>
    <phoneticPr fontId="40"/>
  </si>
  <si>
    <t>社員賞与</t>
    <rPh sb="0" eb="2">
      <t>シャイン</t>
    </rPh>
    <rPh sb="2" eb="4">
      <t>ショウヨ</t>
    </rPh>
    <phoneticPr fontId="40"/>
  </si>
  <si>
    <t>賞与月割</t>
    <rPh sb="0" eb="2">
      <t>ショウヨ</t>
    </rPh>
    <rPh sb="2" eb="4">
      <t>ツキワリ</t>
    </rPh>
    <phoneticPr fontId="40"/>
  </si>
  <si>
    <t>人数</t>
    <rPh sb="0" eb="2">
      <t>ニンズウ</t>
    </rPh>
    <phoneticPr fontId="40"/>
  </si>
  <si>
    <t>時間</t>
    <rPh sb="0" eb="2">
      <t>ジカン</t>
    </rPh>
    <phoneticPr fontId="40"/>
  </si>
  <si>
    <t>計</t>
    <rPh sb="0" eb="1">
      <t>ケイ</t>
    </rPh>
    <phoneticPr fontId="40"/>
  </si>
  <si>
    <t>社員人数</t>
    <rPh sb="0" eb="2">
      <t>シャイン</t>
    </rPh>
    <rPh sb="2" eb="4">
      <t>ニンズウ</t>
    </rPh>
    <phoneticPr fontId="40"/>
  </si>
  <si>
    <t>パート人数</t>
    <rPh sb="3" eb="5">
      <t>ニンズウ</t>
    </rPh>
    <phoneticPr fontId="40"/>
  </si>
  <si>
    <t>社員稼働時間</t>
    <rPh sb="0" eb="2">
      <t>シャイン</t>
    </rPh>
    <rPh sb="2" eb="6">
      <t>カドウジカン</t>
    </rPh>
    <phoneticPr fontId="40"/>
  </si>
  <si>
    <t>パート稼働時間</t>
    <rPh sb="3" eb="7">
      <t>カ</t>
    </rPh>
    <phoneticPr fontId="40"/>
  </si>
  <si>
    <t>2018年01月 集計</t>
  </si>
  <si>
    <t>社員稼働時間</t>
    <rPh sb="0" eb="2">
      <t>シャイン</t>
    </rPh>
    <rPh sb="2" eb="4">
      <t>カドウ</t>
    </rPh>
    <rPh sb="4" eb="6">
      <t>ジカン</t>
    </rPh>
    <phoneticPr fontId="40"/>
  </si>
  <si>
    <t>パート稼働時間</t>
    <rPh sb="3" eb="5">
      <t>カドウ</t>
    </rPh>
    <rPh sb="5" eb="7">
      <t>ジカン</t>
    </rPh>
    <phoneticPr fontId="40"/>
  </si>
  <si>
    <t>人数割合</t>
    <rPh sb="0" eb="2">
      <t>ニンズウ</t>
    </rPh>
    <rPh sb="2" eb="4">
      <t>ワリアイ</t>
    </rPh>
    <phoneticPr fontId="40"/>
  </si>
  <si>
    <t>稼働時分</t>
    <rPh sb="0" eb="2">
      <t>カドウ</t>
    </rPh>
    <rPh sb="2" eb="4">
      <t>ジブン</t>
    </rPh>
    <phoneticPr fontId="40"/>
  </si>
  <si>
    <t>稼働時間割合</t>
    <phoneticPr fontId="40"/>
  </si>
  <si>
    <t>事業所別売上</t>
    <rPh sb="0" eb="3">
      <t>ジギョウショ</t>
    </rPh>
    <rPh sb="3" eb="4">
      <t>ベツ</t>
    </rPh>
    <rPh sb="4" eb="6">
      <t>ウリアゲ</t>
    </rPh>
    <phoneticPr fontId="41"/>
  </si>
  <si>
    <t>賞与</t>
    <rPh sb="0" eb="2">
      <t>ショウヨ</t>
    </rPh>
    <phoneticPr fontId="40"/>
  </si>
  <si>
    <t>給与</t>
  </si>
  <si>
    <t>給与</t>
    <rPh sb="0" eb="2">
      <t>キュウヨ</t>
    </rPh>
    <phoneticPr fontId="40"/>
  </si>
  <si>
    <t>支払区分</t>
  </si>
  <si>
    <t>支払区分</t>
    <rPh sb="0" eb="2">
      <t>シハライ</t>
    </rPh>
    <rPh sb="2" eb="4">
      <t>クブン</t>
    </rPh>
    <phoneticPr fontId="40"/>
  </si>
  <si>
    <t>支払区分</t>
    <rPh sb="0" eb="4">
      <t>シハライク</t>
    </rPh>
    <phoneticPr fontId="40"/>
  </si>
  <si>
    <t>白金消防設備点検￥35,000
アウディ2回目以降\117,200
社長・水野さん
インドネシア出張
\1,000,000</t>
    <rPh sb="21" eb="23">
      <t>カイメ</t>
    </rPh>
    <rPh sb="23" eb="25">
      <t>イコウ</t>
    </rPh>
    <phoneticPr fontId="40"/>
  </si>
  <si>
    <t>天満　さやか</t>
  </si>
  <si>
    <t>三上　智惠子</t>
  </si>
  <si>
    <t>このシートは入力後必ず
パスワード付きでロックを掛けること</t>
    <rPh sb="6" eb="8">
      <t>ニュウリョク</t>
    </rPh>
    <rPh sb="8" eb="9">
      <t>ゴ</t>
    </rPh>
    <rPh sb="9" eb="10">
      <t>カナラ</t>
    </rPh>
    <rPh sb="17" eb="18">
      <t>ツ</t>
    </rPh>
    <rPh sb="24" eb="25">
      <t>カ</t>
    </rPh>
    <phoneticPr fontId="40"/>
  </si>
  <si>
    <t>7ヶ月前～
12ヶ月前平均</t>
    <rPh sb="2" eb="3">
      <t>ゲツ</t>
    </rPh>
    <rPh sb="3" eb="4">
      <t>マエ</t>
    </rPh>
    <rPh sb="9" eb="10">
      <t>ゲツ</t>
    </rPh>
    <rPh sb="10" eb="11">
      <t>マエ</t>
    </rPh>
    <rPh sb="11" eb="13">
      <t>ヘイキン</t>
    </rPh>
    <phoneticPr fontId="40"/>
  </si>
  <si>
    <t>白金訪問：入金額に不明点有り。返戻書類再取寄中。
誉田訪問：入金通知郵送申請中。
蘇我訪問：返戻通知抜け有り、確認中。</t>
    <rPh sb="0" eb="2">
      <t>シロガネ</t>
    </rPh>
    <rPh sb="2" eb="4">
      <t>ホウモン</t>
    </rPh>
    <rPh sb="5" eb="8">
      <t>ニュウキンガク</t>
    </rPh>
    <rPh sb="9" eb="12">
      <t>フメイテン</t>
    </rPh>
    <rPh sb="12" eb="13">
      <t>ア</t>
    </rPh>
    <rPh sb="15" eb="17">
      <t>ヘンレイ</t>
    </rPh>
    <rPh sb="17" eb="19">
      <t>ショルイ</t>
    </rPh>
    <rPh sb="19" eb="22">
      <t>サイトリヨセ</t>
    </rPh>
    <rPh sb="22" eb="23">
      <t>チュウ</t>
    </rPh>
    <rPh sb="25" eb="27">
      <t>ホンダ</t>
    </rPh>
    <rPh sb="27" eb="29">
      <t>ホウモン</t>
    </rPh>
    <rPh sb="30" eb="32">
      <t>ニュウキン</t>
    </rPh>
    <rPh sb="32" eb="34">
      <t>ツウチ</t>
    </rPh>
    <rPh sb="34" eb="36">
      <t>ユウソウ</t>
    </rPh>
    <rPh sb="36" eb="39">
      <t>シンセイチュウ</t>
    </rPh>
    <rPh sb="41" eb="43">
      <t>ソガ</t>
    </rPh>
    <rPh sb="43" eb="45">
      <t>ホウモン</t>
    </rPh>
    <rPh sb="46" eb="48">
      <t>ヘンレイ</t>
    </rPh>
    <rPh sb="48" eb="50">
      <t>ツウチ</t>
    </rPh>
    <rPh sb="50" eb="51">
      <t>ヌ</t>
    </rPh>
    <rPh sb="52" eb="53">
      <t>ア</t>
    </rPh>
    <rPh sb="55" eb="57">
      <t>カクニン</t>
    </rPh>
    <rPh sb="57" eb="58">
      <t>チュウ</t>
    </rPh>
    <phoneticPr fontId="40"/>
  </si>
  <si>
    <t>賞与は法定福利費込みで1200万になるように設定しています。</t>
    <rPh sb="0" eb="2">
      <t>ショウヨ</t>
    </rPh>
    <rPh sb="3" eb="8">
      <t>ホウテイフクリヒ</t>
    </rPh>
    <rPh sb="8" eb="9">
      <t>コ</t>
    </rPh>
    <rPh sb="15" eb="16">
      <t>マン</t>
    </rPh>
    <rPh sb="22" eb="24">
      <t>セッテイ</t>
    </rPh>
    <phoneticPr fontId="40"/>
  </si>
  <si>
    <t>2018年02月 集計</t>
  </si>
  <si>
    <t>安東　浩太郎</t>
  </si>
  <si>
    <t>富田　裕之</t>
  </si>
  <si>
    <t>五十嵐　和子</t>
  </si>
  <si>
    <t>小泉　栄子</t>
  </si>
  <si>
    <t>小泉　チカ</t>
  </si>
  <si>
    <t>デイ</t>
    <phoneticPr fontId="40"/>
  </si>
  <si>
    <t>新事業所</t>
    <rPh sb="0" eb="4">
      <t>シンジギョウショ</t>
    </rPh>
    <phoneticPr fontId="40"/>
  </si>
  <si>
    <t>新事業所
経費</t>
    <rPh sb="0" eb="4">
      <t>シンジギョウショ</t>
    </rPh>
    <rPh sb="5" eb="7">
      <t>ケイヒ</t>
    </rPh>
    <phoneticPr fontId="40"/>
  </si>
  <si>
    <t>経常利益</t>
    <rPh sb="0" eb="4">
      <t>ケイジョウリエキ</t>
    </rPh>
    <phoneticPr fontId="40"/>
  </si>
  <si>
    <t>経常利益/売上</t>
    <rPh sb="0" eb="4">
      <t>ケイジョウ</t>
    </rPh>
    <rPh sb="5" eb="7">
      <t>ウリアゲ</t>
    </rPh>
    <phoneticPr fontId="40"/>
  </si>
  <si>
    <t>営業外収入</t>
    <rPh sb="0" eb="3">
      <t>エイギョウガイ</t>
    </rPh>
    <rPh sb="3" eb="5">
      <t>シュウニュウ</t>
    </rPh>
    <phoneticPr fontId="40"/>
  </si>
  <si>
    <t>ボルボ貸付</t>
    <rPh sb="3" eb="5">
      <t>カシツケ</t>
    </rPh>
    <phoneticPr fontId="40"/>
  </si>
  <si>
    <t>ライフ貸付</t>
    <rPh sb="3" eb="5">
      <t>カシツケ</t>
    </rPh>
    <phoneticPr fontId="40"/>
  </si>
  <si>
    <t>白金自販機</t>
    <rPh sb="0" eb="2">
      <t>シロガネ</t>
    </rPh>
    <rPh sb="2" eb="5">
      <t>ジハンキ</t>
    </rPh>
    <phoneticPr fontId="40"/>
  </si>
  <si>
    <t>GH自販機</t>
    <rPh sb="2" eb="5">
      <t>ジハンキ</t>
    </rPh>
    <phoneticPr fontId="40"/>
  </si>
  <si>
    <t>社用車使用代</t>
    <rPh sb="0" eb="3">
      <t>シャヨウシャ</t>
    </rPh>
    <rPh sb="3" eb="5">
      <t>シヨウ</t>
    </rPh>
    <rPh sb="5" eb="6">
      <t>ダイ</t>
    </rPh>
    <phoneticPr fontId="40"/>
  </si>
  <si>
    <t>毎月発生</t>
    <rPh sb="0" eb="2">
      <t>マイツキ</t>
    </rPh>
    <rPh sb="2" eb="4">
      <t>ハッセイ</t>
    </rPh>
    <phoneticPr fontId="40"/>
  </si>
  <si>
    <t>年1回計上</t>
    <rPh sb="0" eb="1">
      <t>ネン</t>
    </rPh>
    <rPh sb="2" eb="3">
      <t>カイ</t>
    </rPh>
    <rPh sb="3" eb="5">
      <t>ケイジョウ</t>
    </rPh>
    <phoneticPr fontId="40"/>
  </si>
  <si>
    <t>利息</t>
    <rPh sb="0" eb="2">
      <t>リソク</t>
    </rPh>
    <phoneticPr fontId="40"/>
  </si>
  <si>
    <t>GH運営費補助金</t>
    <rPh sb="2" eb="8">
      <t>ウンエイ</t>
    </rPh>
    <phoneticPr fontId="40"/>
  </si>
  <si>
    <t>人件費比率</t>
    <rPh sb="0" eb="3">
      <t>ジンケンヒ</t>
    </rPh>
    <rPh sb="3" eb="5">
      <t>ヒリツ</t>
    </rPh>
    <phoneticPr fontId="40"/>
  </si>
  <si>
    <t>弁当売上高</t>
    <rPh sb="0" eb="2">
      <t>ベントウ</t>
    </rPh>
    <rPh sb="2" eb="5">
      <t>ウリアゲダカ</t>
    </rPh>
    <phoneticPr fontId="41"/>
  </si>
  <si>
    <t>弁当売上高</t>
    <rPh sb="0" eb="2">
      <t>ベントウ</t>
    </rPh>
    <rPh sb="2" eb="5">
      <t>ウリアゲダカ</t>
    </rPh>
    <phoneticPr fontId="40"/>
  </si>
  <si>
    <t>合計 / 弁当売上高</t>
  </si>
  <si>
    <t>消費税は暫定の金額です。</t>
    <rPh sb="0" eb="3">
      <t>ショウヒゼイ</t>
    </rPh>
    <rPh sb="4" eb="6">
      <t>ザンテイ</t>
    </rPh>
    <rPh sb="7" eb="9">
      <t>キンガク</t>
    </rPh>
    <phoneticPr fontId="41"/>
  </si>
  <si>
    <t>H29.12給与+賞与分の法定福利費が月ずれで計上されています。</t>
    <rPh sb="6" eb="8">
      <t>キュウヨ</t>
    </rPh>
    <rPh sb="9" eb="11">
      <t>ショウヨ</t>
    </rPh>
    <rPh sb="11" eb="12">
      <t>ブン</t>
    </rPh>
    <rPh sb="13" eb="18">
      <t>ホウテイフクリヒ</t>
    </rPh>
    <rPh sb="19" eb="20">
      <t>ツキ</t>
    </rPh>
    <rPh sb="23" eb="25">
      <t>ケイジョウ</t>
    </rPh>
    <phoneticPr fontId="40"/>
  </si>
  <si>
    <t>12ヶ月平均</t>
    <rPh sb="3" eb="4">
      <t>ゲツ</t>
    </rPh>
    <rPh sb="4" eb="6">
      <t>ヘイキン</t>
    </rPh>
    <phoneticPr fontId="48"/>
  </si>
  <si>
    <t>12ヶ月の平均</t>
    <rPh sb="3" eb="4">
      <t>ガツ</t>
    </rPh>
    <rPh sb="5" eb="7">
      <t>ヘイキン</t>
    </rPh>
    <phoneticPr fontId="48"/>
  </si>
  <si>
    <r>
      <t xml:space="preserve">新事業所開設準備
</t>
    </r>
    <r>
      <rPr>
        <sz val="8"/>
        <rFont val="ＭＳ Ｐゴシック"/>
        <family val="3"/>
        <charset val="128"/>
        <scheme val="minor"/>
      </rPr>
      <t>海外説明会600,000円*2</t>
    </r>
    <rPh sb="0" eb="4">
      <t>シンジギョウショ</t>
    </rPh>
    <rPh sb="4" eb="6">
      <t>カイセツ</t>
    </rPh>
    <rPh sb="6" eb="8">
      <t>ジュンビ</t>
    </rPh>
    <rPh sb="9" eb="11">
      <t>カイガイ</t>
    </rPh>
    <rPh sb="11" eb="14">
      <t>セツメイカイ</t>
    </rPh>
    <rPh sb="21" eb="22">
      <t>エン</t>
    </rPh>
    <phoneticPr fontId="40"/>
  </si>
  <si>
    <t>2018年03月 集計</t>
  </si>
  <si>
    <t>介護サービス友乃家千葉東事業所</t>
    <rPh sb="0" eb="9">
      <t>カイゴ</t>
    </rPh>
    <rPh sb="9" eb="15">
      <t>チバ</t>
    </rPh>
    <phoneticPr fontId="40"/>
  </si>
  <si>
    <t>11</t>
  </si>
  <si>
    <t>千葉東パート</t>
    <rPh sb="0" eb="2">
      <t>チバ</t>
    </rPh>
    <rPh sb="2" eb="3">
      <t>ヒガシ</t>
    </rPh>
    <phoneticPr fontId="56"/>
  </si>
  <si>
    <t>千葉東</t>
    <rPh sb="0" eb="3">
      <t>チバヒガシ</t>
    </rPh>
    <phoneticPr fontId="40"/>
  </si>
  <si>
    <t>千葉東</t>
    <rPh sb="0" eb="3">
      <t>チバヒガシ</t>
    </rPh>
    <phoneticPr fontId="40"/>
  </si>
  <si>
    <t>千葉東</t>
    <rPh sb="0" eb="3">
      <t>チバヒガシ</t>
    </rPh>
    <phoneticPr fontId="41"/>
  </si>
  <si>
    <t>千葉東</t>
    <rPh sb="0" eb="3">
      <t>チ</t>
    </rPh>
    <phoneticPr fontId="41"/>
  </si>
  <si>
    <t>千葉東</t>
    <phoneticPr fontId="41"/>
  </si>
  <si>
    <t>千葉東</t>
    <phoneticPr fontId="40"/>
  </si>
  <si>
    <t>千葉東</t>
    <phoneticPr fontId="41"/>
  </si>
  <si>
    <t>千葉東</t>
    <phoneticPr fontId="41"/>
  </si>
  <si>
    <t>千葉東</t>
    <rPh sb="0" eb="3">
      <t>チバヒガシ</t>
    </rPh>
    <phoneticPr fontId="41"/>
  </si>
  <si>
    <t>千葉東</t>
    <rPh sb="0" eb="3">
      <t>チバヒ</t>
    </rPh>
    <phoneticPr fontId="41"/>
  </si>
  <si>
    <t>千葉東</t>
    <rPh sb="0" eb="3">
      <t>チバヒガシ</t>
    </rPh>
    <phoneticPr fontId="40"/>
  </si>
  <si>
    <t>千葉東</t>
    <rPh sb="0" eb="3">
      <t>チバ</t>
    </rPh>
    <phoneticPr fontId="40"/>
  </si>
  <si>
    <t>⑥当月利益 (①+①'+②+③)-(④+⑤+⑦)</t>
    <rPh sb="1" eb="3">
      <t>トウゲツ</t>
    </rPh>
    <rPh sb="3" eb="5">
      <t>リエキ</t>
    </rPh>
    <phoneticPr fontId="40"/>
  </si>
  <si>
    <t>千葉東パート</t>
    <rPh sb="0" eb="3">
      <t>チバヒガシ</t>
    </rPh>
    <phoneticPr fontId="40"/>
  </si>
  <si>
    <t>千葉東</t>
    <phoneticPr fontId="40"/>
  </si>
  <si>
    <t>千葉東</t>
    <phoneticPr fontId="40"/>
  </si>
  <si>
    <t>千葉東</t>
    <phoneticPr fontId="48"/>
  </si>
  <si>
    <t>千葉東</t>
    <rPh sb="0" eb="3">
      <t>チバ</t>
    </rPh>
    <phoneticPr fontId="40"/>
  </si>
  <si>
    <t>千葉東</t>
    <rPh sb="0" eb="3">
      <t>チ</t>
    </rPh>
    <phoneticPr fontId="40"/>
  </si>
  <si>
    <t>千葉東</t>
  </si>
  <si>
    <t>白金事務退職者</t>
    <rPh sb="0" eb="2">
      <t>シロガネ</t>
    </rPh>
    <rPh sb="2" eb="4">
      <t>ジム</t>
    </rPh>
    <rPh sb="4" eb="7">
      <t>タイショクシャ</t>
    </rPh>
    <phoneticPr fontId="40"/>
  </si>
  <si>
    <t>白金事務員</t>
    <rPh sb="0" eb="2">
      <t>シロガネ</t>
    </rPh>
    <rPh sb="2" eb="5">
      <t>ジムイン</t>
    </rPh>
    <phoneticPr fontId="40"/>
  </si>
  <si>
    <t>大竹さん
動画作成</t>
    <rPh sb="0" eb="2">
      <t>オオタケ</t>
    </rPh>
    <rPh sb="5" eb="9">
      <t>ドウガサクセイ</t>
    </rPh>
    <phoneticPr fontId="40"/>
  </si>
  <si>
    <t>2018年04月 集計</t>
  </si>
  <si>
    <t>☆車税金￥263,200
ｸﾞﾙｰﾌﾟﾎｰﾑ五井総合点検￥25,920 
海外出張￥600,000
千葉東初期費用
ﾋﾞｼﾞﾈｽﾌｫﾝ￥108,000
内装工事￥892,296</t>
    <rPh sb="37" eb="41">
      <t>カイガイシュッチョウ</t>
    </rPh>
    <rPh sb="51" eb="54">
      <t>チバヒガシ</t>
    </rPh>
    <rPh sb="54" eb="58">
      <t>ショキヒヨウ</t>
    </rPh>
    <rPh sb="77" eb="81">
      <t>ナイソウコウジ</t>
    </rPh>
    <phoneticPr fontId="40"/>
  </si>
  <si>
    <t>新事業所
内装工事
（8年償却）</t>
    <rPh sb="0" eb="4">
      <t>シンジギョウショ</t>
    </rPh>
    <rPh sb="5" eb="9">
      <t>ナイソウコウジ</t>
    </rPh>
    <rPh sb="12" eb="13">
      <t>ネン</t>
    </rPh>
    <rPh sb="13" eb="15">
      <t>ショウキャク</t>
    </rPh>
    <phoneticPr fontId="40"/>
  </si>
  <si>
    <t>年度合計</t>
    <rPh sb="0" eb="2">
      <t>ネンド</t>
    </rPh>
    <rPh sb="2" eb="4">
      <t>ゴウケイ</t>
    </rPh>
    <phoneticPr fontId="40"/>
  </si>
  <si>
    <t>海外出張費用</t>
    <rPh sb="0" eb="4">
      <t>カイガイシュッチョウ</t>
    </rPh>
    <rPh sb="4" eb="6">
      <t>ヒヨウ</t>
    </rPh>
    <phoneticPr fontId="48"/>
  </si>
  <si>
    <t>年度合計-海外出張費用/年度月数</t>
    <rPh sb="0" eb="2">
      <t>ネンド</t>
    </rPh>
    <rPh sb="2" eb="4">
      <t>ゴウケイ</t>
    </rPh>
    <rPh sb="5" eb="9">
      <t>カイガイシュッチョウ</t>
    </rPh>
    <rPh sb="9" eb="11">
      <t>ヒヨウ</t>
    </rPh>
    <rPh sb="12" eb="14">
      <t>ネンド</t>
    </rPh>
    <rPh sb="14" eb="16">
      <t>ツキスウ</t>
    </rPh>
    <phoneticPr fontId="48"/>
  </si>
  <si>
    <t>白金経費には弁当の仕入高34,992円が含まれています。（暫定措置）
蘇我訪問売上に誤りあり。上記金額より+6,802円の予定。</t>
    <rPh sb="0" eb="2">
      <t>シロガネ</t>
    </rPh>
    <rPh sb="2" eb="4">
      <t>ケイヒ</t>
    </rPh>
    <rPh sb="6" eb="8">
      <t>ベントウ</t>
    </rPh>
    <rPh sb="9" eb="12">
      <t>シイレダカ</t>
    </rPh>
    <rPh sb="18" eb="19">
      <t>エン</t>
    </rPh>
    <rPh sb="20" eb="21">
      <t>フク</t>
    </rPh>
    <rPh sb="29" eb="33">
      <t>ザンテイソチ</t>
    </rPh>
    <rPh sb="35" eb="37">
      <t>ソガ</t>
    </rPh>
    <rPh sb="37" eb="39">
      <t>ホウモン</t>
    </rPh>
    <rPh sb="39" eb="41">
      <t>ウリアゲ</t>
    </rPh>
    <rPh sb="42" eb="43">
      <t>アヤマ</t>
    </rPh>
    <rPh sb="47" eb="51">
      <t>ジョウキキンガク</t>
    </rPh>
    <rPh sb="59" eb="60">
      <t>エン</t>
    </rPh>
    <rPh sb="61" eb="63">
      <t>ヨテイ</t>
    </rPh>
    <phoneticPr fontId="40"/>
  </si>
  <si>
    <t>白金経費には弁当の仕入高54,136円が含まれています。（暫定措置）</t>
    <rPh sb="0" eb="2">
      <t>シロガネ</t>
    </rPh>
    <rPh sb="2" eb="4">
      <t>ケイヒ</t>
    </rPh>
    <rPh sb="6" eb="8">
      <t>ベントウ</t>
    </rPh>
    <rPh sb="9" eb="12">
      <t>シイレダカ</t>
    </rPh>
    <rPh sb="18" eb="19">
      <t>エン</t>
    </rPh>
    <rPh sb="20" eb="21">
      <t>フク</t>
    </rPh>
    <rPh sb="29" eb="33">
      <t>ザンテイソチ</t>
    </rPh>
    <phoneticPr fontId="40"/>
  </si>
  <si>
    <t>白金経費には弁当の仕入高69,984円が含まれています。（暫定措置）</t>
    <rPh sb="0" eb="2">
      <t>シロガネ</t>
    </rPh>
    <rPh sb="2" eb="4">
      <t>ケイヒ</t>
    </rPh>
    <rPh sb="6" eb="8">
      <t>ベントウ</t>
    </rPh>
    <rPh sb="9" eb="12">
      <t>シイレダカ</t>
    </rPh>
    <rPh sb="18" eb="19">
      <t>エン</t>
    </rPh>
    <rPh sb="20" eb="21">
      <t>フク</t>
    </rPh>
    <rPh sb="29" eb="33">
      <t>ザンテイソチ</t>
    </rPh>
    <phoneticPr fontId="40"/>
  </si>
  <si>
    <r>
      <t xml:space="preserve">賞与￥7,225,300
</t>
    </r>
    <r>
      <rPr>
        <sz val="9"/>
        <color rgb="FFFF0000"/>
        <rFont val="ＭＳ Ｐゴシック"/>
        <family val="3"/>
        <charset val="128"/>
        <scheme val="minor"/>
      </rPr>
      <t>新事業所オープン</t>
    </r>
    <rPh sb="13" eb="17">
      <t>シンジギョウショ</t>
    </rPh>
    <phoneticPr fontId="40"/>
  </si>
  <si>
    <t>新事業所営業開始
君塚土地購入諸費用
1,494,572円
（減価償却可？）</t>
    <rPh sb="0" eb="4">
      <t>シンジギョウショ</t>
    </rPh>
    <rPh sb="4" eb="8">
      <t>エイギョウカイシ</t>
    </rPh>
    <rPh sb="10" eb="12">
      <t>キミヅカ</t>
    </rPh>
    <rPh sb="12" eb="14">
      <t>トチ</t>
    </rPh>
    <rPh sb="14" eb="16">
      <t>コウニュウ</t>
    </rPh>
    <rPh sb="16" eb="17">
      <t>ショ</t>
    </rPh>
    <rPh sb="17" eb="19">
      <t>ヒヨウ</t>
    </rPh>
    <rPh sb="29" eb="30">
      <t>エン</t>
    </rPh>
    <rPh sb="32" eb="36">
      <t>ゲンカショウキャク</t>
    </rPh>
    <rPh sb="36" eb="37">
      <t>カ</t>
    </rPh>
    <phoneticPr fontId="40"/>
  </si>
  <si>
    <t>GH運営費補助金入金済み</t>
    <rPh sb="2" eb="8">
      <t>ウンエイ</t>
    </rPh>
    <rPh sb="8" eb="10">
      <t>ニュウキン</t>
    </rPh>
    <rPh sb="10" eb="11">
      <t>ズ</t>
    </rPh>
    <phoneticPr fontId="40"/>
  </si>
  <si>
    <t>デイ看護師</t>
    <rPh sb="2" eb="5">
      <t>カンゴシ</t>
    </rPh>
    <phoneticPr fontId="40"/>
  </si>
  <si>
    <t>デイ社員</t>
    <rPh sb="2" eb="4">
      <t>シャイン</t>
    </rPh>
    <phoneticPr fontId="40"/>
  </si>
  <si>
    <t>社員切り替え</t>
    <rPh sb="0" eb="2">
      <t>シャイン</t>
    </rPh>
    <rPh sb="2" eb="3">
      <t>キ</t>
    </rPh>
    <rPh sb="4" eb="5">
      <t>カ</t>
    </rPh>
    <phoneticPr fontId="40"/>
  </si>
  <si>
    <t>5月</t>
    <phoneticPr fontId="40"/>
  </si>
  <si>
    <t>千葉東提責</t>
    <rPh sb="0" eb="3">
      <t>チバヒガシ</t>
    </rPh>
    <rPh sb="3" eb="4">
      <t>テイ</t>
    </rPh>
    <rPh sb="4" eb="5">
      <t>セキ</t>
    </rPh>
    <phoneticPr fontId="40"/>
  </si>
  <si>
    <t>年月</t>
    <rPh sb="0" eb="2">
      <t>ネンゲツ</t>
    </rPh>
    <phoneticPr fontId="40"/>
  </si>
  <si>
    <t>2018年05月 集計</t>
  </si>
  <si>
    <t>H２９年度経費予測</t>
    <rPh sb="3" eb="4">
      <t>ネン</t>
    </rPh>
    <rPh sb="4" eb="5">
      <t>ド</t>
    </rPh>
    <rPh sb="5" eb="7">
      <t>ケイヒ</t>
    </rPh>
    <rPh sb="7" eb="9">
      <t>ヨソク</t>
    </rPh>
    <phoneticPr fontId="40"/>
  </si>
  <si>
    <t>人件費+経費</t>
    <rPh sb="0" eb="3">
      <t>ジンケンヒ</t>
    </rPh>
    <rPh sb="4" eb="6">
      <t>ケイヒ</t>
    </rPh>
    <phoneticPr fontId="40"/>
  </si>
  <si>
    <t>H30.9</t>
  </si>
  <si>
    <t>H30.10</t>
  </si>
  <si>
    <t>H30.11</t>
  </si>
  <si>
    <t>H30.12</t>
  </si>
  <si>
    <t>H31.1</t>
  </si>
  <si>
    <t>H31.2</t>
  </si>
  <si>
    <t>H31.3</t>
  </si>
  <si>
    <t>H31.4</t>
  </si>
  <si>
    <t>H31.5</t>
  </si>
  <si>
    <t>H31.6</t>
  </si>
  <si>
    <t>H31.7</t>
  </si>
  <si>
    <t>H31.8</t>
  </si>
  <si>
    <t>什器購入
\1,500,000</t>
    <rPh sb="0" eb="2">
      <t>ジュウキ</t>
    </rPh>
    <rPh sb="2" eb="4">
      <t>コウニュウ</t>
    </rPh>
    <phoneticPr fontId="40"/>
  </si>
  <si>
    <t>君塚GH</t>
    <rPh sb="0" eb="2">
      <t>キミヅカ</t>
    </rPh>
    <phoneticPr fontId="40"/>
  </si>
  <si>
    <t>その他</t>
    <rPh sb="2" eb="3">
      <t>タ</t>
    </rPh>
    <phoneticPr fontId="40"/>
  </si>
  <si>
    <t>上棟式￥45,738
完了検査￥42,000
建物登記費用
\304,637
消防点検￥48,600</t>
    <rPh sb="0" eb="3">
      <t>ジョウトウシキ</t>
    </rPh>
    <rPh sb="11" eb="15">
      <t>カンリョウケンサ</t>
    </rPh>
    <rPh sb="23" eb="25">
      <t>タテモノ</t>
    </rPh>
    <rPh sb="25" eb="29">
      <t>トウキヒヨウ</t>
    </rPh>
    <rPh sb="39" eb="41">
      <t>ショウボウ</t>
    </rPh>
    <rPh sb="41" eb="43">
      <t>テンケン</t>
    </rPh>
    <phoneticPr fontId="40"/>
  </si>
  <si>
    <t>★オープン</t>
    <phoneticPr fontId="40"/>
  </si>
  <si>
    <t>白金タクシー経費</t>
    <rPh sb="0" eb="2">
      <t>シロガネ</t>
    </rPh>
    <rPh sb="6" eb="8">
      <t>ケイヒ</t>
    </rPh>
    <phoneticPr fontId="40"/>
  </si>
  <si>
    <t>千葉東経費</t>
    <rPh sb="0" eb="3">
      <t>チバヒガシ</t>
    </rPh>
    <rPh sb="3" eb="5">
      <t>ケイヒ</t>
    </rPh>
    <phoneticPr fontId="40"/>
  </si>
  <si>
    <t>経費イベント</t>
    <rPh sb="0" eb="2">
      <t>ケイヒ</t>
    </rPh>
    <phoneticPr fontId="40"/>
  </si>
  <si>
    <t>内勤
ベースアップ</t>
    <rPh sb="0" eb="2">
      <t>ナイキン</t>
    </rPh>
    <phoneticPr fontId="40"/>
  </si>
  <si>
    <t>訪問社員1</t>
    <rPh sb="0" eb="2">
      <t>ホウモン</t>
    </rPh>
    <rPh sb="2" eb="4">
      <t>シャイン</t>
    </rPh>
    <phoneticPr fontId="40"/>
  </si>
  <si>
    <t>訪問社員2</t>
    <rPh sb="0" eb="2">
      <t>ホウモン</t>
    </rPh>
    <rPh sb="2" eb="4">
      <t>シャイン</t>
    </rPh>
    <phoneticPr fontId="40"/>
  </si>
  <si>
    <t>訪問社員3</t>
    <rPh sb="0" eb="2">
      <t>ホウモン</t>
    </rPh>
    <rPh sb="2" eb="4">
      <t>シャイン</t>
    </rPh>
    <phoneticPr fontId="40"/>
  </si>
  <si>
    <t>パート</t>
    <phoneticPr fontId="40"/>
  </si>
  <si>
    <t>千葉東</t>
    <rPh sb="0" eb="3">
      <t>チバヒガシ</t>
    </rPh>
    <phoneticPr fontId="40"/>
  </si>
  <si>
    <t>施設</t>
    <rPh sb="0" eb="2">
      <t>シセツ</t>
    </rPh>
    <phoneticPr fontId="40"/>
  </si>
  <si>
    <t>訪問売上増加分</t>
    <rPh sb="0" eb="2">
      <t>ホウモン</t>
    </rPh>
    <rPh sb="2" eb="6">
      <t>ウリアゲゾウカ</t>
    </rPh>
    <rPh sb="6" eb="7">
      <t>ブン</t>
    </rPh>
    <phoneticPr fontId="40"/>
  </si>
  <si>
    <t>ベース経費</t>
    <rPh sb="3" eb="5">
      <t>ケイヒ</t>
    </rPh>
    <phoneticPr fontId="40"/>
  </si>
  <si>
    <t>その他イベント</t>
    <rPh sb="2" eb="3">
      <t>タ</t>
    </rPh>
    <phoneticPr fontId="40"/>
  </si>
  <si>
    <t>社員</t>
    <rPh sb="0" eb="2">
      <t>シャイン</t>
    </rPh>
    <phoneticPr fontId="40"/>
  </si>
  <si>
    <t>役員報酬</t>
    <rPh sb="0" eb="4">
      <t>ヤクインホウシュウ</t>
    </rPh>
    <phoneticPr fontId="40"/>
  </si>
  <si>
    <t>福利厚生</t>
    <rPh sb="0" eb="4">
      <t>フクリコウセイ</t>
    </rPh>
    <phoneticPr fontId="40"/>
  </si>
  <si>
    <t>イベント</t>
    <phoneticPr fontId="40"/>
  </si>
  <si>
    <t>法定福利費</t>
    <rPh sb="0" eb="5">
      <t>ホウテイフクリヒ</t>
    </rPh>
    <phoneticPr fontId="40"/>
  </si>
  <si>
    <t>(社員+賞与+役員報酬)*13.4％</t>
    <rPh sb="1" eb="3">
      <t>シャイン</t>
    </rPh>
    <rPh sb="4" eb="6">
      <t>ショウヨ</t>
    </rPh>
    <rPh sb="7" eb="11">
      <t>ヤクインホウ</t>
    </rPh>
    <phoneticPr fontId="40"/>
  </si>
  <si>
    <t>計</t>
    <rPh sb="0" eb="1">
      <t>ケイ</t>
    </rPh>
    <phoneticPr fontId="40"/>
  </si>
  <si>
    <t>イベント</t>
    <phoneticPr fontId="40"/>
  </si>
  <si>
    <t>人件費合計</t>
    <rPh sb="0" eb="3">
      <t>ジンケンヒ</t>
    </rPh>
    <rPh sb="3" eb="5">
      <t>ゴウケイ</t>
    </rPh>
    <phoneticPr fontId="40"/>
  </si>
  <si>
    <t>法定福利</t>
    <rPh sb="0" eb="2">
      <t>ホウテイ</t>
    </rPh>
    <rPh sb="2" eb="4">
      <t>フクリ</t>
    </rPh>
    <phoneticPr fontId="40"/>
  </si>
  <si>
    <t>事業</t>
    <rPh sb="0" eb="2">
      <t>ジギョウ</t>
    </rPh>
    <phoneticPr fontId="40"/>
  </si>
  <si>
    <t>賞与</t>
    <rPh sb="0" eb="2">
      <t>ショウヨ</t>
    </rPh>
    <phoneticPr fontId="40"/>
  </si>
  <si>
    <t>福利厚生費</t>
    <rPh sb="0" eb="5">
      <t>フクリコウセイヒ</t>
    </rPh>
    <phoneticPr fontId="40"/>
  </si>
  <si>
    <t>給与</t>
    <rPh sb="0" eb="2">
      <t>キュウヨ</t>
    </rPh>
    <phoneticPr fontId="40"/>
  </si>
  <si>
    <t>健康診断
￥700,000</t>
    <rPh sb="0" eb="4">
      <t>ケンコウシンダン</t>
    </rPh>
    <phoneticPr fontId="40"/>
  </si>
  <si>
    <t>労働保険料
￥1,000,000</t>
    <rPh sb="0" eb="5">
      <t>ロウドウ</t>
    </rPh>
    <phoneticPr fontId="40"/>
  </si>
  <si>
    <t>人件費イベント</t>
    <rPh sb="0" eb="3">
      <t>ジンケンヒ</t>
    </rPh>
    <phoneticPr fontId="40"/>
  </si>
  <si>
    <t>訪問新事業所
オープン</t>
    <rPh sb="0" eb="2">
      <t>ホウモン</t>
    </rPh>
    <rPh sb="2" eb="6">
      <t>シンジギョウショ</t>
    </rPh>
    <phoneticPr fontId="40"/>
  </si>
  <si>
    <t>君塚GH
オープン</t>
    <rPh sb="0" eb="2">
      <t>キミヅカ</t>
    </rPh>
    <phoneticPr fontId="40"/>
  </si>
  <si>
    <t>白金タクシー
廃止</t>
    <rPh sb="0" eb="2">
      <t>シロガネ</t>
    </rPh>
    <rPh sb="7" eb="9">
      <t>ハイシ</t>
    </rPh>
    <phoneticPr fontId="40"/>
  </si>
  <si>
    <t>★オープン</t>
    <phoneticPr fontId="40"/>
  </si>
  <si>
    <t>誉田開設時実績使用</t>
    <rPh sb="0" eb="2">
      <t>ホンダ</t>
    </rPh>
    <rPh sb="2" eb="4">
      <t>カイセツ</t>
    </rPh>
    <rPh sb="4" eb="5">
      <t>ジ</t>
    </rPh>
    <rPh sb="5" eb="7">
      <t>ジッセキ</t>
    </rPh>
    <rPh sb="7" eb="9">
      <t>シヨウ</t>
    </rPh>
    <phoneticPr fontId="40"/>
  </si>
  <si>
    <t>GH西五所開設時実績使用</t>
    <rPh sb="2" eb="5">
      <t>ニシゴショ</t>
    </rPh>
    <rPh sb="5" eb="7">
      <t>カイセツ</t>
    </rPh>
    <rPh sb="7" eb="8">
      <t>ジ</t>
    </rPh>
    <rPh sb="8" eb="10">
      <t>ジ</t>
    </rPh>
    <rPh sb="10" eb="12">
      <t>シ</t>
    </rPh>
    <phoneticPr fontId="40"/>
  </si>
  <si>
    <t>H30.1～4月実績使用</t>
    <rPh sb="7" eb="8">
      <t>ガツ</t>
    </rPh>
    <rPh sb="8" eb="10">
      <t>ジッセキ</t>
    </rPh>
    <rPh sb="10" eb="12">
      <t>シヨウ</t>
    </rPh>
    <phoneticPr fontId="40"/>
  </si>
  <si>
    <t>事業拡大、新事業所開設のための補填</t>
    <rPh sb="0" eb="4">
      <t>ジギョウカクダイ</t>
    </rPh>
    <rPh sb="5" eb="9">
      <t>シンジ</t>
    </rPh>
    <rPh sb="9" eb="15">
      <t>カイセ</t>
    </rPh>
    <rPh sb="15" eb="17">
      <t>ホテン</t>
    </rPh>
    <phoneticPr fontId="40"/>
  </si>
  <si>
    <t>開設初月の提責は管理者のみ</t>
    <rPh sb="0" eb="2">
      <t>カイセツ</t>
    </rPh>
    <rPh sb="2" eb="4">
      <t>ショゲツ</t>
    </rPh>
    <rPh sb="5" eb="6">
      <t>テイ</t>
    </rPh>
    <rPh sb="6" eb="7">
      <t>セキ</t>
    </rPh>
    <rPh sb="8" eb="11">
      <t>カンリシャ</t>
    </rPh>
    <phoneticPr fontId="40"/>
  </si>
  <si>
    <t>事業計画書をベースに若干抑えめ</t>
    <rPh sb="0" eb="5">
      <t>ジギョウケイカクショ</t>
    </rPh>
    <rPh sb="10" eb="12">
      <t>ジャッカン</t>
    </rPh>
    <rPh sb="12" eb="13">
      <t>オサ</t>
    </rPh>
    <phoneticPr fontId="40"/>
  </si>
  <si>
    <t>千葉東をベースに</t>
    <rPh sb="0" eb="3">
      <t>チバヒガシ</t>
    </rPh>
    <phoneticPr fontId="40"/>
  </si>
  <si>
    <t>H30.5～6月日計平均*日数（11月以降は満床扱い＝GH白金と同額）</t>
    <rPh sb="7" eb="8">
      <t>ガツ</t>
    </rPh>
    <rPh sb="8" eb="10">
      <t>ニッケイ</t>
    </rPh>
    <rPh sb="10" eb="12">
      <t>ヘイキン</t>
    </rPh>
    <rPh sb="13" eb="15">
      <t>ニッスウ</t>
    </rPh>
    <rPh sb="18" eb="21">
      <t>ガツイコウ</t>
    </rPh>
    <rPh sb="22" eb="23">
      <t>マン</t>
    </rPh>
    <rPh sb="23" eb="24">
      <t>ショウ</t>
    </rPh>
    <rPh sb="24" eb="25">
      <t>アツカ</t>
    </rPh>
    <rPh sb="29" eb="31">
      <t>シロガネ</t>
    </rPh>
    <rPh sb="32" eb="34">
      <t>ドウガク</t>
    </rPh>
    <phoneticPr fontId="40"/>
  </si>
  <si>
    <t>H30.5～6月日計平均*日数</t>
    <rPh sb="7" eb="8">
      <t>ガツ</t>
    </rPh>
    <rPh sb="8" eb="10">
      <t>ニッケイ</t>
    </rPh>
    <rPh sb="10" eb="12">
      <t>ヘイキン</t>
    </rPh>
    <rPh sb="13" eb="15">
      <t>ニッスウ</t>
    </rPh>
    <phoneticPr fontId="40"/>
  </si>
  <si>
    <t>GH西五所と同額</t>
    <rPh sb="2" eb="5">
      <t>ニシゴショ</t>
    </rPh>
    <rPh sb="6" eb="8">
      <t>ドウガク</t>
    </rPh>
    <phoneticPr fontId="40"/>
  </si>
  <si>
    <t>H30.4～5実績</t>
    <rPh sb="7" eb="9">
      <t>ジッセキ</t>
    </rPh>
    <phoneticPr fontId="40"/>
  </si>
  <si>
    <t>営業利益</t>
    <rPh sb="0" eb="4">
      <t>エイギョウリエキ</t>
    </rPh>
    <phoneticPr fontId="40"/>
  </si>
  <si>
    <t>H30.5～6月日計平均*日数+（2万*経過月数）</t>
    <rPh sb="7" eb="8">
      <t>ガツ</t>
    </rPh>
    <rPh sb="8" eb="10">
      <t>ニッケイ</t>
    </rPh>
    <rPh sb="10" eb="12">
      <t>ヘイキン</t>
    </rPh>
    <rPh sb="13" eb="15">
      <t>ニッスウ</t>
    </rPh>
    <rPh sb="18" eb="19">
      <t>マン</t>
    </rPh>
    <rPh sb="20" eb="22">
      <t>ケイカ</t>
    </rPh>
    <rPh sb="22" eb="23">
      <t>ゲツ</t>
    </rPh>
    <rPh sb="23" eb="24">
      <t>スウ</t>
    </rPh>
    <phoneticPr fontId="40"/>
  </si>
  <si>
    <t>給水申込納付金￥483,000：15年償却</t>
    <rPh sb="0" eb="2">
      <t>キュウスイ</t>
    </rPh>
    <rPh sb="2" eb="4">
      <t>モウシコミ</t>
    </rPh>
    <rPh sb="4" eb="7">
      <t>ノウフキン</t>
    </rPh>
    <rPh sb="18" eb="19">
      <t>ネン</t>
    </rPh>
    <rPh sb="19" eb="21">
      <t>ショウキャク</t>
    </rPh>
    <phoneticPr fontId="40"/>
  </si>
  <si>
    <t>支出</t>
    <rPh sb="0" eb="2">
      <t>シシュツ</t>
    </rPh>
    <phoneticPr fontId="40"/>
  </si>
  <si>
    <t>売上</t>
    <rPh sb="0" eb="2">
      <t>ウリアゲ</t>
    </rPh>
    <phoneticPr fontId="40"/>
  </si>
  <si>
    <t>GH運営費補助金</t>
    <rPh sb="2" eb="5">
      <t>ウンエイヒ</t>
    </rPh>
    <rPh sb="5" eb="8">
      <t>ホジョキン</t>
    </rPh>
    <phoneticPr fontId="40"/>
  </si>
  <si>
    <t>H30.3～5月の入金額</t>
    <rPh sb="7" eb="8">
      <t>ガツ</t>
    </rPh>
    <rPh sb="9" eb="12">
      <t>ニュウキンガク</t>
    </rPh>
    <phoneticPr fontId="40"/>
  </si>
  <si>
    <t>人件費</t>
    <rPh sb="0" eb="3">
      <t>ジンケンヒ</t>
    </rPh>
    <phoneticPr fontId="40"/>
  </si>
  <si>
    <t>経費</t>
    <rPh sb="0" eb="2">
      <t>ケイヒ</t>
    </rPh>
    <phoneticPr fontId="40"/>
  </si>
  <si>
    <t>H30.5～6月日計平均*日数（10月以降は+5,000円/日、1月以降は+7,000円/日、4月以降は+10,000円/日）</t>
    <rPh sb="7" eb="8">
      <t>ガツ</t>
    </rPh>
    <rPh sb="8" eb="10">
      <t>ニッケイ</t>
    </rPh>
    <rPh sb="10" eb="12">
      <t>ヘイキン</t>
    </rPh>
    <rPh sb="13" eb="15">
      <t>ニッスウ</t>
    </rPh>
    <rPh sb="18" eb="21">
      <t>ガツイコウ</t>
    </rPh>
    <rPh sb="28" eb="29">
      <t>エン</t>
    </rPh>
    <rPh sb="30" eb="31">
      <t>ニチ</t>
    </rPh>
    <phoneticPr fontId="40"/>
  </si>
  <si>
    <t>H30.8入社として</t>
    <rPh sb="5" eb="7">
      <t>ニュウシャ</t>
    </rPh>
    <phoneticPr fontId="40"/>
  </si>
  <si>
    <r>
      <t xml:space="preserve">白金タクシー
パート賃金
</t>
    </r>
    <r>
      <rPr>
        <sz val="9"/>
        <color rgb="FFFF0000"/>
        <rFont val="ＭＳ Ｐゴシック"/>
        <family val="3"/>
        <charset val="128"/>
        <scheme val="minor"/>
      </rPr>
      <t>￥-601,210</t>
    </r>
    <r>
      <rPr>
        <sz val="9"/>
        <color theme="1"/>
        <rFont val="ＭＳ Ｐゴシック"/>
        <family val="3"/>
        <charset val="128"/>
        <scheme val="minor"/>
      </rPr>
      <t xml:space="preserve">
(H30.1～4平均)</t>
    </r>
    <rPh sb="0" eb="2">
      <t>シロガネ</t>
    </rPh>
    <rPh sb="10" eb="12">
      <t>チンギン</t>
    </rPh>
    <rPh sb="31" eb="33">
      <t>ヘイキン</t>
    </rPh>
    <phoneticPr fontId="40"/>
  </si>
  <si>
    <t>【売上】</t>
    <rPh sb="1" eb="3">
      <t>ウリアゲ</t>
    </rPh>
    <phoneticPr fontId="40"/>
  </si>
  <si>
    <t>【人件費】</t>
    <rPh sb="1" eb="4">
      <t>ジンケンヒ</t>
    </rPh>
    <phoneticPr fontId="40"/>
  </si>
  <si>
    <t>【経費】</t>
    <rPh sb="1" eb="3">
      <t>ケイヒ</t>
    </rPh>
    <phoneticPr fontId="40"/>
  </si>
  <si>
    <t>項目</t>
    <rPh sb="0" eb="2">
      <t>コウモク</t>
    </rPh>
    <phoneticPr fontId="40"/>
  </si>
  <si>
    <t>労働保険料
￥1,000,000</t>
    <rPh sb="0" eb="5">
      <t>ロウドウホケンリョウ</t>
    </rPh>
    <phoneticPr fontId="40"/>
  </si>
  <si>
    <t>H30.7入社1名、H30.8入社1名</t>
    <rPh sb="5" eb="7">
      <t>ニュウシャ</t>
    </rPh>
    <rPh sb="8" eb="9">
      <t>メイ</t>
    </rPh>
    <rPh sb="15" eb="17">
      <t>n</t>
    </rPh>
    <rPh sb="18" eb="19">
      <t>メイ</t>
    </rPh>
    <phoneticPr fontId="40"/>
  </si>
  <si>
    <t>管理者候補</t>
    <rPh sb="0" eb="5">
      <t>カンリシャ</t>
    </rPh>
    <phoneticPr fontId="48"/>
  </si>
  <si>
    <t>【資金繰表営業利益】</t>
    <rPh sb="1" eb="4">
      <t>シキング</t>
    </rPh>
    <rPh sb="4" eb="5">
      <t>ヒョウ</t>
    </rPh>
    <rPh sb="5" eb="9">
      <t>エイギョウリエキ</t>
    </rPh>
    <phoneticPr fontId="40"/>
  </si>
  <si>
    <t>【収支管理表-資金繰表】</t>
    <rPh sb="1" eb="3">
      <t>シュウシ</t>
    </rPh>
    <rPh sb="3" eb="5">
      <t>カンリ</t>
    </rPh>
    <rPh sb="5" eb="6">
      <t>ヒョウ</t>
    </rPh>
    <rPh sb="7" eb="10">
      <t>シキング</t>
    </rPh>
    <rPh sb="10" eb="11">
      <t>ヒョウ</t>
    </rPh>
    <phoneticPr fontId="40"/>
  </si>
  <si>
    <t>【収支管理表予測営業利益】</t>
    <rPh sb="1" eb="3">
      <t>シュウシ</t>
    </rPh>
    <rPh sb="3" eb="5">
      <t>カンリ</t>
    </rPh>
    <rPh sb="5" eb="6">
      <t>ヒョウ</t>
    </rPh>
    <rPh sb="6" eb="8">
      <t>ヨソク</t>
    </rPh>
    <rPh sb="8" eb="12">
      <t>エイギョウリエキ</t>
    </rPh>
    <phoneticPr fontId="40"/>
  </si>
  <si>
    <t>白金等と按分している経費(家賃等)は差し引き対象外</t>
    <rPh sb="0" eb="2">
      <t>シロガネ</t>
    </rPh>
    <rPh sb="2" eb="3">
      <t>トウ</t>
    </rPh>
    <rPh sb="4" eb="6">
      <t>アンブン</t>
    </rPh>
    <rPh sb="10" eb="12">
      <t>ケイヒ</t>
    </rPh>
    <rPh sb="13" eb="16">
      <t>ヤチンナド</t>
    </rPh>
    <rPh sb="18" eb="19">
      <t>サ</t>
    </rPh>
    <rPh sb="20" eb="21">
      <t>ヒ</t>
    </rPh>
    <rPh sb="22" eb="25">
      <t>タイショウガイ</t>
    </rPh>
    <phoneticPr fontId="40"/>
  </si>
  <si>
    <t>平均</t>
    <rPh sb="0" eb="2">
      <t>ヘイキン</t>
    </rPh>
    <phoneticPr fontId="40"/>
  </si>
  <si>
    <t>669アトレー
廃車</t>
    <rPh sb="8" eb="10">
      <t>ハイシャ</t>
    </rPh>
    <phoneticPr fontId="40"/>
  </si>
  <si>
    <t>ガソリン代、自動車保険</t>
    <rPh sb="4" eb="5">
      <t>ダイ</t>
    </rPh>
    <rPh sb="6" eb="9">
      <t>ジドウシャ</t>
    </rPh>
    <rPh sb="9" eb="11">
      <t>ホケン</t>
    </rPh>
    <phoneticPr fontId="40"/>
  </si>
  <si>
    <t>白金、蘇我、誉田</t>
    <rPh sb="0" eb="2">
      <t>シロガネ</t>
    </rPh>
    <rPh sb="3" eb="5">
      <t>ソガ</t>
    </rPh>
    <rPh sb="6" eb="8">
      <t>ホンダ</t>
    </rPh>
    <phoneticPr fontId="40"/>
  </si>
  <si>
    <t>H30.5～6月日計平均*日数+（6万*経過月数）</t>
    <rPh sb="7" eb="8">
      <t>ガツ</t>
    </rPh>
    <rPh sb="8" eb="10">
      <t>ニッケイ</t>
    </rPh>
    <rPh sb="10" eb="12">
      <t>ヘイキン</t>
    </rPh>
    <rPh sb="13" eb="15">
      <t>ニッスウ</t>
    </rPh>
    <rPh sb="18" eb="19">
      <t>マン</t>
    </rPh>
    <rPh sb="20" eb="22">
      <t>ケイカ</t>
    </rPh>
    <rPh sb="22" eb="23">
      <t>ゲツ</t>
    </rPh>
    <rPh sb="23" eb="24">
      <t>スウ</t>
    </rPh>
    <phoneticPr fontId="40"/>
  </si>
  <si>
    <t>【白金　売上・人件費】</t>
    <rPh sb="1" eb="3">
      <t>シロ</t>
    </rPh>
    <rPh sb="4" eb="6">
      <t>ウリアゲ</t>
    </rPh>
    <rPh sb="7" eb="10">
      <t>ジンケンヒ</t>
    </rPh>
    <phoneticPr fontId="40"/>
  </si>
  <si>
    <t>【白金　稼働人数・時間】</t>
    <rPh sb="1" eb="3">
      <t>シロガネ</t>
    </rPh>
    <rPh sb="4" eb="6">
      <t>カドウ</t>
    </rPh>
    <rPh sb="6" eb="8">
      <t>ニンズウ</t>
    </rPh>
    <rPh sb="9" eb="11">
      <t>ジカン</t>
    </rPh>
    <phoneticPr fontId="40"/>
  </si>
  <si>
    <t>【営業外収入】</t>
    <rPh sb="1" eb="6">
      <t>エイギョウガイシュウニュウ</t>
    </rPh>
    <phoneticPr fontId="40"/>
  </si>
  <si>
    <t>【営業外費用】</t>
    <rPh sb="1" eb="4">
      <t>エイギョウガイ</t>
    </rPh>
    <rPh sb="4" eb="6">
      <t>ヒヨウ</t>
    </rPh>
    <phoneticPr fontId="40"/>
  </si>
  <si>
    <t>営業外収入</t>
    <rPh sb="0" eb="5">
      <t>エイギョウガイ</t>
    </rPh>
    <phoneticPr fontId="40"/>
  </si>
  <si>
    <t>営業外費用</t>
    <rPh sb="0" eb="3">
      <t>エイギョウ</t>
    </rPh>
    <rPh sb="3" eb="5">
      <t>ヒ</t>
    </rPh>
    <phoneticPr fontId="40"/>
  </si>
  <si>
    <t>営業外収入イベント</t>
    <rPh sb="0" eb="5">
      <t>エイギョウ</t>
    </rPh>
    <phoneticPr fontId="40"/>
  </si>
  <si>
    <t>営業外費用イベント</t>
    <rPh sb="0" eb="3">
      <t>エイギョウガイ</t>
    </rPh>
    <rPh sb="3" eb="5">
      <t>ヒヨウ</t>
    </rPh>
    <phoneticPr fontId="40"/>
  </si>
  <si>
    <t>【収支管理表予測経常利益】</t>
    <rPh sb="1" eb="3">
      <t>シュウシ</t>
    </rPh>
    <rPh sb="3" eb="5">
      <t>カンリ</t>
    </rPh>
    <rPh sb="5" eb="6">
      <t>ヒョウ</t>
    </rPh>
    <rPh sb="6" eb="8">
      <t>ヨソク</t>
    </rPh>
    <rPh sb="8" eb="10">
      <t>ケイジョウ</t>
    </rPh>
    <rPh sb="10" eb="12">
      <t>リエキ</t>
    </rPh>
    <phoneticPr fontId="40"/>
  </si>
  <si>
    <t>営業外費用</t>
    <rPh sb="0" eb="3">
      <t>エイギョウ</t>
    </rPh>
    <rPh sb="3" eb="5">
      <t>ヒヨウ</t>
    </rPh>
    <phoneticPr fontId="40"/>
  </si>
  <si>
    <t>営業利益</t>
    <rPh sb="0" eb="4">
      <t>エイ</t>
    </rPh>
    <phoneticPr fontId="40"/>
  </si>
  <si>
    <t>H30.1～4月平均</t>
    <phoneticPr fontId="40"/>
  </si>
  <si>
    <t>融資利息</t>
    <rPh sb="0" eb="2">
      <t>ユウシ</t>
    </rPh>
    <rPh sb="2" eb="4">
      <t>リソク</t>
    </rPh>
    <phoneticPr fontId="40"/>
  </si>
  <si>
    <t>融資</t>
    <rPh sb="0" eb="2">
      <t>ユウシ</t>
    </rPh>
    <phoneticPr fontId="40"/>
  </si>
  <si>
    <t>返済総額</t>
    <rPh sb="0" eb="4">
      <t>ヘンサイソウガク</t>
    </rPh>
    <phoneticPr fontId="40"/>
  </si>
  <si>
    <t>返済回数</t>
    <rPh sb="0" eb="2">
      <t>ヘンサイ</t>
    </rPh>
    <rPh sb="2" eb="4">
      <t>カイスウ</t>
    </rPh>
    <phoneticPr fontId="40"/>
  </si>
  <si>
    <t>1月あたり（元本）</t>
    <rPh sb="1" eb="2">
      <t>ツキ</t>
    </rPh>
    <rPh sb="6" eb="8">
      <t>ガンポン</t>
    </rPh>
    <phoneticPr fontId="40"/>
  </si>
  <si>
    <t>1月あたり（利息込み）</t>
    <rPh sb="1" eb="2">
      <t>ツキ</t>
    </rPh>
    <rPh sb="6" eb="8">
      <t>リソク</t>
    </rPh>
    <rPh sb="8" eb="9">
      <t>コ</t>
    </rPh>
    <phoneticPr fontId="40"/>
  </si>
  <si>
    <t>1月あたり（利息）</t>
    <rPh sb="1" eb="2">
      <t>ガツ</t>
    </rPh>
    <rPh sb="6" eb="8">
      <t>リソク</t>
    </rPh>
    <phoneticPr fontId="40"/>
  </si>
  <si>
    <t>君塚建物利息
6,787円/月</t>
    <rPh sb="0" eb="2">
      <t>キミヅカ</t>
    </rPh>
    <rPh sb="2" eb="4">
      <t>タテモノ</t>
    </rPh>
    <rPh sb="4" eb="6">
      <t>リソク</t>
    </rPh>
    <rPh sb="12" eb="13">
      <t>エン</t>
    </rPh>
    <rPh sb="14" eb="15">
      <t>ツキ</t>
    </rPh>
    <phoneticPr fontId="40"/>
  </si>
  <si>
    <t>H30.5月実績</t>
    <rPh sb="6" eb="8">
      <t>ジッセキ</t>
    </rPh>
    <phoneticPr fontId="40"/>
  </si>
  <si>
    <t>新事業所2</t>
    <rPh sb="0" eb="4">
      <t>シンジギョウショ</t>
    </rPh>
    <phoneticPr fontId="40"/>
  </si>
  <si>
    <t>新訪問事業所2</t>
    <rPh sb="0" eb="3">
      <t>シンホウモン</t>
    </rPh>
    <rPh sb="3" eb="6">
      <t>ジギョウショ</t>
    </rPh>
    <phoneticPr fontId="40"/>
  </si>
  <si>
    <t>新事業所2提責</t>
    <rPh sb="0" eb="4">
      <t>シンジギョウショ</t>
    </rPh>
    <rPh sb="5" eb="6">
      <t>テイ</t>
    </rPh>
    <rPh sb="6" eb="7">
      <t>セキ</t>
    </rPh>
    <phoneticPr fontId="40"/>
  </si>
  <si>
    <t>蘇我提責</t>
    <rPh sb="0" eb="2">
      <t>ソガ</t>
    </rPh>
    <rPh sb="2" eb="3">
      <t>テイ</t>
    </rPh>
    <rPh sb="3" eb="4">
      <t>セキ</t>
    </rPh>
    <phoneticPr fontId="40"/>
  </si>
  <si>
    <t>新事業所1開設のための補填</t>
    <rPh sb="0" eb="1">
      <t>シン</t>
    </rPh>
    <rPh sb="1" eb="4">
      <t>ジギョウ</t>
    </rPh>
    <rPh sb="5" eb="7">
      <t>カイセツ</t>
    </rPh>
    <rPh sb="11" eb="13">
      <t>ホテン</t>
    </rPh>
    <phoneticPr fontId="40"/>
  </si>
  <si>
    <t>新事業所1</t>
    <rPh sb="0" eb="4">
      <t>シンジギョウショ</t>
    </rPh>
    <phoneticPr fontId="40"/>
  </si>
  <si>
    <t>千葉東経費は誉田開業後の経費+5万-190303円（ベース経費のうちの千葉東経費分）</t>
    <rPh sb="0" eb="3">
      <t>チバヒガシ</t>
    </rPh>
    <rPh sb="3" eb="5">
      <t>ケイヒ</t>
    </rPh>
    <rPh sb="6" eb="8">
      <t>ホンダ</t>
    </rPh>
    <rPh sb="8" eb="10">
      <t>カイギョウ</t>
    </rPh>
    <rPh sb="10" eb="11">
      <t>ゴ</t>
    </rPh>
    <rPh sb="12" eb="14">
      <t>ケイヒ</t>
    </rPh>
    <rPh sb="16" eb="17">
      <t>マン</t>
    </rPh>
    <rPh sb="24" eb="25">
      <t>エン</t>
    </rPh>
    <rPh sb="29" eb="31">
      <t>ケイヒ</t>
    </rPh>
    <rPh sb="35" eb="38">
      <t>チバヒガシ</t>
    </rPh>
    <rPh sb="38" eb="41">
      <t>ケイヒブン</t>
    </rPh>
    <phoneticPr fontId="40"/>
  </si>
  <si>
    <t>2018年06月 集計</t>
  </si>
  <si>
    <r>
      <t xml:space="preserve">10月開所
事業所
</t>
    </r>
    <r>
      <rPr>
        <sz val="9"/>
        <color theme="1"/>
        <rFont val="ＭＳ Ｐゴシック"/>
        <family val="3"/>
        <charset val="128"/>
        <scheme val="minor"/>
      </rPr>
      <t>（内装工事は
100万を
8年償却）</t>
    </r>
    <rPh sb="2" eb="3">
      <t>ガツ</t>
    </rPh>
    <rPh sb="3" eb="5">
      <t>カイショ</t>
    </rPh>
    <rPh sb="6" eb="9">
      <t>ジギョウショ</t>
    </rPh>
    <rPh sb="11" eb="15">
      <t>ナイソウコウジ</t>
    </rPh>
    <rPh sb="20" eb="21">
      <t>マン</t>
    </rPh>
    <rPh sb="24" eb="25">
      <t>ネン</t>
    </rPh>
    <rPh sb="25" eb="27">
      <t>ショウキャク</t>
    </rPh>
    <phoneticPr fontId="40"/>
  </si>
  <si>
    <t>建物契約
\800,000
内装工事
（8年償却）
￥10,416円/月
建物家賃
￥150,000/月</t>
    <rPh sb="0" eb="2">
      <t>タテモノ</t>
    </rPh>
    <rPh sb="2" eb="4">
      <t>ケイヤク</t>
    </rPh>
    <phoneticPr fontId="40"/>
  </si>
  <si>
    <t>内装工事100万（8年償却）</t>
    <rPh sb="0" eb="4">
      <t>ナイソウコウジ</t>
    </rPh>
    <rPh sb="7" eb="8">
      <t>マン</t>
    </rPh>
    <rPh sb="10" eb="11">
      <t>ネン</t>
    </rPh>
    <rPh sb="11" eb="13">
      <t>ショウキャク</t>
    </rPh>
    <phoneticPr fontId="40"/>
  </si>
  <si>
    <t>開業前什器</t>
    <rPh sb="0" eb="3">
      <t>カイギョウマエ</t>
    </rPh>
    <rPh sb="3" eb="5">
      <t>ジュウキ</t>
    </rPh>
    <phoneticPr fontId="40"/>
  </si>
  <si>
    <t>君塚GH
（H31.5月開業）</t>
    <rPh sb="0" eb="2">
      <t>キミヅカ</t>
    </rPh>
    <rPh sb="11" eb="12">
      <t>ガツ</t>
    </rPh>
    <rPh sb="12" eb="14">
      <t>カイギョウ</t>
    </rPh>
    <phoneticPr fontId="40"/>
  </si>
  <si>
    <t>新事業所2
（H30.12月開業）</t>
    <rPh sb="0" eb="4">
      <t>シンジギョウショ</t>
    </rPh>
    <rPh sb="13" eb="14">
      <t>ガツ</t>
    </rPh>
    <rPh sb="14" eb="16">
      <t>カイギョウ</t>
    </rPh>
    <phoneticPr fontId="40"/>
  </si>
  <si>
    <t>土地賃借</t>
    <rPh sb="0" eb="2">
      <t>トチ</t>
    </rPh>
    <rPh sb="2" eb="4">
      <t>チンシャク</t>
    </rPh>
    <phoneticPr fontId="40"/>
  </si>
  <si>
    <t>西五所開設後の経費</t>
    <rPh sb="0" eb="1">
      <t>ニシ</t>
    </rPh>
    <rPh sb="1" eb="2">
      <t>イ</t>
    </rPh>
    <rPh sb="2" eb="3">
      <t>ショ</t>
    </rPh>
    <rPh sb="3" eb="5">
      <t>カイセツ</t>
    </rPh>
    <rPh sb="5" eb="6">
      <t>ゴ</t>
    </rPh>
    <rPh sb="7" eb="9">
      <t>ケイヒ</t>
    </rPh>
    <phoneticPr fontId="40"/>
  </si>
  <si>
    <t>千葉東 集計</t>
  </si>
  <si>
    <t>11 集計</t>
  </si>
  <si>
    <t>期末調整</t>
    <rPh sb="0" eb="2">
      <t>キマツ</t>
    </rPh>
    <rPh sb="2" eb="4">
      <t>チョウセイ</t>
    </rPh>
    <phoneticPr fontId="40"/>
  </si>
  <si>
    <t>期末調整</t>
    <rPh sb="0" eb="2">
      <t>キマツ</t>
    </rPh>
    <rPh sb="2" eb="4">
      <t>チョウセイ</t>
    </rPh>
    <phoneticPr fontId="40"/>
  </si>
  <si>
    <t>人件費+経費
-期末調整</t>
    <rPh sb="0" eb="3">
      <t>ジンケンヒ</t>
    </rPh>
    <rPh sb="4" eb="6">
      <t>ケイヒ</t>
    </rPh>
    <rPh sb="8" eb="12">
      <t>キマツ</t>
    </rPh>
    <phoneticPr fontId="40"/>
  </si>
  <si>
    <t>千葉西</t>
    <rPh sb="0" eb="3">
      <t>チバニシ</t>
    </rPh>
    <phoneticPr fontId="40"/>
  </si>
  <si>
    <t>千葉西
（H30.10月開業）</t>
    <rPh sb="0" eb="3">
      <t>チバニシ</t>
    </rPh>
    <rPh sb="11" eb="12">
      <t>ガツ</t>
    </rPh>
    <rPh sb="12" eb="14">
      <t>カイギョウ</t>
    </rPh>
    <phoneticPr fontId="40"/>
  </si>
  <si>
    <t>千葉西社員</t>
    <rPh sb="0" eb="3">
      <t>チバニシ</t>
    </rPh>
    <rPh sb="3" eb="5">
      <t>シャイン</t>
    </rPh>
    <phoneticPr fontId="40"/>
  </si>
  <si>
    <t>千葉西提責</t>
    <rPh sb="0" eb="3">
      <t>チバニシ</t>
    </rPh>
    <rPh sb="3" eb="5">
      <t>テイセキ</t>
    </rPh>
    <phoneticPr fontId="40"/>
  </si>
  <si>
    <t>根岸　千枝子</t>
  </si>
  <si>
    <t>【千葉東　売上・人件費】</t>
    <rPh sb="5" eb="7">
      <t>ウリアゲ</t>
    </rPh>
    <rPh sb="8" eb="11">
      <t>ジンケンヒ</t>
    </rPh>
    <phoneticPr fontId="40"/>
  </si>
  <si>
    <t>【千葉東　稼働人数・時間】</t>
    <rPh sb="5" eb="7">
      <t>カドウ</t>
    </rPh>
    <rPh sb="7" eb="9">
      <t>ニンズウ</t>
    </rPh>
    <rPh sb="10" eb="12">
      <t>ジカン</t>
    </rPh>
    <phoneticPr fontId="40"/>
  </si>
  <si>
    <t>印刷時非表示</t>
    <rPh sb="0" eb="3">
      <t>インサツジ</t>
    </rPh>
    <rPh sb="3" eb="6">
      <t>ヒヒョウジ</t>
    </rPh>
    <phoneticPr fontId="40"/>
  </si>
  <si>
    <t>アイコンについて</t>
    <phoneticPr fontId="40"/>
  </si>
  <si>
    <t>【売上・利益・営業外収益】</t>
    <rPh sb="1" eb="3">
      <t>ウリアゲ</t>
    </rPh>
    <rPh sb="4" eb="6">
      <t>リエキ</t>
    </rPh>
    <rPh sb="7" eb="12">
      <t>エイギョウガイシュウエキ</t>
    </rPh>
    <phoneticPr fontId="40"/>
  </si>
  <si>
    <t>【経費・人件費・営業外費用・消費税】</t>
    <rPh sb="1" eb="3">
      <t>ケイヒ</t>
    </rPh>
    <rPh sb="4" eb="7">
      <t>ジンケンヒ</t>
    </rPh>
    <rPh sb="8" eb="13">
      <t>エイギョウガイヒヨウ</t>
    </rPh>
    <rPh sb="14" eb="17">
      <t>ショウヒゼイ</t>
    </rPh>
    <phoneticPr fontId="40"/>
  </si>
  <si>
    <t>売上達成</t>
    <rPh sb="0" eb="2">
      <t>ウリアゲ</t>
    </rPh>
    <rPh sb="2" eb="4">
      <t>タッセイ</t>
    </rPh>
    <phoneticPr fontId="40"/>
  </si>
  <si>
    <t>売上未達</t>
    <rPh sb="0" eb="2">
      <t>ウリアゲ</t>
    </rPh>
    <rPh sb="2" eb="4">
      <t>ミタツ</t>
    </rPh>
    <phoneticPr fontId="40"/>
  </si>
  <si>
    <t>売上未達</t>
    <rPh sb="0" eb="4">
      <t>ウリ</t>
    </rPh>
    <phoneticPr fontId="40"/>
  </si>
  <si>
    <t>経費内</t>
    <rPh sb="0" eb="2">
      <t>ケイヒ</t>
    </rPh>
    <rPh sb="2" eb="3">
      <t>ナイ</t>
    </rPh>
    <phoneticPr fontId="40"/>
  </si>
  <si>
    <t>経費オーバー</t>
    <rPh sb="0" eb="2">
      <t>ケイヒ</t>
    </rPh>
    <phoneticPr fontId="40"/>
  </si>
  <si>
    <t>計画値を達成している。</t>
    <rPh sb="0" eb="2">
      <t>ケイカク</t>
    </rPh>
    <rPh sb="2" eb="3">
      <t>アタイ</t>
    </rPh>
    <rPh sb="4" eb="6">
      <t>タッセイ</t>
    </rPh>
    <phoneticPr fontId="40"/>
  </si>
  <si>
    <t>計画値の90％未満。</t>
    <rPh sb="0" eb="2">
      <t>ケイカク</t>
    </rPh>
    <rPh sb="2" eb="3">
      <t>チ</t>
    </rPh>
    <rPh sb="7" eb="9">
      <t>ミマン</t>
    </rPh>
    <phoneticPr fontId="40"/>
  </si>
  <si>
    <t>計画値の範囲に収まっている。</t>
    <rPh sb="0" eb="3">
      <t>ケイカクチ</t>
    </rPh>
    <rPh sb="4" eb="6">
      <t>ハンイ</t>
    </rPh>
    <rPh sb="7" eb="8">
      <t>オサ</t>
    </rPh>
    <phoneticPr fontId="40"/>
  </si>
  <si>
    <t>計画値の100％以上～110％未満。</t>
    <rPh sb="0" eb="3">
      <t>ケイカクチ</t>
    </rPh>
    <rPh sb="8" eb="10">
      <t>イジョウ</t>
    </rPh>
    <rPh sb="15" eb="17">
      <t>ミマン</t>
    </rPh>
    <phoneticPr fontId="40"/>
  </si>
  <si>
    <t>計画値の90％以上～100％未満。</t>
    <rPh sb="0" eb="2">
      <t>ケイカク</t>
    </rPh>
    <rPh sb="2" eb="3">
      <t>チ</t>
    </rPh>
    <rPh sb="7" eb="9">
      <t>イジョウ</t>
    </rPh>
    <rPh sb="14" eb="16">
      <t>ミマン</t>
    </rPh>
    <phoneticPr fontId="40"/>
  </si>
  <si>
    <t>計画値の110％オーバー。</t>
    <rPh sb="0" eb="4">
      <t>ケイカクチ</t>
    </rPh>
    <phoneticPr fontId="40"/>
  </si>
  <si>
    <t>利益のアイコン、予実比率
手動で修正</t>
    <rPh sb="0" eb="2">
      <t>リエキ</t>
    </rPh>
    <rPh sb="8" eb="10">
      <t>ヨジツ</t>
    </rPh>
    <rPh sb="10" eb="12">
      <t>ヒリツ</t>
    </rPh>
    <rPh sb="13" eb="15">
      <t>シュドウ</t>
    </rPh>
    <rPh sb="16" eb="18">
      <t>シュウセイ</t>
    </rPh>
    <phoneticPr fontId="40"/>
  </si>
  <si>
    <t>←式違う</t>
    <rPh sb="1" eb="2">
      <t>シキ</t>
    </rPh>
    <rPh sb="2" eb="3">
      <t>チガ</t>
    </rPh>
    <phoneticPr fontId="40"/>
  </si>
  <si>
    <t>←式違う</t>
    <rPh sb="1" eb="2">
      <t>シキ</t>
    </rPh>
    <rPh sb="2" eb="3">
      <t>チガ</t>
    </rPh>
    <phoneticPr fontId="40"/>
  </si>
  <si>
    <t>H30.1～6月平均
￥145,078/月</t>
    <rPh sb="7" eb="8">
      <t>ガ</t>
    </rPh>
    <rPh sb="8" eb="10">
      <t>ヘイキン</t>
    </rPh>
    <rPh sb="20" eb="21">
      <t>ツキ</t>
    </rPh>
    <phoneticPr fontId="40"/>
  </si>
  <si>
    <t>千葉信用金庫</t>
    <rPh sb="0" eb="2">
      <t>チバ</t>
    </rPh>
    <rPh sb="2" eb="4">
      <t>シンヨウ</t>
    </rPh>
    <rPh sb="4" eb="6">
      <t>キンコ</t>
    </rPh>
    <phoneticPr fontId="42"/>
  </si>
  <si>
    <t>千葉興銀</t>
    <rPh sb="0" eb="2">
      <t>チバ</t>
    </rPh>
    <rPh sb="2" eb="4">
      <t>コウギン</t>
    </rPh>
    <phoneticPr fontId="42"/>
  </si>
  <si>
    <t>予定</t>
    <rPh sb="0" eb="2">
      <t>ヨテイ</t>
    </rPh>
    <phoneticPr fontId="41"/>
  </si>
  <si>
    <t>5日</t>
    <rPh sb="1" eb="2">
      <t>ヒ</t>
    </rPh>
    <phoneticPr fontId="27"/>
  </si>
  <si>
    <t>30日</t>
    <rPh sb="2" eb="3">
      <t>ヒ</t>
    </rPh>
    <phoneticPr fontId="42"/>
  </si>
  <si>
    <t>5日</t>
    <rPh sb="1" eb="2">
      <t>ヒ</t>
    </rPh>
    <phoneticPr fontId="42"/>
  </si>
  <si>
    <t>NO.1028</t>
  </si>
  <si>
    <t>No1034</t>
  </si>
  <si>
    <t>借入返済（会計NO　624）</t>
  </si>
  <si>
    <t>借入返済（会計NO　625）</t>
  </si>
  <si>
    <t>借入返済（会計NO　626）</t>
  </si>
  <si>
    <t>君塚</t>
    <rPh sb="0" eb="2">
      <t>キミヅカ</t>
    </rPh>
    <phoneticPr fontId="40"/>
  </si>
  <si>
    <t>3000万</t>
    <rPh sb="4" eb="5">
      <t>マン</t>
    </rPh>
    <phoneticPr fontId="40"/>
  </si>
  <si>
    <t>2000万</t>
    <rPh sb="4" eb="5">
      <t>マン</t>
    </rPh>
    <phoneticPr fontId="40"/>
  </si>
  <si>
    <t>H30.6月実績
￥507,754/月
君塚土地購入利息(H30.6～)
3000万融資利息
2000万融資利息</t>
    <rPh sb="5" eb="6">
      <t>ツキ</t>
    </rPh>
    <rPh sb="6" eb="8">
      <t>ジッセキ</t>
    </rPh>
    <rPh sb="18" eb="19">
      <t>ツキ</t>
    </rPh>
    <rPh sb="20" eb="22">
      <t>キミヅカ</t>
    </rPh>
    <rPh sb="22" eb="24">
      <t>トチ</t>
    </rPh>
    <rPh sb="24" eb="26">
      <t>コウニュウ</t>
    </rPh>
    <rPh sb="26" eb="28">
      <t>リソク</t>
    </rPh>
    <rPh sb="41" eb="42">
      <t>マン</t>
    </rPh>
    <rPh sb="42" eb="44">
      <t>ユウシ</t>
    </rPh>
    <rPh sb="44" eb="46">
      <t>リソク</t>
    </rPh>
    <rPh sb="51" eb="52">
      <t>マン</t>
    </rPh>
    <rPh sb="52" eb="54">
      <t>ユウシ</t>
    </rPh>
    <rPh sb="54" eb="56">
      <t>リソク</t>
    </rPh>
    <phoneticPr fontId="40"/>
  </si>
  <si>
    <t>☆労働保険料（１期）￥1,000,000
検便￥10,000
暑気払い￥400,000</t>
    <phoneticPr fontId="40"/>
  </si>
  <si>
    <t>什器購入
\500,000
内装工事
（8年償却）
￥10,416円/月
建物家賃
￥194,000/月</t>
    <rPh sb="0" eb="2">
      <t>ジュウキ</t>
    </rPh>
    <rPh sb="2" eb="4">
      <t>コウニュウ</t>
    </rPh>
    <phoneticPr fontId="40"/>
  </si>
  <si>
    <t>家賃</t>
    <rPh sb="0" eb="2">
      <t>ヤチン</t>
    </rPh>
    <phoneticPr fontId="40"/>
  </si>
  <si>
    <t/>
  </si>
  <si>
    <t>利益(実績)</t>
    <rPh sb="0" eb="2">
      <t>リエキ</t>
    </rPh>
    <rPh sb="3" eb="5">
      <t>ジッセキ</t>
    </rPh>
    <phoneticPr fontId="6"/>
  </si>
  <si>
    <t>利益(予算)</t>
    <rPh sb="0" eb="2">
      <t>リエキ</t>
    </rPh>
    <rPh sb="3" eb="5">
      <t>ヨサン</t>
    </rPh>
    <phoneticPr fontId="6"/>
  </si>
  <si>
    <t>千葉西</t>
    <rPh sb="0" eb="3">
      <t>チバニシ</t>
    </rPh>
    <phoneticPr fontId="6"/>
  </si>
  <si>
    <t>千葉東</t>
    <rPh sb="0" eb="3">
      <t>チバヒガシ</t>
    </rPh>
    <phoneticPr fontId="6"/>
  </si>
  <si>
    <t>5月</t>
    <phoneticPr fontId="40"/>
  </si>
  <si>
    <t>GH合計</t>
    <rPh sb="2" eb="4">
      <t>ゴウケイ</t>
    </rPh>
    <phoneticPr fontId="40"/>
  </si>
  <si>
    <t>千葉東</t>
    <rPh sb="0" eb="3">
      <t>チバヒガシ</t>
    </rPh>
    <phoneticPr fontId="84"/>
  </si>
  <si>
    <t>事業所利益</t>
  </si>
  <si>
    <t>会社利益</t>
    <phoneticPr fontId="40"/>
  </si>
  <si>
    <t>事業所負担金</t>
  </si>
  <si>
    <t>事業所利益</t>
    <rPh sb="0" eb="3">
      <t>ジギョウショ</t>
    </rPh>
    <rPh sb="3" eb="5">
      <t>リエキ</t>
    </rPh>
    <phoneticPr fontId="84"/>
  </si>
  <si>
    <t>千葉西</t>
  </si>
  <si>
    <t>千葉西</t>
    <rPh sb="0" eb="3">
      <t>チバニシ</t>
    </rPh>
    <phoneticPr fontId="40"/>
  </si>
  <si>
    <t>12</t>
  </si>
  <si>
    <t>介護サービス友乃家千葉西事業所</t>
    <rPh sb="0" eb="9">
      <t>カイゴ</t>
    </rPh>
    <rPh sb="9" eb="11">
      <t>チバ</t>
    </rPh>
    <rPh sb="11" eb="12">
      <t>ニシ</t>
    </rPh>
    <rPh sb="12" eb="15">
      <t>ジギョウショ</t>
    </rPh>
    <phoneticPr fontId="40"/>
  </si>
  <si>
    <t>千葉西パート</t>
    <rPh sb="0" eb="2">
      <t>チバ</t>
    </rPh>
    <rPh sb="2" eb="3">
      <t>ニシ</t>
    </rPh>
    <phoneticPr fontId="40"/>
  </si>
  <si>
    <t>同月が2列ある場合（賞与月）、給与→賞与の順で表記する</t>
    <rPh sb="0" eb="2">
      <t>ドウゲツ</t>
    </rPh>
    <rPh sb="4" eb="5">
      <t>レツ</t>
    </rPh>
    <rPh sb="7" eb="9">
      <t>バアイ</t>
    </rPh>
    <rPh sb="10" eb="12">
      <t>ショウヨ</t>
    </rPh>
    <rPh sb="12" eb="13">
      <t>ツキ</t>
    </rPh>
    <rPh sb="15" eb="17">
      <t>キュウヨ</t>
    </rPh>
    <rPh sb="18" eb="20">
      <t>ショウヨ</t>
    </rPh>
    <rPh sb="21" eb="22">
      <t>ジュン</t>
    </rPh>
    <rPh sb="23" eb="25">
      <t>ヒョウキ</t>
    </rPh>
    <phoneticPr fontId="40"/>
  </si>
  <si>
    <t>千葉西パート</t>
    <rPh sb="0" eb="2">
      <t>チバ</t>
    </rPh>
    <rPh sb="2" eb="3">
      <t>ニシ</t>
    </rPh>
    <phoneticPr fontId="56"/>
  </si>
  <si>
    <t>千葉西</t>
    <rPh sb="2" eb="3">
      <t>ニシ</t>
    </rPh>
    <phoneticPr fontId="41"/>
  </si>
  <si>
    <t>千葉西</t>
    <rPh sb="2" eb="3">
      <t>ニシ</t>
    </rPh>
    <phoneticPr fontId="40"/>
  </si>
  <si>
    <t>千葉西</t>
    <phoneticPr fontId="41"/>
  </si>
  <si>
    <t>千葉西</t>
    <phoneticPr fontId="41"/>
  </si>
  <si>
    <t>千葉西</t>
    <rPh sb="0" eb="2">
      <t>チバ</t>
    </rPh>
    <rPh sb="2" eb="3">
      <t>ニシ</t>
    </rPh>
    <phoneticPr fontId="41"/>
  </si>
  <si>
    <t>千葉西</t>
    <phoneticPr fontId="40"/>
  </si>
  <si>
    <t>千葉西</t>
    <phoneticPr fontId="40"/>
  </si>
  <si>
    <t>千葉西</t>
    <rPh sb="0" eb="2">
      <t>チバ</t>
    </rPh>
    <rPh sb="2" eb="3">
      <t>ニシ</t>
    </rPh>
    <phoneticPr fontId="40"/>
  </si>
  <si>
    <t>千葉西</t>
    <phoneticPr fontId="40"/>
  </si>
  <si>
    <t>千葉西</t>
    <phoneticPr fontId="40"/>
  </si>
  <si>
    <t>千葉西</t>
    <phoneticPr fontId="40"/>
  </si>
  <si>
    <t>2018年07月 集計</t>
  </si>
  <si>
    <t>7月売り上げ</t>
    <rPh sb="1" eb="2">
      <t>ガツ</t>
    </rPh>
    <rPh sb="2" eb="3">
      <t>ウ</t>
    </rPh>
    <rPh sb="4" eb="5">
      <t>ア</t>
    </rPh>
    <phoneticPr fontId="40"/>
  </si>
  <si>
    <t>10月開設事業所
入居費用￥1,100,000</t>
    <rPh sb="2" eb="3">
      <t>ガツ</t>
    </rPh>
    <rPh sb="3" eb="5">
      <t>カイセツ</t>
    </rPh>
    <rPh sb="9" eb="11">
      <t>ニュウキョ</t>
    </rPh>
    <rPh sb="11" eb="13">
      <t>ヒヨウ</t>
    </rPh>
    <phoneticPr fontId="40"/>
  </si>
  <si>
    <t>二日市場機器点検￥25,920
夏祭￥160,000
10月開設事業所
家賃￥194,000
開設準備￥10,416/月
計\204,416
インドネシア出張（8月移動分）
￥500,000</t>
    <rPh sb="30" eb="31">
      <t>ガツ</t>
    </rPh>
    <rPh sb="31" eb="33">
      <t>カイセツ</t>
    </rPh>
    <rPh sb="33" eb="36">
      <t>ジギョウショ</t>
    </rPh>
    <rPh sb="37" eb="39">
      <t>ヤチン</t>
    </rPh>
    <rPh sb="48" eb="50">
      <t>カイセツ</t>
    </rPh>
    <rPh sb="50" eb="52">
      <t>ジュンビ</t>
    </rPh>
    <rPh sb="60" eb="61">
      <t>ツキ</t>
    </rPh>
    <rPh sb="62" eb="63">
      <t>ケイ</t>
    </rPh>
    <rPh sb="79" eb="81">
      <t>シュッチョウ</t>
    </rPh>
    <rPh sb="83" eb="84">
      <t>ガツ</t>
    </rPh>
    <rPh sb="84" eb="86">
      <t>イドウ</t>
    </rPh>
    <rPh sb="86" eb="87">
      <t>ブン</t>
    </rPh>
    <phoneticPr fontId="40"/>
  </si>
  <si>
    <t>GH収支（合計）</t>
    <rPh sb="2" eb="4">
      <t>シュウシ</t>
    </rPh>
    <rPh sb="5" eb="7">
      <t>ゴウケイ</t>
    </rPh>
    <phoneticPr fontId="40"/>
  </si>
  <si>
    <t>斎藤　友里愛</t>
  </si>
  <si>
    <t>GH西広</t>
    <rPh sb="2" eb="4">
      <t>サイヒロ</t>
    </rPh>
    <phoneticPr fontId="40"/>
  </si>
  <si>
    <t>GH西広</t>
    <rPh sb="2" eb="4">
      <t>サイヒロ</t>
    </rPh>
    <phoneticPr fontId="40"/>
  </si>
  <si>
    <t>GH西広
（H30.1月開業）</t>
    <rPh sb="2" eb="4">
      <t>サイヒロ</t>
    </rPh>
    <rPh sb="11" eb="12">
      <t>ガツ</t>
    </rPh>
    <rPh sb="12" eb="14">
      <t>カイギョウ</t>
    </rPh>
    <phoneticPr fontId="40"/>
  </si>
  <si>
    <t>事業所経費計</t>
  </si>
  <si>
    <t>事業所経費計</t>
    <rPh sb="0" eb="3">
      <t>ジギョウショ</t>
    </rPh>
    <rPh sb="3" eb="5">
      <t>ケイヒ</t>
    </rPh>
    <rPh sb="5" eb="6">
      <t>ケイ</t>
    </rPh>
    <phoneticPr fontId="40"/>
  </si>
  <si>
    <t>弁当仕入高</t>
    <rPh sb="0" eb="2">
      <t>ベントウ</t>
    </rPh>
    <rPh sb="2" eb="5">
      <t>シイレダカ</t>
    </rPh>
    <phoneticPr fontId="40"/>
  </si>
  <si>
    <t>合計 / 事業所経費計</t>
  </si>
  <si>
    <t>事業所経費計</t>
    <phoneticPr fontId="40"/>
  </si>
  <si>
    <t>事業所経費計</t>
    <phoneticPr fontId="40"/>
  </si>
  <si>
    <t>事業所経費計</t>
    <phoneticPr fontId="40"/>
  </si>
  <si>
    <t>事業所事業所経費計</t>
    <rPh sb="0" eb="3">
      <t>ジギョウショ</t>
    </rPh>
    <phoneticPr fontId="40"/>
  </si>
  <si>
    <t>事業所経費計計</t>
    <rPh sb="6" eb="7">
      <t>ケイ</t>
    </rPh>
    <phoneticPr fontId="40"/>
  </si>
  <si>
    <t>事業所経費計</t>
    <phoneticPr fontId="40"/>
  </si>
  <si>
    <t>事業所経費計</t>
    <phoneticPr fontId="40"/>
  </si>
  <si>
    <t>GH西広オープン</t>
    <phoneticPr fontId="40"/>
  </si>
  <si>
    <t>ベースアップ</t>
  </si>
  <si>
    <t>誉田増員</t>
    <rPh sb="0" eb="2">
      <t>ホンダ</t>
    </rPh>
    <rPh sb="2" eb="4">
      <t>ゾウイン</t>
    </rPh>
    <phoneticPr fontId="40"/>
  </si>
  <si>
    <t>蘇我増員</t>
    <rPh sb="0" eb="2">
      <t>ソガ</t>
    </rPh>
    <rPh sb="2" eb="4">
      <t>ゾウイン</t>
    </rPh>
    <phoneticPr fontId="40"/>
  </si>
  <si>
    <t>白金事務増員</t>
    <rPh sb="0" eb="2">
      <t>シロガネ</t>
    </rPh>
    <rPh sb="2" eb="4">
      <t>ジム</t>
    </rPh>
    <rPh sb="4" eb="6">
      <t>ゾウイン</t>
    </rPh>
    <phoneticPr fontId="40"/>
  </si>
  <si>
    <t>訪問事業所２</t>
    <rPh sb="0" eb="2">
      <t>ホウモン</t>
    </rPh>
    <rPh sb="2" eb="5">
      <t>ジギョウショ</t>
    </rPh>
    <phoneticPr fontId="40"/>
  </si>
  <si>
    <t>訪問事業所１</t>
    <rPh sb="0" eb="2">
      <t>ホウモン</t>
    </rPh>
    <rPh sb="2" eb="5">
      <t>ジギョウショ</t>
    </rPh>
    <phoneticPr fontId="40"/>
  </si>
  <si>
    <t>千葉東</t>
    <rPh sb="0" eb="2">
      <t>チバ</t>
    </rPh>
    <rPh sb="2" eb="3">
      <t>ヒガシ</t>
    </rPh>
    <phoneticPr fontId="40"/>
  </si>
  <si>
    <t>H31.08</t>
  </si>
  <si>
    <t>H31.07</t>
  </si>
  <si>
    <t>H31.06</t>
  </si>
  <si>
    <t>H31.05</t>
  </si>
  <si>
    <t>H31.04</t>
  </si>
  <si>
    <t>H31.03</t>
  </si>
  <si>
    <t>労働保険料</t>
    <rPh sb="0" eb="2">
      <t>ロウドウ</t>
    </rPh>
    <rPh sb="2" eb="5">
      <t>ホケンリョウ</t>
    </rPh>
    <phoneticPr fontId="40"/>
  </si>
  <si>
    <t>人件費比率５７．１％で算出</t>
    <rPh sb="0" eb="3">
      <t>ジンケンヒ</t>
    </rPh>
    <rPh sb="3" eb="5">
      <t>ヒリツ</t>
    </rPh>
    <rPh sb="11" eb="13">
      <t>サンシュツ</t>
    </rPh>
    <phoneticPr fontId="40"/>
  </si>
  <si>
    <t>上昇率</t>
    <rPh sb="0" eb="2">
      <t>ジョウショウ</t>
    </rPh>
    <rPh sb="2" eb="3">
      <t>リツ</t>
    </rPh>
    <phoneticPr fontId="40"/>
  </si>
  <si>
    <t>H31.02</t>
    <phoneticPr fontId="40"/>
  </si>
  <si>
    <t>H31.01</t>
    <phoneticPr fontId="40"/>
  </si>
  <si>
    <t>H30.10</t>
    <phoneticPr fontId="40"/>
  </si>
  <si>
    <t>H30.09</t>
    <phoneticPr fontId="40"/>
  </si>
  <si>
    <t>営業利益(確定)</t>
    <rPh sb="0" eb="2">
      <t>エイギョウ</t>
    </rPh>
    <rPh sb="2" eb="4">
      <t>リエキ</t>
    </rPh>
    <rPh sb="5" eb="7">
      <t>カクテイ</t>
    </rPh>
    <phoneticPr fontId="40"/>
  </si>
  <si>
    <t>営業利益(暫定)</t>
    <rPh sb="0" eb="2">
      <t>エイギョウ</t>
    </rPh>
    <rPh sb="2" eb="4">
      <t>リエキ</t>
    </rPh>
    <rPh sb="5" eb="7">
      <t>ザンテイ</t>
    </rPh>
    <phoneticPr fontId="40"/>
  </si>
  <si>
    <t>給与0.6万up</t>
    <rPh sb="0" eb="2">
      <t>キュウヨ</t>
    </rPh>
    <rPh sb="5" eb="6">
      <t>マン</t>
    </rPh>
    <phoneticPr fontId="40"/>
  </si>
  <si>
    <t>差(来期-今期)</t>
    <rPh sb="0" eb="1">
      <t>サ</t>
    </rPh>
    <rPh sb="2" eb="4">
      <t>ライキ</t>
    </rPh>
    <rPh sb="5" eb="7">
      <t>コンキ</t>
    </rPh>
    <phoneticPr fontId="40"/>
  </si>
  <si>
    <t>今期</t>
    <rPh sb="0" eb="2">
      <t>コンキ</t>
    </rPh>
    <phoneticPr fontId="40"/>
  </si>
  <si>
    <t>来期計</t>
    <rPh sb="0" eb="2">
      <t>ライキ</t>
    </rPh>
    <rPh sb="2" eb="3">
      <t>ケイ</t>
    </rPh>
    <phoneticPr fontId="40"/>
  </si>
  <si>
    <t>H31.02</t>
    <phoneticPr fontId="40"/>
  </si>
  <si>
    <t>H31.01</t>
    <phoneticPr fontId="40"/>
  </si>
  <si>
    <t>H30.10</t>
    <phoneticPr fontId="40"/>
  </si>
  <si>
    <t>経費比率</t>
    <rPh sb="0" eb="2">
      <t>ケイヒ</t>
    </rPh>
    <rPh sb="2" eb="4">
      <t>ヒリツ</t>
    </rPh>
    <phoneticPr fontId="40"/>
  </si>
  <si>
    <t>西広GH</t>
  </si>
  <si>
    <t>売上</t>
  </si>
  <si>
    <t>人件費</t>
  </si>
  <si>
    <t>経費</t>
  </si>
  <si>
    <t>営業利益</t>
  </si>
  <si>
    <t>千葉信用金庫</t>
    <rPh sb="0" eb="2">
      <t>チバ</t>
    </rPh>
    <rPh sb="2" eb="4">
      <t>シンヨウ</t>
    </rPh>
    <rPh sb="4" eb="6">
      <t>キンコ</t>
    </rPh>
    <phoneticPr fontId="41"/>
  </si>
  <si>
    <t>千葉興銀</t>
    <rPh sb="0" eb="2">
      <t>チバ</t>
    </rPh>
    <rPh sb="2" eb="4">
      <t>コウギン</t>
    </rPh>
    <phoneticPr fontId="41"/>
  </si>
  <si>
    <t>5日</t>
    <rPh sb="1" eb="2">
      <t>ヒ</t>
    </rPh>
    <phoneticPr fontId="41"/>
  </si>
  <si>
    <t>30日</t>
    <rPh sb="2" eb="3">
      <t>ヒ</t>
    </rPh>
    <phoneticPr fontId="41"/>
  </si>
  <si>
    <t>No1034</t>
    <phoneticPr fontId="41"/>
  </si>
  <si>
    <t>利息月額</t>
    <rPh sb="0" eb="2">
      <t>リソク</t>
    </rPh>
    <rPh sb="2" eb="4">
      <t>ゲツガク</t>
    </rPh>
    <phoneticPr fontId="40"/>
  </si>
  <si>
    <t>+7月実績</t>
    <rPh sb="2" eb="3">
      <t>ガツ</t>
    </rPh>
    <rPh sb="3" eb="5">
      <t>ジッセキ</t>
    </rPh>
    <phoneticPr fontId="40"/>
  </si>
  <si>
    <t>計</t>
    <rPh sb="0" eb="1">
      <t>ケイ</t>
    </rPh>
    <phoneticPr fontId="41"/>
  </si>
  <si>
    <t>累計</t>
    <rPh sb="0" eb="2">
      <t>ルイケイ</t>
    </rPh>
    <phoneticPr fontId="41"/>
  </si>
  <si>
    <t>部門</t>
    <rPh sb="0" eb="2">
      <t>ブモン</t>
    </rPh>
    <phoneticPr fontId="41"/>
  </si>
  <si>
    <t>業務</t>
    <rPh sb="0" eb="2">
      <t>ギョウム</t>
    </rPh>
    <phoneticPr fontId="41"/>
  </si>
  <si>
    <t>千葉東</t>
    <rPh sb="0" eb="3">
      <t>チバヒガシ</t>
    </rPh>
    <phoneticPr fontId="40"/>
  </si>
  <si>
    <t>賞与</t>
    <rPh sb="0" eb="2">
      <t>ショウヨ</t>
    </rPh>
    <phoneticPr fontId="40"/>
  </si>
  <si>
    <t>計画</t>
    <rPh sb="0" eb="2">
      <t>ケイカク</t>
    </rPh>
    <phoneticPr fontId="40"/>
  </si>
  <si>
    <t>アトレー廃車</t>
    <rPh sb="4" eb="6">
      <t>ハイシャ</t>
    </rPh>
    <phoneticPr fontId="40"/>
  </si>
  <si>
    <t>千葉東</t>
    <rPh sb="0" eb="3">
      <t>チバヒガシ</t>
    </rPh>
    <phoneticPr fontId="40"/>
  </si>
  <si>
    <t>管理部</t>
    <rPh sb="0" eb="2">
      <t>カンリ</t>
    </rPh>
    <rPh sb="2" eb="3">
      <t>ブ</t>
    </rPh>
    <phoneticPr fontId="40"/>
  </si>
  <si>
    <t>全社</t>
    <rPh sb="0" eb="2">
      <t>ゼンシャ</t>
    </rPh>
    <phoneticPr fontId="40"/>
  </si>
  <si>
    <t>GH西五所</t>
    <rPh sb="2" eb="5">
      <t>ニシゴショ</t>
    </rPh>
    <phoneticPr fontId="40"/>
  </si>
  <si>
    <t>タクシー車両</t>
    <rPh sb="4" eb="6">
      <t>シャリョウ</t>
    </rPh>
    <phoneticPr fontId="40"/>
  </si>
  <si>
    <t>（GH西広）</t>
    <rPh sb="3" eb="4">
      <t>ニシ</t>
    </rPh>
    <rPh sb="4" eb="5">
      <t>ヒロシ</t>
    </rPh>
    <phoneticPr fontId="40"/>
  </si>
  <si>
    <t>（GH君塚）</t>
    <rPh sb="3" eb="5">
      <t>キミヅカ</t>
    </rPh>
    <phoneticPr fontId="40"/>
  </si>
  <si>
    <t>（新事業所）</t>
    <rPh sb="1" eb="5">
      <t>シンジギョウショ</t>
    </rPh>
    <phoneticPr fontId="40"/>
  </si>
  <si>
    <t>8月売り上げ</t>
    <rPh sb="1" eb="2">
      <t>ガツ</t>
    </rPh>
    <rPh sb="2" eb="3">
      <t>ウ</t>
    </rPh>
    <rPh sb="4" eb="5">
      <t>ア</t>
    </rPh>
    <phoneticPr fontId="40"/>
  </si>
  <si>
    <t>5500万融資利息
100,000円/月</t>
    <rPh sb="4" eb="5">
      <t>マン</t>
    </rPh>
    <rPh sb="5" eb="7">
      <t>ユウシ</t>
    </rPh>
    <rPh sb="7" eb="9">
      <t>リソク</t>
    </rPh>
    <rPh sb="17" eb="18">
      <t>エン</t>
    </rPh>
    <rPh sb="19" eb="20">
      <t>ツキ</t>
    </rPh>
    <phoneticPr fontId="40"/>
  </si>
  <si>
    <t>2018年08月 集計</t>
  </si>
  <si>
    <t>H２９年度実績</t>
    <rPh sb="3" eb="4">
      <t>ネン</t>
    </rPh>
    <rPh sb="4" eb="5">
      <t>ド</t>
    </rPh>
    <rPh sb="5" eb="7">
      <t>ジッセキ</t>
    </rPh>
    <phoneticPr fontId="40"/>
  </si>
  <si>
    <t>GH君塚</t>
    <rPh sb="2" eb="4">
      <t>キミヅカ</t>
    </rPh>
    <phoneticPr fontId="40"/>
  </si>
  <si>
    <t>Ｈ30.9</t>
    <phoneticPr fontId="40"/>
  </si>
  <si>
    <t>Ｈ30.10</t>
  </si>
  <si>
    <t>Ｈ30.11</t>
  </si>
  <si>
    <t>Ｈ30.12</t>
  </si>
  <si>
    <t>Ｈ31.1</t>
    <phoneticPr fontId="40"/>
  </si>
  <si>
    <t>Ｈ31.2</t>
  </si>
  <si>
    <t>Ｈ31.3</t>
  </si>
  <si>
    <t>Ｈ31.4</t>
  </si>
  <si>
    <t>Ｈ31.5</t>
  </si>
  <si>
    <t>Ｈ31.6</t>
  </si>
  <si>
    <t>Ｈ31.7</t>
  </si>
  <si>
    <t>Ｈ31.8</t>
  </si>
  <si>
    <t>H30年度事業所別目標売上高</t>
    <rPh sb="3" eb="4">
      <t>ネン</t>
    </rPh>
    <rPh sb="4" eb="5">
      <t>ド</t>
    </rPh>
    <rPh sb="5" eb="8">
      <t>ジギョウショ</t>
    </rPh>
    <rPh sb="8" eb="9">
      <t>ベツ</t>
    </rPh>
    <rPh sb="9" eb="11">
      <t>モクヒョウ</t>
    </rPh>
    <rPh sb="11" eb="14">
      <t>ウリアゲダカ</t>
    </rPh>
    <phoneticPr fontId="40"/>
  </si>
  <si>
    <t>H３０年度売上予測</t>
    <rPh sb="3" eb="4">
      <t>ネン</t>
    </rPh>
    <rPh sb="4" eb="5">
      <t>ド</t>
    </rPh>
    <rPh sb="5" eb="7">
      <t>ウリアゲ</t>
    </rPh>
    <rPh sb="7" eb="9">
      <t>ヨソク</t>
    </rPh>
    <phoneticPr fontId="40"/>
  </si>
  <si>
    <t>H３０年度人件費予測</t>
    <rPh sb="3" eb="4">
      <t>ネン</t>
    </rPh>
    <rPh sb="4" eb="5">
      <t>ド</t>
    </rPh>
    <rPh sb="5" eb="8">
      <t>ジンケンヒ</t>
    </rPh>
    <rPh sb="8" eb="10">
      <t>ヨソク</t>
    </rPh>
    <phoneticPr fontId="40"/>
  </si>
  <si>
    <t>H３０年度経費予測</t>
    <rPh sb="3" eb="4">
      <t>ネン</t>
    </rPh>
    <rPh sb="4" eb="5">
      <t>ド</t>
    </rPh>
    <rPh sb="5" eb="7">
      <t>ケイヒ</t>
    </rPh>
    <rPh sb="7" eb="9">
      <t>ヨソク</t>
    </rPh>
    <phoneticPr fontId="40"/>
  </si>
  <si>
    <t>千葉西</t>
    <rPh sb="0" eb="3">
      <t>チバニシ</t>
    </rPh>
    <phoneticPr fontId="38"/>
  </si>
  <si>
    <t>期末調整</t>
    <rPh sb="0" eb="2">
      <t>キマツ</t>
    </rPh>
    <rPh sb="2" eb="4">
      <t>チョウセイ</t>
    </rPh>
    <phoneticPr fontId="40"/>
  </si>
  <si>
    <t>千葉西</t>
    <rPh sb="0" eb="3">
      <t>チバニシ</t>
    </rPh>
    <phoneticPr fontId="40"/>
  </si>
  <si>
    <t>GH合計</t>
    <rPh sb="2" eb="4">
      <t>ゴウケイ</t>
    </rPh>
    <phoneticPr fontId="40"/>
  </si>
  <si>
    <t>GH運営費補助金</t>
    <rPh sb="2" eb="8">
      <t>ウンエイ</t>
    </rPh>
    <phoneticPr fontId="40"/>
  </si>
  <si>
    <t>GH計</t>
    <rPh sb="2" eb="3">
      <t>ケイ</t>
    </rPh>
    <phoneticPr fontId="40"/>
  </si>
  <si>
    <t>前期間比率</t>
    <rPh sb="0" eb="1">
      <t>マエ</t>
    </rPh>
    <rPh sb="1" eb="3">
      <t>キカン</t>
    </rPh>
    <rPh sb="3" eb="5">
      <t>ヒリツ</t>
    </rPh>
    <phoneticPr fontId="40"/>
  </si>
  <si>
    <t>【売上・営業外収益】</t>
    <rPh sb="1" eb="3">
      <t>ウリアゲ</t>
    </rPh>
    <rPh sb="4" eb="9">
      <t>エイギョウガイシュウエキ</t>
    </rPh>
    <phoneticPr fontId="40"/>
  </si>
  <si>
    <t>【利益】</t>
    <rPh sb="1" eb="3">
      <t>リエキ</t>
    </rPh>
    <phoneticPr fontId="40"/>
  </si>
  <si>
    <t>利益達成</t>
    <rPh sb="0" eb="2">
      <t>リエキ</t>
    </rPh>
    <rPh sb="2" eb="4">
      <t>タッセイ</t>
    </rPh>
    <phoneticPr fontId="40"/>
  </si>
  <si>
    <t>利益未達</t>
    <rPh sb="0" eb="2">
      <t>リエキ</t>
    </rPh>
    <rPh sb="2" eb="4">
      <t>ミタツ</t>
    </rPh>
    <phoneticPr fontId="40"/>
  </si>
  <si>
    <t>（予実比率が0％以上）</t>
    <rPh sb="1" eb="3">
      <t>ヨジツ</t>
    </rPh>
    <rPh sb="3" eb="5">
      <t>ヒリツ</t>
    </rPh>
    <rPh sb="8" eb="10">
      <t>イジョウ</t>
    </rPh>
    <phoneticPr fontId="40"/>
  </si>
  <si>
    <t>（予実比率が-10％以上0％未満）</t>
    <rPh sb="1" eb="3">
      <t>ヨジツ</t>
    </rPh>
    <rPh sb="3" eb="5">
      <t>ヒリツ</t>
    </rPh>
    <rPh sb="10" eb="12">
      <t>イジョウ</t>
    </rPh>
    <rPh sb="14" eb="16">
      <t>ミマン</t>
    </rPh>
    <phoneticPr fontId="40"/>
  </si>
  <si>
    <t>（予実比率が-10％未満）</t>
    <rPh sb="1" eb="3">
      <t>ヨジツ</t>
    </rPh>
    <rPh sb="3" eb="5">
      <t>ヒリツ</t>
    </rPh>
    <rPh sb="10" eb="12">
      <t>ミマン</t>
    </rPh>
    <phoneticPr fontId="40"/>
  </si>
  <si>
    <t>【H30年度事業所別返戻管理表】</t>
    <rPh sb="4" eb="6">
      <t>ネンド</t>
    </rPh>
    <rPh sb="6" eb="9">
      <t>ジギョウショ</t>
    </rPh>
    <rPh sb="9" eb="10">
      <t>ベツ</t>
    </rPh>
    <rPh sb="10" eb="12">
      <t>ヘンレイ</t>
    </rPh>
    <rPh sb="12" eb="14">
      <t>カンリ</t>
    </rPh>
    <rPh sb="14" eb="15">
      <t>ヒョウ</t>
    </rPh>
    <phoneticPr fontId="48"/>
  </si>
  <si>
    <t>2018年09月 集計</t>
  </si>
  <si>
    <t>査定利益</t>
    <rPh sb="0" eb="2">
      <t>サテイ</t>
    </rPh>
    <rPh sb="2" eb="4">
      <t>リエキ</t>
    </rPh>
    <phoneticPr fontId="40"/>
  </si>
  <si>
    <t>期末調整（人件費）</t>
    <rPh sb="0" eb="2">
      <t>キマツ</t>
    </rPh>
    <rPh sb="2" eb="4">
      <t>チョウセイ</t>
    </rPh>
    <rPh sb="5" eb="8">
      <t>ジンケンヒ</t>
    </rPh>
    <phoneticPr fontId="40"/>
  </si>
  <si>
    <t>期末調整（売上）</t>
  </si>
  <si>
    <t>期末調整（経費）</t>
  </si>
  <si>
    <t>合計 / 期末調整（売上）</t>
  </si>
  <si>
    <t>合計 / 期末調整（人件費）</t>
  </si>
  <si>
    <t>合計 / 期末調整（経費）</t>
  </si>
  <si>
    <t>期末調整計</t>
    <rPh sb="0" eb="2">
      <t>キマツ</t>
    </rPh>
    <rPh sb="2" eb="4">
      <t>チョウセイ</t>
    </rPh>
    <rPh sb="4" eb="5">
      <t>ケイ</t>
    </rPh>
    <phoneticPr fontId="41"/>
  </si>
  <si>
    <t>人件費には、決算賞与1,700,000円が入っています。
経費着地が決算より347,525円少ないです。後日正しい数字をもらいます。</t>
    <rPh sb="0" eb="3">
      <t>ジンケンヒ</t>
    </rPh>
    <rPh sb="6" eb="10">
      <t>ケッサンショウヨ</t>
    </rPh>
    <rPh sb="19" eb="20">
      <t>エン</t>
    </rPh>
    <rPh sb="21" eb="22">
      <t>ハイ</t>
    </rPh>
    <rPh sb="29" eb="31">
      <t>ケイヒ</t>
    </rPh>
    <rPh sb="31" eb="33">
      <t>チャクチ</t>
    </rPh>
    <rPh sb="34" eb="36">
      <t>ケッサン</t>
    </rPh>
    <rPh sb="45" eb="46">
      <t>エン</t>
    </rPh>
    <rPh sb="46" eb="47">
      <t>スク</t>
    </rPh>
    <rPh sb="52" eb="54">
      <t>ゴジツ</t>
    </rPh>
    <rPh sb="54" eb="55">
      <t>タダ</t>
    </rPh>
    <rPh sb="57" eb="59">
      <t>スウジ</t>
    </rPh>
    <phoneticPr fontId="40"/>
  </si>
  <si>
    <t>合計 / 事業所経費</t>
  </si>
  <si>
    <t>合計 / 弁当仕入高</t>
  </si>
  <si>
    <t>669ｱﾄﾚｰ廃車
￥20,702
千葉東内装工事減価償却￥7,435/月
西五所プレハブ工事
￥19,935/月*15年
モンゴル・マレーシア・ベトナム
各60万/計180万</t>
    <rPh sb="7" eb="9">
      <t>ハイシャ</t>
    </rPh>
    <rPh sb="18" eb="21">
      <t>チバヒガシ</t>
    </rPh>
    <rPh sb="21" eb="25">
      <t>ナイソウコウジ</t>
    </rPh>
    <rPh sb="25" eb="29">
      <t>ゲンカショウキャク</t>
    </rPh>
    <rPh sb="36" eb="37">
      <t>ツキ</t>
    </rPh>
    <rPh sb="38" eb="41">
      <t>ニシゴショ</t>
    </rPh>
    <rPh sb="45" eb="47">
      <t>コウジ</t>
    </rPh>
    <rPh sb="56" eb="57">
      <t>ツキ</t>
    </rPh>
    <rPh sb="60" eb="61">
      <t>ネン</t>
    </rPh>
    <rPh sb="79" eb="80">
      <t>カク</t>
    </rPh>
    <rPh sb="82" eb="83">
      <t>マン</t>
    </rPh>
    <rPh sb="84" eb="85">
      <t>ケイ</t>
    </rPh>
    <rPh sb="88" eb="89">
      <t>マン</t>
    </rPh>
    <phoneticPr fontId="40"/>
  </si>
  <si>
    <t>誉田社員</t>
    <rPh sb="0" eb="2">
      <t>ホンダ</t>
    </rPh>
    <rPh sb="2" eb="4">
      <t>シャイン</t>
    </rPh>
    <phoneticPr fontId="40"/>
  </si>
  <si>
    <t>GH社員</t>
    <rPh sb="2" eb="4">
      <t>シャイン</t>
    </rPh>
    <phoneticPr fontId="40"/>
  </si>
  <si>
    <t>2名</t>
    <rPh sb="1" eb="2">
      <t>メイ</t>
    </rPh>
    <phoneticPr fontId="40"/>
  </si>
  <si>
    <t>白金ケアマネ</t>
    <rPh sb="0" eb="2">
      <t>シロガネ</t>
    </rPh>
    <phoneticPr fontId="40"/>
  </si>
  <si>
    <t>給水申込納付金
￥2,697/月
住宅負担金
￥908,407</t>
    <rPh sb="15" eb="16">
      <t>ツキ</t>
    </rPh>
    <rPh sb="17" eb="19">
      <t>ジュウタク</t>
    </rPh>
    <rPh sb="19" eb="22">
      <t>フタンキン</t>
    </rPh>
    <phoneticPr fontId="40"/>
  </si>
  <si>
    <t>退職職員</t>
    <rPh sb="0" eb="2">
      <t>タイショク</t>
    </rPh>
    <rPh sb="2" eb="4">
      <t>ショクイン</t>
    </rPh>
    <phoneticPr fontId="40"/>
  </si>
  <si>
    <t>全社</t>
    <rPh sb="0" eb="2">
      <t>ゼンシャ</t>
    </rPh>
    <phoneticPr fontId="41"/>
  </si>
  <si>
    <t>前月差額</t>
    <rPh sb="0" eb="2">
      <t>ゼンゲツ</t>
    </rPh>
    <rPh sb="2" eb="4">
      <t>サガク</t>
    </rPh>
    <phoneticPr fontId="40"/>
  </si>
  <si>
    <t>予算</t>
    <rPh sb="0" eb="2">
      <t>ヨサン</t>
    </rPh>
    <phoneticPr fontId="40"/>
  </si>
  <si>
    <t>実績値(期累計)</t>
    <rPh sb="0" eb="3">
      <t>ジッセキチ</t>
    </rPh>
    <rPh sb="4" eb="5">
      <t>キ</t>
    </rPh>
    <rPh sb="5" eb="7">
      <t>ルイケイ</t>
    </rPh>
    <phoneticPr fontId="40"/>
  </si>
  <si>
    <t>予算残</t>
    <rPh sb="0" eb="2">
      <t>ヨサン</t>
    </rPh>
    <rPh sb="2" eb="3">
      <t>ザン</t>
    </rPh>
    <phoneticPr fontId="40"/>
  </si>
  <si>
    <t>広告費予実状況(H30年9月～H31年8月)</t>
    <rPh sb="0" eb="2">
      <t>コウコク</t>
    </rPh>
    <rPh sb="2" eb="3">
      <t>ヒ</t>
    </rPh>
    <rPh sb="3" eb="5">
      <t>ヨジツ</t>
    </rPh>
    <rPh sb="5" eb="7">
      <t>ジョウキョウ</t>
    </rPh>
    <rPh sb="11" eb="12">
      <t>ネン</t>
    </rPh>
    <rPh sb="13" eb="14">
      <t>ガツ</t>
    </rPh>
    <rPh sb="18" eb="19">
      <t>ネン</t>
    </rPh>
    <rPh sb="20" eb="21">
      <t>ガツ</t>
    </rPh>
    <phoneticPr fontId="40"/>
  </si>
  <si>
    <t>入社人数</t>
    <rPh sb="0" eb="2">
      <t>ニュウシャ</t>
    </rPh>
    <rPh sb="2" eb="4">
      <t>ニンズウ</t>
    </rPh>
    <phoneticPr fontId="40"/>
  </si>
  <si>
    <t>期累計(実績)</t>
    <rPh sb="0" eb="1">
      <t>キ</t>
    </rPh>
    <rPh sb="1" eb="3">
      <t>ルイケイ</t>
    </rPh>
    <rPh sb="4" eb="6">
      <t>ジッセキ</t>
    </rPh>
    <phoneticPr fontId="40"/>
  </si>
  <si>
    <t>期累計(計画)</t>
    <rPh sb="0" eb="1">
      <t>キ</t>
    </rPh>
    <rPh sb="1" eb="3">
      <t>ルイケイ</t>
    </rPh>
    <rPh sb="4" eb="6">
      <t>ケイカク</t>
    </rPh>
    <phoneticPr fontId="40"/>
  </si>
  <si>
    <t>業種別売上</t>
    <rPh sb="0" eb="2">
      <t>ギョウシュ</t>
    </rPh>
    <rPh sb="2" eb="3">
      <t>ベツ</t>
    </rPh>
    <rPh sb="3" eb="5">
      <t>ウリアゲ</t>
    </rPh>
    <phoneticPr fontId="40"/>
  </si>
  <si>
    <t>事業所別売上</t>
    <rPh sb="0" eb="3">
      <t>ジギョウショ</t>
    </rPh>
    <rPh sb="3" eb="4">
      <t>ベツ</t>
    </rPh>
    <rPh sb="4" eb="6">
      <t>ウリアゲ</t>
    </rPh>
    <phoneticPr fontId="40"/>
  </si>
  <si>
    <t>期累計予実差</t>
    <rPh sb="0" eb="1">
      <t>キ</t>
    </rPh>
    <rPh sb="1" eb="3">
      <t>ルイケイ</t>
    </rPh>
    <rPh sb="3" eb="5">
      <t>ヨジツ</t>
    </rPh>
    <rPh sb="5" eb="6">
      <t>サ</t>
    </rPh>
    <phoneticPr fontId="40"/>
  </si>
  <si>
    <t>査定予実差</t>
    <rPh sb="0" eb="2">
      <t>サテイ</t>
    </rPh>
    <rPh sb="2" eb="4">
      <t>ヨジツ</t>
    </rPh>
    <rPh sb="4" eb="5">
      <t>サ</t>
    </rPh>
    <phoneticPr fontId="40"/>
  </si>
  <si>
    <t>人件費比率</t>
    <rPh sb="0" eb="3">
      <t>ジンケンヒ</t>
    </rPh>
    <rPh sb="3" eb="5">
      <t>ヒリツ</t>
    </rPh>
    <phoneticPr fontId="40"/>
  </si>
  <si>
    <t>査定利益(実)</t>
    <rPh sb="0" eb="2">
      <t>サテイ</t>
    </rPh>
    <rPh sb="2" eb="4">
      <t>リエキ</t>
    </rPh>
    <rPh sb="5" eb="6">
      <t>ジツ</t>
    </rPh>
    <phoneticPr fontId="40"/>
  </si>
  <si>
    <t>査定利益(計)</t>
    <rPh sb="0" eb="2">
      <t>サテイ</t>
    </rPh>
    <rPh sb="2" eb="4">
      <t>リエキ</t>
    </rPh>
    <rPh sb="5" eb="6">
      <t>ケイ</t>
    </rPh>
    <phoneticPr fontId="40"/>
  </si>
  <si>
    <t>合計</t>
    <rPh sb="0" eb="2">
      <t>ゴウケイ</t>
    </rPh>
    <phoneticPr fontId="41"/>
  </si>
  <si>
    <t>白金</t>
    <rPh sb="0" eb="2">
      <t>シ</t>
    </rPh>
    <phoneticPr fontId="40"/>
  </si>
  <si>
    <t>蘇我</t>
    <rPh sb="0" eb="2">
      <t>ソガ</t>
    </rPh>
    <phoneticPr fontId="40"/>
  </si>
  <si>
    <t>誉田</t>
    <rPh sb="0" eb="2">
      <t>ホンダ</t>
    </rPh>
    <phoneticPr fontId="40"/>
  </si>
  <si>
    <t>千葉西</t>
    <rPh sb="0" eb="3">
      <t>チバニシ</t>
    </rPh>
    <phoneticPr fontId="40"/>
  </si>
  <si>
    <t>白金デイ</t>
    <rPh sb="0" eb="2">
      <t>シロガネ</t>
    </rPh>
    <phoneticPr fontId="40"/>
  </si>
  <si>
    <t>二日市場</t>
    <rPh sb="0" eb="4">
      <t>フツカイ</t>
    </rPh>
    <phoneticPr fontId="40"/>
  </si>
  <si>
    <t>GH合計</t>
    <rPh sb="2" eb="4">
      <t>ゴウケイ</t>
    </rPh>
    <phoneticPr fontId="40"/>
  </si>
  <si>
    <t>H３０年度利益予測</t>
    <rPh sb="3" eb="4">
      <t>ネン</t>
    </rPh>
    <rPh sb="4" eb="5">
      <t>ド</t>
    </rPh>
    <rPh sb="5" eb="7">
      <t>リエキ</t>
    </rPh>
    <rPh sb="7" eb="9">
      <t>ヨソク</t>
    </rPh>
    <phoneticPr fontId="40"/>
  </si>
  <si>
    <t>処遇改善加算プール額</t>
    <rPh sb="0" eb="6">
      <t>ショグウカイ</t>
    </rPh>
    <rPh sb="9" eb="10">
      <t>ガク</t>
    </rPh>
    <phoneticPr fontId="40"/>
  </si>
  <si>
    <t>年月</t>
    <rPh sb="0" eb="2">
      <t>ネンゲツ</t>
    </rPh>
    <phoneticPr fontId="40"/>
  </si>
  <si>
    <t>訪問プール分</t>
    <rPh sb="0" eb="2">
      <t>ホウモン</t>
    </rPh>
    <rPh sb="5" eb="6">
      <t>ブン</t>
    </rPh>
    <phoneticPr fontId="40"/>
  </si>
  <si>
    <t>千葉西 集計</t>
  </si>
  <si>
    <t>12 集計</t>
  </si>
  <si>
    <t>2018年10月 集計</t>
  </si>
  <si>
    <t>GH計</t>
    <rPh sb="2" eb="3">
      <t>ケイ</t>
    </rPh>
    <phoneticPr fontId="40"/>
  </si>
  <si>
    <t>千葉西</t>
    <rPh sb="2" eb="3">
      <t>ニシ</t>
    </rPh>
    <phoneticPr fontId="48"/>
  </si>
  <si>
    <t>GH西広</t>
  </si>
  <si>
    <t>GH西広</t>
    <rPh sb="2" eb="4">
      <t>サイヒロ</t>
    </rPh>
    <phoneticPr fontId="40"/>
  </si>
  <si>
    <t>13</t>
  </si>
  <si>
    <t>14</t>
  </si>
  <si>
    <t>グループホーム友乃家西広</t>
    <rPh sb="10" eb="12">
      <t>サイヒロ</t>
    </rPh>
    <phoneticPr fontId="40"/>
  </si>
  <si>
    <t>グループホーム友乃家君塚</t>
    <rPh sb="10" eb="12">
      <t>キミヅカ</t>
    </rPh>
    <phoneticPr fontId="40"/>
  </si>
  <si>
    <t>GH君塚</t>
    <rPh sb="2" eb="4">
      <t>キミヅカ</t>
    </rPh>
    <phoneticPr fontId="40"/>
  </si>
  <si>
    <t>松下　由佳</t>
  </si>
  <si>
    <t>西広</t>
    <rPh sb="0" eb="2">
      <t>サイヒロ</t>
    </rPh>
    <phoneticPr fontId="40"/>
  </si>
  <si>
    <t>GH西広</t>
    <rPh sb="2" eb="4">
      <t>サ</t>
    </rPh>
    <phoneticPr fontId="40"/>
  </si>
  <si>
    <t>GH西広</t>
    <rPh sb="2" eb="3">
      <t>ニシ</t>
    </rPh>
    <rPh sb="3" eb="4">
      <t>ヒロシ</t>
    </rPh>
    <phoneticPr fontId="40"/>
  </si>
  <si>
    <t>夜勤者健康診断
￥80,000
忘年会
￥2,000,000</t>
    <rPh sb="0" eb="2">
      <t>ヤキン</t>
    </rPh>
    <rPh sb="2" eb="3">
      <t>シャ</t>
    </rPh>
    <rPh sb="3" eb="7">
      <t>ケンコウシンダン</t>
    </rPh>
    <rPh sb="16" eb="19">
      <t>ボウネンカイ</t>
    </rPh>
    <phoneticPr fontId="40"/>
  </si>
  <si>
    <t>☆地引先生年末調整報酬￥50,000
GH西五所固定資産税￥159,250
韓国　￥60万</t>
    <rPh sb="21" eb="24">
      <t>ニシゴショ</t>
    </rPh>
    <rPh sb="24" eb="29">
      <t>コテイシサンゼイ</t>
    </rPh>
    <rPh sb="39" eb="41">
      <t>カンコク</t>
    </rPh>
    <rPh sb="45" eb="46">
      <t>マン</t>
    </rPh>
    <phoneticPr fontId="40"/>
  </si>
  <si>
    <t>法定福利費期末調整1940404</t>
    <rPh sb="0" eb="5">
      <t>ホウテイフクリヒ</t>
    </rPh>
    <rPh sb="5" eb="7">
      <t>キマツ</t>
    </rPh>
    <rPh sb="7" eb="9">
      <t>チョウセイ</t>
    </rPh>
    <phoneticPr fontId="40"/>
  </si>
  <si>
    <t>もう半分の土地
賃借開始
￥250,000/月</t>
    <phoneticPr fontId="40"/>
  </si>
  <si>
    <r>
      <rPr>
        <sz val="9"/>
        <color rgb="FFFF0000"/>
        <rFont val="ＭＳ Ｐゴシック"/>
        <family val="3"/>
        <charset val="128"/>
        <scheme val="minor"/>
      </rPr>
      <t xml:space="preserve">★白金タクシー廃止
￥-127,710/月
</t>
    </r>
    <r>
      <rPr>
        <sz val="9"/>
        <rFont val="ＭＳ Ｐゴシック"/>
        <family val="3"/>
        <charset val="128"/>
        <scheme val="minor"/>
      </rPr>
      <t>西五所プレハブ工事
￥4,214/月*15年
台湾￥60万</t>
    </r>
    <rPh sb="20" eb="21">
      <t>ツキ</t>
    </rPh>
    <rPh sb="46" eb="48">
      <t>タイワン</t>
    </rPh>
    <rPh sb="51" eb="52">
      <t>マン</t>
    </rPh>
    <phoneticPr fontId="40"/>
  </si>
  <si>
    <t>ミャンマー￥60万
BMW減価償却
\120,740</t>
    <rPh sb="8" eb="9">
      <t>マン</t>
    </rPh>
    <phoneticPr fontId="40"/>
  </si>
  <si>
    <t>ベース給与</t>
    <rPh sb="3" eb="5">
      <t>キュウヨ</t>
    </rPh>
    <phoneticPr fontId="40"/>
  </si>
  <si>
    <t>ベース福利厚生費</t>
    <rPh sb="3" eb="7">
      <t>フクリコウセイ</t>
    </rPh>
    <rPh sb="7" eb="8">
      <t>ヒ</t>
    </rPh>
    <phoneticPr fontId="40"/>
  </si>
  <si>
    <t>デイ管理者候補</t>
    <rPh sb="2" eb="5">
      <t>カンリシャ</t>
    </rPh>
    <rPh sb="5" eb="7">
      <t>コウホ</t>
    </rPh>
    <phoneticPr fontId="40"/>
  </si>
  <si>
    <t>内勤社員ベア
￥60,000/月</t>
    <rPh sb="0" eb="2">
      <t>ナイキン</t>
    </rPh>
    <rPh sb="2" eb="4">
      <t>シャイン</t>
    </rPh>
    <rPh sb="15" eb="16">
      <t>ツキ</t>
    </rPh>
    <phoneticPr fontId="40"/>
  </si>
  <si>
    <t>建物登記に関する費用
766,890円</t>
    <rPh sb="0" eb="2">
      <t>タテモノ</t>
    </rPh>
    <rPh sb="2" eb="4">
      <t>トウキ</t>
    </rPh>
    <rPh sb="5" eb="6">
      <t>カン</t>
    </rPh>
    <rPh sb="8" eb="10">
      <t>ヒヨウ</t>
    </rPh>
    <rPh sb="18" eb="19">
      <t>エン</t>
    </rPh>
    <phoneticPr fontId="40"/>
  </si>
  <si>
    <t>地鎮祭\30,000
建物登記に関する費用
450,658円</t>
    <phoneticPr fontId="40"/>
  </si>
  <si>
    <t>労働保険は12等分で計上</t>
    <rPh sb="0" eb="4">
      <t>ロウドウホケン</t>
    </rPh>
    <rPh sb="7" eb="9">
      <t>トウブン</t>
    </rPh>
    <rPh sb="10" eb="12">
      <t>ケイジョウ</t>
    </rPh>
    <phoneticPr fontId="40"/>
  </si>
  <si>
    <t>事業所名</t>
    <rPh sb="0" eb="4">
      <t>ジギョウショメイ</t>
    </rPh>
    <phoneticPr fontId="40"/>
  </si>
  <si>
    <t>訪問事業所名</t>
    <rPh sb="0" eb="2">
      <t>ホウモン</t>
    </rPh>
    <rPh sb="2" eb="6">
      <t>ジギョウショメイ</t>
    </rPh>
    <phoneticPr fontId="40"/>
  </si>
  <si>
    <t>利益比率</t>
    <rPh sb="0" eb="2">
      <t>リエキ</t>
    </rPh>
    <rPh sb="2" eb="4">
      <t>ヒリツ</t>
    </rPh>
    <phoneticPr fontId="40"/>
  </si>
  <si>
    <t>売上期累計</t>
    <rPh sb="0" eb="2">
      <t>ウリアゲ</t>
    </rPh>
    <rPh sb="2" eb="3">
      <t>キ</t>
    </rPh>
    <rPh sb="3" eb="5">
      <t>ルイケイ</t>
    </rPh>
    <phoneticPr fontId="40"/>
  </si>
  <si>
    <t>売上比率</t>
    <rPh sb="0" eb="2">
      <t>ウリアゲ</t>
    </rPh>
    <rPh sb="2" eb="4">
      <t>ヒリツ</t>
    </rPh>
    <phoneticPr fontId="40"/>
  </si>
  <si>
    <t>売上比率</t>
    <rPh sb="0" eb="2">
      <t>ウリアゲ</t>
    </rPh>
    <rPh sb="2" eb="4">
      <t>ヒリツ</t>
    </rPh>
    <phoneticPr fontId="40"/>
  </si>
  <si>
    <r>
      <t xml:space="preserve">賞与
￥13,054,420
</t>
    </r>
    <r>
      <rPr>
        <sz val="8"/>
        <color theme="1"/>
        <rFont val="ＭＳ Ｐゴシック"/>
        <family val="3"/>
        <charset val="128"/>
        <scheme val="minor"/>
      </rPr>
      <t>(法定福利費込み)</t>
    </r>
    <rPh sb="0" eb="2">
      <t>ショウヨ</t>
    </rPh>
    <rPh sb="16" eb="21">
      <t>ホウテイフクリヒ</t>
    </rPh>
    <rPh sb="21" eb="22">
      <t>コ</t>
    </rPh>
    <phoneticPr fontId="40"/>
  </si>
  <si>
    <t>【千葉西　売上・人件費】</t>
    <rPh sb="3" eb="4">
      <t>ニシ</t>
    </rPh>
    <rPh sb="5" eb="7">
      <t>ウリアゲ</t>
    </rPh>
    <rPh sb="8" eb="11">
      <t>ジンケンヒ</t>
    </rPh>
    <phoneticPr fontId="40"/>
  </si>
  <si>
    <t>【千葉西　稼働人数・時間】</t>
    <rPh sb="5" eb="7">
      <t>カドウ</t>
    </rPh>
    <rPh sb="7" eb="9">
      <t>ニンズウ</t>
    </rPh>
    <rPh sb="10" eb="12">
      <t>ジカン</t>
    </rPh>
    <phoneticPr fontId="40"/>
  </si>
  <si>
    <t>【蘇我　売上・人件費】</t>
    <rPh sb="4" eb="6">
      <t>ウリアゲ</t>
    </rPh>
    <rPh sb="7" eb="10">
      <t>ジンケンヒ</t>
    </rPh>
    <phoneticPr fontId="40"/>
  </si>
  <si>
    <t>【蘇我　稼働人数・時間】</t>
    <rPh sb="4" eb="6">
      <t>カドウ</t>
    </rPh>
    <rPh sb="6" eb="8">
      <t>ニンズウ</t>
    </rPh>
    <rPh sb="9" eb="11">
      <t>ジカン</t>
    </rPh>
    <phoneticPr fontId="40"/>
  </si>
  <si>
    <t>【誉田　稼働人数・時間】</t>
    <rPh sb="4" eb="6">
      <t>カドウ</t>
    </rPh>
    <rPh sb="6" eb="8">
      <t>ニンズウ</t>
    </rPh>
    <rPh sb="9" eb="11">
      <t>ジカン</t>
    </rPh>
    <phoneticPr fontId="40"/>
  </si>
  <si>
    <t>【誉田　売上・人件費】</t>
    <rPh sb="4" eb="6">
      <t>ウリアゲ</t>
    </rPh>
    <rPh sb="7" eb="10">
      <t>ジンケンヒ</t>
    </rPh>
    <phoneticPr fontId="40"/>
  </si>
  <si>
    <t>千葉西</t>
    <phoneticPr fontId="41"/>
  </si>
  <si>
    <t>実績／計画差</t>
    <rPh sb="0" eb="2">
      <t>ジッセキ</t>
    </rPh>
    <rPh sb="3" eb="5">
      <t>ケイカク</t>
    </rPh>
    <rPh sb="5" eb="6">
      <t>サ</t>
    </rPh>
    <phoneticPr fontId="40"/>
  </si>
  <si>
    <t>管理部</t>
    <rPh sb="0" eb="2">
      <t>カンリ</t>
    </rPh>
    <rPh sb="2" eb="3">
      <t>ブ</t>
    </rPh>
    <phoneticPr fontId="40"/>
  </si>
  <si>
    <t>（GH君塚）</t>
  </si>
  <si>
    <t>会社利益</t>
    <phoneticPr fontId="40"/>
  </si>
  <si>
    <t>会社利益</t>
    <phoneticPr fontId="40"/>
  </si>
  <si>
    <t>会社利益</t>
    <phoneticPr fontId="40"/>
  </si>
  <si>
    <t>会社利益</t>
    <phoneticPr fontId="40"/>
  </si>
  <si>
    <t>白金タクシー</t>
    <phoneticPr fontId="40"/>
  </si>
  <si>
    <t>人件費+経費(+雑経費)</t>
    <rPh sb="0" eb="3">
      <t>ジンケンヒ</t>
    </rPh>
    <rPh sb="4" eb="6">
      <t>ケイヒ</t>
    </rPh>
    <rPh sb="8" eb="9">
      <t>ザツ</t>
    </rPh>
    <rPh sb="9" eb="11">
      <t>ケイヒ</t>
    </rPh>
    <phoneticPr fontId="40"/>
  </si>
  <si>
    <t>事業所負担金-本部経費</t>
    <rPh sb="7" eb="9">
      <t>ホンブ</t>
    </rPh>
    <rPh sb="9" eb="11">
      <t>ケイヒ</t>
    </rPh>
    <phoneticPr fontId="40"/>
  </si>
  <si>
    <t>管理部</t>
    <rPh sb="0" eb="3">
      <t>カンリ</t>
    </rPh>
    <phoneticPr fontId="40"/>
  </si>
  <si>
    <t>GH君塚</t>
    <rPh sb="2" eb="4">
      <t>キミヅカ</t>
    </rPh>
    <phoneticPr fontId="40"/>
  </si>
  <si>
    <t>事業所利益</t>
    <phoneticPr fontId="84"/>
  </si>
  <si>
    <t>会社利益</t>
    <phoneticPr fontId="40"/>
  </si>
  <si>
    <t>現在月までの
期累計</t>
    <rPh sb="0" eb="2">
      <t>ゲンザイ</t>
    </rPh>
    <rPh sb="2" eb="3">
      <t>ヅキ</t>
    </rPh>
    <rPh sb="7" eb="8">
      <t>キ</t>
    </rPh>
    <rPh sb="8" eb="10">
      <t>ルイケイ</t>
    </rPh>
    <phoneticPr fontId="40"/>
  </si>
  <si>
    <t>期合計
（計画）</t>
    <rPh sb="0" eb="1">
      <t>キ</t>
    </rPh>
    <rPh sb="1" eb="3">
      <t>ゴウケイ</t>
    </rPh>
    <rPh sb="5" eb="7">
      <t>ケイカク</t>
    </rPh>
    <phoneticPr fontId="40"/>
  </si>
  <si>
    <t>期合計
予実比率</t>
    <rPh sb="0" eb="1">
      <t>キ</t>
    </rPh>
    <rPh sb="1" eb="3">
      <t>ゴウケイ</t>
    </rPh>
    <rPh sb="4" eb="6">
      <t>ヨジツ</t>
    </rPh>
    <rPh sb="6" eb="8">
      <t>ヒリツ</t>
    </rPh>
    <phoneticPr fontId="40"/>
  </si>
  <si>
    <t>期平均
(実績)</t>
    <rPh sb="0" eb="1">
      <t>キ</t>
    </rPh>
    <rPh sb="1" eb="3">
      <t>ヘイキン</t>
    </rPh>
    <rPh sb="5" eb="7">
      <t>ジッセキ</t>
    </rPh>
    <phoneticPr fontId="40"/>
  </si>
  <si>
    <r>
      <t xml:space="preserve">実績 / </t>
    </r>
    <r>
      <rPr>
        <sz val="11"/>
        <color rgb="FF0070C0"/>
        <rFont val="ＭＳ Ｐゴシック"/>
        <family val="3"/>
        <charset val="128"/>
        <scheme val="minor"/>
      </rPr>
      <t>計画</t>
    </r>
    <rPh sb="0" eb="2">
      <t>ジッセキ</t>
    </rPh>
    <rPh sb="5" eb="7">
      <t>ケイカク</t>
    </rPh>
    <phoneticPr fontId="40"/>
  </si>
  <si>
    <r>
      <rPr>
        <sz val="11"/>
        <rFont val="ＭＳ Ｐゴシック"/>
        <family val="3"/>
        <charset val="128"/>
        <scheme val="minor"/>
      </rPr>
      <t xml:space="preserve">実績 / </t>
    </r>
    <r>
      <rPr>
        <sz val="11"/>
        <color rgb="FF0070C0"/>
        <rFont val="ＭＳ Ｐゴシック"/>
        <family val="3"/>
        <charset val="128"/>
        <scheme val="minor"/>
      </rPr>
      <t>計画</t>
    </r>
    <rPh sb="0" eb="2">
      <t>ジッセキ</t>
    </rPh>
    <rPh sb="5" eb="7">
      <t>ケイカク</t>
    </rPh>
    <phoneticPr fontId="48"/>
  </si>
  <si>
    <r>
      <t xml:space="preserve">実績 / </t>
    </r>
    <r>
      <rPr>
        <sz val="11"/>
        <color rgb="FF0070C0"/>
        <rFont val="ＭＳ Ｐゴシック"/>
        <family val="3"/>
        <charset val="128"/>
        <scheme val="minor"/>
      </rPr>
      <t>計画</t>
    </r>
    <rPh sb="0" eb="2">
      <t>ジッセキ</t>
    </rPh>
    <rPh sb="5" eb="7">
      <t>ケイカク</t>
    </rPh>
    <phoneticPr fontId="48"/>
  </si>
  <si>
    <t>賞与</t>
    <rPh sb="0" eb="2">
      <t>ショウヨ</t>
    </rPh>
    <phoneticPr fontId="40"/>
  </si>
  <si>
    <t>消費税</t>
    <rPh sb="0" eb="3">
      <t>ショウヒゼイ</t>
    </rPh>
    <phoneticPr fontId="40"/>
  </si>
  <si>
    <t>本部
管理部</t>
    <rPh sb="0" eb="2">
      <t>ホンブ</t>
    </rPh>
    <rPh sb="3" eb="5">
      <t>カンリ</t>
    </rPh>
    <rPh sb="5" eb="6">
      <t>ブ</t>
    </rPh>
    <phoneticPr fontId="48"/>
  </si>
  <si>
    <t>白金タクシー</t>
    <phoneticPr fontId="40"/>
  </si>
  <si>
    <t>管理部人件費根拠</t>
    <rPh sb="0" eb="2">
      <t>カンリ</t>
    </rPh>
    <rPh sb="2" eb="3">
      <t>ブ</t>
    </rPh>
    <rPh sb="3" eb="6">
      <t>ジンケンヒ</t>
    </rPh>
    <rPh sb="6" eb="8">
      <t>コンキョ</t>
    </rPh>
    <phoneticPr fontId="40"/>
  </si>
  <si>
    <t>10月分ベース</t>
    <rPh sb="2" eb="3">
      <t>ガツ</t>
    </rPh>
    <rPh sb="3" eb="4">
      <t>ブン</t>
    </rPh>
    <phoneticPr fontId="40"/>
  </si>
  <si>
    <t>パート（1～3月）</t>
    <rPh sb="7" eb="8">
      <t>ガツ</t>
    </rPh>
    <phoneticPr fontId="40"/>
  </si>
  <si>
    <t>社員（4～8月）</t>
    <rPh sb="0" eb="2">
      <t>シャイン</t>
    </rPh>
    <rPh sb="6" eb="7">
      <t>ガツ</t>
    </rPh>
    <phoneticPr fontId="40"/>
  </si>
  <si>
    <t>賞与</t>
    <rPh sb="0" eb="2">
      <t>ショウヨ</t>
    </rPh>
    <phoneticPr fontId="40"/>
  </si>
  <si>
    <t>賞与管理部負担分</t>
    <rPh sb="0" eb="2">
      <t>ショウヨ</t>
    </rPh>
    <rPh sb="2" eb="4">
      <t>カンリ</t>
    </rPh>
    <rPh sb="4" eb="5">
      <t>ブ</t>
    </rPh>
    <rPh sb="5" eb="8">
      <t>フタンブン</t>
    </rPh>
    <phoneticPr fontId="40"/>
  </si>
  <si>
    <t>法定福利費</t>
    <rPh sb="0" eb="5">
      <t>ホウテイフクリヒ</t>
    </rPh>
    <phoneticPr fontId="40"/>
  </si>
  <si>
    <t>福利厚生費</t>
    <rPh sb="0" eb="5">
      <t>フクリコウセイヒ</t>
    </rPh>
    <phoneticPr fontId="40"/>
  </si>
  <si>
    <t>※青字のセルは計画値です。計画値のセルはロックがかかっていないので、直接数字や関数を入力して修正することができます。</t>
    <rPh sb="1" eb="3">
      <t>アオジ</t>
    </rPh>
    <rPh sb="7" eb="9">
      <t>ケイカク</t>
    </rPh>
    <rPh sb="9" eb="10">
      <t>チ</t>
    </rPh>
    <rPh sb="13" eb="15">
      <t>ケイカク</t>
    </rPh>
    <rPh sb="15" eb="16">
      <t>チ</t>
    </rPh>
    <rPh sb="34" eb="36">
      <t>チョクセツ</t>
    </rPh>
    <rPh sb="36" eb="38">
      <t>スウジ</t>
    </rPh>
    <rPh sb="39" eb="41">
      <t>カンスウ</t>
    </rPh>
    <rPh sb="42" eb="44">
      <t>ニュウリョク</t>
    </rPh>
    <rPh sb="46" eb="48">
      <t>シュウセイ</t>
    </rPh>
    <phoneticPr fontId="40"/>
  </si>
  <si>
    <t>※黒字のセルは実績値です。実績値のセルはロックがかかっているので、上書き等はできません。</t>
    <rPh sb="1" eb="3">
      <t>クロジ</t>
    </rPh>
    <rPh sb="7" eb="9">
      <t>ジッセキ</t>
    </rPh>
    <rPh sb="9" eb="10">
      <t>アタイ</t>
    </rPh>
    <rPh sb="13" eb="15">
      <t>ジッセキ</t>
    </rPh>
    <rPh sb="15" eb="16">
      <t>アタイ</t>
    </rPh>
    <rPh sb="33" eb="35">
      <t>ウワガ</t>
    </rPh>
    <rPh sb="36" eb="37">
      <t>トウ</t>
    </rPh>
    <phoneticPr fontId="40"/>
  </si>
  <si>
    <t>期末調整</t>
    <rPh sb="0" eb="2">
      <t>キマツ</t>
    </rPh>
    <rPh sb="2" eb="4">
      <t>チョウセイ</t>
    </rPh>
    <phoneticPr fontId="40"/>
  </si>
  <si>
    <t>2018年11月 集計</t>
  </si>
  <si>
    <t>11月</t>
    <rPh sb="2" eb="3">
      <t>ガツ</t>
    </rPh>
    <phoneticPr fontId="40"/>
  </si>
  <si>
    <t>勝地さん時給900</t>
    <rPh sb="0" eb="2">
      <t>カツチ</t>
    </rPh>
    <rPh sb="4" eb="6">
      <t>ジキュウ</t>
    </rPh>
    <phoneticPr fontId="40"/>
  </si>
  <si>
    <t>計</t>
    <rPh sb="0" eb="1">
      <t>ケイ</t>
    </rPh>
    <phoneticPr fontId="40"/>
  </si>
  <si>
    <t>管理部経費</t>
    <rPh sb="0" eb="2">
      <t>カンリ</t>
    </rPh>
    <rPh sb="2" eb="3">
      <t>ブ</t>
    </rPh>
    <rPh sb="3" eb="5">
      <t>ケイヒ</t>
    </rPh>
    <phoneticPr fontId="40"/>
  </si>
  <si>
    <t>10月分ベース</t>
    <rPh sb="2" eb="4">
      <t>ガツブン</t>
    </rPh>
    <phoneticPr fontId="40"/>
  </si>
  <si>
    <t>自動車税</t>
    <rPh sb="0" eb="4">
      <t>ジドウシャゼイ</t>
    </rPh>
    <phoneticPr fontId="40"/>
  </si>
  <si>
    <t>海外出張</t>
    <rPh sb="0" eb="4">
      <t>カイガイシュッチョウ</t>
    </rPh>
    <phoneticPr fontId="40"/>
  </si>
  <si>
    <t>労働保険</t>
    <rPh sb="0" eb="4">
      <t>ロウドウホケン</t>
    </rPh>
    <phoneticPr fontId="40"/>
  </si>
  <si>
    <t>広告経費</t>
  </si>
  <si>
    <t>広告経費</t>
    <rPh sb="0" eb="2">
      <t>コウコク</t>
    </rPh>
    <rPh sb="2" eb="4">
      <t>ケイヒ</t>
    </rPh>
    <phoneticPr fontId="40"/>
  </si>
  <si>
    <t>お弁当補助金</t>
    <rPh sb="1" eb="3">
      <t>ベントウ</t>
    </rPh>
    <rPh sb="3" eb="6">
      <t>ホジョキン</t>
    </rPh>
    <phoneticPr fontId="40"/>
  </si>
  <si>
    <t>事業所経費計</t>
    <phoneticPr fontId="40"/>
  </si>
  <si>
    <t>事業所経費計</t>
    <phoneticPr fontId="40"/>
  </si>
  <si>
    <t>査定期間：H30.10～H31.4</t>
    <rPh sb="0" eb="2">
      <t>サテイ</t>
    </rPh>
    <rPh sb="2" eb="4">
      <t>キカン</t>
    </rPh>
    <phoneticPr fontId="40"/>
  </si>
  <si>
    <t>賞与原資見込</t>
    <rPh sb="0" eb="2">
      <t>ショウヨ</t>
    </rPh>
    <rPh sb="2" eb="4">
      <t>ゲンシ</t>
    </rPh>
    <rPh sb="4" eb="6">
      <t>ミコ</t>
    </rPh>
    <phoneticPr fontId="40"/>
  </si>
  <si>
    <t>雑経費</t>
    <rPh sb="0" eb="1">
      <t>ザツ</t>
    </rPh>
    <rPh sb="1" eb="3">
      <t>ケイヒ</t>
    </rPh>
    <phoneticPr fontId="40"/>
  </si>
  <si>
    <t>☆H30.11～H31.4 事業所別査定利益（本部経費分担込み、会社利益含まず）</t>
    <rPh sb="14" eb="17">
      <t>ジギョウショ</t>
    </rPh>
    <rPh sb="17" eb="18">
      <t>ベツ</t>
    </rPh>
    <rPh sb="18" eb="20">
      <t>サテイ</t>
    </rPh>
    <rPh sb="20" eb="22">
      <t>リエキ</t>
    </rPh>
    <rPh sb="23" eb="25">
      <t>ホンブ</t>
    </rPh>
    <rPh sb="25" eb="27">
      <t>ケイヒ</t>
    </rPh>
    <rPh sb="27" eb="29">
      <t>ブンタン</t>
    </rPh>
    <rPh sb="29" eb="30">
      <t>コ</t>
    </rPh>
    <rPh sb="32" eb="34">
      <t>カイシャ</t>
    </rPh>
    <rPh sb="34" eb="36">
      <t>リエキ</t>
    </rPh>
    <rPh sb="36" eb="37">
      <t>フク</t>
    </rPh>
    <phoneticPr fontId="40"/>
  </si>
  <si>
    <t>☆H31.5～H31.10 事業所別査定利益（本部経費分担込み、会社利益含まず）</t>
    <rPh sb="14" eb="17">
      <t>ジギョウショ</t>
    </rPh>
    <rPh sb="17" eb="18">
      <t>ベツ</t>
    </rPh>
    <rPh sb="18" eb="20">
      <t>サテイ</t>
    </rPh>
    <rPh sb="20" eb="22">
      <t>リエキ</t>
    </rPh>
    <rPh sb="23" eb="25">
      <t>ホンブ</t>
    </rPh>
    <rPh sb="25" eb="27">
      <t>ケイヒ</t>
    </rPh>
    <rPh sb="27" eb="29">
      <t>ブンタン</t>
    </rPh>
    <rPh sb="29" eb="30">
      <t>コ</t>
    </rPh>
    <rPh sb="32" eb="34">
      <t>カイシャ</t>
    </rPh>
    <rPh sb="34" eb="36">
      <t>リエキ</t>
    </rPh>
    <rPh sb="36" eb="37">
      <t>フク</t>
    </rPh>
    <phoneticPr fontId="40"/>
  </si>
  <si>
    <t>施設計</t>
    <rPh sb="0" eb="2">
      <t>シセツ</t>
    </rPh>
    <rPh sb="2" eb="3">
      <t>ケイ</t>
    </rPh>
    <phoneticPr fontId="40"/>
  </si>
  <si>
    <t>決算賞与</t>
    <rPh sb="0" eb="2">
      <t>ケッサン</t>
    </rPh>
    <rPh sb="2" eb="4">
      <t>ショウヨ</t>
    </rPh>
    <phoneticPr fontId="40"/>
  </si>
  <si>
    <t>賞与・法定福利費</t>
    <rPh sb="0" eb="2">
      <t>ショウヨ</t>
    </rPh>
    <rPh sb="3" eb="8">
      <t>ホウテイフクリヒ</t>
    </rPh>
    <phoneticPr fontId="40"/>
  </si>
  <si>
    <t>留学生受け入れ</t>
    <rPh sb="0" eb="3">
      <t>リュウガクセイ</t>
    </rPh>
    <rPh sb="3" eb="4">
      <t>ウ</t>
    </rPh>
    <rPh sb="5" eb="6">
      <t>イ</t>
    </rPh>
    <phoneticPr fontId="40"/>
  </si>
  <si>
    <t>予想</t>
    <rPh sb="0" eb="2">
      <t>ヨソウ</t>
    </rPh>
    <phoneticPr fontId="40"/>
  </si>
  <si>
    <t>海外出張（仮）
\500,000</t>
    <rPh sb="0" eb="4">
      <t>カイガイシュ</t>
    </rPh>
    <rPh sb="5" eb="6">
      <t>カリ</t>
    </rPh>
    <phoneticPr fontId="40"/>
  </si>
  <si>
    <t>消防設備設置
￥14,583/月*8年
什器購入
￥100,000</t>
    <phoneticPr fontId="40"/>
  </si>
  <si>
    <t>2018年全社経費(仕訳集計)</t>
    <rPh sb="4" eb="5">
      <t>ネン</t>
    </rPh>
    <rPh sb="5" eb="7">
      <t>ゼンシャ</t>
    </rPh>
    <rPh sb="7" eb="9">
      <t>ケイヒ</t>
    </rPh>
    <rPh sb="10" eb="12">
      <t>シワケ</t>
    </rPh>
    <rPh sb="12" eb="14">
      <t>シュウケイ</t>
    </rPh>
    <phoneticPr fontId="48"/>
  </si>
  <si>
    <t>旅費以外/今期月数</t>
    <rPh sb="0" eb="2">
      <t>リョヒ</t>
    </rPh>
    <rPh sb="2" eb="4">
      <t>イガイ</t>
    </rPh>
    <rPh sb="5" eb="7">
      <t>コンキ</t>
    </rPh>
    <rPh sb="7" eb="9">
      <t>ツキスウ</t>
    </rPh>
    <phoneticPr fontId="48"/>
  </si>
  <si>
    <t>管理部社員</t>
    <rPh sb="0" eb="2">
      <t>カンリ</t>
    </rPh>
    <rPh sb="2" eb="3">
      <t>ブ</t>
    </rPh>
    <rPh sb="3" eb="5">
      <t>シャイン</t>
    </rPh>
    <phoneticPr fontId="40"/>
  </si>
  <si>
    <t>管理部パート</t>
    <rPh sb="0" eb="2">
      <t>カンリ</t>
    </rPh>
    <rPh sb="2" eb="3">
      <t>ブ</t>
    </rPh>
    <phoneticPr fontId="40"/>
  </si>
  <si>
    <t>1～3パート、4～社員</t>
    <rPh sb="9" eb="11">
      <t>シャイン</t>
    </rPh>
    <phoneticPr fontId="40"/>
  </si>
  <si>
    <t>年間平均売上高</t>
    <rPh sb="0" eb="4">
      <t>ネンカンヘイキン</t>
    </rPh>
    <rPh sb="4" eb="7">
      <t>ウリアゲダカ</t>
    </rPh>
    <phoneticPr fontId="40"/>
  </si>
  <si>
    <t>直近1年間
平均売上高</t>
    <rPh sb="0" eb="2">
      <t>チョッキン</t>
    </rPh>
    <rPh sb="3" eb="5">
      <t>ネンカン</t>
    </rPh>
    <rPh sb="6" eb="8">
      <t>ヘイキン</t>
    </rPh>
    <rPh sb="8" eb="10">
      <t>ウリアゲ</t>
    </rPh>
    <rPh sb="10" eb="11">
      <t>ダカ</t>
    </rPh>
    <phoneticPr fontId="40"/>
  </si>
  <si>
    <t>2018年12月 集計</t>
  </si>
  <si>
    <t>西広</t>
    <rPh sb="0" eb="2">
      <t>サイヒロ</t>
    </rPh>
    <phoneticPr fontId="41"/>
  </si>
  <si>
    <t>GH西広</t>
    <rPh sb="2" eb="4">
      <t>サイヒロ</t>
    </rPh>
    <phoneticPr fontId="41"/>
  </si>
  <si>
    <t>GH西広</t>
    <rPh sb="2" eb="3">
      <t>ニシ</t>
    </rPh>
    <rPh sb="3" eb="4">
      <t>ヒロシ</t>
    </rPh>
    <phoneticPr fontId="41"/>
  </si>
  <si>
    <r>
      <t>G</t>
    </r>
    <r>
      <rPr>
        <sz val="11"/>
        <color theme="1"/>
        <rFont val="ＭＳ Ｐゴシック"/>
        <family val="2"/>
        <charset val="128"/>
        <scheme val="minor"/>
      </rPr>
      <t>H西広</t>
    </r>
    <rPh sb="2" eb="4">
      <t>サイヒロ</t>
    </rPh>
    <phoneticPr fontId="48"/>
  </si>
  <si>
    <t>2019年01月 集計</t>
  </si>
  <si>
    <t>解約費用</t>
    <rPh sb="0" eb="2">
      <t>カイヤク</t>
    </rPh>
    <rPh sb="2" eb="4">
      <t>ヒヨウ</t>
    </rPh>
    <phoneticPr fontId="40"/>
  </si>
  <si>
    <r>
      <t xml:space="preserve">海外出張（仮）
\500,000
二日市場消防工事
￥3,125（8年）
</t>
    </r>
    <r>
      <rPr>
        <sz val="9"/>
        <color rgb="FFFF0000"/>
        <rFont val="ＭＳ Ｐゴシック"/>
        <family val="3"/>
        <charset val="128"/>
        <scheme val="minor"/>
      </rPr>
      <t>★社員寮解約
\-43,000</t>
    </r>
    <rPh sb="17" eb="21">
      <t>フツカイチバ</t>
    </rPh>
    <rPh sb="21" eb="23">
      <t>ショウボウ</t>
    </rPh>
    <rPh sb="23" eb="25">
      <t>コウジ</t>
    </rPh>
    <rPh sb="34" eb="35">
      <t>ネン</t>
    </rPh>
    <rPh sb="38" eb="41">
      <t>シャインリョウ</t>
    </rPh>
    <rPh sb="41" eb="43">
      <t>カイヤク</t>
    </rPh>
    <phoneticPr fontId="40"/>
  </si>
  <si>
    <t>管理部社員</t>
    <rPh sb="0" eb="2">
      <t>カンリ</t>
    </rPh>
    <rPh sb="2" eb="3">
      <t>ブ</t>
    </rPh>
    <rPh sb="3" eb="5">
      <t>シャイン</t>
    </rPh>
    <phoneticPr fontId="40"/>
  </si>
  <si>
    <t>管理者候補</t>
    <rPh sb="0" eb="3">
      <t>カンリシャ</t>
    </rPh>
    <rPh sb="3" eb="5">
      <t>コウホ</t>
    </rPh>
    <phoneticPr fontId="40"/>
  </si>
  <si>
    <t>デイ</t>
    <phoneticPr fontId="40"/>
  </si>
  <si>
    <t>9～1</t>
    <phoneticPr fontId="40"/>
  </si>
  <si>
    <t>管理部派遣</t>
    <rPh sb="0" eb="2">
      <t>カンリ</t>
    </rPh>
    <rPh sb="2" eb="3">
      <t>ブ</t>
    </rPh>
    <rPh sb="3" eb="5">
      <t>ハケン</t>
    </rPh>
    <phoneticPr fontId="40"/>
  </si>
  <si>
    <t>管理部派遣</t>
    <rPh sb="0" eb="2">
      <t>カンリ</t>
    </rPh>
    <rPh sb="2" eb="3">
      <t>ブ</t>
    </rPh>
    <rPh sb="3" eb="5">
      <t>ハケン</t>
    </rPh>
    <phoneticPr fontId="38"/>
  </si>
  <si>
    <t>管理部派遣売上</t>
    <rPh sb="0" eb="3">
      <t>カ</t>
    </rPh>
    <rPh sb="3" eb="7">
      <t>ハケンウ</t>
    </rPh>
    <phoneticPr fontId="40"/>
  </si>
  <si>
    <t>合計 / 管理部派遣</t>
  </si>
  <si>
    <t>管理部派遣経費</t>
    <rPh sb="0" eb="2">
      <t>カンリ</t>
    </rPh>
    <rPh sb="2" eb="3">
      <t>ブ</t>
    </rPh>
    <rPh sb="3" eb="5">
      <t>ハケン</t>
    </rPh>
    <rPh sb="5" eb="7">
      <t>ケイヒ</t>
    </rPh>
    <phoneticPr fontId="38"/>
  </si>
  <si>
    <t>GH西広</t>
    <rPh sb="2" eb="4">
      <t>サイヒロ</t>
    </rPh>
    <phoneticPr fontId="41"/>
  </si>
  <si>
    <t>GＨ西広</t>
    <rPh sb="2" eb="4">
      <t>サイヒロ</t>
    </rPh>
    <phoneticPr fontId="41"/>
  </si>
  <si>
    <t>GH西広</t>
    <rPh sb="2" eb="4">
      <t>サイヒロ</t>
    </rPh>
    <phoneticPr fontId="40"/>
  </si>
  <si>
    <t>GH西広</t>
    <rPh sb="2" eb="4">
      <t>サイヒロ</t>
    </rPh>
    <phoneticPr fontId="40"/>
  </si>
  <si>
    <t>GH西広 集計</t>
  </si>
  <si>
    <t>13 集計</t>
  </si>
  <si>
    <t>2019年02月 集計</t>
  </si>
  <si>
    <t>ＧＨ西広</t>
    <rPh sb="2" eb="4">
      <t>サイヒロ</t>
    </rPh>
    <phoneticPr fontId="41"/>
  </si>
  <si>
    <t>GH西広</t>
    <rPh sb="2" eb="3">
      <t>ニシ</t>
    </rPh>
    <rPh sb="3" eb="4">
      <t>ヒロシ</t>
    </rPh>
    <phoneticPr fontId="48"/>
  </si>
  <si>
    <r>
      <t xml:space="preserve">GH西五所固定資産税￥159,250
プレハブリフォーム
￥14,408（15年）
短期ビザ
￥75,600
海外出張（仮）
\500,000
</t>
    </r>
    <r>
      <rPr>
        <sz val="9"/>
        <color rgb="FFFF0000"/>
        <rFont val="ＭＳ Ｐゴシック"/>
        <family val="3"/>
        <charset val="128"/>
        <scheme val="minor"/>
      </rPr>
      <t>★千葉東閉所（2月末）</t>
    </r>
    <rPh sb="39" eb="40">
      <t>ネン</t>
    </rPh>
    <rPh sb="43" eb="45">
      <t>タンキ</t>
    </rPh>
    <rPh sb="76" eb="79">
      <t>チバヒガシ</t>
    </rPh>
    <rPh sb="79" eb="81">
      <t>ヘイショ</t>
    </rPh>
    <rPh sb="83" eb="85">
      <t>ガツマツ</t>
    </rPh>
    <phoneticPr fontId="40"/>
  </si>
  <si>
    <t>H31</t>
  </si>
  <si>
    <r>
      <t xml:space="preserve">GH西五所固定資産税￥159,250
海外出張（仮）
\500,000
</t>
    </r>
    <r>
      <rPr>
        <sz val="9"/>
        <color rgb="FFFF0000"/>
        <rFont val="ＭＳ Ｐゴシック"/>
        <family val="3"/>
        <charset val="128"/>
        <scheme val="minor"/>
      </rPr>
      <t>君塚倉庫解約
￥-50,000</t>
    </r>
    <rPh sb="38" eb="40">
      <t>キミヅカ</t>
    </rPh>
    <rPh sb="40" eb="42">
      <t>ソウコ</t>
    </rPh>
    <rPh sb="42" eb="44">
      <t>カイヤク</t>
    </rPh>
    <phoneticPr fontId="40"/>
  </si>
  <si>
    <t>夜間</t>
    <rPh sb="0" eb="2">
      <t>ヤカン</t>
    </rPh>
    <phoneticPr fontId="40"/>
  </si>
  <si>
    <t>処遇</t>
    <rPh sb="0" eb="2">
      <t>ショグウ</t>
    </rPh>
    <phoneticPr fontId="40"/>
  </si>
  <si>
    <t>地域</t>
    <rPh sb="0" eb="2">
      <t>チイキ</t>
    </rPh>
    <phoneticPr fontId="40"/>
  </si>
  <si>
    <t>工事設備費/準備資金/その他</t>
    <rPh sb="0" eb="2">
      <t>コウジ</t>
    </rPh>
    <rPh sb="2" eb="5">
      <t>セツビヒ</t>
    </rPh>
    <rPh sb="6" eb="8">
      <t>ジュンビ</t>
    </rPh>
    <rPh sb="8" eb="10">
      <t>シキン</t>
    </rPh>
    <rPh sb="13" eb="14">
      <t>タ</t>
    </rPh>
    <phoneticPr fontId="23"/>
  </si>
  <si>
    <t>GH西広</t>
    <rPh sb="2" eb="4">
      <t>サイヒロ</t>
    </rPh>
    <phoneticPr fontId="40"/>
  </si>
  <si>
    <t>2019年03月 集計</t>
  </si>
  <si>
    <t>9～3月の平均</t>
    <rPh sb="5" eb="7">
      <t>ヘイキン</t>
    </rPh>
    <phoneticPr fontId="48"/>
  </si>
  <si>
    <t>3月の支払い分</t>
    <rPh sb="3" eb="5">
      <t>シハラ</t>
    </rPh>
    <rPh sb="6" eb="7">
      <t>ブン</t>
    </rPh>
    <phoneticPr fontId="48"/>
  </si>
  <si>
    <t>3月の支払い分(ｺﾋﾟｰｶｳﾝﾝﾀ代以外)
9～3月の平均(ｺﾋﾟｰｶｳﾝﾀ代)</t>
    <rPh sb="3" eb="5">
      <t>シハラ</t>
    </rPh>
    <rPh sb="6" eb="7">
      <t>ブン</t>
    </rPh>
    <rPh sb="17" eb="18">
      <t>ダイ</t>
    </rPh>
    <rPh sb="18" eb="20">
      <t>イガイ</t>
    </rPh>
    <rPh sb="27" eb="29">
      <t>ヘイキン</t>
    </rPh>
    <rPh sb="38" eb="39">
      <t>ダイ</t>
    </rPh>
    <phoneticPr fontId="48"/>
  </si>
  <si>
    <t>5月入社社員</t>
    <rPh sb="1" eb="2">
      <t>ガツ</t>
    </rPh>
    <rPh sb="2" eb="4">
      <t>ニュウシャ</t>
    </rPh>
    <rPh sb="4" eb="6">
      <t>シャイン</t>
    </rPh>
    <phoneticPr fontId="40"/>
  </si>
  <si>
    <t>備品什器購入
\1,000,000</t>
    <rPh sb="0" eb="2">
      <t>ビヒン</t>
    </rPh>
    <rPh sb="2" eb="4">
      <t>ジュウキ</t>
    </rPh>
    <rPh sb="4" eb="6">
      <t>コウニュウ</t>
    </rPh>
    <phoneticPr fontId="40"/>
  </si>
  <si>
    <t>2019年04月 集計</t>
  </si>
  <si>
    <t>4月請求</t>
    <rPh sb="1" eb="2">
      <t>ガツ</t>
    </rPh>
    <rPh sb="2" eb="4">
      <t>セイキュウ</t>
    </rPh>
    <phoneticPr fontId="40"/>
  </si>
  <si>
    <t>5月日計表</t>
    <rPh sb="1" eb="2">
      <t>ガツ</t>
    </rPh>
    <rPh sb="2" eb="5">
      <t>ニッケイヒョウ</t>
    </rPh>
    <phoneticPr fontId="40"/>
  </si>
  <si>
    <r>
      <t xml:space="preserve">賞与
￥12,000,000
</t>
    </r>
    <r>
      <rPr>
        <sz val="8"/>
        <color theme="1"/>
        <rFont val="ＭＳ Ｐゴシック"/>
        <family val="3"/>
        <charset val="128"/>
        <scheme val="minor"/>
      </rPr>
      <t>(法定福利費除く)</t>
    </r>
    <rPh sb="0" eb="2">
      <t>ショウヨ</t>
    </rPh>
    <rPh sb="16" eb="21">
      <t>ホウテイフクリヒ</t>
    </rPh>
    <rPh sb="21" eb="22">
      <t>ノゾ</t>
    </rPh>
    <phoneticPr fontId="40"/>
  </si>
  <si>
    <t>自動車税￥266,000</t>
    <rPh sb="0" eb="4">
      <t>ジドウシャゼイ</t>
    </rPh>
    <phoneticPr fontId="40"/>
  </si>
  <si>
    <t>GH西五所固定資産税￥159,250
外国人渡航費
￥140,000
外国人用寮
\480,000
中国・ﾌｨﾘﾋﾟﾝ
\1,300,000</t>
    <rPh sb="20" eb="23">
      <t>ガイコクジン</t>
    </rPh>
    <rPh sb="23" eb="26">
      <t>トコウヒ</t>
    </rPh>
    <rPh sb="37" eb="41">
      <t>ガイコクジンヨウ</t>
    </rPh>
    <rPh sb="41" eb="42">
      <t>リョウ</t>
    </rPh>
    <rPh sb="53" eb="55">
      <t>チュウゴク</t>
    </rPh>
    <phoneticPr fontId="40"/>
  </si>
  <si>
    <t>ｲﾝﾄﾞﾈｼｱ
\500,000</t>
    <phoneticPr fontId="40"/>
  </si>
  <si>
    <t>白金管理者</t>
    <rPh sb="0" eb="2">
      <t>シロガネ</t>
    </rPh>
    <rPh sb="2" eb="5">
      <t>カンリシャ</t>
    </rPh>
    <phoneticPr fontId="40"/>
  </si>
  <si>
    <t>建石さん
役員登記</t>
    <rPh sb="0" eb="2">
      <t>タテイシ</t>
    </rPh>
    <rPh sb="5" eb="7">
      <t>ヤクイン</t>
    </rPh>
    <rPh sb="7" eb="9">
      <t>トウキ</t>
    </rPh>
    <phoneticPr fontId="40"/>
  </si>
  <si>
    <t>鎌田　弘信</t>
  </si>
  <si>
    <t>3月入金</t>
    <rPh sb="1" eb="2">
      <t>ガツ</t>
    </rPh>
    <rPh sb="2" eb="4">
      <t>ニュウキン</t>
    </rPh>
    <phoneticPr fontId="40"/>
  </si>
  <si>
    <t>ｳｽﾞﾍﾞｸ
\600,000
白金エアコン工事
￥130,000</t>
    <rPh sb="17" eb="19">
      <t>シロガネ</t>
    </rPh>
    <rPh sb="23" eb="25">
      <t>コウジ</t>
    </rPh>
    <phoneticPr fontId="40"/>
  </si>
  <si>
    <t>検便￥10,000
暑気払い
￥500,000</t>
    <rPh sb="0" eb="2">
      <t>ケンベン</t>
    </rPh>
    <rPh sb="10" eb="13">
      <t>ショキバラ</t>
    </rPh>
    <phoneticPr fontId="4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</si>
</sst>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6" formatCode="&quot;¥&quot;#,##0;[Red]&quot;¥&quot;\-#,##0"/>
    <numFmt numFmtId="176" formatCode="#,##0_);[Red]\(#,##0\)"/>
    <numFmt numFmtId="177" formatCode="#,##0_ "/>
    <numFmt numFmtId="178" formatCode="#,##0_ ;[Red]\-#,##0\ "/>
    <numFmt numFmtId="179" formatCode="0.0%"/>
    <numFmt numFmtId="180" formatCode="#,##0.00_ ;[Red]\-#,##0.00\ "/>
    <numFmt numFmtId="181" formatCode="yyyy&quot;年&quot;m&quot;月&quot;;@"/>
    <numFmt numFmtId="182" formatCode="#,##0.0_ ;[Red]\-#,##0.0\ "/>
    <numFmt numFmtId="183" formatCode="0.0_ ;[Red]\-0.0\ "/>
    <numFmt numFmtId="184" formatCode="0.0000%"/>
    <numFmt numFmtId="185" formatCode="yyyy&quot;年&quot;mm&quot;月&quot;;@"/>
    <numFmt numFmtId="186" formatCode="000"/>
    <numFmt numFmtId="187" formatCode="[$-411]ge\.m&quot;月&quot;;@"/>
    <numFmt numFmtId="188" formatCode="m&quot;月&quot;d&quot;日&quot;&quot;請&quot;&quot;求&quot;;@"/>
    <numFmt numFmtId="189" formatCode="[$-411]ge&quot;期&quot;&quot;累&quot;&quot;計&quot;;@"/>
    <numFmt numFmtId="190" formatCode="[$-411]gee\.mm;@"/>
    <numFmt numFmtId="191" formatCode="[$-411]ge\.mm&quot;月&quot;;@"/>
    <numFmt numFmtId="192" formatCode="[$-411]ge&quot;年&quot;&quot;度&quot;&quot;累&quot;&quot;計&quot;;@"/>
    <numFmt numFmtId="193" formatCode="[$-411]ge&quot;年&quot;&quot;度&quot;&quot;平&quot;&quot;均&quot;;@"/>
    <numFmt numFmtId="194" formatCode="m&quot;月&quot;;@"/>
    <numFmt numFmtId="195" formatCode="yyyy&quot;年&quot;mm&quot;月&quot;"/>
    <numFmt numFmtId="196" formatCode="[h]:mm"/>
    <numFmt numFmtId="197" formatCode="[$-411]ge&quot;年&quot;mm&quot;月&quot;;@"/>
    <numFmt numFmtId="198" formatCode="[$-411]ggge&quot;年度収支計画表&quot;"/>
    <numFmt numFmtId="199" formatCode="[$-411]ggge&quot;年度収支計画表(査定)&quot;"/>
    <numFmt numFmtId="200" formatCode="0.0%;[Red]\-0.0%"/>
    <numFmt numFmtId="201" formatCode="m&quot;月&quot;"/>
  </numFmts>
  <fonts count="111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メイリオ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メイリオ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メイリオ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メイリオ"/>
      <family val="2"/>
      <charset val="128"/>
    </font>
    <font>
      <sz val="11"/>
      <color theme="1"/>
      <name val="メイリオ"/>
      <family val="2"/>
      <charset val="128"/>
    </font>
    <font>
      <sz val="11"/>
      <color theme="1"/>
      <name val="メイリオ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9"/>
      <color indexed="81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sz val="26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2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b/>
      <u/>
      <sz val="14"/>
      <color theme="10"/>
      <name val="ＭＳ Ｐゴシック"/>
      <family val="3"/>
      <charset val="128"/>
      <scheme val="minor"/>
    </font>
    <font>
      <b/>
      <u/>
      <sz val="11"/>
      <color theme="10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b/>
      <sz val="11"/>
      <color rgb="FF0070C0"/>
      <name val="ＭＳ Ｐゴシック"/>
      <family val="3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rgb="FF0000FF"/>
      <name val="ＭＳ Ｐゴシック"/>
      <family val="3"/>
      <charset val="128"/>
    </font>
    <font>
      <b/>
      <sz val="11"/>
      <color rgb="FFC0000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</font>
    <font>
      <b/>
      <sz val="11"/>
      <color rgb="FF0000FF"/>
      <name val="ＭＳ Ｐゴシック"/>
      <family val="3"/>
      <charset val="128"/>
    </font>
    <font>
      <sz val="22"/>
      <color theme="1"/>
      <name val="ＭＳ Ｐゴシック"/>
      <family val="2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12"/>
      <color rgb="FFFF0000"/>
      <name val="ＭＳ Ｐゴシック"/>
      <family val="3"/>
      <charset val="128"/>
      <scheme val="minor"/>
    </font>
    <font>
      <sz val="13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2"/>
      <color theme="1"/>
      <name val="JKゴシックL"/>
      <family val="3"/>
      <charset val="128"/>
    </font>
    <font>
      <sz val="13"/>
      <name val="ＭＳ Ｐゴシック"/>
      <family val="3"/>
      <charset val="128"/>
      <scheme val="minor"/>
    </font>
    <font>
      <sz val="8"/>
      <color theme="1"/>
      <name val="メイリオ"/>
      <family val="3"/>
      <charset val="128"/>
    </font>
    <font>
      <sz val="6"/>
      <name val="メイリオ"/>
      <family val="2"/>
      <charset val="128"/>
    </font>
    <font>
      <sz val="11"/>
      <color theme="1"/>
      <name val="メイリオ"/>
      <family val="3"/>
      <charset val="128"/>
    </font>
    <font>
      <sz val="36"/>
      <color rgb="FFFF0000"/>
      <name val="JKゴシックM"/>
      <family val="3"/>
      <charset val="128"/>
    </font>
    <font>
      <sz val="8"/>
      <color rgb="FFFF0000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18"/>
      <color theme="1"/>
      <name val="メイリオ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3.5"/>
      <name val="ＭＳ Ｐゴシック"/>
      <family val="3"/>
      <charset val="128"/>
      <scheme val="minor"/>
    </font>
    <font>
      <sz val="13.5"/>
      <color rgb="FFFF0000"/>
      <name val="ＭＳ Ｐゴシック"/>
      <family val="3"/>
      <charset val="128"/>
      <scheme val="minor"/>
    </font>
    <font>
      <sz val="13.5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0.5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11"/>
      <color rgb="FFC0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sz val="11"/>
      <color rgb="FF0070C0"/>
      <name val="ＭＳ Ｐゴシック"/>
      <family val="3"/>
      <charset val="128"/>
      <scheme val="minor"/>
    </font>
    <font>
      <b/>
      <sz val="11"/>
      <color indexed="8"/>
      <name val="ＭＳ Ｐゴシック"/>
      <family val="3"/>
      <charset val="128"/>
      <scheme val="minor"/>
    </font>
    <font>
      <sz val="11"/>
      <color indexed="30"/>
      <name val="ＭＳ Ｐゴシック"/>
      <family val="3"/>
      <charset val="128"/>
      <scheme val="minor"/>
    </font>
    <font>
      <sz val="11"/>
      <color theme="1"/>
      <name val="Meiryo UI"/>
      <family val="3"/>
      <charset val="128"/>
    </font>
    <font>
      <sz val="14"/>
      <color theme="1"/>
      <name val="メイリオ"/>
      <family val="3"/>
      <charset val="128"/>
    </font>
    <font>
      <sz val="20"/>
      <color rgb="FFFF0000"/>
      <name val="ＭＳ Ｐゴシック"/>
      <family val="3"/>
      <charset val="128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5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ADE9D8"/>
        <bgColor indexed="64"/>
      </patternFill>
    </fill>
    <fill>
      <patternFill patternType="solid">
        <fgColor rgb="FFFFBDE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5FD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9FFD5"/>
        <bgColor indexed="64"/>
      </patternFill>
    </fill>
    <fill>
      <patternFill patternType="solid">
        <fgColor rgb="FFFFEBEB"/>
        <bgColor indexed="64"/>
      </patternFill>
    </fill>
    <fill>
      <patternFill patternType="gray125">
        <fgColor theme="9"/>
      </patternFill>
    </fill>
    <fill>
      <patternFill patternType="lightUp">
        <fgColor rgb="FF00B0F0"/>
      </patternFill>
    </fill>
    <fill>
      <patternFill patternType="solid">
        <fgColor rgb="FFFFE7FF"/>
        <bgColor indexed="64"/>
      </patternFill>
    </fill>
    <fill>
      <patternFill patternType="solid">
        <fgColor rgb="FFE5FF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DCDDD"/>
        <bgColor indexed="64"/>
      </patternFill>
    </fill>
    <fill>
      <patternFill patternType="solid">
        <fgColor rgb="FFFFAFAF"/>
        <bgColor indexed="64"/>
      </patternFill>
    </fill>
    <fill>
      <patternFill patternType="gray125">
        <fgColor theme="9"/>
        <bgColor rgb="FFFFFFCC"/>
      </patternFill>
    </fill>
    <fill>
      <patternFill patternType="solid">
        <fgColor rgb="FFF2F2F2"/>
        <bgColor indexed="64"/>
      </patternFill>
    </fill>
    <fill>
      <patternFill patternType="solid">
        <fgColor rgb="FFFFF0E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D1FFD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theme="0"/>
        <bgColor indexed="64"/>
      </patternFill>
    </fill>
  </fills>
  <borders count="686">
    <border>
      <left/>
      <right/>
      <top/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 style="medium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 style="medium">
        <color rgb="FF0070C0"/>
      </left>
      <right style="medium">
        <color rgb="FF0070C0"/>
      </right>
      <top style="thin">
        <color rgb="FF0070C0"/>
      </top>
      <bottom style="medium">
        <color rgb="FF0070C0"/>
      </bottom>
      <diagonal/>
    </border>
    <border>
      <left style="medium">
        <color rgb="FF0070C0"/>
      </left>
      <right style="medium">
        <color rgb="FF0070C0"/>
      </right>
      <top/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rgb="FF0070C0"/>
      </left>
      <right style="medium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rgb="FF0070C0"/>
      </left>
      <right style="medium">
        <color rgb="FF0070C0"/>
      </right>
      <top/>
      <bottom/>
      <diagonal/>
    </border>
    <border>
      <left style="thin">
        <color rgb="FF0070C0"/>
      </left>
      <right style="medium">
        <color rgb="FF0070C0"/>
      </right>
      <top style="medium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medium">
        <color rgb="FF0070C0"/>
      </top>
      <bottom style="thin">
        <color rgb="FF0070C0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thin">
        <color rgb="FF0070C0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 style="medium">
        <color rgb="FF0070C0"/>
      </right>
      <top style="thin">
        <color rgb="FF0070C0"/>
      </top>
      <bottom/>
      <diagonal/>
    </border>
    <border>
      <left style="thin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 style="thin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/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/>
      <top style="medium">
        <color rgb="FF0070C0"/>
      </top>
      <bottom style="thin">
        <color rgb="FF0070C0"/>
      </bottom>
      <diagonal/>
    </border>
    <border>
      <left style="thin">
        <color rgb="FF0070C0"/>
      </left>
      <right/>
      <top style="thin">
        <color rgb="FF0070C0"/>
      </top>
      <bottom style="medium">
        <color rgb="FF0070C0"/>
      </bottom>
      <diagonal/>
    </border>
    <border>
      <left style="thin">
        <color rgb="FF0070C0"/>
      </left>
      <right/>
      <top style="thin">
        <color rgb="FF0070C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70C0"/>
      </right>
      <top style="medium">
        <color rgb="FF0070C0"/>
      </top>
      <bottom style="thin">
        <color rgb="FF0070C0"/>
      </bottom>
      <diagonal/>
    </border>
    <border>
      <left/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 style="medium">
        <color rgb="FF0070C0"/>
      </left>
      <right style="thin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rgb="FF0070C0"/>
      </left>
      <right style="thin">
        <color rgb="FF0070C0"/>
      </right>
      <top style="medium">
        <color rgb="FF0070C0"/>
      </top>
      <bottom style="thin">
        <color rgb="FF0070C0"/>
      </bottom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/>
      <right style="thin">
        <color rgb="FF0070C0"/>
      </right>
      <top style="medium">
        <color rgb="FF0070C0"/>
      </top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 style="medium">
        <color rgb="FF0070C0"/>
      </left>
      <right style="medium">
        <color rgb="FF0070C0"/>
      </right>
      <top/>
      <bottom style="thin">
        <color rgb="FF0070C0"/>
      </bottom>
      <diagonal/>
    </border>
    <border>
      <left style="thin">
        <color rgb="FF0070C0"/>
      </left>
      <right style="medium">
        <color rgb="FF0070C0"/>
      </right>
      <top/>
      <bottom style="thin">
        <color rgb="FF0070C0"/>
      </bottom>
      <diagonal/>
    </border>
    <border>
      <left/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/>
      <top/>
      <bottom style="thin">
        <color rgb="FF0070C0"/>
      </bottom>
      <diagonal/>
    </border>
    <border>
      <left style="thin">
        <color rgb="FF0070C0"/>
      </left>
      <right/>
      <top style="medium">
        <color rgb="FF0070C0"/>
      </top>
      <bottom/>
      <diagonal/>
    </border>
    <border>
      <left/>
      <right style="thin">
        <color rgb="FF0070C0"/>
      </right>
      <top style="thin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 style="thin">
        <color rgb="FF0070C0"/>
      </bottom>
      <diagonal/>
    </border>
    <border>
      <left/>
      <right style="medium">
        <color rgb="FF0070C0"/>
      </right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 style="medium">
        <color rgb="FF0070C0"/>
      </top>
      <bottom style="thin">
        <color rgb="FF007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70C0"/>
      </right>
      <top/>
      <bottom style="thin">
        <color rgb="FF0070C0"/>
      </bottom>
      <diagonal/>
    </border>
    <border>
      <left style="medium">
        <color rgb="FF00B0F0"/>
      </left>
      <right style="medium">
        <color rgb="FF00B0F0"/>
      </right>
      <top style="medium">
        <color rgb="FF00B0F0"/>
      </top>
      <bottom style="medium">
        <color rgb="FF00B0F0"/>
      </bottom>
      <diagonal/>
    </border>
    <border>
      <left style="medium">
        <color rgb="FF0070C0"/>
      </left>
      <right style="thin">
        <color rgb="FF0070C0"/>
      </right>
      <top style="medium">
        <color rgb="FF0070C0"/>
      </top>
      <bottom style="double">
        <color rgb="FF0070C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rgb="FF0070C0"/>
      </top>
      <bottom/>
      <diagonal/>
    </border>
    <border>
      <left style="medium">
        <color rgb="FF00B0F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medium">
        <color rgb="FF00B0F0"/>
      </bottom>
      <diagonal/>
    </border>
    <border>
      <left/>
      <right style="thin">
        <color rgb="FF00B0F0"/>
      </right>
      <top style="thin">
        <color rgb="FF00B0F0"/>
      </top>
      <bottom style="medium">
        <color rgb="FF00B0F0"/>
      </bottom>
      <diagonal/>
    </border>
    <border>
      <left style="thin">
        <color rgb="FF00B0F0"/>
      </left>
      <right style="thin">
        <color rgb="FF00B0F0"/>
      </right>
      <top style="double">
        <color rgb="FF00B0F0"/>
      </top>
      <bottom style="medium">
        <color rgb="FF00B0F0"/>
      </bottom>
      <diagonal/>
    </border>
    <border>
      <left style="medium">
        <color rgb="FF0070C0"/>
      </left>
      <right/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/>
      <top style="medium">
        <color rgb="FF0070C0"/>
      </top>
      <bottom style="thin">
        <color rgb="FF0070C0"/>
      </bottom>
      <diagonal/>
    </border>
    <border>
      <left style="medium">
        <color rgb="FF0070C0"/>
      </left>
      <right/>
      <top/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 style="medium">
        <color rgb="FF0070C0"/>
      </left>
      <right/>
      <top style="thin">
        <color rgb="FF0070C0"/>
      </top>
      <bottom style="thin">
        <color rgb="FF0070C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0070C0"/>
      </left>
      <right/>
      <top style="medium">
        <color rgb="FF0070C0"/>
      </top>
      <bottom style="double">
        <color rgb="FF0070C0"/>
      </bottom>
      <diagonal/>
    </border>
    <border>
      <left style="medium">
        <color rgb="FF00B0F0"/>
      </left>
      <right style="thin">
        <color rgb="FF00B0F0"/>
      </right>
      <top style="medium">
        <color rgb="FF00B0F0"/>
      </top>
      <bottom style="thin">
        <color rgb="FF00B0F0"/>
      </bottom>
      <diagonal/>
    </border>
    <border>
      <left style="thin">
        <color rgb="FF00B0F0"/>
      </left>
      <right style="thin">
        <color rgb="FF00B0F0"/>
      </right>
      <top style="medium">
        <color rgb="FF00B0F0"/>
      </top>
      <bottom style="thin">
        <color rgb="FF00B0F0"/>
      </bottom>
      <diagonal/>
    </border>
    <border>
      <left style="thin">
        <color rgb="FF00B0F0"/>
      </left>
      <right style="medium">
        <color rgb="FF00B0F0"/>
      </right>
      <top style="medium">
        <color rgb="FF00B0F0"/>
      </top>
      <bottom style="thin">
        <color rgb="FF00B0F0"/>
      </bottom>
      <diagonal/>
    </border>
    <border>
      <left style="medium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 style="medium">
        <color rgb="FF00B0F0"/>
      </right>
      <top style="thin">
        <color rgb="FF00B0F0"/>
      </top>
      <bottom style="thin">
        <color rgb="FF00B0F0"/>
      </bottom>
      <diagonal/>
    </border>
    <border>
      <left style="medium">
        <color rgb="FF00B0F0"/>
      </left>
      <right style="thin">
        <color rgb="FF00B0F0"/>
      </right>
      <top style="thin">
        <color rgb="FF00B0F0"/>
      </top>
      <bottom style="medium">
        <color rgb="FF00B0F0"/>
      </bottom>
      <diagonal/>
    </border>
    <border>
      <left style="thin">
        <color rgb="FF00B0F0"/>
      </left>
      <right style="medium">
        <color rgb="FF00B0F0"/>
      </right>
      <top style="thin">
        <color rgb="FF00B0F0"/>
      </top>
      <bottom style="medium">
        <color rgb="FF00B0F0"/>
      </bottom>
      <diagonal/>
    </border>
    <border>
      <left style="medium">
        <color rgb="FF00B0F0"/>
      </left>
      <right style="medium">
        <color rgb="FF00B0F0"/>
      </right>
      <top style="medium">
        <color rgb="FF00B0F0"/>
      </top>
      <bottom style="thin">
        <color rgb="FF00B0F0"/>
      </bottom>
      <diagonal/>
    </border>
    <border>
      <left style="medium">
        <color rgb="FF00B0F0"/>
      </left>
      <right style="medium">
        <color rgb="FF00B0F0"/>
      </right>
      <top style="thin">
        <color rgb="FF00B0F0"/>
      </top>
      <bottom style="thin">
        <color rgb="FF00B0F0"/>
      </bottom>
      <diagonal/>
    </border>
    <border>
      <left style="medium">
        <color rgb="FF00B0F0"/>
      </left>
      <right style="medium">
        <color rgb="FF00B0F0"/>
      </right>
      <top style="thin">
        <color rgb="FF00B0F0"/>
      </top>
      <bottom style="medium">
        <color rgb="FF00B0F0"/>
      </bottom>
      <diagonal/>
    </border>
    <border>
      <left/>
      <right style="medium">
        <color rgb="FF0070C0"/>
      </right>
      <top style="thin">
        <color rgb="FF0070C0"/>
      </top>
      <bottom style="medium">
        <color rgb="FF0070C0"/>
      </bottom>
      <diagonal/>
    </border>
    <border>
      <left/>
      <right style="medium">
        <color rgb="FF0070C0"/>
      </right>
      <top style="thin">
        <color rgb="FF0070C0"/>
      </top>
      <bottom/>
      <diagonal/>
    </border>
    <border>
      <left style="medium">
        <color rgb="FF00B0F0"/>
      </left>
      <right style="thin">
        <color rgb="FF0070C0"/>
      </right>
      <top style="medium">
        <color rgb="FF00B0F0"/>
      </top>
      <bottom style="medium">
        <color rgb="FF00B0F0"/>
      </bottom>
      <diagonal/>
    </border>
    <border>
      <left style="thin">
        <color rgb="FF0070C0"/>
      </left>
      <right style="thin">
        <color rgb="FF0070C0"/>
      </right>
      <top style="medium">
        <color rgb="FF00B0F0"/>
      </top>
      <bottom style="medium">
        <color rgb="FF00B0F0"/>
      </bottom>
      <diagonal/>
    </border>
    <border>
      <left style="thin">
        <color rgb="FF0070C0"/>
      </left>
      <right/>
      <top style="medium">
        <color rgb="FF00B0F0"/>
      </top>
      <bottom style="medium">
        <color rgb="FF00B0F0"/>
      </bottom>
      <diagonal/>
    </border>
    <border>
      <left style="medium">
        <color rgb="FF00B0F0"/>
      </left>
      <right style="thin">
        <color rgb="FF0070C0"/>
      </right>
      <top/>
      <bottom style="medium">
        <color rgb="FF00B0F0"/>
      </bottom>
      <diagonal/>
    </border>
    <border>
      <left style="thin">
        <color rgb="FF0070C0"/>
      </left>
      <right style="thin">
        <color rgb="FF0070C0"/>
      </right>
      <top/>
      <bottom style="medium">
        <color rgb="FF00B0F0"/>
      </bottom>
      <diagonal/>
    </border>
    <border>
      <left style="thin">
        <color rgb="FF0070C0"/>
      </left>
      <right/>
      <top/>
      <bottom style="medium">
        <color rgb="FF00B0F0"/>
      </bottom>
      <diagonal/>
    </border>
    <border>
      <left style="thin">
        <color rgb="FF00B0F0"/>
      </left>
      <right style="thin">
        <color rgb="FF00B0F0"/>
      </right>
      <top style="medium">
        <color rgb="FF00B0F0"/>
      </top>
      <bottom/>
      <diagonal/>
    </border>
    <border>
      <left style="thin">
        <color rgb="FF00B0F0"/>
      </left>
      <right style="thin">
        <color rgb="FF00B0F0"/>
      </right>
      <top/>
      <bottom style="thin">
        <color rgb="FF00B0F0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/>
      <diagonal/>
    </border>
    <border>
      <left/>
      <right style="thin">
        <color rgb="FF00B0F0"/>
      </right>
      <top style="medium">
        <color rgb="FF00B0F0"/>
      </top>
      <bottom/>
      <diagonal/>
    </border>
    <border>
      <left/>
      <right style="thin">
        <color rgb="FF00B0F0"/>
      </right>
      <top style="medium">
        <color rgb="FF00B0F0"/>
      </top>
      <bottom style="thin">
        <color rgb="FF00B0F0"/>
      </bottom>
      <diagonal/>
    </border>
    <border>
      <left/>
      <right style="thin">
        <color rgb="FF00B0F0"/>
      </right>
      <top style="thin">
        <color rgb="FF00B0F0"/>
      </top>
      <bottom style="thin">
        <color rgb="FF00B0F0"/>
      </bottom>
      <diagonal/>
    </border>
    <border>
      <left/>
      <right style="thin">
        <color rgb="FF00B0F0"/>
      </right>
      <top/>
      <bottom style="thin">
        <color rgb="FF00B0F0"/>
      </bottom>
      <diagonal/>
    </border>
    <border>
      <left/>
      <right style="thin">
        <color rgb="FF00B0F0"/>
      </right>
      <top style="thin">
        <color rgb="FF00B0F0"/>
      </top>
      <bottom/>
      <diagonal/>
    </border>
    <border>
      <left style="medium">
        <color rgb="FF00B0F0"/>
      </left>
      <right style="medium">
        <color rgb="FF00B0F0"/>
      </right>
      <top style="medium">
        <color rgb="FF00B0F0"/>
      </top>
      <bottom/>
      <diagonal/>
    </border>
    <border>
      <left style="medium">
        <color rgb="FF00B0F0"/>
      </left>
      <right style="medium">
        <color rgb="FF00B0F0"/>
      </right>
      <top/>
      <bottom style="thin">
        <color rgb="FF00B0F0"/>
      </bottom>
      <diagonal/>
    </border>
    <border>
      <left style="medium">
        <color rgb="FF00B0F0"/>
      </left>
      <right style="medium">
        <color rgb="FF00B0F0"/>
      </right>
      <top style="thin">
        <color rgb="FF00B0F0"/>
      </top>
      <bottom/>
      <diagonal/>
    </border>
    <border>
      <left style="thin">
        <color rgb="FF00B0F0"/>
      </left>
      <right/>
      <top style="medium">
        <color rgb="FF00B0F0"/>
      </top>
      <bottom/>
      <diagonal/>
    </border>
    <border>
      <left style="thin">
        <color rgb="FF00B0F0"/>
      </left>
      <right/>
      <top style="medium">
        <color rgb="FF00B0F0"/>
      </top>
      <bottom style="thin">
        <color rgb="FF00B0F0"/>
      </bottom>
      <diagonal/>
    </border>
    <border>
      <left style="thin">
        <color rgb="FF00B0F0"/>
      </left>
      <right/>
      <top style="thin">
        <color rgb="FF00B0F0"/>
      </top>
      <bottom style="thin">
        <color rgb="FF00B0F0"/>
      </bottom>
      <diagonal/>
    </border>
    <border>
      <left style="thin">
        <color rgb="FF00B0F0"/>
      </left>
      <right/>
      <top style="thin">
        <color rgb="FF00B0F0"/>
      </top>
      <bottom style="medium">
        <color rgb="FF00B0F0"/>
      </bottom>
      <diagonal/>
    </border>
    <border>
      <left style="thin">
        <color rgb="FF00B0F0"/>
      </left>
      <right/>
      <top/>
      <bottom style="thin">
        <color rgb="FF00B0F0"/>
      </bottom>
      <diagonal/>
    </border>
    <border>
      <left/>
      <right/>
      <top/>
      <bottom style="thin">
        <color rgb="FF0070C0"/>
      </bottom>
      <diagonal/>
    </border>
    <border>
      <left style="medium">
        <color rgb="FF00B0F0"/>
      </left>
      <right style="thin">
        <color rgb="FF00B0F0"/>
      </right>
      <top style="thin">
        <color rgb="FF00B0F0"/>
      </top>
      <bottom/>
      <diagonal/>
    </border>
    <border>
      <left style="thin">
        <color rgb="FF00B0F0"/>
      </left>
      <right style="medium">
        <color rgb="FF00B0F0"/>
      </right>
      <top style="thin">
        <color rgb="FF00B0F0"/>
      </top>
      <bottom/>
      <diagonal/>
    </border>
    <border>
      <left style="medium">
        <color rgb="FF00B0F0"/>
      </left>
      <right style="thin">
        <color rgb="FF00B0F0"/>
      </right>
      <top style="double">
        <color rgb="FF00B0F0"/>
      </top>
      <bottom style="medium">
        <color rgb="FF00B0F0"/>
      </bottom>
      <diagonal/>
    </border>
    <border>
      <left style="thin">
        <color rgb="FF00B0F0"/>
      </left>
      <right style="medium">
        <color rgb="FF00B0F0"/>
      </right>
      <top style="double">
        <color rgb="FF00B0F0"/>
      </top>
      <bottom style="medium">
        <color rgb="FF00B0F0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rgb="FF0070C0"/>
      </left>
      <right/>
      <top/>
      <bottom/>
      <diagonal/>
    </border>
    <border>
      <left style="thin">
        <color rgb="FF00B0F0"/>
      </left>
      <right style="medium">
        <color rgb="FF00B0F0"/>
      </right>
      <top style="medium">
        <color rgb="FF00B0F0"/>
      </top>
      <bottom/>
      <diagonal/>
    </border>
    <border>
      <left style="medium">
        <color rgb="FF00B0F0"/>
      </left>
      <right/>
      <top style="medium">
        <color rgb="FF00B0F0"/>
      </top>
      <bottom/>
      <diagonal/>
    </border>
    <border>
      <left style="medium">
        <color rgb="FF00B0F0"/>
      </left>
      <right/>
      <top style="medium">
        <color rgb="FF00B0F0"/>
      </top>
      <bottom style="thin">
        <color rgb="FF00B0F0"/>
      </bottom>
      <diagonal/>
    </border>
    <border>
      <left style="medium">
        <color rgb="FF00B0F0"/>
      </left>
      <right/>
      <top style="thin">
        <color rgb="FF00B0F0"/>
      </top>
      <bottom style="thin">
        <color rgb="FF00B0F0"/>
      </bottom>
      <diagonal/>
    </border>
    <border>
      <left style="medium">
        <color rgb="FF00B0F0"/>
      </left>
      <right/>
      <top/>
      <bottom style="thin">
        <color rgb="FF00B0F0"/>
      </bottom>
      <diagonal/>
    </border>
    <border>
      <left style="medium">
        <color rgb="FF00B0F0"/>
      </left>
      <right/>
      <top style="thin">
        <color rgb="FF00B0F0"/>
      </top>
      <bottom/>
      <diagonal/>
    </border>
    <border>
      <left style="thin">
        <color rgb="FF00B0F0"/>
      </left>
      <right style="medium">
        <color rgb="FF00B0F0"/>
      </right>
      <top/>
      <bottom style="thin">
        <color rgb="FF00B0F0"/>
      </bottom>
      <diagonal/>
    </border>
    <border>
      <left style="thin">
        <color rgb="FF00B0F0"/>
      </left>
      <right style="medium">
        <color rgb="FF00B0F0"/>
      </right>
      <top/>
      <bottom style="medium">
        <color rgb="FF00B0F0"/>
      </bottom>
      <diagonal/>
    </border>
    <border>
      <left style="thin">
        <color rgb="FF00B0F0"/>
      </left>
      <right style="thin">
        <color rgb="FF00B0F0"/>
      </right>
      <top/>
      <bottom style="medium">
        <color rgb="FF00B0F0"/>
      </bottom>
      <diagonal/>
    </border>
    <border>
      <left style="medium">
        <color rgb="FF00B0F0"/>
      </left>
      <right style="thin">
        <color rgb="FF00B0F0"/>
      </right>
      <top style="medium">
        <color rgb="FF00B0F0"/>
      </top>
      <bottom style="medium">
        <color rgb="FF00B0F0"/>
      </bottom>
      <diagonal/>
    </border>
    <border>
      <left style="thin">
        <color rgb="FF00B0F0"/>
      </left>
      <right style="thin">
        <color rgb="FF00B0F0"/>
      </right>
      <top style="medium">
        <color rgb="FF00B0F0"/>
      </top>
      <bottom style="medium">
        <color rgb="FF00B0F0"/>
      </bottom>
      <diagonal/>
    </border>
    <border>
      <left style="thin">
        <color rgb="FF00B0F0"/>
      </left>
      <right style="medium">
        <color rgb="FF00B0F0"/>
      </right>
      <top style="medium">
        <color rgb="FF00B0F0"/>
      </top>
      <bottom style="medium">
        <color rgb="FF00B0F0"/>
      </bottom>
      <diagonal/>
    </border>
    <border>
      <left style="medium">
        <color rgb="FF0070C0"/>
      </left>
      <right style="medium">
        <color rgb="FF0070C0"/>
      </right>
      <top style="double">
        <color rgb="FF0070C0"/>
      </top>
      <bottom/>
      <diagonal/>
    </border>
    <border>
      <left/>
      <right style="thin">
        <color rgb="FF0070C0"/>
      </right>
      <top style="double">
        <color rgb="FF0070C0"/>
      </top>
      <bottom/>
      <diagonal/>
    </border>
    <border>
      <left style="thin">
        <color rgb="FF0070C0"/>
      </left>
      <right/>
      <top style="double">
        <color rgb="FF0070C0"/>
      </top>
      <bottom/>
      <diagonal/>
    </border>
    <border>
      <left/>
      <right style="medium">
        <color rgb="FF00B0F0"/>
      </right>
      <top style="thin">
        <color rgb="FF00B0F0"/>
      </top>
      <bottom style="thin">
        <color rgb="FF00B0F0"/>
      </bottom>
      <diagonal/>
    </border>
    <border>
      <left style="medium">
        <color rgb="FF00B0F0"/>
      </left>
      <right style="thin">
        <color rgb="FF00B0F0"/>
      </right>
      <top/>
      <bottom style="thin">
        <color rgb="FF00B0F0"/>
      </bottom>
      <diagonal/>
    </border>
    <border>
      <left style="medium">
        <color rgb="FF0070C0"/>
      </left>
      <right style="thin">
        <color rgb="FF0070C0"/>
      </right>
      <top style="medium">
        <color rgb="FF0070C0"/>
      </top>
      <bottom/>
      <diagonal/>
    </border>
    <border>
      <left style="thin">
        <color rgb="FF00B0F0"/>
      </left>
      <right style="thin">
        <color rgb="FF00B0F0"/>
      </right>
      <top/>
      <bottom/>
      <diagonal/>
    </border>
    <border>
      <left style="thin">
        <color rgb="FF00B0F0"/>
      </left>
      <right style="medium">
        <color rgb="FF00B0F0"/>
      </right>
      <top/>
      <bottom/>
      <diagonal/>
    </border>
    <border>
      <left/>
      <right style="thin">
        <color rgb="FF0070C0"/>
      </right>
      <top style="medium">
        <color rgb="FF00B0F0"/>
      </top>
      <bottom style="medium">
        <color rgb="FF00B0F0"/>
      </bottom>
      <diagonal/>
    </border>
    <border>
      <left/>
      <right style="medium">
        <color rgb="FF00B0F0"/>
      </right>
      <top style="medium">
        <color rgb="FF00B0F0"/>
      </top>
      <bottom/>
      <diagonal/>
    </border>
    <border>
      <left style="thin">
        <color rgb="FF00B0F0"/>
      </left>
      <right/>
      <top style="medium">
        <color rgb="FF00B0F0"/>
      </top>
      <bottom style="medium">
        <color rgb="FF00B0F0"/>
      </bottom>
      <diagonal/>
    </border>
    <border>
      <left style="thin">
        <color theme="4"/>
      </left>
      <right style="medium">
        <color theme="4"/>
      </right>
      <top style="medium">
        <color theme="4"/>
      </top>
      <bottom style="medium">
        <color rgb="FF0070C0"/>
      </bottom>
      <diagonal/>
    </border>
    <border>
      <left style="medium">
        <color rgb="FF0070C0"/>
      </left>
      <right/>
      <top style="thin">
        <color rgb="FF0070C0"/>
      </top>
      <bottom/>
      <diagonal/>
    </border>
    <border>
      <left style="medium">
        <color rgb="FF0070C0"/>
      </left>
      <right style="thin">
        <color rgb="FF0070C0"/>
      </right>
      <top style="double">
        <color rgb="FF0070C0"/>
      </top>
      <bottom/>
      <diagonal/>
    </border>
    <border>
      <left style="medium">
        <color rgb="FF00B0F0"/>
      </left>
      <right/>
      <top style="medium">
        <color rgb="FF00B0F0"/>
      </top>
      <bottom style="medium">
        <color rgb="FF00B0F0"/>
      </bottom>
      <diagonal/>
    </border>
    <border>
      <left style="medium">
        <color rgb="FF0070C0"/>
      </left>
      <right style="medium">
        <color rgb="FF0070C0"/>
      </right>
      <top style="double">
        <color rgb="FF0070C0"/>
      </top>
      <bottom style="thin">
        <color rgb="FF0070C0"/>
      </bottom>
      <diagonal/>
    </border>
    <border>
      <left style="medium">
        <color rgb="FF0070C0"/>
      </left>
      <right/>
      <top style="double">
        <color rgb="FF0070C0"/>
      </top>
      <bottom style="thin">
        <color rgb="FF0070C0"/>
      </bottom>
      <diagonal/>
    </border>
    <border>
      <left style="thin">
        <color rgb="FF0070C0"/>
      </left>
      <right/>
      <top style="double">
        <color rgb="FF0070C0"/>
      </top>
      <bottom style="thin">
        <color rgb="FF0070C0"/>
      </bottom>
      <diagonal/>
    </border>
    <border>
      <left style="medium">
        <color rgb="FF0070C0"/>
      </left>
      <right/>
      <top style="double">
        <color rgb="FF0070C0"/>
      </top>
      <bottom style="medium">
        <color rgb="FF0070C0"/>
      </bottom>
      <diagonal/>
    </border>
    <border>
      <left style="thin">
        <color rgb="FF0070C0"/>
      </left>
      <right/>
      <top style="double">
        <color rgb="FF0070C0"/>
      </top>
      <bottom style="medium">
        <color rgb="FF0070C0"/>
      </bottom>
      <diagonal/>
    </border>
    <border diagonalDown="1">
      <left style="thin">
        <color rgb="FF00B0F0"/>
      </left>
      <right style="medium">
        <color rgb="FF00B0F0"/>
      </right>
      <top style="thin">
        <color rgb="FF00B0F0"/>
      </top>
      <bottom style="medium">
        <color rgb="FF00B0F0"/>
      </bottom>
      <diagonal style="thin">
        <color rgb="FF00B0F0"/>
      </diagonal>
    </border>
    <border diagonalDown="1">
      <left style="thin">
        <color rgb="FF00B0F0"/>
      </left>
      <right style="medium">
        <color rgb="FF00B0F0"/>
      </right>
      <top style="thin">
        <color rgb="FF00B0F0"/>
      </top>
      <bottom style="thin">
        <color rgb="FF00B0F0"/>
      </bottom>
      <diagonal style="thin">
        <color rgb="FF00B0F0"/>
      </diagonal>
    </border>
    <border>
      <left style="medium">
        <color rgb="FF0070C0"/>
      </left>
      <right style="medium">
        <color rgb="FF0070C0"/>
      </right>
      <top style="thin">
        <color rgb="FF0070C0"/>
      </top>
      <bottom style="double">
        <color rgb="FF0070C0"/>
      </bottom>
      <diagonal/>
    </border>
    <border>
      <left style="thin">
        <color rgb="FF0070C0"/>
      </left>
      <right style="medium">
        <color rgb="FF00B0F0"/>
      </right>
      <top style="medium">
        <color rgb="FF00B0F0"/>
      </top>
      <bottom style="medium">
        <color rgb="FF00B0F0"/>
      </bottom>
      <diagonal/>
    </border>
    <border>
      <left style="thin">
        <color rgb="FF0070C0"/>
      </left>
      <right style="thin">
        <color rgb="FF0070C0"/>
      </right>
      <top style="thin">
        <color rgb="FF00B0F0"/>
      </top>
      <bottom style="medium">
        <color rgb="FF00B0F0"/>
      </bottom>
      <diagonal/>
    </border>
    <border>
      <left/>
      <right/>
      <top style="medium">
        <color rgb="FF00B0F0"/>
      </top>
      <bottom/>
      <diagonal/>
    </border>
    <border>
      <left style="medium">
        <color rgb="FF00B0F0"/>
      </left>
      <right/>
      <top/>
      <bottom/>
      <diagonal/>
    </border>
    <border>
      <left/>
      <right style="medium">
        <color rgb="FF00B0F0"/>
      </right>
      <top/>
      <bottom/>
      <diagonal/>
    </border>
    <border>
      <left style="medium">
        <color rgb="FF00B0F0"/>
      </left>
      <right/>
      <top/>
      <bottom style="medium">
        <color rgb="FF00B0F0"/>
      </bottom>
      <diagonal/>
    </border>
    <border>
      <left/>
      <right style="medium">
        <color rgb="FF00B0F0"/>
      </right>
      <top/>
      <bottom style="medium">
        <color rgb="FF00B0F0"/>
      </bottom>
      <diagonal/>
    </border>
    <border>
      <left/>
      <right/>
      <top style="medium">
        <color rgb="FF00B0F0"/>
      </top>
      <bottom style="medium">
        <color rgb="FF00B0F0"/>
      </bottom>
      <diagonal/>
    </border>
    <border>
      <left/>
      <right style="medium">
        <color rgb="FF00B0F0"/>
      </right>
      <top style="medium">
        <color rgb="FF00B0F0"/>
      </top>
      <bottom style="medium">
        <color rgb="FF00B0F0"/>
      </bottom>
      <diagonal/>
    </border>
    <border>
      <left/>
      <right style="medium">
        <color rgb="FF0070C0"/>
      </right>
      <top style="medium">
        <color rgb="FF0070C0"/>
      </top>
      <bottom style="double">
        <color rgb="FF0070C0"/>
      </bottom>
      <diagonal/>
    </border>
    <border>
      <left/>
      <right style="medium">
        <color rgb="FF0070C0"/>
      </right>
      <top style="double">
        <color rgb="FF0070C0"/>
      </top>
      <bottom/>
      <diagonal/>
    </border>
    <border>
      <left style="medium">
        <color rgb="FF0070C0"/>
      </left>
      <right style="thin">
        <color rgb="FF0070C0"/>
      </right>
      <top style="thin">
        <color rgb="FF0070C0"/>
      </top>
      <bottom/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indexed="64"/>
      </bottom>
      <diagonal/>
    </border>
    <border>
      <left/>
      <right style="medium">
        <color rgb="FF0070C0"/>
      </right>
      <top style="medium">
        <color theme="4"/>
      </top>
      <bottom style="thin">
        <color rgb="FF0070C0"/>
      </bottom>
      <diagonal/>
    </border>
    <border>
      <left/>
      <right style="medium">
        <color rgb="FF0070C0"/>
      </right>
      <top style="thin">
        <color rgb="FF0070C0"/>
      </top>
      <bottom style="medium">
        <color theme="4"/>
      </bottom>
      <diagonal/>
    </border>
    <border>
      <left/>
      <right style="medium">
        <color rgb="FF0070C0"/>
      </right>
      <top/>
      <bottom style="thin">
        <color rgb="FF0070C0"/>
      </bottom>
      <diagonal/>
    </border>
    <border>
      <left style="thin">
        <color theme="4"/>
      </left>
      <right style="medium">
        <color theme="4"/>
      </right>
      <top style="medium">
        <color rgb="FF0070C0"/>
      </top>
      <bottom style="thin">
        <color rgb="FF0070C0"/>
      </bottom>
      <diagonal/>
    </border>
    <border>
      <left style="thin">
        <color theme="4"/>
      </left>
      <right style="medium">
        <color theme="4"/>
      </right>
      <top/>
      <bottom style="thin">
        <color rgb="FF0070C0"/>
      </bottom>
      <diagonal/>
    </border>
    <border>
      <left style="thin">
        <color theme="4"/>
      </left>
      <right style="medium">
        <color theme="4"/>
      </right>
      <top style="thin">
        <color rgb="FF0070C0"/>
      </top>
      <bottom style="thin">
        <color rgb="FF0070C0"/>
      </bottom>
      <diagonal/>
    </border>
    <border>
      <left style="thin">
        <color theme="4"/>
      </left>
      <right style="medium">
        <color theme="4"/>
      </right>
      <top style="thin">
        <color rgb="FF0070C0"/>
      </top>
      <bottom/>
      <diagonal/>
    </border>
    <border>
      <left style="thin">
        <color theme="4"/>
      </left>
      <right style="medium">
        <color theme="4"/>
      </right>
      <top style="thin">
        <color rgb="FF0070C0"/>
      </top>
      <bottom style="medium">
        <color rgb="FF0070C0"/>
      </bottom>
      <diagonal/>
    </border>
    <border>
      <left style="thin">
        <color theme="4"/>
      </left>
      <right style="medium">
        <color theme="4"/>
      </right>
      <top/>
      <bottom/>
      <diagonal/>
    </border>
    <border>
      <left style="thin">
        <color theme="4"/>
      </left>
      <right style="medium">
        <color theme="4"/>
      </right>
      <top style="medium">
        <color rgb="FF0070C0"/>
      </top>
      <bottom/>
      <diagonal/>
    </border>
    <border>
      <left style="thin">
        <color theme="4"/>
      </left>
      <right style="medium">
        <color theme="4"/>
      </right>
      <top style="thin">
        <color rgb="FF0070C0"/>
      </top>
      <bottom style="medium">
        <color theme="4"/>
      </bottom>
      <diagonal/>
    </border>
    <border>
      <left style="medium">
        <color rgb="FF00B0F0"/>
      </left>
      <right style="medium">
        <color rgb="FF00B0F0"/>
      </right>
      <top/>
      <bottom style="medium">
        <color rgb="FF00B0F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/>
      <right style="thin">
        <color rgb="FF00B0F0"/>
      </right>
      <top style="medium">
        <color rgb="FF00B0F0"/>
      </top>
      <bottom style="medium">
        <color rgb="FF00B0F0"/>
      </bottom>
      <diagonal/>
    </border>
    <border>
      <left/>
      <right style="thin">
        <color rgb="FF00B0F0"/>
      </right>
      <top/>
      <bottom style="medium">
        <color rgb="FF00B0F0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 style="medium">
        <color theme="1" tint="0.499984740745262"/>
      </right>
      <top/>
      <bottom style="medium">
        <color theme="1" tint="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rgb="FFFFBC8F"/>
      </left>
      <right style="medium">
        <color rgb="FFFFBC8F"/>
      </right>
      <top style="medium">
        <color rgb="FFFFBC8F"/>
      </top>
      <bottom style="medium">
        <color rgb="FFFFBC8F"/>
      </bottom>
      <diagonal/>
    </border>
    <border>
      <left style="medium">
        <color rgb="FFFFBC8F"/>
      </left>
      <right style="thin">
        <color rgb="FFFFBC8F"/>
      </right>
      <top style="medium">
        <color rgb="FFFFBC8F"/>
      </top>
      <bottom style="thin">
        <color rgb="FFFFBC8F"/>
      </bottom>
      <diagonal/>
    </border>
    <border>
      <left style="thin">
        <color rgb="FFFFBC8F"/>
      </left>
      <right style="thin">
        <color rgb="FFFFBC8F"/>
      </right>
      <top style="medium">
        <color rgb="FFFFBC8F"/>
      </top>
      <bottom style="thin">
        <color rgb="FFFFBC8F"/>
      </bottom>
      <diagonal/>
    </border>
    <border>
      <left style="thin">
        <color rgb="FFFFBC8F"/>
      </left>
      <right style="medium">
        <color rgb="FFFFBC8F"/>
      </right>
      <top style="medium">
        <color rgb="FFFFBC8F"/>
      </top>
      <bottom style="thin">
        <color rgb="FFFFBC8F"/>
      </bottom>
      <diagonal/>
    </border>
    <border>
      <left style="medium">
        <color rgb="FFFFBC8F"/>
      </left>
      <right style="thin">
        <color rgb="FFFFBC8F"/>
      </right>
      <top style="thin">
        <color rgb="FFFFBC8F"/>
      </top>
      <bottom style="thin">
        <color rgb="FFFFBC8F"/>
      </bottom>
      <diagonal/>
    </border>
    <border>
      <left style="thin">
        <color rgb="FFFFBC8F"/>
      </left>
      <right style="thin">
        <color rgb="FFFFBC8F"/>
      </right>
      <top style="thin">
        <color rgb="FFFFBC8F"/>
      </top>
      <bottom style="thin">
        <color rgb="FFFFBC8F"/>
      </bottom>
      <diagonal/>
    </border>
    <border>
      <left style="thin">
        <color rgb="FFFFBC8F"/>
      </left>
      <right style="medium">
        <color rgb="FFFFBC8F"/>
      </right>
      <top style="thin">
        <color rgb="FFFFBC8F"/>
      </top>
      <bottom style="thin">
        <color rgb="FFFFBC8F"/>
      </bottom>
      <diagonal/>
    </border>
    <border>
      <left style="medium">
        <color rgb="FFFFBC8F"/>
      </left>
      <right style="thin">
        <color rgb="FFFFBC8F"/>
      </right>
      <top style="thin">
        <color rgb="FFFFBC8F"/>
      </top>
      <bottom style="medium">
        <color rgb="FFFFBC8F"/>
      </bottom>
      <diagonal/>
    </border>
    <border>
      <left style="thin">
        <color rgb="FFFFBC8F"/>
      </left>
      <right style="thin">
        <color rgb="FFFFBC8F"/>
      </right>
      <top style="thin">
        <color rgb="FFFFBC8F"/>
      </top>
      <bottom style="medium">
        <color rgb="FFFFBC8F"/>
      </bottom>
      <diagonal/>
    </border>
    <border>
      <left style="thin">
        <color rgb="FFFFBC8F"/>
      </left>
      <right style="medium">
        <color rgb="FFFFBC8F"/>
      </right>
      <top style="thin">
        <color rgb="FFFFBC8F"/>
      </top>
      <bottom style="medium">
        <color rgb="FFFFBC8F"/>
      </bottom>
      <diagonal/>
    </border>
    <border>
      <left style="medium">
        <color rgb="FFFFBC8F"/>
      </left>
      <right style="thin">
        <color rgb="FFFFBC8F"/>
      </right>
      <top style="thin">
        <color rgb="FFFFBC8F"/>
      </top>
      <bottom/>
      <diagonal/>
    </border>
    <border>
      <left style="thin">
        <color rgb="FFFFBC8F"/>
      </left>
      <right style="thin">
        <color rgb="FFFFBC8F"/>
      </right>
      <top style="thin">
        <color rgb="FFFFBC8F"/>
      </top>
      <bottom/>
      <diagonal/>
    </border>
    <border>
      <left style="medium">
        <color rgb="FFFFBC8F"/>
      </left>
      <right style="thin">
        <color rgb="FFFFBC8F"/>
      </right>
      <top/>
      <bottom style="thin">
        <color rgb="FFFFBC8F"/>
      </bottom>
      <diagonal/>
    </border>
    <border>
      <left style="thin">
        <color rgb="FFFFBC8F"/>
      </left>
      <right style="thin">
        <color rgb="FFFFBC8F"/>
      </right>
      <top/>
      <bottom style="thin">
        <color rgb="FFFFBC8F"/>
      </bottom>
      <diagonal/>
    </border>
    <border>
      <left style="thin">
        <color rgb="FFFFBC8F"/>
      </left>
      <right/>
      <top style="medium">
        <color rgb="FFFFBC8F"/>
      </top>
      <bottom style="thin">
        <color rgb="FFFFBC8F"/>
      </bottom>
      <diagonal/>
    </border>
    <border>
      <left/>
      <right style="thin">
        <color rgb="FFFFBC8F"/>
      </right>
      <top style="thin">
        <color rgb="FFFFBC8F"/>
      </top>
      <bottom style="thin">
        <color rgb="FFFFBC8F"/>
      </bottom>
      <diagonal/>
    </border>
    <border>
      <left style="thin">
        <color rgb="FFFFBC8F"/>
      </left>
      <right style="medium">
        <color rgb="FFFFBC8F"/>
      </right>
      <top/>
      <bottom style="thin">
        <color rgb="FFFFBC8F"/>
      </bottom>
      <diagonal/>
    </border>
    <border>
      <left/>
      <right style="thin">
        <color rgb="FFFFBC8F"/>
      </right>
      <top/>
      <bottom style="thin">
        <color rgb="FFFFBC8F"/>
      </bottom>
      <diagonal/>
    </border>
    <border>
      <left/>
      <right style="thin">
        <color rgb="FFFFBC8F"/>
      </right>
      <top style="medium">
        <color rgb="FFFFBC8F"/>
      </top>
      <bottom style="medium">
        <color rgb="FFFFBC8F"/>
      </bottom>
      <diagonal/>
    </border>
    <border>
      <left style="thin">
        <color rgb="FFFFBC8F"/>
      </left>
      <right style="thin">
        <color rgb="FFFFBC8F"/>
      </right>
      <top style="medium">
        <color rgb="FFFFBC8F"/>
      </top>
      <bottom style="medium">
        <color rgb="FFFFBC8F"/>
      </bottom>
      <diagonal/>
    </border>
    <border>
      <left style="thin">
        <color rgb="FFFFBC8F"/>
      </left>
      <right style="medium">
        <color rgb="FFFFBC8F"/>
      </right>
      <top style="medium">
        <color rgb="FFFFBC8F"/>
      </top>
      <bottom style="medium">
        <color rgb="FFFFBC8F"/>
      </bottom>
      <diagonal/>
    </border>
    <border>
      <left style="medium">
        <color rgb="FFFFBC8F"/>
      </left>
      <right style="medium">
        <color rgb="FFFFBC8F"/>
      </right>
      <top/>
      <bottom style="thin">
        <color rgb="FFFFBC8F"/>
      </bottom>
      <diagonal/>
    </border>
    <border>
      <left style="medium">
        <color rgb="FFFFBC8F"/>
      </left>
      <right style="medium">
        <color rgb="FFFFBC8F"/>
      </right>
      <top style="thin">
        <color rgb="FFFFBC8F"/>
      </top>
      <bottom style="thin">
        <color rgb="FFFFBC8F"/>
      </bottom>
      <diagonal/>
    </border>
    <border>
      <left style="medium">
        <color rgb="FFFFBC8F"/>
      </left>
      <right style="medium">
        <color rgb="FFFFBC8F"/>
      </right>
      <top style="thin">
        <color rgb="FFFFBC8F"/>
      </top>
      <bottom style="medium">
        <color rgb="FFFFBC8F"/>
      </bottom>
      <diagonal/>
    </border>
    <border>
      <left/>
      <right style="thin">
        <color rgb="FFFFBC8F"/>
      </right>
      <top style="thin">
        <color rgb="FFFFBC8F"/>
      </top>
      <bottom style="medium">
        <color rgb="FFFFBC8F"/>
      </bottom>
      <diagonal/>
    </border>
    <border>
      <left/>
      <right/>
      <top/>
      <bottom style="medium">
        <color rgb="FFFFBC8F"/>
      </bottom>
      <diagonal/>
    </border>
    <border>
      <left/>
      <right/>
      <top style="medium">
        <color rgb="FFFFBC8F"/>
      </top>
      <bottom style="thin">
        <color rgb="FFFFBC8F"/>
      </bottom>
      <diagonal/>
    </border>
    <border>
      <left/>
      <right style="medium">
        <color rgb="FFFFBC8F"/>
      </right>
      <top style="medium">
        <color rgb="FFFFBC8F"/>
      </top>
      <bottom style="thin">
        <color rgb="FFFFBC8F"/>
      </bottom>
      <diagonal/>
    </border>
    <border>
      <left style="thin">
        <color rgb="FFFFBC8F"/>
      </left>
      <right/>
      <top style="thin">
        <color rgb="FFFFBC8F"/>
      </top>
      <bottom style="thin">
        <color rgb="FFFFBC8F"/>
      </bottom>
      <diagonal/>
    </border>
    <border>
      <left/>
      <right/>
      <top style="thin">
        <color rgb="FFFFBC8F"/>
      </top>
      <bottom style="thin">
        <color rgb="FFFFBC8F"/>
      </bottom>
      <diagonal/>
    </border>
    <border>
      <left/>
      <right style="medium">
        <color rgb="FFFFBC8F"/>
      </right>
      <top style="thin">
        <color rgb="FFFFBC8F"/>
      </top>
      <bottom style="thin">
        <color rgb="FFFFBC8F"/>
      </bottom>
      <diagonal/>
    </border>
    <border>
      <left style="thin">
        <color rgb="FFFFBC8F"/>
      </left>
      <right/>
      <top style="thin">
        <color rgb="FFFFBC8F"/>
      </top>
      <bottom style="medium">
        <color rgb="FFFFBC8F"/>
      </bottom>
      <diagonal/>
    </border>
    <border>
      <left/>
      <right/>
      <top style="thin">
        <color rgb="FFFFBC8F"/>
      </top>
      <bottom style="medium">
        <color rgb="FFFFBC8F"/>
      </bottom>
      <diagonal/>
    </border>
    <border>
      <left/>
      <right style="medium">
        <color rgb="FFFFBC8F"/>
      </right>
      <top style="thin">
        <color rgb="FFFFBC8F"/>
      </top>
      <bottom style="medium">
        <color rgb="FFFFBC8F"/>
      </bottom>
      <diagonal/>
    </border>
    <border>
      <left style="thin">
        <color rgb="FFFFBC8F"/>
      </left>
      <right/>
      <top style="thin">
        <color rgb="FFFFBC8F"/>
      </top>
      <bottom/>
      <diagonal/>
    </border>
    <border>
      <left style="thin">
        <color rgb="FFFFBC8F"/>
      </left>
      <right/>
      <top/>
      <bottom style="thin">
        <color rgb="FFFFBC8F"/>
      </bottom>
      <diagonal/>
    </border>
    <border>
      <left style="thin">
        <color rgb="FFFFBC8F"/>
      </left>
      <right style="medium">
        <color rgb="FFFFBC8F"/>
      </right>
      <top style="thin">
        <color rgb="FFFFBC8F"/>
      </top>
      <bottom/>
      <diagonal/>
    </border>
    <border>
      <left style="medium">
        <color rgb="FFFFBC8F"/>
      </left>
      <right style="thin">
        <color rgb="FFFFBC8F"/>
      </right>
      <top/>
      <bottom/>
      <diagonal/>
    </border>
    <border>
      <left style="thin">
        <color rgb="FFFFBC8F"/>
      </left>
      <right style="thin">
        <color rgb="FFFFBC8F"/>
      </right>
      <top/>
      <bottom/>
      <diagonal/>
    </border>
    <border>
      <left style="thin">
        <color rgb="FFFFBC8F"/>
      </left>
      <right style="medium">
        <color rgb="FFFFBC8F"/>
      </right>
      <top/>
      <bottom/>
      <diagonal/>
    </border>
    <border>
      <left/>
      <right style="thin">
        <color rgb="FFFFBC8F"/>
      </right>
      <top style="thin">
        <color rgb="FFFFBC8F"/>
      </top>
      <bottom/>
      <diagonal/>
    </border>
    <border>
      <left style="thin">
        <color rgb="FFFFBC8F"/>
      </left>
      <right/>
      <top/>
      <bottom/>
      <diagonal/>
    </border>
    <border>
      <left/>
      <right style="thin">
        <color rgb="FFFFBC8F"/>
      </right>
      <top/>
      <bottom/>
      <diagonal/>
    </border>
    <border>
      <left/>
      <right/>
      <top style="medium">
        <color rgb="FFFFBC8F"/>
      </top>
      <bottom/>
      <diagonal/>
    </border>
    <border>
      <left/>
      <right style="thin">
        <color rgb="FF00B0F0"/>
      </right>
      <top/>
      <bottom/>
      <diagonal/>
    </border>
    <border>
      <left style="medium">
        <color rgb="FF00B0F0"/>
      </left>
      <right style="medium">
        <color rgb="FF00B0F0"/>
      </right>
      <top/>
      <bottom/>
      <diagonal/>
    </border>
    <border>
      <left style="medium">
        <color theme="1" tint="0.499984740745262"/>
      </left>
      <right style="medium">
        <color theme="1" tint="0.499984740745262"/>
      </right>
      <top/>
      <bottom/>
      <diagonal/>
    </border>
    <border>
      <left style="medium">
        <color rgb="FF00B0F0"/>
      </left>
      <right style="thin">
        <color rgb="FF0070C0"/>
      </right>
      <top style="medium">
        <color rgb="FF00B0F0"/>
      </top>
      <bottom style="thin">
        <color rgb="FF00B0F0"/>
      </bottom>
      <diagonal/>
    </border>
    <border>
      <left style="thin">
        <color rgb="FF0070C0"/>
      </left>
      <right style="thin">
        <color rgb="FF0070C0"/>
      </right>
      <top style="medium">
        <color rgb="FF00B0F0"/>
      </top>
      <bottom style="thin">
        <color rgb="FF00B0F0"/>
      </bottom>
      <diagonal/>
    </border>
    <border>
      <left style="thin">
        <color rgb="FF0070C0"/>
      </left>
      <right style="medium">
        <color rgb="FF00B0F0"/>
      </right>
      <top style="medium">
        <color rgb="FF00B0F0"/>
      </top>
      <bottom style="thin">
        <color rgb="FF00B0F0"/>
      </bottom>
      <diagonal/>
    </border>
    <border>
      <left style="medium">
        <color rgb="FF00B0F0"/>
      </left>
      <right style="thin">
        <color rgb="FF0070C0"/>
      </right>
      <top style="thin">
        <color rgb="FF00B0F0"/>
      </top>
      <bottom style="thin">
        <color rgb="FF00B0F0"/>
      </bottom>
      <diagonal/>
    </border>
    <border>
      <left style="thin">
        <color rgb="FF0070C0"/>
      </left>
      <right style="thin">
        <color rgb="FF0070C0"/>
      </right>
      <top style="thin">
        <color rgb="FF00B0F0"/>
      </top>
      <bottom style="thin">
        <color rgb="FF00B0F0"/>
      </bottom>
      <diagonal/>
    </border>
    <border>
      <left style="thin">
        <color rgb="FF0070C0"/>
      </left>
      <right style="medium">
        <color rgb="FF00B0F0"/>
      </right>
      <top style="thin">
        <color rgb="FF00B0F0"/>
      </top>
      <bottom style="thin">
        <color rgb="FF00B0F0"/>
      </bottom>
      <diagonal/>
    </border>
    <border>
      <left style="medium">
        <color rgb="FF00B0F0"/>
      </left>
      <right style="thin">
        <color rgb="FF0070C0"/>
      </right>
      <top style="thin">
        <color rgb="FF00B0F0"/>
      </top>
      <bottom style="medium">
        <color rgb="FF00B0F0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rgb="FF0070C0"/>
      </left>
      <right style="medium">
        <color rgb="FF00B0F0"/>
      </right>
      <top style="thin">
        <color rgb="FF00B0F0"/>
      </top>
      <bottom style="medium">
        <color rgb="FF00B0F0"/>
      </bottom>
      <diagonal/>
    </border>
    <border>
      <left/>
      <right style="medium">
        <color rgb="FF0070C0"/>
      </right>
      <top style="double">
        <color rgb="FF0070C0"/>
      </top>
      <bottom style="thin">
        <color rgb="FF0070C0"/>
      </bottom>
      <diagonal/>
    </border>
    <border>
      <left/>
      <right style="medium">
        <color rgb="FF0070C0"/>
      </right>
      <top style="double">
        <color rgb="FF0070C0"/>
      </top>
      <bottom style="medium">
        <color rgb="FF0070C0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/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/>
      <top style="medium">
        <color theme="1" tint="0.499984740745262"/>
      </top>
      <bottom/>
      <diagonal/>
    </border>
    <border diagonalUp="1"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 style="dotted">
        <color theme="1" tint="0.499984740745262"/>
      </diagonal>
    </border>
    <border diagonalUp="1"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dotted">
        <color theme="1" tint="0.499984740745262"/>
      </bottom>
      <diagonal style="dotted">
        <color theme="1" tint="0.499984740745262"/>
      </diagonal>
    </border>
    <border>
      <left style="medium">
        <color theme="1" tint="0.499984740745262"/>
      </left>
      <right style="medium">
        <color theme="1" tint="0.499984740745262"/>
      </right>
      <top style="dotted">
        <color theme="1" tint="0.499984740745262"/>
      </top>
      <bottom style="dotted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dotted">
        <color theme="1" tint="0.499984740745262"/>
      </top>
      <bottom style="dotted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dotted">
        <color theme="1" tint="0.499984740745262"/>
      </top>
      <bottom style="dotted">
        <color theme="1" tint="0.499984740745262"/>
      </bottom>
      <diagonal/>
    </border>
    <border>
      <left style="thin">
        <color theme="1" tint="0.499984740745262"/>
      </left>
      <right/>
      <top style="dotted">
        <color theme="1" tint="0.499984740745262"/>
      </top>
      <bottom style="dotted">
        <color theme="1" tint="0.499984740745262"/>
      </bottom>
      <diagonal/>
    </border>
    <border diagonalUp="1">
      <left style="medium">
        <color theme="1" tint="0.499984740745262"/>
      </left>
      <right style="thin">
        <color theme="1" tint="0.499984740745262"/>
      </right>
      <top style="dotted">
        <color theme="1" tint="0.499984740745262"/>
      </top>
      <bottom style="dotted">
        <color theme="1" tint="0.499984740745262"/>
      </bottom>
      <diagonal style="dotted">
        <color theme="1" tint="0.499984740745262"/>
      </diagonal>
    </border>
    <border diagonalUp="1">
      <left style="thin">
        <color theme="1" tint="0.499984740745262"/>
      </left>
      <right style="medium">
        <color theme="1" tint="0.499984740745262"/>
      </right>
      <top style="dotted">
        <color theme="1" tint="0.499984740745262"/>
      </top>
      <bottom style="dotted">
        <color theme="1" tint="0.499984740745262"/>
      </bottom>
      <diagonal style="dotted">
        <color theme="1" tint="0.499984740745262"/>
      </diagonal>
    </border>
    <border>
      <left style="medium">
        <color theme="1" tint="0.499984740745262"/>
      </left>
      <right style="thin">
        <color theme="1" tint="0.499984740745262"/>
      </right>
      <top/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medium">
        <color theme="1" tint="0.499984740745262"/>
      </bottom>
      <diagonal/>
    </border>
    <border>
      <left style="thin">
        <color theme="1" tint="0.499984740745262"/>
      </left>
      <right/>
      <top/>
      <bottom style="medium">
        <color theme="1" tint="0.499984740745262"/>
      </bottom>
      <diagonal/>
    </border>
    <border diagonalUp="1">
      <left style="medium">
        <color theme="1" tint="0.499984740745262"/>
      </left>
      <right style="thin">
        <color theme="1" tint="0.499984740745262"/>
      </right>
      <top/>
      <bottom style="medium">
        <color theme="1" tint="0.499984740745262"/>
      </bottom>
      <diagonal style="dotted">
        <color theme="1" tint="0.499984740745262"/>
      </diagonal>
    </border>
    <border diagonalUp="1">
      <left style="thin">
        <color theme="1" tint="0.499984740745262"/>
      </left>
      <right style="medium">
        <color theme="1" tint="0.499984740745262"/>
      </right>
      <top/>
      <bottom style="medium">
        <color theme="1" tint="0.499984740745262"/>
      </bottom>
      <diagonal style="dotted">
        <color theme="1" tint="0.499984740745262"/>
      </diagonal>
    </border>
    <border>
      <left/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/>
      <diagonal/>
    </border>
    <border>
      <left/>
      <right style="thin">
        <color theme="1" tint="0.499984740745262"/>
      </right>
      <top style="dotted">
        <color theme="1" tint="0.499984740745262"/>
      </top>
      <bottom style="dotted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dotted">
        <color theme="1" tint="0.499984740745262"/>
      </top>
      <bottom style="dotted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medium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/>
      <bottom style="medium">
        <color theme="1" tint="0.499984740745262"/>
      </bottom>
      <diagonal/>
    </border>
    <border diagonalUp="1"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/>
      <diagonal style="dotted">
        <color theme="1" tint="0.499984740745262"/>
      </diagonal>
    </border>
    <border>
      <left style="medium">
        <color theme="1" tint="0.499984740745262"/>
      </left>
      <right style="medium">
        <color theme="1" tint="0.499984740745262"/>
      </right>
      <top style="dotted">
        <color theme="1" tint="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 style="dotted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dotted">
        <color theme="1" tint="0.499984740745262"/>
      </top>
      <bottom/>
      <diagonal/>
    </border>
    <border>
      <left style="thin">
        <color theme="1" tint="0.499984740745262"/>
      </left>
      <right/>
      <top style="dotted">
        <color theme="1" tint="0.499984740745262"/>
      </top>
      <bottom/>
      <diagonal/>
    </border>
    <border>
      <left style="medium">
        <color theme="1" tint="0.499984740745262"/>
      </left>
      <right style="medium">
        <color theme="1" tint="0.499984740745262"/>
      </right>
      <top style="thin">
        <color theme="1" tint="0.499984740745262"/>
      </top>
      <bottom style="dotted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dotted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dotted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dotted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dotted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dotted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dotted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dotted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dotted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dotted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dotted">
        <color theme="1" tint="0.499984740745262"/>
      </top>
      <bottom style="thin">
        <color theme="1" tint="0.499984740745262"/>
      </bottom>
      <diagonal/>
    </border>
    <border>
      <left/>
      <right style="medium">
        <color rgb="FF00B0F0"/>
      </right>
      <top/>
      <bottom style="thin">
        <color rgb="FF00B0F0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theme="0" tint="-0.34998626667073579"/>
      </right>
      <top style="medium">
        <color theme="0" tint="-0.499984740745262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499984740745262"/>
      </top>
      <bottom/>
      <diagonal/>
    </border>
    <border diagonalUp="1">
      <left style="thin">
        <color theme="1" tint="0.499984740745262"/>
      </left>
      <right style="medium">
        <color theme="1" tint="0.499984740745262"/>
      </right>
      <top/>
      <bottom/>
      <diagonal style="dotted">
        <color theme="1" tint="0.499984740745262"/>
      </diagonal>
    </border>
    <border>
      <left/>
      <right/>
      <top/>
      <bottom style="medium">
        <color theme="1" tint="0.499984740745262"/>
      </bottom>
      <diagonal/>
    </border>
    <border>
      <left/>
      <right style="medium">
        <color theme="1" tint="0.499984740745262"/>
      </right>
      <top/>
      <bottom style="medium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dotted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dotted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dotted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/>
      <top style="dotted">
        <color theme="1" tint="0.499984740745262"/>
      </top>
      <bottom style="medium">
        <color theme="1" tint="0.499984740745262"/>
      </bottom>
      <diagonal/>
    </border>
    <border>
      <left/>
      <right style="thin">
        <color theme="1" tint="0.499984740745262"/>
      </right>
      <top style="dotted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dotted">
        <color theme="1" tint="0.499984740745262"/>
      </top>
      <bottom style="medium">
        <color theme="1" tint="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rgb="FF00B0F0"/>
      </left>
      <right style="medium">
        <color rgb="FF00B0F0"/>
      </right>
      <top style="double">
        <color rgb="FF00B0F0"/>
      </top>
      <bottom style="medium">
        <color rgb="FF00B0F0"/>
      </bottom>
      <diagonal/>
    </border>
    <border>
      <left/>
      <right style="thin">
        <color rgb="FF00B0F0"/>
      </right>
      <top style="double">
        <color rgb="FF00B0F0"/>
      </top>
      <bottom style="medium">
        <color rgb="FF00B0F0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 style="medium">
        <color auto="1"/>
      </top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rgb="FF0070C0"/>
      </left>
      <right style="medium">
        <color theme="4"/>
      </right>
      <top style="medium">
        <color theme="4"/>
      </top>
      <bottom style="thin">
        <color rgb="FF0070C0"/>
      </bottom>
      <diagonal/>
    </border>
    <border>
      <left style="thin">
        <color theme="4"/>
      </left>
      <right style="medium">
        <color theme="4"/>
      </right>
      <top style="medium">
        <color theme="4"/>
      </top>
      <bottom style="thin">
        <color rgb="FF0070C0"/>
      </bottom>
      <diagonal/>
    </border>
    <border>
      <left style="thin">
        <color theme="4"/>
      </left>
      <right style="thin">
        <color theme="4"/>
      </right>
      <top style="medium">
        <color theme="4"/>
      </top>
      <bottom style="thin">
        <color theme="4"/>
      </bottom>
      <diagonal/>
    </border>
    <border>
      <left style="medium">
        <color theme="4"/>
      </left>
      <right style="medium">
        <color rgb="FF0070C0"/>
      </right>
      <top style="medium">
        <color rgb="FF0070C0"/>
      </top>
      <bottom style="thin">
        <color theme="4"/>
      </bottom>
      <diagonal/>
    </border>
    <border>
      <left style="thin">
        <color theme="4"/>
      </left>
      <right/>
      <top style="medium">
        <color theme="4"/>
      </top>
      <bottom style="thin">
        <color theme="4"/>
      </bottom>
      <diagonal/>
    </border>
    <border>
      <left style="thin">
        <color theme="4"/>
      </left>
      <right style="medium">
        <color theme="4"/>
      </right>
      <top style="medium">
        <color theme="4"/>
      </top>
      <bottom style="thin">
        <color theme="4"/>
      </bottom>
      <diagonal/>
    </border>
    <border>
      <left style="medium">
        <color rgb="FF0070C0"/>
      </left>
      <right style="medium">
        <color rgb="FF0070C0"/>
      </right>
      <top style="medium">
        <color theme="4"/>
      </top>
      <bottom style="thin">
        <color rgb="FF0070C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rgb="FFFFBC8F"/>
      </top>
      <bottom/>
      <diagonal/>
    </border>
    <border>
      <left/>
      <right/>
      <top/>
      <bottom style="thin">
        <color rgb="FFFFBC8F"/>
      </bottom>
      <diagonal/>
    </border>
    <border>
      <left/>
      <right style="medium">
        <color rgb="FFFFBC8F"/>
      </right>
      <top style="thin">
        <color rgb="FFFFBC8F"/>
      </top>
      <bottom/>
      <diagonal/>
    </border>
    <border>
      <left/>
      <right style="medium">
        <color rgb="FFFFBC8F"/>
      </right>
      <top/>
      <bottom style="thin">
        <color rgb="FFFFBC8F"/>
      </bottom>
      <diagonal/>
    </border>
    <border>
      <left/>
      <right style="thin">
        <color indexed="64"/>
      </right>
      <top style="medium">
        <color auto="1"/>
      </top>
      <bottom/>
      <diagonal/>
    </border>
    <border diagonalDown="1">
      <left style="thin">
        <color rgb="FF00B0F0"/>
      </left>
      <right style="medium">
        <color rgb="FF00B0F0"/>
      </right>
      <top style="thin">
        <color rgb="FF00B0F0"/>
      </top>
      <bottom/>
      <diagonal style="thin">
        <color rgb="FF00B0F0"/>
      </diagonal>
    </border>
    <border diagonalDown="1">
      <left style="thin">
        <color rgb="FF00B0F0"/>
      </left>
      <right style="medium">
        <color rgb="FF00B0F0"/>
      </right>
      <top style="medium">
        <color rgb="FF00B0F0"/>
      </top>
      <bottom style="medium">
        <color rgb="FF00B0F0"/>
      </bottom>
      <diagonal style="thin">
        <color rgb="FF00B0F0"/>
      </diagonal>
    </border>
    <border diagonalDown="1">
      <left style="thin">
        <color rgb="FF00B0F0"/>
      </left>
      <right style="thin">
        <color rgb="FF00B0F0"/>
      </right>
      <top style="medium">
        <color rgb="FF00B0F0"/>
      </top>
      <bottom style="medium">
        <color rgb="FF00B0F0"/>
      </bottom>
      <diagonal style="thin">
        <color rgb="FF00B0F0"/>
      </diagonal>
    </border>
    <border>
      <left style="medium">
        <color rgb="FF00B0F0"/>
      </left>
      <right style="thin">
        <color rgb="FF00B0F0"/>
      </right>
      <top/>
      <bottom/>
      <diagonal/>
    </border>
    <border diagonalDown="1">
      <left style="thin">
        <color rgb="FF00B0F0"/>
      </left>
      <right style="medium">
        <color rgb="FF00B0F0"/>
      </right>
      <top/>
      <bottom/>
      <diagonal style="thin">
        <color rgb="FF00B0F0"/>
      </diagonal>
    </border>
    <border diagonalDown="1">
      <left style="thin">
        <color rgb="FF00B0F0"/>
      </left>
      <right style="medium">
        <color rgb="FF00B0F0"/>
      </right>
      <top style="medium">
        <color rgb="FF00B0F0"/>
      </top>
      <bottom style="thin">
        <color rgb="FF00B0F0"/>
      </bottom>
      <diagonal style="thin">
        <color rgb="FF00B0F0"/>
      </diagonal>
    </border>
    <border>
      <left/>
      <right/>
      <top style="thin">
        <color rgb="FF0070C0"/>
      </top>
      <bottom style="medium">
        <color rgb="FF0070C0"/>
      </bottom>
      <diagonal/>
    </border>
    <border diagonalUp="1">
      <left style="medium">
        <color theme="1" tint="0.499984740745262"/>
      </left>
      <right style="thin">
        <color theme="1" tint="0.499984740745262"/>
      </right>
      <top style="dotted">
        <color theme="1" tint="0.499984740745262"/>
      </top>
      <bottom/>
      <diagonal style="dotted">
        <color theme="1" tint="0.499984740745262"/>
      </diagonal>
    </border>
    <border diagonalUp="1">
      <left style="thin">
        <color theme="1" tint="0.499984740745262"/>
      </left>
      <right style="medium">
        <color theme="1" tint="0.499984740745262"/>
      </right>
      <top style="dotted">
        <color theme="1" tint="0.499984740745262"/>
      </top>
      <bottom/>
      <diagonal style="dotted">
        <color theme="1" tint="0.499984740745262"/>
      </diagonal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 diagonalUp="1"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 style="dotted">
        <color theme="1" tint="0.499984740745262"/>
      </diagonal>
    </border>
    <border diagonalUp="1"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 style="dotted">
        <color theme="1" tint="0.499984740745262"/>
      </diagonal>
    </border>
    <border>
      <left style="medium">
        <color rgb="FF00B0F0"/>
      </left>
      <right/>
      <top style="thin">
        <color rgb="FF00B0F0"/>
      </top>
      <bottom style="medium">
        <color rgb="FF00B0F0"/>
      </bottom>
      <diagonal/>
    </border>
    <border>
      <left style="medium">
        <color rgb="FF00B0F0"/>
      </left>
      <right style="thin">
        <color rgb="FF00B0F0"/>
      </right>
      <top/>
      <bottom style="medium">
        <color rgb="FF00B0F0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/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thin">
        <color theme="8" tint="-0.24994659260841701"/>
      </bottom>
      <diagonal/>
    </border>
    <border>
      <left/>
      <right style="thin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medium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medium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/>
      <top/>
      <bottom style="thin">
        <color theme="8" tint="-0.24994659260841701"/>
      </bottom>
      <diagonal/>
    </border>
    <border>
      <left/>
      <right style="medium">
        <color theme="8" tint="-0.24994659260841701"/>
      </right>
      <top/>
      <bottom style="thin">
        <color theme="8" tint="-0.24994659260841701"/>
      </bottom>
      <diagonal/>
    </border>
    <border>
      <left style="medium">
        <color theme="8" tint="-0.24994659260841701"/>
      </left>
      <right/>
      <top style="medium">
        <color theme="8" tint="-0.24994659260841701"/>
      </top>
      <bottom style="medium">
        <color theme="8" tint="-0.24994659260841701"/>
      </bottom>
      <diagonal/>
    </border>
    <border>
      <left/>
      <right style="medium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rgb="FF00B0F0"/>
      </left>
      <right/>
      <top style="medium">
        <color theme="8" tint="-0.24994659260841701"/>
      </top>
      <bottom style="medium">
        <color rgb="FF00B0F0"/>
      </bottom>
      <diagonal/>
    </border>
    <border>
      <left/>
      <right style="medium">
        <color rgb="FF00B0F0"/>
      </right>
      <top style="medium">
        <color theme="8" tint="-0.24994659260841701"/>
      </top>
      <bottom style="medium">
        <color rgb="FF00B0F0"/>
      </bottom>
      <diagonal/>
    </border>
    <border>
      <left/>
      <right style="medium">
        <color rgb="FF00B0F0"/>
      </right>
      <top style="thin">
        <color rgb="FF00B0F0"/>
      </top>
      <bottom style="medium">
        <color rgb="FF00B0F0"/>
      </bottom>
      <diagonal/>
    </border>
    <border>
      <left style="medium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/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thin">
        <color theme="8" tint="-0.24994659260841701"/>
      </top>
      <bottom style="dotted">
        <color theme="8" tint="-0.24994659260841701"/>
      </bottom>
      <diagonal/>
    </border>
    <border>
      <left/>
      <right style="thin">
        <color theme="8" tint="-0.24994659260841701"/>
      </right>
      <top/>
      <bottom style="dotted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dotted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dotted">
        <color theme="8" tint="-0.24994659260841701"/>
      </top>
      <bottom style="dotted">
        <color theme="8" tint="-0.24994659260841701"/>
      </bottom>
      <diagonal/>
    </border>
    <border>
      <left/>
      <right style="thin">
        <color theme="8" tint="-0.24994659260841701"/>
      </right>
      <top style="dotted">
        <color theme="8" tint="-0.24994659260841701"/>
      </top>
      <bottom style="dotted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dotted">
        <color theme="8" tint="-0.24994659260841701"/>
      </top>
      <bottom style="dotted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dotted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dotted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dotted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dotted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dotted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dotted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dotted">
        <color theme="8" tint="-0.24994659260841701"/>
      </top>
      <bottom style="dotted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dotted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medium">
        <color theme="8" tint="-0.24994659260841701"/>
      </right>
      <top style="thin">
        <color theme="8" tint="-0.24994659260841701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/>
      <diagonal/>
    </border>
    <border>
      <left style="medium">
        <color rgb="FF00B0F0"/>
      </left>
      <right style="thin">
        <color rgb="FF00B0F0"/>
      </right>
      <top style="medium">
        <color rgb="FF00B0F0"/>
      </top>
      <bottom/>
      <diagonal/>
    </border>
    <border>
      <left style="double">
        <color theme="8" tint="-0.24994659260841701"/>
      </left>
      <right style="medium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/>
      <top/>
      <bottom style="thin">
        <color theme="8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 style="double">
        <color theme="8" tint="-0.24994659260841701"/>
      </left>
      <right style="medium">
        <color theme="8" tint="-0.24994659260841701"/>
      </right>
      <top/>
      <bottom style="thin">
        <color theme="8" tint="-0.24994659260841701"/>
      </bottom>
      <diagonal/>
    </border>
    <border>
      <left style="double">
        <color theme="8" tint="-0.24994659260841701"/>
      </left>
      <right style="medium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/>
      <top/>
      <bottom style="dotted">
        <color theme="8" tint="-0.24994659260841701"/>
      </bottom>
      <diagonal/>
    </border>
    <border>
      <left style="thin">
        <color theme="8" tint="-0.24994659260841701"/>
      </left>
      <right/>
      <top style="dotted">
        <color theme="8" tint="-0.24994659260841701"/>
      </top>
      <bottom style="dotted">
        <color theme="8" tint="-0.24994659260841701"/>
      </bottom>
      <diagonal/>
    </border>
    <border>
      <left style="thin">
        <color theme="8" tint="-0.24994659260841701"/>
      </left>
      <right/>
      <top style="dotted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dotted">
        <color theme="8" tint="-0.24994659260841701"/>
      </bottom>
      <diagonal/>
    </border>
    <border>
      <left style="double">
        <color theme="8" tint="-0.24994659260841701"/>
      </left>
      <right style="medium">
        <color theme="8" tint="-0.24994659260841701"/>
      </right>
      <top/>
      <bottom style="dotted">
        <color theme="8" tint="-0.24994659260841701"/>
      </bottom>
      <diagonal/>
    </border>
    <border>
      <left style="double">
        <color theme="8" tint="-0.24994659260841701"/>
      </left>
      <right style="medium">
        <color theme="8" tint="-0.24994659260841701"/>
      </right>
      <top style="dotted">
        <color theme="8" tint="-0.24994659260841701"/>
      </top>
      <bottom style="dotted">
        <color theme="8" tint="-0.24994659260841701"/>
      </bottom>
      <diagonal/>
    </border>
    <border>
      <left style="double">
        <color theme="8" tint="-0.24994659260841701"/>
      </left>
      <right style="medium">
        <color theme="8" tint="-0.24994659260841701"/>
      </right>
      <top style="dotted">
        <color theme="8" tint="-0.24994659260841701"/>
      </top>
      <bottom style="thin">
        <color theme="8" tint="-0.24994659260841701"/>
      </bottom>
      <diagonal/>
    </border>
    <border>
      <left style="double">
        <color theme="8" tint="-0.24994659260841701"/>
      </left>
      <right style="medium">
        <color theme="8" tint="-0.24994659260841701"/>
      </right>
      <top style="thin">
        <color theme="8" tint="-0.24994659260841701"/>
      </top>
      <bottom style="dotted">
        <color theme="8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 style="double">
        <color theme="8" tint="-0.24994659260841701"/>
      </left>
      <right style="medium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medium">
        <color theme="8" tint="-0.24994659260841701"/>
      </right>
      <top style="dotted">
        <color theme="8" tint="-0.24994659260841701"/>
      </top>
      <bottom/>
      <diagonal/>
    </border>
    <border>
      <left/>
      <right style="thin">
        <color theme="8" tint="-0.24994659260841701"/>
      </right>
      <top style="dotted">
        <color theme="8" tint="-0.24994659260841701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dotted">
        <color theme="8" tint="-0.24994659260841701"/>
      </top>
      <bottom/>
      <diagonal/>
    </border>
    <border>
      <left style="thin">
        <color theme="8" tint="-0.24994659260841701"/>
      </left>
      <right/>
      <top style="dotted">
        <color theme="8" tint="-0.24994659260841701"/>
      </top>
      <bottom/>
      <diagonal/>
    </border>
    <border>
      <left style="double">
        <color theme="8" tint="-0.24994659260841701"/>
      </left>
      <right style="medium">
        <color theme="8" tint="-0.24994659260841701"/>
      </right>
      <top style="dotted">
        <color theme="8" tint="-0.24994659260841701"/>
      </top>
      <bottom/>
      <diagonal/>
    </border>
    <border>
      <left style="medium">
        <color theme="8" tint="-0.24994659260841701"/>
      </left>
      <right/>
      <top style="thin">
        <color theme="8" tint="-0.24994659260841701"/>
      </top>
      <bottom/>
      <diagonal/>
    </border>
    <border>
      <left/>
      <right style="medium">
        <color theme="8" tint="-0.24994659260841701"/>
      </right>
      <top style="thin">
        <color theme="8" tint="-0.24994659260841701"/>
      </top>
      <bottom/>
      <diagonal/>
    </border>
    <border>
      <left style="medium">
        <color theme="8" tint="-0.24994659260841701"/>
      </left>
      <right style="thin">
        <color theme="8" tint="-0.24994659260841701"/>
      </right>
      <top style="dotted">
        <color theme="8" tint="-0.24994659260841701"/>
      </top>
      <bottom/>
      <diagonal/>
    </border>
    <border>
      <left style="medium">
        <color theme="8" tint="-0.24994659260841701"/>
      </left>
      <right style="thin">
        <color theme="8" tint="-0.24994659260841701"/>
      </right>
      <top style="double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double">
        <color theme="8" tint="-0.24994659260841701"/>
      </top>
      <bottom style="medium">
        <color theme="8" tint="-0.24994659260841701"/>
      </bottom>
      <diagonal/>
    </border>
    <border>
      <left/>
      <right style="thin">
        <color theme="8" tint="-0.24994659260841701"/>
      </right>
      <top style="double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double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/>
      <top style="double">
        <color theme="8" tint="-0.24994659260841701"/>
      </top>
      <bottom style="medium">
        <color theme="8" tint="-0.24994659260841701"/>
      </bottom>
      <diagonal/>
    </border>
    <border>
      <left style="double">
        <color theme="8" tint="-0.24994659260841701"/>
      </left>
      <right style="medium">
        <color theme="8" tint="-0.24994659260841701"/>
      </right>
      <top style="double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/>
      <top style="double">
        <color theme="8" tint="-0.24994659260841701"/>
      </top>
      <bottom style="medium">
        <color theme="8" tint="-0.24994659260841701"/>
      </bottom>
      <diagonal/>
    </border>
    <border>
      <left/>
      <right style="medium">
        <color theme="8" tint="-0.24994659260841701"/>
      </right>
      <top style="double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double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/>
      <bottom style="dotted">
        <color theme="8" tint="-0.24994659260841701"/>
      </bottom>
      <diagonal/>
    </border>
    <border>
      <left style="medium">
        <color theme="8" tint="-0.24994659260841701"/>
      </left>
      <right/>
      <top/>
      <bottom style="medium">
        <color theme="8" tint="-0.24994659260841701"/>
      </bottom>
      <diagonal/>
    </border>
    <border>
      <left/>
      <right/>
      <top/>
      <bottom style="medium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/>
      <bottom style="medium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medium">
        <color theme="8" tint="-0.24994659260841701"/>
      </bottom>
      <diagonal/>
    </border>
    <border>
      <left style="thin">
        <color theme="8" tint="-0.24994659260841701"/>
      </left>
      <right style="double">
        <color theme="8" tint="-0.24994659260841701"/>
      </right>
      <top/>
      <bottom style="medium">
        <color theme="8" tint="-0.24994659260841701"/>
      </bottom>
      <diagonal/>
    </border>
    <border>
      <left/>
      <right style="medium">
        <color theme="8" tint="-0.24994659260841701"/>
      </right>
      <top/>
      <bottom style="medium">
        <color theme="8" tint="-0.24994659260841701"/>
      </bottom>
      <diagonal/>
    </border>
    <border>
      <left style="medium">
        <color theme="8" tint="-0.24994659260841701"/>
      </left>
      <right/>
      <top style="medium">
        <color theme="8" tint="-0.24994659260841701"/>
      </top>
      <bottom style="thin">
        <color theme="8" tint="-0.24994659260841701"/>
      </bottom>
      <diagonal/>
    </border>
    <border>
      <left/>
      <right style="medium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double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double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/>
      <top style="thin">
        <color theme="8" tint="-0.24994659260841701"/>
      </top>
      <bottom style="double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double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double">
        <color theme="8" tint="-0.24994659260841701"/>
      </bottom>
      <diagonal/>
    </border>
    <border>
      <left style="thin">
        <color theme="8" tint="-0.24994659260841701"/>
      </left>
      <right style="double">
        <color theme="8" tint="-0.24994659260841701"/>
      </right>
      <top style="thin">
        <color theme="8" tint="-0.24994659260841701"/>
      </top>
      <bottom style="double">
        <color theme="8" tint="-0.24994659260841701"/>
      </bottom>
      <diagonal/>
    </border>
    <border>
      <left/>
      <right style="medium">
        <color theme="8" tint="-0.24994659260841701"/>
      </right>
      <top style="thin">
        <color theme="8" tint="-0.24994659260841701"/>
      </top>
      <bottom style="double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thin">
        <color theme="8" tint="-0.24994659260841701"/>
      </top>
      <bottom style="double">
        <color theme="8" tint="-0.24994659260841701"/>
      </bottom>
      <diagonal/>
    </border>
    <border>
      <left style="double">
        <color theme="8" tint="-0.24994659260841701"/>
      </left>
      <right/>
      <top style="double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 style="medium">
        <color theme="8" tint="-0.24994659260841701"/>
      </top>
      <bottom style="double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/>
      <bottom style="medium">
        <color theme="8" tint="-0.24994659260841701"/>
      </bottom>
      <diagonal/>
    </border>
    <border>
      <left style="medium">
        <color theme="8" tint="-0.24994659260841701"/>
      </left>
      <right/>
      <top/>
      <bottom/>
      <diagonal/>
    </border>
    <border>
      <left/>
      <right style="medium">
        <color theme="8" tint="-0.24994659260841701"/>
      </right>
      <top/>
      <bottom/>
      <diagonal/>
    </border>
    <border>
      <left style="medium">
        <color theme="8" tint="-0.24994659260841701"/>
      </left>
      <right/>
      <top/>
      <bottom style="double">
        <color theme="8" tint="-0.24994659260841701"/>
      </bottom>
      <diagonal/>
    </border>
    <border>
      <left/>
      <right style="medium">
        <color theme="8" tint="-0.24994659260841701"/>
      </right>
      <top/>
      <bottom style="double">
        <color theme="8" tint="-0.24994659260841701"/>
      </bottom>
      <diagonal/>
    </border>
    <border>
      <left style="medium">
        <color theme="0" tint="-0.499984740745262"/>
      </left>
      <right style="medium">
        <color theme="0" tint="-0.499984740745262"/>
      </right>
      <top style="double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double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ouble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double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double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dotted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dotted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  <border>
      <left/>
      <right style="thin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dotted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dotted">
        <color theme="0" tint="-0.499984740745262"/>
      </top>
      <bottom style="double">
        <color theme="0" tint="-0.499984740745262"/>
      </bottom>
      <diagonal/>
    </border>
    <border>
      <left/>
      <right style="thin">
        <color theme="0" tint="-0.499984740745262"/>
      </right>
      <top style="dotted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otted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/>
      <top style="medium">
        <color theme="0" tint="-0.499984740745262"/>
      </top>
      <bottom/>
      <diagonal/>
    </border>
    <border>
      <left style="thin">
        <color theme="0" tint="-0.499984740745262"/>
      </left>
      <right/>
      <top style="medium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/>
      <top style="dotted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/>
      <top style="dotted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/>
      <top style="double">
        <color theme="0" tint="-0.499984740745262"/>
      </top>
      <bottom style="medium">
        <color theme="0" tint="-0.499984740745262"/>
      </bottom>
      <diagonal/>
    </border>
    <border>
      <left style="double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double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dotted">
        <color theme="0" tint="-0.499984740745262"/>
      </bottom>
      <diagonal/>
    </border>
    <border>
      <left style="double">
        <color theme="0" tint="-0.499984740745262"/>
      </left>
      <right style="medium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  <border>
      <left style="double">
        <color theme="0" tint="-0.499984740745262"/>
      </left>
      <right style="medium">
        <color theme="0" tint="-0.499984740745262"/>
      </right>
      <top style="dotted">
        <color theme="0" tint="-0.499984740745262"/>
      </top>
      <bottom style="double">
        <color theme="0" tint="-0.499984740745262"/>
      </bottom>
      <diagonal/>
    </border>
    <border>
      <left style="double">
        <color theme="0" tint="-0.499984740745262"/>
      </left>
      <right style="medium">
        <color theme="0" tint="-0.499984740745262"/>
      </right>
      <top style="double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/>
      <top/>
      <bottom style="medium">
        <color theme="0" tint="-0.499984740745262"/>
      </bottom>
      <diagonal/>
    </border>
    <border>
      <left style="double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double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double">
        <color theme="0" tint="-0.499984740745262"/>
      </left>
      <right style="medium">
        <color theme="0" tint="-0.499984740745262"/>
      </right>
      <top style="thin">
        <color theme="0" tint="-0.499984740745262"/>
      </top>
      <bottom style="double">
        <color theme="0" tint="-0.499984740745262"/>
      </bottom>
      <diagonal/>
    </border>
    <border>
      <left style="double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/>
      <top style="dotted">
        <color theme="0" tint="-0.499984740745262"/>
      </top>
      <bottom/>
      <diagonal/>
    </border>
    <border>
      <left/>
      <right style="medium">
        <color theme="0" tint="-0.499984740745262"/>
      </right>
      <top style="dotted">
        <color theme="0" tint="-0.499984740745262"/>
      </top>
      <bottom/>
      <diagonal/>
    </border>
    <border>
      <left style="medium">
        <color theme="0" tint="-0.499984740745262"/>
      </left>
      <right/>
      <top/>
      <bottom style="dotted">
        <color theme="0" tint="-0.499984740745262"/>
      </bottom>
      <diagonal/>
    </border>
    <border>
      <left/>
      <right style="medium">
        <color theme="0" tint="-0.499984740745262"/>
      </right>
      <top/>
      <bottom style="dotted">
        <color theme="0" tint="-0.499984740745262"/>
      </bottom>
      <diagonal/>
    </border>
    <border>
      <left style="thin">
        <color theme="0" tint="-0.499984740745262"/>
      </left>
      <right style="double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 style="double">
        <color theme="0" tint="-0.499984740745262"/>
      </right>
      <top style="double">
        <color theme="0" tint="-0.499984740745262"/>
      </top>
      <bottom style="medium">
        <color theme="0" tint="-0.499984740745262"/>
      </bottom>
      <diagonal/>
    </border>
    <border>
      <left style="thin">
        <color rgb="FF00B0F0"/>
      </left>
      <right/>
      <top/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/>
      <right style="thin">
        <color theme="8" tint="-0.24994659260841701"/>
      </right>
      <top/>
      <bottom/>
      <diagonal/>
    </border>
    <border>
      <left style="thin">
        <color theme="8" tint="-0.24994659260841701"/>
      </left>
      <right style="thin">
        <color theme="8" tint="-0.24994659260841701"/>
      </right>
      <top/>
      <bottom/>
      <diagonal/>
    </border>
    <border>
      <left style="thin">
        <color theme="8" tint="-0.24994659260841701"/>
      </left>
      <right/>
      <top/>
      <bottom/>
      <diagonal/>
    </border>
    <border>
      <left style="double">
        <color theme="8" tint="-0.24994659260841701"/>
      </left>
      <right style="medium">
        <color theme="8" tint="-0.24994659260841701"/>
      </right>
      <top/>
      <bottom/>
      <diagonal/>
    </border>
    <border>
      <left/>
      <right/>
      <top style="dotted">
        <color theme="1" tint="0.499984740745262"/>
      </top>
      <bottom style="dotted">
        <color theme="1" tint="0.499984740745262"/>
      </bottom>
      <diagonal/>
    </border>
    <border>
      <left/>
      <right/>
      <top style="medium">
        <color theme="1" tint="0.499984740745262"/>
      </top>
      <bottom/>
      <diagonal/>
    </border>
    <border>
      <left/>
      <right/>
      <top style="thin">
        <color theme="1" tint="0.499984740745262"/>
      </top>
      <bottom style="dotted">
        <color theme="1" tint="0.499984740745262"/>
      </bottom>
      <diagonal/>
    </border>
    <border>
      <left/>
      <right/>
      <top style="dotted">
        <color theme="1" tint="0.499984740745262"/>
      </top>
      <bottom style="medium">
        <color theme="1" tint="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34998626667073579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34998626667073579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34998626667073579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/>
      <diagonal/>
    </border>
    <border>
      <left/>
      <right style="medium">
        <color theme="1" tint="0.499984740745262"/>
      </right>
      <top style="dotted">
        <color theme="1" tint="0.499984740745262"/>
      </top>
      <bottom style="dotted">
        <color theme="1" tint="0.499984740745262"/>
      </bottom>
      <diagonal/>
    </border>
    <border>
      <left/>
      <right style="medium">
        <color theme="1" tint="0.499984740745262"/>
      </right>
      <top style="thin">
        <color theme="1" tint="0.499984740745262"/>
      </top>
      <bottom style="dotted">
        <color theme="1" tint="0.499984740745262"/>
      </bottom>
      <diagonal/>
    </border>
    <border>
      <left/>
      <right style="medium">
        <color theme="1" tint="0.499984740745262"/>
      </right>
      <top style="dotted">
        <color theme="1" tint="0.499984740745262"/>
      </top>
      <bottom style="thin">
        <color theme="1" tint="0.499984740745262"/>
      </bottom>
      <diagonal/>
    </border>
    <border>
      <left/>
      <right style="medium">
        <color theme="1" tint="0.499984740745262"/>
      </right>
      <top style="dotted">
        <color theme="1" tint="0.499984740745262"/>
      </top>
      <bottom style="medium">
        <color theme="1" tint="0.499984740745262"/>
      </bottom>
      <diagonal/>
    </border>
    <border>
      <left/>
      <right/>
      <top style="medium">
        <color theme="1" tint="0.499984740745262"/>
      </top>
      <bottom style="medium">
        <color theme="1" tint="0.499984740745262"/>
      </bottom>
      <diagonal/>
    </border>
    <border>
      <left/>
      <right/>
      <top style="dotted">
        <color theme="1" tint="0.499984740745262"/>
      </top>
      <bottom/>
      <diagonal/>
    </border>
    <border>
      <left/>
      <right style="medium">
        <color theme="1" tint="0.499984740745262"/>
      </right>
      <top style="dotted">
        <color theme="1" tint="0.499984740745262"/>
      </top>
      <bottom/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 style="medium">
        <color theme="1" tint="0.499984740745262"/>
      </left>
      <right/>
      <top style="dotted">
        <color theme="1" tint="0.499984740745262"/>
      </top>
      <bottom style="dotted">
        <color theme="1" tint="0.499984740745262"/>
      </bottom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 style="medium">
        <color theme="1" tint="0.499984740745262"/>
      </left>
      <right/>
      <top style="dotted">
        <color theme="1" tint="0.499984740745262"/>
      </top>
      <bottom/>
      <diagonal/>
    </border>
    <border>
      <left style="medium">
        <color theme="1" tint="0.499984740745262"/>
      </left>
      <right/>
      <top style="dotted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dotted">
        <color theme="1" tint="0.499984740745262"/>
      </bottom>
      <diagonal/>
    </border>
    <border>
      <left style="medium">
        <color theme="1" tint="0.499984740745262"/>
      </left>
      <right/>
      <top/>
      <bottom/>
      <diagonal/>
    </border>
    <border>
      <left style="thin">
        <color theme="1" tint="0.499984740745262"/>
      </left>
      <right style="medium">
        <color theme="1" tint="0.499984740745262"/>
      </right>
      <top/>
      <bottom/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/>
      <right style="thin">
        <color theme="1" tint="0.499984740745262"/>
      </right>
      <top/>
      <bottom/>
      <diagonal/>
    </border>
    <border>
      <left style="medium">
        <color theme="1" tint="0.499984740745262"/>
      </left>
      <right style="thin">
        <color theme="1" tint="0.499984740745262"/>
      </right>
      <top/>
      <bottom/>
      <diagonal/>
    </border>
    <border>
      <left style="medium">
        <color theme="1" tint="0.499984740745262"/>
      </left>
      <right/>
      <top style="thin">
        <color theme="1" tint="0.499984740745262"/>
      </top>
      <bottom style="dotted">
        <color theme="1" tint="0.499984740745262"/>
      </bottom>
      <diagonal/>
    </border>
    <border>
      <left style="medium">
        <color theme="1" tint="0.499984740745262"/>
      </left>
      <right/>
      <top style="dotted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theme="4" tint="0.39994506668294322"/>
      </left>
      <right/>
      <top style="thin">
        <color theme="4" tint="0.39994506668294322"/>
      </top>
      <bottom style="medium">
        <color rgb="FF0070C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medium">
        <color rgb="FF0070C0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 style="thin">
        <color theme="4" tint="0.39994506668294322"/>
      </top>
      <bottom style="medium">
        <color rgb="FF0070C0"/>
      </bottom>
      <diagonal/>
    </border>
    <border>
      <left style="medium">
        <color rgb="FF0070C0"/>
      </left>
      <right/>
      <top style="thin">
        <color theme="4" tint="0.39994506668294322"/>
      </top>
      <bottom style="medium">
        <color rgb="FF0070C0"/>
      </bottom>
      <diagonal/>
    </border>
    <border>
      <left style="thin">
        <color theme="4" tint="0.39994506668294322"/>
      </left>
      <right/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rgb="FF0070C0"/>
      </left>
      <right style="medium">
        <color rgb="FF0070C0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rgb="FF0070C0"/>
      </left>
      <right/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/>
      <top/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/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rgb="FF0070C0"/>
      </left>
      <right style="medium">
        <color rgb="FF0070C0"/>
      </right>
      <top/>
      <bottom style="thin">
        <color theme="4" tint="0.39994506668294322"/>
      </bottom>
      <diagonal/>
    </border>
    <border>
      <left style="medium">
        <color rgb="FF0070C0"/>
      </left>
      <right/>
      <top/>
      <bottom style="thin">
        <color theme="4" tint="0.39994506668294322"/>
      </bottom>
      <diagonal/>
    </border>
    <border>
      <left style="thin">
        <color theme="4" tint="0.39994506668294322"/>
      </left>
      <right/>
      <top style="medium">
        <color rgb="FF0070C0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medium">
        <color rgb="FF0070C0"/>
      </top>
      <bottom style="thin">
        <color theme="4" tint="0.39994506668294322"/>
      </bottom>
      <diagonal/>
    </border>
    <border>
      <left/>
      <right style="thin">
        <color theme="4" tint="0.39994506668294322"/>
      </right>
      <top style="medium">
        <color rgb="FF0070C0"/>
      </top>
      <bottom style="thin">
        <color theme="4" tint="0.39994506668294322"/>
      </bottom>
      <diagonal/>
    </border>
    <border>
      <left style="thin">
        <color rgb="FF0070C0"/>
      </left>
      <right style="medium">
        <color rgb="FF0070C0"/>
      </right>
      <top style="medium">
        <color rgb="FF0070C0"/>
      </top>
      <bottom style="thin">
        <color theme="4" tint="0.39994506668294322"/>
      </bottom>
      <diagonal/>
    </border>
    <border>
      <left style="medium">
        <color rgb="FF0070C0"/>
      </left>
      <right/>
      <top style="medium">
        <color rgb="FF0070C0"/>
      </top>
      <bottom style="thin">
        <color theme="4" tint="0.39994506668294322"/>
      </bottom>
      <diagonal/>
    </border>
    <border>
      <left style="thin">
        <color theme="4" tint="0.39994506668294322"/>
      </left>
      <right/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/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rgb="FF0070C0"/>
      </left>
      <right style="medium">
        <color rgb="FF0070C0"/>
      </right>
      <top style="thin">
        <color theme="4" tint="0.39994506668294322"/>
      </top>
      <bottom/>
      <diagonal/>
    </border>
    <border>
      <left style="medium">
        <color rgb="FF0070C0"/>
      </left>
      <right/>
      <top style="thin">
        <color theme="4" tint="0.39994506668294322"/>
      </top>
      <bottom/>
      <diagonal/>
    </border>
    <border>
      <left style="thin">
        <color theme="4" tint="0.39994506668294322"/>
      </left>
      <right/>
      <top style="medium">
        <color rgb="FF0070C0"/>
      </top>
      <bottom/>
      <diagonal/>
    </border>
    <border>
      <left style="thin">
        <color theme="4" tint="0.39994506668294322"/>
      </left>
      <right style="thin">
        <color theme="4" tint="0.39994506668294322"/>
      </right>
      <top style="medium">
        <color rgb="FF0070C0"/>
      </top>
      <bottom/>
      <diagonal/>
    </border>
    <border>
      <left/>
      <right style="thin">
        <color theme="4" tint="0.39994506668294322"/>
      </right>
      <top style="medium">
        <color rgb="FF0070C0"/>
      </top>
      <bottom/>
      <diagonal/>
    </border>
    <border>
      <left style="medium">
        <color theme="4" tint="-0.499984740745262"/>
      </left>
      <right style="medium">
        <color rgb="FF0070C0"/>
      </right>
      <top style="thin">
        <color theme="4" tint="0.39994506668294322"/>
      </top>
      <bottom style="medium">
        <color rgb="FF0070C0"/>
      </bottom>
      <diagonal/>
    </border>
    <border>
      <left/>
      <right style="medium">
        <color rgb="FF0070C0"/>
      </right>
      <top style="thin">
        <color theme="4" tint="0.39994506668294322"/>
      </top>
      <bottom style="medium">
        <color rgb="FF0070C0"/>
      </bottom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 style="medium">
        <color theme="4" tint="-0.499984740745262"/>
      </left>
      <right style="medium">
        <color rgb="FF0070C0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theme="4" tint="-0.24994659260841701"/>
      </left>
      <right style="medium">
        <color rgb="FF0070C0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theme="4" tint="-0.24994659260841701"/>
      </left>
      <right style="medium">
        <color theme="4" tint="-0.24994659260841701"/>
      </right>
      <top style="thin">
        <color theme="4" tint="0.39994506668294322"/>
      </top>
      <bottom/>
      <diagonal/>
    </border>
    <border>
      <left style="medium">
        <color theme="4" tint="-0.24994659260841701"/>
      </left>
      <right style="medium">
        <color theme="4" tint="-0.24994659260841701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theme="4" tint="-0.499984740745262"/>
      </left>
      <right style="medium">
        <color rgb="FF0070C0"/>
      </right>
      <top/>
      <bottom style="thin">
        <color theme="4" tint="0.39994506668294322"/>
      </bottom>
      <diagonal/>
    </border>
    <border>
      <left style="medium">
        <color theme="4" tint="-0.24994659260841701"/>
      </left>
      <right style="medium">
        <color rgb="FF0070C0"/>
      </right>
      <top/>
      <bottom style="thin">
        <color theme="4" tint="0.39994506668294322"/>
      </bottom>
      <diagonal/>
    </border>
    <border>
      <left style="medium">
        <color theme="4" tint="-0.24994659260841701"/>
      </left>
      <right style="medium">
        <color theme="4" tint="-0.24994659260841701"/>
      </right>
      <top/>
      <bottom style="thin">
        <color theme="4" tint="0.39994506668294322"/>
      </bottom>
      <diagonal/>
    </border>
    <border>
      <left style="medium">
        <color theme="4" tint="-0.24994659260841701"/>
      </left>
      <right style="medium">
        <color rgb="FF0070C0"/>
      </right>
      <top style="thin">
        <color theme="4" tint="0.39994506668294322"/>
      </top>
      <bottom style="medium">
        <color rgb="FF0070C0"/>
      </bottom>
      <diagonal/>
    </border>
    <border>
      <left style="medium">
        <color theme="4" tint="-0.24994659260841701"/>
      </left>
      <right style="medium">
        <color theme="4" tint="-0.24994659260841701"/>
      </right>
      <top style="thin">
        <color theme="4" tint="0.39994506668294322"/>
      </top>
      <bottom style="medium">
        <color rgb="FF0070C0"/>
      </bottom>
      <diagonal/>
    </border>
    <border>
      <left style="medium">
        <color theme="4" tint="-0.499984740745262"/>
      </left>
      <right style="medium">
        <color rgb="FF0070C0"/>
      </right>
      <top style="medium">
        <color rgb="FF0070C0"/>
      </top>
      <bottom style="thin">
        <color theme="4" tint="0.39994506668294322"/>
      </bottom>
      <diagonal/>
    </border>
    <border>
      <left style="medium">
        <color theme="4" tint="-0.24994659260841701"/>
      </left>
      <right style="medium">
        <color rgb="FF0070C0"/>
      </right>
      <top style="medium">
        <color rgb="FF0070C0"/>
      </top>
      <bottom style="thin">
        <color theme="4" tint="0.39994506668294322"/>
      </bottom>
      <diagonal/>
    </border>
    <border>
      <left style="medium">
        <color theme="4" tint="-0.24994659260841701"/>
      </left>
      <right style="medium">
        <color theme="4" tint="-0.24994659260841701"/>
      </right>
      <top style="medium">
        <color rgb="FF0070C0"/>
      </top>
      <bottom style="thin">
        <color theme="4" tint="0.39994506668294322"/>
      </bottom>
      <diagonal/>
    </border>
    <border>
      <left style="medium">
        <color theme="4" tint="-0.499984740745262"/>
      </left>
      <right style="medium">
        <color rgb="FF0070C0"/>
      </right>
      <top style="thin">
        <color theme="4" tint="0.39994506668294322"/>
      </top>
      <bottom/>
      <diagonal/>
    </border>
    <border>
      <left style="medium">
        <color theme="4" tint="-0.499984740745262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theme="4" tint="-0.24994659260841701"/>
      </left>
      <right style="medium">
        <color rgb="FF0070C0"/>
      </right>
      <top style="medium">
        <color rgb="FF0070C0"/>
      </top>
      <bottom/>
      <diagonal/>
    </border>
    <border>
      <left style="medium">
        <color theme="4" tint="-0.24994659260841701"/>
      </left>
      <right style="medium">
        <color theme="4" tint="-0.24994659260841701"/>
      </right>
      <top style="medium">
        <color rgb="FF0070C0"/>
      </top>
      <bottom/>
      <diagonal/>
    </border>
    <border>
      <left style="medium">
        <color rgb="FF0070C0"/>
      </left>
      <right style="medium">
        <color rgb="FF0070C0"/>
      </right>
      <top/>
      <bottom style="thin">
        <color theme="4" tint="0.39994506668294322"/>
      </bottom>
      <diagonal/>
    </border>
    <border>
      <left style="medium">
        <color rgb="FF0070C0"/>
      </left>
      <right style="medium">
        <color rgb="FF0070C0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rgb="FF0070C0"/>
      </left>
      <right style="medium">
        <color rgb="FF0070C0"/>
      </right>
      <top style="thin">
        <color theme="4" tint="0.39994506668294322"/>
      </top>
      <bottom/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thin">
        <color theme="4" tint="0.39994506668294322"/>
      </bottom>
      <diagonal/>
    </border>
    <border>
      <left style="medium">
        <color rgb="FF0070C0"/>
      </left>
      <right style="medium">
        <color rgb="FF0070C0"/>
      </right>
      <top style="thin">
        <color theme="4" tint="0.39994506668294322"/>
      </top>
      <bottom style="medium">
        <color rgb="FF0070C0"/>
      </bottom>
      <diagonal/>
    </border>
    <border>
      <left style="medium">
        <color rgb="FF0070C0"/>
      </left>
      <right/>
      <top style="medium">
        <color theme="4"/>
      </top>
      <bottom style="thin">
        <color rgb="FF0070C0"/>
      </bottom>
      <diagonal/>
    </border>
    <border>
      <left/>
      <right style="medium">
        <color rgb="FF0070C0"/>
      </right>
      <top style="medium">
        <color rgb="FF0070C0"/>
      </top>
      <bottom style="thin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thin">
        <color rgb="FF0070C0"/>
      </bottom>
      <diagonal/>
    </border>
    <border>
      <left style="medium">
        <color theme="4"/>
      </left>
      <right style="medium">
        <color theme="4"/>
      </right>
      <top style="medium">
        <color rgb="FF0070C0"/>
      </top>
      <bottom style="thin">
        <color rgb="FF0070C0"/>
      </bottom>
      <diagonal/>
    </border>
    <border>
      <left style="medium">
        <color theme="4"/>
      </left>
      <right style="medium">
        <color theme="4"/>
      </right>
      <top style="thin">
        <color rgb="FF0070C0"/>
      </top>
      <bottom style="thin">
        <color rgb="FF0070C0"/>
      </bottom>
      <diagonal/>
    </border>
    <border>
      <left style="medium">
        <color theme="4"/>
      </left>
      <right style="medium">
        <color theme="4"/>
      </right>
      <top style="thin">
        <color rgb="FF0070C0"/>
      </top>
      <bottom/>
      <diagonal/>
    </border>
    <border>
      <left style="medium">
        <color theme="4"/>
      </left>
      <right style="medium">
        <color theme="4"/>
      </right>
      <top style="medium">
        <color rgb="FF0070C0"/>
      </top>
      <bottom style="medium">
        <color rgb="FF0070C0"/>
      </bottom>
      <diagonal/>
    </border>
    <border>
      <left style="medium">
        <color theme="0" tint="-0.34998626667073579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34998626667073579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34998626667073579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34998626667073579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/>
      <right style="medium">
        <color theme="1" tint="0.499984740745262"/>
      </right>
      <top/>
      <bottom/>
      <diagonal/>
    </border>
    <border diagonalDown="1"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 style="thin">
        <color rgb="FF00B0F0"/>
      </diagonal>
    </border>
    <border>
      <left style="thin">
        <color rgb="FF00B0F0"/>
      </left>
      <right/>
      <top style="thin">
        <color rgb="FF00B0F0"/>
      </top>
      <bottom/>
      <diagonal/>
    </border>
    <border>
      <left style="thin">
        <color rgb="FF00B0F0"/>
      </left>
      <right/>
      <top style="double">
        <color rgb="FF00B0F0"/>
      </top>
      <bottom style="medium">
        <color rgb="FF00B0F0"/>
      </bottom>
      <diagonal/>
    </border>
    <border>
      <left/>
      <right style="thin">
        <color theme="1" tint="0.499984740745262"/>
      </right>
      <top/>
      <bottom style="dotted">
        <color theme="1" tint="0.499984740745262"/>
      </bottom>
      <diagonal/>
    </border>
    <border diagonalUp="1"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dotted">
        <color theme="1" tint="0.499984740745262"/>
      </bottom>
      <diagonal style="dotted">
        <color theme="1" tint="0.499984740745262"/>
      </diagonal>
    </border>
    <border diagonalUp="1"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dotted">
        <color theme="1" tint="0.499984740745262"/>
      </bottom>
      <diagonal style="dotted">
        <color theme="1" tint="0.499984740745262"/>
      </diagonal>
    </border>
    <border diagonalUp="1">
      <left style="medium">
        <color theme="1" tint="0.499984740745262"/>
      </left>
      <right style="thin">
        <color theme="1" tint="0.499984740745262"/>
      </right>
      <top style="dotted">
        <color theme="1" tint="0.499984740745262"/>
      </top>
      <bottom style="thin">
        <color theme="1" tint="0.499984740745262"/>
      </bottom>
      <diagonal style="dotted">
        <color theme="1" tint="0.499984740745262"/>
      </diagonal>
    </border>
    <border>
      <left/>
      <right/>
      <top style="dotted">
        <color theme="1" tint="0.499984740745262"/>
      </top>
      <bottom style="thin">
        <color theme="1" tint="0.499984740745262"/>
      </bottom>
      <diagonal/>
    </border>
    <border diagonalUp="1">
      <left style="thin">
        <color theme="1" tint="0.499984740745262"/>
      </left>
      <right style="medium">
        <color theme="1" tint="0.499984740745262"/>
      </right>
      <top style="dotted">
        <color theme="1" tint="0.499984740745262"/>
      </top>
      <bottom style="thin">
        <color theme="1" tint="0.499984740745262"/>
      </bottom>
      <diagonal style="dotted">
        <color theme="1" tint="0.499984740745262"/>
      </diagonal>
    </border>
    <border>
      <left style="medium">
        <color theme="1" tint="0.499984740745262"/>
      </left>
      <right/>
      <top/>
      <bottom style="dotted">
        <color theme="1" tint="0.499984740745262"/>
      </bottom>
      <diagonal/>
    </border>
    <border>
      <left/>
      <right/>
      <top style="medium">
        <color theme="1" tint="0.499984740745262"/>
      </top>
      <bottom style="dotted">
        <color theme="1" tint="0.499984740745262"/>
      </bottom>
      <diagonal/>
    </border>
    <border>
      <left/>
      <right/>
      <top/>
      <bottom style="dotted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dotted">
        <color theme="1" tint="0.499984740745262"/>
      </top>
      <bottom/>
      <diagonal/>
    </border>
    <border>
      <left style="medium">
        <color theme="4" tint="-0.24994659260841701"/>
      </left>
      <right style="medium">
        <color rgb="FF0070C0"/>
      </right>
      <top style="thin">
        <color theme="4" tint="0.39994506668294322"/>
      </top>
      <bottom/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 diagonalUp="1">
      <left style="medium">
        <color theme="1" tint="0.499984740745262"/>
      </left>
      <right style="thin">
        <color theme="1" tint="0.499984740745262"/>
      </right>
      <top style="dotted">
        <color theme="1" tint="0.499984740745262"/>
      </top>
      <bottom style="medium">
        <color theme="1" tint="0.499984740745262"/>
      </bottom>
      <diagonal style="dotted">
        <color theme="1" tint="0.499984740745262"/>
      </diagonal>
    </border>
    <border diagonalUp="1">
      <left style="thin">
        <color theme="1" tint="0.499984740745262"/>
      </left>
      <right style="medium">
        <color theme="1" tint="0.499984740745262"/>
      </right>
      <top style="dotted">
        <color theme="1" tint="0.499984740745262"/>
      </top>
      <bottom style="medium">
        <color theme="1" tint="0.499984740745262"/>
      </bottom>
      <diagonal style="dotted">
        <color theme="1" tint="0.499984740745262"/>
      </diagonal>
    </border>
    <border>
      <left style="thin">
        <color rgb="FF0070C0"/>
      </left>
      <right style="thin">
        <color rgb="FF0070C0"/>
      </right>
      <top/>
      <bottom style="medium">
        <color rgb="FF0070C0"/>
      </bottom>
      <diagonal/>
    </border>
    <border>
      <left style="medium">
        <color rgb="FF0070C0"/>
      </left>
      <right style="thin">
        <color rgb="FF0070C0"/>
      </right>
      <top/>
      <bottom style="thin">
        <color rgb="FF0070C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/>
      <diagonal/>
    </border>
    <border>
      <left style="medium">
        <color rgb="FF0070C0"/>
      </left>
      <right/>
      <top/>
      <bottom style="thin">
        <color rgb="FF0070C0"/>
      </bottom>
      <diagonal/>
    </border>
    <border>
      <left style="medium">
        <color rgb="FF0070C0"/>
      </left>
      <right style="thin">
        <color rgb="FF0070C0"/>
      </right>
      <top/>
      <bottom style="medium">
        <color rgb="FF0070C0"/>
      </bottom>
      <diagonal/>
    </border>
    <border>
      <left style="thin">
        <color rgb="FF0070C0"/>
      </left>
      <right/>
      <top/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/>
      <bottom style="medium">
        <color rgb="FF0070C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FF9933"/>
      </left>
      <right style="medium">
        <color rgb="FFFF9933"/>
      </right>
      <top style="medium">
        <color rgb="FFFF9933"/>
      </top>
      <bottom/>
      <diagonal/>
    </border>
    <border>
      <left style="medium">
        <color rgb="FFFF9933"/>
      </left>
      <right style="medium">
        <color rgb="FFFF9933"/>
      </right>
      <top/>
      <bottom/>
      <diagonal/>
    </border>
    <border>
      <left style="medium">
        <color rgb="FFFF9933"/>
      </left>
      <right style="medium">
        <color rgb="FFFF9933"/>
      </right>
      <top/>
      <bottom style="medium">
        <color rgb="FFFF9933"/>
      </bottom>
      <diagonal/>
    </border>
    <border>
      <left style="medium">
        <color rgb="FF00B0F0"/>
      </left>
      <right style="thin">
        <color rgb="FF0070C0"/>
      </right>
      <top style="thin">
        <color rgb="FF00B0F0"/>
      </top>
      <bottom/>
      <diagonal/>
    </border>
    <border>
      <left style="thin">
        <color rgb="FF0070C0"/>
      </left>
      <right style="thin">
        <color rgb="FF0070C0"/>
      </right>
      <top style="thin">
        <color rgb="FF00B0F0"/>
      </top>
      <bottom/>
      <diagonal/>
    </border>
    <border>
      <left style="thin">
        <color rgb="FF0070C0"/>
      </left>
      <right style="medium">
        <color rgb="FF00B0F0"/>
      </right>
      <top style="thin">
        <color rgb="FF00B0F0"/>
      </top>
      <bottom/>
      <diagonal/>
    </border>
    <border>
      <left style="thin">
        <color theme="8" tint="-0.24994659260841701"/>
      </left>
      <right style="medium">
        <color theme="8" tint="-0.24994659260841701"/>
      </right>
      <top/>
      <bottom style="dotted">
        <color theme="8" tint="-0.24994659260841701"/>
      </bottom>
      <diagonal/>
    </border>
    <border>
      <left style="thin">
        <color rgb="FF0070C0"/>
      </left>
      <right style="medium">
        <color rgb="FF0070C0"/>
      </right>
      <top/>
      <bottom/>
      <diagonal/>
    </border>
    <border>
      <left/>
      <right/>
      <top style="medium">
        <color rgb="FF0070C0"/>
      </top>
      <bottom style="medium">
        <color rgb="FF0070C0"/>
      </bottom>
      <diagonal/>
    </border>
    <border>
      <left/>
      <right/>
      <top style="thin">
        <color rgb="FF0070C0"/>
      </top>
      <bottom/>
      <diagonal/>
    </border>
    <border>
      <left/>
      <right style="medium">
        <color rgb="FF0070C0"/>
      </right>
      <top/>
      <bottom style="medium">
        <color rgb="FF0070C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0070C0"/>
      </bottom>
      <diagonal/>
    </border>
    <border>
      <left/>
      <right style="medium">
        <color rgb="FFFF0000"/>
      </right>
      <top style="medium">
        <color rgb="FF0070C0"/>
      </top>
      <bottom style="medium">
        <color rgb="FF0070C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FF0000"/>
      </left>
      <right style="medium">
        <color rgb="FFFF0000"/>
      </right>
      <top/>
      <bottom style="thin">
        <color rgb="FF0070C0"/>
      </bottom>
      <diagonal/>
    </border>
    <border>
      <left style="medium">
        <color rgb="FFFF0000"/>
      </left>
      <right style="medium">
        <color rgb="FFFF0000"/>
      </right>
      <top style="medium">
        <color rgb="FF0070C0"/>
      </top>
      <bottom style="thin">
        <color rgb="FF0070C0"/>
      </bottom>
      <diagonal/>
    </border>
    <border>
      <left style="medium">
        <color rgb="FFFF0000"/>
      </left>
      <right style="medium">
        <color rgb="FFFF0000"/>
      </right>
      <top style="thin">
        <color rgb="FF0070C0"/>
      </top>
      <bottom style="thin">
        <color rgb="FF0070C0"/>
      </bottom>
      <diagonal/>
    </border>
    <border>
      <left style="medium">
        <color rgb="FFFF0000"/>
      </left>
      <right style="medium">
        <color rgb="FFFF0000"/>
      </right>
      <top style="thin">
        <color rgb="FF0070C0"/>
      </top>
      <bottom/>
      <diagonal/>
    </border>
    <border>
      <left style="medium">
        <color rgb="FFFF0000"/>
      </left>
      <right style="medium">
        <color rgb="FFFF0000"/>
      </right>
      <top style="thin">
        <color rgb="FF0070C0"/>
      </top>
      <bottom style="medium">
        <color rgb="FF0070C0"/>
      </bottom>
      <diagonal/>
    </border>
    <border>
      <left style="medium">
        <color rgb="FFFF0000"/>
      </left>
      <right style="medium">
        <color rgb="FFFF0000"/>
      </right>
      <top style="medium">
        <color rgb="FF0070C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 diagonalUp="1">
      <left style="medium">
        <color theme="1" tint="0.499984740745262"/>
      </left>
      <right style="thin">
        <color theme="1" tint="0.499984740745262"/>
      </right>
      <top/>
      <bottom/>
      <diagonal style="dotted">
        <color theme="1" tint="0.499984740745262"/>
      </diagonal>
    </border>
    <border>
      <left style="medium">
        <color theme="1" tint="0.499984740745262"/>
      </left>
      <right style="medium">
        <color theme="1" tint="0.499984740745262"/>
      </right>
      <top/>
      <bottom style="dotted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/>
      <bottom style="dotted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dotted">
        <color theme="1" tint="0.499984740745262"/>
      </bottom>
      <diagonal/>
    </border>
    <border>
      <left style="thin">
        <color theme="1" tint="0.499984740745262"/>
      </left>
      <right/>
      <top style="medium">
        <color theme="1" tint="0.499984740745262"/>
      </top>
      <bottom style="dotted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dotted">
        <color theme="1" tint="0.499984740745262"/>
      </bottom>
      <diagonal/>
    </border>
    <border diagonalUp="1"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dotted">
        <color theme="1" tint="0.499984740745262"/>
      </bottom>
      <diagonal style="dotted">
        <color theme="1" tint="0.499984740745262"/>
      </diagonal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dotted">
        <color theme="1" tint="0.499984740745262"/>
      </bottom>
      <diagonal/>
    </border>
    <border diagonalUp="1">
      <left/>
      <right style="medium">
        <color theme="1" tint="0.499984740745262"/>
      </right>
      <top style="dotted">
        <color theme="1" tint="0.499984740745262"/>
      </top>
      <bottom style="dotted">
        <color theme="1" tint="0.499984740745262"/>
      </bottom>
      <diagonal style="dotted">
        <color theme="1" tint="0.499984740745262"/>
      </diagonal>
    </border>
    <border diagonalUp="1">
      <left style="thin">
        <color theme="1" tint="0.499984740745262"/>
      </left>
      <right/>
      <top style="dotted">
        <color theme="1" tint="0.499984740745262"/>
      </top>
      <bottom style="dotted">
        <color theme="1" tint="0.499984740745262"/>
      </bottom>
      <diagonal style="dotted">
        <color theme="1" tint="0.499984740745262"/>
      </diagonal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34998626667073579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 style="medium">
        <color theme="8" tint="-0.24994659260841701"/>
      </left>
      <right style="thin">
        <color theme="8" tint="-0.24994659260841701"/>
      </right>
      <top/>
      <bottom/>
      <diagonal/>
    </border>
    <border diagonalUp="1"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 style="thin">
        <color theme="0" tint="-0.499984740745262"/>
      </diagonal>
    </border>
    <border diagonalUp="1">
      <left style="medium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 style="thin">
        <color theme="0" tint="-0.499984740745262"/>
      </diagonal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 diagonalUp="1">
      <left/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 style="thin">
        <color theme="0" tint="-0.499984740745262"/>
      </diagonal>
    </border>
    <border>
      <left/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 diagonalUp="1">
      <left/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 style="thin">
        <color theme="0" tint="-0.499984740745262"/>
      </diagonal>
    </border>
    <border>
      <left/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34998626667073579"/>
      </left>
      <right style="medium">
        <color theme="0" tint="-0.34998626667073579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34998626667073579"/>
      </left>
      <right style="medium">
        <color theme="0" tint="-0.34998626667073579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34998626667073579"/>
      </left>
      <right style="medium">
        <color theme="0" tint="-0.34998626667073579"/>
      </right>
      <top/>
      <bottom style="thin">
        <color theme="0" tint="-0.499984740745262"/>
      </bottom>
      <diagonal/>
    </border>
    <border>
      <left style="thin">
        <color rgb="FF00B0F0"/>
      </left>
      <right style="medium">
        <color rgb="FF00B0F0"/>
      </right>
      <top style="thin">
        <color indexed="64"/>
      </top>
      <bottom style="thin">
        <color rgb="FF00B0F0"/>
      </bottom>
      <diagonal/>
    </border>
    <border>
      <left style="hair">
        <color rgb="FFFFAFAF"/>
      </left>
      <right style="hair">
        <color rgb="FFFFAFAF"/>
      </right>
      <top style="hair">
        <color rgb="FFFFAFAF"/>
      </top>
      <bottom style="hair">
        <color rgb="FFFFAFAF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/>
      <diagonal/>
    </border>
  </borders>
  <cellStyleXfs count="36">
    <xf numFmtId="0" fontId="0" fillId="0" borderId="0">
      <alignment vertical="center"/>
    </xf>
    <xf numFmtId="38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4" fillId="0" borderId="0">
      <alignment vertical="center"/>
    </xf>
    <xf numFmtId="0" fontId="22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4" fillId="0" borderId="0">
      <alignment vertical="center"/>
    </xf>
    <xf numFmtId="38" fontId="14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38" fontId="1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6" fontId="39" fillId="0" borderId="0" applyFont="0" applyFill="0" applyBorder="0" applyAlignment="0" applyProtection="0">
      <alignment vertical="center"/>
    </xf>
    <xf numFmtId="0" fontId="5" fillId="0" borderId="0">
      <alignment vertical="center"/>
    </xf>
  </cellStyleXfs>
  <cellXfs count="2489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0" fillId="0" borderId="0" xfId="0" applyFill="1" applyBorder="1" applyAlignment="1">
      <alignment horizontal="center" vertical="center"/>
    </xf>
    <xf numFmtId="178" fontId="0" fillId="0" borderId="1" xfId="0" applyNumberFormat="1" applyBorder="1">
      <alignment vertical="center"/>
    </xf>
    <xf numFmtId="178" fontId="0" fillId="0" borderId="0" xfId="0" applyNumberFormat="1">
      <alignment vertical="center"/>
    </xf>
    <xf numFmtId="178" fontId="0" fillId="0" borderId="0" xfId="0" applyNumberFormat="1" applyBorder="1">
      <alignment vertical="center"/>
    </xf>
    <xf numFmtId="0" fontId="0" fillId="0" borderId="0" xfId="0" applyAlignment="1">
      <alignment horizontal="right" vertical="center"/>
    </xf>
    <xf numFmtId="0" fontId="0" fillId="0" borderId="24" xfId="0" applyFill="1" applyBorder="1" applyAlignment="1">
      <alignment horizontal="center" vertical="center" shrinkToFit="1"/>
    </xf>
    <xf numFmtId="0" fontId="0" fillId="0" borderId="24" xfId="0" applyBorder="1" applyAlignment="1">
      <alignment horizontal="center" vertical="center"/>
    </xf>
    <xf numFmtId="177" fontId="0" fillId="0" borderId="24" xfId="0" applyNumberFormat="1" applyBorder="1" applyAlignment="1">
      <alignment horizontal="center" vertical="center" wrapText="1"/>
    </xf>
    <xf numFmtId="0" fontId="0" fillId="0" borderId="24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6" borderId="24" xfId="0" applyFill="1" applyBorder="1" applyAlignment="1">
      <alignment horizontal="center" vertical="center" shrinkToFit="1"/>
    </xf>
    <xf numFmtId="0" fontId="0" fillId="0" borderId="29" xfId="0" applyBorder="1">
      <alignment vertical="center"/>
    </xf>
    <xf numFmtId="178" fontId="0" fillId="0" borderId="4" xfId="0" applyNumberFormat="1" applyBorder="1">
      <alignment vertical="center"/>
    </xf>
    <xf numFmtId="0" fontId="47" fillId="0" borderId="0" xfId="5" applyFont="1">
      <alignment vertical="center"/>
    </xf>
    <xf numFmtId="0" fontId="38" fillId="0" borderId="0" xfId="5">
      <alignment vertical="center"/>
    </xf>
    <xf numFmtId="0" fontId="38" fillId="0" borderId="24" xfId="5" applyBorder="1" applyAlignment="1">
      <alignment horizontal="center" vertical="center"/>
    </xf>
    <xf numFmtId="0" fontId="38" fillId="7" borderId="24" xfId="5" applyFill="1" applyBorder="1" applyAlignment="1">
      <alignment horizontal="center" vertical="center"/>
    </xf>
    <xf numFmtId="178" fontId="38" fillId="7" borderId="24" xfId="5" applyNumberFormat="1" applyFill="1" applyBorder="1">
      <alignment vertical="center"/>
    </xf>
    <xf numFmtId="0" fontId="49" fillId="0" borderId="0" xfId="0" applyFont="1">
      <alignment vertical="center"/>
    </xf>
    <xf numFmtId="0" fontId="37" fillId="0" borderId="24" xfId="5" applyFont="1" applyBorder="1">
      <alignment vertical="center"/>
    </xf>
    <xf numFmtId="0" fontId="37" fillId="0" borderId="24" xfId="5" applyFont="1" applyBorder="1" applyAlignment="1">
      <alignment horizontal="center" vertical="center"/>
    </xf>
    <xf numFmtId="0" fontId="38" fillId="0" borderId="24" xfId="5" applyBorder="1">
      <alignment vertical="center"/>
    </xf>
    <xf numFmtId="178" fontId="38" fillId="0" borderId="0" xfId="5" applyNumberFormat="1">
      <alignment vertical="center"/>
    </xf>
    <xf numFmtId="0" fontId="36" fillId="0" borderId="24" xfId="5" applyFont="1" applyBorder="1">
      <alignment vertical="center"/>
    </xf>
    <xf numFmtId="177" fontId="0" fillId="0" borderId="0" xfId="0" applyNumberFormat="1">
      <alignment vertical="center"/>
    </xf>
    <xf numFmtId="0" fontId="35" fillId="0" borderId="0" xfId="5" applyFont="1">
      <alignment vertical="center"/>
    </xf>
    <xf numFmtId="0" fontId="32" fillId="0" borderId="0" xfId="5" applyFont="1">
      <alignment vertical="center"/>
    </xf>
    <xf numFmtId="178" fontId="50" fillId="0" borderId="4" xfId="0" applyNumberFormat="1" applyFont="1" applyBorder="1">
      <alignment vertical="center"/>
    </xf>
    <xf numFmtId="178" fontId="0" fillId="0" borderId="4" xfId="0" applyNumberFormat="1" applyFill="1" applyBorder="1">
      <alignment vertical="center"/>
    </xf>
    <xf numFmtId="0" fontId="47" fillId="0" borderId="0" xfId="6" applyFont="1">
      <alignment vertical="center"/>
    </xf>
    <xf numFmtId="0" fontId="31" fillId="0" borderId="0" xfId="6">
      <alignment vertical="center"/>
    </xf>
    <xf numFmtId="0" fontId="57" fillId="0" borderId="0" xfId="6" applyFont="1">
      <alignment vertical="center"/>
    </xf>
    <xf numFmtId="0" fontId="31" fillId="0" borderId="1" xfId="6" applyBorder="1" applyAlignment="1">
      <alignment horizontal="center" vertical="center"/>
    </xf>
    <xf numFmtId="0" fontId="31" fillId="0" borderId="1" xfId="6" applyBorder="1">
      <alignment vertical="center"/>
    </xf>
    <xf numFmtId="178" fontId="31" fillId="0" borderId="1" xfId="6" applyNumberFormat="1" applyBorder="1">
      <alignment vertical="center"/>
    </xf>
    <xf numFmtId="178" fontId="31" fillId="0" borderId="0" xfId="6" applyNumberFormat="1">
      <alignment vertical="center"/>
    </xf>
    <xf numFmtId="0" fontId="30" fillId="0" borderId="0" xfId="6" applyFont="1">
      <alignment vertical="center"/>
    </xf>
    <xf numFmtId="178" fontId="38" fillId="7" borderId="43" xfId="5" applyNumberFormat="1" applyFill="1" applyBorder="1">
      <alignment vertical="center"/>
    </xf>
    <xf numFmtId="0" fontId="37" fillId="0" borderId="43" xfId="5" applyFont="1" applyBorder="1">
      <alignment vertical="center"/>
    </xf>
    <xf numFmtId="177" fontId="0" fillId="4" borderId="24" xfId="0" applyNumberFormat="1" applyFill="1" applyBorder="1" applyAlignment="1">
      <alignment horizontal="center" vertical="center" wrapText="1"/>
    </xf>
    <xf numFmtId="0" fontId="55" fillId="0" borderId="0" xfId="5" applyFont="1">
      <alignment vertical="center"/>
    </xf>
    <xf numFmtId="0" fontId="58" fillId="0" borderId="0" xfId="0" applyFont="1">
      <alignment vertical="center"/>
    </xf>
    <xf numFmtId="0" fontId="60" fillId="0" borderId="0" xfId="7" applyFont="1">
      <alignment vertical="center"/>
    </xf>
    <xf numFmtId="0" fontId="61" fillId="0" borderId="0" xfId="7" applyFont="1">
      <alignment vertical="center"/>
    </xf>
    <xf numFmtId="178" fontId="0" fillId="0" borderId="9" xfId="0" applyNumberFormat="1" applyFill="1" applyBorder="1">
      <alignment vertical="center"/>
    </xf>
    <xf numFmtId="178" fontId="0" fillId="0" borderId="12" xfId="0" applyNumberFormat="1" applyFill="1" applyBorder="1">
      <alignment vertical="center"/>
    </xf>
    <xf numFmtId="0" fontId="0" fillId="5" borderId="24" xfId="0" applyFill="1" applyBorder="1" applyAlignment="1">
      <alignment horizontal="center" vertical="center" shrinkToFit="1"/>
    </xf>
    <xf numFmtId="0" fontId="0" fillId="5" borderId="24" xfId="0" applyFill="1" applyBorder="1">
      <alignment vertical="center"/>
    </xf>
    <xf numFmtId="178" fontId="55" fillId="0" borderId="0" xfId="5" applyNumberFormat="1" applyFont="1">
      <alignment vertical="center"/>
    </xf>
    <xf numFmtId="178" fontId="0" fillId="0" borderId="0" xfId="0" applyNumberFormat="1" applyAlignment="1">
      <alignment horizontal="center" vertical="center"/>
    </xf>
    <xf numFmtId="0" fontId="0" fillId="0" borderId="61" xfId="0" applyBorder="1">
      <alignment vertical="center"/>
    </xf>
    <xf numFmtId="178" fontId="0" fillId="6" borderId="4" xfId="0" applyNumberFormat="1" applyFill="1" applyBorder="1">
      <alignment vertical="center"/>
    </xf>
    <xf numFmtId="0" fontId="49" fillId="0" borderId="0" xfId="0" applyFont="1" applyFill="1" applyBorder="1">
      <alignment vertical="center"/>
    </xf>
    <xf numFmtId="0" fontId="0" fillId="0" borderId="0" xfId="0" applyBorder="1">
      <alignment vertical="center"/>
    </xf>
    <xf numFmtId="178" fontId="0" fillId="6" borderId="9" xfId="0" applyNumberFormat="1" applyFill="1" applyBorder="1">
      <alignment vertical="center"/>
    </xf>
    <xf numFmtId="178" fontId="0" fillId="0" borderId="72" xfId="0" applyNumberFormat="1" applyBorder="1">
      <alignment vertical="center"/>
    </xf>
    <xf numFmtId="178" fontId="0" fillId="0" borderId="73" xfId="0" applyNumberFormat="1" applyBorder="1">
      <alignment vertical="center"/>
    </xf>
    <xf numFmtId="0" fontId="55" fillId="0" borderId="0" xfId="0" applyFont="1">
      <alignment vertical="center"/>
    </xf>
    <xf numFmtId="178" fontId="55" fillId="0" borderId="0" xfId="0" applyNumberFormat="1" applyFont="1">
      <alignment vertical="center"/>
    </xf>
    <xf numFmtId="0" fontId="38" fillId="0" borderId="43" xfId="5" applyBorder="1">
      <alignment vertical="center"/>
    </xf>
    <xf numFmtId="0" fontId="50" fillId="0" borderId="81" xfId="0" applyFont="1" applyBorder="1">
      <alignment vertical="center"/>
    </xf>
    <xf numFmtId="0" fontId="50" fillId="0" borderId="84" xfId="0" applyFont="1" applyFill="1" applyBorder="1">
      <alignment vertical="center"/>
    </xf>
    <xf numFmtId="178" fontId="0" fillId="0" borderId="88" xfId="0" applyNumberFormat="1" applyBorder="1">
      <alignment vertical="center"/>
    </xf>
    <xf numFmtId="178" fontId="0" fillId="0" borderId="89" xfId="0" applyNumberFormat="1" applyBorder="1">
      <alignment vertical="center"/>
    </xf>
    <xf numFmtId="0" fontId="0" fillId="0" borderId="95" xfId="0" applyBorder="1" applyAlignment="1">
      <alignment horizontal="center" vertical="center"/>
    </xf>
    <xf numFmtId="0" fontId="0" fillId="0" borderId="76" xfId="0" applyBorder="1">
      <alignment vertical="center"/>
    </xf>
    <xf numFmtId="0" fontId="0" fillId="0" borderId="77" xfId="0" applyBorder="1">
      <alignment vertical="center"/>
    </xf>
    <xf numFmtId="0" fontId="0" fillId="0" borderId="96" xfId="0" applyBorder="1">
      <alignment vertical="center"/>
    </xf>
    <xf numFmtId="178" fontId="0" fillId="0" borderId="102" xfId="0" applyNumberFormat="1" applyBorder="1">
      <alignment vertical="center"/>
    </xf>
    <xf numFmtId="178" fontId="0" fillId="0" borderId="0" xfId="0" applyNumberFormat="1" applyFill="1">
      <alignment vertical="center"/>
    </xf>
    <xf numFmtId="178" fontId="0" fillId="0" borderId="105" xfId="0" applyNumberFormat="1" applyBorder="1">
      <alignment vertical="center"/>
    </xf>
    <xf numFmtId="178" fontId="0" fillId="0" borderId="56" xfId="0" applyNumberFormat="1" applyBorder="1">
      <alignment vertical="center"/>
    </xf>
    <xf numFmtId="178" fontId="0" fillId="0" borderId="107" xfId="0" applyNumberFormat="1" applyBorder="1">
      <alignment vertical="center"/>
    </xf>
    <xf numFmtId="0" fontId="0" fillId="0" borderId="104" xfId="0" applyBorder="1" applyAlignment="1">
      <alignment horizontal="center" vertical="center"/>
    </xf>
    <xf numFmtId="0" fontId="0" fillId="0" borderId="106" xfId="0" applyBorder="1" applyAlignment="1">
      <alignment horizontal="center" vertical="center"/>
    </xf>
    <xf numFmtId="178" fontId="38" fillId="7" borderId="108" xfId="5" applyNumberFormat="1" applyFill="1" applyBorder="1">
      <alignment vertical="center"/>
    </xf>
    <xf numFmtId="0" fontId="34" fillId="0" borderId="109" xfId="5" applyFont="1" applyBorder="1">
      <alignment vertical="center"/>
    </xf>
    <xf numFmtId="0" fontId="54" fillId="0" borderId="109" xfId="5" applyFont="1" applyBorder="1">
      <alignment vertical="center"/>
    </xf>
    <xf numFmtId="179" fontId="0" fillId="0" borderId="0" xfId="0" applyNumberFormat="1">
      <alignment vertical="center"/>
    </xf>
    <xf numFmtId="0" fontId="0" fillId="0" borderId="42" xfId="0" applyBorder="1">
      <alignment vertical="center"/>
    </xf>
    <xf numFmtId="0" fontId="0" fillId="0" borderId="103" xfId="0" applyBorder="1">
      <alignment vertical="center"/>
    </xf>
    <xf numFmtId="0" fontId="0" fillId="0" borderId="41" xfId="0" applyBorder="1">
      <alignment vertical="center"/>
    </xf>
    <xf numFmtId="0" fontId="0" fillId="6" borderId="41" xfId="0" applyFill="1" applyBorder="1">
      <alignment vertical="center"/>
    </xf>
    <xf numFmtId="0" fontId="0" fillId="0" borderId="63" xfId="0" applyBorder="1">
      <alignment vertical="center"/>
    </xf>
    <xf numFmtId="0" fontId="0" fillId="0" borderId="59" xfId="0" applyBorder="1">
      <alignment vertical="center"/>
    </xf>
    <xf numFmtId="0" fontId="55" fillId="10" borderId="32" xfId="0" applyFont="1" applyFill="1" applyBorder="1">
      <alignment vertical="center"/>
    </xf>
    <xf numFmtId="0" fontId="0" fillId="6" borderId="63" xfId="0" applyFill="1" applyBorder="1">
      <alignment vertical="center"/>
    </xf>
    <xf numFmtId="0" fontId="0" fillId="11" borderId="15" xfId="0" applyFill="1" applyBorder="1" applyAlignment="1">
      <alignment horizontal="center" vertical="center"/>
    </xf>
    <xf numFmtId="0" fontId="0" fillId="11" borderId="57" xfId="0" applyFill="1" applyBorder="1">
      <alignment vertical="center"/>
    </xf>
    <xf numFmtId="0" fontId="50" fillId="0" borderId="25" xfId="0" applyFont="1" applyBorder="1">
      <alignment vertical="center"/>
    </xf>
    <xf numFmtId="178" fontId="50" fillId="0" borderId="21" xfId="0" applyNumberFormat="1" applyFont="1" applyBorder="1">
      <alignment vertical="center"/>
    </xf>
    <xf numFmtId="0" fontId="50" fillId="0" borderId="3" xfId="0" applyFont="1" applyBorder="1">
      <alignment vertical="center"/>
    </xf>
    <xf numFmtId="178" fontId="50" fillId="0" borderId="4" xfId="0" applyNumberFormat="1" applyFont="1" applyFill="1" applyBorder="1">
      <alignment vertical="center"/>
    </xf>
    <xf numFmtId="178" fontId="50" fillId="0" borderId="21" xfId="0" applyNumberFormat="1" applyFont="1" applyFill="1" applyBorder="1">
      <alignment vertical="center"/>
    </xf>
    <xf numFmtId="179" fontId="50" fillId="0" borderId="4" xfId="0" applyNumberFormat="1" applyFont="1" applyBorder="1">
      <alignment vertical="center"/>
    </xf>
    <xf numFmtId="0" fontId="50" fillId="0" borderId="38" xfId="0" applyFont="1" applyBorder="1">
      <alignment vertical="center"/>
    </xf>
    <xf numFmtId="0" fontId="50" fillId="5" borderId="48" xfId="0" applyFont="1" applyFill="1" applyBorder="1">
      <alignment vertical="center"/>
    </xf>
    <xf numFmtId="178" fontId="50" fillId="5" borderId="67" xfId="0" applyNumberFormat="1" applyFont="1" applyFill="1" applyBorder="1">
      <alignment vertical="center"/>
    </xf>
    <xf numFmtId="178" fontId="0" fillId="0" borderId="1" xfId="0" applyNumberFormat="1" applyBorder="1" applyProtection="1">
      <alignment vertical="center"/>
      <protection hidden="1"/>
    </xf>
    <xf numFmtId="0" fontId="0" fillId="0" borderId="0" xfId="0" applyBorder="1" applyAlignment="1">
      <alignment vertical="center"/>
    </xf>
    <xf numFmtId="0" fontId="54" fillId="0" borderId="43" xfId="5" applyFont="1" applyBorder="1">
      <alignment vertical="center"/>
    </xf>
    <xf numFmtId="178" fontId="0" fillId="0" borderId="71" xfId="0" applyNumberFormat="1" applyBorder="1">
      <alignment vertical="center"/>
    </xf>
    <xf numFmtId="178" fontId="0" fillId="0" borderId="104" xfId="0" applyNumberFormat="1" applyBorder="1">
      <alignment vertical="center"/>
    </xf>
    <xf numFmtId="0" fontId="0" fillId="0" borderId="114" xfId="0" applyBorder="1">
      <alignment vertical="center"/>
    </xf>
    <xf numFmtId="0" fontId="0" fillId="0" borderId="115" xfId="0" applyBorder="1">
      <alignment vertical="center"/>
    </xf>
    <xf numFmtId="0" fontId="0" fillId="0" borderId="76" xfId="0" applyBorder="1" applyAlignment="1">
      <alignment vertical="center"/>
    </xf>
    <xf numFmtId="0" fontId="0" fillId="0" borderId="96" xfId="0" applyBorder="1" applyAlignment="1">
      <alignment vertical="center"/>
    </xf>
    <xf numFmtId="0" fontId="0" fillId="0" borderId="77" xfId="0" applyBorder="1" applyAlignment="1">
      <alignment vertical="center"/>
    </xf>
    <xf numFmtId="0" fontId="0" fillId="0" borderId="78" xfId="0" applyBorder="1" applyAlignment="1">
      <alignment vertical="center"/>
    </xf>
    <xf numFmtId="0" fontId="0" fillId="0" borderId="97" xfId="0" applyBorder="1" applyAlignment="1">
      <alignment vertical="center"/>
    </xf>
    <xf numFmtId="0" fontId="0" fillId="12" borderId="77" xfId="0" applyFill="1" applyBorder="1">
      <alignment vertical="center"/>
    </xf>
    <xf numFmtId="0" fontId="0" fillId="12" borderId="78" xfId="0" applyFill="1" applyBorder="1">
      <alignment vertical="center"/>
    </xf>
    <xf numFmtId="183" fontId="0" fillId="0" borderId="4" xfId="0" applyNumberFormat="1" applyBorder="1">
      <alignment vertical="center"/>
    </xf>
    <xf numFmtId="182" fontId="0" fillId="0" borderId="4" xfId="0" applyNumberFormat="1" applyFill="1" applyBorder="1">
      <alignment vertical="center"/>
    </xf>
    <xf numFmtId="178" fontId="55" fillId="10" borderId="22" xfId="0" applyNumberFormat="1" applyFont="1" applyFill="1" applyBorder="1">
      <alignment vertical="center"/>
    </xf>
    <xf numFmtId="0" fontId="50" fillId="9" borderId="29" xfId="0" applyFont="1" applyFill="1" applyBorder="1">
      <alignment vertical="center"/>
    </xf>
    <xf numFmtId="178" fontId="50" fillId="9" borderId="4" xfId="0" applyNumberFormat="1" applyFont="1" applyFill="1" applyBorder="1">
      <alignment vertical="center"/>
    </xf>
    <xf numFmtId="0" fontId="50" fillId="6" borderId="30" xfId="0" applyFont="1" applyFill="1" applyBorder="1">
      <alignment vertical="center"/>
    </xf>
    <xf numFmtId="179" fontId="50" fillId="6" borderId="22" xfId="0" applyNumberFormat="1" applyFont="1" applyFill="1" applyBorder="1">
      <alignment vertical="center"/>
    </xf>
    <xf numFmtId="0" fontId="50" fillId="12" borderId="15" xfId="0" applyFont="1" applyFill="1" applyBorder="1" applyAlignment="1">
      <alignment horizontal="center" vertical="center"/>
    </xf>
    <xf numFmtId="0" fontId="50" fillId="12" borderId="27" xfId="0" applyFont="1" applyFill="1" applyBorder="1">
      <alignment vertical="center"/>
    </xf>
    <xf numFmtId="178" fontId="0" fillId="0" borderId="24" xfId="0" applyNumberFormat="1" applyBorder="1" applyAlignment="1">
      <alignment horizontal="right" vertical="center"/>
    </xf>
    <xf numFmtId="178" fontId="0" fillId="0" borderId="43" xfId="0" applyNumberFormat="1" applyBorder="1" applyAlignment="1">
      <alignment horizontal="right" vertical="center"/>
    </xf>
    <xf numFmtId="0" fontId="50" fillId="4" borderId="124" xfId="0" applyFont="1" applyFill="1" applyBorder="1">
      <alignment vertical="center"/>
    </xf>
    <xf numFmtId="178" fontId="50" fillId="4" borderId="125" xfId="0" applyNumberFormat="1" applyFont="1" applyFill="1" applyBorder="1">
      <alignment vertical="center"/>
    </xf>
    <xf numFmtId="0" fontId="54" fillId="0" borderId="24" xfId="5" applyFont="1" applyBorder="1">
      <alignment vertical="center"/>
    </xf>
    <xf numFmtId="0" fontId="62" fillId="0" borderId="24" xfId="5" applyFont="1" applyBorder="1">
      <alignment vertical="center"/>
    </xf>
    <xf numFmtId="178" fontId="0" fillId="0" borderId="117" xfId="0" applyNumberFormat="1" applyBorder="1">
      <alignment vertical="center"/>
    </xf>
    <xf numFmtId="0" fontId="0" fillId="0" borderId="0" xfId="0" applyAlignment="1">
      <alignment vertical="center"/>
    </xf>
    <xf numFmtId="178" fontId="0" fillId="0" borderId="122" xfId="0" applyNumberFormat="1" applyBorder="1">
      <alignment vertical="center"/>
    </xf>
    <xf numFmtId="0" fontId="0" fillId="0" borderId="0" xfId="0" applyFill="1" applyBorder="1" applyAlignment="1">
      <alignment vertical="center"/>
    </xf>
    <xf numFmtId="0" fontId="0" fillId="0" borderId="113" xfId="0" applyBorder="1">
      <alignment vertical="center"/>
    </xf>
    <xf numFmtId="178" fontId="0" fillId="4" borderId="9" xfId="0" applyNumberFormat="1" applyFill="1" applyBorder="1" applyAlignment="1">
      <alignment vertical="center" shrinkToFit="1"/>
    </xf>
    <xf numFmtId="0" fontId="62" fillId="0" borderId="43" xfId="5" applyFont="1" applyBorder="1">
      <alignment vertical="center"/>
    </xf>
    <xf numFmtId="0" fontId="0" fillId="0" borderId="116" xfId="0" applyBorder="1">
      <alignment vertical="center"/>
    </xf>
    <xf numFmtId="178" fontId="0" fillId="0" borderId="21" xfId="0" applyNumberFormat="1" applyFill="1" applyBorder="1">
      <alignment vertical="center"/>
    </xf>
    <xf numFmtId="178" fontId="0" fillId="0" borderId="37" xfId="0" applyNumberFormat="1" applyFill="1" applyBorder="1">
      <alignment vertical="center"/>
    </xf>
    <xf numFmtId="178" fontId="0" fillId="0" borderId="28" xfId="0" applyNumberFormat="1" applyFill="1" applyBorder="1">
      <alignment vertical="center"/>
    </xf>
    <xf numFmtId="178" fontId="0" fillId="0" borderId="29" xfId="0" applyNumberFormat="1" applyFill="1" applyBorder="1">
      <alignment vertical="center"/>
    </xf>
    <xf numFmtId="178" fontId="0" fillId="6" borderId="29" xfId="0" applyNumberFormat="1" applyFill="1" applyBorder="1">
      <alignment vertical="center"/>
    </xf>
    <xf numFmtId="178" fontId="55" fillId="10" borderId="30" xfId="0" applyNumberFormat="1" applyFont="1" applyFill="1" applyBorder="1">
      <alignment vertical="center"/>
    </xf>
    <xf numFmtId="178" fontId="0" fillId="0" borderId="128" xfId="0" applyNumberFormat="1" applyFill="1" applyBorder="1">
      <alignment vertical="center"/>
    </xf>
    <xf numFmtId="182" fontId="0" fillId="0" borderId="29" xfId="0" applyNumberFormat="1" applyFill="1" applyBorder="1">
      <alignment vertical="center"/>
    </xf>
    <xf numFmtId="178" fontId="0" fillId="4" borderId="4" xfId="0" applyNumberFormat="1" applyFill="1" applyBorder="1">
      <alignment vertical="center"/>
    </xf>
    <xf numFmtId="0" fontId="0" fillId="0" borderId="69" xfId="0" applyBorder="1" applyAlignment="1">
      <alignment horizontal="center" vertical="center" shrinkToFit="1"/>
    </xf>
    <xf numFmtId="0" fontId="0" fillId="0" borderId="70" xfId="0" applyBorder="1" applyAlignment="1">
      <alignment horizontal="center" vertical="center" shrinkToFit="1"/>
    </xf>
    <xf numFmtId="0" fontId="0" fillId="0" borderId="120" xfId="0" applyFill="1" applyBorder="1" applyAlignment="1">
      <alignment horizontal="center" vertical="center"/>
    </xf>
    <xf numFmtId="178" fontId="0" fillId="0" borderId="121" xfId="0" applyNumberFormat="1" applyBorder="1">
      <alignment vertical="center"/>
    </xf>
    <xf numFmtId="178" fontId="0" fillId="14" borderId="4" xfId="0" applyNumberFormat="1" applyFill="1" applyBorder="1">
      <alignment vertical="center"/>
    </xf>
    <xf numFmtId="0" fontId="28" fillId="0" borderId="1" xfId="6" applyFont="1" applyBorder="1" applyAlignment="1">
      <alignment horizontal="center" vertical="center"/>
    </xf>
    <xf numFmtId="178" fontId="55" fillId="10" borderId="5" xfId="0" applyNumberFormat="1" applyFont="1" applyFill="1" applyBorder="1">
      <alignment vertical="center"/>
    </xf>
    <xf numFmtId="178" fontId="0" fillId="0" borderId="58" xfId="0" applyNumberFormat="1" applyFill="1" applyBorder="1">
      <alignment vertical="center"/>
    </xf>
    <xf numFmtId="182" fontId="0" fillId="0" borderId="9" xfId="0" applyNumberFormat="1" applyFill="1" applyBorder="1">
      <alignment vertical="center"/>
    </xf>
    <xf numFmtId="0" fontId="55" fillId="0" borderId="0" xfId="0" applyFont="1" applyAlignment="1">
      <alignment horizontal="center" vertical="center"/>
    </xf>
    <xf numFmtId="0" fontId="67" fillId="0" borderId="0" xfId="0" applyFont="1">
      <alignment vertical="center"/>
    </xf>
    <xf numFmtId="0" fontId="67" fillId="0" borderId="0" xfId="0" applyFont="1" applyAlignment="1">
      <alignment horizontal="center" vertical="center"/>
    </xf>
    <xf numFmtId="0" fontId="0" fillId="0" borderId="137" xfId="0" applyBorder="1">
      <alignment vertical="center"/>
    </xf>
    <xf numFmtId="0" fontId="0" fillId="0" borderId="68" xfId="0" applyBorder="1" applyAlignment="1">
      <alignment horizontal="center" vertical="center" shrinkToFit="1"/>
    </xf>
    <xf numFmtId="178" fontId="0" fillId="0" borderId="120" xfId="0" applyNumberFormat="1" applyBorder="1">
      <alignment vertical="center"/>
    </xf>
    <xf numFmtId="0" fontId="67" fillId="0" borderId="68" xfId="0" applyFont="1" applyBorder="1">
      <alignment vertical="center"/>
    </xf>
    <xf numFmtId="178" fontId="67" fillId="0" borderId="69" xfId="0" applyNumberFormat="1" applyFont="1" applyBorder="1">
      <alignment vertical="center"/>
    </xf>
    <xf numFmtId="0" fontId="67" fillId="0" borderId="70" xfId="0" applyFont="1" applyBorder="1" applyAlignment="1">
      <alignment horizontal="center" vertical="center"/>
    </xf>
    <xf numFmtId="0" fontId="67" fillId="0" borderId="71" xfId="0" applyFont="1" applyBorder="1">
      <alignment vertical="center"/>
    </xf>
    <xf numFmtId="178" fontId="67" fillId="0" borderId="72" xfId="0" applyNumberFormat="1" applyFont="1" applyBorder="1">
      <alignment vertical="center"/>
    </xf>
    <xf numFmtId="0" fontId="67" fillId="0" borderId="73" xfId="0" applyFont="1" applyBorder="1" applyAlignment="1">
      <alignment horizontal="center" vertical="center"/>
    </xf>
    <xf numFmtId="0" fontId="67" fillId="0" borderId="74" xfId="0" applyFont="1" applyBorder="1">
      <alignment vertical="center"/>
    </xf>
    <xf numFmtId="178" fontId="67" fillId="0" borderId="54" xfId="0" applyNumberFormat="1" applyFont="1" applyBorder="1">
      <alignment vertical="center"/>
    </xf>
    <xf numFmtId="0" fontId="0" fillId="0" borderId="144" xfId="0" applyBorder="1">
      <alignment vertical="center"/>
    </xf>
    <xf numFmtId="0" fontId="67" fillId="0" borderId="143" xfId="0" applyFont="1" applyBorder="1" applyAlignment="1">
      <alignment horizontal="center" vertical="center"/>
    </xf>
    <xf numFmtId="178" fontId="0" fillId="0" borderId="127" xfId="0" applyNumberFormat="1" applyBorder="1" applyAlignment="1">
      <alignment horizontal="right" vertical="center" shrinkToFit="1"/>
    </xf>
    <xf numFmtId="178" fontId="0" fillId="0" borderId="88" xfId="0" applyNumberFormat="1" applyBorder="1" applyAlignment="1">
      <alignment horizontal="right" vertical="center" shrinkToFit="1"/>
    </xf>
    <xf numFmtId="178" fontId="0" fillId="0" borderId="117" xfId="0" applyNumberFormat="1" applyBorder="1" applyAlignment="1">
      <alignment horizontal="right" vertical="center" shrinkToFit="1"/>
    </xf>
    <xf numFmtId="0" fontId="67" fillId="0" borderId="120" xfId="0" applyFont="1" applyFill="1" applyBorder="1">
      <alignment vertical="center"/>
    </xf>
    <xf numFmtId="10" fontId="0" fillId="0" borderId="121" xfId="0" applyNumberFormat="1" applyBorder="1" applyAlignment="1">
      <alignment horizontal="center" vertical="center"/>
    </xf>
    <xf numFmtId="0" fontId="0" fillId="6" borderId="0" xfId="0" applyFill="1">
      <alignment vertical="center"/>
    </xf>
    <xf numFmtId="0" fontId="55" fillId="6" borderId="0" xfId="0" applyFont="1" applyFill="1" applyAlignment="1">
      <alignment horizontal="center" vertical="center"/>
    </xf>
    <xf numFmtId="0" fontId="0" fillId="0" borderId="43" xfId="0" applyBorder="1">
      <alignment vertical="center"/>
    </xf>
    <xf numFmtId="0" fontId="27" fillId="0" borderId="1" xfId="6" applyFont="1" applyBorder="1">
      <alignment vertical="center"/>
    </xf>
    <xf numFmtId="0" fontId="27" fillId="0" borderId="1" xfId="6" applyFont="1" applyBorder="1" applyAlignment="1">
      <alignment horizontal="center" vertical="center"/>
    </xf>
    <xf numFmtId="179" fontId="31" fillId="0" borderId="1" xfId="6" applyNumberFormat="1" applyBorder="1">
      <alignment vertical="center"/>
    </xf>
    <xf numFmtId="178" fontId="0" fillId="0" borderId="127" xfId="0" applyNumberFormat="1" applyBorder="1">
      <alignment vertical="center"/>
    </xf>
    <xf numFmtId="0" fontId="50" fillId="3" borderId="131" xfId="0" applyFont="1" applyFill="1" applyBorder="1" applyAlignment="1">
      <alignment horizontal="center" vertical="center"/>
    </xf>
    <xf numFmtId="0" fontId="50" fillId="3" borderId="146" xfId="0" applyFont="1" applyFill="1" applyBorder="1" applyAlignment="1">
      <alignment horizontal="center" vertical="center"/>
    </xf>
    <xf numFmtId="0" fontId="50" fillId="3" borderId="121" xfId="0" applyFont="1" applyFill="1" applyBorder="1" applyAlignment="1">
      <alignment horizontal="center" vertical="center"/>
    </xf>
    <xf numFmtId="0" fontId="50" fillId="3" borderId="122" xfId="0" applyFont="1" applyFill="1" applyBorder="1" applyAlignment="1">
      <alignment horizontal="center" vertical="center"/>
    </xf>
    <xf numFmtId="0" fontId="0" fillId="3" borderId="120" xfId="0" applyFill="1" applyBorder="1" applyAlignment="1">
      <alignment horizontal="center" vertical="center" wrapText="1"/>
    </xf>
    <xf numFmtId="0" fontId="0" fillId="3" borderId="121" xfId="0" applyFill="1" applyBorder="1" applyAlignment="1">
      <alignment horizontal="center" vertical="center" wrapText="1"/>
    </xf>
    <xf numFmtId="178" fontId="55" fillId="0" borderId="4" xfId="0" applyNumberFormat="1" applyFont="1" applyFill="1" applyBorder="1" applyAlignment="1">
      <alignment vertical="center" shrinkToFit="1"/>
    </xf>
    <xf numFmtId="0" fontId="52" fillId="14" borderId="24" xfId="5" applyFont="1" applyFill="1" applyBorder="1" applyAlignment="1">
      <alignment horizontal="center" vertical="center" wrapText="1"/>
    </xf>
    <xf numFmtId="178" fontId="38" fillId="14" borderId="24" xfId="5" applyNumberFormat="1" applyFill="1" applyBorder="1">
      <alignment vertical="center"/>
    </xf>
    <xf numFmtId="178" fontId="38" fillId="14" borderId="43" xfId="5" applyNumberFormat="1" applyFill="1" applyBorder="1">
      <alignment vertical="center"/>
    </xf>
    <xf numFmtId="178" fontId="38" fillId="14" borderId="108" xfId="5" applyNumberFormat="1" applyFill="1" applyBorder="1">
      <alignment vertical="center"/>
    </xf>
    <xf numFmtId="0" fontId="38" fillId="14" borderId="24" xfId="5" applyFill="1" applyBorder="1" applyAlignment="1">
      <alignment horizontal="center" vertical="center"/>
    </xf>
    <xf numFmtId="0" fontId="26" fillId="0" borderId="0" xfId="5" applyFont="1">
      <alignment vertical="center"/>
    </xf>
    <xf numFmtId="0" fontId="28" fillId="14" borderId="74" xfId="5" applyFont="1" applyFill="1" applyBorder="1" applyAlignment="1">
      <alignment horizontal="center" vertical="center"/>
    </xf>
    <xf numFmtId="0" fontId="26" fillId="0" borderId="0" xfId="6" applyFont="1">
      <alignment vertical="center"/>
    </xf>
    <xf numFmtId="0" fontId="28" fillId="14" borderId="127" xfId="5" applyFont="1" applyFill="1" applyBorder="1" applyAlignment="1">
      <alignment horizontal="center" vertical="center"/>
    </xf>
    <xf numFmtId="0" fontId="0" fillId="0" borderId="77" xfId="0" applyFill="1" applyBorder="1">
      <alignment vertical="center"/>
    </xf>
    <xf numFmtId="178" fontId="38" fillId="7" borderId="158" xfId="5" applyNumberFormat="1" applyFill="1" applyBorder="1">
      <alignment vertical="center"/>
    </xf>
    <xf numFmtId="179" fontId="38" fillId="14" borderId="158" xfId="5" applyNumberFormat="1" applyFill="1" applyBorder="1">
      <alignment vertical="center"/>
    </xf>
    <xf numFmtId="178" fontId="38" fillId="0" borderId="158" xfId="5" applyNumberFormat="1" applyBorder="1">
      <alignment vertical="center"/>
    </xf>
    <xf numFmtId="0" fontId="0" fillId="0" borderId="148" xfId="0" applyBorder="1" applyAlignment="1">
      <alignment vertical="center"/>
    </xf>
    <xf numFmtId="0" fontId="69" fillId="0" borderId="0" xfId="0" applyFont="1">
      <alignment vertical="center"/>
    </xf>
    <xf numFmtId="0" fontId="49" fillId="0" borderId="0" xfId="0" applyFont="1" applyAlignment="1" applyProtection="1">
      <alignment vertical="center" shrinkToFit="1"/>
      <protection locked="0"/>
    </xf>
    <xf numFmtId="0" fontId="49" fillId="0" borderId="0" xfId="0" applyFont="1" applyProtection="1">
      <alignment vertical="center"/>
      <protection locked="0"/>
    </xf>
    <xf numFmtId="0" fontId="68" fillId="15" borderId="1" xfId="0" applyFont="1" applyFill="1" applyBorder="1" applyAlignment="1">
      <alignment horizontal="center" vertical="center"/>
    </xf>
    <xf numFmtId="0" fontId="68" fillId="0" borderId="1" xfId="0" applyFont="1" applyBorder="1">
      <alignment vertical="center"/>
    </xf>
    <xf numFmtId="178" fontId="39" fillId="0" borderId="1" xfId="0" applyNumberFormat="1" applyFont="1" applyBorder="1">
      <alignment vertical="center"/>
    </xf>
    <xf numFmtId="0" fontId="25" fillId="0" borderId="1" xfId="6" applyFont="1" applyBorder="1">
      <alignment vertical="center"/>
    </xf>
    <xf numFmtId="0" fontId="0" fillId="0" borderId="0" xfId="0" applyBorder="1" applyAlignment="1">
      <alignment horizontal="center" vertical="center"/>
    </xf>
    <xf numFmtId="178" fontId="66" fillId="14" borderId="24" xfId="5" applyNumberFormat="1" applyFont="1" applyFill="1" applyBorder="1">
      <alignment vertical="center"/>
    </xf>
    <xf numFmtId="178" fontId="55" fillId="0" borderId="4" xfId="1" applyNumberFormat="1" applyFont="1" applyFill="1" applyBorder="1" applyAlignment="1">
      <alignment vertical="center" shrinkToFit="1"/>
    </xf>
    <xf numFmtId="178" fontId="55" fillId="11" borderId="4" xfId="1" applyNumberFormat="1" applyFont="1" applyFill="1" applyBorder="1" applyAlignment="1">
      <alignment vertical="center" shrinkToFit="1"/>
    </xf>
    <xf numFmtId="178" fontId="55" fillId="11" borderId="4" xfId="0" applyNumberFormat="1" applyFont="1" applyFill="1" applyBorder="1" applyAlignment="1">
      <alignment vertical="center" shrinkToFit="1"/>
    </xf>
    <xf numFmtId="178" fontId="23" fillId="14" borderId="24" xfId="5" applyNumberFormat="1" applyFont="1" applyFill="1" applyBorder="1">
      <alignment vertical="center"/>
    </xf>
    <xf numFmtId="0" fontId="22" fillId="0" borderId="0" xfId="10">
      <alignment vertical="center"/>
    </xf>
    <xf numFmtId="0" fontId="22" fillId="0" borderId="0" xfId="10" applyAlignment="1">
      <alignment horizontal="center" vertical="center"/>
    </xf>
    <xf numFmtId="10" fontId="22" fillId="0" borderId="0" xfId="10" applyNumberFormat="1">
      <alignment vertical="center"/>
    </xf>
    <xf numFmtId="177" fontId="22" fillId="0" borderId="69" xfId="10" applyNumberFormat="1" applyBorder="1">
      <alignment vertical="center"/>
    </xf>
    <xf numFmtId="177" fontId="22" fillId="0" borderId="70" xfId="10" applyNumberFormat="1" applyBorder="1">
      <alignment vertical="center"/>
    </xf>
    <xf numFmtId="177" fontId="22" fillId="0" borderId="72" xfId="10" applyNumberFormat="1" applyBorder="1">
      <alignment vertical="center"/>
    </xf>
    <xf numFmtId="177" fontId="22" fillId="0" borderId="73" xfId="10" applyNumberFormat="1" applyBorder="1">
      <alignment vertical="center"/>
    </xf>
    <xf numFmtId="177" fontId="22" fillId="0" borderId="54" xfId="10" applyNumberFormat="1" applyBorder="1">
      <alignment vertical="center"/>
    </xf>
    <xf numFmtId="177" fontId="22" fillId="0" borderId="75" xfId="10" applyNumberFormat="1" applyBorder="1">
      <alignment vertical="center"/>
    </xf>
    <xf numFmtId="0" fontId="22" fillId="0" borderId="0" xfId="10" applyNumberFormat="1" applyAlignment="1">
      <alignment horizontal="center" vertical="center"/>
    </xf>
    <xf numFmtId="0" fontId="22" fillId="0" borderId="120" xfId="10" applyNumberFormat="1" applyBorder="1" applyAlignment="1">
      <alignment horizontal="center" vertical="center"/>
    </xf>
    <xf numFmtId="178" fontId="38" fillId="14" borderId="158" xfId="5" applyNumberFormat="1" applyFill="1" applyBorder="1">
      <alignment vertical="center"/>
    </xf>
    <xf numFmtId="0" fontId="62" fillId="0" borderId="109" xfId="5" applyFont="1" applyBorder="1">
      <alignment vertical="center"/>
    </xf>
    <xf numFmtId="0" fontId="62" fillId="0" borderId="171" xfId="5" applyFont="1" applyBorder="1">
      <alignment vertical="center"/>
    </xf>
    <xf numFmtId="38" fontId="0" fillId="0" borderId="0" xfId="0" applyNumberFormat="1">
      <alignment vertical="center"/>
    </xf>
    <xf numFmtId="0" fontId="0" fillId="0" borderId="0" xfId="0" applyFill="1" applyBorder="1" applyAlignment="1">
      <alignment horizontal="center" vertical="center" shrinkToFit="1"/>
    </xf>
    <xf numFmtId="178" fontId="0" fillId="0" borderId="0" xfId="0" applyNumberFormat="1" applyFill="1" applyBorder="1">
      <alignment vertical="center"/>
    </xf>
    <xf numFmtId="0" fontId="0" fillId="0" borderId="0" xfId="0" applyFont="1">
      <alignment vertical="center"/>
    </xf>
    <xf numFmtId="0" fontId="20" fillId="0" borderId="1" xfId="6" applyFont="1" applyBorder="1">
      <alignment vertical="center"/>
    </xf>
    <xf numFmtId="178" fontId="22" fillId="16" borderId="72" xfId="10" applyNumberFormat="1" applyFill="1" applyBorder="1">
      <alignment vertical="center"/>
    </xf>
    <xf numFmtId="178" fontId="22" fillId="16" borderId="73" xfId="10" applyNumberFormat="1" applyFill="1" applyBorder="1">
      <alignment vertical="center"/>
    </xf>
    <xf numFmtId="10" fontId="22" fillId="17" borderId="72" xfId="10" applyNumberFormat="1" applyFill="1" applyBorder="1">
      <alignment vertical="center"/>
    </xf>
    <xf numFmtId="10" fontId="22" fillId="17" borderId="73" xfId="10" applyNumberFormat="1" applyFill="1" applyBorder="1">
      <alignment vertical="center"/>
    </xf>
    <xf numFmtId="177" fontId="22" fillId="0" borderId="68" xfId="10" applyNumberFormat="1" applyBorder="1">
      <alignment vertical="center"/>
    </xf>
    <xf numFmtId="177" fontId="22" fillId="0" borderId="71" xfId="10" applyNumberFormat="1" applyBorder="1">
      <alignment vertical="center"/>
    </xf>
    <xf numFmtId="178" fontId="22" fillId="16" borderId="71" xfId="10" applyNumberFormat="1" applyFill="1" applyBorder="1">
      <alignment vertical="center"/>
    </xf>
    <xf numFmtId="10" fontId="22" fillId="17" borderId="71" xfId="10" applyNumberFormat="1" applyFill="1" applyBorder="1">
      <alignment vertical="center"/>
    </xf>
    <xf numFmtId="177" fontId="22" fillId="0" borderId="74" xfId="10" applyNumberFormat="1" applyBorder="1">
      <alignment vertical="center"/>
    </xf>
    <xf numFmtId="0" fontId="22" fillId="0" borderId="133" xfId="10" applyNumberFormat="1" applyBorder="1" applyAlignment="1">
      <alignment horizontal="center" vertical="center"/>
    </xf>
    <xf numFmtId="0" fontId="22" fillId="0" borderId="99" xfId="10" applyNumberFormat="1" applyBorder="1" applyAlignment="1">
      <alignment horizontal="center" vertical="center"/>
    </xf>
    <xf numFmtId="0" fontId="22" fillId="0" borderId="100" xfId="10" applyNumberFormat="1" applyBorder="1" applyAlignment="1">
      <alignment horizontal="center" vertical="center"/>
    </xf>
    <xf numFmtId="0" fontId="22" fillId="16" borderId="100" xfId="10" applyNumberFormat="1" applyFill="1" applyBorder="1" applyAlignment="1">
      <alignment horizontal="center" vertical="center"/>
    </xf>
    <xf numFmtId="0" fontId="22" fillId="17" borderId="100" xfId="10" applyNumberFormat="1" applyFill="1" applyBorder="1" applyAlignment="1">
      <alignment horizontal="center" vertical="center"/>
    </xf>
    <xf numFmtId="0" fontId="22" fillId="0" borderId="101" xfId="10" applyNumberFormat="1" applyBorder="1" applyAlignment="1">
      <alignment horizontal="center" vertical="center"/>
    </xf>
    <xf numFmtId="184" fontId="0" fillId="0" borderId="0" xfId="0" applyNumberFormat="1">
      <alignment vertical="center"/>
    </xf>
    <xf numFmtId="177" fontId="0" fillId="0" borderId="0" xfId="0" applyNumberForma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63" fillId="0" borderId="0" xfId="0" applyFont="1">
      <alignment vertical="center"/>
    </xf>
    <xf numFmtId="0" fontId="0" fillId="0" borderId="122" xfId="0" applyFill="1" applyBorder="1" applyAlignment="1">
      <alignment horizontal="center" vertical="center"/>
    </xf>
    <xf numFmtId="0" fontId="73" fillId="0" borderId="0" xfId="0" applyFont="1" applyFill="1" applyBorder="1" applyAlignment="1">
      <alignment vertical="top" wrapText="1"/>
    </xf>
    <xf numFmtId="0" fontId="63" fillId="0" borderId="1" xfId="0" applyFont="1" applyBorder="1">
      <alignment vertical="center"/>
    </xf>
    <xf numFmtId="0" fontId="63" fillId="6" borderId="1" xfId="0" applyFont="1" applyFill="1" applyBorder="1">
      <alignment vertical="center"/>
    </xf>
    <xf numFmtId="0" fontId="0" fillId="0" borderId="137" xfId="0" applyFill="1" applyBorder="1">
      <alignment vertical="center"/>
    </xf>
    <xf numFmtId="0" fontId="63" fillId="0" borderId="179" xfId="0" applyFont="1" applyBorder="1">
      <alignment vertical="center"/>
    </xf>
    <xf numFmtId="176" fontId="0" fillId="0" borderId="180" xfId="0" applyNumberFormat="1" applyBorder="1">
      <alignment vertical="center"/>
    </xf>
    <xf numFmtId="0" fontId="63" fillId="0" borderId="182" xfId="0" applyFont="1" applyBorder="1">
      <alignment vertical="center"/>
    </xf>
    <xf numFmtId="176" fontId="0" fillId="0" borderId="183" xfId="0" applyNumberFormat="1" applyBorder="1">
      <alignment vertical="center"/>
    </xf>
    <xf numFmtId="0" fontId="63" fillId="0" borderId="185" xfId="0" applyFont="1" applyBorder="1">
      <alignment vertical="center"/>
    </xf>
    <xf numFmtId="176" fontId="0" fillId="0" borderId="186" xfId="0" applyNumberFormat="1" applyBorder="1">
      <alignment vertical="center"/>
    </xf>
    <xf numFmtId="0" fontId="63" fillId="0" borderId="188" xfId="0" applyFont="1" applyBorder="1">
      <alignment vertical="center"/>
    </xf>
    <xf numFmtId="176" fontId="0" fillId="0" borderId="189" xfId="0" applyNumberFormat="1" applyBorder="1">
      <alignment vertical="center"/>
    </xf>
    <xf numFmtId="0" fontId="63" fillId="0" borderId="190" xfId="0" applyFont="1" applyBorder="1">
      <alignment vertical="center"/>
    </xf>
    <xf numFmtId="0" fontId="0" fillId="0" borderId="179" xfId="0" applyBorder="1" applyAlignment="1">
      <alignment horizontal="left" vertical="center"/>
    </xf>
    <xf numFmtId="0" fontId="72" fillId="0" borderId="180" xfId="0" applyFont="1" applyBorder="1" applyAlignment="1">
      <alignment horizontal="center" vertical="center"/>
    </xf>
    <xf numFmtId="0" fontId="0" fillId="0" borderId="182" xfId="0" applyBorder="1" applyAlignment="1">
      <alignment horizontal="left" vertical="center"/>
    </xf>
    <xf numFmtId="0" fontId="0" fillId="0" borderId="185" xfId="0" applyBorder="1" applyAlignment="1">
      <alignment horizontal="left" vertical="center"/>
    </xf>
    <xf numFmtId="0" fontId="0" fillId="0" borderId="181" xfId="0" applyBorder="1" applyAlignment="1">
      <alignment horizontal="center" vertical="center"/>
    </xf>
    <xf numFmtId="178" fontId="0" fillId="0" borderId="183" xfId="0" applyNumberFormat="1" applyBorder="1">
      <alignment vertical="center"/>
    </xf>
    <xf numFmtId="178" fontId="0" fillId="0" borderId="183" xfId="0" applyNumberFormat="1" applyBorder="1" applyAlignment="1">
      <alignment vertical="center"/>
    </xf>
    <xf numFmtId="178" fontId="0" fillId="0" borderId="193" xfId="0" applyNumberFormat="1" applyBorder="1">
      <alignment vertical="center"/>
    </xf>
    <xf numFmtId="178" fontId="0" fillId="0" borderId="184" xfId="0" applyNumberFormat="1" applyBorder="1">
      <alignment vertical="center"/>
    </xf>
    <xf numFmtId="178" fontId="0" fillId="0" borderId="194" xfId="0" applyNumberFormat="1" applyBorder="1">
      <alignment vertical="center"/>
    </xf>
    <xf numFmtId="178" fontId="0" fillId="0" borderId="195" xfId="0" applyNumberFormat="1" applyBorder="1">
      <alignment vertical="center"/>
    </xf>
    <xf numFmtId="178" fontId="0" fillId="0" borderId="191" xfId="0" applyNumberFormat="1" applyBorder="1" applyAlignment="1">
      <alignment vertical="center"/>
    </xf>
    <xf numFmtId="178" fontId="0" fillId="0" borderId="191" xfId="0" applyNumberFormat="1" applyBorder="1">
      <alignment vertical="center"/>
    </xf>
    <xf numFmtId="0" fontId="0" fillId="0" borderId="178" xfId="0" applyBorder="1">
      <alignment vertical="center"/>
    </xf>
    <xf numFmtId="176" fontId="0" fillId="0" borderId="196" xfId="0" applyNumberFormat="1" applyBorder="1" applyAlignment="1">
      <alignment horizontal="center" vertical="center"/>
    </xf>
    <xf numFmtId="176" fontId="0" fillId="0" borderId="197" xfId="0" applyNumberFormat="1" applyBorder="1" applyAlignment="1">
      <alignment horizontal="center" vertical="center"/>
    </xf>
    <xf numFmtId="176" fontId="0" fillId="0" borderId="198" xfId="0" applyNumberFormat="1" applyBorder="1" applyAlignment="1">
      <alignment horizontal="center" vertical="center"/>
    </xf>
    <xf numFmtId="178" fontId="0" fillId="0" borderId="199" xfId="0" applyNumberFormat="1" applyBorder="1">
      <alignment vertical="center"/>
    </xf>
    <xf numFmtId="178" fontId="73" fillId="0" borderId="200" xfId="0" applyNumberFormat="1" applyFont="1" applyBorder="1">
      <alignment vertical="center"/>
    </xf>
    <xf numFmtId="178" fontId="0" fillId="0" borderId="200" xfId="0" applyNumberFormat="1" applyBorder="1">
      <alignment vertical="center"/>
    </xf>
    <xf numFmtId="178" fontId="0" fillId="0" borderId="184" xfId="0" applyNumberFormat="1" applyBorder="1" applyAlignment="1">
      <alignment vertical="center"/>
    </xf>
    <xf numFmtId="178" fontId="0" fillId="0" borderId="184" xfId="0" applyNumberFormat="1" applyBorder="1" applyAlignment="1">
      <alignment horizontal="center" vertical="center"/>
    </xf>
    <xf numFmtId="178" fontId="0" fillId="0" borderId="201" xfId="0" applyNumberFormat="1" applyBorder="1">
      <alignment vertical="center"/>
    </xf>
    <xf numFmtId="178" fontId="0" fillId="0" borderId="202" xfId="0" applyNumberFormat="1" applyBorder="1">
      <alignment vertical="center"/>
    </xf>
    <xf numFmtId="178" fontId="0" fillId="0" borderId="186" xfId="0" applyNumberFormat="1" applyBorder="1" applyAlignment="1">
      <alignment vertical="center"/>
    </xf>
    <xf numFmtId="178" fontId="0" fillId="0" borderId="187" xfId="0" applyNumberFormat="1" applyBorder="1" applyAlignment="1">
      <alignment vertical="center"/>
    </xf>
    <xf numFmtId="0" fontId="0" fillId="0" borderId="205" xfId="0" applyBorder="1">
      <alignment vertical="center"/>
    </xf>
    <xf numFmtId="0" fontId="0" fillId="0" borderId="208" xfId="0" applyBorder="1">
      <alignment vertical="center"/>
    </xf>
    <xf numFmtId="0" fontId="0" fillId="0" borderId="211" xfId="0" applyBorder="1">
      <alignment vertical="center"/>
    </xf>
    <xf numFmtId="176" fontId="0" fillId="0" borderId="0" xfId="0" applyNumberFormat="1" applyBorder="1" applyAlignment="1">
      <alignment vertical="center"/>
    </xf>
    <xf numFmtId="0" fontId="0" fillId="0" borderId="179" xfId="0" applyBorder="1" applyAlignment="1">
      <alignment horizontal="center" vertical="center"/>
    </xf>
    <xf numFmtId="0" fontId="0" fillId="0" borderId="182" xfId="0" applyBorder="1">
      <alignment vertical="center"/>
    </xf>
    <xf numFmtId="0" fontId="0" fillId="0" borderId="185" xfId="0" applyBorder="1">
      <alignment vertical="center"/>
    </xf>
    <xf numFmtId="0" fontId="0" fillId="0" borderId="215" xfId="0" applyBorder="1">
      <alignment vertical="center"/>
    </xf>
    <xf numFmtId="0" fontId="0" fillId="0" borderId="190" xfId="0" applyBorder="1" applyAlignment="1">
      <alignment vertical="center"/>
    </xf>
    <xf numFmtId="178" fontId="38" fillId="0" borderId="0" xfId="5" applyNumberFormat="1" applyBorder="1">
      <alignment vertical="center"/>
    </xf>
    <xf numFmtId="178" fontId="38" fillId="0" borderId="0" xfId="5" applyNumberFormat="1" applyFill="1" applyBorder="1">
      <alignment vertical="center"/>
    </xf>
    <xf numFmtId="0" fontId="17" fillId="0" borderId="0" xfId="5" applyFont="1" applyBorder="1" applyAlignment="1">
      <alignment horizontal="center" vertical="center"/>
    </xf>
    <xf numFmtId="0" fontId="16" fillId="0" borderId="0" xfId="5" applyFont="1" applyBorder="1" applyAlignment="1">
      <alignment horizontal="center" vertical="center"/>
    </xf>
    <xf numFmtId="0" fontId="74" fillId="0" borderId="6" xfId="0" applyFont="1" applyFill="1" applyBorder="1" applyAlignment="1">
      <alignment horizontal="left" vertical="top" wrapText="1"/>
    </xf>
    <xf numFmtId="0" fontId="0" fillId="0" borderId="0" xfId="0" applyBorder="1" applyAlignment="1">
      <alignment horizontal="center" vertical="center"/>
    </xf>
    <xf numFmtId="0" fontId="15" fillId="0" borderId="1" xfId="6" applyFont="1" applyBorder="1">
      <alignment vertical="center"/>
    </xf>
    <xf numFmtId="0" fontId="50" fillId="0" borderId="228" xfId="0" applyFont="1" applyBorder="1">
      <alignment vertical="center"/>
    </xf>
    <xf numFmtId="178" fontId="0" fillId="0" borderId="186" xfId="0" applyNumberFormat="1" applyBorder="1">
      <alignment vertical="center"/>
    </xf>
    <xf numFmtId="178" fontId="72" fillId="0" borderId="183" xfId="0" applyNumberFormat="1" applyFont="1" applyBorder="1">
      <alignment vertical="center"/>
    </xf>
    <xf numFmtId="178" fontId="0" fillId="0" borderId="189" xfId="0" applyNumberFormat="1" applyBorder="1">
      <alignment vertical="center"/>
    </xf>
    <xf numFmtId="178" fontId="0" fillId="0" borderId="212" xfId="0" applyNumberFormat="1" applyBorder="1">
      <alignment vertical="center"/>
    </xf>
    <xf numFmtId="178" fontId="0" fillId="0" borderId="218" xfId="0" applyNumberFormat="1" applyBorder="1">
      <alignment vertical="center"/>
    </xf>
    <xf numFmtId="178" fontId="0" fillId="0" borderId="214" xfId="0" applyNumberFormat="1" applyBorder="1">
      <alignment vertical="center"/>
    </xf>
    <xf numFmtId="178" fontId="0" fillId="0" borderId="216" xfId="0" applyNumberFormat="1" applyBorder="1">
      <alignment vertical="center"/>
    </xf>
    <xf numFmtId="178" fontId="0" fillId="6" borderId="183" xfId="0" applyNumberFormat="1" applyFill="1" applyBorder="1">
      <alignment vertical="center"/>
    </xf>
    <xf numFmtId="178" fontId="0" fillId="6" borderId="184" xfId="0" applyNumberFormat="1" applyFill="1" applyBorder="1">
      <alignment vertical="center"/>
    </xf>
    <xf numFmtId="178" fontId="0" fillId="6" borderId="186" xfId="0" applyNumberFormat="1" applyFill="1" applyBorder="1">
      <alignment vertical="center"/>
    </xf>
    <xf numFmtId="178" fontId="0" fillId="6" borderId="187" xfId="0" applyNumberFormat="1" applyFill="1" applyBorder="1">
      <alignment vertical="center"/>
    </xf>
    <xf numFmtId="176" fontId="0" fillId="0" borderId="191" xfId="0" applyNumberFormat="1" applyBorder="1">
      <alignment vertical="center"/>
    </xf>
    <xf numFmtId="0" fontId="0" fillId="0" borderId="180" xfId="0" applyBorder="1" applyAlignment="1">
      <alignment vertical="center"/>
    </xf>
    <xf numFmtId="178" fontId="0" fillId="0" borderId="206" xfId="0" applyNumberFormat="1" applyBorder="1" applyAlignment="1">
      <alignment vertical="center"/>
    </xf>
    <xf numFmtId="178" fontId="0" fillId="0" borderId="209" xfId="0" applyNumberFormat="1" applyBorder="1" applyAlignment="1">
      <alignment vertical="center"/>
    </xf>
    <xf numFmtId="0" fontId="0" fillId="0" borderId="221" xfId="0" applyBorder="1" applyAlignment="1">
      <alignment vertical="center"/>
    </xf>
    <xf numFmtId="0" fontId="74" fillId="0" borderId="0" xfId="0" applyFont="1" applyFill="1" applyBorder="1" applyAlignment="1">
      <alignment horizontal="left" vertical="top" wrapText="1"/>
    </xf>
    <xf numFmtId="0" fontId="74" fillId="0" borderId="0" xfId="0" applyFont="1" applyFill="1" applyBorder="1" applyAlignment="1">
      <alignment horizontal="center" vertical="top" wrapText="1"/>
    </xf>
    <xf numFmtId="179" fontId="38" fillId="0" borderId="0" xfId="5" applyNumberFormat="1">
      <alignment vertical="center"/>
    </xf>
    <xf numFmtId="0" fontId="53" fillId="0" borderId="0" xfId="0" applyFont="1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121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178" fontId="63" fillId="0" borderId="191" xfId="0" applyNumberFormat="1" applyFont="1" applyBorder="1" applyAlignment="1">
      <alignment horizontal="right" vertical="center"/>
    </xf>
    <xf numFmtId="178" fontId="63" fillId="0" borderId="206" xfId="0" applyNumberFormat="1" applyFont="1" applyBorder="1" applyAlignment="1">
      <alignment vertical="center" wrapText="1"/>
    </xf>
    <xf numFmtId="178" fontId="63" fillId="0" borderId="193" xfId="0" applyNumberFormat="1" applyFont="1" applyBorder="1" applyAlignment="1">
      <alignment vertical="center" wrapText="1"/>
    </xf>
    <xf numFmtId="178" fontId="0" fillId="0" borderId="193" xfId="0" applyNumberFormat="1" applyBorder="1" applyAlignment="1">
      <alignment vertical="center"/>
    </xf>
    <xf numFmtId="178" fontId="0" fillId="0" borderId="202" xfId="0" applyNumberFormat="1" applyBorder="1" applyAlignment="1">
      <alignment vertical="center"/>
    </xf>
    <xf numFmtId="178" fontId="0" fillId="0" borderId="213" xfId="0" applyNumberFormat="1" applyBorder="1" applyAlignment="1">
      <alignment horizontal="right" vertical="center"/>
    </xf>
    <xf numFmtId="178" fontId="0" fillId="0" borderId="195" xfId="0" applyNumberFormat="1" applyBorder="1" applyAlignment="1">
      <alignment horizontal="right" vertical="center"/>
    </xf>
    <xf numFmtId="9" fontId="0" fillId="0" borderId="0" xfId="0" applyNumberFormat="1">
      <alignment vertical="center"/>
    </xf>
    <xf numFmtId="9" fontId="0" fillId="0" borderId="24" xfId="0" applyNumberFormat="1" applyBorder="1">
      <alignment vertical="center"/>
    </xf>
    <xf numFmtId="0" fontId="0" fillId="0" borderId="24" xfId="0" applyNumberFormat="1" applyBorder="1">
      <alignment vertical="center"/>
    </xf>
    <xf numFmtId="0" fontId="39" fillId="0" borderId="0" xfId="3">
      <alignment vertical="center"/>
    </xf>
    <xf numFmtId="0" fontId="51" fillId="14" borderId="238" xfId="3" applyFont="1" applyFill="1" applyBorder="1" applyAlignment="1">
      <alignment horizontal="center" vertical="center"/>
    </xf>
    <xf numFmtId="0" fontId="39" fillId="0" borderId="0" xfId="3" applyFill="1">
      <alignment vertical="center"/>
    </xf>
    <xf numFmtId="0" fontId="39" fillId="14" borderId="238" xfId="3" applyFill="1" applyBorder="1" applyAlignment="1">
      <alignment horizontal="center" vertical="center"/>
    </xf>
    <xf numFmtId="0" fontId="39" fillId="14" borderId="174" xfId="3" applyFill="1" applyBorder="1" applyAlignment="1">
      <alignment horizontal="center" vertical="center"/>
    </xf>
    <xf numFmtId="0" fontId="0" fillId="14" borderId="239" xfId="2" applyFont="1" applyFill="1" applyBorder="1" applyAlignment="1">
      <alignment horizontal="center" vertical="center"/>
    </xf>
    <xf numFmtId="181" fontId="39" fillId="0" borderId="240" xfId="3" applyNumberFormat="1" applyFill="1" applyBorder="1" applyAlignment="1" applyProtection="1">
      <alignment horizontal="center" vertical="center"/>
      <protection locked="0"/>
    </xf>
    <xf numFmtId="181" fontId="39" fillId="14" borderId="241" xfId="3" applyNumberFormat="1" applyFill="1" applyBorder="1" applyAlignment="1">
      <alignment horizontal="center" vertical="center"/>
    </xf>
    <xf numFmtId="181" fontId="39" fillId="14" borderId="240" xfId="3" applyNumberFormat="1" applyFill="1" applyBorder="1" applyAlignment="1">
      <alignment horizontal="center" vertical="center"/>
    </xf>
    <xf numFmtId="181" fontId="39" fillId="14" borderId="242" xfId="3" applyNumberFormat="1" applyFill="1" applyBorder="1" applyAlignment="1">
      <alignment horizontal="center" vertical="center"/>
    </xf>
    <xf numFmtId="0" fontId="39" fillId="21" borderId="175" xfId="3" applyFont="1" applyFill="1" applyBorder="1">
      <alignment vertical="center"/>
    </xf>
    <xf numFmtId="178" fontId="55" fillId="0" borderId="244" xfId="3" applyNumberFormat="1" applyFont="1" applyFill="1" applyBorder="1" applyProtection="1">
      <alignment vertical="center"/>
      <protection locked="0"/>
    </xf>
    <xf numFmtId="178" fontId="55" fillId="0" borderId="245" xfId="3" applyNumberFormat="1" applyFont="1" applyFill="1" applyBorder="1" applyProtection="1">
      <alignment vertical="center"/>
      <protection locked="0"/>
    </xf>
    <xf numFmtId="178" fontId="55" fillId="0" borderId="246" xfId="3" applyNumberFormat="1" applyFont="1" applyFill="1" applyBorder="1" applyProtection="1">
      <alignment vertical="center"/>
      <protection locked="0"/>
    </xf>
    <xf numFmtId="178" fontId="55" fillId="21" borderId="245" xfId="3" applyNumberFormat="1" applyFont="1" applyFill="1" applyBorder="1" applyProtection="1">
      <alignment vertical="center"/>
      <protection hidden="1"/>
    </xf>
    <xf numFmtId="178" fontId="55" fillId="21" borderId="246" xfId="3" applyNumberFormat="1" applyFont="1" applyFill="1" applyBorder="1" applyProtection="1">
      <alignment vertical="center"/>
      <protection hidden="1"/>
    </xf>
    <xf numFmtId="0" fontId="39" fillId="21" borderId="249" xfId="3" applyFill="1" applyBorder="1">
      <alignment vertical="center"/>
    </xf>
    <xf numFmtId="178" fontId="55" fillId="0" borderId="250" xfId="3" applyNumberFormat="1" applyFont="1" applyFill="1" applyBorder="1" applyProtection="1">
      <alignment vertical="center"/>
      <protection locked="0"/>
    </xf>
    <xf numFmtId="178" fontId="55" fillId="0" borderId="251" xfId="3" applyNumberFormat="1" applyFont="1" applyFill="1" applyBorder="1" applyProtection="1">
      <alignment vertical="center"/>
      <protection locked="0"/>
    </xf>
    <xf numFmtId="178" fontId="55" fillId="0" borderId="252" xfId="3" applyNumberFormat="1" applyFont="1" applyFill="1" applyBorder="1" applyProtection="1">
      <alignment vertical="center"/>
      <protection locked="0"/>
    </xf>
    <xf numFmtId="178" fontId="55" fillId="21" borderId="251" xfId="3" applyNumberFormat="1" applyFont="1" applyFill="1" applyBorder="1" applyProtection="1">
      <alignment vertical="center"/>
      <protection hidden="1"/>
    </xf>
    <xf numFmtId="178" fontId="55" fillId="21" borderId="252" xfId="3" applyNumberFormat="1" applyFont="1" applyFill="1" applyBorder="1" applyProtection="1">
      <alignment vertical="center"/>
      <protection hidden="1"/>
    </xf>
    <xf numFmtId="0" fontId="39" fillId="21" borderId="176" xfId="3" applyFill="1" applyBorder="1">
      <alignment vertical="center"/>
    </xf>
    <xf numFmtId="178" fontId="55" fillId="21" borderId="255" xfId="3" applyNumberFormat="1" applyFont="1" applyFill="1" applyBorder="1" applyProtection="1">
      <alignment vertical="center"/>
      <protection hidden="1"/>
    </xf>
    <xf numFmtId="178" fontId="55" fillId="21" borderId="256" xfId="3" applyNumberFormat="1" applyFont="1" applyFill="1" applyBorder="1" applyProtection="1">
      <alignment vertical="center"/>
      <protection hidden="1"/>
    </xf>
    <xf numFmtId="178" fontId="55" fillId="21" borderId="257" xfId="3" applyNumberFormat="1" applyFont="1" applyFill="1" applyBorder="1" applyProtection="1">
      <alignment vertical="center"/>
      <protection hidden="1"/>
    </xf>
    <xf numFmtId="0" fontId="39" fillId="23" borderId="175" xfId="3" applyFont="1" applyFill="1" applyBorder="1">
      <alignment vertical="center"/>
    </xf>
    <xf numFmtId="178" fontId="55" fillId="23" borderId="244" xfId="3" applyNumberFormat="1" applyFont="1" applyFill="1" applyBorder="1" applyProtection="1">
      <alignment vertical="center"/>
      <protection hidden="1"/>
    </xf>
    <xf numFmtId="178" fontId="55" fillId="23" borderId="245" xfId="3" applyNumberFormat="1" applyFont="1" applyFill="1" applyBorder="1" applyProtection="1">
      <alignment vertical="center"/>
      <protection hidden="1"/>
    </xf>
    <xf numFmtId="178" fontId="55" fillId="23" borderId="246" xfId="3" applyNumberFormat="1" applyFont="1" applyFill="1" applyBorder="1" applyProtection="1">
      <alignment vertical="center"/>
      <protection hidden="1"/>
    </xf>
    <xf numFmtId="0" fontId="39" fillId="23" borderId="249" xfId="3" applyFill="1" applyBorder="1">
      <alignment vertical="center"/>
    </xf>
    <xf numFmtId="178" fontId="55" fillId="23" borderId="250" xfId="3" applyNumberFormat="1" applyFont="1" applyFill="1" applyBorder="1" applyProtection="1">
      <alignment vertical="center"/>
      <protection hidden="1"/>
    </xf>
    <xf numFmtId="178" fontId="55" fillId="23" borderId="251" xfId="3" applyNumberFormat="1" applyFont="1" applyFill="1" applyBorder="1" applyProtection="1">
      <alignment vertical="center"/>
      <protection hidden="1"/>
    </xf>
    <xf numFmtId="178" fontId="55" fillId="23" borderId="252" xfId="3" applyNumberFormat="1" applyFont="1" applyFill="1" applyBorder="1" applyProtection="1">
      <alignment vertical="center"/>
      <protection hidden="1"/>
    </xf>
    <xf numFmtId="0" fontId="39" fillId="23" borderId="176" xfId="3" applyFill="1" applyBorder="1">
      <alignment vertical="center"/>
    </xf>
    <xf numFmtId="178" fontId="55" fillId="23" borderId="255" xfId="3" applyNumberFormat="1" applyFont="1" applyFill="1" applyBorder="1" applyProtection="1">
      <alignment vertical="center"/>
      <protection hidden="1"/>
    </xf>
    <xf numFmtId="178" fontId="55" fillId="23" borderId="256" xfId="3" applyNumberFormat="1" applyFont="1" applyFill="1" applyBorder="1" applyProtection="1">
      <alignment vertical="center"/>
      <protection hidden="1"/>
    </xf>
    <xf numFmtId="178" fontId="55" fillId="23" borderId="257" xfId="3" applyNumberFormat="1" applyFont="1" applyFill="1" applyBorder="1" applyProtection="1">
      <alignment vertical="center"/>
      <protection hidden="1"/>
    </xf>
    <xf numFmtId="178" fontId="55" fillId="21" borderId="244" xfId="3" applyNumberFormat="1" applyFont="1" applyFill="1" applyBorder="1" applyProtection="1">
      <alignment vertical="center"/>
      <protection hidden="1"/>
    </xf>
    <xf numFmtId="178" fontId="55" fillId="21" borderId="250" xfId="3" applyNumberFormat="1" applyFont="1" applyFill="1" applyBorder="1" applyProtection="1">
      <alignment vertical="center"/>
      <protection hidden="1"/>
    </xf>
    <xf numFmtId="0" fontId="39" fillId="23" borderId="268" xfId="3" applyFill="1" applyBorder="1">
      <alignment vertical="center"/>
    </xf>
    <xf numFmtId="178" fontId="55" fillId="23" borderId="269" xfId="3" applyNumberFormat="1" applyFont="1" applyFill="1" applyBorder="1" applyProtection="1">
      <alignment vertical="center"/>
      <protection hidden="1"/>
    </xf>
    <xf numFmtId="178" fontId="55" fillId="23" borderId="270" xfId="3" applyNumberFormat="1" applyFont="1" applyFill="1" applyBorder="1" applyProtection="1">
      <alignment vertical="center"/>
      <protection hidden="1"/>
    </xf>
    <xf numFmtId="178" fontId="55" fillId="23" borderId="271" xfId="3" applyNumberFormat="1" applyFont="1" applyFill="1" applyBorder="1" applyProtection="1">
      <alignment vertical="center"/>
      <protection hidden="1"/>
    </xf>
    <xf numFmtId="0" fontId="39" fillId="23" borderId="272" xfId="3" applyFill="1" applyBorder="1">
      <alignment vertical="center"/>
    </xf>
    <xf numFmtId="178" fontId="55" fillId="23" borderId="273" xfId="3" applyNumberFormat="1" applyFont="1" applyFill="1" applyBorder="1" applyProtection="1">
      <alignment vertical="center"/>
      <protection hidden="1"/>
    </xf>
    <xf numFmtId="178" fontId="55" fillId="23" borderId="274" xfId="3" applyNumberFormat="1" applyFont="1" applyFill="1" applyBorder="1" applyProtection="1">
      <alignment vertical="center"/>
      <protection hidden="1"/>
    </xf>
    <xf numFmtId="178" fontId="55" fillId="23" borderId="275" xfId="3" applyNumberFormat="1" applyFont="1" applyFill="1" applyBorder="1" applyProtection="1">
      <alignment vertical="center"/>
      <protection hidden="1"/>
    </xf>
    <xf numFmtId="0" fontId="39" fillId="23" borderId="277" xfId="3" applyFill="1" applyBorder="1">
      <alignment vertical="center"/>
    </xf>
    <xf numFmtId="178" fontId="55" fillId="23" borderId="278" xfId="3" applyNumberFormat="1" applyFont="1" applyFill="1" applyBorder="1" applyProtection="1">
      <alignment vertical="center"/>
      <protection hidden="1"/>
    </xf>
    <xf numFmtId="178" fontId="55" fillId="23" borderId="279" xfId="3" applyNumberFormat="1" applyFont="1" applyFill="1" applyBorder="1" applyProtection="1">
      <alignment vertical="center"/>
      <protection hidden="1"/>
    </xf>
    <xf numFmtId="178" fontId="55" fillId="23" borderId="280" xfId="3" applyNumberFormat="1" applyFont="1" applyFill="1" applyBorder="1" applyProtection="1">
      <alignment vertical="center"/>
      <protection hidden="1"/>
    </xf>
    <xf numFmtId="0" fontId="39" fillId="0" borderId="0" xfId="3" applyFill="1" applyBorder="1">
      <alignment vertical="center"/>
    </xf>
    <xf numFmtId="0" fontId="39" fillId="0" borderId="0" xfId="3" applyFill="1" applyBorder="1" applyAlignment="1">
      <alignment horizontal="center" vertical="center"/>
    </xf>
    <xf numFmtId="0" fontId="39" fillId="0" borderId="0" xfId="3" applyFont="1" applyFill="1" applyBorder="1">
      <alignment vertical="center"/>
    </xf>
    <xf numFmtId="178" fontId="39" fillId="0" borderId="0" xfId="3" applyNumberFormat="1" applyFill="1" applyBorder="1">
      <alignment vertical="center"/>
    </xf>
    <xf numFmtId="0" fontId="0" fillId="21" borderId="249" xfId="3" applyFont="1" applyFill="1" applyBorder="1">
      <alignment vertical="center"/>
    </xf>
    <xf numFmtId="0" fontId="0" fillId="23" borderId="249" xfId="3" applyFont="1" applyFill="1" applyBorder="1">
      <alignment vertical="center"/>
    </xf>
    <xf numFmtId="177" fontId="0" fillId="5" borderId="0" xfId="0" applyNumberFormat="1" applyFill="1">
      <alignment vertical="center"/>
    </xf>
    <xf numFmtId="177" fontId="0" fillId="5" borderId="0" xfId="0" applyNumberFormat="1" applyFill="1" applyAlignment="1">
      <alignment horizontal="center" vertical="center"/>
    </xf>
    <xf numFmtId="176" fontId="70" fillId="0" borderId="1" xfId="1" applyNumberFormat="1" applyFont="1" applyFill="1" applyBorder="1">
      <alignment vertical="center"/>
    </xf>
    <xf numFmtId="176" fontId="71" fillId="0" borderId="1" xfId="1" applyNumberFormat="1" applyFont="1" applyFill="1" applyBorder="1">
      <alignment vertical="center"/>
    </xf>
    <xf numFmtId="176" fontId="75" fillId="0" borderId="1" xfId="1" applyNumberFormat="1" applyFont="1" applyFill="1" applyBorder="1">
      <alignment vertical="center"/>
    </xf>
    <xf numFmtId="0" fontId="0" fillId="0" borderId="0" xfId="3" applyFont="1">
      <alignment vertical="center"/>
    </xf>
    <xf numFmtId="0" fontId="12" fillId="0" borderId="0" xfId="6" applyFont="1">
      <alignment vertical="center"/>
    </xf>
    <xf numFmtId="178" fontId="31" fillId="6" borderId="0" xfId="6" applyNumberFormat="1" applyFill="1">
      <alignment vertical="center"/>
    </xf>
    <xf numFmtId="0" fontId="39" fillId="0" borderId="0" xfId="3" applyFill="1" applyBorder="1" applyAlignment="1">
      <alignment vertical="center"/>
    </xf>
    <xf numFmtId="0" fontId="76" fillId="0" borderId="0" xfId="6" applyFont="1">
      <alignment vertical="center"/>
    </xf>
    <xf numFmtId="0" fontId="50" fillId="0" borderId="95" xfId="0" applyFont="1" applyBorder="1" applyAlignment="1">
      <alignment horizontal="center" vertical="center"/>
    </xf>
    <xf numFmtId="178" fontId="50" fillId="0" borderId="91" xfId="0" applyNumberFormat="1" applyFont="1" applyBorder="1">
      <alignment vertical="center"/>
    </xf>
    <xf numFmtId="178" fontId="50" fillId="0" borderId="76" xfId="0" applyNumberFormat="1" applyFont="1" applyBorder="1">
      <alignment vertical="center"/>
    </xf>
    <xf numFmtId="178" fontId="50" fillId="0" borderId="88" xfId="0" applyNumberFormat="1" applyFont="1" applyBorder="1">
      <alignment vertical="center"/>
    </xf>
    <xf numFmtId="178" fontId="50" fillId="0" borderId="96" xfId="0" applyNumberFormat="1" applyFont="1" applyBorder="1">
      <alignment vertical="center"/>
    </xf>
    <xf numFmtId="178" fontId="50" fillId="0" borderId="72" xfId="0" applyNumberFormat="1" applyFont="1" applyBorder="1">
      <alignment vertical="center"/>
    </xf>
    <xf numFmtId="178" fontId="50" fillId="0" borderId="77" xfId="0" applyNumberFormat="1" applyFont="1" applyBorder="1">
      <alignment vertical="center"/>
    </xf>
    <xf numFmtId="178" fontId="50" fillId="12" borderId="92" xfId="0" applyNumberFormat="1" applyFont="1" applyFill="1" applyBorder="1">
      <alignment vertical="center"/>
    </xf>
    <xf numFmtId="178" fontId="50" fillId="12" borderId="77" xfId="0" applyNumberFormat="1" applyFont="1" applyFill="1" applyBorder="1">
      <alignment vertical="center"/>
    </xf>
    <xf numFmtId="178" fontId="50" fillId="12" borderId="55" xfId="0" applyNumberFormat="1" applyFont="1" applyFill="1" applyBorder="1">
      <alignment vertical="center"/>
    </xf>
    <xf numFmtId="178" fontId="50" fillId="12" borderId="78" xfId="0" applyNumberFormat="1" applyFont="1" applyFill="1" applyBorder="1">
      <alignment vertical="center"/>
    </xf>
    <xf numFmtId="178" fontId="50" fillId="0" borderId="69" xfId="0" applyNumberFormat="1" applyFont="1" applyBorder="1">
      <alignment vertical="center"/>
    </xf>
    <xf numFmtId="178" fontId="50" fillId="0" borderId="92" xfId="0" applyNumberFormat="1" applyFont="1" applyFill="1" applyBorder="1">
      <alignment vertical="center"/>
    </xf>
    <xf numFmtId="178" fontId="50" fillId="0" borderId="77" xfId="0" applyNumberFormat="1" applyFont="1" applyFill="1" applyBorder="1">
      <alignment vertical="center"/>
    </xf>
    <xf numFmtId="178" fontId="50" fillId="0" borderId="102" xfId="0" applyNumberFormat="1" applyFont="1" applyBorder="1">
      <alignment vertical="center"/>
    </xf>
    <xf numFmtId="178" fontId="50" fillId="0" borderId="100" xfId="0" applyNumberFormat="1" applyFont="1" applyBorder="1">
      <alignment vertical="center"/>
    </xf>
    <xf numFmtId="178" fontId="50" fillId="12" borderId="101" xfId="0" applyNumberFormat="1" applyFont="1" applyFill="1" applyBorder="1">
      <alignment vertical="center"/>
    </xf>
    <xf numFmtId="0" fontId="50" fillId="0" borderId="0" xfId="0" applyFont="1">
      <alignment vertical="center"/>
    </xf>
    <xf numFmtId="0" fontId="39" fillId="0" borderId="0" xfId="3" applyFill="1" applyBorder="1" applyAlignment="1">
      <alignment horizontal="center" vertical="center"/>
    </xf>
    <xf numFmtId="0" fontId="0" fillId="0" borderId="287" xfId="0" applyFont="1" applyBorder="1">
      <alignment vertical="center"/>
    </xf>
    <xf numFmtId="0" fontId="0" fillId="8" borderId="287" xfId="0" applyFont="1" applyFill="1" applyBorder="1">
      <alignment vertical="center"/>
    </xf>
    <xf numFmtId="0" fontId="0" fillId="8" borderId="234" xfId="0" applyFont="1" applyFill="1" applyBorder="1">
      <alignment vertical="center"/>
    </xf>
    <xf numFmtId="178" fontId="0" fillId="8" borderId="289" xfId="0" applyNumberFormat="1" applyFill="1" applyBorder="1">
      <alignment vertical="center"/>
    </xf>
    <xf numFmtId="178" fontId="0" fillId="0" borderId="289" xfId="0" applyNumberFormat="1" applyBorder="1">
      <alignment vertical="center"/>
    </xf>
    <xf numFmtId="178" fontId="0" fillId="8" borderId="233" xfId="0" applyNumberFormat="1" applyFill="1" applyBorder="1">
      <alignment vertical="center"/>
    </xf>
    <xf numFmtId="0" fontId="0" fillId="7" borderId="290" xfId="0" applyFill="1" applyBorder="1" applyAlignment="1">
      <alignment horizontal="center" vertical="center"/>
    </xf>
    <xf numFmtId="0" fontId="0" fillId="7" borderId="291" xfId="0" applyFill="1" applyBorder="1" applyAlignment="1">
      <alignment horizontal="center" vertical="center"/>
    </xf>
    <xf numFmtId="0" fontId="0" fillId="0" borderId="285" xfId="0" applyFont="1" applyBorder="1">
      <alignment vertical="center"/>
    </xf>
    <xf numFmtId="0" fontId="77" fillId="0" borderId="204" xfId="0" applyFont="1" applyBorder="1" applyAlignment="1">
      <alignment horizontal="center" vertical="center" wrapText="1"/>
    </xf>
    <xf numFmtId="0" fontId="0" fillId="5" borderId="24" xfId="0" applyFont="1" applyFill="1" applyBorder="1" applyAlignment="1">
      <alignment horizontal="center" vertical="center" shrinkToFit="1"/>
    </xf>
    <xf numFmtId="0" fontId="0" fillId="6" borderId="63" xfId="0" applyFill="1" applyBorder="1" applyAlignment="1">
      <alignment vertical="center" shrinkToFit="1"/>
    </xf>
    <xf numFmtId="0" fontId="50" fillId="0" borderId="38" xfId="0" applyFont="1" applyBorder="1" applyAlignment="1">
      <alignment vertical="center" shrinkToFit="1"/>
    </xf>
    <xf numFmtId="0" fontId="0" fillId="23" borderId="249" xfId="3" applyFont="1" applyFill="1" applyBorder="1" applyAlignment="1">
      <alignment vertical="center" shrinkToFit="1"/>
    </xf>
    <xf numFmtId="181" fontId="51" fillId="0" borderId="174" xfId="3" applyNumberFormat="1" applyFont="1" applyFill="1" applyBorder="1" applyAlignment="1" applyProtection="1">
      <alignment horizontal="center" vertical="center" shrinkToFit="1"/>
      <protection hidden="1"/>
    </xf>
    <xf numFmtId="178" fontId="79" fillId="0" borderId="21" xfId="0" applyNumberFormat="1" applyFont="1" applyBorder="1">
      <alignment vertical="center"/>
    </xf>
    <xf numFmtId="178" fontId="79" fillId="0" borderId="28" xfId="0" applyNumberFormat="1" applyFont="1" applyBorder="1">
      <alignment vertical="center"/>
    </xf>
    <xf numFmtId="178" fontId="79" fillId="0" borderId="39" xfId="0" applyNumberFormat="1" applyFont="1" applyBorder="1">
      <alignment vertical="center"/>
    </xf>
    <xf numFmtId="178" fontId="79" fillId="0" borderId="4" xfId="0" applyNumberFormat="1" applyFont="1" applyBorder="1">
      <alignment vertical="center"/>
    </xf>
    <xf numFmtId="178" fontId="79" fillId="0" borderId="29" xfId="0" applyNumberFormat="1" applyFont="1" applyBorder="1">
      <alignment vertical="center"/>
    </xf>
    <xf numFmtId="178" fontId="79" fillId="0" borderId="40" xfId="0" applyNumberFormat="1" applyFont="1" applyBorder="1">
      <alignment vertical="center"/>
    </xf>
    <xf numFmtId="178" fontId="79" fillId="0" borderId="4" xfId="0" applyNumberFormat="1" applyFont="1" applyFill="1" applyBorder="1">
      <alignment vertical="center"/>
    </xf>
    <xf numFmtId="178" fontId="79" fillId="0" borderId="29" xfId="0" applyNumberFormat="1" applyFont="1" applyFill="1" applyBorder="1">
      <alignment vertical="center"/>
    </xf>
    <xf numFmtId="178" fontId="79" fillId="0" borderId="40" xfId="0" applyNumberFormat="1" applyFont="1" applyFill="1" applyBorder="1">
      <alignment vertical="center"/>
    </xf>
    <xf numFmtId="178" fontId="79" fillId="0" borderId="21" xfId="0" applyNumberFormat="1" applyFont="1" applyFill="1" applyBorder="1">
      <alignment vertical="center"/>
    </xf>
    <xf numFmtId="178" fontId="79" fillId="0" borderId="28" xfId="0" applyNumberFormat="1" applyFont="1" applyFill="1" applyBorder="1">
      <alignment vertical="center"/>
    </xf>
    <xf numFmtId="178" fontId="79" fillId="0" borderId="39" xfId="0" applyNumberFormat="1" applyFont="1" applyFill="1" applyBorder="1">
      <alignment vertical="center"/>
    </xf>
    <xf numFmtId="179" fontId="79" fillId="0" borderId="4" xfId="0" applyNumberFormat="1" applyFont="1" applyBorder="1">
      <alignment vertical="center"/>
    </xf>
    <xf numFmtId="179" fontId="79" fillId="0" borderId="29" xfId="0" applyNumberFormat="1" applyFont="1" applyBorder="1">
      <alignment vertical="center"/>
    </xf>
    <xf numFmtId="179" fontId="79" fillId="0" borderId="40" xfId="0" applyNumberFormat="1" applyFont="1" applyBorder="1">
      <alignment vertical="center"/>
    </xf>
    <xf numFmtId="178" fontId="79" fillId="9" borderId="4" xfId="0" applyNumberFormat="1" applyFont="1" applyFill="1" applyBorder="1">
      <alignment vertical="center"/>
    </xf>
    <xf numFmtId="178" fontId="79" fillId="9" borderId="29" xfId="0" applyNumberFormat="1" applyFont="1" applyFill="1" applyBorder="1">
      <alignment vertical="center"/>
    </xf>
    <xf numFmtId="178" fontId="79" fillId="9" borderId="40" xfId="0" applyNumberFormat="1" applyFont="1" applyFill="1" applyBorder="1">
      <alignment vertical="center"/>
    </xf>
    <xf numFmtId="179" fontId="79" fillId="6" borderId="22" xfId="0" applyNumberFormat="1" applyFont="1" applyFill="1" applyBorder="1">
      <alignment vertical="center"/>
    </xf>
    <xf numFmtId="179" fontId="79" fillId="6" borderId="30" xfId="0" applyNumberFormat="1" applyFont="1" applyFill="1" applyBorder="1">
      <alignment vertical="center"/>
    </xf>
    <xf numFmtId="179" fontId="79" fillId="6" borderId="79" xfId="0" applyNumberFormat="1" applyFont="1" applyFill="1" applyBorder="1">
      <alignment vertical="center"/>
    </xf>
    <xf numFmtId="178" fontId="79" fillId="0" borderId="23" xfId="0" applyNumberFormat="1" applyFont="1" applyBorder="1">
      <alignment vertical="center"/>
    </xf>
    <xf numFmtId="178" fontId="79" fillId="0" borderId="157" xfId="0" applyNumberFormat="1" applyFont="1" applyBorder="1">
      <alignment vertical="center"/>
    </xf>
    <xf numFmtId="178" fontId="79" fillId="0" borderId="80" xfId="0" applyNumberFormat="1" applyFont="1" applyBorder="1">
      <alignment vertical="center"/>
    </xf>
    <xf numFmtId="178" fontId="79" fillId="5" borderId="67" xfId="0" applyNumberFormat="1" applyFont="1" applyFill="1" applyBorder="1">
      <alignment vertical="center"/>
    </xf>
    <xf numFmtId="178" fontId="79" fillId="5" borderId="48" xfId="0" applyNumberFormat="1" applyFont="1" applyFill="1" applyBorder="1">
      <alignment vertical="center"/>
    </xf>
    <xf numFmtId="178" fontId="79" fillId="5" borderId="155" xfId="0" applyNumberFormat="1" applyFont="1" applyFill="1" applyBorder="1">
      <alignment vertical="center"/>
    </xf>
    <xf numFmtId="178" fontId="79" fillId="4" borderId="125" xfId="0" applyNumberFormat="1" applyFont="1" applyFill="1" applyBorder="1">
      <alignment vertical="center"/>
    </xf>
    <xf numFmtId="178" fontId="79" fillId="4" borderId="136" xfId="0" applyNumberFormat="1" applyFont="1" applyFill="1" applyBorder="1">
      <alignment vertical="center"/>
    </xf>
    <xf numFmtId="178" fontId="79" fillId="4" borderId="156" xfId="0" applyNumberFormat="1" applyFont="1" applyFill="1" applyBorder="1">
      <alignment vertical="center"/>
    </xf>
    <xf numFmtId="178" fontId="50" fillId="6" borderId="24" xfId="0" applyNumberFormat="1" applyFont="1" applyFill="1" applyBorder="1">
      <alignment vertical="center"/>
    </xf>
    <xf numFmtId="178" fontId="50" fillId="0" borderId="24" xfId="0" applyNumberFormat="1" applyFont="1" applyBorder="1">
      <alignment vertical="center"/>
    </xf>
    <xf numFmtId="178" fontId="50" fillId="0" borderId="43" xfId="5" applyNumberFormat="1" applyFont="1" applyFill="1" applyBorder="1">
      <alignment vertical="center"/>
    </xf>
    <xf numFmtId="178" fontId="50" fillId="0" borderId="43" xfId="5" applyNumberFormat="1" applyFont="1" applyBorder="1">
      <alignment vertical="center"/>
    </xf>
    <xf numFmtId="178" fontId="50" fillId="4" borderId="24" xfId="0" applyNumberFormat="1" applyFont="1" applyFill="1" applyBorder="1">
      <alignment vertical="center"/>
    </xf>
    <xf numFmtId="178" fontId="50" fillId="5" borderId="24" xfId="0" applyNumberFormat="1" applyFont="1" applyFill="1" applyBorder="1">
      <alignment vertical="center"/>
    </xf>
    <xf numFmtId="178" fontId="50" fillId="0" borderId="0" xfId="0" applyNumberFormat="1" applyFont="1" applyBorder="1">
      <alignment vertical="center"/>
    </xf>
    <xf numFmtId="178" fontId="50" fillId="0" borderId="0" xfId="0" applyNumberFormat="1" applyFont="1">
      <alignment vertical="center"/>
    </xf>
    <xf numFmtId="178" fontId="50" fillId="20" borderId="24" xfId="0" applyNumberFormat="1" applyFont="1" applyFill="1" applyBorder="1">
      <alignment vertical="center"/>
    </xf>
    <xf numFmtId="178" fontId="50" fillId="20" borderId="43" xfId="5" applyNumberFormat="1" applyFont="1" applyFill="1" applyBorder="1">
      <alignment vertical="center"/>
    </xf>
    <xf numFmtId="176" fontId="50" fillId="0" borderId="24" xfId="0" applyNumberFormat="1" applyFont="1" applyBorder="1">
      <alignment vertical="center"/>
    </xf>
    <xf numFmtId="176" fontId="50" fillId="0" borderId="0" xfId="0" applyNumberFormat="1" applyFont="1">
      <alignment vertical="center"/>
    </xf>
    <xf numFmtId="0" fontId="39" fillId="0" borderId="0" xfId="3" applyAlignment="1">
      <alignment vertical="center" shrinkToFit="1"/>
    </xf>
    <xf numFmtId="0" fontId="51" fillId="14" borderId="238" xfId="3" applyFont="1" applyFill="1" applyBorder="1" applyAlignment="1">
      <alignment horizontal="center" vertical="center" shrinkToFit="1"/>
    </xf>
    <xf numFmtId="0" fontId="39" fillId="0" borderId="0" xfId="3" applyFill="1" applyAlignment="1">
      <alignment vertical="center" shrinkToFit="1"/>
    </xf>
    <xf numFmtId="0" fontId="0" fillId="14" borderId="239" xfId="2" applyFont="1" applyFill="1" applyBorder="1" applyAlignment="1">
      <alignment horizontal="center" vertical="center" shrinkToFit="1"/>
    </xf>
    <xf numFmtId="181" fontId="39" fillId="0" borderId="240" xfId="3" applyNumberFormat="1" applyFill="1" applyBorder="1" applyAlignment="1" applyProtection="1">
      <alignment horizontal="center" vertical="center" shrinkToFit="1"/>
      <protection locked="0"/>
    </xf>
    <xf numFmtId="181" fontId="39" fillId="14" borderId="241" xfId="3" applyNumberFormat="1" applyFill="1" applyBorder="1" applyAlignment="1">
      <alignment horizontal="center" vertical="center" shrinkToFit="1"/>
    </xf>
    <xf numFmtId="181" fontId="39" fillId="14" borderId="240" xfId="3" applyNumberFormat="1" applyFill="1" applyBorder="1" applyAlignment="1">
      <alignment horizontal="center" vertical="center" shrinkToFit="1"/>
    </xf>
    <xf numFmtId="181" fontId="39" fillId="14" borderId="242" xfId="3" applyNumberFormat="1" applyFill="1" applyBorder="1" applyAlignment="1">
      <alignment horizontal="center" vertical="center" shrinkToFit="1"/>
    </xf>
    <xf numFmtId="0" fontId="39" fillId="21" borderId="175" xfId="3" applyFont="1" applyFill="1" applyBorder="1" applyAlignment="1">
      <alignment vertical="center" shrinkToFit="1"/>
    </xf>
    <xf numFmtId="178" fontId="55" fillId="0" borderId="244" xfId="3" applyNumberFormat="1" applyFont="1" applyFill="1" applyBorder="1" applyAlignment="1" applyProtection="1">
      <alignment vertical="center" shrinkToFit="1"/>
      <protection locked="0"/>
    </xf>
    <xf numFmtId="178" fontId="55" fillId="0" borderId="245" xfId="3" applyNumberFormat="1" applyFont="1" applyFill="1" applyBorder="1" applyAlignment="1" applyProtection="1">
      <alignment vertical="center" shrinkToFit="1"/>
      <protection locked="0"/>
    </xf>
    <xf numFmtId="178" fontId="55" fillId="0" borderId="246" xfId="3" applyNumberFormat="1" applyFont="1" applyFill="1" applyBorder="1" applyAlignment="1" applyProtection="1">
      <alignment vertical="center" shrinkToFit="1"/>
      <protection locked="0"/>
    </xf>
    <xf numFmtId="178" fontId="55" fillId="21" borderId="245" xfId="3" applyNumberFormat="1" applyFont="1" applyFill="1" applyBorder="1" applyAlignment="1" applyProtection="1">
      <alignment vertical="center" shrinkToFit="1"/>
      <protection hidden="1"/>
    </xf>
    <xf numFmtId="178" fontId="55" fillId="21" borderId="246" xfId="3" applyNumberFormat="1" applyFont="1" applyFill="1" applyBorder="1" applyAlignment="1" applyProtection="1">
      <alignment vertical="center" shrinkToFit="1"/>
      <protection hidden="1"/>
    </xf>
    <xf numFmtId="0" fontId="39" fillId="21" borderId="249" xfId="3" applyFill="1" applyBorder="1" applyAlignment="1">
      <alignment vertical="center" shrinkToFit="1"/>
    </xf>
    <xf numFmtId="178" fontId="55" fillId="0" borderId="250" xfId="3" applyNumberFormat="1" applyFont="1" applyFill="1" applyBorder="1" applyAlignment="1" applyProtection="1">
      <alignment vertical="center" shrinkToFit="1"/>
      <protection locked="0"/>
    </xf>
    <xf numFmtId="178" fontId="55" fillId="0" borderId="251" xfId="3" applyNumberFormat="1" applyFont="1" applyFill="1" applyBorder="1" applyAlignment="1" applyProtection="1">
      <alignment vertical="center" shrinkToFit="1"/>
      <protection locked="0"/>
    </xf>
    <xf numFmtId="178" fontId="55" fillId="0" borderId="252" xfId="3" applyNumberFormat="1" applyFont="1" applyFill="1" applyBorder="1" applyAlignment="1" applyProtection="1">
      <alignment vertical="center" shrinkToFit="1"/>
      <protection locked="0"/>
    </xf>
    <xf numFmtId="178" fontId="55" fillId="21" borderId="251" xfId="3" applyNumberFormat="1" applyFont="1" applyFill="1" applyBorder="1" applyAlignment="1" applyProtection="1">
      <alignment vertical="center" shrinkToFit="1"/>
      <protection hidden="1"/>
    </xf>
    <xf numFmtId="178" fontId="55" fillId="21" borderId="252" xfId="3" applyNumberFormat="1" applyFont="1" applyFill="1" applyBorder="1" applyAlignment="1" applyProtection="1">
      <alignment vertical="center" shrinkToFit="1"/>
      <protection hidden="1"/>
    </xf>
    <xf numFmtId="0" fontId="0" fillId="21" borderId="249" xfId="3" applyFont="1" applyFill="1" applyBorder="1" applyAlignment="1">
      <alignment vertical="center" shrinkToFit="1"/>
    </xf>
    <xf numFmtId="0" fontId="39" fillId="23" borderId="175" xfId="3" applyFont="1" applyFill="1" applyBorder="1" applyAlignment="1">
      <alignment vertical="center" shrinkToFit="1"/>
    </xf>
    <xf numFmtId="178" fontId="55" fillId="23" borderId="244" xfId="3" applyNumberFormat="1" applyFont="1" applyFill="1" applyBorder="1" applyAlignment="1" applyProtection="1">
      <alignment vertical="center" shrinkToFit="1"/>
      <protection hidden="1"/>
    </xf>
    <xf numFmtId="178" fontId="55" fillId="23" borderId="245" xfId="3" applyNumberFormat="1" applyFont="1" applyFill="1" applyBorder="1" applyAlignment="1" applyProtection="1">
      <alignment vertical="center" shrinkToFit="1"/>
      <protection hidden="1"/>
    </xf>
    <xf numFmtId="178" fontId="55" fillId="23" borderId="246" xfId="3" applyNumberFormat="1" applyFont="1" applyFill="1" applyBorder="1" applyAlignment="1" applyProtection="1">
      <alignment vertical="center" shrinkToFit="1"/>
      <protection hidden="1"/>
    </xf>
    <xf numFmtId="0" fontId="39" fillId="23" borderId="249" xfId="3" applyFill="1" applyBorder="1" applyAlignment="1">
      <alignment vertical="center" shrinkToFit="1"/>
    </xf>
    <xf numFmtId="178" fontId="55" fillId="23" borderId="250" xfId="3" applyNumberFormat="1" applyFont="1" applyFill="1" applyBorder="1" applyAlignment="1" applyProtection="1">
      <alignment vertical="center" shrinkToFit="1"/>
      <protection hidden="1"/>
    </xf>
    <xf numFmtId="178" fontId="55" fillId="23" borderId="251" xfId="3" applyNumberFormat="1" applyFont="1" applyFill="1" applyBorder="1" applyAlignment="1" applyProtection="1">
      <alignment vertical="center" shrinkToFit="1"/>
      <protection hidden="1"/>
    </xf>
    <xf numFmtId="178" fontId="55" fillId="23" borderId="252" xfId="3" applyNumberFormat="1" applyFont="1" applyFill="1" applyBorder="1" applyAlignment="1" applyProtection="1">
      <alignment vertical="center" shrinkToFit="1"/>
      <protection hidden="1"/>
    </xf>
    <xf numFmtId="0" fontId="0" fillId="24" borderId="249" xfId="3" applyFont="1" applyFill="1" applyBorder="1" applyAlignment="1">
      <alignment vertical="center" shrinkToFit="1"/>
    </xf>
    <xf numFmtId="178" fontId="55" fillId="24" borderId="250" xfId="3" applyNumberFormat="1" applyFont="1" applyFill="1" applyBorder="1" applyAlignment="1" applyProtection="1">
      <alignment vertical="center" shrinkToFit="1"/>
      <protection locked="0"/>
    </xf>
    <xf numFmtId="178" fontId="55" fillId="24" borderId="251" xfId="3" applyNumberFormat="1" applyFont="1" applyFill="1" applyBorder="1" applyAlignment="1" applyProtection="1">
      <alignment vertical="center" shrinkToFit="1"/>
      <protection locked="0"/>
    </xf>
    <xf numFmtId="178" fontId="55" fillId="24" borderId="252" xfId="3" applyNumberFormat="1" applyFont="1" applyFill="1" applyBorder="1" applyAlignment="1" applyProtection="1">
      <alignment vertical="center" shrinkToFit="1"/>
      <protection locked="0"/>
    </xf>
    <xf numFmtId="178" fontId="55" fillId="24" borderId="251" xfId="3" applyNumberFormat="1" applyFont="1" applyFill="1" applyBorder="1" applyAlignment="1" applyProtection="1">
      <alignment vertical="center" shrinkToFit="1"/>
      <protection hidden="1"/>
    </xf>
    <xf numFmtId="178" fontId="55" fillId="24" borderId="252" xfId="3" applyNumberFormat="1" applyFont="1" applyFill="1" applyBorder="1" applyAlignment="1" applyProtection="1">
      <alignment vertical="center" shrinkToFit="1"/>
      <protection hidden="1"/>
    </xf>
    <xf numFmtId="0" fontId="39" fillId="21" borderId="176" xfId="3" applyFill="1" applyBorder="1" applyAlignment="1">
      <alignment vertical="center" shrinkToFit="1"/>
    </xf>
    <xf numFmtId="178" fontId="55" fillId="21" borderId="255" xfId="3" applyNumberFormat="1" applyFont="1" applyFill="1" applyBorder="1" applyAlignment="1" applyProtection="1">
      <alignment vertical="center" shrinkToFit="1"/>
      <protection hidden="1"/>
    </xf>
    <xf numFmtId="178" fontId="55" fillId="21" borderId="256" xfId="3" applyNumberFormat="1" applyFont="1" applyFill="1" applyBorder="1" applyAlignment="1" applyProtection="1">
      <alignment vertical="center" shrinkToFit="1"/>
      <protection hidden="1"/>
    </xf>
    <xf numFmtId="178" fontId="55" fillId="21" borderId="257" xfId="3" applyNumberFormat="1" applyFont="1" applyFill="1" applyBorder="1" applyAlignment="1" applyProtection="1">
      <alignment vertical="center" shrinkToFit="1"/>
      <protection hidden="1"/>
    </xf>
    <xf numFmtId="178" fontId="55" fillId="24" borderId="250" xfId="3" applyNumberFormat="1" applyFont="1" applyFill="1" applyBorder="1" applyAlignment="1" applyProtection="1">
      <alignment vertical="center" shrinkToFit="1"/>
      <protection hidden="1"/>
    </xf>
    <xf numFmtId="0" fontId="39" fillId="23" borderId="176" xfId="3" applyFill="1" applyBorder="1" applyAlignment="1">
      <alignment vertical="center" shrinkToFit="1"/>
    </xf>
    <xf numFmtId="178" fontId="55" fillId="23" borderId="255" xfId="3" applyNumberFormat="1" applyFont="1" applyFill="1" applyBorder="1" applyAlignment="1" applyProtection="1">
      <alignment vertical="center" shrinkToFit="1"/>
      <protection hidden="1"/>
    </xf>
    <xf numFmtId="178" fontId="55" fillId="23" borderId="256" xfId="3" applyNumberFormat="1" applyFont="1" applyFill="1" applyBorder="1" applyAlignment="1" applyProtection="1">
      <alignment vertical="center" shrinkToFit="1"/>
      <protection hidden="1"/>
    </xf>
    <xf numFmtId="178" fontId="55" fillId="23" borderId="257" xfId="3" applyNumberFormat="1" applyFont="1" applyFill="1" applyBorder="1" applyAlignment="1" applyProtection="1">
      <alignment vertical="center" shrinkToFit="1"/>
      <protection hidden="1"/>
    </xf>
    <xf numFmtId="178" fontId="55" fillId="21" borderId="244" xfId="3" applyNumberFormat="1" applyFont="1" applyFill="1" applyBorder="1" applyAlignment="1" applyProtection="1">
      <alignment vertical="center" shrinkToFit="1"/>
      <protection hidden="1"/>
    </xf>
    <xf numFmtId="178" fontId="55" fillId="21" borderId="250" xfId="3" applyNumberFormat="1" applyFont="1" applyFill="1" applyBorder="1" applyAlignment="1" applyProtection="1">
      <alignment vertical="center" shrinkToFit="1"/>
      <protection hidden="1"/>
    </xf>
    <xf numFmtId="0" fontId="39" fillId="0" borderId="0" xfId="3" applyAlignment="1">
      <alignment vertical="center"/>
    </xf>
    <xf numFmtId="0" fontId="50" fillId="0" borderId="225" xfId="0" applyFont="1" applyBorder="1" applyAlignment="1">
      <alignment vertical="center" wrapText="1"/>
    </xf>
    <xf numFmtId="0" fontId="50" fillId="0" borderId="231" xfId="0" applyFont="1" applyBorder="1" applyAlignment="1">
      <alignment vertical="center" wrapText="1"/>
    </xf>
    <xf numFmtId="0" fontId="45" fillId="0" borderId="0" xfId="0" applyFont="1" applyAlignment="1">
      <alignment horizontal="center" vertical="center"/>
    </xf>
    <xf numFmtId="0" fontId="11" fillId="7" borderId="24" xfId="5" applyFont="1" applyFill="1" applyBorder="1" applyAlignment="1">
      <alignment horizontal="center" vertical="center" shrinkToFit="1"/>
    </xf>
    <xf numFmtId="178" fontId="38" fillId="14" borderId="88" xfId="5" applyNumberFormat="1" applyFill="1" applyBorder="1" applyAlignment="1">
      <alignment vertical="center" shrinkToFit="1"/>
    </xf>
    <xf numFmtId="179" fontId="38" fillId="14" borderId="88" xfId="5" applyNumberFormat="1" applyFill="1" applyBorder="1" applyAlignment="1">
      <alignment vertical="center" shrinkToFit="1"/>
    </xf>
    <xf numFmtId="178" fontId="18" fillId="14" borderId="88" xfId="5" applyNumberFormat="1" applyFont="1" applyFill="1" applyBorder="1" applyAlignment="1">
      <alignment vertical="center" shrinkToFit="1"/>
    </xf>
    <xf numFmtId="178" fontId="38" fillId="14" borderId="54" xfId="5" applyNumberFormat="1" applyFill="1" applyBorder="1" applyAlignment="1">
      <alignment vertical="center" shrinkToFit="1"/>
    </xf>
    <xf numFmtId="179" fontId="38" fillId="14" borderId="54" xfId="5" applyNumberFormat="1" applyFill="1" applyBorder="1" applyAlignment="1">
      <alignment vertical="center" shrinkToFit="1"/>
    </xf>
    <xf numFmtId="178" fontId="11" fillId="14" borderId="88" xfId="5" applyNumberFormat="1" applyFont="1" applyFill="1" applyBorder="1" applyAlignment="1">
      <alignment vertical="center" shrinkToFit="1"/>
    </xf>
    <xf numFmtId="178" fontId="0" fillId="0" borderId="29" xfId="0" applyNumberFormat="1" applyBorder="1" applyAlignment="1">
      <alignment vertical="center" shrinkToFit="1"/>
    </xf>
    <xf numFmtId="178" fontId="0" fillId="0" borderId="9" xfId="0" applyNumberFormat="1" applyBorder="1" applyAlignment="1">
      <alignment vertical="center" shrinkToFit="1"/>
    </xf>
    <xf numFmtId="178" fontId="0" fillId="4" borderId="29" xfId="0" applyNumberFormat="1" applyFill="1" applyBorder="1" applyAlignment="1">
      <alignment vertical="center" shrinkToFit="1"/>
    </xf>
    <xf numFmtId="178" fontId="0" fillId="14" borderId="29" xfId="0" applyNumberFormat="1" applyFill="1" applyBorder="1" applyAlignment="1">
      <alignment vertical="center" shrinkToFit="1"/>
    </xf>
    <xf numFmtId="178" fontId="0" fillId="14" borderId="9" xfId="0" applyNumberFormat="1" applyFill="1" applyBorder="1" applyAlignment="1">
      <alignment vertical="center" shrinkToFit="1"/>
    </xf>
    <xf numFmtId="182" fontId="0" fillId="0" borderId="29" xfId="0" applyNumberFormat="1" applyFill="1" applyBorder="1" applyAlignment="1">
      <alignment vertical="center" shrinkToFit="1"/>
    </xf>
    <xf numFmtId="183" fontId="0" fillId="0" borderId="9" xfId="0" applyNumberFormat="1" applyBorder="1" applyAlignment="1">
      <alignment vertical="center" shrinkToFit="1"/>
    </xf>
    <xf numFmtId="178" fontId="0" fillId="6" borderId="29" xfId="0" applyNumberFormat="1" applyFill="1" applyBorder="1" applyAlignment="1">
      <alignment vertical="center" shrinkToFit="1"/>
    </xf>
    <xf numFmtId="178" fontId="0" fillId="6" borderId="9" xfId="0" applyNumberFormat="1" applyFill="1" applyBorder="1" applyAlignment="1">
      <alignment vertical="center" shrinkToFit="1"/>
    </xf>
    <xf numFmtId="178" fontId="51" fillId="0" borderId="226" xfId="0" applyNumberFormat="1" applyFont="1" applyBorder="1" applyAlignment="1">
      <alignment vertical="center" shrinkToFit="1"/>
    </xf>
    <xf numFmtId="178" fontId="51" fillId="0" borderId="227" xfId="0" applyNumberFormat="1" applyFont="1" applyBorder="1" applyAlignment="1">
      <alignment vertical="center" shrinkToFit="1"/>
    </xf>
    <xf numFmtId="178" fontId="51" fillId="0" borderId="68" xfId="0" applyNumberFormat="1" applyFont="1" applyBorder="1" applyAlignment="1">
      <alignment vertical="center" shrinkToFit="1"/>
    </xf>
    <xf numFmtId="178" fontId="51" fillId="0" borderId="69" xfId="0" applyNumberFormat="1" applyFont="1" applyBorder="1" applyAlignment="1">
      <alignment vertical="center" shrinkToFit="1"/>
    </xf>
    <xf numFmtId="178" fontId="51" fillId="0" borderId="99" xfId="0" applyNumberFormat="1" applyFont="1" applyBorder="1" applyAlignment="1">
      <alignment vertical="center" shrinkToFit="1"/>
    </xf>
    <xf numFmtId="178" fontId="51" fillId="0" borderId="70" xfId="0" applyNumberFormat="1" applyFont="1" applyBorder="1" applyAlignment="1">
      <alignment vertical="center" shrinkToFit="1"/>
    </xf>
    <xf numFmtId="178" fontId="51" fillId="0" borderId="229" xfId="0" applyNumberFormat="1" applyFont="1" applyBorder="1" applyAlignment="1">
      <alignment vertical="center" shrinkToFit="1"/>
    </xf>
    <xf numFmtId="178" fontId="51" fillId="0" borderId="230" xfId="0" applyNumberFormat="1" applyFont="1" applyBorder="1" applyAlignment="1">
      <alignment vertical="center" shrinkToFit="1"/>
    </xf>
    <xf numFmtId="178" fontId="51" fillId="0" borderId="71" xfId="0" applyNumberFormat="1" applyFont="1" applyBorder="1" applyAlignment="1">
      <alignment vertical="center" shrinkToFit="1"/>
    </xf>
    <xf numFmtId="178" fontId="51" fillId="0" borderId="72" xfId="0" applyNumberFormat="1" applyFont="1" applyBorder="1" applyAlignment="1">
      <alignment vertical="center" shrinkToFit="1"/>
    </xf>
    <xf numFmtId="178" fontId="51" fillId="0" borderId="100" xfId="0" applyNumberFormat="1" applyFont="1" applyBorder="1" applyAlignment="1">
      <alignment vertical="center" shrinkToFit="1"/>
    </xf>
    <xf numFmtId="178" fontId="51" fillId="0" borderId="73" xfId="0" applyNumberFormat="1" applyFont="1" applyBorder="1" applyAlignment="1">
      <alignment vertical="center" shrinkToFit="1"/>
    </xf>
    <xf numFmtId="178" fontId="51" fillId="0" borderId="147" xfId="0" applyNumberFormat="1" applyFont="1" applyBorder="1" applyAlignment="1">
      <alignment vertical="center" shrinkToFit="1"/>
    </xf>
    <xf numFmtId="178" fontId="51" fillId="0" borderId="235" xfId="0" applyNumberFormat="1" applyFont="1" applyBorder="1" applyAlignment="1">
      <alignment vertical="center" shrinkToFit="1"/>
    </xf>
    <xf numFmtId="178" fontId="51" fillId="0" borderId="74" xfId="0" applyNumberFormat="1" applyFont="1" applyBorder="1" applyAlignment="1">
      <alignment vertical="center" shrinkToFit="1"/>
    </xf>
    <xf numFmtId="178" fontId="51" fillId="0" borderId="54" xfId="0" applyNumberFormat="1" applyFont="1" applyBorder="1" applyAlignment="1">
      <alignment vertical="center" shrinkToFit="1"/>
    </xf>
    <xf numFmtId="178" fontId="51" fillId="0" borderId="101" xfId="0" applyNumberFormat="1" applyFont="1" applyBorder="1" applyAlignment="1">
      <alignment vertical="center" shrinkToFit="1"/>
    </xf>
    <xf numFmtId="178" fontId="51" fillId="0" borderId="75" xfId="0" applyNumberFormat="1" applyFont="1" applyBorder="1" applyAlignment="1">
      <alignment vertical="center" shrinkToFit="1"/>
    </xf>
    <xf numFmtId="178" fontId="51" fillId="0" borderId="225" xfId="0" applyNumberFormat="1" applyFont="1" applyBorder="1" applyAlignment="1">
      <alignment vertical="center" shrinkToFit="1"/>
    </xf>
    <xf numFmtId="178" fontId="51" fillId="0" borderId="81" xfId="0" applyNumberFormat="1" applyFont="1" applyBorder="1" applyAlignment="1">
      <alignment vertical="center" shrinkToFit="1"/>
    </xf>
    <xf numFmtId="178" fontId="51" fillId="0" borderId="146" xfId="0" applyNumberFormat="1" applyFont="1" applyBorder="1" applyAlignment="1">
      <alignment vertical="center" shrinkToFit="1"/>
    </xf>
    <xf numFmtId="178" fontId="51" fillId="0" borderId="120" xfId="0" applyNumberFormat="1" applyFont="1" applyBorder="1" applyAlignment="1">
      <alignment vertical="center" shrinkToFit="1"/>
    </xf>
    <xf numFmtId="178" fontId="51" fillId="0" borderId="121" xfId="0" applyNumberFormat="1" applyFont="1" applyBorder="1" applyAlignment="1">
      <alignment vertical="center" shrinkToFit="1"/>
    </xf>
    <xf numFmtId="178" fontId="51" fillId="0" borderId="133" xfId="0" applyNumberFormat="1" applyFont="1" applyBorder="1" applyAlignment="1">
      <alignment vertical="center" shrinkToFit="1"/>
    </xf>
    <xf numFmtId="178" fontId="51" fillId="0" borderId="122" xfId="0" applyNumberFormat="1" applyFont="1" applyBorder="1" applyAlignment="1">
      <alignment vertical="center" shrinkToFit="1"/>
    </xf>
    <xf numFmtId="0" fontId="0" fillId="23" borderId="297" xfId="3" applyFont="1" applyFill="1" applyBorder="1" applyAlignment="1">
      <alignment vertical="center" shrinkToFit="1"/>
    </xf>
    <xf numFmtId="178" fontId="55" fillId="23" borderId="298" xfId="3" applyNumberFormat="1" applyFont="1" applyFill="1" applyBorder="1" applyAlignment="1" applyProtection="1">
      <alignment vertical="center" shrinkToFit="1"/>
      <protection hidden="1"/>
    </xf>
    <xf numFmtId="178" fontId="55" fillId="23" borderId="299" xfId="3" applyNumberFormat="1" applyFont="1" applyFill="1" applyBorder="1" applyAlignment="1" applyProtection="1">
      <alignment vertical="center" shrinkToFit="1"/>
      <protection hidden="1"/>
    </xf>
    <xf numFmtId="178" fontId="55" fillId="23" borderId="300" xfId="3" applyNumberFormat="1" applyFont="1" applyFill="1" applyBorder="1" applyAlignment="1" applyProtection="1">
      <alignment vertical="center" shrinkToFit="1"/>
      <protection hidden="1"/>
    </xf>
    <xf numFmtId="0" fontId="0" fillId="0" borderId="44" xfId="0" applyBorder="1">
      <alignment vertical="center"/>
    </xf>
    <xf numFmtId="181" fontId="0" fillId="0" borderId="66" xfId="0" applyNumberFormat="1" applyBorder="1" applyAlignment="1">
      <alignment horizontal="center" vertical="center"/>
    </xf>
    <xf numFmtId="178" fontId="0" fillId="0" borderId="64" xfId="0" applyNumberFormat="1" applyBorder="1">
      <alignment vertical="center"/>
    </xf>
    <xf numFmtId="0" fontId="81" fillId="0" borderId="0" xfId="0" applyFont="1" applyAlignment="1">
      <alignment vertical="center" shrinkToFit="1"/>
    </xf>
    <xf numFmtId="55" fontId="81" fillId="0" borderId="121" xfId="0" applyNumberFormat="1" applyFont="1" applyBorder="1" applyAlignment="1">
      <alignment vertical="center" shrinkToFit="1"/>
    </xf>
    <xf numFmtId="55" fontId="81" fillId="0" borderId="122" xfId="0" applyNumberFormat="1" applyFont="1" applyBorder="1" applyAlignment="1">
      <alignment vertical="center" shrinkToFit="1"/>
    </xf>
    <xf numFmtId="55" fontId="81" fillId="0" borderId="172" xfId="0" applyNumberFormat="1" applyFont="1" applyBorder="1" applyAlignment="1">
      <alignment vertical="center" shrinkToFit="1"/>
    </xf>
    <xf numFmtId="0" fontId="81" fillId="0" borderId="47" xfId="0" applyFont="1" applyBorder="1" applyAlignment="1">
      <alignment vertical="center" shrinkToFit="1"/>
    </xf>
    <xf numFmtId="0" fontId="81" fillId="0" borderId="0" xfId="0" applyFont="1" applyAlignment="1">
      <alignment horizontal="center" vertical="center" shrinkToFit="1"/>
    </xf>
    <xf numFmtId="0" fontId="81" fillId="0" borderId="96" xfId="0" applyFont="1" applyBorder="1" applyAlignment="1">
      <alignment vertical="center" shrinkToFit="1"/>
    </xf>
    <xf numFmtId="178" fontId="81" fillId="0" borderId="93" xfId="0" applyNumberFormat="1" applyFont="1" applyBorder="1" applyAlignment="1">
      <alignment vertical="center" shrinkToFit="1"/>
    </xf>
    <xf numFmtId="178" fontId="81" fillId="0" borderId="88" xfId="0" applyNumberFormat="1" applyFont="1" applyBorder="1" applyAlignment="1">
      <alignment vertical="center" shrinkToFit="1"/>
    </xf>
    <xf numFmtId="178" fontId="81" fillId="0" borderId="117" xfId="0" applyNumberFormat="1" applyFont="1" applyBorder="1" applyAlignment="1">
      <alignment vertical="center" shrinkToFit="1"/>
    </xf>
    <xf numFmtId="0" fontId="81" fillId="0" borderId="77" xfId="0" applyFont="1" applyBorder="1" applyAlignment="1">
      <alignment vertical="center" shrinkToFit="1"/>
    </xf>
    <xf numFmtId="178" fontId="81" fillId="0" borderId="92" xfId="0" applyNumberFormat="1" applyFont="1" applyBorder="1" applyAlignment="1">
      <alignment vertical="center" shrinkToFit="1"/>
    </xf>
    <xf numFmtId="178" fontId="81" fillId="0" borderId="72" xfId="0" applyNumberFormat="1" applyFont="1" applyBorder="1" applyAlignment="1">
      <alignment vertical="center" shrinkToFit="1"/>
    </xf>
    <xf numFmtId="178" fontId="81" fillId="0" borderId="73" xfId="0" applyNumberFormat="1" applyFont="1" applyBorder="1" applyAlignment="1">
      <alignment vertical="center" shrinkToFit="1"/>
    </xf>
    <xf numFmtId="0" fontId="81" fillId="0" borderId="97" xfId="0" applyFont="1" applyBorder="1" applyAlignment="1">
      <alignment vertical="center" shrinkToFit="1"/>
    </xf>
    <xf numFmtId="178" fontId="81" fillId="0" borderId="94" xfId="0" applyNumberFormat="1" applyFont="1" applyBorder="1" applyAlignment="1">
      <alignment vertical="center" shrinkToFit="1"/>
    </xf>
    <xf numFmtId="178" fontId="81" fillId="0" borderId="89" xfId="0" applyNumberFormat="1" applyFont="1" applyBorder="1" applyAlignment="1">
      <alignment vertical="center" shrinkToFit="1"/>
    </xf>
    <xf numFmtId="178" fontId="81" fillId="0" borderId="105" xfId="0" applyNumberFormat="1" applyFont="1" applyBorder="1" applyAlignment="1">
      <alignment vertical="center" shrinkToFit="1"/>
    </xf>
    <xf numFmtId="0" fontId="81" fillId="0" borderId="309" xfId="0" applyFont="1" applyBorder="1" applyAlignment="1">
      <alignment vertical="center" shrinkToFit="1"/>
    </xf>
    <xf numFmtId="178" fontId="81" fillId="0" borderId="310" xfId="0" applyNumberFormat="1" applyFont="1" applyBorder="1" applyAlignment="1">
      <alignment vertical="center" shrinkToFit="1"/>
    </xf>
    <xf numFmtId="178" fontId="81" fillId="0" borderId="56" xfId="0" applyNumberFormat="1" applyFont="1" applyBorder="1" applyAlignment="1">
      <alignment vertical="center" shrinkToFit="1"/>
    </xf>
    <xf numFmtId="178" fontId="81" fillId="0" borderId="107" xfId="0" applyNumberFormat="1" applyFont="1" applyBorder="1" applyAlignment="1">
      <alignment vertical="center" shrinkToFit="1"/>
    </xf>
    <xf numFmtId="178" fontId="0" fillId="0" borderId="43" xfId="0" applyNumberFormat="1" applyBorder="1">
      <alignment vertical="center"/>
    </xf>
    <xf numFmtId="0" fontId="0" fillId="0" borderId="64" xfId="0" applyBorder="1" applyAlignment="1">
      <alignment vertical="center"/>
    </xf>
    <xf numFmtId="0" fontId="0" fillId="0" borderId="66" xfId="0" applyBorder="1">
      <alignment vertical="center"/>
    </xf>
    <xf numFmtId="178" fontId="0" fillId="0" borderId="66" xfId="0" applyNumberFormat="1" applyBorder="1" applyAlignment="1">
      <alignment horizontal="right" vertical="center"/>
    </xf>
    <xf numFmtId="178" fontId="0" fillId="5" borderId="65" xfId="0" applyNumberFormat="1" applyFill="1" applyBorder="1">
      <alignment vertical="center"/>
    </xf>
    <xf numFmtId="0" fontId="0" fillId="5" borderId="44" xfId="0" applyFill="1" applyBorder="1" applyAlignment="1">
      <alignment vertical="center" wrapText="1"/>
    </xf>
    <xf numFmtId="178" fontId="0" fillId="5" borderId="44" xfId="0" applyNumberFormat="1" applyFill="1" applyBorder="1">
      <alignment vertical="center"/>
    </xf>
    <xf numFmtId="0" fontId="0" fillId="8" borderId="43" xfId="0" applyFill="1" applyBorder="1">
      <alignment vertical="center"/>
    </xf>
    <xf numFmtId="178" fontId="0" fillId="8" borderId="49" xfId="0" applyNumberFormat="1" applyFill="1" applyBorder="1" applyAlignment="1">
      <alignment horizontal="right" vertical="center"/>
    </xf>
    <xf numFmtId="178" fontId="0" fillId="8" borderId="45" xfId="0" applyNumberFormat="1" applyFill="1" applyBorder="1">
      <alignment vertical="center"/>
    </xf>
    <xf numFmtId="0" fontId="0" fillId="8" borderId="64" xfId="0" applyFill="1" applyBorder="1" applyAlignment="1">
      <alignment vertical="center" wrapText="1"/>
    </xf>
    <xf numFmtId="178" fontId="0" fillId="8" borderId="64" xfId="0" applyNumberFormat="1" applyFill="1" applyBorder="1">
      <alignment vertical="center"/>
    </xf>
    <xf numFmtId="0" fontId="0" fillId="5" borderId="44" xfId="0" applyFill="1" applyBorder="1">
      <alignment vertical="center"/>
    </xf>
    <xf numFmtId="178" fontId="0" fillId="5" borderId="51" xfId="0" applyNumberFormat="1" applyFill="1" applyBorder="1" applyAlignment="1">
      <alignment horizontal="right" vertical="center"/>
    </xf>
    <xf numFmtId="0" fontId="0" fillId="0" borderId="313" xfId="0" applyBorder="1">
      <alignment vertical="center"/>
    </xf>
    <xf numFmtId="178" fontId="0" fillId="0" borderId="313" xfId="0" applyNumberFormat="1" applyBorder="1" applyAlignment="1">
      <alignment horizontal="right" vertical="center"/>
    </xf>
    <xf numFmtId="178" fontId="0" fillId="0" borderId="312" xfId="0" applyNumberFormat="1" applyBorder="1" applyAlignment="1">
      <alignment horizontal="right" vertical="center"/>
    </xf>
    <xf numFmtId="178" fontId="0" fillId="0" borderId="207" xfId="0" applyNumberFormat="1" applyBorder="1" applyAlignment="1">
      <alignment vertical="center"/>
    </xf>
    <xf numFmtId="178" fontId="63" fillId="0" borderId="213" xfId="0" applyNumberFormat="1" applyFont="1" applyBorder="1" applyAlignment="1">
      <alignment horizontal="right" vertical="center" wrapText="1"/>
    </xf>
    <xf numFmtId="178" fontId="0" fillId="0" borderId="209" xfId="0" applyNumberFormat="1" applyBorder="1">
      <alignment vertical="center"/>
    </xf>
    <xf numFmtId="185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178" fontId="10" fillId="0" borderId="0" xfId="5" applyNumberFormat="1" applyFont="1">
      <alignment vertical="center"/>
    </xf>
    <xf numFmtId="0" fontId="0" fillId="0" borderId="177" xfId="0" applyBorder="1" applyAlignment="1">
      <alignment horizontal="center" vertical="center"/>
    </xf>
    <xf numFmtId="0" fontId="0" fillId="13" borderId="177" xfId="0" applyNumberFormat="1" applyFill="1" applyBorder="1" applyAlignment="1">
      <alignment horizontal="center" vertical="center"/>
    </xf>
    <xf numFmtId="0" fontId="0" fillId="13" borderId="177" xfId="0" applyFill="1" applyBorder="1" applyAlignment="1">
      <alignment horizontal="center" vertical="center"/>
    </xf>
    <xf numFmtId="185" fontId="0" fillId="0" borderId="177" xfId="0" applyNumberFormat="1" applyBorder="1" applyAlignment="1">
      <alignment horizontal="center" vertical="center"/>
    </xf>
    <xf numFmtId="178" fontId="0" fillId="0" borderId="177" xfId="0" applyNumberFormat="1" applyBorder="1">
      <alignment vertical="center"/>
    </xf>
    <xf numFmtId="178" fontId="0" fillId="13" borderId="177" xfId="0" applyNumberFormat="1" applyFill="1" applyBorder="1">
      <alignment vertical="center"/>
    </xf>
    <xf numFmtId="0" fontId="0" fillId="0" borderId="177" xfId="0" applyBorder="1" applyAlignment="1">
      <alignment horizontal="center" vertical="center" shrinkToFit="1"/>
    </xf>
    <xf numFmtId="0" fontId="0" fillId="13" borderId="177" xfId="0" applyFill="1" applyBorder="1" applyAlignment="1">
      <alignment horizontal="center" vertical="center" shrinkToFit="1"/>
    </xf>
    <xf numFmtId="49" fontId="0" fillId="13" borderId="177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/>
    </xf>
    <xf numFmtId="178" fontId="45" fillId="0" borderId="177" xfId="0" applyNumberFormat="1" applyFont="1" applyBorder="1">
      <alignment vertical="center"/>
    </xf>
    <xf numFmtId="0" fontId="0" fillId="0" borderId="0" xfId="0" pivotButton="1">
      <alignment vertical="center"/>
    </xf>
    <xf numFmtId="185" fontId="0" fillId="0" borderId="0" xfId="0" applyNumberFormat="1">
      <alignment vertical="center"/>
    </xf>
    <xf numFmtId="0" fontId="0" fillId="0" borderId="0" xfId="0" applyNumberFormat="1">
      <alignment vertical="center"/>
    </xf>
    <xf numFmtId="0" fontId="0" fillId="0" borderId="0" xfId="0" pivotButton="1" applyAlignment="1">
      <alignment horizontal="left" vertical="center"/>
    </xf>
    <xf numFmtId="185" fontId="0" fillId="0" borderId="314" xfId="0" applyNumberFormat="1" applyBorder="1" applyAlignment="1">
      <alignment horizontal="center" vertical="center"/>
    </xf>
    <xf numFmtId="0" fontId="0" fillId="13" borderId="314" xfId="0" applyNumberFormat="1" applyFill="1" applyBorder="1" applyAlignment="1">
      <alignment horizontal="center" vertical="center"/>
    </xf>
    <xf numFmtId="0" fontId="0" fillId="0" borderId="314" xfId="0" applyBorder="1" applyAlignment="1">
      <alignment horizontal="center" vertical="center"/>
    </xf>
    <xf numFmtId="178" fontId="0" fillId="13" borderId="314" xfId="0" applyNumberFormat="1" applyFill="1" applyBorder="1">
      <alignment vertical="center"/>
    </xf>
    <xf numFmtId="178" fontId="0" fillId="0" borderId="314" xfId="0" applyNumberFormat="1" applyBorder="1">
      <alignment vertical="center"/>
    </xf>
    <xf numFmtId="0" fontId="0" fillId="13" borderId="314" xfId="0" applyFill="1" applyBorder="1">
      <alignment vertical="center"/>
    </xf>
    <xf numFmtId="0" fontId="0" fillId="0" borderId="314" xfId="0" applyBorder="1" applyAlignment="1">
      <alignment horizontal="center" vertical="center" shrinkToFit="1"/>
    </xf>
    <xf numFmtId="0" fontId="0" fillId="13" borderId="314" xfId="0" applyFill="1" applyBorder="1" applyAlignment="1">
      <alignment horizontal="center" vertical="center" shrinkToFit="1"/>
    </xf>
    <xf numFmtId="0" fontId="0" fillId="13" borderId="314" xfId="0" applyFill="1" applyBorder="1" applyAlignment="1">
      <alignment horizontal="center" vertical="center"/>
    </xf>
    <xf numFmtId="186" fontId="0" fillId="13" borderId="177" xfId="0" quotePrefix="1" applyNumberFormat="1" applyFill="1" applyBorder="1" applyAlignment="1">
      <alignment horizontal="center" vertical="center"/>
    </xf>
    <xf numFmtId="190" fontId="38" fillId="0" borderId="24" xfId="5" applyNumberFormat="1" applyBorder="1" applyAlignment="1">
      <alignment horizontal="center" vertical="center"/>
    </xf>
    <xf numFmtId="191" fontId="50" fillId="3" borderId="82" xfId="0" applyNumberFormat="1" applyFont="1" applyFill="1" applyBorder="1" applyAlignment="1">
      <alignment horizontal="center" vertical="center"/>
    </xf>
    <xf numFmtId="191" fontId="50" fillId="0" borderId="24" xfId="0" applyNumberFormat="1" applyFont="1" applyFill="1" applyBorder="1" applyAlignment="1">
      <alignment horizontal="center" vertical="center"/>
    </xf>
    <xf numFmtId="191" fontId="0" fillId="11" borderId="20" xfId="0" applyNumberFormat="1" applyFill="1" applyBorder="1" applyAlignment="1">
      <alignment horizontal="center" vertical="center"/>
    </xf>
    <xf numFmtId="193" fontId="0" fillId="11" borderId="17" xfId="0" applyNumberFormat="1" applyFill="1" applyBorder="1" applyAlignment="1">
      <alignment horizontal="center" vertical="center" shrinkToFit="1"/>
    </xf>
    <xf numFmtId="0" fontId="10" fillId="0" borderId="0" xfId="5" applyFont="1">
      <alignment vertical="center"/>
    </xf>
    <xf numFmtId="0" fontId="10" fillId="7" borderId="24" xfId="5" applyFont="1" applyFill="1" applyBorder="1" applyAlignment="1">
      <alignment horizontal="center" vertical="center"/>
    </xf>
    <xf numFmtId="190" fontId="22" fillId="0" borderId="121" xfId="10" applyNumberFormat="1" applyBorder="1" applyAlignment="1">
      <alignment horizontal="center" vertical="center"/>
    </xf>
    <xf numFmtId="190" fontId="22" fillId="0" borderId="122" xfId="10" applyNumberFormat="1" applyBorder="1" applyAlignment="1">
      <alignment horizontal="center" vertical="center"/>
    </xf>
    <xf numFmtId="0" fontId="10" fillId="0" borderId="0" xfId="10" applyFont="1">
      <alignment vertical="center"/>
    </xf>
    <xf numFmtId="191" fontId="50" fillId="0" borderId="98" xfId="0" applyNumberFormat="1" applyFont="1" applyBorder="1" applyAlignment="1">
      <alignment horizontal="center" vertical="center"/>
    </xf>
    <xf numFmtId="178" fontId="39" fillId="0" borderId="0" xfId="3" applyNumberFormat="1">
      <alignment vertical="center"/>
    </xf>
    <xf numFmtId="0" fontId="0" fillId="0" borderId="180" xfId="0" applyBorder="1" applyAlignment="1">
      <alignment horizontal="center" vertical="center"/>
    </xf>
    <xf numFmtId="181" fontId="0" fillId="0" borderId="0" xfId="0" applyNumberFormat="1">
      <alignment vertical="center"/>
    </xf>
    <xf numFmtId="178" fontId="0" fillId="0" borderId="177" xfId="0" applyNumberFormat="1" applyFill="1" applyBorder="1">
      <alignment vertical="center"/>
    </xf>
    <xf numFmtId="178" fontId="51" fillId="0" borderId="229" xfId="0" applyNumberFormat="1" applyFont="1" applyFill="1" applyBorder="1" applyAlignment="1">
      <alignment vertical="center" shrinkToFit="1"/>
    </xf>
    <xf numFmtId="178" fontId="0" fillId="13" borderId="314" xfId="0" applyNumberFormat="1" applyFill="1" applyBorder="1" applyAlignment="1">
      <alignment horizontal="center" vertical="center"/>
    </xf>
    <xf numFmtId="0" fontId="10" fillId="0" borderId="1" xfId="6" applyFont="1" applyBorder="1">
      <alignment vertical="center"/>
    </xf>
    <xf numFmtId="187" fontId="10" fillId="0" borderId="1" xfId="6" applyNumberFormat="1" applyFont="1" applyBorder="1" applyAlignment="1">
      <alignment horizontal="center" vertical="center"/>
    </xf>
    <xf numFmtId="0" fontId="10" fillId="0" borderId="1" xfId="6" applyFont="1" applyBorder="1" applyAlignment="1">
      <alignment horizontal="left" vertical="center"/>
    </xf>
    <xf numFmtId="178" fontId="31" fillId="0" borderId="1" xfId="6" applyNumberFormat="1" applyFill="1" applyBorder="1">
      <alignment vertical="center"/>
    </xf>
    <xf numFmtId="178" fontId="0" fillId="0" borderId="322" xfId="0" applyNumberFormat="1" applyBorder="1" applyAlignment="1">
      <alignment horizontal="right" vertical="center"/>
    </xf>
    <xf numFmtId="178" fontId="0" fillId="0" borderId="44" xfId="0" applyNumberFormat="1" applyFill="1" applyBorder="1">
      <alignment vertical="center"/>
    </xf>
    <xf numFmtId="178" fontId="0" fillId="0" borderId="24" xfId="0" applyNumberFormat="1" applyFill="1" applyBorder="1">
      <alignment vertical="center"/>
    </xf>
    <xf numFmtId="178" fontId="0" fillId="0" borderId="50" xfId="0" applyNumberFormat="1" applyFill="1" applyBorder="1">
      <alignment vertical="center"/>
    </xf>
    <xf numFmtId="192" fontId="0" fillId="11" borderId="27" xfId="0" applyNumberFormat="1" applyFont="1" applyFill="1" applyBorder="1" applyAlignment="1">
      <alignment horizontal="center" vertical="center" shrinkToFit="1"/>
    </xf>
    <xf numFmtId="187" fontId="79" fillId="12" borderId="20" xfId="0" applyNumberFormat="1" applyFont="1" applyFill="1" applyBorder="1" applyAlignment="1">
      <alignment horizontal="center" vertical="center"/>
    </xf>
    <xf numFmtId="192" fontId="82" fillId="5" borderId="27" xfId="0" applyNumberFormat="1" applyFont="1" applyFill="1" applyBorder="1" applyAlignment="1">
      <alignment horizontal="center" vertical="center" shrinkToFit="1"/>
    </xf>
    <xf numFmtId="193" fontId="82" fillId="5" borderId="17" xfId="0" applyNumberFormat="1" applyFont="1" applyFill="1" applyBorder="1" applyAlignment="1">
      <alignment horizontal="center" vertical="center" shrinkToFit="1"/>
    </xf>
    <xf numFmtId="178" fontId="22" fillId="16" borderId="104" xfId="10" applyNumberFormat="1" applyFill="1" applyBorder="1">
      <alignment vertical="center"/>
    </xf>
    <xf numFmtId="193" fontId="22" fillId="0" borderId="122" xfId="10" applyNumberFormat="1" applyBorder="1" applyAlignment="1">
      <alignment horizontal="center" vertical="center"/>
    </xf>
    <xf numFmtId="192" fontId="19" fillId="0" borderId="120" xfId="10" applyNumberFormat="1" applyFont="1" applyBorder="1" applyAlignment="1">
      <alignment horizontal="center" vertical="center"/>
    </xf>
    <xf numFmtId="179" fontId="38" fillId="14" borderId="108" xfId="5" applyNumberFormat="1" applyFill="1" applyBorder="1">
      <alignment vertical="center"/>
    </xf>
    <xf numFmtId="179" fontId="38" fillId="14" borderId="24" xfId="5" applyNumberFormat="1" applyFill="1" applyBorder="1">
      <alignment vertical="center"/>
    </xf>
    <xf numFmtId="178" fontId="33" fillId="0" borderId="53" xfId="5" applyNumberFormat="1" applyFont="1" applyBorder="1">
      <alignment vertical="center"/>
    </xf>
    <xf numFmtId="0" fontId="38" fillId="0" borderId="53" xfId="5" applyBorder="1">
      <alignment vertical="center"/>
    </xf>
    <xf numFmtId="0" fontId="0" fillId="0" borderId="0" xfId="0" applyAlignment="1">
      <alignment horizontal="center" vertical="center" shrinkToFit="1"/>
    </xf>
    <xf numFmtId="194" fontId="0" fillId="0" borderId="0" xfId="0" applyNumberFormat="1" applyAlignment="1">
      <alignment horizontal="center" vertical="center"/>
    </xf>
    <xf numFmtId="194" fontId="0" fillId="0" borderId="0" xfId="0" applyNumberFormat="1" applyAlignment="1">
      <alignment horizontal="right" vertical="center"/>
    </xf>
    <xf numFmtId="191" fontId="50" fillId="8" borderId="82" xfId="0" applyNumberFormat="1" applyFont="1" applyFill="1" applyBorder="1" applyAlignment="1">
      <alignment horizontal="center" vertical="center"/>
    </xf>
    <xf numFmtId="187" fontId="10" fillId="8" borderId="1" xfId="6" applyNumberFormat="1" applyFont="1" applyFill="1" applyBorder="1" applyAlignment="1">
      <alignment horizontal="center" vertical="center"/>
    </xf>
    <xf numFmtId="191" fontId="50" fillId="8" borderId="98" xfId="0" applyNumberFormat="1" applyFont="1" applyFill="1" applyBorder="1" applyAlignment="1">
      <alignment horizontal="center" vertical="center"/>
    </xf>
    <xf numFmtId="181" fontId="0" fillId="0" borderId="177" xfId="0" applyNumberFormat="1" applyBorder="1" applyAlignment="1">
      <alignment horizontal="center" vertical="center" shrinkToFit="1"/>
    </xf>
    <xf numFmtId="178" fontId="0" fillId="0" borderId="177" xfId="0" applyNumberFormat="1" applyBorder="1" applyAlignment="1">
      <alignment horizontal="center" vertical="center" shrinkToFit="1"/>
    </xf>
    <xf numFmtId="0" fontId="55" fillId="0" borderId="1" xfId="0" applyFont="1" applyBorder="1" applyAlignment="1">
      <alignment horizontal="center" vertical="center"/>
    </xf>
    <xf numFmtId="0" fontId="0" fillId="0" borderId="177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177" xfId="0" applyFont="1" applyBorder="1">
      <alignment vertical="center"/>
    </xf>
    <xf numFmtId="0" fontId="45" fillId="0" borderId="0" xfId="0" applyFont="1">
      <alignment vertical="center"/>
    </xf>
    <xf numFmtId="178" fontId="9" fillId="0" borderId="93" xfId="33" applyNumberFormat="1" applyBorder="1" applyAlignment="1">
      <alignment vertical="center" shrinkToFit="1"/>
    </xf>
    <xf numFmtId="178" fontId="9" fillId="0" borderId="88" xfId="33" applyNumberFormat="1" applyBorder="1" applyAlignment="1">
      <alignment vertical="center" shrinkToFit="1"/>
    </xf>
    <xf numFmtId="178" fontId="9" fillId="0" borderId="94" xfId="33" applyNumberFormat="1" applyBorder="1" applyAlignment="1">
      <alignment vertical="center" shrinkToFit="1"/>
    </xf>
    <xf numFmtId="55" fontId="9" fillId="0" borderId="120" xfId="33" applyNumberFormat="1" applyBorder="1" applyAlignment="1">
      <alignment horizontal="center" vertical="center" shrinkToFit="1"/>
    </xf>
    <xf numFmtId="178" fontId="9" fillId="0" borderId="127" xfId="33" applyNumberFormat="1" applyBorder="1" applyAlignment="1">
      <alignment vertical="center" shrinkToFit="1"/>
    </xf>
    <xf numFmtId="178" fontId="9" fillId="0" borderId="71" xfId="33" applyNumberFormat="1" applyBorder="1" applyAlignment="1">
      <alignment vertical="center" shrinkToFit="1"/>
    </xf>
    <xf numFmtId="195" fontId="9" fillId="0" borderId="172" xfId="33" applyNumberFormat="1" applyBorder="1" applyAlignment="1">
      <alignment horizontal="center" vertical="center" shrinkToFit="1"/>
    </xf>
    <xf numFmtId="0" fontId="9" fillId="0" borderId="0" xfId="33" applyAlignment="1">
      <alignment vertical="center" shrinkToFit="1"/>
    </xf>
    <xf numFmtId="0" fontId="9" fillId="0" borderId="117" xfId="33" applyBorder="1" applyAlignment="1">
      <alignment vertical="center" shrinkToFit="1"/>
    </xf>
    <xf numFmtId="0" fontId="9" fillId="0" borderId="73" xfId="33" applyBorder="1" applyAlignment="1">
      <alignment vertical="center" shrinkToFit="1"/>
    </xf>
    <xf numFmtId="0" fontId="9" fillId="0" borderId="105" xfId="33" applyBorder="1" applyAlignment="1">
      <alignment vertical="center" shrinkToFit="1"/>
    </xf>
    <xf numFmtId="0" fontId="9" fillId="0" borderId="75" xfId="33" applyBorder="1" applyAlignment="1">
      <alignment vertical="center" shrinkToFit="1"/>
    </xf>
    <xf numFmtId="0" fontId="9" fillId="0" borderId="0" xfId="33" applyBorder="1" applyAlignment="1">
      <alignment horizontal="center" vertical="center" shrinkToFit="1"/>
    </xf>
    <xf numFmtId="0" fontId="9" fillId="0" borderId="0" xfId="33" applyBorder="1" applyAlignment="1">
      <alignment vertical="center" shrinkToFit="1"/>
    </xf>
    <xf numFmtId="0" fontId="83" fillId="0" borderId="0" xfId="33" applyFont="1" applyAlignment="1">
      <alignment vertical="center" shrinkToFit="1"/>
    </xf>
    <xf numFmtId="180" fontId="9" fillId="0" borderId="127" xfId="33" applyNumberFormat="1" applyBorder="1" applyAlignment="1">
      <alignment vertical="center" shrinkToFit="1"/>
    </xf>
    <xf numFmtId="180" fontId="9" fillId="0" borderId="93" xfId="33" applyNumberFormat="1" applyBorder="1" applyAlignment="1">
      <alignment vertical="center" shrinkToFit="1"/>
    </xf>
    <xf numFmtId="180" fontId="9" fillId="0" borderId="88" xfId="33" applyNumberFormat="1" applyBorder="1" applyAlignment="1">
      <alignment vertical="center" shrinkToFit="1"/>
    </xf>
    <xf numFmtId="0" fontId="85" fillId="0" borderId="0" xfId="0" applyFont="1">
      <alignment vertical="center"/>
    </xf>
    <xf numFmtId="0" fontId="8" fillId="0" borderId="70" xfId="33" applyFont="1" applyBorder="1" applyAlignment="1">
      <alignment horizontal="center" vertical="center" shrinkToFit="1"/>
    </xf>
    <xf numFmtId="0" fontId="8" fillId="0" borderId="73" xfId="33" applyFont="1" applyBorder="1" applyAlignment="1">
      <alignment horizontal="center" vertical="center" shrinkToFit="1"/>
    </xf>
    <xf numFmtId="196" fontId="9" fillId="0" borderId="92" xfId="33" applyNumberFormat="1" applyBorder="1" applyAlignment="1">
      <alignment horizontal="right" vertical="center" shrinkToFit="1"/>
    </xf>
    <xf numFmtId="196" fontId="9" fillId="0" borderId="72" xfId="33" applyNumberFormat="1" applyBorder="1" applyAlignment="1">
      <alignment horizontal="right" vertical="center" shrinkToFit="1"/>
    </xf>
    <xf numFmtId="182" fontId="9" fillId="0" borderId="91" xfId="33" applyNumberFormat="1" applyBorder="1" applyAlignment="1">
      <alignment horizontal="right" vertical="center" shrinkToFit="1"/>
    </xf>
    <xf numFmtId="182" fontId="9" fillId="0" borderId="69" xfId="33" applyNumberFormat="1" applyBorder="1" applyAlignment="1">
      <alignment horizontal="right" vertical="center" shrinkToFit="1"/>
    </xf>
    <xf numFmtId="182" fontId="9" fillId="0" borderId="92" xfId="33" applyNumberFormat="1" applyBorder="1" applyAlignment="1">
      <alignment horizontal="right" vertical="center" shrinkToFit="1"/>
    </xf>
    <xf numFmtId="182" fontId="9" fillId="0" borderId="72" xfId="33" applyNumberFormat="1" applyBorder="1" applyAlignment="1">
      <alignment horizontal="right" vertical="center" shrinkToFit="1"/>
    </xf>
    <xf numFmtId="0" fontId="0" fillId="0" borderId="0" xfId="0" applyAlignment="1">
      <alignment horizontal="center" vertical="center"/>
    </xf>
    <xf numFmtId="181" fontId="0" fillId="0" borderId="177" xfId="0" applyNumberFormat="1" applyBorder="1" applyAlignment="1">
      <alignment horizontal="center" vertical="center"/>
    </xf>
    <xf numFmtId="181" fontId="0" fillId="0" borderId="0" xfId="0" applyNumberFormat="1" applyAlignment="1">
      <alignment horizontal="center" vertical="center"/>
    </xf>
    <xf numFmtId="178" fontId="0" fillId="6" borderId="177" xfId="0" applyNumberFormat="1" applyFill="1" applyBorder="1">
      <alignment vertical="center"/>
    </xf>
    <xf numFmtId="0" fontId="39" fillId="0" borderId="0" xfId="3" applyNumberFormat="1">
      <alignment vertical="center"/>
    </xf>
    <xf numFmtId="0" fontId="0" fillId="0" borderId="177" xfId="0" applyFont="1" applyBorder="1" applyAlignment="1">
      <alignment vertical="center" wrapText="1"/>
    </xf>
    <xf numFmtId="197" fontId="0" fillId="0" borderId="177" xfId="0" applyNumberFormat="1" applyFont="1" applyBorder="1" applyAlignment="1">
      <alignment horizontal="center" vertical="center"/>
    </xf>
    <xf numFmtId="197" fontId="0" fillId="0" borderId="0" xfId="0" applyNumberFormat="1" applyFont="1" applyAlignment="1">
      <alignment horizontal="center" vertical="center"/>
    </xf>
    <xf numFmtId="178" fontId="0" fillId="0" borderId="183" xfId="0" applyNumberFormat="1" applyBorder="1" applyAlignment="1">
      <alignment horizontal="center" vertical="center"/>
    </xf>
    <xf numFmtId="178" fontId="0" fillId="0" borderId="183" xfId="0" applyNumberFormat="1" applyBorder="1" applyAlignment="1">
      <alignment horizontal="right" vertical="center"/>
    </xf>
    <xf numFmtId="178" fontId="0" fillId="0" borderId="186" xfId="0" applyNumberFormat="1" applyBorder="1" applyAlignment="1">
      <alignment horizontal="right" vertical="center"/>
    </xf>
    <xf numFmtId="178" fontId="0" fillId="0" borderId="0" xfId="0" applyNumberFormat="1" applyAlignment="1">
      <alignment horizontal="right" vertical="center"/>
    </xf>
    <xf numFmtId="0" fontId="74" fillId="0" borderId="110" xfId="0" applyFont="1" applyFill="1" applyBorder="1" applyAlignment="1">
      <alignment horizontal="center" vertical="top" wrapText="1"/>
    </xf>
    <xf numFmtId="178" fontId="0" fillId="0" borderId="191" xfId="0" applyNumberFormat="1" applyBorder="1" applyAlignment="1">
      <alignment horizontal="right" vertical="center"/>
    </xf>
    <xf numFmtId="178" fontId="0" fillId="0" borderId="209" xfId="0" applyNumberFormat="1" applyBorder="1" applyAlignment="1">
      <alignment horizontal="right" vertical="center"/>
    </xf>
    <xf numFmtId="0" fontId="0" fillId="0" borderId="197" xfId="0" applyBorder="1" applyAlignment="1">
      <alignment horizontal="center" vertical="center"/>
    </xf>
    <xf numFmtId="178" fontId="0" fillId="0" borderId="206" xfId="0" applyNumberFormat="1" applyBorder="1" applyAlignment="1">
      <alignment horizontal="center" vertical="center"/>
    </xf>
    <xf numFmtId="178" fontId="0" fillId="0" borderId="193" xfId="0" applyNumberFormat="1" applyBorder="1" applyAlignment="1">
      <alignment horizontal="center" vertical="center"/>
    </xf>
    <xf numFmtId="178" fontId="63" fillId="0" borderId="191" xfId="0" applyNumberFormat="1" applyFont="1" applyBorder="1" applyAlignment="1">
      <alignment horizontal="center"/>
    </xf>
    <xf numFmtId="0" fontId="0" fillId="0" borderId="192" xfId="0" applyBorder="1" applyAlignment="1">
      <alignment horizontal="center" vertical="center"/>
    </xf>
    <xf numFmtId="0" fontId="0" fillId="0" borderId="121" xfId="0" applyFill="1" applyBorder="1" applyAlignment="1">
      <alignment horizontal="center" vertical="center"/>
    </xf>
    <xf numFmtId="0" fontId="67" fillId="0" borderId="104" xfId="0" applyFont="1" applyBorder="1">
      <alignment vertical="center"/>
    </xf>
    <xf numFmtId="178" fontId="67" fillId="0" borderId="89" xfId="0" applyNumberFormat="1" applyFont="1" applyBorder="1">
      <alignment vertical="center"/>
    </xf>
    <xf numFmtId="0" fontId="67" fillId="0" borderId="328" xfId="0" applyFont="1" applyBorder="1" applyAlignment="1">
      <alignment horizontal="center" vertical="center"/>
    </xf>
    <xf numFmtId="0" fontId="0" fillId="0" borderId="330" xfId="0" applyBorder="1">
      <alignment vertical="center"/>
    </xf>
    <xf numFmtId="0" fontId="0" fillId="0" borderId="329" xfId="0" applyBorder="1">
      <alignment vertical="center"/>
    </xf>
    <xf numFmtId="0" fontId="67" fillId="0" borderId="331" xfId="0" applyFont="1" applyBorder="1">
      <alignment vertical="center"/>
    </xf>
    <xf numFmtId="178" fontId="67" fillId="0" borderId="129" xfId="0" applyNumberFormat="1" applyFont="1" applyBorder="1">
      <alignment vertical="center"/>
    </xf>
    <xf numFmtId="0" fontId="67" fillId="0" borderId="332" xfId="0" applyFont="1" applyBorder="1" applyAlignment="1">
      <alignment horizontal="center" vertical="center"/>
    </xf>
    <xf numFmtId="0" fontId="67" fillId="0" borderId="333" xfId="0" applyFont="1" applyBorder="1" applyAlignment="1">
      <alignment horizontal="center" vertical="center"/>
    </xf>
    <xf numFmtId="178" fontId="0" fillId="6" borderId="0" xfId="0" applyNumberFormat="1" applyFill="1">
      <alignment vertical="center"/>
    </xf>
    <xf numFmtId="178" fontId="0" fillId="0" borderId="206" xfId="0" applyNumberFormat="1" applyBorder="1" applyAlignment="1">
      <alignment horizontal="right" vertical="center"/>
    </xf>
    <xf numFmtId="190" fontId="11" fillId="8" borderId="120" xfId="10" applyNumberFormat="1" applyFont="1" applyFill="1" applyBorder="1" applyAlignment="1">
      <alignment horizontal="center" vertical="center"/>
    </xf>
    <xf numFmtId="185" fontId="0" fillId="27" borderId="0" xfId="0" applyNumberFormat="1" applyFill="1" applyAlignment="1">
      <alignment horizontal="center" vertical="center"/>
    </xf>
    <xf numFmtId="0" fontId="0" fillId="27" borderId="0" xfId="0" applyFill="1" applyAlignment="1">
      <alignment horizontal="center" vertical="center"/>
    </xf>
    <xf numFmtId="49" fontId="0" fillId="27" borderId="0" xfId="0" applyNumberFormat="1" applyFill="1" applyAlignment="1">
      <alignment horizontal="center" vertical="center"/>
    </xf>
    <xf numFmtId="178" fontId="0" fillId="27" borderId="0" xfId="0" applyNumberFormat="1" applyFill="1">
      <alignment vertical="center"/>
    </xf>
    <xf numFmtId="0" fontId="0" fillId="0" borderId="0" xfId="0" applyAlignment="1">
      <alignment horizontal="center" vertical="center"/>
    </xf>
    <xf numFmtId="178" fontId="0" fillId="0" borderId="177" xfId="0" applyNumberFormat="1" applyBorder="1" applyAlignment="1">
      <alignment horizontal="center" vertical="center"/>
    </xf>
    <xf numFmtId="178" fontId="0" fillId="0" borderId="187" xfId="0" applyNumberFormat="1" applyBorder="1">
      <alignment vertical="center"/>
    </xf>
    <xf numFmtId="177" fontId="0" fillId="0" borderId="326" xfId="0" applyNumberFormat="1" applyBorder="1" applyAlignment="1">
      <alignment vertical="center"/>
    </xf>
    <xf numFmtId="178" fontId="0" fillId="6" borderId="314" xfId="0" applyNumberFormat="1" applyFill="1" applyBorder="1">
      <alignment vertical="center"/>
    </xf>
    <xf numFmtId="178" fontId="0" fillId="0" borderId="21" xfId="0" applyNumberFormat="1" applyBorder="1">
      <alignment vertical="center"/>
    </xf>
    <xf numFmtId="178" fontId="0" fillId="0" borderId="28" xfId="0" applyNumberFormat="1" applyBorder="1" applyAlignment="1">
      <alignment vertical="center" shrinkToFit="1"/>
    </xf>
    <xf numFmtId="178" fontId="0" fillId="0" borderId="12" xfId="0" applyNumberFormat="1" applyBorder="1" applyAlignment="1">
      <alignment vertical="center" shrinkToFit="1"/>
    </xf>
    <xf numFmtId="0" fontId="0" fillId="4" borderId="41" xfId="0" applyFill="1" applyBorder="1">
      <alignment vertical="center"/>
    </xf>
    <xf numFmtId="0" fontId="0" fillId="14" borderId="41" xfId="0" applyFill="1" applyBorder="1">
      <alignment vertical="center"/>
    </xf>
    <xf numFmtId="0" fontId="55" fillId="10" borderId="41" xfId="0" applyFont="1" applyFill="1" applyBorder="1">
      <alignment vertical="center"/>
    </xf>
    <xf numFmtId="178" fontId="0" fillId="10" borderId="4" xfId="0" applyNumberFormat="1" applyFill="1" applyBorder="1">
      <alignment vertical="center"/>
    </xf>
    <xf numFmtId="178" fontId="0" fillId="10" borderId="29" xfId="0" applyNumberFormat="1" applyFill="1" applyBorder="1" applyAlignment="1">
      <alignment vertical="center" shrinkToFit="1"/>
    </xf>
    <xf numFmtId="178" fontId="0" fillId="10" borderId="9" xfId="0" applyNumberFormat="1" applyFill="1" applyBorder="1" applyAlignment="1">
      <alignment vertical="center" shrinkToFit="1"/>
    </xf>
    <xf numFmtId="0" fontId="55" fillId="10" borderId="29" xfId="0" applyFont="1" applyFill="1" applyBorder="1">
      <alignment vertical="center"/>
    </xf>
    <xf numFmtId="178" fontId="55" fillId="10" borderId="4" xfId="0" applyNumberFormat="1" applyFont="1" applyFill="1" applyBorder="1">
      <alignment vertical="center"/>
    </xf>
    <xf numFmtId="178" fontId="55" fillId="18" borderId="29" xfId="0" applyNumberFormat="1" applyFont="1" applyFill="1" applyBorder="1" applyAlignment="1">
      <alignment vertical="center" shrinkToFit="1"/>
    </xf>
    <xf numFmtId="178" fontId="55" fillId="10" borderId="9" xfId="0" applyNumberFormat="1" applyFont="1" applyFill="1" applyBorder="1" applyAlignment="1">
      <alignment vertical="center" shrinkToFit="1"/>
    </xf>
    <xf numFmtId="0" fontId="0" fillId="6" borderId="334" xfId="0" applyFill="1" applyBorder="1" applyAlignment="1">
      <alignment vertical="center" shrinkToFit="1"/>
    </xf>
    <xf numFmtId="178" fontId="0" fillId="6" borderId="22" xfId="0" applyNumberFormat="1" applyFill="1" applyBorder="1">
      <alignment vertical="center"/>
    </xf>
    <xf numFmtId="178" fontId="0" fillId="6" borderId="30" xfId="0" applyNumberFormat="1" applyFill="1" applyBorder="1">
      <alignment vertical="center"/>
    </xf>
    <xf numFmtId="178" fontId="0" fillId="6" borderId="5" xfId="0" applyNumberFormat="1" applyFill="1" applyBorder="1">
      <alignment vertical="center"/>
    </xf>
    <xf numFmtId="0" fontId="50" fillId="12" borderId="19" xfId="0" applyFont="1" applyFill="1" applyBorder="1" applyAlignment="1">
      <alignment vertical="center" wrapText="1"/>
    </xf>
    <xf numFmtId="0" fontId="50" fillId="0" borderId="31" xfId="0" applyFont="1" applyBorder="1" applyAlignment="1">
      <alignment vertical="center" shrinkToFit="1"/>
    </xf>
    <xf numFmtId="178" fontId="50" fillId="0" borderId="20" xfId="0" applyNumberFormat="1" applyFont="1" applyBorder="1">
      <alignment vertical="center"/>
    </xf>
    <xf numFmtId="178" fontId="79" fillId="0" borderId="20" xfId="0" applyNumberFormat="1" applyFont="1" applyBorder="1">
      <alignment vertical="center"/>
    </xf>
    <xf numFmtId="178" fontId="79" fillId="0" borderId="27" xfId="0" applyNumberFormat="1" applyFont="1" applyFill="1" applyBorder="1">
      <alignment vertical="center"/>
    </xf>
    <xf numFmtId="178" fontId="79" fillId="0" borderId="35" xfId="0" applyNumberFormat="1" applyFont="1" applyFill="1" applyBorder="1">
      <alignment vertical="center"/>
    </xf>
    <xf numFmtId="178" fontId="55" fillId="23" borderId="298" xfId="3" applyNumberFormat="1" applyFont="1" applyFill="1" applyBorder="1" applyProtection="1">
      <alignment vertical="center"/>
      <protection hidden="1"/>
    </xf>
    <xf numFmtId="178" fontId="55" fillId="23" borderId="299" xfId="3" applyNumberFormat="1" applyFont="1" applyFill="1" applyBorder="1" applyProtection="1">
      <alignment vertical="center"/>
      <protection hidden="1"/>
    </xf>
    <xf numFmtId="178" fontId="55" fillId="23" borderId="300" xfId="3" applyNumberFormat="1" applyFont="1" applyFill="1" applyBorder="1" applyProtection="1">
      <alignment vertical="center"/>
      <protection hidden="1"/>
    </xf>
    <xf numFmtId="178" fontId="55" fillId="21" borderId="250" xfId="3" applyNumberFormat="1" applyFont="1" applyFill="1" applyBorder="1" applyProtection="1">
      <alignment vertical="center"/>
      <protection locked="0"/>
    </xf>
    <xf numFmtId="178" fontId="55" fillId="21" borderId="251" xfId="3" applyNumberFormat="1" applyFont="1" applyFill="1" applyBorder="1" applyProtection="1">
      <alignment vertical="center"/>
      <protection locked="0"/>
    </xf>
    <xf numFmtId="178" fontId="55" fillId="21" borderId="252" xfId="3" applyNumberFormat="1" applyFont="1" applyFill="1" applyBorder="1" applyProtection="1">
      <alignment vertical="center"/>
      <protection locked="0"/>
    </xf>
    <xf numFmtId="0" fontId="0" fillId="21" borderId="268" xfId="3" applyFont="1" applyFill="1" applyBorder="1" applyAlignment="1">
      <alignment vertical="center" shrinkToFit="1"/>
    </xf>
    <xf numFmtId="178" fontId="55" fillId="21" borderId="269" xfId="3" applyNumberFormat="1" applyFont="1" applyFill="1" applyBorder="1" applyAlignment="1" applyProtection="1">
      <alignment vertical="center" shrinkToFit="1"/>
      <protection hidden="1"/>
    </xf>
    <xf numFmtId="178" fontId="55" fillId="21" borderId="270" xfId="3" applyNumberFormat="1" applyFont="1" applyFill="1" applyBorder="1" applyAlignment="1" applyProtection="1">
      <alignment vertical="center" shrinkToFit="1"/>
      <protection hidden="1"/>
    </xf>
    <xf numFmtId="178" fontId="55" fillId="21" borderId="271" xfId="3" applyNumberFormat="1" applyFont="1" applyFill="1" applyBorder="1" applyAlignment="1" applyProtection="1">
      <alignment vertical="center" shrinkToFit="1"/>
      <protection hidden="1"/>
    </xf>
    <xf numFmtId="0" fontId="0" fillId="21" borderId="174" xfId="3" applyFont="1" applyFill="1" applyBorder="1" applyAlignment="1">
      <alignment vertical="center" shrinkToFit="1"/>
    </xf>
    <xf numFmtId="178" fontId="55" fillId="21" borderId="241" xfId="3" applyNumberFormat="1" applyFont="1" applyFill="1" applyBorder="1" applyAlignment="1" applyProtection="1">
      <alignment vertical="center" shrinkToFit="1"/>
      <protection hidden="1"/>
    </xf>
    <xf numFmtId="178" fontId="55" fillId="21" borderId="337" xfId="3" applyNumberFormat="1" applyFont="1" applyFill="1" applyBorder="1" applyAlignment="1" applyProtection="1">
      <alignment vertical="center" shrinkToFit="1"/>
      <protection locked="0"/>
    </xf>
    <xf numFmtId="178" fontId="55" fillId="21" borderId="241" xfId="3" applyNumberFormat="1" applyFont="1" applyFill="1" applyBorder="1" applyAlignment="1" applyProtection="1">
      <alignment vertical="center" shrinkToFit="1"/>
      <protection locked="0"/>
    </xf>
    <xf numFmtId="178" fontId="55" fillId="21" borderId="242" xfId="3" applyNumberFormat="1" applyFont="1" applyFill="1" applyBorder="1" applyAlignment="1" applyProtection="1">
      <alignment vertical="center" shrinkToFit="1"/>
      <protection locked="0"/>
    </xf>
    <xf numFmtId="0" fontId="42" fillId="0" borderId="114" xfId="0" applyFont="1" applyBorder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178" fontId="0" fillId="0" borderId="342" xfId="0" applyNumberFormat="1" applyBorder="1">
      <alignment vertical="center"/>
    </xf>
    <xf numFmtId="178" fontId="0" fillId="0" borderId="344" xfId="0" applyNumberFormat="1" applyBorder="1">
      <alignment vertical="center"/>
    </xf>
    <xf numFmtId="178" fontId="0" fillId="0" borderId="345" xfId="0" applyNumberFormat="1" applyBorder="1">
      <alignment vertical="center"/>
    </xf>
    <xf numFmtId="178" fontId="0" fillId="0" borderId="346" xfId="0" applyNumberFormat="1" applyBorder="1">
      <alignment vertical="center"/>
    </xf>
    <xf numFmtId="0" fontId="0" fillId="0" borderId="347" xfId="0" applyBorder="1" applyAlignment="1">
      <alignment horizontal="center" vertical="center"/>
    </xf>
    <xf numFmtId="0" fontId="0" fillId="0" borderId="348" xfId="0" applyBorder="1" applyAlignment="1">
      <alignment horizontal="center" vertical="center"/>
    </xf>
    <xf numFmtId="0" fontId="0" fillId="8" borderId="172" xfId="0" applyFill="1" applyBorder="1" applyAlignment="1">
      <alignment horizontal="center" vertical="center"/>
    </xf>
    <xf numFmtId="0" fontId="0" fillId="8" borderId="121" xfId="0" applyFill="1" applyBorder="1" applyAlignment="1">
      <alignment horizontal="center" vertical="center"/>
    </xf>
    <xf numFmtId="0" fontId="0" fillId="8" borderId="122" xfId="0" applyFill="1" applyBorder="1" applyAlignment="1">
      <alignment horizontal="center" vertical="center"/>
    </xf>
    <xf numFmtId="0" fontId="0" fillId="0" borderId="361" xfId="0" applyBorder="1" applyAlignment="1">
      <alignment horizontal="center" vertical="center"/>
    </xf>
    <xf numFmtId="178" fontId="0" fillId="28" borderId="344" xfId="0" applyNumberFormat="1" applyFill="1" applyBorder="1" applyAlignment="1">
      <alignment horizontal="right" vertical="center"/>
    </xf>
    <xf numFmtId="178" fontId="0" fillId="28" borderId="342" xfId="0" applyNumberFormat="1" applyFill="1" applyBorder="1" applyAlignment="1">
      <alignment horizontal="right" vertical="center"/>
    </xf>
    <xf numFmtId="0" fontId="0" fillId="0" borderId="363" xfId="0" applyBorder="1" applyAlignment="1">
      <alignment horizontal="center" vertical="center"/>
    </xf>
    <xf numFmtId="178" fontId="0" fillId="0" borderId="364" xfId="0" applyNumberFormat="1" applyBorder="1" applyAlignment="1">
      <alignment horizontal="right" vertical="center"/>
    </xf>
    <xf numFmtId="178" fontId="0" fillId="0" borderId="365" xfId="0" applyNumberFormat="1" applyBorder="1" applyAlignment="1">
      <alignment horizontal="right" vertical="center"/>
    </xf>
    <xf numFmtId="0" fontId="0" fillId="0" borderId="366" xfId="0" applyBorder="1" applyAlignment="1">
      <alignment horizontal="center" vertical="center"/>
    </xf>
    <xf numFmtId="178" fontId="0" fillId="0" borderId="367" xfId="0" applyNumberFormat="1" applyBorder="1" applyAlignment="1">
      <alignment horizontal="right" vertical="center"/>
    </xf>
    <xf numFmtId="178" fontId="0" fillId="0" borderId="368" xfId="0" applyNumberFormat="1" applyBorder="1" applyAlignment="1">
      <alignment horizontal="right" vertical="center"/>
    </xf>
    <xf numFmtId="0" fontId="0" fillId="28" borderId="369" xfId="0" applyFill="1" applyBorder="1" applyAlignment="1">
      <alignment horizontal="center" vertical="center"/>
    </xf>
    <xf numFmtId="178" fontId="0" fillId="28" borderId="370" xfId="0" applyNumberFormat="1" applyFill="1" applyBorder="1" applyAlignment="1">
      <alignment horizontal="right" vertical="center"/>
    </xf>
    <xf numFmtId="178" fontId="0" fillId="28" borderId="371" xfId="0" applyNumberFormat="1" applyFill="1" applyBorder="1" applyAlignment="1">
      <alignment horizontal="right" vertical="center"/>
    </xf>
    <xf numFmtId="178" fontId="0" fillId="0" borderId="372" xfId="0" applyNumberFormat="1" applyBorder="1" applyAlignment="1">
      <alignment horizontal="right" vertical="center"/>
    </xf>
    <xf numFmtId="178" fontId="0" fillId="0" borderId="373" xfId="0" applyNumberFormat="1" applyBorder="1" applyAlignment="1">
      <alignment horizontal="right" vertical="center"/>
    </xf>
    <xf numFmtId="178" fontId="0" fillId="0" borderId="374" xfId="0" applyNumberFormat="1" applyBorder="1">
      <alignment vertical="center"/>
    </xf>
    <xf numFmtId="178" fontId="0" fillId="0" borderId="373" xfId="0" applyNumberFormat="1" applyBorder="1">
      <alignment vertical="center"/>
    </xf>
    <xf numFmtId="178" fontId="0" fillId="0" borderId="375" xfId="0" applyNumberFormat="1" applyBorder="1">
      <alignment vertical="center"/>
    </xf>
    <xf numFmtId="178" fontId="0" fillId="0" borderId="368" xfId="0" applyNumberFormat="1" applyBorder="1">
      <alignment vertical="center"/>
    </xf>
    <xf numFmtId="178" fontId="0" fillId="0" borderId="376" xfId="0" applyNumberFormat="1" applyBorder="1">
      <alignment vertical="center"/>
    </xf>
    <xf numFmtId="178" fontId="0" fillId="0" borderId="371" xfId="0" applyNumberFormat="1" applyBorder="1">
      <alignment vertical="center"/>
    </xf>
    <xf numFmtId="0" fontId="0" fillId="8" borderId="173" xfId="0" applyFill="1" applyBorder="1" applyAlignment="1">
      <alignment horizontal="center" vertical="center"/>
    </xf>
    <xf numFmtId="0" fontId="0" fillId="8" borderId="119" xfId="0" applyFill="1" applyBorder="1" applyAlignment="1">
      <alignment horizontal="center" vertical="center"/>
    </xf>
    <xf numFmtId="0" fontId="0" fillId="8" borderId="118" xfId="0" applyFill="1" applyBorder="1" applyAlignment="1">
      <alignment horizontal="center" vertical="center"/>
    </xf>
    <xf numFmtId="0" fontId="0" fillId="0" borderId="348" xfId="0" applyBorder="1" applyAlignment="1">
      <alignment horizontal="center" vertical="center" shrinkToFit="1"/>
    </xf>
    <xf numFmtId="0" fontId="0" fillId="0" borderId="347" xfId="0" applyBorder="1" applyAlignment="1">
      <alignment horizontal="center" vertical="center" shrinkToFit="1"/>
    </xf>
    <xf numFmtId="0" fontId="0" fillId="0" borderId="362" xfId="0" applyBorder="1" applyAlignment="1">
      <alignment horizontal="center" vertical="center" shrinkToFit="1"/>
    </xf>
    <xf numFmtId="178" fontId="0" fillId="0" borderId="383" xfId="0" applyNumberFormat="1" applyBorder="1">
      <alignment vertical="center"/>
    </xf>
    <xf numFmtId="178" fontId="0" fillId="0" borderId="384" xfId="0" applyNumberFormat="1" applyBorder="1">
      <alignment vertical="center"/>
    </xf>
    <xf numFmtId="0" fontId="0" fillId="0" borderId="382" xfId="0" applyBorder="1" applyAlignment="1">
      <alignment horizontal="center" vertical="center" shrinkToFit="1"/>
    </xf>
    <xf numFmtId="178" fontId="42" fillId="27" borderId="385" xfId="0" applyNumberFormat="1" applyFont="1" applyFill="1" applyBorder="1">
      <alignment vertical="center"/>
    </xf>
    <xf numFmtId="178" fontId="42" fillId="27" borderId="386" xfId="0" applyNumberFormat="1" applyFont="1" applyFill="1" applyBorder="1">
      <alignment vertical="center"/>
    </xf>
    <xf numFmtId="0" fontId="0" fillId="0" borderId="362" xfId="0" applyBorder="1" applyAlignment="1">
      <alignment horizontal="center" vertical="center"/>
    </xf>
    <xf numFmtId="178" fontId="0" fillId="0" borderId="387" xfId="0" applyNumberFormat="1" applyBorder="1" applyAlignment="1">
      <alignment horizontal="right" vertical="center"/>
    </xf>
    <xf numFmtId="178" fontId="0" fillId="0" borderId="388" xfId="0" applyNumberFormat="1" applyBorder="1" applyAlignment="1">
      <alignment horizontal="right" vertical="center"/>
    </xf>
    <xf numFmtId="178" fontId="0" fillId="28" borderId="389" xfId="0" applyNumberFormat="1" applyFill="1" applyBorder="1" applyAlignment="1">
      <alignment horizontal="right" vertical="center"/>
    </xf>
    <xf numFmtId="178" fontId="0" fillId="0" borderId="390" xfId="0" applyNumberFormat="1" applyBorder="1" applyAlignment="1">
      <alignment horizontal="right" vertical="center"/>
    </xf>
    <xf numFmtId="178" fontId="0" fillId="28" borderId="384" xfId="0" applyNumberFormat="1" applyFill="1" applyBorder="1" applyAlignment="1">
      <alignment horizontal="right" vertical="center"/>
    </xf>
    <xf numFmtId="178" fontId="0" fillId="0" borderId="390" xfId="0" applyNumberFormat="1" applyBorder="1">
      <alignment vertical="center"/>
    </xf>
    <xf numFmtId="178" fontId="0" fillId="0" borderId="388" xfId="0" applyNumberFormat="1" applyBorder="1">
      <alignment vertical="center"/>
    </xf>
    <xf numFmtId="178" fontId="0" fillId="0" borderId="389" xfId="0" applyNumberFormat="1" applyBorder="1">
      <alignment vertical="center"/>
    </xf>
    <xf numFmtId="0" fontId="0" fillId="0" borderId="382" xfId="0" applyBorder="1" applyAlignment="1">
      <alignment horizontal="center" vertical="center"/>
    </xf>
    <xf numFmtId="178" fontId="0" fillId="0" borderId="391" xfId="0" applyNumberFormat="1" applyBorder="1" applyAlignment="1">
      <alignment horizontal="right" vertical="center"/>
    </xf>
    <xf numFmtId="178" fontId="0" fillId="0" borderId="392" xfId="0" applyNumberFormat="1" applyBorder="1" applyAlignment="1">
      <alignment horizontal="right" vertical="center"/>
    </xf>
    <xf numFmtId="178" fontId="0" fillId="28" borderId="393" xfId="0" applyNumberFormat="1" applyFill="1" applyBorder="1" applyAlignment="1">
      <alignment horizontal="right" vertical="center"/>
    </xf>
    <xf numFmtId="178" fontId="0" fillId="0" borderId="394" xfId="0" applyNumberFormat="1" applyBorder="1" applyAlignment="1">
      <alignment horizontal="right" vertical="center"/>
    </xf>
    <xf numFmtId="178" fontId="0" fillId="28" borderId="386" xfId="0" applyNumberFormat="1" applyFill="1" applyBorder="1" applyAlignment="1">
      <alignment horizontal="right" vertical="center"/>
    </xf>
    <xf numFmtId="178" fontId="0" fillId="0" borderId="385" xfId="0" applyNumberFormat="1" applyBorder="1">
      <alignment vertical="center"/>
    </xf>
    <xf numFmtId="178" fontId="0" fillId="0" borderId="386" xfId="0" applyNumberFormat="1" applyBorder="1">
      <alignment vertical="center"/>
    </xf>
    <xf numFmtId="178" fontId="0" fillId="0" borderId="394" xfId="0" applyNumberFormat="1" applyBorder="1">
      <alignment vertical="center"/>
    </xf>
    <xf numFmtId="178" fontId="0" fillId="0" borderId="392" xfId="0" applyNumberFormat="1" applyBorder="1">
      <alignment vertical="center"/>
    </xf>
    <xf numFmtId="178" fontId="0" fillId="0" borderId="393" xfId="0" applyNumberFormat="1" applyBorder="1">
      <alignment vertical="center"/>
    </xf>
    <xf numFmtId="178" fontId="0" fillId="0" borderId="379" xfId="0" applyNumberFormat="1" applyBorder="1">
      <alignment vertical="center"/>
    </xf>
    <xf numFmtId="178" fontId="0" fillId="0" borderId="380" xfId="0" applyNumberFormat="1" applyBorder="1">
      <alignment vertical="center"/>
    </xf>
    <xf numFmtId="178" fontId="0" fillId="0" borderId="395" xfId="0" applyNumberFormat="1" applyBorder="1">
      <alignment vertical="center"/>
    </xf>
    <xf numFmtId="178" fontId="42" fillId="27" borderId="396" xfId="0" applyNumberFormat="1" applyFont="1" applyFill="1" applyBorder="1">
      <alignment vertical="center"/>
    </xf>
    <xf numFmtId="0" fontId="0" fillId="28" borderId="397" xfId="0" applyFill="1" applyBorder="1" applyAlignment="1">
      <alignment horizontal="center" vertical="center"/>
    </xf>
    <xf numFmtId="178" fontId="0" fillId="28" borderId="398" xfId="0" applyNumberFormat="1" applyFill="1" applyBorder="1" applyAlignment="1">
      <alignment horizontal="right" vertical="center"/>
    </xf>
    <xf numFmtId="178" fontId="0" fillId="28" borderId="399" xfId="0" applyNumberFormat="1" applyFill="1" applyBorder="1" applyAlignment="1">
      <alignment horizontal="right" vertical="center"/>
    </xf>
    <xf numFmtId="178" fontId="0" fillId="28" borderId="400" xfId="0" applyNumberFormat="1" applyFill="1" applyBorder="1" applyAlignment="1">
      <alignment horizontal="right" vertical="center"/>
    </xf>
    <xf numFmtId="178" fontId="0" fillId="28" borderId="401" xfId="0" applyNumberFormat="1" applyFill="1" applyBorder="1" applyAlignment="1">
      <alignment horizontal="right" vertical="center"/>
    </xf>
    <xf numFmtId="178" fontId="0" fillId="0" borderId="404" xfId="0" applyNumberFormat="1" applyBorder="1">
      <alignment vertical="center"/>
    </xf>
    <xf numFmtId="178" fontId="0" fillId="0" borderId="399" xfId="0" applyNumberFormat="1" applyBorder="1">
      <alignment vertical="center"/>
    </xf>
    <xf numFmtId="178" fontId="0" fillId="0" borderId="400" xfId="0" applyNumberFormat="1" applyBorder="1">
      <alignment vertical="center"/>
    </xf>
    <xf numFmtId="178" fontId="0" fillId="0" borderId="401" xfId="0" applyNumberFormat="1" applyBorder="1">
      <alignment vertical="center"/>
    </xf>
    <xf numFmtId="178" fontId="42" fillId="27" borderId="407" xfId="0" applyNumberFormat="1" applyFont="1" applyFill="1" applyBorder="1">
      <alignment vertical="center"/>
    </xf>
    <xf numFmtId="178" fontId="42" fillId="27" borderId="408" xfId="0" applyNumberFormat="1" applyFont="1" applyFill="1" applyBorder="1">
      <alignment vertical="center"/>
    </xf>
    <xf numFmtId="178" fontId="42" fillId="27" borderId="409" xfId="0" applyNumberFormat="1" applyFont="1" applyFill="1" applyBorder="1">
      <alignment vertical="center"/>
    </xf>
    <xf numFmtId="178" fontId="42" fillId="27" borderId="410" xfId="0" applyNumberFormat="1" applyFont="1" applyFill="1" applyBorder="1">
      <alignment vertical="center"/>
    </xf>
    <xf numFmtId="178" fontId="0" fillId="27" borderId="407" xfId="0" applyNumberFormat="1" applyFill="1" applyBorder="1" applyAlignment="1">
      <alignment horizontal="right" vertical="center"/>
    </xf>
    <xf numFmtId="178" fontId="0" fillId="27" borderId="408" xfId="0" applyNumberFormat="1" applyFill="1" applyBorder="1" applyAlignment="1">
      <alignment horizontal="right" vertical="center"/>
    </xf>
    <xf numFmtId="178" fontId="0" fillId="27" borderId="409" xfId="0" applyNumberFormat="1" applyFill="1" applyBorder="1" applyAlignment="1">
      <alignment horizontal="right" vertical="center"/>
    </xf>
    <xf numFmtId="178" fontId="0" fillId="27" borderId="407" xfId="0" applyNumberFormat="1" applyFill="1" applyBorder="1">
      <alignment vertical="center"/>
    </xf>
    <xf numFmtId="178" fontId="0" fillId="27" borderId="408" xfId="0" applyNumberFormat="1" applyFill="1" applyBorder="1">
      <alignment vertical="center"/>
    </xf>
    <xf numFmtId="178" fontId="0" fillId="27" borderId="409" xfId="0" applyNumberFormat="1" applyFill="1" applyBorder="1">
      <alignment vertical="center"/>
    </xf>
    <xf numFmtId="178" fontId="0" fillId="27" borderId="410" xfId="0" applyNumberFormat="1" applyFill="1" applyBorder="1">
      <alignment vertical="center"/>
    </xf>
    <xf numFmtId="0" fontId="0" fillId="0" borderId="356" xfId="0" applyBorder="1" applyAlignment="1">
      <alignment horizontal="center" vertical="center"/>
    </xf>
    <xf numFmtId="0" fontId="0" fillId="0" borderId="41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43" xfId="0" applyBorder="1" applyAlignment="1">
      <alignment horizontal="center" vertical="center"/>
    </xf>
    <xf numFmtId="178" fontId="0" fillId="0" borderId="414" xfId="0" applyNumberFormat="1" applyBorder="1">
      <alignment vertical="center"/>
    </xf>
    <xf numFmtId="178" fontId="0" fillId="0" borderId="365" xfId="0" applyNumberFormat="1" applyBorder="1">
      <alignment vertical="center"/>
    </xf>
    <xf numFmtId="178" fontId="0" fillId="0" borderId="387" xfId="0" applyNumberFormat="1" applyBorder="1">
      <alignment vertical="center"/>
    </xf>
    <xf numFmtId="178" fontId="0" fillId="0" borderId="391" xfId="0" applyNumberFormat="1" applyBorder="1">
      <alignment vertical="center"/>
    </xf>
    <xf numFmtId="0" fontId="0" fillId="0" borderId="0" xfId="0" applyAlignment="1">
      <alignment horizontal="center" vertical="center"/>
    </xf>
    <xf numFmtId="0" fontId="0" fillId="0" borderId="361" xfId="0" applyBorder="1" applyAlignment="1">
      <alignment horizontal="center" vertical="center"/>
    </xf>
    <xf numFmtId="0" fontId="0" fillId="0" borderId="343" xfId="0" applyBorder="1" applyAlignment="1">
      <alignment horizontal="center" vertical="center"/>
    </xf>
    <xf numFmtId="0" fontId="0" fillId="0" borderId="356" xfId="0" applyBorder="1" applyAlignment="1">
      <alignment horizontal="center" vertical="center"/>
    </xf>
    <xf numFmtId="178" fontId="0" fillId="0" borderId="396" xfId="0" applyNumberFormat="1" applyBorder="1">
      <alignment vertical="center"/>
    </xf>
    <xf numFmtId="178" fontId="0" fillId="27" borderId="417" xfId="0" applyNumberFormat="1" applyFill="1" applyBorder="1" applyAlignment="1">
      <alignment horizontal="right" vertical="center"/>
    </xf>
    <xf numFmtId="178" fontId="0" fillId="27" borderId="418" xfId="0" applyNumberFormat="1" applyFill="1" applyBorder="1" applyAlignment="1">
      <alignment horizontal="right" vertical="center"/>
    </xf>
    <xf numFmtId="178" fontId="0" fillId="27" borderId="419" xfId="0" applyNumberFormat="1" applyFill="1" applyBorder="1" applyAlignment="1">
      <alignment horizontal="right" vertical="center"/>
    </xf>
    <xf numFmtId="178" fontId="0" fillId="27" borderId="420" xfId="0" applyNumberFormat="1" applyFill="1" applyBorder="1" applyAlignment="1">
      <alignment horizontal="right" vertical="center"/>
    </xf>
    <xf numFmtId="178" fontId="0" fillId="0" borderId="423" xfId="0" applyNumberFormat="1" applyBorder="1" applyAlignment="1">
      <alignment horizontal="right" vertical="center"/>
    </xf>
    <xf numFmtId="178" fontId="0" fillId="0" borderId="424" xfId="0" applyNumberFormat="1" applyBorder="1" applyAlignment="1">
      <alignment horizontal="right" vertical="center"/>
    </xf>
    <xf numFmtId="178" fontId="0" fillId="0" borderId="425" xfId="0" applyNumberFormat="1" applyBorder="1" applyAlignment="1">
      <alignment horizontal="right" vertical="center"/>
    </xf>
    <xf numFmtId="178" fontId="0" fillId="0" borderId="422" xfId="0" applyNumberFormat="1" applyBorder="1" applyAlignment="1">
      <alignment horizontal="right" vertical="center"/>
    </xf>
    <xf numFmtId="178" fontId="0" fillId="0" borderId="360" xfId="0" applyNumberFormat="1" applyBorder="1" applyAlignment="1">
      <alignment horizontal="right" vertical="center"/>
    </xf>
    <xf numFmtId="178" fontId="0" fillId="0" borderId="342" xfId="0" applyNumberFormat="1" applyBorder="1" applyAlignment="1">
      <alignment horizontal="right" vertical="center"/>
    </xf>
    <xf numFmtId="178" fontId="0" fillId="0" borderId="426" xfId="0" applyNumberFormat="1" applyBorder="1" applyAlignment="1">
      <alignment horizontal="right" vertical="center"/>
    </xf>
    <xf numFmtId="178" fontId="0" fillId="0" borderId="352" xfId="0" applyNumberFormat="1" applyBorder="1" applyAlignment="1">
      <alignment horizontal="right" vertical="center"/>
    </xf>
    <xf numFmtId="178" fontId="0" fillId="0" borderId="428" xfId="0" applyNumberFormat="1" applyBorder="1" applyAlignment="1">
      <alignment horizontal="right" vertical="center"/>
    </xf>
    <xf numFmtId="178" fontId="0" fillId="0" borderId="429" xfId="0" applyNumberFormat="1" applyBorder="1" applyAlignment="1">
      <alignment horizontal="right" vertical="center"/>
    </xf>
    <xf numFmtId="178" fontId="0" fillId="0" borderId="430" xfId="0" applyNumberFormat="1" applyBorder="1" applyAlignment="1">
      <alignment horizontal="right" vertical="center"/>
    </xf>
    <xf numFmtId="178" fontId="0" fillId="0" borderId="431" xfId="0" applyNumberFormat="1" applyBorder="1" applyAlignment="1">
      <alignment horizontal="right" vertical="center"/>
    </xf>
    <xf numFmtId="0" fontId="0" fillId="0" borderId="432" xfId="0" applyBorder="1" applyAlignment="1">
      <alignment horizontal="center" vertical="center"/>
    </xf>
    <xf numFmtId="0" fontId="43" fillId="0" borderId="0" xfId="0" applyFont="1">
      <alignment vertical="center"/>
    </xf>
    <xf numFmtId="0" fontId="0" fillId="0" borderId="366" xfId="0" applyBorder="1" applyAlignment="1">
      <alignment horizontal="center" vertical="center"/>
    </xf>
    <xf numFmtId="178" fontId="0" fillId="27" borderId="433" xfId="0" applyNumberFormat="1" applyFill="1" applyBorder="1" applyAlignment="1">
      <alignment horizontal="right" vertical="center"/>
    </xf>
    <xf numFmtId="178" fontId="0" fillId="27" borderId="435" xfId="0" applyNumberFormat="1" applyFill="1" applyBorder="1" applyAlignment="1">
      <alignment horizontal="right" vertical="center"/>
    </xf>
    <xf numFmtId="0" fontId="0" fillId="0" borderId="434" xfId="0" applyBorder="1" applyAlignment="1">
      <alignment horizontal="center" vertical="center"/>
    </xf>
    <xf numFmtId="0" fontId="0" fillId="0" borderId="116" xfId="0" applyBorder="1" applyAlignment="1">
      <alignment vertical="center" shrinkToFit="1"/>
    </xf>
    <xf numFmtId="185" fontId="0" fillId="0" borderId="177" xfId="0" applyNumberFormat="1" applyBorder="1">
      <alignment vertical="center"/>
    </xf>
    <xf numFmtId="0" fontId="91" fillId="0" borderId="0" xfId="0" applyFont="1" applyAlignment="1"/>
    <xf numFmtId="0" fontId="0" fillId="0" borderId="0" xfId="0" applyAlignment="1">
      <alignment horizontal="center" vertical="center"/>
    </xf>
    <xf numFmtId="0" fontId="0" fillId="8" borderId="173" xfId="0" applyNumberFormat="1" applyFill="1" applyBorder="1" applyAlignment="1">
      <alignment horizontal="center" vertical="center"/>
    </xf>
    <xf numFmtId="0" fontId="0" fillId="8" borderId="119" xfId="0" applyNumberFormat="1" applyFill="1" applyBorder="1" applyAlignment="1">
      <alignment horizontal="center" vertical="center"/>
    </xf>
    <xf numFmtId="0" fontId="0" fillId="8" borderId="118" xfId="0" applyNumberFormat="1" applyFill="1" applyBorder="1" applyAlignment="1">
      <alignment horizontal="center" vertical="center"/>
    </xf>
    <xf numFmtId="0" fontId="0" fillId="0" borderId="441" xfId="0" applyBorder="1" applyAlignment="1">
      <alignment horizontal="center" vertical="center"/>
    </xf>
    <xf numFmtId="178" fontId="0" fillId="27" borderId="443" xfId="0" applyNumberFormat="1" applyFill="1" applyBorder="1">
      <alignment vertical="center"/>
    </xf>
    <xf numFmtId="178" fontId="0" fillId="27" borderId="440" xfId="0" applyNumberFormat="1" applyFill="1" applyBorder="1" applyAlignment="1">
      <alignment horizontal="right" vertical="center"/>
    </xf>
    <xf numFmtId="178" fontId="0" fillId="27" borderId="445" xfId="0" applyNumberFormat="1" applyFill="1" applyBorder="1">
      <alignment vertical="center"/>
    </xf>
    <xf numFmtId="0" fontId="0" fillId="0" borderId="446" xfId="0" applyBorder="1" applyAlignment="1">
      <alignment horizontal="center" vertical="center"/>
    </xf>
    <xf numFmtId="0" fontId="0" fillId="0" borderId="447" xfId="0" applyBorder="1" applyAlignment="1">
      <alignment horizontal="center" vertical="center"/>
    </xf>
    <xf numFmtId="178" fontId="0" fillId="0" borderId="450" xfId="0" applyNumberFormat="1" applyBorder="1">
      <alignment vertical="center"/>
    </xf>
    <xf numFmtId="178" fontId="0" fillId="0" borderId="451" xfId="0" applyNumberFormat="1" applyBorder="1">
      <alignment vertical="center"/>
    </xf>
    <xf numFmtId="178" fontId="0" fillId="0" borderId="454" xfId="0" applyNumberFormat="1" applyBorder="1">
      <alignment vertical="center"/>
    </xf>
    <xf numFmtId="178" fontId="0" fillId="0" borderId="455" xfId="0" applyNumberFormat="1" applyBorder="1">
      <alignment vertical="center"/>
    </xf>
    <xf numFmtId="178" fontId="0" fillId="0" borderId="458" xfId="0" applyNumberFormat="1" applyBorder="1">
      <alignment vertical="center"/>
    </xf>
    <xf numFmtId="178" fontId="0" fillId="0" borderId="459" xfId="0" applyNumberFormat="1" applyBorder="1">
      <alignment vertical="center"/>
    </xf>
    <xf numFmtId="0" fontId="0" fillId="0" borderId="460" xfId="0" applyBorder="1" applyAlignment="1">
      <alignment horizontal="center" vertical="center"/>
    </xf>
    <xf numFmtId="178" fontId="0" fillId="0" borderId="461" xfId="0" applyNumberFormat="1" applyBorder="1">
      <alignment vertical="center"/>
    </xf>
    <xf numFmtId="178" fontId="0" fillId="0" borderId="462" xfId="0" applyNumberFormat="1" applyBorder="1">
      <alignment vertical="center"/>
    </xf>
    <xf numFmtId="178" fontId="0" fillId="0" borderId="463" xfId="0" applyNumberFormat="1" applyBorder="1">
      <alignment vertical="center"/>
    </xf>
    <xf numFmtId="178" fontId="0" fillId="27" borderId="464" xfId="0" applyNumberFormat="1" applyFill="1" applyBorder="1">
      <alignment vertical="center"/>
    </xf>
    <xf numFmtId="0" fontId="0" fillId="0" borderId="465" xfId="0" applyBorder="1" applyAlignment="1">
      <alignment horizontal="center" vertical="center"/>
    </xf>
    <xf numFmtId="178" fontId="0" fillId="0" borderId="466" xfId="0" applyNumberFormat="1" applyBorder="1">
      <alignment vertical="center"/>
    </xf>
    <xf numFmtId="178" fontId="0" fillId="0" borderId="467" xfId="0" applyNumberFormat="1" applyBorder="1">
      <alignment vertical="center"/>
    </xf>
    <xf numFmtId="178" fontId="0" fillId="0" borderId="468" xfId="0" applyNumberFormat="1" applyBorder="1">
      <alignment vertical="center"/>
    </xf>
    <xf numFmtId="178" fontId="0" fillId="27" borderId="469" xfId="0" applyNumberFormat="1" applyFill="1" applyBorder="1">
      <alignment vertical="center"/>
    </xf>
    <xf numFmtId="178" fontId="0" fillId="0" borderId="289" xfId="0" applyNumberFormat="1" applyBorder="1" applyAlignment="1">
      <alignment horizontal="right" vertical="center"/>
    </xf>
    <xf numFmtId="178" fontId="0" fillId="27" borderId="472" xfId="0" applyNumberFormat="1" applyFill="1" applyBorder="1" applyAlignment="1">
      <alignment horizontal="right" vertical="center"/>
    </xf>
    <xf numFmtId="178" fontId="0" fillId="0" borderId="288" xfId="0" applyNumberFormat="1" applyBorder="1" applyAlignment="1">
      <alignment horizontal="right" vertical="center"/>
    </xf>
    <xf numFmtId="178" fontId="0" fillId="0" borderId="475" xfId="0" applyNumberFormat="1" applyBorder="1" applyAlignment="1">
      <alignment horizontal="right" vertical="center"/>
    </xf>
    <xf numFmtId="178" fontId="0" fillId="0" borderId="476" xfId="0" applyNumberFormat="1" applyBorder="1" applyAlignment="1">
      <alignment horizontal="right" vertical="center"/>
    </xf>
    <xf numFmtId="178" fontId="0" fillId="0" borderId="477" xfId="0" applyNumberFormat="1" applyBorder="1" applyAlignment="1">
      <alignment horizontal="right" vertical="center"/>
    </xf>
    <xf numFmtId="178" fontId="0" fillId="0" borderId="478" xfId="0" applyNumberFormat="1" applyBorder="1" applyAlignment="1">
      <alignment horizontal="right" vertical="center"/>
    </xf>
    <xf numFmtId="178" fontId="0" fillId="27" borderId="479" xfId="0" applyNumberFormat="1" applyFill="1" applyBorder="1" applyAlignment="1">
      <alignment horizontal="right" vertical="center"/>
    </xf>
    <xf numFmtId="178" fontId="0" fillId="0" borderId="480" xfId="0" applyNumberFormat="1" applyBorder="1" applyAlignment="1">
      <alignment horizontal="right" vertical="center"/>
    </xf>
    <xf numFmtId="178" fontId="0" fillId="0" borderId="481" xfId="0" applyNumberFormat="1" applyBorder="1" applyAlignment="1">
      <alignment horizontal="right" vertical="center"/>
    </xf>
    <xf numFmtId="178" fontId="0" fillId="0" borderId="482" xfId="0" applyNumberFormat="1" applyBorder="1" applyAlignment="1">
      <alignment horizontal="right" vertical="center"/>
    </xf>
    <xf numFmtId="178" fontId="0" fillId="27" borderId="483" xfId="0" applyNumberFormat="1" applyFill="1" applyBorder="1" applyAlignment="1">
      <alignment horizontal="right" vertical="center"/>
    </xf>
    <xf numFmtId="178" fontId="0" fillId="0" borderId="488" xfId="0" applyNumberFormat="1" applyBorder="1">
      <alignment vertical="center"/>
    </xf>
    <xf numFmtId="178" fontId="0" fillId="27" borderId="489" xfId="0" applyNumberFormat="1" applyFill="1" applyBorder="1">
      <alignment vertical="center"/>
    </xf>
    <xf numFmtId="178" fontId="0" fillId="8" borderId="0" xfId="0" applyNumberFormat="1" applyFill="1">
      <alignment vertical="center"/>
    </xf>
    <xf numFmtId="179" fontId="0" fillId="8" borderId="0" xfId="0" applyNumberFormat="1" applyFill="1">
      <alignment vertical="center"/>
    </xf>
    <xf numFmtId="178" fontId="0" fillId="0" borderId="490" xfId="0" applyNumberFormat="1" applyFill="1" applyBorder="1">
      <alignment vertical="center"/>
    </xf>
    <xf numFmtId="0" fontId="0" fillId="0" borderId="366" xfId="0" applyBorder="1" applyAlignment="1">
      <alignment horizontal="center" vertical="center"/>
    </xf>
    <xf numFmtId="178" fontId="0" fillId="0" borderId="493" xfId="0" applyNumberFormat="1" applyBorder="1">
      <alignment vertical="center"/>
    </xf>
    <xf numFmtId="178" fontId="0" fillId="0" borderId="494" xfId="0" applyNumberFormat="1" applyBorder="1">
      <alignment vertical="center"/>
    </xf>
    <xf numFmtId="178" fontId="0" fillId="0" borderId="495" xfId="0" applyNumberFormat="1" applyBorder="1">
      <alignment vertical="center"/>
    </xf>
    <xf numFmtId="178" fontId="0" fillId="0" borderId="496" xfId="0" applyNumberFormat="1" applyBorder="1">
      <alignment vertical="center"/>
    </xf>
    <xf numFmtId="178" fontId="0" fillId="29" borderId="183" xfId="0" applyNumberFormat="1" applyFill="1" applyBorder="1">
      <alignment vertical="center"/>
    </xf>
    <xf numFmtId="178" fontId="0" fillId="29" borderId="186" xfId="0" applyNumberFormat="1" applyFill="1" applyBorder="1">
      <alignment vertical="center"/>
    </xf>
    <xf numFmtId="0" fontId="0" fillId="23" borderId="268" xfId="3" applyFont="1" applyFill="1" applyBorder="1">
      <alignment vertical="center"/>
    </xf>
    <xf numFmtId="0" fontId="92" fillId="30" borderId="177" xfId="0" applyFont="1" applyFill="1" applyBorder="1" applyAlignment="1">
      <alignment horizontal="center" vertical="center" shrinkToFit="1"/>
    </xf>
    <xf numFmtId="9" fontId="39" fillId="0" borderId="0" xfId="3" applyNumberFormat="1">
      <alignment vertical="center"/>
    </xf>
    <xf numFmtId="178" fontId="55" fillId="21" borderId="497" xfId="3" applyNumberFormat="1" applyFont="1" applyFill="1" applyBorder="1" applyProtection="1">
      <alignment vertical="center"/>
      <protection hidden="1"/>
    </xf>
    <xf numFmtId="178" fontId="55" fillId="21" borderId="498" xfId="3" applyNumberFormat="1" applyFont="1" applyFill="1" applyBorder="1" applyProtection="1">
      <alignment vertical="center"/>
      <protection hidden="1"/>
    </xf>
    <xf numFmtId="178" fontId="55" fillId="21" borderId="295" xfId="3" applyNumberFormat="1" applyFont="1" applyFill="1" applyBorder="1" applyProtection="1">
      <alignment vertical="center"/>
      <protection hidden="1"/>
    </xf>
    <xf numFmtId="178" fontId="55" fillId="23" borderId="498" xfId="3" applyNumberFormat="1" applyFont="1" applyFill="1" applyBorder="1" applyProtection="1">
      <alignment vertical="center"/>
      <protection hidden="1"/>
    </xf>
    <xf numFmtId="178" fontId="55" fillId="23" borderId="497" xfId="3" applyNumberFormat="1" applyFont="1" applyFill="1" applyBorder="1" applyProtection="1">
      <alignment vertical="center"/>
      <protection hidden="1"/>
    </xf>
    <xf numFmtId="178" fontId="55" fillId="23" borderId="295" xfId="3" applyNumberFormat="1" applyFont="1" applyFill="1" applyBorder="1" applyProtection="1">
      <alignment vertical="center"/>
      <protection hidden="1"/>
    </xf>
    <xf numFmtId="178" fontId="55" fillId="23" borderId="499" xfId="3" applyNumberFormat="1" applyFont="1" applyFill="1" applyBorder="1" applyProtection="1">
      <alignment vertical="center"/>
      <protection hidden="1"/>
    </xf>
    <xf numFmtId="178" fontId="55" fillId="23" borderId="281" xfId="3" applyNumberFormat="1" applyFont="1" applyFill="1" applyBorder="1" applyProtection="1">
      <alignment vertical="center"/>
      <protection hidden="1"/>
    </xf>
    <xf numFmtId="178" fontId="55" fillId="23" borderId="265" xfId="3" applyNumberFormat="1" applyFont="1" applyFill="1" applyBorder="1" applyProtection="1">
      <alignment vertical="center"/>
      <protection hidden="1"/>
    </xf>
    <xf numFmtId="178" fontId="55" fillId="23" borderId="500" xfId="3" applyNumberFormat="1" applyFont="1" applyFill="1" applyBorder="1" applyProtection="1">
      <alignment vertical="center"/>
      <protection hidden="1"/>
    </xf>
    <xf numFmtId="0" fontId="0" fillId="7" borderId="506" xfId="0" applyFill="1" applyBorder="1" applyAlignment="1">
      <alignment horizontal="center" vertical="center"/>
    </xf>
    <xf numFmtId="178" fontId="0" fillId="0" borderId="501" xfId="0" applyNumberFormat="1" applyBorder="1">
      <alignment vertical="center"/>
    </xf>
    <xf numFmtId="178" fontId="0" fillId="8" borderId="502" xfId="0" applyNumberFormat="1" applyFill="1" applyBorder="1">
      <alignment vertical="center"/>
    </xf>
    <xf numFmtId="178" fontId="0" fillId="0" borderId="502" xfId="0" applyNumberFormat="1" applyBorder="1">
      <alignment vertical="center"/>
    </xf>
    <xf numFmtId="178" fontId="0" fillId="8" borderId="505" xfId="0" applyNumberFormat="1" applyFill="1" applyBorder="1">
      <alignment vertical="center"/>
    </xf>
    <xf numFmtId="0" fontId="0" fillId="7" borderId="507" xfId="0" applyFill="1" applyBorder="1" applyAlignment="1">
      <alignment horizontal="center" vertical="center"/>
    </xf>
    <xf numFmtId="178" fontId="0" fillId="0" borderId="508" xfId="0" applyNumberFormat="1" applyBorder="1">
      <alignment vertical="center"/>
    </xf>
    <xf numFmtId="0" fontId="0" fillId="7" borderId="510" xfId="0" applyFill="1" applyBorder="1" applyAlignment="1">
      <alignment horizontal="center" vertical="center"/>
    </xf>
    <xf numFmtId="0" fontId="0" fillId="7" borderId="511" xfId="0" applyFill="1" applyBorder="1" applyAlignment="1">
      <alignment horizontal="center" vertical="center"/>
    </xf>
    <xf numFmtId="0" fontId="0" fillId="7" borderId="512" xfId="0" applyFill="1" applyBorder="1" applyAlignment="1">
      <alignment horizontal="center" vertical="center"/>
    </xf>
    <xf numFmtId="178" fontId="55" fillId="21" borderId="513" xfId="3" applyNumberFormat="1" applyFont="1" applyFill="1" applyBorder="1" applyProtection="1">
      <alignment vertical="center"/>
      <protection hidden="1"/>
    </xf>
    <xf numFmtId="178" fontId="55" fillId="21" borderId="514" xfId="3" applyNumberFormat="1" applyFont="1" applyFill="1" applyBorder="1" applyProtection="1">
      <alignment vertical="center"/>
      <protection hidden="1"/>
    </xf>
    <xf numFmtId="178" fontId="55" fillId="21" borderId="296" xfId="3" applyNumberFormat="1" applyFont="1" applyFill="1" applyBorder="1" applyProtection="1">
      <alignment vertical="center"/>
      <protection hidden="1"/>
    </xf>
    <xf numFmtId="178" fontId="55" fillId="23" borderId="513" xfId="3" applyNumberFormat="1" applyFont="1" applyFill="1" applyBorder="1" applyProtection="1">
      <alignment vertical="center"/>
      <protection hidden="1"/>
    </xf>
    <xf numFmtId="178" fontId="55" fillId="23" borderId="514" xfId="3" applyNumberFormat="1" applyFont="1" applyFill="1" applyBorder="1" applyProtection="1">
      <alignment vertical="center"/>
      <protection hidden="1"/>
    </xf>
    <xf numFmtId="178" fontId="55" fillId="23" borderId="296" xfId="3" applyNumberFormat="1" applyFont="1" applyFill="1" applyBorder="1" applyProtection="1">
      <alignment vertical="center"/>
      <protection hidden="1"/>
    </xf>
    <xf numFmtId="178" fontId="55" fillId="23" borderId="515" xfId="3" applyNumberFormat="1" applyFont="1" applyFill="1" applyBorder="1" applyProtection="1">
      <alignment vertical="center"/>
      <protection hidden="1"/>
    </xf>
    <xf numFmtId="178" fontId="55" fillId="23" borderId="516" xfId="3" applyNumberFormat="1" applyFont="1" applyFill="1" applyBorder="1" applyProtection="1">
      <alignment vertical="center"/>
      <protection hidden="1"/>
    </xf>
    <xf numFmtId="178" fontId="55" fillId="23" borderId="517" xfId="3" applyNumberFormat="1" applyFont="1" applyFill="1" applyBorder="1" applyProtection="1">
      <alignment vertical="center"/>
      <protection hidden="1"/>
    </xf>
    <xf numFmtId="0" fontId="39" fillId="0" borderId="0" xfId="3" applyAlignment="1">
      <alignment horizontal="left" vertical="center"/>
    </xf>
    <xf numFmtId="178" fontId="55" fillId="23" borderId="498" xfId="3" applyNumberFormat="1" applyFont="1" applyFill="1" applyBorder="1" applyAlignment="1" applyProtection="1">
      <alignment vertical="center" shrinkToFit="1"/>
      <protection hidden="1"/>
    </xf>
    <xf numFmtId="178" fontId="55" fillId="23" borderId="497" xfId="3" applyNumberFormat="1" applyFont="1" applyFill="1" applyBorder="1" applyAlignment="1" applyProtection="1">
      <alignment vertical="center" shrinkToFit="1"/>
      <protection hidden="1"/>
    </xf>
    <xf numFmtId="178" fontId="55" fillId="21" borderId="295" xfId="3" applyNumberFormat="1" applyFont="1" applyFill="1" applyBorder="1" applyAlignment="1" applyProtection="1">
      <alignment vertical="center" shrinkToFit="1"/>
      <protection hidden="1"/>
    </xf>
    <xf numFmtId="178" fontId="55" fillId="24" borderId="497" xfId="3" applyNumberFormat="1" applyFont="1" applyFill="1" applyBorder="1" applyAlignment="1" applyProtection="1">
      <alignment vertical="center" shrinkToFit="1"/>
      <protection hidden="1"/>
    </xf>
    <xf numFmtId="178" fontId="55" fillId="23" borderId="295" xfId="3" applyNumberFormat="1" applyFont="1" applyFill="1" applyBorder="1" applyAlignment="1" applyProtection="1">
      <alignment vertical="center" shrinkToFit="1"/>
      <protection hidden="1"/>
    </xf>
    <xf numFmtId="178" fontId="55" fillId="21" borderId="498" xfId="3" applyNumberFormat="1" applyFont="1" applyFill="1" applyBorder="1" applyAlignment="1" applyProtection="1">
      <alignment vertical="center" shrinkToFit="1"/>
      <protection hidden="1"/>
    </xf>
    <xf numFmtId="178" fontId="55" fillId="21" borderId="497" xfId="3" applyNumberFormat="1" applyFont="1" applyFill="1" applyBorder="1" applyAlignment="1" applyProtection="1">
      <alignment vertical="center" shrinkToFit="1"/>
      <protection hidden="1"/>
    </xf>
    <xf numFmtId="178" fontId="55" fillId="21" borderId="519" xfId="3" applyNumberFormat="1" applyFont="1" applyFill="1" applyBorder="1" applyAlignment="1" applyProtection="1">
      <alignment vertical="center" shrinkToFit="1"/>
      <protection hidden="1"/>
    </xf>
    <xf numFmtId="178" fontId="55" fillId="23" borderId="500" xfId="3" applyNumberFormat="1" applyFont="1" applyFill="1" applyBorder="1" applyAlignment="1" applyProtection="1">
      <alignment vertical="center" shrinkToFit="1"/>
      <protection hidden="1"/>
    </xf>
    <xf numFmtId="178" fontId="55" fillId="21" borderId="513" xfId="3" applyNumberFormat="1" applyFont="1" applyFill="1" applyBorder="1" applyAlignment="1" applyProtection="1">
      <alignment vertical="center" shrinkToFit="1"/>
      <protection hidden="1"/>
    </xf>
    <xf numFmtId="178" fontId="55" fillId="21" borderId="514" xfId="3" applyNumberFormat="1" applyFont="1" applyFill="1" applyBorder="1" applyAlignment="1" applyProtection="1">
      <alignment vertical="center" shrinkToFit="1"/>
      <protection hidden="1"/>
    </xf>
    <xf numFmtId="178" fontId="55" fillId="23" borderId="513" xfId="3" applyNumberFormat="1" applyFont="1" applyFill="1" applyBorder="1" applyAlignment="1" applyProtection="1">
      <alignment vertical="center" shrinkToFit="1"/>
      <protection hidden="1"/>
    </xf>
    <xf numFmtId="178" fontId="55" fillId="23" borderId="514" xfId="3" applyNumberFormat="1" applyFont="1" applyFill="1" applyBorder="1" applyAlignment="1" applyProtection="1">
      <alignment vertical="center" shrinkToFit="1"/>
      <protection hidden="1"/>
    </xf>
    <xf numFmtId="178" fontId="55" fillId="24" borderId="514" xfId="3" applyNumberFormat="1" applyFont="1" applyFill="1" applyBorder="1" applyAlignment="1" applyProtection="1">
      <alignment vertical="center" shrinkToFit="1"/>
      <protection hidden="1"/>
    </xf>
    <xf numFmtId="178" fontId="55" fillId="21" borderId="296" xfId="3" applyNumberFormat="1" applyFont="1" applyFill="1" applyBorder="1" applyAlignment="1" applyProtection="1">
      <alignment vertical="center" shrinkToFit="1"/>
      <protection hidden="1"/>
    </xf>
    <xf numFmtId="178" fontId="55" fillId="23" borderId="296" xfId="3" applyNumberFormat="1" applyFont="1" applyFill="1" applyBorder="1" applyAlignment="1" applyProtection="1">
      <alignment vertical="center" shrinkToFit="1"/>
      <protection hidden="1"/>
    </xf>
    <xf numFmtId="178" fontId="55" fillId="21" borderId="520" xfId="3" applyNumberFormat="1" applyFont="1" applyFill="1" applyBorder="1" applyAlignment="1" applyProtection="1">
      <alignment vertical="center" shrinkToFit="1"/>
      <protection hidden="1"/>
    </xf>
    <xf numFmtId="178" fontId="55" fillId="21" borderId="239" xfId="3" applyNumberFormat="1" applyFont="1" applyFill="1" applyBorder="1" applyAlignment="1" applyProtection="1">
      <alignment vertical="center" shrinkToFit="1"/>
      <protection hidden="1"/>
    </xf>
    <xf numFmtId="178" fontId="55" fillId="23" borderId="517" xfId="3" applyNumberFormat="1" applyFont="1" applyFill="1" applyBorder="1" applyAlignment="1" applyProtection="1">
      <alignment vertical="center" shrinkToFit="1"/>
      <protection hidden="1"/>
    </xf>
    <xf numFmtId="178" fontId="55" fillId="21" borderId="521" xfId="3" applyNumberFormat="1" applyFont="1" applyFill="1" applyBorder="1" applyAlignment="1" applyProtection="1">
      <alignment vertical="center" shrinkToFit="1"/>
      <protection hidden="1"/>
    </xf>
    <xf numFmtId="178" fontId="55" fillId="21" borderId="522" xfId="3" applyNumberFormat="1" applyFont="1" applyFill="1" applyBorder="1" applyAlignment="1" applyProtection="1">
      <alignment vertical="center" shrinkToFit="1"/>
      <protection hidden="1"/>
    </xf>
    <xf numFmtId="178" fontId="55" fillId="24" borderId="522" xfId="3" applyNumberFormat="1" applyFont="1" applyFill="1" applyBorder="1" applyAlignment="1" applyProtection="1">
      <alignment vertical="center" shrinkToFit="1"/>
      <protection hidden="1"/>
    </xf>
    <xf numFmtId="178" fontId="55" fillId="21" borderId="523" xfId="3" applyNumberFormat="1" applyFont="1" applyFill="1" applyBorder="1" applyAlignment="1" applyProtection="1">
      <alignment vertical="center" shrinkToFit="1"/>
      <protection hidden="1"/>
    </xf>
    <xf numFmtId="178" fontId="55" fillId="21" borderId="524" xfId="3" applyNumberFormat="1" applyFont="1" applyFill="1" applyBorder="1" applyAlignment="1" applyProtection="1">
      <alignment vertical="center" shrinkToFit="1"/>
      <protection hidden="1"/>
    </xf>
    <xf numFmtId="178" fontId="55" fillId="21" borderId="238" xfId="3" applyNumberFormat="1" applyFont="1" applyFill="1" applyBorder="1" applyAlignment="1" applyProtection="1">
      <alignment vertical="center" shrinkToFit="1"/>
      <protection hidden="1"/>
    </xf>
    <xf numFmtId="0" fontId="55" fillId="23" borderId="526" xfId="3" applyNumberFormat="1" applyFont="1" applyFill="1" applyBorder="1" applyAlignment="1" applyProtection="1">
      <alignment horizontal="center" vertical="center"/>
      <protection hidden="1"/>
    </xf>
    <xf numFmtId="0" fontId="55" fillId="23" borderId="522" xfId="3" applyNumberFormat="1" applyFont="1" applyFill="1" applyBorder="1" applyAlignment="1" applyProtection="1">
      <alignment horizontal="center" vertical="center"/>
      <protection hidden="1"/>
    </xf>
    <xf numFmtId="0" fontId="55" fillId="23" borderId="525" xfId="3" applyNumberFormat="1" applyFont="1" applyFill="1" applyBorder="1" applyAlignment="1" applyProtection="1">
      <alignment horizontal="center" vertical="center"/>
      <protection hidden="1"/>
    </xf>
    <xf numFmtId="0" fontId="55" fillId="24" borderId="522" xfId="3" applyNumberFormat="1" applyFont="1" applyFill="1" applyBorder="1" applyAlignment="1" applyProtection="1">
      <alignment horizontal="center" vertical="center"/>
      <protection hidden="1"/>
    </xf>
    <xf numFmtId="0" fontId="55" fillId="23" borderId="524" xfId="3" applyNumberFormat="1" applyFont="1" applyFill="1" applyBorder="1" applyAlignment="1" applyProtection="1">
      <alignment horizontal="center" vertical="center"/>
      <protection hidden="1"/>
    </xf>
    <xf numFmtId="0" fontId="55" fillId="23" borderId="238" xfId="3" applyNumberFormat="1" applyFont="1" applyFill="1" applyBorder="1" applyAlignment="1" applyProtection="1">
      <alignment horizontal="center" vertical="center"/>
      <protection hidden="1"/>
    </xf>
    <xf numFmtId="0" fontId="39" fillId="0" borderId="0" xfId="3" applyBorder="1" applyAlignment="1">
      <alignment horizontal="left" vertical="center"/>
    </xf>
    <xf numFmtId="178" fontId="55" fillId="21" borderId="518" xfId="3" applyNumberFormat="1" applyFont="1" applyFill="1" applyBorder="1" applyAlignment="1" applyProtection="1">
      <alignment vertical="center" shrinkToFit="1"/>
      <protection hidden="1"/>
    </xf>
    <xf numFmtId="178" fontId="0" fillId="0" borderId="0" xfId="3" applyNumberFormat="1" applyFont="1" applyFill="1" applyBorder="1">
      <alignment vertical="center"/>
    </xf>
    <xf numFmtId="0" fontId="55" fillId="0" borderId="0" xfId="3" applyNumberFormat="1" applyFont="1" applyFill="1" applyBorder="1" applyAlignment="1" applyProtection="1">
      <alignment horizontal="center" vertical="center"/>
      <protection hidden="1"/>
    </xf>
    <xf numFmtId="0" fontId="0" fillId="0" borderId="0" xfId="3" applyFont="1" applyFill="1" applyBorder="1">
      <alignment vertical="center"/>
    </xf>
    <xf numFmtId="0" fontId="0" fillId="0" borderId="0" xfId="0" applyAlignment="1">
      <alignment horizontal="center" vertical="center"/>
    </xf>
    <xf numFmtId="38" fontId="93" fillId="0" borderId="23" xfId="1" applyNumberFormat="1" applyFont="1" applyBorder="1" applyAlignment="1">
      <alignment horizontal="right" vertical="center"/>
    </xf>
    <xf numFmtId="38" fontId="94" fillId="0" borderId="23" xfId="1" applyNumberFormat="1" applyFont="1" applyBorder="1" applyAlignment="1">
      <alignment horizontal="right" vertical="center"/>
    </xf>
    <xf numFmtId="38" fontId="93" fillId="15" borderId="23" xfId="1" applyNumberFormat="1" applyFont="1" applyFill="1" applyBorder="1" applyAlignment="1">
      <alignment horizontal="right" vertical="center"/>
    </xf>
    <xf numFmtId="38" fontId="94" fillId="15" borderId="23" xfId="1" applyNumberFormat="1" applyFont="1" applyFill="1" applyBorder="1" applyAlignment="1">
      <alignment horizontal="right" vertical="center"/>
    </xf>
    <xf numFmtId="181" fontId="95" fillId="0" borderId="23" xfId="1" applyNumberFormat="1" applyFont="1" applyBorder="1" applyAlignment="1">
      <alignment horizontal="right" vertical="center"/>
    </xf>
    <xf numFmtId="181" fontId="95" fillId="15" borderId="23" xfId="1" applyNumberFormat="1" applyFont="1" applyFill="1" applyBorder="1" applyAlignment="1">
      <alignment horizontal="right" vertical="center"/>
    </xf>
    <xf numFmtId="0" fontId="80" fillId="19" borderId="23" xfId="0" applyFont="1" applyFill="1" applyBorder="1" applyAlignment="1">
      <alignment vertical="center" shrinkToFit="1"/>
    </xf>
    <xf numFmtId="0" fontId="50" fillId="31" borderId="23" xfId="0" applyFont="1" applyFill="1" applyBorder="1" applyAlignment="1">
      <alignment vertical="center" shrinkToFit="1"/>
    </xf>
    <xf numFmtId="0" fontId="50" fillId="0" borderId="23" xfId="0" applyFont="1" applyBorder="1" applyAlignment="1">
      <alignment vertical="center" shrinkToFit="1"/>
    </xf>
    <xf numFmtId="6" fontId="96" fillId="15" borderId="23" xfId="34" applyNumberFormat="1" applyFont="1" applyFill="1" applyBorder="1" applyAlignment="1">
      <alignment horizontal="right" vertical="center" shrinkToFit="1"/>
    </xf>
    <xf numFmtId="6" fontId="63" fillId="15" borderId="23" xfId="34" applyNumberFormat="1" applyFont="1" applyFill="1" applyBorder="1" applyAlignment="1">
      <alignment horizontal="right" vertical="center" shrinkToFit="1"/>
    </xf>
    <xf numFmtId="0" fontId="63" fillId="0" borderId="23" xfId="1" applyNumberFormat="1" applyFont="1" applyBorder="1" applyAlignment="1">
      <alignment horizontal="right" vertical="center" shrinkToFit="1"/>
    </xf>
    <xf numFmtId="38" fontId="63" fillId="15" borderId="23" xfId="1" applyNumberFormat="1" applyFont="1" applyFill="1" applyBorder="1" applyAlignment="1">
      <alignment horizontal="right" vertical="center" shrinkToFit="1"/>
    </xf>
    <xf numFmtId="0" fontId="80" fillId="0" borderId="23" xfId="0" applyFont="1" applyBorder="1" applyAlignment="1">
      <alignment vertical="center" shrinkToFit="1"/>
    </xf>
    <xf numFmtId="0" fontId="39" fillId="0" borderId="0" xfId="3" applyFont="1">
      <alignment vertical="center"/>
    </xf>
    <xf numFmtId="178" fontId="39" fillId="8" borderId="233" xfId="3" applyNumberFormat="1" applyFont="1" applyFill="1" applyBorder="1">
      <alignment vertical="center"/>
    </xf>
    <xf numFmtId="178" fontId="39" fillId="8" borderId="232" xfId="3" applyNumberFormat="1" applyFont="1" applyFill="1" applyBorder="1">
      <alignment vertical="center"/>
    </xf>
    <xf numFmtId="0" fontId="39" fillId="8" borderId="234" xfId="3" applyFont="1" applyFill="1" applyBorder="1">
      <alignment vertical="center"/>
    </xf>
    <xf numFmtId="178" fontId="39" fillId="0" borderId="289" xfId="3" applyNumberFormat="1" applyFont="1" applyBorder="1">
      <alignment vertical="center"/>
    </xf>
    <xf numFmtId="178" fontId="39" fillId="0" borderId="286" xfId="3" applyNumberFormat="1" applyFont="1" applyBorder="1">
      <alignment vertical="center"/>
    </xf>
    <xf numFmtId="0" fontId="39" fillId="0" borderId="287" xfId="3" applyFont="1" applyBorder="1">
      <alignment vertical="center"/>
    </xf>
    <xf numFmtId="178" fontId="39" fillId="8" borderId="289" xfId="3" applyNumberFormat="1" applyFont="1" applyFill="1" applyBorder="1">
      <alignment vertical="center"/>
    </xf>
    <xf numFmtId="178" fontId="39" fillId="8" borderId="286" xfId="3" applyNumberFormat="1" applyFont="1" applyFill="1" applyBorder="1">
      <alignment vertical="center"/>
    </xf>
    <xf numFmtId="0" fontId="39" fillId="8" borderId="287" xfId="3" applyFont="1" applyFill="1" applyBorder="1">
      <alignment vertical="center"/>
    </xf>
    <xf numFmtId="178" fontId="39" fillId="0" borderId="0" xfId="3" applyNumberFormat="1" applyFont="1" applyFill="1" applyBorder="1">
      <alignment vertical="center"/>
    </xf>
    <xf numFmtId="178" fontId="39" fillId="0" borderId="288" xfId="3" applyNumberFormat="1" applyFont="1" applyBorder="1">
      <alignment vertical="center"/>
    </xf>
    <xf numFmtId="178" fontId="39" fillId="0" borderId="284" xfId="3" applyNumberFormat="1" applyFont="1" applyBorder="1">
      <alignment vertical="center"/>
    </xf>
    <xf numFmtId="0" fontId="39" fillId="0" borderId="285" xfId="3" applyFont="1" applyBorder="1">
      <alignment vertical="center"/>
    </xf>
    <xf numFmtId="0" fontId="39" fillId="0" borderId="0" xfId="3" applyFont="1" applyFill="1" applyBorder="1" applyAlignment="1">
      <alignment horizontal="center" vertical="center"/>
    </xf>
    <xf numFmtId="0" fontId="39" fillId="7" borderId="293" xfId="3" applyFont="1" applyFill="1" applyBorder="1" applyAlignment="1">
      <alignment horizontal="center" vertical="center"/>
    </xf>
    <xf numFmtId="0" fontId="39" fillId="7" borderId="292" xfId="3" applyFont="1" applyFill="1" applyBorder="1" applyAlignment="1">
      <alignment horizontal="center" vertical="center"/>
    </xf>
    <xf numFmtId="0" fontId="39" fillId="7" borderId="291" xfId="3" applyFont="1" applyFill="1" applyBorder="1" applyAlignment="1">
      <alignment horizontal="center" vertical="center"/>
    </xf>
    <xf numFmtId="0" fontId="39" fillId="7" borderId="290" xfId="3" applyFont="1" applyFill="1" applyBorder="1" applyAlignment="1">
      <alignment horizontal="center" vertical="center"/>
    </xf>
    <xf numFmtId="0" fontId="53" fillId="0" borderId="0" xfId="3" applyFont="1" applyFill="1" applyBorder="1" applyAlignment="1">
      <alignment vertical="center"/>
    </xf>
    <xf numFmtId="178" fontId="39" fillId="0" borderId="0" xfId="3" applyNumberFormat="1" applyFont="1">
      <alignment vertical="center"/>
    </xf>
    <xf numFmtId="0" fontId="39" fillId="23" borderId="297" xfId="3" applyFont="1" applyFill="1" applyBorder="1" applyAlignment="1">
      <alignment vertical="center" shrinkToFit="1"/>
    </xf>
    <xf numFmtId="0" fontId="39" fillId="23" borderId="176" xfId="3" applyFont="1" applyFill="1" applyBorder="1">
      <alignment vertical="center"/>
    </xf>
    <xf numFmtId="0" fontId="39" fillId="23" borderId="277" xfId="3" applyFont="1" applyFill="1" applyBorder="1">
      <alignment vertical="center"/>
    </xf>
    <xf numFmtId="0" fontId="39" fillId="23" borderId="272" xfId="3" applyFont="1" applyFill="1" applyBorder="1">
      <alignment vertical="center"/>
    </xf>
    <xf numFmtId="0" fontId="39" fillId="23" borderId="268" xfId="3" applyFont="1" applyFill="1" applyBorder="1">
      <alignment vertical="center"/>
    </xf>
    <xf numFmtId="0" fontId="39" fillId="23" borderId="249" xfId="3" applyFont="1" applyFill="1" applyBorder="1">
      <alignment vertical="center"/>
    </xf>
    <xf numFmtId="0" fontId="39" fillId="21" borderId="249" xfId="3" applyFont="1" applyFill="1" applyBorder="1">
      <alignment vertical="center"/>
    </xf>
    <xf numFmtId="0" fontId="39" fillId="21" borderId="176" xfId="3" applyFont="1" applyFill="1" applyBorder="1">
      <alignment vertical="center"/>
    </xf>
    <xf numFmtId="0" fontId="39" fillId="14" borderId="241" xfId="3" applyFont="1" applyFill="1" applyBorder="1" applyAlignment="1">
      <alignment horizontal="center" vertical="center"/>
    </xf>
    <xf numFmtId="0" fontId="39" fillId="14" borderId="240" xfId="3" applyFont="1" applyFill="1" applyBorder="1" applyAlignment="1">
      <alignment horizontal="center" vertical="center" wrapText="1"/>
    </xf>
    <xf numFmtId="181" fontId="39" fillId="14" borderId="242" xfId="3" applyNumberFormat="1" applyFont="1" applyFill="1" applyBorder="1" applyAlignment="1">
      <alignment horizontal="center" vertical="center"/>
    </xf>
    <xf numFmtId="181" fontId="39" fillId="14" borderId="240" xfId="3" applyNumberFormat="1" applyFont="1" applyFill="1" applyBorder="1" applyAlignment="1">
      <alignment horizontal="center" vertical="center"/>
    </xf>
    <xf numFmtId="181" fontId="39" fillId="14" borderId="241" xfId="3" applyNumberFormat="1" applyFont="1" applyFill="1" applyBorder="1" applyAlignment="1">
      <alignment horizontal="center" vertical="center"/>
    </xf>
    <xf numFmtId="181" fontId="39" fillId="0" borderId="240" xfId="3" applyNumberFormat="1" applyFont="1" applyFill="1" applyBorder="1" applyAlignment="1" applyProtection="1">
      <alignment horizontal="center" vertical="center"/>
      <protection locked="0"/>
    </xf>
    <xf numFmtId="0" fontId="39" fillId="14" borderId="239" xfId="2" applyFont="1" applyFill="1" applyBorder="1" applyAlignment="1">
      <alignment horizontal="center" vertical="center"/>
    </xf>
    <xf numFmtId="0" fontId="39" fillId="14" borderId="174" xfId="3" applyFont="1" applyFill="1" applyBorder="1" applyAlignment="1">
      <alignment horizontal="center" vertical="center"/>
    </xf>
    <xf numFmtId="0" fontId="39" fillId="14" borderId="238" xfId="3" applyFont="1" applyFill="1" applyBorder="1" applyAlignment="1">
      <alignment horizontal="center" vertical="center"/>
    </xf>
    <xf numFmtId="0" fontId="39" fillId="0" borderId="0" xfId="3" applyNumberFormat="1" applyFont="1">
      <alignment vertical="center"/>
    </xf>
    <xf numFmtId="0" fontId="39" fillId="0" borderId="0" xfId="3" applyFont="1" applyFill="1">
      <alignment vertical="center"/>
    </xf>
    <xf numFmtId="0" fontId="39" fillId="0" borderId="0" xfId="35" applyFont="1" applyProtection="1">
      <alignment vertical="center"/>
    </xf>
    <xf numFmtId="0" fontId="39" fillId="0" borderId="0" xfId="3" applyFont="1" applyProtection="1">
      <alignment vertical="center"/>
    </xf>
    <xf numFmtId="0" fontId="39" fillId="0" borderId="0" xfId="3" applyFont="1" applyFill="1" applyBorder="1" applyProtection="1">
      <alignment vertical="center"/>
    </xf>
    <xf numFmtId="178" fontId="55" fillId="21" borderId="530" xfId="3" applyNumberFormat="1" applyFont="1" applyFill="1" applyBorder="1" applyAlignment="1" applyProtection="1">
      <alignment vertical="center" shrinkToFit="1"/>
      <protection hidden="1"/>
    </xf>
    <xf numFmtId="178" fontId="97" fillId="33" borderId="251" xfId="3" applyNumberFormat="1" applyFont="1" applyFill="1" applyBorder="1" applyAlignment="1" applyProtection="1">
      <alignment vertical="center" shrinkToFit="1"/>
      <protection hidden="1"/>
    </xf>
    <xf numFmtId="0" fontId="42" fillId="33" borderId="249" xfId="3" applyFont="1" applyFill="1" applyBorder="1" applyAlignment="1" applyProtection="1">
      <alignment vertical="center" shrinkToFit="1"/>
    </xf>
    <xf numFmtId="178" fontId="55" fillId="24" borderId="252" xfId="3" applyNumberFormat="1" applyFont="1" applyFill="1" applyBorder="1" applyAlignment="1" applyProtection="1">
      <alignment vertical="center" shrinkToFit="1"/>
    </xf>
    <xf numFmtId="0" fontId="39" fillId="24" borderId="249" xfId="3" applyFont="1" applyFill="1" applyBorder="1" applyAlignment="1" applyProtection="1">
      <alignment vertical="center" shrinkToFit="1"/>
    </xf>
    <xf numFmtId="0" fontId="39" fillId="21" borderId="176" xfId="3" applyFont="1" applyFill="1" applyBorder="1" applyAlignment="1" applyProtection="1">
      <alignment vertical="center" shrinkToFit="1"/>
    </xf>
    <xf numFmtId="181" fontId="39" fillId="14" borderId="242" xfId="3" applyNumberFormat="1" applyFont="1" applyFill="1" applyBorder="1" applyAlignment="1" applyProtection="1">
      <alignment horizontal="center" vertical="center" shrinkToFit="1"/>
    </xf>
    <xf numFmtId="181" fontId="39" fillId="14" borderId="240" xfId="3" applyNumberFormat="1" applyFont="1" applyFill="1" applyBorder="1" applyAlignment="1" applyProtection="1">
      <alignment horizontal="center" vertical="center" shrinkToFit="1"/>
    </xf>
    <xf numFmtId="181" fontId="39" fillId="14" borderId="241" xfId="3" applyNumberFormat="1" applyFont="1" applyFill="1" applyBorder="1" applyAlignment="1" applyProtection="1">
      <alignment horizontal="center" vertical="center" shrinkToFit="1"/>
    </xf>
    <xf numFmtId="181" fontId="39" fillId="0" borderId="240" xfId="3" applyNumberFormat="1" applyFont="1" applyFill="1" applyBorder="1" applyAlignment="1" applyProtection="1">
      <alignment horizontal="center" vertical="center" shrinkToFit="1"/>
    </xf>
    <xf numFmtId="0" fontId="39" fillId="14" borderId="239" xfId="2" applyFont="1" applyFill="1" applyBorder="1" applyAlignment="1" applyProtection="1">
      <alignment horizontal="center" vertical="center" shrinkToFit="1"/>
    </xf>
    <xf numFmtId="0" fontId="39" fillId="14" borderId="174" xfId="3" applyFont="1" applyFill="1" applyBorder="1" applyAlignment="1" applyProtection="1">
      <alignment horizontal="center" vertical="center"/>
    </xf>
    <xf numFmtId="0" fontId="39" fillId="14" borderId="238" xfId="3" applyFont="1" applyFill="1" applyBorder="1" applyAlignment="1" applyProtection="1">
      <alignment horizontal="center" vertical="center"/>
    </xf>
    <xf numFmtId="0" fontId="39" fillId="0" borderId="0" xfId="3" applyFont="1" applyAlignment="1" applyProtection="1">
      <alignment vertical="center" shrinkToFit="1"/>
    </xf>
    <xf numFmtId="0" fontId="39" fillId="0" borderId="0" xfId="3" applyFont="1" applyAlignment="1" applyProtection="1">
      <alignment vertical="center"/>
    </xf>
    <xf numFmtId="0" fontId="39" fillId="0" borderId="0" xfId="3" applyFont="1" applyFill="1" applyAlignment="1" applyProtection="1">
      <alignment vertical="center" shrinkToFit="1"/>
    </xf>
    <xf numFmtId="0" fontId="51" fillId="14" borderId="238" xfId="3" applyFont="1" applyFill="1" applyBorder="1" applyAlignment="1" applyProtection="1">
      <alignment horizontal="center" vertical="center" shrinkToFit="1"/>
    </xf>
    <xf numFmtId="0" fontId="39" fillId="14" borderId="239" xfId="3" applyFont="1" applyFill="1" applyBorder="1" applyAlignment="1">
      <alignment horizontal="center" vertical="center" wrapText="1"/>
    </xf>
    <xf numFmtId="181" fontId="39" fillId="14" borderId="238" xfId="3" applyNumberFormat="1" applyFont="1" applyFill="1" applyBorder="1" applyAlignment="1">
      <alignment horizontal="center" vertical="center"/>
    </xf>
    <xf numFmtId="178" fontId="55" fillId="21" borderId="523" xfId="3" applyNumberFormat="1" applyFont="1" applyFill="1" applyBorder="1" applyProtection="1">
      <alignment vertical="center"/>
      <protection hidden="1"/>
    </xf>
    <xf numFmtId="178" fontId="55" fillId="21" borderId="521" xfId="3" applyNumberFormat="1" applyFont="1" applyFill="1" applyBorder="1" applyProtection="1">
      <alignment vertical="center"/>
      <protection hidden="1"/>
    </xf>
    <xf numFmtId="178" fontId="55" fillId="21" borderId="522" xfId="3" applyNumberFormat="1" applyFont="1" applyFill="1" applyBorder="1" applyProtection="1">
      <alignment vertical="center"/>
      <protection hidden="1"/>
    </xf>
    <xf numFmtId="178" fontId="0" fillId="0" borderId="536" xfId="0" applyNumberFormat="1" applyBorder="1" applyAlignment="1">
      <alignment horizontal="right" vertical="center"/>
    </xf>
    <xf numFmtId="178" fontId="0" fillId="0" borderId="535" xfId="0" applyNumberFormat="1" applyBorder="1" applyAlignment="1">
      <alignment horizontal="right" vertical="center"/>
    </xf>
    <xf numFmtId="178" fontId="0" fillId="0" borderId="537" xfId="0" applyNumberFormat="1" applyFill="1" applyBorder="1">
      <alignment vertical="center"/>
    </xf>
    <xf numFmtId="178" fontId="0" fillId="0" borderId="536" xfId="0" applyNumberFormat="1" applyFill="1" applyBorder="1">
      <alignment vertical="center"/>
    </xf>
    <xf numFmtId="178" fontId="0" fillId="5" borderId="538" xfId="0" applyNumberFormat="1" applyFill="1" applyBorder="1">
      <alignment vertical="center"/>
    </xf>
    <xf numFmtId="178" fontId="0" fillId="8" borderId="539" xfId="0" applyNumberFormat="1" applyFill="1" applyBorder="1">
      <alignment vertical="center"/>
    </xf>
    <xf numFmtId="178" fontId="0" fillId="0" borderId="540" xfId="0" applyNumberFormat="1" applyBorder="1">
      <alignment vertical="center"/>
    </xf>
    <xf numFmtId="178" fontId="0" fillId="5" borderId="537" xfId="0" applyNumberFormat="1" applyFill="1" applyBorder="1">
      <alignment vertical="center"/>
    </xf>
    <xf numFmtId="178" fontId="0" fillId="8" borderId="541" xfId="0" applyNumberFormat="1" applyFill="1" applyBorder="1">
      <alignment vertical="center"/>
    </xf>
    <xf numFmtId="178" fontId="0" fillId="0" borderId="541" xfId="0" applyNumberFormat="1" applyBorder="1">
      <alignment vertical="center"/>
    </xf>
    <xf numFmtId="178" fontId="0" fillId="5" borderId="44" xfId="0" applyNumberFormat="1" applyFill="1" applyBorder="1" applyAlignment="1">
      <alignment horizontal="right" vertical="center"/>
    </xf>
    <xf numFmtId="178" fontId="0" fillId="8" borderId="43" xfId="0" applyNumberFormat="1" applyFill="1" applyBorder="1" applyAlignment="1">
      <alignment horizontal="right" vertical="center"/>
    </xf>
    <xf numFmtId="181" fontId="0" fillId="25" borderId="327" xfId="0" applyNumberFormat="1" applyFill="1" applyBorder="1" applyAlignment="1">
      <alignment horizontal="center" vertical="center"/>
    </xf>
    <xf numFmtId="0" fontId="6" fillId="0" borderId="1" xfId="6" applyFont="1" applyBorder="1">
      <alignment vertical="center"/>
    </xf>
    <xf numFmtId="6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0" fillId="0" borderId="366" xfId="0" applyBorder="1" applyAlignment="1">
      <alignment horizontal="center" vertical="center"/>
    </xf>
    <xf numFmtId="178" fontId="39" fillId="14" borderId="43" xfId="5" applyNumberFormat="1" applyFont="1" applyFill="1" applyBorder="1">
      <alignment vertical="center"/>
    </xf>
    <xf numFmtId="178" fontId="39" fillId="14" borderId="158" xfId="5" applyNumberFormat="1" applyFont="1" applyFill="1" applyBorder="1">
      <alignment vertical="center"/>
    </xf>
    <xf numFmtId="0" fontId="0" fillId="0" borderId="0" xfId="0" applyAlignment="1">
      <alignment horizontal="center" vertical="center"/>
    </xf>
    <xf numFmtId="178" fontId="0" fillId="0" borderId="543" xfId="0" applyNumberFormat="1" applyBorder="1">
      <alignment vertical="center"/>
    </xf>
    <xf numFmtId="178" fontId="0" fillId="0" borderId="544" xfId="0" applyNumberFormat="1" applyBorder="1">
      <alignment vertical="center"/>
    </xf>
    <xf numFmtId="178" fontId="0" fillId="0" borderId="545" xfId="0" applyNumberFormat="1" applyBorder="1">
      <alignment vertical="center"/>
    </xf>
    <xf numFmtId="0" fontId="0" fillId="0" borderId="546" xfId="0" applyBorder="1">
      <alignment vertical="center"/>
    </xf>
    <xf numFmtId="0" fontId="0" fillId="0" borderId="547" xfId="0" applyBorder="1">
      <alignment vertical="center"/>
    </xf>
    <xf numFmtId="178" fontId="0" fillId="0" borderId="548" xfId="0" applyNumberFormat="1" applyBorder="1">
      <alignment vertical="center"/>
    </xf>
    <xf numFmtId="178" fontId="0" fillId="0" borderId="549" xfId="0" applyNumberFormat="1" applyBorder="1">
      <alignment vertical="center"/>
    </xf>
    <xf numFmtId="178" fontId="0" fillId="0" borderId="550" xfId="0" applyNumberFormat="1" applyBorder="1">
      <alignment vertical="center"/>
    </xf>
    <xf numFmtId="0" fontId="0" fillId="0" borderId="551" xfId="0" applyBorder="1">
      <alignment vertical="center"/>
    </xf>
    <xf numFmtId="0" fontId="0" fillId="0" borderId="552" xfId="0" applyBorder="1">
      <alignment vertical="center"/>
    </xf>
    <xf numFmtId="178" fontId="0" fillId="0" borderId="553" xfId="0" applyNumberFormat="1" applyBorder="1">
      <alignment vertical="center"/>
    </xf>
    <xf numFmtId="178" fontId="0" fillId="0" borderId="554" xfId="0" applyNumberFormat="1" applyBorder="1">
      <alignment vertical="center"/>
    </xf>
    <xf numFmtId="178" fontId="0" fillId="0" borderId="555" xfId="0" applyNumberFormat="1" applyBorder="1">
      <alignment vertical="center"/>
    </xf>
    <xf numFmtId="0" fontId="0" fillId="0" borderId="556" xfId="0" applyBorder="1">
      <alignment vertical="center"/>
    </xf>
    <xf numFmtId="0" fontId="0" fillId="0" borderId="557" xfId="0" applyBorder="1">
      <alignment vertical="center"/>
    </xf>
    <xf numFmtId="178" fontId="0" fillId="8" borderId="548" xfId="0" applyNumberFormat="1" applyFill="1" applyBorder="1">
      <alignment vertical="center"/>
    </xf>
    <xf numFmtId="178" fontId="0" fillId="8" borderId="549" xfId="0" applyNumberFormat="1" applyFill="1" applyBorder="1">
      <alignment vertical="center"/>
    </xf>
    <xf numFmtId="178" fontId="0" fillId="8" borderId="550" xfId="0" applyNumberFormat="1" applyFill="1" applyBorder="1">
      <alignment vertical="center"/>
    </xf>
    <xf numFmtId="0" fontId="0" fillId="8" borderId="551" xfId="0" applyFill="1" applyBorder="1">
      <alignment vertical="center"/>
    </xf>
    <xf numFmtId="178" fontId="0" fillId="0" borderId="558" xfId="0" applyNumberFormat="1" applyBorder="1">
      <alignment vertical="center"/>
    </xf>
    <xf numFmtId="178" fontId="0" fillId="0" borderId="559" xfId="0" applyNumberFormat="1" applyBorder="1">
      <alignment vertical="center"/>
    </xf>
    <xf numFmtId="178" fontId="0" fillId="0" borderId="560" xfId="0" applyNumberFormat="1" applyBorder="1">
      <alignment vertical="center"/>
    </xf>
    <xf numFmtId="0" fontId="0" fillId="0" borderId="561" xfId="0" applyBorder="1">
      <alignment vertical="center"/>
    </xf>
    <xf numFmtId="0" fontId="0" fillId="0" borderId="562" xfId="0" applyBorder="1">
      <alignment vertical="center"/>
    </xf>
    <xf numFmtId="178" fontId="0" fillId="0" borderId="563" xfId="0" applyNumberFormat="1" applyBorder="1">
      <alignment vertical="center"/>
    </xf>
    <xf numFmtId="178" fontId="0" fillId="0" borderId="564" xfId="0" applyNumberFormat="1" applyBorder="1">
      <alignment vertical="center"/>
    </xf>
    <xf numFmtId="178" fontId="0" fillId="0" borderId="565" xfId="0" applyNumberFormat="1" applyBorder="1">
      <alignment vertical="center"/>
    </xf>
    <xf numFmtId="0" fontId="0" fillId="0" borderId="566" xfId="0" applyBorder="1">
      <alignment vertical="center"/>
    </xf>
    <xf numFmtId="0" fontId="0" fillId="0" borderId="567" xfId="0" applyBorder="1">
      <alignment vertical="center"/>
    </xf>
    <xf numFmtId="0" fontId="55" fillId="0" borderId="568" xfId="0" applyFont="1" applyBorder="1" applyAlignment="1">
      <alignment horizontal="center" vertical="center"/>
    </xf>
    <xf numFmtId="0" fontId="55" fillId="0" borderId="569" xfId="0" applyFont="1" applyBorder="1" applyAlignment="1">
      <alignment horizontal="center" vertical="center"/>
    </xf>
    <xf numFmtId="0" fontId="55" fillId="0" borderId="570" xfId="0" applyFont="1" applyBorder="1" applyAlignment="1">
      <alignment horizontal="center" vertical="center"/>
    </xf>
    <xf numFmtId="0" fontId="0" fillId="0" borderId="58" xfId="0" applyBorder="1">
      <alignment vertical="center"/>
    </xf>
    <xf numFmtId="178" fontId="0" fillId="0" borderId="571" xfId="0" applyNumberFormat="1" applyBorder="1">
      <alignment vertical="center"/>
    </xf>
    <xf numFmtId="179" fontId="0" fillId="0" borderId="547" xfId="0" applyNumberFormat="1" applyBorder="1">
      <alignment vertical="center"/>
    </xf>
    <xf numFmtId="178" fontId="0" fillId="0" borderId="572" xfId="0" applyNumberFormat="1" applyBorder="1">
      <alignment vertical="center"/>
    </xf>
    <xf numFmtId="178" fontId="0" fillId="0" borderId="573" xfId="0" applyNumberFormat="1" applyBorder="1">
      <alignment vertical="center"/>
    </xf>
    <xf numFmtId="178" fontId="0" fillId="0" borderId="574" xfId="0" applyNumberFormat="1" applyBorder="1">
      <alignment vertical="center"/>
    </xf>
    <xf numFmtId="179" fontId="0" fillId="0" borderId="552" xfId="0" applyNumberFormat="1" applyBorder="1">
      <alignment vertical="center"/>
    </xf>
    <xf numFmtId="178" fontId="0" fillId="0" borderId="575" xfId="0" applyNumberFormat="1" applyBorder="1">
      <alignment vertical="center"/>
    </xf>
    <xf numFmtId="178" fontId="0" fillId="0" borderId="576" xfId="0" applyNumberFormat="1" applyBorder="1">
      <alignment vertical="center"/>
    </xf>
    <xf numFmtId="178" fontId="0" fillId="0" borderId="577" xfId="0" applyNumberFormat="1" applyBorder="1">
      <alignment vertical="center"/>
    </xf>
    <xf numFmtId="178" fontId="0" fillId="8" borderId="575" xfId="0" applyNumberFormat="1" applyFill="1" applyBorder="1">
      <alignment vertical="center"/>
    </xf>
    <xf numFmtId="178" fontId="0" fillId="8" borderId="577" xfId="0" applyNumberFormat="1" applyFill="1" applyBorder="1">
      <alignment vertical="center"/>
    </xf>
    <xf numFmtId="178" fontId="0" fillId="0" borderId="578" xfId="0" applyNumberFormat="1" applyBorder="1">
      <alignment vertical="center"/>
    </xf>
    <xf numFmtId="179" fontId="0" fillId="6" borderId="557" xfId="0" applyNumberFormat="1" applyFill="1" applyBorder="1">
      <alignment vertical="center"/>
    </xf>
    <xf numFmtId="178" fontId="0" fillId="0" borderId="579" xfId="0" applyNumberFormat="1" applyBorder="1">
      <alignment vertical="center"/>
    </xf>
    <xf numFmtId="178" fontId="0" fillId="0" borderId="580" xfId="0" applyNumberFormat="1" applyBorder="1">
      <alignment vertical="center"/>
    </xf>
    <xf numFmtId="0" fontId="0" fillId="0" borderId="571" xfId="0" applyBorder="1">
      <alignment vertical="center"/>
    </xf>
    <xf numFmtId="178" fontId="0" fillId="0" borderId="581" xfId="0" applyNumberFormat="1" applyBorder="1">
      <alignment vertical="center"/>
    </xf>
    <xf numFmtId="178" fontId="0" fillId="0" borderId="582" xfId="0" applyNumberFormat="1" applyBorder="1">
      <alignment vertical="center"/>
    </xf>
    <xf numFmtId="0" fontId="0" fillId="0" borderId="574" xfId="0" applyBorder="1">
      <alignment vertical="center"/>
    </xf>
    <xf numFmtId="0" fontId="0" fillId="0" borderId="583" xfId="0" applyBorder="1">
      <alignment vertical="center"/>
    </xf>
    <xf numFmtId="178" fontId="0" fillId="0" borderId="584" xfId="0" applyNumberFormat="1" applyBorder="1">
      <alignment vertical="center"/>
    </xf>
    <xf numFmtId="178" fontId="0" fillId="0" borderId="585" xfId="0" applyNumberFormat="1" applyBorder="1">
      <alignment vertical="center"/>
    </xf>
    <xf numFmtId="178" fontId="0" fillId="0" borderId="586" xfId="0" applyNumberFormat="1" applyBorder="1">
      <alignment vertical="center"/>
    </xf>
    <xf numFmtId="178" fontId="0" fillId="0" borderId="583" xfId="0" applyNumberFormat="1" applyBorder="1">
      <alignment vertical="center"/>
    </xf>
    <xf numFmtId="179" fontId="0" fillId="0" borderId="567" xfId="0" applyNumberFormat="1" applyBorder="1">
      <alignment vertical="center"/>
    </xf>
    <xf numFmtId="179" fontId="0" fillId="6" borderId="562" xfId="0" applyNumberFormat="1" applyFill="1" applyBorder="1">
      <alignment vertical="center"/>
    </xf>
    <xf numFmtId="179" fontId="0" fillId="0" borderId="567" xfId="0" applyNumberFormat="1" applyFill="1" applyBorder="1">
      <alignment vertical="center"/>
    </xf>
    <xf numFmtId="179" fontId="0" fillId="0" borderId="552" xfId="0" applyNumberFormat="1" applyFill="1" applyBorder="1">
      <alignment vertical="center"/>
    </xf>
    <xf numFmtId="0" fontId="55" fillId="0" borderId="587" xfId="0" applyFont="1" applyFill="1" applyBorder="1" applyAlignment="1">
      <alignment horizontal="center" vertical="center"/>
    </xf>
    <xf numFmtId="0" fontId="55" fillId="0" borderId="57" xfId="0" applyFont="1" applyFill="1" applyBorder="1" applyAlignment="1">
      <alignment horizontal="center" vertical="center"/>
    </xf>
    <xf numFmtId="0" fontId="0" fillId="0" borderId="588" xfId="0" applyBorder="1" applyAlignment="1">
      <alignment horizontal="center" vertical="center"/>
    </xf>
    <xf numFmtId="0" fontId="0" fillId="0" borderId="589" xfId="0" applyBorder="1" applyAlignment="1">
      <alignment horizontal="center" vertical="center"/>
    </xf>
    <xf numFmtId="0" fontId="55" fillId="0" borderId="19" xfId="0" applyFont="1" applyFill="1" applyBorder="1" applyAlignment="1">
      <alignment horizontal="center" vertical="center"/>
    </xf>
    <xf numFmtId="179" fontId="0" fillId="0" borderId="591" xfId="0" applyNumberFormat="1" applyFill="1" applyBorder="1">
      <alignment vertical="center"/>
    </xf>
    <xf numFmtId="179" fontId="0" fillId="0" borderId="592" xfId="0" applyNumberFormat="1" applyFill="1" applyBorder="1">
      <alignment vertical="center"/>
    </xf>
    <xf numFmtId="179" fontId="0" fillId="6" borderId="591" xfId="0" applyNumberFormat="1" applyFill="1" applyBorder="1">
      <alignment vertical="center"/>
    </xf>
    <xf numFmtId="179" fontId="0" fillId="0" borderId="590" xfId="0" applyNumberFormat="1" applyFill="1" applyBorder="1">
      <alignment vertical="center"/>
    </xf>
    <xf numFmtId="179" fontId="0" fillId="0" borderId="593" xfId="0" applyNumberFormat="1" applyFill="1" applyBorder="1">
      <alignment vertical="center"/>
    </xf>
    <xf numFmtId="179" fontId="0" fillId="0" borderId="594" xfId="0" applyNumberFormat="1" applyFill="1" applyBorder="1">
      <alignment vertical="center"/>
    </xf>
    <xf numFmtId="0" fontId="0" fillId="0" borderId="593" xfId="0" applyFill="1" applyBorder="1">
      <alignment vertical="center"/>
    </xf>
    <xf numFmtId="0" fontId="0" fillId="0" borderId="591" xfId="0" applyFill="1" applyBorder="1">
      <alignment vertical="center"/>
    </xf>
    <xf numFmtId="0" fontId="0" fillId="0" borderId="594" xfId="0" applyFill="1" applyBorder="1">
      <alignment vertical="center"/>
    </xf>
    <xf numFmtId="0" fontId="0" fillId="0" borderId="0" xfId="0" quotePrefix="1" applyAlignment="1">
      <alignment horizontal="center" vertical="center"/>
    </xf>
    <xf numFmtId="6" fontId="0" fillId="6" borderId="0" xfId="0" applyNumberFormat="1" applyFill="1">
      <alignment vertical="center"/>
    </xf>
    <xf numFmtId="0" fontId="0" fillId="7" borderId="503" xfId="0" applyFill="1" applyBorder="1" applyAlignment="1">
      <alignment horizontal="center" vertical="center"/>
    </xf>
    <xf numFmtId="0" fontId="39" fillId="7" borderId="503" xfId="3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8" fontId="39" fillId="0" borderId="476" xfId="3" applyNumberFormat="1" applyFont="1" applyBorder="1" applyAlignment="1">
      <alignment vertical="center"/>
    </xf>
    <xf numFmtId="178" fontId="39" fillId="8" borderId="477" xfId="3" applyNumberFormat="1" applyFont="1" applyFill="1" applyBorder="1" applyAlignment="1">
      <alignment vertical="center"/>
    </xf>
    <xf numFmtId="178" fontId="39" fillId="0" borderId="477" xfId="3" applyNumberFormat="1" applyFont="1" applyBorder="1" applyAlignment="1">
      <alignment vertical="center"/>
    </xf>
    <xf numFmtId="178" fontId="39" fillId="8" borderId="504" xfId="3" applyNumberFormat="1" applyFont="1" applyFill="1" applyBorder="1" applyAlignment="1">
      <alignment vertical="center"/>
    </xf>
    <xf numFmtId="0" fontId="39" fillId="7" borderId="602" xfId="3" applyFont="1" applyFill="1" applyBorder="1" applyAlignment="1">
      <alignment horizontal="center" vertical="center"/>
    </xf>
    <xf numFmtId="178" fontId="39" fillId="0" borderId="476" xfId="3" applyNumberFormat="1" applyFont="1" applyBorder="1">
      <alignment vertical="center"/>
    </xf>
    <xf numFmtId="178" fontId="39" fillId="8" borderId="477" xfId="3" applyNumberFormat="1" applyFont="1" applyFill="1" applyBorder="1">
      <alignment vertical="center"/>
    </xf>
    <xf numFmtId="178" fontId="39" fillId="0" borderId="477" xfId="3" applyNumberFormat="1" applyFont="1" applyBorder="1">
      <alignment vertical="center"/>
    </xf>
    <xf numFmtId="178" fontId="39" fillId="8" borderId="504" xfId="3" applyNumberFormat="1" applyFont="1" applyFill="1" applyBorder="1">
      <alignment vertical="center"/>
    </xf>
    <xf numFmtId="178" fontId="39" fillId="0" borderId="603" xfId="3" applyNumberFormat="1" applyFont="1" applyBorder="1" applyAlignment="1">
      <alignment vertical="center"/>
    </xf>
    <xf numFmtId="178" fontId="39" fillId="8" borderId="604" xfId="3" applyNumberFormat="1" applyFont="1" applyFill="1" applyBorder="1" applyAlignment="1">
      <alignment vertical="center"/>
    </xf>
    <xf numFmtId="178" fontId="39" fillId="0" borderId="604" xfId="3" applyNumberFormat="1" applyFont="1" applyBorder="1" applyAlignment="1">
      <alignment vertical="center"/>
    </xf>
    <xf numFmtId="178" fontId="39" fillId="8" borderId="605" xfId="3" applyNumberFormat="1" applyFont="1" applyFill="1" applyBorder="1" applyAlignment="1">
      <alignment vertical="center"/>
    </xf>
    <xf numFmtId="178" fontId="0" fillId="0" borderId="509" xfId="0" applyNumberFormat="1" applyBorder="1" applyAlignment="1">
      <alignment vertical="center"/>
    </xf>
    <xf numFmtId="178" fontId="0" fillId="8" borderId="477" xfId="0" applyNumberFormat="1" applyFill="1" applyBorder="1" applyAlignment="1">
      <alignment vertical="center"/>
    </xf>
    <xf numFmtId="178" fontId="0" fillId="0" borderId="477" xfId="0" applyNumberFormat="1" applyBorder="1" applyAlignment="1">
      <alignment vertical="center"/>
    </xf>
    <xf numFmtId="0" fontId="0" fillId="21" borderId="224" xfId="3" applyFont="1" applyFill="1" applyBorder="1" applyAlignment="1">
      <alignment horizontal="center" vertical="center"/>
    </xf>
    <xf numFmtId="0" fontId="0" fillId="21" borderId="224" xfId="3" applyFont="1" applyFill="1" applyBorder="1">
      <alignment vertical="center"/>
    </xf>
    <xf numFmtId="0" fontId="0" fillId="23" borderId="174" xfId="3" applyFont="1" applyFill="1" applyBorder="1" applyAlignment="1">
      <alignment horizontal="center" vertical="center"/>
    </xf>
    <xf numFmtId="0" fontId="39" fillId="23" borderId="174" xfId="3" applyFont="1" applyFill="1" applyBorder="1">
      <alignment vertical="center"/>
    </xf>
    <xf numFmtId="178" fontId="55" fillId="21" borderId="606" xfId="3" applyNumberFormat="1" applyFont="1" applyFill="1" applyBorder="1" applyAlignment="1" applyProtection="1">
      <alignment vertical="center" shrinkToFit="1"/>
      <protection hidden="1"/>
    </xf>
    <xf numFmtId="178" fontId="55" fillId="23" borderId="522" xfId="3" applyNumberFormat="1" applyFont="1" applyFill="1" applyBorder="1" applyAlignment="1" applyProtection="1">
      <alignment vertical="center" shrinkToFit="1"/>
      <protection hidden="1"/>
    </xf>
    <xf numFmtId="178" fontId="55" fillId="21" borderId="527" xfId="3" applyNumberFormat="1" applyFont="1" applyFill="1" applyBorder="1" applyAlignment="1" applyProtection="1">
      <alignment vertical="center" shrinkToFit="1"/>
      <protection hidden="1"/>
    </xf>
    <xf numFmtId="178" fontId="55" fillId="21" borderId="0" xfId="3" applyNumberFormat="1" applyFont="1" applyFill="1" applyBorder="1" applyAlignment="1" applyProtection="1">
      <alignment vertical="center" shrinkToFit="1"/>
      <protection hidden="1"/>
    </xf>
    <xf numFmtId="0" fontId="98" fillId="14" borderId="240" xfId="3" applyFont="1" applyFill="1" applyBorder="1" applyAlignment="1">
      <alignment horizontal="center" vertical="center" wrapText="1"/>
    </xf>
    <xf numFmtId="0" fontId="98" fillId="14" borderId="243" xfId="3" applyFont="1" applyFill="1" applyBorder="1" applyAlignment="1">
      <alignment horizontal="center" vertical="center" wrapText="1"/>
    </xf>
    <xf numFmtId="0" fontId="39" fillId="0" borderId="0" xfId="3" applyFont="1" applyAlignment="1">
      <alignment horizontal="right" vertical="center"/>
    </xf>
    <xf numFmtId="9" fontId="39" fillId="0" borderId="0" xfId="3" applyNumberFormat="1" applyFont="1" applyAlignment="1">
      <alignment horizontal="right" vertical="center"/>
    </xf>
    <xf numFmtId="176" fontId="39" fillId="0" borderId="0" xfId="3" applyNumberFormat="1" applyFont="1" applyAlignment="1">
      <alignment horizontal="right" vertical="center"/>
    </xf>
    <xf numFmtId="0" fontId="0" fillId="0" borderId="0" xfId="0" applyAlignment="1">
      <alignment horizontal="center" vertical="center"/>
    </xf>
    <xf numFmtId="178" fontId="0" fillId="0" borderId="74" xfId="0" applyNumberFormat="1" applyBorder="1">
      <alignment vertical="center"/>
    </xf>
    <xf numFmtId="178" fontId="0" fillId="0" borderId="54" xfId="0" applyNumberFormat="1" applyBorder="1">
      <alignment vertical="center"/>
    </xf>
    <xf numFmtId="178" fontId="0" fillId="0" borderId="101" xfId="0" applyNumberFormat="1" applyBorder="1">
      <alignment vertical="center"/>
    </xf>
    <xf numFmtId="178" fontId="0" fillId="0" borderId="75" xfId="0" applyNumberFormat="1" applyBorder="1">
      <alignment vertical="center"/>
    </xf>
    <xf numFmtId="178" fontId="0" fillId="4" borderId="177" xfId="0" applyNumberFormat="1" applyFill="1" applyBorder="1">
      <alignment vertical="center"/>
    </xf>
    <xf numFmtId="14" fontId="0" fillId="0" borderId="0" xfId="0" applyNumberFormat="1">
      <alignment vertical="center"/>
    </xf>
    <xf numFmtId="0" fontId="0" fillId="0" borderId="328" xfId="0" applyBorder="1">
      <alignment vertical="center"/>
    </xf>
    <xf numFmtId="178" fontId="67" fillId="0" borderId="607" xfId="0" applyNumberFormat="1" applyFont="1" applyBorder="1">
      <alignment vertical="center"/>
    </xf>
    <xf numFmtId="178" fontId="0" fillId="36" borderId="177" xfId="0" applyNumberFormat="1" applyFill="1" applyBorder="1">
      <alignment vertical="center"/>
    </xf>
    <xf numFmtId="0" fontId="0" fillId="36" borderId="177" xfId="0" applyFill="1" applyBorder="1" applyAlignment="1">
      <alignment horizontal="center" vertical="center"/>
    </xf>
    <xf numFmtId="185" fontId="0" fillId="36" borderId="177" xfId="0" applyNumberFormat="1" applyFill="1" applyBorder="1" applyAlignment="1">
      <alignment horizontal="center" vertical="center"/>
    </xf>
    <xf numFmtId="55" fontId="81" fillId="0" borderId="133" xfId="0" applyNumberFormat="1" applyFont="1" applyBorder="1" applyAlignment="1">
      <alignment vertical="center" shrinkToFit="1"/>
    </xf>
    <xf numFmtId="178" fontId="81" fillId="0" borderId="102" xfId="0" applyNumberFormat="1" applyFont="1" applyBorder="1" applyAlignment="1">
      <alignment vertical="center" shrinkToFit="1"/>
    </xf>
    <xf numFmtId="178" fontId="81" fillId="0" borderId="100" xfId="0" applyNumberFormat="1" applyFont="1" applyBorder="1" applyAlignment="1">
      <alignment vertical="center" shrinkToFit="1"/>
    </xf>
    <xf numFmtId="178" fontId="81" fillId="0" borderId="608" xfId="0" applyNumberFormat="1" applyFont="1" applyBorder="1" applyAlignment="1">
      <alignment vertical="center" shrinkToFit="1"/>
    </xf>
    <xf numFmtId="178" fontId="81" fillId="0" borderId="609" xfId="0" applyNumberFormat="1" applyFont="1" applyBorder="1" applyAlignment="1">
      <alignment vertical="center" shrinkToFit="1"/>
    </xf>
    <xf numFmtId="178" fontId="0" fillId="0" borderId="314" xfId="0" applyNumberFormat="1" applyFill="1" applyBorder="1">
      <alignment vertical="center"/>
    </xf>
    <xf numFmtId="185" fontId="0" fillId="10" borderId="177" xfId="0" applyNumberFormat="1" applyFill="1" applyBorder="1" applyAlignment="1">
      <alignment horizontal="center" vertical="center"/>
    </xf>
    <xf numFmtId="178" fontId="0" fillId="37" borderId="314" xfId="0" applyNumberFormat="1" applyFill="1" applyBorder="1">
      <alignment vertical="center"/>
    </xf>
    <xf numFmtId="178" fontId="55" fillId="21" borderId="521" xfId="3" applyNumberFormat="1" applyFont="1" applyFill="1" applyBorder="1" applyAlignment="1" applyProtection="1">
      <alignment vertical="center" shrinkToFit="1"/>
      <protection locked="0"/>
    </xf>
    <xf numFmtId="178" fontId="55" fillId="21" borderId="522" xfId="3" applyNumberFormat="1" applyFont="1" applyFill="1" applyBorder="1" applyAlignment="1" applyProtection="1">
      <alignment vertical="center" shrinkToFit="1"/>
      <protection locked="0"/>
    </xf>
    <xf numFmtId="178" fontId="55" fillId="0" borderId="532" xfId="3" applyNumberFormat="1" applyFont="1" applyFill="1" applyBorder="1" applyAlignment="1" applyProtection="1">
      <alignment vertical="center" shrinkToFit="1"/>
      <protection hidden="1"/>
    </xf>
    <xf numFmtId="178" fontId="55" fillId="0" borderId="530" xfId="3" applyNumberFormat="1" applyFont="1" applyFill="1" applyBorder="1" applyAlignment="1" applyProtection="1">
      <alignment vertical="center" shrinkToFit="1"/>
      <protection hidden="1"/>
    </xf>
    <xf numFmtId="178" fontId="55" fillId="0" borderId="529" xfId="3" applyNumberFormat="1" applyFont="1" applyFill="1" applyBorder="1" applyAlignment="1" applyProtection="1">
      <alignment vertical="center" shrinkToFit="1"/>
      <protection hidden="1"/>
    </xf>
    <xf numFmtId="178" fontId="55" fillId="23" borderId="337" xfId="3" applyNumberFormat="1" applyFont="1" applyFill="1" applyBorder="1" applyAlignment="1" applyProtection="1">
      <alignment vertical="center" shrinkToFit="1"/>
      <protection hidden="1"/>
    </xf>
    <xf numFmtId="178" fontId="55" fillId="23" borderId="241" xfId="3" applyNumberFormat="1" applyFont="1" applyFill="1" applyBorder="1" applyAlignment="1" applyProtection="1">
      <alignment vertical="center" shrinkToFit="1"/>
      <protection hidden="1"/>
    </xf>
    <xf numFmtId="178" fontId="55" fillId="23" borderId="242" xfId="3" applyNumberFormat="1" applyFont="1" applyFill="1" applyBorder="1" applyAlignment="1" applyProtection="1">
      <alignment vertical="center" shrinkToFit="1"/>
      <protection hidden="1"/>
    </xf>
    <xf numFmtId="178" fontId="55" fillId="23" borderId="238" xfId="3" applyNumberFormat="1" applyFont="1" applyFill="1" applyBorder="1" applyAlignment="1" applyProtection="1">
      <alignment vertical="center" shrinkToFit="1"/>
      <protection hidden="1"/>
    </xf>
    <xf numFmtId="178" fontId="55" fillId="23" borderId="239" xfId="3" applyNumberFormat="1" applyFont="1" applyFill="1" applyBorder="1" applyAlignment="1" applyProtection="1">
      <alignment vertical="center" shrinkToFit="1"/>
      <protection hidden="1"/>
    </xf>
    <xf numFmtId="178" fontId="55" fillId="23" borderId="518" xfId="3" applyNumberFormat="1" applyFont="1" applyFill="1" applyBorder="1" applyAlignment="1" applyProtection="1">
      <alignment vertical="center" shrinkToFit="1"/>
      <protection hidden="1"/>
    </xf>
    <xf numFmtId="178" fontId="55" fillId="21" borderId="250" xfId="3" applyNumberFormat="1" applyFont="1" applyFill="1" applyBorder="1" applyAlignment="1" applyProtection="1">
      <alignment vertical="center" shrinkToFit="1"/>
      <protection locked="0"/>
    </xf>
    <xf numFmtId="178" fontId="55" fillId="21" borderId="251" xfId="3" applyNumberFormat="1" applyFont="1" applyFill="1" applyBorder="1" applyAlignment="1" applyProtection="1">
      <alignment vertical="center" shrinkToFit="1"/>
      <protection locked="0"/>
    </xf>
    <xf numFmtId="178" fontId="55" fillId="21" borderId="252" xfId="3" applyNumberFormat="1" applyFont="1" applyFill="1" applyBorder="1" applyAlignment="1" applyProtection="1">
      <alignment vertical="center" shrinkToFit="1"/>
      <protection locked="0"/>
    </xf>
    <xf numFmtId="178" fontId="55" fillId="23" borderId="269" xfId="3" applyNumberFormat="1" applyFont="1" applyFill="1" applyBorder="1" applyAlignment="1" applyProtection="1">
      <alignment vertical="center" shrinkToFit="1"/>
      <protection hidden="1"/>
    </xf>
    <xf numFmtId="178" fontId="55" fillId="23" borderId="270" xfId="3" applyNumberFormat="1" applyFont="1" applyFill="1" applyBorder="1" applyAlignment="1" applyProtection="1">
      <alignment vertical="center" shrinkToFit="1"/>
      <protection hidden="1"/>
    </xf>
    <xf numFmtId="178" fontId="55" fillId="23" borderId="271" xfId="3" applyNumberFormat="1" applyFont="1" applyFill="1" applyBorder="1" applyAlignment="1" applyProtection="1">
      <alignment vertical="center" shrinkToFit="1"/>
      <protection hidden="1"/>
    </xf>
    <xf numFmtId="178" fontId="55" fillId="23" borderId="273" xfId="3" applyNumberFormat="1" applyFont="1" applyFill="1" applyBorder="1" applyAlignment="1" applyProtection="1">
      <alignment vertical="center" shrinkToFit="1"/>
      <protection hidden="1"/>
    </xf>
    <xf numFmtId="178" fontId="55" fillId="23" borderId="274" xfId="3" applyNumberFormat="1" applyFont="1" applyFill="1" applyBorder="1" applyAlignment="1" applyProtection="1">
      <alignment vertical="center" shrinkToFit="1"/>
      <protection hidden="1"/>
    </xf>
    <xf numFmtId="178" fontId="55" fillId="23" borderId="275" xfId="3" applyNumberFormat="1" applyFont="1" applyFill="1" applyBorder="1" applyAlignment="1" applyProtection="1">
      <alignment vertical="center" shrinkToFit="1"/>
      <protection hidden="1"/>
    </xf>
    <xf numFmtId="178" fontId="55" fillId="23" borderId="515" xfId="3" applyNumberFormat="1" applyFont="1" applyFill="1" applyBorder="1" applyAlignment="1" applyProtection="1">
      <alignment vertical="center" shrinkToFit="1"/>
      <protection hidden="1"/>
    </xf>
    <xf numFmtId="178" fontId="55" fillId="23" borderId="499" xfId="3" applyNumberFormat="1" applyFont="1" applyFill="1" applyBorder="1" applyAlignment="1" applyProtection="1">
      <alignment vertical="center" shrinkToFit="1"/>
      <protection hidden="1"/>
    </xf>
    <xf numFmtId="178" fontId="55" fillId="23" borderId="278" xfId="3" applyNumberFormat="1" applyFont="1" applyFill="1" applyBorder="1" applyAlignment="1" applyProtection="1">
      <alignment vertical="center" shrinkToFit="1"/>
      <protection hidden="1"/>
    </xf>
    <xf numFmtId="178" fontId="55" fillId="23" borderId="279" xfId="3" applyNumberFormat="1" applyFont="1" applyFill="1" applyBorder="1" applyAlignment="1" applyProtection="1">
      <alignment vertical="center" shrinkToFit="1"/>
      <protection hidden="1"/>
    </xf>
    <xf numFmtId="178" fontId="55" fillId="23" borderId="280" xfId="3" applyNumberFormat="1" applyFont="1" applyFill="1" applyBorder="1" applyAlignment="1" applyProtection="1">
      <alignment vertical="center" shrinkToFit="1"/>
      <protection hidden="1"/>
    </xf>
    <xf numFmtId="178" fontId="55" fillId="23" borderId="516" xfId="3" applyNumberFormat="1" applyFont="1" applyFill="1" applyBorder="1" applyAlignment="1" applyProtection="1">
      <alignment vertical="center" shrinkToFit="1"/>
      <protection hidden="1"/>
    </xf>
    <xf numFmtId="178" fontId="55" fillId="23" borderId="281" xfId="3" applyNumberFormat="1" applyFont="1" applyFill="1" applyBorder="1" applyAlignment="1" applyProtection="1">
      <alignment vertical="center" shrinkToFit="1"/>
      <protection hidden="1"/>
    </xf>
    <xf numFmtId="178" fontId="55" fillId="23" borderId="265" xfId="3" applyNumberFormat="1" applyFont="1" applyFill="1" applyBorder="1" applyAlignment="1" applyProtection="1">
      <alignment vertical="center" shrinkToFit="1"/>
      <protection hidden="1"/>
    </xf>
    <xf numFmtId="0" fontId="39" fillId="21" borderId="268" xfId="3" applyFont="1" applyFill="1" applyBorder="1">
      <alignment vertical="center"/>
    </xf>
    <xf numFmtId="0" fontId="39" fillId="21" borderId="272" xfId="3" applyFont="1" applyFill="1" applyBorder="1">
      <alignment vertical="center"/>
    </xf>
    <xf numFmtId="178" fontId="55" fillId="0" borderId="273" xfId="3" applyNumberFormat="1" applyFont="1" applyFill="1" applyBorder="1" applyAlignment="1" applyProtection="1">
      <alignment vertical="center" shrinkToFit="1"/>
      <protection locked="0"/>
    </xf>
    <xf numFmtId="178" fontId="55" fillId="0" borderId="274" xfId="3" applyNumberFormat="1" applyFont="1" applyFill="1" applyBorder="1" applyAlignment="1" applyProtection="1">
      <alignment vertical="center" shrinkToFit="1"/>
      <protection locked="0"/>
    </xf>
    <xf numFmtId="178" fontId="55" fillId="0" borderId="275" xfId="3" applyNumberFormat="1" applyFont="1" applyFill="1" applyBorder="1" applyAlignment="1" applyProtection="1">
      <alignment vertical="center" shrinkToFit="1"/>
      <protection locked="0"/>
    </xf>
    <xf numFmtId="178" fontId="55" fillId="21" borderId="533" xfId="3" applyNumberFormat="1" applyFont="1" applyFill="1" applyBorder="1" applyAlignment="1" applyProtection="1">
      <alignment vertical="center" shrinkToFit="1"/>
      <protection hidden="1"/>
    </xf>
    <xf numFmtId="178" fontId="55" fillId="21" borderId="515" xfId="3" applyNumberFormat="1" applyFont="1" applyFill="1" applyBorder="1" applyAlignment="1" applyProtection="1">
      <alignment vertical="center" shrinkToFit="1"/>
      <protection hidden="1"/>
    </xf>
    <xf numFmtId="178" fontId="55" fillId="21" borderId="499" xfId="3" applyNumberFormat="1" applyFont="1" applyFill="1" applyBorder="1" applyAlignment="1" applyProtection="1">
      <alignment vertical="center" shrinkToFit="1"/>
      <protection hidden="1"/>
    </xf>
    <xf numFmtId="0" fontId="39" fillId="21" borderId="277" xfId="3" applyFont="1" applyFill="1" applyBorder="1">
      <alignment vertical="center"/>
    </xf>
    <xf numFmtId="178" fontId="55" fillId="0" borderId="278" xfId="3" applyNumberFormat="1" applyFont="1" applyFill="1" applyBorder="1" applyAlignment="1" applyProtection="1">
      <alignment vertical="center" shrinkToFit="1"/>
      <protection locked="0"/>
    </xf>
    <xf numFmtId="178" fontId="55" fillId="0" borderId="279" xfId="3" applyNumberFormat="1" applyFont="1" applyFill="1" applyBorder="1" applyAlignment="1" applyProtection="1">
      <alignment vertical="center" shrinkToFit="1"/>
      <protection locked="0"/>
    </xf>
    <xf numFmtId="178" fontId="55" fillId="0" borderId="280" xfId="3" applyNumberFormat="1" applyFont="1" applyFill="1" applyBorder="1" applyAlignment="1" applyProtection="1">
      <alignment vertical="center" shrinkToFit="1"/>
      <protection locked="0"/>
    </xf>
    <xf numFmtId="178" fontId="55" fillId="21" borderId="534" xfId="3" applyNumberFormat="1" applyFont="1" applyFill="1" applyBorder="1" applyAlignment="1" applyProtection="1">
      <alignment vertical="center" shrinkToFit="1"/>
      <protection hidden="1"/>
    </xf>
    <xf numFmtId="178" fontId="55" fillId="21" borderId="516" xfId="3" applyNumberFormat="1" applyFont="1" applyFill="1" applyBorder="1" applyAlignment="1" applyProtection="1">
      <alignment vertical="center" shrinkToFit="1"/>
      <protection hidden="1"/>
    </xf>
    <xf numFmtId="178" fontId="55" fillId="21" borderId="614" xfId="3" applyNumberFormat="1" applyFont="1" applyFill="1" applyBorder="1" applyAlignment="1" applyProtection="1">
      <alignment vertical="center" shrinkToFit="1"/>
      <protection hidden="1"/>
    </xf>
    <xf numFmtId="200" fontId="55" fillId="22" borderId="247" xfId="3" applyNumberFormat="1" applyFont="1" applyFill="1" applyBorder="1" applyAlignment="1">
      <alignment vertical="center" shrinkToFit="1"/>
    </xf>
    <xf numFmtId="200" fontId="55" fillId="22" borderId="253" xfId="3" applyNumberFormat="1" applyFont="1" applyFill="1" applyBorder="1" applyAlignment="1">
      <alignment vertical="center" shrinkToFit="1"/>
    </xf>
    <xf numFmtId="200" fontId="55" fillId="22" borderId="258" xfId="3" applyNumberFormat="1" applyFont="1" applyFill="1" applyBorder="1" applyAlignment="1">
      <alignment vertical="center" shrinkToFit="1"/>
    </xf>
    <xf numFmtId="200" fontId="55" fillId="23" borderId="260" xfId="3" applyNumberFormat="1" applyFont="1" applyFill="1" applyBorder="1" applyAlignment="1" applyProtection="1">
      <alignment vertical="center" shrinkToFit="1"/>
      <protection hidden="1"/>
    </xf>
    <xf numFmtId="200" fontId="55" fillId="23" borderId="262" xfId="3" applyNumberFormat="1" applyFont="1" applyFill="1" applyBorder="1" applyAlignment="1" applyProtection="1">
      <alignment vertical="center" shrinkToFit="1"/>
      <protection hidden="1"/>
    </xf>
    <xf numFmtId="200" fontId="55" fillId="23" borderId="265" xfId="3" applyNumberFormat="1" applyFont="1" applyFill="1" applyBorder="1" applyAlignment="1" applyProtection="1">
      <alignment vertical="center" shrinkToFit="1"/>
      <protection hidden="1"/>
    </xf>
    <xf numFmtId="200" fontId="55" fillId="23" borderId="337" xfId="3" applyNumberFormat="1" applyFont="1" applyFill="1" applyBorder="1" applyAlignment="1" applyProtection="1">
      <alignment vertical="center" shrinkToFit="1"/>
      <protection hidden="1"/>
    </xf>
    <xf numFmtId="200" fontId="55" fillId="22" borderId="335" xfId="3" applyNumberFormat="1" applyFont="1" applyFill="1" applyBorder="1" applyAlignment="1">
      <alignment vertical="center" shrinkToFit="1"/>
    </xf>
    <xf numFmtId="200" fontId="55" fillId="22" borderId="611" xfId="3" applyNumberFormat="1" applyFont="1" applyFill="1" applyBorder="1" applyAlignment="1">
      <alignment vertical="center" shrinkToFit="1"/>
    </xf>
    <xf numFmtId="200" fontId="55" fillId="22" borderId="613" xfId="3" applyNumberFormat="1" applyFont="1" applyFill="1" applyBorder="1" applyAlignment="1">
      <alignment vertical="center" shrinkToFit="1"/>
    </xf>
    <xf numFmtId="200" fontId="55" fillId="23" borderId="278" xfId="3" applyNumberFormat="1" applyFont="1" applyFill="1" applyBorder="1" applyAlignment="1" applyProtection="1">
      <alignment vertical="center" shrinkToFit="1"/>
      <protection hidden="1"/>
    </xf>
    <xf numFmtId="200" fontId="55" fillId="23" borderId="610" xfId="3" applyNumberFormat="1" applyFont="1" applyFill="1" applyBorder="1" applyAlignment="1" applyProtection="1">
      <alignment vertical="center" shrinkToFit="1"/>
      <protection hidden="1"/>
    </xf>
    <xf numFmtId="200" fontId="55" fillId="23" borderId="281" xfId="3" applyNumberFormat="1" applyFont="1" applyFill="1" applyBorder="1" applyAlignment="1" applyProtection="1">
      <alignment vertical="center" shrinkToFit="1"/>
      <protection hidden="1"/>
    </xf>
    <xf numFmtId="200" fontId="55" fillId="23" borderId="301" xfId="3" applyNumberFormat="1" applyFont="1" applyFill="1" applyBorder="1" applyAlignment="1" applyProtection="1">
      <alignment vertical="center" shrinkToFit="1"/>
      <protection hidden="1"/>
    </xf>
    <xf numFmtId="200" fontId="55" fillId="22" borderId="248" xfId="3" applyNumberFormat="1" applyFont="1" applyFill="1" applyBorder="1" applyAlignment="1">
      <alignment vertical="center" shrinkToFit="1"/>
    </xf>
    <xf numFmtId="200" fontId="55" fillId="22" borderId="254" xfId="3" applyNumberFormat="1" applyFont="1" applyFill="1" applyBorder="1" applyAlignment="1">
      <alignment vertical="center" shrinkToFit="1"/>
    </xf>
    <xf numFmtId="200" fontId="55" fillId="22" borderId="294" xfId="3" applyNumberFormat="1" applyFont="1" applyFill="1" applyBorder="1" applyAlignment="1">
      <alignment vertical="center" shrinkToFit="1"/>
    </xf>
    <xf numFmtId="200" fontId="55" fillId="22" borderId="259" xfId="3" applyNumberFormat="1" applyFont="1" applyFill="1" applyBorder="1" applyAlignment="1">
      <alignment vertical="center" shrinkToFit="1"/>
    </xf>
    <xf numFmtId="200" fontId="55" fillId="23" borderId="261" xfId="3" applyNumberFormat="1" applyFont="1" applyFill="1" applyBorder="1" applyAlignment="1" applyProtection="1">
      <alignment vertical="center" shrinkToFit="1"/>
      <protection hidden="1"/>
    </xf>
    <xf numFmtId="200" fontId="55" fillId="23" borderId="263" xfId="3" applyNumberFormat="1" applyFont="1" applyFill="1" applyBorder="1" applyAlignment="1" applyProtection="1">
      <alignment vertical="center" shrinkToFit="1"/>
      <protection hidden="1"/>
    </xf>
    <xf numFmtId="200" fontId="55" fillId="23" borderId="266" xfId="3" applyNumberFormat="1" applyFont="1" applyFill="1" applyBorder="1" applyAlignment="1" applyProtection="1">
      <alignment vertical="center" shrinkToFit="1"/>
      <protection hidden="1"/>
    </xf>
    <xf numFmtId="200" fontId="55" fillId="22" borderId="267" xfId="3" applyNumberFormat="1" applyFont="1" applyFill="1" applyBorder="1" applyAlignment="1">
      <alignment vertical="center" shrinkToFit="1"/>
    </xf>
    <xf numFmtId="200" fontId="55" fillId="23" borderId="243" xfId="3" applyNumberFormat="1" applyFont="1" applyFill="1" applyBorder="1" applyAlignment="1" applyProtection="1">
      <alignment vertical="center" shrinkToFit="1"/>
      <protection hidden="1"/>
    </xf>
    <xf numFmtId="200" fontId="55" fillId="22" borderId="336" xfId="3" applyNumberFormat="1" applyFont="1" applyFill="1" applyBorder="1" applyAlignment="1">
      <alignment vertical="center" shrinkToFit="1"/>
    </xf>
    <xf numFmtId="200" fontId="55" fillId="22" borderId="612" xfId="3" applyNumberFormat="1" applyFont="1" applyFill="1" applyBorder="1" applyAlignment="1">
      <alignment vertical="center" shrinkToFit="1"/>
    </xf>
    <xf numFmtId="200" fontId="55" fillId="22" borderId="615" xfId="3" applyNumberFormat="1" applyFont="1" applyFill="1" applyBorder="1" applyAlignment="1">
      <alignment vertical="center" shrinkToFit="1"/>
    </xf>
    <xf numFmtId="200" fontId="55" fillId="23" borderId="276" xfId="3" applyNumberFormat="1" applyFont="1" applyFill="1" applyBorder="1" applyAlignment="1" applyProtection="1">
      <alignment vertical="center" shrinkToFit="1"/>
      <protection hidden="1"/>
    </xf>
    <xf numFmtId="200" fontId="55" fillId="23" borderId="282" xfId="3" applyNumberFormat="1" applyFont="1" applyFill="1" applyBorder="1" applyAlignment="1" applyProtection="1">
      <alignment vertical="center" shrinkToFit="1"/>
      <protection hidden="1"/>
    </xf>
    <xf numFmtId="200" fontId="55" fillId="23" borderId="302" xfId="3" applyNumberFormat="1" applyFont="1" applyFill="1" applyBorder="1" applyAlignment="1" applyProtection="1">
      <alignment vertical="center" shrinkToFit="1"/>
      <protection hidden="1"/>
    </xf>
    <xf numFmtId="180" fontId="55" fillId="8" borderId="522" xfId="3" applyNumberFormat="1" applyFont="1" applyFill="1" applyBorder="1" applyProtection="1">
      <alignment vertical="center"/>
      <protection hidden="1"/>
    </xf>
    <xf numFmtId="0" fontId="55" fillId="23" borderId="616" xfId="3" applyNumberFormat="1" applyFont="1" applyFill="1" applyBorder="1" applyAlignment="1" applyProtection="1">
      <alignment horizontal="center" vertical="center"/>
      <protection hidden="1"/>
    </xf>
    <xf numFmtId="0" fontId="55" fillId="23" borderId="533" xfId="3" applyNumberFormat="1" applyFont="1" applyFill="1" applyBorder="1" applyAlignment="1" applyProtection="1">
      <alignment horizontal="center" vertical="center"/>
      <protection hidden="1"/>
    </xf>
    <xf numFmtId="0" fontId="55" fillId="23" borderId="534" xfId="3" applyNumberFormat="1" applyFont="1" applyFill="1" applyBorder="1" applyAlignment="1" applyProtection="1">
      <alignment horizontal="center" vertical="center"/>
      <protection hidden="1"/>
    </xf>
    <xf numFmtId="0" fontId="55" fillId="23" borderId="523" xfId="3" applyNumberFormat="1" applyFont="1" applyFill="1" applyBorder="1" applyAlignment="1" applyProtection="1">
      <alignment horizontal="center" vertical="center"/>
      <protection hidden="1"/>
    </xf>
    <xf numFmtId="0" fontId="55" fillId="23" borderId="617" xfId="3" applyNumberFormat="1" applyFont="1" applyFill="1" applyBorder="1" applyAlignment="1" applyProtection="1">
      <alignment horizontal="center" vertical="center"/>
      <protection hidden="1"/>
    </xf>
    <xf numFmtId="0" fontId="55" fillId="23" borderId="497" xfId="3" applyNumberFormat="1" applyFont="1" applyFill="1" applyBorder="1" applyAlignment="1" applyProtection="1">
      <alignment horizontal="center" vertical="center"/>
      <protection hidden="1"/>
    </xf>
    <xf numFmtId="0" fontId="55" fillId="23" borderId="500" xfId="3" applyNumberFormat="1" applyFont="1" applyFill="1" applyBorder="1" applyAlignment="1" applyProtection="1">
      <alignment horizontal="center" vertical="center"/>
      <protection hidden="1"/>
    </xf>
    <xf numFmtId="180" fontId="55" fillId="21" borderId="498" xfId="3" applyNumberFormat="1" applyFont="1" applyFill="1" applyBorder="1" applyProtection="1">
      <alignment vertical="center"/>
      <protection hidden="1"/>
    </xf>
    <xf numFmtId="180" fontId="55" fillId="21" borderId="497" xfId="3" applyNumberFormat="1" applyFont="1" applyFill="1" applyBorder="1" applyProtection="1">
      <alignment vertical="center"/>
      <protection hidden="1"/>
    </xf>
    <xf numFmtId="180" fontId="55" fillId="21" borderId="295" xfId="3" applyNumberFormat="1" applyFont="1" applyFill="1" applyBorder="1" applyProtection="1">
      <alignment vertical="center"/>
      <protection hidden="1"/>
    </xf>
    <xf numFmtId="180" fontId="55" fillId="21" borderId="519" xfId="3" applyNumberFormat="1" applyFont="1" applyFill="1" applyBorder="1" applyProtection="1">
      <alignment vertical="center"/>
      <protection hidden="1"/>
    </xf>
    <xf numFmtId="180" fontId="55" fillId="8" borderId="497" xfId="3" applyNumberFormat="1" applyFont="1" applyFill="1" applyBorder="1" applyProtection="1">
      <alignment vertical="center"/>
      <protection hidden="1"/>
    </xf>
    <xf numFmtId="0" fontId="55" fillId="23" borderId="519" xfId="3" applyNumberFormat="1" applyFont="1" applyFill="1" applyBorder="1" applyAlignment="1" applyProtection="1">
      <alignment horizontal="center" vertical="center"/>
      <protection hidden="1"/>
    </xf>
    <xf numFmtId="0" fontId="55" fillId="23" borderId="499" xfId="3" applyNumberFormat="1" applyFont="1" applyFill="1" applyBorder="1" applyAlignment="1" applyProtection="1">
      <alignment horizontal="center" vertical="center"/>
      <protection hidden="1"/>
    </xf>
    <xf numFmtId="0" fontId="55" fillId="23" borderId="614" xfId="3" applyNumberFormat="1" applyFont="1" applyFill="1" applyBorder="1" applyAlignment="1" applyProtection="1">
      <alignment horizontal="center" vertical="center"/>
      <protection hidden="1"/>
    </xf>
    <xf numFmtId="0" fontId="55" fillId="23" borderId="618" xfId="3" applyNumberFormat="1" applyFont="1" applyFill="1" applyBorder="1" applyAlignment="1" applyProtection="1">
      <alignment horizontal="center" vertical="center"/>
      <protection hidden="1"/>
    </xf>
    <xf numFmtId="0" fontId="55" fillId="23" borderId="518" xfId="3" applyNumberFormat="1" applyFont="1" applyFill="1" applyBorder="1" applyAlignment="1" applyProtection="1">
      <alignment horizontal="center" vertical="center"/>
      <protection hidden="1"/>
    </xf>
    <xf numFmtId="180" fontId="55" fillId="21" borderId="521" xfId="3" applyNumberFormat="1" applyFont="1" applyFill="1" applyBorder="1" applyProtection="1">
      <alignment vertical="center"/>
      <protection hidden="1"/>
    </xf>
    <xf numFmtId="180" fontId="55" fillId="21" borderId="522" xfId="3" applyNumberFormat="1" applyFont="1" applyFill="1" applyBorder="1" applyProtection="1">
      <alignment vertical="center"/>
      <protection hidden="1"/>
    </xf>
    <xf numFmtId="180" fontId="55" fillId="21" borderId="523" xfId="3" applyNumberFormat="1" applyFont="1" applyFill="1" applyBorder="1" applyProtection="1">
      <alignment vertical="center"/>
      <protection hidden="1"/>
    </xf>
    <xf numFmtId="180" fontId="55" fillId="21" borderId="524" xfId="3" applyNumberFormat="1" applyFont="1" applyFill="1" applyBorder="1" applyProtection="1">
      <alignment vertical="center"/>
      <protection hidden="1"/>
    </xf>
    <xf numFmtId="0" fontId="39" fillId="14" borderId="518" xfId="3" applyFont="1" applyFill="1" applyBorder="1" applyAlignment="1">
      <alignment horizontal="center" vertical="center"/>
    </xf>
    <xf numFmtId="178" fontId="55" fillId="21" borderId="498" xfId="3" applyNumberFormat="1" applyFont="1" applyFill="1" applyBorder="1" applyAlignment="1" applyProtection="1">
      <alignment vertical="center" shrinkToFit="1"/>
      <protection locked="0"/>
    </xf>
    <xf numFmtId="178" fontId="55" fillId="21" borderId="497" xfId="3" applyNumberFormat="1" applyFont="1" applyFill="1" applyBorder="1" applyAlignment="1" applyProtection="1">
      <alignment vertical="center" shrinkToFit="1"/>
      <protection locked="0"/>
    </xf>
    <xf numFmtId="0" fontId="55" fillId="23" borderId="295" xfId="3" applyNumberFormat="1" applyFont="1" applyFill="1" applyBorder="1" applyAlignment="1" applyProtection="1">
      <alignment horizontal="center" vertical="center"/>
      <protection hidden="1"/>
    </xf>
    <xf numFmtId="0" fontId="39" fillId="14" borderId="243" xfId="3" applyFont="1" applyFill="1" applyBorder="1" applyAlignment="1">
      <alignment horizontal="center" vertical="center"/>
    </xf>
    <xf numFmtId="178" fontId="55" fillId="21" borderId="261" xfId="3" applyNumberFormat="1" applyFont="1" applyFill="1" applyBorder="1" applyAlignment="1" applyProtection="1">
      <alignment vertical="center" shrinkToFit="1"/>
      <protection hidden="1"/>
    </xf>
    <xf numFmtId="178" fontId="55" fillId="21" borderId="263" xfId="3" applyNumberFormat="1" applyFont="1" applyFill="1" applyBorder="1" applyAlignment="1" applyProtection="1">
      <alignment vertical="center" shrinkToFit="1"/>
      <protection hidden="1"/>
    </xf>
    <xf numFmtId="178" fontId="55" fillId="21" borderId="266" xfId="3" applyNumberFormat="1" applyFont="1" applyFill="1" applyBorder="1" applyAlignment="1" applyProtection="1">
      <alignment vertical="center" shrinkToFit="1"/>
      <protection hidden="1"/>
    </xf>
    <xf numFmtId="178" fontId="55" fillId="23" borderId="261" xfId="3" applyNumberFormat="1" applyFont="1" applyFill="1" applyBorder="1" applyAlignment="1" applyProtection="1">
      <alignment vertical="center" shrinkToFit="1"/>
      <protection hidden="1"/>
    </xf>
    <xf numFmtId="178" fontId="55" fillId="23" borderId="263" xfId="3" applyNumberFormat="1" applyFont="1" applyFill="1" applyBorder="1" applyAlignment="1" applyProtection="1">
      <alignment vertical="center" shrinkToFit="1"/>
      <protection hidden="1"/>
    </xf>
    <xf numFmtId="178" fontId="55" fillId="23" borderId="266" xfId="3" applyNumberFormat="1" applyFont="1" applyFill="1" applyBorder="1" applyAlignment="1" applyProtection="1">
      <alignment vertical="center" shrinkToFit="1"/>
      <protection hidden="1"/>
    </xf>
    <xf numFmtId="178" fontId="55" fillId="21" borderId="528" xfId="3" applyNumberFormat="1" applyFont="1" applyFill="1" applyBorder="1" applyAlignment="1" applyProtection="1">
      <alignment vertical="center" shrinkToFit="1"/>
      <protection hidden="1"/>
    </xf>
    <xf numFmtId="178" fontId="55" fillId="23" borderId="243" xfId="3" applyNumberFormat="1" applyFont="1" applyFill="1" applyBorder="1" applyAlignment="1" applyProtection="1">
      <alignment vertical="center" shrinkToFit="1"/>
      <protection hidden="1"/>
    </xf>
    <xf numFmtId="178" fontId="55" fillId="21" borderId="619" xfId="3" applyNumberFormat="1" applyFont="1" applyFill="1" applyBorder="1" applyAlignment="1" applyProtection="1">
      <alignment vertical="center" shrinkToFit="1"/>
      <protection hidden="1"/>
    </xf>
    <xf numFmtId="178" fontId="55" fillId="21" borderId="276" xfId="3" applyNumberFormat="1" applyFont="1" applyFill="1" applyBorder="1" applyAlignment="1" applyProtection="1">
      <alignment vertical="center" shrinkToFit="1"/>
      <protection hidden="1"/>
    </xf>
    <xf numFmtId="178" fontId="55" fillId="21" borderId="282" xfId="3" applyNumberFormat="1" applyFont="1" applyFill="1" applyBorder="1" applyAlignment="1" applyProtection="1">
      <alignment vertical="center" shrinkToFit="1"/>
      <protection hidden="1"/>
    </xf>
    <xf numFmtId="178" fontId="55" fillId="23" borderId="276" xfId="3" applyNumberFormat="1" applyFont="1" applyFill="1" applyBorder="1" applyAlignment="1" applyProtection="1">
      <alignment vertical="center" shrinkToFit="1"/>
      <protection hidden="1"/>
    </xf>
    <xf numFmtId="178" fontId="55" fillId="23" borderId="282" xfId="3" applyNumberFormat="1" applyFont="1" applyFill="1" applyBorder="1" applyAlignment="1" applyProtection="1">
      <alignment vertical="center" shrinkToFit="1"/>
      <protection hidden="1"/>
    </xf>
    <xf numFmtId="178" fontId="55" fillId="23" borderId="302" xfId="3" applyNumberFormat="1" applyFont="1" applyFill="1" applyBorder="1" applyAlignment="1" applyProtection="1">
      <alignment vertical="center" shrinkToFit="1"/>
      <protection hidden="1"/>
    </xf>
    <xf numFmtId="0" fontId="0" fillId="0" borderId="137" xfId="0" applyBorder="1" applyAlignment="1">
      <alignment horizontal="center" vertical="center"/>
    </xf>
    <xf numFmtId="178" fontId="0" fillId="8" borderId="504" xfId="0" applyNumberFormat="1" applyFill="1" applyBorder="1">
      <alignment vertical="center"/>
    </xf>
    <xf numFmtId="0" fontId="0" fillId="0" borderId="113" xfId="0" applyBorder="1" applyAlignment="1">
      <alignment horizontal="center" vertical="center"/>
    </xf>
    <xf numFmtId="0" fontId="0" fillId="0" borderId="115" xfId="0" applyBorder="1" applyAlignment="1">
      <alignment vertical="center" shrinkToFit="1"/>
    </xf>
    <xf numFmtId="0" fontId="0" fillId="0" borderId="114" xfId="0" applyBorder="1" applyAlignment="1">
      <alignment vertical="center" shrinkToFit="1"/>
    </xf>
    <xf numFmtId="0" fontId="42" fillId="0" borderId="114" xfId="0" applyFont="1" applyBorder="1" applyAlignment="1">
      <alignment vertical="center" shrinkToFit="1"/>
    </xf>
    <xf numFmtId="0" fontId="100" fillId="0" borderId="114" xfId="0" applyFont="1" applyBorder="1" applyAlignment="1">
      <alignment vertical="center" shrinkToFit="1"/>
    </xf>
    <xf numFmtId="0" fontId="42" fillId="0" borderId="116" xfId="0" applyFont="1" applyBorder="1" applyAlignment="1">
      <alignment vertical="center" shrinkToFit="1"/>
    </xf>
    <xf numFmtId="178" fontId="0" fillId="0" borderId="620" xfId="0" applyNumberFormat="1" applyBorder="1">
      <alignment vertical="center"/>
    </xf>
    <xf numFmtId="178" fontId="0" fillId="38" borderId="71" xfId="0" applyNumberFormat="1" applyFill="1" applyBorder="1">
      <alignment vertical="center"/>
    </xf>
    <xf numFmtId="178" fontId="0" fillId="38" borderId="72" xfId="0" applyNumberFormat="1" applyFill="1" applyBorder="1">
      <alignment vertical="center"/>
    </xf>
    <xf numFmtId="178" fontId="0" fillId="38" borderId="73" xfId="0" applyNumberFormat="1" applyFill="1" applyBorder="1">
      <alignment vertical="center"/>
    </xf>
    <xf numFmtId="178" fontId="0" fillId="38" borderId="104" xfId="0" applyNumberFormat="1" applyFill="1" applyBorder="1">
      <alignment vertical="center"/>
    </xf>
    <xf numFmtId="178" fontId="0" fillId="38" borderId="89" xfId="0" applyNumberFormat="1" applyFill="1" applyBorder="1">
      <alignment vertical="center"/>
    </xf>
    <xf numFmtId="178" fontId="0" fillId="38" borderId="105" xfId="0" applyNumberFormat="1" applyFill="1" applyBorder="1">
      <alignment vertical="center"/>
    </xf>
    <xf numFmtId="0" fontId="0" fillId="38" borderId="114" xfId="0" applyFill="1" applyBorder="1" applyAlignment="1">
      <alignment vertical="center" shrinkToFit="1"/>
    </xf>
    <xf numFmtId="0" fontId="0" fillId="38" borderId="116" xfId="0" applyFill="1" applyBorder="1" applyAlignment="1">
      <alignment vertical="center" shrinkToFit="1"/>
    </xf>
    <xf numFmtId="0" fontId="100" fillId="38" borderId="116" xfId="0" applyFont="1" applyFill="1" applyBorder="1" applyAlignment="1">
      <alignment vertical="center" shrinkToFit="1"/>
    </xf>
    <xf numFmtId="0" fontId="42" fillId="38" borderId="116" xfId="0" applyFont="1" applyFill="1" applyBorder="1" applyAlignment="1">
      <alignment vertical="center" shrinkToFit="1"/>
    </xf>
    <xf numFmtId="178" fontId="55" fillId="21" borderId="274" xfId="3" applyNumberFormat="1" applyFont="1" applyFill="1" applyBorder="1" applyAlignment="1" applyProtection="1">
      <alignment vertical="center" shrinkToFit="1"/>
      <protection hidden="1"/>
    </xf>
    <xf numFmtId="178" fontId="55" fillId="21" borderId="279" xfId="3" applyNumberFormat="1" applyFont="1" applyFill="1" applyBorder="1" applyAlignment="1" applyProtection="1">
      <alignment vertical="center" shrinkToFit="1"/>
      <protection hidden="1"/>
    </xf>
    <xf numFmtId="0" fontId="55" fillId="24" borderId="497" xfId="3" applyNumberFormat="1" applyFont="1" applyFill="1" applyBorder="1" applyAlignment="1" applyProtection="1">
      <alignment horizontal="center" vertical="center"/>
      <protection hidden="1"/>
    </xf>
    <xf numFmtId="0" fontId="39" fillId="14" borderId="241" xfId="3" applyFill="1" applyBorder="1" applyAlignment="1">
      <alignment horizontal="center" vertical="center"/>
    </xf>
    <xf numFmtId="200" fontId="55" fillId="22" borderId="247" xfId="3" applyNumberFormat="1" applyFont="1" applyFill="1" applyBorder="1" applyAlignment="1">
      <alignment vertical="center"/>
    </xf>
    <xf numFmtId="200" fontId="55" fillId="22" borderId="253" xfId="3" applyNumberFormat="1" applyFont="1" applyFill="1" applyBorder="1" applyAlignment="1">
      <alignment vertical="center"/>
    </xf>
    <xf numFmtId="200" fontId="55" fillId="22" borderId="258" xfId="3" applyNumberFormat="1" applyFont="1" applyFill="1" applyBorder="1" applyAlignment="1">
      <alignment vertical="center"/>
    </xf>
    <xf numFmtId="200" fontId="55" fillId="23" borderId="260" xfId="3" applyNumberFormat="1" applyFont="1" applyFill="1" applyBorder="1" applyAlignment="1" applyProtection="1">
      <alignment vertical="center"/>
      <protection hidden="1"/>
    </xf>
    <xf numFmtId="200" fontId="55" fillId="23" borderId="262" xfId="3" applyNumberFormat="1" applyFont="1" applyFill="1" applyBorder="1" applyAlignment="1" applyProtection="1">
      <alignment vertical="center"/>
      <protection hidden="1"/>
    </xf>
    <xf numFmtId="200" fontId="55" fillId="23" borderId="265" xfId="3" applyNumberFormat="1" applyFont="1" applyFill="1" applyBorder="1" applyAlignment="1" applyProtection="1">
      <alignment vertical="center"/>
      <protection hidden="1"/>
    </xf>
    <xf numFmtId="200" fontId="55" fillId="23" borderId="531" xfId="3" applyNumberFormat="1" applyFont="1" applyFill="1" applyBorder="1" applyAlignment="1" applyProtection="1">
      <alignment vertical="center"/>
      <protection hidden="1"/>
    </xf>
    <xf numFmtId="200" fontId="55" fillId="23" borderId="622" xfId="3" applyNumberFormat="1" applyFont="1" applyFill="1" applyBorder="1" applyAlignment="1" applyProtection="1">
      <alignment vertical="center"/>
      <protection hidden="1"/>
    </xf>
    <xf numFmtId="200" fontId="55" fillId="23" borderId="269" xfId="3" applyNumberFormat="1" applyFont="1" applyFill="1" applyBorder="1" applyAlignment="1" applyProtection="1">
      <alignment vertical="center"/>
      <protection hidden="1"/>
    </xf>
    <xf numFmtId="200" fontId="55" fillId="23" borderId="621" xfId="3" applyNumberFormat="1" applyFont="1" applyFill="1" applyBorder="1" applyAlignment="1" applyProtection="1">
      <alignment vertical="center"/>
      <protection hidden="1"/>
    </xf>
    <xf numFmtId="200" fontId="55" fillId="23" borderId="298" xfId="3" applyNumberFormat="1" applyFont="1" applyFill="1" applyBorder="1" applyAlignment="1" applyProtection="1">
      <alignment vertical="center"/>
      <protection hidden="1"/>
    </xf>
    <xf numFmtId="200" fontId="55" fillId="22" borderId="248" xfId="3" applyNumberFormat="1" applyFont="1" applyFill="1" applyBorder="1" applyAlignment="1">
      <alignment vertical="center"/>
    </xf>
    <xf numFmtId="200" fontId="55" fillId="22" borderId="254" xfId="3" applyNumberFormat="1" applyFont="1" applyFill="1" applyBorder="1" applyAlignment="1">
      <alignment vertical="center"/>
    </xf>
    <xf numFmtId="200" fontId="55" fillId="22" borderId="294" xfId="3" applyNumberFormat="1" applyFont="1" applyFill="1" applyBorder="1" applyAlignment="1">
      <alignment vertical="center"/>
    </xf>
    <xf numFmtId="200" fontId="55" fillId="22" borderId="259" xfId="3" applyNumberFormat="1" applyFont="1" applyFill="1" applyBorder="1" applyAlignment="1">
      <alignment vertical="center"/>
    </xf>
    <xf numFmtId="200" fontId="55" fillId="23" borderId="261" xfId="3" applyNumberFormat="1" applyFont="1" applyFill="1" applyBorder="1" applyAlignment="1" applyProtection="1">
      <alignment vertical="center"/>
      <protection hidden="1"/>
    </xf>
    <xf numFmtId="200" fontId="55" fillId="23" borderId="263" xfId="3" applyNumberFormat="1" applyFont="1" applyFill="1" applyBorder="1" applyAlignment="1" applyProtection="1">
      <alignment vertical="center"/>
      <protection hidden="1"/>
    </xf>
    <xf numFmtId="200" fontId="55" fillId="23" borderId="266" xfId="3" applyNumberFormat="1" applyFont="1" applyFill="1" applyBorder="1" applyAlignment="1" applyProtection="1">
      <alignment vertical="center"/>
      <protection hidden="1"/>
    </xf>
    <xf numFmtId="200" fontId="55" fillId="22" borderId="267" xfId="3" applyNumberFormat="1" applyFont="1" applyFill="1" applyBorder="1" applyAlignment="1">
      <alignment vertical="center"/>
    </xf>
    <xf numFmtId="200" fontId="55" fillId="23" borderId="276" xfId="3" applyNumberFormat="1" applyFont="1" applyFill="1" applyBorder="1" applyAlignment="1" applyProtection="1">
      <alignment vertical="center"/>
      <protection hidden="1"/>
    </xf>
    <xf numFmtId="200" fontId="55" fillId="23" borderId="282" xfId="3" applyNumberFormat="1" applyFont="1" applyFill="1" applyBorder="1" applyAlignment="1" applyProtection="1">
      <alignment vertical="center"/>
      <protection hidden="1"/>
    </xf>
    <xf numFmtId="200" fontId="55" fillId="23" borderId="302" xfId="3" applyNumberFormat="1" applyFont="1" applyFill="1" applyBorder="1" applyAlignment="1" applyProtection="1">
      <alignment vertical="center"/>
      <protection hidden="1"/>
    </xf>
    <xf numFmtId="200" fontId="55" fillId="22" borderId="338" xfId="3" applyNumberFormat="1" applyFont="1" applyFill="1" applyBorder="1" applyAlignment="1">
      <alignment vertical="center" shrinkToFit="1"/>
    </xf>
    <xf numFmtId="200" fontId="55" fillId="24" borderId="263" xfId="3" applyNumberFormat="1" applyFont="1" applyFill="1" applyBorder="1" applyAlignment="1" applyProtection="1">
      <alignment vertical="center" shrinkToFit="1"/>
      <protection hidden="1"/>
    </xf>
    <xf numFmtId="200" fontId="55" fillId="22" borderId="339" xfId="3" applyNumberFormat="1" applyFont="1" applyFill="1" applyBorder="1" applyAlignment="1">
      <alignment vertical="center" shrinkToFit="1"/>
    </xf>
    <xf numFmtId="200" fontId="55" fillId="22" borderId="253" xfId="3" applyNumberFormat="1" applyFont="1" applyFill="1" applyBorder="1" applyAlignment="1" applyProtection="1">
      <alignment vertical="center" shrinkToFit="1"/>
    </xf>
    <xf numFmtId="200" fontId="55" fillId="22" borderId="623" xfId="3" applyNumberFormat="1" applyFont="1" applyFill="1" applyBorder="1" applyAlignment="1" applyProtection="1">
      <alignment vertical="center" shrinkToFit="1"/>
    </xf>
    <xf numFmtId="200" fontId="55" fillId="22" borderId="254" xfId="3" applyNumberFormat="1" applyFont="1" applyFill="1" applyBorder="1" applyAlignment="1" applyProtection="1">
      <alignment vertical="center" shrinkToFit="1"/>
    </xf>
    <xf numFmtId="200" fontId="55" fillId="22" borderId="624" xfId="3" applyNumberFormat="1" applyFont="1" applyFill="1" applyBorder="1" applyAlignment="1" applyProtection="1">
      <alignment vertical="center" shrinkToFit="1"/>
    </xf>
    <xf numFmtId="178" fontId="0" fillId="0" borderId="476" xfId="0" applyNumberFormat="1" applyBorder="1">
      <alignment vertical="center"/>
    </xf>
    <xf numFmtId="178" fontId="0" fillId="8" borderId="477" xfId="0" applyNumberFormat="1" applyFill="1" applyBorder="1">
      <alignment vertical="center"/>
    </xf>
    <xf numFmtId="178" fontId="0" fillId="0" borderId="477" xfId="0" applyNumberFormat="1" applyBorder="1">
      <alignment vertical="center"/>
    </xf>
    <xf numFmtId="0" fontId="0" fillId="0" borderId="476" xfId="0" applyFont="1" applyBorder="1">
      <alignment vertical="center"/>
    </xf>
    <xf numFmtId="0" fontId="0" fillId="8" borderId="504" xfId="0" applyFont="1" applyFill="1" applyBorder="1">
      <alignment vertical="center"/>
    </xf>
    <xf numFmtId="178" fontId="0" fillId="0" borderId="603" xfId="0" applyNumberFormat="1" applyBorder="1">
      <alignment vertical="center"/>
    </xf>
    <xf numFmtId="0" fontId="0" fillId="0" borderId="177" xfId="0" applyFill="1" applyBorder="1" applyAlignment="1">
      <alignment horizontal="center" vertical="center" shrinkToFit="1"/>
    </xf>
    <xf numFmtId="0" fontId="0" fillId="13" borderId="177" xfId="0" applyNumberFormat="1" applyFill="1" applyBorder="1" applyAlignment="1">
      <alignment horizontal="center" vertical="center" shrinkToFit="1"/>
    </xf>
    <xf numFmtId="0" fontId="0" fillId="0" borderId="0" xfId="0" applyAlignment="1">
      <alignment vertical="center" shrinkToFit="1"/>
    </xf>
    <xf numFmtId="178" fontId="42" fillId="39" borderId="314" xfId="0" applyNumberFormat="1" applyFont="1" applyFill="1" applyBorder="1">
      <alignment vertical="center"/>
    </xf>
    <xf numFmtId="182" fontId="9" fillId="38" borderId="92" xfId="33" applyNumberFormat="1" applyFill="1" applyBorder="1" applyAlignment="1">
      <alignment horizontal="right" vertical="center" shrinkToFit="1"/>
    </xf>
    <xf numFmtId="196" fontId="9" fillId="38" borderId="92" xfId="33" applyNumberFormat="1" applyFill="1" applyBorder="1" applyAlignment="1">
      <alignment horizontal="right" vertical="center" shrinkToFit="1"/>
    </xf>
    <xf numFmtId="178" fontId="9" fillId="38" borderId="127" xfId="33" applyNumberFormat="1" applyFill="1" applyBorder="1" applyAlignment="1">
      <alignment vertical="center" shrinkToFit="1"/>
    </xf>
    <xf numFmtId="178" fontId="9" fillId="38" borderId="93" xfId="33" applyNumberFormat="1" applyFill="1" applyBorder="1" applyAlignment="1">
      <alignment vertical="center" shrinkToFit="1"/>
    </xf>
    <xf numFmtId="178" fontId="9" fillId="38" borderId="88" xfId="33" applyNumberFormat="1" applyFill="1" applyBorder="1" applyAlignment="1">
      <alignment vertical="center" shrinkToFit="1"/>
    </xf>
    <xf numFmtId="178" fontId="9" fillId="38" borderId="71" xfId="33" applyNumberFormat="1" applyFill="1" applyBorder="1" applyAlignment="1">
      <alignment vertical="center" shrinkToFit="1"/>
    </xf>
    <xf numFmtId="178" fontId="9" fillId="38" borderId="92" xfId="33" applyNumberFormat="1" applyFill="1" applyBorder="1" applyAlignment="1">
      <alignment vertical="center" shrinkToFit="1"/>
    </xf>
    <xf numFmtId="178" fontId="9" fillId="38" borderId="72" xfId="33" applyNumberFormat="1" applyFill="1" applyBorder="1" applyAlignment="1">
      <alignment vertical="center" shrinkToFit="1"/>
    </xf>
    <xf numFmtId="178" fontId="9" fillId="38" borderId="104" xfId="33" applyNumberFormat="1" applyFill="1" applyBorder="1" applyAlignment="1">
      <alignment vertical="center" shrinkToFit="1"/>
    </xf>
    <xf numFmtId="178" fontId="9" fillId="38" borderId="94" xfId="33" applyNumberFormat="1" applyFill="1" applyBorder="1" applyAlignment="1">
      <alignment vertical="center" shrinkToFit="1"/>
    </xf>
    <xf numFmtId="178" fontId="9" fillId="38" borderId="74" xfId="33" applyNumberFormat="1" applyFill="1" applyBorder="1" applyAlignment="1">
      <alignment vertical="center" shrinkToFit="1"/>
    </xf>
    <xf numFmtId="178" fontId="9" fillId="38" borderId="55" xfId="33" applyNumberFormat="1" applyFill="1" applyBorder="1" applyAlignment="1">
      <alignment vertical="center" shrinkToFit="1"/>
    </xf>
    <xf numFmtId="196" fontId="3" fillId="0" borderId="72" xfId="33" applyNumberFormat="1" applyFont="1" applyBorder="1" applyAlignment="1">
      <alignment horizontal="right" vertical="center" shrinkToFit="1"/>
    </xf>
    <xf numFmtId="0" fontId="0" fillId="0" borderId="0" xfId="3" applyFont="1" applyProtection="1">
      <alignment vertical="center"/>
    </xf>
    <xf numFmtId="178" fontId="42" fillId="0" borderId="177" xfId="0" applyNumberFormat="1" applyFont="1" applyBorder="1">
      <alignment vertical="center"/>
    </xf>
    <xf numFmtId="0" fontId="0" fillId="0" borderId="0" xfId="3" applyFont="1" applyAlignment="1" applyProtection="1">
      <alignment horizontal="right" vertical="center"/>
    </xf>
    <xf numFmtId="0" fontId="0" fillId="0" borderId="0" xfId="0" applyAlignment="1">
      <alignment horizontal="center" vertical="center"/>
    </xf>
    <xf numFmtId="178" fontId="0" fillId="0" borderId="191" xfId="0" applyNumberFormat="1" applyBorder="1" applyAlignment="1">
      <alignment horizontal="center" vertical="center"/>
    </xf>
    <xf numFmtId="0" fontId="0" fillId="0" borderId="366" xfId="0" applyBorder="1" applyAlignment="1">
      <alignment horizontal="center" vertical="center"/>
    </xf>
    <xf numFmtId="0" fontId="0" fillId="0" borderId="120" xfId="0" applyBorder="1" applyAlignment="1">
      <alignment horizontal="center" vertical="center"/>
    </xf>
    <xf numFmtId="0" fontId="0" fillId="0" borderId="122" xfId="0" applyBorder="1" applyAlignment="1">
      <alignment horizontal="center" vertical="center"/>
    </xf>
    <xf numFmtId="0" fontId="102" fillId="0" borderId="0" xfId="0" applyFont="1">
      <alignment vertical="center"/>
    </xf>
    <xf numFmtId="178" fontId="50" fillId="0" borderId="20" xfId="0" applyNumberFormat="1" applyFont="1" applyFill="1" applyBorder="1" applyAlignment="1">
      <alignment horizontal="center" vertical="center" shrinkToFit="1"/>
    </xf>
    <xf numFmtId="0" fontId="49" fillId="0" borderId="34" xfId="0" applyFont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49" fillId="0" borderId="17" xfId="0" applyFont="1" applyBorder="1" applyAlignment="1">
      <alignment horizontal="center" vertical="center"/>
    </xf>
    <xf numFmtId="0" fontId="50" fillId="0" borderId="36" xfId="0" applyFont="1" applyBorder="1" applyAlignment="1">
      <alignment horizontal="center" vertical="center"/>
    </xf>
    <xf numFmtId="0" fontId="50" fillId="0" borderId="4" xfId="0" applyFont="1" applyBorder="1" applyAlignment="1">
      <alignment horizontal="center" vertical="center"/>
    </xf>
    <xf numFmtId="0" fontId="50" fillId="0" borderId="23" xfId="0" applyFont="1" applyBorder="1" applyAlignment="1">
      <alignment horizontal="center" vertical="center"/>
    </xf>
    <xf numFmtId="178" fontId="50" fillId="0" borderId="4" xfId="0" applyNumberFormat="1" applyFont="1" applyBorder="1" applyAlignment="1">
      <alignment horizontal="center" vertical="center" shrinkToFit="1"/>
    </xf>
    <xf numFmtId="178" fontId="50" fillId="0" borderId="23" xfId="0" applyNumberFormat="1" applyFont="1" applyBorder="1" applyAlignment="1">
      <alignment horizontal="center" vertical="center" shrinkToFit="1"/>
    </xf>
    <xf numFmtId="178" fontId="50" fillId="0" borderId="20" xfId="0" applyNumberFormat="1" applyFont="1" applyBorder="1" applyAlignment="1">
      <alignment horizontal="center" vertical="center" shrinkToFit="1"/>
    </xf>
    <xf numFmtId="0" fontId="50" fillId="0" borderId="20" xfId="0" applyFont="1" applyBorder="1" applyAlignment="1">
      <alignment horizontal="center" vertical="center"/>
    </xf>
    <xf numFmtId="0" fontId="92" fillId="0" borderId="0" xfId="0" applyFont="1">
      <alignment vertical="center"/>
    </xf>
    <xf numFmtId="0" fontId="0" fillId="0" borderId="0" xfId="0" applyAlignment="1">
      <alignment horizontal="center" vertical="center"/>
    </xf>
    <xf numFmtId="57" fontId="0" fillId="0" borderId="0" xfId="0" applyNumberFormat="1">
      <alignment vertical="center"/>
    </xf>
    <xf numFmtId="57" fontId="0" fillId="0" borderId="0" xfId="0" applyNumberFormat="1" applyAlignment="1">
      <alignment horizontal="center" vertical="center"/>
    </xf>
    <xf numFmtId="181" fontId="0" fillId="34" borderId="95" xfId="0" applyNumberFormat="1" applyFill="1" applyBorder="1" applyAlignment="1">
      <alignment horizontal="center" vertical="center"/>
    </xf>
    <xf numFmtId="181" fontId="0" fillId="0" borderId="24" xfId="0" applyNumberFormat="1" applyBorder="1" applyAlignment="1">
      <alignment horizontal="center" vertical="center"/>
    </xf>
    <xf numFmtId="181" fontId="0" fillId="0" borderId="536" xfId="0" applyNumberFormat="1" applyBorder="1" applyAlignment="1">
      <alignment horizontal="center" vertical="center"/>
    </xf>
    <xf numFmtId="176" fontId="0" fillId="0" borderId="24" xfId="0" applyNumberFormat="1" applyFill="1" applyBorder="1" applyAlignment="1">
      <alignment horizontal="center" vertical="center"/>
    </xf>
    <xf numFmtId="0" fontId="0" fillId="0" borderId="0" xfId="0" applyProtection="1">
      <alignment vertical="center"/>
    </xf>
    <xf numFmtId="0" fontId="0" fillId="0" borderId="0" xfId="0" applyFont="1" applyAlignment="1" applyProtection="1">
      <alignment vertical="center" shrinkToFit="1"/>
    </xf>
    <xf numFmtId="188" fontId="50" fillId="0" borderId="0" xfId="0" applyNumberFormat="1" applyFont="1" applyAlignment="1" applyProtection="1">
      <alignment horizontal="center" vertical="center" shrinkToFit="1"/>
    </xf>
    <xf numFmtId="0" fontId="0" fillId="0" borderId="19" xfId="0" applyBorder="1" applyAlignment="1" applyProtection="1">
      <alignment horizontal="center" vertical="center"/>
    </xf>
    <xf numFmtId="0" fontId="0" fillId="0" borderId="19" xfId="0" applyFont="1" applyBorder="1" applyAlignment="1" applyProtection="1">
      <alignment horizontal="center" vertical="center" shrinkToFit="1"/>
    </xf>
    <xf numFmtId="187" fontId="50" fillId="0" borderId="134" xfId="0" applyNumberFormat="1" applyFont="1" applyFill="1" applyBorder="1" applyAlignment="1" applyProtection="1">
      <alignment horizontal="center" vertical="center" shrinkToFit="1"/>
    </xf>
    <xf numFmtId="189" fontId="50" fillId="0" borderId="35" xfId="0" applyNumberFormat="1" applyFont="1" applyBorder="1" applyAlignment="1" applyProtection="1">
      <alignment horizontal="center" vertical="center" shrinkToFit="1"/>
    </xf>
    <xf numFmtId="0" fontId="0" fillId="0" borderId="15" xfId="0" applyBorder="1" applyAlignment="1" applyProtection="1">
      <alignment horizontal="center" vertical="center" wrapText="1"/>
    </xf>
    <xf numFmtId="0" fontId="0" fillId="0" borderId="14" xfId="0" applyFont="1" applyBorder="1" applyAlignment="1" applyProtection="1">
      <alignment vertical="center" shrinkToFit="1"/>
    </xf>
    <xf numFmtId="178" fontId="39" fillId="0" borderId="19" xfId="1" applyNumberFormat="1" applyFont="1" applyFill="1" applyBorder="1" applyAlignment="1" applyProtection="1">
      <alignment vertical="center" shrinkToFit="1"/>
    </xf>
    <xf numFmtId="178" fontId="80" fillId="0" borderId="19" xfId="1" applyNumberFormat="1" applyFont="1" applyFill="1" applyBorder="1" applyAlignment="1" applyProtection="1">
      <alignment vertical="center" shrinkToFit="1"/>
    </xf>
    <xf numFmtId="178" fontId="50" fillId="2" borderId="80" xfId="1" applyNumberFormat="1" applyFont="1" applyFill="1" applyBorder="1" applyAlignment="1" applyProtection="1">
      <alignment vertical="center" shrinkToFit="1"/>
    </xf>
    <xf numFmtId="0" fontId="0" fillId="0" borderId="14" xfId="0" applyFont="1" applyFill="1" applyBorder="1" applyAlignment="1" applyProtection="1">
      <alignment vertical="center" shrinkToFit="1"/>
    </xf>
    <xf numFmtId="178" fontId="80" fillId="0" borderId="162" xfId="1" applyNumberFormat="1" applyFont="1" applyFill="1" applyBorder="1" applyAlignment="1" applyProtection="1">
      <alignment vertical="center" shrinkToFit="1"/>
    </xf>
    <xf numFmtId="178" fontId="50" fillId="2" borderId="159" xfId="1" applyNumberFormat="1" applyFont="1" applyFill="1" applyBorder="1" applyAlignment="1" applyProtection="1">
      <alignment vertical="center" shrinkToFit="1"/>
    </xf>
    <xf numFmtId="0" fontId="0" fillId="0" borderId="33" xfId="0" applyFont="1" applyFill="1" applyBorder="1" applyAlignment="1" applyProtection="1">
      <alignment vertical="center" shrinkToFit="1"/>
    </xf>
    <xf numFmtId="178" fontId="80" fillId="0" borderId="163" xfId="1" applyNumberFormat="1" applyFont="1" applyFill="1" applyBorder="1" applyAlignment="1" applyProtection="1">
      <alignment vertical="center" shrinkToFit="1"/>
    </xf>
    <xf numFmtId="178" fontId="50" fillId="2" borderId="40" xfId="1" applyNumberFormat="1" applyFont="1" applyFill="1" applyBorder="1" applyAlignment="1" applyProtection="1">
      <alignment vertical="center" shrinkToFit="1"/>
    </xf>
    <xf numFmtId="0" fontId="0" fillId="0" borderId="0" xfId="0" applyFill="1" applyProtection="1">
      <alignment vertical="center"/>
    </xf>
    <xf numFmtId="0" fontId="0" fillId="0" borderId="10" xfId="0" applyFont="1" applyFill="1" applyBorder="1" applyAlignment="1" applyProtection="1">
      <alignment vertical="center" shrinkToFit="1"/>
    </xf>
    <xf numFmtId="178" fontId="80" fillId="0" borderId="164" xfId="1" applyNumberFormat="1" applyFont="1" applyFill="1" applyBorder="1" applyAlignment="1" applyProtection="1">
      <alignment vertical="center" shrinkToFit="1"/>
    </xf>
    <xf numFmtId="0" fontId="42" fillId="0" borderId="16" xfId="0" applyFont="1" applyFill="1" applyBorder="1" applyAlignment="1" applyProtection="1">
      <alignment vertical="center" shrinkToFit="1"/>
    </xf>
    <xf numFmtId="0" fontId="42" fillId="0" borderId="7" xfId="0" applyFont="1" applyFill="1" applyBorder="1" applyAlignment="1" applyProtection="1">
      <alignment vertical="center" shrinkToFit="1"/>
    </xf>
    <xf numFmtId="178" fontId="80" fillId="0" borderId="166" xfId="1" applyNumberFormat="1" applyFont="1" applyFill="1" applyBorder="1" applyAlignment="1" applyProtection="1">
      <alignment vertical="center" shrinkToFit="1"/>
    </xf>
    <xf numFmtId="178" fontId="50" fillId="2" borderId="160" xfId="1" applyNumberFormat="1" applyFont="1" applyFill="1" applyBorder="1" applyAlignment="1" applyProtection="1">
      <alignment vertical="center" shrinkToFit="1"/>
    </xf>
    <xf numFmtId="178" fontId="50" fillId="2" borderId="161" xfId="1" applyNumberFormat="1" applyFont="1" applyFill="1" applyBorder="1" applyAlignment="1" applyProtection="1">
      <alignment vertical="center" shrinkToFit="1"/>
    </xf>
    <xf numFmtId="0" fontId="42" fillId="0" borderId="10" xfId="0" applyFont="1" applyFill="1" applyBorder="1" applyAlignment="1" applyProtection="1">
      <alignment vertical="center" shrinkToFit="1"/>
    </xf>
    <xf numFmtId="0" fontId="0" fillId="0" borderId="16" xfId="0" applyFont="1" applyFill="1" applyBorder="1" applyAlignment="1" applyProtection="1">
      <alignment vertical="center" shrinkToFit="1"/>
    </xf>
    <xf numFmtId="0" fontId="0" fillId="0" borderId="7" xfId="0" applyFont="1" applyFill="1" applyBorder="1" applyAlignment="1" applyProtection="1">
      <alignment vertical="center" shrinkToFit="1"/>
    </xf>
    <xf numFmtId="178" fontId="50" fillId="2" borderId="39" xfId="1" applyNumberFormat="1" applyFont="1" applyFill="1" applyBorder="1" applyAlignment="1" applyProtection="1">
      <alignment vertical="center" shrinkToFit="1"/>
    </xf>
    <xf numFmtId="0" fontId="0" fillId="0" borderId="11" xfId="0" applyFont="1" applyFill="1" applyBorder="1" applyAlignment="1" applyProtection="1">
      <alignment vertical="center" shrinkToFit="1"/>
    </xf>
    <xf numFmtId="178" fontId="80" fillId="0" borderId="167" xfId="1" applyNumberFormat="1" applyFont="1" applyFill="1" applyBorder="1" applyAlignment="1" applyProtection="1">
      <alignment vertical="center" shrinkToFit="1"/>
    </xf>
    <xf numFmtId="178" fontId="80" fillId="0" borderId="165" xfId="1" applyNumberFormat="1" applyFont="1" applyFill="1" applyBorder="1" applyAlignment="1" applyProtection="1">
      <alignment vertical="center" shrinkToFit="1"/>
    </xf>
    <xf numFmtId="178" fontId="50" fillId="2" borderId="79" xfId="1" applyNumberFormat="1" applyFont="1" applyFill="1" applyBorder="1" applyAlignment="1" applyProtection="1">
      <alignment vertical="center" shrinkToFit="1"/>
    </xf>
    <xf numFmtId="0" fontId="55" fillId="0" borderId="0" xfId="0" applyFont="1" applyFill="1" applyProtection="1">
      <alignment vertical="center"/>
    </xf>
    <xf numFmtId="0" fontId="0" fillId="0" borderId="15" xfId="0" applyFont="1" applyFill="1" applyBorder="1" applyAlignment="1" applyProtection="1">
      <alignment vertical="center" shrinkToFit="1"/>
    </xf>
    <xf numFmtId="178" fontId="80" fillId="0" borderId="168" xfId="1" applyNumberFormat="1" applyFont="1" applyFill="1" applyBorder="1" applyAlignment="1" applyProtection="1">
      <alignment vertical="center" shrinkToFit="1"/>
    </xf>
    <xf numFmtId="178" fontId="80" fillId="0" borderId="169" xfId="1" applyNumberFormat="1" applyFont="1" applyFill="1" applyBorder="1" applyAlignment="1" applyProtection="1">
      <alignment vertical="center" shrinkToFit="1"/>
    </xf>
    <xf numFmtId="178" fontId="80" fillId="0" borderId="0" xfId="1" applyNumberFormat="1" applyFont="1" applyFill="1" applyBorder="1" applyAlignment="1" applyProtection="1">
      <alignment vertical="center" shrinkToFit="1"/>
    </xf>
    <xf numFmtId="178" fontId="50" fillId="0" borderId="0" xfId="1" applyNumberFormat="1" applyFont="1" applyFill="1" applyBorder="1" applyAlignment="1" applyProtection="1">
      <alignment vertical="center"/>
    </xf>
    <xf numFmtId="178" fontId="43" fillId="0" borderId="0" xfId="1" applyNumberFormat="1" applyFont="1" applyFill="1" applyBorder="1" applyAlignment="1" applyProtection="1">
      <alignment vertical="center"/>
    </xf>
    <xf numFmtId="0" fontId="0" fillId="0" borderId="0" xfId="0" applyAlignment="1" applyProtection="1">
      <alignment horizontal="left" vertical="center"/>
    </xf>
    <xf numFmtId="38" fontId="0" fillId="0" borderId="0" xfId="0" applyNumberFormat="1" applyAlignment="1" applyProtection="1">
      <alignment vertical="center" shrinkToFit="1"/>
    </xf>
    <xf numFmtId="38" fontId="50" fillId="0" borderId="0" xfId="0" applyNumberFormat="1" applyFont="1" applyAlignment="1" applyProtection="1">
      <alignment vertical="center" shrinkToFit="1"/>
    </xf>
    <xf numFmtId="38" fontId="50" fillId="0" borderId="0" xfId="0" applyNumberFormat="1" applyFont="1" applyFill="1" applyAlignment="1" applyProtection="1">
      <alignment vertical="center" shrinkToFit="1"/>
    </xf>
    <xf numFmtId="178" fontId="50" fillId="0" borderId="0" xfId="0" applyNumberFormat="1" applyFont="1" applyAlignment="1" applyProtection="1">
      <alignment vertical="center" shrinkToFit="1"/>
    </xf>
    <xf numFmtId="187" fontId="50" fillId="0" borderId="317" xfId="0" applyNumberFormat="1" applyFont="1" applyFill="1" applyBorder="1" applyAlignment="1" applyProtection="1">
      <alignment horizontal="center" vertical="center" shrinkToFit="1"/>
    </xf>
    <xf numFmtId="187" fontId="50" fillId="0" borderId="320" xfId="0" applyNumberFormat="1" applyFont="1" applyFill="1" applyBorder="1" applyAlignment="1" applyProtection="1">
      <alignment horizontal="center" vertical="center" shrinkToFit="1"/>
    </xf>
    <xf numFmtId="189" fontId="50" fillId="0" borderId="318" xfId="0" applyNumberFormat="1" applyFont="1" applyBorder="1" applyAlignment="1" applyProtection="1">
      <alignment horizontal="center" vertical="center" shrinkToFit="1"/>
    </xf>
    <xf numFmtId="38" fontId="50" fillId="0" borderId="36" xfId="0" applyNumberFormat="1" applyFont="1" applyFill="1" applyBorder="1" applyAlignment="1" applyProtection="1">
      <alignment vertical="center" shrinkToFit="1"/>
    </xf>
    <xf numFmtId="178" fontId="50" fillId="2" borderId="10" xfId="1" applyNumberFormat="1" applyFont="1" applyFill="1" applyBorder="1" applyAlignment="1" applyProtection="1">
      <alignment vertical="center" shrinkToFit="1"/>
    </xf>
    <xf numFmtId="38" fontId="50" fillId="0" borderId="4" xfId="0" applyNumberFormat="1" applyFont="1" applyFill="1" applyBorder="1" applyAlignment="1" applyProtection="1">
      <alignment vertical="center" shrinkToFit="1"/>
    </xf>
    <xf numFmtId="38" fontId="50" fillId="0" borderId="1" xfId="0" applyNumberFormat="1" applyFont="1" applyFill="1" applyBorder="1" applyAlignment="1" applyProtection="1">
      <alignment vertical="center" shrinkToFit="1"/>
    </xf>
    <xf numFmtId="178" fontId="50" fillId="2" borderId="16" xfId="1" applyNumberFormat="1" applyFont="1" applyFill="1" applyBorder="1" applyAlignment="1" applyProtection="1">
      <alignment vertical="center" shrinkToFit="1"/>
    </xf>
    <xf numFmtId="38" fontId="50" fillId="0" borderId="140" xfId="0" applyNumberFormat="1" applyFont="1" applyFill="1" applyBorder="1" applyAlignment="1" applyProtection="1">
      <alignment vertical="center" shrinkToFit="1"/>
    </xf>
    <xf numFmtId="178" fontId="50" fillId="2" borderId="138" xfId="1" applyNumberFormat="1" applyFont="1" applyFill="1" applyBorder="1" applyAlignment="1" applyProtection="1">
      <alignment vertical="center" shrinkToFit="1"/>
    </xf>
    <xf numFmtId="38" fontId="50" fillId="0" borderId="23" xfId="0" applyNumberFormat="1" applyFont="1" applyFill="1" applyBorder="1" applyAlignment="1" applyProtection="1">
      <alignment vertical="center" shrinkToFit="1"/>
    </xf>
    <xf numFmtId="178" fontId="50" fillId="2" borderId="145" xfId="1" applyNumberFormat="1" applyFont="1" applyFill="1" applyBorder="1" applyAlignment="1" applyProtection="1">
      <alignment vertical="center" shrinkToFit="1"/>
    </xf>
    <xf numFmtId="38" fontId="50" fillId="0" borderId="142" xfId="0" applyNumberFormat="1" applyFont="1" applyFill="1" applyBorder="1" applyAlignment="1" applyProtection="1">
      <alignment vertical="center" shrinkToFit="1"/>
    </xf>
    <xf numFmtId="178" fontId="50" fillId="2" borderId="8" xfId="1" applyNumberFormat="1" applyFont="1" applyFill="1" applyBorder="1" applyAlignment="1" applyProtection="1">
      <alignment vertical="center" shrinkToFit="1"/>
    </xf>
    <xf numFmtId="0" fontId="0" fillId="0" borderId="52" xfId="0" applyFill="1" applyBorder="1" applyAlignment="1" applyProtection="1">
      <alignment horizontal="center" vertical="center"/>
    </xf>
    <xf numFmtId="0" fontId="0" fillId="0" borderId="52" xfId="0" applyFont="1" applyFill="1" applyBorder="1" applyAlignment="1" applyProtection="1">
      <alignment horizontal="center" vertical="center" shrinkToFit="1"/>
    </xf>
    <xf numFmtId="38" fontId="0" fillId="0" borderId="52" xfId="0" applyNumberFormat="1" applyFill="1" applyBorder="1" applyAlignment="1" applyProtection="1">
      <alignment vertical="center" shrinkToFit="1"/>
    </xf>
    <xf numFmtId="38" fontId="50" fillId="0" borderId="52" xfId="0" applyNumberFormat="1" applyFont="1" applyFill="1" applyBorder="1" applyAlignment="1" applyProtection="1">
      <alignment vertical="center" shrinkToFit="1"/>
    </xf>
    <xf numFmtId="178" fontId="50" fillId="0" borderId="52" xfId="1" applyNumberFormat="1" applyFont="1" applyFill="1" applyBorder="1" applyAlignment="1" applyProtection="1">
      <alignment vertical="center" shrinkToFit="1"/>
    </xf>
    <xf numFmtId="0" fontId="0" fillId="0" borderId="0" xfId="0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 shrinkToFit="1"/>
    </xf>
    <xf numFmtId="176" fontId="50" fillId="0" borderId="0" xfId="0" applyNumberFormat="1" applyFont="1" applyBorder="1" applyAlignment="1" applyProtection="1">
      <alignment vertical="center" shrinkToFit="1"/>
    </xf>
    <xf numFmtId="0" fontId="0" fillId="0" borderId="0" xfId="0" applyBorder="1" applyProtection="1">
      <alignment vertical="center"/>
    </xf>
    <xf numFmtId="0" fontId="0" fillId="0" borderId="0" xfId="0" applyFont="1" applyBorder="1" applyAlignment="1" applyProtection="1">
      <alignment vertical="center" shrinkToFit="1"/>
    </xf>
    <xf numFmtId="178" fontId="50" fillId="0" borderId="0" xfId="0" applyNumberFormat="1" applyFont="1" applyBorder="1" applyAlignment="1" applyProtection="1">
      <alignment vertical="center" shrinkToFit="1"/>
    </xf>
    <xf numFmtId="0" fontId="0" fillId="3" borderId="59" xfId="0" applyFill="1" applyBorder="1" applyAlignment="1" applyProtection="1">
      <alignment horizontal="center" vertical="center"/>
    </xf>
    <xf numFmtId="0" fontId="0" fillId="3" borderId="14" xfId="0" applyFont="1" applyFill="1" applyBorder="1" applyAlignment="1" applyProtection="1">
      <alignment horizontal="center" vertical="center" shrinkToFit="1"/>
    </xf>
    <xf numFmtId="187" fontId="50" fillId="3" borderId="317" xfId="0" applyNumberFormat="1" applyFont="1" applyFill="1" applyBorder="1" applyAlignment="1" applyProtection="1">
      <alignment horizontal="center" vertical="center" shrinkToFit="1"/>
    </xf>
    <xf numFmtId="187" fontId="50" fillId="3" borderId="319" xfId="0" applyNumberFormat="1" applyFont="1" applyFill="1" applyBorder="1" applyAlignment="1" applyProtection="1">
      <alignment horizontal="center" vertical="center" shrinkToFit="1"/>
    </xf>
    <xf numFmtId="189" fontId="50" fillId="3" borderId="318" xfId="0" applyNumberFormat="1" applyFont="1" applyFill="1" applyBorder="1" applyAlignment="1" applyProtection="1">
      <alignment horizontal="center" vertical="center" shrinkToFit="1"/>
    </xf>
    <xf numFmtId="0" fontId="0" fillId="0" borderId="60" xfId="0" applyBorder="1" applyProtection="1">
      <alignment vertical="center"/>
    </xf>
    <xf numFmtId="178" fontId="0" fillId="0" borderId="10" xfId="0" applyNumberFormat="1" applyFont="1" applyFill="1" applyBorder="1" applyAlignment="1" applyProtection="1">
      <alignment vertical="center" shrinkToFit="1"/>
    </xf>
    <xf numFmtId="178" fontId="50" fillId="0" borderId="36" xfId="0" applyNumberFormat="1" applyFont="1" applyFill="1" applyBorder="1" applyAlignment="1" applyProtection="1">
      <alignment vertical="center" shrinkToFit="1"/>
    </xf>
    <xf numFmtId="178" fontId="50" fillId="2" borderId="33" xfId="1" applyNumberFormat="1" applyFont="1" applyFill="1" applyBorder="1" applyAlignment="1" applyProtection="1">
      <alignment vertical="center" shrinkToFit="1"/>
    </xf>
    <xf numFmtId="178" fontId="0" fillId="0" borderId="16" xfId="0" applyNumberFormat="1" applyFont="1" applyFill="1" applyBorder="1" applyAlignment="1" applyProtection="1">
      <alignment vertical="center" shrinkToFit="1"/>
    </xf>
    <xf numFmtId="178" fontId="50" fillId="0" borderId="23" xfId="0" applyNumberFormat="1" applyFont="1" applyFill="1" applyBorder="1" applyAlignment="1" applyProtection="1">
      <alignment vertical="center" shrinkToFit="1"/>
    </xf>
    <xf numFmtId="178" fontId="0" fillId="4" borderId="16" xfId="0" applyNumberFormat="1" applyFont="1" applyFill="1" applyBorder="1" applyAlignment="1" applyProtection="1">
      <alignment vertical="center" shrinkToFit="1"/>
    </xf>
    <xf numFmtId="178" fontId="50" fillId="4" borderId="23" xfId="0" applyNumberFormat="1" applyFont="1" applyFill="1" applyBorder="1" applyAlignment="1" applyProtection="1">
      <alignment vertical="center" shrinkToFit="1"/>
    </xf>
    <xf numFmtId="178" fontId="50" fillId="4" borderId="16" xfId="0" applyNumberFormat="1" applyFont="1" applyFill="1" applyBorder="1" applyAlignment="1" applyProtection="1">
      <alignment vertical="center" shrinkToFit="1"/>
    </xf>
    <xf numFmtId="178" fontId="42" fillId="0" borderId="14" xfId="0" applyNumberFormat="1" applyFont="1" applyBorder="1" applyAlignment="1" applyProtection="1">
      <alignment vertical="center" shrinkToFit="1"/>
    </xf>
    <xf numFmtId="178" fontId="80" fillId="0" borderId="21" xfId="0" applyNumberFormat="1" applyFont="1" applyFill="1" applyBorder="1" applyAlignment="1" applyProtection="1">
      <alignment vertical="center" shrinkToFit="1"/>
    </xf>
    <xf numFmtId="178" fontId="50" fillId="2" borderId="14" xfId="1" applyNumberFormat="1" applyFont="1" applyFill="1" applyBorder="1" applyAlignment="1" applyProtection="1">
      <alignment vertical="center" shrinkToFit="1"/>
    </xf>
    <xf numFmtId="178" fontId="42" fillId="0" borderId="10" xfId="0" applyNumberFormat="1" applyFont="1" applyBorder="1" applyAlignment="1" applyProtection="1">
      <alignment vertical="center" shrinkToFit="1"/>
    </xf>
    <xf numFmtId="178" fontId="50" fillId="0" borderId="4" xfId="1" applyNumberFormat="1" applyFont="1" applyFill="1" applyBorder="1" applyAlignment="1" applyProtection="1">
      <alignment vertical="center" shrinkToFit="1"/>
    </xf>
    <xf numFmtId="178" fontId="50" fillId="0" borderId="4" xfId="0" applyNumberFormat="1" applyFont="1" applyFill="1" applyBorder="1" applyAlignment="1" applyProtection="1">
      <alignment vertical="center" shrinkToFit="1"/>
    </xf>
    <xf numFmtId="178" fontId="50" fillId="11" borderId="4" xfId="1" applyNumberFormat="1" applyFont="1" applyFill="1" applyBorder="1" applyAlignment="1" applyProtection="1">
      <alignment vertical="center" shrinkToFit="1"/>
    </xf>
    <xf numFmtId="178" fontId="50" fillId="35" borderId="4" xfId="1" applyNumberFormat="1" applyFont="1" applyFill="1" applyBorder="1" applyAlignment="1" applyProtection="1">
      <alignment vertical="center" shrinkToFit="1"/>
    </xf>
    <xf numFmtId="178" fontId="42" fillId="0" borderId="16" xfId="0" applyNumberFormat="1" applyFont="1" applyBorder="1" applyAlignment="1" applyProtection="1">
      <alignment vertical="center" shrinkToFit="1"/>
    </xf>
    <xf numFmtId="178" fontId="50" fillId="35" borderId="23" xfId="1" applyNumberFormat="1" applyFont="1" applyFill="1" applyBorder="1" applyAlignment="1" applyProtection="1">
      <alignment vertical="center" shrinkToFit="1"/>
    </xf>
    <xf numFmtId="178" fontId="0" fillId="4" borderId="7" xfId="0" applyNumberFormat="1" applyFont="1" applyFill="1" applyBorder="1" applyAlignment="1" applyProtection="1">
      <alignment vertical="center" shrinkToFit="1"/>
    </xf>
    <xf numFmtId="178" fontId="50" fillId="4" borderId="22" xfId="0" applyNumberFormat="1" applyFont="1" applyFill="1" applyBorder="1" applyAlignment="1" applyProtection="1">
      <alignment vertical="center" shrinkToFit="1"/>
    </xf>
    <xf numFmtId="178" fontId="50" fillId="4" borderId="7" xfId="0" applyNumberFormat="1" applyFont="1" applyFill="1" applyBorder="1" applyAlignment="1" applyProtection="1">
      <alignment vertical="center" shrinkToFit="1"/>
    </xf>
    <xf numFmtId="178" fontId="42" fillId="0" borderId="33" xfId="0" applyNumberFormat="1" applyFont="1" applyBorder="1" applyAlignment="1" applyProtection="1">
      <alignment vertical="center" shrinkToFit="1"/>
    </xf>
    <xf numFmtId="178" fontId="80" fillId="0" borderId="36" xfId="0" applyNumberFormat="1" applyFont="1" applyFill="1" applyBorder="1" applyAlignment="1" applyProtection="1">
      <alignment vertical="center" shrinkToFit="1"/>
    </xf>
    <xf numFmtId="178" fontId="50" fillId="0" borderId="1" xfId="0" applyNumberFormat="1" applyFont="1" applyFill="1" applyBorder="1" applyAlignment="1" applyProtection="1">
      <alignment vertical="center" shrinkToFit="1"/>
    </xf>
    <xf numFmtId="178" fontId="50" fillId="11" borderId="4" xfId="0" applyNumberFormat="1" applyFont="1" applyFill="1" applyBorder="1" applyAlignment="1" applyProtection="1">
      <alignment vertical="center" shrinkToFit="1"/>
    </xf>
    <xf numFmtId="178" fontId="80" fillId="11" borderId="4" xfId="0" applyNumberFormat="1" applyFont="1" applyFill="1" applyBorder="1" applyAlignment="1" applyProtection="1">
      <alignment vertical="center" shrinkToFit="1"/>
    </xf>
    <xf numFmtId="178" fontId="80" fillId="11" borderId="4" xfId="1" applyNumberFormat="1" applyFont="1" applyFill="1" applyBorder="1" applyAlignment="1" applyProtection="1">
      <alignment vertical="center" shrinkToFit="1"/>
    </xf>
    <xf numFmtId="178" fontId="42" fillId="0" borderId="10" xfId="0" applyNumberFormat="1" applyFont="1" applyFill="1" applyBorder="1" applyAlignment="1" applyProtection="1">
      <alignment vertical="center" shrinkToFit="1"/>
    </xf>
    <xf numFmtId="178" fontId="80" fillId="0" borderId="4" xfId="0" applyNumberFormat="1" applyFont="1" applyFill="1" applyBorder="1" applyAlignment="1" applyProtection="1">
      <alignment vertical="center" shrinkToFit="1"/>
    </xf>
    <xf numFmtId="178" fontId="0" fillId="0" borderId="14" xfId="0" applyNumberFormat="1" applyFont="1" applyFill="1" applyBorder="1" applyAlignment="1" applyProtection="1">
      <alignment vertical="center" shrinkToFit="1"/>
    </xf>
    <xf numFmtId="178" fontId="80" fillId="0" borderId="1" xfId="0" applyNumberFormat="1" applyFont="1" applyFill="1" applyBorder="1" applyAlignment="1" applyProtection="1">
      <alignment vertical="center" shrinkToFit="1"/>
    </xf>
    <xf numFmtId="178" fontId="80" fillId="0" borderId="4" xfId="1" applyNumberFormat="1" applyFont="1" applyFill="1" applyBorder="1" applyAlignment="1" applyProtection="1">
      <alignment vertical="center" shrinkToFit="1"/>
    </xf>
    <xf numFmtId="178" fontId="80" fillId="11" borderId="23" xfId="0" applyNumberFormat="1" applyFont="1" applyFill="1" applyBorder="1" applyAlignment="1" applyProtection="1">
      <alignment vertical="center" shrinkToFit="1"/>
    </xf>
    <xf numFmtId="178" fontId="80" fillId="0" borderId="13" xfId="0" applyNumberFormat="1" applyFont="1" applyFill="1" applyBorder="1" applyAlignment="1" applyProtection="1">
      <alignment vertical="center" shrinkToFit="1"/>
    </xf>
    <xf numFmtId="178" fontId="80" fillId="35" borderId="4" xfId="0" applyNumberFormat="1" applyFont="1" applyFill="1" applyBorder="1" applyAlignment="1" applyProtection="1">
      <alignment vertical="center" shrinkToFit="1"/>
    </xf>
    <xf numFmtId="178" fontId="50" fillId="35" borderId="4" xfId="0" applyNumberFormat="1" applyFont="1" applyFill="1" applyBorder="1" applyAlignment="1" applyProtection="1">
      <alignment vertical="center" shrinkToFit="1"/>
    </xf>
    <xf numFmtId="178" fontId="50" fillId="0" borderId="21" xfId="0" applyNumberFormat="1" applyFont="1" applyFill="1" applyBorder="1" applyAlignment="1" applyProtection="1">
      <alignment vertical="center" shrinkToFit="1"/>
    </xf>
    <xf numFmtId="178" fontId="0" fillId="40" borderId="7" xfId="0" applyNumberFormat="1" applyFont="1" applyFill="1" applyBorder="1" applyAlignment="1" applyProtection="1">
      <alignment vertical="center" shrinkToFit="1"/>
    </xf>
    <xf numFmtId="178" fontId="50" fillId="40" borderId="22" xfId="0" applyNumberFormat="1" applyFont="1" applyFill="1" applyBorder="1" applyAlignment="1" applyProtection="1">
      <alignment vertical="center" shrinkToFit="1"/>
    </xf>
    <xf numFmtId="178" fontId="50" fillId="40" borderId="7" xfId="0" applyNumberFormat="1" applyFont="1" applyFill="1" applyBorder="1" applyAlignment="1" applyProtection="1">
      <alignment vertical="center" shrinkToFit="1"/>
    </xf>
    <xf numFmtId="178" fontId="50" fillId="35" borderId="36" xfId="0" applyNumberFormat="1" applyFont="1" applyFill="1" applyBorder="1" applyAlignment="1" applyProtection="1">
      <alignment vertical="center" shrinkToFit="1"/>
    </xf>
    <xf numFmtId="178" fontId="50" fillId="4" borderId="7" xfId="1" applyNumberFormat="1" applyFont="1" applyFill="1" applyBorder="1" applyAlignment="1" applyProtection="1">
      <alignment vertical="center" shrinkToFit="1"/>
    </xf>
    <xf numFmtId="0" fontId="0" fillId="0" borderId="8" xfId="0" applyBorder="1" applyProtection="1">
      <alignment vertical="center"/>
    </xf>
    <xf numFmtId="178" fontId="42" fillId="0" borderId="19" xfId="0" applyNumberFormat="1" applyFont="1" applyFill="1" applyBorder="1" applyAlignment="1" applyProtection="1">
      <alignment vertical="center" shrinkToFit="1"/>
    </xf>
    <xf numFmtId="178" fontId="50" fillId="0" borderId="20" xfId="0" applyNumberFormat="1" applyFont="1" applyBorder="1" applyAlignment="1" applyProtection="1">
      <alignment vertical="center" shrinkToFit="1"/>
    </xf>
    <xf numFmtId="178" fontId="50" fillId="2" borderId="19" xfId="1" applyNumberFormat="1" applyFont="1" applyFill="1" applyBorder="1" applyAlignment="1" applyProtection="1">
      <alignment vertical="center" shrinkToFit="1"/>
    </xf>
    <xf numFmtId="0" fontId="42" fillId="0" borderId="0" xfId="0" applyFont="1" applyFill="1" applyBorder="1" applyAlignment="1" applyProtection="1">
      <alignment vertical="center" shrinkToFit="1"/>
    </xf>
    <xf numFmtId="178" fontId="78" fillId="0" borderId="0" xfId="0" applyNumberFormat="1" applyFont="1" applyAlignment="1" applyProtection="1">
      <alignment vertical="center" shrinkToFit="1"/>
    </xf>
    <xf numFmtId="176" fontId="0" fillId="0" borderId="0" xfId="0" applyNumberFormat="1" applyAlignment="1" applyProtection="1">
      <alignment vertical="center" shrinkToFit="1"/>
    </xf>
    <xf numFmtId="176" fontId="50" fillId="0" borderId="0" xfId="0" applyNumberFormat="1" applyFont="1" applyAlignment="1" applyProtection="1">
      <alignment vertical="center" shrinkToFit="1"/>
    </xf>
    <xf numFmtId="187" fontId="50" fillId="3" borderId="321" xfId="0" applyNumberFormat="1" applyFont="1" applyFill="1" applyBorder="1" applyAlignment="1" applyProtection="1">
      <alignment horizontal="center" vertical="center" shrinkToFit="1"/>
    </xf>
    <xf numFmtId="187" fontId="50" fillId="3" borderId="315" xfId="0" applyNumberFormat="1" applyFont="1" applyFill="1" applyBorder="1" applyAlignment="1" applyProtection="1">
      <alignment horizontal="center" vertical="center" shrinkToFit="1"/>
    </xf>
    <xf numFmtId="187" fontId="50" fillId="3" borderId="316" xfId="0" applyNumberFormat="1" applyFont="1" applyFill="1" applyBorder="1" applyAlignment="1" applyProtection="1">
      <alignment horizontal="center" vertical="center" shrinkToFit="1"/>
    </xf>
    <xf numFmtId="178" fontId="50" fillId="0" borderId="10" xfId="0" applyNumberFormat="1" applyFont="1" applyFill="1" applyBorder="1" applyAlignment="1" applyProtection="1">
      <alignment vertical="center" shrinkToFit="1"/>
    </xf>
    <xf numFmtId="0" fontId="0" fillId="4" borderId="10" xfId="0" applyFont="1" applyFill="1" applyBorder="1" applyAlignment="1" applyProtection="1">
      <alignment vertical="center" shrinkToFit="1"/>
    </xf>
    <xf numFmtId="178" fontId="50" fillId="4" borderId="9" xfId="0" applyNumberFormat="1" applyFont="1" applyFill="1" applyBorder="1" applyAlignment="1" applyProtection="1">
      <alignment vertical="center" shrinkToFit="1"/>
    </xf>
    <xf numFmtId="178" fontId="50" fillId="4" borderId="10" xfId="1" applyNumberFormat="1" applyFont="1" applyFill="1" applyBorder="1" applyAlignment="1" applyProtection="1">
      <alignment vertical="center" shrinkToFit="1"/>
    </xf>
    <xf numFmtId="178" fontId="53" fillId="0" borderId="9" xfId="0" applyNumberFormat="1" applyFont="1" applyFill="1" applyBorder="1" applyAlignment="1" applyProtection="1">
      <alignment vertical="center" shrinkToFit="1"/>
    </xf>
    <xf numFmtId="0" fontId="0" fillId="4" borderId="7" xfId="0" applyFont="1" applyFill="1" applyBorder="1" applyAlignment="1" applyProtection="1">
      <alignment vertical="center" shrinkToFit="1"/>
    </xf>
    <xf numFmtId="178" fontId="50" fillId="4" borderId="5" xfId="0" applyNumberFormat="1" applyFont="1" applyFill="1" applyBorder="1" applyAlignment="1" applyProtection="1">
      <alignment vertical="center" shrinkToFit="1"/>
    </xf>
    <xf numFmtId="0" fontId="42" fillId="0" borderId="19" xfId="0" applyFont="1" applyFill="1" applyBorder="1" applyAlignment="1" applyProtection="1">
      <alignment vertical="center" shrinkToFit="1"/>
    </xf>
    <xf numFmtId="178" fontId="50" fillId="0" borderId="19" xfId="0" applyNumberFormat="1" applyFont="1" applyFill="1" applyBorder="1" applyAlignment="1" applyProtection="1">
      <alignment vertical="center" shrinkToFit="1"/>
    </xf>
    <xf numFmtId="178" fontId="0" fillId="0" borderId="0" xfId="0" applyNumberFormat="1" applyAlignment="1" applyProtection="1">
      <alignment vertical="center" shrinkToFit="1"/>
    </xf>
    <xf numFmtId="178" fontId="0" fillId="0" borderId="0" xfId="0" applyNumberFormat="1" applyProtection="1">
      <alignment vertical="center"/>
    </xf>
    <xf numFmtId="187" fontId="0" fillId="0" borderId="31" xfId="0" applyNumberFormat="1" applyBorder="1" applyAlignment="1" applyProtection="1">
      <alignment horizontal="center" vertical="center"/>
    </xf>
    <xf numFmtId="187" fontId="0" fillId="0" borderId="18" xfId="0" applyNumberFormat="1" applyBorder="1" applyAlignment="1" applyProtection="1">
      <alignment horizontal="center" vertical="center"/>
    </xf>
    <xf numFmtId="187" fontId="0" fillId="0" borderId="17" xfId="0" applyNumberFormat="1" applyBorder="1" applyAlignment="1" applyProtection="1">
      <alignment horizontal="center" vertical="center"/>
    </xf>
    <xf numFmtId="178" fontId="0" fillId="0" borderId="0" xfId="0" applyNumberForma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187" fontId="50" fillId="3" borderId="595" xfId="0" applyNumberFormat="1" applyFont="1" applyFill="1" applyBorder="1" applyAlignment="1" applyProtection="1">
      <alignment horizontal="center" vertical="center" shrinkToFit="1"/>
    </xf>
    <xf numFmtId="187" fontId="50" fillId="3" borderId="597" xfId="0" applyNumberFormat="1" applyFont="1" applyFill="1" applyBorder="1" applyAlignment="1" applyProtection="1">
      <alignment horizontal="center" vertical="center" shrinkToFit="1"/>
    </xf>
    <xf numFmtId="189" fontId="50" fillId="3" borderId="596" xfId="0" applyNumberFormat="1" applyFont="1" applyFill="1" applyBorder="1" applyAlignment="1" applyProtection="1">
      <alignment horizontal="center" vertical="center" shrinkToFit="1"/>
    </xf>
    <xf numFmtId="178" fontId="42" fillId="0" borderId="14" xfId="0" applyNumberFormat="1" applyFont="1" applyFill="1" applyBorder="1" applyAlignment="1" applyProtection="1">
      <alignment vertical="center" shrinkToFit="1"/>
    </xf>
    <xf numFmtId="178" fontId="50" fillId="0" borderId="598" xfId="0" applyNumberFormat="1" applyFont="1" applyBorder="1" applyAlignment="1" applyProtection="1">
      <alignment vertical="center" shrinkToFit="1"/>
    </xf>
    <xf numFmtId="178" fontId="50" fillId="0" borderId="599" xfId="0" applyNumberFormat="1" applyFont="1" applyBorder="1" applyAlignment="1" applyProtection="1">
      <alignment vertical="center" shrinkToFit="1"/>
    </xf>
    <xf numFmtId="178" fontId="42" fillId="0" borderId="16" xfId="0" applyNumberFormat="1" applyFont="1" applyFill="1" applyBorder="1" applyAlignment="1" applyProtection="1">
      <alignment vertical="center" shrinkToFit="1"/>
    </xf>
    <xf numFmtId="178" fontId="50" fillId="0" borderId="600" xfId="0" applyNumberFormat="1" applyFont="1" applyBorder="1" applyAlignment="1" applyProtection="1">
      <alignment vertical="center" shrinkToFit="1"/>
    </xf>
    <xf numFmtId="0" fontId="0" fillId="0" borderId="19" xfId="0" applyFont="1" applyBorder="1" applyAlignment="1" applyProtection="1">
      <alignment vertical="center" shrinkToFit="1"/>
    </xf>
    <xf numFmtId="178" fontId="50" fillId="0" borderId="601" xfId="0" applyNumberFormat="1" applyFont="1" applyFill="1" applyBorder="1" applyAlignment="1" applyProtection="1">
      <alignment vertical="center" shrinkToFit="1"/>
    </xf>
    <xf numFmtId="178" fontId="50" fillId="0" borderId="35" xfId="0" applyNumberFormat="1" applyFont="1" applyFill="1" applyBorder="1" applyAlignment="1" applyProtection="1">
      <alignment vertical="center" shrinkToFit="1"/>
    </xf>
    <xf numFmtId="0" fontId="0" fillId="0" borderId="33" xfId="0" applyFont="1" applyBorder="1" applyAlignment="1" applyProtection="1">
      <alignment vertical="center" shrinkToFit="1"/>
    </xf>
    <xf numFmtId="178" fontId="50" fillId="0" borderId="34" xfId="1" applyNumberFormat="1" applyFont="1" applyBorder="1" applyAlignment="1" applyProtection="1">
      <alignment vertical="center" shrinkToFit="1"/>
    </xf>
    <xf numFmtId="0" fontId="0" fillId="0" borderId="10" xfId="0" applyFont="1" applyBorder="1" applyAlignment="1" applyProtection="1">
      <alignment vertical="center" shrinkToFit="1"/>
    </xf>
    <xf numFmtId="178" fontId="50" fillId="0" borderId="9" xfId="1" applyNumberFormat="1" applyFont="1" applyBorder="1" applyAlignment="1" applyProtection="1">
      <alignment vertical="center" shrinkToFit="1"/>
    </xf>
    <xf numFmtId="178" fontId="0" fillId="0" borderId="0" xfId="0" applyNumberFormat="1" applyBorder="1" applyProtection="1">
      <alignment vertical="center"/>
    </xf>
    <xf numFmtId="178" fontId="0" fillId="4" borderId="10" xfId="0" applyNumberFormat="1" applyFont="1" applyFill="1" applyBorder="1" applyAlignment="1" applyProtection="1">
      <alignment vertical="center" shrinkToFit="1"/>
    </xf>
    <xf numFmtId="178" fontId="50" fillId="0" borderId="36" xfId="0" applyNumberFormat="1" applyFont="1" applyBorder="1" applyAlignment="1">
      <alignment horizontal="center" vertical="center" shrinkToFit="1"/>
    </xf>
    <xf numFmtId="0" fontId="50" fillId="0" borderId="637" xfId="0" applyFont="1" applyBorder="1">
      <alignment vertical="center"/>
    </xf>
    <xf numFmtId="178" fontId="51" fillId="0" borderId="638" xfId="0" applyNumberFormat="1" applyFont="1" applyBorder="1" applyAlignment="1">
      <alignment vertical="center" shrinkToFit="1"/>
    </xf>
    <xf numFmtId="178" fontId="51" fillId="0" borderId="639" xfId="0" applyNumberFormat="1" applyFont="1" applyBorder="1" applyAlignment="1">
      <alignment vertical="center" shrinkToFit="1"/>
    </xf>
    <xf numFmtId="178" fontId="51" fillId="0" borderId="104" xfId="0" applyNumberFormat="1" applyFont="1" applyBorder="1" applyAlignment="1">
      <alignment vertical="center" shrinkToFit="1"/>
    </xf>
    <xf numFmtId="178" fontId="51" fillId="0" borderId="89" xfId="0" applyNumberFormat="1" applyFont="1" applyBorder="1" applyAlignment="1">
      <alignment vertical="center" shrinkToFit="1"/>
    </xf>
    <xf numFmtId="178" fontId="51" fillId="0" borderId="608" xfId="0" applyNumberFormat="1" applyFont="1" applyBorder="1" applyAlignment="1">
      <alignment vertical="center" shrinkToFit="1"/>
    </xf>
    <xf numFmtId="178" fontId="51" fillId="0" borderId="105" xfId="0" applyNumberFormat="1" applyFont="1" applyBorder="1" applyAlignment="1">
      <alignment vertical="center" shrinkToFit="1"/>
    </xf>
    <xf numFmtId="0" fontId="2" fillId="0" borderId="0" xfId="10" applyFont="1">
      <alignment vertical="center"/>
    </xf>
    <xf numFmtId="0" fontId="0" fillId="0" borderId="24" xfId="0" applyBorder="1" applyAlignment="1">
      <alignment horizontal="center" vertical="center"/>
    </xf>
    <xf numFmtId="0" fontId="0" fillId="0" borderId="640" xfId="0" applyBorder="1" applyAlignment="1">
      <alignment horizontal="center" vertical="center"/>
    </xf>
    <xf numFmtId="178" fontId="50" fillId="41" borderId="10" xfId="0" applyNumberFormat="1" applyFont="1" applyFill="1" applyBorder="1" applyAlignment="1" applyProtection="1">
      <alignment vertical="center" shrinkToFit="1"/>
    </xf>
    <xf numFmtId="0" fontId="42" fillId="41" borderId="10" xfId="0" applyFont="1" applyFill="1" applyBorder="1" applyAlignment="1" applyProtection="1">
      <alignment vertical="center" shrinkToFit="1"/>
    </xf>
    <xf numFmtId="178" fontId="50" fillId="41" borderId="10" xfId="1" applyNumberFormat="1" applyFont="1" applyFill="1" applyBorder="1" applyAlignment="1" applyProtection="1">
      <alignment vertical="center" shrinkToFit="1"/>
    </xf>
    <xf numFmtId="0" fontId="0" fillId="0" borderId="366" xfId="0" applyBorder="1" applyAlignment="1">
      <alignment horizontal="center" vertical="center"/>
    </xf>
    <xf numFmtId="178" fontId="0" fillId="6" borderId="1" xfId="0" applyNumberFormat="1" applyFill="1" applyBorder="1" applyProtection="1">
      <alignment vertical="center"/>
      <protection hidden="1"/>
    </xf>
    <xf numFmtId="0" fontId="0" fillId="0" borderId="0" xfId="0" applyAlignment="1">
      <alignment horizontal="center" vertical="center"/>
    </xf>
    <xf numFmtId="197" fontId="50" fillId="0" borderId="0" xfId="0" applyNumberFormat="1" applyFont="1">
      <alignment vertical="center"/>
    </xf>
    <xf numFmtId="0" fontId="50" fillId="0" borderId="0" xfId="0" applyFont="1" applyBorder="1" applyAlignment="1">
      <alignment horizontal="center" vertical="center"/>
    </xf>
    <xf numFmtId="0" fontId="49" fillId="0" borderId="0" xfId="0" applyFont="1" applyBorder="1" applyAlignment="1">
      <alignment horizontal="center" vertical="center"/>
    </xf>
    <xf numFmtId="0" fontId="49" fillId="0" borderId="27" xfId="0" applyFont="1" applyFill="1" applyBorder="1" applyAlignment="1">
      <alignment horizontal="center" vertical="center" shrinkToFit="1"/>
    </xf>
    <xf numFmtId="187" fontId="49" fillId="8" borderId="18" xfId="0" applyNumberFormat="1" applyFont="1" applyFill="1" applyBorder="1" applyAlignment="1">
      <alignment horizontal="center" vertical="center" shrinkToFit="1"/>
    </xf>
    <xf numFmtId="178" fontId="49" fillId="0" borderId="13" xfId="0" applyNumberFormat="1" applyFont="1" applyBorder="1">
      <alignment vertical="center"/>
    </xf>
    <xf numFmtId="178" fontId="49" fillId="0" borderId="25" xfId="0" applyNumberFormat="1" applyFont="1" applyBorder="1">
      <alignment vertical="center"/>
    </xf>
    <xf numFmtId="178" fontId="49" fillId="0" borderId="1" xfId="0" applyNumberFormat="1" applyFont="1" applyBorder="1">
      <alignment vertical="center"/>
    </xf>
    <xf numFmtId="178" fontId="49" fillId="0" borderId="3" xfId="0" applyNumberFormat="1" applyFont="1" applyBorder="1">
      <alignment vertical="center"/>
    </xf>
    <xf numFmtId="178" fontId="49" fillId="0" borderId="9" xfId="0" applyNumberFormat="1" applyFont="1" applyBorder="1">
      <alignment vertical="center"/>
    </xf>
    <xf numFmtId="179" fontId="49" fillId="0" borderId="1" xfId="0" applyNumberFormat="1" applyFont="1" applyBorder="1">
      <alignment vertical="center"/>
    </xf>
    <xf numFmtId="178" fontId="49" fillId="0" borderId="350" xfId="0" applyNumberFormat="1" applyFont="1" applyBorder="1">
      <alignment vertical="center"/>
    </xf>
    <xf numFmtId="178" fontId="49" fillId="0" borderId="38" xfId="0" applyNumberFormat="1" applyFont="1" applyBorder="1">
      <alignment vertical="center"/>
    </xf>
    <xf numFmtId="178" fontId="49" fillId="0" borderId="625" xfId="0" applyNumberFormat="1" applyFont="1" applyBorder="1">
      <alignment vertical="center"/>
    </xf>
    <xf numFmtId="187" fontId="49" fillId="0" borderId="18" xfId="0" applyNumberFormat="1" applyFont="1" applyFill="1" applyBorder="1" applyAlignment="1">
      <alignment horizontal="center" vertical="center" shrinkToFit="1"/>
    </xf>
    <xf numFmtId="187" fontId="49" fillId="0" borderId="20" xfId="0" applyNumberFormat="1" applyFont="1" applyFill="1" applyBorder="1" applyAlignment="1">
      <alignment horizontal="center" vertical="center" shrinkToFit="1"/>
    </xf>
    <xf numFmtId="0" fontId="49" fillId="0" borderId="626" xfId="0" applyFont="1" applyBorder="1" applyAlignment="1">
      <alignment vertical="center" shrinkToFit="1"/>
    </xf>
    <xf numFmtId="178" fontId="49" fillId="0" borderId="2" xfId="1" applyNumberFormat="1" applyFont="1" applyBorder="1" applyAlignment="1">
      <alignment vertical="center" shrinkToFit="1"/>
    </xf>
    <xf numFmtId="178" fontId="49" fillId="0" borderId="46" xfId="0" applyNumberFormat="1" applyFont="1" applyBorder="1">
      <alignment vertical="center"/>
    </xf>
    <xf numFmtId="178" fontId="49" fillId="0" borderId="36" xfId="1" applyNumberFormat="1" applyFont="1" applyBorder="1" applyAlignment="1">
      <alignment vertical="center" shrinkToFit="1"/>
    </xf>
    <xf numFmtId="178" fontId="49" fillId="0" borderId="626" xfId="0" applyNumberFormat="1" applyFont="1" applyBorder="1">
      <alignment vertical="center"/>
    </xf>
    <xf numFmtId="178" fontId="49" fillId="0" borderId="103" xfId="0" applyNumberFormat="1" applyFont="1" applyBorder="1">
      <alignment vertical="center"/>
    </xf>
    <xf numFmtId="178" fontId="49" fillId="0" borderId="36" xfId="0" applyNumberFormat="1" applyFont="1" applyBorder="1">
      <alignment vertical="center"/>
    </xf>
    <xf numFmtId="178" fontId="49" fillId="0" borderId="161" xfId="0" applyNumberFormat="1" applyFont="1" applyBorder="1">
      <alignment vertical="center"/>
    </xf>
    <xf numFmtId="0" fontId="49" fillId="0" borderId="29" xfId="0" applyFont="1" applyBorder="1" applyAlignment="1">
      <alignment vertical="center" shrinkToFit="1"/>
    </xf>
    <xf numFmtId="178" fontId="49" fillId="0" borderId="1" xfId="1" applyNumberFormat="1" applyFont="1" applyBorder="1" applyAlignment="1">
      <alignment vertical="center" shrinkToFit="1"/>
    </xf>
    <xf numFmtId="178" fontId="49" fillId="0" borderId="4" xfId="1" applyNumberFormat="1" applyFont="1" applyBorder="1" applyAlignment="1">
      <alignment vertical="center" shrinkToFit="1"/>
    </xf>
    <xf numFmtId="178" fontId="49" fillId="0" borderId="29" xfId="0" applyNumberFormat="1" applyFont="1" applyBorder="1">
      <alignment vertical="center"/>
    </xf>
    <xf numFmtId="178" fontId="49" fillId="0" borderId="41" xfId="0" applyNumberFormat="1" applyFont="1" applyBorder="1">
      <alignment vertical="center"/>
    </xf>
    <xf numFmtId="178" fontId="49" fillId="0" borderId="4" xfId="0" applyNumberFormat="1" applyFont="1" applyBorder="1">
      <alignment vertical="center"/>
    </xf>
    <xf numFmtId="178" fontId="49" fillId="0" borderId="40" xfId="0" applyNumberFormat="1" applyFont="1" applyBorder="1">
      <alignment vertical="center"/>
    </xf>
    <xf numFmtId="0" fontId="49" fillId="0" borderId="157" xfId="0" applyFont="1" applyBorder="1" applyAlignment="1">
      <alignment vertical="center" shrinkToFit="1"/>
    </xf>
    <xf numFmtId="178" fontId="49" fillId="0" borderId="350" xfId="1" applyNumberFormat="1" applyFont="1" applyBorder="1" applyAlignment="1">
      <alignment vertical="center" shrinkToFit="1"/>
    </xf>
    <xf numFmtId="178" fontId="49" fillId="0" borderId="23" xfId="1" applyNumberFormat="1" applyFont="1" applyBorder="1" applyAlignment="1">
      <alignment vertical="center" shrinkToFit="1"/>
    </xf>
    <xf numFmtId="178" fontId="49" fillId="0" borderId="157" xfId="0" applyNumberFormat="1" applyFont="1" applyBorder="1">
      <alignment vertical="center"/>
    </xf>
    <xf numFmtId="178" fontId="49" fillId="0" borderId="643" xfId="0" applyNumberFormat="1" applyFont="1" applyBorder="1">
      <alignment vertical="center"/>
    </xf>
    <xf numFmtId="178" fontId="49" fillId="0" borderId="23" xfId="0" applyNumberFormat="1" applyFont="1" applyBorder="1">
      <alignment vertical="center"/>
    </xf>
    <xf numFmtId="178" fontId="49" fillId="0" borderId="80" xfId="0" applyNumberFormat="1" applyFont="1" applyBorder="1">
      <alignment vertical="center"/>
    </xf>
    <xf numFmtId="178" fontId="49" fillId="0" borderId="27" xfId="0" applyNumberFormat="1" applyFont="1" applyFill="1" applyBorder="1" applyAlignment="1">
      <alignment horizontal="center" vertical="center" shrinkToFit="1"/>
    </xf>
    <xf numFmtId="178" fontId="49" fillId="0" borderId="18" xfId="0" applyNumberFormat="1" applyFont="1" applyFill="1" applyBorder="1" applyAlignment="1">
      <alignment vertical="center" shrinkToFit="1"/>
    </xf>
    <xf numFmtId="178" fontId="49" fillId="0" borderId="31" xfId="0" applyNumberFormat="1" applyFont="1" applyFill="1" applyBorder="1" applyAlignment="1">
      <alignment vertical="center" shrinkToFit="1"/>
    </xf>
    <xf numFmtId="178" fontId="49" fillId="0" borderId="20" xfId="0" applyNumberFormat="1" applyFont="1" applyFill="1" applyBorder="1" applyAlignment="1">
      <alignment vertical="center" shrinkToFit="1"/>
    </xf>
    <xf numFmtId="178" fontId="49" fillId="0" borderId="17" xfId="0" applyNumberFormat="1" applyFont="1" applyBorder="1">
      <alignment vertical="center"/>
    </xf>
    <xf numFmtId="178" fontId="49" fillId="0" borderId="27" xfId="0" applyNumberFormat="1" applyFont="1" applyBorder="1">
      <alignment vertical="center"/>
    </xf>
    <xf numFmtId="178" fontId="49" fillId="0" borderId="642" xfId="0" applyNumberFormat="1" applyFont="1" applyBorder="1">
      <alignment vertical="center"/>
    </xf>
    <xf numFmtId="178" fontId="49" fillId="0" borderId="20" xfId="0" applyNumberFormat="1" applyFont="1" applyBorder="1">
      <alignment vertical="center"/>
    </xf>
    <xf numFmtId="178" fontId="49" fillId="0" borderId="35" xfId="0" applyNumberFormat="1" applyFont="1" applyBorder="1">
      <alignment vertical="center"/>
    </xf>
    <xf numFmtId="0" fontId="49" fillId="0" borderId="57" xfId="0" applyFont="1" applyFill="1" applyBorder="1" applyAlignment="1">
      <alignment horizontal="center" vertical="center" shrinkToFit="1"/>
    </xf>
    <xf numFmtId="0" fontId="49" fillId="0" borderId="628" xfId="0" applyFont="1" applyBorder="1" applyAlignment="1">
      <alignment vertical="center" shrinkToFit="1"/>
    </xf>
    <xf numFmtId="178" fontId="49" fillId="0" borderId="2" xfId="0" applyNumberFormat="1" applyFont="1" applyBorder="1">
      <alignment vertical="center"/>
    </xf>
    <xf numFmtId="0" fontId="49" fillId="0" borderId="63" xfId="0" applyFont="1" applyBorder="1" applyAlignment="1">
      <alignment vertical="center" shrinkToFit="1"/>
    </xf>
    <xf numFmtId="178" fontId="49" fillId="0" borderId="57" xfId="0" applyNumberFormat="1" applyFont="1" applyFill="1" applyBorder="1" applyAlignment="1">
      <alignment horizontal="center" vertical="center" shrinkToFit="1"/>
    </xf>
    <xf numFmtId="178" fontId="49" fillId="0" borderId="18" xfId="0" applyNumberFormat="1" applyFont="1" applyBorder="1">
      <alignment vertical="center"/>
    </xf>
    <xf numFmtId="178" fontId="49" fillId="0" borderId="31" xfId="0" applyNumberFormat="1" applyFont="1" applyBorder="1">
      <alignment vertical="center"/>
    </xf>
    <xf numFmtId="0" fontId="49" fillId="0" borderId="0" xfId="0" applyFont="1" applyAlignment="1">
      <alignment horizontal="right" vertical="center"/>
    </xf>
    <xf numFmtId="178" fontId="104" fillId="0" borderId="626" xfId="0" applyNumberFormat="1" applyFont="1" applyFill="1" applyBorder="1" applyAlignment="1">
      <alignment vertical="center" shrinkToFit="1"/>
    </xf>
    <xf numFmtId="178" fontId="49" fillId="0" borderId="10" xfId="0" applyNumberFormat="1" applyFont="1" applyBorder="1">
      <alignment vertical="center"/>
    </xf>
    <xf numFmtId="178" fontId="104" fillId="0" borderId="29" xfId="0" applyNumberFormat="1" applyFont="1" applyFill="1" applyBorder="1" applyAlignment="1">
      <alignment vertical="center" shrinkToFit="1"/>
    </xf>
    <xf numFmtId="178" fontId="104" fillId="0" borderId="157" xfId="0" applyNumberFormat="1" applyFont="1" applyFill="1" applyBorder="1" applyAlignment="1">
      <alignment vertical="center" shrinkToFit="1"/>
    </xf>
    <xf numFmtId="178" fontId="49" fillId="0" borderId="16" xfId="0" applyNumberFormat="1" applyFont="1" applyBorder="1">
      <alignment vertical="center"/>
    </xf>
    <xf numFmtId="178" fontId="49" fillId="0" borderId="19" xfId="0" applyNumberFormat="1" applyFont="1" applyBorder="1">
      <alignment vertical="center"/>
    </xf>
    <xf numFmtId="0" fontId="49" fillId="0" borderId="28" xfId="0" applyFont="1" applyBorder="1" applyAlignment="1">
      <alignment vertical="center" shrinkToFit="1"/>
    </xf>
    <xf numFmtId="0" fontId="49" fillId="0" borderId="629" xfId="0" applyFont="1" applyBorder="1" applyAlignment="1">
      <alignment vertical="center" shrinkToFit="1"/>
    </xf>
    <xf numFmtId="0" fontId="49" fillId="0" borderId="27" xfId="0" applyFont="1" applyBorder="1" applyAlignment="1">
      <alignment horizontal="center" vertical="center" shrinkToFit="1"/>
    </xf>
    <xf numFmtId="0" fontId="50" fillId="0" borderId="21" xfId="0" applyFont="1" applyBorder="1" applyAlignment="1">
      <alignment horizontal="center" vertical="center"/>
    </xf>
    <xf numFmtId="0" fontId="50" fillId="0" borderId="630" xfId="0" applyFont="1" applyBorder="1" applyAlignment="1">
      <alignment horizontal="center" vertical="center"/>
    </xf>
    <xf numFmtId="0" fontId="49" fillId="0" borderId="17" xfId="0" applyFont="1" applyFill="1" applyBorder="1" applyAlignment="1">
      <alignment horizontal="center" vertical="center" shrinkToFit="1"/>
    </xf>
    <xf numFmtId="0" fontId="49" fillId="0" borderId="20" xfId="0" applyFont="1" applyBorder="1" applyAlignment="1">
      <alignment horizontal="center" vertical="center" shrinkToFit="1"/>
    </xf>
    <xf numFmtId="0" fontId="49" fillId="0" borderId="18" xfId="0" applyFont="1" applyBorder="1" applyAlignment="1">
      <alignment horizontal="center" vertical="center" shrinkToFit="1"/>
    </xf>
    <xf numFmtId="0" fontId="49" fillId="0" borderId="17" xfId="0" applyFont="1" applyBorder="1" applyAlignment="1">
      <alignment horizontal="center" vertical="center" shrinkToFit="1"/>
    </xf>
    <xf numFmtId="0" fontId="49" fillId="0" borderId="19" xfId="0" applyFont="1" applyFill="1" applyBorder="1" applyAlignment="1">
      <alignment horizontal="center" vertical="center" shrinkToFit="1"/>
    </xf>
    <xf numFmtId="178" fontId="49" fillId="0" borderId="21" xfId="0" applyNumberFormat="1" applyFont="1" applyBorder="1">
      <alignment vertical="center"/>
    </xf>
    <xf numFmtId="179" fontId="49" fillId="0" borderId="4" xfId="0" applyNumberFormat="1" applyFont="1" applyBorder="1">
      <alignment vertical="center"/>
    </xf>
    <xf numFmtId="178" fontId="49" fillId="0" borderId="630" xfId="0" applyNumberFormat="1" applyFont="1" applyBorder="1">
      <alignment vertical="center"/>
    </xf>
    <xf numFmtId="178" fontId="49" fillId="0" borderId="39" xfId="0" applyNumberFormat="1" applyFont="1" applyBorder="1">
      <alignment vertical="center"/>
    </xf>
    <xf numFmtId="179" fontId="49" fillId="0" borderId="40" xfId="0" applyNumberFormat="1" applyFont="1" applyBorder="1">
      <alignment vertical="center"/>
    </xf>
    <xf numFmtId="178" fontId="49" fillId="0" borderId="644" xfId="0" applyNumberFormat="1" applyFont="1" applyBorder="1">
      <alignment vertical="center"/>
    </xf>
    <xf numFmtId="0" fontId="49" fillId="0" borderId="20" xfId="0" applyFont="1" applyFill="1" applyBorder="1" applyAlignment="1">
      <alignment horizontal="center" vertical="center"/>
    </xf>
    <xf numFmtId="0" fontId="49" fillId="0" borderId="645" xfId="0" applyFont="1" applyBorder="1" applyAlignment="1">
      <alignment horizontal="center" vertical="center"/>
    </xf>
    <xf numFmtId="0" fontId="49" fillId="0" borderId="20" xfId="0" applyFont="1" applyBorder="1" applyAlignment="1">
      <alignment horizontal="center" vertical="center"/>
    </xf>
    <xf numFmtId="0" fontId="49" fillId="0" borderId="27" xfId="0" applyFont="1" applyBorder="1" applyAlignment="1">
      <alignment horizontal="center" vertical="center"/>
    </xf>
    <xf numFmtId="0" fontId="49" fillId="0" borderId="647" xfId="0" applyFont="1" applyBorder="1" applyAlignment="1">
      <alignment horizontal="center" vertical="center"/>
    </xf>
    <xf numFmtId="0" fontId="49" fillId="0" borderId="648" xfId="0" applyFont="1" applyFill="1" applyBorder="1" applyAlignment="1">
      <alignment horizontal="center" vertical="center"/>
    </xf>
    <xf numFmtId="178" fontId="49" fillId="0" borderId="649" xfId="0" applyNumberFormat="1" applyFont="1" applyBorder="1">
      <alignment vertical="center"/>
    </xf>
    <xf numFmtId="178" fontId="49" fillId="0" borderId="650" xfId="0" applyNumberFormat="1" applyFont="1" applyBorder="1">
      <alignment vertical="center"/>
    </xf>
    <xf numFmtId="179" fontId="49" fillId="0" borderId="39" xfId="0" applyNumberFormat="1" applyFont="1" applyBorder="1">
      <alignment vertical="center"/>
    </xf>
    <xf numFmtId="178" fontId="49" fillId="0" borderId="651" xfId="0" applyNumberFormat="1" applyFont="1" applyBorder="1">
      <alignment vertical="center"/>
    </xf>
    <xf numFmtId="178" fontId="49" fillId="0" borderId="652" xfId="0" applyNumberFormat="1" applyFont="1" applyBorder="1">
      <alignment vertical="center"/>
    </xf>
    <xf numFmtId="178" fontId="49" fillId="0" borderId="653" xfId="0" applyNumberFormat="1" applyFont="1" applyBorder="1">
      <alignment vertical="center"/>
    </xf>
    <xf numFmtId="179" fontId="49" fillId="0" borderId="79" xfId="0" applyNumberFormat="1" applyFont="1" applyBorder="1">
      <alignment vertical="center"/>
    </xf>
    <xf numFmtId="178" fontId="49" fillId="0" borderId="654" xfId="0" applyNumberFormat="1" applyFont="1" applyBorder="1">
      <alignment vertical="center"/>
    </xf>
    <xf numFmtId="178" fontId="49" fillId="0" borderId="655" xfId="0" applyNumberFormat="1" applyFont="1" applyBorder="1">
      <alignment vertical="center"/>
    </xf>
    <xf numFmtId="179" fontId="49" fillId="0" borderId="644" xfId="0" applyNumberFormat="1" applyFont="1" applyBorder="1">
      <alignment vertical="center"/>
    </xf>
    <xf numFmtId="0" fontId="49" fillId="0" borderId="60" xfId="0" applyFont="1" applyFill="1" applyBorder="1" applyAlignment="1">
      <alignment horizontal="center" vertical="center" shrinkToFit="1"/>
    </xf>
    <xf numFmtId="178" fontId="49" fillId="0" borderId="60" xfId="0" applyNumberFormat="1" applyFont="1" applyBorder="1">
      <alignment vertical="center"/>
    </xf>
    <xf numFmtId="0" fontId="0" fillId="0" borderId="0" xfId="0" applyBorder="1" applyAlignment="1">
      <alignment horizontal="right" vertical="center"/>
    </xf>
    <xf numFmtId="0" fontId="50" fillId="0" borderId="0" xfId="0" applyFont="1" applyFill="1" applyBorder="1" applyAlignment="1">
      <alignment horizontal="center" vertical="center"/>
    </xf>
    <xf numFmtId="179" fontId="50" fillId="0" borderId="0" xfId="0" applyNumberFormat="1" applyFont="1" applyBorder="1">
      <alignment vertical="center"/>
    </xf>
    <xf numFmtId="0" fontId="55" fillId="14" borderId="175" xfId="3" applyFont="1" applyFill="1" applyBorder="1" applyAlignment="1">
      <alignment horizontal="center" vertical="center" wrapText="1"/>
    </xf>
    <xf numFmtId="0" fontId="0" fillId="0" borderId="0" xfId="35" applyFont="1" applyProtection="1">
      <alignment vertical="center"/>
    </xf>
    <xf numFmtId="0" fontId="39" fillId="21" borderId="224" xfId="3" applyFont="1" applyFill="1" applyBorder="1">
      <alignment vertical="center"/>
    </xf>
    <xf numFmtId="178" fontId="55" fillId="21" borderId="532" xfId="3" applyNumberFormat="1" applyFont="1" applyFill="1" applyBorder="1" applyAlignment="1" applyProtection="1">
      <alignment vertical="center" shrinkToFit="1"/>
      <protection hidden="1"/>
    </xf>
    <xf numFmtId="178" fontId="55" fillId="21" borderId="529" xfId="3" applyNumberFormat="1" applyFont="1" applyFill="1" applyBorder="1" applyAlignment="1" applyProtection="1">
      <alignment vertical="center" shrinkToFit="1"/>
      <protection hidden="1"/>
    </xf>
    <xf numFmtId="200" fontId="55" fillId="22" borderId="656" xfId="3" applyNumberFormat="1" applyFont="1" applyFill="1" applyBorder="1" applyAlignment="1">
      <alignment vertical="center" shrinkToFit="1"/>
    </xf>
    <xf numFmtId="0" fontId="39" fillId="24" borderId="657" xfId="3" applyFont="1" applyFill="1" applyBorder="1" applyAlignment="1" applyProtection="1">
      <alignment vertical="center" shrinkToFit="1"/>
    </xf>
    <xf numFmtId="178" fontId="55" fillId="24" borderId="658" xfId="3" applyNumberFormat="1" applyFont="1" applyFill="1" applyBorder="1" applyAlignment="1" applyProtection="1">
      <alignment vertical="center" shrinkToFit="1"/>
    </xf>
    <xf numFmtId="178" fontId="55" fillId="24" borderId="659" xfId="3" applyNumberFormat="1" applyFont="1" applyFill="1" applyBorder="1" applyAlignment="1" applyProtection="1">
      <alignment vertical="center" shrinkToFit="1"/>
    </xf>
    <xf numFmtId="178" fontId="55" fillId="0" borderId="263" xfId="3" applyNumberFormat="1" applyFont="1" applyFill="1" applyBorder="1" applyAlignment="1" applyProtection="1">
      <alignment vertical="center" shrinkToFit="1"/>
      <protection locked="0"/>
    </xf>
    <xf numFmtId="178" fontId="55" fillId="21" borderId="300" xfId="3" applyNumberFormat="1" applyFont="1" applyFill="1" applyBorder="1" applyAlignment="1" applyProtection="1">
      <alignment vertical="center" shrinkToFit="1"/>
      <protection hidden="1"/>
    </xf>
    <xf numFmtId="178" fontId="55" fillId="21" borderId="525" xfId="3" applyNumberFormat="1" applyFont="1" applyFill="1" applyBorder="1" applyAlignment="1" applyProtection="1">
      <alignment vertical="center" shrinkToFit="1"/>
      <protection hidden="1"/>
    </xf>
    <xf numFmtId="178" fontId="55" fillId="21" borderId="517" xfId="3" applyNumberFormat="1" applyFont="1" applyFill="1" applyBorder="1" applyAlignment="1" applyProtection="1">
      <alignment vertical="center" shrinkToFit="1"/>
      <protection hidden="1"/>
    </xf>
    <xf numFmtId="178" fontId="55" fillId="21" borderId="299" xfId="3" applyNumberFormat="1" applyFont="1" applyFill="1" applyBorder="1" applyAlignment="1" applyProtection="1">
      <alignment vertical="center" shrinkToFit="1"/>
      <protection hidden="1"/>
    </xf>
    <xf numFmtId="178" fontId="55" fillId="21" borderId="500" xfId="3" applyNumberFormat="1" applyFont="1" applyFill="1" applyBorder="1" applyAlignment="1" applyProtection="1">
      <alignment vertical="center" shrinkToFit="1"/>
      <protection hidden="1"/>
    </xf>
    <xf numFmtId="178" fontId="55" fillId="0" borderId="660" xfId="3" applyNumberFormat="1" applyFont="1" applyFill="1" applyBorder="1" applyAlignment="1" applyProtection="1">
      <alignment vertical="center" shrinkToFit="1"/>
      <protection locked="0"/>
    </xf>
    <xf numFmtId="178" fontId="55" fillId="21" borderId="526" xfId="3" applyNumberFormat="1" applyFont="1" applyFill="1" applyBorder="1" applyAlignment="1" applyProtection="1">
      <alignment vertical="center" shrinkToFit="1"/>
      <protection locked="0"/>
    </xf>
    <xf numFmtId="178" fontId="55" fillId="21" borderId="661" xfId="3" applyNumberFormat="1" applyFont="1" applyFill="1" applyBorder="1" applyAlignment="1" applyProtection="1">
      <alignment vertical="center" shrinkToFit="1"/>
      <protection hidden="1"/>
    </xf>
    <xf numFmtId="200" fontId="55" fillId="22" borderId="662" xfId="3" applyNumberFormat="1" applyFont="1" applyFill="1" applyBorder="1" applyAlignment="1">
      <alignment vertical="center" shrinkToFit="1"/>
    </xf>
    <xf numFmtId="178" fontId="55" fillId="21" borderId="663" xfId="3" applyNumberFormat="1" applyFont="1" applyFill="1" applyBorder="1" applyAlignment="1" applyProtection="1">
      <alignment vertical="center" shrinkToFit="1"/>
      <protection hidden="1"/>
    </xf>
    <xf numFmtId="178" fontId="55" fillId="21" borderId="617" xfId="3" applyNumberFormat="1" applyFont="1" applyFill="1" applyBorder="1" applyAlignment="1" applyProtection="1">
      <alignment vertical="center" shrinkToFit="1"/>
      <protection locked="0"/>
    </xf>
    <xf numFmtId="178" fontId="55" fillId="21" borderId="617" xfId="3" applyNumberFormat="1" applyFont="1" applyFill="1" applyBorder="1" applyAlignment="1" applyProtection="1">
      <alignment vertical="center" shrinkToFit="1"/>
      <protection hidden="1"/>
    </xf>
    <xf numFmtId="178" fontId="106" fillId="0" borderId="244" xfId="3" applyNumberFormat="1" applyFont="1" applyFill="1" applyBorder="1" applyAlignment="1" applyProtection="1">
      <alignment vertical="center" shrinkToFit="1"/>
    </xf>
    <xf numFmtId="178" fontId="106" fillId="0" borderId="245" xfId="3" applyNumberFormat="1" applyFont="1" applyFill="1" applyBorder="1" applyAlignment="1" applyProtection="1">
      <alignment vertical="center" shrinkToFit="1"/>
    </xf>
    <xf numFmtId="178" fontId="106" fillId="0" borderId="250" xfId="3" applyNumberFormat="1" applyFont="1" applyFill="1" applyBorder="1" applyAlignment="1" applyProtection="1">
      <alignment vertical="center" shrinkToFit="1"/>
    </xf>
    <xf numFmtId="178" fontId="106" fillId="0" borderId="251" xfId="3" applyNumberFormat="1" applyFont="1" applyFill="1" applyBorder="1" applyAlignment="1" applyProtection="1">
      <alignment vertical="center" shrinkToFit="1"/>
    </xf>
    <xf numFmtId="178" fontId="106" fillId="24" borderId="250" xfId="3" applyNumberFormat="1" applyFont="1" applyFill="1" applyBorder="1" applyAlignment="1" applyProtection="1">
      <alignment vertical="center" shrinkToFit="1"/>
    </xf>
    <xf numFmtId="178" fontId="106" fillId="24" borderId="251" xfId="3" applyNumberFormat="1" applyFont="1" applyFill="1" applyBorder="1" applyAlignment="1" applyProtection="1">
      <alignment vertical="center" shrinkToFit="1"/>
    </xf>
    <xf numFmtId="178" fontId="106" fillId="0" borderId="244" xfId="3" quotePrefix="1" applyNumberFormat="1" applyFont="1" applyFill="1" applyBorder="1" applyAlignment="1" applyProtection="1">
      <alignment vertical="center" shrinkToFit="1"/>
    </xf>
    <xf numFmtId="178" fontId="106" fillId="33" borderId="250" xfId="3" applyNumberFormat="1" applyFont="1" applyFill="1" applyBorder="1" applyAlignment="1" applyProtection="1">
      <alignment vertical="center" shrinkToFit="1"/>
    </xf>
    <xf numFmtId="178" fontId="106" fillId="33" borderId="251" xfId="3" applyNumberFormat="1" applyFont="1" applyFill="1" applyBorder="1" applyAlignment="1" applyProtection="1">
      <alignment vertical="center" shrinkToFit="1"/>
    </xf>
    <xf numFmtId="0" fontId="39" fillId="8" borderId="175" xfId="3" applyFont="1" applyFill="1" applyBorder="1" applyAlignment="1" applyProtection="1">
      <alignment vertical="center" shrinkToFit="1"/>
    </xf>
    <xf numFmtId="0" fontId="39" fillId="8" borderId="249" xfId="3" applyFont="1" applyFill="1" applyBorder="1" applyAlignment="1" applyProtection="1">
      <alignment vertical="center" shrinkToFit="1"/>
    </xf>
    <xf numFmtId="0" fontId="39" fillId="8" borderId="176" xfId="3" applyFont="1" applyFill="1" applyBorder="1" applyAlignment="1" applyProtection="1">
      <alignment vertical="center" shrinkToFit="1"/>
    </xf>
    <xf numFmtId="178" fontId="106" fillId="8" borderId="250" xfId="3" applyNumberFormat="1" applyFont="1" applyFill="1" applyBorder="1" applyAlignment="1" applyProtection="1">
      <alignment vertical="center" shrinkToFit="1"/>
    </xf>
    <xf numFmtId="178" fontId="106" fillId="8" borderId="251" xfId="3" applyNumberFormat="1" applyFont="1" applyFill="1" applyBorder="1" applyAlignment="1" applyProtection="1">
      <alignment vertical="center" shrinkToFit="1"/>
    </xf>
    <xf numFmtId="178" fontId="55" fillId="8" borderId="251" xfId="3" applyNumberFormat="1" applyFont="1" applyFill="1" applyBorder="1" applyAlignment="1" applyProtection="1">
      <alignment vertical="center" shrinkToFit="1"/>
      <protection hidden="1"/>
    </xf>
    <xf numFmtId="178" fontId="55" fillId="8" borderId="256" xfId="3" applyNumberFormat="1" applyFont="1" applyFill="1" applyBorder="1" applyAlignment="1" applyProtection="1">
      <alignment vertical="center" shrinkToFit="1"/>
      <protection hidden="1"/>
    </xf>
    <xf numFmtId="178" fontId="55" fillId="8" borderId="245" xfId="3" applyNumberFormat="1" applyFont="1" applyFill="1" applyBorder="1" applyAlignment="1" applyProtection="1">
      <alignment vertical="center" shrinkToFit="1"/>
      <protection hidden="1"/>
    </xf>
    <xf numFmtId="0" fontId="39" fillId="8" borderId="174" xfId="3" applyFont="1" applyFill="1" applyBorder="1" applyAlignment="1" applyProtection="1">
      <alignment vertical="center" shrinkToFit="1"/>
    </xf>
    <xf numFmtId="0" fontId="39" fillId="8" borderId="297" xfId="3" applyFont="1" applyFill="1" applyBorder="1" applyAlignment="1" applyProtection="1">
      <alignment vertical="center" shrinkToFit="1"/>
    </xf>
    <xf numFmtId="0" fontId="39" fillId="8" borderId="268" xfId="3" applyFont="1" applyFill="1" applyBorder="1" applyAlignment="1" applyProtection="1">
      <alignment vertical="center" shrinkToFit="1"/>
    </xf>
    <xf numFmtId="178" fontId="55" fillId="8" borderId="270" xfId="3" applyNumberFormat="1" applyFont="1" applyFill="1" applyBorder="1" applyAlignment="1" applyProtection="1">
      <alignment vertical="center" shrinkToFit="1"/>
      <protection hidden="1"/>
    </xf>
    <xf numFmtId="178" fontId="106" fillId="8" borderId="337" xfId="3" applyNumberFormat="1" applyFont="1" applyFill="1" applyBorder="1" applyAlignment="1" applyProtection="1">
      <alignment vertical="center" shrinkToFit="1"/>
    </xf>
    <xf numFmtId="178" fontId="106" fillId="8" borderId="241" xfId="3" applyNumberFormat="1" applyFont="1" applyFill="1" applyBorder="1" applyAlignment="1" applyProtection="1">
      <alignment vertical="center" shrinkToFit="1"/>
    </xf>
    <xf numFmtId="178" fontId="55" fillId="8" borderId="241" xfId="3" applyNumberFormat="1" applyFont="1" applyFill="1" applyBorder="1" applyAlignment="1" applyProtection="1">
      <alignment vertical="center" shrinkToFit="1"/>
      <protection hidden="1"/>
    </xf>
    <xf numFmtId="178" fontId="55" fillId="8" borderId="299" xfId="3" applyNumberFormat="1" applyFont="1" applyFill="1" applyBorder="1" applyAlignment="1" applyProtection="1">
      <alignment vertical="center" shrinkToFit="1"/>
      <protection hidden="1"/>
    </xf>
    <xf numFmtId="0" fontId="0" fillId="14" borderId="337" xfId="3" applyFont="1" applyFill="1" applyBorder="1" applyAlignment="1" applyProtection="1">
      <alignment horizontal="center" vertical="center" wrapText="1"/>
    </xf>
    <xf numFmtId="178" fontId="55" fillId="21" borderId="337" xfId="3" applyNumberFormat="1" applyFont="1" applyFill="1" applyBorder="1" applyAlignment="1" applyProtection="1">
      <alignment vertical="center" shrinkToFit="1"/>
      <protection hidden="1"/>
    </xf>
    <xf numFmtId="178" fontId="55" fillId="21" borderId="298" xfId="3" applyNumberFormat="1" applyFont="1" applyFill="1" applyBorder="1" applyAlignment="1" applyProtection="1">
      <alignment vertical="center" shrinkToFit="1"/>
      <protection hidden="1"/>
    </xf>
    <xf numFmtId="179" fontId="55" fillId="8" borderId="513" xfId="3" applyNumberFormat="1" applyFont="1" applyFill="1" applyBorder="1" applyAlignment="1" applyProtection="1">
      <alignment vertical="center" shrinkToFit="1"/>
      <protection hidden="1"/>
    </xf>
    <xf numFmtId="179" fontId="55" fillId="8" borderId="514" xfId="3" applyNumberFormat="1" applyFont="1" applyFill="1" applyBorder="1" applyAlignment="1" applyProtection="1">
      <alignment vertical="center" shrinkToFit="1"/>
      <protection hidden="1"/>
    </xf>
    <xf numFmtId="0" fontId="0" fillId="14" borderId="174" xfId="3" applyFont="1" applyFill="1" applyBorder="1" applyAlignment="1" applyProtection="1">
      <alignment horizontal="center" vertical="center" wrapText="1" shrinkToFit="1"/>
    </xf>
    <xf numFmtId="178" fontId="55" fillId="8" borderId="175" xfId="3" applyNumberFormat="1" applyFont="1" applyFill="1" applyBorder="1" applyAlignment="1" applyProtection="1">
      <alignment vertical="center" shrinkToFit="1"/>
      <protection hidden="1"/>
    </xf>
    <xf numFmtId="178" fontId="55" fillId="8" borderId="249" xfId="3" applyNumberFormat="1" applyFont="1" applyFill="1" applyBorder="1" applyAlignment="1" applyProtection="1">
      <alignment vertical="center" shrinkToFit="1"/>
      <protection hidden="1"/>
    </xf>
    <xf numFmtId="178" fontId="55" fillId="24" borderId="249" xfId="3" applyNumberFormat="1" applyFont="1" applyFill="1" applyBorder="1" applyAlignment="1" applyProtection="1">
      <alignment vertical="center" shrinkToFit="1"/>
      <protection hidden="1"/>
    </xf>
    <xf numFmtId="178" fontId="55" fillId="8" borderId="176" xfId="3" applyNumberFormat="1" applyFont="1" applyFill="1" applyBorder="1" applyAlignment="1" applyProtection="1">
      <alignment vertical="center" shrinkToFit="1"/>
      <protection hidden="1"/>
    </xf>
    <xf numFmtId="178" fontId="55" fillId="8" borderId="174" xfId="3" applyNumberFormat="1" applyFont="1" applyFill="1" applyBorder="1" applyAlignment="1" applyProtection="1">
      <alignment vertical="center" shrinkToFit="1"/>
      <protection hidden="1"/>
    </xf>
    <xf numFmtId="178" fontId="55" fillId="8" borderId="268" xfId="3" applyNumberFormat="1" applyFont="1" applyFill="1" applyBorder="1" applyAlignment="1" applyProtection="1">
      <alignment vertical="center" shrinkToFit="1"/>
      <protection hidden="1"/>
    </xf>
    <xf numFmtId="178" fontId="97" fillId="33" borderId="249" xfId="3" applyNumberFormat="1" applyFont="1" applyFill="1" applyBorder="1" applyAlignment="1" applyProtection="1">
      <alignment vertical="center" shrinkToFit="1"/>
      <protection hidden="1"/>
    </xf>
    <xf numFmtId="178" fontId="97" fillId="33" borderId="250" xfId="3" applyNumberFormat="1" applyFont="1" applyFill="1" applyBorder="1" applyAlignment="1" applyProtection="1">
      <alignment vertical="center" shrinkToFit="1"/>
      <protection hidden="1"/>
    </xf>
    <xf numFmtId="178" fontId="55" fillId="8" borderId="297" xfId="3" applyNumberFormat="1" applyFont="1" applyFill="1" applyBorder="1" applyAlignment="1" applyProtection="1">
      <alignment vertical="center" shrinkToFit="1"/>
      <protection hidden="1"/>
    </xf>
    <xf numFmtId="179" fontId="55" fillId="8" borderId="520" xfId="3" applyNumberFormat="1" applyFont="1" applyFill="1" applyBorder="1" applyAlignment="1" applyProtection="1">
      <alignment vertical="center" shrinkToFit="1"/>
      <protection hidden="1"/>
    </xf>
    <xf numFmtId="179" fontId="55" fillId="8" borderId="239" xfId="3" applyNumberFormat="1" applyFont="1" applyFill="1" applyBorder="1" applyAlignment="1" applyProtection="1">
      <alignment vertical="center" shrinkToFit="1"/>
      <protection hidden="1"/>
    </xf>
    <xf numFmtId="179" fontId="55" fillId="8" borderId="517" xfId="3" applyNumberFormat="1" applyFont="1" applyFill="1" applyBorder="1" applyAlignment="1" applyProtection="1">
      <alignment vertical="center" shrinkToFit="1"/>
      <protection hidden="1"/>
    </xf>
    <xf numFmtId="179" fontId="55" fillId="33" borderId="514" xfId="3" applyNumberFormat="1" applyFont="1" applyFill="1" applyBorder="1" applyAlignment="1" applyProtection="1">
      <alignment vertical="center" shrinkToFit="1"/>
      <protection hidden="1"/>
    </xf>
    <xf numFmtId="0" fontId="0" fillId="14" borderId="174" xfId="3" applyFont="1" applyFill="1" applyBorder="1" applyAlignment="1" applyProtection="1">
      <alignment horizontal="center" vertical="center" wrapText="1"/>
    </xf>
    <xf numFmtId="0" fontId="0" fillId="14" borderId="241" xfId="3" applyFont="1" applyFill="1" applyBorder="1" applyAlignment="1" applyProtection="1">
      <alignment horizontal="center" vertical="center" wrapText="1"/>
    </xf>
    <xf numFmtId="0" fontId="63" fillId="0" borderId="0" xfId="3" applyFont="1" applyProtection="1">
      <alignment vertical="center"/>
    </xf>
    <xf numFmtId="0" fontId="63" fillId="0" borderId="0" xfId="3" applyFont="1" applyFill="1" applyBorder="1" applyProtection="1">
      <alignment vertical="center"/>
    </xf>
    <xf numFmtId="0" fontId="63" fillId="0" borderId="0" xfId="35" applyFont="1" applyProtection="1">
      <alignment vertical="center"/>
    </xf>
    <xf numFmtId="178" fontId="106" fillId="8" borderId="255" xfId="3" applyNumberFormat="1" applyFont="1" applyFill="1" applyBorder="1" applyAlignment="1" applyProtection="1">
      <alignment vertical="center" shrinkToFit="1"/>
    </xf>
    <xf numFmtId="178" fontId="106" fillId="8" borderId="256" xfId="3" applyNumberFormat="1" applyFont="1" applyFill="1" applyBorder="1" applyAlignment="1" applyProtection="1">
      <alignment vertical="center" shrinkToFit="1"/>
    </xf>
    <xf numFmtId="178" fontId="106" fillId="8" borderId="269" xfId="3" applyNumberFormat="1" applyFont="1" applyFill="1" applyBorder="1" applyAlignment="1" applyProtection="1">
      <alignment vertical="center" shrinkToFit="1"/>
    </xf>
    <xf numFmtId="178" fontId="106" fillId="8" borderId="270" xfId="3" applyNumberFormat="1" applyFont="1" applyFill="1" applyBorder="1" applyAlignment="1" applyProtection="1">
      <alignment vertical="center" shrinkToFit="1"/>
    </xf>
    <xf numFmtId="0" fontId="43" fillId="0" borderId="0" xfId="3" applyFont="1" applyProtection="1">
      <alignment vertical="center"/>
    </xf>
    <xf numFmtId="0" fontId="39" fillId="21" borderId="297" xfId="3" applyFont="1" applyFill="1" applyBorder="1">
      <alignment vertical="center"/>
    </xf>
    <xf numFmtId="178" fontId="55" fillId="21" borderId="298" xfId="3" applyNumberFormat="1" applyFont="1" applyFill="1" applyBorder="1" applyAlignment="1" applyProtection="1">
      <alignment vertical="center" shrinkToFit="1"/>
      <protection locked="0"/>
    </xf>
    <xf numFmtId="178" fontId="55" fillId="21" borderId="299" xfId="3" applyNumberFormat="1" applyFont="1" applyFill="1" applyBorder="1" applyAlignment="1" applyProtection="1">
      <alignment vertical="center" shrinkToFit="1"/>
      <protection locked="0"/>
    </xf>
    <xf numFmtId="178" fontId="55" fillId="21" borderId="300" xfId="3" applyNumberFormat="1" applyFont="1" applyFill="1" applyBorder="1" applyAlignment="1" applyProtection="1">
      <alignment vertical="center" shrinkToFit="1"/>
      <protection locked="0"/>
    </xf>
    <xf numFmtId="178" fontId="55" fillId="21" borderId="525" xfId="3" applyNumberFormat="1" applyFont="1" applyFill="1" applyBorder="1" applyAlignment="1" applyProtection="1">
      <alignment vertical="center" shrinkToFit="1"/>
      <protection locked="0"/>
    </xf>
    <xf numFmtId="200" fontId="55" fillId="22" borderId="623" xfId="3" applyNumberFormat="1" applyFont="1" applyFill="1" applyBorder="1" applyAlignment="1">
      <alignment vertical="center" shrinkToFit="1"/>
    </xf>
    <xf numFmtId="178" fontId="55" fillId="21" borderId="500" xfId="3" applyNumberFormat="1" applyFont="1" applyFill="1" applyBorder="1" applyAlignment="1" applyProtection="1">
      <alignment vertical="center" shrinkToFit="1"/>
      <protection locked="0"/>
    </xf>
    <xf numFmtId="200" fontId="55" fillId="22" borderId="624" xfId="3" applyNumberFormat="1" applyFont="1" applyFill="1" applyBorder="1" applyAlignment="1">
      <alignment vertical="center" shrinkToFit="1"/>
    </xf>
    <xf numFmtId="178" fontId="0" fillId="0" borderId="0" xfId="3" applyNumberFormat="1" applyFont="1" applyFill="1" applyBorder="1" applyAlignment="1">
      <alignment horizontal="left" vertical="center"/>
    </xf>
    <xf numFmtId="178" fontId="39" fillId="0" borderId="0" xfId="3" applyNumberFormat="1" applyFill="1" applyBorder="1" applyAlignment="1">
      <alignment horizontal="center" vertical="center"/>
    </xf>
    <xf numFmtId="0" fontId="39" fillId="0" borderId="0" xfId="3" applyFont="1" applyAlignment="1">
      <alignment horizontal="center" vertical="center"/>
    </xf>
    <xf numFmtId="0" fontId="0" fillId="21" borderId="268" xfId="3" applyFont="1" applyFill="1" applyBorder="1">
      <alignment vertical="center"/>
    </xf>
    <xf numFmtId="0" fontId="0" fillId="8" borderId="249" xfId="3" applyFont="1" applyFill="1" applyBorder="1" applyAlignment="1" applyProtection="1">
      <alignment vertical="center" shrinkToFit="1"/>
    </xf>
    <xf numFmtId="178" fontId="106" fillId="8" borderId="298" xfId="3" applyNumberFormat="1" applyFont="1" applyFill="1" applyBorder="1" applyAlignment="1" applyProtection="1">
      <alignment vertical="center" shrinkToFit="1"/>
    </xf>
    <xf numFmtId="178" fontId="106" fillId="8" borderId="299" xfId="3" applyNumberFormat="1" applyFont="1" applyFill="1" applyBorder="1" applyAlignment="1" applyProtection="1">
      <alignment vertical="center" shrinkToFit="1"/>
    </xf>
    <xf numFmtId="201" fontId="0" fillId="7" borderId="506" xfId="0" applyNumberFormat="1" applyFill="1" applyBorder="1" applyAlignment="1">
      <alignment horizontal="center" vertical="center"/>
    </xf>
    <xf numFmtId="201" fontId="0" fillId="7" borderId="510" xfId="0" applyNumberFormat="1" applyFill="1" applyBorder="1" applyAlignment="1">
      <alignment horizontal="center" vertical="center"/>
    </xf>
    <xf numFmtId="201" fontId="0" fillId="7" borderId="511" xfId="0" applyNumberFormat="1" applyFill="1" applyBorder="1" applyAlignment="1">
      <alignment horizontal="center" vertical="center"/>
    </xf>
    <xf numFmtId="201" fontId="0" fillId="7" borderId="503" xfId="0" applyNumberFormat="1" applyFill="1" applyBorder="1" applyAlignment="1">
      <alignment horizontal="center" vertical="center"/>
    </xf>
    <xf numFmtId="201" fontId="0" fillId="7" borderId="512" xfId="0" applyNumberFormat="1" applyFill="1" applyBorder="1" applyAlignment="1">
      <alignment horizontal="center" vertical="center"/>
    </xf>
    <xf numFmtId="201" fontId="0" fillId="7" borderId="507" xfId="0" applyNumberFormat="1" applyFill="1" applyBorder="1" applyAlignment="1">
      <alignment horizontal="center" vertical="center"/>
    </xf>
    <xf numFmtId="0" fontId="0" fillId="0" borderId="509" xfId="0" applyFont="1" applyBorder="1">
      <alignment vertical="center"/>
    </xf>
    <xf numFmtId="178" fontId="0" fillId="0" borderId="667" xfId="0" applyNumberFormat="1" applyBorder="1">
      <alignment vertical="center"/>
    </xf>
    <xf numFmtId="178" fontId="0" fillId="8" borderId="504" xfId="0" applyNumberFormat="1" applyFill="1" applyBorder="1" applyAlignment="1">
      <alignment vertical="center"/>
    </xf>
    <xf numFmtId="178" fontId="107" fillId="0" borderId="245" xfId="3" applyNumberFormat="1" applyFont="1" applyFill="1" applyBorder="1" applyAlignment="1" applyProtection="1">
      <alignment vertical="center" shrinkToFit="1"/>
      <protection locked="0"/>
    </xf>
    <xf numFmtId="178" fontId="107" fillId="0" borderId="246" xfId="3" applyNumberFormat="1" applyFont="1" applyFill="1" applyBorder="1" applyAlignment="1" applyProtection="1">
      <alignment vertical="center" shrinkToFit="1"/>
      <protection locked="0"/>
    </xf>
    <xf numFmtId="178" fontId="107" fillId="0" borderId="251" xfId="3" applyNumberFormat="1" applyFont="1" applyFill="1" applyBorder="1" applyAlignment="1" applyProtection="1">
      <alignment vertical="center" shrinkToFit="1"/>
      <protection locked="0"/>
    </xf>
    <xf numFmtId="178" fontId="107" fillId="0" borderId="252" xfId="3" applyNumberFormat="1" applyFont="1" applyFill="1" applyBorder="1" applyAlignment="1" applyProtection="1">
      <alignment vertical="center" shrinkToFit="1"/>
      <protection locked="0"/>
    </xf>
    <xf numFmtId="178" fontId="107" fillId="8" borderId="251" xfId="3" applyNumberFormat="1" applyFont="1" applyFill="1" applyBorder="1" applyAlignment="1" applyProtection="1">
      <alignment vertical="center" shrinkToFit="1"/>
      <protection locked="0"/>
    </xf>
    <xf numFmtId="178" fontId="107" fillId="8" borderId="252" xfId="3" applyNumberFormat="1" applyFont="1" applyFill="1" applyBorder="1" applyAlignment="1" applyProtection="1">
      <alignment vertical="center" shrinkToFit="1"/>
      <protection locked="0"/>
    </xf>
    <xf numFmtId="178" fontId="107" fillId="24" borderId="251" xfId="3" applyNumberFormat="1" applyFont="1" applyFill="1" applyBorder="1" applyAlignment="1" applyProtection="1">
      <alignment vertical="center" shrinkToFit="1"/>
      <protection locked="0"/>
    </xf>
    <xf numFmtId="178" fontId="107" fillId="24" borderId="252" xfId="3" applyNumberFormat="1" applyFont="1" applyFill="1" applyBorder="1" applyAlignment="1" applyProtection="1">
      <alignment vertical="center" shrinkToFit="1"/>
      <protection locked="0"/>
    </xf>
    <xf numFmtId="178" fontId="107" fillId="8" borderId="256" xfId="3" applyNumberFormat="1" applyFont="1" applyFill="1" applyBorder="1" applyAlignment="1" applyProtection="1">
      <alignment vertical="center" shrinkToFit="1"/>
      <protection locked="0"/>
    </xf>
    <xf numFmtId="178" fontId="107" fillId="8" borderId="257" xfId="3" applyNumberFormat="1" applyFont="1" applyFill="1" applyBorder="1" applyAlignment="1" applyProtection="1">
      <alignment vertical="center" shrinkToFit="1"/>
      <protection locked="0"/>
    </xf>
    <xf numFmtId="178" fontId="107" fillId="8" borderId="270" xfId="3" applyNumberFormat="1" applyFont="1" applyFill="1" applyBorder="1" applyAlignment="1" applyProtection="1">
      <alignment vertical="center" shrinkToFit="1"/>
      <protection locked="0"/>
    </xf>
    <xf numFmtId="178" fontId="107" fillId="8" borderId="271" xfId="3" applyNumberFormat="1" applyFont="1" applyFill="1" applyBorder="1" applyAlignment="1" applyProtection="1">
      <alignment vertical="center" shrinkToFit="1"/>
      <protection locked="0"/>
    </xf>
    <xf numFmtId="178" fontId="107" fillId="8" borderId="241" xfId="3" applyNumberFormat="1" applyFont="1" applyFill="1" applyBorder="1" applyAlignment="1" applyProtection="1">
      <alignment vertical="center" shrinkToFit="1"/>
      <protection locked="0"/>
    </xf>
    <xf numFmtId="178" fontId="107" fillId="8" borderId="242" xfId="3" applyNumberFormat="1" applyFont="1" applyFill="1" applyBorder="1" applyAlignment="1" applyProtection="1">
      <alignment vertical="center" shrinkToFit="1"/>
      <protection locked="0"/>
    </xf>
    <xf numFmtId="178" fontId="107" fillId="33" borderId="251" xfId="3" applyNumberFormat="1" applyFont="1" applyFill="1" applyBorder="1" applyAlignment="1" applyProtection="1">
      <alignment vertical="center" shrinkToFit="1"/>
      <protection locked="0"/>
    </xf>
    <xf numFmtId="178" fontId="107" fillId="33" borderId="252" xfId="3" applyNumberFormat="1" applyFont="1" applyFill="1" applyBorder="1" applyAlignment="1" applyProtection="1">
      <alignment vertical="center" shrinkToFit="1"/>
      <protection locked="0"/>
    </xf>
    <xf numFmtId="178" fontId="107" fillId="8" borderId="299" xfId="3" applyNumberFormat="1" applyFont="1" applyFill="1" applyBorder="1" applyAlignment="1" applyProtection="1">
      <alignment vertical="center" shrinkToFit="1"/>
      <protection locked="0"/>
    </xf>
    <xf numFmtId="178" fontId="107" fillId="8" borderId="300" xfId="3" applyNumberFormat="1" applyFont="1" applyFill="1" applyBorder="1" applyAlignment="1" applyProtection="1">
      <alignment vertical="center" shrinkToFit="1"/>
      <protection locked="0"/>
    </xf>
    <xf numFmtId="0" fontId="0" fillId="0" borderId="353" xfId="0" applyBorder="1" applyAlignment="1">
      <alignment horizontal="center" vertical="center"/>
    </xf>
    <xf numFmtId="0" fontId="0" fillId="0" borderId="354" xfId="0" applyBorder="1" applyAlignment="1">
      <alignment horizontal="center" vertical="center"/>
    </xf>
    <xf numFmtId="178" fontId="0" fillId="0" borderId="668" xfId="0" applyNumberFormat="1" applyBorder="1">
      <alignment vertical="center"/>
    </xf>
    <xf numFmtId="178" fontId="39" fillId="0" borderId="669" xfId="3" applyNumberFormat="1" applyFont="1" applyBorder="1" applyAlignment="1">
      <alignment vertical="center"/>
    </xf>
    <xf numFmtId="178" fontId="39" fillId="0" borderId="670" xfId="3" applyNumberFormat="1" applyFont="1" applyBorder="1" applyAlignment="1">
      <alignment vertical="center"/>
    </xf>
    <xf numFmtId="0" fontId="0" fillId="7" borderId="602" xfId="3" applyFont="1" applyFill="1" applyBorder="1" applyAlignment="1">
      <alignment horizontal="center" vertical="center"/>
    </xf>
    <xf numFmtId="0" fontId="0" fillId="7" borderId="673" xfId="3" applyFont="1" applyFill="1" applyBorder="1" applyAlignment="1">
      <alignment horizontal="center" vertical="center"/>
    </xf>
    <xf numFmtId="178" fontId="39" fillId="0" borderId="674" xfId="3" applyNumberFormat="1" applyFont="1" applyBorder="1" applyAlignment="1">
      <alignment vertical="center"/>
    </xf>
    <xf numFmtId="178" fontId="39" fillId="8" borderId="675" xfId="3" applyNumberFormat="1" applyFont="1" applyFill="1" applyBorder="1" applyAlignment="1">
      <alignment vertical="center"/>
    </xf>
    <xf numFmtId="178" fontId="39" fillId="0" borderId="676" xfId="3" applyNumberFormat="1" applyFont="1" applyBorder="1" applyAlignment="1">
      <alignment vertical="center"/>
    </xf>
    <xf numFmtId="178" fontId="39" fillId="8" borderId="677" xfId="3" applyNumberFormat="1" applyFont="1" applyFill="1" applyBorder="1" applyAlignment="1">
      <alignment vertical="center"/>
    </xf>
    <xf numFmtId="0" fontId="39" fillId="7" borderId="672" xfId="3" applyFont="1" applyFill="1" applyBorder="1" applyAlignment="1">
      <alignment horizontal="center" vertical="center"/>
    </xf>
    <xf numFmtId="178" fontId="39" fillId="0" borderId="678" xfId="3" applyNumberFormat="1" applyFont="1" applyBorder="1" applyAlignment="1">
      <alignment vertical="center"/>
    </xf>
    <xf numFmtId="178" fontId="39" fillId="8" borderId="679" xfId="3" applyNumberFormat="1" applyFont="1" applyFill="1" applyBorder="1" applyAlignment="1">
      <alignment vertical="center"/>
    </xf>
    <xf numFmtId="178" fontId="39" fillId="0" borderId="679" xfId="3" applyNumberFormat="1" applyFont="1" applyBorder="1" applyAlignment="1">
      <alignment vertical="center"/>
    </xf>
    <xf numFmtId="178" fontId="39" fillId="8" borderId="680" xfId="3" applyNumberFormat="1" applyFont="1" applyFill="1" applyBorder="1" applyAlignment="1">
      <alignment vertical="center"/>
    </xf>
    <xf numFmtId="178" fontId="0" fillId="0" borderId="681" xfId="0" applyNumberFormat="1" applyBorder="1">
      <alignment vertical="center"/>
    </xf>
    <xf numFmtId="0" fontId="0" fillId="0" borderId="0" xfId="3" applyFont="1" applyAlignment="1" applyProtection="1">
      <alignment horizontal="left" vertical="center"/>
    </xf>
    <xf numFmtId="0" fontId="0" fillId="0" borderId="0" xfId="0" applyFont="1" applyBorder="1" applyAlignment="1" applyProtection="1">
      <alignment horizontal="center" vertical="center" shrinkToFit="1"/>
    </xf>
    <xf numFmtId="0" fontId="0" fillId="0" borderId="0" xfId="0" applyAlignment="1">
      <alignment horizontal="center" vertical="center"/>
    </xf>
    <xf numFmtId="0" fontId="2" fillId="7" borderId="24" xfId="5" applyFont="1" applyFill="1" applyBorder="1" applyAlignment="1">
      <alignment horizontal="center" vertical="center" shrinkToFit="1"/>
    </xf>
    <xf numFmtId="178" fontId="38" fillId="14" borderId="682" xfId="5" applyNumberFormat="1" applyFill="1" applyBorder="1" applyAlignment="1">
      <alignment vertical="center" shrinkToFit="1"/>
    </xf>
    <xf numFmtId="178" fontId="38" fillId="14" borderId="75" xfId="5" applyNumberFormat="1" applyFill="1" applyBorder="1" applyAlignment="1">
      <alignment vertical="center" shrinkToFit="1"/>
    </xf>
    <xf numFmtId="178" fontId="2" fillId="14" borderId="88" xfId="5" applyNumberFormat="1" applyFont="1" applyFill="1" applyBorder="1" applyAlignment="1">
      <alignment vertical="center" shrinkToFit="1"/>
    </xf>
    <xf numFmtId="178" fontId="42" fillId="0" borderId="314" xfId="0" applyNumberFormat="1" applyFont="1" applyFill="1" applyBorder="1">
      <alignment vertical="center"/>
    </xf>
    <xf numFmtId="0" fontId="0" fillId="0" borderId="366" xfId="0" applyBorder="1" applyAlignment="1">
      <alignment horizontal="center" vertical="center"/>
    </xf>
    <xf numFmtId="187" fontId="50" fillId="19" borderId="134" xfId="0" applyNumberFormat="1" applyFont="1" applyFill="1" applyBorder="1" applyAlignment="1" applyProtection="1">
      <alignment horizontal="center" vertical="center" shrinkToFit="1"/>
      <protection locked="0"/>
    </xf>
    <xf numFmtId="0" fontId="81" fillId="0" borderId="683" xfId="0" applyFont="1" applyBorder="1" applyAlignment="1">
      <alignment horizontal="center" vertical="center" shrinkToFit="1"/>
    </xf>
    <xf numFmtId="55" fontId="81" fillId="0" borderId="683" xfId="0" applyNumberFormat="1" applyFont="1" applyBorder="1" applyAlignment="1">
      <alignment horizontal="center" vertical="center" shrinkToFit="1"/>
    </xf>
    <xf numFmtId="178" fontId="81" fillId="0" borderId="683" xfId="0" applyNumberFormat="1" applyFont="1" applyBorder="1" applyAlignment="1">
      <alignment vertical="center" shrinkToFit="1"/>
    </xf>
    <xf numFmtId="180" fontId="81" fillId="0" borderId="683" xfId="0" applyNumberFormat="1" applyFont="1" applyBorder="1" applyAlignment="1">
      <alignment vertical="center" shrinkToFit="1"/>
    </xf>
    <xf numFmtId="200" fontId="55" fillId="22" borderId="665" xfId="3" applyNumberFormat="1" applyFont="1" applyFill="1" applyBorder="1" applyAlignment="1" applyProtection="1">
      <alignment vertical="center" shrinkToFit="1"/>
    </xf>
    <xf numFmtId="38" fontId="50" fillId="0" borderId="110" xfId="0" applyNumberFormat="1" applyFont="1" applyFill="1" applyBorder="1" applyAlignment="1" applyProtection="1">
      <alignment vertical="center" shrinkToFit="1"/>
    </xf>
    <xf numFmtId="178" fontId="50" fillId="2" borderId="11" xfId="1" applyNumberFormat="1" applyFont="1" applyFill="1" applyBorder="1" applyAlignment="1" applyProtection="1">
      <alignment vertical="center" shrinkToFit="1"/>
    </xf>
    <xf numFmtId="0" fontId="2" fillId="0" borderId="1" xfId="6" applyFont="1" applyBorder="1">
      <alignment vertical="center"/>
    </xf>
    <xf numFmtId="178" fontId="0" fillId="42" borderId="314" xfId="0" applyNumberFormat="1" applyFill="1" applyBorder="1">
      <alignment vertical="center"/>
    </xf>
    <xf numFmtId="49" fontId="108" fillId="0" borderId="684" xfId="0" applyNumberFormat="1" applyFont="1" applyBorder="1" applyAlignment="1">
      <alignment horizontal="center" vertical="center" shrinkToFit="1"/>
    </xf>
    <xf numFmtId="49" fontId="108" fillId="0" borderId="685" xfId="0" applyNumberFormat="1" applyFont="1" applyBorder="1" applyAlignment="1">
      <alignment horizontal="center" vertical="center" shrinkToFit="1"/>
    </xf>
    <xf numFmtId="49" fontId="108" fillId="0" borderId="0" xfId="0" applyNumberFormat="1" applyFont="1" applyBorder="1" applyAlignment="1">
      <alignment horizontal="center" vertical="center" shrinkToFit="1"/>
    </xf>
    <xf numFmtId="0" fontId="109" fillId="0" borderId="120" xfId="0" applyFont="1" applyBorder="1" applyAlignment="1">
      <alignment horizontal="center" vertical="center" shrinkToFit="1"/>
    </xf>
    <xf numFmtId="0" fontId="109" fillId="0" borderId="121" xfId="0" applyFont="1" applyBorder="1" applyAlignment="1">
      <alignment horizontal="center" vertical="center" shrinkToFit="1"/>
    </xf>
    <xf numFmtId="0" fontId="109" fillId="0" borderId="122" xfId="0" applyFont="1" applyBorder="1" applyAlignment="1">
      <alignment horizontal="center" vertical="center" shrinkToFit="1"/>
    </xf>
    <xf numFmtId="0" fontId="109" fillId="0" borderId="172" xfId="0" applyFont="1" applyBorder="1" applyAlignment="1">
      <alignment horizontal="center" vertical="center" shrinkToFit="1"/>
    </xf>
    <xf numFmtId="0" fontId="109" fillId="0" borderId="149" xfId="0" applyFont="1" applyBorder="1" applyAlignment="1">
      <alignment horizontal="center" vertical="center" shrinkToFit="1"/>
    </xf>
    <xf numFmtId="178" fontId="109" fillId="0" borderId="127" xfId="0" applyNumberFormat="1" applyFont="1" applyBorder="1" applyAlignment="1">
      <alignment vertical="center" shrinkToFit="1"/>
    </xf>
    <xf numFmtId="179" fontId="109" fillId="0" borderId="88" xfId="0" applyNumberFormat="1" applyFont="1" applyBorder="1" applyAlignment="1">
      <alignment vertical="center" shrinkToFit="1"/>
    </xf>
    <xf numFmtId="178" fontId="109" fillId="0" borderId="88" xfId="0" applyNumberFormat="1" applyFont="1" applyBorder="1" applyAlignment="1">
      <alignment vertical="center" shrinkToFit="1"/>
    </xf>
    <xf numFmtId="179" fontId="109" fillId="0" borderId="117" xfId="0" applyNumberFormat="1" applyFont="1" applyBorder="1" applyAlignment="1">
      <alignment vertical="center" shrinkToFit="1"/>
    </xf>
    <xf numFmtId="178" fontId="109" fillId="0" borderId="93" xfId="0" applyNumberFormat="1" applyFont="1" applyBorder="1" applyAlignment="1">
      <alignment vertical="center" shrinkToFit="1"/>
    </xf>
    <xf numFmtId="178" fontId="109" fillId="26" borderId="127" xfId="0" applyNumberFormat="1" applyFont="1" applyFill="1" applyBorder="1" applyAlignment="1">
      <alignment vertical="center" shrinkToFit="1"/>
    </xf>
    <xf numFmtId="179" fontId="109" fillId="26" borderId="88" xfId="0" applyNumberFormat="1" applyFont="1" applyFill="1" applyBorder="1" applyAlignment="1">
      <alignment vertical="center" shrinkToFit="1"/>
    </xf>
    <xf numFmtId="179" fontId="109" fillId="26" borderId="117" xfId="0" applyNumberFormat="1" applyFont="1" applyFill="1" applyBorder="1" applyAlignment="1">
      <alignment vertical="center" shrinkToFit="1"/>
    </xf>
    <xf numFmtId="178" fontId="109" fillId="26" borderId="93" xfId="0" applyNumberFormat="1" applyFont="1" applyFill="1" applyBorder="1" applyAlignment="1">
      <alignment vertical="center" shrinkToFit="1"/>
    </xf>
    <xf numFmtId="178" fontId="109" fillId="0" borderId="127" xfId="0" applyNumberFormat="1" applyFont="1" applyFill="1" applyBorder="1" applyAlignment="1">
      <alignment vertical="center" shrinkToFit="1"/>
    </xf>
    <xf numFmtId="179" fontId="109" fillId="0" borderId="88" xfId="0" applyNumberFormat="1" applyFont="1" applyFill="1" applyBorder="1" applyAlignment="1">
      <alignment vertical="center" shrinkToFit="1"/>
    </xf>
    <xf numFmtId="178" fontId="109" fillId="0" borderId="88" xfId="0" applyNumberFormat="1" applyFont="1" applyFill="1" applyBorder="1" applyAlignment="1">
      <alignment vertical="center" shrinkToFit="1"/>
    </xf>
    <xf numFmtId="179" fontId="109" fillId="0" borderId="117" xfId="0" applyNumberFormat="1" applyFont="1" applyFill="1" applyBorder="1" applyAlignment="1">
      <alignment vertical="center" shrinkToFit="1"/>
    </xf>
    <xf numFmtId="178" fontId="109" fillId="0" borderId="93" xfId="0" applyNumberFormat="1" applyFont="1" applyFill="1" applyBorder="1" applyAlignment="1">
      <alignment vertical="center" shrinkToFit="1"/>
    </xf>
    <xf numFmtId="179" fontId="109" fillId="0" borderId="72" xfId="0" applyNumberFormat="1" applyFont="1" applyBorder="1" applyAlignment="1">
      <alignment vertical="center" shrinkToFit="1"/>
    </xf>
    <xf numFmtId="178" fontId="109" fillId="0" borderId="72" xfId="0" applyNumberFormat="1" applyFont="1" applyBorder="1" applyAlignment="1">
      <alignment vertical="center" shrinkToFit="1"/>
    </xf>
    <xf numFmtId="179" fontId="109" fillId="0" borderId="73" xfId="0" applyNumberFormat="1" applyFont="1" applyBorder="1" applyAlignment="1">
      <alignment vertical="center" shrinkToFit="1"/>
    </xf>
    <xf numFmtId="179" fontId="109" fillId="0" borderId="149" xfId="0" applyNumberFormat="1" applyFont="1" applyBorder="1" applyAlignment="1">
      <alignment vertical="center" shrinkToFit="1"/>
    </xf>
    <xf numFmtId="178" fontId="109" fillId="0" borderId="74" xfId="0" applyNumberFormat="1" applyFont="1" applyBorder="1" applyAlignment="1">
      <alignment vertical="center" shrinkToFit="1"/>
    </xf>
    <xf numFmtId="179" fontId="109" fillId="0" borderId="54" xfId="0" applyNumberFormat="1" applyFont="1" applyBorder="1" applyAlignment="1">
      <alignment vertical="center" shrinkToFit="1"/>
    </xf>
    <xf numFmtId="178" fontId="109" fillId="0" borderId="54" xfId="0" applyNumberFormat="1" applyFont="1" applyBorder="1" applyAlignment="1">
      <alignment vertical="center" shrinkToFit="1"/>
    </xf>
    <xf numFmtId="179" fontId="109" fillId="0" borderId="75" xfId="0" applyNumberFormat="1" applyFont="1" applyBorder="1" applyAlignment="1">
      <alignment vertical="center" shrinkToFit="1"/>
    </xf>
    <xf numFmtId="178" fontId="109" fillId="0" borderId="55" xfId="0" applyNumberFormat="1" applyFont="1" applyBorder="1" applyAlignment="1">
      <alignment vertical="center" shrinkToFit="1"/>
    </xf>
    <xf numFmtId="182" fontId="109" fillId="0" borderId="88" xfId="0" applyNumberFormat="1" applyFont="1" applyBorder="1" applyAlignment="1">
      <alignment vertical="center" shrinkToFit="1"/>
    </xf>
    <xf numFmtId="196" fontId="109" fillId="0" borderId="88" xfId="0" applyNumberFormat="1" applyFont="1" applyBorder="1" applyAlignment="1">
      <alignment vertical="center" shrinkToFit="1"/>
    </xf>
    <xf numFmtId="182" fontId="109" fillId="26" borderId="88" xfId="0" applyNumberFormat="1" applyFont="1" applyFill="1" applyBorder="1" applyAlignment="1">
      <alignment vertical="center" shrinkToFit="1"/>
    </xf>
    <xf numFmtId="196" fontId="109" fillId="26" borderId="88" xfId="0" applyNumberFormat="1" applyFont="1" applyFill="1" applyBorder="1" applyAlignment="1">
      <alignment vertical="center" shrinkToFit="1"/>
    </xf>
    <xf numFmtId="182" fontId="109" fillId="0" borderId="88" xfId="0" applyNumberFormat="1" applyFont="1" applyFill="1" applyBorder="1" applyAlignment="1">
      <alignment vertical="center" shrinkToFit="1"/>
    </xf>
    <xf numFmtId="196" fontId="109" fillId="0" borderId="88" xfId="0" applyNumberFormat="1" applyFont="1" applyFill="1" applyBorder="1" applyAlignment="1">
      <alignment vertical="center" shrinkToFit="1"/>
    </xf>
    <xf numFmtId="196" fontId="109" fillId="0" borderId="72" xfId="0" applyNumberFormat="1" applyFont="1" applyBorder="1" applyAlignment="1">
      <alignment vertical="center" shrinkToFit="1"/>
    </xf>
    <xf numFmtId="182" fontId="109" fillId="0" borderId="54" xfId="0" applyNumberFormat="1" applyFont="1" applyBorder="1" applyAlignment="1">
      <alignment vertical="center" shrinkToFit="1"/>
    </xf>
    <xf numFmtId="196" fontId="109" fillId="0" borderId="54" xfId="0" applyNumberFormat="1" applyFont="1" applyBorder="1" applyAlignment="1">
      <alignment vertical="center" shrinkToFit="1"/>
    </xf>
    <xf numFmtId="0" fontId="109" fillId="0" borderId="0" xfId="0" applyFont="1" applyAlignment="1">
      <alignment vertical="center" shrinkToFit="1"/>
    </xf>
    <xf numFmtId="0" fontId="109" fillId="0" borderId="112" xfId="0" applyFont="1" applyBorder="1" applyAlignment="1">
      <alignment horizontal="center" vertical="center" shrinkToFit="1"/>
    </xf>
    <xf numFmtId="0" fontId="109" fillId="0" borderId="149" xfId="0" applyFont="1" applyBorder="1" applyAlignment="1">
      <alignment vertical="center" shrinkToFit="1"/>
    </xf>
    <xf numFmtId="0" fontId="109" fillId="0" borderId="137" xfId="0" applyFont="1" applyBorder="1" applyAlignment="1">
      <alignment horizontal="center" vertical="center" shrinkToFit="1"/>
    </xf>
    <xf numFmtId="0" fontId="109" fillId="0" borderId="115" xfId="0" applyFont="1" applyBorder="1" applyAlignment="1">
      <alignment horizontal="center" vertical="center" shrinkToFit="1"/>
    </xf>
    <xf numFmtId="0" fontId="109" fillId="0" borderId="114" xfId="0" applyFont="1" applyBorder="1" applyAlignment="1">
      <alignment horizontal="center" vertical="center" shrinkToFit="1"/>
    </xf>
    <xf numFmtId="0" fontId="109" fillId="0" borderId="340" xfId="0" applyFont="1" applyBorder="1" applyAlignment="1">
      <alignment horizontal="center" vertical="center" shrinkToFit="1"/>
    </xf>
    <xf numFmtId="0" fontId="109" fillId="0" borderId="47" xfId="0" applyFont="1" applyBorder="1" applyAlignment="1">
      <alignment horizontal="center" vertical="center" shrinkToFit="1"/>
    </xf>
    <xf numFmtId="0" fontId="109" fillId="0" borderId="96" xfId="0" applyFont="1" applyBorder="1" applyAlignment="1">
      <alignment horizontal="center" vertical="center" shrinkToFit="1"/>
    </xf>
    <xf numFmtId="0" fontId="109" fillId="0" borderId="77" xfId="0" applyFont="1" applyBorder="1" applyAlignment="1">
      <alignment horizontal="center" vertical="center" shrinkToFit="1"/>
    </xf>
    <xf numFmtId="0" fontId="109" fillId="0" borderId="78" xfId="0" applyFont="1" applyBorder="1" applyAlignment="1">
      <alignment horizontal="center" vertical="center" shrinkToFit="1"/>
    </xf>
    <xf numFmtId="0" fontId="110" fillId="0" borderId="0" xfId="0" applyFont="1" applyAlignment="1">
      <alignment horizontal="left" vertical="center"/>
    </xf>
    <xf numFmtId="0" fontId="0" fillId="0" borderId="366" xfId="0" applyBorder="1" applyAlignment="1">
      <alignment horizontal="center" vertical="center"/>
    </xf>
    <xf numFmtId="0" fontId="63" fillId="0" borderId="81" xfId="0" applyFont="1" applyFill="1" applyBorder="1" applyAlignment="1">
      <alignment vertical="center" wrapText="1"/>
    </xf>
    <xf numFmtId="0" fontId="0" fillId="0" borderId="84" xfId="0" applyFont="1" applyFill="1" applyBorder="1" applyAlignment="1">
      <alignment vertical="center" wrapText="1"/>
    </xf>
    <xf numFmtId="178" fontId="50" fillId="0" borderId="226" xfId="0" applyNumberFormat="1" applyFont="1" applyBorder="1" applyAlignment="1">
      <alignment vertical="center" shrinkToFit="1"/>
    </xf>
    <xf numFmtId="178" fontId="50" fillId="0" borderId="229" xfId="0" applyNumberFormat="1" applyFont="1" applyBorder="1" applyAlignment="1">
      <alignment vertical="center" shrinkToFit="1"/>
    </xf>
    <xf numFmtId="178" fontId="50" fillId="0" borderId="229" xfId="0" applyNumberFormat="1" applyFont="1" applyFill="1" applyBorder="1" applyAlignment="1">
      <alignment vertical="center" shrinkToFit="1"/>
    </xf>
    <xf numFmtId="178" fontId="50" fillId="0" borderId="638" xfId="0" applyNumberFormat="1" applyFont="1" applyBorder="1" applyAlignment="1">
      <alignment vertical="center" shrinkToFit="1"/>
    </xf>
    <xf numFmtId="178" fontId="50" fillId="0" borderId="147" xfId="0" applyNumberFormat="1" applyFont="1" applyBorder="1" applyAlignment="1">
      <alignment vertical="center" shrinkToFit="1"/>
    </xf>
    <xf numFmtId="178" fontId="50" fillId="0" borderId="82" xfId="0" applyNumberFormat="1" applyFont="1" applyBorder="1" applyAlignment="1">
      <alignment vertical="center" shrinkToFit="1"/>
    </xf>
    <xf numFmtId="178" fontId="50" fillId="0" borderId="83" xfId="0" applyNumberFormat="1" applyFont="1" applyBorder="1" applyAlignment="1">
      <alignment vertical="center" shrinkToFit="1"/>
    </xf>
    <xf numFmtId="178" fontId="50" fillId="0" borderId="85" xfId="0" applyNumberFormat="1" applyFont="1" applyBorder="1" applyAlignment="1">
      <alignment vertical="center" shrinkToFit="1"/>
    </xf>
    <xf numFmtId="178" fontId="50" fillId="0" borderId="86" xfId="0" applyNumberFormat="1" applyFont="1" applyBorder="1" applyAlignment="1">
      <alignment vertical="center" shrinkToFit="1"/>
    </xf>
    <xf numFmtId="178" fontId="51" fillId="26" borderId="81" xfId="0" applyNumberFormat="1" applyFont="1" applyFill="1" applyBorder="1" applyAlignment="1">
      <alignment vertical="center" shrinkToFit="1"/>
    </xf>
    <xf numFmtId="178" fontId="51" fillId="26" borderId="146" xfId="0" applyNumberFormat="1" applyFont="1" applyFill="1" applyBorder="1" applyAlignment="1">
      <alignment vertical="center" shrinkToFit="1"/>
    </xf>
    <xf numFmtId="178" fontId="51" fillId="26" borderId="120" xfId="0" applyNumberFormat="1" applyFont="1" applyFill="1" applyBorder="1" applyAlignment="1">
      <alignment vertical="center" shrinkToFit="1"/>
    </xf>
    <xf numFmtId="178" fontId="51" fillId="26" borderId="121" xfId="0" applyNumberFormat="1" applyFont="1" applyFill="1" applyBorder="1" applyAlignment="1">
      <alignment vertical="center" shrinkToFit="1"/>
    </xf>
    <xf numFmtId="178" fontId="51" fillId="26" borderId="133" xfId="0" applyNumberFormat="1" applyFont="1" applyFill="1" applyBorder="1" applyAlignment="1">
      <alignment vertical="center" shrinkToFit="1"/>
    </xf>
    <xf numFmtId="178" fontId="51" fillId="26" borderId="122" xfId="0" applyNumberFormat="1" applyFont="1" applyFill="1" applyBorder="1" applyAlignment="1">
      <alignment vertical="center" shrinkToFit="1"/>
    </xf>
    <xf numFmtId="178" fontId="67" fillId="0" borderId="69" xfId="0" applyNumberFormat="1" applyFont="1" applyBorder="1" applyAlignment="1">
      <alignment vertical="center" shrinkToFit="1"/>
    </xf>
    <xf numFmtId="0" fontId="67" fillId="0" borderId="70" xfId="0" applyFont="1" applyBorder="1" applyAlignment="1">
      <alignment horizontal="center" vertical="center" shrinkToFit="1"/>
    </xf>
    <xf numFmtId="178" fontId="67" fillId="0" borderId="72" xfId="0" applyNumberFormat="1" applyFont="1" applyBorder="1" applyAlignment="1">
      <alignment vertical="center" shrinkToFit="1"/>
    </xf>
    <xf numFmtId="0" fontId="67" fillId="0" borderId="73" xfId="0" applyFont="1" applyBorder="1" applyAlignment="1">
      <alignment horizontal="center" vertical="center" shrinkToFit="1"/>
    </xf>
    <xf numFmtId="0" fontId="0" fillId="0" borderId="144" xfId="0" applyBorder="1" applyAlignment="1">
      <alignment vertical="center" shrinkToFit="1"/>
    </xf>
    <xf numFmtId="178" fontId="67" fillId="0" borderId="89" xfId="0" applyNumberFormat="1" applyFont="1" applyBorder="1" applyAlignment="1">
      <alignment vertical="center" shrinkToFit="1"/>
    </xf>
    <xf numFmtId="178" fontId="67" fillId="0" borderId="607" xfId="0" applyNumberFormat="1" applyFont="1" applyBorder="1" applyAlignment="1">
      <alignment vertical="center" shrinkToFit="1"/>
    </xf>
    <xf numFmtId="0" fontId="0" fillId="0" borderId="328" xfId="0" applyBorder="1" applyAlignment="1">
      <alignment vertical="center" shrinkToFit="1"/>
    </xf>
    <xf numFmtId="0" fontId="67" fillId="0" borderId="328" xfId="0" applyFont="1" applyBorder="1" applyAlignment="1">
      <alignment horizontal="center" vertical="center" shrinkToFit="1"/>
    </xf>
    <xf numFmtId="0" fontId="67" fillId="0" borderId="333" xfId="0" applyFont="1" applyBorder="1" applyAlignment="1">
      <alignment horizontal="center" vertical="center" shrinkToFit="1"/>
    </xf>
    <xf numFmtId="178" fontId="67" fillId="0" borderId="129" xfId="0" applyNumberFormat="1" applyFont="1" applyBorder="1" applyAlignment="1">
      <alignment vertical="center" shrinkToFit="1"/>
    </xf>
    <xf numFmtId="0" fontId="67" fillId="0" borderId="332" xfId="0" applyFont="1" applyBorder="1" applyAlignment="1">
      <alignment horizontal="center" vertical="center" shrinkToFit="1"/>
    </xf>
    <xf numFmtId="178" fontId="67" fillId="0" borderId="54" xfId="0" applyNumberFormat="1" applyFont="1" applyBorder="1" applyAlignment="1">
      <alignment vertical="center" shrinkToFit="1"/>
    </xf>
    <xf numFmtId="0" fontId="67" fillId="0" borderId="143" xfId="0" applyFont="1" applyBorder="1" applyAlignment="1">
      <alignment horizontal="center" vertical="center" shrinkToFit="1"/>
    </xf>
    <xf numFmtId="10" fontId="0" fillId="0" borderId="121" xfId="0" applyNumberFormat="1" applyBorder="1" applyAlignment="1">
      <alignment horizontal="center" vertical="center" shrinkToFit="1"/>
    </xf>
    <xf numFmtId="0" fontId="0" fillId="0" borderId="330" xfId="0" applyBorder="1" applyAlignment="1">
      <alignment vertical="center" shrinkToFit="1"/>
    </xf>
    <xf numFmtId="0" fontId="0" fillId="0" borderId="329" xfId="0" applyBorder="1" applyAlignment="1">
      <alignment vertical="center" shrinkToFit="1"/>
    </xf>
    <xf numFmtId="178" fontId="55" fillId="0" borderId="0" xfId="0" applyNumberFormat="1" applyFont="1" applyAlignment="1">
      <alignment vertical="center" shrinkToFit="1"/>
    </xf>
    <xf numFmtId="0" fontId="27" fillId="0" borderId="0" xfId="6" applyFont="1" applyAlignment="1">
      <alignment vertical="center" shrinkToFit="1"/>
    </xf>
    <xf numFmtId="0" fontId="27" fillId="0" borderId="1" xfId="6" applyFont="1" applyBorder="1" applyAlignment="1">
      <alignment horizontal="center" vertical="center" shrinkToFit="1"/>
    </xf>
    <xf numFmtId="0" fontId="27" fillId="0" borderId="1" xfId="6" applyFont="1" applyBorder="1" applyAlignment="1">
      <alignment vertical="center" shrinkToFit="1"/>
    </xf>
    <xf numFmtId="0" fontId="31" fillId="0" borderId="0" xfId="6" applyAlignment="1">
      <alignment vertical="center" shrinkToFit="1"/>
    </xf>
    <xf numFmtId="178" fontId="31" fillId="0" borderId="1" xfId="6" applyNumberFormat="1" applyBorder="1" applyAlignment="1">
      <alignment vertical="center" shrinkToFit="1"/>
    </xf>
    <xf numFmtId="179" fontId="31" fillId="0" borderId="1" xfId="6" applyNumberFormat="1" applyBorder="1" applyAlignment="1">
      <alignment vertical="center" shrinkToFit="1"/>
    </xf>
    <xf numFmtId="0" fontId="4" fillId="0" borderId="0" xfId="6" applyFont="1" applyAlignment="1">
      <alignment vertical="center" shrinkToFit="1"/>
    </xf>
    <xf numFmtId="0" fontId="4" fillId="0" borderId="1" xfId="6" applyFont="1" applyBorder="1" applyAlignment="1">
      <alignment horizontal="center" vertical="center" shrinkToFit="1"/>
    </xf>
    <xf numFmtId="0" fontId="39" fillId="0" borderId="0" xfId="35" applyFont="1" applyAlignment="1" applyProtection="1">
      <alignment vertical="center" shrinkToFit="1"/>
    </xf>
    <xf numFmtId="0" fontId="99" fillId="23" borderId="660" xfId="3" applyNumberFormat="1" applyFont="1" applyFill="1" applyBorder="1" applyAlignment="1" applyProtection="1">
      <alignment horizontal="center" vertical="center" shrinkToFit="1"/>
      <protection hidden="1"/>
    </xf>
    <xf numFmtId="0" fontId="99" fillId="23" borderId="252" xfId="3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35" applyFont="1" applyAlignment="1" applyProtection="1">
      <alignment vertical="center" shrinkToFit="1"/>
    </xf>
    <xf numFmtId="0" fontId="99" fillId="23" borderId="271" xfId="3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3" applyFont="1" applyAlignment="1" applyProtection="1">
      <alignment vertical="center" shrinkToFit="1"/>
    </xf>
    <xf numFmtId="0" fontId="55" fillId="14" borderId="175" xfId="3" applyFont="1" applyFill="1" applyBorder="1" applyAlignment="1">
      <alignment horizontal="center" vertical="center" shrinkToFit="1"/>
    </xf>
    <xf numFmtId="0" fontId="39" fillId="8" borderId="175" xfId="3" applyFont="1" applyFill="1" applyBorder="1" applyAlignment="1">
      <alignment horizontal="center" vertical="center" shrinkToFit="1"/>
    </xf>
    <xf numFmtId="0" fontId="0" fillId="8" borderId="175" xfId="3" applyFont="1" applyFill="1" applyBorder="1" applyAlignment="1">
      <alignment vertical="center" shrinkToFit="1"/>
    </xf>
    <xf numFmtId="0" fontId="99" fillId="23" borderId="242" xfId="3" applyNumberFormat="1" applyFont="1" applyFill="1" applyBorder="1" applyAlignment="1" applyProtection="1">
      <alignment horizontal="center" vertical="center" shrinkToFit="1"/>
      <protection hidden="1"/>
    </xf>
    <xf numFmtId="0" fontId="99" fillId="23" borderId="246" xfId="3" applyNumberFormat="1" applyFont="1" applyFill="1" applyBorder="1" applyAlignment="1" applyProtection="1">
      <alignment horizontal="center" vertical="center" shrinkToFit="1"/>
      <protection hidden="1"/>
    </xf>
    <xf numFmtId="0" fontId="99" fillId="33" borderId="252" xfId="3" applyNumberFormat="1" applyFont="1" applyFill="1" applyBorder="1" applyAlignment="1" applyProtection="1">
      <alignment horizontal="center" vertical="center" shrinkToFit="1"/>
      <protection hidden="1"/>
    </xf>
    <xf numFmtId="0" fontId="99" fillId="23" borderId="300" xfId="3" applyNumberFormat="1" applyFont="1" applyFill="1" applyBorder="1" applyAlignment="1" applyProtection="1">
      <alignment horizontal="center" vertical="center" shrinkToFit="1"/>
      <protection hidden="1"/>
    </xf>
    <xf numFmtId="0" fontId="0" fillId="0" borderId="60" xfId="0" applyBorder="1" applyAlignment="1" applyProtection="1">
      <alignment vertical="center" shrinkToFit="1"/>
    </xf>
    <xf numFmtId="0" fontId="0" fillId="0" borderId="61" xfId="0" applyBorder="1" applyAlignment="1" applyProtection="1">
      <alignment vertical="center" shrinkToFit="1"/>
    </xf>
    <xf numFmtId="0" fontId="0" fillId="0" borderId="60" xfId="0" applyFill="1" applyBorder="1" applyAlignment="1" applyProtection="1">
      <alignment vertical="center" shrinkToFit="1"/>
    </xf>
    <xf numFmtId="0" fontId="0" fillId="0" borderId="62" xfId="0" applyBorder="1" applyAlignment="1" applyProtection="1">
      <alignment vertical="center" shrinkToFit="1"/>
    </xf>
    <xf numFmtId="0" fontId="0" fillId="13" borderId="314" xfId="0" applyFill="1" applyBorder="1" applyAlignment="1">
      <alignment horizontal="center" vertical="center" shrinkToFit="1"/>
    </xf>
    <xf numFmtId="0" fontId="86" fillId="0" borderId="0" xfId="0" applyFont="1" applyAlignment="1">
      <alignment horizontal="center" vertical="center" wrapText="1" shrinkToFit="1"/>
    </xf>
    <xf numFmtId="0" fontId="86" fillId="0" borderId="0" xfId="0" applyFont="1" applyAlignment="1">
      <alignment horizontal="center" vertical="center" shrinkToFit="1"/>
    </xf>
    <xf numFmtId="0" fontId="8" fillId="0" borderId="104" xfId="33" applyFont="1" applyBorder="1" applyAlignment="1">
      <alignment horizontal="center" vertical="center" textRotation="255" shrinkToFit="1"/>
    </xf>
    <xf numFmtId="0" fontId="8" fillId="0" borderId="331" xfId="33" applyFont="1" applyBorder="1" applyAlignment="1">
      <alignment horizontal="center" vertical="center" textRotation="255" shrinkToFit="1"/>
    </xf>
    <xf numFmtId="0" fontId="8" fillId="0" borderId="127" xfId="33" applyFont="1" applyBorder="1" applyAlignment="1">
      <alignment horizontal="center" vertical="center" textRotation="255" shrinkToFit="1"/>
    </xf>
    <xf numFmtId="0" fontId="9" fillId="0" borderId="71" xfId="33" applyBorder="1" applyAlignment="1">
      <alignment horizontal="center" vertical="center" wrapText="1"/>
    </xf>
    <xf numFmtId="0" fontId="9" fillId="0" borderId="104" xfId="33" applyBorder="1" applyAlignment="1">
      <alignment horizontal="center" vertical="center" wrapText="1"/>
    </xf>
    <xf numFmtId="0" fontId="9" fillId="0" borderId="74" xfId="33" applyBorder="1" applyAlignment="1">
      <alignment horizontal="center" vertical="center" wrapText="1"/>
    </xf>
    <xf numFmtId="0" fontId="9" fillId="0" borderId="127" xfId="33" applyBorder="1" applyAlignment="1">
      <alignment horizontal="center" vertical="center" wrapText="1"/>
    </xf>
    <xf numFmtId="0" fontId="9" fillId="0" borderId="137" xfId="33" applyBorder="1" applyAlignment="1">
      <alignment horizontal="center" vertical="center" shrinkToFit="1"/>
    </xf>
    <xf numFmtId="0" fontId="9" fillId="0" borderId="154" xfId="33" applyBorder="1" applyAlignment="1">
      <alignment horizontal="center" vertical="center" shrinkToFit="1"/>
    </xf>
    <xf numFmtId="0" fontId="8" fillId="0" borderId="381" xfId="33" applyFont="1" applyBorder="1" applyAlignment="1">
      <alignment horizontal="center" vertical="center" textRotation="255" shrinkToFit="1"/>
    </xf>
    <xf numFmtId="0" fontId="7" fillId="0" borderId="120" xfId="33" applyFont="1" applyBorder="1" applyAlignment="1">
      <alignment horizontal="center" vertical="center" shrinkToFit="1"/>
    </xf>
    <xf numFmtId="0" fontId="9" fillId="0" borderId="122" xfId="33" applyBorder="1" applyAlignment="1">
      <alignment horizontal="center" vertical="center" shrinkToFit="1"/>
    </xf>
    <xf numFmtId="0" fontId="8" fillId="0" borderId="68" xfId="33" applyFont="1" applyBorder="1" applyAlignment="1">
      <alignment horizontal="center" vertical="center" textRotation="255" shrinkToFit="1"/>
    </xf>
    <xf numFmtId="0" fontId="9" fillId="0" borderId="71" xfId="33" applyBorder="1" applyAlignment="1">
      <alignment horizontal="center" vertical="center" textRotation="255" shrinkToFit="1"/>
    </xf>
    <xf numFmtId="0" fontId="8" fillId="0" borderId="71" xfId="33" applyFont="1" applyBorder="1" applyAlignment="1">
      <alignment horizontal="center" vertical="center" textRotation="255" shrinkToFit="1"/>
    </xf>
    <xf numFmtId="0" fontId="1" fillId="0" borderId="120" xfId="33" applyFont="1" applyBorder="1" applyAlignment="1">
      <alignment horizontal="center" vertical="center" shrinkToFit="1"/>
    </xf>
    <xf numFmtId="0" fontId="9" fillId="0" borderId="120" xfId="33" applyBorder="1" applyAlignment="1">
      <alignment horizontal="center" vertical="center" shrinkToFit="1"/>
    </xf>
    <xf numFmtId="187" fontId="103" fillId="8" borderId="634" xfId="0" applyNumberFormat="1" applyFont="1" applyFill="1" applyBorder="1" applyAlignment="1" applyProtection="1">
      <alignment horizontal="center" vertical="center"/>
      <protection locked="0"/>
    </xf>
    <xf numFmtId="187" fontId="103" fillId="8" borderId="635" xfId="0" applyNumberFormat="1" applyFont="1" applyFill="1" applyBorder="1" applyAlignment="1" applyProtection="1">
      <alignment horizontal="center" vertical="center"/>
      <protection locked="0"/>
    </xf>
    <xf numFmtId="187" fontId="103" fillId="8" borderId="636" xfId="0" applyNumberFormat="1" applyFont="1" applyFill="1" applyBorder="1" applyAlignment="1" applyProtection="1">
      <alignment horizontal="center" vertical="center"/>
      <protection locked="0"/>
    </xf>
    <xf numFmtId="0" fontId="64" fillId="0" borderId="34" xfId="0" applyFont="1" applyBorder="1" applyAlignment="1" applyProtection="1">
      <alignment horizontal="left" vertical="top" wrapText="1"/>
    </xf>
    <xf numFmtId="0" fontId="64" fillId="0" borderId="9" xfId="0" applyFont="1" applyBorder="1" applyAlignment="1" applyProtection="1">
      <alignment horizontal="left" vertical="top" wrapText="1"/>
    </xf>
    <xf numFmtId="0" fontId="64" fillId="0" borderId="5" xfId="0" applyFont="1" applyBorder="1" applyAlignment="1" applyProtection="1">
      <alignment horizontal="left" vertical="top" wrapText="1"/>
    </xf>
    <xf numFmtId="0" fontId="64" fillId="0" borderId="2" xfId="0" applyFont="1" applyBorder="1" applyAlignment="1" applyProtection="1">
      <alignment horizontal="left" vertical="top" wrapText="1"/>
    </xf>
    <xf numFmtId="0" fontId="64" fillId="0" borderId="1" xfId="0" applyFont="1" applyBorder="1" applyAlignment="1" applyProtection="1">
      <alignment horizontal="left" vertical="top" wrapText="1"/>
    </xf>
    <xf numFmtId="0" fontId="64" fillId="0" borderId="6" xfId="0" applyFont="1" applyBorder="1" applyAlignment="1" applyProtection="1">
      <alignment horizontal="left" vertical="top" wrapText="1"/>
    </xf>
    <xf numFmtId="0" fontId="0" fillId="0" borderId="2" xfId="0" applyBorder="1" applyAlignment="1" applyProtection="1">
      <alignment horizontal="left" vertical="top" wrapText="1"/>
    </xf>
    <xf numFmtId="0" fontId="0" fillId="0" borderId="1" xfId="0" applyBorder="1" applyAlignment="1" applyProtection="1">
      <alignment horizontal="left" vertical="top" wrapText="1"/>
    </xf>
    <xf numFmtId="0" fontId="0" fillId="0" borderId="6" xfId="0" applyBorder="1" applyAlignment="1" applyProtection="1">
      <alignment horizontal="left" vertical="top" wrapText="1"/>
    </xf>
    <xf numFmtId="0" fontId="0" fillId="0" borderId="33" xfId="0" applyFont="1" applyBorder="1" applyAlignment="1" applyProtection="1">
      <alignment horizontal="center" vertical="center" shrinkToFit="1"/>
    </xf>
    <xf numFmtId="0" fontId="0" fillId="0" borderId="10" xfId="0" applyFont="1" applyBorder="1" applyAlignment="1" applyProtection="1">
      <alignment horizontal="center" vertical="center" shrinkToFit="1"/>
    </xf>
    <xf numFmtId="0" fontId="0" fillId="0" borderId="7" xfId="0" applyFont="1" applyBorder="1" applyAlignment="1" applyProtection="1">
      <alignment horizontal="center" vertical="center" shrinkToFit="1"/>
    </xf>
    <xf numFmtId="0" fontId="0" fillId="0" borderId="46" xfId="0" applyBorder="1" applyAlignment="1" applyProtection="1">
      <alignment horizontal="left" vertical="top" wrapText="1"/>
    </xf>
    <xf numFmtId="0" fontId="0" fillId="0" borderId="3" xfId="0" applyBorder="1" applyAlignment="1" applyProtection="1">
      <alignment horizontal="left" vertical="top" wrapText="1"/>
    </xf>
    <xf numFmtId="0" fontId="0" fillId="0" borderId="26" xfId="0" applyBorder="1" applyAlignment="1" applyProtection="1">
      <alignment horizontal="left" vertical="top" wrapText="1"/>
    </xf>
    <xf numFmtId="0" fontId="0" fillId="0" borderId="63" xfId="0" applyBorder="1" applyAlignment="1" applyProtection="1">
      <alignment horizontal="center" vertical="center"/>
    </xf>
    <xf numFmtId="0" fontId="0" fillId="0" borderId="40" xfId="0" applyBorder="1" applyAlignment="1" applyProtection="1">
      <alignment horizontal="center" vertical="center"/>
    </xf>
    <xf numFmtId="0" fontId="0" fillId="0" borderId="141" xfId="0" applyFill="1" applyBorder="1" applyAlignment="1" applyProtection="1">
      <alignment horizontal="center" vertical="center"/>
    </xf>
    <xf numFmtId="0" fontId="0" fillId="0" borderId="237" xfId="0" applyFill="1" applyBorder="1" applyAlignment="1" applyProtection="1">
      <alignment horizontal="center" vertical="center"/>
    </xf>
    <xf numFmtId="0" fontId="0" fillId="0" borderId="139" xfId="0" applyBorder="1" applyAlignment="1" applyProtection="1">
      <alignment horizontal="center" vertical="center"/>
    </xf>
    <xf numFmtId="0" fontId="0" fillId="0" borderId="236" xfId="0" applyBorder="1" applyAlignment="1" applyProtection="1">
      <alignment horizontal="center" vertical="center"/>
    </xf>
    <xf numFmtId="0" fontId="0" fillId="0" borderId="135" xfId="0" applyBorder="1" applyAlignment="1" applyProtection="1">
      <alignment horizontal="center" vertical="center"/>
    </xf>
    <xf numFmtId="0" fontId="0" fillId="0" borderId="80" xfId="0" applyBorder="1" applyAlignment="1" applyProtection="1">
      <alignment horizontal="center" vertical="center"/>
    </xf>
    <xf numFmtId="0" fontId="0" fillId="0" borderId="59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 shrinkToFit="1"/>
    </xf>
    <xf numFmtId="0" fontId="0" fillId="0" borderId="62" xfId="0" applyFill="1" applyBorder="1" applyAlignment="1" applyProtection="1">
      <alignment horizontal="center" vertical="center" shrinkToFit="1"/>
    </xf>
    <xf numFmtId="0" fontId="0" fillId="0" borderId="61" xfId="0" applyFill="1" applyBorder="1" applyAlignment="1" applyProtection="1">
      <alignment horizontal="center" vertical="center" wrapText="1" shrinkToFit="1"/>
    </xf>
    <xf numFmtId="0" fontId="0" fillId="0" borderId="52" xfId="0" applyFill="1" applyBorder="1" applyAlignment="1" applyProtection="1">
      <alignment horizontal="right" vertical="center"/>
    </xf>
    <xf numFmtId="0" fontId="0" fillId="0" borderId="15" xfId="0" applyFill="1" applyBorder="1" applyAlignment="1" applyProtection="1">
      <alignment horizontal="center" vertical="center" shrinkToFit="1"/>
    </xf>
    <xf numFmtId="0" fontId="0" fillId="0" borderId="11" xfId="0" applyFill="1" applyBorder="1" applyAlignment="1" applyProtection="1">
      <alignment horizontal="center" vertical="center" shrinkToFit="1"/>
    </xf>
    <xf numFmtId="0" fontId="0" fillId="0" borderId="8" xfId="0" applyFill="1" applyBorder="1" applyAlignment="1" applyProtection="1">
      <alignment horizontal="center" vertical="center" shrinkToFit="1"/>
    </xf>
    <xf numFmtId="0" fontId="0" fillId="0" borderId="303" xfId="0" applyBorder="1" applyAlignment="1">
      <alignment horizontal="center" vertical="center" wrapText="1"/>
    </xf>
    <xf numFmtId="0" fontId="0" fillId="0" borderId="304" xfId="0" applyBorder="1" applyAlignment="1">
      <alignment horizontal="center" vertical="center" wrapText="1"/>
    </xf>
    <xf numFmtId="0" fontId="0" fillId="0" borderId="305" xfId="0" applyBorder="1" applyAlignment="1">
      <alignment horizontal="center" vertical="center" wrapText="1"/>
    </xf>
    <xf numFmtId="0" fontId="0" fillId="0" borderId="307" xfId="0" applyBorder="1" applyAlignment="1">
      <alignment horizontal="center" vertical="center" wrapText="1"/>
    </xf>
    <xf numFmtId="0" fontId="64" fillId="0" borderId="306" xfId="0" applyFont="1" applyBorder="1" applyAlignment="1">
      <alignment horizontal="center" vertical="center" textRotation="255"/>
    </xf>
    <xf numFmtId="0" fontId="64" fillId="0" borderId="311" xfId="0" applyFont="1" applyBorder="1" applyAlignment="1">
      <alignment horizontal="center" vertical="center" textRotation="255"/>
    </xf>
    <xf numFmtId="0" fontId="64" fillId="0" borderId="308" xfId="0" applyFont="1" applyBorder="1" applyAlignment="1">
      <alignment horizontal="center" vertical="center" textRotation="255"/>
    </xf>
    <xf numFmtId="0" fontId="0" fillId="0" borderId="306" xfId="0" applyBorder="1" applyAlignment="1">
      <alignment horizontal="center" vertical="center"/>
    </xf>
    <xf numFmtId="0" fontId="0" fillId="0" borderId="542" xfId="0" applyBorder="1" applyAlignment="1">
      <alignment horizontal="center" vertical="center"/>
    </xf>
    <xf numFmtId="0" fontId="0" fillId="0" borderId="633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632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55" fillId="11" borderId="15" xfId="0" applyFont="1" applyFill="1" applyBorder="1" applyAlignment="1">
      <alignment horizontal="center" vertical="center" wrapText="1"/>
    </xf>
    <xf numFmtId="0" fontId="55" fillId="11" borderId="11" xfId="0" applyFont="1" applyFill="1" applyBorder="1" applyAlignment="1">
      <alignment horizontal="center" vertical="center"/>
    </xf>
    <xf numFmtId="0" fontId="55" fillId="11" borderId="15" xfId="0" applyFont="1" applyFill="1" applyBorder="1" applyAlignment="1">
      <alignment horizontal="center" vertical="center"/>
    </xf>
    <xf numFmtId="0" fontId="55" fillId="11" borderId="8" xfId="0" applyFont="1" applyFill="1" applyBorder="1" applyAlignment="1">
      <alignment horizontal="center" vertical="center"/>
    </xf>
    <xf numFmtId="0" fontId="55" fillId="11" borderId="11" xfId="0" applyFont="1" applyFill="1" applyBorder="1" applyAlignment="1">
      <alignment horizontal="center" vertical="center" wrapText="1"/>
    </xf>
    <xf numFmtId="0" fontId="55" fillId="11" borderId="8" xfId="0" applyFont="1" applyFill="1" applyBorder="1" applyAlignment="1">
      <alignment horizontal="center" vertical="center" wrapText="1"/>
    </xf>
    <xf numFmtId="0" fontId="55" fillId="11" borderId="14" xfId="0" applyFont="1" applyFill="1" applyBorder="1" applyAlignment="1">
      <alignment horizontal="center" vertical="center"/>
    </xf>
    <xf numFmtId="0" fontId="55" fillId="11" borderId="10" xfId="0" applyFont="1" applyFill="1" applyBorder="1" applyAlignment="1">
      <alignment horizontal="center" vertical="center"/>
    </xf>
    <xf numFmtId="0" fontId="55" fillId="11" borderId="7" xfId="0" applyFont="1" applyFill="1" applyBorder="1" applyAlignment="1">
      <alignment horizontal="center" vertical="center"/>
    </xf>
    <xf numFmtId="0" fontId="50" fillId="4" borderId="123" xfId="0" applyFont="1" applyFill="1" applyBorder="1" applyAlignment="1">
      <alignment horizontal="center" vertical="center"/>
    </xf>
    <xf numFmtId="0" fontId="50" fillId="4" borderId="8" xfId="0" applyFont="1" applyFill="1" applyBorder="1" applyAlignment="1">
      <alignment horizontal="center" vertical="center"/>
    </xf>
    <xf numFmtId="0" fontId="50" fillId="12" borderId="15" xfId="0" applyFont="1" applyFill="1" applyBorder="1" applyAlignment="1">
      <alignment horizontal="center" vertical="center" wrapText="1"/>
    </xf>
    <xf numFmtId="0" fontId="50" fillId="12" borderId="11" xfId="0" applyFont="1" applyFill="1" applyBorder="1" applyAlignment="1">
      <alignment horizontal="center" vertical="center" wrapText="1"/>
    </xf>
    <xf numFmtId="0" fontId="50" fillId="12" borderId="8" xfId="0" applyFont="1" applyFill="1" applyBorder="1" applyAlignment="1">
      <alignment horizontal="center" vertical="center" wrapText="1"/>
    </xf>
    <xf numFmtId="0" fontId="50" fillId="9" borderId="15" xfId="0" applyFont="1" applyFill="1" applyBorder="1" applyAlignment="1">
      <alignment horizontal="center" vertical="center" wrapText="1"/>
    </xf>
    <xf numFmtId="0" fontId="50" fillId="9" borderId="11" xfId="0" applyFont="1" applyFill="1" applyBorder="1" applyAlignment="1">
      <alignment horizontal="center" vertical="center" wrapText="1"/>
    </xf>
    <xf numFmtId="0" fontId="50" fillId="9" borderId="8" xfId="0" applyFont="1" applyFill="1" applyBorder="1" applyAlignment="1">
      <alignment horizontal="center" vertical="center" wrapText="1"/>
    </xf>
    <xf numFmtId="0" fontId="50" fillId="5" borderId="15" xfId="0" applyFont="1" applyFill="1" applyBorder="1" applyAlignment="1">
      <alignment horizontal="center" vertical="center" wrapText="1"/>
    </xf>
    <xf numFmtId="0" fontId="50" fillId="5" borderId="11" xfId="0" applyFont="1" applyFill="1" applyBorder="1" applyAlignment="1">
      <alignment horizontal="center" vertical="center"/>
    </xf>
    <xf numFmtId="0" fontId="50" fillId="12" borderId="15" xfId="0" applyFont="1" applyFill="1" applyBorder="1" applyAlignment="1">
      <alignment horizontal="center" vertical="center"/>
    </xf>
    <xf numFmtId="0" fontId="50" fillId="12" borderId="11" xfId="0" applyFont="1" applyFill="1" applyBorder="1" applyAlignment="1">
      <alignment horizontal="center" vertical="center"/>
    </xf>
    <xf numFmtId="0" fontId="50" fillId="12" borderId="8" xfId="0" applyFont="1" applyFill="1" applyBorder="1" applyAlignment="1">
      <alignment horizontal="center" vertical="center"/>
    </xf>
    <xf numFmtId="0" fontId="22" fillId="0" borderId="68" xfId="10" applyNumberFormat="1" applyBorder="1" applyAlignment="1">
      <alignment horizontal="center" vertical="center"/>
    </xf>
    <xf numFmtId="0" fontId="22" fillId="0" borderId="71" xfId="10" applyNumberFormat="1" applyBorder="1" applyAlignment="1">
      <alignment horizontal="center" vertical="center"/>
    </xf>
    <xf numFmtId="0" fontId="22" fillId="0" borderId="74" xfId="10" applyNumberFormat="1" applyBorder="1" applyAlignment="1">
      <alignment horizontal="center" vertical="center"/>
    </xf>
    <xf numFmtId="0" fontId="12" fillId="0" borderId="68" xfId="10" applyNumberFormat="1" applyFont="1" applyBorder="1" applyAlignment="1">
      <alignment horizontal="center" vertical="center" wrapText="1"/>
    </xf>
    <xf numFmtId="0" fontId="20" fillId="0" borderId="68" xfId="10" applyNumberFormat="1" applyFont="1" applyBorder="1" applyAlignment="1">
      <alignment horizontal="center" vertical="center" wrapText="1"/>
    </xf>
    <xf numFmtId="0" fontId="2" fillId="0" borderId="68" xfId="10" applyNumberFormat="1" applyFont="1" applyBorder="1" applyAlignment="1">
      <alignment horizontal="center" vertical="center" wrapText="1"/>
    </xf>
    <xf numFmtId="0" fontId="58" fillId="0" borderId="0" xfId="10" applyNumberFormat="1" applyFont="1" applyAlignment="1">
      <alignment horizontal="left" vertical="center"/>
    </xf>
    <xf numFmtId="0" fontId="11" fillId="0" borderId="68" xfId="10" applyNumberFormat="1" applyFont="1" applyBorder="1" applyAlignment="1">
      <alignment horizontal="center" vertical="center"/>
    </xf>
    <xf numFmtId="0" fontId="2" fillId="0" borderId="68" xfId="10" applyNumberFormat="1" applyFont="1" applyBorder="1" applyAlignment="1">
      <alignment horizontal="center" vertical="center"/>
    </xf>
    <xf numFmtId="0" fontId="45" fillId="0" borderId="0" xfId="3" applyFont="1" applyAlignment="1">
      <alignment horizontal="center" vertical="center" textRotation="255" wrapText="1"/>
    </xf>
    <xf numFmtId="0" fontId="45" fillId="0" borderId="0" xfId="3" applyFont="1" applyAlignment="1">
      <alignment horizontal="center" vertical="center" textRotation="255"/>
    </xf>
    <xf numFmtId="0" fontId="55" fillId="14" borderId="175" xfId="3" applyFont="1" applyFill="1" applyBorder="1" applyAlignment="1">
      <alignment horizontal="center" vertical="center" wrapText="1"/>
    </xf>
    <xf numFmtId="0" fontId="55" fillId="14" borderId="224" xfId="3" applyFont="1" applyFill="1" applyBorder="1" applyAlignment="1">
      <alignment horizontal="center" vertical="center" wrapText="1"/>
    </xf>
    <xf numFmtId="0" fontId="55" fillId="14" borderId="176" xfId="3" applyFont="1" applyFill="1" applyBorder="1" applyAlignment="1">
      <alignment horizontal="center" vertical="center" wrapText="1"/>
    </xf>
    <xf numFmtId="0" fontId="39" fillId="21" borderId="175" xfId="3" applyFill="1" applyBorder="1" applyAlignment="1">
      <alignment horizontal="center" vertical="center"/>
    </xf>
    <xf numFmtId="0" fontId="39" fillId="21" borderId="224" xfId="3" applyFill="1" applyBorder="1" applyAlignment="1">
      <alignment horizontal="center" vertical="center"/>
    </xf>
    <xf numFmtId="0" fontId="39" fillId="21" borderId="176" xfId="3" applyFill="1" applyBorder="1" applyAlignment="1">
      <alignment horizontal="center" vertical="center"/>
    </xf>
    <xf numFmtId="0" fontId="39" fillId="23" borderId="175" xfId="3" applyFill="1" applyBorder="1" applyAlignment="1">
      <alignment horizontal="center" vertical="center"/>
    </xf>
    <xf numFmtId="0" fontId="39" fillId="23" borderId="224" xfId="3" applyFill="1" applyBorder="1" applyAlignment="1">
      <alignment horizontal="center" vertical="center"/>
    </xf>
    <xf numFmtId="0" fontId="39" fillId="23" borderId="176" xfId="3" applyFill="1" applyBorder="1" applyAlignment="1">
      <alignment horizontal="center" vertical="center"/>
    </xf>
    <xf numFmtId="0" fontId="55" fillId="14" borderId="175" xfId="3" applyFont="1" applyFill="1" applyBorder="1" applyAlignment="1">
      <alignment horizontal="center" vertical="center"/>
    </xf>
    <xf numFmtId="0" fontId="55" fillId="14" borderId="224" xfId="3" applyFont="1" applyFill="1" applyBorder="1" applyAlignment="1">
      <alignment horizontal="center" vertical="center"/>
    </xf>
    <xf numFmtId="0" fontId="55" fillId="14" borderId="176" xfId="3" applyFont="1" applyFill="1" applyBorder="1" applyAlignment="1">
      <alignment horizontal="center" vertical="center"/>
    </xf>
    <xf numFmtId="0" fontId="55" fillId="32" borderId="175" xfId="3" applyFont="1" applyFill="1" applyBorder="1" applyAlignment="1">
      <alignment horizontal="center" vertical="center" wrapText="1"/>
    </xf>
    <xf numFmtId="0" fontId="55" fillId="32" borderId="224" xfId="3" applyFont="1" applyFill="1" applyBorder="1" applyAlignment="1">
      <alignment horizontal="center" vertical="center" wrapText="1"/>
    </xf>
    <xf numFmtId="0" fontId="55" fillId="32" borderId="176" xfId="3" applyFont="1" applyFill="1" applyBorder="1" applyAlignment="1">
      <alignment horizontal="center" vertical="center" wrapText="1"/>
    </xf>
    <xf numFmtId="0" fontId="0" fillId="7" borderId="284" xfId="0" applyFill="1" applyBorder="1" applyAlignment="1">
      <alignment horizontal="center" vertical="center"/>
    </xf>
    <xf numFmtId="0" fontId="0" fillId="7" borderId="232" xfId="0" applyFill="1" applyBorder="1" applyAlignment="1">
      <alignment horizontal="center" vertical="center"/>
    </xf>
    <xf numFmtId="0" fontId="0" fillId="7" borderId="286" xfId="0" applyFill="1" applyBorder="1" applyAlignment="1">
      <alignment horizontal="center" vertical="center"/>
    </xf>
    <xf numFmtId="0" fontId="0" fillId="32" borderId="286" xfId="0" applyFill="1" applyBorder="1" applyAlignment="1">
      <alignment horizontal="center" vertical="center"/>
    </xf>
    <xf numFmtId="0" fontId="39" fillId="14" borderId="238" xfId="3" applyFill="1" applyBorder="1" applyAlignment="1">
      <alignment horizontal="center" vertical="center" wrapText="1"/>
    </xf>
    <xf numFmtId="0" fontId="39" fillId="14" borderId="239" xfId="3" applyFill="1" applyBorder="1" applyAlignment="1">
      <alignment horizontal="center" vertical="center" wrapText="1"/>
    </xf>
    <xf numFmtId="0" fontId="39" fillId="14" borderId="518" xfId="3" applyFill="1" applyBorder="1" applyAlignment="1">
      <alignment horizontal="center" vertical="center" wrapText="1"/>
    </xf>
    <xf numFmtId="0" fontId="39" fillId="14" borderId="240" xfId="3" applyFill="1" applyBorder="1" applyAlignment="1">
      <alignment horizontal="center" vertical="center" wrapText="1"/>
    </xf>
    <xf numFmtId="198" fontId="65" fillId="0" borderId="295" xfId="3" applyNumberFormat="1" applyFont="1" applyBorder="1" applyAlignment="1">
      <alignment horizontal="left" vertical="center" shrinkToFit="1"/>
    </xf>
    <xf numFmtId="198" fontId="65" fillId="0" borderId="296" xfId="3" applyNumberFormat="1" applyFont="1" applyBorder="1" applyAlignment="1">
      <alignment horizontal="left" vertical="center" shrinkToFit="1"/>
    </xf>
    <xf numFmtId="178" fontId="50" fillId="0" borderId="0" xfId="3" applyNumberFormat="1" applyFont="1" applyFill="1" applyBorder="1" applyAlignment="1">
      <alignment horizontal="left" vertical="center"/>
    </xf>
    <xf numFmtId="0" fontId="55" fillId="32" borderId="175" xfId="3" applyFont="1" applyFill="1" applyBorder="1" applyAlignment="1">
      <alignment horizontal="center" vertical="center"/>
    </xf>
    <xf numFmtId="0" fontId="55" fillId="32" borderId="224" xfId="3" applyFont="1" applyFill="1" applyBorder="1" applyAlignment="1">
      <alignment horizontal="center" vertical="center"/>
    </xf>
    <xf numFmtId="0" fontId="55" fillId="32" borderId="176" xfId="3" applyFont="1" applyFill="1" applyBorder="1" applyAlignment="1">
      <alignment horizontal="center" vertical="center"/>
    </xf>
    <xf numFmtId="0" fontId="55" fillId="32" borderId="174" xfId="3" applyFont="1" applyFill="1" applyBorder="1" applyAlignment="1">
      <alignment horizontal="center" vertical="center" wrapText="1"/>
    </xf>
    <xf numFmtId="0" fontId="55" fillId="32" borderId="174" xfId="3" applyFont="1" applyFill="1" applyBorder="1" applyAlignment="1">
      <alignment horizontal="center" vertical="center"/>
    </xf>
    <xf numFmtId="0" fontId="39" fillId="21" borderId="174" xfId="3" applyFill="1" applyBorder="1" applyAlignment="1">
      <alignment horizontal="center" vertical="center"/>
    </xf>
    <xf numFmtId="0" fontId="39" fillId="23" borderId="264" xfId="3" applyFill="1" applyBorder="1" applyAlignment="1">
      <alignment horizontal="center" vertical="center"/>
    </xf>
    <xf numFmtId="0" fontId="55" fillId="14" borderId="174" xfId="3" applyFont="1" applyFill="1" applyBorder="1" applyAlignment="1">
      <alignment horizontal="center" vertical="center"/>
    </xf>
    <xf numFmtId="199" fontId="65" fillId="0" borderId="295" xfId="3" applyNumberFormat="1" applyFont="1" applyBorder="1" applyAlignment="1">
      <alignment horizontal="left" vertical="center" shrinkToFit="1"/>
    </xf>
    <xf numFmtId="199" fontId="65" fillId="0" borderId="296" xfId="3" applyNumberFormat="1" applyFont="1" applyBorder="1" applyAlignment="1">
      <alignment horizontal="left" vertical="center" shrinkToFit="1"/>
    </xf>
    <xf numFmtId="0" fontId="55" fillId="14" borderId="174" xfId="3" applyFont="1" applyFill="1" applyBorder="1" applyAlignment="1">
      <alignment horizontal="center" vertical="center" wrapText="1"/>
    </xf>
    <xf numFmtId="0" fontId="39" fillId="14" borderId="238" xfId="3" applyFill="1" applyBorder="1" applyAlignment="1">
      <alignment horizontal="center" vertical="center" shrinkToFit="1"/>
    </xf>
    <xf numFmtId="0" fontId="39" fillId="14" borderId="239" xfId="3" applyFill="1" applyBorder="1" applyAlignment="1">
      <alignment horizontal="center" vertical="center" shrinkToFit="1"/>
    </xf>
    <xf numFmtId="0" fontId="39" fillId="21" borderId="175" xfId="3" applyFont="1" applyFill="1" applyBorder="1" applyAlignment="1">
      <alignment horizontal="center" vertical="center"/>
    </xf>
    <xf numFmtId="0" fontId="39" fillId="21" borderId="224" xfId="3" applyFont="1" applyFill="1" applyBorder="1" applyAlignment="1">
      <alignment horizontal="center" vertical="center"/>
    </xf>
    <xf numFmtId="0" fontId="39" fillId="21" borderId="176" xfId="3" applyFont="1" applyFill="1" applyBorder="1" applyAlignment="1">
      <alignment horizontal="center" vertical="center"/>
    </xf>
    <xf numFmtId="0" fontId="39" fillId="32" borderId="286" xfId="3" applyFont="1" applyFill="1" applyBorder="1" applyAlignment="1">
      <alignment horizontal="center" vertical="center" shrinkToFit="1"/>
    </xf>
    <xf numFmtId="0" fontId="39" fillId="7" borderId="286" xfId="3" applyFont="1" applyFill="1" applyBorder="1" applyAlignment="1">
      <alignment horizontal="center" vertical="center" shrinkToFit="1"/>
    </xf>
    <xf numFmtId="0" fontId="39" fillId="7" borderId="232" xfId="3" applyFont="1" applyFill="1" applyBorder="1" applyAlignment="1">
      <alignment horizontal="center" vertical="center" shrinkToFit="1"/>
    </xf>
    <xf numFmtId="0" fontId="0" fillId="7" borderId="286" xfId="3" applyFont="1" applyFill="1" applyBorder="1" applyAlignment="1">
      <alignment horizontal="center" vertical="center" shrinkToFit="1"/>
    </xf>
    <xf numFmtId="0" fontId="39" fillId="7" borderId="284" xfId="3" applyFont="1" applyFill="1" applyBorder="1" applyAlignment="1">
      <alignment horizontal="center" vertical="center" shrinkToFit="1"/>
    </xf>
    <xf numFmtId="0" fontId="0" fillId="32" borderId="671" xfId="0" applyFill="1" applyBorder="1" applyAlignment="1">
      <alignment horizontal="center" vertical="center"/>
    </xf>
    <xf numFmtId="0" fontId="0" fillId="32" borderId="666" xfId="0" applyFill="1" applyBorder="1" applyAlignment="1">
      <alignment horizontal="center" vertical="center"/>
    </xf>
    <xf numFmtId="0" fontId="0" fillId="7" borderId="666" xfId="0" applyFill="1" applyBorder="1" applyAlignment="1">
      <alignment horizontal="center" vertical="center"/>
    </xf>
    <xf numFmtId="0" fontId="0" fillId="7" borderId="671" xfId="0" applyFill="1" applyBorder="1" applyAlignment="1">
      <alignment horizontal="center" vertical="center"/>
    </xf>
    <xf numFmtId="0" fontId="55" fillId="14" borderId="175" xfId="3" applyFont="1" applyFill="1" applyBorder="1" applyAlignment="1" applyProtection="1">
      <alignment horizontal="center" vertical="center" wrapText="1"/>
    </xf>
    <xf numFmtId="0" fontId="55" fillId="14" borderId="224" xfId="3" applyFont="1" applyFill="1" applyBorder="1" applyAlignment="1" applyProtection="1">
      <alignment horizontal="center" vertical="center" wrapText="1"/>
    </xf>
    <xf numFmtId="0" fontId="55" fillId="14" borderId="176" xfId="3" applyFont="1" applyFill="1" applyBorder="1" applyAlignment="1" applyProtection="1">
      <alignment horizontal="center" vertical="center" wrapText="1"/>
    </xf>
    <xf numFmtId="0" fontId="0" fillId="8" borderId="175" xfId="3" applyFont="1" applyFill="1" applyBorder="1" applyAlignment="1" applyProtection="1">
      <alignment horizontal="center" vertical="center" shrinkToFit="1"/>
    </xf>
    <xf numFmtId="0" fontId="0" fillId="8" borderId="224" xfId="3" applyFont="1" applyFill="1" applyBorder="1" applyAlignment="1" applyProtection="1">
      <alignment horizontal="center" vertical="center" shrinkToFit="1"/>
    </xf>
    <xf numFmtId="0" fontId="0" fillId="8" borderId="176" xfId="3" applyFont="1" applyFill="1" applyBorder="1" applyAlignment="1" applyProtection="1">
      <alignment horizontal="center" vertical="center" shrinkToFit="1"/>
    </xf>
    <xf numFmtId="0" fontId="55" fillId="14" borderId="175" xfId="3" applyFont="1" applyFill="1" applyBorder="1" applyAlignment="1" applyProtection="1">
      <alignment horizontal="center" vertical="center" shrinkToFit="1"/>
    </xf>
    <xf numFmtId="0" fontId="55" fillId="14" borderId="224" xfId="3" applyFont="1" applyFill="1" applyBorder="1" applyAlignment="1" applyProtection="1">
      <alignment horizontal="center" vertical="center" shrinkToFit="1"/>
    </xf>
    <xf numFmtId="0" fontId="55" fillId="14" borderId="176" xfId="3" applyFont="1" applyFill="1" applyBorder="1" applyAlignment="1" applyProtection="1">
      <alignment horizontal="center" vertical="center" shrinkToFit="1"/>
    </xf>
    <xf numFmtId="0" fontId="55" fillId="14" borderId="174" xfId="3" applyFont="1" applyFill="1" applyBorder="1" applyAlignment="1" applyProtection="1">
      <alignment horizontal="center" vertical="center" shrinkToFit="1"/>
    </xf>
    <xf numFmtId="0" fontId="0" fillId="8" borderId="174" xfId="3" applyFont="1" applyFill="1" applyBorder="1" applyAlignment="1" applyProtection="1">
      <alignment horizontal="center" vertical="center" shrinkToFit="1"/>
    </xf>
    <xf numFmtId="0" fontId="39" fillId="8" borderId="174" xfId="3" applyFont="1" applyFill="1" applyBorder="1" applyAlignment="1" applyProtection="1">
      <alignment horizontal="center" vertical="center" shrinkToFit="1"/>
    </xf>
    <xf numFmtId="0" fontId="55" fillId="14" borderId="174" xfId="3" applyFont="1" applyFill="1" applyBorder="1" applyAlignment="1" applyProtection="1">
      <alignment horizontal="center" vertical="center" wrapText="1"/>
    </xf>
    <xf numFmtId="0" fontId="55" fillId="14" borderId="174" xfId="3" applyFont="1" applyFill="1" applyBorder="1" applyAlignment="1" applyProtection="1">
      <alignment horizontal="center" vertical="center"/>
    </xf>
    <xf numFmtId="0" fontId="72" fillId="14" borderId="174" xfId="3" applyFont="1" applyFill="1" applyBorder="1" applyAlignment="1" applyProtection="1">
      <alignment horizontal="center" vertical="center" shrinkToFit="1"/>
    </xf>
    <xf numFmtId="0" fontId="39" fillId="14" borderId="241" xfId="3" applyFont="1" applyFill="1" applyBorder="1" applyAlignment="1" applyProtection="1">
      <alignment horizontal="center" vertical="center" wrapText="1"/>
    </xf>
    <xf numFmtId="0" fontId="39" fillId="14" borderId="243" xfId="3" applyFont="1" applyFill="1" applyBorder="1" applyAlignment="1" applyProtection="1">
      <alignment horizontal="center" vertical="center" wrapText="1"/>
    </xf>
    <xf numFmtId="200" fontId="55" fillId="22" borderId="665" xfId="3" applyNumberFormat="1" applyFont="1" applyFill="1" applyBorder="1" applyAlignment="1" applyProtection="1">
      <alignment horizontal="center" vertical="center" shrinkToFit="1"/>
    </xf>
    <xf numFmtId="200" fontId="55" fillId="22" borderId="664" xfId="3" applyNumberFormat="1" applyFont="1" applyFill="1" applyBorder="1" applyAlignment="1" applyProtection="1">
      <alignment horizontal="center" vertical="center" shrinkToFit="1"/>
    </xf>
    <xf numFmtId="0" fontId="39" fillId="8" borderId="224" xfId="3" applyFont="1" applyFill="1" applyBorder="1" applyAlignment="1" applyProtection="1">
      <alignment horizontal="center" vertical="center" shrinkToFit="1"/>
    </xf>
    <xf numFmtId="0" fontId="39" fillId="8" borderId="176" xfId="3" applyFont="1" applyFill="1" applyBorder="1" applyAlignment="1" applyProtection="1">
      <alignment horizontal="center" vertical="center" shrinkToFit="1"/>
    </xf>
    <xf numFmtId="0" fontId="55" fillId="14" borderId="521" xfId="3" applyFont="1" applyFill="1" applyBorder="1" applyAlignment="1" applyProtection="1">
      <alignment horizontal="center" vertical="center" wrapText="1"/>
    </xf>
    <xf numFmtId="0" fontId="55" fillId="14" borderId="527" xfId="3" applyFont="1" applyFill="1" applyBorder="1" applyAlignment="1" applyProtection="1">
      <alignment horizontal="center" vertical="center" wrapText="1"/>
    </xf>
    <xf numFmtId="0" fontId="55" fillId="14" borderId="523" xfId="3" applyFont="1" applyFill="1" applyBorder="1" applyAlignment="1" applyProtection="1">
      <alignment horizontal="center" vertical="center" wrapText="1"/>
    </xf>
    <xf numFmtId="0" fontId="0" fillId="8" borderId="521" xfId="3" applyFont="1" applyFill="1" applyBorder="1" applyAlignment="1" applyProtection="1">
      <alignment horizontal="center" vertical="center" shrinkToFit="1"/>
    </xf>
    <xf numFmtId="0" fontId="0" fillId="8" borderId="527" xfId="3" applyFont="1" applyFill="1" applyBorder="1" applyAlignment="1" applyProtection="1">
      <alignment horizontal="center" vertical="center" shrinkToFit="1"/>
    </xf>
    <xf numFmtId="0" fontId="0" fillId="8" borderId="523" xfId="3" applyFont="1" applyFill="1" applyBorder="1" applyAlignment="1" applyProtection="1">
      <alignment horizontal="center" vertical="center" shrinkToFit="1"/>
    </xf>
    <xf numFmtId="0" fontId="0" fillId="0" borderId="137" xfId="0" applyBorder="1" applyAlignment="1">
      <alignment horizontal="center" vertical="center"/>
    </xf>
    <xf numFmtId="0" fontId="0" fillId="0" borderId="153" xfId="0" applyBorder="1" applyAlignment="1">
      <alignment horizontal="center" vertical="center"/>
    </xf>
    <xf numFmtId="0" fontId="0" fillId="0" borderId="154" xfId="0" applyBorder="1" applyAlignment="1">
      <alignment horizontal="center" vertical="center"/>
    </xf>
    <xf numFmtId="181" fontId="109" fillId="0" borderId="153" xfId="0" applyNumberFormat="1" applyFont="1" applyFill="1" applyBorder="1" applyAlignment="1">
      <alignment horizontal="center" vertical="center" shrinkToFit="1"/>
    </xf>
    <xf numFmtId="181" fontId="109" fillId="0" borderId="154" xfId="0" applyNumberFormat="1" applyFont="1" applyFill="1" applyBorder="1" applyAlignment="1">
      <alignment horizontal="center" vertical="center" shrinkToFit="1"/>
    </xf>
    <xf numFmtId="181" fontId="109" fillId="0" borderId="137" xfId="0" applyNumberFormat="1" applyFont="1" applyBorder="1" applyAlignment="1">
      <alignment horizontal="center" vertical="center" shrinkToFit="1"/>
    </xf>
    <xf numFmtId="181" fontId="109" fillId="0" borderId="153" xfId="0" applyNumberFormat="1" applyFont="1" applyBorder="1" applyAlignment="1">
      <alignment horizontal="center" vertical="center" shrinkToFit="1"/>
    </xf>
    <xf numFmtId="181" fontId="109" fillId="0" borderId="154" xfId="0" applyNumberFormat="1" applyFont="1" applyBorder="1" applyAlignment="1">
      <alignment horizontal="center" vertical="center" shrinkToFit="1"/>
    </xf>
    <xf numFmtId="181" fontId="109" fillId="8" borderId="153" xfId="0" applyNumberFormat="1" applyFont="1" applyFill="1" applyBorder="1" applyAlignment="1">
      <alignment horizontal="center" vertical="center" shrinkToFit="1"/>
    </xf>
    <xf numFmtId="181" fontId="109" fillId="8" borderId="154" xfId="0" applyNumberFormat="1" applyFont="1" applyFill="1" applyBorder="1" applyAlignment="1">
      <alignment horizontal="center" vertical="center" shrinkToFit="1"/>
    </xf>
    <xf numFmtId="0" fontId="49" fillId="0" borderId="18" xfId="0" applyFont="1" applyFill="1" applyBorder="1" applyAlignment="1">
      <alignment horizontal="center" vertical="center" shrinkToFit="1"/>
    </xf>
    <xf numFmtId="0" fontId="49" fillId="0" borderId="20" xfId="0" applyFont="1" applyFill="1" applyBorder="1" applyAlignment="1">
      <alignment horizontal="center" vertical="center"/>
    </xf>
    <xf numFmtId="0" fontId="49" fillId="0" borderId="646" xfId="0" applyFont="1" applyFill="1" applyBorder="1" applyAlignment="1">
      <alignment horizontal="center" vertical="center"/>
    </xf>
    <xf numFmtId="0" fontId="49" fillId="0" borderId="18" xfId="0" applyFont="1" applyBorder="1" applyAlignment="1">
      <alignment horizontal="center" vertical="center" shrinkToFit="1"/>
    </xf>
    <xf numFmtId="0" fontId="49" fillId="0" borderId="35" xfId="0" applyFont="1" applyFill="1" applyBorder="1" applyAlignment="1">
      <alignment horizontal="center" vertical="center"/>
    </xf>
    <xf numFmtId="0" fontId="49" fillId="0" borderId="17" xfId="0" applyFont="1" applyFill="1" applyBorder="1" applyAlignment="1">
      <alignment horizontal="center" vertical="center" shrinkToFit="1"/>
    </xf>
    <xf numFmtId="0" fontId="49" fillId="0" borderId="18" xfId="0" applyFont="1" applyFill="1" applyBorder="1" applyAlignment="1">
      <alignment horizontal="center" vertical="center"/>
    </xf>
    <xf numFmtId="0" fontId="49" fillId="0" borderId="627" xfId="0" applyFont="1" applyBorder="1" applyAlignment="1">
      <alignment horizontal="center" vertical="center"/>
    </xf>
    <xf numFmtId="0" fontId="49" fillId="0" borderId="641" xfId="0" applyFont="1" applyBorder="1" applyAlignment="1">
      <alignment horizontal="center" vertical="center"/>
    </xf>
    <xf numFmtId="0" fontId="49" fillId="0" borderId="631" xfId="0" applyFont="1" applyBorder="1" applyAlignment="1">
      <alignment horizontal="center" vertical="center"/>
    </xf>
    <xf numFmtId="0" fontId="64" fillId="8" borderId="69" xfId="0" applyFont="1" applyFill="1" applyBorder="1" applyAlignment="1">
      <alignment horizontal="left" vertical="top" wrapText="1"/>
    </xf>
    <xf numFmtId="0" fontId="64" fillId="8" borderId="88" xfId="0" applyFont="1" applyFill="1" applyBorder="1" applyAlignment="1">
      <alignment horizontal="left" vertical="top" wrapText="1"/>
    </xf>
    <xf numFmtId="0" fontId="64" fillId="8" borderId="72" xfId="0" applyFont="1" applyFill="1" applyBorder="1" applyAlignment="1">
      <alignment horizontal="left" vertical="top" wrapText="1"/>
    </xf>
    <xf numFmtId="0" fontId="64" fillId="8" borderId="89" xfId="0" applyFont="1" applyFill="1" applyBorder="1" applyAlignment="1">
      <alignment horizontal="left" vertical="top" wrapText="1"/>
    </xf>
    <xf numFmtId="0" fontId="64" fillId="8" borderId="70" xfId="0" applyFont="1" applyFill="1" applyBorder="1" applyAlignment="1">
      <alignment horizontal="left" vertical="top" wrapText="1"/>
    </xf>
    <xf numFmtId="0" fontId="64" fillId="8" borderId="117" xfId="0" applyFont="1" applyFill="1" applyBorder="1" applyAlignment="1">
      <alignment horizontal="left" vertical="top" wrapText="1"/>
    </xf>
    <xf numFmtId="0" fontId="64" fillId="8" borderId="73" xfId="0" applyFont="1" applyFill="1" applyBorder="1" applyAlignment="1">
      <alignment horizontal="left" vertical="top" wrapText="1"/>
    </xf>
    <xf numFmtId="0" fontId="64" fillId="8" borderId="105" xfId="0" applyFont="1" applyFill="1" applyBorder="1" applyAlignment="1">
      <alignment horizontal="left" vertical="top" wrapText="1"/>
    </xf>
    <xf numFmtId="0" fontId="0" fillId="0" borderId="351" xfId="0" applyBorder="1" applyAlignment="1">
      <alignment horizontal="center" vertical="center"/>
    </xf>
    <xf numFmtId="0" fontId="0" fillId="0" borderId="352" xfId="0" applyBorder="1" applyAlignment="1">
      <alignment horizontal="center" vertical="center"/>
    </xf>
    <xf numFmtId="0" fontId="88" fillId="8" borderId="72" xfId="0" applyFont="1" applyFill="1" applyBorder="1" applyAlignment="1">
      <alignment horizontal="left" vertical="top" wrapText="1"/>
    </xf>
    <xf numFmtId="0" fontId="88" fillId="8" borderId="88" xfId="0" applyFont="1" applyFill="1" applyBorder="1" applyAlignment="1">
      <alignment horizontal="left" vertical="top" wrapText="1"/>
    </xf>
    <xf numFmtId="0" fontId="88" fillId="8" borderId="69" xfId="0" applyFont="1" applyFill="1" applyBorder="1" applyAlignment="1">
      <alignment horizontal="left" vertical="top" wrapText="1"/>
    </xf>
    <xf numFmtId="0" fontId="88" fillId="8" borderId="89" xfId="0" applyFont="1" applyFill="1" applyBorder="1" applyAlignment="1">
      <alignment horizontal="left" vertical="top" wrapText="1"/>
    </xf>
    <xf numFmtId="0" fontId="90" fillId="8" borderId="111" xfId="0" applyFont="1" applyFill="1" applyBorder="1" applyAlignment="1">
      <alignment horizontal="center" vertical="center" shrinkToFit="1"/>
    </xf>
    <xf numFmtId="0" fontId="90" fillId="8" borderId="117" xfId="0" applyFont="1" applyFill="1" applyBorder="1" applyAlignment="1">
      <alignment horizontal="center" vertical="center" shrinkToFit="1"/>
    </xf>
    <xf numFmtId="0" fontId="90" fillId="8" borderId="87" xfId="0" applyFont="1" applyFill="1" applyBorder="1" applyAlignment="1">
      <alignment horizontal="center" vertical="center" shrinkToFit="1"/>
    </xf>
    <xf numFmtId="0" fontId="90" fillId="8" borderId="88" xfId="0" applyFont="1" applyFill="1" applyBorder="1" applyAlignment="1">
      <alignment horizontal="center" vertical="center" shrinkToFit="1"/>
    </xf>
    <xf numFmtId="0" fontId="64" fillId="8" borderId="54" xfId="0" applyFont="1" applyFill="1" applyBorder="1" applyAlignment="1">
      <alignment horizontal="left" vertical="top" wrapText="1"/>
    </xf>
    <xf numFmtId="0" fontId="64" fillId="8" borderId="75" xfId="0" applyFont="1" applyFill="1" applyBorder="1" applyAlignment="1">
      <alignment horizontal="left" vertical="top" wrapText="1"/>
    </xf>
    <xf numFmtId="0" fontId="0" fillId="0" borderId="361" xfId="0" applyBorder="1" applyAlignment="1">
      <alignment horizontal="center" vertical="center"/>
    </xf>
    <xf numFmtId="0" fontId="0" fillId="0" borderId="349" xfId="0" applyBorder="1" applyAlignment="1">
      <alignment horizontal="center" vertical="center"/>
    </xf>
    <xf numFmtId="0" fontId="0" fillId="0" borderId="360" xfId="0" applyBorder="1" applyAlignment="1">
      <alignment horizontal="center" vertical="center"/>
    </xf>
    <xf numFmtId="0" fontId="0" fillId="0" borderId="343" xfId="0" applyBorder="1" applyAlignment="1">
      <alignment horizontal="center" vertical="center"/>
    </xf>
    <xf numFmtId="0" fontId="0" fillId="0" borderId="377" xfId="0" applyBorder="1" applyAlignment="1">
      <alignment horizontal="center" vertical="center"/>
    </xf>
    <xf numFmtId="0" fontId="0" fillId="0" borderId="378" xfId="0" applyBorder="1" applyAlignment="1">
      <alignment horizontal="center" vertical="center"/>
    </xf>
    <xf numFmtId="0" fontId="42" fillId="27" borderId="405" xfId="0" applyFont="1" applyFill="1" applyBorder="1" applyAlignment="1">
      <alignment horizontal="center" vertical="center"/>
    </xf>
    <xf numFmtId="0" fontId="42" fillId="27" borderId="406" xfId="0" applyFont="1" applyFill="1" applyBorder="1" applyAlignment="1">
      <alignment horizontal="center" vertical="center"/>
    </xf>
    <xf numFmtId="0" fontId="90" fillId="8" borderId="87" xfId="0" applyFont="1" applyFill="1" applyBorder="1" applyAlignment="1">
      <alignment horizontal="center" vertical="center" wrapText="1" shrinkToFit="1"/>
    </xf>
    <xf numFmtId="0" fontId="0" fillId="0" borderId="366" xfId="0" applyBorder="1" applyAlignment="1">
      <alignment horizontal="center" vertical="center"/>
    </xf>
    <xf numFmtId="0" fontId="0" fillId="0" borderId="360" xfId="0" applyBorder="1" applyAlignment="1">
      <alignment horizontal="center" vertical="center" textRotation="255"/>
    </xf>
    <xf numFmtId="0" fontId="64" fillId="0" borderId="360" xfId="0" applyFont="1" applyBorder="1" applyAlignment="1">
      <alignment horizontal="center" vertical="center" textRotation="255"/>
    </xf>
    <xf numFmtId="0" fontId="0" fillId="28" borderId="360" xfId="0" applyFill="1" applyBorder="1" applyAlignment="1">
      <alignment horizontal="center" vertical="center"/>
    </xf>
    <xf numFmtId="0" fontId="0" fillId="28" borderId="343" xfId="0" applyFill="1" applyBorder="1" applyAlignment="1">
      <alignment horizontal="center" vertical="center"/>
    </xf>
    <xf numFmtId="0" fontId="77" fillId="0" borderId="360" xfId="0" applyFont="1" applyBorder="1" applyAlignment="1">
      <alignment horizontal="center" vertical="center" textRotation="255"/>
    </xf>
    <xf numFmtId="0" fontId="77" fillId="0" borderId="377" xfId="0" applyFont="1" applyBorder="1" applyAlignment="1">
      <alignment horizontal="center" vertical="center" textRotation="255"/>
    </xf>
    <xf numFmtId="0" fontId="0" fillId="27" borderId="405" xfId="0" applyFill="1" applyBorder="1" applyAlignment="1">
      <alignment horizontal="center" vertical="center"/>
    </xf>
    <xf numFmtId="0" fontId="0" fillId="27" borderId="406" xfId="0" applyFill="1" applyBorder="1" applyAlignment="1">
      <alignment horizontal="center" vertical="center"/>
    </xf>
    <xf numFmtId="0" fontId="0" fillId="0" borderId="402" xfId="0" applyBorder="1" applyAlignment="1">
      <alignment horizontal="center" vertical="center"/>
    </xf>
    <xf numFmtId="0" fontId="0" fillId="0" borderId="403" xfId="0" applyBorder="1" applyAlignment="1">
      <alignment horizontal="center" vertical="center"/>
    </xf>
    <xf numFmtId="0" fontId="0" fillId="0" borderId="353" xfId="0" applyBorder="1" applyAlignment="1">
      <alignment horizontal="center" vertical="center"/>
    </xf>
    <xf numFmtId="0" fontId="0" fillId="0" borderId="354" xfId="0" applyBorder="1" applyAlignment="1">
      <alignment horizontal="center" vertical="center"/>
    </xf>
    <xf numFmtId="0" fontId="64" fillId="8" borderId="129" xfId="0" applyFont="1" applyFill="1" applyBorder="1" applyAlignment="1">
      <alignment horizontal="left" vertical="top" wrapText="1"/>
    </xf>
    <xf numFmtId="0" fontId="64" fillId="8" borderId="92" xfId="0" applyFont="1" applyFill="1" applyBorder="1" applyAlignment="1">
      <alignment horizontal="left" vertical="top" wrapText="1"/>
    </xf>
    <xf numFmtId="0" fontId="0" fillId="8" borderId="341" xfId="0" applyFill="1" applyBorder="1" applyAlignment="1">
      <alignment horizontal="center" vertical="center"/>
    </xf>
    <xf numFmtId="0" fontId="0" fillId="8" borderId="118" xfId="0" applyFill="1" applyBorder="1" applyAlignment="1">
      <alignment horizontal="center" vertical="center"/>
    </xf>
    <xf numFmtId="0" fontId="0" fillId="8" borderId="71" xfId="0" applyFill="1" applyBorder="1" applyAlignment="1">
      <alignment horizontal="center" vertical="center"/>
    </xf>
    <xf numFmtId="0" fontId="0" fillId="8" borderId="73" xfId="0" applyFill="1" applyBorder="1" applyAlignment="1">
      <alignment horizontal="center" vertical="center"/>
    </xf>
    <xf numFmtId="0" fontId="0" fillId="8" borderId="112" xfId="0" applyFill="1" applyBorder="1" applyAlignment="1">
      <alignment horizontal="center" vertical="center"/>
    </xf>
    <xf numFmtId="0" fontId="0" fillId="8" borderId="132" xfId="0" applyFill="1" applyBorder="1" applyAlignment="1">
      <alignment horizontal="center" vertical="center"/>
    </xf>
    <xf numFmtId="0" fontId="0" fillId="8" borderId="115" xfId="0" applyFill="1" applyBorder="1" applyAlignment="1">
      <alignment horizontal="center" vertical="center"/>
    </xf>
    <xf numFmtId="0" fontId="0" fillId="8" borderId="283" xfId="0" applyFill="1" applyBorder="1" applyAlignment="1">
      <alignment horizontal="center" vertical="center"/>
    </xf>
    <xf numFmtId="0" fontId="90" fillId="8" borderId="381" xfId="0" applyFont="1" applyFill="1" applyBorder="1" applyAlignment="1">
      <alignment horizontal="center" vertical="center" shrinkToFit="1"/>
    </xf>
    <xf numFmtId="0" fontId="90" fillId="8" borderId="127" xfId="0" applyFont="1" applyFill="1" applyBorder="1" applyAlignment="1">
      <alignment horizontal="center" vertical="center" shrinkToFit="1"/>
    </xf>
    <xf numFmtId="0" fontId="0" fillId="0" borderId="402" xfId="0" applyBorder="1" applyAlignment="1">
      <alignment horizontal="center" vertical="center" wrapText="1"/>
    </xf>
    <xf numFmtId="0" fontId="0" fillId="0" borderId="436" xfId="0" applyBorder="1" applyAlignment="1">
      <alignment horizontal="center" vertical="center"/>
    </xf>
    <xf numFmtId="0" fontId="0" fillId="0" borderId="437" xfId="0" applyBorder="1" applyAlignment="1">
      <alignment horizontal="center" vertical="center"/>
    </xf>
    <xf numFmtId="0" fontId="0" fillId="8" borderId="114" xfId="0" applyFill="1" applyBorder="1" applyAlignment="1">
      <alignment horizontal="center" vertical="center"/>
    </xf>
    <xf numFmtId="0" fontId="0" fillId="8" borderId="126" xfId="0" applyFill="1" applyBorder="1" applyAlignment="1">
      <alignment horizontal="center" vertical="center"/>
    </xf>
    <xf numFmtId="0" fontId="0" fillId="8" borderId="340" xfId="0" applyFill="1" applyBorder="1" applyAlignment="1">
      <alignment horizontal="center" vertical="center"/>
    </xf>
    <xf numFmtId="0" fontId="0" fillId="8" borderId="359" xfId="0" applyFill="1" applyBorder="1" applyAlignment="1">
      <alignment horizontal="center" vertical="center"/>
    </xf>
    <xf numFmtId="0" fontId="0" fillId="0" borderId="351" xfId="0" applyBorder="1" applyAlignment="1">
      <alignment horizontal="center" vertical="center" wrapText="1"/>
    </xf>
    <xf numFmtId="0" fontId="64" fillId="8" borderId="55" xfId="0" applyFont="1" applyFill="1" applyBorder="1" applyAlignment="1">
      <alignment horizontal="left" vertical="top" wrapText="1"/>
    </xf>
    <xf numFmtId="0" fontId="0" fillId="8" borderId="74" xfId="0" applyFill="1" applyBorder="1" applyAlignment="1">
      <alignment horizontal="center" vertical="center"/>
    </xf>
    <xf numFmtId="0" fontId="0" fillId="8" borderId="75" xfId="0" applyFill="1" applyBorder="1" applyAlignment="1">
      <alignment horizontal="center" vertical="center"/>
    </xf>
    <xf numFmtId="0" fontId="0" fillId="8" borderId="357" xfId="0" applyFill="1" applyBorder="1" applyAlignment="1">
      <alignment horizontal="center" vertical="center"/>
    </xf>
    <xf numFmtId="0" fontId="0" fillId="8" borderId="358" xfId="0" applyFill="1" applyBorder="1" applyAlignment="1">
      <alignment horizontal="center" vertical="center"/>
    </xf>
    <xf numFmtId="0" fontId="63" fillId="8" borderId="114" xfId="0" applyFont="1" applyFill="1" applyBorder="1" applyAlignment="1">
      <alignment horizontal="center" vertical="center"/>
    </xf>
    <xf numFmtId="0" fontId="63" fillId="8" borderId="126" xfId="0" applyFont="1" applyFill="1" applyBorder="1" applyAlignment="1">
      <alignment horizontal="center" vertical="center"/>
    </xf>
    <xf numFmtId="0" fontId="63" fillId="8" borderId="115" xfId="0" applyFont="1" applyFill="1" applyBorder="1" applyAlignment="1">
      <alignment horizontal="center" vertical="center"/>
    </xf>
    <xf numFmtId="0" fontId="63" fillId="8" borderId="283" xfId="0" applyFont="1" applyFill="1" applyBorder="1" applyAlignment="1">
      <alignment horizontal="center" vertical="center"/>
    </xf>
    <xf numFmtId="0" fontId="0" fillId="0" borderId="403" xfId="0" applyBorder="1" applyAlignment="1">
      <alignment horizontal="center" vertical="center" wrapText="1"/>
    </xf>
    <xf numFmtId="0" fontId="0" fillId="0" borderId="436" xfId="0" applyBorder="1" applyAlignment="1">
      <alignment horizontal="center" vertical="center" wrapText="1"/>
    </xf>
    <xf numFmtId="0" fontId="0" fillId="0" borderId="437" xfId="0" applyBorder="1" applyAlignment="1">
      <alignment horizontal="center" vertical="center" wrapText="1"/>
    </xf>
    <xf numFmtId="0" fontId="0" fillId="0" borderId="438" xfId="0" applyBorder="1" applyAlignment="1">
      <alignment horizontal="center" vertical="center" wrapText="1"/>
    </xf>
    <xf numFmtId="0" fontId="0" fillId="0" borderId="439" xfId="0" applyBorder="1" applyAlignment="1">
      <alignment horizontal="center" vertical="center" wrapText="1"/>
    </xf>
    <xf numFmtId="0" fontId="0" fillId="8" borderId="149" xfId="0" applyFill="1" applyBorder="1" applyAlignment="1">
      <alignment horizontal="center" vertical="center"/>
    </xf>
    <xf numFmtId="0" fontId="0" fillId="8" borderId="150" xfId="0" applyFill="1" applyBorder="1" applyAlignment="1">
      <alignment horizontal="center" vertical="center"/>
    </xf>
    <xf numFmtId="0" fontId="0" fillId="8" borderId="114" xfId="0" applyFill="1" applyBorder="1" applyAlignment="1">
      <alignment horizontal="center" vertical="center" wrapText="1"/>
    </xf>
    <xf numFmtId="0" fontId="64" fillId="8" borderId="130" xfId="0" applyFont="1" applyFill="1" applyBorder="1" applyAlignment="1">
      <alignment horizontal="left" vertical="top" wrapText="1"/>
    </xf>
    <xf numFmtId="0" fontId="64" fillId="8" borderId="94" xfId="0" applyFont="1" applyFill="1" applyBorder="1" applyAlignment="1">
      <alignment horizontal="left" vertical="top" wrapText="1"/>
    </xf>
    <xf numFmtId="0" fontId="64" fillId="8" borderId="222" xfId="0" applyFont="1" applyFill="1" applyBorder="1" applyAlignment="1">
      <alignment horizontal="left" vertical="top" wrapText="1"/>
    </xf>
    <xf numFmtId="0" fontId="64" fillId="8" borderId="173" xfId="0" applyFont="1" applyFill="1" applyBorder="1" applyAlignment="1">
      <alignment horizontal="left" vertical="top" wrapText="1"/>
    </xf>
    <xf numFmtId="0" fontId="64" fillId="8" borderId="119" xfId="0" applyFont="1" applyFill="1" applyBorder="1" applyAlignment="1">
      <alignment horizontal="left" vertical="top" wrapText="1"/>
    </xf>
    <xf numFmtId="0" fontId="64" fillId="8" borderId="93" xfId="0" applyFont="1" applyFill="1" applyBorder="1" applyAlignment="1">
      <alignment horizontal="left" vertical="top" wrapText="1"/>
    </xf>
    <xf numFmtId="0" fontId="0" fillId="27" borderId="415" xfId="0" applyFill="1" applyBorder="1" applyAlignment="1">
      <alignment horizontal="center" vertical="center"/>
    </xf>
    <xf numFmtId="0" fontId="0" fillId="27" borderId="416" xfId="0" applyFill="1" applyBorder="1" applyAlignment="1">
      <alignment horizontal="center" vertical="center"/>
    </xf>
    <xf numFmtId="0" fontId="0" fillId="0" borderId="421" xfId="0" applyBorder="1" applyAlignment="1">
      <alignment horizontal="center" vertical="center"/>
    </xf>
    <xf numFmtId="0" fontId="0" fillId="0" borderId="422" xfId="0" applyBorder="1" applyAlignment="1">
      <alignment horizontal="center" vertical="center"/>
    </xf>
    <xf numFmtId="0" fontId="43" fillId="0" borderId="351" xfId="0" applyFont="1" applyBorder="1" applyAlignment="1">
      <alignment horizontal="center" vertical="center"/>
    </xf>
    <xf numFmtId="0" fontId="43" fillId="0" borderId="352" xfId="0" applyFont="1" applyBorder="1" applyAlignment="1">
      <alignment horizontal="center" vertical="center"/>
    </xf>
    <xf numFmtId="0" fontId="64" fillId="8" borderId="118" xfId="0" applyFont="1" applyFill="1" applyBorder="1" applyAlignment="1">
      <alignment horizontal="left" vertical="top" wrapText="1"/>
    </xf>
    <xf numFmtId="0" fontId="0" fillId="0" borderId="362" xfId="0" applyBorder="1" applyAlignment="1">
      <alignment horizontal="center" vertical="center"/>
    </xf>
    <xf numFmtId="0" fontId="0" fillId="0" borderId="355" xfId="0" applyBorder="1" applyAlignment="1">
      <alignment horizontal="center" vertical="center"/>
    </xf>
    <xf numFmtId="0" fontId="0" fillId="0" borderId="356" xfId="0" applyBorder="1" applyAlignment="1">
      <alignment horizontal="center" vertical="center"/>
    </xf>
    <xf numFmtId="0" fontId="0" fillId="27" borderId="411" xfId="0" applyFill="1" applyBorder="1" applyAlignment="1">
      <alignment horizontal="center" vertical="center"/>
    </xf>
    <xf numFmtId="0" fontId="0" fillId="27" borderId="412" xfId="0" applyFill="1" applyBorder="1" applyAlignment="1">
      <alignment horizontal="center" vertical="center"/>
    </xf>
    <xf numFmtId="0" fontId="63" fillId="0" borderId="351" xfId="0" applyFont="1" applyBorder="1" applyAlignment="1">
      <alignment horizontal="center" vertical="center" textRotation="255"/>
    </xf>
    <xf numFmtId="0" fontId="63" fillId="0" borderId="427" xfId="0" applyFont="1" applyBorder="1" applyAlignment="1">
      <alignment horizontal="center" vertical="center" textRotation="255"/>
    </xf>
    <xf numFmtId="0" fontId="64" fillId="8" borderId="69" xfId="0" applyNumberFormat="1" applyFont="1" applyFill="1" applyBorder="1" applyAlignment="1">
      <alignment horizontal="left" vertical="top" wrapText="1"/>
    </xf>
    <xf numFmtId="0" fontId="64" fillId="8" borderId="88" xfId="0" applyNumberFormat="1" applyFont="1" applyFill="1" applyBorder="1" applyAlignment="1">
      <alignment horizontal="left" vertical="top" wrapText="1"/>
    </xf>
    <xf numFmtId="0" fontId="64" fillId="8" borderId="72" xfId="0" applyNumberFormat="1" applyFont="1" applyFill="1" applyBorder="1" applyAlignment="1">
      <alignment horizontal="left" vertical="top" wrapText="1"/>
    </xf>
    <xf numFmtId="0" fontId="64" fillId="8" borderId="54" xfId="0" applyNumberFormat="1" applyFont="1" applyFill="1" applyBorder="1" applyAlignment="1">
      <alignment horizontal="left" vertical="top" wrapText="1"/>
    </xf>
    <xf numFmtId="0" fontId="64" fillId="8" borderId="70" xfId="0" applyNumberFormat="1" applyFont="1" applyFill="1" applyBorder="1" applyAlignment="1">
      <alignment horizontal="left" vertical="top" wrapText="1"/>
    </xf>
    <xf numFmtId="0" fontId="64" fillId="8" borderId="117" xfId="0" applyNumberFormat="1" applyFont="1" applyFill="1" applyBorder="1" applyAlignment="1">
      <alignment horizontal="left" vertical="top" wrapText="1"/>
    </xf>
    <xf numFmtId="0" fontId="64" fillId="8" borderId="73" xfId="0" applyNumberFormat="1" applyFont="1" applyFill="1" applyBorder="1" applyAlignment="1">
      <alignment horizontal="left" vertical="top" wrapText="1"/>
    </xf>
    <xf numFmtId="0" fontId="64" fillId="8" borderId="75" xfId="0" applyNumberFormat="1" applyFont="1" applyFill="1" applyBorder="1" applyAlignment="1">
      <alignment horizontal="left" vertical="top" wrapText="1"/>
    </xf>
    <xf numFmtId="0" fontId="0" fillId="0" borderId="448" xfId="0" applyBorder="1" applyAlignment="1">
      <alignment horizontal="center" vertical="center" wrapText="1"/>
    </xf>
    <xf numFmtId="0" fontId="0" fillId="0" borderId="449" xfId="0" applyBorder="1" applyAlignment="1">
      <alignment horizontal="center" vertical="center" wrapText="1"/>
    </xf>
    <xf numFmtId="0" fontId="0" fillId="0" borderId="452" xfId="0" applyBorder="1" applyAlignment="1">
      <alignment horizontal="center" vertical="center" wrapText="1"/>
    </xf>
    <xf numFmtId="0" fontId="0" fillId="0" borderId="453" xfId="0" applyBorder="1" applyAlignment="1">
      <alignment horizontal="center" vertical="center" wrapText="1"/>
    </xf>
    <xf numFmtId="0" fontId="0" fillId="0" borderId="456" xfId="0" applyBorder="1" applyAlignment="1">
      <alignment horizontal="center" vertical="center" wrapText="1"/>
    </xf>
    <xf numFmtId="0" fontId="0" fillId="0" borderId="457" xfId="0" applyBorder="1" applyAlignment="1">
      <alignment horizontal="center" vertical="center" wrapText="1"/>
    </xf>
    <xf numFmtId="0" fontId="0" fillId="0" borderId="290" xfId="0" applyBorder="1" applyAlignment="1">
      <alignment horizontal="center" vertical="center"/>
    </xf>
    <xf numFmtId="0" fontId="0" fillId="0" borderId="291" xfId="0" applyBorder="1" applyAlignment="1">
      <alignment horizontal="center" vertical="center"/>
    </xf>
    <xf numFmtId="0" fontId="0" fillId="27" borderId="442" xfId="0" applyFill="1" applyBorder="1" applyAlignment="1">
      <alignment horizontal="center" vertical="center"/>
    </xf>
    <xf numFmtId="0" fontId="0" fillId="27" borderId="444" xfId="0" applyFill="1" applyBorder="1" applyAlignment="1">
      <alignment horizontal="center" vertical="center"/>
    </xf>
    <xf numFmtId="0" fontId="0" fillId="8" borderId="151" xfId="0" applyNumberFormat="1" applyFill="1" applyBorder="1" applyAlignment="1">
      <alignment horizontal="center" vertical="center"/>
    </xf>
    <xf numFmtId="0" fontId="0" fillId="8" borderId="152" xfId="0" applyNumberFormat="1" applyFill="1" applyBorder="1" applyAlignment="1">
      <alignment horizontal="center" vertical="center"/>
    </xf>
    <xf numFmtId="0" fontId="63" fillId="8" borderId="115" xfId="0" applyNumberFormat="1" applyFont="1" applyFill="1" applyBorder="1" applyAlignment="1">
      <alignment horizontal="center" vertical="center"/>
    </xf>
    <xf numFmtId="0" fontId="63" fillId="8" borderId="283" xfId="0" applyNumberFormat="1" applyFont="1" applyFill="1" applyBorder="1" applyAlignment="1">
      <alignment horizontal="center" vertical="center"/>
    </xf>
    <xf numFmtId="0" fontId="63" fillId="8" borderId="114" xfId="0" applyNumberFormat="1" applyFont="1" applyFill="1" applyBorder="1" applyAlignment="1">
      <alignment horizontal="center" vertical="center"/>
    </xf>
    <xf numFmtId="0" fontId="63" fillId="8" borderId="126" xfId="0" applyNumberFormat="1" applyFont="1" applyFill="1" applyBorder="1" applyAlignment="1">
      <alignment horizontal="center" vertical="center"/>
    </xf>
    <xf numFmtId="0" fontId="63" fillId="8" borderId="340" xfId="0" applyNumberFormat="1" applyFont="1" applyFill="1" applyBorder="1" applyAlignment="1">
      <alignment horizontal="center" vertical="center"/>
    </xf>
    <xf numFmtId="0" fontId="63" fillId="8" borderId="359" xfId="0" applyNumberFormat="1" applyFont="1" applyFill="1" applyBorder="1" applyAlignment="1">
      <alignment horizontal="center" vertical="center"/>
    </xf>
    <xf numFmtId="0" fontId="64" fillId="8" borderId="91" xfId="0" applyNumberFormat="1" applyFont="1" applyFill="1" applyBorder="1" applyAlignment="1">
      <alignment horizontal="left" vertical="top" wrapText="1"/>
    </xf>
    <xf numFmtId="0" fontId="64" fillId="8" borderId="93" xfId="0" applyNumberFormat="1" applyFont="1" applyFill="1" applyBorder="1" applyAlignment="1">
      <alignment horizontal="left" vertical="top" wrapText="1"/>
    </xf>
    <xf numFmtId="0" fontId="64" fillId="8" borderId="92" xfId="0" applyNumberFormat="1" applyFont="1" applyFill="1" applyBorder="1" applyAlignment="1">
      <alignment horizontal="left" vertical="top" wrapText="1"/>
    </xf>
    <xf numFmtId="0" fontId="64" fillId="8" borderId="55" xfId="0" applyNumberFormat="1" applyFont="1" applyFill="1" applyBorder="1" applyAlignment="1">
      <alignment horizontal="left" vertical="top" wrapText="1"/>
    </xf>
    <xf numFmtId="0" fontId="88" fillId="8" borderId="69" xfId="0" applyNumberFormat="1" applyFont="1" applyFill="1" applyBorder="1" applyAlignment="1">
      <alignment horizontal="left" vertical="top" wrapText="1"/>
    </xf>
    <xf numFmtId="0" fontId="88" fillId="8" borderId="88" xfId="0" applyNumberFormat="1" applyFont="1" applyFill="1" applyBorder="1" applyAlignment="1">
      <alignment horizontal="left" vertical="top" wrapText="1"/>
    </xf>
    <xf numFmtId="0" fontId="88" fillId="8" borderId="72" xfId="0" applyNumberFormat="1" applyFont="1" applyFill="1" applyBorder="1" applyAlignment="1">
      <alignment horizontal="left" vertical="top" wrapText="1"/>
    </xf>
    <xf numFmtId="0" fontId="88" fillId="8" borderId="54" xfId="0" applyNumberFormat="1" applyFont="1" applyFill="1" applyBorder="1" applyAlignment="1">
      <alignment horizontal="left" vertical="top" wrapText="1"/>
    </xf>
    <xf numFmtId="0" fontId="0" fillId="0" borderId="284" xfId="0" applyBorder="1" applyAlignment="1">
      <alignment horizontal="center" vertical="center"/>
    </xf>
    <xf numFmtId="0" fontId="0" fillId="0" borderId="285" xfId="0" applyBorder="1" applyAlignment="1">
      <alignment horizontal="center" vertical="center"/>
    </xf>
    <xf numFmtId="0" fontId="0" fillId="27" borderId="470" xfId="0" applyFill="1" applyBorder="1" applyAlignment="1">
      <alignment horizontal="center" vertical="center"/>
    </xf>
    <xf numFmtId="0" fontId="0" fillId="27" borderId="471" xfId="0" applyFill="1" applyBorder="1" applyAlignment="1">
      <alignment horizontal="center" vertical="center"/>
    </xf>
    <xf numFmtId="0" fontId="0" fillId="0" borderId="286" xfId="0" applyFont="1" applyBorder="1" applyAlignment="1">
      <alignment horizontal="center" vertical="center"/>
    </xf>
    <xf numFmtId="0" fontId="0" fillId="0" borderId="287" xfId="0" applyFont="1" applyBorder="1" applyAlignment="1">
      <alignment horizontal="center" vertical="center"/>
    </xf>
    <xf numFmtId="0" fontId="0" fillId="0" borderId="473" xfId="0" applyBorder="1" applyAlignment="1">
      <alignment horizontal="center" vertical="center"/>
    </xf>
    <xf numFmtId="0" fontId="0" fillId="0" borderId="474" xfId="0" applyBorder="1" applyAlignment="1">
      <alignment horizontal="center" vertical="center"/>
    </xf>
    <xf numFmtId="0" fontId="0" fillId="0" borderId="484" xfId="0" applyBorder="1" applyAlignment="1">
      <alignment horizontal="center" vertical="center" wrapText="1"/>
    </xf>
    <xf numFmtId="0" fontId="0" fillId="0" borderId="485" xfId="0" applyBorder="1" applyAlignment="1">
      <alignment horizontal="center" vertical="center" wrapText="1"/>
    </xf>
    <xf numFmtId="0" fontId="0" fillId="0" borderId="491" xfId="0" applyBorder="1" applyAlignment="1">
      <alignment horizontal="center" vertical="center" wrapText="1"/>
    </xf>
    <xf numFmtId="0" fontId="0" fillId="0" borderId="492" xfId="0" applyBorder="1" applyAlignment="1">
      <alignment horizontal="center" vertical="center" wrapText="1"/>
    </xf>
    <xf numFmtId="0" fontId="0" fillId="0" borderId="486" xfId="0" applyBorder="1" applyAlignment="1">
      <alignment horizontal="center" vertical="center" wrapText="1"/>
    </xf>
    <xf numFmtId="0" fontId="0" fillId="0" borderId="487" xfId="0" applyBorder="1" applyAlignment="1">
      <alignment horizontal="center" vertical="center" wrapText="1"/>
    </xf>
    <xf numFmtId="177" fontId="0" fillId="0" borderId="209" xfId="0" applyNumberFormat="1" applyBorder="1" applyAlignment="1">
      <alignment horizontal="center" vertical="center"/>
    </xf>
    <xf numFmtId="177" fontId="0" fillId="0" borderId="210" xfId="0" applyNumberFormat="1" applyBorder="1" applyAlignment="1">
      <alignment horizontal="center" vertical="center"/>
    </xf>
    <xf numFmtId="177" fontId="51" fillId="5" borderId="112" xfId="0" applyNumberFormat="1" applyFont="1" applyFill="1" applyBorder="1" applyAlignment="1">
      <alignment horizontal="center" vertical="center"/>
    </xf>
    <xf numFmtId="177" fontId="51" fillId="5" borderId="132" xfId="0" applyNumberFormat="1" applyFont="1" applyFill="1" applyBorder="1" applyAlignment="1">
      <alignment horizontal="center" vertical="center"/>
    </xf>
    <xf numFmtId="177" fontId="51" fillId="5" borderId="149" xfId="0" applyNumberFormat="1" applyFont="1" applyFill="1" applyBorder="1" applyAlignment="1">
      <alignment horizontal="center" vertical="center"/>
    </xf>
    <xf numFmtId="177" fontId="51" fillId="5" borderId="150" xfId="0" applyNumberFormat="1" applyFont="1" applyFill="1" applyBorder="1" applyAlignment="1">
      <alignment horizontal="center" vertical="center"/>
    </xf>
    <xf numFmtId="177" fontId="51" fillId="5" borderId="151" xfId="0" applyNumberFormat="1" applyFont="1" applyFill="1" applyBorder="1" applyAlignment="1">
      <alignment horizontal="center" vertical="center"/>
    </xf>
    <xf numFmtId="177" fontId="51" fillId="5" borderId="152" xfId="0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4" fillId="0" borderId="87" xfId="0" applyFont="1" applyBorder="1" applyAlignment="1">
      <alignment horizontal="left" vertical="top" wrapText="1"/>
    </xf>
    <xf numFmtId="0" fontId="64" fillId="0" borderId="129" xfId="0" applyFont="1" applyBorder="1" applyAlignment="1">
      <alignment horizontal="left" vertical="top" wrapText="1"/>
    </xf>
    <xf numFmtId="0" fontId="64" fillId="0" borderId="119" xfId="0" applyFont="1" applyBorder="1" applyAlignment="1">
      <alignment horizontal="left" vertical="top" wrapText="1"/>
    </xf>
    <xf numFmtId="0" fontId="0" fillId="0" borderId="87" xfId="0" applyBorder="1" applyAlignment="1">
      <alignment horizontal="left" vertical="center" wrapText="1"/>
    </xf>
    <xf numFmtId="0" fontId="0" fillId="0" borderId="129" xfId="0" applyBorder="1" applyAlignment="1">
      <alignment horizontal="left" vertical="center" wrapText="1"/>
    </xf>
    <xf numFmtId="0" fontId="0" fillId="0" borderId="119" xfId="0" applyBorder="1" applyAlignment="1">
      <alignment horizontal="left" vertical="center" wrapText="1"/>
    </xf>
    <xf numFmtId="0" fontId="0" fillId="0" borderId="111" xfId="0" applyBorder="1" applyAlignment="1">
      <alignment horizontal="left" vertical="center" wrapText="1"/>
    </xf>
    <xf numFmtId="0" fontId="0" fillId="0" borderId="130" xfId="0" applyBorder="1" applyAlignment="1">
      <alignment horizontal="left" vertical="center" wrapText="1"/>
    </xf>
    <xf numFmtId="0" fontId="0" fillId="0" borderId="118" xfId="0" applyBorder="1" applyAlignment="1">
      <alignment horizontal="left" vertical="center" wrapText="1"/>
    </xf>
    <xf numFmtId="0" fontId="73" fillId="0" borderId="121" xfId="0" applyFont="1" applyFill="1" applyBorder="1" applyAlignment="1">
      <alignment vertical="top" wrapText="1"/>
    </xf>
    <xf numFmtId="0" fontId="73" fillId="0" borderId="122" xfId="0" applyFont="1" applyFill="1" applyBorder="1" applyAlignment="1">
      <alignment vertical="top" wrapText="1"/>
    </xf>
    <xf numFmtId="178" fontId="63" fillId="0" borderId="216" xfId="0" applyNumberFormat="1" applyFont="1" applyBorder="1" applyAlignment="1">
      <alignment horizontal="center" vertical="center" wrapText="1"/>
    </xf>
    <xf numFmtId="178" fontId="63" fillId="0" borderId="191" xfId="0" applyNumberFormat="1" applyFont="1" applyBorder="1" applyAlignment="1">
      <alignment horizontal="center" vertical="center" wrapText="1"/>
    </xf>
    <xf numFmtId="178" fontId="64" fillId="0" borderId="189" xfId="0" applyNumberFormat="1" applyFont="1" applyBorder="1" applyAlignment="1">
      <alignment horizontal="center" vertical="center" wrapText="1"/>
    </xf>
    <xf numFmtId="178" fontId="64" fillId="0" borderId="191" xfId="0" applyNumberFormat="1" applyFont="1" applyBorder="1" applyAlignment="1">
      <alignment horizontal="center" vertical="center"/>
    </xf>
    <xf numFmtId="178" fontId="63" fillId="0" borderId="212" xfId="0" applyNumberFormat="1" applyFont="1" applyBorder="1" applyAlignment="1">
      <alignment horizontal="center" vertical="center" wrapText="1"/>
    </xf>
    <xf numFmtId="178" fontId="63" fillId="0" borderId="213" xfId="0" applyNumberFormat="1" applyFont="1" applyBorder="1" applyAlignment="1">
      <alignment horizontal="center" vertical="center" wrapText="1"/>
    </xf>
    <xf numFmtId="178" fontId="63" fillId="0" borderId="218" xfId="0" applyNumberFormat="1" applyFont="1" applyBorder="1" applyAlignment="1">
      <alignment horizontal="center" vertical="center" wrapText="1"/>
    </xf>
    <xf numFmtId="178" fontId="63" fillId="0" borderId="195" xfId="0" applyNumberFormat="1" applyFont="1" applyBorder="1" applyAlignment="1">
      <alignment horizontal="center" vertical="center" wrapText="1"/>
    </xf>
    <xf numFmtId="0" fontId="50" fillId="0" borderId="0" xfId="0" applyFont="1" applyAlignment="1">
      <alignment horizontal="left" vertical="center"/>
    </xf>
    <xf numFmtId="0" fontId="50" fillId="0" borderId="203" xfId="0" applyFont="1" applyBorder="1" applyAlignment="1">
      <alignment horizontal="left" vertical="center"/>
    </xf>
    <xf numFmtId="0" fontId="0" fillId="0" borderId="95" xfId="0" applyBorder="1" applyAlignment="1">
      <alignment horizontal="center" vertical="center" wrapText="1"/>
    </xf>
    <xf numFmtId="0" fontId="0" fillId="0" borderId="223" xfId="0" applyBorder="1" applyAlignment="1">
      <alignment horizontal="center" vertical="center" wrapText="1"/>
    </xf>
    <xf numFmtId="0" fontId="0" fillId="0" borderId="170" xfId="0" applyBorder="1" applyAlignment="1">
      <alignment horizontal="center" vertical="center" wrapText="1"/>
    </xf>
    <xf numFmtId="0" fontId="73" fillId="0" borderId="90" xfId="0" applyFont="1" applyBorder="1" applyAlignment="1">
      <alignment horizontal="left" vertical="top" wrapText="1"/>
    </xf>
    <xf numFmtId="0" fontId="73" fillId="0" borderId="222" xfId="0" applyFont="1" applyBorder="1" applyAlignment="1">
      <alignment horizontal="left" vertical="top" wrapText="1"/>
    </xf>
    <xf numFmtId="0" fontId="73" fillId="0" borderId="173" xfId="0" applyFont="1" applyBorder="1" applyAlignment="1">
      <alignment horizontal="left" vertical="top" wrapText="1"/>
    </xf>
    <xf numFmtId="0" fontId="73" fillId="0" borderId="87" xfId="0" applyFont="1" applyBorder="1" applyAlignment="1">
      <alignment horizontal="left" vertical="top" wrapText="1"/>
    </xf>
    <xf numFmtId="0" fontId="73" fillId="0" borderId="129" xfId="0" applyFont="1" applyBorder="1" applyAlignment="1">
      <alignment horizontal="left" vertical="top" wrapText="1"/>
    </xf>
    <xf numFmtId="0" fontId="73" fillId="0" borderId="119" xfId="0" applyFont="1" applyBorder="1" applyAlignment="1">
      <alignment horizontal="left" vertical="top" wrapText="1"/>
    </xf>
    <xf numFmtId="178" fontId="0" fillId="0" borderId="216" xfId="0" applyNumberFormat="1" applyBorder="1" applyAlignment="1">
      <alignment horizontal="center" vertical="center"/>
    </xf>
    <xf numFmtId="178" fontId="0" fillId="0" borderId="191" xfId="0" applyNumberFormat="1" applyBorder="1" applyAlignment="1">
      <alignment horizontal="center" vertical="center"/>
    </xf>
    <xf numFmtId="178" fontId="63" fillId="0" borderId="216" xfId="0" applyNumberFormat="1" applyFont="1" applyBorder="1" applyAlignment="1">
      <alignment horizontal="center" vertical="center"/>
    </xf>
    <xf numFmtId="178" fontId="63" fillId="0" borderId="191" xfId="0" applyNumberFormat="1" applyFont="1" applyBorder="1" applyAlignment="1">
      <alignment horizontal="center" vertical="center"/>
    </xf>
    <xf numFmtId="178" fontId="0" fillId="0" borderId="219" xfId="0" applyNumberFormat="1" applyBorder="1" applyAlignment="1">
      <alignment horizontal="center" vertical="center"/>
    </xf>
    <xf numFmtId="178" fontId="0" fillId="0" borderId="220" xfId="0" applyNumberFormat="1" applyBorder="1" applyAlignment="1">
      <alignment horizontal="center" vertical="center"/>
    </xf>
    <xf numFmtId="178" fontId="0" fillId="0" borderId="213" xfId="0" applyNumberFormat="1" applyBorder="1" applyAlignment="1">
      <alignment horizontal="center" vertical="center"/>
    </xf>
    <xf numFmtId="178" fontId="0" fillId="0" borderId="195" xfId="0" applyNumberFormat="1" applyBorder="1" applyAlignment="1">
      <alignment horizontal="center" vertical="center"/>
    </xf>
    <xf numFmtId="178" fontId="0" fillId="0" borderId="217" xfId="0" applyNumberFormat="1" applyBorder="1" applyAlignment="1">
      <alignment horizontal="center" vertical="center"/>
    </xf>
    <xf numFmtId="178" fontId="0" fillId="0" borderId="194" xfId="0" applyNumberFormat="1" applyBorder="1" applyAlignment="1">
      <alignment horizontal="center" vertical="center"/>
    </xf>
    <xf numFmtId="178" fontId="0" fillId="0" borderId="189" xfId="0" applyNumberFormat="1" applyBorder="1" applyAlignment="1">
      <alignment horizontal="center" vertical="center"/>
    </xf>
    <xf numFmtId="178" fontId="0" fillId="0" borderId="189" xfId="0" applyNumberFormat="1" applyBorder="1" applyAlignment="1">
      <alignment horizontal="center" vertical="center" wrapText="1"/>
    </xf>
    <xf numFmtId="0" fontId="87" fillId="0" borderId="121" xfId="0" applyFont="1" applyFill="1" applyBorder="1" applyAlignment="1">
      <alignment vertical="top" wrapText="1"/>
    </xf>
    <xf numFmtId="0" fontId="0" fillId="0" borderId="137" xfId="0" applyFill="1" applyBorder="1" applyAlignment="1">
      <alignment horizontal="center" vertical="center" wrapText="1"/>
    </xf>
    <xf numFmtId="0" fontId="73" fillId="0" borderId="120" xfId="0" applyFont="1" applyFill="1" applyBorder="1" applyAlignment="1">
      <alignment vertical="top" wrapText="1"/>
    </xf>
    <xf numFmtId="177" fontId="0" fillId="0" borderId="206" xfId="0" applyNumberFormat="1" applyBorder="1" applyAlignment="1">
      <alignment horizontal="center" vertical="center"/>
    </xf>
    <xf numFmtId="177" fontId="0" fillId="0" borderId="207" xfId="0" applyNumberFormat="1" applyBorder="1" applyAlignment="1">
      <alignment horizontal="center" vertical="center"/>
    </xf>
    <xf numFmtId="177" fontId="0" fillId="0" borderId="212" xfId="0" applyNumberFormat="1" applyBorder="1" applyAlignment="1">
      <alignment horizontal="center" vertical="center"/>
    </xf>
    <xf numFmtId="177" fontId="0" fillId="0" borderId="323" xfId="0" applyNumberFormat="1" applyBorder="1" applyAlignment="1">
      <alignment horizontal="center" vertical="center"/>
    </xf>
    <xf numFmtId="177" fontId="0" fillId="0" borderId="325" xfId="0" applyNumberFormat="1" applyBorder="1" applyAlignment="1">
      <alignment horizontal="center" vertical="center"/>
    </xf>
    <xf numFmtId="177" fontId="0" fillId="0" borderId="213" xfId="0" applyNumberFormat="1" applyBorder="1" applyAlignment="1">
      <alignment horizontal="center" vertical="center"/>
    </xf>
    <xf numFmtId="177" fontId="0" fillId="0" borderId="324" xfId="0" applyNumberFormat="1" applyBorder="1" applyAlignment="1">
      <alignment horizontal="center" vertical="center"/>
    </xf>
    <xf numFmtId="0" fontId="68" fillId="0" borderId="4" xfId="0" applyFont="1" applyBorder="1" applyAlignment="1">
      <alignment horizontal="center" vertical="center"/>
    </xf>
    <xf numFmtId="0" fontId="68" fillId="0" borderId="3" xfId="0" applyFont="1" applyBorder="1" applyAlignment="1">
      <alignment horizontal="center" vertical="center"/>
    </xf>
    <xf numFmtId="177" fontId="0" fillId="0" borderId="192" xfId="0" applyNumberFormat="1" applyBorder="1" applyAlignment="1">
      <alignment horizontal="center" vertical="center"/>
    </xf>
    <xf numFmtId="177" fontId="0" fillId="0" borderId="204" xfId="0" applyNumberFormat="1" applyBorder="1" applyAlignment="1">
      <alignment horizontal="center" vertical="center"/>
    </xf>
    <xf numFmtId="0" fontId="0" fillId="0" borderId="192" xfId="0" applyFont="1" applyBorder="1" applyAlignment="1">
      <alignment horizontal="center" vertical="center" wrapText="1"/>
    </xf>
    <xf numFmtId="0" fontId="0" fillId="0" borderId="204" xfId="0" applyFont="1" applyBorder="1" applyAlignment="1">
      <alignment horizontal="center" vertical="center" wrapText="1"/>
    </xf>
    <xf numFmtId="178" fontId="0" fillId="0" borderId="216" xfId="0" applyNumberFormat="1" applyBorder="1" applyAlignment="1">
      <alignment horizontal="center" vertical="center" wrapText="1"/>
    </xf>
    <xf numFmtId="178" fontId="0" fillId="0" borderId="191" xfId="0" applyNumberFormat="1" applyBorder="1" applyAlignment="1">
      <alignment horizontal="center" vertical="center" wrapText="1"/>
    </xf>
    <xf numFmtId="178" fontId="63" fillId="0" borderId="189" xfId="0" applyNumberFormat="1" applyFont="1" applyBorder="1" applyAlignment="1">
      <alignment horizontal="center" vertical="center" wrapText="1"/>
    </xf>
    <xf numFmtId="178" fontId="63" fillId="0" borderId="189" xfId="0" applyNumberFormat="1" applyFont="1" applyBorder="1" applyAlignment="1">
      <alignment horizontal="center" vertical="center"/>
    </xf>
    <xf numFmtId="177" fontId="63" fillId="0" borderId="212" xfId="0" applyNumberFormat="1" applyFont="1" applyBorder="1" applyAlignment="1">
      <alignment horizontal="center" vertical="center" wrapText="1"/>
    </xf>
    <xf numFmtId="177" fontId="63" fillId="0" borderId="323" xfId="0" applyNumberFormat="1" applyFont="1" applyBorder="1" applyAlignment="1">
      <alignment horizontal="center" vertical="center" wrapText="1"/>
    </xf>
    <xf numFmtId="177" fontId="63" fillId="0" borderId="325" xfId="0" applyNumberFormat="1" applyFont="1" applyBorder="1" applyAlignment="1">
      <alignment horizontal="center" vertical="center" wrapText="1"/>
    </xf>
    <xf numFmtId="177" fontId="63" fillId="0" borderId="213" xfId="0" applyNumberFormat="1" applyFont="1" applyBorder="1" applyAlignment="1">
      <alignment horizontal="center" vertical="center" wrapText="1"/>
    </xf>
    <xf numFmtId="177" fontId="63" fillId="0" borderId="324" xfId="0" applyNumberFormat="1" applyFont="1" applyBorder="1" applyAlignment="1">
      <alignment horizontal="center" vertical="center" wrapText="1"/>
    </xf>
    <xf numFmtId="177" fontId="63" fillId="0" borderId="326" xfId="0" applyNumberFormat="1" applyFont="1" applyBorder="1" applyAlignment="1">
      <alignment horizontal="center" vertical="center" wrapText="1"/>
    </xf>
    <xf numFmtId="0" fontId="39" fillId="23" borderId="175" xfId="3" applyFont="1" applyFill="1" applyBorder="1" applyAlignment="1">
      <alignment horizontal="center" vertical="center"/>
    </xf>
    <xf numFmtId="0" fontId="39" fillId="23" borderId="224" xfId="3" applyFont="1" applyFill="1" applyBorder="1" applyAlignment="1">
      <alignment horizontal="center" vertical="center"/>
    </xf>
    <xf numFmtId="0" fontId="39" fillId="23" borderId="176" xfId="3" applyFont="1" applyFill="1" applyBorder="1" applyAlignment="1">
      <alignment horizontal="center" vertical="center"/>
    </xf>
    <xf numFmtId="0" fontId="72" fillId="32" borderId="175" xfId="3" applyFont="1" applyFill="1" applyBorder="1" applyAlignment="1">
      <alignment horizontal="center" vertical="center" wrapText="1"/>
    </xf>
    <xf numFmtId="0" fontId="72" fillId="32" borderId="224" xfId="3" applyFont="1" applyFill="1" applyBorder="1" applyAlignment="1">
      <alignment horizontal="center" vertical="center" wrapText="1"/>
    </xf>
    <xf numFmtId="0" fontId="72" fillId="32" borderId="176" xfId="3" applyFont="1" applyFill="1" applyBorder="1" applyAlignment="1">
      <alignment horizontal="center" vertical="center" wrapText="1"/>
    </xf>
    <xf numFmtId="0" fontId="72" fillId="14" borderId="175" xfId="3" applyFont="1" applyFill="1" applyBorder="1" applyAlignment="1">
      <alignment horizontal="center" vertical="center" wrapText="1"/>
    </xf>
    <xf numFmtId="0" fontId="72" fillId="14" borderId="224" xfId="3" applyFont="1" applyFill="1" applyBorder="1" applyAlignment="1">
      <alignment horizontal="center" vertical="center"/>
    </xf>
    <xf numFmtId="0" fontId="72" fillId="14" borderId="176" xfId="3" applyFont="1" applyFill="1" applyBorder="1" applyAlignment="1">
      <alignment horizontal="center" vertical="center"/>
    </xf>
  </cellXfs>
  <cellStyles count="36">
    <cellStyle name="パーセント 2" xfId="4"/>
    <cellStyle name="ハイパーリンク" xfId="7" builtinId="8"/>
    <cellStyle name="桁区切り" xfId="1" builtinId="6"/>
    <cellStyle name="桁区切り 2" xfId="17"/>
    <cellStyle name="桁区切り 2 2" xfId="30"/>
    <cellStyle name="通貨" xfId="34" builtinId="7"/>
    <cellStyle name="標準" xfId="0" builtinId="0"/>
    <cellStyle name="標準 10" xfId="32"/>
    <cellStyle name="標準 11" xfId="33"/>
    <cellStyle name="標準 12" xfId="35"/>
    <cellStyle name="標準 2" xfId="3"/>
    <cellStyle name="標準 3" xfId="2"/>
    <cellStyle name="標準 3 2" xfId="10"/>
    <cellStyle name="標準 3 2 2" xfId="15"/>
    <cellStyle name="標準 3 2 2 2" xfId="28"/>
    <cellStyle name="標準 3 2 3" xfId="23"/>
    <cellStyle name="標準 4" xfId="5"/>
    <cellStyle name="標準 4 2" xfId="11"/>
    <cellStyle name="標準 4 2 2" xfId="24"/>
    <cellStyle name="標準 4 3" xfId="19"/>
    <cellStyle name="標準 5" xfId="6"/>
    <cellStyle name="標準 5 2" xfId="12"/>
    <cellStyle name="標準 5 2 2" xfId="25"/>
    <cellStyle name="標準 5 3" xfId="20"/>
    <cellStyle name="標準 6" xfId="8"/>
    <cellStyle name="標準 6 2" xfId="13"/>
    <cellStyle name="標準 6 2 2" xfId="26"/>
    <cellStyle name="標準 6 3" xfId="21"/>
    <cellStyle name="標準 7" xfId="9"/>
    <cellStyle name="標準 7 2" xfId="14"/>
    <cellStyle name="標準 7 2 2" xfId="27"/>
    <cellStyle name="標準 7 3" xfId="22"/>
    <cellStyle name="標準 8" xfId="16"/>
    <cellStyle name="標準 8 2" xfId="29"/>
    <cellStyle name="標準 9" xfId="18"/>
    <cellStyle name="標準 9 2" xfId="31"/>
  </cellStyles>
  <dxfs count="388"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ill>
        <patternFill>
          <bgColor rgb="FFFFFF00"/>
        </patternFill>
      </fill>
    </dxf>
    <dxf>
      <font>
        <b val="0"/>
        <i val="0"/>
      </font>
      <fill>
        <patternFill patternType="solid">
          <bgColor rgb="FFCDF2FF"/>
        </patternFill>
      </fill>
    </dxf>
    <dxf>
      <font>
        <b val="0"/>
        <i val="0"/>
      </font>
      <fill>
        <patternFill patternType="solid">
          <bgColor rgb="FFFFFF00"/>
        </patternFill>
      </fill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theme="1" tint="0.34998626667073579"/>
        </patternFill>
      </fill>
    </dxf>
    <dxf>
      <fill>
        <patternFill>
          <bgColor rgb="FFFFE5E5"/>
        </patternFill>
      </fill>
    </dxf>
    <dxf>
      <fill>
        <patternFill>
          <bgColor rgb="FFEFFFF7"/>
        </patternFill>
      </fill>
    </dxf>
    <dxf>
      <font>
        <b val="0"/>
        <i val="0"/>
        <color auto="1"/>
      </font>
      <fill>
        <patternFill>
          <bgColor theme="1" tint="0.34998626667073579"/>
        </patternFill>
      </fill>
    </dxf>
    <dxf>
      <fill>
        <patternFill>
          <bgColor rgb="FFFFE5E5"/>
        </patternFill>
      </fill>
    </dxf>
    <dxf>
      <fill>
        <patternFill>
          <bgColor rgb="FFEFFFF7"/>
        </patternFill>
      </fill>
    </dxf>
    <dxf>
      <font>
        <b val="0"/>
        <i val="0"/>
        <color auto="1"/>
      </font>
      <fill>
        <patternFill>
          <bgColor theme="1" tint="0.34998626667073579"/>
        </patternFill>
      </fill>
    </dxf>
    <dxf>
      <fill>
        <patternFill>
          <bgColor rgb="FFFFE5E5"/>
        </patternFill>
      </fill>
    </dxf>
    <dxf>
      <fill>
        <patternFill>
          <bgColor rgb="FFEFFFF7"/>
        </patternFill>
      </fill>
    </dxf>
    <dxf>
      <font>
        <b val="0"/>
        <i val="0"/>
        <color auto="1"/>
      </font>
      <fill>
        <patternFill>
          <bgColor theme="1" tint="0.34998626667073579"/>
        </patternFill>
      </fill>
    </dxf>
    <dxf>
      <fill>
        <patternFill>
          <bgColor rgb="FFFFE5E5"/>
        </patternFill>
      </fill>
    </dxf>
    <dxf>
      <fill>
        <patternFill>
          <bgColor rgb="FFEFFFF7"/>
        </patternFill>
      </fill>
    </dxf>
    <dxf>
      <font>
        <color theme="0" tint="-0.34998626667073579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  <color theme="0" tint="-0.34998626667073579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rgb="FFFF0000"/>
      </font>
      <numFmt numFmtId="179" formatCode="0.0%"/>
    </dxf>
    <dxf>
      <font>
        <color theme="0" tint="-0.24994659260841701"/>
      </font>
    </dxf>
    <dxf>
      <fill>
        <patternFill patternType="lightGray">
          <fgColor rgb="FFFFCCCC"/>
          <bgColor auto="1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 patternType="lightGray">
          <fgColor rgb="FFFFCCCC"/>
          <bgColor auto="1"/>
        </patternFill>
      </fill>
    </dxf>
    <dxf>
      <font>
        <color theme="0" tint="-0.24994659260841701"/>
      </font>
    </dxf>
    <dxf>
      <font>
        <color theme="8" tint="0.79998168889431442"/>
      </font>
    </dxf>
    <dxf>
      <font>
        <color rgb="FFFFCCFF"/>
      </font>
    </dxf>
    <dxf>
      <font>
        <color theme="0"/>
      </font>
    </dxf>
    <dxf>
      <font>
        <color rgb="FFFFFF00"/>
      </font>
    </dxf>
    <dxf>
      <font>
        <color theme="8" tint="0.79998168889431442"/>
      </font>
    </dxf>
    <dxf>
      <font>
        <color rgb="FFFFCCFF"/>
      </font>
    </dxf>
    <dxf>
      <font>
        <color theme="0"/>
      </font>
    </dxf>
    <dxf>
      <font>
        <color rgb="FFFFFF00"/>
      </font>
    </dxf>
    <dxf>
      <font>
        <color theme="8" tint="0.79998168889431442"/>
      </font>
    </dxf>
    <dxf>
      <font>
        <color rgb="FFFFCCFF"/>
      </font>
    </dxf>
    <dxf>
      <font>
        <color theme="0"/>
      </font>
    </dxf>
    <dxf>
      <font>
        <color rgb="FFFFFF00"/>
      </font>
    </dxf>
    <dxf>
      <font>
        <color theme="8" tint="0.79998168889431442"/>
      </font>
    </dxf>
    <dxf>
      <font>
        <color rgb="FFFFCCFF"/>
      </font>
    </dxf>
    <dxf>
      <font>
        <color theme="0"/>
      </font>
    </dxf>
    <dxf>
      <font>
        <color rgb="FFFFFF00"/>
      </font>
    </dxf>
    <dxf>
      <font>
        <color theme="8" tint="0.79998168889431442"/>
      </font>
    </dxf>
    <dxf>
      <font>
        <color rgb="FFFFCCFF"/>
      </font>
    </dxf>
    <dxf>
      <font>
        <color theme="0"/>
      </font>
    </dxf>
    <dxf>
      <font>
        <color rgb="FFFFFF0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 patternType="gray125">
          <fgColor theme="9"/>
          <bgColor auto="1"/>
        </patternFill>
      </fill>
    </dxf>
    <dxf>
      <font>
        <color theme="0" tint="-0.24994659260841701"/>
      </font>
    </dxf>
    <dxf>
      <fill>
        <patternFill patternType="gray125">
          <fgColor theme="9"/>
        </patternFill>
      </fill>
    </dxf>
    <dxf>
      <fill>
        <patternFill patternType="gray125">
          <fgColor theme="9"/>
        </patternFill>
      </fill>
    </dxf>
    <dxf>
      <font>
        <color theme="6" tint="0.79998168889431442"/>
      </font>
    </dxf>
    <dxf>
      <font>
        <color theme="8" tint="0.79998168889431442"/>
      </font>
    </dxf>
    <dxf>
      <font>
        <color theme="0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ont>
        <b val="0"/>
        <i val="0"/>
        <color theme="0" tint="-0.34998626667073579"/>
      </font>
    </dxf>
    <dxf>
      <fill>
        <patternFill>
          <bgColor rgb="FFE7FFE7"/>
        </patternFill>
      </fill>
    </dxf>
    <dxf>
      <font>
        <b val="0"/>
        <i val="0"/>
        <color theme="0" tint="-0.34998626667073579"/>
      </font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>
          <bgColor rgb="FFFFE6CD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border>
        <top style="thin">
          <color rgb="FF3399FF"/>
        </top>
        <vertical/>
        <horizontal/>
      </border>
    </dxf>
    <dxf>
      <font>
        <color theme="0" tint="-0.24994659260841701"/>
      </font>
    </dxf>
    <dxf>
      <border>
        <top style="thin">
          <color rgb="FF3399FF"/>
        </top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border>
        <top style="thin">
          <color rgb="FF3399FF"/>
        </top>
        <vertical/>
        <horizontal/>
      </border>
    </dxf>
    <dxf>
      <font>
        <b val="0"/>
        <i val="0"/>
        <color theme="0" tint="-0.24994659260841701"/>
      </font>
    </dxf>
    <dxf>
      <border>
        <top style="thin">
          <color rgb="FF3399FF"/>
        </top>
        <vertical/>
        <horizontal/>
      </border>
    </dxf>
    <dxf>
      <fill>
        <patternFill patternType="none">
          <bgColor auto="1"/>
        </patternFill>
      </fill>
    </dxf>
    <dxf>
      <font>
        <b val="0"/>
        <i val="0"/>
        <color theme="1" tint="0.499984740745262"/>
      </font>
      <fill>
        <patternFill patternType="lightGray">
          <fgColor theme="0" tint="-0.24994659260841701"/>
        </patternFill>
      </fill>
    </dxf>
    <dxf>
      <font>
        <b val="0"/>
        <i val="0"/>
        <color auto="1"/>
      </font>
    </dxf>
    <dxf>
      <font>
        <b val="0"/>
        <i val="0"/>
        <color theme="1" tint="0.499984740745262"/>
      </font>
      <fill>
        <patternFill patternType="lightGray">
          <fgColor theme="0" tint="-0.24994659260841701"/>
        </patternFill>
      </fill>
    </dxf>
    <dxf>
      <font>
        <b val="0"/>
        <i val="0"/>
        <color auto="1"/>
      </font>
    </dxf>
    <dxf>
      <font>
        <b val="0"/>
        <i val="0"/>
        <color theme="1" tint="0.499984740745262"/>
      </font>
      <fill>
        <patternFill patternType="lightGray">
          <fgColor theme="0" tint="-0.24994659260841701"/>
        </patternFill>
      </fill>
    </dxf>
    <dxf>
      <font>
        <b val="0"/>
        <i val="0"/>
        <color theme="1" tint="0.499984740745262"/>
      </font>
      <fill>
        <patternFill patternType="lightGray">
          <fgColor theme="0" tint="-0.24994659260841701"/>
        </patternFill>
      </fill>
    </dxf>
    <dxf>
      <font>
        <b val="0"/>
        <i val="0"/>
        <color theme="1" tint="0.499984740745262"/>
      </font>
      <fill>
        <patternFill patternType="lightGray">
          <fgColor theme="0" tint="-0.24994659260841701"/>
        </patternFill>
      </fill>
    </dxf>
  </dxfs>
  <tableStyles count="0" defaultTableStyle="TableStyleMedium9" defaultPivotStyle="PivotStyleLight16"/>
  <colors>
    <mruColors>
      <color rgb="FF66CCFF"/>
      <color rgb="FF47D4D1"/>
      <color rgb="FFFFCCCC"/>
      <color rgb="FFFFFFCC"/>
      <color rgb="FFFFAFAF"/>
      <color rgb="FFFF6969"/>
      <color rgb="FF006699"/>
      <color rgb="FFFF0066"/>
      <color rgb="FF99FFCC"/>
      <color rgb="FFFFEB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4.xml"/><Relationship Id="rId47" Type="http://schemas.openxmlformats.org/officeDocument/2006/relationships/pivotCacheDefinition" Target="pivotCache/pivotCacheDefinition4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5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業務別売上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推移!$C$186</c:f>
              <c:strCache>
                <c:ptCount val="1"/>
                <c:pt idx="0">
                  <c:v>訪問</c:v>
                </c:pt>
              </c:strCache>
            </c:strRef>
          </c:tx>
          <c:spPr>
            <a:solidFill>
              <a:srgbClr val="009999"/>
            </a:solidFill>
            <a:ln>
              <a:noFill/>
            </a:ln>
            <a:effectLst/>
          </c:spPr>
          <c:invertIfNegative val="0"/>
          <c:cat>
            <c:numRef>
              <c:f>推移!$D$185:$AA$185</c:f>
              <c:numCache>
                <c:formatCode>[$-411]ge\.m"月";@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推移!$D$186:$AA$186</c:f>
              <c:numCache>
                <c:formatCode>#,##0_ ;[Red]\-#,##0\ </c:formatCode>
                <c:ptCount val="18"/>
                <c:pt idx="0">
                  <c:v>22126185</c:v>
                </c:pt>
                <c:pt idx="1">
                  <c:v>22283118</c:v>
                </c:pt>
                <c:pt idx="2">
                  <c:v>21145666</c:v>
                </c:pt>
                <c:pt idx="3">
                  <c:v>21154126</c:v>
                </c:pt>
                <c:pt idx="4">
                  <c:v>21430513</c:v>
                </c:pt>
                <c:pt idx="5">
                  <c:v>26318821</c:v>
                </c:pt>
                <c:pt idx="6">
                  <c:v>25037923</c:v>
                </c:pt>
                <c:pt idx="7">
                  <c:v>23870184</c:v>
                </c:pt>
                <c:pt idx="8">
                  <c:v>24597696</c:v>
                </c:pt>
                <c:pt idx="9">
                  <c:v>24456622</c:v>
                </c:pt>
                <c:pt idx="10">
                  <c:v>24386371</c:v>
                </c:pt>
                <c:pt idx="11">
                  <c:v>27074512</c:v>
                </c:pt>
                <c:pt idx="12">
                  <c:v>27767541</c:v>
                </c:pt>
                <c:pt idx="13">
                  <c:v>25352408</c:v>
                </c:pt>
                <c:pt idx="14">
                  <c:v>25168204</c:v>
                </c:pt>
                <c:pt idx="15">
                  <c:v>24443904</c:v>
                </c:pt>
                <c:pt idx="16">
                  <c:v>25264366</c:v>
                </c:pt>
                <c:pt idx="17">
                  <c:v>25045639</c:v>
                </c:pt>
              </c:numCache>
            </c:numRef>
          </c:val>
        </c:ser>
        <c:ser>
          <c:idx val="1"/>
          <c:order val="1"/>
          <c:tx>
            <c:strRef>
              <c:f>推移!$C$187</c:f>
              <c:strCache>
                <c:ptCount val="1"/>
                <c:pt idx="0">
                  <c:v>居宅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推移!$D$185:$AA$185</c:f>
              <c:numCache>
                <c:formatCode>[$-411]ge\.m"月";@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推移!$D$187:$AA$187</c:f>
              <c:numCache>
                <c:formatCode>#,##0_ ;[Red]\-#,##0\ </c:formatCode>
                <c:ptCount val="18"/>
                <c:pt idx="0">
                  <c:v>1122175</c:v>
                </c:pt>
                <c:pt idx="1">
                  <c:v>1165849</c:v>
                </c:pt>
                <c:pt idx="2">
                  <c:v>1188622</c:v>
                </c:pt>
                <c:pt idx="3">
                  <c:v>1207444</c:v>
                </c:pt>
                <c:pt idx="4">
                  <c:v>1225006</c:v>
                </c:pt>
                <c:pt idx="5">
                  <c:v>1125434</c:v>
                </c:pt>
                <c:pt idx="6">
                  <c:v>1109325</c:v>
                </c:pt>
                <c:pt idx="7">
                  <c:v>1192723</c:v>
                </c:pt>
                <c:pt idx="8">
                  <c:v>1273126</c:v>
                </c:pt>
                <c:pt idx="9">
                  <c:v>1182858</c:v>
                </c:pt>
                <c:pt idx="10">
                  <c:v>1206000</c:v>
                </c:pt>
                <c:pt idx="11">
                  <c:v>1246074</c:v>
                </c:pt>
                <c:pt idx="12">
                  <c:v>1330175</c:v>
                </c:pt>
                <c:pt idx="13">
                  <c:v>1266055</c:v>
                </c:pt>
                <c:pt idx="14">
                  <c:v>1266600</c:v>
                </c:pt>
                <c:pt idx="15">
                  <c:v>1286283</c:v>
                </c:pt>
                <c:pt idx="16">
                  <c:v>1320816</c:v>
                </c:pt>
                <c:pt idx="17">
                  <c:v>1414552</c:v>
                </c:pt>
              </c:numCache>
            </c:numRef>
          </c:val>
        </c:ser>
        <c:ser>
          <c:idx val="2"/>
          <c:order val="2"/>
          <c:tx>
            <c:strRef>
              <c:f>推移!$C$188</c:f>
              <c:strCache>
                <c:ptCount val="1"/>
                <c:pt idx="0">
                  <c:v>障害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推移!$D$185:$AA$185</c:f>
              <c:numCache>
                <c:formatCode>[$-411]ge\.m"月";@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推移!$D$188:$AA$188</c:f>
              <c:numCache>
                <c:formatCode>#,##0_ ;[Red]\-#,##0\ </c:formatCode>
                <c:ptCount val="18"/>
                <c:pt idx="0">
                  <c:v>4136285</c:v>
                </c:pt>
                <c:pt idx="1">
                  <c:v>3771600</c:v>
                </c:pt>
                <c:pt idx="2">
                  <c:v>4549204</c:v>
                </c:pt>
                <c:pt idx="3">
                  <c:v>3870833</c:v>
                </c:pt>
                <c:pt idx="4">
                  <c:v>3835878</c:v>
                </c:pt>
                <c:pt idx="5">
                  <c:v>3864679</c:v>
                </c:pt>
                <c:pt idx="6">
                  <c:v>3892218</c:v>
                </c:pt>
                <c:pt idx="7">
                  <c:v>4058734</c:v>
                </c:pt>
                <c:pt idx="8">
                  <c:v>4300320</c:v>
                </c:pt>
                <c:pt idx="9">
                  <c:v>3914612</c:v>
                </c:pt>
                <c:pt idx="10">
                  <c:v>4674249</c:v>
                </c:pt>
                <c:pt idx="11">
                  <c:v>5090549</c:v>
                </c:pt>
                <c:pt idx="12">
                  <c:v>5523962</c:v>
                </c:pt>
                <c:pt idx="13">
                  <c:v>5857028</c:v>
                </c:pt>
                <c:pt idx="14">
                  <c:v>5435609</c:v>
                </c:pt>
                <c:pt idx="15">
                  <c:v>4840110</c:v>
                </c:pt>
                <c:pt idx="16">
                  <c:v>5041171</c:v>
                </c:pt>
                <c:pt idx="17">
                  <c:v>6023304</c:v>
                </c:pt>
              </c:numCache>
            </c:numRef>
          </c:val>
        </c:ser>
        <c:ser>
          <c:idx val="3"/>
          <c:order val="3"/>
          <c:tx>
            <c:strRef>
              <c:f>推移!$C$189</c:f>
              <c:strCache>
                <c:ptCount val="1"/>
                <c:pt idx="0">
                  <c:v>移動支援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推移!$D$185:$AA$185</c:f>
              <c:numCache>
                <c:formatCode>[$-411]ge\.m"月";@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推移!$D$189:$AA$189</c:f>
              <c:numCache>
                <c:formatCode>#,##0_ ;[Red]\-#,##0\ </c:formatCode>
                <c:ptCount val="18"/>
                <c:pt idx="0">
                  <c:v>214440</c:v>
                </c:pt>
                <c:pt idx="1">
                  <c:v>173187</c:v>
                </c:pt>
                <c:pt idx="2">
                  <c:v>221604</c:v>
                </c:pt>
                <c:pt idx="3">
                  <c:v>219822</c:v>
                </c:pt>
                <c:pt idx="4">
                  <c:v>221526</c:v>
                </c:pt>
                <c:pt idx="5">
                  <c:v>144485</c:v>
                </c:pt>
                <c:pt idx="6">
                  <c:v>336030</c:v>
                </c:pt>
                <c:pt idx="7">
                  <c:v>215796</c:v>
                </c:pt>
                <c:pt idx="8">
                  <c:v>234172</c:v>
                </c:pt>
                <c:pt idx="9">
                  <c:v>160823</c:v>
                </c:pt>
                <c:pt idx="10">
                  <c:v>226399</c:v>
                </c:pt>
                <c:pt idx="11">
                  <c:v>207890</c:v>
                </c:pt>
                <c:pt idx="12">
                  <c:v>286474</c:v>
                </c:pt>
                <c:pt idx="13">
                  <c:v>257343</c:v>
                </c:pt>
                <c:pt idx="14">
                  <c:v>275002</c:v>
                </c:pt>
                <c:pt idx="15">
                  <c:v>135678</c:v>
                </c:pt>
                <c:pt idx="16">
                  <c:v>255530</c:v>
                </c:pt>
                <c:pt idx="17">
                  <c:v>307309</c:v>
                </c:pt>
              </c:numCache>
            </c:numRef>
          </c:val>
        </c:ser>
        <c:ser>
          <c:idx val="4"/>
          <c:order val="4"/>
          <c:tx>
            <c:strRef>
              <c:f>推移!$C$190</c:f>
              <c:strCache>
                <c:ptCount val="1"/>
                <c:pt idx="0">
                  <c:v>共同生活援助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推移!$D$185:$AA$185</c:f>
              <c:numCache>
                <c:formatCode>[$-411]ge\.m"月";@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推移!$D$190:$AA$190</c:f>
              <c:numCache>
                <c:formatCode>#,##0_ ;[Red]\-#,##0\ </c:formatCode>
                <c:ptCount val="18"/>
                <c:pt idx="0">
                  <c:v>4496061</c:v>
                </c:pt>
                <c:pt idx="1">
                  <c:v>4430209</c:v>
                </c:pt>
                <c:pt idx="2">
                  <c:v>4112767</c:v>
                </c:pt>
                <c:pt idx="3">
                  <c:v>3772513</c:v>
                </c:pt>
                <c:pt idx="4">
                  <c:v>4062757</c:v>
                </c:pt>
                <c:pt idx="5">
                  <c:v>4143258</c:v>
                </c:pt>
                <c:pt idx="6">
                  <c:v>4284049</c:v>
                </c:pt>
                <c:pt idx="7">
                  <c:v>3663029</c:v>
                </c:pt>
                <c:pt idx="8">
                  <c:v>4814230</c:v>
                </c:pt>
                <c:pt idx="9">
                  <c:v>3865820</c:v>
                </c:pt>
                <c:pt idx="10">
                  <c:v>4109856</c:v>
                </c:pt>
                <c:pt idx="11">
                  <c:v>4621679</c:v>
                </c:pt>
                <c:pt idx="12">
                  <c:v>4529239</c:v>
                </c:pt>
                <c:pt idx="13">
                  <c:v>4659489</c:v>
                </c:pt>
                <c:pt idx="14">
                  <c:v>4667286</c:v>
                </c:pt>
                <c:pt idx="15">
                  <c:v>4962619</c:v>
                </c:pt>
                <c:pt idx="16">
                  <c:v>5184936</c:v>
                </c:pt>
                <c:pt idx="17">
                  <c:v>6149349</c:v>
                </c:pt>
              </c:numCache>
            </c:numRef>
          </c:val>
        </c:ser>
        <c:ser>
          <c:idx val="5"/>
          <c:order val="5"/>
          <c:tx>
            <c:strRef>
              <c:f>推移!$C$191</c:f>
              <c:strCache>
                <c:ptCount val="1"/>
                <c:pt idx="0">
                  <c:v>相談支援事業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推移!$D$185:$AA$185</c:f>
              <c:numCache>
                <c:formatCode>[$-411]ge\.m"月";@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推移!$D$191:$AA$191</c:f>
            </c:numRef>
          </c:val>
        </c:ser>
        <c:ser>
          <c:idx val="6"/>
          <c:order val="6"/>
          <c:tx>
            <c:strRef>
              <c:f>推移!$C$192</c:f>
              <c:strCache>
                <c:ptCount val="1"/>
                <c:pt idx="0">
                  <c:v>自費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推移!$D$185:$AA$185</c:f>
              <c:numCache>
                <c:formatCode>[$-411]ge\.m"月";@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推移!$D$192:$AA$192</c:f>
              <c:numCache>
                <c:formatCode>#,##0_ ;[Red]\-#,##0\ </c:formatCode>
                <c:ptCount val="18"/>
                <c:pt idx="0">
                  <c:v>670359</c:v>
                </c:pt>
                <c:pt idx="1">
                  <c:v>791349</c:v>
                </c:pt>
                <c:pt idx="2">
                  <c:v>636188</c:v>
                </c:pt>
                <c:pt idx="3">
                  <c:v>585130</c:v>
                </c:pt>
                <c:pt idx="4">
                  <c:v>874446</c:v>
                </c:pt>
                <c:pt idx="5">
                  <c:v>781579</c:v>
                </c:pt>
                <c:pt idx="6">
                  <c:v>704509</c:v>
                </c:pt>
                <c:pt idx="7">
                  <c:v>613891</c:v>
                </c:pt>
                <c:pt idx="8">
                  <c:v>609713</c:v>
                </c:pt>
                <c:pt idx="9">
                  <c:v>497927</c:v>
                </c:pt>
                <c:pt idx="10">
                  <c:v>397051</c:v>
                </c:pt>
                <c:pt idx="11">
                  <c:v>525927</c:v>
                </c:pt>
                <c:pt idx="12">
                  <c:v>537866</c:v>
                </c:pt>
                <c:pt idx="13">
                  <c:v>535023</c:v>
                </c:pt>
                <c:pt idx="14">
                  <c:v>413145</c:v>
                </c:pt>
                <c:pt idx="15">
                  <c:v>523236</c:v>
                </c:pt>
                <c:pt idx="16">
                  <c:v>439539</c:v>
                </c:pt>
                <c:pt idx="17">
                  <c:v>582304</c:v>
                </c:pt>
              </c:numCache>
            </c:numRef>
          </c:val>
        </c:ser>
        <c:ser>
          <c:idx val="7"/>
          <c:order val="7"/>
          <c:tx>
            <c:strRef>
              <c:f>推移!$C$193</c:f>
              <c:strCache>
                <c:ptCount val="1"/>
                <c:pt idx="0">
                  <c:v>昼食代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推移!$D$185:$AA$185</c:f>
              <c:numCache>
                <c:formatCode>[$-411]ge\.m"月";@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推移!$D$193:$AA$193</c:f>
              <c:numCache>
                <c:formatCode>#,##0_ ;[Red]\-#,##0\ </c:formatCode>
                <c:ptCount val="18"/>
                <c:pt idx="0">
                  <c:v>187550</c:v>
                </c:pt>
                <c:pt idx="1">
                  <c:v>174350</c:v>
                </c:pt>
                <c:pt idx="2">
                  <c:v>176550</c:v>
                </c:pt>
                <c:pt idx="3">
                  <c:v>178200</c:v>
                </c:pt>
                <c:pt idx="4">
                  <c:v>205150</c:v>
                </c:pt>
                <c:pt idx="5">
                  <c:v>231550</c:v>
                </c:pt>
                <c:pt idx="6">
                  <c:v>225500</c:v>
                </c:pt>
                <c:pt idx="7">
                  <c:v>225700</c:v>
                </c:pt>
                <c:pt idx="8">
                  <c:v>246950</c:v>
                </c:pt>
                <c:pt idx="9">
                  <c:v>264450</c:v>
                </c:pt>
                <c:pt idx="10">
                  <c:v>232550</c:v>
                </c:pt>
                <c:pt idx="11">
                  <c:v>239800</c:v>
                </c:pt>
                <c:pt idx="12">
                  <c:v>241750</c:v>
                </c:pt>
                <c:pt idx="13">
                  <c:v>322550</c:v>
                </c:pt>
                <c:pt idx="14">
                  <c:v>262100</c:v>
                </c:pt>
                <c:pt idx="15">
                  <c:v>310200</c:v>
                </c:pt>
                <c:pt idx="16">
                  <c:v>330200</c:v>
                </c:pt>
                <c:pt idx="17">
                  <c:v>288000</c:v>
                </c:pt>
              </c:numCache>
            </c:numRef>
          </c:val>
        </c:ser>
        <c:ser>
          <c:idx val="8"/>
          <c:order val="8"/>
          <c:tx>
            <c:strRef>
              <c:f>推移!$C$194</c:f>
              <c:strCache>
                <c:ptCount val="1"/>
                <c:pt idx="0">
                  <c:v>カナミック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推移!$D$185:$AA$185</c:f>
              <c:numCache>
                <c:formatCode>[$-411]ge\.m"月";@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推移!$D$194:$AA$194</c:f>
              <c:numCache>
                <c:formatCode>#,##0_ ;[Red]\-#,##0\ </c:formatCode>
                <c:ptCount val="18"/>
                <c:pt idx="0">
                  <c:v>237543</c:v>
                </c:pt>
                <c:pt idx="1">
                  <c:v>253611</c:v>
                </c:pt>
                <c:pt idx="2">
                  <c:v>250083</c:v>
                </c:pt>
                <c:pt idx="3">
                  <c:v>257283</c:v>
                </c:pt>
                <c:pt idx="4">
                  <c:v>247032</c:v>
                </c:pt>
                <c:pt idx="5">
                  <c:v>237759</c:v>
                </c:pt>
                <c:pt idx="6">
                  <c:v>280176</c:v>
                </c:pt>
                <c:pt idx="7">
                  <c:v>254478</c:v>
                </c:pt>
                <c:pt idx="8">
                  <c:v>256278</c:v>
                </c:pt>
                <c:pt idx="9">
                  <c:v>249699</c:v>
                </c:pt>
                <c:pt idx="10">
                  <c:v>264516</c:v>
                </c:pt>
                <c:pt idx="11">
                  <c:v>280797</c:v>
                </c:pt>
                <c:pt idx="12">
                  <c:v>276597</c:v>
                </c:pt>
                <c:pt idx="13">
                  <c:v>298329</c:v>
                </c:pt>
                <c:pt idx="14">
                  <c:v>304542</c:v>
                </c:pt>
                <c:pt idx="15">
                  <c:v>309321</c:v>
                </c:pt>
                <c:pt idx="16">
                  <c:v>272588</c:v>
                </c:pt>
                <c:pt idx="17">
                  <c:v>282800</c:v>
                </c:pt>
              </c:numCache>
            </c:numRef>
          </c:val>
        </c:ser>
        <c:ser>
          <c:idx val="9"/>
          <c:order val="9"/>
          <c:tx>
            <c:strRef>
              <c:f>推移!$C$195</c:f>
              <c:strCache>
                <c:ptCount val="1"/>
                <c:pt idx="0">
                  <c:v>生活費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推移!$D$185:$AA$185</c:f>
              <c:numCache>
                <c:formatCode>[$-411]ge\.m"月";@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推移!$D$195:$AA$195</c:f>
              <c:numCache>
                <c:formatCode>#,##0_ ;[Red]\-#,##0\ </c:formatCode>
                <c:ptCount val="18"/>
                <c:pt idx="0">
                  <c:v>1097768</c:v>
                </c:pt>
                <c:pt idx="1">
                  <c:v>1272462</c:v>
                </c:pt>
                <c:pt idx="2">
                  <c:v>1168640</c:v>
                </c:pt>
                <c:pt idx="3">
                  <c:v>1310461</c:v>
                </c:pt>
                <c:pt idx="4">
                  <c:v>1417082</c:v>
                </c:pt>
                <c:pt idx="5">
                  <c:v>1350120</c:v>
                </c:pt>
                <c:pt idx="6">
                  <c:v>1271737</c:v>
                </c:pt>
                <c:pt idx="7">
                  <c:v>1204681</c:v>
                </c:pt>
                <c:pt idx="8">
                  <c:v>1458959</c:v>
                </c:pt>
                <c:pt idx="9">
                  <c:v>1289580</c:v>
                </c:pt>
                <c:pt idx="10">
                  <c:v>1328790</c:v>
                </c:pt>
                <c:pt idx="11">
                  <c:v>1354680</c:v>
                </c:pt>
                <c:pt idx="12">
                  <c:v>1378560</c:v>
                </c:pt>
                <c:pt idx="13">
                  <c:v>1395540</c:v>
                </c:pt>
                <c:pt idx="14">
                  <c:v>1398040</c:v>
                </c:pt>
                <c:pt idx="15">
                  <c:v>1556820</c:v>
                </c:pt>
                <c:pt idx="16">
                  <c:v>1558660</c:v>
                </c:pt>
                <c:pt idx="17">
                  <c:v>1617420</c:v>
                </c:pt>
              </c:numCache>
            </c:numRef>
          </c:val>
        </c:ser>
        <c:ser>
          <c:idx val="10"/>
          <c:order val="10"/>
          <c:tx>
            <c:strRef>
              <c:f>推移!$C$196</c:f>
              <c:strCache>
                <c:ptCount val="1"/>
                <c:pt idx="0">
                  <c:v>弁当売上高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推移!$D$185:$AA$185</c:f>
              <c:numCache>
                <c:formatCode>[$-411]ge\.m"月";@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推移!$D$196:$AA$196</c:f>
              <c:numCache>
                <c:formatCode>#,##0_ ;[Red]\-#,##0\ 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20500</c:v>
                </c:pt>
                <c:pt idx="4">
                  <c:v>37000</c:v>
                </c:pt>
                <c:pt idx="5">
                  <c:v>33000</c:v>
                </c:pt>
                <c:pt idx="6">
                  <c:v>95000</c:v>
                </c:pt>
                <c:pt idx="7">
                  <c:v>22000</c:v>
                </c:pt>
                <c:pt idx="8">
                  <c:v>111000</c:v>
                </c:pt>
                <c:pt idx="9">
                  <c:v>100560</c:v>
                </c:pt>
                <c:pt idx="10">
                  <c:v>99180</c:v>
                </c:pt>
                <c:pt idx="11">
                  <c:v>72000</c:v>
                </c:pt>
                <c:pt idx="12">
                  <c:v>144180</c:v>
                </c:pt>
                <c:pt idx="13">
                  <c:v>72900</c:v>
                </c:pt>
                <c:pt idx="14">
                  <c:v>129060</c:v>
                </c:pt>
                <c:pt idx="15">
                  <c:v>56190</c:v>
                </c:pt>
                <c:pt idx="16">
                  <c:v>103680</c:v>
                </c:pt>
                <c:pt idx="17">
                  <c:v>72000</c:v>
                </c:pt>
              </c:numCache>
            </c:numRef>
          </c:val>
        </c:ser>
        <c:ser>
          <c:idx val="11"/>
          <c:order val="11"/>
          <c:tx>
            <c:strRef>
              <c:f>推移!$C$197</c:f>
              <c:strCache>
                <c:ptCount val="1"/>
                <c:pt idx="0">
                  <c:v>家賃助成返金分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推移!$D$185:$AA$185</c:f>
              <c:numCache>
                <c:formatCode>[$-411]ge\.m"月";@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推移!$D$197:$AA$197</c:f>
              <c:numCache>
                <c:formatCode>#,##0_ ;[Red]\-#,##0\ </c:formatCode>
                <c:ptCount val="18"/>
                <c:pt idx="0">
                  <c:v>-160000</c:v>
                </c:pt>
                <c:pt idx="1">
                  <c:v>-180000</c:v>
                </c:pt>
                <c:pt idx="2">
                  <c:v>-170000</c:v>
                </c:pt>
                <c:pt idx="3">
                  <c:v>-170000</c:v>
                </c:pt>
                <c:pt idx="4">
                  <c:v>-170000</c:v>
                </c:pt>
                <c:pt idx="5">
                  <c:v>-170000</c:v>
                </c:pt>
                <c:pt idx="6">
                  <c:v>-170000</c:v>
                </c:pt>
                <c:pt idx="7">
                  <c:v>-170000</c:v>
                </c:pt>
                <c:pt idx="8">
                  <c:v>-170000</c:v>
                </c:pt>
                <c:pt idx="9">
                  <c:v>-160000</c:v>
                </c:pt>
                <c:pt idx="10">
                  <c:v>-160000</c:v>
                </c:pt>
                <c:pt idx="11">
                  <c:v>-170000</c:v>
                </c:pt>
                <c:pt idx="12">
                  <c:v>-180000</c:v>
                </c:pt>
                <c:pt idx="13">
                  <c:v>-180000</c:v>
                </c:pt>
                <c:pt idx="14">
                  <c:v>-180000</c:v>
                </c:pt>
                <c:pt idx="15">
                  <c:v>-220000</c:v>
                </c:pt>
                <c:pt idx="16">
                  <c:v>-230000</c:v>
                </c:pt>
                <c:pt idx="17">
                  <c:v>-240000</c:v>
                </c:pt>
              </c:numCache>
            </c:numRef>
          </c:val>
        </c:ser>
        <c:ser>
          <c:idx val="12"/>
          <c:order val="12"/>
          <c:tx>
            <c:strRef>
              <c:f>推移!$C$198</c:f>
              <c:strCache>
                <c:ptCount val="1"/>
                <c:pt idx="0">
                  <c:v>運営費助成金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推移!$D$185:$AA$185</c:f>
              <c:numCache>
                <c:formatCode>[$-411]ge\.m"月";@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推移!$D$198:$AA$198</c:f>
              <c:numCache>
                <c:formatCode>#,##0_ ;[Red]\-#,##0\ 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70141</c:v>
                </c:pt>
                <c:pt idx="4">
                  <c:v>374000</c:v>
                </c:pt>
                <c:pt idx="5">
                  <c:v>100194</c:v>
                </c:pt>
                <c:pt idx="6">
                  <c:v>1595585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508000</c:v>
                </c:pt>
                <c:pt idx="15">
                  <c:v>118263</c:v>
                </c:pt>
                <c:pt idx="16">
                  <c:v>27939</c:v>
                </c:pt>
                <c:pt idx="17">
                  <c:v>35346</c:v>
                </c:pt>
              </c:numCache>
            </c:numRef>
          </c:val>
        </c:ser>
        <c:ser>
          <c:idx val="13"/>
          <c:order val="13"/>
          <c:tx>
            <c:strRef>
              <c:f>推移!$C$199</c:f>
              <c:strCache>
                <c:ptCount val="1"/>
                <c:pt idx="0">
                  <c:v>タクシー運賃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推移!$D$185:$AA$185</c:f>
              <c:numCache>
                <c:formatCode>[$-411]ge\.m"月";@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推移!$D$199:$AA$199</c:f>
              <c:numCache>
                <c:formatCode>#,##0_ ;[Red]\-#,##0\ </c:formatCode>
                <c:ptCount val="18"/>
                <c:pt idx="0">
                  <c:v>1578562</c:v>
                </c:pt>
                <c:pt idx="1">
                  <c:v>1567372</c:v>
                </c:pt>
                <c:pt idx="2">
                  <c:v>1218240</c:v>
                </c:pt>
                <c:pt idx="3">
                  <c:v>1229882</c:v>
                </c:pt>
                <c:pt idx="4">
                  <c:v>1263038</c:v>
                </c:pt>
                <c:pt idx="5">
                  <c:v>951130</c:v>
                </c:pt>
                <c:pt idx="6">
                  <c:v>991640</c:v>
                </c:pt>
                <c:pt idx="7">
                  <c:v>913170</c:v>
                </c:pt>
                <c:pt idx="8">
                  <c:v>805870</c:v>
                </c:pt>
                <c:pt idx="9">
                  <c:v>873210</c:v>
                </c:pt>
                <c:pt idx="10">
                  <c:v>743969</c:v>
                </c:pt>
                <c:pt idx="11">
                  <c:v>665060</c:v>
                </c:pt>
                <c:pt idx="12">
                  <c:v>412534</c:v>
                </c:pt>
                <c:pt idx="13">
                  <c:v>433050</c:v>
                </c:pt>
                <c:pt idx="14">
                  <c:v>322800</c:v>
                </c:pt>
                <c:pt idx="15">
                  <c:v>354130</c:v>
                </c:pt>
                <c:pt idx="16">
                  <c:v>320930</c:v>
                </c:pt>
                <c:pt idx="17">
                  <c:v>270210</c:v>
                </c:pt>
              </c:numCache>
            </c:numRef>
          </c:val>
        </c:ser>
        <c:ser>
          <c:idx val="14"/>
          <c:order val="14"/>
          <c:tx>
            <c:strRef>
              <c:f>推移!$C$200</c:f>
              <c:strCache>
                <c:ptCount val="1"/>
                <c:pt idx="0">
                  <c:v>買物交通費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推移!$D$185:$AA$185</c:f>
              <c:numCache>
                <c:formatCode>[$-411]ge\.m"月";@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推移!$D$200:$AA$200</c:f>
              <c:numCache>
                <c:formatCode>#,##0_ ;[Red]\-#,##0\ </c:formatCode>
                <c:ptCount val="18"/>
                <c:pt idx="0">
                  <c:v>14149</c:v>
                </c:pt>
                <c:pt idx="1">
                  <c:v>9897</c:v>
                </c:pt>
                <c:pt idx="2">
                  <c:v>9455</c:v>
                </c:pt>
                <c:pt idx="3">
                  <c:v>11802</c:v>
                </c:pt>
                <c:pt idx="4">
                  <c:v>10669</c:v>
                </c:pt>
                <c:pt idx="5">
                  <c:v>10238</c:v>
                </c:pt>
                <c:pt idx="6">
                  <c:v>15338</c:v>
                </c:pt>
                <c:pt idx="7">
                  <c:v>8332</c:v>
                </c:pt>
                <c:pt idx="8">
                  <c:v>11522</c:v>
                </c:pt>
                <c:pt idx="9">
                  <c:v>14620</c:v>
                </c:pt>
                <c:pt idx="10">
                  <c:v>12560</c:v>
                </c:pt>
                <c:pt idx="11">
                  <c:v>12824</c:v>
                </c:pt>
                <c:pt idx="12">
                  <c:v>15975</c:v>
                </c:pt>
                <c:pt idx="13">
                  <c:v>14823</c:v>
                </c:pt>
                <c:pt idx="14">
                  <c:v>11889</c:v>
                </c:pt>
                <c:pt idx="15">
                  <c:v>13696</c:v>
                </c:pt>
                <c:pt idx="16">
                  <c:v>12338</c:v>
                </c:pt>
                <c:pt idx="17">
                  <c:v>16485</c:v>
                </c:pt>
              </c:numCache>
            </c:numRef>
          </c:val>
        </c:ser>
        <c:ser>
          <c:idx val="15"/>
          <c:order val="15"/>
          <c:tx>
            <c:strRef>
              <c:f>推移!$C$201</c:f>
              <c:strCache>
                <c:ptCount val="1"/>
                <c:pt idx="0">
                  <c:v>経営コンサルタント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推移!$D$185:$AA$185</c:f>
              <c:numCache>
                <c:formatCode>[$-411]ge\.m"月";@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推移!$D$201:$AA$201</c:f>
              <c:numCache>
                <c:formatCode>#,##0_ ;[Red]\-#,##0\ 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142560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264416"/>
        <c:axId val="451271472"/>
      </c:barChart>
      <c:dateAx>
        <c:axId val="451264416"/>
        <c:scaling>
          <c:orientation val="minMax"/>
        </c:scaling>
        <c:delete val="0"/>
        <c:axPos val="b"/>
        <c:numFmt formatCode="[$-411]ge\.m&quot;月&quot;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1271472"/>
        <c:crosses val="autoZero"/>
        <c:auto val="1"/>
        <c:lblOffset val="100"/>
        <c:baseTimeUnit val="months"/>
      </c:dateAx>
      <c:valAx>
        <c:axId val="45127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126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売上推移!$B$10</c:f>
              <c:strCache>
                <c:ptCount val="1"/>
                <c:pt idx="0">
                  <c:v>白金デイ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売上推移!$C$10:$Z$10</c:f>
              <c:numCache>
                <c:formatCode>#,##0_ ;[Red]\-#,##0\ </c:formatCode>
                <c:ptCount val="24"/>
                <c:pt idx="0">
                  <c:v>3549708</c:v>
                </c:pt>
                <c:pt idx="1">
                  <c:v>3597785</c:v>
                </c:pt>
                <c:pt idx="2">
                  <c:v>3616139</c:v>
                </c:pt>
                <c:pt idx="3">
                  <c:v>3174804</c:v>
                </c:pt>
                <c:pt idx="4">
                  <c:v>3130698</c:v>
                </c:pt>
                <c:pt idx="5">
                  <c:v>3270391</c:v>
                </c:pt>
                <c:pt idx="6">
                  <c:v>3507733</c:v>
                </c:pt>
                <c:pt idx="7">
                  <c:v>3292348</c:v>
                </c:pt>
                <c:pt idx="8">
                  <c:v>3313516</c:v>
                </c:pt>
                <c:pt idx="9">
                  <c:v>3497339</c:v>
                </c:pt>
                <c:pt idx="10">
                  <c:v>3458623</c:v>
                </c:pt>
                <c:pt idx="11">
                  <c:v>4706520</c:v>
                </c:pt>
                <c:pt idx="12">
                  <c:v>4419633</c:v>
                </c:pt>
                <c:pt idx="13">
                  <c:v>4146272</c:v>
                </c:pt>
                <c:pt idx="14">
                  <c:v>4468494</c:v>
                </c:pt>
                <c:pt idx="15">
                  <c:v>4494230</c:v>
                </c:pt>
                <c:pt idx="16">
                  <c:v>4417151</c:v>
                </c:pt>
                <c:pt idx="17">
                  <c:v>4442200</c:v>
                </c:pt>
                <c:pt idx="18">
                  <c:v>4833081</c:v>
                </c:pt>
                <c:pt idx="19">
                  <c:v>4422644</c:v>
                </c:pt>
                <c:pt idx="20">
                  <c:v>4120917</c:v>
                </c:pt>
                <c:pt idx="21">
                  <c:v>4475893</c:v>
                </c:pt>
                <c:pt idx="22">
                  <c:v>4931183</c:v>
                </c:pt>
                <c:pt idx="23">
                  <c:v>4425975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1F-4C09-9AEC-DC1AEF1BE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986896"/>
        <c:axId val="454987680"/>
      </c:barChart>
      <c:dateAx>
        <c:axId val="454986896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4987680"/>
        <c:crosses val="autoZero"/>
        <c:auto val="1"/>
        <c:lblOffset val="100"/>
        <c:baseTimeUnit val="months"/>
      </c:dateAx>
      <c:valAx>
        <c:axId val="45498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4986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白金</a:t>
            </a:r>
          </a:p>
        </c:rich>
      </c:tx>
      <c:layout>
        <c:manualLayout>
          <c:xMode val="edge"/>
          <c:yMode val="edge"/>
          <c:x val="0.80508565000803467"/>
          <c:y val="7.1641791044776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4259180459585405"/>
          <c:y val="0.11841590293016652"/>
          <c:w val="0.52624496223686323"/>
          <c:h val="0.845442726216599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3"/>
              <c:layout>
                <c:manualLayout>
                  <c:x val="-0.17612731481481481"/>
                  <c:y val="6.149847222222222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'H31.4月 月例報告'!$B$100:$B$109</c:f>
              <c:strCache>
                <c:ptCount val="9"/>
                <c:pt idx="0">
                  <c:v>訪問</c:v>
                </c:pt>
                <c:pt idx="1">
                  <c:v>居宅</c:v>
                </c:pt>
                <c:pt idx="2">
                  <c:v>障害</c:v>
                </c:pt>
                <c:pt idx="3">
                  <c:v>移動支援</c:v>
                </c:pt>
                <c:pt idx="4">
                  <c:v>自費</c:v>
                </c:pt>
                <c:pt idx="5">
                  <c:v>カナミック</c:v>
                </c:pt>
                <c:pt idx="6">
                  <c:v>買物交通費</c:v>
                </c:pt>
                <c:pt idx="7">
                  <c:v>弁当売上高</c:v>
                </c:pt>
                <c:pt idx="8">
                  <c:v>タクシー運賃</c:v>
                </c:pt>
              </c:strCache>
            </c:strRef>
          </c:cat>
          <c:val>
            <c:numRef>
              <c:f>'H31.4月 月例報告'!$I$100:$I$109</c:f>
              <c:numCache>
                <c:formatCode>0.0%</c:formatCode>
                <c:ptCount val="10"/>
                <c:pt idx="0">
                  <c:v>0.72099999999999997</c:v>
                </c:pt>
                <c:pt idx="1">
                  <c:v>6.2E-2</c:v>
                </c:pt>
                <c:pt idx="2">
                  <c:v>0.161</c:v>
                </c:pt>
                <c:pt idx="3">
                  <c:v>3.0000000000000001E-3</c:v>
                </c:pt>
                <c:pt idx="4">
                  <c:v>0.01</c:v>
                </c:pt>
                <c:pt idx="5">
                  <c:v>1.2E-2</c:v>
                </c:pt>
                <c:pt idx="6">
                  <c:v>1E-3</c:v>
                </c:pt>
                <c:pt idx="7">
                  <c:v>8.0000000000000002E-3</c:v>
                </c:pt>
                <c:pt idx="8">
                  <c:v>2.3E-2</c:v>
                </c:pt>
                <c:pt idx="9">
                  <c:v>#N/A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蘇我</a:t>
            </a:r>
          </a:p>
        </c:rich>
      </c:tx>
      <c:layout>
        <c:manualLayout>
          <c:xMode val="edge"/>
          <c:yMode val="edge"/>
          <c:x val="0.80508565000803467"/>
          <c:y val="7.1641791044776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4259180459585405"/>
          <c:y val="0.11841590293016652"/>
          <c:w val="0.52624496223686323"/>
          <c:h val="0.845442726216599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'H31.4月 月例報告'!$B$124:$B$133</c:f>
              <c:strCache>
                <c:ptCount val="7"/>
                <c:pt idx="0">
                  <c:v>訪問</c:v>
                </c:pt>
                <c:pt idx="1">
                  <c:v>居宅</c:v>
                </c:pt>
                <c:pt idx="2">
                  <c:v>障害</c:v>
                </c:pt>
                <c:pt idx="3">
                  <c:v>移動支援</c:v>
                </c:pt>
                <c:pt idx="4">
                  <c:v>自費</c:v>
                </c:pt>
                <c:pt idx="5">
                  <c:v>カナミック</c:v>
                </c:pt>
                <c:pt idx="6">
                  <c:v>買物交通費</c:v>
                </c:pt>
              </c:strCache>
            </c:strRef>
          </c:cat>
          <c:val>
            <c:numRef>
              <c:f>'H31.4月 月例報告'!$I$124:$I$133</c:f>
              <c:numCache>
                <c:formatCode>0.0%</c:formatCode>
                <c:ptCount val="10"/>
                <c:pt idx="0">
                  <c:v>0.67900000000000005</c:v>
                </c:pt>
                <c:pt idx="1">
                  <c:v>8.3000000000000004E-2</c:v>
                </c:pt>
                <c:pt idx="2">
                  <c:v>0.182</c:v>
                </c:pt>
                <c:pt idx="3">
                  <c:v>0</c:v>
                </c:pt>
                <c:pt idx="4">
                  <c:v>3.5000000000000003E-2</c:v>
                </c:pt>
                <c:pt idx="5">
                  <c:v>2.1000000000000001E-2</c:v>
                </c:pt>
                <c:pt idx="6">
                  <c:v>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誉田</a:t>
            </a:r>
          </a:p>
        </c:rich>
      </c:tx>
      <c:layout>
        <c:manualLayout>
          <c:xMode val="edge"/>
          <c:yMode val="edge"/>
          <c:x val="0.80508565000803467"/>
          <c:y val="7.1641791044776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4259180459585405"/>
          <c:y val="0.11841590293016652"/>
          <c:w val="0.52624496223686323"/>
          <c:h val="0.845442726216599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'H31.4月 月例報告'!$B$148:$B$157</c:f>
              <c:strCache>
                <c:ptCount val="6"/>
                <c:pt idx="0">
                  <c:v>訪問</c:v>
                </c:pt>
                <c:pt idx="1">
                  <c:v>障害</c:v>
                </c:pt>
                <c:pt idx="2">
                  <c:v>移動支援</c:v>
                </c:pt>
                <c:pt idx="3">
                  <c:v>自費</c:v>
                </c:pt>
                <c:pt idx="4">
                  <c:v>買物交通費</c:v>
                </c:pt>
                <c:pt idx="5">
                  <c:v>タクシー運賃</c:v>
                </c:pt>
              </c:strCache>
            </c:strRef>
          </c:cat>
          <c:val>
            <c:numRef>
              <c:f>'H31.4月 月例報告'!$I$148:$I$157</c:f>
              <c:numCache>
                <c:formatCode>0.0%</c:formatCode>
                <c:ptCount val="10"/>
                <c:pt idx="0">
                  <c:v>0.68799999999999994</c:v>
                </c:pt>
                <c:pt idx="1">
                  <c:v>0.26100000000000001</c:v>
                </c:pt>
                <c:pt idx="2">
                  <c:v>2.3E-2</c:v>
                </c:pt>
                <c:pt idx="3">
                  <c:v>1.7000000000000001E-2</c:v>
                </c:pt>
                <c:pt idx="4">
                  <c:v>1E-3</c:v>
                </c:pt>
                <c:pt idx="5">
                  <c:v>8.9999999999999993E-3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千葉西</a:t>
            </a:r>
          </a:p>
        </c:rich>
      </c:tx>
      <c:layout>
        <c:manualLayout>
          <c:xMode val="edge"/>
          <c:yMode val="edge"/>
          <c:x val="0.80508565000803467"/>
          <c:y val="7.1641791044776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4259180459585405"/>
          <c:y val="0.11841590293016652"/>
          <c:w val="0.52624496223686323"/>
          <c:h val="0.845442726216599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'H31.4月 月例報告'!$B$172:$B$181</c:f>
              <c:strCache>
                <c:ptCount val="5"/>
                <c:pt idx="0">
                  <c:v>訪問</c:v>
                </c:pt>
                <c:pt idx="1">
                  <c:v>障害</c:v>
                </c:pt>
                <c:pt idx="2">
                  <c:v>移動支援</c:v>
                </c:pt>
                <c:pt idx="3">
                  <c:v>自費</c:v>
                </c:pt>
                <c:pt idx="4">
                  <c:v>買物交通費</c:v>
                </c:pt>
              </c:strCache>
            </c:strRef>
          </c:cat>
          <c:val>
            <c:numRef>
              <c:f>'H31.4月 月例報告'!$I$172:$I$181</c:f>
              <c:numCache>
                <c:formatCode>0.0%</c:formatCode>
                <c:ptCount val="10"/>
                <c:pt idx="0">
                  <c:v>0.69199999999999995</c:v>
                </c:pt>
                <c:pt idx="1">
                  <c:v>0.26600000000000001</c:v>
                </c:pt>
                <c:pt idx="2">
                  <c:v>3.5999999999999997E-2</c:v>
                </c:pt>
                <c:pt idx="3">
                  <c:v>6.0000000000000001E-3</c:v>
                </c:pt>
                <c:pt idx="4">
                  <c:v>1E-3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白金デイ</a:t>
            </a:r>
          </a:p>
        </c:rich>
      </c:tx>
      <c:layout>
        <c:manualLayout>
          <c:xMode val="edge"/>
          <c:yMode val="edge"/>
          <c:x val="0.80508565000803467"/>
          <c:y val="7.1641791044776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4259180459585405"/>
          <c:y val="0.11841590293016652"/>
          <c:w val="0.52624496223686323"/>
          <c:h val="0.845442726216599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'H31.4月 月例報告'!$B$196:$B$205</c:f>
              <c:strCache>
                <c:ptCount val="3"/>
                <c:pt idx="0">
                  <c:v>通所介護</c:v>
                </c:pt>
                <c:pt idx="1">
                  <c:v>自費</c:v>
                </c:pt>
                <c:pt idx="2">
                  <c:v>昼食代</c:v>
                </c:pt>
              </c:strCache>
            </c:strRef>
          </c:cat>
          <c:val>
            <c:numRef>
              <c:f>'H31.4月 月例報告'!$I$196:$I$205</c:f>
              <c:numCache>
                <c:formatCode>0.0%</c:formatCode>
                <c:ptCount val="10"/>
                <c:pt idx="0">
                  <c:v>0.93700000000000006</c:v>
                </c:pt>
                <c:pt idx="1">
                  <c:v>1E-3</c:v>
                </c:pt>
                <c:pt idx="2">
                  <c:v>6.2E-2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二日市場</a:t>
            </a:r>
          </a:p>
        </c:rich>
      </c:tx>
      <c:layout>
        <c:manualLayout>
          <c:xMode val="edge"/>
          <c:yMode val="edge"/>
          <c:x val="0.80508565000803467"/>
          <c:y val="7.1641791044776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4259180459585405"/>
          <c:y val="0.11841590293016652"/>
          <c:w val="0.52624496223686323"/>
          <c:h val="0.845442726216599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'H31.4月 月例報告'!$B$220:$B$229</c:f>
              <c:strCache>
                <c:ptCount val="2"/>
                <c:pt idx="0">
                  <c:v>訪問</c:v>
                </c:pt>
                <c:pt idx="1">
                  <c:v>生活費</c:v>
                </c:pt>
              </c:strCache>
            </c:strRef>
          </c:cat>
          <c:val>
            <c:numRef>
              <c:f>'H31.4月 月例報告'!$I$220:$I$229</c:f>
              <c:numCache>
                <c:formatCode>0.0%</c:formatCode>
                <c:ptCount val="10"/>
                <c:pt idx="0">
                  <c:v>0.69799999999999995</c:v>
                </c:pt>
                <c:pt idx="1">
                  <c:v>0.30199999999999999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ＧＨ合計</a:t>
            </a:r>
          </a:p>
        </c:rich>
      </c:tx>
      <c:layout>
        <c:manualLayout>
          <c:xMode val="edge"/>
          <c:yMode val="edge"/>
          <c:x val="0.80508565000803467"/>
          <c:y val="7.1641791044776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4259180459585405"/>
          <c:y val="0.11841590293016652"/>
          <c:w val="0.52624496223686323"/>
          <c:h val="0.845442726216599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'H31.4月 月例報告'!$B$244:$B$253</c:f>
              <c:strCache>
                <c:ptCount val="4"/>
                <c:pt idx="0">
                  <c:v>共同生活援助</c:v>
                </c:pt>
                <c:pt idx="1">
                  <c:v>生活費</c:v>
                </c:pt>
                <c:pt idx="2">
                  <c:v>家賃助成返金分</c:v>
                </c:pt>
                <c:pt idx="3">
                  <c:v>運営費助成金</c:v>
                </c:pt>
              </c:strCache>
            </c:strRef>
          </c:cat>
          <c:val>
            <c:numRef>
              <c:f>'H31.4月 月例報告'!$I$244:$I$253</c:f>
              <c:numCache>
                <c:formatCode>0.0%</c:formatCode>
                <c:ptCount val="10"/>
                <c:pt idx="0">
                  <c:v>0.89700000000000002</c:v>
                </c:pt>
                <c:pt idx="1">
                  <c:v>0.123</c:v>
                </c:pt>
                <c:pt idx="2">
                  <c:v>0</c:v>
                </c:pt>
                <c:pt idx="3">
                  <c:v>1.6E-2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事業所別売上構成</a:t>
            </a:r>
          </a:p>
        </c:rich>
      </c:tx>
      <c:layout>
        <c:manualLayout>
          <c:xMode val="edge"/>
          <c:yMode val="edge"/>
          <c:x val="2.4074074074074074E-2"/>
          <c:y val="3.26380762258782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numFmt formatCode="0.0%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'H31.4月 月例報告'!$B$17:$B$29</c:f>
              <c:strCache>
                <c:ptCount val="13"/>
                <c:pt idx="0">
                  <c:v>本部・管理部</c:v>
                </c:pt>
                <c:pt idx="1">
                  <c:v>白金</c:v>
                </c:pt>
                <c:pt idx="2">
                  <c:v>蘇我</c:v>
                </c:pt>
                <c:pt idx="3">
                  <c:v>誉田</c:v>
                </c:pt>
                <c:pt idx="4">
                  <c:v>千葉東</c:v>
                </c:pt>
                <c:pt idx="5">
                  <c:v>千葉西</c:v>
                </c:pt>
                <c:pt idx="6">
                  <c:v>白金デイ</c:v>
                </c:pt>
                <c:pt idx="7">
                  <c:v>二日市場</c:v>
                </c:pt>
                <c:pt idx="8">
                  <c:v>GH五井</c:v>
                </c:pt>
                <c:pt idx="9">
                  <c:v>GH白金</c:v>
                </c:pt>
                <c:pt idx="10">
                  <c:v>GH西五所</c:v>
                </c:pt>
                <c:pt idx="11">
                  <c:v>GH西広</c:v>
                </c:pt>
                <c:pt idx="12">
                  <c:v>白金タクシー</c:v>
                </c:pt>
              </c:strCache>
            </c:strRef>
          </c:cat>
          <c:val>
            <c:numRef>
              <c:f>'H31.4月 月例報告'!$C$17:$C$29</c:f>
              <c:numCache>
                <c:formatCode>#,##0_ ;[Red]\-#,##0\ </c:formatCode>
                <c:ptCount val="13"/>
                <c:pt idx="0">
                  <c:v>0</c:v>
                </c:pt>
                <c:pt idx="1">
                  <c:v>12901588</c:v>
                </c:pt>
                <c:pt idx="2">
                  <c:v>6262229</c:v>
                </c:pt>
                <c:pt idx="3">
                  <c:v>7110420</c:v>
                </c:pt>
                <c:pt idx="4">
                  <c:v>13148</c:v>
                </c:pt>
                <c:pt idx="5">
                  <c:v>1905194</c:v>
                </c:pt>
                <c:pt idx="6">
                  <c:v>4425975</c:v>
                </c:pt>
                <c:pt idx="7">
                  <c:v>2462469</c:v>
                </c:pt>
                <c:pt idx="8">
                  <c:v>1077061</c:v>
                </c:pt>
                <c:pt idx="9">
                  <c:v>797482</c:v>
                </c:pt>
                <c:pt idx="10">
                  <c:v>2831820</c:v>
                </c:pt>
                <c:pt idx="11">
                  <c:v>2077332</c:v>
                </c:pt>
                <c:pt idx="12">
                  <c:v>0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tx2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売上推移!$B$11</c:f>
              <c:strCache>
                <c:ptCount val="1"/>
                <c:pt idx="0">
                  <c:v>二日市場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売上推移!$C$11:$Z$11</c:f>
              <c:numCache>
                <c:formatCode>#,##0_ ;[Red]\-#,##0\ </c:formatCode>
                <c:ptCount val="24"/>
                <c:pt idx="0">
                  <c:v>3218370</c:v>
                </c:pt>
                <c:pt idx="1">
                  <c:v>2893429</c:v>
                </c:pt>
                <c:pt idx="2">
                  <c:v>3184472</c:v>
                </c:pt>
                <c:pt idx="3">
                  <c:v>3124894</c:v>
                </c:pt>
                <c:pt idx="4">
                  <c:v>3081346</c:v>
                </c:pt>
                <c:pt idx="5">
                  <c:v>2989139</c:v>
                </c:pt>
                <c:pt idx="6">
                  <c:v>2574677</c:v>
                </c:pt>
                <c:pt idx="7">
                  <c:v>2853536</c:v>
                </c:pt>
                <c:pt idx="8">
                  <c:v>2617181</c:v>
                </c:pt>
                <c:pt idx="9">
                  <c:v>3057960</c:v>
                </c:pt>
                <c:pt idx="10">
                  <c:v>3056897</c:v>
                </c:pt>
                <c:pt idx="11">
                  <c:v>3183714</c:v>
                </c:pt>
                <c:pt idx="12">
                  <c:v>3021707</c:v>
                </c:pt>
                <c:pt idx="13">
                  <c:v>2692178</c:v>
                </c:pt>
                <c:pt idx="14">
                  <c:v>2546587</c:v>
                </c:pt>
                <c:pt idx="15">
                  <c:v>2351469</c:v>
                </c:pt>
                <c:pt idx="16">
                  <c:v>2112073</c:v>
                </c:pt>
                <c:pt idx="17">
                  <c:v>2397265</c:v>
                </c:pt>
                <c:pt idx="18">
                  <c:v>3521977</c:v>
                </c:pt>
                <c:pt idx="19">
                  <c:v>2606315</c:v>
                </c:pt>
                <c:pt idx="20">
                  <c:v>2627069</c:v>
                </c:pt>
                <c:pt idx="21">
                  <c:v>2515123</c:v>
                </c:pt>
                <c:pt idx="22">
                  <c:v>2498262</c:v>
                </c:pt>
                <c:pt idx="23">
                  <c:v>2462469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B5-4829-958D-89384C69F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989640"/>
        <c:axId val="454990424"/>
      </c:barChart>
      <c:dateAx>
        <c:axId val="454989640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4990424"/>
        <c:crosses val="autoZero"/>
        <c:auto val="1"/>
        <c:lblOffset val="100"/>
        <c:baseTimeUnit val="months"/>
      </c:dateAx>
      <c:valAx>
        <c:axId val="454990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4989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売上推移!$B$19</c:f>
              <c:strCache>
                <c:ptCount val="1"/>
                <c:pt idx="0">
                  <c:v>全社売上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売上推移!$C$19:$Z$19</c:f>
              <c:numCache>
                <c:formatCode>#,##0_ ;[Red]\-#,##0\ </c:formatCode>
                <c:ptCount val="24"/>
                <c:pt idx="0">
                  <c:v>32703033</c:v>
                </c:pt>
                <c:pt idx="1">
                  <c:v>36915821</c:v>
                </c:pt>
                <c:pt idx="2">
                  <c:v>36080296</c:v>
                </c:pt>
                <c:pt idx="3">
                  <c:v>34899186</c:v>
                </c:pt>
                <c:pt idx="4">
                  <c:v>35916200</c:v>
                </c:pt>
                <c:pt idx="5">
                  <c:v>37696511</c:v>
                </c:pt>
                <c:pt idx="6">
                  <c:v>35721077</c:v>
                </c:pt>
                <c:pt idx="7">
                  <c:v>35713004</c:v>
                </c:pt>
                <c:pt idx="8">
                  <c:v>34507019</c:v>
                </c:pt>
                <c:pt idx="9">
                  <c:v>33718137</c:v>
                </c:pt>
                <c:pt idx="10">
                  <c:v>35034097</c:v>
                </c:pt>
                <c:pt idx="11">
                  <c:v>39122247</c:v>
                </c:pt>
                <c:pt idx="12">
                  <c:v>39669030</c:v>
                </c:pt>
                <c:pt idx="13">
                  <c:v>36072718</c:v>
                </c:pt>
                <c:pt idx="14">
                  <c:v>38549836</c:v>
                </c:pt>
                <c:pt idx="15">
                  <c:v>36710781</c:v>
                </c:pt>
                <c:pt idx="16">
                  <c:v>37521491</c:v>
                </c:pt>
                <c:pt idx="17">
                  <c:v>41221792</c:v>
                </c:pt>
                <c:pt idx="18">
                  <c:v>42264853</c:v>
                </c:pt>
                <c:pt idx="19">
                  <c:v>40284538</c:v>
                </c:pt>
                <c:pt idx="20">
                  <c:v>39982277</c:v>
                </c:pt>
                <c:pt idx="21">
                  <c:v>38690450</c:v>
                </c:pt>
                <c:pt idx="22">
                  <c:v>40045253</c:v>
                </c:pt>
                <c:pt idx="23">
                  <c:v>41864718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50-4344-B07D-450648921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367472"/>
        <c:axId val="454371000"/>
      </c:barChart>
      <c:dateAx>
        <c:axId val="454367472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4371000"/>
        <c:crosses val="autoZero"/>
        <c:auto val="1"/>
        <c:lblOffset val="100"/>
        <c:baseTimeUnit val="months"/>
      </c:dateAx>
      <c:valAx>
        <c:axId val="454371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4367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人件費</a:t>
            </a:r>
            <a:r>
              <a:rPr lang="en-US" altLang="ja-JP"/>
              <a:t>+</a:t>
            </a:r>
            <a:r>
              <a:rPr lang="ja-JP" altLang="en-US"/>
              <a:t>経費</a:t>
            </a:r>
            <a:r>
              <a:rPr lang="en-US" altLang="ja-JP"/>
              <a:t>-</a:t>
            </a:r>
            <a:r>
              <a:rPr lang="ja-JP" altLang="en-US"/>
              <a:t>期末調整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売上推移!$B$20</c:f>
              <c:strCache>
                <c:ptCount val="1"/>
                <c:pt idx="0">
                  <c:v>人件費+経費
-期末調整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売上推移!$C$20:$Z$20</c:f>
              <c:numCache>
                <c:formatCode>#,##0_ ;[Red]\-#,##0\ </c:formatCode>
                <c:ptCount val="24"/>
                <c:pt idx="0">
                  <c:v>28961864</c:v>
                </c:pt>
                <c:pt idx="1">
                  <c:v>34081284</c:v>
                </c:pt>
                <c:pt idx="2">
                  <c:v>31034245</c:v>
                </c:pt>
                <c:pt idx="3">
                  <c:v>32506840</c:v>
                </c:pt>
                <c:pt idx="4">
                  <c:v>29734471</c:v>
                </c:pt>
                <c:pt idx="5">
                  <c:v>31049754</c:v>
                </c:pt>
                <c:pt idx="6">
                  <c:v>32679182</c:v>
                </c:pt>
                <c:pt idx="7">
                  <c:v>44370795</c:v>
                </c:pt>
                <c:pt idx="8">
                  <c:v>36679394</c:v>
                </c:pt>
                <c:pt idx="9">
                  <c:v>31197700</c:v>
                </c:pt>
                <c:pt idx="10">
                  <c:v>34351833</c:v>
                </c:pt>
                <c:pt idx="11">
                  <c:v>34444276</c:v>
                </c:pt>
                <c:pt idx="12">
                  <c:v>34123721</c:v>
                </c:pt>
                <c:pt idx="13">
                  <c:v>42950130</c:v>
                </c:pt>
                <c:pt idx="14">
                  <c:v>38147174</c:v>
                </c:pt>
                <c:pt idx="15">
                  <c:v>37818318</c:v>
                </c:pt>
                <c:pt idx="16">
                  <c:v>35732794</c:v>
                </c:pt>
                <c:pt idx="17">
                  <c:v>41068513</c:v>
                </c:pt>
                <c:pt idx="18">
                  <c:v>38014623</c:v>
                </c:pt>
                <c:pt idx="19">
                  <c:v>51586693</c:v>
                </c:pt>
                <c:pt idx="20">
                  <c:v>37043342</c:v>
                </c:pt>
                <c:pt idx="21">
                  <c:v>35933766</c:v>
                </c:pt>
                <c:pt idx="22">
                  <c:v>35468722</c:v>
                </c:pt>
                <c:pt idx="23">
                  <c:v>36363783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15-4965-9564-356DB8A12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371392"/>
        <c:axId val="454371784"/>
      </c:barChart>
      <c:dateAx>
        <c:axId val="454371392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4371784"/>
        <c:crosses val="autoZero"/>
        <c:auto val="1"/>
        <c:lblOffset val="100"/>
        <c:baseTimeUnit val="months"/>
      </c:dateAx>
      <c:valAx>
        <c:axId val="454371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437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白金タクシー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売上推移!$B$18</c:f>
              <c:strCache>
                <c:ptCount val="1"/>
                <c:pt idx="0">
                  <c:v>白金
タクシー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売上推移!$C$18:$Z$18</c:f>
              <c:numCache>
                <c:formatCode>#,##0_ ;[Red]\-#,##0\ </c:formatCode>
                <c:ptCount val="24"/>
                <c:pt idx="0">
                  <c:v>3011624</c:v>
                </c:pt>
                <c:pt idx="1">
                  <c:v>2812785</c:v>
                </c:pt>
                <c:pt idx="2">
                  <c:v>3216466</c:v>
                </c:pt>
                <c:pt idx="3">
                  <c:v>3129590</c:v>
                </c:pt>
                <c:pt idx="4">
                  <c:v>3185656</c:v>
                </c:pt>
                <c:pt idx="5">
                  <c:v>3195164</c:v>
                </c:pt>
                <c:pt idx="6">
                  <c:v>3133826</c:v>
                </c:pt>
                <c:pt idx="7">
                  <c:v>3119675</c:v>
                </c:pt>
                <c:pt idx="8">
                  <c:v>2345767</c:v>
                </c:pt>
                <c:pt idx="9">
                  <c:v>2169663</c:v>
                </c:pt>
                <c:pt idx="10">
                  <c:v>2256558</c:v>
                </c:pt>
                <c:pt idx="11">
                  <c:v>1960949</c:v>
                </c:pt>
                <c:pt idx="12">
                  <c:v>1955643</c:v>
                </c:pt>
                <c:pt idx="13">
                  <c:v>1889542</c:v>
                </c:pt>
                <c:pt idx="14">
                  <c:v>1614388</c:v>
                </c:pt>
                <c:pt idx="15">
                  <c:v>1444523</c:v>
                </c:pt>
                <c:pt idx="16">
                  <c:v>1128956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79C-4B5C-8BE2-7F7E56EE5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368648"/>
        <c:axId val="454365904"/>
      </c:barChart>
      <c:dateAx>
        <c:axId val="454368648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4365904"/>
        <c:crosses val="autoZero"/>
        <c:auto val="1"/>
        <c:lblOffset val="100"/>
        <c:baseTimeUnit val="months"/>
      </c:dateAx>
      <c:valAx>
        <c:axId val="45436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4368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GH</a:t>
            </a:r>
            <a:r>
              <a:rPr lang="ja-JP" altLang="en-US"/>
              <a:t>合計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売上推移!$B$17</c:f>
              <c:strCache>
                <c:ptCount val="1"/>
                <c:pt idx="0">
                  <c:v>GH計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売上推移!$C$17:$Z$17</c:f>
              <c:numCache>
                <c:formatCode>#,##0_ ;[Red]\-#,##0\ </c:formatCode>
                <c:ptCount val="24"/>
                <c:pt idx="0">
                  <c:v>1527664</c:v>
                </c:pt>
                <c:pt idx="1">
                  <c:v>6701834</c:v>
                </c:pt>
                <c:pt idx="2">
                  <c:v>4339886</c:v>
                </c:pt>
                <c:pt idx="3">
                  <c:v>4033052</c:v>
                </c:pt>
                <c:pt idx="4">
                  <c:v>4385088</c:v>
                </c:pt>
                <c:pt idx="5">
                  <c:v>5388486</c:v>
                </c:pt>
                <c:pt idx="6">
                  <c:v>4932061</c:v>
                </c:pt>
                <c:pt idx="7">
                  <c:v>4846209</c:v>
                </c:pt>
                <c:pt idx="8">
                  <c:v>4521767</c:v>
                </c:pt>
                <c:pt idx="9">
                  <c:v>4251654</c:v>
                </c:pt>
                <c:pt idx="10">
                  <c:v>4845757</c:v>
                </c:pt>
                <c:pt idx="11">
                  <c:v>4652452</c:v>
                </c:pt>
                <c:pt idx="12">
                  <c:v>6288634</c:v>
                </c:pt>
                <c:pt idx="13">
                  <c:v>4072029</c:v>
                </c:pt>
                <c:pt idx="14">
                  <c:v>5223230</c:v>
                </c:pt>
                <c:pt idx="15">
                  <c:v>4262820</c:v>
                </c:pt>
                <c:pt idx="16">
                  <c:v>4499106</c:v>
                </c:pt>
                <c:pt idx="17">
                  <c:v>5027679</c:v>
                </c:pt>
                <c:pt idx="18">
                  <c:v>4965039</c:v>
                </c:pt>
                <c:pt idx="19">
                  <c:v>5126089</c:v>
                </c:pt>
                <c:pt idx="20">
                  <c:v>5611286</c:v>
                </c:pt>
                <c:pt idx="21">
                  <c:v>5636882</c:v>
                </c:pt>
                <c:pt idx="22">
                  <c:v>5775875</c:v>
                </c:pt>
                <c:pt idx="23">
                  <c:v>6783695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DF-4C10-BCFE-08B61DC98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369040"/>
        <c:axId val="454372568"/>
      </c:barChart>
      <c:dateAx>
        <c:axId val="454369040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4372568"/>
        <c:crosses val="autoZero"/>
        <c:auto val="1"/>
        <c:lblOffset val="100"/>
        <c:baseTimeUnit val="months"/>
      </c:dateAx>
      <c:valAx>
        <c:axId val="454372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4369040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千葉東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売上推移!$B$8</c:f>
              <c:strCache>
                <c:ptCount val="1"/>
                <c:pt idx="0">
                  <c:v>千葉東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売上推移!$C$8:$Z$8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100885</c:v>
                </c:pt>
                <c:pt idx="14">
                  <c:v>663080</c:v>
                </c:pt>
                <c:pt idx="15">
                  <c:v>624826</c:v>
                </c:pt>
                <c:pt idx="16">
                  <c:v>1193278</c:v>
                </c:pt>
                <c:pt idx="17">
                  <c:v>1631546</c:v>
                </c:pt>
                <c:pt idx="18">
                  <c:v>1296114</c:v>
                </c:pt>
                <c:pt idx="19">
                  <c:v>1520846</c:v>
                </c:pt>
                <c:pt idx="20">
                  <c:v>1160774</c:v>
                </c:pt>
                <c:pt idx="21">
                  <c:v>903949</c:v>
                </c:pt>
                <c:pt idx="22">
                  <c:v>0</c:v>
                </c:pt>
                <c:pt idx="23">
                  <c:v>13148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B56-450B-8413-543395AC2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370216"/>
        <c:axId val="454372176"/>
      </c:barChart>
      <c:dateAx>
        <c:axId val="454370216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4372176"/>
        <c:crosses val="autoZero"/>
        <c:auto val="1"/>
        <c:lblOffset val="100"/>
        <c:baseTimeUnit val="months"/>
      </c:dateAx>
      <c:valAx>
        <c:axId val="454372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4370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千葉西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売上推移!$B$9</c:f>
              <c:strCache>
                <c:ptCount val="1"/>
                <c:pt idx="0">
                  <c:v>千葉西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売上推移!$C$9:$Z$9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234284</c:v>
                </c:pt>
                <c:pt idx="18">
                  <c:v>485638</c:v>
                </c:pt>
                <c:pt idx="19">
                  <c:v>701720</c:v>
                </c:pt>
                <c:pt idx="20">
                  <c:v>810680</c:v>
                </c:pt>
                <c:pt idx="21">
                  <c:v>1060746</c:v>
                </c:pt>
                <c:pt idx="22">
                  <c:v>1438607</c:v>
                </c:pt>
                <c:pt idx="23">
                  <c:v>1905194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B56-450B-8413-543395AC2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382688"/>
        <c:axId val="453388568"/>
      </c:barChart>
      <c:dateAx>
        <c:axId val="453382688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3388568"/>
        <c:crosses val="autoZero"/>
        <c:auto val="1"/>
        <c:lblOffset val="100"/>
        <c:baseTimeUnit val="months"/>
      </c:dateAx>
      <c:valAx>
        <c:axId val="453388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338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事業所別国保連請求額</a:t>
            </a:r>
            <a:r>
              <a:rPr lang="en-US" altLang="ja-JP"/>
              <a:t>(</a:t>
            </a:r>
            <a:r>
              <a:rPr lang="ja-JP" altLang="en-US"/>
              <a:t>単月</a:t>
            </a:r>
            <a:r>
              <a:rPr lang="en-US" altLang="ja-JP"/>
              <a:t>)</a:t>
            </a:r>
            <a:endParaRPr lang="ja-JP" altLang="en-US"/>
          </a:p>
        </c:rich>
      </c:tx>
      <c:layout>
        <c:manualLayout>
          <c:xMode val="edge"/>
          <c:yMode val="edge"/>
          <c:x val="0.38851377952755906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国保連単月売上!$A$4</c:f>
              <c:strCache>
                <c:ptCount val="1"/>
                <c:pt idx="0">
                  <c:v>本部・管理部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国保連単月売上!$B$4:$Y$4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7B-4C6E-AAD2-108FED47EB16}"/>
            </c:ext>
          </c:extLst>
        </c:ser>
        <c:ser>
          <c:idx val="2"/>
          <c:order val="1"/>
          <c:tx>
            <c:strRef>
              <c:f>国保連単月売上!$A$5</c:f>
              <c:strCache>
                <c:ptCount val="1"/>
                <c:pt idx="0">
                  <c:v>白金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国保連単月売上!$B$5:$Y$5</c:f>
              <c:numCache>
                <c:formatCode>#,##0_ ;[Red]\-#,##0\ </c:formatCode>
                <c:ptCount val="24"/>
                <c:pt idx="0">
                  <c:v>9992832</c:v>
                </c:pt>
                <c:pt idx="1">
                  <c:v>9227912</c:v>
                </c:pt>
                <c:pt idx="2">
                  <c:v>9776465</c:v>
                </c:pt>
                <c:pt idx="3">
                  <c:v>9774030</c:v>
                </c:pt>
                <c:pt idx="4">
                  <c:v>10148554</c:v>
                </c:pt>
                <c:pt idx="5">
                  <c:v>10092092</c:v>
                </c:pt>
                <c:pt idx="6">
                  <c:v>9892697</c:v>
                </c:pt>
                <c:pt idx="7">
                  <c:v>9393626</c:v>
                </c:pt>
                <c:pt idx="8">
                  <c:v>9350432</c:v>
                </c:pt>
                <c:pt idx="9">
                  <c:v>8832032</c:v>
                </c:pt>
                <c:pt idx="10">
                  <c:v>9878804</c:v>
                </c:pt>
                <c:pt idx="11">
                  <c:v>9791668</c:v>
                </c:pt>
                <c:pt idx="12">
                  <c:v>10087423</c:v>
                </c:pt>
                <c:pt idx="13">
                  <c:v>9535609</c:v>
                </c:pt>
                <c:pt idx="14">
                  <c:v>10429329</c:v>
                </c:pt>
                <c:pt idx="15">
                  <c:v>9914852</c:v>
                </c:pt>
                <c:pt idx="16">
                  <c:v>10606419</c:v>
                </c:pt>
                <c:pt idx="17">
                  <c:v>11523231</c:v>
                </c:pt>
                <c:pt idx="18">
                  <c:v>11643262</c:v>
                </c:pt>
                <c:pt idx="19">
                  <c:v>11201961</c:v>
                </c:pt>
                <c:pt idx="20">
                  <c:v>11414498</c:v>
                </c:pt>
                <c:pt idx="21">
                  <c:v>10739184</c:v>
                </c:pt>
                <c:pt idx="22">
                  <c:v>11842205</c:v>
                </c:pt>
                <c:pt idx="23">
                  <c:v>12074847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57B-4C6E-AAD2-108FED47EB16}"/>
            </c:ext>
          </c:extLst>
        </c:ser>
        <c:ser>
          <c:idx val="3"/>
          <c:order val="2"/>
          <c:tx>
            <c:strRef>
              <c:f>国保連単月売上!$A$6</c:f>
              <c:strCache>
                <c:ptCount val="1"/>
                <c:pt idx="0">
                  <c:v>蘇我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国保連単月売上!$B$6:$Y$6</c:f>
              <c:numCache>
                <c:formatCode>#,##0_ ;[Red]\-#,##0\ </c:formatCode>
                <c:ptCount val="24"/>
                <c:pt idx="0">
                  <c:v>5213822</c:v>
                </c:pt>
                <c:pt idx="1">
                  <c:v>5409924</c:v>
                </c:pt>
                <c:pt idx="2">
                  <c:v>5466967</c:v>
                </c:pt>
                <c:pt idx="3">
                  <c:v>5136732</c:v>
                </c:pt>
                <c:pt idx="4">
                  <c:v>5672933</c:v>
                </c:pt>
                <c:pt idx="5">
                  <c:v>5571798</c:v>
                </c:pt>
                <c:pt idx="6">
                  <c:v>5606848</c:v>
                </c:pt>
                <c:pt idx="7">
                  <c:v>5773883</c:v>
                </c:pt>
                <c:pt idx="8">
                  <c:v>5390166</c:v>
                </c:pt>
                <c:pt idx="9">
                  <c:v>5121995</c:v>
                </c:pt>
                <c:pt idx="10">
                  <c:v>6135424</c:v>
                </c:pt>
                <c:pt idx="11">
                  <c:v>6044536</c:v>
                </c:pt>
                <c:pt idx="12">
                  <c:v>6228871</c:v>
                </c:pt>
                <c:pt idx="13">
                  <c:v>5692633</c:v>
                </c:pt>
                <c:pt idx="14">
                  <c:v>5595832</c:v>
                </c:pt>
                <c:pt idx="15">
                  <c:v>5869880</c:v>
                </c:pt>
                <c:pt idx="16">
                  <c:v>6084510</c:v>
                </c:pt>
                <c:pt idx="17">
                  <c:v>6977480</c:v>
                </c:pt>
                <c:pt idx="18">
                  <c:v>6704768</c:v>
                </c:pt>
                <c:pt idx="19">
                  <c:v>6361705</c:v>
                </c:pt>
                <c:pt idx="20">
                  <c:v>5979274</c:v>
                </c:pt>
                <c:pt idx="21">
                  <c:v>5457691</c:v>
                </c:pt>
                <c:pt idx="22">
                  <c:v>5358259</c:v>
                </c:pt>
                <c:pt idx="23">
                  <c:v>5176349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57B-4C6E-AAD2-108FED47EB16}"/>
            </c:ext>
          </c:extLst>
        </c:ser>
        <c:ser>
          <c:idx val="4"/>
          <c:order val="3"/>
          <c:tx>
            <c:strRef>
              <c:f>国保連単月売上!$A$7</c:f>
              <c:strCache>
                <c:ptCount val="1"/>
                <c:pt idx="0">
                  <c:v>誉田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国保連単月売上!$B$7:$Y$7</c:f>
              <c:numCache>
                <c:formatCode>#,##0_ ;[Red]\-#,##0\ </c:formatCode>
                <c:ptCount val="24"/>
                <c:pt idx="0">
                  <c:v>5033064</c:v>
                </c:pt>
                <c:pt idx="1">
                  <c:v>5204172</c:v>
                </c:pt>
                <c:pt idx="2">
                  <c:v>5570174</c:v>
                </c:pt>
                <c:pt idx="3">
                  <c:v>5618999</c:v>
                </c:pt>
                <c:pt idx="4">
                  <c:v>5432726</c:v>
                </c:pt>
                <c:pt idx="5">
                  <c:v>5686031</c:v>
                </c:pt>
                <c:pt idx="6">
                  <c:v>5565370</c:v>
                </c:pt>
                <c:pt idx="7">
                  <c:v>5827289</c:v>
                </c:pt>
                <c:pt idx="8">
                  <c:v>5430789</c:v>
                </c:pt>
                <c:pt idx="9">
                  <c:v>5281596</c:v>
                </c:pt>
                <c:pt idx="10">
                  <c:v>5995527</c:v>
                </c:pt>
                <c:pt idx="11">
                  <c:v>5782508</c:v>
                </c:pt>
                <c:pt idx="12">
                  <c:v>5788351</c:v>
                </c:pt>
                <c:pt idx="13">
                  <c:v>6328226</c:v>
                </c:pt>
                <c:pt idx="14">
                  <c:v>6679327</c:v>
                </c:pt>
                <c:pt idx="15">
                  <c:v>7184853</c:v>
                </c:pt>
                <c:pt idx="16">
                  <c:v>6541496</c:v>
                </c:pt>
                <c:pt idx="17">
                  <c:v>6956494</c:v>
                </c:pt>
                <c:pt idx="18">
                  <c:v>6408565</c:v>
                </c:pt>
                <c:pt idx="19">
                  <c:v>6288422</c:v>
                </c:pt>
                <c:pt idx="20">
                  <c:v>6473943</c:v>
                </c:pt>
                <c:pt idx="21">
                  <c:v>6078716</c:v>
                </c:pt>
                <c:pt idx="22">
                  <c:v>6761944</c:v>
                </c:pt>
                <c:pt idx="23">
                  <c:v>6527702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57B-4C6E-AAD2-108FED47EB16}"/>
            </c:ext>
          </c:extLst>
        </c:ser>
        <c:ser>
          <c:idx val="5"/>
          <c:order val="4"/>
          <c:tx>
            <c:strRef>
              <c:f>国保連単月売上!$A$8</c:f>
              <c:strCache>
                <c:ptCount val="1"/>
                <c:pt idx="0">
                  <c:v>千葉東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国保連単月売上!$B$8:$Y$8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362472</c:v>
                </c:pt>
                <c:pt idx="14">
                  <c:v>421112</c:v>
                </c:pt>
                <c:pt idx="15">
                  <c:v>920765</c:v>
                </c:pt>
                <c:pt idx="16">
                  <c:v>1137667</c:v>
                </c:pt>
                <c:pt idx="17">
                  <c:v>1658360</c:v>
                </c:pt>
                <c:pt idx="18">
                  <c:v>1287209</c:v>
                </c:pt>
                <c:pt idx="19">
                  <c:v>1066153</c:v>
                </c:pt>
                <c:pt idx="20">
                  <c:v>1134172</c:v>
                </c:pt>
                <c:pt idx="21">
                  <c:v>892569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57B-4C6E-AAD2-108FED47EB16}"/>
            </c:ext>
          </c:extLst>
        </c:ser>
        <c:ser>
          <c:idx val="6"/>
          <c:order val="5"/>
          <c:tx>
            <c:strRef>
              <c:f>国保連単月売上!$A$9</c:f>
              <c:strCache>
                <c:ptCount val="1"/>
                <c:pt idx="0">
                  <c:v>千葉西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国保連単月売上!$B$9:$Y$9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279190</c:v>
                </c:pt>
                <c:pt idx="18">
                  <c:v>443026</c:v>
                </c:pt>
                <c:pt idx="19">
                  <c:v>556533</c:v>
                </c:pt>
                <c:pt idx="20">
                  <c:v>793498</c:v>
                </c:pt>
                <c:pt idx="21">
                  <c:v>974812</c:v>
                </c:pt>
                <c:pt idx="22">
                  <c:v>1412447</c:v>
                </c:pt>
                <c:pt idx="23">
                  <c:v>1799519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57B-4C6E-AAD2-108FED47EB16}"/>
            </c:ext>
          </c:extLst>
        </c:ser>
        <c:ser>
          <c:idx val="7"/>
          <c:order val="6"/>
          <c:tx>
            <c:strRef>
              <c:f>国保連単月売上!$A$10</c:f>
              <c:strCache>
                <c:ptCount val="1"/>
                <c:pt idx="0">
                  <c:v>白金デイ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国保連単月売上!$B$10:$Y$10</c:f>
              <c:numCache>
                <c:formatCode>#,##0_ ;[Red]\-#,##0\ </c:formatCode>
                <c:ptCount val="24"/>
                <c:pt idx="0">
                  <c:v>3159951</c:v>
                </c:pt>
                <c:pt idx="1">
                  <c:v>3136628</c:v>
                </c:pt>
                <c:pt idx="2">
                  <c:v>3426262</c:v>
                </c:pt>
                <c:pt idx="3">
                  <c:v>3078216</c:v>
                </c:pt>
                <c:pt idx="4">
                  <c:v>2955968</c:v>
                </c:pt>
                <c:pt idx="5">
                  <c:v>3076553</c:v>
                </c:pt>
                <c:pt idx="6">
                  <c:v>3271508</c:v>
                </c:pt>
                <c:pt idx="7">
                  <c:v>3149307</c:v>
                </c:pt>
                <c:pt idx="8">
                  <c:v>3148868</c:v>
                </c:pt>
                <c:pt idx="9">
                  <c:v>3235791</c:v>
                </c:pt>
                <c:pt idx="10">
                  <c:v>3678425</c:v>
                </c:pt>
                <c:pt idx="11">
                  <c:v>4198450</c:v>
                </c:pt>
                <c:pt idx="12">
                  <c:v>4098308</c:v>
                </c:pt>
                <c:pt idx="13">
                  <c:v>3928452</c:v>
                </c:pt>
                <c:pt idx="14">
                  <c:v>4234658</c:v>
                </c:pt>
                <c:pt idx="15">
                  <c:v>4173142</c:v>
                </c:pt>
                <c:pt idx="16">
                  <c:v>3905307</c:v>
                </c:pt>
                <c:pt idx="17">
                  <c:v>4207155</c:v>
                </c:pt>
                <c:pt idx="18">
                  <c:v>4195626</c:v>
                </c:pt>
                <c:pt idx="19">
                  <c:v>4236747</c:v>
                </c:pt>
                <c:pt idx="20">
                  <c:v>3824966</c:v>
                </c:pt>
                <c:pt idx="21">
                  <c:v>4029418</c:v>
                </c:pt>
                <c:pt idx="22">
                  <c:v>4596566</c:v>
                </c:pt>
                <c:pt idx="23">
                  <c:v>4062911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B57B-4C6E-AAD2-108FED47EB16}"/>
            </c:ext>
          </c:extLst>
        </c:ser>
        <c:ser>
          <c:idx val="8"/>
          <c:order val="7"/>
          <c:tx>
            <c:strRef>
              <c:f>国保連単月売上!$A$11</c:f>
              <c:strCache>
                <c:ptCount val="1"/>
                <c:pt idx="0">
                  <c:v>二日市場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国保連単月売上!$B$11:$Y$11</c:f>
              <c:numCache>
                <c:formatCode>#,##0_ ;[Red]\-#,##0\ </c:formatCode>
                <c:ptCount val="24"/>
                <c:pt idx="0">
                  <c:v>2221926</c:v>
                </c:pt>
                <c:pt idx="1">
                  <c:v>2170929</c:v>
                </c:pt>
                <c:pt idx="2">
                  <c:v>2304959</c:v>
                </c:pt>
                <c:pt idx="3">
                  <c:v>2326894</c:v>
                </c:pt>
                <c:pt idx="4">
                  <c:v>2383506</c:v>
                </c:pt>
                <c:pt idx="5">
                  <c:v>2140629</c:v>
                </c:pt>
                <c:pt idx="6">
                  <c:v>2052909</c:v>
                </c:pt>
                <c:pt idx="7">
                  <c:v>2157074</c:v>
                </c:pt>
                <c:pt idx="8">
                  <c:v>2007541</c:v>
                </c:pt>
                <c:pt idx="9">
                  <c:v>2306499</c:v>
                </c:pt>
                <c:pt idx="10">
                  <c:v>2198815</c:v>
                </c:pt>
                <c:pt idx="11">
                  <c:v>2291722</c:v>
                </c:pt>
                <c:pt idx="12">
                  <c:v>2293370</c:v>
                </c:pt>
                <c:pt idx="13">
                  <c:v>2039297</c:v>
                </c:pt>
                <c:pt idx="14">
                  <c:v>1697883</c:v>
                </c:pt>
                <c:pt idx="15">
                  <c:v>1573689</c:v>
                </c:pt>
                <c:pt idx="16">
                  <c:v>1331333</c:v>
                </c:pt>
                <c:pt idx="17">
                  <c:v>1489051</c:v>
                </c:pt>
                <c:pt idx="18">
                  <c:v>1819338</c:v>
                </c:pt>
                <c:pt idx="19">
                  <c:v>1826775</c:v>
                </c:pt>
                <c:pt idx="20">
                  <c:v>1845029</c:v>
                </c:pt>
                <c:pt idx="21">
                  <c:v>1715603</c:v>
                </c:pt>
                <c:pt idx="22">
                  <c:v>1715602</c:v>
                </c:pt>
                <c:pt idx="23">
                  <c:v>1684049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57B-4C6E-AAD2-108FED47EB16}"/>
            </c:ext>
          </c:extLst>
        </c:ser>
        <c:ser>
          <c:idx val="9"/>
          <c:order val="8"/>
          <c:tx>
            <c:strRef>
              <c:f>国保連単月売上!$A$12</c:f>
              <c:strCache>
                <c:ptCount val="1"/>
                <c:pt idx="0">
                  <c:v>中高根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国保連単月売上!$B$12:$Y$12</c:f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57B-4C6E-AAD2-108FED47EB16}"/>
            </c:ext>
          </c:extLst>
        </c:ser>
        <c:ser>
          <c:idx val="10"/>
          <c:order val="9"/>
          <c:tx>
            <c:strRef>
              <c:f>国保連単月売上!$A$13</c:f>
              <c:strCache>
                <c:ptCount val="1"/>
                <c:pt idx="0">
                  <c:v>GH五井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国保連単月売上!$B$13:$Y$13</c:f>
              <c:numCache>
                <c:formatCode>#,##0_ ;[Red]\-#,##0\ </c:formatCode>
                <c:ptCount val="24"/>
                <c:pt idx="0">
                  <c:v>901284</c:v>
                </c:pt>
                <c:pt idx="1">
                  <c:v>978154</c:v>
                </c:pt>
                <c:pt idx="2">
                  <c:v>1019564</c:v>
                </c:pt>
                <c:pt idx="3">
                  <c:v>998363</c:v>
                </c:pt>
                <c:pt idx="4">
                  <c:v>982096</c:v>
                </c:pt>
                <c:pt idx="5">
                  <c:v>1013496</c:v>
                </c:pt>
                <c:pt idx="6">
                  <c:v>978313</c:v>
                </c:pt>
                <c:pt idx="7">
                  <c:v>998248</c:v>
                </c:pt>
                <c:pt idx="8">
                  <c:v>778040</c:v>
                </c:pt>
                <c:pt idx="9">
                  <c:v>710413</c:v>
                </c:pt>
                <c:pt idx="10">
                  <c:v>789390</c:v>
                </c:pt>
                <c:pt idx="11">
                  <c:v>777456</c:v>
                </c:pt>
                <c:pt idx="12">
                  <c:v>802372</c:v>
                </c:pt>
                <c:pt idx="13">
                  <c:v>777456</c:v>
                </c:pt>
                <c:pt idx="14">
                  <c:v>839546</c:v>
                </c:pt>
                <c:pt idx="15">
                  <c:v>839546</c:v>
                </c:pt>
                <c:pt idx="16">
                  <c:v>813636</c:v>
                </c:pt>
                <c:pt idx="17">
                  <c:v>1101110</c:v>
                </c:pt>
                <c:pt idx="18">
                  <c:v>1073137</c:v>
                </c:pt>
                <c:pt idx="19">
                  <c:v>1107363</c:v>
                </c:pt>
                <c:pt idx="20">
                  <c:v>1107363</c:v>
                </c:pt>
                <c:pt idx="21">
                  <c:v>998423</c:v>
                </c:pt>
                <c:pt idx="22">
                  <c:v>982644</c:v>
                </c:pt>
                <c:pt idx="23">
                  <c:v>1025725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B57B-4C6E-AAD2-108FED47EB16}"/>
            </c:ext>
          </c:extLst>
        </c:ser>
        <c:ser>
          <c:idx val="11"/>
          <c:order val="10"/>
          <c:tx>
            <c:strRef>
              <c:f>国保連単月売上!$A$14</c:f>
              <c:strCache>
                <c:ptCount val="1"/>
                <c:pt idx="0">
                  <c:v>GH白金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国保連単月売上!$B$14:$Y$14</c:f>
              <c:numCache>
                <c:formatCode>#,##0_ ;[Red]\-#,##0\ </c:formatCode>
                <c:ptCount val="24"/>
                <c:pt idx="0">
                  <c:v>739665</c:v>
                </c:pt>
                <c:pt idx="1">
                  <c:v>943056</c:v>
                </c:pt>
                <c:pt idx="2">
                  <c:v>983492</c:v>
                </c:pt>
                <c:pt idx="3">
                  <c:v>983492</c:v>
                </c:pt>
                <c:pt idx="4">
                  <c:v>937378</c:v>
                </c:pt>
                <c:pt idx="5">
                  <c:v>983492</c:v>
                </c:pt>
                <c:pt idx="6">
                  <c:v>922792</c:v>
                </c:pt>
                <c:pt idx="7">
                  <c:v>983492</c:v>
                </c:pt>
                <c:pt idx="8">
                  <c:v>938092</c:v>
                </c:pt>
                <c:pt idx="9">
                  <c:v>861922</c:v>
                </c:pt>
                <c:pt idx="10">
                  <c:v>847336</c:v>
                </c:pt>
                <c:pt idx="11">
                  <c:v>960460</c:v>
                </c:pt>
                <c:pt idx="12">
                  <c:v>1007268</c:v>
                </c:pt>
                <c:pt idx="13">
                  <c:v>976056</c:v>
                </c:pt>
                <c:pt idx="14">
                  <c:v>1007268</c:v>
                </c:pt>
                <c:pt idx="15">
                  <c:v>827999</c:v>
                </c:pt>
                <c:pt idx="16">
                  <c:v>1003585</c:v>
                </c:pt>
                <c:pt idx="17">
                  <c:v>1019657</c:v>
                </c:pt>
                <c:pt idx="18">
                  <c:v>1012236</c:v>
                </c:pt>
                <c:pt idx="19">
                  <c:v>1044442</c:v>
                </c:pt>
                <c:pt idx="20">
                  <c:v>1044442</c:v>
                </c:pt>
                <c:pt idx="21">
                  <c:v>937836</c:v>
                </c:pt>
                <c:pt idx="22">
                  <c:v>915793</c:v>
                </c:pt>
                <c:pt idx="23">
                  <c:v>746482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B57B-4C6E-AAD2-108FED47EB16}"/>
            </c:ext>
          </c:extLst>
        </c:ser>
        <c:ser>
          <c:idx val="1"/>
          <c:order val="11"/>
          <c:tx>
            <c:strRef>
              <c:f>国保連単月売上!$A$15</c:f>
              <c:strCache>
                <c:ptCount val="1"/>
                <c:pt idx="0">
                  <c:v>GH西五所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国保連単月売上!$B$15:$Y$15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1647056</c:v>
                </c:pt>
                <c:pt idx="2">
                  <c:v>1874549</c:v>
                </c:pt>
                <c:pt idx="3">
                  <c:v>2107435</c:v>
                </c:pt>
                <c:pt idx="4">
                  <c:v>2099753</c:v>
                </c:pt>
                <c:pt idx="5">
                  <c:v>2389370</c:v>
                </c:pt>
                <c:pt idx="6">
                  <c:v>2385860</c:v>
                </c:pt>
                <c:pt idx="7">
                  <c:v>2448469</c:v>
                </c:pt>
                <c:pt idx="8">
                  <c:v>2396635</c:v>
                </c:pt>
                <c:pt idx="9">
                  <c:v>2200178</c:v>
                </c:pt>
                <c:pt idx="10">
                  <c:v>2426031</c:v>
                </c:pt>
                <c:pt idx="11">
                  <c:v>2405342</c:v>
                </c:pt>
                <c:pt idx="12">
                  <c:v>2474409</c:v>
                </c:pt>
                <c:pt idx="13">
                  <c:v>2397545</c:v>
                </c:pt>
                <c:pt idx="14">
                  <c:v>2449461</c:v>
                </c:pt>
                <c:pt idx="15">
                  <c:v>2198275</c:v>
                </c:pt>
                <c:pt idx="16">
                  <c:v>2292635</c:v>
                </c:pt>
                <c:pt idx="17">
                  <c:v>2500912</c:v>
                </c:pt>
                <c:pt idx="18">
                  <c:v>2443866</c:v>
                </c:pt>
                <c:pt idx="19">
                  <c:v>2507684</c:v>
                </c:pt>
                <c:pt idx="20">
                  <c:v>2515481</c:v>
                </c:pt>
                <c:pt idx="21">
                  <c:v>1944130</c:v>
                </c:pt>
                <c:pt idx="22">
                  <c:v>1927185</c:v>
                </c:pt>
                <c:pt idx="23">
                  <c:v>2032333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B57B-4C6E-AAD2-108FED47EB16}"/>
            </c:ext>
          </c:extLst>
        </c:ser>
        <c:ser>
          <c:idx val="12"/>
          <c:order val="12"/>
          <c:tx>
            <c:strRef>
              <c:f>国保連単月売上!$A$17</c:f>
              <c:strCache>
                <c:ptCount val="1"/>
                <c:pt idx="0">
                  <c:v>白金タクシー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国保連単月売上!$B$17:$Y$17</c:f>
              <c:numCache>
                <c:formatCode>#,##0_ ;[Red]\-#,##0\ </c:formatCode>
                <c:ptCount val="24"/>
                <c:pt idx="0">
                  <c:v>1223635</c:v>
                </c:pt>
                <c:pt idx="1">
                  <c:v>1067354</c:v>
                </c:pt>
                <c:pt idx="2">
                  <c:v>1141415</c:v>
                </c:pt>
                <c:pt idx="3">
                  <c:v>1272256</c:v>
                </c:pt>
                <c:pt idx="4">
                  <c:v>1407947</c:v>
                </c:pt>
                <c:pt idx="5">
                  <c:v>1243781</c:v>
                </c:pt>
                <c:pt idx="6">
                  <c:v>1292173</c:v>
                </c:pt>
                <c:pt idx="7">
                  <c:v>1246620</c:v>
                </c:pt>
                <c:pt idx="8">
                  <c:v>958455</c:v>
                </c:pt>
                <c:pt idx="9">
                  <c:v>795848</c:v>
                </c:pt>
                <c:pt idx="10">
                  <c:v>824207</c:v>
                </c:pt>
                <c:pt idx="11">
                  <c:v>884104</c:v>
                </c:pt>
                <c:pt idx="12">
                  <c:v>915308</c:v>
                </c:pt>
                <c:pt idx="13">
                  <c:v>914203</c:v>
                </c:pt>
                <c:pt idx="14">
                  <c:v>764948</c:v>
                </c:pt>
                <c:pt idx="15">
                  <c:v>564353</c:v>
                </c:pt>
                <c:pt idx="16">
                  <c:v>399221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461712"/>
        <c:axId val="455468768"/>
        <c:extLst xmlns:c16r2="http://schemas.microsoft.com/office/drawing/2015/06/chart"/>
      </c:lineChart>
      <c:dateAx>
        <c:axId val="455461712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5468768"/>
        <c:crosses val="autoZero"/>
        <c:auto val="1"/>
        <c:lblOffset val="100"/>
        <c:baseTimeUnit val="months"/>
      </c:dateAx>
      <c:valAx>
        <c:axId val="455468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5461712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友乃家国保連請求</a:t>
            </a:r>
            <a:r>
              <a:rPr lang="en-US" altLang="ja-JP"/>
              <a:t>(</a:t>
            </a:r>
            <a:r>
              <a:rPr lang="ja-JP" altLang="en-US"/>
              <a:t>単月</a:t>
            </a:r>
            <a:r>
              <a:rPr lang="en-US" altLang="ja-JP"/>
              <a:t>)</a:t>
            </a:r>
            <a:r>
              <a:rPr lang="ja-JP" altLang="en-US"/>
              <a:t>積上グラフ</a:t>
            </a:r>
          </a:p>
        </c:rich>
      </c:tx>
      <c:layout>
        <c:manualLayout>
          <c:xMode val="edge"/>
          <c:yMode val="edge"/>
          <c:x val="0.34260632550357251"/>
          <c:y val="2.3130934619853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国保連単月売上!$A$4</c:f>
              <c:strCache>
                <c:ptCount val="1"/>
                <c:pt idx="0">
                  <c:v>本部・管理部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国保連単月売上!$B$4:$Y$4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1F-4965-8013-02B06D65E5A4}"/>
            </c:ext>
          </c:extLst>
        </c:ser>
        <c:ser>
          <c:idx val="1"/>
          <c:order val="1"/>
          <c:tx>
            <c:strRef>
              <c:f>国保連単月売上!$A$5</c:f>
              <c:strCache>
                <c:ptCount val="1"/>
                <c:pt idx="0">
                  <c:v>白金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国保連単月売上!$B$5:$Y$5</c:f>
              <c:numCache>
                <c:formatCode>#,##0_ ;[Red]\-#,##0\ </c:formatCode>
                <c:ptCount val="24"/>
                <c:pt idx="0">
                  <c:v>9992832</c:v>
                </c:pt>
                <c:pt idx="1">
                  <c:v>9227912</c:v>
                </c:pt>
                <c:pt idx="2">
                  <c:v>9776465</c:v>
                </c:pt>
                <c:pt idx="3">
                  <c:v>9774030</c:v>
                </c:pt>
                <c:pt idx="4">
                  <c:v>10148554</c:v>
                </c:pt>
                <c:pt idx="5">
                  <c:v>10092092</c:v>
                </c:pt>
                <c:pt idx="6">
                  <c:v>9892697</c:v>
                </c:pt>
                <c:pt idx="7">
                  <c:v>9393626</c:v>
                </c:pt>
                <c:pt idx="8">
                  <c:v>9350432</c:v>
                </c:pt>
                <c:pt idx="9">
                  <c:v>8832032</c:v>
                </c:pt>
                <c:pt idx="10">
                  <c:v>9878804</c:v>
                </c:pt>
                <c:pt idx="11">
                  <c:v>9791668</c:v>
                </c:pt>
                <c:pt idx="12">
                  <c:v>10087423</c:v>
                </c:pt>
                <c:pt idx="13">
                  <c:v>9535609</c:v>
                </c:pt>
                <c:pt idx="14">
                  <c:v>10429329</c:v>
                </c:pt>
                <c:pt idx="15">
                  <c:v>9914852</c:v>
                </c:pt>
                <c:pt idx="16">
                  <c:v>10606419</c:v>
                </c:pt>
                <c:pt idx="17">
                  <c:v>11523231</c:v>
                </c:pt>
                <c:pt idx="18">
                  <c:v>11643262</c:v>
                </c:pt>
                <c:pt idx="19">
                  <c:v>11201961</c:v>
                </c:pt>
                <c:pt idx="20">
                  <c:v>11414498</c:v>
                </c:pt>
                <c:pt idx="21">
                  <c:v>10739184</c:v>
                </c:pt>
                <c:pt idx="22">
                  <c:v>11842205</c:v>
                </c:pt>
                <c:pt idx="23">
                  <c:v>12074847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A1F-4965-8013-02B06D65E5A4}"/>
            </c:ext>
          </c:extLst>
        </c:ser>
        <c:ser>
          <c:idx val="2"/>
          <c:order val="2"/>
          <c:tx>
            <c:strRef>
              <c:f>国保連単月売上!$A$6</c:f>
              <c:strCache>
                <c:ptCount val="1"/>
                <c:pt idx="0">
                  <c:v>蘇我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国保連単月売上!$B$6:$Y$6</c:f>
              <c:numCache>
                <c:formatCode>#,##0_ ;[Red]\-#,##0\ </c:formatCode>
                <c:ptCount val="24"/>
                <c:pt idx="0">
                  <c:v>5213822</c:v>
                </c:pt>
                <c:pt idx="1">
                  <c:v>5409924</c:v>
                </c:pt>
                <c:pt idx="2">
                  <c:v>5466967</c:v>
                </c:pt>
                <c:pt idx="3">
                  <c:v>5136732</c:v>
                </c:pt>
                <c:pt idx="4">
                  <c:v>5672933</c:v>
                </c:pt>
                <c:pt idx="5">
                  <c:v>5571798</c:v>
                </c:pt>
                <c:pt idx="6">
                  <c:v>5606848</c:v>
                </c:pt>
                <c:pt idx="7">
                  <c:v>5773883</c:v>
                </c:pt>
                <c:pt idx="8">
                  <c:v>5390166</c:v>
                </c:pt>
                <c:pt idx="9">
                  <c:v>5121995</c:v>
                </c:pt>
                <c:pt idx="10">
                  <c:v>6135424</c:v>
                </c:pt>
                <c:pt idx="11">
                  <c:v>6044536</c:v>
                </c:pt>
                <c:pt idx="12">
                  <c:v>6228871</c:v>
                </c:pt>
                <c:pt idx="13">
                  <c:v>5692633</c:v>
                </c:pt>
                <c:pt idx="14">
                  <c:v>5595832</c:v>
                </c:pt>
                <c:pt idx="15">
                  <c:v>5869880</c:v>
                </c:pt>
                <c:pt idx="16">
                  <c:v>6084510</c:v>
                </c:pt>
                <c:pt idx="17">
                  <c:v>6977480</c:v>
                </c:pt>
                <c:pt idx="18">
                  <c:v>6704768</c:v>
                </c:pt>
                <c:pt idx="19">
                  <c:v>6361705</c:v>
                </c:pt>
                <c:pt idx="20">
                  <c:v>5979274</c:v>
                </c:pt>
                <c:pt idx="21">
                  <c:v>5457691</c:v>
                </c:pt>
                <c:pt idx="22">
                  <c:v>5358259</c:v>
                </c:pt>
                <c:pt idx="23">
                  <c:v>5176349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A1F-4965-8013-02B06D65E5A4}"/>
            </c:ext>
          </c:extLst>
        </c:ser>
        <c:ser>
          <c:idx val="3"/>
          <c:order val="3"/>
          <c:tx>
            <c:strRef>
              <c:f>国保連単月売上!$A$7</c:f>
              <c:strCache>
                <c:ptCount val="1"/>
                <c:pt idx="0">
                  <c:v>誉田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国保連単月売上!$B$7:$Y$7</c:f>
              <c:numCache>
                <c:formatCode>#,##0_ ;[Red]\-#,##0\ </c:formatCode>
                <c:ptCount val="24"/>
                <c:pt idx="0">
                  <c:v>5033064</c:v>
                </c:pt>
                <c:pt idx="1">
                  <c:v>5204172</c:v>
                </c:pt>
                <c:pt idx="2">
                  <c:v>5570174</c:v>
                </c:pt>
                <c:pt idx="3">
                  <c:v>5618999</c:v>
                </c:pt>
                <c:pt idx="4">
                  <c:v>5432726</c:v>
                </c:pt>
                <c:pt idx="5">
                  <c:v>5686031</c:v>
                </c:pt>
                <c:pt idx="6">
                  <c:v>5565370</c:v>
                </c:pt>
                <c:pt idx="7">
                  <c:v>5827289</c:v>
                </c:pt>
                <c:pt idx="8">
                  <c:v>5430789</c:v>
                </c:pt>
                <c:pt idx="9">
                  <c:v>5281596</c:v>
                </c:pt>
                <c:pt idx="10">
                  <c:v>5995527</c:v>
                </c:pt>
                <c:pt idx="11">
                  <c:v>5782508</c:v>
                </c:pt>
                <c:pt idx="12">
                  <c:v>5788351</c:v>
                </c:pt>
                <c:pt idx="13">
                  <c:v>6328226</c:v>
                </c:pt>
                <c:pt idx="14">
                  <c:v>6679327</c:v>
                </c:pt>
                <c:pt idx="15">
                  <c:v>7184853</c:v>
                </c:pt>
                <c:pt idx="16">
                  <c:v>6541496</c:v>
                </c:pt>
                <c:pt idx="17">
                  <c:v>6956494</c:v>
                </c:pt>
                <c:pt idx="18">
                  <c:v>6408565</c:v>
                </c:pt>
                <c:pt idx="19">
                  <c:v>6288422</c:v>
                </c:pt>
                <c:pt idx="20">
                  <c:v>6473943</c:v>
                </c:pt>
                <c:pt idx="21">
                  <c:v>6078716</c:v>
                </c:pt>
                <c:pt idx="22">
                  <c:v>6761944</c:v>
                </c:pt>
                <c:pt idx="23">
                  <c:v>6527702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A1F-4965-8013-02B06D65E5A4}"/>
            </c:ext>
          </c:extLst>
        </c:ser>
        <c:ser>
          <c:idx val="4"/>
          <c:order val="4"/>
          <c:tx>
            <c:strRef>
              <c:f>国保連単月売上!$A$8</c:f>
              <c:strCache>
                <c:ptCount val="1"/>
                <c:pt idx="0">
                  <c:v>千葉東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国保連単月売上!$B$8:$Y$8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362472</c:v>
                </c:pt>
                <c:pt idx="14">
                  <c:v>421112</c:v>
                </c:pt>
                <c:pt idx="15">
                  <c:v>920765</c:v>
                </c:pt>
                <c:pt idx="16">
                  <c:v>1137667</c:v>
                </c:pt>
                <c:pt idx="17">
                  <c:v>1658360</c:v>
                </c:pt>
                <c:pt idx="18">
                  <c:v>1287209</c:v>
                </c:pt>
                <c:pt idx="19">
                  <c:v>1066153</c:v>
                </c:pt>
                <c:pt idx="20">
                  <c:v>1134172</c:v>
                </c:pt>
                <c:pt idx="21">
                  <c:v>892569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A1F-4965-8013-02B06D65E5A4}"/>
            </c:ext>
          </c:extLst>
        </c:ser>
        <c:ser>
          <c:idx val="5"/>
          <c:order val="5"/>
          <c:tx>
            <c:strRef>
              <c:f>国保連単月売上!$A$9</c:f>
              <c:strCache>
                <c:ptCount val="1"/>
                <c:pt idx="0">
                  <c:v>千葉西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国保連単月売上!$B$9:$Y$9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279190</c:v>
                </c:pt>
                <c:pt idx="18">
                  <c:v>443026</c:v>
                </c:pt>
                <c:pt idx="19">
                  <c:v>556533</c:v>
                </c:pt>
                <c:pt idx="20">
                  <c:v>793498</c:v>
                </c:pt>
                <c:pt idx="21">
                  <c:v>974812</c:v>
                </c:pt>
                <c:pt idx="22">
                  <c:v>1412447</c:v>
                </c:pt>
                <c:pt idx="23">
                  <c:v>1799519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A1F-4965-8013-02B06D65E5A4}"/>
            </c:ext>
          </c:extLst>
        </c:ser>
        <c:ser>
          <c:idx val="6"/>
          <c:order val="6"/>
          <c:tx>
            <c:strRef>
              <c:f>国保連単月売上!$A$10</c:f>
              <c:strCache>
                <c:ptCount val="1"/>
                <c:pt idx="0">
                  <c:v>白金デイ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国保連単月売上!$B$10:$Y$10</c:f>
              <c:numCache>
                <c:formatCode>#,##0_ ;[Red]\-#,##0\ </c:formatCode>
                <c:ptCount val="24"/>
                <c:pt idx="0">
                  <c:v>3159951</c:v>
                </c:pt>
                <c:pt idx="1">
                  <c:v>3136628</c:v>
                </c:pt>
                <c:pt idx="2">
                  <c:v>3426262</c:v>
                </c:pt>
                <c:pt idx="3">
                  <c:v>3078216</c:v>
                </c:pt>
                <c:pt idx="4">
                  <c:v>2955968</c:v>
                </c:pt>
                <c:pt idx="5">
                  <c:v>3076553</c:v>
                </c:pt>
                <c:pt idx="6">
                  <c:v>3271508</c:v>
                </c:pt>
                <c:pt idx="7">
                  <c:v>3149307</c:v>
                </c:pt>
                <c:pt idx="8">
                  <c:v>3148868</c:v>
                </c:pt>
                <c:pt idx="9">
                  <c:v>3235791</c:v>
                </c:pt>
                <c:pt idx="10">
                  <c:v>3678425</c:v>
                </c:pt>
                <c:pt idx="11">
                  <c:v>4198450</c:v>
                </c:pt>
                <c:pt idx="12">
                  <c:v>4098308</c:v>
                </c:pt>
                <c:pt idx="13">
                  <c:v>3928452</c:v>
                </c:pt>
                <c:pt idx="14">
                  <c:v>4234658</c:v>
                </c:pt>
                <c:pt idx="15">
                  <c:v>4173142</c:v>
                </c:pt>
                <c:pt idx="16">
                  <c:v>3905307</c:v>
                </c:pt>
                <c:pt idx="17">
                  <c:v>4207155</c:v>
                </c:pt>
                <c:pt idx="18">
                  <c:v>4195626</c:v>
                </c:pt>
                <c:pt idx="19">
                  <c:v>4236747</c:v>
                </c:pt>
                <c:pt idx="20">
                  <c:v>3824966</c:v>
                </c:pt>
                <c:pt idx="21">
                  <c:v>4029418</c:v>
                </c:pt>
                <c:pt idx="22">
                  <c:v>4596566</c:v>
                </c:pt>
                <c:pt idx="23">
                  <c:v>4062911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A1F-4965-8013-02B06D65E5A4}"/>
            </c:ext>
          </c:extLst>
        </c:ser>
        <c:ser>
          <c:idx val="7"/>
          <c:order val="7"/>
          <c:tx>
            <c:strRef>
              <c:f>国保連単月売上!$A$11</c:f>
              <c:strCache>
                <c:ptCount val="1"/>
                <c:pt idx="0">
                  <c:v>二日市場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国保連単月売上!$B$11:$Y$11</c:f>
              <c:numCache>
                <c:formatCode>#,##0_ ;[Red]\-#,##0\ </c:formatCode>
                <c:ptCount val="24"/>
                <c:pt idx="0">
                  <c:v>2221926</c:v>
                </c:pt>
                <c:pt idx="1">
                  <c:v>2170929</c:v>
                </c:pt>
                <c:pt idx="2">
                  <c:v>2304959</c:v>
                </c:pt>
                <c:pt idx="3">
                  <c:v>2326894</c:v>
                </c:pt>
                <c:pt idx="4">
                  <c:v>2383506</c:v>
                </c:pt>
                <c:pt idx="5">
                  <c:v>2140629</c:v>
                </c:pt>
                <c:pt idx="6">
                  <c:v>2052909</c:v>
                </c:pt>
                <c:pt idx="7">
                  <c:v>2157074</c:v>
                </c:pt>
                <c:pt idx="8">
                  <c:v>2007541</c:v>
                </c:pt>
                <c:pt idx="9">
                  <c:v>2306499</c:v>
                </c:pt>
                <c:pt idx="10">
                  <c:v>2198815</c:v>
                </c:pt>
                <c:pt idx="11">
                  <c:v>2291722</c:v>
                </c:pt>
                <c:pt idx="12">
                  <c:v>2293370</c:v>
                </c:pt>
                <c:pt idx="13">
                  <c:v>2039297</c:v>
                </c:pt>
                <c:pt idx="14">
                  <c:v>1697883</c:v>
                </c:pt>
                <c:pt idx="15">
                  <c:v>1573689</c:v>
                </c:pt>
                <c:pt idx="16">
                  <c:v>1331333</c:v>
                </c:pt>
                <c:pt idx="17">
                  <c:v>1489051</c:v>
                </c:pt>
                <c:pt idx="18">
                  <c:v>1819338</c:v>
                </c:pt>
                <c:pt idx="19">
                  <c:v>1826775</c:v>
                </c:pt>
                <c:pt idx="20">
                  <c:v>1845029</c:v>
                </c:pt>
                <c:pt idx="21">
                  <c:v>1715603</c:v>
                </c:pt>
                <c:pt idx="22">
                  <c:v>1715602</c:v>
                </c:pt>
                <c:pt idx="23">
                  <c:v>1684049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A1F-4965-8013-02B06D65E5A4}"/>
            </c:ext>
          </c:extLst>
        </c:ser>
        <c:ser>
          <c:idx val="8"/>
          <c:order val="8"/>
          <c:tx>
            <c:strRef>
              <c:f>国保連単月売上!$A$12</c:f>
              <c:strCache>
                <c:ptCount val="1"/>
                <c:pt idx="0">
                  <c:v>中高根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国保連単月売上!$B$12:$Y$12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A1F-4965-8013-02B06D65E5A4}"/>
            </c:ext>
          </c:extLst>
        </c:ser>
        <c:ser>
          <c:idx val="9"/>
          <c:order val="9"/>
          <c:tx>
            <c:strRef>
              <c:f>国保連単月売上!$A$13</c:f>
              <c:strCache>
                <c:ptCount val="1"/>
                <c:pt idx="0">
                  <c:v>GH五井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国保連単月売上!$B$13:$Y$13</c:f>
              <c:numCache>
                <c:formatCode>#,##0_ ;[Red]\-#,##0\ </c:formatCode>
                <c:ptCount val="24"/>
                <c:pt idx="0">
                  <c:v>901284</c:v>
                </c:pt>
                <c:pt idx="1">
                  <c:v>978154</c:v>
                </c:pt>
                <c:pt idx="2">
                  <c:v>1019564</c:v>
                </c:pt>
                <c:pt idx="3">
                  <c:v>998363</c:v>
                </c:pt>
                <c:pt idx="4">
                  <c:v>982096</c:v>
                </c:pt>
                <c:pt idx="5">
                  <c:v>1013496</c:v>
                </c:pt>
                <c:pt idx="6">
                  <c:v>978313</c:v>
                </c:pt>
                <c:pt idx="7">
                  <c:v>998248</c:v>
                </c:pt>
                <c:pt idx="8">
                  <c:v>778040</c:v>
                </c:pt>
                <c:pt idx="9">
                  <c:v>710413</c:v>
                </c:pt>
                <c:pt idx="10">
                  <c:v>789390</c:v>
                </c:pt>
                <c:pt idx="11">
                  <c:v>777456</c:v>
                </c:pt>
                <c:pt idx="12">
                  <c:v>802372</c:v>
                </c:pt>
                <c:pt idx="13">
                  <c:v>777456</c:v>
                </c:pt>
                <c:pt idx="14">
                  <c:v>839546</c:v>
                </c:pt>
                <c:pt idx="15">
                  <c:v>839546</c:v>
                </c:pt>
                <c:pt idx="16">
                  <c:v>813636</c:v>
                </c:pt>
                <c:pt idx="17">
                  <c:v>1101110</c:v>
                </c:pt>
                <c:pt idx="18">
                  <c:v>1073137</c:v>
                </c:pt>
                <c:pt idx="19">
                  <c:v>1107363</c:v>
                </c:pt>
                <c:pt idx="20">
                  <c:v>1107363</c:v>
                </c:pt>
                <c:pt idx="21">
                  <c:v>998423</c:v>
                </c:pt>
                <c:pt idx="22">
                  <c:v>982644</c:v>
                </c:pt>
                <c:pt idx="23">
                  <c:v>1025725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6A1F-4965-8013-02B06D65E5A4}"/>
            </c:ext>
          </c:extLst>
        </c:ser>
        <c:ser>
          <c:idx val="10"/>
          <c:order val="10"/>
          <c:tx>
            <c:strRef>
              <c:f>国保連単月売上!$A$14</c:f>
              <c:strCache>
                <c:ptCount val="1"/>
                <c:pt idx="0">
                  <c:v>GH白金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国保連単月売上!$B$14:$Y$14</c:f>
              <c:numCache>
                <c:formatCode>#,##0_ ;[Red]\-#,##0\ </c:formatCode>
                <c:ptCount val="24"/>
                <c:pt idx="0">
                  <c:v>739665</c:v>
                </c:pt>
                <c:pt idx="1">
                  <c:v>943056</c:v>
                </c:pt>
                <c:pt idx="2">
                  <c:v>983492</c:v>
                </c:pt>
                <c:pt idx="3">
                  <c:v>983492</c:v>
                </c:pt>
                <c:pt idx="4">
                  <c:v>937378</c:v>
                </c:pt>
                <c:pt idx="5">
                  <c:v>983492</c:v>
                </c:pt>
                <c:pt idx="6">
                  <c:v>922792</c:v>
                </c:pt>
                <c:pt idx="7">
                  <c:v>983492</c:v>
                </c:pt>
                <c:pt idx="8">
                  <c:v>938092</c:v>
                </c:pt>
                <c:pt idx="9">
                  <c:v>861922</c:v>
                </c:pt>
                <c:pt idx="10">
                  <c:v>847336</c:v>
                </c:pt>
                <c:pt idx="11">
                  <c:v>960460</c:v>
                </c:pt>
                <c:pt idx="12">
                  <c:v>1007268</c:v>
                </c:pt>
                <c:pt idx="13">
                  <c:v>976056</c:v>
                </c:pt>
                <c:pt idx="14">
                  <c:v>1007268</c:v>
                </c:pt>
                <c:pt idx="15">
                  <c:v>827999</c:v>
                </c:pt>
                <c:pt idx="16">
                  <c:v>1003585</c:v>
                </c:pt>
                <c:pt idx="17">
                  <c:v>1019657</c:v>
                </c:pt>
                <c:pt idx="18">
                  <c:v>1012236</c:v>
                </c:pt>
                <c:pt idx="19">
                  <c:v>1044442</c:v>
                </c:pt>
                <c:pt idx="20">
                  <c:v>1044442</c:v>
                </c:pt>
                <c:pt idx="21">
                  <c:v>937836</c:v>
                </c:pt>
                <c:pt idx="22">
                  <c:v>915793</c:v>
                </c:pt>
                <c:pt idx="23">
                  <c:v>746482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A1F-4965-8013-02B06D65E5A4}"/>
            </c:ext>
          </c:extLst>
        </c:ser>
        <c:ser>
          <c:idx val="11"/>
          <c:order val="11"/>
          <c:tx>
            <c:strRef>
              <c:f>国保連単月売上!$A$15</c:f>
              <c:strCache>
                <c:ptCount val="1"/>
                <c:pt idx="0">
                  <c:v>GH西五所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国保連単月売上!$B$15:$Y$15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1647056</c:v>
                </c:pt>
                <c:pt idx="2">
                  <c:v>1874549</c:v>
                </c:pt>
                <c:pt idx="3">
                  <c:v>2107435</c:v>
                </c:pt>
                <c:pt idx="4">
                  <c:v>2099753</c:v>
                </c:pt>
                <c:pt idx="5">
                  <c:v>2389370</c:v>
                </c:pt>
                <c:pt idx="6">
                  <c:v>2385860</c:v>
                </c:pt>
                <c:pt idx="7">
                  <c:v>2448469</c:v>
                </c:pt>
                <c:pt idx="8">
                  <c:v>2396635</c:v>
                </c:pt>
                <c:pt idx="9">
                  <c:v>2200178</c:v>
                </c:pt>
                <c:pt idx="10">
                  <c:v>2426031</c:v>
                </c:pt>
                <c:pt idx="11">
                  <c:v>2405342</c:v>
                </c:pt>
                <c:pt idx="12">
                  <c:v>2474409</c:v>
                </c:pt>
                <c:pt idx="13">
                  <c:v>2397545</c:v>
                </c:pt>
                <c:pt idx="14">
                  <c:v>2449461</c:v>
                </c:pt>
                <c:pt idx="15">
                  <c:v>2198275</c:v>
                </c:pt>
                <c:pt idx="16">
                  <c:v>2292635</c:v>
                </c:pt>
                <c:pt idx="17">
                  <c:v>2500912</c:v>
                </c:pt>
                <c:pt idx="18">
                  <c:v>2443866</c:v>
                </c:pt>
                <c:pt idx="19">
                  <c:v>2507684</c:v>
                </c:pt>
                <c:pt idx="20">
                  <c:v>2515481</c:v>
                </c:pt>
                <c:pt idx="21">
                  <c:v>1944130</c:v>
                </c:pt>
                <c:pt idx="22">
                  <c:v>1927185</c:v>
                </c:pt>
                <c:pt idx="23">
                  <c:v>2032333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6A1F-4965-8013-02B06D65E5A4}"/>
            </c:ext>
          </c:extLst>
        </c:ser>
        <c:ser>
          <c:idx val="12"/>
          <c:order val="12"/>
          <c:tx>
            <c:strRef>
              <c:f>国保連単月売上!$A$16</c:f>
              <c:strCache>
                <c:ptCount val="1"/>
                <c:pt idx="0">
                  <c:v>GH西広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国保連単月売上!$B$16:$Y$16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1493913</c:v>
                </c:pt>
                <c:pt idx="22">
                  <c:v>1605823</c:v>
                </c:pt>
                <c:pt idx="23">
                  <c:v>1631515</c:v>
                </c:pt>
              </c:numCache>
            </c:numRef>
          </c:val>
        </c:ser>
        <c:ser>
          <c:idx val="13"/>
          <c:order val="13"/>
          <c:tx>
            <c:strRef>
              <c:f>国保連単月売上!$A$17</c:f>
              <c:strCache>
                <c:ptCount val="1"/>
                <c:pt idx="0">
                  <c:v>白金タクシー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国保連単月売上!$B$17:$Y$17</c:f>
              <c:numCache>
                <c:formatCode>#,##0_ ;[Red]\-#,##0\ </c:formatCode>
                <c:ptCount val="24"/>
                <c:pt idx="0">
                  <c:v>1223635</c:v>
                </c:pt>
                <c:pt idx="1">
                  <c:v>1067354</c:v>
                </c:pt>
                <c:pt idx="2">
                  <c:v>1141415</c:v>
                </c:pt>
                <c:pt idx="3">
                  <c:v>1272256</c:v>
                </c:pt>
                <c:pt idx="4">
                  <c:v>1407947</c:v>
                </c:pt>
                <c:pt idx="5">
                  <c:v>1243781</c:v>
                </c:pt>
                <c:pt idx="6">
                  <c:v>1292173</c:v>
                </c:pt>
                <c:pt idx="7">
                  <c:v>1246620</c:v>
                </c:pt>
                <c:pt idx="8">
                  <c:v>958455</c:v>
                </c:pt>
                <c:pt idx="9">
                  <c:v>795848</c:v>
                </c:pt>
                <c:pt idx="10">
                  <c:v>824207</c:v>
                </c:pt>
                <c:pt idx="11">
                  <c:v>884104</c:v>
                </c:pt>
                <c:pt idx="12">
                  <c:v>915308</c:v>
                </c:pt>
                <c:pt idx="13">
                  <c:v>914203</c:v>
                </c:pt>
                <c:pt idx="14">
                  <c:v>764948</c:v>
                </c:pt>
                <c:pt idx="15">
                  <c:v>564353</c:v>
                </c:pt>
                <c:pt idx="16">
                  <c:v>399221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466416"/>
        <c:axId val="455461320"/>
      </c:barChart>
      <c:dateAx>
        <c:axId val="455466416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5461320"/>
        <c:crosses val="autoZero"/>
        <c:auto val="1"/>
        <c:lblOffset val="100"/>
        <c:baseTimeUnit val="months"/>
      </c:dateAx>
      <c:valAx>
        <c:axId val="455461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5466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事業所別売上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推移!$C$247</c:f>
              <c:strCache>
                <c:ptCount val="1"/>
                <c:pt idx="0">
                  <c:v>本部・管理部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推移!$C$246:$AA$246</c15:sqref>
                  </c15:fullRef>
                </c:ext>
              </c:extLst>
              <c:f>推移!$D$246:$AA$246</c:f>
              <c:strCache>
                <c:ptCount val="18"/>
                <c:pt idx="0">
                  <c:v>H29.11月</c:v>
                </c:pt>
                <c:pt idx="1">
                  <c:v>H29.12月</c:v>
                </c:pt>
                <c:pt idx="2">
                  <c:v>H30.1月</c:v>
                </c:pt>
                <c:pt idx="3">
                  <c:v>H30.2月</c:v>
                </c:pt>
                <c:pt idx="4">
                  <c:v>H30.3月</c:v>
                </c:pt>
                <c:pt idx="5">
                  <c:v>H30.4月</c:v>
                </c:pt>
                <c:pt idx="6">
                  <c:v>H30.5月</c:v>
                </c:pt>
                <c:pt idx="7">
                  <c:v>H30.6月</c:v>
                </c:pt>
                <c:pt idx="8">
                  <c:v>H30.7月</c:v>
                </c:pt>
                <c:pt idx="9">
                  <c:v>H30.8月</c:v>
                </c:pt>
                <c:pt idx="10">
                  <c:v>H30.9月</c:v>
                </c:pt>
                <c:pt idx="11">
                  <c:v>H30.10月</c:v>
                </c:pt>
                <c:pt idx="12">
                  <c:v>H30.11月</c:v>
                </c:pt>
                <c:pt idx="13">
                  <c:v>H30.12月</c:v>
                </c:pt>
                <c:pt idx="14">
                  <c:v>H31.1月</c:v>
                </c:pt>
                <c:pt idx="15">
                  <c:v>H31.2月</c:v>
                </c:pt>
                <c:pt idx="16">
                  <c:v>H31.3月</c:v>
                </c:pt>
                <c:pt idx="17">
                  <c:v>H31.4月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推移!$D$247:$AA$247</c15:sqref>
                  </c15:fullRef>
                </c:ext>
              </c:extLst>
              <c:f>推移!$E$247:$AA$247</c:f>
              <c:numCache>
                <c:formatCode>#,##0_ ;[Red]\-#,##0\ 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142560</c:v>
                </c:pt>
                <c:pt idx="16">
                  <c:v>0</c:v>
                </c:pt>
              </c:numCache>
            </c:numRef>
          </c:val>
        </c:ser>
        <c:ser>
          <c:idx val="1"/>
          <c:order val="1"/>
          <c:tx>
            <c:strRef>
              <c:f>推移!$C$248</c:f>
              <c:strCache>
                <c:ptCount val="1"/>
                <c:pt idx="0">
                  <c:v>白金</c:v>
                </c:pt>
              </c:strCache>
            </c:strRef>
          </c:tx>
          <c:spPr>
            <a:solidFill>
              <a:srgbClr val="FF57FF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推移!$C$246:$AA$246</c15:sqref>
                  </c15:fullRef>
                </c:ext>
              </c:extLst>
              <c:f>推移!$D$246:$AA$246</c:f>
              <c:strCache>
                <c:ptCount val="18"/>
                <c:pt idx="0">
                  <c:v>H29.11月</c:v>
                </c:pt>
                <c:pt idx="1">
                  <c:v>H29.12月</c:v>
                </c:pt>
                <c:pt idx="2">
                  <c:v>H30.1月</c:v>
                </c:pt>
                <c:pt idx="3">
                  <c:v>H30.2月</c:v>
                </c:pt>
                <c:pt idx="4">
                  <c:v>H30.3月</c:v>
                </c:pt>
                <c:pt idx="5">
                  <c:v>H30.4月</c:v>
                </c:pt>
                <c:pt idx="6">
                  <c:v>H30.5月</c:v>
                </c:pt>
                <c:pt idx="7">
                  <c:v>H30.6月</c:v>
                </c:pt>
                <c:pt idx="8">
                  <c:v>H30.7月</c:v>
                </c:pt>
                <c:pt idx="9">
                  <c:v>H30.8月</c:v>
                </c:pt>
                <c:pt idx="10">
                  <c:v>H30.9月</c:v>
                </c:pt>
                <c:pt idx="11">
                  <c:v>H30.10月</c:v>
                </c:pt>
                <c:pt idx="12">
                  <c:v>H30.11月</c:v>
                </c:pt>
                <c:pt idx="13">
                  <c:v>H30.12月</c:v>
                </c:pt>
                <c:pt idx="14">
                  <c:v>H31.1月</c:v>
                </c:pt>
                <c:pt idx="15">
                  <c:v>H31.2月</c:v>
                </c:pt>
                <c:pt idx="16">
                  <c:v>H31.3月</c:v>
                </c:pt>
                <c:pt idx="17">
                  <c:v>H31.4月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推移!$D$248:$AA$248</c15:sqref>
                  </c15:fullRef>
                </c:ext>
              </c:extLst>
              <c:f>推移!$E$248:$AA$248</c:f>
              <c:numCache>
                <c:formatCode>#,##0_ ;[Red]\-#,##0\ </c:formatCode>
                <c:ptCount val="17"/>
                <c:pt idx="0">
                  <c:v>10007332</c:v>
                </c:pt>
                <c:pt idx="1">
                  <c:v>10050857</c:v>
                </c:pt>
                <c:pt idx="2">
                  <c:v>9647827</c:v>
                </c:pt>
                <c:pt idx="3">
                  <c:v>10237581</c:v>
                </c:pt>
                <c:pt idx="4">
                  <c:v>10301194</c:v>
                </c:pt>
                <c:pt idx="5">
                  <c:v>10772827</c:v>
                </c:pt>
                <c:pt idx="6">
                  <c:v>9835106</c:v>
                </c:pt>
                <c:pt idx="7">
                  <c:v>11042771</c:v>
                </c:pt>
                <c:pt idx="8">
                  <c:v>9842755</c:v>
                </c:pt>
                <c:pt idx="9">
                  <c:v>11239510</c:v>
                </c:pt>
                <c:pt idx="10">
                  <c:v>12511332</c:v>
                </c:pt>
                <c:pt idx="11">
                  <c:v>12778671</c:v>
                </c:pt>
                <c:pt idx="12">
                  <c:v>12163091</c:v>
                </c:pt>
                <c:pt idx="13">
                  <c:v>12668826</c:v>
                </c:pt>
                <c:pt idx="14">
                  <c:v>11458207</c:v>
                </c:pt>
                <c:pt idx="15">
                  <c:v>12821396</c:v>
                </c:pt>
                <c:pt idx="16">
                  <c:v>12901588</c:v>
                </c:pt>
              </c:numCache>
            </c:numRef>
          </c:val>
        </c:ser>
        <c:ser>
          <c:idx val="2"/>
          <c:order val="2"/>
          <c:tx>
            <c:strRef>
              <c:f>推移!$C$249</c:f>
              <c:strCache>
                <c:ptCount val="1"/>
                <c:pt idx="0">
                  <c:v>蘇我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推移!$C$246:$AA$246</c15:sqref>
                  </c15:fullRef>
                </c:ext>
              </c:extLst>
              <c:f>推移!$D$246:$AA$246</c:f>
              <c:strCache>
                <c:ptCount val="18"/>
                <c:pt idx="0">
                  <c:v>H29.11月</c:v>
                </c:pt>
                <c:pt idx="1">
                  <c:v>H29.12月</c:v>
                </c:pt>
                <c:pt idx="2">
                  <c:v>H30.1月</c:v>
                </c:pt>
                <c:pt idx="3">
                  <c:v>H30.2月</c:v>
                </c:pt>
                <c:pt idx="4">
                  <c:v>H30.3月</c:v>
                </c:pt>
                <c:pt idx="5">
                  <c:v>H30.4月</c:v>
                </c:pt>
                <c:pt idx="6">
                  <c:v>H30.5月</c:v>
                </c:pt>
                <c:pt idx="7">
                  <c:v>H30.6月</c:v>
                </c:pt>
                <c:pt idx="8">
                  <c:v>H30.7月</c:v>
                </c:pt>
                <c:pt idx="9">
                  <c:v>H30.8月</c:v>
                </c:pt>
                <c:pt idx="10">
                  <c:v>H30.9月</c:v>
                </c:pt>
                <c:pt idx="11">
                  <c:v>H30.10月</c:v>
                </c:pt>
                <c:pt idx="12">
                  <c:v>H30.11月</c:v>
                </c:pt>
                <c:pt idx="13">
                  <c:v>H30.12月</c:v>
                </c:pt>
                <c:pt idx="14">
                  <c:v>H31.1月</c:v>
                </c:pt>
                <c:pt idx="15">
                  <c:v>H31.2月</c:v>
                </c:pt>
                <c:pt idx="16">
                  <c:v>H31.3月</c:v>
                </c:pt>
                <c:pt idx="17">
                  <c:v>H31.4月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推移!$D$249:$AA$249</c15:sqref>
                  </c15:fullRef>
                </c:ext>
              </c:extLst>
              <c:f>推移!$E$249:$AA$249</c:f>
              <c:numCache>
                <c:formatCode>#,##0_ ;[Red]\-#,##0\ </c:formatCode>
                <c:ptCount val="17"/>
                <c:pt idx="0">
                  <c:v>5963920</c:v>
                </c:pt>
                <c:pt idx="1">
                  <c:v>5489569</c:v>
                </c:pt>
                <c:pt idx="2">
                  <c:v>5383737</c:v>
                </c:pt>
                <c:pt idx="3">
                  <c:v>5385437</c:v>
                </c:pt>
                <c:pt idx="4">
                  <c:v>7729590</c:v>
                </c:pt>
                <c:pt idx="5">
                  <c:v>6731026</c:v>
                </c:pt>
                <c:pt idx="6">
                  <c:v>6530234</c:v>
                </c:pt>
                <c:pt idx="7">
                  <c:v>6075758</c:v>
                </c:pt>
                <c:pt idx="8">
                  <c:v>6170804</c:v>
                </c:pt>
                <c:pt idx="9">
                  <c:v>6157056</c:v>
                </c:pt>
                <c:pt idx="10">
                  <c:v>7557882</c:v>
                </c:pt>
                <c:pt idx="11">
                  <c:v>7285298</c:v>
                </c:pt>
                <c:pt idx="12">
                  <c:v>6678253</c:v>
                </c:pt>
                <c:pt idx="13">
                  <c:v>5940817</c:v>
                </c:pt>
                <c:pt idx="14">
                  <c:v>6270597</c:v>
                </c:pt>
                <c:pt idx="15">
                  <c:v>5457771</c:v>
                </c:pt>
                <c:pt idx="16">
                  <c:v>6262229</c:v>
                </c:pt>
              </c:numCache>
            </c:numRef>
          </c:val>
        </c:ser>
        <c:ser>
          <c:idx val="3"/>
          <c:order val="3"/>
          <c:tx>
            <c:strRef>
              <c:f>推移!$C$250</c:f>
              <c:strCache>
                <c:ptCount val="1"/>
                <c:pt idx="0">
                  <c:v>誉田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推移!$C$246:$AA$246</c15:sqref>
                  </c15:fullRef>
                </c:ext>
              </c:extLst>
              <c:f>推移!$D$246:$AA$246</c:f>
              <c:strCache>
                <c:ptCount val="18"/>
                <c:pt idx="0">
                  <c:v>H29.11月</c:v>
                </c:pt>
                <c:pt idx="1">
                  <c:v>H29.12月</c:v>
                </c:pt>
                <c:pt idx="2">
                  <c:v>H30.1月</c:v>
                </c:pt>
                <c:pt idx="3">
                  <c:v>H30.2月</c:v>
                </c:pt>
                <c:pt idx="4">
                  <c:v>H30.3月</c:v>
                </c:pt>
                <c:pt idx="5">
                  <c:v>H30.4月</c:v>
                </c:pt>
                <c:pt idx="6">
                  <c:v>H30.5月</c:v>
                </c:pt>
                <c:pt idx="7">
                  <c:v>H30.6月</c:v>
                </c:pt>
                <c:pt idx="8">
                  <c:v>H30.7月</c:v>
                </c:pt>
                <c:pt idx="9">
                  <c:v>H30.8月</c:v>
                </c:pt>
                <c:pt idx="10">
                  <c:v>H30.9月</c:v>
                </c:pt>
                <c:pt idx="11">
                  <c:v>H30.10月</c:v>
                </c:pt>
                <c:pt idx="12">
                  <c:v>H30.11月</c:v>
                </c:pt>
                <c:pt idx="13">
                  <c:v>H30.12月</c:v>
                </c:pt>
                <c:pt idx="14">
                  <c:v>H31.1月</c:v>
                </c:pt>
                <c:pt idx="15">
                  <c:v>H31.2月</c:v>
                </c:pt>
                <c:pt idx="16">
                  <c:v>H31.3月</c:v>
                </c:pt>
                <c:pt idx="17">
                  <c:v>H31.4月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推移!$D$250:$AA$250</c15:sqref>
                  </c15:fullRef>
                </c:ext>
              </c:extLst>
              <c:f>推移!$E$250:$AA$250</c:f>
              <c:numCache>
                <c:formatCode>#,##0_ ;[Red]\-#,##0\ </c:formatCode>
                <c:ptCount val="17"/>
                <c:pt idx="0">
                  <c:v>5629984</c:v>
                </c:pt>
                <c:pt idx="1">
                  <c:v>6168362</c:v>
                </c:pt>
                <c:pt idx="2">
                  <c:v>5709957</c:v>
                </c:pt>
                <c:pt idx="3">
                  <c:v>5793244</c:v>
                </c:pt>
                <c:pt idx="4">
                  <c:v>6587828</c:v>
                </c:pt>
                <c:pt idx="5">
                  <c:v>6479560</c:v>
                </c:pt>
                <c:pt idx="6">
                  <c:v>6806472</c:v>
                </c:pt>
                <c:pt idx="7">
                  <c:v>6915528</c:v>
                </c:pt>
                <c:pt idx="8">
                  <c:v>7519354</c:v>
                </c:pt>
                <c:pt idx="9">
                  <c:v>6774361</c:v>
                </c:pt>
                <c:pt idx="10">
                  <c:v>7419604</c:v>
                </c:pt>
                <c:pt idx="11">
                  <c:v>7099035</c:v>
                </c:pt>
                <c:pt idx="12">
                  <c:v>7065580</c:v>
                </c:pt>
                <c:pt idx="13">
                  <c:v>7041908</c:v>
                </c:pt>
                <c:pt idx="14">
                  <c:v>6369053</c:v>
                </c:pt>
                <c:pt idx="15">
                  <c:v>6979599</c:v>
                </c:pt>
                <c:pt idx="16">
                  <c:v>7110420</c:v>
                </c:pt>
              </c:numCache>
            </c:numRef>
          </c:val>
        </c:ser>
        <c:ser>
          <c:idx val="4"/>
          <c:order val="4"/>
          <c:tx>
            <c:strRef>
              <c:f>推移!$C$251</c:f>
              <c:strCache>
                <c:ptCount val="1"/>
                <c:pt idx="0">
                  <c:v>千葉東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推移!$C$246:$AA$246</c15:sqref>
                  </c15:fullRef>
                </c:ext>
              </c:extLst>
              <c:f>推移!$D$246:$AA$246</c:f>
              <c:strCache>
                <c:ptCount val="18"/>
                <c:pt idx="0">
                  <c:v>H29.11月</c:v>
                </c:pt>
                <c:pt idx="1">
                  <c:v>H29.12月</c:v>
                </c:pt>
                <c:pt idx="2">
                  <c:v>H30.1月</c:v>
                </c:pt>
                <c:pt idx="3">
                  <c:v>H30.2月</c:v>
                </c:pt>
                <c:pt idx="4">
                  <c:v>H30.3月</c:v>
                </c:pt>
                <c:pt idx="5">
                  <c:v>H30.4月</c:v>
                </c:pt>
                <c:pt idx="6">
                  <c:v>H30.5月</c:v>
                </c:pt>
                <c:pt idx="7">
                  <c:v>H30.6月</c:v>
                </c:pt>
                <c:pt idx="8">
                  <c:v>H30.7月</c:v>
                </c:pt>
                <c:pt idx="9">
                  <c:v>H30.8月</c:v>
                </c:pt>
                <c:pt idx="10">
                  <c:v>H30.9月</c:v>
                </c:pt>
                <c:pt idx="11">
                  <c:v>H30.10月</c:v>
                </c:pt>
                <c:pt idx="12">
                  <c:v>H30.11月</c:v>
                </c:pt>
                <c:pt idx="13">
                  <c:v>H30.12月</c:v>
                </c:pt>
                <c:pt idx="14">
                  <c:v>H31.1月</c:v>
                </c:pt>
                <c:pt idx="15">
                  <c:v>H31.2月</c:v>
                </c:pt>
                <c:pt idx="16">
                  <c:v>H31.3月</c:v>
                </c:pt>
                <c:pt idx="17">
                  <c:v>H31.4月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推移!$D$251:$AA$251</c15:sqref>
                  </c15:fullRef>
                </c:ext>
              </c:extLst>
              <c:f>推移!$E$251:$AA$251</c:f>
              <c:numCache>
                <c:formatCode>#,##0_ ;[Red]\-#,##0\ 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100885</c:v>
                </c:pt>
                <c:pt idx="7">
                  <c:v>663080</c:v>
                </c:pt>
                <c:pt idx="8">
                  <c:v>624826</c:v>
                </c:pt>
                <c:pt idx="9">
                  <c:v>1193278</c:v>
                </c:pt>
                <c:pt idx="10">
                  <c:v>1631546</c:v>
                </c:pt>
                <c:pt idx="11">
                  <c:v>1296114</c:v>
                </c:pt>
                <c:pt idx="12">
                  <c:v>1520846</c:v>
                </c:pt>
                <c:pt idx="13">
                  <c:v>1160774</c:v>
                </c:pt>
                <c:pt idx="14">
                  <c:v>903949</c:v>
                </c:pt>
                <c:pt idx="15">
                  <c:v>0</c:v>
                </c:pt>
                <c:pt idx="16">
                  <c:v>13148</c:v>
                </c:pt>
              </c:numCache>
            </c:numRef>
          </c:val>
        </c:ser>
        <c:ser>
          <c:idx val="5"/>
          <c:order val="5"/>
          <c:tx>
            <c:strRef>
              <c:f>推移!$C$252</c:f>
              <c:strCache>
                <c:ptCount val="1"/>
                <c:pt idx="0">
                  <c:v>千葉西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推移!$C$246:$AA$246</c15:sqref>
                  </c15:fullRef>
                </c:ext>
              </c:extLst>
              <c:f>推移!$D$246:$AA$246</c:f>
              <c:strCache>
                <c:ptCount val="18"/>
                <c:pt idx="0">
                  <c:v>H29.11月</c:v>
                </c:pt>
                <c:pt idx="1">
                  <c:v>H29.12月</c:v>
                </c:pt>
                <c:pt idx="2">
                  <c:v>H30.1月</c:v>
                </c:pt>
                <c:pt idx="3">
                  <c:v>H30.2月</c:v>
                </c:pt>
                <c:pt idx="4">
                  <c:v>H30.3月</c:v>
                </c:pt>
                <c:pt idx="5">
                  <c:v>H30.4月</c:v>
                </c:pt>
                <c:pt idx="6">
                  <c:v>H30.5月</c:v>
                </c:pt>
                <c:pt idx="7">
                  <c:v>H30.6月</c:v>
                </c:pt>
                <c:pt idx="8">
                  <c:v>H30.7月</c:v>
                </c:pt>
                <c:pt idx="9">
                  <c:v>H30.8月</c:v>
                </c:pt>
                <c:pt idx="10">
                  <c:v>H30.9月</c:v>
                </c:pt>
                <c:pt idx="11">
                  <c:v>H30.10月</c:v>
                </c:pt>
                <c:pt idx="12">
                  <c:v>H30.11月</c:v>
                </c:pt>
                <c:pt idx="13">
                  <c:v>H30.12月</c:v>
                </c:pt>
                <c:pt idx="14">
                  <c:v>H31.1月</c:v>
                </c:pt>
                <c:pt idx="15">
                  <c:v>H31.2月</c:v>
                </c:pt>
                <c:pt idx="16">
                  <c:v>H31.3月</c:v>
                </c:pt>
                <c:pt idx="17">
                  <c:v>H31.4月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推移!$D$252:$AA$252</c15:sqref>
                  </c15:fullRef>
                </c:ext>
              </c:extLst>
              <c:f>推移!$E$252:$AA$252</c:f>
              <c:numCache>
                <c:formatCode>#,##0_ ;[Red]\-#,##0\ 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234284</c:v>
                </c:pt>
                <c:pt idx="11">
                  <c:v>485638</c:v>
                </c:pt>
                <c:pt idx="12">
                  <c:v>701720</c:v>
                </c:pt>
                <c:pt idx="13">
                  <c:v>810680</c:v>
                </c:pt>
                <c:pt idx="14">
                  <c:v>1060746</c:v>
                </c:pt>
                <c:pt idx="15">
                  <c:v>1438607</c:v>
                </c:pt>
                <c:pt idx="16">
                  <c:v>1905194</c:v>
                </c:pt>
              </c:numCache>
            </c:numRef>
          </c:val>
        </c:ser>
        <c:ser>
          <c:idx val="6"/>
          <c:order val="6"/>
          <c:tx>
            <c:strRef>
              <c:f>推移!$C$253</c:f>
              <c:strCache>
                <c:ptCount val="1"/>
                <c:pt idx="0">
                  <c:v>白金デイ</c:v>
                </c:pt>
              </c:strCache>
            </c:strRef>
          </c:tx>
          <c:spPr>
            <a:solidFill>
              <a:srgbClr val="FFFFCC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推移!$C$246:$AA$246</c15:sqref>
                  </c15:fullRef>
                </c:ext>
              </c:extLst>
              <c:f>推移!$D$246:$AA$246</c:f>
              <c:strCache>
                <c:ptCount val="18"/>
                <c:pt idx="0">
                  <c:v>H29.11月</c:v>
                </c:pt>
                <c:pt idx="1">
                  <c:v>H29.12月</c:v>
                </c:pt>
                <c:pt idx="2">
                  <c:v>H30.1月</c:v>
                </c:pt>
                <c:pt idx="3">
                  <c:v>H30.2月</c:v>
                </c:pt>
                <c:pt idx="4">
                  <c:v>H30.3月</c:v>
                </c:pt>
                <c:pt idx="5">
                  <c:v>H30.4月</c:v>
                </c:pt>
                <c:pt idx="6">
                  <c:v>H30.5月</c:v>
                </c:pt>
                <c:pt idx="7">
                  <c:v>H30.6月</c:v>
                </c:pt>
                <c:pt idx="8">
                  <c:v>H30.7月</c:v>
                </c:pt>
                <c:pt idx="9">
                  <c:v>H30.8月</c:v>
                </c:pt>
                <c:pt idx="10">
                  <c:v>H30.9月</c:v>
                </c:pt>
                <c:pt idx="11">
                  <c:v>H30.10月</c:v>
                </c:pt>
                <c:pt idx="12">
                  <c:v>H30.11月</c:v>
                </c:pt>
                <c:pt idx="13">
                  <c:v>H30.12月</c:v>
                </c:pt>
                <c:pt idx="14">
                  <c:v>H31.1月</c:v>
                </c:pt>
                <c:pt idx="15">
                  <c:v>H31.2月</c:v>
                </c:pt>
                <c:pt idx="16">
                  <c:v>H31.3月</c:v>
                </c:pt>
                <c:pt idx="17">
                  <c:v>H31.4月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推移!$D$253:$AA$253</c15:sqref>
                  </c15:fullRef>
                </c:ext>
              </c:extLst>
              <c:f>推移!$E$253:$AA$253</c:f>
              <c:numCache>
                <c:formatCode>#,##0_ ;[Red]\-#,##0\ </c:formatCode>
                <c:ptCount val="17"/>
                <c:pt idx="0">
                  <c:v>3292348</c:v>
                </c:pt>
                <c:pt idx="1">
                  <c:v>3313516</c:v>
                </c:pt>
                <c:pt idx="2">
                  <c:v>3497339</c:v>
                </c:pt>
                <c:pt idx="3">
                  <c:v>3458623</c:v>
                </c:pt>
                <c:pt idx="4">
                  <c:v>4706520</c:v>
                </c:pt>
                <c:pt idx="5">
                  <c:v>4419633</c:v>
                </c:pt>
                <c:pt idx="6">
                  <c:v>4146272</c:v>
                </c:pt>
                <c:pt idx="7">
                  <c:v>4468494</c:v>
                </c:pt>
                <c:pt idx="8">
                  <c:v>4494230</c:v>
                </c:pt>
                <c:pt idx="9">
                  <c:v>4417151</c:v>
                </c:pt>
                <c:pt idx="10">
                  <c:v>4442200</c:v>
                </c:pt>
                <c:pt idx="11">
                  <c:v>4833081</c:v>
                </c:pt>
                <c:pt idx="12">
                  <c:v>4422644</c:v>
                </c:pt>
                <c:pt idx="13">
                  <c:v>4120917</c:v>
                </c:pt>
                <c:pt idx="14">
                  <c:v>4475893</c:v>
                </c:pt>
                <c:pt idx="15">
                  <c:v>4931183</c:v>
                </c:pt>
                <c:pt idx="16">
                  <c:v>4425975</c:v>
                </c:pt>
              </c:numCache>
            </c:numRef>
          </c:val>
        </c:ser>
        <c:ser>
          <c:idx val="7"/>
          <c:order val="7"/>
          <c:tx>
            <c:strRef>
              <c:f>推移!$C$254</c:f>
              <c:strCache>
                <c:ptCount val="1"/>
                <c:pt idx="0">
                  <c:v>二日市</c:v>
                </c:pt>
              </c:strCache>
            </c:strRef>
          </c:tx>
          <c:spPr>
            <a:solidFill>
              <a:srgbClr val="CCFFCC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推移!$C$246:$AA$246</c15:sqref>
                  </c15:fullRef>
                </c:ext>
              </c:extLst>
              <c:f>推移!$D$246:$AA$246</c:f>
              <c:strCache>
                <c:ptCount val="18"/>
                <c:pt idx="0">
                  <c:v>H29.11月</c:v>
                </c:pt>
                <c:pt idx="1">
                  <c:v>H29.12月</c:v>
                </c:pt>
                <c:pt idx="2">
                  <c:v>H30.1月</c:v>
                </c:pt>
                <c:pt idx="3">
                  <c:v>H30.2月</c:v>
                </c:pt>
                <c:pt idx="4">
                  <c:v>H30.3月</c:v>
                </c:pt>
                <c:pt idx="5">
                  <c:v>H30.4月</c:v>
                </c:pt>
                <c:pt idx="6">
                  <c:v>H30.5月</c:v>
                </c:pt>
                <c:pt idx="7">
                  <c:v>H30.6月</c:v>
                </c:pt>
                <c:pt idx="8">
                  <c:v>H30.7月</c:v>
                </c:pt>
                <c:pt idx="9">
                  <c:v>H30.8月</c:v>
                </c:pt>
                <c:pt idx="10">
                  <c:v>H30.9月</c:v>
                </c:pt>
                <c:pt idx="11">
                  <c:v>H30.10月</c:v>
                </c:pt>
                <c:pt idx="12">
                  <c:v>H30.11月</c:v>
                </c:pt>
                <c:pt idx="13">
                  <c:v>H30.12月</c:v>
                </c:pt>
                <c:pt idx="14">
                  <c:v>H31.1月</c:v>
                </c:pt>
                <c:pt idx="15">
                  <c:v>H31.2月</c:v>
                </c:pt>
                <c:pt idx="16">
                  <c:v>H31.3月</c:v>
                </c:pt>
                <c:pt idx="17">
                  <c:v>H31.4月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推移!$D$254:$AA$254</c15:sqref>
                  </c15:fullRef>
                </c:ext>
              </c:extLst>
              <c:f>推移!$E$254:$AA$254</c:f>
              <c:numCache>
                <c:formatCode>#,##0_ ;[Red]\-#,##0\ </c:formatCode>
                <c:ptCount val="17"/>
                <c:pt idx="0">
                  <c:v>2853536</c:v>
                </c:pt>
                <c:pt idx="1">
                  <c:v>2617181</c:v>
                </c:pt>
                <c:pt idx="2">
                  <c:v>3057960</c:v>
                </c:pt>
                <c:pt idx="3">
                  <c:v>3056897</c:v>
                </c:pt>
                <c:pt idx="4">
                  <c:v>3183714</c:v>
                </c:pt>
                <c:pt idx="5">
                  <c:v>3021707</c:v>
                </c:pt>
                <c:pt idx="6">
                  <c:v>2692178</c:v>
                </c:pt>
                <c:pt idx="7">
                  <c:v>2546587</c:v>
                </c:pt>
                <c:pt idx="8">
                  <c:v>2351469</c:v>
                </c:pt>
                <c:pt idx="9">
                  <c:v>2112073</c:v>
                </c:pt>
                <c:pt idx="10">
                  <c:v>2397265</c:v>
                </c:pt>
                <c:pt idx="11">
                  <c:v>3521977</c:v>
                </c:pt>
                <c:pt idx="12">
                  <c:v>2606315</c:v>
                </c:pt>
                <c:pt idx="13">
                  <c:v>2627069</c:v>
                </c:pt>
                <c:pt idx="14">
                  <c:v>2515123</c:v>
                </c:pt>
                <c:pt idx="15">
                  <c:v>2498262</c:v>
                </c:pt>
                <c:pt idx="16">
                  <c:v>2462469</c:v>
                </c:pt>
              </c:numCache>
            </c:numRef>
          </c:val>
        </c:ser>
        <c:ser>
          <c:idx val="8"/>
          <c:order val="8"/>
          <c:tx>
            <c:strRef>
              <c:f>推移!$C$255</c:f>
              <c:strCache>
                <c:ptCount val="1"/>
                <c:pt idx="0">
                  <c:v>中高根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推移!$C$246:$AA$246</c15:sqref>
                  </c15:fullRef>
                </c:ext>
              </c:extLst>
              <c:f>推移!$D$246:$AA$246</c:f>
              <c:strCache>
                <c:ptCount val="18"/>
                <c:pt idx="0">
                  <c:v>部門</c:v>
                </c:pt>
                <c:pt idx="1">
                  <c:v>H29.11月</c:v>
                </c:pt>
                <c:pt idx="2">
                  <c:v>H29.12月</c:v>
                </c:pt>
                <c:pt idx="3">
                  <c:v>H30.1月</c:v>
                </c:pt>
                <c:pt idx="4">
                  <c:v>H30.2月</c:v>
                </c:pt>
                <c:pt idx="5">
                  <c:v>H30.3月</c:v>
                </c:pt>
                <c:pt idx="6">
                  <c:v>H30.4月</c:v>
                </c:pt>
                <c:pt idx="7">
                  <c:v>H30.5月</c:v>
                </c:pt>
                <c:pt idx="8">
                  <c:v>H30.6月</c:v>
                </c:pt>
                <c:pt idx="9">
                  <c:v>H30.7月</c:v>
                </c:pt>
                <c:pt idx="10">
                  <c:v>H30.8月</c:v>
                </c:pt>
                <c:pt idx="11">
                  <c:v>H30.9月</c:v>
                </c:pt>
                <c:pt idx="12">
                  <c:v>H30.10月</c:v>
                </c:pt>
                <c:pt idx="13">
                  <c:v>H30.11月</c:v>
                </c:pt>
                <c:pt idx="14">
                  <c:v>H30.12月</c:v>
                </c:pt>
                <c:pt idx="15">
                  <c:v>H31.1月</c:v>
                </c:pt>
                <c:pt idx="16">
                  <c:v>H31.2月</c:v>
                </c:pt>
                <c:pt idx="17">
                  <c:v>H31.3月</c:v>
                </c:pt>
                <c:pt idx="18">
                  <c:v>H31.4月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推移!$D$255:$AA$255</c15:sqref>
                  </c15:fullRef>
                </c:ext>
              </c:extLst>
              <c:f>推移!$E$255:$AA$255</c:f>
            </c:numRef>
          </c:val>
        </c:ser>
        <c:ser>
          <c:idx val="9"/>
          <c:order val="9"/>
          <c:tx>
            <c:strRef>
              <c:f>推移!$C$256</c:f>
              <c:strCache>
                <c:ptCount val="1"/>
                <c:pt idx="0">
                  <c:v>GH五井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推移!$C$246:$AA$246</c15:sqref>
                  </c15:fullRef>
                </c:ext>
              </c:extLst>
              <c:f>推移!$D$246:$AA$246</c:f>
              <c:strCache>
                <c:ptCount val="18"/>
                <c:pt idx="0">
                  <c:v>H29.11月</c:v>
                </c:pt>
                <c:pt idx="1">
                  <c:v>H29.12月</c:v>
                </c:pt>
                <c:pt idx="2">
                  <c:v>H30.1月</c:v>
                </c:pt>
                <c:pt idx="3">
                  <c:v>H30.2月</c:v>
                </c:pt>
                <c:pt idx="4">
                  <c:v>H30.3月</c:v>
                </c:pt>
                <c:pt idx="5">
                  <c:v>H30.4月</c:v>
                </c:pt>
                <c:pt idx="6">
                  <c:v>H30.5月</c:v>
                </c:pt>
                <c:pt idx="7">
                  <c:v>H30.6月</c:v>
                </c:pt>
                <c:pt idx="8">
                  <c:v>H30.7月</c:v>
                </c:pt>
                <c:pt idx="9">
                  <c:v>H30.8月</c:v>
                </c:pt>
                <c:pt idx="10">
                  <c:v>H30.9月</c:v>
                </c:pt>
                <c:pt idx="11">
                  <c:v>H30.10月</c:v>
                </c:pt>
                <c:pt idx="12">
                  <c:v>H30.11月</c:v>
                </c:pt>
                <c:pt idx="13">
                  <c:v>H30.12月</c:v>
                </c:pt>
                <c:pt idx="14">
                  <c:v>H31.1月</c:v>
                </c:pt>
                <c:pt idx="15">
                  <c:v>H31.2月</c:v>
                </c:pt>
                <c:pt idx="16">
                  <c:v>H31.3月</c:v>
                </c:pt>
                <c:pt idx="17">
                  <c:v>H31.4月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推移!$D$256:$AA$256</c15:sqref>
                  </c15:fullRef>
                </c:ext>
              </c:extLst>
              <c:f>推移!$E$256:$AA$256</c:f>
              <c:numCache>
                <c:formatCode>#,##0_ ;[Red]\-#,##0\ </c:formatCode>
                <c:ptCount val="17"/>
                <c:pt idx="0">
                  <c:v>1036248</c:v>
                </c:pt>
                <c:pt idx="1">
                  <c:v>809040</c:v>
                </c:pt>
                <c:pt idx="2">
                  <c:v>741413</c:v>
                </c:pt>
                <c:pt idx="3">
                  <c:v>820390</c:v>
                </c:pt>
                <c:pt idx="4">
                  <c:v>859760</c:v>
                </c:pt>
                <c:pt idx="5">
                  <c:v>1366814</c:v>
                </c:pt>
                <c:pt idx="6">
                  <c:v>548955</c:v>
                </c:pt>
                <c:pt idx="7">
                  <c:v>1159974</c:v>
                </c:pt>
                <c:pt idx="8">
                  <c:v>870546</c:v>
                </c:pt>
                <c:pt idx="9">
                  <c:v>861636</c:v>
                </c:pt>
                <c:pt idx="10">
                  <c:v>1139110</c:v>
                </c:pt>
                <c:pt idx="11">
                  <c:v>1134937</c:v>
                </c:pt>
                <c:pt idx="12">
                  <c:v>1175963</c:v>
                </c:pt>
                <c:pt idx="13">
                  <c:v>1272363</c:v>
                </c:pt>
                <c:pt idx="14">
                  <c:v>1036423</c:v>
                </c:pt>
                <c:pt idx="15">
                  <c:v>1027444</c:v>
                </c:pt>
                <c:pt idx="16">
                  <c:v>1077061</c:v>
                </c:pt>
              </c:numCache>
            </c:numRef>
          </c:val>
        </c:ser>
        <c:ser>
          <c:idx val="10"/>
          <c:order val="10"/>
          <c:tx>
            <c:strRef>
              <c:f>推移!$C$257</c:f>
              <c:strCache>
                <c:ptCount val="1"/>
                <c:pt idx="0">
                  <c:v>GH白金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推移!$C$246:$AA$246</c15:sqref>
                  </c15:fullRef>
                </c:ext>
              </c:extLst>
              <c:f>推移!$D$246:$AA$246</c:f>
              <c:strCache>
                <c:ptCount val="18"/>
                <c:pt idx="0">
                  <c:v>H29.11月</c:v>
                </c:pt>
                <c:pt idx="1">
                  <c:v>H29.12月</c:v>
                </c:pt>
                <c:pt idx="2">
                  <c:v>H30.1月</c:v>
                </c:pt>
                <c:pt idx="3">
                  <c:v>H30.2月</c:v>
                </c:pt>
                <c:pt idx="4">
                  <c:v>H30.3月</c:v>
                </c:pt>
                <c:pt idx="5">
                  <c:v>H30.4月</c:v>
                </c:pt>
                <c:pt idx="6">
                  <c:v>H30.5月</c:v>
                </c:pt>
                <c:pt idx="7">
                  <c:v>H30.6月</c:v>
                </c:pt>
                <c:pt idx="8">
                  <c:v>H30.7月</c:v>
                </c:pt>
                <c:pt idx="9">
                  <c:v>H30.8月</c:v>
                </c:pt>
                <c:pt idx="10">
                  <c:v>H30.9月</c:v>
                </c:pt>
                <c:pt idx="11">
                  <c:v>H30.10月</c:v>
                </c:pt>
                <c:pt idx="12">
                  <c:v>H30.11月</c:v>
                </c:pt>
                <c:pt idx="13">
                  <c:v>H30.12月</c:v>
                </c:pt>
                <c:pt idx="14">
                  <c:v>H31.1月</c:v>
                </c:pt>
                <c:pt idx="15">
                  <c:v>H31.2月</c:v>
                </c:pt>
                <c:pt idx="16">
                  <c:v>H31.3月</c:v>
                </c:pt>
                <c:pt idx="17">
                  <c:v>H31.4月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推移!$D$257:$AA$257</c15:sqref>
                  </c15:fullRef>
                </c:ext>
              </c:extLst>
              <c:f>推移!$E$257:$AA$257</c:f>
              <c:numCache>
                <c:formatCode>#,##0_ ;[Red]\-#,##0\ </c:formatCode>
                <c:ptCount val="17"/>
                <c:pt idx="0">
                  <c:v>1061492</c:v>
                </c:pt>
                <c:pt idx="1">
                  <c:v>1016092</c:v>
                </c:pt>
                <c:pt idx="2">
                  <c:v>939922</c:v>
                </c:pt>
                <c:pt idx="3">
                  <c:v>1205836</c:v>
                </c:pt>
                <c:pt idx="4">
                  <c:v>1038460</c:v>
                </c:pt>
                <c:pt idx="5">
                  <c:v>1150795</c:v>
                </c:pt>
                <c:pt idx="6">
                  <c:v>1054056</c:v>
                </c:pt>
                <c:pt idx="7">
                  <c:v>1085268</c:v>
                </c:pt>
                <c:pt idx="8">
                  <c:v>923999</c:v>
                </c:pt>
                <c:pt idx="9">
                  <c:v>1050085</c:v>
                </c:pt>
                <c:pt idx="10">
                  <c:v>1087657</c:v>
                </c:pt>
                <c:pt idx="11">
                  <c:v>1070236</c:v>
                </c:pt>
                <c:pt idx="12">
                  <c:v>1102442</c:v>
                </c:pt>
                <c:pt idx="13">
                  <c:v>1356442</c:v>
                </c:pt>
                <c:pt idx="14">
                  <c:v>1005836</c:v>
                </c:pt>
                <c:pt idx="15">
                  <c:v>973793</c:v>
                </c:pt>
                <c:pt idx="16">
                  <c:v>797482</c:v>
                </c:pt>
              </c:numCache>
            </c:numRef>
          </c:val>
        </c:ser>
        <c:ser>
          <c:idx val="11"/>
          <c:order val="11"/>
          <c:tx>
            <c:strRef>
              <c:f>推移!$C$258</c:f>
              <c:strCache>
                <c:ptCount val="1"/>
                <c:pt idx="0">
                  <c:v>GH西五所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推移!$C$246:$AA$246</c15:sqref>
                  </c15:fullRef>
                </c:ext>
              </c:extLst>
              <c:f>推移!$D$246:$AA$246</c:f>
              <c:strCache>
                <c:ptCount val="18"/>
                <c:pt idx="0">
                  <c:v>H29.11月</c:v>
                </c:pt>
                <c:pt idx="1">
                  <c:v>H29.12月</c:v>
                </c:pt>
                <c:pt idx="2">
                  <c:v>H30.1月</c:v>
                </c:pt>
                <c:pt idx="3">
                  <c:v>H30.2月</c:v>
                </c:pt>
                <c:pt idx="4">
                  <c:v>H30.3月</c:v>
                </c:pt>
                <c:pt idx="5">
                  <c:v>H30.4月</c:v>
                </c:pt>
                <c:pt idx="6">
                  <c:v>H30.5月</c:v>
                </c:pt>
                <c:pt idx="7">
                  <c:v>H30.6月</c:v>
                </c:pt>
                <c:pt idx="8">
                  <c:v>H30.7月</c:v>
                </c:pt>
                <c:pt idx="9">
                  <c:v>H30.8月</c:v>
                </c:pt>
                <c:pt idx="10">
                  <c:v>H30.9月</c:v>
                </c:pt>
                <c:pt idx="11">
                  <c:v>H30.10月</c:v>
                </c:pt>
                <c:pt idx="12">
                  <c:v>H30.11月</c:v>
                </c:pt>
                <c:pt idx="13">
                  <c:v>H30.12月</c:v>
                </c:pt>
                <c:pt idx="14">
                  <c:v>H31.1月</c:v>
                </c:pt>
                <c:pt idx="15">
                  <c:v>H31.2月</c:v>
                </c:pt>
                <c:pt idx="16">
                  <c:v>H31.3月</c:v>
                </c:pt>
                <c:pt idx="17">
                  <c:v>H31.4月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推移!$D$258:$AA$258</c15:sqref>
                  </c15:fullRef>
                </c:ext>
              </c:extLst>
              <c:f>推移!$E$258:$AA$258</c:f>
              <c:numCache>
                <c:formatCode>#,##0_ ;[Red]\-#,##0\ </c:formatCode>
                <c:ptCount val="17"/>
                <c:pt idx="0">
                  <c:v>2748469</c:v>
                </c:pt>
                <c:pt idx="1">
                  <c:v>2696635</c:v>
                </c:pt>
                <c:pt idx="2">
                  <c:v>2570319</c:v>
                </c:pt>
                <c:pt idx="3">
                  <c:v>2819531</c:v>
                </c:pt>
                <c:pt idx="4">
                  <c:v>2754232</c:v>
                </c:pt>
                <c:pt idx="5">
                  <c:v>3771025</c:v>
                </c:pt>
                <c:pt idx="6">
                  <c:v>2469018</c:v>
                </c:pt>
                <c:pt idx="7">
                  <c:v>2977988</c:v>
                </c:pt>
                <c:pt idx="8">
                  <c:v>2468275</c:v>
                </c:pt>
                <c:pt idx="9">
                  <c:v>2587385</c:v>
                </c:pt>
                <c:pt idx="10">
                  <c:v>2800912</c:v>
                </c:pt>
                <c:pt idx="11">
                  <c:v>2743866</c:v>
                </c:pt>
                <c:pt idx="12">
                  <c:v>2807684</c:v>
                </c:pt>
                <c:pt idx="13">
                  <c:v>2942481</c:v>
                </c:pt>
                <c:pt idx="14">
                  <c:v>2118435</c:v>
                </c:pt>
                <c:pt idx="15">
                  <c:v>1999507</c:v>
                </c:pt>
                <c:pt idx="16">
                  <c:v>2831820</c:v>
                </c:pt>
              </c:numCache>
            </c:numRef>
          </c:val>
        </c:ser>
        <c:ser>
          <c:idx val="12"/>
          <c:order val="12"/>
          <c:tx>
            <c:strRef>
              <c:f>推移!$C$259</c:f>
              <c:strCache>
                <c:ptCount val="1"/>
                <c:pt idx="0">
                  <c:v>GH西広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推移!$C$246:$AA$246</c15:sqref>
                  </c15:fullRef>
                </c:ext>
              </c:extLst>
              <c:f>推移!$D$246:$AA$246</c:f>
              <c:strCache>
                <c:ptCount val="18"/>
                <c:pt idx="0">
                  <c:v>H29.11月</c:v>
                </c:pt>
                <c:pt idx="1">
                  <c:v>H29.12月</c:v>
                </c:pt>
                <c:pt idx="2">
                  <c:v>H30.1月</c:v>
                </c:pt>
                <c:pt idx="3">
                  <c:v>H30.2月</c:v>
                </c:pt>
                <c:pt idx="4">
                  <c:v>H30.3月</c:v>
                </c:pt>
                <c:pt idx="5">
                  <c:v>H30.4月</c:v>
                </c:pt>
                <c:pt idx="6">
                  <c:v>H30.5月</c:v>
                </c:pt>
                <c:pt idx="7">
                  <c:v>H30.6月</c:v>
                </c:pt>
                <c:pt idx="8">
                  <c:v>H30.7月</c:v>
                </c:pt>
                <c:pt idx="9">
                  <c:v>H30.8月</c:v>
                </c:pt>
                <c:pt idx="10">
                  <c:v>H30.9月</c:v>
                </c:pt>
                <c:pt idx="11">
                  <c:v>H30.10月</c:v>
                </c:pt>
                <c:pt idx="12">
                  <c:v>H30.11月</c:v>
                </c:pt>
                <c:pt idx="13">
                  <c:v>H30.12月</c:v>
                </c:pt>
                <c:pt idx="14">
                  <c:v>H31.1月</c:v>
                </c:pt>
                <c:pt idx="15">
                  <c:v>H31.2月</c:v>
                </c:pt>
                <c:pt idx="16">
                  <c:v>H31.3月</c:v>
                </c:pt>
                <c:pt idx="17">
                  <c:v>H31.4月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推移!$D$259:$AA$259</c15:sqref>
                  </c15:fullRef>
                </c:ext>
              </c:extLst>
              <c:f>推移!$E$259:$AA$259</c:f>
              <c:numCache>
                <c:formatCode>#,##0_ ;[Red]\-#,##0\ 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16000</c:v>
                </c:pt>
                <c:pt idx="12">
                  <c:v>40000</c:v>
                </c:pt>
                <c:pt idx="13">
                  <c:v>40000</c:v>
                </c:pt>
                <c:pt idx="14">
                  <c:v>1476188</c:v>
                </c:pt>
                <c:pt idx="15">
                  <c:v>1775131</c:v>
                </c:pt>
                <c:pt idx="16">
                  <c:v>2077332</c:v>
                </c:pt>
              </c:numCache>
            </c:numRef>
          </c:val>
        </c:ser>
        <c:ser>
          <c:idx val="13"/>
          <c:order val="13"/>
          <c:tx>
            <c:strRef>
              <c:f>推移!$C$260</c:f>
              <c:strCache>
                <c:ptCount val="1"/>
                <c:pt idx="0">
                  <c:v>白金タクシー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推移!$C$246:$AA$246</c15:sqref>
                  </c15:fullRef>
                </c:ext>
              </c:extLst>
              <c:f>推移!$D$246:$AA$246</c:f>
              <c:strCache>
                <c:ptCount val="18"/>
                <c:pt idx="0">
                  <c:v>H29.11月</c:v>
                </c:pt>
                <c:pt idx="1">
                  <c:v>H29.12月</c:v>
                </c:pt>
                <c:pt idx="2">
                  <c:v>H30.1月</c:v>
                </c:pt>
                <c:pt idx="3">
                  <c:v>H30.2月</c:v>
                </c:pt>
                <c:pt idx="4">
                  <c:v>H30.3月</c:v>
                </c:pt>
                <c:pt idx="5">
                  <c:v>H30.4月</c:v>
                </c:pt>
                <c:pt idx="6">
                  <c:v>H30.5月</c:v>
                </c:pt>
                <c:pt idx="7">
                  <c:v>H30.6月</c:v>
                </c:pt>
                <c:pt idx="8">
                  <c:v>H30.7月</c:v>
                </c:pt>
                <c:pt idx="9">
                  <c:v>H30.8月</c:v>
                </c:pt>
                <c:pt idx="10">
                  <c:v>H30.9月</c:v>
                </c:pt>
                <c:pt idx="11">
                  <c:v>H30.10月</c:v>
                </c:pt>
                <c:pt idx="12">
                  <c:v>H30.11月</c:v>
                </c:pt>
                <c:pt idx="13">
                  <c:v>H30.12月</c:v>
                </c:pt>
                <c:pt idx="14">
                  <c:v>H31.1月</c:v>
                </c:pt>
                <c:pt idx="15">
                  <c:v>H31.2月</c:v>
                </c:pt>
                <c:pt idx="16">
                  <c:v>H31.3月</c:v>
                </c:pt>
                <c:pt idx="17">
                  <c:v>H31.4月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推移!$D$260:$AA$260</c15:sqref>
                  </c15:fullRef>
                </c:ext>
              </c:extLst>
              <c:f>推移!$E$260:$AA$260</c:f>
              <c:numCache>
                <c:formatCode>#,##0_ ;[Red]\-#,##0\ </c:formatCode>
                <c:ptCount val="17"/>
                <c:pt idx="0">
                  <c:v>3119675</c:v>
                </c:pt>
                <c:pt idx="1">
                  <c:v>2345767</c:v>
                </c:pt>
                <c:pt idx="2">
                  <c:v>2169663</c:v>
                </c:pt>
                <c:pt idx="3">
                  <c:v>2256558</c:v>
                </c:pt>
                <c:pt idx="4">
                  <c:v>1960949</c:v>
                </c:pt>
                <c:pt idx="5">
                  <c:v>1955643</c:v>
                </c:pt>
                <c:pt idx="6">
                  <c:v>1889542</c:v>
                </c:pt>
                <c:pt idx="7">
                  <c:v>1614388</c:v>
                </c:pt>
                <c:pt idx="8">
                  <c:v>1444523</c:v>
                </c:pt>
                <c:pt idx="9">
                  <c:v>1128956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3336576"/>
        <c:axId val="453333440"/>
      </c:barChart>
      <c:dateAx>
        <c:axId val="453336576"/>
        <c:scaling>
          <c:orientation val="minMax"/>
        </c:scaling>
        <c:delete val="0"/>
        <c:axPos val="b"/>
        <c:numFmt formatCode="[$-411]ge\.m&quot;月&quot;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3333440"/>
        <c:crosses val="autoZero"/>
        <c:auto val="1"/>
        <c:lblOffset val="100"/>
        <c:baseTimeUnit val="months"/>
      </c:dateAx>
      <c:valAx>
        <c:axId val="453333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3336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国保連単月売上!$A$5</c:f>
              <c:strCache>
                <c:ptCount val="1"/>
                <c:pt idx="0">
                  <c:v>白金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国保連単月売上!$B$5:$Y$5</c:f>
              <c:numCache>
                <c:formatCode>#,##0_ ;[Red]\-#,##0\ </c:formatCode>
                <c:ptCount val="24"/>
                <c:pt idx="0">
                  <c:v>9992832</c:v>
                </c:pt>
                <c:pt idx="1">
                  <c:v>9227912</c:v>
                </c:pt>
                <c:pt idx="2">
                  <c:v>9776465</c:v>
                </c:pt>
                <c:pt idx="3">
                  <c:v>9774030</c:v>
                </c:pt>
                <c:pt idx="4">
                  <c:v>10148554</c:v>
                </c:pt>
                <c:pt idx="5">
                  <c:v>10092092</c:v>
                </c:pt>
                <c:pt idx="6">
                  <c:v>9892697</c:v>
                </c:pt>
                <c:pt idx="7">
                  <c:v>9393626</c:v>
                </c:pt>
                <c:pt idx="8">
                  <c:v>9350432</c:v>
                </c:pt>
                <c:pt idx="9">
                  <c:v>8832032</c:v>
                </c:pt>
                <c:pt idx="10">
                  <c:v>9878804</c:v>
                </c:pt>
                <c:pt idx="11">
                  <c:v>9791668</c:v>
                </c:pt>
                <c:pt idx="12">
                  <c:v>10087423</c:v>
                </c:pt>
                <c:pt idx="13">
                  <c:v>9535609</c:v>
                </c:pt>
                <c:pt idx="14">
                  <c:v>10429329</c:v>
                </c:pt>
                <c:pt idx="15">
                  <c:v>9914852</c:v>
                </c:pt>
                <c:pt idx="16">
                  <c:v>10606419</c:v>
                </c:pt>
                <c:pt idx="17">
                  <c:v>11523231</c:v>
                </c:pt>
                <c:pt idx="18">
                  <c:v>11643262</c:v>
                </c:pt>
                <c:pt idx="19">
                  <c:v>11201961</c:v>
                </c:pt>
                <c:pt idx="20">
                  <c:v>11414498</c:v>
                </c:pt>
                <c:pt idx="21">
                  <c:v>10739184</c:v>
                </c:pt>
                <c:pt idx="22">
                  <c:v>11842205</c:v>
                </c:pt>
                <c:pt idx="23">
                  <c:v>12074847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BC6-4492-B11F-6D40AAD67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469552"/>
        <c:axId val="455469944"/>
      </c:barChart>
      <c:dateAx>
        <c:axId val="455469552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5469944"/>
        <c:crosses val="autoZero"/>
        <c:auto val="1"/>
        <c:lblOffset val="100"/>
        <c:baseTimeUnit val="months"/>
      </c:dateAx>
      <c:valAx>
        <c:axId val="455469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5469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国保連単月売上!$A$6</c:f>
              <c:strCache>
                <c:ptCount val="1"/>
                <c:pt idx="0">
                  <c:v>蘇我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国保連単月売上!$B$3:$X$3</c:f>
              <c:numCache>
                <c:formatCode>[$-411]ge\.m"月";@</c:formatCode>
                <c:ptCount val="23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</c:numCache>
            </c:numRef>
          </c:cat>
          <c:val>
            <c:numRef>
              <c:f>国保連単月売上!$B$6:$X$6</c:f>
              <c:numCache>
                <c:formatCode>#,##0_ ;[Red]\-#,##0\ </c:formatCode>
                <c:ptCount val="23"/>
                <c:pt idx="0">
                  <c:v>5213822</c:v>
                </c:pt>
                <c:pt idx="1">
                  <c:v>5409924</c:v>
                </c:pt>
                <c:pt idx="2">
                  <c:v>5466967</c:v>
                </c:pt>
                <c:pt idx="3">
                  <c:v>5136732</c:v>
                </c:pt>
                <c:pt idx="4">
                  <c:v>5672933</c:v>
                </c:pt>
                <c:pt idx="5">
                  <c:v>5571798</c:v>
                </c:pt>
                <c:pt idx="6">
                  <c:v>5606848</c:v>
                </c:pt>
                <c:pt idx="7">
                  <c:v>5773883</c:v>
                </c:pt>
                <c:pt idx="8">
                  <c:v>5390166</c:v>
                </c:pt>
                <c:pt idx="9">
                  <c:v>5121995</c:v>
                </c:pt>
                <c:pt idx="10">
                  <c:v>6135424</c:v>
                </c:pt>
                <c:pt idx="11">
                  <c:v>6044536</c:v>
                </c:pt>
                <c:pt idx="12">
                  <c:v>6228871</c:v>
                </c:pt>
                <c:pt idx="13">
                  <c:v>5692633</c:v>
                </c:pt>
                <c:pt idx="14">
                  <c:v>5595832</c:v>
                </c:pt>
                <c:pt idx="15">
                  <c:v>5869880</c:v>
                </c:pt>
                <c:pt idx="16">
                  <c:v>6084510</c:v>
                </c:pt>
                <c:pt idx="17">
                  <c:v>6977480</c:v>
                </c:pt>
                <c:pt idx="18">
                  <c:v>6704768</c:v>
                </c:pt>
                <c:pt idx="19">
                  <c:v>6361705</c:v>
                </c:pt>
                <c:pt idx="20">
                  <c:v>5979274</c:v>
                </c:pt>
                <c:pt idx="21">
                  <c:v>5457691</c:v>
                </c:pt>
                <c:pt idx="22">
                  <c:v>5358259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4E1-4066-A58B-97E4925F4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464064"/>
        <c:axId val="455465632"/>
      </c:barChart>
      <c:dateAx>
        <c:axId val="455464064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5465632"/>
        <c:crosses val="autoZero"/>
        <c:auto val="1"/>
        <c:lblOffset val="100"/>
        <c:baseTimeUnit val="months"/>
      </c:dateAx>
      <c:valAx>
        <c:axId val="45546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5464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国保連単月売上!$A$7</c:f>
              <c:strCache>
                <c:ptCount val="1"/>
                <c:pt idx="0">
                  <c:v>誉田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国保連単月売上!$B$7:$Y$7</c:f>
              <c:numCache>
                <c:formatCode>#,##0_ ;[Red]\-#,##0\ </c:formatCode>
                <c:ptCount val="24"/>
                <c:pt idx="0">
                  <c:v>5033064</c:v>
                </c:pt>
                <c:pt idx="1">
                  <c:v>5204172</c:v>
                </c:pt>
                <c:pt idx="2">
                  <c:v>5570174</c:v>
                </c:pt>
                <c:pt idx="3">
                  <c:v>5618999</c:v>
                </c:pt>
                <c:pt idx="4">
                  <c:v>5432726</c:v>
                </c:pt>
                <c:pt idx="5">
                  <c:v>5686031</c:v>
                </c:pt>
                <c:pt idx="6">
                  <c:v>5565370</c:v>
                </c:pt>
                <c:pt idx="7">
                  <c:v>5827289</c:v>
                </c:pt>
                <c:pt idx="8">
                  <c:v>5430789</c:v>
                </c:pt>
                <c:pt idx="9">
                  <c:v>5281596</c:v>
                </c:pt>
                <c:pt idx="10">
                  <c:v>5995527</c:v>
                </c:pt>
                <c:pt idx="11">
                  <c:v>5782508</c:v>
                </c:pt>
                <c:pt idx="12">
                  <c:v>5788351</c:v>
                </c:pt>
                <c:pt idx="13">
                  <c:v>6328226</c:v>
                </c:pt>
                <c:pt idx="14">
                  <c:v>6679327</c:v>
                </c:pt>
                <c:pt idx="15">
                  <c:v>7184853</c:v>
                </c:pt>
                <c:pt idx="16">
                  <c:v>6541496</c:v>
                </c:pt>
                <c:pt idx="17">
                  <c:v>6956494</c:v>
                </c:pt>
                <c:pt idx="18">
                  <c:v>6408565</c:v>
                </c:pt>
                <c:pt idx="19">
                  <c:v>6288422</c:v>
                </c:pt>
                <c:pt idx="20">
                  <c:v>6473943</c:v>
                </c:pt>
                <c:pt idx="21">
                  <c:v>6078716</c:v>
                </c:pt>
                <c:pt idx="22">
                  <c:v>6761944</c:v>
                </c:pt>
                <c:pt idx="23">
                  <c:v>6527702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01-4D60-A2B6-5AB06B15D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459752"/>
        <c:axId val="455459360"/>
      </c:barChart>
      <c:dateAx>
        <c:axId val="455459752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5459360"/>
        <c:crosses val="autoZero"/>
        <c:auto val="1"/>
        <c:lblOffset val="100"/>
        <c:baseTimeUnit val="months"/>
      </c:dateAx>
      <c:valAx>
        <c:axId val="455459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5459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国保連単月売上!$A$10</c:f>
              <c:strCache>
                <c:ptCount val="1"/>
                <c:pt idx="0">
                  <c:v>白金デイ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国保連単月売上!$B$10:$Y$10</c:f>
              <c:numCache>
                <c:formatCode>#,##0_ ;[Red]\-#,##0\ </c:formatCode>
                <c:ptCount val="24"/>
                <c:pt idx="0">
                  <c:v>3159951</c:v>
                </c:pt>
                <c:pt idx="1">
                  <c:v>3136628</c:v>
                </c:pt>
                <c:pt idx="2">
                  <c:v>3426262</c:v>
                </c:pt>
                <c:pt idx="3">
                  <c:v>3078216</c:v>
                </c:pt>
                <c:pt idx="4">
                  <c:v>2955968</c:v>
                </c:pt>
                <c:pt idx="5">
                  <c:v>3076553</c:v>
                </c:pt>
                <c:pt idx="6">
                  <c:v>3271508</c:v>
                </c:pt>
                <c:pt idx="7">
                  <c:v>3149307</c:v>
                </c:pt>
                <c:pt idx="8">
                  <c:v>3148868</c:v>
                </c:pt>
                <c:pt idx="9">
                  <c:v>3235791</c:v>
                </c:pt>
                <c:pt idx="10">
                  <c:v>3678425</c:v>
                </c:pt>
                <c:pt idx="11">
                  <c:v>4198450</c:v>
                </c:pt>
                <c:pt idx="12">
                  <c:v>4098308</c:v>
                </c:pt>
                <c:pt idx="13">
                  <c:v>3928452</c:v>
                </c:pt>
                <c:pt idx="14">
                  <c:v>4234658</c:v>
                </c:pt>
                <c:pt idx="15">
                  <c:v>4173142</c:v>
                </c:pt>
                <c:pt idx="16">
                  <c:v>3905307</c:v>
                </c:pt>
                <c:pt idx="17">
                  <c:v>4207155</c:v>
                </c:pt>
                <c:pt idx="18">
                  <c:v>4195626</c:v>
                </c:pt>
                <c:pt idx="19">
                  <c:v>4236747</c:v>
                </c:pt>
                <c:pt idx="20">
                  <c:v>3824966</c:v>
                </c:pt>
                <c:pt idx="21">
                  <c:v>4029418</c:v>
                </c:pt>
                <c:pt idx="22">
                  <c:v>4596566</c:v>
                </c:pt>
                <c:pt idx="23">
                  <c:v>4062911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DA-4F20-9A45-2693487CE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470336"/>
        <c:axId val="455460144"/>
      </c:barChart>
      <c:dateAx>
        <c:axId val="455470336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5460144"/>
        <c:crosses val="autoZero"/>
        <c:auto val="1"/>
        <c:lblOffset val="100"/>
        <c:baseTimeUnit val="months"/>
      </c:dateAx>
      <c:valAx>
        <c:axId val="45546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5470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国保連単月売上!$A$11</c:f>
              <c:strCache>
                <c:ptCount val="1"/>
                <c:pt idx="0">
                  <c:v>二日市場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国保連単月売上!$B$11:$Y$11</c:f>
              <c:numCache>
                <c:formatCode>#,##0_ ;[Red]\-#,##0\ </c:formatCode>
                <c:ptCount val="24"/>
                <c:pt idx="0">
                  <c:v>2221926</c:v>
                </c:pt>
                <c:pt idx="1">
                  <c:v>2170929</c:v>
                </c:pt>
                <c:pt idx="2">
                  <c:v>2304959</c:v>
                </c:pt>
                <c:pt idx="3">
                  <c:v>2326894</c:v>
                </c:pt>
                <c:pt idx="4">
                  <c:v>2383506</c:v>
                </c:pt>
                <c:pt idx="5">
                  <c:v>2140629</c:v>
                </c:pt>
                <c:pt idx="6">
                  <c:v>2052909</c:v>
                </c:pt>
                <c:pt idx="7">
                  <c:v>2157074</c:v>
                </c:pt>
                <c:pt idx="8">
                  <c:v>2007541</c:v>
                </c:pt>
                <c:pt idx="9">
                  <c:v>2306499</c:v>
                </c:pt>
                <c:pt idx="10">
                  <c:v>2198815</c:v>
                </c:pt>
                <c:pt idx="11">
                  <c:v>2291722</c:v>
                </c:pt>
                <c:pt idx="12">
                  <c:v>2293370</c:v>
                </c:pt>
                <c:pt idx="13">
                  <c:v>2039297</c:v>
                </c:pt>
                <c:pt idx="14">
                  <c:v>1697883</c:v>
                </c:pt>
                <c:pt idx="15">
                  <c:v>1573689</c:v>
                </c:pt>
                <c:pt idx="16">
                  <c:v>1331333</c:v>
                </c:pt>
                <c:pt idx="17">
                  <c:v>1489051</c:v>
                </c:pt>
                <c:pt idx="18">
                  <c:v>1819338</c:v>
                </c:pt>
                <c:pt idx="19">
                  <c:v>1826775</c:v>
                </c:pt>
                <c:pt idx="20">
                  <c:v>1845029</c:v>
                </c:pt>
                <c:pt idx="21">
                  <c:v>1715603</c:v>
                </c:pt>
                <c:pt idx="22">
                  <c:v>1715602</c:v>
                </c:pt>
                <c:pt idx="23">
                  <c:v>1684049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07-48CB-B54F-E83B23201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460536"/>
        <c:axId val="455463672"/>
      </c:barChart>
      <c:dateAx>
        <c:axId val="455460536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5463672"/>
        <c:crosses val="autoZero"/>
        <c:auto val="1"/>
        <c:lblOffset val="100"/>
        <c:baseTimeUnit val="months"/>
      </c:dateAx>
      <c:valAx>
        <c:axId val="455463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5460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国保連単月売上!$A$12</c:f>
              <c:strCache>
                <c:ptCount val="1"/>
                <c:pt idx="0">
                  <c:v>中高根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国保連単月売上!$B$3:$U$3</c:f>
              <c:numCache>
                <c:formatCode>[$-411]ge\.m"月";@</c:formatCode>
                <c:ptCount val="20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</c:numCache>
            </c:numRef>
          </c:cat>
          <c:val>
            <c:numRef>
              <c:f>国保連単月売上!$B$12:$U$12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37-4E1E-AD90-D3F845CD3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464456"/>
        <c:axId val="455458184"/>
      </c:barChart>
      <c:catAx>
        <c:axId val="455464456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5458184"/>
        <c:crosses val="autoZero"/>
        <c:auto val="1"/>
        <c:lblAlgn val="ctr"/>
        <c:lblOffset val="100"/>
        <c:noMultiLvlLbl val="1"/>
      </c:catAx>
      <c:valAx>
        <c:axId val="455458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5464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国保連単月売上!$A$13</c:f>
              <c:strCache>
                <c:ptCount val="1"/>
                <c:pt idx="0">
                  <c:v>GH五井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国保連単月売上!$B$13:$Y$13</c:f>
              <c:numCache>
                <c:formatCode>#,##0_ ;[Red]\-#,##0\ </c:formatCode>
                <c:ptCount val="24"/>
                <c:pt idx="0">
                  <c:v>901284</c:v>
                </c:pt>
                <c:pt idx="1">
                  <c:v>978154</c:v>
                </c:pt>
                <c:pt idx="2">
                  <c:v>1019564</c:v>
                </c:pt>
                <c:pt idx="3">
                  <c:v>998363</c:v>
                </c:pt>
                <c:pt idx="4">
                  <c:v>982096</c:v>
                </c:pt>
                <c:pt idx="5">
                  <c:v>1013496</c:v>
                </c:pt>
                <c:pt idx="6">
                  <c:v>978313</c:v>
                </c:pt>
                <c:pt idx="7">
                  <c:v>998248</c:v>
                </c:pt>
                <c:pt idx="8">
                  <c:v>778040</c:v>
                </c:pt>
                <c:pt idx="9">
                  <c:v>710413</c:v>
                </c:pt>
                <c:pt idx="10">
                  <c:v>789390</c:v>
                </c:pt>
                <c:pt idx="11">
                  <c:v>777456</c:v>
                </c:pt>
                <c:pt idx="12">
                  <c:v>802372</c:v>
                </c:pt>
                <c:pt idx="13">
                  <c:v>777456</c:v>
                </c:pt>
                <c:pt idx="14">
                  <c:v>839546</c:v>
                </c:pt>
                <c:pt idx="15">
                  <c:v>839546</c:v>
                </c:pt>
                <c:pt idx="16">
                  <c:v>813636</c:v>
                </c:pt>
                <c:pt idx="17">
                  <c:v>1101110</c:v>
                </c:pt>
                <c:pt idx="18">
                  <c:v>1073137</c:v>
                </c:pt>
                <c:pt idx="19">
                  <c:v>1107363</c:v>
                </c:pt>
                <c:pt idx="20">
                  <c:v>1107363</c:v>
                </c:pt>
                <c:pt idx="21">
                  <c:v>998423</c:v>
                </c:pt>
                <c:pt idx="22">
                  <c:v>982644</c:v>
                </c:pt>
                <c:pt idx="23">
                  <c:v>1025725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40-4DF6-ACE9-33512F4F9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466024"/>
        <c:axId val="455467200"/>
      </c:barChart>
      <c:dateAx>
        <c:axId val="455466024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5467200"/>
        <c:crosses val="autoZero"/>
        <c:auto val="1"/>
        <c:lblOffset val="100"/>
        <c:baseTimeUnit val="months"/>
      </c:dateAx>
      <c:valAx>
        <c:axId val="45546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5466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国保連単月売上!$A$14</c:f>
              <c:strCache>
                <c:ptCount val="1"/>
                <c:pt idx="0">
                  <c:v>GH白金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国保連単月売上!$B$14:$Y$14</c:f>
              <c:numCache>
                <c:formatCode>#,##0_ ;[Red]\-#,##0\ </c:formatCode>
                <c:ptCount val="24"/>
                <c:pt idx="0">
                  <c:v>739665</c:v>
                </c:pt>
                <c:pt idx="1">
                  <c:v>943056</c:v>
                </c:pt>
                <c:pt idx="2">
                  <c:v>983492</c:v>
                </c:pt>
                <c:pt idx="3">
                  <c:v>983492</c:v>
                </c:pt>
                <c:pt idx="4">
                  <c:v>937378</c:v>
                </c:pt>
                <c:pt idx="5">
                  <c:v>983492</c:v>
                </c:pt>
                <c:pt idx="6">
                  <c:v>922792</c:v>
                </c:pt>
                <c:pt idx="7">
                  <c:v>983492</c:v>
                </c:pt>
                <c:pt idx="8">
                  <c:v>938092</c:v>
                </c:pt>
                <c:pt idx="9">
                  <c:v>861922</c:v>
                </c:pt>
                <c:pt idx="10">
                  <c:v>847336</c:v>
                </c:pt>
                <c:pt idx="11">
                  <c:v>960460</c:v>
                </c:pt>
                <c:pt idx="12">
                  <c:v>1007268</c:v>
                </c:pt>
                <c:pt idx="13">
                  <c:v>976056</c:v>
                </c:pt>
                <c:pt idx="14">
                  <c:v>1007268</c:v>
                </c:pt>
                <c:pt idx="15">
                  <c:v>827999</c:v>
                </c:pt>
                <c:pt idx="16">
                  <c:v>1003585</c:v>
                </c:pt>
                <c:pt idx="17">
                  <c:v>1019657</c:v>
                </c:pt>
                <c:pt idx="18">
                  <c:v>1012236</c:v>
                </c:pt>
                <c:pt idx="19">
                  <c:v>1044442</c:v>
                </c:pt>
                <c:pt idx="20">
                  <c:v>1044442</c:v>
                </c:pt>
                <c:pt idx="21">
                  <c:v>937836</c:v>
                </c:pt>
                <c:pt idx="22">
                  <c:v>915793</c:v>
                </c:pt>
                <c:pt idx="23">
                  <c:v>746482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3D-4D97-8B7F-7EC4414F7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467984"/>
        <c:axId val="455469160"/>
      </c:barChart>
      <c:dateAx>
        <c:axId val="455467984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5469160"/>
        <c:crosses val="autoZero"/>
        <c:auto val="1"/>
        <c:lblOffset val="100"/>
        <c:baseTimeUnit val="months"/>
      </c:dateAx>
      <c:valAx>
        <c:axId val="455469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5467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国保連単月売上!$A$18</c:f>
              <c:strCache>
                <c:ptCount val="1"/>
                <c:pt idx="0">
                  <c:v>全社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国保連単月売上!$B$18:$Y$18</c:f>
              <c:numCache>
                <c:formatCode>#,##0_ ;[Red]\-#,##0\ </c:formatCode>
                <c:ptCount val="24"/>
                <c:pt idx="0">
                  <c:v>28908046</c:v>
                </c:pt>
                <c:pt idx="1">
                  <c:v>29785185</c:v>
                </c:pt>
                <c:pt idx="2">
                  <c:v>31563847</c:v>
                </c:pt>
                <c:pt idx="3">
                  <c:v>31296417</c:v>
                </c:pt>
                <c:pt idx="4">
                  <c:v>32020861</c:v>
                </c:pt>
                <c:pt idx="5">
                  <c:v>32197242</c:v>
                </c:pt>
                <c:pt idx="6">
                  <c:v>31968470</c:v>
                </c:pt>
                <c:pt idx="7">
                  <c:v>31978008</c:v>
                </c:pt>
                <c:pt idx="8">
                  <c:v>30399018</c:v>
                </c:pt>
                <c:pt idx="9">
                  <c:v>29346274</c:v>
                </c:pt>
                <c:pt idx="10">
                  <c:v>32773959</c:v>
                </c:pt>
                <c:pt idx="11">
                  <c:v>33136246</c:v>
                </c:pt>
                <c:pt idx="12">
                  <c:v>33695680</c:v>
                </c:pt>
                <c:pt idx="13">
                  <c:v>32951949</c:v>
                </c:pt>
                <c:pt idx="14">
                  <c:v>34119364</c:v>
                </c:pt>
                <c:pt idx="15">
                  <c:v>34067354</c:v>
                </c:pt>
                <c:pt idx="16">
                  <c:v>34115809</c:v>
                </c:pt>
                <c:pt idx="17">
                  <c:v>37712640</c:v>
                </c:pt>
                <c:pt idx="18">
                  <c:v>37031033</c:v>
                </c:pt>
                <c:pt idx="19">
                  <c:v>36197785</c:v>
                </c:pt>
                <c:pt idx="20">
                  <c:v>36132666</c:v>
                </c:pt>
                <c:pt idx="21">
                  <c:v>35262295</c:v>
                </c:pt>
                <c:pt idx="22">
                  <c:v>37118468</c:v>
                </c:pt>
                <c:pt idx="23">
                  <c:v>36761432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1E-4FBF-A034-11E0FED84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472688"/>
        <c:axId val="455473080"/>
      </c:barChart>
      <c:dateAx>
        <c:axId val="455472688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5473080"/>
        <c:crosses val="autoZero"/>
        <c:auto val="1"/>
        <c:lblOffset val="100"/>
        <c:baseTimeUnit val="months"/>
      </c:dateAx>
      <c:valAx>
        <c:axId val="45547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547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白金タクシー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国保連単月売上!$A$17</c:f>
              <c:strCache>
                <c:ptCount val="1"/>
                <c:pt idx="0">
                  <c:v>白金タクシー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国保連単月売上!$B$17:$Y$17</c:f>
              <c:numCache>
                <c:formatCode>#,##0_ ;[Red]\-#,##0\ </c:formatCode>
                <c:ptCount val="24"/>
                <c:pt idx="0">
                  <c:v>1223635</c:v>
                </c:pt>
                <c:pt idx="1">
                  <c:v>1067354</c:v>
                </c:pt>
                <c:pt idx="2">
                  <c:v>1141415</c:v>
                </c:pt>
                <c:pt idx="3">
                  <c:v>1272256</c:v>
                </c:pt>
                <c:pt idx="4">
                  <c:v>1407947</c:v>
                </c:pt>
                <c:pt idx="5">
                  <c:v>1243781</c:v>
                </c:pt>
                <c:pt idx="6">
                  <c:v>1292173</c:v>
                </c:pt>
                <c:pt idx="7">
                  <c:v>1246620</c:v>
                </c:pt>
                <c:pt idx="8">
                  <c:v>958455</c:v>
                </c:pt>
                <c:pt idx="9">
                  <c:v>795848</c:v>
                </c:pt>
                <c:pt idx="10">
                  <c:v>824207</c:v>
                </c:pt>
                <c:pt idx="11">
                  <c:v>884104</c:v>
                </c:pt>
                <c:pt idx="12">
                  <c:v>915308</c:v>
                </c:pt>
                <c:pt idx="13">
                  <c:v>914203</c:v>
                </c:pt>
                <c:pt idx="14">
                  <c:v>764948</c:v>
                </c:pt>
                <c:pt idx="15">
                  <c:v>564353</c:v>
                </c:pt>
                <c:pt idx="16">
                  <c:v>399221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E6-4921-A0A7-DC1C09419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470728"/>
        <c:axId val="455473472"/>
      </c:barChart>
      <c:dateAx>
        <c:axId val="455470728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5473472"/>
        <c:crosses val="autoZero"/>
        <c:auto val="1"/>
        <c:lblOffset val="100"/>
        <c:baseTimeUnit val="months"/>
      </c:dateAx>
      <c:valAx>
        <c:axId val="455473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5470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21910202941462E-2"/>
          <c:y val="2.1532154456962948E-2"/>
          <c:w val="0.86025206482217242"/>
          <c:h val="0.85802662283331954"/>
        </c:manualLayout>
      </c:layout>
      <c:areaChart>
        <c:grouping val="standard"/>
        <c:varyColors val="0"/>
        <c:ser>
          <c:idx val="9"/>
          <c:order val="9"/>
          <c:tx>
            <c:strRef>
              <c:f>経費推移!$K$2</c:f>
              <c:strCache>
                <c:ptCount val="1"/>
                <c:pt idx="0">
                  <c:v>人件費＋経費
+消費税+期末調整</c:v>
                </c:pt>
              </c:strCache>
            </c:strRef>
          </c:tx>
          <c:spPr>
            <a:solidFill>
              <a:srgbClr val="FFFFCC"/>
            </a:solidFill>
            <a:ln>
              <a:solidFill>
                <a:schemeClr val="accent5">
                  <a:lumMod val="50000"/>
                </a:schemeClr>
              </a:solidFill>
            </a:ln>
          </c:spPr>
          <c:cat>
            <c:numRef>
              <c:f>経費推移!$A$3:$A$62</c:f>
              <c:numCache>
                <c:formatCode>[$-411]gee\.mm;@</c:formatCode>
                <c:ptCount val="60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</c:numCache>
            </c:numRef>
          </c:cat>
          <c:val>
            <c:numRef>
              <c:f>経費推移!$K$3:$K$62</c:f>
              <c:numCache>
                <c:formatCode>#,##0_ ;[Red]\-#,##0\ </c:formatCode>
                <c:ptCount val="60"/>
                <c:pt idx="0">
                  <c:v>22741130</c:v>
                </c:pt>
                <c:pt idx="1">
                  <c:v>24312048.5</c:v>
                </c:pt>
                <c:pt idx="2">
                  <c:v>23575033</c:v>
                </c:pt>
                <c:pt idx="3">
                  <c:v>21827104</c:v>
                </c:pt>
                <c:pt idx="4">
                  <c:v>21909047.5</c:v>
                </c:pt>
                <c:pt idx="5">
                  <c:v>22774697</c:v>
                </c:pt>
                <c:pt idx="6">
                  <c:v>21743007.5</c:v>
                </c:pt>
                <c:pt idx="7">
                  <c:v>26576411</c:v>
                </c:pt>
                <c:pt idx="8">
                  <c:v>23867847.5</c:v>
                </c:pt>
                <c:pt idx="9">
                  <c:v>21894190.5</c:v>
                </c:pt>
                <c:pt idx="10">
                  <c:v>22288566</c:v>
                </c:pt>
                <c:pt idx="11">
                  <c:v>21488773.5</c:v>
                </c:pt>
                <c:pt idx="12">
                  <c:v>20722013</c:v>
                </c:pt>
                <c:pt idx="13">
                  <c:v>27488341.5</c:v>
                </c:pt>
                <c:pt idx="14">
                  <c:v>23678267</c:v>
                </c:pt>
                <c:pt idx="15">
                  <c:v>22373244.5</c:v>
                </c:pt>
                <c:pt idx="16">
                  <c:v>21352657</c:v>
                </c:pt>
                <c:pt idx="17">
                  <c:v>24913738</c:v>
                </c:pt>
                <c:pt idx="18">
                  <c:v>23640157</c:v>
                </c:pt>
                <c:pt idx="19">
                  <c:v>32297785</c:v>
                </c:pt>
                <c:pt idx="20">
                  <c:v>26820707</c:v>
                </c:pt>
                <c:pt idx="21">
                  <c:v>24449665</c:v>
                </c:pt>
                <c:pt idx="22">
                  <c:v>25138611</c:v>
                </c:pt>
                <c:pt idx="23">
                  <c:v>24642503</c:v>
                </c:pt>
                <c:pt idx="24">
                  <c:v>26656352</c:v>
                </c:pt>
                <c:pt idx="25">
                  <c:v>37378599</c:v>
                </c:pt>
                <c:pt idx="26">
                  <c:v>27969883</c:v>
                </c:pt>
                <c:pt idx="27">
                  <c:v>27261374</c:v>
                </c:pt>
                <c:pt idx="28">
                  <c:v>28385487</c:v>
                </c:pt>
                <c:pt idx="29">
                  <c:v>27046131</c:v>
                </c:pt>
                <c:pt idx="30">
                  <c:v>25372797</c:v>
                </c:pt>
                <c:pt idx="31">
                  <c:v>35195127</c:v>
                </c:pt>
                <c:pt idx="32">
                  <c:v>31684992</c:v>
                </c:pt>
                <c:pt idx="33">
                  <c:v>27782583</c:v>
                </c:pt>
                <c:pt idx="34">
                  <c:v>30270398</c:v>
                </c:pt>
                <c:pt idx="35">
                  <c:v>29303115</c:v>
                </c:pt>
                <c:pt idx="36">
                  <c:v>28961864</c:v>
                </c:pt>
                <c:pt idx="37">
                  <c:v>34081284</c:v>
                </c:pt>
                <c:pt idx="38">
                  <c:v>31034245</c:v>
                </c:pt>
                <c:pt idx="39">
                  <c:v>32506840</c:v>
                </c:pt>
                <c:pt idx="40">
                  <c:v>29734471</c:v>
                </c:pt>
                <c:pt idx="41">
                  <c:v>31049754</c:v>
                </c:pt>
                <c:pt idx="42">
                  <c:v>32679182</c:v>
                </c:pt>
                <c:pt idx="43">
                  <c:v>44370795</c:v>
                </c:pt>
                <c:pt idx="44">
                  <c:v>36679394</c:v>
                </c:pt>
                <c:pt idx="45">
                  <c:v>31197700</c:v>
                </c:pt>
                <c:pt idx="46">
                  <c:v>34351833</c:v>
                </c:pt>
                <c:pt idx="47">
                  <c:v>34444276</c:v>
                </c:pt>
                <c:pt idx="48">
                  <c:v>34123721</c:v>
                </c:pt>
                <c:pt idx="49">
                  <c:v>42950130</c:v>
                </c:pt>
                <c:pt idx="50">
                  <c:v>38147174</c:v>
                </c:pt>
                <c:pt idx="51">
                  <c:v>37818318</c:v>
                </c:pt>
                <c:pt idx="52">
                  <c:v>35732794</c:v>
                </c:pt>
                <c:pt idx="53">
                  <c:v>41068513</c:v>
                </c:pt>
                <c:pt idx="54">
                  <c:v>38014623</c:v>
                </c:pt>
                <c:pt idx="55">
                  <c:v>51586693</c:v>
                </c:pt>
                <c:pt idx="56">
                  <c:v>37043342</c:v>
                </c:pt>
                <c:pt idx="57">
                  <c:v>35933766</c:v>
                </c:pt>
                <c:pt idx="58">
                  <c:v>35468722</c:v>
                </c:pt>
                <c:pt idx="59">
                  <c:v>36363783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1AF6-472B-986C-560B8E925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3387784"/>
        <c:axId val="453385040"/>
      </c:areaChart>
      <c:barChart>
        <c:barDir val="col"/>
        <c:grouping val="stacked"/>
        <c:varyColors val="0"/>
        <c:ser>
          <c:idx val="0"/>
          <c:order val="0"/>
          <c:tx>
            <c:strRef>
              <c:f>経費推移!$B$2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FFCCCC"/>
            </a:solidFill>
          </c:spPr>
          <c:invertIfNegative val="0"/>
          <c:cat>
            <c:numRef>
              <c:f>経費推移!$A$3:$A$62</c:f>
              <c:numCache>
                <c:formatCode>[$-411]gee\.mm;@</c:formatCode>
                <c:ptCount val="60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</c:numCache>
            </c:numRef>
          </c:cat>
          <c:val>
            <c:numRef>
              <c:f>経費推移!$B$3:$B$62</c:f>
              <c:numCache>
                <c:formatCode>#,##0_ ;[Red]\-#,##0\ </c:formatCode>
                <c:ptCount val="60"/>
                <c:pt idx="0">
                  <c:v>6921646</c:v>
                </c:pt>
                <c:pt idx="1">
                  <c:v>6812061.5</c:v>
                </c:pt>
                <c:pt idx="2">
                  <c:v>7280295</c:v>
                </c:pt>
                <c:pt idx="3">
                  <c:v>7084049</c:v>
                </c:pt>
                <c:pt idx="4">
                  <c:v>6573757.5</c:v>
                </c:pt>
                <c:pt idx="5">
                  <c:v>6686957</c:v>
                </c:pt>
                <c:pt idx="6">
                  <c:v>6372684.5</c:v>
                </c:pt>
                <c:pt idx="7">
                  <c:v>7293219</c:v>
                </c:pt>
                <c:pt idx="8">
                  <c:v>6724628.5</c:v>
                </c:pt>
                <c:pt idx="9">
                  <c:v>6280975.5</c:v>
                </c:pt>
                <c:pt idx="10">
                  <c:v>7046907</c:v>
                </c:pt>
                <c:pt idx="11">
                  <c:v>6997702.5</c:v>
                </c:pt>
                <c:pt idx="12">
                  <c:v>7060328</c:v>
                </c:pt>
                <c:pt idx="13">
                  <c:v>7453412.5</c:v>
                </c:pt>
                <c:pt idx="14">
                  <c:v>7357788</c:v>
                </c:pt>
                <c:pt idx="15">
                  <c:v>7227508.5</c:v>
                </c:pt>
                <c:pt idx="16">
                  <c:v>7302559</c:v>
                </c:pt>
                <c:pt idx="17">
                  <c:v>7637522</c:v>
                </c:pt>
                <c:pt idx="18">
                  <c:v>7459224</c:v>
                </c:pt>
                <c:pt idx="19">
                  <c:v>8689429</c:v>
                </c:pt>
                <c:pt idx="20">
                  <c:v>8181596</c:v>
                </c:pt>
                <c:pt idx="21">
                  <c:v>8007802</c:v>
                </c:pt>
                <c:pt idx="22">
                  <c:v>8183667</c:v>
                </c:pt>
                <c:pt idx="23">
                  <c:v>7818980</c:v>
                </c:pt>
                <c:pt idx="24">
                  <c:v>8507615</c:v>
                </c:pt>
                <c:pt idx="25">
                  <c:v>8597952</c:v>
                </c:pt>
                <c:pt idx="26">
                  <c:v>8310087</c:v>
                </c:pt>
                <c:pt idx="27">
                  <c:v>8395958</c:v>
                </c:pt>
                <c:pt idx="28">
                  <c:v>8421241</c:v>
                </c:pt>
                <c:pt idx="29">
                  <c:v>7999869</c:v>
                </c:pt>
                <c:pt idx="30">
                  <c:v>7888862</c:v>
                </c:pt>
                <c:pt idx="31">
                  <c:v>9257860</c:v>
                </c:pt>
                <c:pt idx="32">
                  <c:v>9298008</c:v>
                </c:pt>
                <c:pt idx="33">
                  <c:v>8581832</c:v>
                </c:pt>
                <c:pt idx="34">
                  <c:v>9496637</c:v>
                </c:pt>
                <c:pt idx="35">
                  <c:v>9162799</c:v>
                </c:pt>
                <c:pt idx="36">
                  <c:v>9509943</c:v>
                </c:pt>
                <c:pt idx="37">
                  <c:v>10064298</c:v>
                </c:pt>
                <c:pt idx="38">
                  <c:v>10753859</c:v>
                </c:pt>
                <c:pt idx="39">
                  <c:v>10728350</c:v>
                </c:pt>
                <c:pt idx="40">
                  <c:v>10857414</c:v>
                </c:pt>
                <c:pt idx="41">
                  <c:v>10859304</c:v>
                </c:pt>
                <c:pt idx="42">
                  <c:v>10338031</c:v>
                </c:pt>
                <c:pt idx="43">
                  <c:v>11035387</c:v>
                </c:pt>
                <c:pt idx="44">
                  <c:v>10849660</c:v>
                </c:pt>
                <c:pt idx="45">
                  <c:v>10316489</c:v>
                </c:pt>
                <c:pt idx="46">
                  <c:v>11381089</c:v>
                </c:pt>
                <c:pt idx="47">
                  <c:v>11273885</c:v>
                </c:pt>
                <c:pt idx="48">
                  <c:v>11438888</c:v>
                </c:pt>
                <c:pt idx="49">
                  <c:v>11402626</c:v>
                </c:pt>
                <c:pt idx="50">
                  <c:v>11376064</c:v>
                </c:pt>
                <c:pt idx="51">
                  <c:v>10604177</c:v>
                </c:pt>
                <c:pt idx="52">
                  <c:v>11183917</c:v>
                </c:pt>
                <c:pt idx="53">
                  <c:v>11578203</c:v>
                </c:pt>
                <c:pt idx="54">
                  <c:v>11425873</c:v>
                </c:pt>
                <c:pt idx="55">
                  <c:v>11489865</c:v>
                </c:pt>
                <c:pt idx="56">
                  <c:v>11852991</c:v>
                </c:pt>
                <c:pt idx="57">
                  <c:v>10969098</c:v>
                </c:pt>
                <c:pt idx="58">
                  <c:v>12221347</c:v>
                </c:pt>
                <c:pt idx="59">
                  <c:v>12107299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AF6-472B-986C-560B8E925365}"/>
            </c:ext>
          </c:extLst>
        </c:ser>
        <c:ser>
          <c:idx val="1"/>
          <c:order val="1"/>
          <c:tx>
            <c:strRef>
              <c:f>経費推移!$C$2</c:f>
              <c:strCache>
                <c:ptCount val="1"/>
                <c:pt idx="0">
                  <c:v>社員</c:v>
                </c:pt>
              </c:strCache>
            </c:strRef>
          </c:tx>
          <c:invertIfNegative val="0"/>
          <c:cat>
            <c:numRef>
              <c:f>経費推移!$A$3:$A$62</c:f>
              <c:numCache>
                <c:formatCode>[$-411]gee\.mm;@</c:formatCode>
                <c:ptCount val="60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</c:numCache>
            </c:numRef>
          </c:cat>
          <c:val>
            <c:numRef>
              <c:f>経費推移!$C$3:$C$62</c:f>
              <c:numCache>
                <c:formatCode>#,##0_ ;[Red]\-#,##0\ </c:formatCode>
                <c:ptCount val="60"/>
                <c:pt idx="0">
                  <c:v>7295649</c:v>
                </c:pt>
                <c:pt idx="1">
                  <c:v>6422270</c:v>
                </c:pt>
                <c:pt idx="2">
                  <c:v>6282143</c:v>
                </c:pt>
                <c:pt idx="3">
                  <c:v>6942709</c:v>
                </c:pt>
                <c:pt idx="4">
                  <c:v>7747679</c:v>
                </c:pt>
                <c:pt idx="5">
                  <c:v>7579988</c:v>
                </c:pt>
                <c:pt idx="6">
                  <c:v>7842555</c:v>
                </c:pt>
                <c:pt idx="7">
                  <c:v>7596436</c:v>
                </c:pt>
                <c:pt idx="8">
                  <c:v>7822814</c:v>
                </c:pt>
                <c:pt idx="9">
                  <c:v>7552347</c:v>
                </c:pt>
                <c:pt idx="10">
                  <c:v>7256111</c:v>
                </c:pt>
                <c:pt idx="11">
                  <c:v>6880159</c:v>
                </c:pt>
                <c:pt idx="12">
                  <c:v>6280018</c:v>
                </c:pt>
                <c:pt idx="13">
                  <c:v>6661581</c:v>
                </c:pt>
                <c:pt idx="14">
                  <c:v>6855020</c:v>
                </c:pt>
                <c:pt idx="15">
                  <c:v>6975212</c:v>
                </c:pt>
                <c:pt idx="16">
                  <c:v>5985683</c:v>
                </c:pt>
                <c:pt idx="17">
                  <c:v>6282091</c:v>
                </c:pt>
                <c:pt idx="18">
                  <c:v>6382566</c:v>
                </c:pt>
                <c:pt idx="19">
                  <c:v>7077423</c:v>
                </c:pt>
                <c:pt idx="20">
                  <c:v>6684531</c:v>
                </c:pt>
                <c:pt idx="21">
                  <c:v>6664051</c:v>
                </c:pt>
                <c:pt idx="22">
                  <c:v>6680143</c:v>
                </c:pt>
                <c:pt idx="23">
                  <c:v>7593208</c:v>
                </c:pt>
                <c:pt idx="24">
                  <c:v>7717245</c:v>
                </c:pt>
                <c:pt idx="25">
                  <c:v>8092266</c:v>
                </c:pt>
                <c:pt idx="26">
                  <c:v>8279471</c:v>
                </c:pt>
                <c:pt idx="27">
                  <c:v>8514142</c:v>
                </c:pt>
                <c:pt idx="28">
                  <c:v>8551503</c:v>
                </c:pt>
                <c:pt idx="29">
                  <c:v>8087876</c:v>
                </c:pt>
                <c:pt idx="30">
                  <c:v>7916605</c:v>
                </c:pt>
                <c:pt idx="31">
                  <c:v>8342551</c:v>
                </c:pt>
                <c:pt idx="32">
                  <c:v>8350476</c:v>
                </c:pt>
                <c:pt idx="33">
                  <c:v>8110340</c:v>
                </c:pt>
                <c:pt idx="34">
                  <c:v>8561138</c:v>
                </c:pt>
                <c:pt idx="35">
                  <c:v>8027584</c:v>
                </c:pt>
                <c:pt idx="36">
                  <c:v>7398936</c:v>
                </c:pt>
                <c:pt idx="37">
                  <c:v>8544718</c:v>
                </c:pt>
                <c:pt idx="38">
                  <c:v>8579143</c:v>
                </c:pt>
                <c:pt idx="39">
                  <c:v>8552830</c:v>
                </c:pt>
                <c:pt idx="40">
                  <c:v>8345335</c:v>
                </c:pt>
                <c:pt idx="41">
                  <c:v>8690927</c:v>
                </c:pt>
                <c:pt idx="42">
                  <c:v>8895447</c:v>
                </c:pt>
                <c:pt idx="43">
                  <c:v>9005928</c:v>
                </c:pt>
                <c:pt idx="44">
                  <c:v>8664832</c:v>
                </c:pt>
                <c:pt idx="45">
                  <c:v>8889046</c:v>
                </c:pt>
                <c:pt idx="46">
                  <c:v>8461687</c:v>
                </c:pt>
                <c:pt idx="47">
                  <c:v>8684025</c:v>
                </c:pt>
                <c:pt idx="48">
                  <c:v>8288378</c:v>
                </c:pt>
                <c:pt idx="49">
                  <c:v>8964240</c:v>
                </c:pt>
                <c:pt idx="50">
                  <c:v>9256512</c:v>
                </c:pt>
                <c:pt idx="51">
                  <c:v>9900617</c:v>
                </c:pt>
                <c:pt idx="52">
                  <c:v>9607681</c:v>
                </c:pt>
                <c:pt idx="53">
                  <c:v>10038624</c:v>
                </c:pt>
                <c:pt idx="54">
                  <c:v>10939950</c:v>
                </c:pt>
                <c:pt idx="55">
                  <c:v>11268578</c:v>
                </c:pt>
                <c:pt idx="56">
                  <c:v>10749965</c:v>
                </c:pt>
                <c:pt idx="57">
                  <c:v>10929140</c:v>
                </c:pt>
                <c:pt idx="58">
                  <c:v>9786251</c:v>
                </c:pt>
                <c:pt idx="59">
                  <c:v>9740290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AF6-472B-986C-560B8E925365}"/>
            </c:ext>
          </c:extLst>
        </c:ser>
        <c:ser>
          <c:idx val="2"/>
          <c:order val="2"/>
          <c:tx>
            <c:strRef>
              <c:f>経費推移!$D$2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cat>
            <c:numRef>
              <c:f>経費推移!$A$3:$A$62</c:f>
              <c:numCache>
                <c:formatCode>[$-411]gee\.mm;@</c:formatCode>
                <c:ptCount val="60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</c:numCache>
            </c:numRef>
          </c:cat>
          <c:val>
            <c:numRef>
              <c:f>経費推移!$D$3:$D$62</c:f>
              <c:numCache>
                <c:formatCode>#,##0_ ;[Red]\-#,##0\ </c:formatCode>
                <c:ptCount val="60"/>
                <c:pt idx="0">
                  <c:v>0</c:v>
                </c:pt>
                <c:pt idx="1">
                  <c:v>3540000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3555920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4288547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7159778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9125386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7183300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4031000</c:v>
                </c:pt>
                <c:pt idx="38">
                  <c:v>0</c:v>
                </c:pt>
                <c:pt idx="39">
                  <c:v>930000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12389750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7225300</c:v>
                </c:pt>
                <c:pt idx="50">
                  <c:v>0</c:v>
                </c:pt>
                <c:pt idx="51">
                  <c:v>1700000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12454095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AF6-472B-986C-560B8E925365}"/>
            </c:ext>
          </c:extLst>
        </c:ser>
        <c:ser>
          <c:idx val="3"/>
          <c:order val="3"/>
          <c:tx>
            <c:strRef>
              <c:f>経費推移!$E$2</c:f>
              <c:strCache>
                <c:ptCount val="1"/>
                <c:pt idx="0">
                  <c:v>役員</c:v>
                </c:pt>
              </c:strCache>
            </c:strRef>
          </c:tx>
          <c:invertIfNegative val="0"/>
          <c:cat>
            <c:numRef>
              <c:f>経費推移!$A$3:$A$62</c:f>
              <c:numCache>
                <c:formatCode>[$-411]gee\.mm;@</c:formatCode>
                <c:ptCount val="60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</c:numCache>
            </c:numRef>
          </c:cat>
          <c:val>
            <c:numRef>
              <c:f>経費推移!$E$3:$E$62</c:f>
              <c:numCache>
                <c:formatCode>#,##0_ ;[Red]\-#,##0\ </c:formatCode>
                <c:ptCount val="60"/>
                <c:pt idx="0">
                  <c:v>950000</c:v>
                </c:pt>
                <c:pt idx="1">
                  <c:v>950000</c:v>
                </c:pt>
                <c:pt idx="2">
                  <c:v>950000</c:v>
                </c:pt>
                <c:pt idx="3">
                  <c:v>950000</c:v>
                </c:pt>
                <c:pt idx="4">
                  <c:v>950000</c:v>
                </c:pt>
                <c:pt idx="5">
                  <c:v>950000</c:v>
                </c:pt>
                <c:pt idx="6">
                  <c:v>950000</c:v>
                </c:pt>
                <c:pt idx="7">
                  <c:v>950000</c:v>
                </c:pt>
                <c:pt idx="8">
                  <c:v>950000</c:v>
                </c:pt>
                <c:pt idx="9">
                  <c:v>950000</c:v>
                </c:pt>
                <c:pt idx="10">
                  <c:v>950000</c:v>
                </c:pt>
                <c:pt idx="11">
                  <c:v>950000</c:v>
                </c:pt>
                <c:pt idx="12">
                  <c:v>950000</c:v>
                </c:pt>
                <c:pt idx="13">
                  <c:v>950000</c:v>
                </c:pt>
                <c:pt idx="14">
                  <c:v>950000</c:v>
                </c:pt>
                <c:pt idx="15">
                  <c:v>950000</c:v>
                </c:pt>
                <c:pt idx="16">
                  <c:v>1600000</c:v>
                </c:pt>
                <c:pt idx="17">
                  <c:v>1600000</c:v>
                </c:pt>
                <c:pt idx="18">
                  <c:v>2150000</c:v>
                </c:pt>
                <c:pt idx="19">
                  <c:v>2150000</c:v>
                </c:pt>
                <c:pt idx="20">
                  <c:v>2150000</c:v>
                </c:pt>
                <c:pt idx="21">
                  <c:v>2150000</c:v>
                </c:pt>
                <c:pt idx="22">
                  <c:v>2150000</c:v>
                </c:pt>
                <c:pt idx="23">
                  <c:v>2150000</c:v>
                </c:pt>
                <c:pt idx="24">
                  <c:v>2150000</c:v>
                </c:pt>
                <c:pt idx="25">
                  <c:v>2150000</c:v>
                </c:pt>
                <c:pt idx="26">
                  <c:v>2150000</c:v>
                </c:pt>
                <c:pt idx="27">
                  <c:v>2150000</c:v>
                </c:pt>
                <c:pt idx="28">
                  <c:v>2150000</c:v>
                </c:pt>
                <c:pt idx="29">
                  <c:v>2000000</c:v>
                </c:pt>
                <c:pt idx="30">
                  <c:v>2000000</c:v>
                </c:pt>
                <c:pt idx="31">
                  <c:v>2000000</c:v>
                </c:pt>
                <c:pt idx="32">
                  <c:v>2000000</c:v>
                </c:pt>
                <c:pt idx="33">
                  <c:v>2000000</c:v>
                </c:pt>
                <c:pt idx="34">
                  <c:v>2000000</c:v>
                </c:pt>
                <c:pt idx="35">
                  <c:v>2000000</c:v>
                </c:pt>
                <c:pt idx="36">
                  <c:v>2000000</c:v>
                </c:pt>
                <c:pt idx="37">
                  <c:v>2000000</c:v>
                </c:pt>
                <c:pt idx="38">
                  <c:v>2000000</c:v>
                </c:pt>
                <c:pt idx="39">
                  <c:v>2000000</c:v>
                </c:pt>
                <c:pt idx="40">
                  <c:v>2000000</c:v>
                </c:pt>
                <c:pt idx="41">
                  <c:v>2000000</c:v>
                </c:pt>
                <c:pt idx="42">
                  <c:v>2500000</c:v>
                </c:pt>
                <c:pt idx="43">
                  <c:v>2500000</c:v>
                </c:pt>
                <c:pt idx="44">
                  <c:v>2500000</c:v>
                </c:pt>
                <c:pt idx="45">
                  <c:v>2500000</c:v>
                </c:pt>
                <c:pt idx="46">
                  <c:v>2500000</c:v>
                </c:pt>
                <c:pt idx="47">
                  <c:v>2500000</c:v>
                </c:pt>
                <c:pt idx="48">
                  <c:v>2500000</c:v>
                </c:pt>
                <c:pt idx="49">
                  <c:v>2500000</c:v>
                </c:pt>
                <c:pt idx="50">
                  <c:v>2500000</c:v>
                </c:pt>
                <c:pt idx="51">
                  <c:v>2500000</c:v>
                </c:pt>
                <c:pt idx="52">
                  <c:v>2500000</c:v>
                </c:pt>
                <c:pt idx="53">
                  <c:v>3000000</c:v>
                </c:pt>
                <c:pt idx="54">
                  <c:v>3000000</c:v>
                </c:pt>
                <c:pt idx="55">
                  <c:v>3000000</c:v>
                </c:pt>
                <c:pt idx="56">
                  <c:v>3000000</c:v>
                </c:pt>
                <c:pt idx="57">
                  <c:v>3000000</c:v>
                </c:pt>
                <c:pt idx="58">
                  <c:v>3000000</c:v>
                </c:pt>
                <c:pt idx="59">
                  <c:v>3700000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AF6-472B-986C-560B8E925365}"/>
            </c:ext>
          </c:extLst>
        </c:ser>
        <c:ser>
          <c:idx val="4"/>
          <c:order val="4"/>
          <c:tx>
            <c:strRef>
              <c:f>経費推移!$F$2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cat>
            <c:numRef>
              <c:f>経費推移!$A$3:$A$62</c:f>
              <c:numCache>
                <c:formatCode>[$-411]gee\.mm;@</c:formatCode>
                <c:ptCount val="60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</c:numCache>
            </c:numRef>
          </c:cat>
          <c:val>
            <c:numRef>
              <c:f>経費推移!$F$3:$F$62</c:f>
              <c:numCache>
                <c:formatCode>#,##0_ ;[Red]\-#,##0\ </c:formatCode>
                <c:ptCount val="60"/>
                <c:pt idx="0">
                  <c:v>36725</c:v>
                </c:pt>
                <c:pt idx="1">
                  <c:v>42981</c:v>
                </c:pt>
                <c:pt idx="2">
                  <c:v>285471</c:v>
                </c:pt>
                <c:pt idx="3">
                  <c:v>14407</c:v>
                </c:pt>
                <c:pt idx="4">
                  <c:v>48639</c:v>
                </c:pt>
                <c:pt idx="5">
                  <c:v>200379</c:v>
                </c:pt>
                <c:pt idx="6">
                  <c:v>37826</c:v>
                </c:pt>
                <c:pt idx="7">
                  <c:v>57393</c:v>
                </c:pt>
                <c:pt idx="8">
                  <c:v>379534</c:v>
                </c:pt>
                <c:pt idx="9">
                  <c:v>184391</c:v>
                </c:pt>
                <c:pt idx="10">
                  <c:v>107816</c:v>
                </c:pt>
                <c:pt idx="11">
                  <c:v>21973</c:v>
                </c:pt>
                <c:pt idx="12">
                  <c:v>3100</c:v>
                </c:pt>
                <c:pt idx="13">
                  <c:v>29571</c:v>
                </c:pt>
                <c:pt idx="14">
                  <c:v>95780</c:v>
                </c:pt>
                <c:pt idx="15">
                  <c:v>136042</c:v>
                </c:pt>
                <c:pt idx="16">
                  <c:v>18296</c:v>
                </c:pt>
                <c:pt idx="17">
                  <c:v>469676</c:v>
                </c:pt>
                <c:pt idx="18">
                  <c:v>64809</c:v>
                </c:pt>
                <c:pt idx="19">
                  <c:v>754129</c:v>
                </c:pt>
                <c:pt idx="20">
                  <c:v>157534</c:v>
                </c:pt>
                <c:pt idx="21">
                  <c:v>229776</c:v>
                </c:pt>
                <c:pt idx="22">
                  <c:v>137383</c:v>
                </c:pt>
                <c:pt idx="23">
                  <c:v>61551</c:v>
                </c:pt>
                <c:pt idx="24">
                  <c:v>54651</c:v>
                </c:pt>
                <c:pt idx="25">
                  <c:v>366066</c:v>
                </c:pt>
                <c:pt idx="26">
                  <c:v>176235</c:v>
                </c:pt>
                <c:pt idx="27">
                  <c:v>202388</c:v>
                </c:pt>
                <c:pt idx="28">
                  <c:v>798811</c:v>
                </c:pt>
                <c:pt idx="29">
                  <c:v>177807</c:v>
                </c:pt>
                <c:pt idx="30">
                  <c:v>70614</c:v>
                </c:pt>
                <c:pt idx="31">
                  <c:v>1031616</c:v>
                </c:pt>
                <c:pt idx="32">
                  <c:v>86091</c:v>
                </c:pt>
                <c:pt idx="33">
                  <c:v>130746</c:v>
                </c:pt>
                <c:pt idx="34">
                  <c:v>196885</c:v>
                </c:pt>
                <c:pt idx="35">
                  <c:v>69822</c:v>
                </c:pt>
                <c:pt idx="36">
                  <c:v>62525</c:v>
                </c:pt>
                <c:pt idx="37">
                  <c:v>207374</c:v>
                </c:pt>
                <c:pt idx="38">
                  <c:v>400236</c:v>
                </c:pt>
                <c:pt idx="39">
                  <c:v>70443</c:v>
                </c:pt>
                <c:pt idx="40">
                  <c:v>72910</c:v>
                </c:pt>
                <c:pt idx="41">
                  <c:v>218866</c:v>
                </c:pt>
                <c:pt idx="42">
                  <c:v>759025</c:v>
                </c:pt>
                <c:pt idx="43">
                  <c:v>906783</c:v>
                </c:pt>
                <c:pt idx="44">
                  <c:v>213701</c:v>
                </c:pt>
                <c:pt idx="45">
                  <c:v>38613</c:v>
                </c:pt>
                <c:pt idx="46">
                  <c:v>140170</c:v>
                </c:pt>
                <c:pt idx="47">
                  <c:v>65881</c:v>
                </c:pt>
                <c:pt idx="48">
                  <c:v>29519</c:v>
                </c:pt>
                <c:pt idx="49">
                  <c:v>119909</c:v>
                </c:pt>
                <c:pt idx="50">
                  <c:v>637192</c:v>
                </c:pt>
                <c:pt idx="51">
                  <c:v>218408</c:v>
                </c:pt>
                <c:pt idx="52">
                  <c:v>212240</c:v>
                </c:pt>
                <c:pt idx="53">
                  <c:v>193010</c:v>
                </c:pt>
                <c:pt idx="54">
                  <c:v>1124906</c:v>
                </c:pt>
                <c:pt idx="55">
                  <c:v>937790</c:v>
                </c:pt>
                <c:pt idx="56">
                  <c:v>424415</c:v>
                </c:pt>
                <c:pt idx="57">
                  <c:v>102132</c:v>
                </c:pt>
                <c:pt idx="58">
                  <c:v>73717</c:v>
                </c:pt>
                <c:pt idx="59">
                  <c:v>246024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AF6-472B-986C-560B8E925365}"/>
            </c:ext>
          </c:extLst>
        </c:ser>
        <c:ser>
          <c:idx val="5"/>
          <c:order val="5"/>
          <c:tx>
            <c:strRef>
              <c:f>経費推移!$G$2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cat>
            <c:numRef>
              <c:f>経費推移!$A$3:$A$62</c:f>
              <c:numCache>
                <c:formatCode>[$-411]gee\.mm;@</c:formatCode>
                <c:ptCount val="60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</c:numCache>
            </c:numRef>
          </c:cat>
          <c:val>
            <c:numRef>
              <c:f>経費推移!$G$3:$G$62</c:f>
              <c:numCache>
                <c:formatCode>#,##0_ ;[Red]\-#,##0\ </c:formatCode>
                <c:ptCount val="60"/>
                <c:pt idx="0">
                  <c:v>1176289</c:v>
                </c:pt>
                <c:pt idx="1">
                  <c:v>658822</c:v>
                </c:pt>
                <c:pt idx="2">
                  <c:v>2937839</c:v>
                </c:pt>
                <c:pt idx="3">
                  <c:v>1007674</c:v>
                </c:pt>
                <c:pt idx="4">
                  <c:v>1097303</c:v>
                </c:pt>
                <c:pt idx="5">
                  <c:v>1864134.0000000002</c:v>
                </c:pt>
                <c:pt idx="6">
                  <c:v>1279021</c:v>
                </c:pt>
                <c:pt idx="7">
                  <c:v>756748</c:v>
                </c:pt>
                <c:pt idx="8">
                  <c:v>2750005</c:v>
                </c:pt>
                <c:pt idx="9">
                  <c:v>1239871</c:v>
                </c:pt>
                <c:pt idx="10">
                  <c:v>1151698</c:v>
                </c:pt>
                <c:pt idx="11">
                  <c:v>1128401</c:v>
                </c:pt>
                <c:pt idx="12">
                  <c:v>1088157</c:v>
                </c:pt>
                <c:pt idx="13">
                  <c:v>2561200</c:v>
                </c:pt>
                <c:pt idx="14">
                  <c:v>2712263.0000000005</c:v>
                </c:pt>
                <c:pt idx="15">
                  <c:v>973676</c:v>
                </c:pt>
                <c:pt idx="16">
                  <c:v>1014210</c:v>
                </c:pt>
                <c:pt idx="17">
                  <c:v>1716594</c:v>
                </c:pt>
                <c:pt idx="18">
                  <c:v>1100436</c:v>
                </c:pt>
                <c:pt idx="19">
                  <c:v>136932</c:v>
                </c:pt>
                <c:pt idx="20">
                  <c:v>3791051</c:v>
                </c:pt>
                <c:pt idx="21">
                  <c:v>1094134</c:v>
                </c:pt>
                <c:pt idx="22">
                  <c:v>1056702</c:v>
                </c:pt>
                <c:pt idx="23">
                  <c:v>1076053</c:v>
                </c:pt>
                <c:pt idx="24">
                  <c:v>1323246</c:v>
                </c:pt>
                <c:pt idx="25">
                  <c:v>2535230</c:v>
                </c:pt>
                <c:pt idx="26">
                  <c:v>1854441</c:v>
                </c:pt>
                <c:pt idx="27">
                  <c:v>1388481</c:v>
                </c:pt>
                <c:pt idx="28">
                  <c:v>1287715</c:v>
                </c:pt>
                <c:pt idx="29">
                  <c:v>1803707</c:v>
                </c:pt>
                <c:pt idx="30">
                  <c:v>1440015</c:v>
                </c:pt>
                <c:pt idx="31">
                  <c:v>411035</c:v>
                </c:pt>
                <c:pt idx="32">
                  <c:v>3971571</c:v>
                </c:pt>
                <c:pt idx="33">
                  <c:v>1387414</c:v>
                </c:pt>
                <c:pt idx="34">
                  <c:v>1422229</c:v>
                </c:pt>
                <c:pt idx="35">
                  <c:v>1432801</c:v>
                </c:pt>
                <c:pt idx="36">
                  <c:v>1475578</c:v>
                </c:pt>
                <c:pt idx="37">
                  <c:v>1739320</c:v>
                </c:pt>
                <c:pt idx="38">
                  <c:v>2742730</c:v>
                </c:pt>
                <c:pt idx="39">
                  <c:v>1470826</c:v>
                </c:pt>
                <c:pt idx="40">
                  <c:v>1327602</c:v>
                </c:pt>
                <c:pt idx="41">
                  <c:v>1974003</c:v>
                </c:pt>
                <c:pt idx="42">
                  <c:v>1779649</c:v>
                </c:pt>
                <c:pt idx="43">
                  <c:v>-275159</c:v>
                </c:pt>
                <c:pt idx="44">
                  <c:v>5807672</c:v>
                </c:pt>
                <c:pt idx="45">
                  <c:v>1520962</c:v>
                </c:pt>
                <c:pt idx="46">
                  <c:v>1804638</c:v>
                </c:pt>
                <c:pt idx="47">
                  <c:v>1688598</c:v>
                </c:pt>
                <c:pt idx="48">
                  <c:v>1651281</c:v>
                </c:pt>
                <c:pt idx="49">
                  <c:v>1485088</c:v>
                </c:pt>
                <c:pt idx="50">
                  <c:v>3836024</c:v>
                </c:pt>
                <c:pt idx="51">
                  <c:v>1597261</c:v>
                </c:pt>
                <c:pt idx="52">
                  <c:v>2074350</c:v>
                </c:pt>
                <c:pt idx="53">
                  <c:v>2107932</c:v>
                </c:pt>
                <c:pt idx="54">
                  <c:v>1800561</c:v>
                </c:pt>
                <c:pt idx="55">
                  <c:v>3849906</c:v>
                </c:pt>
                <c:pt idx="56">
                  <c:v>1842701</c:v>
                </c:pt>
                <c:pt idx="57">
                  <c:v>1853601</c:v>
                </c:pt>
                <c:pt idx="58">
                  <c:v>1731344</c:v>
                </c:pt>
                <c:pt idx="59">
                  <c:v>1922391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AF6-472B-986C-560B8E925365}"/>
            </c:ext>
          </c:extLst>
        </c:ser>
        <c:ser>
          <c:idx val="7"/>
          <c:order val="7"/>
          <c:tx>
            <c:strRef>
              <c:f>経費推移!$I$2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cat>
            <c:numRef>
              <c:f>経費推移!$A$3:$A$62</c:f>
              <c:numCache>
                <c:formatCode>[$-411]gee\.mm;@</c:formatCode>
                <c:ptCount val="60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</c:numCache>
            </c:numRef>
          </c:cat>
          <c:val>
            <c:numRef>
              <c:f>経費推移!$I$3:$I$62</c:f>
              <c:numCache>
                <c:formatCode>#,##0_ ;[Red]\-#,##0\ </c:formatCode>
                <c:ptCount val="60"/>
                <c:pt idx="0">
                  <c:v>6360821</c:v>
                </c:pt>
                <c:pt idx="1">
                  <c:v>5885914</c:v>
                </c:pt>
                <c:pt idx="2">
                  <c:v>5839285</c:v>
                </c:pt>
                <c:pt idx="3">
                  <c:v>5828265</c:v>
                </c:pt>
                <c:pt idx="4">
                  <c:v>5491669</c:v>
                </c:pt>
                <c:pt idx="5">
                  <c:v>5493239</c:v>
                </c:pt>
                <c:pt idx="6">
                  <c:v>5260921</c:v>
                </c:pt>
                <c:pt idx="7">
                  <c:v>6366695</c:v>
                </c:pt>
                <c:pt idx="8">
                  <c:v>5240866</c:v>
                </c:pt>
                <c:pt idx="9">
                  <c:v>5686606</c:v>
                </c:pt>
                <c:pt idx="10">
                  <c:v>5776034</c:v>
                </c:pt>
                <c:pt idx="11">
                  <c:v>5510538</c:v>
                </c:pt>
                <c:pt idx="12">
                  <c:v>5340410</c:v>
                </c:pt>
                <c:pt idx="13">
                  <c:v>5544030</c:v>
                </c:pt>
                <c:pt idx="14">
                  <c:v>5707416</c:v>
                </c:pt>
                <c:pt idx="15">
                  <c:v>6110806</c:v>
                </c:pt>
                <c:pt idx="16">
                  <c:v>5431909</c:v>
                </c:pt>
                <c:pt idx="17">
                  <c:v>7207855</c:v>
                </c:pt>
                <c:pt idx="18">
                  <c:v>6483122</c:v>
                </c:pt>
                <c:pt idx="19">
                  <c:v>6330094</c:v>
                </c:pt>
                <c:pt idx="20">
                  <c:v>5855995</c:v>
                </c:pt>
                <c:pt idx="21">
                  <c:v>6303902</c:v>
                </c:pt>
                <c:pt idx="22">
                  <c:v>6930716</c:v>
                </c:pt>
                <c:pt idx="23">
                  <c:v>5942711</c:v>
                </c:pt>
                <c:pt idx="24">
                  <c:v>6903595</c:v>
                </c:pt>
                <c:pt idx="25">
                  <c:v>6511699</c:v>
                </c:pt>
                <c:pt idx="26">
                  <c:v>7199649</c:v>
                </c:pt>
                <c:pt idx="27">
                  <c:v>6610405</c:v>
                </c:pt>
                <c:pt idx="28">
                  <c:v>7176217</c:v>
                </c:pt>
                <c:pt idx="29">
                  <c:v>6976872</c:v>
                </c:pt>
                <c:pt idx="30">
                  <c:v>6056701</c:v>
                </c:pt>
                <c:pt idx="31">
                  <c:v>6968765</c:v>
                </c:pt>
                <c:pt idx="32">
                  <c:v>7978846</c:v>
                </c:pt>
                <c:pt idx="33">
                  <c:v>7572251</c:v>
                </c:pt>
                <c:pt idx="34">
                  <c:v>8593509</c:v>
                </c:pt>
                <c:pt idx="35">
                  <c:v>8610109</c:v>
                </c:pt>
                <c:pt idx="36">
                  <c:v>8514882</c:v>
                </c:pt>
                <c:pt idx="37">
                  <c:v>7494574</c:v>
                </c:pt>
                <c:pt idx="38">
                  <c:v>6558277</c:v>
                </c:pt>
                <c:pt idx="39">
                  <c:v>9486285</c:v>
                </c:pt>
                <c:pt idx="40">
                  <c:v>7294393</c:v>
                </c:pt>
                <c:pt idx="41">
                  <c:v>7306654</c:v>
                </c:pt>
                <c:pt idx="42">
                  <c:v>8407030</c:v>
                </c:pt>
                <c:pt idx="43">
                  <c:v>8808106</c:v>
                </c:pt>
                <c:pt idx="44">
                  <c:v>8643529</c:v>
                </c:pt>
                <c:pt idx="45">
                  <c:v>7932590</c:v>
                </c:pt>
                <c:pt idx="46">
                  <c:v>10064249</c:v>
                </c:pt>
                <c:pt idx="47">
                  <c:v>10231887</c:v>
                </c:pt>
                <c:pt idx="48">
                  <c:v>10215655</c:v>
                </c:pt>
                <c:pt idx="49">
                  <c:v>11252967</c:v>
                </c:pt>
                <c:pt idx="50">
                  <c:v>10541382</c:v>
                </c:pt>
                <c:pt idx="51">
                  <c:v>12030005</c:v>
                </c:pt>
                <c:pt idx="52">
                  <c:v>10154606</c:v>
                </c:pt>
                <c:pt idx="53">
                  <c:v>14150744</c:v>
                </c:pt>
                <c:pt idx="54">
                  <c:v>9727500</c:v>
                </c:pt>
                <c:pt idx="55">
                  <c:v>8588657</c:v>
                </c:pt>
                <c:pt idx="56">
                  <c:v>9173270</c:v>
                </c:pt>
                <c:pt idx="57">
                  <c:v>8999179</c:v>
                </c:pt>
                <c:pt idx="58">
                  <c:v>8656063</c:v>
                </c:pt>
                <c:pt idx="59">
                  <c:v>8647779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1AF6-472B-986C-560B8E925365}"/>
            </c:ext>
          </c:extLst>
        </c:ser>
        <c:ser>
          <c:idx val="8"/>
          <c:order val="8"/>
          <c:tx>
            <c:strRef>
              <c:f>経費推移!$J$2</c:f>
              <c:strCache>
                <c:ptCount val="1"/>
                <c:pt idx="0">
                  <c:v>期末調整</c:v>
                </c:pt>
              </c:strCache>
            </c:strRef>
          </c:tx>
          <c:spPr>
            <a:ln>
              <a:solidFill>
                <a:schemeClr val="bg2">
                  <a:lumMod val="25000"/>
                </a:schemeClr>
              </a:solidFill>
            </a:ln>
          </c:spPr>
          <c:invertIfNegative val="0"/>
          <c:cat>
            <c:numRef>
              <c:f>経費推移!$A$3:$A$62</c:f>
              <c:numCache>
                <c:formatCode>[$-411]gee\.mm;@</c:formatCode>
                <c:ptCount val="60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</c:numCache>
            </c:numRef>
          </c:cat>
          <c:val>
            <c:numRef>
              <c:f>経費推移!$J$3:$J$62</c:f>
              <c:numCache>
                <c:formatCode>#,##0_ ;[Red]\-#,##0\ 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731894</c:v>
                </c:pt>
                <c:pt idx="40">
                  <c:v>163183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732150</c:v>
                </c:pt>
                <c:pt idx="52">
                  <c:v>0</c:v>
                </c:pt>
                <c:pt idx="53">
                  <c:v>0</c:v>
                </c:pt>
                <c:pt idx="54">
                  <c:v>4167</c:v>
                </c:pt>
                <c:pt idx="55">
                  <c:v>2198</c:v>
                </c:pt>
                <c:pt idx="56">
                  <c:v>0</c:v>
                </c:pt>
                <c:pt idx="57">
                  <c:v>-80616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AF6-472B-986C-560B8E925365}"/>
            </c:ext>
          </c:extLst>
        </c:ser>
        <c:ser>
          <c:idx val="16"/>
          <c:order val="16"/>
          <c:tx>
            <c:strRef>
              <c:f>経費推移!$R$2</c:f>
              <c:strCache>
                <c:ptCount val="1"/>
                <c:pt idx="0">
                  <c:v>消費税</c:v>
                </c:pt>
              </c:strCache>
            </c:strRef>
          </c:tx>
          <c:invertIfNegative val="0"/>
          <c:cat>
            <c:numRef>
              <c:f>経費推移!$A$3:$A$62</c:f>
              <c:numCache>
                <c:formatCode>[$-411]gee\.mm;@</c:formatCode>
                <c:ptCount val="60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</c:numCache>
            </c:numRef>
          </c:cat>
          <c:val>
            <c:numRef>
              <c:f>経費推移!$R$3:$R$62</c:f>
              <c:numCache>
                <c:formatCode>#,##0_ ;[Red]\-#,##0\ 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73432</c:v>
                </c:pt>
                <c:pt idx="41">
                  <c:v>77730</c:v>
                </c:pt>
                <c:pt idx="42">
                  <c:v>78013</c:v>
                </c:pt>
                <c:pt idx="43">
                  <c:v>77744</c:v>
                </c:pt>
                <c:pt idx="44">
                  <c:v>59544</c:v>
                </c:pt>
                <c:pt idx="45">
                  <c:v>58427</c:v>
                </c:pt>
                <c:pt idx="46">
                  <c:v>61905</c:v>
                </c:pt>
                <c:pt idx="47">
                  <c:v>45399</c:v>
                </c:pt>
                <c:pt idx="48">
                  <c:v>46251</c:v>
                </c:pt>
                <c:pt idx="49">
                  <c:v>42763</c:v>
                </c:pt>
                <c:pt idx="50">
                  <c:v>37757</c:v>
                </c:pt>
                <c:pt idx="51">
                  <c:v>40332</c:v>
                </c:pt>
                <c:pt idx="52">
                  <c:v>34830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3387784"/>
        <c:axId val="453385040"/>
      </c:barChart>
      <c:lineChart>
        <c:grouping val="standard"/>
        <c:varyColors val="0"/>
        <c:ser>
          <c:idx val="6"/>
          <c:order val="6"/>
          <c:tx>
            <c:strRef>
              <c:f>経費推移!$H$2</c:f>
              <c:strCache>
                <c:ptCount val="1"/>
                <c:pt idx="0">
                  <c:v>人件費</c:v>
                </c:pt>
              </c:strCache>
            </c:strRef>
          </c:tx>
          <c:spPr>
            <a:ln>
              <a:solidFill>
                <a:srgbClr val="00FFCC"/>
              </a:solidFill>
            </a:ln>
          </c:spPr>
          <c:marker>
            <c:spPr>
              <a:solidFill>
                <a:srgbClr val="00FFCC"/>
              </a:solidFill>
              <a:ln>
                <a:noFill/>
              </a:ln>
            </c:spPr>
          </c:marker>
          <c:cat>
            <c:numRef>
              <c:f>経費推移!$A$3:$A$62</c:f>
              <c:numCache>
                <c:formatCode>[$-411]gee\.mm;@</c:formatCode>
                <c:ptCount val="60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</c:numCache>
            </c:numRef>
          </c:cat>
          <c:val>
            <c:numRef>
              <c:f>経費推移!$H$3:$H$62</c:f>
              <c:numCache>
                <c:formatCode>#,##0_ ;[Red]\-#,##0\ </c:formatCode>
                <c:ptCount val="60"/>
                <c:pt idx="0">
                  <c:v>16380309</c:v>
                </c:pt>
                <c:pt idx="1">
                  <c:v>18426134.5</c:v>
                </c:pt>
                <c:pt idx="2">
                  <c:v>17735748</c:v>
                </c:pt>
                <c:pt idx="3">
                  <c:v>15998839</c:v>
                </c:pt>
                <c:pt idx="4">
                  <c:v>16417378.5</c:v>
                </c:pt>
                <c:pt idx="5">
                  <c:v>17281458</c:v>
                </c:pt>
                <c:pt idx="6">
                  <c:v>16482086.5</c:v>
                </c:pt>
                <c:pt idx="7">
                  <c:v>20209716</c:v>
                </c:pt>
                <c:pt idx="8">
                  <c:v>18626981.5</c:v>
                </c:pt>
                <c:pt idx="9">
                  <c:v>16207584.5</c:v>
                </c:pt>
                <c:pt idx="10">
                  <c:v>16512532</c:v>
                </c:pt>
                <c:pt idx="11">
                  <c:v>15978235.5</c:v>
                </c:pt>
                <c:pt idx="12">
                  <c:v>15381603</c:v>
                </c:pt>
                <c:pt idx="13">
                  <c:v>21944311.5</c:v>
                </c:pt>
                <c:pt idx="14">
                  <c:v>17970851</c:v>
                </c:pt>
                <c:pt idx="15">
                  <c:v>16262438.5</c:v>
                </c:pt>
                <c:pt idx="16">
                  <c:v>15920748</c:v>
                </c:pt>
                <c:pt idx="17">
                  <c:v>17705883</c:v>
                </c:pt>
                <c:pt idx="18">
                  <c:v>17157035</c:v>
                </c:pt>
                <c:pt idx="19">
                  <c:v>25967691</c:v>
                </c:pt>
                <c:pt idx="20">
                  <c:v>20964712</c:v>
                </c:pt>
                <c:pt idx="21">
                  <c:v>18145763</c:v>
                </c:pt>
                <c:pt idx="22">
                  <c:v>18207895</c:v>
                </c:pt>
                <c:pt idx="23">
                  <c:v>18699792</c:v>
                </c:pt>
                <c:pt idx="24">
                  <c:v>19752757</c:v>
                </c:pt>
                <c:pt idx="25">
                  <c:v>30866900</c:v>
                </c:pt>
                <c:pt idx="26">
                  <c:v>20770234</c:v>
                </c:pt>
                <c:pt idx="27">
                  <c:v>20650969</c:v>
                </c:pt>
                <c:pt idx="28">
                  <c:v>21209270</c:v>
                </c:pt>
                <c:pt idx="29">
                  <c:v>20069259</c:v>
                </c:pt>
                <c:pt idx="30">
                  <c:v>19316096</c:v>
                </c:pt>
                <c:pt idx="31">
                  <c:v>28226362</c:v>
                </c:pt>
                <c:pt idx="32">
                  <c:v>23706146</c:v>
                </c:pt>
                <c:pt idx="33">
                  <c:v>20210332</c:v>
                </c:pt>
                <c:pt idx="34">
                  <c:v>21676889</c:v>
                </c:pt>
                <c:pt idx="35">
                  <c:v>20693006</c:v>
                </c:pt>
                <c:pt idx="36">
                  <c:v>20446982</c:v>
                </c:pt>
                <c:pt idx="37">
                  <c:v>26586710</c:v>
                </c:pt>
                <c:pt idx="38">
                  <c:v>24475968</c:v>
                </c:pt>
                <c:pt idx="39">
                  <c:v>23752449</c:v>
                </c:pt>
                <c:pt idx="40">
                  <c:v>22603261</c:v>
                </c:pt>
                <c:pt idx="41">
                  <c:v>23743100</c:v>
                </c:pt>
                <c:pt idx="42">
                  <c:v>24272152</c:v>
                </c:pt>
                <c:pt idx="43">
                  <c:v>35562689</c:v>
                </c:pt>
                <c:pt idx="44">
                  <c:v>28035865</c:v>
                </c:pt>
                <c:pt idx="45">
                  <c:v>23265110</c:v>
                </c:pt>
                <c:pt idx="46">
                  <c:v>24287584</c:v>
                </c:pt>
                <c:pt idx="47">
                  <c:v>24212389</c:v>
                </c:pt>
                <c:pt idx="48">
                  <c:v>23908066</c:v>
                </c:pt>
                <c:pt idx="49">
                  <c:v>31697163</c:v>
                </c:pt>
                <c:pt idx="50">
                  <c:v>27605792</c:v>
                </c:pt>
                <c:pt idx="51">
                  <c:v>26520463</c:v>
                </c:pt>
                <c:pt idx="52">
                  <c:v>25578188</c:v>
                </c:pt>
                <c:pt idx="53">
                  <c:v>26917769</c:v>
                </c:pt>
                <c:pt idx="54">
                  <c:v>28291290</c:v>
                </c:pt>
                <c:pt idx="55">
                  <c:v>43000234</c:v>
                </c:pt>
                <c:pt idx="56">
                  <c:v>27870072</c:v>
                </c:pt>
                <c:pt idx="57">
                  <c:v>26853971</c:v>
                </c:pt>
                <c:pt idx="58">
                  <c:v>26812659</c:v>
                </c:pt>
                <c:pt idx="59">
                  <c:v>27716004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1AF6-472B-986C-560B8E925365}"/>
            </c:ext>
          </c:extLst>
        </c:ser>
        <c:ser>
          <c:idx val="10"/>
          <c:order val="10"/>
          <c:tx>
            <c:strRef>
              <c:f>経費推移!$L$2</c:f>
              <c:strCache>
                <c:ptCount val="1"/>
                <c:pt idx="0">
                  <c:v>売上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pPr>
              <a:solidFill>
                <a:srgbClr val="FF0066"/>
              </a:solidFill>
              <a:ln>
                <a:noFill/>
              </a:ln>
            </c:spPr>
          </c:marker>
          <c:cat>
            <c:numRef>
              <c:f>経費推移!$A$3:$A$62</c:f>
              <c:numCache>
                <c:formatCode>[$-411]gee\.mm;@</c:formatCode>
                <c:ptCount val="60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</c:numCache>
            </c:numRef>
          </c:cat>
          <c:val>
            <c:numRef>
              <c:f>経費推移!$L$3:$L$62</c:f>
              <c:numCache>
                <c:formatCode>#,##0_ ;[Red]\-#,##0\ </c:formatCode>
                <c:ptCount val="60"/>
                <c:pt idx="0">
                  <c:v>21720031</c:v>
                </c:pt>
                <c:pt idx="1">
                  <c:v>24686903</c:v>
                </c:pt>
                <c:pt idx="2">
                  <c:v>21453898</c:v>
                </c:pt>
                <c:pt idx="3">
                  <c:v>22666809</c:v>
                </c:pt>
                <c:pt idx="4">
                  <c:v>21435923</c:v>
                </c:pt>
                <c:pt idx="5">
                  <c:v>21930282</c:v>
                </c:pt>
                <c:pt idx="6">
                  <c:v>23533934</c:v>
                </c:pt>
                <c:pt idx="7">
                  <c:v>23584633</c:v>
                </c:pt>
                <c:pt idx="8">
                  <c:v>23881357</c:v>
                </c:pt>
                <c:pt idx="9">
                  <c:v>21197082</c:v>
                </c:pt>
                <c:pt idx="10">
                  <c:v>24839254</c:v>
                </c:pt>
                <c:pt idx="11">
                  <c:v>24624365</c:v>
                </c:pt>
                <c:pt idx="12">
                  <c:v>23452608</c:v>
                </c:pt>
                <c:pt idx="13">
                  <c:v>25915317</c:v>
                </c:pt>
                <c:pt idx="14">
                  <c:v>24770526</c:v>
                </c:pt>
                <c:pt idx="15">
                  <c:v>22736259</c:v>
                </c:pt>
                <c:pt idx="16">
                  <c:v>24183832</c:v>
                </c:pt>
                <c:pt idx="17">
                  <c:v>25209324</c:v>
                </c:pt>
                <c:pt idx="18">
                  <c:v>24327588</c:v>
                </c:pt>
                <c:pt idx="19">
                  <c:v>25066638</c:v>
                </c:pt>
                <c:pt idx="20">
                  <c:v>24726456</c:v>
                </c:pt>
                <c:pt idx="21">
                  <c:v>25728423</c:v>
                </c:pt>
                <c:pt idx="22">
                  <c:v>28422503</c:v>
                </c:pt>
                <c:pt idx="23">
                  <c:v>27348721</c:v>
                </c:pt>
                <c:pt idx="24">
                  <c:v>28544663</c:v>
                </c:pt>
                <c:pt idx="25">
                  <c:v>24559188</c:v>
                </c:pt>
                <c:pt idx="26">
                  <c:v>30880551</c:v>
                </c:pt>
                <c:pt idx="27">
                  <c:v>26366462</c:v>
                </c:pt>
                <c:pt idx="28">
                  <c:v>26564445</c:v>
                </c:pt>
                <c:pt idx="29">
                  <c:v>29654017</c:v>
                </c:pt>
                <c:pt idx="30">
                  <c:v>29850908</c:v>
                </c:pt>
                <c:pt idx="31">
                  <c:v>32519274</c:v>
                </c:pt>
                <c:pt idx="32">
                  <c:v>29234717</c:v>
                </c:pt>
                <c:pt idx="33">
                  <c:v>29289578</c:v>
                </c:pt>
                <c:pt idx="34">
                  <c:v>31229016</c:v>
                </c:pt>
                <c:pt idx="35">
                  <c:v>29432948</c:v>
                </c:pt>
                <c:pt idx="36">
                  <c:v>32703033</c:v>
                </c:pt>
                <c:pt idx="37">
                  <c:v>36915821</c:v>
                </c:pt>
                <c:pt idx="38">
                  <c:v>36080296</c:v>
                </c:pt>
                <c:pt idx="39">
                  <c:v>34899186</c:v>
                </c:pt>
                <c:pt idx="40">
                  <c:v>35916200</c:v>
                </c:pt>
                <c:pt idx="41">
                  <c:v>37696511</c:v>
                </c:pt>
                <c:pt idx="42">
                  <c:v>35721077</c:v>
                </c:pt>
                <c:pt idx="43">
                  <c:v>35713004</c:v>
                </c:pt>
                <c:pt idx="44">
                  <c:v>34507019</c:v>
                </c:pt>
                <c:pt idx="45">
                  <c:v>33718137</c:v>
                </c:pt>
                <c:pt idx="46">
                  <c:v>35034097</c:v>
                </c:pt>
                <c:pt idx="47">
                  <c:v>39122247</c:v>
                </c:pt>
                <c:pt idx="48">
                  <c:v>39669030</c:v>
                </c:pt>
                <c:pt idx="49">
                  <c:v>36072718</c:v>
                </c:pt>
                <c:pt idx="50">
                  <c:v>38549836</c:v>
                </c:pt>
                <c:pt idx="51">
                  <c:v>36710781</c:v>
                </c:pt>
                <c:pt idx="52">
                  <c:v>37521491</c:v>
                </c:pt>
                <c:pt idx="53">
                  <c:v>41221792</c:v>
                </c:pt>
                <c:pt idx="54">
                  <c:v>42264853</c:v>
                </c:pt>
                <c:pt idx="55">
                  <c:v>40284538</c:v>
                </c:pt>
                <c:pt idx="56">
                  <c:v>39982277</c:v>
                </c:pt>
                <c:pt idx="57">
                  <c:v>38690450</c:v>
                </c:pt>
                <c:pt idx="58">
                  <c:v>40045253</c:v>
                </c:pt>
                <c:pt idx="59">
                  <c:v>41864718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F6-472B-986C-560B8E925365}"/>
            </c:ext>
          </c:extLst>
        </c:ser>
        <c:ser>
          <c:idx val="17"/>
          <c:order val="17"/>
          <c:tx>
            <c:strRef>
              <c:f>経費推移!$S$2</c:f>
              <c:strCache>
                <c:ptCount val="1"/>
                <c:pt idx="0">
                  <c:v>年間平均売上高</c:v>
                </c:pt>
              </c:strCache>
            </c:strRef>
          </c:tx>
          <c:spPr>
            <a:ln w="31750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経費推移!$A$3:$A$62</c:f>
              <c:numCache>
                <c:formatCode>[$-411]gee\.mm;@</c:formatCode>
                <c:ptCount val="60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</c:numCache>
            </c:numRef>
          </c:cat>
          <c:val>
            <c:numRef>
              <c:f>経費推移!$S$3:$S$62</c:f>
              <c:numCache>
                <c:formatCode>#,##0_ ;[Red]\-#,##0\ </c:formatCode>
                <c:ptCount val="60"/>
                <c:pt idx="0">
                  <c:v>39406478.083333336</c:v>
                </c:pt>
                <c:pt idx="1">
                  <c:v>39406478.083333336</c:v>
                </c:pt>
                <c:pt idx="2">
                  <c:v>39406478.083333336</c:v>
                </c:pt>
                <c:pt idx="3">
                  <c:v>39406478.083333336</c:v>
                </c:pt>
                <c:pt idx="4">
                  <c:v>39406478.083333336</c:v>
                </c:pt>
                <c:pt idx="5">
                  <c:v>39406478.083333336</c:v>
                </c:pt>
                <c:pt idx="6">
                  <c:v>39406478.083333336</c:v>
                </c:pt>
                <c:pt idx="7">
                  <c:v>39406478.083333336</c:v>
                </c:pt>
                <c:pt idx="8">
                  <c:v>39406478.083333336</c:v>
                </c:pt>
                <c:pt idx="9">
                  <c:v>39406478.083333336</c:v>
                </c:pt>
                <c:pt idx="10">
                  <c:v>39406478.083333336</c:v>
                </c:pt>
                <c:pt idx="11">
                  <c:v>39406478.083333336</c:v>
                </c:pt>
                <c:pt idx="12">
                  <c:v>39406478.083333336</c:v>
                </c:pt>
                <c:pt idx="13">
                  <c:v>39406478.083333336</c:v>
                </c:pt>
                <c:pt idx="14">
                  <c:v>39406478.083333336</c:v>
                </c:pt>
                <c:pt idx="15">
                  <c:v>39406478.083333336</c:v>
                </c:pt>
                <c:pt idx="16">
                  <c:v>39406478.083333336</c:v>
                </c:pt>
                <c:pt idx="17">
                  <c:v>39406478.083333336</c:v>
                </c:pt>
                <c:pt idx="18">
                  <c:v>39406478.083333336</c:v>
                </c:pt>
                <c:pt idx="19">
                  <c:v>39406478.083333336</c:v>
                </c:pt>
                <c:pt idx="20">
                  <c:v>39406478.083333336</c:v>
                </c:pt>
                <c:pt idx="21">
                  <c:v>39406478.083333336</c:v>
                </c:pt>
                <c:pt idx="22">
                  <c:v>39406478.083333336</c:v>
                </c:pt>
                <c:pt idx="23">
                  <c:v>39406478.083333336</c:v>
                </c:pt>
                <c:pt idx="24">
                  <c:v>39406478.083333336</c:v>
                </c:pt>
                <c:pt idx="25">
                  <c:v>39406478.083333336</c:v>
                </c:pt>
                <c:pt idx="26">
                  <c:v>39406478.083333336</c:v>
                </c:pt>
                <c:pt idx="27">
                  <c:v>39406478.083333336</c:v>
                </c:pt>
                <c:pt idx="28">
                  <c:v>39406478.083333336</c:v>
                </c:pt>
                <c:pt idx="29">
                  <c:v>39406478.083333336</c:v>
                </c:pt>
                <c:pt idx="30">
                  <c:v>39406478.083333336</c:v>
                </c:pt>
                <c:pt idx="31">
                  <c:v>39406478.083333336</c:v>
                </c:pt>
                <c:pt idx="32">
                  <c:v>39406478.083333336</c:v>
                </c:pt>
                <c:pt idx="33">
                  <c:v>39406478.083333336</c:v>
                </c:pt>
                <c:pt idx="34">
                  <c:v>39406478.083333336</c:v>
                </c:pt>
                <c:pt idx="35">
                  <c:v>39406478.083333336</c:v>
                </c:pt>
                <c:pt idx="36">
                  <c:v>39406478.083333336</c:v>
                </c:pt>
                <c:pt idx="37">
                  <c:v>39406478.083333336</c:v>
                </c:pt>
                <c:pt idx="38">
                  <c:v>39406478.083333336</c:v>
                </c:pt>
                <c:pt idx="39">
                  <c:v>39406478.083333336</c:v>
                </c:pt>
                <c:pt idx="40">
                  <c:v>39406478.083333336</c:v>
                </c:pt>
                <c:pt idx="41">
                  <c:v>39406478.083333336</c:v>
                </c:pt>
                <c:pt idx="42">
                  <c:v>39406478.083333336</c:v>
                </c:pt>
                <c:pt idx="43">
                  <c:v>39406478.083333336</c:v>
                </c:pt>
                <c:pt idx="44">
                  <c:v>39406478.083333336</c:v>
                </c:pt>
                <c:pt idx="45">
                  <c:v>39406478.083333336</c:v>
                </c:pt>
                <c:pt idx="46">
                  <c:v>39406478.083333336</c:v>
                </c:pt>
                <c:pt idx="47">
                  <c:v>39406478.083333336</c:v>
                </c:pt>
                <c:pt idx="48">
                  <c:v>39406478.083333336</c:v>
                </c:pt>
                <c:pt idx="49">
                  <c:v>39406478.083333336</c:v>
                </c:pt>
                <c:pt idx="50">
                  <c:v>39406478.083333336</c:v>
                </c:pt>
                <c:pt idx="51">
                  <c:v>39406478.083333336</c:v>
                </c:pt>
                <c:pt idx="52">
                  <c:v>39406478.083333336</c:v>
                </c:pt>
                <c:pt idx="53">
                  <c:v>39406478.083333336</c:v>
                </c:pt>
                <c:pt idx="54">
                  <c:v>39406478.083333336</c:v>
                </c:pt>
                <c:pt idx="55">
                  <c:v>39406478.083333336</c:v>
                </c:pt>
                <c:pt idx="56">
                  <c:v>39406478.083333336</c:v>
                </c:pt>
                <c:pt idx="57">
                  <c:v>39406478.083333336</c:v>
                </c:pt>
                <c:pt idx="58">
                  <c:v>39406478.083333336</c:v>
                </c:pt>
                <c:pt idx="59">
                  <c:v>39406478.083333336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87784"/>
        <c:axId val="453385040"/>
        <c:extLst>
          <c:ext xmlns:c15="http://schemas.microsoft.com/office/drawing/2012/chart" uri="{02D57815-91ED-43cb-92C2-25804820EDAC}">
            <c15:filteredLineSeries>
              <c15:ser>
                <c:idx val="11"/>
                <c:order val="11"/>
                <c:tx>
                  <c:strRef>
                    <c:extLst>
                      <c:ext uri="{02D57815-91ED-43cb-92C2-25804820EDAC}">
                        <c15:formulaRef>
                          <c15:sqref>経費推移!$M$2</c15:sqref>
                        </c15:formulaRef>
                      </c:ext>
                    </c:extLst>
                    <c:strCache>
                      <c:ptCount val="1"/>
                      <c:pt idx="0">
                        <c:v>人件費比率</c:v>
                      </c:pt>
                    </c:strCache>
                  </c:strRef>
                </c:tx>
                <c:spPr>
                  <a:ln>
                    <a:solidFill>
                      <a:srgbClr val="FF00FF"/>
                    </a:solidFill>
                  </a:ln>
                </c:spPr>
                <c:marker>
                  <c:symbol val="square"/>
                  <c:size val="7"/>
                  <c:spPr>
                    <a:solidFill>
                      <a:srgbClr val="FF00FF"/>
                    </a:solidFill>
                    <a:ln>
                      <a:noFill/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経費推移!$A$3:$A$62</c15:sqref>
                        </c15:formulaRef>
                      </c:ext>
                    </c:extLst>
                    <c:numCache>
                      <c:formatCode>[$-411]gee\.mm;@</c:formatCode>
                      <c:ptCount val="60"/>
                      <c:pt idx="0">
                        <c:v>41760</c:v>
                      </c:pt>
                      <c:pt idx="1">
                        <c:v>41791</c:v>
                      </c:pt>
                      <c:pt idx="2">
                        <c:v>41821</c:v>
                      </c:pt>
                      <c:pt idx="3">
                        <c:v>41852</c:v>
                      </c:pt>
                      <c:pt idx="4">
                        <c:v>41883</c:v>
                      </c:pt>
                      <c:pt idx="5">
                        <c:v>41913</c:v>
                      </c:pt>
                      <c:pt idx="6">
                        <c:v>41944</c:v>
                      </c:pt>
                      <c:pt idx="7">
                        <c:v>41974</c:v>
                      </c:pt>
                      <c:pt idx="8">
                        <c:v>42005</c:v>
                      </c:pt>
                      <c:pt idx="9">
                        <c:v>42036</c:v>
                      </c:pt>
                      <c:pt idx="10">
                        <c:v>42064</c:v>
                      </c:pt>
                      <c:pt idx="11">
                        <c:v>42095</c:v>
                      </c:pt>
                      <c:pt idx="12">
                        <c:v>42125</c:v>
                      </c:pt>
                      <c:pt idx="13">
                        <c:v>42156</c:v>
                      </c:pt>
                      <c:pt idx="14">
                        <c:v>42186</c:v>
                      </c:pt>
                      <c:pt idx="15">
                        <c:v>42217</c:v>
                      </c:pt>
                      <c:pt idx="16">
                        <c:v>42248</c:v>
                      </c:pt>
                      <c:pt idx="17">
                        <c:v>42278</c:v>
                      </c:pt>
                      <c:pt idx="18">
                        <c:v>42309</c:v>
                      </c:pt>
                      <c:pt idx="19">
                        <c:v>42339</c:v>
                      </c:pt>
                      <c:pt idx="20">
                        <c:v>42370</c:v>
                      </c:pt>
                      <c:pt idx="21">
                        <c:v>42401</c:v>
                      </c:pt>
                      <c:pt idx="22">
                        <c:v>42430</c:v>
                      </c:pt>
                      <c:pt idx="23">
                        <c:v>42461</c:v>
                      </c:pt>
                      <c:pt idx="24">
                        <c:v>42491</c:v>
                      </c:pt>
                      <c:pt idx="25">
                        <c:v>42522</c:v>
                      </c:pt>
                      <c:pt idx="26">
                        <c:v>42552</c:v>
                      </c:pt>
                      <c:pt idx="27">
                        <c:v>42583</c:v>
                      </c:pt>
                      <c:pt idx="28">
                        <c:v>42614</c:v>
                      </c:pt>
                      <c:pt idx="29">
                        <c:v>42644</c:v>
                      </c:pt>
                      <c:pt idx="30">
                        <c:v>42675</c:v>
                      </c:pt>
                      <c:pt idx="31">
                        <c:v>42705</c:v>
                      </c:pt>
                      <c:pt idx="32">
                        <c:v>42736</c:v>
                      </c:pt>
                      <c:pt idx="33">
                        <c:v>42767</c:v>
                      </c:pt>
                      <c:pt idx="34">
                        <c:v>42795</c:v>
                      </c:pt>
                      <c:pt idx="35">
                        <c:v>42826</c:v>
                      </c:pt>
                      <c:pt idx="36">
                        <c:v>42856</c:v>
                      </c:pt>
                      <c:pt idx="37">
                        <c:v>42887</c:v>
                      </c:pt>
                      <c:pt idx="38">
                        <c:v>42917</c:v>
                      </c:pt>
                      <c:pt idx="39">
                        <c:v>42948</c:v>
                      </c:pt>
                      <c:pt idx="40">
                        <c:v>42979</c:v>
                      </c:pt>
                      <c:pt idx="41">
                        <c:v>43009</c:v>
                      </c:pt>
                      <c:pt idx="42">
                        <c:v>43040</c:v>
                      </c:pt>
                      <c:pt idx="43">
                        <c:v>43070</c:v>
                      </c:pt>
                      <c:pt idx="44">
                        <c:v>43101</c:v>
                      </c:pt>
                      <c:pt idx="45">
                        <c:v>43132</c:v>
                      </c:pt>
                      <c:pt idx="46">
                        <c:v>43160</c:v>
                      </c:pt>
                      <c:pt idx="47">
                        <c:v>43191</c:v>
                      </c:pt>
                      <c:pt idx="48">
                        <c:v>43221</c:v>
                      </c:pt>
                      <c:pt idx="49">
                        <c:v>43252</c:v>
                      </c:pt>
                      <c:pt idx="50">
                        <c:v>43282</c:v>
                      </c:pt>
                      <c:pt idx="51">
                        <c:v>43313</c:v>
                      </c:pt>
                      <c:pt idx="52">
                        <c:v>43344</c:v>
                      </c:pt>
                      <c:pt idx="53">
                        <c:v>43374</c:v>
                      </c:pt>
                      <c:pt idx="54">
                        <c:v>43405</c:v>
                      </c:pt>
                      <c:pt idx="55">
                        <c:v>43435</c:v>
                      </c:pt>
                      <c:pt idx="56">
                        <c:v>43466</c:v>
                      </c:pt>
                      <c:pt idx="57">
                        <c:v>43497</c:v>
                      </c:pt>
                      <c:pt idx="58">
                        <c:v>43525</c:v>
                      </c:pt>
                      <c:pt idx="59">
                        <c:v>43556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経費推移!$M$3:$M$62</c15:sqref>
                        </c15:formulaRef>
                      </c:ext>
                    </c:extLst>
                    <c:numCache>
                      <c:formatCode>0.0%</c:formatCode>
                      <c:ptCount val="60"/>
                      <c:pt idx="0">
                        <c:v>0.75415679655337509</c:v>
                      </c:pt>
                      <c:pt idx="1">
                        <c:v>0.74639311784066231</c:v>
                      </c:pt>
                      <c:pt idx="2">
                        <c:v>0.82669116819703348</c:v>
                      </c:pt>
                      <c:pt idx="3">
                        <c:v>0.70582670017645621</c:v>
                      </c:pt>
                      <c:pt idx="4">
                        <c:v>0.76588157645462718</c:v>
                      </c:pt>
                      <c:pt idx="5">
                        <c:v>0.78801804737394621</c:v>
                      </c:pt>
                      <c:pt idx="6">
                        <c:v>0.70035407169918973</c:v>
                      </c:pt>
                      <c:pt idx="7">
                        <c:v>0.85690186487107944</c:v>
                      </c:pt>
                      <c:pt idx="8">
                        <c:v>0.77998002793559851</c:v>
                      </c:pt>
                      <c:pt idx="9">
                        <c:v>0.76461394544777439</c:v>
                      </c:pt>
                      <c:pt idx="10">
                        <c:v>0.66477568126643416</c:v>
                      </c:pt>
                      <c:pt idx="11">
                        <c:v>0.64887908784652926</c:v>
                      </c:pt>
                      <c:pt idx="12">
                        <c:v>0.65585895607004563</c:v>
                      </c:pt>
                      <c:pt idx="13">
                        <c:v>0.84676994304179265</c:v>
                      </c:pt>
                      <c:pt idx="14">
                        <c:v>0.72549331411048756</c:v>
                      </c:pt>
                      <c:pt idx="15">
                        <c:v>0.71526448128515774</c:v>
                      </c:pt>
                      <c:pt idx="16">
                        <c:v>0.65832197312650864</c:v>
                      </c:pt>
                      <c:pt idx="17">
                        <c:v>0.70235453358447852</c:v>
                      </c:pt>
                      <c:pt idx="18">
                        <c:v>0.705250146459238</c:v>
                      </c:pt>
                      <c:pt idx="19">
                        <c:v>1.0359463044066779</c:v>
                      </c:pt>
                      <c:pt idx="20">
                        <c:v>0.84786562214981398</c:v>
                      </c:pt>
                      <c:pt idx="21">
                        <c:v>0.70528080947674099</c:v>
                      </c:pt>
                      <c:pt idx="22">
                        <c:v>0.64061546585112505</c:v>
                      </c:pt>
                      <c:pt idx="23">
                        <c:v>0.68375380333142455</c:v>
                      </c:pt>
                      <c:pt idx="24">
                        <c:v>0.6919947522239096</c:v>
                      </c:pt>
                      <c:pt idx="25">
                        <c:v>1.2568371560167217</c:v>
                      </c:pt>
                      <c:pt idx="26">
                        <c:v>0.67259920329789458</c:v>
                      </c:pt>
                      <c:pt idx="27">
                        <c:v>0.78322867133254359</c:v>
                      </c:pt>
                      <c:pt idx="28">
                        <c:v>0.79840817302977718</c:v>
                      </c:pt>
                      <c:pt idx="29">
                        <c:v>0.67678045102624718</c:v>
                      </c:pt>
                      <c:pt idx="30">
                        <c:v>0.64708571008962279</c:v>
                      </c:pt>
                      <c:pt idx="31">
                        <c:v>0.86798868880037117</c:v>
                      </c:pt>
                      <c:pt idx="32">
                        <c:v>0.81089021658735405</c:v>
                      </c:pt>
                      <c:pt idx="33">
                        <c:v>0.69001786232631968</c:v>
                      </c:pt>
                      <c:pt idx="34">
                        <c:v>0.69412654564588261</c:v>
                      </c:pt>
                      <c:pt idx="35">
                        <c:v>0.70305584068575122</c:v>
                      </c:pt>
                      <c:pt idx="36">
                        <c:v>0.62523197771900851</c:v>
                      </c:pt>
                      <c:pt idx="37">
                        <c:v>0.72019825862737819</c:v>
                      </c:pt>
                      <c:pt idx="38">
                        <c:v>0.6783749224230311</c:v>
                      </c:pt>
                      <c:pt idx="39">
                        <c:v>0.68060180544039051</c:v>
                      </c:pt>
                      <c:pt idx="40">
                        <c:v>0.62933330920308939</c:v>
                      </c:pt>
                      <c:pt idx="41">
                        <c:v>0.62984874117395107</c:v>
                      </c:pt>
                      <c:pt idx="42">
                        <c:v>0.67949104670052363</c:v>
                      </c:pt>
                      <c:pt idx="43">
                        <c:v>0.99579102894844695</c:v>
                      </c:pt>
                      <c:pt idx="44">
                        <c:v>0.81246847199406014</c:v>
                      </c:pt>
                      <c:pt idx="45">
                        <c:v>0.68998800259931325</c:v>
                      </c:pt>
                      <c:pt idx="46">
                        <c:v>0.6932556018212771</c:v>
                      </c:pt>
                      <c:pt idx="47">
                        <c:v>0.61889055094407031</c:v>
                      </c:pt>
                      <c:pt idx="48">
                        <c:v>0.60268844486492357</c:v>
                      </c:pt>
                      <c:pt idx="49">
                        <c:v>0.87870182113806894</c:v>
                      </c:pt>
                      <c:pt idx="50">
                        <c:v>0.71610660029785855</c:v>
                      </c:pt>
                      <c:pt idx="51">
                        <c:v>0.72241620247741389</c:v>
                      </c:pt>
                      <c:pt idx="52">
                        <c:v>0.68169433885236597</c:v>
                      </c:pt>
                      <c:pt idx="53">
                        <c:v>0.65299851593060287</c:v>
                      </c:pt>
                      <c:pt idx="54">
                        <c:v>0.66938101026874508</c:v>
                      </c:pt>
                      <c:pt idx="55">
                        <c:v>1.0674128619769698</c:v>
                      </c:pt>
                      <c:pt idx="56">
                        <c:v>0.69706065014756413</c:v>
                      </c:pt>
                      <c:pt idx="57">
                        <c:v>0.69407233567973492</c:v>
                      </c:pt>
                      <c:pt idx="58">
                        <c:v>0.6695589861799599</c:v>
                      </c:pt>
                      <c:pt idx="59">
                        <c:v>0.66203727921922229</c:v>
                      </c:pt>
                    </c:numCache>
                  </c:numRef>
                </c: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B-1AF6-472B-986C-560B8E925365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経費推移!$N$2</c15:sqref>
                        </c15:formulaRef>
                      </c:ext>
                    </c:extLst>
                    <c:strCache>
                      <c:ptCount val="1"/>
                      <c:pt idx="0">
                        <c:v>営業利益</c:v>
                      </c:pt>
                    </c:strCache>
                  </c:strRef>
                </c:tx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経費推移!$A$3:$A$62</c15:sqref>
                        </c15:formulaRef>
                      </c:ext>
                    </c:extLst>
                    <c:numCache>
                      <c:formatCode>[$-411]gee\.mm;@</c:formatCode>
                      <c:ptCount val="60"/>
                      <c:pt idx="0">
                        <c:v>41760</c:v>
                      </c:pt>
                      <c:pt idx="1">
                        <c:v>41791</c:v>
                      </c:pt>
                      <c:pt idx="2">
                        <c:v>41821</c:v>
                      </c:pt>
                      <c:pt idx="3">
                        <c:v>41852</c:v>
                      </c:pt>
                      <c:pt idx="4">
                        <c:v>41883</c:v>
                      </c:pt>
                      <c:pt idx="5">
                        <c:v>41913</c:v>
                      </c:pt>
                      <c:pt idx="6">
                        <c:v>41944</c:v>
                      </c:pt>
                      <c:pt idx="7">
                        <c:v>41974</c:v>
                      </c:pt>
                      <c:pt idx="8">
                        <c:v>42005</c:v>
                      </c:pt>
                      <c:pt idx="9">
                        <c:v>42036</c:v>
                      </c:pt>
                      <c:pt idx="10">
                        <c:v>42064</c:v>
                      </c:pt>
                      <c:pt idx="11">
                        <c:v>42095</c:v>
                      </c:pt>
                      <c:pt idx="12">
                        <c:v>42125</c:v>
                      </c:pt>
                      <c:pt idx="13">
                        <c:v>42156</c:v>
                      </c:pt>
                      <c:pt idx="14">
                        <c:v>42186</c:v>
                      </c:pt>
                      <c:pt idx="15">
                        <c:v>42217</c:v>
                      </c:pt>
                      <c:pt idx="16">
                        <c:v>42248</c:v>
                      </c:pt>
                      <c:pt idx="17">
                        <c:v>42278</c:v>
                      </c:pt>
                      <c:pt idx="18">
                        <c:v>42309</c:v>
                      </c:pt>
                      <c:pt idx="19">
                        <c:v>42339</c:v>
                      </c:pt>
                      <c:pt idx="20">
                        <c:v>42370</c:v>
                      </c:pt>
                      <c:pt idx="21">
                        <c:v>42401</c:v>
                      </c:pt>
                      <c:pt idx="22">
                        <c:v>42430</c:v>
                      </c:pt>
                      <c:pt idx="23">
                        <c:v>42461</c:v>
                      </c:pt>
                      <c:pt idx="24">
                        <c:v>42491</c:v>
                      </c:pt>
                      <c:pt idx="25">
                        <c:v>42522</c:v>
                      </c:pt>
                      <c:pt idx="26">
                        <c:v>42552</c:v>
                      </c:pt>
                      <c:pt idx="27">
                        <c:v>42583</c:v>
                      </c:pt>
                      <c:pt idx="28">
                        <c:v>42614</c:v>
                      </c:pt>
                      <c:pt idx="29">
                        <c:v>42644</c:v>
                      </c:pt>
                      <c:pt idx="30">
                        <c:v>42675</c:v>
                      </c:pt>
                      <c:pt idx="31">
                        <c:v>42705</c:v>
                      </c:pt>
                      <c:pt idx="32">
                        <c:v>42736</c:v>
                      </c:pt>
                      <c:pt idx="33">
                        <c:v>42767</c:v>
                      </c:pt>
                      <c:pt idx="34">
                        <c:v>42795</c:v>
                      </c:pt>
                      <c:pt idx="35">
                        <c:v>42826</c:v>
                      </c:pt>
                      <c:pt idx="36">
                        <c:v>42856</c:v>
                      </c:pt>
                      <c:pt idx="37">
                        <c:v>42887</c:v>
                      </c:pt>
                      <c:pt idx="38">
                        <c:v>42917</c:v>
                      </c:pt>
                      <c:pt idx="39">
                        <c:v>42948</c:v>
                      </c:pt>
                      <c:pt idx="40">
                        <c:v>42979</c:v>
                      </c:pt>
                      <c:pt idx="41">
                        <c:v>43009</c:v>
                      </c:pt>
                      <c:pt idx="42">
                        <c:v>43040</c:v>
                      </c:pt>
                      <c:pt idx="43">
                        <c:v>43070</c:v>
                      </c:pt>
                      <c:pt idx="44">
                        <c:v>43101</c:v>
                      </c:pt>
                      <c:pt idx="45">
                        <c:v>43132</c:v>
                      </c:pt>
                      <c:pt idx="46">
                        <c:v>43160</c:v>
                      </c:pt>
                      <c:pt idx="47">
                        <c:v>43191</c:v>
                      </c:pt>
                      <c:pt idx="48">
                        <c:v>43221</c:v>
                      </c:pt>
                      <c:pt idx="49">
                        <c:v>43252</c:v>
                      </c:pt>
                      <c:pt idx="50">
                        <c:v>43282</c:v>
                      </c:pt>
                      <c:pt idx="51">
                        <c:v>43313</c:v>
                      </c:pt>
                      <c:pt idx="52">
                        <c:v>43344</c:v>
                      </c:pt>
                      <c:pt idx="53">
                        <c:v>43374</c:v>
                      </c:pt>
                      <c:pt idx="54">
                        <c:v>43405</c:v>
                      </c:pt>
                      <c:pt idx="55">
                        <c:v>43435</c:v>
                      </c:pt>
                      <c:pt idx="56">
                        <c:v>43466</c:v>
                      </c:pt>
                      <c:pt idx="57">
                        <c:v>43497</c:v>
                      </c:pt>
                      <c:pt idx="58">
                        <c:v>43525</c:v>
                      </c:pt>
                      <c:pt idx="59">
                        <c:v>43556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経費推移!$N$3:$N$62</c15:sqref>
                        </c15:formulaRef>
                      </c:ext>
                    </c:extLst>
                    <c:numCache>
                      <c:formatCode>#,##0_ ;[Red]\-#,##0\ </c:formatCode>
                      <c:ptCount val="60"/>
                      <c:pt idx="0">
                        <c:v>-1021099</c:v>
                      </c:pt>
                      <c:pt idx="1">
                        <c:v>374854.5</c:v>
                      </c:pt>
                      <c:pt idx="2">
                        <c:v>-2121135</c:v>
                      </c:pt>
                      <c:pt idx="3">
                        <c:v>839705</c:v>
                      </c:pt>
                      <c:pt idx="4">
                        <c:v>-473124.5</c:v>
                      </c:pt>
                      <c:pt idx="5">
                        <c:v>-844415</c:v>
                      </c:pt>
                      <c:pt idx="6">
                        <c:v>1790926.5</c:v>
                      </c:pt>
                      <c:pt idx="7">
                        <c:v>-2991778</c:v>
                      </c:pt>
                      <c:pt idx="8">
                        <c:v>13509.5</c:v>
                      </c:pt>
                      <c:pt idx="9">
                        <c:v>-697108.5</c:v>
                      </c:pt>
                      <c:pt idx="10">
                        <c:v>2550688</c:v>
                      </c:pt>
                      <c:pt idx="11">
                        <c:v>3135591.5</c:v>
                      </c:pt>
                      <c:pt idx="12">
                        <c:v>2730595</c:v>
                      </c:pt>
                      <c:pt idx="13">
                        <c:v>-1573024.5</c:v>
                      </c:pt>
                      <c:pt idx="14">
                        <c:v>1092259</c:v>
                      </c:pt>
                      <c:pt idx="15">
                        <c:v>363014.5</c:v>
                      </c:pt>
                      <c:pt idx="16">
                        <c:v>2831175</c:v>
                      </c:pt>
                      <c:pt idx="17">
                        <c:v>295586</c:v>
                      </c:pt>
                      <c:pt idx="18">
                        <c:v>687431</c:v>
                      </c:pt>
                      <c:pt idx="19">
                        <c:v>-7231147</c:v>
                      </c:pt>
                      <c:pt idx="20">
                        <c:v>-2094251</c:v>
                      </c:pt>
                      <c:pt idx="21">
                        <c:v>1278758</c:v>
                      </c:pt>
                      <c:pt idx="22">
                        <c:v>3283892</c:v>
                      </c:pt>
                      <c:pt idx="23">
                        <c:v>2706218</c:v>
                      </c:pt>
                      <c:pt idx="24">
                        <c:v>1888311</c:v>
                      </c:pt>
                      <c:pt idx="25">
                        <c:v>-12819411</c:v>
                      </c:pt>
                      <c:pt idx="26">
                        <c:v>2910668</c:v>
                      </c:pt>
                      <c:pt idx="27">
                        <c:v>-894912</c:v>
                      </c:pt>
                      <c:pt idx="28">
                        <c:v>-1821042</c:v>
                      </c:pt>
                      <c:pt idx="29">
                        <c:v>2607886</c:v>
                      </c:pt>
                      <c:pt idx="30">
                        <c:v>4478111</c:v>
                      </c:pt>
                      <c:pt idx="31">
                        <c:v>-2675853</c:v>
                      </c:pt>
                      <c:pt idx="32">
                        <c:v>-2450275</c:v>
                      </c:pt>
                      <c:pt idx="33">
                        <c:v>1506995</c:v>
                      </c:pt>
                      <c:pt idx="34">
                        <c:v>958618</c:v>
                      </c:pt>
                      <c:pt idx="35">
                        <c:v>129833</c:v>
                      </c:pt>
                      <c:pt idx="36">
                        <c:v>3741169</c:v>
                      </c:pt>
                      <c:pt idx="37">
                        <c:v>2834537</c:v>
                      </c:pt>
                      <c:pt idx="38">
                        <c:v>5046051</c:v>
                      </c:pt>
                      <c:pt idx="39">
                        <c:v>2392346</c:v>
                      </c:pt>
                      <c:pt idx="40">
                        <c:v>6181729</c:v>
                      </c:pt>
                      <c:pt idx="41">
                        <c:v>6646757</c:v>
                      </c:pt>
                      <c:pt idx="42">
                        <c:v>3041895</c:v>
                      </c:pt>
                      <c:pt idx="43">
                        <c:v>-8657791</c:v>
                      </c:pt>
                      <c:pt idx="44">
                        <c:v>-2172375</c:v>
                      </c:pt>
                      <c:pt idx="45">
                        <c:v>2520437</c:v>
                      </c:pt>
                      <c:pt idx="46">
                        <c:v>682264</c:v>
                      </c:pt>
                      <c:pt idx="47">
                        <c:v>4677971</c:v>
                      </c:pt>
                      <c:pt idx="48">
                        <c:v>5545309</c:v>
                      </c:pt>
                      <c:pt idx="49">
                        <c:v>-6877412</c:v>
                      </c:pt>
                      <c:pt idx="50">
                        <c:v>402662</c:v>
                      </c:pt>
                      <c:pt idx="51">
                        <c:v>-1107537</c:v>
                      </c:pt>
                      <c:pt idx="52">
                        <c:v>1788697</c:v>
                      </c:pt>
                      <c:pt idx="53">
                        <c:v>153279</c:v>
                      </c:pt>
                      <c:pt idx="54">
                        <c:v>4250230</c:v>
                      </c:pt>
                      <c:pt idx="55">
                        <c:v>-11302155</c:v>
                      </c:pt>
                      <c:pt idx="56">
                        <c:v>2938935</c:v>
                      </c:pt>
                      <c:pt idx="57">
                        <c:v>2756684</c:v>
                      </c:pt>
                      <c:pt idx="58">
                        <c:v>4576531</c:v>
                      </c:pt>
                      <c:pt idx="59">
                        <c:v>5500935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経費推移!$O$2</c15:sqref>
                        </c15:formulaRef>
                      </c:ext>
                    </c:extLst>
                    <c:strCache>
                      <c:ptCount val="1"/>
                      <c:pt idx="0">
                        <c:v>営業外収益</c:v>
                      </c:pt>
                    </c:strCache>
                  </c:strRef>
                </c:tx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経費推移!$A$3:$A$62</c15:sqref>
                        </c15:formulaRef>
                      </c:ext>
                    </c:extLst>
                    <c:numCache>
                      <c:formatCode>[$-411]gee\.mm;@</c:formatCode>
                      <c:ptCount val="60"/>
                      <c:pt idx="0">
                        <c:v>41760</c:v>
                      </c:pt>
                      <c:pt idx="1">
                        <c:v>41791</c:v>
                      </c:pt>
                      <c:pt idx="2">
                        <c:v>41821</c:v>
                      </c:pt>
                      <c:pt idx="3">
                        <c:v>41852</c:v>
                      </c:pt>
                      <c:pt idx="4">
                        <c:v>41883</c:v>
                      </c:pt>
                      <c:pt idx="5">
                        <c:v>41913</c:v>
                      </c:pt>
                      <c:pt idx="6">
                        <c:v>41944</c:v>
                      </c:pt>
                      <c:pt idx="7">
                        <c:v>41974</c:v>
                      </c:pt>
                      <c:pt idx="8">
                        <c:v>42005</c:v>
                      </c:pt>
                      <c:pt idx="9">
                        <c:v>42036</c:v>
                      </c:pt>
                      <c:pt idx="10">
                        <c:v>42064</c:v>
                      </c:pt>
                      <c:pt idx="11">
                        <c:v>42095</c:v>
                      </c:pt>
                      <c:pt idx="12">
                        <c:v>42125</c:v>
                      </c:pt>
                      <c:pt idx="13">
                        <c:v>42156</c:v>
                      </c:pt>
                      <c:pt idx="14">
                        <c:v>42186</c:v>
                      </c:pt>
                      <c:pt idx="15">
                        <c:v>42217</c:v>
                      </c:pt>
                      <c:pt idx="16">
                        <c:v>42248</c:v>
                      </c:pt>
                      <c:pt idx="17">
                        <c:v>42278</c:v>
                      </c:pt>
                      <c:pt idx="18">
                        <c:v>42309</c:v>
                      </c:pt>
                      <c:pt idx="19">
                        <c:v>42339</c:v>
                      </c:pt>
                      <c:pt idx="20">
                        <c:v>42370</c:v>
                      </c:pt>
                      <c:pt idx="21">
                        <c:v>42401</c:v>
                      </c:pt>
                      <c:pt idx="22">
                        <c:v>42430</c:v>
                      </c:pt>
                      <c:pt idx="23">
                        <c:v>42461</c:v>
                      </c:pt>
                      <c:pt idx="24">
                        <c:v>42491</c:v>
                      </c:pt>
                      <c:pt idx="25">
                        <c:v>42522</c:v>
                      </c:pt>
                      <c:pt idx="26">
                        <c:v>42552</c:v>
                      </c:pt>
                      <c:pt idx="27">
                        <c:v>42583</c:v>
                      </c:pt>
                      <c:pt idx="28">
                        <c:v>42614</c:v>
                      </c:pt>
                      <c:pt idx="29">
                        <c:v>42644</c:v>
                      </c:pt>
                      <c:pt idx="30">
                        <c:v>42675</c:v>
                      </c:pt>
                      <c:pt idx="31">
                        <c:v>42705</c:v>
                      </c:pt>
                      <c:pt idx="32">
                        <c:v>42736</c:v>
                      </c:pt>
                      <c:pt idx="33">
                        <c:v>42767</c:v>
                      </c:pt>
                      <c:pt idx="34">
                        <c:v>42795</c:v>
                      </c:pt>
                      <c:pt idx="35">
                        <c:v>42826</c:v>
                      </c:pt>
                      <c:pt idx="36">
                        <c:v>42856</c:v>
                      </c:pt>
                      <c:pt idx="37">
                        <c:v>42887</c:v>
                      </c:pt>
                      <c:pt idx="38">
                        <c:v>42917</c:v>
                      </c:pt>
                      <c:pt idx="39">
                        <c:v>42948</c:v>
                      </c:pt>
                      <c:pt idx="40">
                        <c:v>42979</c:v>
                      </c:pt>
                      <c:pt idx="41">
                        <c:v>43009</c:v>
                      </c:pt>
                      <c:pt idx="42">
                        <c:v>43040</c:v>
                      </c:pt>
                      <c:pt idx="43">
                        <c:v>43070</c:v>
                      </c:pt>
                      <c:pt idx="44">
                        <c:v>43101</c:v>
                      </c:pt>
                      <c:pt idx="45">
                        <c:v>43132</c:v>
                      </c:pt>
                      <c:pt idx="46">
                        <c:v>43160</c:v>
                      </c:pt>
                      <c:pt idx="47">
                        <c:v>43191</c:v>
                      </c:pt>
                      <c:pt idx="48">
                        <c:v>43221</c:v>
                      </c:pt>
                      <c:pt idx="49">
                        <c:v>43252</c:v>
                      </c:pt>
                      <c:pt idx="50">
                        <c:v>43282</c:v>
                      </c:pt>
                      <c:pt idx="51">
                        <c:v>43313</c:v>
                      </c:pt>
                      <c:pt idx="52">
                        <c:v>43344</c:v>
                      </c:pt>
                      <c:pt idx="53">
                        <c:v>43374</c:v>
                      </c:pt>
                      <c:pt idx="54">
                        <c:v>43405</c:v>
                      </c:pt>
                      <c:pt idx="55">
                        <c:v>43435</c:v>
                      </c:pt>
                      <c:pt idx="56">
                        <c:v>43466</c:v>
                      </c:pt>
                      <c:pt idx="57">
                        <c:v>43497</c:v>
                      </c:pt>
                      <c:pt idx="58">
                        <c:v>43525</c:v>
                      </c:pt>
                      <c:pt idx="59">
                        <c:v>43556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経費推移!$O$3:$O$62</c15:sqref>
                        </c15:formulaRef>
                      </c:ext>
                    </c:extLst>
                    <c:numCache>
                      <c:formatCode>#,##0_ ;[Red]\-#,##0\ </c:formatCode>
                      <c:ptCount val="60"/>
                      <c:pt idx="0">
                        <c:v>10805</c:v>
                      </c:pt>
                      <c:pt idx="1">
                        <c:v>6725</c:v>
                      </c:pt>
                      <c:pt idx="2">
                        <c:v>4989</c:v>
                      </c:pt>
                      <c:pt idx="3">
                        <c:v>8538</c:v>
                      </c:pt>
                      <c:pt idx="4">
                        <c:v>11478</c:v>
                      </c:pt>
                      <c:pt idx="5">
                        <c:v>4419</c:v>
                      </c:pt>
                      <c:pt idx="6">
                        <c:v>5111</c:v>
                      </c:pt>
                      <c:pt idx="7">
                        <c:v>122898</c:v>
                      </c:pt>
                      <c:pt idx="8">
                        <c:v>28900</c:v>
                      </c:pt>
                      <c:pt idx="9">
                        <c:v>6485</c:v>
                      </c:pt>
                      <c:pt idx="10">
                        <c:v>299959</c:v>
                      </c:pt>
                      <c:pt idx="11">
                        <c:v>4562</c:v>
                      </c:pt>
                      <c:pt idx="12">
                        <c:v>3752</c:v>
                      </c:pt>
                      <c:pt idx="13">
                        <c:v>6659</c:v>
                      </c:pt>
                      <c:pt idx="14">
                        <c:v>85300</c:v>
                      </c:pt>
                      <c:pt idx="15">
                        <c:v>6744</c:v>
                      </c:pt>
                      <c:pt idx="16">
                        <c:v>7034</c:v>
                      </c:pt>
                      <c:pt idx="17">
                        <c:v>5668</c:v>
                      </c:pt>
                      <c:pt idx="18">
                        <c:v>6605</c:v>
                      </c:pt>
                      <c:pt idx="19">
                        <c:v>4094</c:v>
                      </c:pt>
                      <c:pt idx="20">
                        <c:v>24483</c:v>
                      </c:pt>
                      <c:pt idx="21">
                        <c:v>5406</c:v>
                      </c:pt>
                      <c:pt idx="22">
                        <c:v>220123</c:v>
                      </c:pt>
                      <c:pt idx="23">
                        <c:v>3631</c:v>
                      </c:pt>
                      <c:pt idx="24">
                        <c:v>585595</c:v>
                      </c:pt>
                      <c:pt idx="25">
                        <c:v>16801</c:v>
                      </c:pt>
                      <c:pt idx="26">
                        <c:v>6378</c:v>
                      </c:pt>
                      <c:pt idx="27">
                        <c:v>6962</c:v>
                      </c:pt>
                      <c:pt idx="28">
                        <c:v>31120</c:v>
                      </c:pt>
                      <c:pt idx="29">
                        <c:v>9910</c:v>
                      </c:pt>
                      <c:pt idx="30">
                        <c:v>7897</c:v>
                      </c:pt>
                      <c:pt idx="31">
                        <c:v>5835</c:v>
                      </c:pt>
                      <c:pt idx="32">
                        <c:v>6823</c:v>
                      </c:pt>
                      <c:pt idx="33">
                        <c:v>6434</c:v>
                      </c:pt>
                      <c:pt idx="34">
                        <c:v>700432</c:v>
                      </c:pt>
                      <c:pt idx="35">
                        <c:v>205117</c:v>
                      </c:pt>
                      <c:pt idx="36">
                        <c:v>104315</c:v>
                      </c:pt>
                      <c:pt idx="37">
                        <c:v>11460</c:v>
                      </c:pt>
                      <c:pt idx="38">
                        <c:v>215737</c:v>
                      </c:pt>
                      <c:pt idx="39">
                        <c:v>197365</c:v>
                      </c:pt>
                      <c:pt idx="40">
                        <c:v>13417</c:v>
                      </c:pt>
                      <c:pt idx="41">
                        <c:v>113702</c:v>
                      </c:pt>
                      <c:pt idx="42">
                        <c:v>162234</c:v>
                      </c:pt>
                      <c:pt idx="43">
                        <c:v>210977</c:v>
                      </c:pt>
                      <c:pt idx="44">
                        <c:v>111637</c:v>
                      </c:pt>
                      <c:pt idx="45">
                        <c:v>12196</c:v>
                      </c:pt>
                      <c:pt idx="46">
                        <c:v>235621</c:v>
                      </c:pt>
                      <c:pt idx="47">
                        <c:v>240455</c:v>
                      </c:pt>
                      <c:pt idx="48">
                        <c:v>131692</c:v>
                      </c:pt>
                      <c:pt idx="49">
                        <c:v>138866</c:v>
                      </c:pt>
                      <c:pt idx="50">
                        <c:v>135812</c:v>
                      </c:pt>
                      <c:pt idx="51">
                        <c:v>170257</c:v>
                      </c:pt>
                      <c:pt idx="52">
                        <c:v>148771</c:v>
                      </c:pt>
                      <c:pt idx="53">
                        <c:v>142298</c:v>
                      </c:pt>
                      <c:pt idx="54">
                        <c:v>146805</c:v>
                      </c:pt>
                      <c:pt idx="55">
                        <c:v>369915</c:v>
                      </c:pt>
                      <c:pt idx="56">
                        <c:v>316282</c:v>
                      </c:pt>
                      <c:pt idx="57">
                        <c:v>308518</c:v>
                      </c:pt>
                      <c:pt idx="58">
                        <c:v>539685</c:v>
                      </c:pt>
                      <c:pt idx="59">
                        <c:v>215222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経費推移!$P$2</c15:sqref>
                        </c15:formulaRef>
                      </c:ext>
                    </c:extLst>
                    <c:strCache>
                      <c:ptCount val="1"/>
                      <c:pt idx="0">
                        <c:v>営業外費用</c:v>
                      </c:pt>
                    </c:strCache>
                  </c:strRef>
                </c:tx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経費推移!$A$3:$A$62</c15:sqref>
                        </c15:formulaRef>
                      </c:ext>
                    </c:extLst>
                    <c:numCache>
                      <c:formatCode>[$-411]gee\.mm;@</c:formatCode>
                      <c:ptCount val="60"/>
                      <c:pt idx="0">
                        <c:v>41760</c:v>
                      </c:pt>
                      <c:pt idx="1">
                        <c:v>41791</c:v>
                      </c:pt>
                      <c:pt idx="2">
                        <c:v>41821</c:v>
                      </c:pt>
                      <c:pt idx="3">
                        <c:v>41852</c:v>
                      </c:pt>
                      <c:pt idx="4">
                        <c:v>41883</c:v>
                      </c:pt>
                      <c:pt idx="5">
                        <c:v>41913</c:v>
                      </c:pt>
                      <c:pt idx="6">
                        <c:v>41944</c:v>
                      </c:pt>
                      <c:pt idx="7">
                        <c:v>41974</c:v>
                      </c:pt>
                      <c:pt idx="8">
                        <c:v>42005</c:v>
                      </c:pt>
                      <c:pt idx="9">
                        <c:v>42036</c:v>
                      </c:pt>
                      <c:pt idx="10">
                        <c:v>42064</c:v>
                      </c:pt>
                      <c:pt idx="11">
                        <c:v>42095</c:v>
                      </c:pt>
                      <c:pt idx="12">
                        <c:v>42125</c:v>
                      </c:pt>
                      <c:pt idx="13">
                        <c:v>42156</c:v>
                      </c:pt>
                      <c:pt idx="14">
                        <c:v>42186</c:v>
                      </c:pt>
                      <c:pt idx="15">
                        <c:v>42217</c:v>
                      </c:pt>
                      <c:pt idx="16">
                        <c:v>42248</c:v>
                      </c:pt>
                      <c:pt idx="17">
                        <c:v>42278</c:v>
                      </c:pt>
                      <c:pt idx="18">
                        <c:v>42309</c:v>
                      </c:pt>
                      <c:pt idx="19">
                        <c:v>42339</c:v>
                      </c:pt>
                      <c:pt idx="20">
                        <c:v>42370</c:v>
                      </c:pt>
                      <c:pt idx="21">
                        <c:v>42401</c:v>
                      </c:pt>
                      <c:pt idx="22">
                        <c:v>42430</c:v>
                      </c:pt>
                      <c:pt idx="23">
                        <c:v>42461</c:v>
                      </c:pt>
                      <c:pt idx="24">
                        <c:v>42491</c:v>
                      </c:pt>
                      <c:pt idx="25">
                        <c:v>42522</c:v>
                      </c:pt>
                      <c:pt idx="26">
                        <c:v>42552</c:v>
                      </c:pt>
                      <c:pt idx="27">
                        <c:v>42583</c:v>
                      </c:pt>
                      <c:pt idx="28">
                        <c:v>42614</c:v>
                      </c:pt>
                      <c:pt idx="29">
                        <c:v>42644</c:v>
                      </c:pt>
                      <c:pt idx="30">
                        <c:v>42675</c:v>
                      </c:pt>
                      <c:pt idx="31">
                        <c:v>42705</c:v>
                      </c:pt>
                      <c:pt idx="32">
                        <c:v>42736</c:v>
                      </c:pt>
                      <c:pt idx="33">
                        <c:v>42767</c:v>
                      </c:pt>
                      <c:pt idx="34">
                        <c:v>42795</c:v>
                      </c:pt>
                      <c:pt idx="35">
                        <c:v>42826</c:v>
                      </c:pt>
                      <c:pt idx="36">
                        <c:v>42856</c:v>
                      </c:pt>
                      <c:pt idx="37">
                        <c:v>42887</c:v>
                      </c:pt>
                      <c:pt idx="38">
                        <c:v>42917</c:v>
                      </c:pt>
                      <c:pt idx="39">
                        <c:v>42948</c:v>
                      </c:pt>
                      <c:pt idx="40">
                        <c:v>42979</c:v>
                      </c:pt>
                      <c:pt idx="41">
                        <c:v>43009</c:v>
                      </c:pt>
                      <c:pt idx="42">
                        <c:v>43040</c:v>
                      </c:pt>
                      <c:pt idx="43">
                        <c:v>43070</c:v>
                      </c:pt>
                      <c:pt idx="44">
                        <c:v>43101</c:v>
                      </c:pt>
                      <c:pt idx="45">
                        <c:v>43132</c:v>
                      </c:pt>
                      <c:pt idx="46">
                        <c:v>43160</c:v>
                      </c:pt>
                      <c:pt idx="47">
                        <c:v>43191</c:v>
                      </c:pt>
                      <c:pt idx="48">
                        <c:v>43221</c:v>
                      </c:pt>
                      <c:pt idx="49">
                        <c:v>43252</c:v>
                      </c:pt>
                      <c:pt idx="50">
                        <c:v>43282</c:v>
                      </c:pt>
                      <c:pt idx="51">
                        <c:v>43313</c:v>
                      </c:pt>
                      <c:pt idx="52">
                        <c:v>43344</c:v>
                      </c:pt>
                      <c:pt idx="53">
                        <c:v>43374</c:v>
                      </c:pt>
                      <c:pt idx="54">
                        <c:v>43405</c:v>
                      </c:pt>
                      <c:pt idx="55">
                        <c:v>43435</c:v>
                      </c:pt>
                      <c:pt idx="56">
                        <c:v>43466</c:v>
                      </c:pt>
                      <c:pt idx="57">
                        <c:v>43497</c:v>
                      </c:pt>
                      <c:pt idx="58">
                        <c:v>43525</c:v>
                      </c:pt>
                      <c:pt idx="59">
                        <c:v>43556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経費推移!$P$3:$P$62</c15:sqref>
                        </c15:formulaRef>
                      </c:ext>
                    </c:extLst>
                    <c:numCache>
                      <c:formatCode>#,##0_ ;[Red]\-#,##0\ </c:formatCode>
                      <c:ptCount val="60"/>
                      <c:pt idx="0">
                        <c:v>179638</c:v>
                      </c:pt>
                      <c:pt idx="1">
                        <c:v>184799</c:v>
                      </c:pt>
                      <c:pt idx="2">
                        <c:v>165917</c:v>
                      </c:pt>
                      <c:pt idx="3">
                        <c:v>206545</c:v>
                      </c:pt>
                      <c:pt idx="4">
                        <c:v>198632</c:v>
                      </c:pt>
                      <c:pt idx="5">
                        <c:v>186051</c:v>
                      </c:pt>
                      <c:pt idx="6">
                        <c:v>184183</c:v>
                      </c:pt>
                      <c:pt idx="7">
                        <c:v>185796</c:v>
                      </c:pt>
                      <c:pt idx="8">
                        <c:v>180381</c:v>
                      </c:pt>
                      <c:pt idx="9">
                        <c:v>162589</c:v>
                      </c:pt>
                      <c:pt idx="10">
                        <c:v>177242</c:v>
                      </c:pt>
                      <c:pt idx="11">
                        <c:v>179458</c:v>
                      </c:pt>
                      <c:pt idx="12">
                        <c:v>185890</c:v>
                      </c:pt>
                      <c:pt idx="13">
                        <c:v>185547</c:v>
                      </c:pt>
                      <c:pt idx="14">
                        <c:v>172017</c:v>
                      </c:pt>
                      <c:pt idx="15">
                        <c:v>181841</c:v>
                      </c:pt>
                      <c:pt idx="16">
                        <c:v>160811</c:v>
                      </c:pt>
                      <c:pt idx="17">
                        <c:v>164158</c:v>
                      </c:pt>
                      <c:pt idx="18">
                        <c:v>163520</c:v>
                      </c:pt>
                      <c:pt idx="19">
                        <c:v>245115</c:v>
                      </c:pt>
                      <c:pt idx="20">
                        <c:v>185448</c:v>
                      </c:pt>
                      <c:pt idx="21">
                        <c:v>177994</c:v>
                      </c:pt>
                      <c:pt idx="22">
                        <c:v>168038</c:v>
                      </c:pt>
                      <c:pt idx="23">
                        <c:v>168798</c:v>
                      </c:pt>
                      <c:pt idx="24">
                        <c:v>172111</c:v>
                      </c:pt>
                      <c:pt idx="25">
                        <c:v>286789</c:v>
                      </c:pt>
                      <c:pt idx="26">
                        <c:v>518722</c:v>
                      </c:pt>
                      <c:pt idx="27">
                        <c:v>253070</c:v>
                      </c:pt>
                      <c:pt idx="28">
                        <c:v>157516</c:v>
                      </c:pt>
                      <c:pt idx="29">
                        <c:v>181403</c:v>
                      </c:pt>
                      <c:pt idx="30">
                        <c:v>166430</c:v>
                      </c:pt>
                      <c:pt idx="31">
                        <c:v>288359</c:v>
                      </c:pt>
                      <c:pt idx="32">
                        <c:v>718794</c:v>
                      </c:pt>
                      <c:pt idx="33">
                        <c:v>173112</c:v>
                      </c:pt>
                      <c:pt idx="34">
                        <c:v>146394</c:v>
                      </c:pt>
                      <c:pt idx="35">
                        <c:v>135703</c:v>
                      </c:pt>
                      <c:pt idx="36">
                        <c:v>371587</c:v>
                      </c:pt>
                      <c:pt idx="37">
                        <c:v>330078</c:v>
                      </c:pt>
                      <c:pt idx="38">
                        <c:v>246683</c:v>
                      </c:pt>
                      <c:pt idx="39">
                        <c:v>1767380</c:v>
                      </c:pt>
                      <c:pt idx="40">
                        <c:v>262718</c:v>
                      </c:pt>
                      <c:pt idx="41">
                        <c:v>497938</c:v>
                      </c:pt>
                      <c:pt idx="42">
                        <c:v>398466</c:v>
                      </c:pt>
                      <c:pt idx="43">
                        <c:v>353206</c:v>
                      </c:pt>
                      <c:pt idx="44">
                        <c:v>490477</c:v>
                      </c:pt>
                      <c:pt idx="45">
                        <c:v>375068</c:v>
                      </c:pt>
                      <c:pt idx="46">
                        <c:v>386869</c:v>
                      </c:pt>
                      <c:pt idx="47">
                        <c:v>1728970</c:v>
                      </c:pt>
                      <c:pt idx="48">
                        <c:v>523134</c:v>
                      </c:pt>
                      <c:pt idx="49">
                        <c:v>507754</c:v>
                      </c:pt>
                      <c:pt idx="50">
                        <c:v>677872</c:v>
                      </c:pt>
                      <c:pt idx="51">
                        <c:v>1148727</c:v>
                      </c:pt>
                      <c:pt idx="52">
                        <c:v>472801</c:v>
                      </c:pt>
                      <c:pt idx="53">
                        <c:v>972358</c:v>
                      </c:pt>
                      <c:pt idx="54">
                        <c:v>874139</c:v>
                      </c:pt>
                      <c:pt idx="55">
                        <c:v>703823</c:v>
                      </c:pt>
                      <c:pt idx="56">
                        <c:v>1196977</c:v>
                      </c:pt>
                      <c:pt idx="57">
                        <c:v>977248</c:v>
                      </c:pt>
                      <c:pt idx="58">
                        <c:v>532662</c:v>
                      </c:pt>
                      <c:pt idx="59">
                        <c:v>665619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経費推移!$Q$2</c15:sqref>
                        </c15:formulaRef>
                      </c:ext>
                    </c:extLst>
                    <c:strCache>
                      <c:ptCount val="1"/>
                      <c:pt idx="0">
                        <c:v>経常利益</c:v>
                      </c:pt>
                    </c:strCache>
                  </c:strRef>
                </c:tx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経費推移!$A$3:$A$62</c15:sqref>
                        </c15:formulaRef>
                      </c:ext>
                    </c:extLst>
                    <c:numCache>
                      <c:formatCode>[$-411]gee\.mm;@</c:formatCode>
                      <c:ptCount val="60"/>
                      <c:pt idx="0">
                        <c:v>41760</c:v>
                      </c:pt>
                      <c:pt idx="1">
                        <c:v>41791</c:v>
                      </c:pt>
                      <c:pt idx="2">
                        <c:v>41821</c:v>
                      </c:pt>
                      <c:pt idx="3">
                        <c:v>41852</c:v>
                      </c:pt>
                      <c:pt idx="4">
                        <c:v>41883</c:v>
                      </c:pt>
                      <c:pt idx="5">
                        <c:v>41913</c:v>
                      </c:pt>
                      <c:pt idx="6">
                        <c:v>41944</c:v>
                      </c:pt>
                      <c:pt idx="7">
                        <c:v>41974</c:v>
                      </c:pt>
                      <c:pt idx="8">
                        <c:v>42005</c:v>
                      </c:pt>
                      <c:pt idx="9">
                        <c:v>42036</c:v>
                      </c:pt>
                      <c:pt idx="10">
                        <c:v>42064</c:v>
                      </c:pt>
                      <c:pt idx="11">
                        <c:v>42095</c:v>
                      </c:pt>
                      <c:pt idx="12">
                        <c:v>42125</c:v>
                      </c:pt>
                      <c:pt idx="13">
                        <c:v>42156</c:v>
                      </c:pt>
                      <c:pt idx="14">
                        <c:v>42186</c:v>
                      </c:pt>
                      <c:pt idx="15">
                        <c:v>42217</c:v>
                      </c:pt>
                      <c:pt idx="16">
                        <c:v>42248</c:v>
                      </c:pt>
                      <c:pt idx="17">
                        <c:v>42278</c:v>
                      </c:pt>
                      <c:pt idx="18">
                        <c:v>42309</c:v>
                      </c:pt>
                      <c:pt idx="19">
                        <c:v>42339</c:v>
                      </c:pt>
                      <c:pt idx="20">
                        <c:v>42370</c:v>
                      </c:pt>
                      <c:pt idx="21">
                        <c:v>42401</c:v>
                      </c:pt>
                      <c:pt idx="22">
                        <c:v>42430</c:v>
                      </c:pt>
                      <c:pt idx="23">
                        <c:v>42461</c:v>
                      </c:pt>
                      <c:pt idx="24">
                        <c:v>42491</c:v>
                      </c:pt>
                      <c:pt idx="25">
                        <c:v>42522</c:v>
                      </c:pt>
                      <c:pt idx="26">
                        <c:v>42552</c:v>
                      </c:pt>
                      <c:pt idx="27">
                        <c:v>42583</c:v>
                      </c:pt>
                      <c:pt idx="28">
                        <c:v>42614</c:v>
                      </c:pt>
                      <c:pt idx="29">
                        <c:v>42644</c:v>
                      </c:pt>
                      <c:pt idx="30">
                        <c:v>42675</c:v>
                      </c:pt>
                      <c:pt idx="31">
                        <c:v>42705</c:v>
                      </c:pt>
                      <c:pt idx="32">
                        <c:v>42736</c:v>
                      </c:pt>
                      <c:pt idx="33">
                        <c:v>42767</c:v>
                      </c:pt>
                      <c:pt idx="34">
                        <c:v>42795</c:v>
                      </c:pt>
                      <c:pt idx="35">
                        <c:v>42826</c:v>
                      </c:pt>
                      <c:pt idx="36">
                        <c:v>42856</c:v>
                      </c:pt>
                      <c:pt idx="37">
                        <c:v>42887</c:v>
                      </c:pt>
                      <c:pt idx="38">
                        <c:v>42917</c:v>
                      </c:pt>
                      <c:pt idx="39">
                        <c:v>42948</c:v>
                      </c:pt>
                      <c:pt idx="40">
                        <c:v>42979</c:v>
                      </c:pt>
                      <c:pt idx="41">
                        <c:v>43009</c:v>
                      </c:pt>
                      <c:pt idx="42">
                        <c:v>43040</c:v>
                      </c:pt>
                      <c:pt idx="43">
                        <c:v>43070</c:v>
                      </c:pt>
                      <c:pt idx="44">
                        <c:v>43101</c:v>
                      </c:pt>
                      <c:pt idx="45">
                        <c:v>43132</c:v>
                      </c:pt>
                      <c:pt idx="46">
                        <c:v>43160</c:v>
                      </c:pt>
                      <c:pt idx="47">
                        <c:v>43191</c:v>
                      </c:pt>
                      <c:pt idx="48">
                        <c:v>43221</c:v>
                      </c:pt>
                      <c:pt idx="49">
                        <c:v>43252</c:v>
                      </c:pt>
                      <c:pt idx="50">
                        <c:v>43282</c:v>
                      </c:pt>
                      <c:pt idx="51">
                        <c:v>43313</c:v>
                      </c:pt>
                      <c:pt idx="52">
                        <c:v>43344</c:v>
                      </c:pt>
                      <c:pt idx="53">
                        <c:v>43374</c:v>
                      </c:pt>
                      <c:pt idx="54">
                        <c:v>43405</c:v>
                      </c:pt>
                      <c:pt idx="55">
                        <c:v>43435</c:v>
                      </c:pt>
                      <c:pt idx="56">
                        <c:v>43466</c:v>
                      </c:pt>
                      <c:pt idx="57">
                        <c:v>43497</c:v>
                      </c:pt>
                      <c:pt idx="58">
                        <c:v>43525</c:v>
                      </c:pt>
                      <c:pt idx="59">
                        <c:v>43556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経費推移!$Q$3:$Q$62</c15:sqref>
                        </c15:formulaRef>
                      </c:ext>
                    </c:extLst>
                    <c:numCache>
                      <c:formatCode>#,##0_ ;[Red]\-#,##0\ </c:formatCode>
                      <c:ptCount val="60"/>
                      <c:pt idx="0">
                        <c:v>-1189932</c:v>
                      </c:pt>
                      <c:pt idx="1">
                        <c:v>196780.5</c:v>
                      </c:pt>
                      <c:pt idx="2">
                        <c:v>-2282063</c:v>
                      </c:pt>
                      <c:pt idx="3">
                        <c:v>641698</c:v>
                      </c:pt>
                      <c:pt idx="4">
                        <c:v>-660278.5</c:v>
                      </c:pt>
                      <c:pt idx="5">
                        <c:v>-1026047</c:v>
                      </c:pt>
                      <c:pt idx="6">
                        <c:v>1611854.5</c:v>
                      </c:pt>
                      <c:pt idx="7">
                        <c:v>-3054676</c:v>
                      </c:pt>
                      <c:pt idx="8">
                        <c:v>-137971.5</c:v>
                      </c:pt>
                      <c:pt idx="9">
                        <c:v>-853212.5</c:v>
                      </c:pt>
                      <c:pt idx="10">
                        <c:v>2673405</c:v>
                      </c:pt>
                      <c:pt idx="11">
                        <c:v>2960695.5</c:v>
                      </c:pt>
                      <c:pt idx="12">
                        <c:v>2548457</c:v>
                      </c:pt>
                      <c:pt idx="13">
                        <c:v>-1751912.5</c:v>
                      </c:pt>
                      <c:pt idx="14">
                        <c:v>1005542</c:v>
                      </c:pt>
                      <c:pt idx="15">
                        <c:v>187917.5</c:v>
                      </c:pt>
                      <c:pt idx="16">
                        <c:v>2677398</c:v>
                      </c:pt>
                      <c:pt idx="17">
                        <c:v>137096</c:v>
                      </c:pt>
                      <c:pt idx="18">
                        <c:v>530516</c:v>
                      </c:pt>
                      <c:pt idx="19">
                        <c:v>-7472168</c:v>
                      </c:pt>
                      <c:pt idx="20">
                        <c:v>-2255216</c:v>
                      </c:pt>
                      <c:pt idx="21">
                        <c:v>1106170</c:v>
                      </c:pt>
                      <c:pt idx="22">
                        <c:v>3335977</c:v>
                      </c:pt>
                      <c:pt idx="23">
                        <c:v>2541051</c:v>
                      </c:pt>
                      <c:pt idx="24">
                        <c:v>2301795</c:v>
                      </c:pt>
                      <c:pt idx="25">
                        <c:v>-13089399</c:v>
                      </c:pt>
                      <c:pt idx="26">
                        <c:v>2398324</c:v>
                      </c:pt>
                      <c:pt idx="27">
                        <c:v>-1141020</c:v>
                      </c:pt>
                      <c:pt idx="28">
                        <c:v>-1947438</c:v>
                      </c:pt>
                      <c:pt idx="29">
                        <c:v>2436393</c:v>
                      </c:pt>
                      <c:pt idx="30">
                        <c:v>4319578</c:v>
                      </c:pt>
                      <c:pt idx="31">
                        <c:v>-2958377</c:v>
                      </c:pt>
                      <c:pt idx="32">
                        <c:v>-3162246</c:v>
                      </c:pt>
                      <c:pt idx="33">
                        <c:v>1340317</c:v>
                      </c:pt>
                      <c:pt idx="34">
                        <c:v>1512656</c:v>
                      </c:pt>
                      <c:pt idx="35">
                        <c:v>199247</c:v>
                      </c:pt>
                      <c:pt idx="36">
                        <c:v>3473897</c:v>
                      </c:pt>
                      <c:pt idx="37">
                        <c:v>2515919</c:v>
                      </c:pt>
                      <c:pt idx="38">
                        <c:v>5015105</c:v>
                      </c:pt>
                      <c:pt idx="39">
                        <c:v>822331</c:v>
                      </c:pt>
                      <c:pt idx="40">
                        <c:v>5932428</c:v>
                      </c:pt>
                      <c:pt idx="41">
                        <c:v>6262521</c:v>
                      </c:pt>
                      <c:pt idx="42">
                        <c:v>2805663</c:v>
                      </c:pt>
                      <c:pt idx="43">
                        <c:v>-8800020</c:v>
                      </c:pt>
                      <c:pt idx="44">
                        <c:v>-2551215</c:v>
                      </c:pt>
                      <c:pt idx="45">
                        <c:v>2157565</c:v>
                      </c:pt>
                      <c:pt idx="46">
                        <c:v>531016</c:v>
                      </c:pt>
                      <c:pt idx="47">
                        <c:v>3189456</c:v>
                      </c:pt>
                      <c:pt idx="48">
                        <c:v>5153867</c:v>
                      </c:pt>
                      <c:pt idx="49">
                        <c:v>-7246300</c:v>
                      </c:pt>
                      <c:pt idx="50">
                        <c:v>-139398</c:v>
                      </c:pt>
                      <c:pt idx="51">
                        <c:v>-2086007</c:v>
                      </c:pt>
                      <c:pt idx="52">
                        <c:v>1464667</c:v>
                      </c:pt>
                      <c:pt idx="53">
                        <c:v>-676781</c:v>
                      </c:pt>
                      <c:pt idx="54">
                        <c:v>3522896</c:v>
                      </c:pt>
                      <c:pt idx="55">
                        <c:v>-11636063</c:v>
                      </c:pt>
                      <c:pt idx="56">
                        <c:v>2058240</c:v>
                      </c:pt>
                      <c:pt idx="57">
                        <c:v>2087954</c:v>
                      </c:pt>
                      <c:pt idx="58">
                        <c:v>4583554</c:v>
                      </c:pt>
                      <c:pt idx="59">
                        <c:v>5050538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dateAx>
        <c:axId val="453387784"/>
        <c:scaling>
          <c:orientation val="minMax"/>
        </c:scaling>
        <c:delete val="0"/>
        <c:axPos val="b"/>
        <c:numFmt formatCode="[$-411]gee\.mm;@" sourceLinked="0"/>
        <c:majorTickMark val="out"/>
        <c:minorTickMark val="none"/>
        <c:tickLblPos val="nextTo"/>
        <c:crossAx val="453385040"/>
        <c:crosses val="autoZero"/>
        <c:auto val="1"/>
        <c:lblOffset val="100"/>
        <c:baseTimeUnit val="months"/>
      </c:dateAx>
      <c:valAx>
        <c:axId val="453385040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453387784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90708566052965567"/>
          <c:y val="0.20926150633173898"/>
          <c:w val="7.3042971580782268E-2"/>
          <c:h val="0.76054430681877006"/>
        </c:manualLayout>
      </c:layout>
      <c:overlay val="0"/>
    </c:legend>
    <c:plotVisOnly val="0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" l="0.7" r="0.7" t="0.75" header="0.3" footer="0.3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GH</a:t>
            </a:r>
            <a:r>
              <a:rPr lang="ja-JP" altLang="en-US"/>
              <a:t>西五所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国保連単月売上!$A$15</c:f>
              <c:strCache>
                <c:ptCount val="1"/>
                <c:pt idx="0">
                  <c:v>GH西五所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国保連単月売上!$B$15:$Y$15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1647056</c:v>
                </c:pt>
                <c:pt idx="2">
                  <c:v>1874549</c:v>
                </c:pt>
                <c:pt idx="3">
                  <c:v>2107435</c:v>
                </c:pt>
                <c:pt idx="4">
                  <c:v>2099753</c:v>
                </c:pt>
                <c:pt idx="5">
                  <c:v>2389370</c:v>
                </c:pt>
                <c:pt idx="6">
                  <c:v>2385860</c:v>
                </c:pt>
                <c:pt idx="7">
                  <c:v>2448469</c:v>
                </c:pt>
                <c:pt idx="8">
                  <c:v>2396635</c:v>
                </c:pt>
                <c:pt idx="9">
                  <c:v>2200178</c:v>
                </c:pt>
                <c:pt idx="10">
                  <c:v>2426031</c:v>
                </c:pt>
                <c:pt idx="11">
                  <c:v>2405342</c:v>
                </c:pt>
                <c:pt idx="12">
                  <c:v>2474409</c:v>
                </c:pt>
                <c:pt idx="13">
                  <c:v>2397545</c:v>
                </c:pt>
                <c:pt idx="14">
                  <c:v>2449461</c:v>
                </c:pt>
                <c:pt idx="15">
                  <c:v>2198275</c:v>
                </c:pt>
                <c:pt idx="16">
                  <c:v>2292635</c:v>
                </c:pt>
                <c:pt idx="17">
                  <c:v>2500912</c:v>
                </c:pt>
                <c:pt idx="18">
                  <c:v>2443866</c:v>
                </c:pt>
                <c:pt idx="19">
                  <c:v>2507684</c:v>
                </c:pt>
                <c:pt idx="20">
                  <c:v>2515481</c:v>
                </c:pt>
                <c:pt idx="21">
                  <c:v>1944130</c:v>
                </c:pt>
                <c:pt idx="22">
                  <c:v>1927185</c:v>
                </c:pt>
                <c:pt idx="23">
                  <c:v>2032333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4B0-449B-9D59-2F485B735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471904"/>
        <c:axId val="455472296"/>
      </c:barChart>
      <c:dateAx>
        <c:axId val="455471904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5472296"/>
        <c:crosses val="autoZero"/>
        <c:auto val="1"/>
        <c:lblOffset val="100"/>
        <c:baseTimeUnit val="months"/>
      </c:dateAx>
      <c:valAx>
        <c:axId val="455472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5471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千葉東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国保連単月売上!$A$8</c:f>
              <c:strCache>
                <c:ptCount val="1"/>
                <c:pt idx="0">
                  <c:v>千葉東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国保連単月売上!$B$8:$Y$8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362472</c:v>
                </c:pt>
                <c:pt idx="14">
                  <c:v>421112</c:v>
                </c:pt>
                <c:pt idx="15">
                  <c:v>920765</c:v>
                </c:pt>
                <c:pt idx="16">
                  <c:v>1137667</c:v>
                </c:pt>
                <c:pt idx="17">
                  <c:v>1658360</c:v>
                </c:pt>
                <c:pt idx="18">
                  <c:v>1287209</c:v>
                </c:pt>
                <c:pt idx="19">
                  <c:v>1066153</c:v>
                </c:pt>
                <c:pt idx="20">
                  <c:v>1134172</c:v>
                </c:pt>
                <c:pt idx="21">
                  <c:v>892569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77-4B0C-A344-6388EAEA4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387000"/>
        <c:axId val="453385432"/>
      </c:barChart>
      <c:dateAx>
        <c:axId val="453387000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3385432"/>
        <c:crosses val="autoZero"/>
        <c:auto val="1"/>
        <c:lblOffset val="100"/>
        <c:baseTimeUnit val="months"/>
      </c:dateAx>
      <c:valAx>
        <c:axId val="453385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3387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千葉西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国保連単月売上!$A$9</c:f>
              <c:strCache>
                <c:ptCount val="1"/>
                <c:pt idx="0">
                  <c:v>千葉西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国保連単月売上!$B$9:$Y$9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279190</c:v>
                </c:pt>
                <c:pt idx="18">
                  <c:v>443026</c:v>
                </c:pt>
                <c:pt idx="19">
                  <c:v>556533</c:v>
                </c:pt>
                <c:pt idx="20">
                  <c:v>793498</c:v>
                </c:pt>
                <c:pt idx="21">
                  <c:v>974812</c:v>
                </c:pt>
                <c:pt idx="22">
                  <c:v>1412447</c:v>
                </c:pt>
                <c:pt idx="23">
                  <c:v>1799519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77-4B0C-A344-6388EAEA4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471512"/>
        <c:axId val="454987288"/>
      </c:barChart>
      <c:dateAx>
        <c:axId val="455471512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4987288"/>
        <c:crosses val="autoZero"/>
        <c:auto val="1"/>
        <c:lblOffset val="100"/>
        <c:baseTimeUnit val="months"/>
      </c:dateAx>
      <c:valAx>
        <c:axId val="454987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5471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GH</a:t>
            </a:r>
            <a:r>
              <a:rPr lang="ja-JP" altLang="en-US"/>
              <a:t>西広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国保連単月売上!$A$16</c:f>
              <c:strCache>
                <c:ptCount val="1"/>
                <c:pt idx="0">
                  <c:v>GH西広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国保連単月売上!$B$3:$Y$3</c:f>
              <c:numCache>
                <c:formatCode>[$-411]ge\.m"月";@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国保連単月売上!$B$16:$Y$16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1493913</c:v>
                </c:pt>
                <c:pt idx="22">
                  <c:v>1605823</c:v>
                </c:pt>
                <c:pt idx="23">
                  <c:v>1631515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4B0-449B-9D59-2F485B735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386608"/>
        <c:axId val="455468376"/>
      </c:barChart>
      <c:dateAx>
        <c:axId val="453386608"/>
        <c:scaling>
          <c:orientation val="minMax"/>
        </c:scaling>
        <c:delete val="0"/>
        <c:axPos val="b"/>
        <c:numFmt formatCode="[$-411]ge\.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5468376"/>
        <c:crosses val="autoZero"/>
        <c:auto val="1"/>
        <c:lblOffset val="100"/>
        <c:baseTimeUnit val="months"/>
      </c:dateAx>
      <c:valAx>
        <c:axId val="455468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3386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事業所別収支!$B$299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val>
            <c:numRef>
              <c:f>事業所別収支!$C$299:$W$299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A0-455D-884A-A811634B752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事業所別収支!$C$297:$W$297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strRef>
              <c:f>事業所別収支!$B$300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val>
            <c:numRef>
              <c:f>事業所別収支!$C$300:$W$300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A0-455D-884A-A811634B752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事業所別収支!$C$297:$W$297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strRef>
              <c:f>事業所別収支!$B$301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val>
            <c:numRef>
              <c:f>事業所別収支!$C$301:$W$301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DA0-455D-884A-A811634B752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事業所別収支!$C$297:$W$297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strRef>
              <c:f>事業所別収支!$B$302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val>
            <c:numRef>
              <c:f>事業所別収支!$C$302:$W$302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DA0-455D-884A-A811634B752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事業所別収支!$C$297:$W$297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strRef>
              <c:f>事業所別収支!$B$303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val>
            <c:numRef>
              <c:f>事業所別収支!$C$303:$W$303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DA0-455D-884A-A811634B752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事業所別収支!$C$297:$W$297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6"/>
          <c:order val="6"/>
          <c:tx>
            <c:strRef>
              <c:f>事業所別収支!$B$304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val>
            <c:numRef>
              <c:f>事業所別収支!$C$304:$W$304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DA0-455D-884A-A811634B752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事業所別収支!$C$297:$W$297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7"/>
          <c:tx>
            <c:strRef>
              <c:f>事業所別収支!$B$306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val>
            <c:numRef>
              <c:f>事業所別収支!$C$306:$W$306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DA0-455D-884A-A811634B752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事業所別収支!$C$297:$W$297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8"/>
          <c:tx>
            <c:strRef>
              <c:f>事業所別収支!$B$307</c:f>
              <c:strCache>
                <c:ptCount val="1"/>
                <c:pt idx="0">
                  <c:v>事業所分担費</c:v>
                </c:pt>
              </c:strCache>
            </c:strRef>
          </c:tx>
          <c:invertIfNegative val="0"/>
          <c:val>
            <c:numRef>
              <c:f>事業所別収支!$C$307:$W$307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DA0-455D-884A-A811634B752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事業所別収支!$C$297:$W$297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4365120"/>
        <c:axId val="457089512"/>
      </c:barChart>
      <c:lineChart>
        <c:grouping val="standard"/>
        <c:varyColors val="0"/>
        <c:ser>
          <c:idx val="0"/>
          <c:order val="0"/>
          <c:tx>
            <c:strRef>
              <c:f>事業所別収支!$B$298</c:f>
              <c:strCache>
                <c:ptCount val="1"/>
                <c:pt idx="0">
                  <c:v>売上</c:v>
                </c:pt>
              </c:strCache>
            </c:strRef>
          </c:tx>
          <c:val>
            <c:numRef>
              <c:f>事業所別収支!$C$298:$W$298</c:f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DA0-455D-884A-A811634B752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事業所別収支!$C$297:$W$297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365120"/>
        <c:axId val="457089512"/>
      </c:lineChart>
      <c:catAx>
        <c:axId val="454365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57089512"/>
        <c:crosses val="autoZero"/>
        <c:auto val="1"/>
        <c:lblAlgn val="ctr"/>
        <c:lblOffset val="100"/>
        <c:noMultiLvlLbl val="0"/>
      </c:catAx>
      <c:valAx>
        <c:axId val="457089512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454365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事業所別収支!$B$341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val>
            <c:numRef>
              <c:f>事業所別収支!$C$341:$Z$341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B5-4E04-8EA9-5D92FD86B8D7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事業所別収支!$C$339:$Z$339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strRef>
              <c:f>事業所別収支!$B$342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val>
            <c:numRef>
              <c:f>事業所別収支!$C$342:$Z$342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B5-4E04-8EA9-5D92FD86B8D7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事業所別収支!$C$339:$Z$339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strRef>
              <c:f>事業所別収支!$B$343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val>
            <c:numRef>
              <c:f>事業所別収支!$C$343:$Z$343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FB5-4E04-8EA9-5D92FD86B8D7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事業所別収支!$C$339:$Z$339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strRef>
              <c:f>事業所別収支!$B$344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val>
            <c:numRef>
              <c:f>事業所別収支!$C$344:$Z$344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FB5-4E04-8EA9-5D92FD86B8D7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事業所別収支!$C$339:$Z$339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strRef>
              <c:f>事業所別収支!$B$345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val>
            <c:numRef>
              <c:f>事業所別収支!$C$345:$Z$345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FB5-4E04-8EA9-5D92FD86B8D7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事業所別収支!$C$339:$Z$339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6"/>
          <c:order val="6"/>
          <c:tx>
            <c:strRef>
              <c:f>事業所別収支!$B$346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val>
            <c:numRef>
              <c:f>事業所別収支!$C$346:$Z$346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FB5-4E04-8EA9-5D92FD86B8D7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事業所別収支!$C$339:$Z$339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7"/>
          <c:tx>
            <c:strRef>
              <c:f>事業所別収支!$B$348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val>
            <c:numRef>
              <c:f>事業所別収支!$C$348:$Z$348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FB5-4E04-8EA9-5D92FD86B8D7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事業所別収支!$C$339:$Z$339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8"/>
          <c:tx>
            <c:strRef>
              <c:f>事業所別収支!$B$349</c:f>
              <c:strCache>
                <c:ptCount val="1"/>
                <c:pt idx="0">
                  <c:v>事業所分担費</c:v>
                </c:pt>
              </c:strCache>
            </c:strRef>
          </c:tx>
          <c:invertIfNegative val="0"/>
          <c:val>
            <c:numRef>
              <c:f>事業所別収支!$C$349:$Z$349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1FB5-4E04-8EA9-5D92FD86B8D7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事業所別収支!$C$339:$Z$339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7086768"/>
        <c:axId val="457087552"/>
      </c:barChart>
      <c:lineChart>
        <c:grouping val="standard"/>
        <c:varyColors val="0"/>
        <c:ser>
          <c:idx val="0"/>
          <c:order val="0"/>
          <c:tx>
            <c:strRef>
              <c:f>事業所別収支!$B$340</c:f>
              <c:strCache>
                <c:ptCount val="1"/>
                <c:pt idx="0">
                  <c:v>売上</c:v>
                </c:pt>
              </c:strCache>
            </c:strRef>
          </c:tx>
          <c:val>
            <c:numRef>
              <c:f>事業所別収支!$C$340:$Z$340</c:f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FB5-4E04-8EA9-5D92FD86B8D7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事業所別収支!$C$339:$Z$339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086768"/>
        <c:axId val="457087552"/>
      </c:lineChart>
      <c:catAx>
        <c:axId val="457086768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457087552"/>
        <c:crosses val="autoZero"/>
        <c:auto val="1"/>
        <c:lblAlgn val="ctr"/>
        <c:lblOffset val="100"/>
        <c:noMultiLvlLbl val="1"/>
      </c:catAx>
      <c:valAx>
        <c:axId val="457087552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457086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44132184546342"/>
          <c:y val="4.0516915608954131E-2"/>
          <c:w val="0.7566462057386073"/>
          <c:h val="0.8139531372961517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事業所別収支!$B$382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val>
            <c:numRef>
              <c:f>事業所別収支!$C$382:$Z$382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CC-492F-9504-7B35000B73AE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事業所別収支!$C$380:$Z$380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strRef>
              <c:f>事業所別収支!$B$383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val>
            <c:numRef>
              <c:f>事業所別収支!$C$383:$Z$383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CC-492F-9504-7B35000B73AE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事業所別収支!$C$380:$Z$380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strRef>
              <c:f>事業所別収支!$B$384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val>
            <c:numRef>
              <c:f>事業所別収支!$C$384:$Z$384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5CC-492F-9504-7B35000B73AE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事業所別収支!$C$380:$Z$380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strRef>
              <c:f>事業所別収支!$B$385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val>
            <c:numRef>
              <c:f>事業所別収支!$C$385:$Z$385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5CC-492F-9504-7B35000B73AE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事業所別収支!$C$380:$Z$380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strRef>
              <c:f>事業所別収支!$B$386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val>
            <c:numRef>
              <c:f>事業所別収支!$C$386:$Z$386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5CC-492F-9504-7B35000B73AE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事業所別収支!$C$380:$Z$380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6"/>
          <c:order val="6"/>
          <c:tx>
            <c:strRef>
              <c:f>事業所別収支!$B$387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val>
            <c:numRef>
              <c:f>事業所別収支!$C$387:$Z$387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5CC-492F-9504-7B35000B73AE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事業所別収支!$C$380:$Z$380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7"/>
          <c:tx>
            <c:strRef>
              <c:f>事業所別収支!$B$389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val>
            <c:numRef>
              <c:f>事業所別収支!$C$389:$Z$389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5CC-492F-9504-7B35000B73AE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事業所別収支!$C$380:$Z$380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8"/>
          <c:tx>
            <c:strRef>
              <c:f>事業所別収支!$B$390</c:f>
              <c:strCache>
                <c:ptCount val="1"/>
                <c:pt idx="0">
                  <c:v>本部分担費</c:v>
                </c:pt>
              </c:strCache>
            </c:strRef>
          </c:tx>
          <c:invertIfNegative val="0"/>
          <c:val>
            <c:numRef>
              <c:f>事業所別収支!$C$390:$Z$390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5CC-492F-9504-7B35000B73AE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事業所別収支!$C$380:$Z$380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7089120"/>
        <c:axId val="457083240"/>
      </c:barChart>
      <c:lineChart>
        <c:grouping val="standard"/>
        <c:varyColors val="0"/>
        <c:ser>
          <c:idx val="0"/>
          <c:order val="0"/>
          <c:tx>
            <c:strRef>
              <c:f>事業所別収支!$B$381</c:f>
              <c:strCache>
                <c:ptCount val="1"/>
                <c:pt idx="0">
                  <c:v>売上</c:v>
                </c:pt>
              </c:strCache>
            </c:strRef>
          </c:tx>
          <c:val>
            <c:numRef>
              <c:f>事業所別収支!$C$381:$Z$381</c:f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5CC-492F-9504-7B35000B73AE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事業所別収支!$C$380:$Z$380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089120"/>
        <c:axId val="457083240"/>
      </c:lineChart>
      <c:catAx>
        <c:axId val="457089120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457083240"/>
        <c:crosses val="autoZero"/>
        <c:auto val="1"/>
        <c:lblAlgn val="ctr"/>
        <c:lblOffset val="100"/>
        <c:noMultiLvlLbl val="1"/>
      </c:catAx>
      <c:valAx>
        <c:axId val="457083240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457089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44132184546342"/>
          <c:y val="4.0516915608954131E-2"/>
          <c:w val="0.7566462057386073"/>
          <c:h val="0.8139531372961517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事業所別収支!$B$424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val>
            <c:numRef>
              <c:f>事業所別収支!$C$424:$Z$424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67-4976-9DFA-4913ECEFD42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事業所別収支!$C$422:$Z$422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strRef>
              <c:f>事業所別収支!$B$425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val>
            <c:numRef>
              <c:f>事業所別収支!$C$425:$Z$425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367-4976-9DFA-4913ECEFD42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事業所別収支!$C$422:$Z$422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strRef>
              <c:f>事業所別収支!$B$426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val>
            <c:numRef>
              <c:f>事業所別収支!$C$426:$Z$426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367-4976-9DFA-4913ECEFD42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事業所別収支!$C$422:$Z$422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strRef>
              <c:f>事業所別収支!$B$427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val>
            <c:numRef>
              <c:f>事業所別収支!$C$427:$Z$427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367-4976-9DFA-4913ECEFD42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事業所別収支!$C$422:$Z$422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strRef>
              <c:f>事業所別収支!$B$428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val>
            <c:numRef>
              <c:f>事業所別収支!$C$428:$Z$428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367-4976-9DFA-4913ECEFD42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事業所別収支!$C$422:$Z$422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6"/>
          <c:order val="6"/>
          <c:tx>
            <c:strRef>
              <c:f>事業所別収支!$B$429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val>
            <c:numRef>
              <c:f>事業所別収支!$C$429:$Z$429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367-4976-9DFA-4913ECEFD42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事業所別収支!$C$422:$Z$422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7"/>
          <c:tx>
            <c:strRef>
              <c:f>事業所別収支!$B$431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val>
            <c:numRef>
              <c:f>事業所別収支!$C$431:$Z$431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367-4976-9DFA-4913ECEFD42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事業所別収支!$C$422:$Z$422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8"/>
          <c:tx>
            <c:strRef>
              <c:f>事業所別収支!$B$432</c:f>
              <c:strCache>
                <c:ptCount val="1"/>
                <c:pt idx="0">
                  <c:v>本部分担費</c:v>
                </c:pt>
              </c:strCache>
            </c:strRef>
          </c:tx>
          <c:invertIfNegative val="0"/>
          <c:val>
            <c:numRef>
              <c:f>事業所別収支!$C$432:$Z$432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1367-4976-9DFA-4913ECEFD42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事業所別収支!$C$422:$Z$422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7078144"/>
        <c:axId val="457079712"/>
      </c:barChart>
      <c:lineChart>
        <c:grouping val="standard"/>
        <c:varyColors val="0"/>
        <c:ser>
          <c:idx val="0"/>
          <c:order val="0"/>
          <c:tx>
            <c:strRef>
              <c:f>事業所別収支!$B$423</c:f>
              <c:strCache>
                <c:ptCount val="1"/>
                <c:pt idx="0">
                  <c:v>売上</c:v>
                </c:pt>
              </c:strCache>
            </c:strRef>
          </c:tx>
          <c:val>
            <c:numRef>
              <c:f>事業所別収支!$C$423:$Z$423</c:f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367-4976-9DFA-4913ECEFD42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事業所別収支!$C$422:$Z$422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078144"/>
        <c:axId val="457079712"/>
      </c:lineChart>
      <c:catAx>
        <c:axId val="457078144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457079712"/>
        <c:crosses val="autoZero"/>
        <c:auto val="1"/>
        <c:lblAlgn val="ctr"/>
        <c:lblOffset val="100"/>
        <c:noMultiLvlLbl val="1"/>
      </c:catAx>
      <c:valAx>
        <c:axId val="457079712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457078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事業所別収支!$B$15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cat>
            <c:numRef>
              <c:f>事業所別収支!$C$13:$Z$13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事業所別収支!$C$15:$Z$15</c:f>
              <c:numCache>
                <c:formatCode>#,##0_ ;[Red]\-#,##0\ </c:formatCode>
                <c:ptCount val="18"/>
                <c:pt idx="0">
                  <c:v>3514473</c:v>
                </c:pt>
                <c:pt idx="1">
                  <c:v>3446593</c:v>
                </c:pt>
                <c:pt idx="2">
                  <c:v>3471506</c:v>
                </c:pt>
                <c:pt idx="3">
                  <c:v>3312925</c:v>
                </c:pt>
                <c:pt idx="4">
                  <c:v>3641116</c:v>
                </c:pt>
                <c:pt idx="5">
                  <c:v>3701711</c:v>
                </c:pt>
                <c:pt idx="6">
                  <c:v>3683627</c:v>
                </c:pt>
                <c:pt idx="7">
                  <c:v>3691486</c:v>
                </c:pt>
                <c:pt idx="8">
                  <c:v>3888723</c:v>
                </c:pt>
                <c:pt idx="9">
                  <c:v>3352850</c:v>
                </c:pt>
                <c:pt idx="10">
                  <c:v>3676096</c:v>
                </c:pt>
                <c:pt idx="11">
                  <c:v>3940179</c:v>
                </c:pt>
                <c:pt idx="12">
                  <c:v>3988130</c:v>
                </c:pt>
                <c:pt idx="13">
                  <c:v>4039207</c:v>
                </c:pt>
                <c:pt idx="14">
                  <c:v>4011359</c:v>
                </c:pt>
                <c:pt idx="15">
                  <c:v>3725142</c:v>
                </c:pt>
                <c:pt idx="16">
                  <c:v>3994054</c:v>
                </c:pt>
                <c:pt idx="17">
                  <c:v>3892391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26-42D5-AED9-74213DB587E0}"/>
            </c:ext>
          </c:extLst>
        </c:ser>
        <c:ser>
          <c:idx val="2"/>
          <c:order val="2"/>
          <c:tx>
            <c:strRef>
              <c:f>事業所別収支!$B$16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cat>
            <c:numRef>
              <c:f>事業所別収支!$C$13:$Z$13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事業所別収支!$C$16:$Z$16</c:f>
              <c:numCache>
                <c:formatCode>#,##0_ ;[Red]\-#,##0\ </c:formatCode>
                <c:ptCount val="18"/>
                <c:pt idx="0">
                  <c:v>1988138</c:v>
                </c:pt>
                <c:pt idx="1">
                  <c:v>1976032</c:v>
                </c:pt>
                <c:pt idx="2">
                  <c:v>1575046</c:v>
                </c:pt>
                <c:pt idx="3">
                  <c:v>1516081</c:v>
                </c:pt>
                <c:pt idx="4">
                  <c:v>1504051</c:v>
                </c:pt>
                <c:pt idx="5">
                  <c:v>1605173</c:v>
                </c:pt>
                <c:pt idx="6">
                  <c:v>1603715</c:v>
                </c:pt>
                <c:pt idx="7">
                  <c:v>1674777</c:v>
                </c:pt>
                <c:pt idx="8">
                  <c:v>1734830</c:v>
                </c:pt>
                <c:pt idx="9">
                  <c:v>1946584</c:v>
                </c:pt>
                <c:pt idx="10">
                  <c:v>1938036</c:v>
                </c:pt>
                <c:pt idx="11">
                  <c:v>2473417</c:v>
                </c:pt>
                <c:pt idx="12">
                  <c:v>2563994</c:v>
                </c:pt>
                <c:pt idx="13">
                  <c:v>2539827</c:v>
                </c:pt>
                <c:pt idx="14">
                  <c:v>2678960</c:v>
                </c:pt>
                <c:pt idx="15">
                  <c:v>2819691</c:v>
                </c:pt>
                <c:pt idx="16">
                  <c:v>2752108</c:v>
                </c:pt>
                <c:pt idx="17">
                  <c:v>2306540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26-42D5-AED9-74213DB587E0}"/>
            </c:ext>
          </c:extLst>
        </c:ser>
        <c:ser>
          <c:idx val="3"/>
          <c:order val="3"/>
          <c:tx>
            <c:strRef>
              <c:f>事業所別収支!$B$17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cat>
            <c:numRef>
              <c:f>事業所別収支!$C$13:$Z$13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事業所別収支!$C$17:$Z$17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3800875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2730000</c:v>
                </c:pt>
                <c:pt idx="8">
                  <c:v>#N/A</c:v>
                </c:pt>
                <c:pt idx="9">
                  <c:v>400000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2990500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226-42D5-AED9-74213DB587E0}"/>
            </c:ext>
          </c:extLst>
        </c:ser>
        <c:ser>
          <c:idx val="4"/>
          <c:order val="4"/>
          <c:tx>
            <c:strRef>
              <c:f>事業所別収支!$B$18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cat>
            <c:numRef>
              <c:f>事業所別収支!$C$13:$Z$13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事業所別収支!$C$18:$Z$18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226-42D5-AED9-74213DB587E0}"/>
            </c:ext>
          </c:extLst>
        </c:ser>
        <c:ser>
          <c:idx val="5"/>
          <c:order val="5"/>
          <c:tx>
            <c:strRef>
              <c:f>事業所別収支!$B$19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cat>
            <c:numRef>
              <c:f>事業所別収支!$C$13:$Z$13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事業所別収支!$C$19:$Z$19</c:f>
              <c:numCache>
                <c:formatCode>#,##0_ ;[Red]\-#,##0\ </c:formatCode>
                <c:ptCount val="18"/>
                <c:pt idx="0">
                  <c:v>321067</c:v>
                </c:pt>
                <c:pt idx="1">
                  <c:v>-50421.419093419929</c:v>
                </c:pt>
                <c:pt idx="2">
                  <c:v>1013336</c:v>
                </c:pt>
                <c:pt idx="3">
                  <c:v>257023</c:v>
                </c:pt>
                <c:pt idx="4">
                  <c:v>314706</c:v>
                </c:pt>
                <c:pt idx="5">
                  <c:v>293378</c:v>
                </c:pt>
                <c:pt idx="6">
                  <c:v>300544</c:v>
                </c:pt>
                <c:pt idx="7">
                  <c:v>262532</c:v>
                </c:pt>
                <c:pt idx="8">
                  <c:v>673537</c:v>
                </c:pt>
                <c:pt idx="9">
                  <c:v>283190</c:v>
                </c:pt>
                <c:pt idx="10">
                  <c:v>#N/A</c:v>
                </c:pt>
                <c:pt idx="11">
                  <c:v>379848</c:v>
                </c:pt>
                <c:pt idx="12">
                  <c:v>319575</c:v>
                </c:pt>
                <c:pt idx="13">
                  <c:v>791423</c:v>
                </c:pt>
                <c:pt idx="14">
                  <c:v>343436</c:v>
                </c:pt>
                <c:pt idx="15">
                  <c:v>382642</c:v>
                </c:pt>
                <c:pt idx="16">
                  <c:v>383094</c:v>
                </c:pt>
                <c:pt idx="17">
                  <c:v>343198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226-42D5-AED9-74213DB587E0}"/>
            </c:ext>
          </c:extLst>
        </c:ser>
        <c:ser>
          <c:idx val="6"/>
          <c:order val="6"/>
          <c:tx>
            <c:strRef>
              <c:f>事業所別収支!$B$20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cat>
            <c:numRef>
              <c:f>事業所別収支!$C$13:$Z$13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事業所別収支!$C$20:$Z$20</c:f>
              <c:numCache>
                <c:formatCode>#,##0_ ;[Red]\-#,##0\ </c:formatCode>
                <c:ptCount val="18"/>
                <c:pt idx="0">
                  <c:v>51243</c:v>
                </c:pt>
                <c:pt idx="1">
                  <c:v>73335</c:v>
                </c:pt>
                <c:pt idx="2">
                  <c:v>58110</c:v>
                </c:pt>
                <c:pt idx="3">
                  <c:v>13705</c:v>
                </c:pt>
                <c:pt idx="4">
                  <c:v>69849</c:v>
                </c:pt>
                <c:pt idx="5">
                  <c:v>9792</c:v>
                </c:pt>
                <c:pt idx="6">
                  <c:v>9765</c:v>
                </c:pt>
                <c:pt idx="7">
                  <c:v>-14849</c:v>
                </c:pt>
                <c:pt idx="8">
                  <c:v>26707</c:v>
                </c:pt>
                <c:pt idx="9">
                  <c:v>30192</c:v>
                </c:pt>
                <c:pt idx="10">
                  <c:v>114366</c:v>
                </c:pt>
                <c:pt idx="11">
                  <c:v>57078</c:v>
                </c:pt>
                <c:pt idx="12">
                  <c:v>26550</c:v>
                </c:pt>
                <c:pt idx="13">
                  <c:v>36004</c:v>
                </c:pt>
                <c:pt idx="14">
                  <c:v>72624</c:v>
                </c:pt>
                <c:pt idx="15">
                  <c:v>49696</c:v>
                </c:pt>
                <c:pt idx="16">
                  <c:v>45927</c:v>
                </c:pt>
                <c:pt idx="17">
                  <c:v>49542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226-42D5-AED9-74213DB587E0}"/>
            </c:ext>
          </c:extLst>
        </c:ser>
        <c:ser>
          <c:idx val="7"/>
          <c:order val="7"/>
          <c:tx>
            <c:strRef>
              <c:f>事業所別収支!$B$22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cat>
            <c:numRef>
              <c:f>事業所別収支!$C$13:$Z$13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事業所別収支!$C$22:$Z$22</c:f>
              <c:numCache>
                <c:formatCode>#,##0_ ;[Red]\-#,##0\ </c:formatCode>
                <c:ptCount val="18"/>
                <c:pt idx="0">
                  <c:v>718518</c:v>
                </c:pt>
                <c:pt idx="1">
                  <c:v>1226343</c:v>
                </c:pt>
                <c:pt idx="2">
                  <c:v>748654</c:v>
                </c:pt>
                <c:pt idx="3">
                  <c:v>865331</c:v>
                </c:pt>
                <c:pt idx="4">
                  <c:v>1009607</c:v>
                </c:pt>
                <c:pt idx="5">
                  <c:v>923174</c:v>
                </c:pt>
                <c:pt idx="6">
                  <c:v>1100663</c:v>
                </c:pt>
                <c:pt idx="7">
                  <c:v>816030</c:v>
                </c:pt>
                <c:pt idx="8">
                  <c:v>1023675</c:v>
                </c:pt>
                <c:pt idx="9">
                  <c:v>1058189</c:v>
                </c:pt>
                <c:pt idx="10">
                  <c:v>830297</c:v>
                </c:pt>
                <c:pt idx="11">
                  <c:v>1854621</c:v>
                </c:pt>
                <c:pt idx="12">
                  <c:v>1365541</c:v>
                </c:pt>
                <c:pt idx="13">
                  <c:v>1361625</c:v>
                </c:pt>
                <c:pt idx="14">
                  <c:v>1548843</c:v>
                </c:pt>
                <c:pt idx="15">
                  <c:v>1273886</c:v>
                </c:pt>
                <c:pt idx="16">
                  <c:v>1155405</c:v>
                </c:pt>
                <c:pt idx="17">
                  <c:v>1067661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226-42D5-AED9-74213DB587E0}"/>
            </c:ext>
          </c:extLst>
        </c:ser>
        <c:ser>
          <c:idx val="8"/>
          <c:order val="8"/>
          <c:tx>
            <c:strRef>
              <c:f>事業所別収支!$B$23</c:f>
              <c:strCache>
                <c:ptCount val="1"/>
                <c:pt idx="0">
                  <c:v>本部分担費</c:v>
                </c:pt>
              </c:strCache>
            </c:strRef>
          </c:tx>
          <c:invertIfNegative val="0"/>
          <c:cat>
            <c:numRef>
              <c:f>事業所別収支!$C$13:$Z$13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事業所別収支!$C$23:$Z$23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226-42D5-AED9-74213DB58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7080104"/>
        <c:axId val="457080496"/>
      </c:barChart>
      <c:lineChart>
        <c:grouping val="standard"/>
        <c:varyColors val="0"/>
        <c:ser>
          <c:idx val="0"/>
          <c:order val="0"/>
          <c:tx>
            <c:strRef>
              <c:f>事業所別収支!$B$14</c:f>
              <c:strCache>
                <c:ptCount val="1"/>
                <c:pt idx="0">
                  <c:v>売上</c:v>
                </c:pt>
              </c:strCache>
            </c:strRef>
          </c:tx>
          <c:cat>
            <c:numRef>
              <c:f>事業所別収支!$C$13:$Z$13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事業所別収支!$C$14:$Z$14</c:f>
              <c:numCache>
                <c:formatCode>#,##0_ ;[Red]\-#,##0\ </c:formatCode>
                <c:ptCount val="18"/>
                <c:pt idx="0">
                  <c:v>9718481</c:v>
                </c:pt>
                <c:pt idx="1">
                  <c:v>10007332</c:v>
                </c:pt>
                <c:pt idx="2">
                  <c:v>10050857</c:v>
                </c:pt>
                <c:pt idx="3">
                  <c:v>9647827</c:v>
                </c:pt>
                <c:pt idx="4">
                  <c:v>10237581</c:v>
                </c:pt>
                <c:pt idx="5">
                  <c:v>10301194</c:v>
                </c:pt>
                <c:pt idx="6">
                  <c:v>10772827</c:v>
                </c:pt>
                <c:pt idx="7">
                  <c:v>9835106</c:v>
                </c:pt>
                <c:pt idx="8">
                  <c:v>11042771</c:v>
                </c:pt>
                <c:pt idx="9">
                  <c:v>9842755</c:v>
                </c:pt>
                <c:pt idx="10">
                  <c:v>11239510</c:v>
                </c:pt>
                <c:pt idx="11">
                  <c:v>12511332</c:v>
                </c:pt>
                <c:pt idx="12">
                  <c:v>12778671</c:v>
                </c:pt>
                <c:pt idx="13">
                  <c:v>12163091</c:v>
                </c:pt>
                <c:pt idx="14">
                  <c:v>12668826</c:v>
                </c:pt>
                <c:pt idx="15">
                  <c:v>11458207</c:v>
                </c:pt>
                <c:pt idx="16">
                  <c:v>12821396</c:v>
                </c:pt>
                <c:pt idx="17">
                  <c:v>12901588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226-42D5-AED9-74213DB58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080104"/>
        <c:axId val="457080496"/>
      </c:lineChart>
      <c:dateAx>
        <c:axId val="457080104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457080496"/>
        <c:crosses val="autoZero"/>
        <c:auto val="1"/>
        <c:lblOffset val="100"/>
        <c:baseTimeUnit val="months"/>
      </c:dateAx>
      <c:valAx>
        <c:axId val="457080496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457080104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事業所別収支!$B$55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cat>
            <c:numRef>
              <c:f>事業所別収支!$C$53:$Z$53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事業所別収支!$C$55:$Z$55</c:f>
              <c:numCache>
                <c:formatCode>#,##0_ ;[Red]\-#,##0\ </c:formatCode>
                <c:ptCount val="18"/>
                <c:pt idx="0">
                  <c:v>1346063</c:v>
                </c:pt>
                <c:pt idx="1">
                  <c:v>1316877</c:v>
                </c:pt>
                <c:pt idx="2">
                  <c:v>1289087</c:v>
                </c:pt>
                <c:pt idx="3">
                  <c:v>1305453</c:v>
                </c:pt>
                <c:pt idx="4">
                  <c:v>1522073</c:v>
                </c:pt>
                <c:pt idx="5">
                  <c:v>1506172</c:v>
                </c:pt>
                <c:pt idx="6">
                  <c:v>1344542</c:v>
                </c:pt>
                <c:pt idx="7">
                  <c:v>1393370</c:v>
                </c:pt>
                <c:pt idx="8">
                  <c:v>1478590</c:v>
                </c:pt>
                <c:pt idx="9">
                  <c:v>1216831</c:v>
                </c:pt>
                <c:pt idx="10">
                  <c:v>1309950</c:v>
                </c:pt>
                <c:pt idx="11">
                  <c:v>1568464</c:v>
                </c:pt>
                <c:pt idx="12">
                  <c:v>1559609</c:v>
                </c:pt>
                <c:pt idx="13">
                  <c:v>1573342</c:v>
                </c:pt>
                <c:pt idx="14">
                  <c:v>1653712</c:v>
                </c:pt>
                <c:pt idx="15">
                  <c:v>1497153</c:v>
                </c:pt>
                <c:pt idx="16">
                  <c:v>1672913</c:v>
                </c:pt>
                <c:pt idx="17">
                  <c:v>1593804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51D-4640-94CE-91E69DB73192}"/>
            </c:ext>
          </c:extLst>
        </c:ser>
        <c:ser>
          <c:idx val="2"/>
          <c:order val="2"/>
          <c:tx>
            <c:strRef>
              <c:f>事業所別収支!$B$56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cat>
            <c:numRef>
              <c:f>事業所別収支!$C$53:$Z$53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事業所別収支!$C$56:$Z$56</c:f>
              <c:numCache>
                <c:formatCode>#,##0_ ;[Red]\-#,##0\ </c:formatCode>
                <c:ptCount val="18"/>
                <c:pt idx="0">
                  <c:v>2118936</c:v>
                </c:pt>
                <c:pt idx="1">
                  <c:v>2260418</c:v>
                </c:pt>
                <c:pt idx="2">
                  <c:v>2246591</c:v>
                </c:pt>
                <c:pt idx="3">
                  <c:v>2541385</c:v>
                </c:pt>
                <c:pt idx="4">
                  <c:v>2285024</c:v>
                </c:pt>
                <c:pt idx="5">
                  <c:v>2278943</c:v>
                </c:pt>
                <c:pt idx="6">
                  <c:v>2271244</c:v>
                </c:pt>
                <c:pt idx="7">
                  <c:v>2330446</c:v>
                </c:pt>
                <c:pt idx="8">
                  <c:v>2419865</c:v>
                </c:pt>
                <c:pt idx="9">
                  <c:v>2767327</c:v>
                </c:pt>
                <c:pt idx="10">
                  <c:v>2731021</c:v>
                </c:pt>
                <c:pt idx="11">
                  <c:v>2303355</c:v>
                </c:pt>
                <c:pt idx="12">
                  <c:v>2437257</c:v>
                </c:pt>
                <c:pt idx="13">
                  <c:v>2489582</c:v>
                </c:pt>
                <c:pt idx="14">
                  <c:v>1864940</c:v>
                </c:pt>
                <c:pt idx="15">
                  <c:v>1768840</c:v>
                </c:pt>
                <c:pt idx="16">
                  <c:v>1466687</c:v>
                </c:pt>
                <c:pt idx="17">
                  <c:v>1672796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51D-4640-94CE-91E69DB73192}"/>
            </c:ext>
          </c:extLst>
        </c:ser>
        <c:ser>
          <c:idx val="3"/>
          <c:order val="3"/>
          <c:tx>
            <c:strRef>
              <c:f>事業所別収支!$B$57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cat>
            <c:numRef>
              <c:f>事業所別収支!$C$53:$Z$53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事業所別収支!$C$57:$Z$57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3385000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650000</c:v>
                </c:pt>
                <c:pt idx="8">
                  <c:v>#N/A</c:v>
                </c:pt>
                <c:pt idx="9">
                  <c:v>500000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2468595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51D-4640-94CE-91E69DB73192}"/>
            </c:ext>
          </c:extLst>
        </c:ser>
        <c:ser>
          <c:idx val="4"/>
          <c:order val="4"/>
          <c:tx>
            <c:strRef>
              <c:f>事業所別収支!$B$58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cat>
            <c:numRef>
              <c:f>事業所別収支!$C$53:$Z$53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事業所別収支!$C$58:$Z$58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51D-4640-94CE-91E69DB73192}"/>
            </c:ext>
          </c:extLst>
        </c:ser>
        <c:ser>
          <c:idx val="5"/>
          <c:order val="5"/>
          <c:tx>
            <c:strRef>
              <c:f>事業所別収支!$B$59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cat>
            <c:numRef>
              <c:f>事業所別収支!$C$53:$Z$53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事業所別収支!$C$59:$Z$59</c:f>
              <c:numCache>
                <c:formatCode>#,##0_ ;[Red]\-#,##0\ </c:formatCode>
                <c:ptCount val="18"/>
                <c:pt idx="0">
                  <c:v>376349</c:v>
                </c:pt>
                <c:pt idx="1">
                  <c:v>-66173.033578658826</c:v>
                </c:pt>
                <c:pt idx="2">
                  <c:v>1338312</c:v>
                </c:pt>
                <c:pt idx="3">
                  <c:v>341038</c:v>
                </c:pt>
                <c:pt idx="4">
                  <c:v>379398</c:v>
                </c:pt>
                <c:pt idx="5">
                  <c:v>356215</c:v>
                </c:pt>
                <c:pt idx="6">
                  <c:v>332605</c:v>
                </c:pt>
                <c:pt idx="7">
                  <c:v>290376</c:v>
                </c:pt>
                <c:pt idx="8">
                  <c:v>745189</c:v>
                </c:pt>
                <c:pt idx="9">
                  <c:v>353085</c:v>
                </c:pt>
                <c:pt idx="10">
                  <c:v>373120</c:v>
                </c:pt>
                <c:pt idx="11">
                  <c:v>421567</c:v>
                </c:pt>
                <c:pt idx="12">
                  <c:v>354571</c:v>
                </c:pt>
                <c:pt idx="13">
                  <c:v>758696</c:v>
                </c:pt>
                <c:pt idx="14">
                  <c:v>282525</c:v>
                </c:pt>
                <c:pt idx="15">
                  <c:v>290101</c:v>
                </c:pt>
                <c:pt idx="16">
                  <c:v>256001</c:v>
                </c:pt>
                <c:pt idx="17">
                  <c:v>303004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51D-4640-94CE-91E69DB73192}"/>
            </c:ext>
          </c:extLst>
        </c:ser>
        <c:ser>
          <c:idx val="6"/>
          <c:order val="6"/>
          <c:tx>
            <c:strRef>
              <c:f>事業所別収支!$B$60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cat>
            <c:numRef>
              <c:f>事業所別収支!$C$53:$Z$53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事業所別収支!$C$60:$Z$60</c:f>
              <c:numCache>
                <c:formatCode>#,##0_ ;[Red]\-#,##0\ </c:formatCode>
                <c:ptCount val="18"/>
                <c:pt idx="0">
                  <c:v>15553</c:v>
                </c:pt>
                <c:pt idx="1">
                  <c:v>#N/A</c:v>
                </c:pt>
                <c:pt idx="2">
                  <c:v>#N/A</c:v>
                </c:pt>
                <c:pt idx="3">
                  <c:v>3005</c:v>
                </c:pt>
                <c:pt idx="4">
                  <c:v>2869</c:v>
                </c:pt>
                <c:pt idx="5">
                  <c:v>8990</c:v>
                </c:pt>
                <c:pt idx="6">
                  <c:v>2500</c:v>
                </c:pt>
                <c:pt idx="7">
                  <c:v>82228</c:v>
                </c:pt>
                <c:pt idx="8">
                  <c:v>7595</c:v>
                </c:pt>
                <c:pt idx="9">
                  <c:v>11277</c:v>
                </c:pt>
                <c:pt idx="10">
                  <c:v>492</c:v>
                </c:pt>
                <c:pt idx="11">
                  <c:v>20664</c:v>
                </c:pt>
                <c:pt idx="12">
                  <c:v>24569</c:v>
                </c:pt>
                <c:pt idx="13">
                  <c:v>17854</c:v>
                </c:pt>
                <c:pt idx="14">
                  <c:v>206088</c:v>
                </c:pt>
                <c:pt idx="15">
                  <c:v>7882</c:v>
                </c:pt>
                <c:pt idx="16">
                  <c:v>3831</c:v>
                </c:pt>
                <c:pt idx="17">
                  <c:v>15808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51D-4640-94CE-91E69DB73192}"/>
            </c:ext>
          </c:extLst>
        </c:ser>
        <c:ser>
          <c:idx val="7"/>
          <c:order val="7"/>
          <c:tx>
            <c:strRef>
              <c:f>事業所別収支!$B$62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cat>
            <c:numRef>
              <c:f>事業所別収支!$C$53:$Z$53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事業所別収支!$C$62:$Z$62</c:f>
              <c:numCache>
                <c:formatCode>#,##0_ ;[Red]\-#,##0\ </c:formatCode>
                <c:ptCount val="18"/>
                <c:pt idx="0">
                  <c:v>1009541</c:v>
                </c:pt>
                <c:pt idx="1">
                  <c:v>894494</c:v>
                </c:pt>
                <c:pt idx="2">
                  <c:v>973495</c:v>
                </c:pt>
                <c:pt idx="3">
                  <c:v>981443</c:v>
                </c:pt>
                <c:pt idx="4">
                  <c:v>1138983</c:v>
                </c:pt>
                <c:pt idx="5">
                  <c:v>1027364</c:v>
                </c:pt>
                <c:pt idx="6">
                  <c:v>1004094</c:v>
                </c:pt>
                <c:pt idx="7">
                  <c:v>1000461</c:v>
                </c:pt>
                <c:pt idx="8">
                  <c:v>1024705</c:v>
                </c:pt>
                <c:pt idx="9">
                  <c:v>972141</c:v>
                </c:pt>
                <c:pt idx="10">
                  <c:v>1096851</c:v>
                </c:pt>
                <c:pt idx="11">
                  <c:v>1080585</c:v>
                </c:pt>
                <c:pt idx="12">
                  <c:v>906143</c:v>
                </c:pt>
                <c:pt idx="13">
                  <c:v>864935</c:v>
                </c:pt>
                <c:pt idx="14">
                  <c:v>894137</c:v>
                </c:pt>
                <c:pt idx="15">
                  <c:v>861953</c:v>
                </c:pt>
                <c:pt idx="16">
                  <c:v>817415</c:v>
                </c:pt>
                <c:pt idx="17">
                  <c:v>946371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51D-4640-94CE-91E69DB73192}"/>
            </c:ext>
          </c:extLst>
        </c:ser>
        <c:ser>
          <c:idx val="8"/>
          <c:order val="8"/>
          <c:tx>
            <c:strRef>
              <c:f>事業所別収支!$B$63</c:f>
              <c:strCache>
                <c:ptCount val="1"/>
                <c:pt idx="0">
                  <c:v>本部分担費</c:v>
                </c:pt>
              </c:strCache>
            </c:strRef>
          </c:tx>
          <c:invertIfNegative val="0"/>
          <c:cat>
            <c:numRef>
              <c:f>事業所別収支!$C$53:$Z$53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事業所別収支!$C$63:$Z$63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51D-4640-94CE-91E69DB73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7084808"/>
        <c:axId val="457087160"/>
      </c:barChart>
      <c:lineChart>
        <c:grouping val="standard"/>
        <c:varyColors val="0"/>
        <c:ser>
          <c:idx val="0"/>
          <c:order val="0"/>
          <c:tx>
            <c:strRef>
              <c:f>事業所別収支!$B$54</c:f>
              <c:strCache>
                <c:ptCount val="1"/>
                <c:pt idx="0">
                  <c:v>売上</c:v>
                </c:pt>
              </c:strCache>
            </c:strRef>
          </c:tx>
          <c:cat>
            <c:numRef>
              <c:f>事業所別収支!$C$53:$Z$53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事業所別収支!$C$54:$Z$54</c:f>
              <c:numCache>
                <c:formatCode>#,##0_ ;[Red]\-#,##0\ </c:formatCode>
                <c:ptCount val="18"/>
                <c:pt idx="0">
                  <c:v>5954408</c:v>
                </c:pt>
                <c:pt idx="1">
                  <c:v>5963920</c:v>
                </c:pt>
                <c:pt idx="2">
                  <c:v>5489569</c:v>
                </c:pt>
                <c:pt idx="3">
                  <c:v>5383737</c:v>
                </c:pt>
                <c:pt idx="4">
                  <c:v>5385437</c:v>
                </c:pt>
                <c:pt idx="5">
                  <c:v>7729590</c:v>
                </c:pt>
                <c:pt idx="6">
                  <c:v>6731026</c:v>
                </c:pt>
                <c:pt idx="7">
                  <c:v>6530234</c:v>
                </c:pt>
                <c:pt idx="8">
                  <c:v>6075758</c:v>
                </c:pt>
                <c:pt idx="9">
                  <c:v>6170804</c:v>
                </c:pt>
                <c:pt idx="10">
                  <c:v>6157056</c:v>
                </c:pt>
                <c:pt idx="11">
                  <c:v>7557882</c:v>
                </c:pt>
                <c:pt idx="12">
                  <c:v>7285298</c:v>
                </c:pt>
                <c:pt idx="13">
                  <c:v>6678253</c:v>
                </c:pt>
                <c:pt idx="14">
                  <c:v>5940817</c:v>
                </c:pt>
                <c:pt idx="15">
                  <c:v>6270597</c:v>
                </c:pt>
                <c:pt idx="16">
                  <c:v>5457771</c:v>
                </c:pt>
                <c:pt idx="17">
                  <c:v>6262229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51D-4640-94CE-91E69DB73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084808"/>
        <c:axId val="457087160"/>
      </c:lineChart>
      <c:dateAx>
        <c:axId val="457084808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457087160"/>
        <c:crosses val="autoZero"/>
        <c:auto val="1"/>
        <c:lblOffset val="100"/>
        <c:baseTimeUnit val="months"/>
      </c:dateAx>
      <c:valAx>
        <c:axId val="457087160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457084808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人件費・経費推移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2766956538770393E-2"/>
          <c:y val="9.3985228235863902E-2"/>
          <c:w val="0.8595516285719883"/>
          <c:h val="0.81142201235016342"/>
        </c:manualLayout>
      </c:layout>
      <c:lineChart>
        <c:grouping val="standard"/>
        <c:varyColors val="0"/>
        <c:ser>
          <c:idx val="0"/>
          <c:order val="0"/>
          <c:tx>
            <c:strRef>
              <c:f>経費推移!$B$2</c:f>
              <c:strCache>
                <c:ptCount val="1"/>
                <c:pt idx="0">
                  <c:v>パート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noFill/>
              </a:ln>
              <a:effectLst/>
            </c:spPr>
          </c:marker>
          <c:cat>
            <c:numRef>
              <c:f>経費推移!$A$3:$A$62</c:f>
              <c:numCache>
                <c:formatCode>[$-411]gee\.mm;@</c:formatCode>
                <c:ptCount val="60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</c:numCache>
            </c:numRef>
          </c:cat>
          <c:val>
            <c:numRef>
              <c:f>経費推移!$B$3:$B$62</c:f>
              <c:numCache>
                <c:formatCode>#,##0_ ;[Red]\-#,##0\ </c:formatCode>
                <c:ptCount val="60"/>
                <c:pt idx="0">
                  <c:v>6921646</c:v>
                </c:pt>
                <c:pt idx="1">
                  <c:v>6812061.5</c:v>
                </c:pt>
                <c:pt idx="2">
                  <c:v>7280295</c:v>
                </c:pt>
                <c:pt idx="3">
                  <c:v>7084049</c:v>
                </c:pt>
                <c:pt idx="4">
                  <c:v>6573757.5</c:v>
                </c:pt>
                <c:pt idx="5">
                  <c:v>6686957</c:v>
                </c:pt>
                <c:pt idx="6">
                  <c:v>6372684.5</c:v>
                </c:pt>
                <c:pt idx="7">
                  <c:v>7293219</c:v>
                </c:pt>
                <c:pt idx="8">
                  <c:v>6724628.5</c:v>
                </c:pt>
                <c:pt idx="9">
                  <c:v>6280975.5</c:v>
                </c:pt>
                <c:pt idx="10">
                  <c:v>7046907</c:v>
                </c:pt>
                <c:pt idx="11">
                  <c:v>6997702.5</c:v>
                </c:pt>
                <c:pt idx="12">
                  <c:v>7060328</c:v>
                </c:pt>
                <c:pt idx="13">
                  <c:v>7453412.5</c:v>
                </c:pt>
                <c:pt idx="14">
                  <c:v>7357788</c:v>
                </c:pt>
                <c:pt idx="15">
                  <c:v>7227508.5</c:v>
                </c:pt>
                <c:pt idx="16">
                  <c:v>7302559</c:v>
                </c:pt>
                <c:pt idx="17">
                  <c:v>7637522</c:v>
                </c:pt>
                <c:pt idx="18">
                  <c:v>7459224</c:v>
                </c:pt>
                <c:pt idx="19">
                  <c:v>8689429</c:v>
                </c:pt>
                <c:pt idx="20">
                  <c:v>8181596</c:v>
                </c:pt>
                <c:pt idx="21">
                  <c:v>8007802</c:v>
                </c:pt>
                <c:pt idx="22">
                  <c:v>8183667</c:v>
                </c:pt>
                <c:pt idx="23">
                  <c:v>7818980</c:v>
                </c:pt>
                <c:pt idx="24">
                  <c:v>8507615</c:v>
                </c:pt>
                <c:pt idx="25">
                  <c:v>8597952</c:v>
                </c:pt>
                <c:pt idx="26">
                  <c:v>8310087</c:v>
                </c:pt>
                <c:pt idx="27">
                  <c:v>8395958</c:v>
                </c:pt>
                <c:pt idx="28">
                  <c:v>8421241</c:v>
                </c:pt>
                <c:pt idx="29">
                  <c:v>7999869</c:v>
                </c:pt>
                <c:pt idx="30">
                  <c:v>7888862</c:v>
                </c:pt>
                <c:pt idx="31">
                  <c:v>9257860</c:v>
                </c:pt>
                <c:pt idx="32">
                  <c:v>9298008</c:v>
                </c:pt>
                <c:pt idx="33">
                  <c:v>8581832</c:v>
                </c:pt>
                <c:pt idx="34">
                  <c:v>9496637</c:v>
                </c:pt>
                <c:pt idx="35">
                  <c:v>9162799</c:v>
                </c:pt>
                <c:pt idx="36">
                  <c:v>9509943</c:v>
                </c:pt>
                <c:pt idx="37">
                  <c:v>10064298</c:v>
                </c:pt>
                <c:pt idx="38">
                  <c:v>10753859</c:v>
                </c:pt>
                <c:pt idx="39">
                  <c:v>10728350</c:v>
                </c:pt>
                <c:pt idx="40">
                  <c:v>10857414</c:v>
                </c:pt>
                <c:pt idx="41">
                  <c:v>10859304</c:v>
                </c:pt>
                <c:pt idx="42">
                  <c:v>10338031</c:v>
                </c:pt>
                <c:pt idx="43">
                  <c:v>11035387</c:v>
                </c:pt>
                <c:pt idx="44">
                  <c:v>10849660</c:v>
                </c:pt>
                <c:pt idx="45">
                  <c:v>10316489</c:v>
                </c:pt>
                <c:pt idx="46">
                  <c:v>11381089</c:v>
                </c:pt>
                <c:pt idx="47">
                  <c:v>11273885</c:v>
                </c:pt>
                <c:pt idx="48">
                  <c:v>11438888</c:v>
                </c:pt>
                <c:pt idx="49">
                  <c:v>11402626</c:v>
                </c:pt>
                <c:pt idx="50">
                  <c:v>11376064</c:v>
                </c:pt>
                <c:pt idx="51">
                  <c:v>10604177</c:v>
                </c:pt>
                <c:pt idx="52">
                  <c:v>11183917</c:v>
                </c:pt>
                <c:pt idx="53">
                  <c:v>11578203</c:v>
                </c:pt>
                <c:pt idx="54">
                  <c:v>11425873</c:v>
                </c:pt>
                <c:pt idx="55">
                  <c:v>11489865</c:v>
                </c:pt>
                <c:pt idx="56">
                  <c:v>11852991</c:v>
                </c:pt>
                <c:pt idx="57">
                  <c:v>10969098</c:v>
                </c:pt>
                <c:pt idx="58">
                  <c:v>12221347</c:v>
                </c:pt>
                <c:pt idx="59">
                  <c:v>12107299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77C-4DEA-A002-ADC5CCCEBA57}"/>
            </c:ext>
          </c:extLst>
        </c:ser>
        <c:ser>
          <c:idx val="1"/>
          <c:order val="1"/>
          <c:tx>
            <c:strRef>
              <c:f>経費推移!$C$2</c:f>
              <c:strCache>
                <c:ptCount val="1"/>
                <c:pt idx="0">
                  <c:v>社員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cat>
            <c:numRef>
              <c:f>経費推移!$A$3:$A$62</c:f>
              <c:numCache>
                <c:formatCode>[$-411]gee\.mm;@</c:formatCode>
                <c:ptCount val="60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</c:numCache>
            </c:numRef>
          </c:cat>
          <c:val>
            <c:numRef>
              <c:f>経費推移!$C$3:$C$62</c:f>
              <c:numCache>
                <c:formatCode>#,##0_ ;[Red]\-#,##0\ </c:formatCode>
                <c:ptCount val="60"/>
                <c:pt idx="0">
                  <c:v>7295649</c:v>
                </c:pt>
                <c:pt idx="1">
                  <c:v>6422270</c:v>
                </c:pt>
                <c:pt idx="2">
                  <c:v>6282143</c:v>
                </c:pt>
                <c:pt idx="3">
                  <c:v>6942709</c:v>
                </c:pt>
                <c:pt idx="4">
                  <c:v>7747679</c:v>
                </c:pt>
                <c:pt idx="5">
                  <c:v>7579988</c:v>
                </c:pt>
                <c:pt idx="6">
                  <c:v>7842555</c:v>
                </c:pt>
                <c:pt idx="7">
                  <c:v>7596436</c:v>
                </c:pt>
                <c:pt idx="8">
                  <c:v>7822814</c:v>
                </c:pt>
                <c:pt idx="9">
                  <c:v>7552347</c:v>
                </c:pt>
                <c:pt idx="10">
                  <c:v>7256111</c:v>
                </c:pt>
                <c:pt idx="11">
                  <c:v>6880159</c:v>
                </c:pt>
                <c:pt idx="12">
                  <c:v>6280018</c:v>
                </c:pt>
                <c:pt idx="13">
                  <c:v>6661581</c:v>
                </c:pt>
                <c:pt idx="14">
                  <c:v>6855020</c:v>
                </c:pt>
                <c:pt idx="15">
                  <c:v>6975212</c:v>
                </c:pt>
                <c:pt idx="16">
                  <c:v>5985683</c:v>
                </c:pt>
                <c:pt idx="17">
                  <c:v>6282091</c:v>
                </c:pt>
                <c:pt idx="18">
                  <c:v>6382566</c:v>
                </c:pt>
                <c:pt idx="19">
                  <c:v>7077423</c:v>
                </c:pt>
                <c:pt idx="20">
                  <c:v>6684531</c:v>
                </c:pt>
                <c:pt idx="21">
                  <c:v>6664051</c:v>
                </c:pt>
                <c:pt idx="22">
                  <c:v>6680143</c:v>
                </c:pt>
                <c:pt idx="23">
                  <c:v>7593208</c:v>
                </c:pt>
                <c:pt idx="24">
                  <c:v>7717245</c:v>
                </c:pt>
                <c:pt idx="25">
                  <c:v>8092266</c:v>
                </c:pt>
                <c:pt idx="26">
                  <c:v>8279471</c:v>
                </c:pt>
                <c:pt idx="27">
                  <c:v>8514142</c:v>
                </c:pt>
                <c:pt idx="28">
                  <c:v>8551503</c:v>
                </c:pt>
                <c:pt idx="29">
                  <c:v>8087876</c:v>
                </c:pt>
                <c:pt idx="30">
                  <c:v>7916605</c:v>
                </c:pt>
                <c:pt idx="31">
                  <c:v>8342551</c:v>
                </c:pt>
                <c:pt idx="32">
                  <c:v>8350476</c:v>
                </c:pt>
                <c:pt idx="33">
                  <c:v>8110340</c:v>
                </c:pt>
                <c:pt idx="34">
                  <c:v>8561138</c:v>
                </c:pt>
                <c:pt idx="35">
                  <c:v>8027584</c:v>
                </c:pt>
                <c:pt idx="36">
                  <c:v>7398936</c:v>
                </c:pt>
                <c:pt idx="37">
                  <c:v>8544718</c:v>
                </c:pt>
                <c:pt idx="38">
                  <c:v>8579143</c:v>
                </c:pt>
                <c:pt idx="39">
                  <c:v>8552830</c:v>
                </c:pt>
                <c:pt idx="40">
                  <c:v>8345335</c:v>
                </c:pt>
                <c:pt idx="41">
                  <c:v>8690927</c:v>
                </c:pt>
                <c:pt idx="42">
                  <c:v>8895447</c:v>
                </c:pt>
                <c:pt idx="43">
                  <c:v>9005928</c:v>
                </c:pt>
                <c:pt idx="44">
                  <c:v>8664832</c:v>
                </c:pt>
                <c:pt idx="45">
                  <c:v>8889046</c:v>
                </c:pt>
                <c:pt idx="46">
                  <c:v>8461687</c:v>
                </c:pt>
                <c:pt idx="47">
                  <c:v>8684025</c:v>
                </c:pt>
                <c:pt idx="48">
                  <c:v>8288378</c:v>
                </c:pt>
                <c:pt idx="49">
                  <c:v>8964240</c:v>
                </c:pt>
                <c:pt idx="50">
                  <c:v>9256512</c:v>
                </c:pt>
                <c:pt idx="51">
                  <c:v>9900617</c:v>
                </c:pt>
                <c:pt idx="52">
                  <c:v>9607681</c:v>
                </c:pt>
                <c:pt idx="53">
                  <c:v>10038624</c:v>
                </c:pt>
                <c:pt idx="54">
                  <c:v>10939950</c:v>
                </c:pt>
                <c:pt idx="55">
                  <c:v>11268578</c:v>
                </c:pt>
                <c:pt idx="56">
                  <c:v>10749965</c:v>
                </c:pt>
                <c:pt idx="57">
                  <c:v>10929140</c:v>
                </c:pt>
                <c:pt idx="58">
                  <c:v>9786251</c:v>
                </c:pt>
                <c:pt idx="59">
                  <c:v>9740290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77C-4DEA-A002-ADC5CCCEBA57}"/>
            </c:ext>
          </c:extLst>
        </c:ser>
        <c:ser>
          <c:idx val="3"/>
          <c:order val="3"/>
          <c:tx>
            <c:strRef>
              <c:f>経費推移!$E$2</c:f>
              <c:strCache>
                <c:ptCount val="1"/>
                <c:pt idx="0">
                  <c:v>役員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noFill/>
              </a:ln>
              <a:effectLst/>
            </c:spPr>
          </c:marker>
          <c:cat>
            <c:numRef>
              <c:f>経費推移!$A$3:$A$62</c:f>
              <c:numCache>
                <c:formatCode>[$-411]gee\.mm;@</c:formatCode>
                <c:ptCount val="60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</c:numCache>
            </c:numRef>
          </c:cat>
          <c:val>
            <c:numRef>
              <c:f>経費推移!$E$3:$E$62</c:f>
              <c:numCache>
                <c:formatCode>#,##0_ ;[Red]\-#,##0\ </c:formatCode>
                <c:ptCount val="60"/>
                <c:pt idx="0">
                  <c:v>950000</c:v>
                </c:pt>
                <c:pt idx="1">
                  <c:v>950000</c:v>
                </c:pt>
                <c:pt idx="2">
                  <c:v>950000</c:v>
                </c:pt>
                <c:pt idx="3">
                  <c:v>950000</c:v>
                </c:pt>
                <c:pt idx="4">
                  <c:v>950000</c:v>
                </c:pt>
                <c:pt idx="5">
                  <c:v>950000</c:v>
                </c:pt>
                <c:pt idx="6">
                  <c:v>950000</c:v>
                </c:pt>
                <c:pt idx="7">
                  <c:v>950000</c:v>
                </c:pt>
                <c:pt idx="8">
                  <c:v>950000</c:v>
                </c:pt>
                <c:pt idx="9">
                  <c:v>950000</c:v>
                </c:pt>
                <c:pt idx="10">
                  <c:v>950000</c:v>
                </c:pt>
                <c:pt idx="11">
                  <c:v>950000</c:v>
                </c:pt>
                <c:pt idx="12">
                  <c:v>950000</c:v>
                </c:pt>
                <c:pt idx="13">
                  <c:v>950000</c:v>
                </c:pt>
                <c:pt idx="14">
                  <c:v>950000</c:v>
                </c:pt>
                <c:pt idx="15">
                  <c:v>950000</c:v>
                </c:pt>
                <c:pt idx="16">
                  <c:v>1600000</c:v>
                </c:pt>
                <c:pt idx="17">
                  <c:v>1600000</c:v>
                </c:pt>
                <c:pt idx="18">
                  <c:v>2150000</c:v>
                </c:pt>
                <c:pt idx="19">
                  <c:v>2150000</c:v>
                </c:pt>
                <c:pt idx="20">
                  <c:v>2150000</c:v>
                </c:pt>
                <c:pt idx="21">
                  <c:v>2150000</c:v>
                </c:pt>
                <c:pt idx="22">
                  <c:v>2150000</c:v>
                </c:pt>
                <c:pt idx="23">
                  <c:v>2150000</c:v>
                </c:pt>
                <c:pt idx="24">
                  <c:v>2150000</c:v>
                </c:pt>
                <c:pt idx="25">
                  <c:v>2150000</c:v>
                </c:pt>
                <c:pt idx="26">
                  <c:v>2150000</c:v>
                </c:pt>
                <c:pt idx="27">
                  <c:v>2150000</c:v>
                </c:pt>
                <c:pt idx="28">
                  <c:v>2150000</c:v>
                </c:pt>
                <c:pt idx="29">
                  <c:v>2000000</c:v>
                </c:pt>
                <c:pt idx="30">
                  <c:v>2000000</c:v>
                </c:pt>
                <c:pt idx="31">
                  <c:v>2000000</c:v>
                </c:pt>
                <c:pt idx="32">
                  <c:v>2000000</c:v>
                </c:pt>
                <c:pt idx="33">
                  <c:v>2000000</c:v>
                </c:pt>
                <c:pt idx="34">
                  <c:v>2000000</c:v>
                </c:pt>
                <c:pt idx="35">
                  <c:v>2000000</c:v>
                </c:pt>
                <c:pt idx="36">
                  <c:v>2000000</c:v>
                </c:pt>
                <c:pt idx="37">
                  <c:v>2000000</c:v>
                </c:pt>
                <c:pt idx="38">
                  <c:v>2000000</c:v>
                </c:pt>
                <c:pt idx="39">
                  <c:v>2000000</c:v>
                </c:pt>
                <c:pt idx="40">
                  <c:v>2000000</c:v>
                </c:pt>
                <c:pt idx="41">
                  <c:v>2000000</c:v>
                </c:pt>
                <c:pt idx="42">
                  <c:v>2500000</c:v>
                </c:pt>
                <c:pt idx="43">
                  <c:v>2500000</c:v>
                </c:pt>
                <c:pt idx="44">
                  <c:v>2500000</c:v>
                </c:pt>
                <c:pt idx="45">
                  <c:v>2500000</c:v>
                </c:pt>
                <c:pt idx="46">
                  <c:v>2500000</c:v>
                </c:pt>
                <c:pt idx="47">
                  <c:v>2500000</c:v>
                </c:pt>
                <c:pt idx="48">
                  <c:v>2500000</c:v>
                </c:pt>
                <c:pt idx="49">
                  <c:v>2500000</c:v>
                </c:pt>
                <c:pt idx="50">
                  <c:v>2500000</c:v>
                </c:pt>
                <c:pt idx="51">
                  <c:v>2500000</c:v>
                </c:pt>
                <c:pt idx="52">
                  <c:v>2500000</c:v>
                </c:pt>
                <c:pt idx="53">
                  <c:v>3000000</c:v>
                </c:pt>
                <c:pt idx="54">
                  <c:v>3000000</c:v>
                </c:pt>
                <c:pt idx="55">
                  <c:v>3000000</c:v>
                </c:pt>
                <c:pt idx="56">
                  <c:v>3000000</c:v>
                </c:pt>
                <c:pt idx="57">
                  <c:v>3000000</c:v>
                </c:pt>
                <c:pt idx="58">
                  <c:v>3000000</c:v>
                </c:pt>
                <c:pt idx="59">
                  <c:v>3700000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77C-4DEA-A002-ADC5CCCEBA57}"/>
            </c:ext>
          </c:extLst>
        </c:ser>
        <c:ser>
          <c:idx val="7"/>
          <c:order val="7"/>
          <c:tx>
            <c:strRef>
              <c:f>経費推移!$I$2</c:f>
              <c:strCache>
                <c:ptCount val="1"/>
                <c:pt idx="0">
                  <c:v>事業所経費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noFill/>
              </a:ln>
              <a:effectLst/>
            </c:spPr>
          </c:marker>
          <c:cat>
            <c:numRef>
              <c:f>経費推移!$A$3:$A$62</c:f>
              <c:numCache>
                <c:formatCode>[$-411]gee\.mm;@</c:formatCode>
                <c:ptCount val="60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</c:numCache>
            </c:numRef>
          </c:cat>
          <c:val>
            <c:numRef>
              <c:f>経費推移!$I$3:$I$62</c:f>
              <c:numCache>
                <c:formatCode>#,##0_ ;[Red]\-#,##0\ </c:formatCode>
                <c:ptCount val="60"/>
                <c:pt idx="0">
                  <c:v>6360821</c:v>
                </c:pt>
                <c:pt idx="1">
                  <c:v>5885914</c:v>
                </c:pt>
                <c:pt idx="2">
                  <c:v>5839285</c:v>
                </c:pt>
                <c:pt idx="3">
                  <c:v>5828265</c:v>
                </c:pt>
                <c:pt idx="4">
                  <c:v>5491669</c:v>
                </c:pt>
                <c:pt idx="5">
                  <c:v>5493239</c:v>
                </c:pt>
                <c:pt idx="6">
                  <c:v>5260921</c:v>
                </c:pt>
                <c:pt idx="7">
                  <c:v>6366695</c:v>
                </c:pt>
                <c:pt idx="8">
                  <c:v>5240866</c:v>
                </c:pt>
                <c:pt idx="9">
                  <c:v>5686606</c:v>
                </c:pt>
                <c:pt idx="10">
                  <c:v>5776034</c:v>
                </c:pt>
                <c:pt idx="11">
                  <c:v>5510538</c:v>
                </c:pt>
                <c:pt idx="12">
                  <c:v>5340410</c:v>
                </c:pt>
                <c:pt idx="13">
                  <c:v>5544030</c:v>
                </c:pt>
                <c:pt idx="14">
                  <c:v>5707416</c:v>
                </c:pt>
                <c:pt idx="15">
                  <c:v>6110806</c:v>
                </c:pt>
                <c:pt idx="16">
                  <c:v>5431909</c:v>
                </c:pt>
                <c:pt idx="17">
                  <c:v>7207855</c:v>
                </c:pt>
                <c:pt idx="18">
                  <c:v>6483122</c:v>
                </c:pt>
                <c:pt idx="19">
                  <c:v>6330094</c:v>
                </c:pt>
                <c:pt idx="20">
                  <c:v>5855995</c:v>
                </c:pt>
                <c:pt idx="21">
                  <c:v>6303902</c:v>
                </c:pt>
                <c:pt idx="22">
                  <c:v>6930716</c:v>
                </c:pt>
                <c:pt idx="23">
                  <c:v>5942711</c:v>
                </c:pt>
                <c:pt idx="24">
                  <c:v>6903595</c:v>
                </c:pt>
                <c:pt idx="25">
                  <c:v>6511699</c:v>
                </c:pt>
                <c:pt idx="26">
                  <c:v>7199649</c:v>
                </c:pt>
                <c:pt idx="27">
                  <c:v>6610405</c:v>
                </c:pt>
                <c:pt idx="28">
                  <c:v>7176217</c:v>
                </c:pt>
                <c:pt idx="29">
                  <c:v>6976872</c:v>
                </c:pt>
                <c:pt idx="30">
                  <c:v>6056701</c:v>
                </c:pt>
                <c:pt idx="31">
                  <c:v>6968765</c:v>
                </c:pt>
                <c:pt idx="32">
                  <c:v>7978846</c:v>
                </c:pt>
                <c:pt idx="33">
                  <c:v>7572251</c:v>
                </c:pt>
                <c:pt idx="34">
                  <c:v>8593509</c:v>
                </c:pt>
                <c:pt idx="35">
                  <c:v>8610109</c:v>
                </c:pt>
                <c:pt idx="36">
                  <c:v>8514882</c:v>
                </c:pt>
                <c:pt idx="37">
                  <c:v>7494574</c:v>
                </c:pt>
                <c:pt idx="38">
                  <c:v>6558277</c:v>
                </c:pt>
                <c:pt idx="39">
                  <c:v>9486285</c:v>
                </c:pt>
                <c:pt idx="40">
                  <c:v>7294393</c:v>
                </c:pt>
                <c:pt idx="41">
                  <c:v>7306654</c:v>
                </c:pt>
                <c:pt idx="42">
                  <c:v>8407030</c:v>
                </c:pt>
                <c:pt idx="43">
                  <c:v>8808106</c:v>
                </c:pt>
                <c:pt idx="44">
                  <c:v>8643529</c:v>
                </c:pt>
                <c:pt idx="45">
                  <c:v>7932590</c:v>
                </c:pt>
                <c:pt idx="46">
                  <c:v>10064249</c:v>
                </c:pt>
                <c:pt idx="47">
                  <c:v>10231887</c:v>
                </c:pt>
                <c:pt idx="48">
                  <c:v>10215655</c:v>
                </c:pt>
                <c:pt idx="49">
                  <c:v>11252967</c:v>
                </c:pt>
                <c:pt idx="50">
                  <c:v>10541382</c:v>
                </c:pt>
                <c:pt idx="51">
                  <c:v>12030005</c:v>
                </c:pt>
                <c:pt idx="52">
                  <c:v>10154606</c:v>
                </c:pt>
                <c:pt idx="53">
                  <c:v>14150744</c:v>
                </c:pt>
                <c:pt idx="54">
                  <c:v>9727500</c:v>
                </c:pt>
                <c:pt idx="55">
                  <c:v>8588657</c:v>
                </c:pt>
                <c:pt idx="56">
                  <c:v>9173270</c:v>
                </c:pt>
                <c:pt idx="57">
                  <c:v>8999179</c:v>
                </c:pt>
                <c:pt idx="58">
                  <c:v>8656063</c:v>
                </c:pt>
                <c:pt idx="59">
                  <c:v>8647779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77C-4DEA-A002-ADC5CCCEB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84256"/>
        <c:axId val="453382296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経費推移!$D$2</c15:sqref>
                        </c15:formulaRef>
                      </c:ext>
                    </c:extLst>
                    <c:strCache>
                      <c:ptCount val="1"/>
                      <c:pt idx="0">
                        <c:v>賞与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経費推移!$A$3:$A$62</c15:sqref>
                        </c15:formulaRef>
                      </c:ext>
                    </c:extLst>
                    <c:numCache>
                      <c:formatCode>[$-411]gee\.mm;@</c:formatCode>
                      <c:ptCount val="60"/>
                      <c:pt idx="0">
                        <c:v>41760</c:v>
                      </c:pt>
                      <c:pt idx="1">
                        <c:v>41791</c:v>
                      </c:pt>
                      <c:pt idx="2">
                        <c:v>41821</c:v>
                      </c:pt>
                      <c:pt idx="3">
                        <c:v>41852</c:v>
                      </c:pt>
                      <c:pt idx="4">
                        <c:v>41883</c:v>
                      </c:pt>
                      <c:pt idx="5">
                        <c:v>41913</c:v>
                      </c:pt>
                      <c:pt idx="6">
                        <c:v>41944</c:v>
                      </c:pt>
                      <c:pt idx="7">
                        <c:v>41974</c:v>
                      </c:pt>
                      <c:pt idx="8">
                        <c:v>42005</c:v>
                      </c:pt>
                      <c:pt idx="9">
                        <c:v>42036</c:v>
                      </c:pt>
                      <c:pt idx="10">
                        <c:v>42064</c:v>
                      </c:pt>
                      <c:pt idx="11">
                        <c:v>42095</c:v>
                      </c:pt>
                      <c:pt idx="12">
                        <c:v>42125</c:v>
                      </c:pt>
                      <c:pt idx="13">
                        <c:v>42156</c:v>
                      </c:pt>
                      <c:pt idx="14">
                        <c:v>42186</c:v>
                      </c:pt>
                      <c:pt idx="15">
                        <c:v>42217</c:v>
                      </c:pt>
                      <c:pt idx="16">
                        <c:v>42248</c:v>
                      </c:pt>
                      <c:pt idx="17">
                        <c:v>42278</c:v>
                      </c:pt>
                      <c:pt idx="18">
                        <c:v>42309</c:v>
                      </c:pt>
                      <c:pt idx="19">
                        <c:v>42339</c:v>
                      </c:pt>
                      <c:pt idx="20">
                        <c:v>42370</c:v>
                      </c:pt>
                      <c:pt idx="21">
                        <c:v>42401</c:v>
                      </c:pt>
                      <c:pt idx="22">
                        <c:v>42430</c:v>
                      </c:pt>
                      <c:pt idx="23">
                        <c:v>42461</c:v>
                      </c:pt>
                      <c:pt idx="24">
                        <c:v>42491</c:v>
                      </c:pt>
                      <c:pt idx="25">
                        <c:v>42522</c:v>
                      </c:pt>
                      <c:pt idx="26">
                        <c:v>42552</c:v>
                      </c:pt>
                      <c:pt idx="27">
                        <c:v>42583</c:v>
                      </c:pt>
                      <c:pt idx="28">
                        <c:v>42614</c:v>
                      </c:pt>
                      <c:pt idx="29">
                        <c:v>42644</c:v>
                      </c:pt>
                      <c:pt idx="30">
                        <c:v>42675</c:v>
                      </c:pt>
                      <c:pt idx="31">
                        <c:v>42705</c:v>
                      </c:pt>
                      <c:pt idx="32">
                        <c:v>42736</c:v>
                      </c:pt>
                      <c:pt idx="33">
                        <c:v>42767</c:v>
                      </c:pt>
                      <c:pt idx="34">
                        <c:v>42795</c:v>
                      </c:pt>
                      <c:pt idx="35">
                        <c:v>42826</c:v>
                      </c:pt>
                      <c:pt idx="36">
                        <c:v>42856</c:v>
                      </c:pt>
                      <c:pt idx="37">
                        <c:v>42887</c:v>
                      </c:pt>
                      <c:pt idx="38">
                        <c:v>42917</c:v>
                      </c:pt>
                      <c:pt idx="39">
                        <c:v>42948</c:v>
                      </c:pt>
                      <c:pt idx="40">
                        <c:v>42979</c:v>
                      </c:pt>
                      <c:pt idx="41">
                        <c:v>43009</c:v>
                      </c:pt>
                      <c:pt idx="42">
                        <c:v>43040</c:v>
                      </c:pt>
                      <c:pt idx="43">
                        <c:v>43070</c:v>
                      </c:pt>
                      <c:pt idx="44">
                        <c:v>43101</c:v>
                      </c:pt>
                      <c:pt idx="45">
                        <c:v>43132</c:v>
                      </c:pt>
                      <c:pt idx="46">
                        <c:v>43160</c:v>
                      </c:pt>
                      <c:pt idx="47">
                        <c:v>43191</c:v>
                      </c:pt>
                      <c:pt idx="48">
                        <c:v>43221</c:v>
                      </c:pt>
                      <c:pt idx="49">
                        <c:v>43252</c:v>
                      </c:pt>
                      <c:pt idx="50">
                        <c:v>43282</c:v>
                      </c:pt>
                      <c:pt idx="51">
                        <c:v>43313</c:v>
                      </c:pt>
                      <c:pt idx="52">
                        <c:v>43344</c:v>
                      </c:pt>
                      <c:pt idx="53">
                        <c:v>43374</c:v>
                      </c:pt>
                      <c:pt idx="54">
                        <c:v>43405</c:v>
                      </c:pt>
                      <c:pt idx="55">
                        <c:v>43435</c:v>
                      </c:pt>
                      <c:pt idx="56">
                        <c:v>43466</c:v>
                      </c:pt>
                      <c:pt idx="57">
                        <c:v>43497</c:v>
                      </c:pt>
                      <c:pt idx="58">
                        <c:v>43525</c:v>
                      </c:pt>
                      <c:pt idx="59">
                        <c:v>43556</c:v>
                      </c:pt>
                    </c:numCache>
                  </c:num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経費推移!$D$3:$D$62</c15:sqref>
                        </c15:formulaRef>
                      </c:ext>
                    </c:extLst>
                    <c:numCache>
                      <c:formatCode>#,##0_ ;[Red]\-#,##0\ </c:formatCode>
                      <c:ptCount val="60"/>
                      <c:pt idx="0">
                        <c:v>0</c:v>
                      </c:pt>
                      <c:pt idx="1">
                        <c:v>3540000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3555920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4288547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7159778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9125386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7183300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4031000</c:v>
                      </c:pt>
                      <c:pt idx="38">
                        <c:v>0</c:v>
                      </c:pt>
                      <c:pt idx="39">
                        <c:v>930000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12389750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7225300</c:v>
                      </c:pt>
                      <c:pt idx="50">
                        <c:v>0</c:v>
                      </c:pt>
                      <c:pt idx="51">
                        <c:v>1700000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12454095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</c:numCache>
                  </c:numRef>
                </c: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4-177C-4DEA-A002-ADC5CCCEBA57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経費推移!$F$2</c15:sqref>
                        </c15:formulaRef>
                      </c:ext>
                    </c:extLst>
                    <c:strCache>
                      <c:ptCount val="1"/>
                      <c:pt idx="0">
                        <c:v>福利厚生費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経費推移!$A$3:$A$62</c15:sqref>
                        </c15:formulaRef>
                      </c:ext>
                    </c:extLst>
                    <c:numCache>
                      <c:formatCode>[$-411]gee\.mm;@</c:formatCode>
                      <c:ptCount val="60"/>
                      <c:pt idx="0">
                        <c:v>41760</c:v>
                      </c:pt>
                      <c:pt idx="1">
                        <c:v>41791</c:v>
                      </c:pt>
                      <c:pt idx="2">
                        <c:v>41821</c:v>
                      </c:pt>
                      <c:pt idx="3">
                        <c:v>41852</c:v>
                      </c:pt>
                      <c:pt idx="4">
                        <c:v>41883</c:v>
                      </c:pt>
                      <c:pt idx="5">
                        <c:v>41913</c:v>
                      </c:pt>
                      <c:pt idx="6">
                        <c:v>41944</c:v>
                      </c:pt>
                      <c:pt idx="7">
                        <c:v>41974</c:v>
                      </c:pt>
                      <c:pt idx="8">
                        <c:v>42005</c:v>
                      </c:pt>
                      <c:pt idx="9">
                        <c:v>42036</c:v>
                      </c:pt>
                      <c:pt idx="10">
                        <c:v>42064</c:v>
                      </c:pt>
                      <c:pt idx="11">
                        <c:v>42095</c:v>
                      </c:pt>
                      <c:pt idx="12">
                        <c:v>42125</c:v>
                      </c:pt>
                      <c:pt idx="13">
                        <c:v>42156</c:v>
                      </c:pt>
                      <c:pt idx="14">
                        <c:v>42186</c:v>
                      </c:pt>
                      <c:pt idx="15">
                        <c:v>42217</c:v>
                      </c:pt>
                      <c:pt idx="16">
                        <c:v>42248</c:v>
                      </c:pt>
                      <c:pt idx="17">
                        <c:v>42278</c:v>
                      </c:pt>
                      <c:pt idx="18">
                        <c:v>42309</c:v>
                      </c:pt>
                      <c:pt idx="19">
                        <c:v>42339</c:v>
                      </c:pt>
                      <c:pt idx="20">
                        <c:v>42370</c:v>
                      </c:pt>
                      <c:pt idx="21">
                        <c:v>42401</c:v>
                      </c:pt>
                      <c:pt idx="22">
                        <c:v>42430</c:v>
                      </c:pt>
                      <c:pt idx="23">
                        <c:v>42461</c:v>
                      </c:pt>
                      <c:pt idx="24">
                        <c:v>42491</c:v>
                      </c:pt>
                      <c:pt idx="25">
                        <c:v>42522</c:v>
                      </c:pt>
                      <c:pt idx="26">
                        <c:v>42552</c:v>
                      </c:pt>
                      <c:pt idx="27">
                        <c:v>42583</c:v>
                      </c:pt>
                      <c:pt idx="28">
                        <c:v>42614</c:v>
                      </c:pt>
                      <c:pt idx="29">
                        <c:v>42644</c:v>
                      </c:pt>
                      <c:pt idx="30">
                        <c:v>42675</c:v>
                      </c:pt>
                      <c:pt idx="31">
                        <c:v>42705</c:v>
                      </c:pt>
                      <c:pt idx="32">
                        <c:v>42736</c:v>
                      </c:pt>
                      <c:pt idx="33">
                        <c:v>42767</c:v>
                      </c:pt>
                      <c:pt idx="34">
                        <c:v>42795</c:v>
                      </c:pt>
                      <c:pt idx="35">
                        <c:v>42826</c:v>
                      </c:pt>
                      <c:pt idx="36">
                        <c:v>42856</c:v>
                      </c:pt>
                      <c:pt idx="37">
                        <c:v>42887</c:v>
                      </c:pt>
                      <c:pt idx="38">
                        <c:v>42917</c:v>
                      </c:pt>
                      <c:pt idx="39">
                        <c:v>42948</c:v>
                      </c:pt>
                      <c:pt idx="40">
                        <c:v>42979</c:v>
                      </c:pt>
                      <c:pt idx="41">
                        <c:v>43009</c:v>
                      </c:pt>
                      <c:pt idx="42">
                        <c:v>43040</c:v>
                      </c:pt>
                      <c:pt idx="43">
                        <c:v>43070</c:v>
                      </c:pt>
                      <c:pt idx="44">
                        <c:v>43101</c:v>
                      </c:pt>
                      <c:pt idx="45">
                        <c:v>43132</c:v>
                      </c:pt>
                      <c:pt idx="46">
                        <c:v>43160</c:v>
                      </c:pt>
                      <c:pt idx="47">
                        <c:v>43191</c:v>
                      </c:pt>
                      <c:pt idx="48">
                        <c:v>43221</c:v>
                      </c:pt>
                      <c:pt idx="49">
                        <c:v>43252</c:v>
                      </c:pt>
                      <c:pt idx="50">
                        <c:v>43282</c:v>
                      </c:pt>
                      <c:pt idx="51">
                        <c:v>43313</c:v>
                      </c:pt>
                      <c:pt idx="52">
                        <c:v>43344</c:v>
                      </c:pt>
                      <c:pt idx="53">
                        <c:v>43374</c:v>
                      </c:pt>
                      <c:pt idx="54">
                        <c:v>43405</c:v>
                      </c:pt>
                      <c:pt idx="55">
                        <c:v>43435</c:v>
                      </c:pt>
                      <c:pt idx="56">
                        <c:v>43466</c:v>
                      </c:pt>
                      <c:pt idx="57">
                        <c:v>43497</c:v>
                      </c:pt>
                      <c:pt idx="58">
                        <c:v>43525</c:v>
                      </c:pt>
                      <c:pt idx="59">
                        <c:v>43556</c:v>
                      </c:pt>
                    </c:numCache>
                  </c:num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経費推移!$F$3:$F$62</c15:sqref>
                        </c15:formulaRef>
                      </c:ext>
                    </c:extLst>
                    <c:numCache>
                      <c:formatCode>#,##0_ ;[Red]\-#,##0\ </c:formatCode>
                      <c:ptCount val="60"/>
                      <c:pt idx="0">
                        <c:v>36725</c:v>
                      </c:pt>
                      <c:pt idx="1">
                        <c:v>42981</c:v>
                      </c:pt>
                      <c:pt idx="2">
                        <c:v>285471</c:v>
                      </c:pt>
                      <c:pt idx="3">
                        <c:v>14407</c:v>
                      </c:pt>
                      <c:pt idx="4">
                        <c:v>48639</c:v>
                      </c:pt>
                      <c:pt idx="5">
                        <c:v>200379</c:v>
                      </c:pt>
                      <c:pt idx="6">
                        <c:v>37826</c:v>
                      </c:pt>
                      <c:pt idx="7">
                        <c:v>57393</c:v>
                      </c:pt>
                      <c:pt idx="8">
                        <c:v>379534</c:v>
                      </c:pt>
                      <c:pt idx="9">
                        <c:v>184391</c:v>
                      </c:pt>
                      <c:pt idx="10">
                        <c:v>107816</c:v>
                      </c:pt>
                      <c:pt idx="11">
                        <c:v>21973</c:v>
                      </c:pt>
                      <c:pt idx="12">
                        <c:v>3100</c:v>
                      </c:pt>
                      <c:pt idx="13">
                        <c:v>29571</c:v>
                      </c:pt>
                      <c:pt idx="14">
                        <c:v>95780</c:v>
                      </c:pt>
                      <c:pt idx="15">
                        <c:v>136042</c:v>
                      </c:pt>
                      <c:pt idx="16">
                        <c:v>18296</c:v>
                      </c:pt>
                      <c:pt idx="17">
                        <c:v>469676</c:v>
                      </c:pt>
                      <c:pt idx="18">
                        <c:v>64809</c:v>
                      </c:pt>
                      <c:pt idx="19">
                        <c:v>754129</c:v>
                      </c:pt>
                      <c:pt idx="20">
                        <c:v>157534</c:v>
                      </c:pt>
                      <c:pt idx="21">
                        <c:v>229776</c:v>
                      </c:pt>
                      <c:pt idx="22">
                        <c:v>137383</c:v>
                      </c:pt>
                      <c:pt idx="23">
                        <c:v>61551</c:v>
                      </c:pt>
                      <c:pt idx="24">
                        <c:v>54651</c:v>
                      </c:pt>
                      <c:pt idx="25">
                        <c:v>366066</c:v>
                      </c:pt>
                      <c:pt idx="26">
                        <c:v>176235</c:v>
                      </c:pt>
                      <c:pt idx="27">
                        <c:v>202388</c:v>
                      </c:pt>
                      <c:pt idx="28">
                        <c:v>798811</c:v>
                      </c:pt>
                      <c:pt idx="29">
                        <c:v>177807</c:v>
                      </c:pt>
                      <c:pt idx="30">
                        <c:v>70614</c:v>
                      </c:pt>
                      <c:pt idx="31">
                        <c:v>1031616</c:v>
                      </c:pt>
                      <c:pt idx="32">
                        <c:v>86091</c:v>
                      </c:pt>
                      <c:pt idx="33">
                        <c:v>130746</c:v>
                      </c:pt>
                      <c:pt idx="34">
                        <c:v>196885</c:v>
                      </c:pt>
                      <c:pt idx="35">
                        <c:v>69822</c:v>
                      </c:pt>
                      <c:pt idx="36">
                        <c:v>62525</c:v>
                      </c:pt>
                      <c:pt idx="37">
                        <c:v>207374</c:v>
                      </c:pt>
                      <c:pt idx="38">
                        <c:v>400236</c:v>
                      </c:pt>
                      <c:pt idx="39">
                        <c:v>70443</c:v>
                      </c:pt>
                      <c:pt idx="40">
                        <c:v>72910</c:v>
                      </c:pt>
                      <c:pt idx="41">
                        <c:v>218866</c:v>
                      </c:pt>
                      <c:pt idx="42">
                        <c:v>759025</c:v>
                      </c:pt>
                      <c:pt idx="43">
                        <c:v>906783</c:v>
                      </c:pt>
                      <c:pt idx="44">
                        <c:v>213701</c:v>
                      </c:pt>
                      <c:pt idx="45">
                        <c:v>38613</c:v>
                      </c:pt>
                      <c:pt idx="46">
                        <c:v>140170</c:v>
                      </c:pt>
                      <c:pt idx="47">
                        <c:v>65881</c:v>
                      </c:pt>
                      <c:pt idx="48">
                        <c:v>29519</c:v>
                      </c:pt>
                      <c:pt idx="49">
                        <c:v>119909</c:v>
                      </c:pt>
                      <c:pt idx="50">
                        <c:v>637192</c:v>
                      </c:pt>
                      <c:pt idx="51">
                        <c:v>218408</c:v>
                      </c:pt>
                      <c:pt idx="52">
                        <c:v>212240</c:v>
                      </c:pt>
                      <c:pt idx="53">
                        <c:v>193010</c:v>
                      </c:pt>
                      <c:pt idx="54">
                        <c:v>1124906</c:v>
                      </c:pt>
                      <c:pt idx="55">
                        <c:v>937790</c:v>
                      </c:pt>
                      <c:pt idx="56">
                        <c:v>424415</c:v>
                      </c:pt>
                      <c:pt idx="57">
                        <c:v>102132</c:v>
                      </c:pt>
                      <c:pt idx="58">
                        <c:v>73717</c:v>
                      </c:pt>
                      <c:pt idx="59">
                        <c:v>246024</c:v>
                      </c:pt>
                    </c:numCache>
                  </c:numRef>
                </c:val>
                <c:smooth val="0"/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5-177C-4DEA-A002-ADC5CCCEBA57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経費推移!$G$2</c15:sqref>
                        </c15:formulaRef>
                      </c:ext>
                    </c:extLst>
                    <c:strCache>
                      <c:ptCount val="1"/>
                      <c:pt idx="0">
                        <c:v>法定福利費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経費推移!$A$3:$A$62</c15:sqref>
                        </c15:formulaRef>
                      </c:ext>
                    </c:extLst>
                    <c:numCache>
                      <c:formatCode>[$-411]gee\.mm;@</c:formatCode>
                      <c:ptCount val="60"/>
                      <c:pt idx="0">
                        <c:v>41760</c:v>
                      </c:pt>
                      <c:pt idx="1">
                        <c:v>41791</c:v>
                      </c:pt>
                      <c:pt idx="2">
                        <c:v>41821</c:v>
                      </c:pt>
                      <c:pt idx="3">
                        <c:v>41852</c:v>
                      </c:pt>
                      <c:pt idx="4">
                        <c:v>41883</c:v>
                      </c:pt>
                      <c:pt idx="5">
                        <c:v>41913</c:v>
                      </c:pt>
                      <c:pt idx="6">
                        <c:v>41944</c:v>
                      </c:pt>
                      <c:pt idx="7">
                        <c:v>41974</c:v>
                      </c:pt>
                      <c:pt idx="8">
                        <c:v>42005</c:v>
                      </c:pt>
                      <c:pt idx="9">
                        <c:v>42036</c:v>
                      </c:pt>
                      <c:pt idx="10">
                        <c:v>42064</c:v>
                      </c:pt>
                      <c:pt idx="11">
                        <c:v>42095</c:v>
                      </c:pt>
                      <c:pt idx="12">
                        <c:v>42125</c:v>
                      </c:pt>
                      <c:pt idx="13">
                        <c:v>42156</c:v>
                      </c:pt>
                      <c:pt idx="14">
                        <c:v>42186</c:v>
                      </c:pt>
                      <c:pt idx="15">
                        <c:v>42217</c:v>
                      </c:pt>
                      <c:pt idx="16">
                        <c:v>42248</c:v>
                      </c:pt>
                      <c:pt idx="17">
                        <c:v>42278</c:v>
                      </c:pt>
                      <c:pt idx="18">
                        <c:v>42309</c:v>
                      </c:pt>
                      <c:pt idx="19">
                        <c:v>42339</c:v>
                      </c:pt>
                      <c:pt idx="20">
                        <c:v>42370</c:v>
                      </c:pt>
                      <c:pt idx="21">
                        <c:v>42401</c:v>
                      </c:pt>
                      <c:pt idx="22">
                        <c:v>42430</c:v>
                      </c:pt>
                      <c:pt idx="23">
                        <c:v>42461</c:v>
                      </c:pt>
                      <c:pt idx="24">
                        <c:v>42491</c:v>
                      </c:pt>
                      <c:pt idx="25">
                        <c:v>42522</c:v>
                      </c:pt>
                      <c:pt idx="26">
                        <c:v>42552</c:v>
                      </c:pt>
                      <c:pt idx="27">
                        <c:v>42583</c:v>
                      </c:pt>
                      <c:pt idx="28">
                        <c:v>42614</c:v>
                      </c:pt>
                      <c:pt idx="29">
                        <c:v>42644</c:v>
                      </c:pt>
                      <c:pt idx="30">
                        <c:v>42675</c:v>
                      </c:pt>
                      <c:pt idx="31">
                        <c:v>42705</c:v>
                      </c:pt>
                      <c:pt idx="32">
                        <c:v>42736</c:v>
                      </c:pt>
                      <c:pt idx="33">
                        <c:v>42767</c:v>
                      </c:pt>
                      <c:pt idx="34">
                        <c:v>42795</c:v>
                      </c:pt>
                      <c:pt idx="35">
                        <c:v>42826</c:v>
                      </c:pt>
                      <c:pt idx="36">
                        <c:v>42856</c:v>
                      </c:pt>
                      <c:pt idx="37">
                        <c:v>42887</c:v>
                      </c:pt>
                      <c:pt idx="38">
                        <c:v>42917</c:v>
                      </c:pt>
                      <c:pt idx="39">
                        <c:v>42948</c:v>
                      </c:pt>
                      <c:pt idx="40">
                        <c:v>42979</c:v>
                      </c:pt>
                      <c:pt idx="41">
                        <c:v>43009</c:v>
                      </c:pt>
                      <c:pt idx="42">
                        <c:v>43040</c:v>
                      </c:pt>
                      <c:pt idx="43">
                        <c:v>43070</c:v>
                      </c:pt>
                      <c:pt idx="44">
                        <c:v>43101</c:v>
                      </c:pt>
                      <c:pt idx="45">
                        <c:v>43132</c:v>
                      </c:pt>
                      <c:pt idx="46">
                        <c:v>43160</c:v>
                      </c:pt>
                      <c:pt idx="47">
                        <c:v>43191</c:v>
                      </c:pt>
                      <c:pt idx="48">
                        <c:v>43221</c:v>
                      </c:pt>
                      <c:pt idx="49">
                        <c:v>43252</c:v>
                      </c:pt>
                      <c:pt idx="50">
                        <c:v>43282</c:v>
                      </c:pt>
                      <c:pt idx="51">
                        <c:v>43313</c:v>
                      </c:pt>
                      <c:pt idx="52">
                        <c:v>43344</c:v>
                      </c:pt>
                      <c:pt idx="53">
                        <c:v>43374</c:v>
                      </c:pt>
                      <c:pt idx="54">
                        <c:v>43405</c:v>
                      </c:pt>
                      <c:pt idx="55">
                        <c:v>43435</c:v>
                      </c:pt>
                      <c:pt idx="56">
                        <c:v>43466</c:v>
                      </c:pt>
                      <c:pt idx="57">
                        <c:v>43497</c:v>
                      </c:pt>
                      <c:pt idx="58">
                        <c:v>43525</c:v>
                      </c:pt>
                      <c:pt idx="59">
                        <c:v>43556</c:v>
                      </c:pt>
                    </c:numCache>
                  </c:num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経費推移!$G$3:$G$62</c15:sqref>
                        </c15:formulaRef>
                      </c:ext>
                    </c:extLst>
                    <c:numCache>
                      <c:formatCode>#,##0_ ;[Red]\-#,##0\ </c:formatCode>
                      <c:ptCount val="60"/>
                      <c:pt idx="0">
                        <c:v>1176289</c:v>
                      </c:pt>
                      <c:pt idx="1">
                        <c:v>658822</c:v>
                      </c:pt>
                      <c:pt idx="2">
                        <c:v>2937839</c:v>
                      </c:pt>
                      <c:pt idx="3">
                        <c:v>1007674</c:v>
                      </c:pt>
                      <c:pt idx="4">
                        <c:v>1097303</c:v>
                      </c:pt>
                      <c:pt idx="5">
                        <c:v>1864134.0000000002</c:v>
                      </c:pt>
                      <c:pt idx="6">
                        <c:v>1279021</c:v>
                      </c:pt>
                      <c:pt idx="7">
                        <c:v>756748</c:v>
                      </c:pt>
                      <c:pt idx="8">
                        <c:v>2750005</c:v>
                      </c:pt>
                      <c:pt idx="9">
                        <c:v>1239871</c:v>
                      </c:pt>
                      <c:pt idx="10">
                        <c:v>1151698</c:v>
                      </c:pt>
                      <c:pt idx="11">
                        <c:v>1128401</c:v>
                      </c:pt>
                      <c:pt idx="12">
                        <c:v>1088157</c:v>
                      </c:pt>
                      <c:pt idx="13">
                        <c:v>2561200</c:v>
                      </c:pt>
                      <c:pt idx="14">
                        <c:v>2712263.0000000005</c:v>
                      </c:pt>
                      <c:pt idx="15">
                        <c:v>973676</c:v>
                      </c:pt>
                      <c:pt idx="16">
                        <c:v>1014210</c:v>
                      </c:pt>
                      <c:pt idx="17">
                        <c:v>1716594</c:v>
                      </c:pt>
                      <c:pt idx="18">
                        <c:v>1100436</c:v>
                      </c:pt>
                      <c:pt idx="19">
                        <c:v>136932</c:v>
                      </c:pt>
                      <c:pt idx="20">
                        <c:v>3791051</c:v>
                      </c:pt>
                      <c:pt idx="21">
                        <c:v>1094134</c:v>
                      </c:pt>
                      <c:pt idx="22">
                        <c:v>1056702</c:v>
                      </c:pt>
                      <c:pt idx="23">
                        <c:v>1076053</c:v>
                      </c:pt>
                      <c:pt idx="24">
                        <c:v>1323246</c:v>
                      </c:pt>
                      <c:pt idx="25">
                        <c:v>2535230</c:v>
                      </c:pt>
                      <c:pt idx="26">
                        <c:v>1854441</c:v>
                      </c:pt>
                      <c:pt idx="27">
                        <c:v>1388481</c:v>
                      </c:pt>
                      <c:pt idx="28">
                        <c:v>1287715</c:v>
                      </c:pt>
                      <c:pt idx="29">
                        <c:v>1803707</c:v>
                      </c:pt>
                      <c:pt idx="30">
                        <c:v>1440015</c:v>
                      </c:pt>
                      <c:pt idx="31">
                        <c:v>411035</c:v>
                      </c:pt>
                      <c:pt idx="32">
                        <c:v>3971571</c:v>
                      </c:pt>
                      <c:pt idx="33">
                        <c:v>1387414</c:v>
                      </c:pt>
                      <c:pt idx="34">
                        <c:v>1422229</c:v>
                      </c:pt>
                      <c:pt idx="35">
                        <c:v>1432801</c:v>
                      </c:pt>
                      <c:pt idx="36">
                        <c:v>1475578</c:v>
                      </c:pt>
                      <c:pt idx="37">
                        <c:v>1739320</c:v>
                      </c:pt>
                      <c:pt idx="38">
                        <c:v>2742730</c:v>
                      </c:pt>
                      <c:pt idx="39">
                        <c:v>1470826</c:v>
                      </c:pt>
                      <c:pt idx="40">
                        <c:v>1327602</c:v>
                      </c:pt>
                      <c:pt idx="41">
                        <c:v>1974003</c:v>
                      </c:pt>
                      <c:pt idx="42">
                        <c:v>1779649</c:v>
                      </c:pt>
                      <c:pt idx="43">
                        <c:v>-275159</c:v>
                      </c:pt>
                      <c:pt idx="44">
                        <c:v>5807672</c:v>
                      </c:pt>
                      <c:pt idx="45">
                        <c:v>1520962</c:v>
                      </c:pt>
                      <c:pt idx="46">
                        <c:v>1804638</c:v>
                      </c:pt>
                      <c:pt idx="47">
                        <c:v>1688598</c:v>
                      </c:pt>
                      <c:pt idx="48">
                        <c:v>1651281</c:v>
                      </c:pt>
                      <c:pt idx="49">
                        <c:v>1485088</c:v>
                      </c:pt>
                      <c:pt idx="50">
                        <c:v>3836024</c:v>
                      </c:pt>
                      <c:pt idx="51">
                        <c:v>1597261</c:v>
                      </c:pt>
                      <c:pt idx="52">
                        <c:v>2074350</c:v>
                      </c:pt>
                      <c:pt idx="53">
                        <c:v>2107932</c:v>
                      </c:pt>
                      <c:pt idx="54">
                        <c:v>1800561</c:v>
                      </c:pt>
                      <c:pt idx="55">
                        <c:v>3849906</c:v>
                      </c:pt>
                      <c:pt idx="56">
                        <c:v>1842701</c:v>
                      </c:pt>
                      <c:pt idx="57">
                        <c:v>1853601</c:v>
                      </c:pt>
                      <c:pt idx="58">
                        <c:v>1731344</c:v>
                      </c:pt>
                      <c:pt idx="59">
                        <c:v>1922391</c:v>
                      </c:pt>
                    </c:numCache>
                  </c:numRef>
                </c:val>
                <c:smooth val="0"/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6-177C-4DEA-A002-ADC5CCCEBA57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経費推移!$H$2</c15:sqref>
                        </c15:formulaRef>
                      </c:ext>
                    </c:extLst>
                    <c:strCache>
                      <c:ptCount val="1"/>
                      <c:pt idx="0">
                        <c:v>人件費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経費推移!$A$3:$A$62</c15:sqref>
                        </c15:formulaRef>
                      </c:ext>
                    </c:extLst>
                    <c:numCache>
                      <c:formatCode>[$-411]gee\.mm;@</c:formatCode>
                      <c:ptCount val="60"/>
                      <c:pt idx="0">
                        <c:v>41760</c:v>
                      </c:pt>
                      <c:pt idx="1">
                        <c:v>41791</c:v>
                      </c:pt>
                      <c:pt idx="2">
                        <c:v>41821</c:v>
                      </c:pt>
                      <c:pt idx="3">
                        <c:v>41852</c:v>
                      </c:pt>
                      <c:pt idx="4">
                        <c:v>41883</c:v>
                      </c:pt>
                      <c:pt idx="5">
                        <c:v>41913</c:v>
                      </c:pt>
                      <c:pt idx="6">
                        <c:v>41944</c:v>
                      </c:pt>
                      <c:pt idx="7">
                        <c:v>41974</c:v>
                      </c:pt>
                      <c:pt idx="8">
                        <c:v>42005</c:v>
                      </c:pt>
                      <c:pt idx="9">
                        <c:v>42036</c:v>
                      </c:pt>
                      <c:pt idx="10">
                        <c:v>42064</c:v>
                      </c:pt>
                      <c:pt idx="11">
                        <c:v>42095</c:v>
                      </c:pt>
                      <c:pt idx="12">
                        <c:v>42125</c:v>
                      </c:pt>
                      <c:pt idx="13">
                        <c:v>42156</c:v>
                      </c:pt>
                      <c:pt idx="14">
                        <c:v>42186</c:v>
                      </c:pt>
                      <c:pt idx="15">
                        <c:v>42217</c:v>
                      </c:pt>
                      <c:pt idx="16">
                        <c:v>42248</c:v>
                      </c:pt>
                      <c:pt idx="17">
                        <c:v>42278</c:v>
                      </c:pt>
                      <c:pt idx="18">
                        <c:v>42309</c:v>
                      </c:pt>
                      <c:pt idx="19">
                        <c:v>42339</c:v>
                      </c:pt>
                      <c:pt idx="20">
                        <c:v>42370</c:v>
                      </c:pt>
                      <c:pt idx="21">
                        <c:v>42401</c:v>
                      </c:pt>
                      <c:pt idx="22">
                        <c:v>42430</c:v>
                      </c:pt>
                      <c:pt idx="23">
                        <c:v>42461</c:v>
                      </c:pt>
                      <c:pt idx="24">
                        <c:v>42491</c:v>
                      </c:pt>
                      <c:pt idx="25">
                        <c:v>42522</c:v>
                      </c:pt>
                      <c:pt idx="26">
                        <c:v>42552</c:v>
                      </c:pt>
                      <c:pt idx="27">
                        <c:v>42583</c:v>
                      </c:pt>
                      <c:pt idx="28">
                        <c:v>42614</c:v>
                      </c:pt>
                      <c:pt idx="29">
                        <c:v>42644</c:v>
                      </c:pt>
                      <c:pt idx="30">
                        <c:v>42675</c:v>
                      </c:pt>
                      <c:pt idx="31">
                        <c:v>42705</c:v>
                      </c:pt>
                      <c:pt idx="32">
                        <c:v>42736</c:v>
                      </c:pt>
                      <c:pt idx="33">
                        <c:v>42767</c:v>
                      </c:pt>
                      <c:pt idx="34">
                        <c:v>42795</c:v>
                      </c:pt>
                      <c:pt idx="35">
                        <c:v>42826</c:v>
                      </c:pt>
                      <c:pt idx="36">
                        <c:v>42856</c:v>
                      </c:pt>
                      <c:pt idx="37">
                        <c:v>42887</c:v>
                      </c:pt>
                      <c:pt idx="38">
                        <c:v>42917</c:v>
                      </c:pt>
                      <c:pt idx="39">
                        <c:v>42948</c:v>
                      </c:pt>
                      <c:pt idx="40">
                        <c:v>42979</c:v>
                      </c:pt>
                      <c:pt idx="41">
                        <c:v>43009</c:v>
                      </c:pt>
                      <c:pt idx="42">
                        <c:v>43040</c:v>
                      </c:pt>
                      <c:pt idx="43">
                        <c:v>43070</c:v>
                      </c:pt>
                      <c:pt idx="44">
                        <c:v>43101</c:v>
                      </c:pt>
                      <c:pt idx="45">
                        <c:v>43132</c:v>
                      </c:pt>
                      <c:pt idx="46">
                        <c:v>43160</c:v>
                      </c:pt>
                      <c:pt idx="47">
                        <c:v>43191</c:v>
                      </c:pt>
                      <c:pt idx="48">
                        <c:v>43221</c:v>
                      </c:pt>
                      <c:pt idx="49">
                        <c:v>43252</c:v>
                      </c:pt>
                      <c:pt idx="50">
                        <c:v>43282</c:v>
                      </c:pt>
                      <c:pt idx="51">
                        <c:v>43313</c:v>
                      </c:pt>
                      <c:pt idx="52">
                        <c:v>43344</c:v>
                      </c:pt>
                      <c:pt idx="53">
                        <c:v>43374</c:v>
                      </c:pt>
                      <c:pt idx="54">
                        <c:v>43405</c:v>
                      </c:pt>
                      <c:pt idx="55">
                        <c:v>43435</c:v>
                      </c:pt>
                      <c:pt idx="56">
                        <c:v>43466</c:v>
                      </c:pt>
                      <c:pt idx="57">
                        <c:v>43497</c:v>
                      </c:pt>
                      <c:pt idx="58">
                        <c:v>43525</c:v>
                      </c:pt>
                      <c:pt idx="59">
                        <c:v>43556</c:v>
                      </c:pt>
                    </c:numCache>
                  </c:num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経費推移!$H$3:$H$62</c15:sqref>
                        </c15:formulaRef>
                      </c:ext>
                    </c:extLst>
                    <c:numCache>
                      <c:formatCode>#,##0_ ;[Red]\-#,##0\ </c:formatCode>
                      <c:ptCount val="60"/>
                      <c:pt idx="0">
                        <c:v>16380309</c:v>
                      </c:pt>
                      <c:pt idx="1">
                        <c:v>18426134.5</c:v>
                      </c:pt>
                      <c:pt idx="2">
                        <c:v>17735748</c:v>
                      </c:pt>
                      <c:pt idx="3">
                        <c:v>15998839</c:v>
                      </c:pt>
                      <c:pt idx="4">
                        <c:v>16417378.5</c:v>
                      </c:pt>
                      <c:pt idx="5">
                        <c:v>17281458</c:v>
                      </c:pt>
                      <c:pt idx="6">
                        <c:v>16482086.5</c:v>
                      </c:pt>
                      <c:pt idx="7">
                        <c:v>20209716</c:v>
                      </c:pt>
                      <c:pt idx="8">
                        <c:v>18626981.5</c:v>
                      </c:pt>
                      <c:pt idx="9">
                        <c:v>16207584.5</c:v>
                      </c:pt>
                      <c:pt idx="10">
                        <c:v>16512532</c:v>
                      </c:pt>
                      <c:pt idx="11">
                        <c:v>15978235.5</c:v>
                      </c:pt>
                      <c:pt idx="12">
                        <c:v>15381603</c:v>
                      </c:pt>
                      <c:pt idx="13">
                        <c:v>21944311.5</c:v>
                      </c:pt>
                      <c:pt idx="14">
                        <c:v>17970851</c:v>
                      </c:pt>
                      <c:pt idx="15">
                        <c:v>16262438.5</c:v>
                      </c:pt>
                      <c:pt idx="16">
                        <c:v>15920748</c:v>
                      </c:pt>
                      <c:pt idx="17">
                        <c:v>17705883</c:v>
                      </c:pt>
                      <c:pt idx="18">
                        <c:v>17157035</c:v>
                      </c:pt>
                      <c:pt idx="19">
                        <c:v>25967691</c:v>
                      </c:pt>
                      <c:pt idx="20">
                        <c:v>20964712</c:v>
                      </c:pt>
                      <c:pt idx="21">
                        <c:v>18145763</c:v>
                      </c:pt>
                      <c:pt idx="22">
                        <c:v>18207895</c:v>
                      </c:pt>
                      <c:pt idx="23">
                        <c:v>18699792</c:v>
                      </c:pt>
                      <c:pt idx="24">
                        <c:v>19752757</c:v>
                      </c:pt>
                      <c:pt idx="25">
                        <c:v>30866900</c:v>
                      </c:pt>
                      <c:pt idx="26">
                        <c:v>20770234</c:v>
                      </c:pt>
                      <c:pt idx="27">
                        <c:v>20650969</c:v>
                      </c:pt>
                      <c:pt idx="28">
                        <c:v>21209270</c:v>
                      </c:pt>
                      <c:pt idx="29">
                        <c:v>20069259</c:v>
                      </c:pt>
                      <c:pt idx="30">
                        <c:v>19316096</c:v>
                      </c:pt>
                      <c:pt idx="31">
                        <c:v>28226362</c:v>
                      </c:pt>
                      <c:pt idx="32">
                        <c:v>23706146</c:v>
                      </c:pt>
                      <c:pt idx="33">
                        <c:v>20210332</c:v>
                      </c:pt>
                      <c:pt idx="34">
                        <c:v>21676889</c:v>
                      </c:pt>
                      <c:pt idx="35">
                        <c:v>20693006</c:v>
                      </c:pt>
                      <c:pt idx="36">
                        <c:v>20446982</c:v>
                      </c:pt>
                      <c:pt idx="37">
                        <c:v>26586710</c:v>
                      </c:pt>
                      <c:pt idx="38">
                        <c:v>24475968</c:v>
                      </c:pt>
                      <c:pt idx="39">
                        <c:v>23752449</c:v>
                      </c:pt>
                      <c:pt idx="40">
                        <c:v>22603261</c:v>
                      </c:pt>
                      <c:pt idx="41">
                        <c:v>23743100</c:v>
                      </c:pt>
                      <c:pt idx="42">
                        <c:v>24272152</c:v>
                      </c:pt>
                      <c:pt idx="43">
                        <c:v>35562689</c:v>
                      </c:pt>
                      <c:pt idx="44">
                        <c:v>28035865</c:v>
                      </c:pt>
                      <c:pt idx="45">
                        <c:v>23265110</c:v>
                      </c:pt>
                      <c:pt idx="46">
                        <c:v>24287584</c:v>
                      </c:pt>
                      <c:pt idx="47">
                        <c:v>24212389</c:v>
                      </c:pt>
                      <c:pt idx="48">
                        <c:v>23908066</c:v>
                      </c:pt>
                      <c:pt idx="49">
                        <c:v>31697163</c:v>
                      </c:pt>
                      <c:pt idx="50">
                        <c:v>27605792</c:v>
                      </c:pt>
                      <c:pt idx="51">
                        <c:v>26520463</c:v>
                      </c:pt>
                      <c:pt idx="52">
                        <c:v>25578188</c:v>
                      </c:pt>
                      <c:pt idx="53">
                        <c:v>26917769</c:v>
                      </c:pt>
                      <c:pt idx="54">
                        <c:v>28291290</c:v>
                      </c:pt>
                      <c:pt idx="55">
                        <c:v>43000234</c:v>
                      </c:pt>
                      <c:pt idx="56">
                        <c:v>27870072</c:v>
                      </c:pt>
                      <c:pt idx="57">
                        <c:v>26853971</c:v>
                      </c:pt>
                      <c:pt idx="58">
                        <c:v>26812659</c:v>
                      </c:pt>
                      <c:pt idx="59">
                        <c:v>27716004</c:v>
                      </c:pt>
                    </c:numCache>
                  </c:numRef>
                </c:val>
                <c:smooth val="0"/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7-177C-4DEA-A002-ADC5CCCEBA57}"/>
                  </c:ext>
                </c:extLst>
              </c15:ser>
            </c15:filteredLineSeries>
          </c:ext>
        </c:extLst>
      </c:lineChart>
      <c:dateAx>
        <c:axId val="453384256"/>
        <c:scaling>
          <c:orientation val="minMax"/>
        </c:scaling>
        <c:delete val="0"/>
        <c:axPos val="b"/>
        <c:numFmt formatCode="[$-411]gee\.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3382296"/>
        <c:crosses val="autoZero"/>
        <c:auto val="1"/>
        <c:lblOffset val="100"/>
        <c:baseTimeUnit val="months"/>
      </c:dateAx>
      <c:valAx>
        <c:axId val="453382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338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092093150792252"/>
          <c:y val="0.28558014287444"/>
          <c:w val="6.2807254636974355E-2"/>
          <c:h val="0.323536699358275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事業所別収支!$B$95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cat>
            <c:numRef>
              <c:f>事業所別収支!$C$93:$Z$93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事業所別収支!$C$95:$Z$95</c:f>
              <c:numCache>
                <c:formatCode>#,##0_ ;[Red]\-#,##0\ </c:formatCode>
                <c:ptCount val="18"/>
                <c:pt idx="0">
                  <c:v>1878917</c:v>
                </c:pt>
                <c:pt idx="1">
                  <c:v>1864962</c:v>
                </c:pt>
                <c:pt idx="2">
                  <c:v>2029268</c:v>
                </c:pt>
                <c:pt idx="3">
                  <c:v>1811119</c:v>
                </c:pt>
                <c:pt idx="4">
                  <c:v>1857613</c:v>
                </c:pt>
                <c:pt idx="5">
                  <c:v>1806032</c:v>
                </c:pt>
                <c:pt idx="6">
                  <c:v>1756736</c:v>
                </c:pt>
                <c:pt idx="7">
                  <c:v>2004093</c:v>
                </c:pt>
                <c:pt idx="8">
                  <c:v>1955103</c:v>
                </c:pt>
                <c:pt idx="9">
                  <c:v>1913718</c:v>
                </c:pt>
                <c:pt idx="10">
                  <c:v>1972654</c:v>
                </c:pt>
                <c:pt idx="11">
                  <c:v>2165081</c:v>
                </c:pt>
                <c:pt idx="12">
                  <c:v>2058665</c:v>
                </c:pt>
                <c:pt idx="13">
                  <c:v>1972014</c:v>
                </c:pt>
                <c:pt idx="14">
                  <c:v>2139316</c:v>
                </c:pt>
                <c:pt idx="15">
                  <c:v>1722646</c:v>
                </c:pt>
                <c:pt idx="16">
                  <c:v>1925498</c:v>
                </c:pt>
                <c:pt idx="17">
                  <c:v>2019702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21-4B81-A67D-ADE9FDA634EC}"/>
            </c:ext>
          </c:extLst>
        </c:ser>
        <c:ser>
          <c:idx val="2"/>
          <c:order val="2"/>
          <c:tx>
            <c:strRef>
              <c:f>事業所別収支!$B$96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cat>
            <c:numRef>
              <c:f>事業所別収支!$C$93:$Z$93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事業所別収支!$C$96:$Z$96</c:f>
              <c:numCache>
                <c:formatCode>#,##0_ ;[Red]\-#,##0\ </c:formatCode>
                <c:ptCount val="18"/>
                <c:pt idx="0">
                  <c:v>1348645</c:v>
                </c:pt>
                <c:pt idx="1">
                  <c:v>1333245</c:v>
                </c:pt>
                <c:pt idx="2">
                  <c:v>1339385</c:v>
                </c:pt>
                <c:pt idx="3">
                  <c:v>1828831</c:v>
                </c:pt>
                <c:pt idx="4">
                  <c:v>1642018</c:v>
                </c:pt>
                <c:pt idx="5">
                  <c:v>1762060</c:v>
                </c:pt>
                <c:pt idx="6">
                  <c:v>1764224</c:v>
                </c:pt>
                <c:pt idx="7">
                  <c:v>1804000</c:v>
                </c:pt>
                <c:pt idx="8">
                  <c:v>1848415</c:v>
                </c:pt>
                <c:pt idx="9">
                  <c:v>1894373</c:v>
                </c:pt>
                <c:pt idx="10">
                  <c:v>1822022</c:v>
                </c:pt>
                <c:pt idx="11">
                  <c:v>1959643</c:v>
                </c:pt>
                <c:pt idx="12">
                  <c:v>2274286</c:v>
                </c:pt>
                <c:pt idx="13">
                  <c:v>2405521</c:v>
                </c:pt>
                <c:pt idx="14">
                  <c:v>2408503</c:v>
                </c:pt>
                <c:pt idx="15">
                  <c:v>2220430</c:v>
                </c:pt>
                <c:pt idx="16">
                  <c:v>2252064</c:v>
                </c:pt>
                <c:pt idx="17">
                  <c:v>2250088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821-4B81-A67D-ADE9FDA634EC}"/>
            </c:ext>
          </c:extLst>
        </c:ser>
        <c:ser>
          <c:idx val="3"/>
          <c:order val="3"/>
          <c:tx>
            <c:strRef>
              <c:f>事業所別収支!$B$97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cat>
            <c:numRef>
              <c:f>事業所別収支!$C$93:$Z$93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事業所別収支!$C$97:$Z$97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2770000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1645000</c:v>
                </c:pt>
                <c:pt idx="8">
                  <c:v>#N/A</c:v>
                </c:pt>
                <c:pt idx="9">
                  <c:v>350000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2905500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821-4B81-A67D-ADE9FDA634EC}"/>
            </c:ext>
          </c:extLst>
        </c:ser>
        <c:ser>
          <c:idx val="4"/>
          <c:order val="4"/>
          <c:tx>
            <c:strRef>
              <c:f>事業所別収支!$B$98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cat>
            <c:numRef>
              <c:f>事業所別収支!$C$93:$Z$93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事業所別収支!$C$98:$Z$98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821-4B81-A67D-ADE9FDA634EC}"/>
            </c:ext>
          </c:extLst>
        </c:ser>
        <c:ser>
          <c:idx val="5"/>
          <c:order val="5"/>
          <c:tx>
            <c:strRef>
              <c:f>事業所別収支!$B$99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cat>
            <c:numRef>
              <c:f>事業所別収支!$C$93:$Z$93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事業所別収支!$C$99:$Z$99</c:f>
              <c:numCache>
                <c:formatCode>#,##0_ ;[Red]\-#,##0\ </c:formatCode>
                <c:ptCount val="18"/>
                <c:pt idx="0">
                  <c:v>269819</c:v>
                </c:pt>
                <c:pt idx="1">
                  <c:v>-39239.055500687333</c:v>
                </c:pt>
                <c:pt idx="2">
                  <c:v>839406</c:v>
                </c:pt>
                <c:pt idx="3">
                  <c:v>312594</c:v>
                </c:pt>
                <c:pt idx="4">
                  <c:v>325425</c:v>
                </c:pt>
                <c:pt idx="5">
                  <c:v>303341</c:v>
                </c:pt>
                <c:pt idx="6">
                  <c:v>310574</c:v>
                </c:pt>
                <c:pt idx="7">
                  <c:v>271347</c:v>
                </c:pt>
                <c:pt idx="8">
                  <c:v>695963</c:v>
                </c:pt>
                <c:pt idx="9">
                  <c:v>292839</c:v>
                </c:pt>
                <c:pt idx="10">
                  <c:v>463913</c:v>
                </c:pt>
                <c:pt idx="11">
                  <c:v>391763</c:v>
                </c:pt>
                <c:pt idx="12">
                  <c:v>359020</c:v>
                </c:pt>
                <c:pt idx="13">
                  <c:v>829363</c:v>
                </c:pt>
                <c:pt idx="14">
                  <c:v>385802</c:v>
                </c:pt>
                <c:pt idx="15">
                  <c:v>330411</c:v>
                </c:pt>
                <c:pt idx="16">
                  <c:v>333160</c:v>
                </c:pt>
                <c:pt idx="17">
                  <c:v>358588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821-4B81-A67D-ADE9FDA634EC}"/>
            </c:ext>
          </c:extLst>
        </c:ser>
        <c:ser>
          <c:idx val="6"/>
          <c:order val="6"/>
          <c:tx>
            <c:strRef>
              <c:f>事業所別収支!$B$100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cat>
            <c:numRef>
              <c:f>事業所別収支!$C$93:$Z$93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事業所別収支!$C$100:$Z$100</c:f>
              <c:numCache>
                <c:formatCode>#,##0_ ;[Red]\-#,##0\ </c:formatCode>
                <c:ptCount val="18"/>
                <c:pt idx="0">
                  <c:v>23071</c:v>
                </c:pt>
                <c:pt idx="1">
                  <c:v>123018</c:v>
                </c:pt>
                <c:pt idx="2">
                  <c:v>996</c:v>
                </c:pt>
                <c:pt idx="3">
                  <c:v>16901</c:v>
                </c:pt>
                <c:pt idx="4">
                  <c:v>3621</c:v>
                </c:pt>
                <c:pt idx="5">
                  <c:v>6952</c:v>
                </c:pt>
                <c:pt idx="6">
                  <c:v>8768</c:v>
                </c:pt>
                <c:pt idx="7">
                  <c:v>6683</c:v>
                </c:pt>
                <c:pt idx="8">
                  <c:v>2571</c:v>
                </c:pt>
                <c:pt idx="9">
                  <c:v>56664</c:v>
                </c:pt>
                <c:pt idx="10">
                  <c:v>39170</c:v>
                </c:pt>
                <c:pt idx="11">
                  <c:v>5122</c:v>
                </c:pt>
                <c:pt idx="12">
                  <c:v>133821</c:v>
                </c:pt>
                <c:pt idx="13">
                  <c:v>62926</c:v>
                </c:pt>
                <c:pt idx="14">
                  <c:v>8658</c:v>
                </c:pt>
                <c:pt idx="15">
                  <c:v>#N/A</c:v>
                </c:pt>
                <c:pt idx="16">
                  <c:v>5859</c:v>
                </c:pt>
                <c:pt idx="17">
                  <c:v>14946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821-4B81-A67D-ADE9FDA634EC}"/>
            </c:ext>
          </c:extLst>
        </c:ser>
        <c:ser>
          <c:idx val="7"/>
          <c:order val="7"/>
          <c:tx>
            <c:strRef>
              <c:f>事業所別収支!$B$102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cat>
            <c:numRef>
              <c:f>事業所別収支!$C$93:$Z$93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事業所別収支!$C$102:$Z$102</c:f>
              <c:numCache>
                <c:formatCode>#,##0_ ;[Red]\-#,##0\ </c:formatCode>
                <c:ptCount val="18"/>
                <c:pt idx="0">
                  <c:v>829374</c:v>
                </c:pt>
                <c:pt idx="1">
                  <c:v>997975</c:v>
                </c:pt>
                <c:pt idx="2">
                  <c:v>927618</c:v>
                </c:pt>
                <c:pt idx="3">
                  <c:v>785358</c:v>
                </c:pt>
                <c:pt idx="4">
                  <c:v>859073</c:v>
                </c:pt>
                <c:pt idx="5">
                  <c:v>777798</c:v>
                </c:pt>
                <c:pt idx="6">
                  <c:v>870485</c:v>
                </c:pt>
                <c:pt idx="7">
                  <c:v>946985</c:v>
                </c:pt>
                <c:pt idx="8">
                  <c:v>817228</c:v>
                </c:pt>
                <c:pt idx="9">
                  <c:v>1126297</c:v>
                </c:pt>
                <c:pt idx="10">
                  <c:v>801389</c:v>
                </c:pt>
                <c:pt idx="11">
                  <c:v>1522750</c:v>
                </c:pt>
                <c:pt idx="12">
                  <c:v>937541</c:v>
                </c:pt>
                <c:pt idx="13">
                  <c:v>844228</c:v>
                </c:pt>
                <c:pt idx="14">
                  <c:v>1033335</c:v>
                </c:pt>
                <c:pt idx="15">
                  <c:v>773129</c:v>
                </c:pt>
                <c:pt idx="16">
                  <c:v>726515</c:v>
                </c:pt>
                <c:pt idx="17">
                  <c:v>738059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821-4B81-A67D-ADE9FDA634EC}"/>
            </c:ext>
          </c:extLst>
        </c:ser>
        <c:ser>
          <c:idx val="8"/>
          <c:order val="8"/>
          <c:tx>
            <c:strRef>
              <c:f>事業所別収支!$B$103</c:f>
              <c:strCache>
                <c:ptCount val="1"/>
                <c:pt idx="0">
                  <c:v>本部分担費</c:v>
                </c:pt>
              </c:strCache>
            </c:strRef>
          </c:tx>
          <c:invertIfNegative val="0"/>
          <c:cat>
            <c:numRef>
              <c:f>事業所別収支!$C$93:$Z$93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事業所別収支!$C$103:$Z$103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821-4B81-A67D-ADE9FDA63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7078536"/>
        <c:axId val="457081672"/>
      </c:barChart>
      <c:lineChart>
        <c:grouping val="standard"/>
        <c:varyColors val="0"/>
        <c:ser>
          <c:idx val="0"/>
          <c:order val="0"/>
          <c:tx>
            <c:strRef>
              <c:f>事業所別収支!$B$94</c:f>
              <c:strCache>
                <c:ptCount val="1"/>
                <c:pt idx="0">
                  <c:v>売上</c:v>
                </c:pt>
              </c:strCache>
            </c:strRef>
          </c:tx>
          <c:cat>
            <c:numRef>
              <c:f>事業所別収支!$C$93:$Z$93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事業所別収支!$C$94:$Z$94</c:f>
              <c:numCache>
                <c:formatCode>#,##0_ ;[Red]\-#,##0\ </c:formatCode>
                <c:ptCount val="18"/>
                <c:pt idx="0">
                  <c:v>5899891</c:v>
                </c:pt>
                <c:pt idx="1">
                  <c:v>5629984</c:v>
                </c:pt>
                <c:pt idx="2">
                  <c:v>6168362</c:v>
                </c:pt>
                <c:pt idx="3">
                  <c:v>5709957</c:v>
                </c:pt>
                <c:pt idx="4">
                  <c:v>5793244</c:v>
                </c:pt>
                <c:pt idx="5">
                  <c:v>6587828</c:v>
                </c:pt>
                <c:pt idx="6">
                  <c:v>6479560</c:v>
                </c:pt>
                <c:pt idx="7">
                  <c:v>6806472</c:v>
                </c:pt>
                <c:pt idx="8">
                  <c:v>6915528</c:v>
                </c:pt>
                <c:pt idx="9">
                  <c:v>7519354</c:v>
                </c:pt>
                <c:pt idx="10">
                  <c:v>6774361</c:v>
                </c:pt>
                <c:pt idx="11">
                  <c:v>7419604</c:v>
                </c:pt>
                <c:pt idx="12">
                  <c:v>7099035</c:v>
                </c:pt>
                <c:pt idx="13">
                  <c:v>7065580</c:v>
                </c:pt>
                <c:pt idx="14">
                  <c:v>7041908</c:v>
                </c:pt>
                <c:pt idx="15">
                  <c:v>6369053</c:v>
                </c:pt>
                <c:pt idx="16">
                  <c:v>6979599</c:v>
                </c:pt>
                <c:pt idx="17">
                  <c:v>7110420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821-4B81-A67D-ADE9FDA63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078536"/>
        <c:axId val="457081672"/>
      </c:lineChart>
      <c:dateAx>
        <c:axId val="457078536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457081672"/>
        <c:crosses val="autoZero"/>
        <c:auto val="1"/>
        <c:lblOffset val="100"/>
        <c:baseTimeUnit val="months"/>
      </c:dateAx>
      <c:valAx>
        <c:axId val="457081672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457078536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事業所別収支!$B$136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cat>
            <c:numRef>
              <c:f>事業所別収支!$C$134:$Z$134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事業所別収支!$C$136:$Z$136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49610</c:v>
                </c:pt>
                <c:pt idx="8">
                  <c:v>87952</c:v>
                </c:pt>
                <c:pt idx="9">
                  <c:v>184245</c:v>
                </c:pt>
                <c:pt idx="10">
                  <c:v>358716</c:v>
                </c:pt>
                <c:pt idx="11">
                  <c:v>411567</c:v>
                </c:pt>
                <c:pt idx="12">
                  <c:v>304379</c:v>
                </c:pt>
                <c:pt idx="13">
                  <c:v>285948</c:v>
                </c:pt>
                <c:pt idx="14">
                  <c:v>271753</c:v>
                </c:pt>
                <c:pt idx="15">
                  <c:v>228440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4C4-4CA6-B114-C9FF732CF1C8}"/>
            </c:ext>
          </c:extLst>
        </c:ser>
        <c:ser>
          <c:idx val="2"/>
          <c:order val="2"/>
          <c:tx>
            <c:strRef>
              <c:f>事業所別収支!$B$137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cat>
            <c:numRef>
              <c:f>事業所別収支!$C$134:$Z$134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事業所別収支!$C$137:$Z$137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350000</c:v>
                </c:pt>
                <c:pt idx="7">
                  <c:v>405592</c:v>
                </c:pt>
                <c:pt idx="8">
                  <c:v>350000</c:v>
                </c:pt>
                <c:pt idx="9">
                  <c:v>359094</c:v>
                </c:pt>
                <c:pt idx="10">
                  <c:v>356070</c:v>
                </c:pt>
                <c:pt idx="11">
                  <c:v>365311</c:v>
                </c:pt>
                <c:pt idx="12">
                  <c:v>313556</c:v>
                </c:pt>
                <c:pt idx="13">
                  <c:v>322174</c:v>
                </c:pt>
                <c:pt idx="14">
                  <c:v>328566</c:v>
                </c:pt>
                <c:pt idx="15">
                  <c:v>312778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4C4-4CA6-B114-C9FF732CF1C8}"/>
            </c:ext>
          </c:extLst>
        </c:ser>
        <c:ser>
          <c:idx val="3"/>
          <c:order val="3"/>
          <c:tx>
            <c:strRef>
              <c:f>事業所別収支!$B$138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cat>
            <c:numRef>
              <c:f>事業所別収支!$C$134:$Z$134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事業所別収支!$C$138:$Z$138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315000</c:v>
                </c:pt>
                <c:pt idx="8">
                  <c:v>#N/A</c:v>
                </c:pt>
                <c:pt idx="9">
                  <c:v>50000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500000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4C4-4CA6-B114-C9FF732CF1C8}"/>
            </c:ext>
          </c:extLst>
        </c:ser>
        <c:ser>
          <c:idx val="4"/>
          <c:order val="4"/>
          <c:tx>
            <c:strRef>
              <c:f>事業所別収支!$B$139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cat>
            <c:numRef>
              <c:f>事業所別収支!$C$134:$Z$134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事業所別収支!$C$139:$Z$139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4C4-4CA6-B114-C9FF732CF1C8}"/>
            </c:ext>
          </c:extLst>
        </c:ser>
        <c:ser>
          <c:idx val="5"/>
          <c:order val="5"/>
          <c:tx>
            <c:strRef>
              <c:f>事業所別収支!$B$140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cat>
            <c:numRef>
              <c:f>事業所別収支!$C$134:$Z$134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事業所別収支!$C$140:$Z$140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42363</c:v>
                </c:pt>
                <c:pt idx="7">
                  <c:v>37084</c:v>
                </c:pt>
                <c:pt idx="8">
                  <c:v>94565</c:v>
                </c:pt>
                <c:pt idx="9">
                  <c:v>42952</c:v>
                </c:pt>
                <c:pt idx="10">
                  <c:v>382917</c:v>
                </c:pt>
                <c:pt idx="11">
                  <c:v>57454</c:v>
                </c:pt>
                <c:pt idx="12">
                  <c:v>39713</c:v>
                </c:pt>
                <c:pt idx="13">
                  <c:v>114101</c:v>
                </c:pt>
                <c:pt idx="14">
                  <c:v>42695</c:v>
                </c:pt>
                <c:pt idx="15">
                  <c:v>43910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4C4-4CA6-B114-C9FF732CF1C8}"/>
            </c:ext>
          </c:extLst>
        </c:ser>
        <c:ser>
          <c:idx val="6"/>
          <c:order val="6"/>
          <c:tx>
            <c:strRef>
              <c:f>事業所別収支!$B$141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cat>
            <c:numRef>
              <c:f>事業所別収支!$C$134:$Z$134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事業所別収支!$C$141:$Z$141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2500</c:v>
                </c:pt>
                <c:pt idx="7">
                  <c:v>38422</c:v>
                </c:pt>
                <c:pt idx="8">
                  <c:v>2181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2980</c:v>
                </c:pt>
                <c:pt idx="14">
                  <c:v>972</c:v>
                </c:pt>
                <c:pt idx="15">
                  <c:v>2904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4C4-4CA6-B114-C9FF732CF1C8}"/>
            </c:ext>
          </c:extLst>
        </c:ser>
        <c:ser>
          <c:idx val="7"/>
          <c:order val="7"/>
          <c:tx>
            <c:strRef>
              <c:f>事業所別収支!$B$143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cat>
            <c:numRef>
              <c:f>事業所別収支!$C$134:$Z$134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事業所別収支!$C$143:$Z$143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793800</c:v>
                </c:pt>
                <c:pt idx="5">
                  <c:v>741095</c:v>
                </c:pt>
                <c:pt idx="6">
                  <c:v>690320</c:v>
                </c:pt>
                <c:pt idx="7">
                  <c:v>759192</c:v>
                </c:pt>
                <c:pt idx="8">
                  <c:v>713868</c:v>
                </c:pt>
                <c:pt idx="9">
                  <c:v>683798</c:v>
                </c:pt>
                <c:pt idx="10">
                  <c:v>600303</c:v>
                </c:pt>
                <c:pt idx="11">
                  <c:v>606856</c:v>
                </c:pt>
                <c:pt idx="12">
                  <c:v>530155</c:v>
                </c:pt>
                <c:pt idx="13">
                  <c:v>544701</c:v>
                </c:pt>
                <c:pt idx="14">
                  <c:v>476615</c:v>
                </c:pt>
                <c:pt idx="15">
                  <c:v>364736</c:v>
                </c:pt>
                <c:pt idx="16">
                  <c:v>329510</c:v>
                </c:pt>
                <c:pt idx="17">
                  <c:v>275106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4C4-4CA6-B114-C9FF732CF1C8}"/>
            </c:ext>
          </c:extLst>
        </c:ser>
        <c:ser>
          <c:idx val="8"/>
          <c:order val="8"/>
          <c:tx>
            <c:strRef>
              <c:f>事業所別収支!$B$144</c:f>
              <c:strCache>
                <c:ptCount val="1"/>
                <c:pt idx="0">
                  <c:v>本部分担費</c:v>
                </c:pt>
              </c:strCache>
            </c:strRef>
          </c:tx>
          <c:invertIfNegative val="0"/>
          <c:cat>
            <c:numRef>
              <c:f>事業所別収支!$C$134:$Z$134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事業所別収支!$C$144:$Z$144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24C4-4CA6-B114-C9FF732CF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7083632"/>
        <c:axId val="457084024"/>
      </c:barChart>
      <c:lineChart>
        <c:grouping val="standard"/>
        <c:varyColors val="0"/>
        <c:ser>
          <c:idx val="0"/>
          <c:order val="0"/>
          <c:tx>
            <c:strRef>
              <c:f>事業所別収支!$B$135</c:f>
              <c:strCache>
                <c:ptCount val="1"/>
                <c:pt idx="0">
                  <c:v>売上</c:v>
                </c:pt>
              </c:strCache>
            </c:strRef>
          </c:tx>
          <c:cat>
            <c:numRef>
              <c:f>事業所別収支!$C$134:$Z$134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事業所別収支!$C$135:$Z$135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100885</c:v>
                </c:pt>
                <c:pt idx="8">
                  <c:v>663080</c:v>
                </c:pt>
                <c:pt idx="9">
                  <c:v>624826</c:v>
                </c:pt>
                <c:pt idx="10">
                  <c:v>1193278</c:v>
                </c:pt>
                <c:pt idx="11">
                  <c:v>1631546</c:v>
                </c:pt>
                <c:pt idx="12">
                  <c:v>1296114</c:v>
                </c:pt>
                <c:pt idx="13">
                  <c:v>1520846</c:v>
                </c:pt>
                <c:pt idx="14">
                  <c:v>1160774</c:v>
                </c:pt>
                <c:pt idx="15">
                  <c:v>903949</c:v>
                </c:pt>
                <c:pt idx="16">
                  <c:v>#N/A</c:v>
                </c:pt>
                <c:pt idx="17">
                  <c:v>13148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24C4-4CA6-B114-C9FF732CF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083632"/>
        <c:axId val="457084024"/>
      </c:lineChart>
      <c:dateAx>
        <c:axId val="457083632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457084024"/>
        <c:crosses val="autoZero"/>
        <c:auto val="1"/>
        <c:lblOffset val="100"/>
        <c:baseTimeUnit val="months"/>
      </c:dateAx>
      <c:valAx>
        <c:axId val="457084024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457083632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事業所別収支!$B$177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cat>
            <c:numRef>
              <c:f>事業所別収支!$C$175:$Z$175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事業所別収支!$C$177:$Z$177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27512</c:v>
                </c:pt>
                <c:pt idx="12">
                  <c:v>81995</c:v>
                </c:pt>
                <c:pt idx="13">
                  <c:v>153695</c:v>
                </c:pt>
                <c:pt idx="14">
                  <c:v>266169</c:v>
                </c:pt>
                <c:pt idx="15">
                  <c:v>283293</c:v>
                </c:pt>
                <c:pt idx="16">
                  <c:v>388602</c:v>
                </c:pt>
                <c:pt idx="17">
                  <c:v>440879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4C4-4CA6-B114-C9FF732CF1C8}"/>
            </c:ext>
          </c:extLst>
        </c:ser>
        <c:ser>
          <c:idx val="2"/>
          <c:order val="2"/>
          <c:tx>
            <c:strRef>
              <c:f>事業所別収支!$B$178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cat>
            <c:numRef>
              <c:f>事業所別収支!$C$175:$Z$175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事業所別収支!$C$178:$Z$178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355817</c:v>
                </c:pt>
                <c:pt idx="12">
                  <c:v>353125</c:v>
                </c:pt>
                <c:pt idx="13">
                  <c:v>361318</c:v>
                </c:pt>
                <c:pt idx="14">
                  <c:v>368671</c:v>
                </c:pt>
                <c:pt idx="15">
                  <c:v>362513</c:v>
                </c:pt>
                <c:pt idx="16">
                  <c:v>647173</c:v>
                </c:pt>
                <c:pt idx="17">
                  <c:v>637172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4C4-4CA6-B114-C9FF732CF1C8}"/>
            </c:ext>
          </c:extLst>
        </c:ser>
        <c:ser>
          <c:idx val="3"/>
          <c:order val="3"/>
          <c:tx>
            <c:strRef>
              <c:f>事業所別収支!$B$179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cat>
            <c:numRef>
              <c:f>事業所別収支!$C$175:$Z$175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事業所別収支!$C$179:$Z$179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4C4-4CA6-B114-C9FF732CF1C8}"/>
            </c:ext>
          </c:extLst>
        </c:ser>
        <c:ser>
          <c:idx val="4"/>
          <c:order val="4"/>
          <c:tx>
            <c:strRef>
              <c:f>事業所別収支!$B$180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cat>
            <c:numRef>
              <c:f>事業所別収支!$C$175:$Z$175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事業所別収支!$C$180:$Z$180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4C4-4CA6-B114-C9FF732CF1C8}"/>
            </c:ext>
          </c:extLst>
        </c:ser>
        <c:ser>
          <c:idx val="5"/>
          <c:order val="5"/>
          <c:tx>
            <c:strRef>
              <c:f>事業所別収支!$B$181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cat>
            <c:numRef>
              <c:f>事業所別収支!$C$175:$Z$175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事業所別収支!$C$181:$Z$181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56395</c:v>
                </c:pt>
                <c:pt idx="11">
                  <c:v>48772</c:v>
                </c:pt>
                <c:pt idx="12">
                  <c:v>40884</c:v>
                </c:pt>
                <c:pt idx="13">
                  <c:v>46736</c:v>
                </c:pt>
                <c:pt idx="14">
                  <c:v>43924</c:v>
                </c:pt>
                <c:pt idx="15">
                  <c:v>45370</c:v>
                </c:pt>
                <c:pt idx="16">
                  <c:v>89057</c:v>
                </c:pt>
                <c:pt idx="17">
                  <c:v>95710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4C4-4CA6-B114-C9FF732CF1C8}"/>
            </c:ext>
          </c:extLst>
        </c:ser>
        <c:ser>
          <c:idx val="6"/>
          <c:order val="6"/>
          <c:tx>
            <c:strRef>
              <c:f>事業所別収支!$B$182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cat>
            <c:numRef>
              <c:f>事業所別収支!$C$175:$Z$175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事業所別収支!$C$182:$Z$182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1479</c:v>
                </c:pt>
                <c:pt idx="12">
                  <c:v>12246</c:v>
                </c:pt>
                <c:pt idx="13">
                  <c:v>#N/A</c:v>
                </c:pt>
                <c:pt idx="14">
                  <c:v>13640</c:v>
                </c:pt>
                <c:pt idx="15">
                  <c:v>#N/A</c:v>
                </c:pt>
                <c:pt idx="16">
                  <c:v>#N/A</c:v>
                </c:pt>
                <c:pt idx="17">
                  <c:v>144828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4C4-4CA6-B114-C9FF732CF1C8}"/>
            </c:ext>
          </c:extLst>
        </c:ser>
        <c:ser>
          <c:idx val="7"/>
          <c:order val="7"/>
          <c:tx>
            <c:strRef>
              <c:f>事業所別収支!$B$184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cat>
            <c:numRef>
              <c:f>事業所別収支!$C$175:$Z$175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事業所別収支!$C$184:$Z$184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835563</c:v>
                </c:pt>
                <c:pt idx="9">
                  <c:v>752125</c:v>
                </c:pt>
                <c:pt idx="10">
                  <c:v>740398</c:v>
                </c:pt>
                <c:pt idx="11">
                  <c:v>704776</c:v>
                </c:pt>
                <c:pt idx="12">
                  <c:v>533896</c:v>
                </c:pt>
                <c:pt idx="13">
                  <c:v>395245</c:v>
                </c:pt>
                <c:pt idx="14">
                  <c:v>438641</c:v>
                </c:pt>
                <c:pt idx="15">
                  <c:v>383687</c:v>
                </c:pt>
                <c:pt idx="16">
                  <c:v>410646</c:v>
                </c:pt>
                <c:pt idx="17">
                  <c:v>458741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7082456"/>
        <c:axId val="457077360"/>
      </c:barChart>
      <c:lineChart>
        <c:grouping val="standard"/>
        <c:varyColors val="0"/>
        <c:ser>
          <c:idx val="0"/>
          <c:order val="0"/>
          <c:tx>
            <c:strRef>
              <c:f>事業所別収支!$B$176</c:f>
              <c:strCache>
                <c:ptCount val="1"/>
                <c:pt idx="0">
                  <c:v>売上</c:v>
                </c:pt>
              </c:strCache>
            </c:strRef>
          </c:tx>
          <c:cat>
            <c:numRef>
              <c:f>事業所別収支!$C$175:$Z$175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事業所別収支!$C$176:$Z$176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234284</c:v>
                </c:pt>
                <c:pt idx="12">
                  <c:v>485638</c:v>
                </c:pt>
                <c:pt idx="13">
                  <c:v>701720</c:v>
                </c:pt>
                <c:pt idx="14">
                  <c:v>810680</c:v>
                </c:pt>
                <c:pt idx="15">
                  <c:v>1060746</c:v>
                </c:pt>
                <c:pt idx="16">
                  <c:v>1438607</c:v>
                </c:pt>
                <c:pt idx="17">
                  <c:v>1905194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24C4-4CA6-B114-C9FF732CF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082456"/>
        <c:axId val="457077360"/>
      </c:lineChart>
      <c:dateAx>
        <c:axId val="457082456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457077360"/>
        <c:crosses val="autoZero"/>
        <c:auto val="1"/>
        <c:lblOffset val="100"/>
        <c:baseTimeUnit val="months"/>
      </c:dateAx>
      <c:valAx>
        <c:axId val="457077360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457082456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事業所別収支!$B$218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cat>
            <c:numRef>
              <c:f>事業所別収支!$C$216:$Z$216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事業所別収支!$C$218:$Z$218</c:f>
              <c:numCache>
                <c:formatCode>#,##0_ ;[Red]\-#,##0\ </c:formatCode>
                <c:ptCount val="18"/>
                <c:pt idx="0">
                  <c:v>662686</c:v>
                </c:pt>
                <c:pt idx="1">
                  <c:v>1239285</c:v>
                </c:pt>
                <c:pt idx="2">
                  <c:v>889857</c:v>
                </c:pt>
                <c:pt idx="3">
                  <c:v>1088483</c:v>
                </c:pt>
                <c:pt idx="4">
                  <c:v>1190810</c:v>
                </c:pt>
                <c:pt idx="5">
                  <c:v>1332891</c:v>
                </c:pt>
                <c:pt idx="6">
                  <c:v>1559210</c:v>
                </c:pt>
                <c:pt idx="7">
                  <c:v>1098748</c:v>
                </c:pt>
                <c:pt idx="8">
                  <c:v>1068839</c:v>
                </c:pt>
                <c:pt idx="9">
                  <c:v>1147860</c:v>
                </c:pt>
                <c:pt idx="10">
                  <c:v>1270090</c:v>
                </c:pt>
                <c:pt idx="11">
                  <c:v>1235375</c:v>
                </c:pt>
                <c:pt idx="12">
                  <c:v>1383679</c:v>
                </c:pt>
                <c:pt idx="13">
                  <c:v>1261113</c:v>
                </c:pt>
                <c:pt idx="14">
                  <c:v>1146348</c:v>
                </c:pt>
                <c:pt idx="15">
                  <c:v>1222020</c:v>
                </c:pt>
                <c:pt idx="16">
                  <c:v>1307473</c:v>
                </c:pt>
                <c:pt idx="17">
                  <c:v>1424258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37-4F95-AD35-3D6B4F9DC2CC}"/>
            </c:ext>
          </c:extLst>
        </c:ser>
        <c:ser>
          <c:idx val="2"/>
          <c:order val="2"/>
          <c:tx>
            <c:strRef>
              <c:f>事業所別収支!$B$219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cat>
            <c:numRef>
              <c:f>事業所別収支!$C$216:$Z$216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事業所別収支!$C$219:$Z$219</c:f>
              <c:numCache>
                <c:formatCode>#,##0_ ;[Red]\-#,##0\ </c:formatCode>
                <c:ptCount val="18"/>
                <c:pt idx="0">
                  <c:v>803939</c:v>
                </c:pt>
                <c:pt idx="1">
                  <c:v>824685</c:v>
                </c:pt>
                <c:pt idx="2">
                  <c:v>768212</c:v>
                </c:pt>
                <c:pt idx="3">
                  <c:v>975211</c:v>
                </c:pt>
                <c:pt idx="4">
                  <c:v>954889</c:v>
                </c:pt>
                <c:pt idx="5">
                  <c:v>975349</c:v>
                </c:pt>
                <c:pt idx="6">
                  <c:v>762550</c:v>
                </c:pt>
                <c:pt idx="7">
                  <c:v>1216925</c:v>
                </c:pt>
                <c:pt idx="8">
                  <c:v>1047902</c:v>
                </c:pt>
                <c:pt idx="9">
                  <c:v>1055568</c:v>
                </c:pt>
                <c:pt idx="10">
                  <c:v>856370</c:v>
                </c:pt>
                <c:pt idx="11">
                  <c:v>656604</c:v>
                </c:pt>
                <c:pt idx="12">
                  <c:v>656604</c:v>
                </c:pt>
                <c:pt idx="13">
                  <c:v>979604</c:v>
                </c:pt>
                <c:pt idx="14">
                  <c:v>899604</c:v>
                </c:pt>
                <c:pt idx="15">
                  <c:v>697856</c:v>
                </c:pt>
                <c:pt idx="16">
                  <c:v>720487</c:v>
                </c:pt>
                <c:pt idx="17">
                  <c:v>719604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37-4F95-AD35-3D6B4F9DC2CC}"/>
            </c:ext>
          </c:extLst>
        </c:ser>
        <c:ser>
          <c:idx val="3"/>
          <c:order val="3"/>
          <c:tx>
            <c:strRef>
              <c:f>事業所別収支!$B$220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cat>
            <c:numRef>
              <c:f>事業所別収支!$C$216:$Z$216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事業所別収支!$C$220:$Z$220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180000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160000</c:v>
                </c:pt>
                <c:pt idx="8">
                  <c:v>#N/A</c:v>
                </c:pt>
                <c:pt idx="9">
                  <c:v>100000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762000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37-4F95-AD35-3D6B4F9DC2CC}"/>
            </c:ext>
          </c:extLst>
        </c:ser>
        <c:ser>
          <c:idx val="4"/>
          <c:order val="4"/>
          <c:tx>
            <c:strRef>
              <c:f>事業所別収支!$B$221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cat>
            <c:numRef>
              <c:f>事業所別収支!$C$216:$Z$216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事業所別収支!$C$221:$Z$221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F37-4F95-AD35-3D6B4F9DC2CC}"/>
            </c:ext>
          </c:extLst>
        </c:ser>
        <c:ser>
          <c:idx val="5"/>
          <c:order val="5"/>
          <c:tx>
            <c:strRef>
              <c:f>事業所別収支!$B$222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cat>
            <c:numRef>
              <c:f>事業所別収支!$C$216:$Z$216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事業所別収支!$C$222:$Z$222</c:f>
              <c:numCache>
                <c:formatCode>#,##0_ ;[Red]\-#,##0\ </c:formatCode>
                <c:ptCount val="18"/>
                <c:pt idx="0">
                  <c:v>154166</c:v>
                </c:pt>
                <c:pt idx="1">
                  <c:v>-22669.38640245752</c:v>
                </c:pt>
                <c:pt idx="2">
                  <c:v>484249</c:v>
                </c:pt>
                <c:pt idx="3">
                  <c:v>205964</c:v>
                </c:pt>
                <c:pt idx="4">
                  <c:v>251605</c:v>
                </c:pt>
                <c:pt idx="5">
                  <c:v>234380</c:v>
                </c:pt>
                <c:pt idx="6">
                  <c:v>198006</c:v>
                </c:pt>
                <c:pt idx="7">
                  <c:v>195918</c:v>
                </c:pt>
                <c:pt idx="8">
                  <c:v>430990</c:v>
                </c:pt>
                <c:pt idx="9">
                  <c:v>169145</c:v>
                </c:pt>
                <c:pt idx="10">
                  <c:v>222254</c:v>
                </c:pt>
                <c:pt idx="11">
                  <c:v>191004</c:v>
                </c:pt>
                <c:pt idx="12">
                  <c:v>135028</c:v>
                </c:pt>
                <c:pt idx="13">
                  <c:v>312105</c:v>
                </c:pt>
                <c:pt idx="14">
                  <c:v>187830</c:v>
                </c:pt>
                <c:pt idx="15">
                  <c:v>150053</c:v>
                </c:pt>
                <c:pt idx="16">
                  <c:v>151589</c:v>
                </c:pt>
                <c:pt idx="17">
                  <c:v>168463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F37-4F95-AD35-3D6B4F9DC2CC}"/>
            </c:ext>
          </c:extLst>
        </c:ser>
        <c:ser>
          <c:idx val="6"/>
          <c:order val="6"/>
          <c:tx>
            <c:strRef>
              <c:f>事業所別収支!$B$223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cat>
            <c:numRef>
              <c:f>事業所別収支!$C$216:$Z$216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事業所別収支!$C$223:$Z$223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2501</c:v>
                </c:pt>
                <c:pt idx="4">
                  <c:v>61454</c:v>
                </c:pt>
                <c:pt idx="5">
                  <c:v>31530</c:v>
                </c:pt>
                <c:pt idx="6">
                  <c:v>2500</c:v>
                </c:pt>
                <c:pt idx="7">
                  <c:v>3670</c:v>
                </c:pt>
                <c:pt idx="8">
                  <c:v>147479</c:v>
                </c:pt>
                <c:pt idx="9">
                  <c:v>#N/A</c:v>
                </c:pt>
                <c:pt idx="10">
                  <c:v>1512</c:v>
                </c:pt>
                <c:pt idx="11">
                  <c:v>3367</c:v>
                </c:pt>
                <c:pt idx="12">
                  <c:v>16200</c:v>
                </c:pt>
                <c:pt idx="13">
                  <c:v>#N/A</c:v>
                </c:pt>
                <c:pt idx="14">
                  <c:v>99116</c:v>
                </c:pt>
                <c:pt idx="15">
                  <c:v>32400</c:v>
                </c:pt>
                <c:pt idx="16">
                  <c:v>700</c:v>
                </c:pt>
                <c:pt idx="17">
                  <c:v>4000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F37-4F95-AD35-3D6B4F9DC2CC}"/>
            </c:ext>
          </c:extLst>
        </c:ser>
        <c:ser>
          <c:idx val="7"/>
          <c:order val="7"/>
          <c:tx>
            <c:strRef>
              <c:f>事業所別収支!$B$225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cat>
            <c:numRef>
              <c:f>事業所別収支!$C$216:$Z$216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事業所別収支!$C$225:$Z$225</c:f>
              <c:numCache>
                <c:formatCode>#,##0_ ;[Red]\-#,##0\ </c:formatCode>
                <c:ptCount val="18"/>
                <c:pt idx="0">
                  <c:v>859233</c:v>
                </c:pt>
                <c:pt idx="1">
                  <c:v>1042803</c:v>
                </c:pt>
                <c:pt idx="2">
                  <c:v>1015011</c:v>
                </c:pt>
                <c:pt idx="3">
                  <c:v>1024904</c:v>
                </c:pt>
                <c:pt idx="4">
                  <c:v>969911</c:v>
                </c:pt>
                <c:pt idx="5">
                  <c:v>821057</c:v>
                </c:pt>
                <c:pt idx="6">
                  <c:v>1282778</c:v>
                </c:pt>
                <c:pt idx="7">
                  <c:v>1171971</c:v>
                </c:pt>
                <c:pt idx="8">
                  <c:v>1095648</c:v>
                </c:pt>
                <c:pt idx="9">
                  <c:v>1218671</c:v>
                </c:pt>
                <c:pt idx="10">
                  <c:v>1089344</c:v>
                </c:pt>
                <c:pt idx="11">
                  <c:v>1207486</c:v>
                </c:pt>
                <c:pt idx="12">
                  <c:v>1037871</c:v>
                </c:pt>
                <c:pt idx="13">
                  <c:v>1158080</c:v>
                </c:pt>
                <c:pt idx="14">
                  <c:v>1282667</c:v>
                </c:pt>
                <c:pt idx="15">
                  <c:v>1149109</c:v>
                </c:pt>
                <c:pt idx="16">
                  <c:v>1064856</c:v>
                </c:pt>
                <c:pt idx="17">
                  <c:v>1085892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F37-4F95-AD35-3D6B4F9DC2CC}"/>
            </c:ext>
          </c:extLst>
        </c:ser>
        <c:ser>
          <c:idx val="8"/>
          <c:order val="8"/>
          <c:tx>
            <c:strRef>
              <c:f>事業所別収支!$B$226</c:f>
              <c:strCache>
                <c:ptCount val="1"/>
                <c:pt idx="0">
                  <c:v>事業所分担費</c:v>
                </c:pt>
              </c:strCache>
            </c:strRef>
          </c:tx>
          <c:invertIfNegative val="0"/>
          <c:cat>
            <c:numRef>
              <c:f>事業所別収支!$C$216:$Z$216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事業所別収支!$C$226:$Z$226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F37-4F95-AD35-3D6B4F9DC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7085984"/>
        <c:axId val="457087944"/>
      </c:barChart>
      <c:lineChart>
        <c:grouping val="standard"/>
        <c:varyColors val="0"/>
        <c:ser>
          <c:idx val="0"/>
          <c:order val="0"/>
          <c:tx>
            <c:strRef>
              <c:f>事業所別収支!$B$217</c:f>
              <c:strCache>
                <c:ptCount val="1"/>
                <c:pt idx="0">
                  <c:v>売上</c:v>
                </c:pt>
              </c:strCache>
            </c:strRef>
          </c:tx>
          <c:cat>
            <c:numRef>
              <c:f>事業所別収支!$C$216:$Z$216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事業所別収支!$C$217:$Z$217</c:f>
              <c:numCache>
                <c:formatCode>#,##0_ ;[Red]\-#,##0\ </c:formatCode>
                <c:ptCount val="18"/>
                <c:pt idx="0">
                  <c:v>3507733</c:v>
                </c:pt>
                <c:pt idx="1">
                  <c:v>3292348</c:v>
                </c:pt>
                <c:pt idx="2">
                  <c:v>3313516</c:v>
                </c:pt>
                <c:pt idx="3">
                  <c:v>3497339</c:v>
                </c:pt>
                <c:pt idx="4">
                  <c:v>3458623</c:v>
                </c:pt>
                <c:pt idx="5">
                  <c:v>4706520</c:v>
                </c:pt>
                <c:pt idx="6">
                  <c:v>4419633</c:v>
                </c:pt>
                <c:pt idx="7">
                  <c:v>4146272</c:v>
                </c:pt>
                <c:pt idx="8">
                  <c:v>4468494</c:v>
                </c:pt>
                <c:pt idx="9">
                  <c:v>4494230</c:v>
                </c:pt>
                <c:pt idx="10">
                  <c:v>4417151</c:v>
                </c:pt>
                <c:pt idx="11">
                  <c:v>4442200</c:v>
                </c:pt>
                <c:pt idx="12">
                  <c:v>4833081</c:v>
                </c:pt>
                <c:pt idx="13">
                  <c:v>4422644</c:v>
                </c:pt>
                <c:pt idx="14">
                  <c:v>4120917</c:v>
                </c:pt>
                <c:pt idx="15">
                  <c:v>4475893</c:v>
                </c:pt>
                <c:pt idx="16">
                  <c:v>4931183</c:v>
                </c:pt>
                <c:pt idx="17">
                  <c:v>4425975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F37-4F95-AD35-3D6B4F9DC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085984"/>
        <c:axId val="457087944"/>
      </c:lineChart>
      <c:dateAx>
        <c:axId val="457085984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457087944"/>
        <c:crosses val="autoZero"/>
        <c:auto val="1"/>
        <c:lblOffset val="100"/>
        <c:baseTimeUnit val="months"/>
      </c:dateAx>
      <c:valAx>
        <c:axId val="457087944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457085984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事業所別収支!$B$258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cat>
            <c:numRef>
              <c:f>事業所別収支!$C$256:$Z$256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事業所別収支!$C$258:$Z$258</c:f>
              <c:numCache>
                <c:formatCode>#,##0_ ;[Red]\-#,##0\ </c:formatCode>
                <c:ptCount val="18"/>
                <c:pt idx="0">
                  <c:v>1031028</c:v>
                </c:pt>
                <c:pt idx="1">
                  <c:v>1212496</c:v>
                </c:pt>
                <c:pt idx="2">
                  <c:v>1143586</c:v>
                </c:pt>
                <c:pt idx="3">
                  <c:v>1053851</c:v>
                </c:pt>
                <c:pt idx="4">
                  <c:v>1164519</c:v>
                </c:pt>
                <c:pt idx="5">
                  <c:v>1170128</c:v>
                </c:pt>
                <c:pt idx="6">
                  <c:v>1194309</c:v>
                </c:pt>
                <c:pt idx="7">
                  <c:v>1233262</c:v>
                </c:pt>
                <c:pt idx="8">
                  <c:v>1098247</c:v>
                </c:pt>
                <c:pt idx="9">
                  <c:v>953709</c:v>
                </c:pt>
                <c:pt idx="10">
                  <c:v>905804</c:v>
                </c:pt>
                <c:pt idx="11">
                  <c:v>952522</c:v>
                </c:pt>
                <c:pt idx="12">
                  <c:v>967647</c:v>
                </c:pt>
                <c:pt idx="13">
                  <c:v>991529</c:v>
                </c:pt>
                <c:pt idx="14">
                  <c:v>1035698</c:v>
                </c:pt>
                <c:pt idx="15">
                  <c:v>951846</c:v>
                </c:pt>
                <c:pt idx="16">
                  <c:v>1016604</c:v>
                </c:pt>
                <c:pt idx="17">
                  <c:v>913275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1D-4216-9E40-B2F92E7EDA2C}"/>
            </c:ext>
          </c:extLst>
        </c:ser>
        <c:ser>
          <c:idx val="2"/>
          <c:order val="2"/>
          <c:tx>
            <c:strRef>
              <c:f>事業所別収支!$B$259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cat>
            <c:numRef>
              <c:f>事業所別収支!$C$256:$Z$256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事業所別収支!$C$259:$Z$259</c:f>
              <c:numCache>
                <c:formatCode>#,##0_ ;[Red]\-#,##0\ </c:formatCode>
                <c:ptCount val="18"/>
                <c:pt idx="0">
                  <c:v>650000</c:v>
                </c:pt>
                <c:pt idx="1">
                  <c:v>658000</c:v>
                </c:pt>
                <c:pt idx="2">
                  <c:v>693438</c:v>
                </c:pt>
                <c:pt idx="3">
                  <c:v>450000</c:v>
                </c:pt>
                <c:pt idx="4">
                  <c:v>500000</c:v>
                </c:pt>
                <c:pt idx="5">
                  <c:v>500000</c:v>
                </c:pt>
                <c:pt idx="6">
                  <c:v>350000</c:v>
                </c:pt>
                <c:pt idx="7">
                  <c:v>350000</c:v>
                </c:pt>
                <c:pt idx="8">
                  <c:v>650000</c:v>
                </c:pt>
                <c:pt idx="9">
                  <c:v>656000</c:v>
                </c:pt>
                <c:pt idx="10">
                  <c:v>302770</c:v>
                </c:pt>
                <c:pt idx="11">
                  <c:v>305886</c:v>
                </c:pt>
                <c:pt idx="12">
                  <c:v>389829</c:v>
                </c:pt>
                <c:pt idx="13">
                  <c:v>358000</c:v>
                </c:pt>
                <c:pt idx="14">
                  <c:v>359000</c:v>
                </c:pt>
                <c:pt idx="15">
                  <c:v>150000</c:v>
                </c:pt>
                <c:pt idx="16">
                  <c:v>140000</c:v>
                </c:pt>
                <c:pt idx="17">
                  <c:v>290000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51D-4216-9E40-B2F92E7EDA2C}"/>
            </c:ext>
          </c:extLst>
        </c:ser>
        <c:ser>
          <c:idx val="3"/>
          <c:order val="3"/>
          <c:tx>
            <c:strRef>
              <c:f>事業所別収支!$B$260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cat>
            <c:numRef>
              <c:f>事業所別収支!$C$256:$Z$256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事業所別収支!$C$260:$Z$260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475000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451800</c:v>
                </c:pt>
                <c:pt idx="8">
                  <c:v>#N/A</c:v>
                </c:pt>
                <c:pt idx="9">
                  <c:v>100000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334000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51D-4216-9E40-B2F92E7EDA2C}"/>
            </c:ext>
          </c:extLst>
        </c:ser>
        <c:ser>
          <c:idx val="4"/>
          <c:order val="4"/>
          <c:tx>
            <c:strRef>
              <c:f>事業所別収支!$B$261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cat>
            <c:numRef>
              <c:f>事業所別収支!$C$256:$Z$256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事業所別収支!$C$261:$Z$261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150000</c:v>
                </c:pt>
                <c:pt idx="16">
                  <c:v>150000</c:v>
                </c:pt>
                <c:pt idx="17">
                  <c:v>150000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51D-4216-9E40-B2F92E7EDA2C}"/>
            </c:ext>
          </c:extLst>
        </c:ser>
        <c:ser>
          <c:idx val="5"/>
          <c:order val="5"/>
          <c:tx>
            <c:strRef>
              <c:f>事業所別収支!$B$262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cat>
            <c:numRef>
              <c:f>事業所別収支!$C$256:$Z$256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事業所別収支!$C$262:$Z$262</c:f>
              <c:numCache>
                <c:formatCode>#,##0_ ;[Red]\-#,##0\ </c:formatCode>
                <c:ptCount val="18"/>
                <c:pt idx="0">
                  <c:v>97264</c:v>
                </c:pt>
                <c:pt idx="1">
                  <c:v>-14289.186507437851</c:v>
                </c:pt>
                <c:pt idx="2">
                  <c:v>305844</c:v>
                </c:pt>
                <c:pt idx="3">
                  <c:v>38048</c:v>
                </c:pt>
                <c:pt idx="4">
                  <c:v>46737</c:v>
                </c:pt>
                <c:pt idx="5">
                  <c:v>43513</c:v>
                </c:pt>
                <c:pt idx="6">
                  <c:v>44530</c:v>
                </c:pt>
                <c:pt idx="7">
                  <c:v>59494</c:v>
                </c:pt>
                <c:pt idx="8">
                  <c:v>251816</c:v>
                </c:pt>
                <c:pt idx="9">
                  <c:v>103097</c:v>
                </c:pt>
                <c:pt idx="10">
                  <c:v>75671</c:v>
                </c:pt>
                <c:pt idx="11">
                  <c:v>77028</c:v>
                </c:pt>
                <c:pt idx="12">
                  <c:v>70665</c:v>
                </c:pt>
                <c:pt idx="13">
                  <c:v>128768</c:v>
                </c:pt>
                <c:pt idx="14">
                  <c:v>75566</c:v>
                </c:pt>
                <c:pt idx="15">
                  <c:v>71120</c:v>
                </c:pt>
                <c:pt idx="16">
                  <c:v>71382</c:v>
                </c:pt>
                <c:pt idx="17">
                  <c:v>76804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51D-4216-9E40-B2F92E7EDA2C}"/>
            </c:ext>
          </c:extLst>
        </c:ser>
        <c:ser>
          <c:idx val="6"/>
          <c:order val="6"/>
          <c:tx>
            <c:strRef>
              <c:f>事業所別収支!$B$263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cat>
            <c:numRef>
              <c:f>事業所別収支!$C$256:$Z$256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事業所別収支!$C$263:$Z$263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2501</c:v>
                </c:pt>
                <c:pt idx="4">
                  <c:v>2377</c:v>
                </c:pt>
                <c:pt idx="5">
                  <c:v>3617</c:v>
                </c:pt>
                <c:pt idx="6">
                  <c:v>2500</c:v>
                </c:pt>
                <c:pt idx="7">
                  <c:v>3670</c:v>
                </c:pt>
                <c:pt idx="8">
                  <c:v>2189</c:v>
                </c:pt>
                <c:pt idx="9">
                  <c:v>#N/A</c:v>
                </c:pt>
                <c:pt idx="10">
                  <c:v>32400</c:v>
                </c:pt>
                <c:pt idx="11">
                  <c:v>40500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51D-4216-9E40-B2F92E7EDA2C}"/>
            </c:ext>
          </c:extLst>
        </c:ser>
        <c:ser>
          <c:idx val="7"/>
          <c:order val="7"/>
          <c:tx>
            <c:strRef>
              <c:f>事業所別収支!$B$265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cat>
            <c:numRef>
              <c:f>事業所別収支!$C$256:$Z$256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事業所別収支!$C$265:$Z$265</c:f>
              <c:numCache>
                <c:formatCode>#,##0_ ;[Red]\-#,##0\ </c:formatCode>
                <c:ptCount val="18"/>
                <c:pt idx="0">
                  <c:v>604342</c:v>
                </c:pt>
                <c:pt idx="1">
                  <c:v>582653</c:v>
                </c:pt>
                <c:pt idx="2">
                  <c:v>573594</c:v>
                </c:pt>
                <c:pt idx="3">
                  <c:v>616591</c:v>
                </c:pt>
                <c:pt idx="4">
                  <c:v>684050</c:v>
                </c:pt>
                <c:pt idx="5">
                  <c:v>706946</c:v>
                </c:pt>
                <c:pt idx="6">
                  <c:v>727124</c:v>
                </c:pt>
                <c:pt idx="7">
                  <c:v>683680</c:v>
                </c:pt>
                <c:pt idx="8">
                  <c:v>678728</c:v>
                </c:pt>
                <c:pt idx="9">
                  <c:v>942554</c:v>
                </c:pt>
                <c:pt idx="10">
                  <c:v>309334</c:v>
                </c:pt>
                <c:pt idx="11">
                  <c:v>691457</c:v>
                </c:pt>
                <c:pt idx="12">
                  <c:v>568580</c:v>
                </c:pt>
                <c:pt idx="13">
                  <c:v>547437</c:v>
                </c:pt>
                <c:pt idx="14">
                  <c:v>648199</c:v>
                </c:pt>
                <c:pt idx="15">
                  <c:v>588210</c:v>
                </c:pt>
                <c:pt idx="16">
                  <c:v>778041</c:v>
                </c:pt>
                <c:pt idx="17">
                  <c:v>601669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51D-4216-9E40-B2F92E7EDA2C}"/>
            </c:ext>
          </c:extLst>
        </c:ser>
        <c:ser>
          <c:idx val="8"/>
          <c:order val="8"/>
          <c:tx>
            <c:strRef>
              <c:f>事業所別収支!$B$266</c:f>
              <c:strCache>
                <c:ptCount val="1"/>
                <c:pt idx="0">
                  <c:v>事業所分担費</c:v>
                </c:pt>
              </c:strCache>
            </c:strRef>
          </c:tx>
          <c:invertIfNegative val="0"/>
          <c:cat>
            <c:numRef>
              <c:f>事業所別収支!$C$256:$Z$256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事業所別収支!$C$266:$Z$266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851D-4216-9E40-B2F92E7ED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7081280"/>
        <c:axId val="457086376"/>
      </c:barChart>
      <c:lineChart>
        <c:grouping val="standard"/>
        <c:varyColors val="0"/>
        <c:ser>
          <c:idx val="0"/>
          <c:order val="0"/>
          <c:tx>
            <c:strRef>
              <c:f>事業所別収支!$B$257</c:f>
              <c:strCache>
                <c:ptCount val="1"/>
                <c:pt idx="0">
                  <c:v>売上</c:v>
                </c:pt>
              </c:strCache>
            </c:strRef>
          </c:tx>
          <c:cat>
            <c:numRef>
              <c:f>事業所別収支!$C$256:$Z$256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事業所別収支!$C$257:$Z$257</c:f>
              <c:numCache>
                <c:formatCode>#,##0_ ;[Red]\-#,##0\ </c:formatCode>
                <c:ptCount val="18"/>
                <c:pt idx="0">
                  <c:v>2574677</c:v>
                </c:pt>
                <c:pt idx="1">
                  <c:v>2853536</c:v>
                </c:pt>
                <c:pt idx="2">
                  <c:v>2617181</c:v>
                </c:pt>
                <c:pt idx="3">
                  <c:v>3057960</c:v>
                </c:pt>
                <c:pt idx="4">
                  <c:v>3056897</c:v>
                </c:pt>
                <c:pt idx="5">
                  <c:v>3183714</c:v>
                </c:pt>
                <c:pt idx="6">
                  <c:v>3021707</c:v>
                </c:pt>
                <c:pt idx="7">
                  <c:v>2692178</c:v>
                </c:pt>
                <c:pt idx="8">
                  <c:v>2546587</c:v>
                </c:pt>
                <c:pt idx="9">
                  <c:v>2351469</c:v>
                </c:pt>
                <c:pt idx="10">
                  <c:v>2112073</c:v>
                </c:pt>
                <c:pt idx="11">
                  <c:v>2397265</c:v>
                </c:pt>
                <c:pt idx="12">
                  <c:v>3521977</c:v>
                </c:pt>
                <c:pt idx="13">
                  <c:v>2606315</c:v>
                </c:pt>
                <c:pt idx="14">
                  <c:v>2627069</c:v>
                </c:pt>
                <c:pt idx="15">
                  <c:v>2515123</c:v>
                </c:pt>
                <c:pt idx="16">
                  <c:v>2498262</c:v>
                </c:pt>
                <c:pt idx="17">
                  <c:v>2462469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51D-4216-9E40-B2F92E7ED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081280"/>
        <c:axId val="457086376"/>
      </c:lineChart>
      <c:dateAx>
        <c:axId val="457081280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457086376"/>
        <c:crosses val="autoZero"/>
        <c:auto val="1"/>
        <c:lblOffset val="100"/>
        <c:baseTimeUnit val="months"/>
      </c:dateAx>
      <c:valAx>
        <c:axId val="457086376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457081280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事業所別収支!$B$506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cat>
            <c:numRef>
              <c:f>事業所別収支!$C$504:$Z$504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事業所別収支!$C$506:$Z$506</c:f>
              <c:numCache>
                <c:formatCode>#,##0_ ;[Red]\-#,##0\ </c:formatCode>
                <c:ptCount val="18"/>
                <c:pt idx="0">
                  <c:v>1308012</c:v>
                </c:pt>
                <c:pt idx="1">
                  <c:v>1373413</c:v>
                </c:pt>
                <c:pt idx="2">
                  <c:v>1366075</c:v>
                </c:pt>
                <c:pt idx="3">
                  <c:v>1178518</c:v>
                </c:pt>
                <c:pt idx="4">
                  <c:v>1334586</c:v>
                </c:pt>
                <c:pt idx="5">
                  <c:v>1248903</c:v>
                </c:pt>
                <c:pt idx="6">
                  <c:v>1283763</c:v>
                </c:pt>
                <c:pt idx="7">
                  <c:v>1276608</c:v>
                </c:pt>
                <c:pt idx="8">
                  <c:v>1268763</c:v>
                </c:pt>
                <c:pt idx="9">
                  <c:v>1307001</c:v>
                </c:pt>
                <c:pt idx="10">
                  <c:v>1305580</c:v>
                </c:pt>
                <c:pt idx="11">
                  <c:v>1277503</c:v>
                </c:pt>
                <c:pt idx="12">
                  <c:v>1081769</c:v>
                </c:pt>
                <c:pt idx="13">
                  <c:v>1213017</c:v>
                </c:pt>
                <c:pt idx="14">
                  <c:v>1241236</c:v>
                </c:pt>
                <c:pt idx="15">
                  <c:v>1247958</c:v>
                </c:pt>
                <c:pt idx="16">
                  <c:v>1825603</c:v>
                </c:pt>
                <c:pt idx="17">
                  <c:v>1822990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1D-4216-9E40-B2F92E7EDA2C}"/>
            </c:ext>
          </c:extLst>
        </c:ser>
        <c:ser>
          <c:idx val="2"/>
          <c:order val="2"/>
          <c:tx>
            <c:strRef>
              <c:f>事業所別収支!$B$507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cat>
            <c:numRef>
              <c:f>事業所別収支!$C$504:$Z$504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事業所別収支!$C$507:$Z$507</c:f>
              <c:numCache>
                <c:formatCode>#,##0_ ;[Red]\-#,##0\ </c:formatCode>
                <c:ptCount val="18"/>
                <c:pt idx="0">
                  <c:v>100000</c:v>
                </c:pt>
                <c:pt idx="1">
                  <c:v>100000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334455</c:v>
                </c:pt>
                <c:pt idx="12">
                  <c:v>492994</c:v>
                </c:pt>
                <c:pt idx="13">
                  <c:v>515075</c:v>
                </c:pt>
                <c:pt idx="14">
                  <c:v>545872</c:v>
                </c:pt>
                <c:pt idx="15">
                  <c:v>647000</c:v>
                </c:pt>
                <c:pt idx="16">
                  <c:v>648502</c:v>
                </c:pt>
                <c:pt idx="17">
                  <c:v>502460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51D-4216-9E40-B2F92E7EDA2C}"/>
            </c:ext>
          </c:extLst>
        </c:ser>
        <c:ser>
          <c:idx val="3"/>
          <c:order val="3"/>
          <c:tx>
            <c:strRef>
              <c:f>事業所別収支!$B$508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cat>
            <c:numRef>
              <c:f>事業所別収支!$C$504:$Z$504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事業所別収支!$C$508:$Z$508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100000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51D-4216-9E40-B2F92E7EDA2C}"/>
            </c:ext>
          </c:extLst>
        </c:ser>
        <c:ser>
          <c:idx val="4"/>
          <c:order val="4"/>
          <c:tx>
            <c:strRef>
              <c:f>事業所別収支!$B$509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cat>
            <c:numRef>
              <c:f>事業所別収支!$C$504:$Z$504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事業所別収支!$C$509:$Z$509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51D-4216-9E40-B2F92E7EDA2C}"/>
            </c:ext>
          </c:extLst>
        </c:ser>
        <c:ser>
          <c:idx val="5"/>
          <c:order val="5"/>
          <c:tx>
            <c:strRef>
              <c:f>事業所別収支!$B$510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cat>
            <c:numRef>
              <c:f>事業所別収支!$C$504:$Z$504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事業所別収支!$C$510:$Z$510</c:f>
              <c:numCache>
                <c:formatCode>#,##0_ ;[Red]\-#,##0\ </c:formatCode>
                <c:ptCount val="18"/>
                <c:pt idx="0">
                  <c:v>53297</c:v>
                </c:pt>
                <c:pt idx="1">
                  <c:v>-7828.6634595582109</c:v>
                </c:pt>
                <c:pt idx="2">
                  <c:v>168017</c:v>
                </c:pt>
                <c:pt idx="3">
                  <c:v>41172</c:v>
                </c:pt>
                <c:pt idx="4">
                  <c:v>49974</c:v>
                </c:pt>
                <c:pt idx="5">
                  <c:v>46289</c:v>
                </c:pt>
                <c:pt idx="6">
                  <c:v>47516</c:v>
                </c:pt>
                <c:pt idx="7">
                  <c:v>41518</c:v>
                </c:pt>
                <c:pt idx="8">
                  <c:v>106127</c:v>
                </c:pt>
                <c:pt idx="9">
                  <c:v>37635</c:v>
                </c:pt>
                <c:pt idx="10">
                  <c:v>49910</c:v>
                </c:pt>
                <c:pt idx="11">
                  <c:v>82170</c:v>
                </c:pt>
                <c:pt idx="12">
                  <c:v>98395</c:v>
                </c:pt>
                <c:pt idx="13">
                  <c:v>101200</c:v>
                </c:pt>
                <c:pt idx="14">
                  <c:v>81782</c:v>
                </c:pt>
                <c:pt idx="15">
                  <c:v>83162</c:v>
                </c:pt>
                <c:pt idx="16">
                  <c:v>83561</c:v>
                </c:pt>
                <c:pt idx="17">
                  <c:v>90323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51D-4216-9E40-B2F92E7EDA2C}"/>
            </c:ext>
          </c:extLst>
        </c:ser>
        <c:ser>
          <c:idx val="6"/>
          <c:order val="6"/>
          <c:tx>
            <c:strRef>
              <c:f>事業所別収支!$B$511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cat>
            <c:numRef>
              <c:f>事業所別収支!$C$504:$Z$504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事業所別収支!$C$511:$Z$511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64800</c:v>
                </c:pt>
                <c:pt idx="12">
                  <c:v>864</c:v>
                </c:pt>
                <c:pt idx="13">
                  <c:v>#N/A</c:v>
                </c:pt>
                <c:pt idx="14">
                  <c:v>1131</c:v>
                </c:pt>
                <c:pt idx="15">
                  <c:v>300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51D-4216-9E40-B2F92E7EDA2C}"/>
            </c:ext>
          </c:extLst>
        </c:ser>
        <c:ser>
          <c:idx val="7"/>
          <c:order val="7"/>
          <c:tx>
            <c:strRef>
              <c:f>事業所別収支!$B$513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cat>
            <c:numRef>
              <c:f>事業所別収支!$C$504:$Z$504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事業所別収支!$C$513:$Z$513</c:f>
              <c:numCache>
                <c:formatCode>#,##0_ ;[Red]\-#,##0\ </c:formatCode>
                <c:ptCount val="18"/>
                <c:pt idx="0">
                  <c:v>1078010</c:v>
                </c:pt>
                <c:pt idx="1">
                  <c:v>936913</c:v>
                </c:pt>
                <c:pt idx="2">
                  <c:v>1083196</c:v>
                </c:pt>
                <c:pt idx="3">
                  <c:v>922111</c:v>
                </c:pt>
                <c:pt idx="4">
                  <c:v>1123288</c:v>
                </c:pt>
                <c:pt idx="5">
                  <c:v>970855</c:v>
                </c:pt>
                <c:pt idx="6">
                  <c:v>1087558</c:v>
                </c:pt>
                <c:pt idx="7">
                  <c:v>939498</c:v>
                </c:pt>
                <c:pt idx="8">
                  <c:v>1021927</c:v>
                </c:pt>
                <c:pt idx="9">
                  <c:v>782934</c:v>
                </c:pt>
                <c:pt idx="10">
                  <c:v>911899</c:v>
                </c:pt>
                <c:pt idx="11">
                  <c:v>1200080</c:v>
                </c:pt>
                <c:pt idx="12">
                  <c:v>983073</c:v>
                </c:pt>
                <c:pt idx="13">
                  <c:v>921485</c:v>
                </c:pt>
                <c:pt idx="14">
                  <c:v>1092110</c:v>
                </c:pt>
                <c:pt idx="15">
                  <c:v>1049863</c:v>
                </c:pt>
                <c:pt idx="16">
                  <c:v>1080651</c:v>
                </c:pt>
                <c:pt idx="17">
                  <c:v>1029870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51D-4216-9E40-B2F92E7ED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7088728"/>
        <c:axId val="457090296"/>
      </c:barChart>
      <c:lineChart>
        <c:grouping val="standard"/>
        <c:varyColors val="0"/>
        <c:ser>
          <c:idx val="0"/>
          <c:order val="0"/>
          <c:tx>
            <c:strRef>
              <c:f>事業所別収支!$B$505</c:f>
              <c:strCache>
                <c:ptCount val="1"/>
                <c:pt idx="0">
                  <c:v>売上</c:v>
                </c:pt>
              </c:strCache>
            </c:strRef>
          </c:tx>
          <c:cat>
            <c:numRef>
              <c:f>事業所別収支!$C$504:$Z$504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事業所別収支!$C$505:$Z$505</c:f>
              <c:numCache>
                <c:formatCode>#,##0_ ;[Red]\-#,##0\ </c:formatCode>
                <c:ptCount val="18"/>
                <c:pt idx="0">
                  <c:v>4932061</c:v>
                </c:pt>
                <c:pt idx="1">
                  <c:v>4846209</c:v>
                </c:pt>
                <c:pt idx="2">
                  <c:v>4521767</c:v>
                </c:pt>
                <c:pt idx="3">
                  <c:v>4251654</c:v>
                </c:pt>
                <c:pt idx="4">
                  <c:v>4845757</c:v>
                </c:pt>
                <c:pt idx="5">
                  <c:v>4652452</c:v>
                </c:pt>
                <c:pt idx="6">
                  <c:v>6288634</c:v>
                </c:pt>
                <c:pt idx="7">
                  <c:v>4072029</c:v>
                </c:pt>
                <c:pt idx="8">
                  <c:v>5223230</c:v>
                </c:pt>
                <c:pt idx="9">
                  <c:v>4262820</c:v>
                </c:pt>
                <c:pt idx="10">
                  <c:v>4499106</c:v>
                </c:pt>
                <c:pt idx="11">
                  <c:v>5027679</c:v>
                </c:pt>
                <c:pt idx="12">
                  <c:v>4965039</c:v>
                </c:pt>
                <c:pt idx="13">
                  <c:v>5126089</c:v>
                </c:pt>
                <c:pt idx="14">
                  <c:v>5611286</c:v>
                </c:pt>
                <c:pt idx="15">
                  <c:v>5636882</c:v>
                </c:pt>
                <c:pt idx="16">
                  <c:v>5775875</c:v>
                </c:pt>
                <c:pt idx="17">
                  <c:v>6783695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51D-4216-9E40-B2F92E7ED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088728"/>
        <c:axId val="457090296"/>
      </c:lineChart>
      <c:dateAx>
        <c:axId val="457088728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457090296"/>
        <c:crosses val="autoZero"/>
        <c:auto val="1"/>
        <c:lblOffset val="100"/>
        <c:baseTimeUnit val="months"/>
      </c:dateAx>
      <c:valAx>
        <c:axId val="457090296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457088728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事業所別収支!$B$547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cat>
            <c:numRef>
              <c:f>事業所別収支!$C$545:$Z$545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事業所別収支!$C$547:$Z$547</c:f>
              <c:numCache>
                <c:formatCode>#,##0_ ;[Red]\-#,##0\ </c:formatCode>
                <c:ptCount val="18"/>
                <c:pt idx="0">
                  <c:v>596852</c:v>
                </c:pt>
                <c:pt idx="1">
                  <c:v>581761</c:v>
                </c:pt>
                <c:pt idx="2">
                  <c:v>660281</c:v>
                </c:pt>
                <c:pt idx="3">
                  <c:v>566140</c:v>
                </c:pt>
                <c:pt idx="4">
                  <c:v>670372</c:v>
                </c:pt>
                <c:pt idx="5">
                  <c:v>508048</c:v>
                </c:pt>
                <c:pt idx="6">
                  <c:v>616701</c:v>
                </c:pt>
                <c:pt idx="7">
                  <c:v>655449</c:v>
                </c:pt>
                <c:pt idx="8">
                  <c:v>529847</c:v>
                </c:pt>
                <c:pt idx="9">
                  <c:v>527963</c:v>
                </c:pt>
                <c:pt idx="10">
                  <c:v>385027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1D-4216-9E40-B2F92E7EDA2C}"/>
            </c:ext>
          </c:extLst>
        </c:ser>
        <c:ser>
          <c:idx val="2"/>
          <c:order val="2"/>
          <c:tx>
            <c:strRef>
              <c:f>事業所別収支!$B$548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cat>
            <c:numRef>
              <c:f>事業所別収支!$C$545:$Z$545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事業所別収支!$C$548:$Z$548</c:f>
              <c:numCache>
                <c:formatCode>#,##0_ ;[Red]\-#,##0\ </c:formatCode>
                <c:ptCount val="18"/>
                <c:pt idx="0">
                  <c:v>950404</c:v>
                </c:pt>
                <c:pt idx="1">
                  <c:v>922255</c:v>
                </c:pt>
                <c:pt idx="2">
                  <c:v>1103227</c:v>
                </c:pt>
                <c:pt idx="3">
                  <c:v>697207</c:v>
                </c:pt>
                <c:pt idx="4">
                  <c:v>694235</c:v>
                </c:pt>
                <c:pt idx="5">
                  <c:v>677000</c:v>
                </c:pt>
                <c:pt idx="6">
                  <c:v>300000</c:v>
                </c:pt>
                <c:pt idx="7">
                  <c:v>300000</c:v>
                </c:pt>
                <c:pt idx="8">
                  <c:v>300000</c:v>
                </c:pt>
                <c:pt idx="9">
                  <c:v>300000</c:v>
                </c:pt>
                <c:pt idx="10">
                  <c:v>300000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51D-4216-9E40-B2F92E7EDA2C}"/>
            </c:ext>
          </c:extLst>
        </c:ser>
        <c:ser>
          <c:idx val="3"/>
          <c:order val="3"/>
          <c:tx>
            <c:strRef>
              <c:f>事業所別収支!$B$549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cat>
            <c:numRef>
              <c:f>事業所別収支!$C$545:$Z$545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事業所別収支!$C$549:$Z$549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380000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51D-4216-9E40-B2F92E7EDA2C}"/>
            </c:ext>
          </c:extLst>
        </c:ser>
        <c:ser>
          <c:idx val="4"/>
          <c:order val="4"/>
          <c:tx>
            <c:strRef>
              <c:f>事業所別収支!$B$550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cat>
            <c:numRef>
              <c:f>事業所別収支!$C$545:$Z$545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事業所別収支!$C$550:$Z$550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51D-4216-9E40-B2F92E7EDA2C}"/>
            </c:ext>
          </c:extLst>
        </c:ser>
        <c:ser>
          <c:idx val="5"/>
          <c:order val="5"/>
          <c:tx>
            <c:strRef>
              <c:f>事業所別収支!$B$551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cat>
            <c:numRef>
              <c:f>事業所別収支!$C$545:$Z$545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事業所別収支!$C$551:$Z$551</c:f>
              <c:numCache>
                <c:formatCode>#,##0_ ;[Red]\-#,##0\ </c:formatCode>
                <c:ptCount val="18"/>
                <c:pt idx="0">
                  <c:v>147133</c:v>
                </c:pt>
                <c:pt idx="1">
                  <c:v>-21590.013214222141</c:v>
                </c:pt>
                <c:pt idx="2">
                  <c:v>524770</c:v>
                </c:pt>
                <c:pt idx="3">
                  <c:v>50562</c:v>
                </c:pt>
                <c:pt idx="4">
                  <c:v>55981</c:v>
                </c:pt>
                <c:pt idx="5">
                  <c:v>46590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51D-4216-9E40-B2F92E7EDA2C}"/>
            </c:ext>
          </c:extLst>
        </c:ser>
        <c:ser>
          <c:idx val="6"/>
          <c:order val="6"/>
          <c:tx>
            <c:strRef>
              <c:f>事業所別収支!$B$552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cat>
            <c:numRef>
              <c:f>事業所別収支!$C$545:$Z$545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事業所別収支!$C$552:$Z$552</c:f>
              <c:numCache>
                <c:formatCode>#,##0_ ;[Red]\-#,##0\ 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217455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284</c:v>
                </c:pt>
                <c:pt idx="7">
                  <c:v>85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51D-4216-9E40-B2F92E7EDA2C}"/>
            </c:ext>
          </c:extLst>
        </c:ser>
        <c:ser>
          <c:idx val="7"/>
          <c:order val="7"/>
          <c:tx>
            <c:strRef>
              <c:f>事業所別収支!$B$554</c:f>
              <c:strCache>
                <c:ptCount val="1"/>
                <c:pt idx="0">
                  <c:v>事業所経費</c:v>
                </c:pt>
              </c:strCache>
            </c:strRef>
          </c:tx>
          <c:invertIfNegative val="0"/>
          <c:cat>
            <c:numRef>
              <c:f>事業所別収支!$C$545:$Z$545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事業所別収支!$C$554:$Z$554</c:f>
              <c:numCache>
                <c:formatCode>#,##0_ ;[Red]\-#,##0\ </c:formatCode>
                <c:ptCount val="18"/>
                <c:pt idx="0">
                  <c:v>882358</c:v>
                </c:pt>
                <c:pt idx="1">
                  <c:v>1022330</c:v>
                </c:pt>
                <c:pt idx="2">
                  <c:v>1003296</c:v>
                </c:pt>
                <c:pt idx="3">
                  <c:v>1081985</c:v>
                </c:pt>
                <c:pt idx="4">
                  <c:v>799757</c:v>
                </c:pt>
                <c:pt idx="5">
                  <c:v>870969</c:v>
                </c:pt>
                <c:pt idx="6">
                  <c:v>675648</c:v>
                </c:pt>
                <c:pt idx="7">
                  <c:v>709959</c:v>
                </c:pt>
                <c:pt idx="8">
                  <c:v>698763</c:v>
                </c:pt>
                <c:pt idx="9">
                  <c:v>539944</c:v>
                </c:pt>
                <c:pt idx="10">
                  <c:v>540758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7090688"/>
        <c:axId val="457091080"/>
      </c:barChart>
      <c:lineChart>
        <c:grouping val="standard"/>
        <c:varyColors val="0"/>
        <c:ser>
          <c:idx val="0"/>
          <c:order val="0"/>
          <c:tx>
            <c:strRef>
              <c:f>事業所別収支!$B$546</c:f>
              <c:strCache>
                <c:ptCount val="1"/>
                <c:pt idx="0">
                  <c:v>売上</c:v>
                </c:pt>
              </c:strCache>
            </c:strRef>
          </c:tx>
          <c:cat>
            <c:numRef>
              <c:f>事業所別収支!$C$545:$Z$545</c:f>
              <c:numCache>
                <c:formatCode>[$-411]ge\.mm"月";@</c:formatCode>
                <c:ptCount val="18"/>
                <c:pt idx="0">
                  <c:v>43040</c:v>
                </c:pt>
                <c:pt idx="1">
                  <c:v>43070</c:v>
                </c:pt>
                <c:pt idx="2">
                  <c:v>43101</c:v>
                </c:pt>
                <c:pt idx="3">
                  <c:v>43132</c:v>
                </c:pt>
                <c:pt idx="4">
                  <c:v>43160</c:v>
                </c:pt>
                <c:pt idx="5">
                  <c:v>43191</c:v>
                </c:pt>
                <c:pt idx="6">
                  <c:v>43221</c:v>
                </c:pt>
                <c:pt idx="7">
                  <c:v>43252</c:v>
                </c:pt>
                <c:pt idx="8">
                  <c:v>43282</c:v>
                </c:pt>
                <c:pt idx="9">
                  <c:v>43313</c:v>
                </c:pt>
                <c:pt idx="10">
                  <c:v>43344</c:v>
                </c:pt>
                <c:pt idx="11">
                  <c:v>43374</c:v>
                </c:pt>
                <c:pt idx="12">
                  <c:v>43405</c:v>
                </c:pt>
                <c:pt idx="13">
                  <c:v>43435</c:v>
                </c:pt>
                <c:pt idx="14">
                  <c:v>43466</c:v>
                </c:pt>
                <c:pt idx="15">
                  <c:v>43497</c:v>
                </c:pt>
                <c:pt idx="16">
                  <c:v>43525</c:v>
                </c:pt>
                <c:pt idx="17">
                  <c:v>43556</c:v>
                </c:pt>
              </c:numCache>
            </c:numRef>
          </c:cat>
          <c:val>
            <c:numRef>
              <c:f>事業所別収支!$C$546:$Z$546</c:f>
              <c:numCache>
                <c:formatCode>#,##0_ ;[Red]\-#,##0\ </c:formatCode>
                <c:ptCount val="18"/>
                <c:pt idx="0">
                  <c:v>3133826</c:v>
                </c:pt>
                <c:pt idx="1">
                  <c:v>3119675</c:v>
                </c:pt>
                <c:pt idx="2">
                  <c:v>2345767</c:v>
                </c:pt>
                <c:pt idx="3">
                  <c:v>2169663</c:v>
                </c:pt>
                <c:pt idx="4">
                  <c:v>2256558</c:v>
                </c:pt>
                <c:pt idx="5">
                  <c:v>1960949</c:v>
                </c:pt>
                <c:pt idx="6">
                  <c:v>1955643</c:v>
                </c:pt>
                <c:pt idx="7">
                  <c:v>1889542</c:v>
                </c:pt>
                <c:pt idx="8">
                  <c:v>1614388</c:v>
                </c:pt>
                <c:pt idx="9">
                  <c:v>1444523</c:v>
                </c:pt>
                <c:pt idx="10">
                  <c:v>1128956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51D-4216-9E40-B2F92E7ED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090688"/>
        <c:axId val="457091080"/>
      </c:lineChart>
      <c:dateAx>
        <c:axId val="457090688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457091080"/>
        <c:crosses val="autoZero"/>
        <c:auto val="1"/>
        <c:lblOffset val="100"/>
        <c:baseTimeUnit val="months"/>
      </c:dateAx>
      <c:valAx>
        <c:axId val="457091080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457090688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44132184546342"/>
          <c:y val="4.0516915608954131E-2"/>
          <c:w val="0.7566462057386073"/>
          <c:h val="0.8139531372961517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事業所別収支!$B$465</c:f>
              <c:strCache>
                <c:ptCount val="1"/>
                <c:pt idx="0">
                  <c:v>パート給与</c:v>
                </c:pt>
              </c:strCache>
            </c:strRef>
          </c:tx>
          <c:invertIfNegative val="0"/>
          <c:val>
            <c:numRef>
              <c:f>事業所別収支!$C$465:$Z$465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67-4976-9DFA-4913ECEFD42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事業所別収支!$C$463:$Z$463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strRef>
              <c:f>事業所別収支!$B$466</c:f>
              <c:strCache>
                <c:ptCount val="1"/>
                <c:pt idx="0">
                  <c:v>社員給与</c:v>
                </c:pt>
              </c:strCache>
            </c:strRef>
          </c:tx>
          <c:invertIfNegative val="0"/>
          <c:val>
            <c:numRef>
              <c:f>事業所別収支!$C$466:$Z$466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367-4976-9DFA-4913ECEFD42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事業所別収支!$C$463:$Z$463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strRef>
              <c:f>事業所別収支!$B$467</c:f>
              <c:strCache>
                <c:ptCount val="1"/>
                <c:pt idx="0">
                  <c:v>賞与</c:v>
                </c:pt>
              </c:strCache>
            </c:strRef>
          </c:tx>
          <c:invertIfNegative val="0"/>
          <c:val>
            <c:numRef>
              <c:f>事業所別収支!$C$467:$Z$467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367-4976-9DFA-4913ECEFD42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事業所別収支!$C$463:$Z$463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strRef>
              <c:f>事業所別収支!$B$468</c:f>
              <c:strCache>
                <c:ptCount val="1"/>
                <c:pt idx="0">
                  <c:v>役員給与</c:v>
                </c:pt>
              </c:strCache>
            </c:strRef>
          </c:tx>
          <c:invertIfNegative val="0"/>
          <c:val>
            <c:numRef>
              <c:f>事業所別収支!$C$468:$Z$468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367-4976-9DFA-4913ECEFD42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事業所別収支!$C$463:$Z$463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strRef>
              <c:f>事業所別収支!$B$469</c:f>
              <c:strCache>
                <c:ptCount val="1"/>
                <c:pt idx="0">
                  <c:v>法定福利費</c:v>
                </c:pt>
              </c:strCache>
            </c:strRef>
          </c:tx>
          <c:invertIfNegative val="0"/>
          <c:val>
            <c:numRef>
              <c:f>事業所別収支!$C$469:$Z$469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367-4976-9DFA-4913ECEFD42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事業所別収支!$C$463:$Z$463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6"/>
          <c:order val="6"/>
          <c:tx>
            <c:strRef>
              <c:f>事業所別収支!$B$470</c:f>
              <c:strCache>
                <c:ptCount val="1"/>
                <c:pt idx="0">
                  <c:v>福利厚生費</c:v>
                </c:pt>
              </c:strCache>
            </c:strRef>
          </c:tx>
          <c:invertIfNegative val="0"/>
          <c:val>
            <c:numRef>
              <c:f>事業所別収支!$C$470:$Z$470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367-4976-9DFA-4913ECEFD42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事業所別収支!$C$463:$Z$463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7091864"/>
        <c:axId val="457092648"/>
      </c:barChart>
      <c:lineChart>
        <c:grouping val="standard"/>
        <c:varyColors val="0"/>
        <c:ser>
          <c:idx val="0"/>
          <c:order val="0"/>
          <c:tx>
            <c:strRef>
              <c:f>事業所別収支!$B$464</c:f>
              <c:strCache>
                <c:ptCount val="1"/>
                <c:pt idx="0">
                  <c:v>売上</c:v>
                </c:pt>
              </c:strCache>
            </c:strRef>
          </c:tx>
          <c:val>
            <c:numRef>
              <c:f>事業所別収支!$C$464:$Z$464</c:f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367-4976-9DFA-4913ECEFD42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事業所別収支!$C$463:$Z$463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7"/>
          <c:tx>
            <c:strRef>
              <c:f>事業所別収支!$B$472</c:f>
              <c:strCache>
                <c:ptCount val="1"/>
                <c:pt idx="0">
                  <c:v>事業所経費</c:v>
                </c:pt>
              </c:strCache>
            </c:strRef>
          </c:tx>
          <c:val>
            <c:numRef>
              <c:f>事業所別収支!$C$472:$Z$472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事業所別収支!$C$463:$Z$463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8"/>
          <c:tx>
            <c:strRef>
              <c:f>事業所別収支!$B$473</c:f>
              <c:strCache>
                <c:ptCount val="1"/>
                <c:pt idx="0">
                  <c:v>本部分担費</c:v>
                </c:pt>
              </c:strCache>
            </c:strRef>
          </c:tx>
          <c:val>
            <c:numRef>
              <c:f>事業所別収支!$C$473:$Z$473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事業所別収支!$C$463:$Z$463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091864"/>
        <c:axId val="457092648"/>
      </c:lineChart>
      <c:catAx>
        <c:axId val="457091864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crossAx val="457092648"/>
        <c:crosses val="autoZero"/>
        <c:auto val="1"/>
        <c:lblAlgn val="ctr"/>
        <c:lblOffset val="100"/>
        <c:noMultiLvlLbl val="1"/>
      </c:catAx>
      <c:valAx>
        <c:axId val="457092648"/>
        <c:scaling>
          <c:orientation val="minMax"/>
        </c:scaling>
        <c:delete val="0"/>
        <c:axPos val="l"/>
        <c:majorGridlines/>
        <c:numFmt formatCode="#,##0_ ;[Red]\-#,##0\ " sourceLinked="1"/>
        <c:majorTickMark val="out"/>
        <c:minorTickMark val="none"/>
        <c:tickLblPos val="nextTo"/>
        <c:crossAx val="457091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収支予測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'H29収支予測(本部)'!$D$92</c:f>
              <c:strCache>
                <c:ptCount val="1"/>
                <c:pt idx="0">
                  <c:v>人件費累計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'H29収支予測(本部)'!$B$93:$B$104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'H29収支予測(本部)'!$D$93:$D$104</c:f>
              <c:numCache>
                <c:formatCode>#,##0_ ;[Red]\-#,##0\ </c:formatCode>
                <c:ptCount val="12"/>
                <c:pt idx="0">
                  <c:v>22603261</c:v>
                </c:pt>
                <c:pt idx="1">
                  <c:v>46346361</c:v>
                </c:pt>
                <c:pt idx="2">
                  <c:v>70618513</c:v>
                </c:pt>
                <c:pt idx="3">
                  <c:v>106181202</c:v>
                </c:pt>
                <c:pt idx="4">
                  <c:v>134217067</c:v>
                </c:pt>
                <c:pt idx="5">
                  <c:v>157482177</c:v>
                </c:pt>
                <c:pt idx="6">
                  <c:v>181769761</c:v>
                </c:pt>
                <c:pt idx="7">
                  <c:v>205982150</c:v>
                </c:pt>
                <c:pt idx="8">
                  <c:v>229890216</c:v>
                </c:pt>
                <c:pt idx="9">
                  <c:v>261587379</c:v>
                </c:pt>
                <c:pt idx="10">
                  <c:v>289193171</c:v>
                </c:pt>
                <c:pt idx="11">
                  <c:v>315713634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90-4653-9912-6C07CC18C958}"/>
            </c:ext>
          </c:extLst>
        </c:ser>
        <c:ser>
          <c:idx val="2"/>
          <c:order val="2"/>
          <c:tx>
            <c:strRef>
              <c:f>'H29収支予測(本部)'!$E$92</c:f>
              <c:strCache>
                <c:ptCount val="1"/>
                <c:pt idx="0">
                  <c:v>経費累計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'H29収支予測(本部)'!$B$93:$B$104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'H29収支予測(本部)'!$E$93:$E$104</c:f>
              <c:numCache>
                <c:formatCode>#,##0_ ;[Red]\-#,##0\ </c:formatCode>
                <c:ptCount val="12"/>
                <c:pt idx="0">
                  <c:v>7294393</c:v>
                </c:pt>
                <c:pt idx="1">
                  <c:v>14601047</c:v>
                </c:pt>
                <c:pt idx="2">
                  <c:v>23008077</c:v>
                </c:pt>
                <c:pt idx="3">
                  <c:v>31816183</c:v>
                </c:pt>
                <c:pt idx="4">
                  <c:v>40459712</c:v>
                </c:pt>
                <c:pt idx="5">
                  <c:v>48392302</c:v>
                </c:pt>
                <c:pt idx="6">
                  <c:v>58456551</c:v>
                </c:pt>
                <c:pt idx="7">
                  <c:v>68688438</c:v>
                </c:pt>
                <c:pt idx="8">
                  <c:v>78904093</c:v>
                </c:pt>
                <c:pt idx="9">
                  <c:v>90157060</c:v>
                </c:pt>
                <c:pt idx="10">
                  <c:v>100698442</c:v>
                </c:pt>
                <c:pt idx="11">
                  <c:v>112728447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90-4653-9912-6C07CC18C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8"/>
        <c:overlap val="100"/>
        <c:axId val="457483264"/>
        <c:axId val="457480912"/>
      </c:barChart>
      <c:lineChart>
        <c:grouping val="standard"/>
        <c:varyColors val="0"/>
        <c:ser>
          <c:idx val="0"/>
          <c:order val="0"/>
          <c:tx>
            <c:strRef>
              <c:f>'H29収支予測(本部)'!$C$92</c:f>
              <c:strCache>
                <c:ptCount val="1"/>
                <c:pt idx="0">
                  <c:v>売上累計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'H29収支予測(本部)'!$B$93:$B$104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'H29収支予測(本部)'!$C$93:$C$104</c:f>
              <c:numCache>
                <c:formatCode>#,##0_ ;[Red]\-#,##0\ </c:formatCode>
                <c:ptCount val="12"/>
                <c:pt idx="0">
                  <c:v>35916200</c:v>
                </c:pt>
                <c:pt idx="1">
                  <c:v>73612711</c:v>
                </c:pt>
                <c:pt idx="2">
                  <c:v>109333788</c:v>
                </c:pt>
                <c:pt idx="3">
                  <c:v>145046792</c:v>
                </c:pt>
                <c:pt idx="4">
                  <c:v>179553811</c:v>
                </c:pt>
                <c:pt idx="5">
                  <c:v>213271948</c:v>
                </c:pt>
                <c:pt idx="6">
                  <c:v>248306045</c:v>
                </c:pt>
                <c:pt idx="7">
                  <c:v>287428292</c:v>
                </c:pt>
                <c:pt idx="8">
                  <c:v>327097322</c:v>
                </c:pt>
                <c:pt idx="9">
                  <c:v>363170040</c:v>
                </c:pt>
                <c:pt idx="10">
                  <c:v>401719876</c:v>
                </c:pt>
                <c:pt idx="11">
                  <c:v>438430657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90-4653-9912-6C07CC18C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483264"/>
        <c:axId val="457480912"/>
      </c:lineChart>
      <c:catAx>
        <c:axId val="45748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7480912"/>
        <c:crosses val="autoZero"/>
        <c:auto val="1"/>
        <c:lblAlgn val="ctr"/>
        <c:lblOffset val="100"/>
        <c:noMultiLvlLbl val="0"/>
      </c:catAx>
      <c:valAx>
        <c:axId val="45748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7483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利益推移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'H29収支予測(本部)'!$G$73</c:f>
              <c:strCache>
                <c:ptCount val="1"/>
                <c:pt idx="0">
                  <c:v>当月利益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'H29収支予測(本部)'!$B$74:$B$85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'H29収支予測(本部)'!$G$74:$G$85</c:f>
              <c:numCache>
                <c:formatCode>#,##0_ ;[Red]\-#,##0\ </c:formatCode>
                <c:ptCount val="12"/>
                <c:pt idx="0">
                  <c:v>6018546</c:v>
                </c:pt>
                <c:pt idx="1">
                  <c:v>6646757</c:v>
                </c:pt>
                <c:pt idx="2">
                  <c:v>3041895</c:v>
                </c:pt>
                <c:pt idx="3">
                  <c:v>-8657791</c:v>
                </c:pt>
                <c:pt idx="4">
                  <c:v>-2172375</c:v>
                </c:pt>
                <c:pt idx="5">
                  <c:v>2520437</c:v>
                </c:pt>
                <c:pt idx="6">
                  <c:v>682264</c:v>
                </c:pt>
                <c:pt idx="7">
                  <c:v>4677971</c:v>
                </c:pt>
                <c:pt idx="8">
                  <c:v>5545309</c:v>
                </c:pt>
                <c:pt idx="9">
                  <c:v>-6877412</c:v>
                </c:pt>
                <c:pt idx="10">
                  <c:v>402662</c:v>
                </c:pt>
                <c:pt idx="11">
                  <c:v>-1839687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54-4992-8831-A61D4BD4BAC1}"/>
            </c:ext>
          </c:extLst>
        </c:ser>
        <c:ser>
          <c:idx val="1"/>
          <c:order val="1"/>
          <c:tx>
            <c:strRef>
              <c:f>'H29収支予測(本部)'!$H$73</c:f>
              <c:strCache>
                <c:ptCount val="1"/>
                <c:pt idx="0">
                  <c:v>利益累計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'H29収支予測(本部)'!$B$74:$B$85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'H29収支予測(本部)'!$H$74:$H$85</c:f>
              <c:numCache>
                <c:formatCode>#,##0_ ;[Red]\-#,##0\ </c:formatCode>
                <c:ptCount val="12"/>
                <c:pt idx="0">
                  <c:v>6018546</c:v>
                </c:pt>
                <c:pt idx="1">
                  <c:v>12665303</c:v>
                </c:pt>
                <c:pt idx="2">
                  <c:v>15707198</c:v>
                </c:pt>
                <c:pt idx="3">
                  <c:v>7049407</c:v>
                </c:pt>
                <c:pt idx="4">
                  <c:v>4877032</c:v>
                </c:pt>
                <c:pt idx="5">
                  <c:v>7397469</c:v>
                </c:pt>
                <c:pt idx="6">
                  <c:v>8079733</c:v>
                </c:pt>
                <c:pt idx="7">
                  <c:v>12757704</c:v>
                </c:pt>
                <c:pt idx="8">
                  <c:v>18303013</c:v>
                </c:pt>
                <c:pt idx="9">
                  <c:v>11425601</c:v>
                </c:pt>
                <c:pt idx="10">
                  <c:v>11828263</c:v>
                </c:pt>
                <c:pt idx="11">
                  <c:v>9988576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54-4992-8831-A61D4BD4B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9"/>
        <c:overlap val="-27"/>
        <c:axId val="457480128"/>
        <c:axId val="457489144"/>
      </c:barChart>
      <c:catAx>
        <c:axId val="45748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7489144"/>
        <c:crosses val="autoZero"/>
        <c:auto val="1"/>
        <c:lblAlgn val="ctr"/>
        <c:lblOffset val="100"/>
        <c:noMultiLvlLbl val="0"/>
      </c:catAx>
      <c:valAx>
        <c:axId val="457489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7480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10174615140058E-2"/>
          <c:y val="2.6887306161393228E-2"/>
          <c:w val="0.83039312621159067"/>
          <c:h val="0.8582957301695916"/>
        </c:manualLayout>
      </c:layout>
      <c:lineChart>
        <c:grouping val="standard"/>
        <c:varyColors val="0"/>
        <c:ser>
          <c:idx val="0"/>
          <c:order val="0"/>
          <c:tx>
            <c:strRef>
              <c:f>売上推移!$B$4</c:f>
              <c:strCache>
                <c:ptCount val="1"/>
                <c:pt idx="0">
                  <c:v>本部
管理部</c:v>
                </c:pt>
              </c:strCache>
            </c:strRef>
          </c:tx>
          <c:spPr>
            <a:ln w="28575" cap="rnd" cmpd="sng" algn="ctr">
              <a:solidFill>
                <a:srgbClr val="CC0066"/>
              </a:solidFill>
              <a:prstDash val="solid"/>
              <a:round/>
            </a:ln>
            <a:effectLst/>
          </c:spPr>
          <c:marker>
            <c:spPr>
              <a:solidFill>
                <a:srgbClr val="CC0066"/>
              </a:solidFill>
              <a:ln w="9525" cap="flat" cmpd="sng" algn="ctr">
                <a:solidFill>
                  <a:srgbClr val="CC0066"/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売上推移!$C$4:$Z$4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140400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142560</c:v>
                </c:pt>
                <c:pt idx="2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7DD-42F9-9DB3-BC95E981D77A}"/>
            </c:ext>
          </c:extLst>
        </c:ser>
        <c:ser>
          <c:idx val="1"/>
          <c:order val="1"/>
          <c:tx>
            <c:strRef>
              <c:f>売上推移!$B$5</c:f>
              <c:strCache>
                <c:ptCount val="1"/>
                <c:pt idx="0">
                  <c:v>白金</c:v>
                </c:pt>
              </c:strCache>
            </c:strRef>
          </c:tx>
          <c:spPr>
            <a:ln w="28575" cap="rnd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9525" cap="flat" cmpd="sng" algn="ctr">
                <a:solidFill>
                  <a:schemeClr val="accent5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売上推移!$C$5:$Z$5</c:f>
              <c:numCache>
                <c:formatCode>#,##0_ ;[Red]\-#,##0\ </c:formatCode>
                <c:ptCount val="24"/>
                <c:pt idx="0">
                  <c:v>10081728</c:v>
                </c:pt>
                <c:pt idx="1">
                  <c:v>9528673</c:v>
                </c:pt>
                <c:pt idx="2">
                  <c:v>10338554</c:v>
                </c:pt>
                <c:pt idx="3">
                  <c:v>10004240</c:v>
                </c:pt>
                <c:pt idx="4">
                  <c:v>10291903</c:v>
                </c:pt>
                <c:pt idx="5">
                  <c:v>10634528</c:v>
                </c:pt>
                <c:pt idx="6">
                  <c:v>9718481</c:v>
                </c:pt>
                <c:pt idx="7">
                  <c:v>10007332</c:v>
                </c:pt>
                <c:pt idx="8">
                  <c:v>10050857</c:v>
                </c:pt>
                <c:pt idx="9">
                  <c:v>9647827</c:v>
                </c:pt>
                <c:pt idx="10">
                  <c:v>10237581</c:v>
                </c:pt>
                <c:pt idx="11">
                  <c:v>10301194</c:v>
                </c:pt>
                <c:pt idx="12">
                  <c:v>10772827</c:v>
                </c:pt>
                <c:pt idx="13">
                  <c:v>9835106</c:v>
                </c:pt>
                <c:pt idx="14">
                  <c:v>11042771</c:v>
                </c:pt>
                <c:pt idx="15">
                  <c:v>9842755</c:v>
                </c:pt>
                <c:pt idx="16">
                  <c:v>11239510</c:v>
                </c:pt>
                <c:pt idx="17">
                  <c:v>12511332</c:v>
                </c:pt>
                <c:pt idx="18">
                  <c:v>12778671</c:v>
                </c:pt>
                <c:pt idx="19">
                  <c:v>12163091</c:v>
                </c:pt>
                <c:pt idx="20">
                  <c:v>12668826</c:v>
                </c:pt>
                <c:pt idx="21">
                  <c:v>11458207</c:v>
                </c:pt>
                <c:pt idx="22">
                  <c:v>12821396</c:v>
                </c:pt>
                <c:pt idx="23">
                  <c:v>12901588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7DD-42F9-9DB3-BC95E981D77A}"/>
            </c:ext>
          </c:extLst>
        </c:ser>
        <c:ser>
          <c:idx val="2"/>
          <c:order val="2"/>
          <c:tx>
            <c:strRef>
              <c:f>売上推移!$B$6</c:f>
              <c:strCache>
                <c:ptCount val="1"/>
                <c:pt idx="0">
                  <c:v>蘇我</c:v>
                </c:pt>
              </c:strCache>
            </c:strRef>
          </c:tx>
          <c:spPr>
            <a:ln w="28575" cap="rnd" cmpd="sng" algn="ctr">
              <a:solidFill>
                <a:srgbClr val="00CC99"/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rgbClr val="00CC99"/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売上推移!$C$6:$Z$6</c:f>
              <c:numCache>
                <c:formatCode>#,##0_ ;[Red]\-#,##0\ </c:formatCode>
                <c:ptCount val="24"/>
                <c:pt idx="0">
                  <c:v>5342987</c:v>
                </c:pt>
                <c:pt idx="1">
                  <c:v>5683733</c:v>
                </c:pt>
                <c:pt idx="2">
                  <c:v>5487698</c:v>
                </c:pt>
                <c:pt idx="3">
                  <c:v>5643961</c:v>
                </c:pt>
                <c:pt idx="4">
                  <c:v>6023613</c:v>
                </c:pt>
                <c:pt idx="5">
                  <c:v>6290993</c:v>
                </c:pt>
                <c:pt idx="6">
                  <c:v>5954408</c:v>
                </c:pt>
                <c:pt idx="7">
                  <c:v>5963920</c:v>
                </c:pt>
                <c:pt idx="8">
                  <c:v>5489569</c:v>
                </c:pt>
                <c:pt idx="9">
                  <c:v>5383737</c:v>
                </c:pt>
                <c:pt idx="10">
                  <c:v>5385437</c:v>
                </c:pt>
                <c:pt idx="11">
                  <c:v>7729590</c:v>
                </c:pt>
                <c:pt idx="12">
                  <c:v>6731026</c:v>
                </c:pt>
                <c:pt idx="13">
                  <c:v>6530234</c:v>
                </c:pt>
                <c:pt idx="14">
                  <c:v>6075758</c:v>
                </c:pt>
                <c:pt idx="15">
                  <c:v>6170804</c:v>
                </c:pt>
                <c:pt idx="16">
                  <c:v>6157056</c:v>
                </c:pt>
                <c:pt idx="17">
                  <c:v>7557882</c:v>
                </c:pt>
                <c:pt idx="18">
                  <c:v>7285298</c:v>
                </c:pt>
                <c:pt idx="19">
                  <c:v>6678253</c:v>
                </c:pt>
                <c:pt idx="20">
                  <c:v>5940817</c:v>
                </c:pt>
                <c:pt idx="21">
                  <c:v>6270597</c:v>
                </c:pt>
                <c:pt idx="22">
                  <c:v>5457771</c:v>
                </c:pt>
                <c:pt idx="23">
                  <c:v>6262229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7DD-42F9-9DB3-BC95E981D77A}"/>
            </c:ext>
          </c:extLst>
        </c:ser>
        <c:ser>
          <c:idx val="3"/>
          <c:order val="3"/>
          <c:tx>
            <c:strRef>
              <c:f>売上推移!$B$7</c:f>
              <c:strCache>
                <c:ptCount val="1"/>
                <c:pt idx="0">
                  <c:v>誉田</c:v>
                </c:pt>
              </c:strCache>
            </c:strRef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6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売上推移!$C$7:$Z$7</c:f>
              <c:numCache>
                <c:formatCode>#,##0_ ;[Red]\-#,##0\ </c:formatCode>
                <c:ptCount val="24"/>
                <c:pt idx="0">
                  <c:v>5374919</c:v>
                </c:pt>
                <c:pt idx="1">
                  <c:v>5697582</c:v>
                </c:pt>
                <c:pt idx="2">
                  <c:v>5897081</c:v>
                </c:pt>
                <c:pt idx="3">
                  <c:v>5788645</c:v>
                </c:pt>
                <c:pt idx="4">
                  <c:v>5817896</c:v>
                </c:pt>
                <c:pt idx="5">
                  <c:v>5787410</c:v>
                </c:pt>
                <c:pt idx="6">
                  <c:v>5899891</c:v>
                </c:pt>
                <c:pt idx="7">
                  <c:v>5629984</c:v>
                </c:pt>
                <c:pt idx="8">
                  <c:v>6168362</c:v>
                </c:pt>
                <c:pt idx="9">
                  <c:v>5709957</c:v>
                </c:pt>
                <c:pt idx="10">
                  <c:v>5793244</c:v>
                </c:pt>
                <c:pt idx="11">
                  <c:v>6587828</c:v>
                </c:pt>
                <c:pt idx="12">
                  <c:v>6479560</c:v>
                </c:pt>
                <c:pt idx="13">
                  <c:v>6806472</c:v>
                </c:pt>
                <c:pt idx="14">
                  <c:v>6915528</c:v>
                </c:pt>
                <c:pt idx="15">
                  <c:v>7519354</c:v>
                </c:pt>
                <c:pt idx="16">
                  <c:v>6774361</c:v>
                </c:pt>
                <c:pt idx="17">
                  <c:v>7419604</c:v>
                </c:pt>
                <c:pt idx="18">
                  <c:v>7099035</c:v>
                </c:pt>
                <c:pt idx="19">
                  <c:v>7065580</c:v>
                </c:pt>
                <c:pt idx="20">
                  <c:v>7041908</c:v>
                </c:pt>
                <c:pt idx="21">
                  <c:v>6369053</c:v>
                </c:pt>
                <c:pt idx="22">
                  <c:v>6979599</c:v>
                </c:pt>
                <c:pt idx="23">
                  <c:v>7110420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7DD-42F9-9DB3-BC95E981D77A}"/>
            </c:ext>
          </c:extLst>
        </c:ser>
        <c:ser>
          <c:idx val="4"/>
          <c:order val="4"/>
          <c:tx>
            <c:strRef>
              <c:f>売上推移!$B$8</c:f>
              <c:strCache>
                <c:ptCount val="1"/>
                <c:pt idx="0">
                  <c:v>千葉東</c:v>
                </c:pt>
              </c:strCache>
            </c:strRef>
          </c:tx>
          <c:spPr>
            <a:ln w="28575" cap="rnd" cmpd="sng" algn="ctr">
              <a:solidFill>
                <a:srgbClr val="92D050"/>
              </a:solidFill>
              <a:prstDash val="solid"/>
              <a:round/>
            </a:ln>
            <a:effectLst/>
          </c:spPr>
          <c:marker>
            <c:spPr>
              <a:solidFill>
                <a:srgbClr val="92D050"/>
              </a:solidFill>
              <a:ln w="9525" cap="flat" cmpd="sng" algn="ctr">
                <a:solidFill>
                  <a:srgbClr val="92D050"/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売上推移!$C$8:$Z$8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100885</c:v>
                </c:pt>
                <c:pt idx="14">
                  <c:v>663080</c:v>
                </c:pt>
                <c:pt idx="15">
                  <c:v>624826</c:v>
                </c:pt>
                <c:pt idx="16">
                  <c:v>1193278</c:v>
                </c:pt>
                <c:pt idx="17">
                  <c:v>1631546</c:v>
                </c:pt>
                <c:pt idx="18">
                  <c:v>1296114</c:v>
                </c:pt>
                <c:pt idx="19">
                  <c:v>1520846</c:v>
                </c:pt>
                <c:pt idx="20">
                  <c:v>1160774</c:v>
                </c:pt>
                <c:pt idx="21">
                  <c:v>903949</c:v>
                </c:pt>
                <c:pt idx="22">
                  <c:v>0</c:v>
                </c:pt>
                <c:pt idx="23">
                  <c:v>13148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7DD-42F9-9DB3-BC95E981D77A}"/>
            </c:ext>
          </c:extLst>
        </c:ser>
        <c:ser>
          <c:idx val="5"/>
          <c:order val="5"/>
          <c:tx>
            <c:strRef>
              <c:f>売上推移!$B$9</c:f>
              <c:strCache>
                <c:ptCount val="1"/>
                <c:pt idx="0">
                  <c:v>千葉西</c:v>
                </c:pt>
              </c:strCache>
            </c:strRef>
          </c:tx>
          <c:spPr>
            <a:ln w="28575" cap="rnd" cmpd="sng" algn="ctr">
              <a:solidFill>
                <a:srgbClr val="FF6699"/>
              </a:solidFill>
              <a:prstDash val="solid"/>
              <a:round/>
            </a:ln>
            <a:effectLst/>
          </c:spPr>
          <c:marker>
            <c:spPr>
              <a:solidFill>
                <a:srgbClr val="FF6699"/>
              </a:solidFill>
              <a:ln w="9525" cap="flat" cmpd="sng" algn="ctr">
                <a:solidFill>
                  <a:srgbClr val="FF6699"/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売上推移!$C$9:$Z$9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234284</c:v>
                </c:pt>
                <c:pt idx="18">
                  <c:v>485638</c:v>
                </c:pt>
                <c:pt idx="19">
                  <c:v>701720</c:v>
                </c:pt>
                <c:pt idx="20">
                  <c:v>810680</c:v>
                </c:pt>
                <c:pt idx="21">
                  <c:v>1060746</c:v>
                </c:pt>
                <c:pt idx="22">
                  <c:v>1438607</c:v>
                </c:pt>
                <c:pt idx="23">
                  <c:v>1905194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7DD-42F9-9DB3-BC95E981D77A}"/>
            </c:ext>
          </c:extLst>
        </c:ser>
        <c:ser>
          <c:idx val="6"/>
          <c:order val="6"/>
          <c:tx>
            <c:strRef>
              <c:f>売上推移!$B$10</c:f>
              <c:strCache>
                <c:ptCount val="1"/>
                <c:pt idx="0">
                  <c:v>白金デイ</c:v>
                </c:pt>
              </c:strCache>
            </c:strRef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6">
                    <a:lumMod val="80000"/>
                    <a:lumOff val="2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売上推移!$C$10:$Z$10</c:f>
              <c:numCache>
                <c:formatCode>#,##0_ ;[Red]\-#,##0\ </c:formatCode>
                <c:ptCount val="24"/>
                <c:pt idx="0">
                  <c:v>3549708</c:v>
                </c:pt>
                <c:pt idx="1">
                  <c:v>3597785</c:v>
                </c:pt>
                <c:pt idx="2">
                  <c:v>3616139</c:v>
                </c:pt>
                <c:pt idx="3">
                  <c:v>3174804</c:v>
                </c:pt>
                <c:pt idx="4">
                  <c:v>3130698</c:v>
                </c:pt>
                <c:pt idx="5">
                  <c:v>3270391</c:v>
                </c:pt>
                <c:pt idx="6">
                  <c:v>3507733</c:v>
                </c:pt>
                <c:pt idx="7">
                  <c:v>3292348</c:v>
                </c:pt>
                <c:pt idx="8">
                  <c:v>3313516</c:v>
                </c:pt>
                <c:pt idx="9">
                  <c:v>3497339</c:v>
                </c:pt>
                <c:pt idx="10">
                  <c:v>3458623</c:v>
                </c:pt>
                <c:pt idx="11">
                  <c:v>4706520</c:v>
                </c:pt>
                <c:pt idx="12">
                  <c:v>4419633</c:v>
                </c:pt>
                <c:pt idx="13">
                  <c:v>4146272</c:v>
                </c:pt>
                <c:pt idx="14">
                  <c:v>4468494</c:v>
                </c:pt>
                <c:pt idx="15">
                  <c:v>4494230</c:v>
                </c:pt>
                <c:pt idx="16">
                  <c:v>4417151</c:v>
                </c:pt>
                <c:pt idx="17">
                  <c:v>4442200</c:v>
                </c:pt>
                <c:pt idx="18">
                  <c:v>4833081</c:v>
                </c:pt>
                <c:pt idx="19">
                  <c:v>4422644</c:v>
                </c:pt>
                <c:pt idx="20">
                  <c:v>4120917</c:v>
                </c:pt>
                <c:pt idx="21">
                  <c:v>4475893</c:v>
                </c:pt>
                <c:pt idx="22">
                  <c:v>4931183</c:v>
                </c:pt>
                <c:pt idx="23">
                  <c:v>4425975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7DD-42F9-9DB3-BC95E981D77A}"/>
            </c:ext>
          </c:extLst>
        </c:ser>
        <c:ser>
          <c:idx val="7"/>
          <c:order val="7"/>
          <c:tx>
            <c:strRef>
              <c:f>売上推移!$B$11</c:f>
              <c:strCache>
                <c:ptCount val="1"/>
                <c:pt idx="0">
                  <c:v>二日市場</c:v>
                </c:pt>
              </c:strCache>
            </c:strRef>
          </c:tx>
          <c:spPr>
            <a:ln w="28575" cap="rnd" cmpd="sng" algn="ctr">
              <a:solidFill>
                <a:schemeClr val="accent5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5">
                  <a:lumMod val="80000"/>
                  <a:lumOff val="20000"/>
                </a:schemeClr>
              </a:solidFill>
              <a:ln w="9525" cap="flat" cmpd="sng" algn="ctr">
                <a:solidFill>
                  <a:schemeClr val="accent5">
                    <a:lumMod val="80000"/>
                    <a:lumOff val="2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売上推移!$C$11:$Z$11</c:f>
              <c:numCache>
                <c:formatCode>#,##0_ ;[Red]\-#,##0\ </c:formatCode>
                <c:ptCount val="24"/>
                <c:pt idx="0">
                  <c:v>3218370</c:v>
                </c:pt>
                <c:pt idx="1">
                  <c:v>2893429</c:v>
                </c:pt>
                <c:pt idx="2">
                  <c:v>3184472</c:v>
                </c:pt>
                <c:pt idx="3">
                  <c:v>3124894</c:v>
                </c:pt>
                <c:pt idx="4">
                  <c:v>3081346</c:v>
                </c:pt>
                <c:pt idx="5">
                  <c:v>2989139</c:v>
                </c:pt>
                <c:pt idx="6">
                  <c:v>2574677</c:v>
                </c:pt>
                <c:pt idx="7">
                  <c:v>2853536</c:v>
                </c:pt>
                <c:pt idx="8">
                  <c:v>2617181</c:v>
                </c:pt>
                <c:pt idx="9">
                  <c:v>3057960</c:v>
                </c:pt>
                <c:pt idx="10">
                  <c:v>3056897</c:v>
                </c:pt>
                <c:pt idx="11">
                  <c:v>3183714</c:v>
                </c:pt>
                <c:pt idx="12">
                  <c:v>3021707</c:v>
                </c:pt>
                <c:pt idx="13">
                  <c:v>2692178</c:v>
                </c:pt>
                <c:pt idx="14">
                  <c:v>2546587</c:v>
                </c:pt>
                <c:pt idx="15">
                  <c:v>2351469</c:v>
                </c:pt>
                <c:pt idx="16">
                  <c:v>2112073</c:v>
                </c:pt>
                <c:pt idx="17">
                  <c:v>2397265</c:v>
                </c:pt>
                <c:pt idx="18">
                  <c:v>3521977</c:v>
                </c:pt>
                <c:pt idx="19">
                  <c:v>2606315</c:v>
                </c:pt>
                <c:pt idx="20">
                  <c:v>2627069</c:v>
                </c:pt>
                <c:pt idx="21">
                  <c:v>2515123</c:v>
                </c:pt>
                <c:pt idx="22">
                  <c:v>2498262</c:v>
                </c:pt>
                <c:pt idx="23">
                  <c:v>2462469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07DD-42F9-9DB3-BC95E981D77A}"/>
            </c:ext>
          </c:extLst>
        </c:ser>
        <c:ser>
          <c:idx val="8"/>
          <c:order val="8"/>
          <c:tx>
            <c:strRef>
              <c:f>売上推移!$B$12</c:f>
              <c:strCache>
                <c:ptCount val="1"/>
                <c:pt idx="0">
                  <c:v>中高根</c:v>
                </c:pt>
              </c:strCache>
            </c:strRef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4">
                  <a:lumMod val="80000"/>
                  <a:lumOff val="20000"/>
                </a:schemeClr>
              </a:solidFill>
              <a:ln w="9525" cap="flat" cmpd="sng" algn="ctr">
                <a:solidFill>
                  <a:schemeClr val="accent4">
                    <a:lumMod val="80000"/>
                    <a:lumOff val="2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売上推移!$C$12:$Z$12</c:f>
              <c:numCache>
                <c:formatCode>#,##0_ ;[Red]\-#,##0\ </c:formatCode>
                <c:ptCount val="24"/>
                <c:pt idx="0">
                  <c:v>596033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7DD-42F9-9DB3-BC95E981D77A}"/>
            </c:ext>
          </c:extLst>
        </c:ser>
        <c:ser>
          <c:idx val="9"/>
          <c:order val="9"/>
          <c:tx>
            <c:strRef>
              <c:f>売上推移!$B$13</c:f>
              <c:strCache>
                <c:ptCount val="1"/>
                <c:pt idx="0">
                  <c:v>GH五井</c:v>
                </c:pt>
              </c:strCache>
            </c:strRef>
          </c:tx>
          <c:spPr>
            <a:ln w="28575" cap="rnd" cmpd="sng" algn="ctr">
              <a:solidFill>
                <a:schemeClr val="accent6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6">
                  <a:lumMod val="80000"/>
                </a:schemeClr>
              </a:solidFill>
              <a:ln w="9525" cap="flat" cmpd="sng" algn="ctr">
                <a:solidFill>
                  <a:schemeClr val="accent6">
                    <a:lumMod val="8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売上推移!$C$13:$Z$13</c:f>
              <c:numCache>
                <c:formatCode>#,##0_ ;[Red]\-#,##0\ </c:formatCode>
                <c:ptCount val="24"/>
                <c:pt idx="0">
                  <c:v>408033</c:v>
                </c:pt>
                <c:pt idx="1">
                  <c:v>2686373</c:v>
                </c:pt>
                <c:pt idx="2">
                  <c:v>1273066</c:v>
                </c:pt>
                <c:pt idx="3">
                  <c:v>1036363</c:v>
                </c:pt>
                <c:pt idx="4">
                  <c:v>1236162</c:v>
                </c:pt>
                <c:pt idx="5">
                  <c:v>1051496</c:v>
                </c:pt>
                <c:pt idx="6">
                  <c:v>1225409</c:v>
                </c:pt>
                <c:pt idx="7">
                  <c:v>1036248</c:v>
                </c:pt>
                <c:pt idx="8">
                  <c:v>809040</c:v>
                </c:pt>
                <c:pt idx="9">
                  <c:v>741413</c:v>
                </c:pt>
                <c:pt idx="10">
                  <c:v>820390</c:v>
                </c:pt>
                <c:pt idx="11">
                  <c:v>859760</c:v>
                </c:pt>
                <c:pt idx="12">
                  <c:v>1366814</c:v>
                </c:pt>
                <c:pt idx="13">
                  <c:v>548955</c:v>
                </c:pt>
                <c:pt idx="14">
                  <c:v>1159974</c:v>
                </c:pt>
                <c:pt idx="15">
                  <c:v>870546</c:v>
                </c:pt>
                <c:pt idx="16">
                  <c:v>861636</c:v>
                </c:pt>
                <c:pt idx="17">
                  <c:v>1139110</c:v>
                </c:pt>
                <c:pt idx="18">
                  <c:v>1134937</c:v>
                </c:pt>
                <c:pt idx="19">
                  <c:v>1175963</c:v>
                </c:pt>
                <c:pt idx="20">
                  <c:v>1272363</c:v>
                </c:pt>
                <c:pt idx="21">
                  <c:v>1036423</c:v>
                </c:pt>
                <c:pt idx="22">
                  <c:v>1027444</c:v>
                </c:pt>
                <c:pt idx="23">
                  <c:v>1077061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07DD-42F9-9DB3-BC95E981D77A}"/>
            </c:ext>
          </c:extLst>
        </c:ser>
        <c:ser>
          <c:idx val="10"/>
          <c:order val="10"/>
          <c:tx>
            <c:strRef>
              <c:f>売上推移!$B$14</c:f>
              <c:strCache>
                <c:ptCount val="1"/>
                <c:pt idx="0">
                  <c:v>GH白金</c:v>
                </c:pt>
              </c:strCache>
            </c:strRef>
          </c:tx>
          <c:spPr>
            <a:ln w="28575" cap="rnd" cmpd="sng" algn="ctr">
              <a:solidFill>
                <a:srgbClr val="0033CC"/>
              </a:solidFill>
              <a:prstDash val="solid"/>
              <a:round/>
            </a:ln>
            <a:effectLst/>
          </c:spPr>
          <c:marker>
            <c:spPr>
              <a:solidFill>
                <a:srgbClr val="0033CC"/>
              </a:solidFill>
              <a:ln w="9525" cap="flat" cmpd="sng" algn="ctr">
                <a:solidFill>
                  <a:srgbClr val="0033CC"/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売上推移!$C$14:$Z$14</c:f>
              <c:numCache>
                <c:formatCode>#,##0_ ;[Red]\-#,##0\ </c:formatCode>
                <c:ptCount val="24"/>
                <c:pt idx="0">
                  <c:v>1119631</c:v>
                </c:pt>
                <c:pt idx="1">
                  <c:v>2075072</c:v>
                </c:pt>
                <c:pt idx="2">
                  <c:v>1101492</c:v>
                </c:pt>
                <c:pt idx="3">
                  <c:v>1001492</c:v>
                </c:pt>
                <c:pt idx="4">
                  <c:v>1015378</c:v>
                </c:pt>
                <c:pt idx="5">
                  <c:v>1061492</c:v>
                </c:pt>
                <c:pt idx="6">
                  <c:v>1000792</c:v>
                </c:pt>
                <c:pt idx="7">
                  <c:v>1061492</c:v>
                </c:pt>
                <c:pt idx="8">
                  <c:v>1016092</c:v>
                </c:pt>
                <c:pt idx="9">
                  <c:v>939922</c:v>
                </c:pt>
                <c:pt idx="10">
                  <c:v>1205836</c:v>
                </c:pt>
                <c:pt idx="11">
                  <c:v>1038460</c:v>
                </c:pt>
                <c:pt idx="12">
                  <c:v>1150795</c:v>
                </c:pt>
                <c:pt idx="13">
                  <c:v>1054056</c:v>
                </c:pt>
                <c:pt idx="14">
                  <c:v>1085268</c:v>
                </c:pt>
                <c:pt idx="15">
                  <c:v>923999</c:v>
                </c:pt>
                <c:pt idx="16">
                  <c:v>1050085</c:v>
                </c:pt>
                <c:pt idx="17">
                  <c:v>1087657</c:v>
                </c:pt>
                <c:pt idx="18">
                  <c:v>1070236</c:v>
                </c:pt>
                <c:pt idx="19">
                  <c:v>1102442</c:v>
                </c:pt>
                <c:pt idx="20">
                  <c:v>1356442</c:v>
                </c:pt>
                <c:pt idx="21">
                  <c:v>1005836</c:v>
                </c:pt>
                <c:pt idx="22">
                  <c:v>973793</c:v>
                </c:pt>
                <c:pt idx="23">
                  <c:v>797482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07DD-42F9-9DB3-BC95E981D77A}"/>
            </c:ext>
          </c:extLst>
        </c:ser>
        <c:ser>
          <c:idx val="11"/>
          <c:order val="11"/>
          <c:tx>
            <c:strRef>
              <c:f>売上推移!$B$15</c:f>
              <c:strCache>
                <c:ptCount val="1"/>
                <c:pt idx="0">
                  <c:v>GH西五所</c:v>
                </c:pt>
              </c:strCache>
            </c:strRef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4">
                  <a:lumMod val="80000"/>
                </a:schemeClr>
              </a:solidFill>
              <a:ln w="9525" cap="flat" cmpd="sng" algn="ctr">
                <a:solidFill>
                  <a:schemeClr val="accent4">
                    <a:lumMod val="8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売上推移!$C$15:$Z$15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1940389</c:v>
                </c:pt>
                <c:pt idx="2">
                  <c:v>1965328</c:v>
                </c:pt>
                <c:pt idx="3">
                  <c:v>1995197</c:v>
                </c:pt>
                <c:pt idx="4">
                  <c:v>2133548</c:v>
                </c:pt>
                <c:pt idx="5">
                  <c:v>3275498</c:v>
                </c:pt>
                <c:pt idx="6">
                  <c:v>2705860</c:v>
                </c:pt>
                <c:pt idx="7">
                  <c:v>2748469</c:v>
                </c:pt>
                <c:pt idx="8">
                  <c:v>2696635</c:v>
                </c:pt>
                <c:pt idx="9">
                  <c:v>2570319</c:v>
                </c:pt>
                <c:pt idx="10">
                  <c:v>2819531</c:v>
                </c:pt>
                <c:pt idx="11">
                  <c:v>2754232</c:v>
                </c:pt>
                <c:pt idx="12">
                  <c:v>3771025</c:v>
                </c:pt>
                <c:pt idx="13">
                  <c:v>2469018</c:v>
                </c:pt>
                <c:pt idx="14">
                  <c:v>2977988</c:v>
                </c:pt>
                <c:pt idx="15">
                  <c:v>2468275</c:v>
                </c:pt>
                <c:pt idx="16">
                  <c:v>2587385</c:v>
                </c:pt>
                <c:pt idx="17">
                  <c:v>2800912</c:v>
                </c:pt>
                <c:pt idx="18">
                  <c:v>2743866</c:v>
                </c:pt>
                <c:pt idx="19">
                  <c:v>2807684</c:v>
                </c:pt>
                <c:pt idx="20">
                  <c:v>2942481</c:v>
                </c:pt>
                <c:pt idx="21">
                  <c:v>2118435</c:v>
                </c:pt>
                <c:pt idx="22">
                  <c:v>1999507</c:v>
                </c:pt>
                <c:pt idx="23">
                  <c:v>2831820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07DD-42F9-9DB3-BC95E981D77A}"/>
            </c:ext>
          </c:extLst>
        </c:ser>
        <c:ser>
          <c:idx val="12"/>
          <c:order val="12"/>
          <c:tx>
            <c:strRef>
              <c:f>売上推移!$B$16</c:f>
              <c:strCache>
                <c:ptCount val="1"/>
                <c:pt idx="0">
                  <c:v>GH西広</c:v>
                </c:pt>
              </c:strCache>
            </c:strRef>
          </c:tx>
          <c:spPr>
            <a:ln w="28575" cap="rnd" cmpd="sng" algn="ctr">
              <a:solidFill>
                <a:schemeClr val="accent6">
                  <a:lumMod val="60000"/>
                  <a:lumOff val="4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6">
                    <a:lumMod val="60000"/>
                    <a:lumOff val="4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売上推移!$C$16:$Z$16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16000</c:v>
                </c:pt>
                <c:pt idx="19">
                  <c:v>40000</c:v>
                </c:pt>
                <c:pt idx="20">
                  <c:v>40000</c:v>
                </c:pt>
                <c:pt idx="21">
                  <c:v>1476188</c:v>
                </c:pt>
                <c:pt idx="22">
                  <c:v>1775131</c:v>
                </c:pt>
                <c:pt idx="23">
                  <c:v>2077332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売上推移!$B$18</c:f>
              <c:strCache>
                <c:ptCount val="1"/>
                <c:pt idx="0">
                  <c:v>白金
タクシー</c:v>
                </c:pt>
              </c:strCache>
            </c:strRef>
          </c:tx>
          <c:spPr>
            <a:ln w="34925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pPr>
              <a:solidFill>
                <a:srgbClr val="C00000"/>
              </a:solidFill>
              <a:ln w="9525" cap="flat" cmpd="sng" algn="ctr">
                <a:noFill/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売上推移!$C$18:$Z$18</c:f>
              <c:numCache>
                <c:formatCode>#,##0_ ;[Red]\-#,##0\ </c:formatCode>
                <c:ptCount val="24"/>
                <c:pt idx="0">
                  <c:v>3011624</c:v>
                </c:pt>
                <c:pt idx="1">
                  <c:v>2812785</c:v>
                </c:pt>
                <c:pt idx="2">
                  <c:v>3216466</c:v>
                </c:pt>
                <c:pt idx="3">
                  <c:v>3129590</c:v>
                </c:pt>
                <c:pt idx="4">
                  <c:v>3185656</c:v>
                </c:pt>
                <c:pt idx="5">
                  <c:v>3195164</c:v>
                </c:pt>
                <c:pt idx="6">
                  <c:v>3133826</c:v>
                </c:pt>
                <c:pt idx="7">
                  <c:v>3119675</c:v>
                </c:pt>
                <c:pt idx="8">
                  <c:v>2345767</c:v>
                </c:pt>
                <c:pt idx="9">
                  <c:v>2169663</c:v>
                </c:pt>
                <c:pt idx="10">
                  <c:v>2256558</c:v>
                </c:pt>
                <c:pt idx="11">
                  <c:v>1960949</c:v>
                </c:pt>
                <c:pt idx="12">
                  <c:v>1955643</c:v>
                </c:pt>
                <c:pt idx="13">
                  <c:v>1889542</c:v>
                </c:pt>
                <c:pt idx="14">
                  <c:v>1614388</c:v>
                </c:pt>
                <c:pt idx="15">
                  <c:v>1444523</c:v>
                </c:pt>
                <c:pt idx="16">
                  <c:v>1128956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売上推移!$B$19</c:f>
              <c:strCache>
                <c:ptCount val="1"/>
                <c:pt idx="0">
                  <c:v>全社売上</c:v>
                </c:pt>
              </c:strCache>
            </c:strRef>
          </c:tx>
          <c:spPr>
            <a:ln w="28575" cap="rnd" cmpd="sng" algn="ctr">
              <a:solidFill>
                <a:schemeClr val="accent6">
                  <a:lumMod val="5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6">
                    <a:lumMod val="5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売上推移!$C$19:$Z$19</c:f>
              <c:numCache>
                <c:formatCode>#,##0_ ;[Red]\-#,##0\ </c:formatCode>
                <c:ptCount val="24"/>
                <c:pt idx="0">
                  <c:v>32703033</c:v>
                </c:pt>
                <c:pt idx="1">
                  <c:v>36915821</c:v>
                </c:pt>
                <c:pt idx="2">
                  <c:v>36080296</c:v>
                </c:pt>
                <c:pt idx="3">
                  <c:v>34899186</c:v>
                </c:pt>
                <c:pt idx="4">
                  <c:v>35916200</c:v>
                </c:pt>
                <c:pt idx="5">
                  <c:v>37696511</c:v>
                </c:pt>
                <c:pt idx="6">
                  <c:v>35721077</c:v>
                </c:pt>
                <c:pt idx="7">
                  <c:v>35713004</c:v>
                </c:pt>
                <c:pt idx="8">
                  <c:v>34507019</c:v>
                </c:pt>
                <c:pt idx="9">
                  <c:v>33718137</c:v>
                </c:pt>
                <c:pt idx="10">
                  <c:v>35034097</c:v>
                </c:pt>
                <c:pt idx="11">
                  <c:v>39122247</c:v>
                </c:pt>
                <c:pt idx="12">
                  <c:v>39669030</c:v>
                </c:pt>
                <c:pt idx="13">
                  <c:v>36072718</c:v>
                </c:pt>
                <c:pt idx="14">
                  <c:v>38549836</c:v>
                </c:pt>
                <c:pt idx="15">
                  <c:v>36710781</c:v>
                </c:pt>
                <c:pt idx="16">
                  <c:v>37521491</c:v>
                </c:pt>
                <c:pt idx="17">
                  <c:v>41221792</c:v>
                </c:pt>
                <c:pt idx="18">
                  <c:v>42264853</c:v>
                </c:pt>
                <c:pt idx="19">
                  <c:v>40284538</c:v>
                </c:pt>
                <c:pt idx="20">
                  <c:v>39982277</c:v>
                </c:pt>
                <c:pt idx="21">
                  <c:v>38690450</c:v>
                </c:pt>
                <c:pt idx="22">
                  <c:v>40045253</c:v>
                </c:pt>
                <c:pt idx="23">
                  <c:v>41864718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売上推移!$B$22</c:f>
              <c:strCache>
                <c:ptCount val="1"/>
                <c:pt idx="0">
                  <c:v>直近1年間
平均売上高</c:v>
                </c:pt>
              </c:strCache>
            </c:strRef>
          </c:tx>
          <c:spPr>
            <a:ln w="28575" cap="rnd" cmpd="sng" algn="ctr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売上推移!$C$22:$Z$22</c:f>
              <c:numCache>
                <c:formatCode>#,##0_ ;[Red]\-#,##0\ </c:formatCode>
                <c:ptCount val="24"/>
                <c:pt idx="0">
                  <c:v>39406478.083333336</c:v>
                </c:pt>
                <c:pt idx="1">
                  <c:v>39406478.083333336</c:v>
                </c:pt>
                <c:pt idx="2">
                  <c:v>39406478.083333336</c:v>
                </c:pt>
                <c:pt idx="3">
                  <c:v>39406478.083333336</c:v>
                </c:pt>
                <c:pt idx="4">
                  <c:v>39406478.083333336</c:v>
                </c:pt>
                <c:pt idx="5">
                  <c:v>39406478.083333336</c:v>
                </c:pt>
                <c:pt idx="6">
                  <c:v>39406478.083333336</c:v>
                </c:pt>
                <c:pt idx="7">
                  <c:v>39406478.083333336</c:v>
                </c:pt>
                <c:pt idx="8">
                  <c:v>39406478.083333336</c:v>
                </c:pt>
                <c:pt idx="9">
                  <c:v>39406478.083333336</c:v>
                </c:pt>
                <c:pt idx="10">
                  <c:v>39406478.083333336</c:v>
                </c:pt>
                <c:pt idx="11">
                  <c:v>39406478.083333336</c:v>
                </c:pt>
                <c:pt idx="12">
                  <c:v>39406478.083333336</c:v>
                </c:pt>
                <c:pt idx="13">
                  <c:v>39406478.083333336</c:v>
                </c:pt>
                <c:pt idx="14">
                  <c:v>39406478.083333336</c:v>
                </c:pt>
                <c:pt idx="15">
                  <c:v>39406478.083333336</c:v>
                </c:pt>
                <c:pt idx="16">
                  <c:v>39406478.083333336</c:v>
                </c:pt>
                <c:pt idx="17">
                  <c:v>39406478.083333336</c:v>
                </c:pt>
                <c:pt idx="18">
                  <c:v>39406478.083333336</c:v>
                </c:pt>
                <c:pt idx="19">
                  <c:v>39406478.083333336</c:v>
                </c:pt>
                <c:pt idx="20">
                  <c:v>39406478.083333336</c:v>
                </c:pt>
                <c:pt idx="21">
                  <c:v>39406478.083333336</c:v>
                </c:pt>
                <c:pt idx="22">
                  <c:v>39406478.083333336</c:v>
                </c:pt>
                <c:pt idx="23">
                  <c:v>39406478.083333336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367080"/>
        <c:axId val="454365512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13"/>
                <c:order val="13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売上推移!$B$17</c15:sqref>
                        </c15:formulaRef>
                      </c:ext>
                    </c:extLst>
                    <c:strCache>
                      <c:ptCount val="1"/>
                      <c:pt idx="0">
                        <c:v>GH計</c:v>
                      </c:pt>
                    </c:strCache>
                  </c:strRef>
                </c:tx>
                <c:spPr>
                  <a:ln w="28575" cap="rnd" cmpd="sng" algn="ctr">
                    <a:solidFill>
                      <a:srgbClr val="C00000"/>
                    </a:solidFill>
                    <a:prstDash val="solid"/>
                    <a:round/>
                  </a:ln>
                  <a:effectLst/>
                </c:spPr>
                <c:marker>
                  <c:spPr>
                    <a:solidFill>
                      <a:srgbClr val="C00000"/>
                    </a:solidFill>
                    <a:ln w="9525" cap="flat" cmpd="sng" algn="ctr">
                      <a:noFill/>
                      <a:prstDash val="solid"/>
                      <a:round/>
                    </a:ln>
                    <a:effectLst/>
                  </c:spPr>
                </c:marker>
                <c:cat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売上推移!$C$3:$Z$3</c15:sqref>
                        </c15:formulaRef>
                      </c:ext>
                    </c:extLst>
                    <c:numCache>
                      <c:formatCode>[$-411]ge\.mm"月";@</c:formatCode>
                      <c:ptCount val="24"/>
                      <c:pt idx="0">
                        <c:v>42856</c:v>
                      </c:pt>
                      <c:pt idx="1">
                        <c:v>42887</c:v>
                      </c:pt>
                      <c:pt idx="2">
                        <c:v>42917</c:v>
                      </c:pt>
                      <c:pt idx="3">
                        <c:v>42948</c:v>
                      </c:pt>
                      <c:pt idx="4">
                        <c:v>42979</c:v>
                      </c:pt>
                      <c:pt idx="5">
                        <c:v>43009</c:v>
                      </c:pt>
                      <c:pt idx="6">
                        <c:v>43040</c:v>
                      </c:pt>
                      <c:pt idx="7">
                        <c:v>43070</c:v>
                      </c:pt>
                      <c:pt idx="8">
                        <c:v>43101</c:v>
                      </c:pt>
                      <c:pt idx="9">
                        <c:v>43132</c:v>
                      </c:pt>
                      <c:pt idx="10">
                        <c:v>43160</c:v>
                      </c:pt>
                      <c:pt idx="11">
                        <c:v>43191</c:v>
                      </c:pt>
                      <c:pt idx="12">
                        <c:v>43221</c:v>
                      </c:pt>
                      <c:pt idx="13">
                        <c:v>43252</c:v>
                      </c:pt>
                      <c:pt idx="14">
                        <c:v>43282</c:v>
                      </c:pt>
                      <c:pt idx="15">
                        <c:v>43313</c:v>
                      </c:pt>
                      <c:pt idx="16">
                        <c:v>43344</c:v>
                      </c:pt>
                      <c:pt idx="17">
                        <c:v>43374</c:v>
                      </c:pt>
                      <c:pt idx="18">
                        <c:v>43405</c:v>
                      </c:pt>
                      <c:pt idx="19">
                        <c:v>43435</c:v>
                      </c:pt>
                      <c:pt idx="20">
                        <c:v>43466</c:v>
                      </c:pt>
                      <c:pt idx="21">
                        <c:v>43497</c:v>
                      </c:pt>
                      <c:pt idx="22">
                        <c:v>43525</c:v>
                      </c:pt>
                      <c:pt idx="23">
                        <c:v>43556</c:v>
                      </c:pt>
                    </c:numCache>
                  </c:num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売上推移!$C$17:$Z$17</c15:sqref>
                        </c15:formulaRef>
                      </c:ext>
                    </c:extLst>
                    <c:numCache>
                      <c:formatCode>#,##0_ ;[Red]\-#,##0\ </c:formatCode>
                      <c:ptCount val="24"/>
                      <c:pt idx="0">
                        <c:v>1527664</c:v>
                      </c:pt>
                      <c:pt idx="1">
                        <c:v>6701834</c:v>
                      </c:pt>
                      <c:pt idx="2">
                        <c:v>4339886</c:v>
                      </c:pt>
                      <c:pt idx="3">
                        <c:v>4033052</c:v>
                      </c:pt>
                      <c:pt idx="4">
                        <c:v>4385088</c:v>
                      </c:pt>
                      <c:pt idx="5">
                        <c:v>5388486</c:v>
                      </c:pt>
                      <c:pt idx="6">
                        <c:v>4932061</c:v>
                      </c:pt>
                      <c:pt idx="7">
                        <c:v>4846209</c:v>
                      </c:pt>
                      <c:pt idx="8">
                        <c:v>4521767</c:v>
                      </c:pt>
                      <c:pt idx="9">
                        <c:v>4251654</c:v>
                      </c:pt>
                      <c:pt idx="10">
                        <c:v>4845757</c:v>
                      </c:pt>
                      <c:pt idx="11">
                        <c:v>4652452</c:v>
                      </c:pt>
                      <c:pt idx="12">
                        <c:v>6288634</c:v>
                      </c:pt>
                      <c:pt idx="13">
                        <c:v>4072029</c:v>
                      </c:pt>
                      <c:pt idx="14">
                        <c:v>5223230</c:v>
                      </c:pt>
                      <c:pt idx="15">
                        <c:v>4262820</c:v>
                      </c:pt>
                      <c:pt idx="16">
                        <c:v>4499106</c:v>
                      </c:pt>
                      <c:pt idx="17">
                        <c:v>5027679</c:v>
                      </c:pt>
                      <c:pt idx="18">
                        <c:v>4965039</c:v>
                      </c:pt>
                      <c:pt idx="19">
                        <c:v>5126089</c:v>
                      </c:pt>
                      <c:pt idx="20">
                        <c:v>5611286</c:v>
                      </c:pt>
                      <c:pt idx="21">
                        <c:v>5636882</c:v>
                      </c:pt>
                      <c:pt idx="22">
                        <c:v>5775875</c:v>
                      </c:pt>
                      <c:pt idx="23">
                        <c:v>6783695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6"/>
                <c:order val="16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売上推移!$B$20</c15:sqref>
                        </c15:formulaRef>
                      </c:ext>
                    </c:extLst>
                    <c:strCache>
                      <c:ptCount val="1"/>
                      <c:pt idx="0">
                        <c:v>人件費+経費
-期末調整</c:v>
                      </c:pt>
                    </c:strCache>
                  </c:strRef>
                </c:tx>
                <c:spPr>
                  <a:ln w="28575" cap="rnd" cmpd="sng" algn="ctr">
                    <a:solidFill>
                      <a:schemeClr val="accent5">
                        <a:lumMod val="50000"/>
                        <a:shade val="95000"/>
                        <a:satMod val="105000"/>
                      </a:schemeClr>
                    </a:solidFill>
                    <a:prstDash val="solid"/>
                    <a:round/>
                  </a:ln>
                  <a:effectLst/>
                </c:spPr>
                <c:marker>
                  <c:spPr>
                    <a:solidFill>
                      <a:schemeClr val="accent5">
                        <a:lumMod val="50000"/>
                      </a:schemeClr>
                    </a:solidFill>
                    <a:ln w="9525" cap="flat" cmpd="sng" algn="ctr">
                      <a:solidFill>
                        <a:schemeClr val="accent5">
                          <a:lumMod val="50000"/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:marker>
                <c:cat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売上推移!$C$3:$Z$3</c15:sqref>
                        </c15:formulaRef>
                      </c:ext>
                    </c:extLst>
                    <c:numCache>
                      <c:formatCode>[$-411]ge\.mm"月";@</c:formatCode>
                      <c:ptCount val="24"/>
                      <c:pt idx="0">
                        <c:v>42856</c:v>
                      </c:pt>
                      <c:pt idx="1">
                        <c:v>42887</c:v>
                      </c:pt>
                      <c:pt idx="2">
                        <c:v>42917</c:v>
                      </c:pt>
                      <c:pt idx="3">
                        <c:v>42948</c:v>
                      </c:pt>
                      <c:pt idx="4">
                        <c:v>42979</c:v>
                      </c:pt>
                      <c:pt idx="5">
                        <c:v>43009</c:v>
                      </c:pt>
                      <c:pt idx="6">
                        <c:v>43040</c:v>
                      </c:pt>
                      <c:pt idx="7">
                        <c:v>43070</c:v>
                      </c:pt>
                      <c:pt idx="8">
                        <c:v>43101</c:v>
                      </c:pt>
                      <c:pt idx="9">
                        <c:v>43132</c:v>
                      </c:pt>
                      <c:pt idx="10">
                        <c:v>43160</c:v>
                      </c:pt>
                      <c:pt idx="11">
                        <c:v>43191</c:v>
                      </c:pt>
                      <c:pt idx="12">
                        <c:v>43221</c:v>
                      </c:pt>
                      <c:pt idx="13">
                        <c:v>43252</c:v>
                      </c:pt>
                      <c:pt idx="14">
                        <c:v>43282</c:v>
                      </c:pt>
                      <c:pt idx="15">
                        <c:v>43313</c:v>
                      </c:pt>
                      <c:pt idx="16">
                        <c:v>43344</c:v>
                      </c:pt>
                      <c:pt idx="17">
                        <c:v>43374</c:v>
                      </c:pt>
                      <c:pt idx="18">
                        <c:v>43405</c:v>
                      </c:pt>
                      <c:pt idx="19">
                        <c:v>43435</c:v>
                      </c:pt>
                      <c:pt idx="20">
                        <c:v>43466</c:v>
                      </c:pt>
                      <c:pt idx="21">
                        <c:v>43497</c:v>
                      </c:pt>
                      <c:pt idx="22">
                        <c:v>43525</c:v>
                      </c:pt>
                      <c:pt idx="23">
                        <c:v>43556</c:v>
                      </c:pt>
                    </c:numCache>
                  </c:num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売上推移!$C$20:$Z$20</c15:sqref>
                        </c15:formulaRef>
                      </c:ext>
                    </c:extLst>
                    <c:numCache>
                      <c:formatCode>#,##0_ ;[Red]\-#,##0\ </c:formatCode>
                      <c:ptCount val="24"/>
                      <c:pt idx="0">
                        <c:v>28961864</c:v>
                      </c:pt>
                      <c:pt idx="1">
                        <c:v>34081284</c:v>
                      </c:pt>
                      <c:pt idx="2">
                        <c:v>31034245</c:v>
                      </c:pt>
                      <c:pt idx="3">
                        <c:v>32506840</c:v>
                      </c:pt>
                      <c:pt idx="4">
                        <c:v>29734471</c:v>
                      </c:pt>
                      <c:pt idx="5">
                        <c:v>31049754</c:v>
                      </c:pt>
                      <c:pt idx="6">
                        <c:v>32679182</c:v>
                      </c:pt>
                      <c:pt idx="7">
                        <c:v>44370795</c:v>
                      </c:pt>
                      <c:pt idx="8">
                        <c:v>36679394</c:v>
                      </c:pt>
                      <c:pt idx="9">
                        <c:v>31197700</c:v>
                      </c:pt>
                      <c:pt idx="10">
                        <c:v>34351833</c:v>
                      </c:pt>
                      <c:pt idx="11">
                        <c:v>34444276</c:v>
                      </c:pt>
                      <c:pt idx="12">
                        <c:v>34123721</c:v>
                      </c:pt>
                      <c:pt idx="13">
                        <c:v>42950130</c:v>
                      </c:pt>
                      <c:pt idx="14">
                        <c:v>38147174</c:v>
                      </c:pt>
                      <c:pt idx="15">
                        <c:v>37818318</c:v>
                      </c:pt>
                      <c:pt idx="16">
                        <c:v>35732794</c:v>
                      </c:pt>
                      <c:pt idx="17">
                        <c:v>41068513</c:v>
                      </c:pt>
                      <c:pt idx="18">
                        <c:v>38014623</c:v>
                      </c:pt>
                      <c:pt idx="19">
                        <c:v>51586693</c:v>
                      </c:pt>
                      <c:pt idx="20">
                        <c:v>37043342</c:v>
                      </c:pt>
                      <c:pt idx="21">
                        <c:v>35933766</c:v>
                      </c:pt>
                      <c:pt idx="22">
                        <c:v>35468722</c:v>
                      </c:pt>
                      <c:pt idx="23">
                        <c:v>36363783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7"/>
                <c:order val="17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売上推移!$B$21</c15:sqref>
                        </c15:formulaRef>
                      </c:ext>
                    </c:extLst>
                    <c:strCache>
                      <c:ptCount val="1"/>
                      <c:pt idx="0">
                        <c:v>営業利益</c:v>
                      </c:pt>
                    </c:strCache>
                  </c:strRef>
                </c:tx>
                <c:spPr>
                  <a:ln w="28575" cap="rnd" cmpd="sng" algn="ctr">
                    <a:solidFill>
                      <a:schemeClr val="accent4">
                        <a:lumMod val="50000"/>
                        <a:shade val="95000"/>
                        <a:satMod val="105000"/>
                      </a:schemeClr>
                    </a:solidFill>
                    <a:prstDash val="solid"/>
                    <a:round/>
                  </a:ln>
                  <a:effectLst/>
                </c:spPr>
                <c:marker>
                  <c:spPr>
                    <a:solidFill>
                      <a:schemeClr val="accent4">
                        <a:lumMod val="50000"/>
                      </a:schemeClr>
                    </a:solidFill>
                    <a:ln w="9525" cap="flat" cmpd="sng" algn="ctr">
                      <a:solidFill>
                        <a:schemeClr val="accent4">
                          <a:lumMod val="50000"/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:marker>
                <c:cat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売上推移!$C$3:$Z$3</c15:sqref>
                        </c15:formulaRef>
                      </c:ext>
                    </c:extLst>
                    <c:numCache>
                      <c:formatCode>[$-411]ge\.mm"月";@</c:formatCode>
                      <c:ptCount val="24"/>
                      <c:pt idx="0">
                        <c:v>42856</c:v>
                      </c:pt>
                      <c:pt idx="1">
                        <c:v>42887</c:v>
                      </c:pt>
                      <c:pt idx="2">
                        <c:v>42917</c:v>
                      </c:pt>
                      <c:pt idx="3">
                        <c:v>42948</c:v>
                      </c:pt>
                      <c:pt idx="4">
                        <c:v>42979</c:v>
                      </c:pt>
                      <c:pt idx="5">
                        <c:v>43009</c:v>
                      </c:pt>
                      <c:pt idx="6">
                        <c:v>43040</c:v>
                      </c:pt>
                      <c:pt idx="7">
                        <c:v>43070</c:v>
                      </c:pt>
                      <c:pt idx="8">
                        <c:v>43101</c:v>
                      </c:pt>
                      <c:pt idx="9">
                        <c:v>43132</c:v>
                      </c:pt>
                      <c:pt idx="10">
                        <c:v>43160</c:v>
                      </c:pt>
                      <c:pt idx="11">
                        <c:v>43191</c:v>
                      </c:pt>
                      <c:pt idx="12">
                        <c:v>43221</c:v>
                      </c:pt>
                      <c:pt idx="13">
                        <c:v>43252</c:v>
                      </c:pt>
                      <c:pt idx="14">
                        <c:v>43282</c:v>
                      </c:pt>
                      <c:pt idx="15">
                        <c:v>43313</c:v>
                      </c:pt>
                      <c:pt idx="16">
                        <c:v>43344</c:v>
                      </c:pt>
                      <c:pt idx="17">
                        <c:v>43374</c:v>
                      </c:pt>
                      <c:pt idx="18">
                        <c:v>43405</c:v>
                      </c:pt>
                      <c:pt idx="19">
                        <c:v>43435</c:v>
                      </c:pt>
                      <c:pt idx="20">
                        <c:v>43466</c:v>
                      </c:pt>
                      <c:pt idx="21">
                        <c:v>43497</c:v>
                      </c:pt>
                      <c:pt idx="22">
                        <c:v>43525</c:v>
                      </c:pt>
                      <c:pt idx="23">
                        <c:v>43556</c:v>
                      </c:pt>
                    </c:numCache>
                  </c:num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売上推移!$C$21:$Z$21</c15:sqref>
                        </c15:formulaRef>
                      </c:ext>
                    </c:extLst>
                    <c:numCache>
                      <c:formatCode>#,##0_ ;[Red]\-#,##0\ </c:formatCode>
                      <c:ptCount val="24"/>
                      <c:pt idx="0">
                        <c:v>3741169</c:v>
                      </c:pt>
                      <c:pt idx="1">
                        <c:v>2834537</c:v>
                      </c:pt>
                      <c:pt idx="2">
                        <c:v>5046051</c:v>
                      </c:pt>
                      <c:pt idx="3">
                        <c:v>2392346</c:v>
                      </c:pt>
                      <c:pt idx="4">
                        <c:v>6181729</c:v>
                      </c:pt>
                      <c:pt idx="5">
                        <c:v>6646757</c:v>
                      </c:pt>
                      <c:pt idx="6">
                        <c:v>3041895</c:v>
                      </c:pt>
                      <c:pt idx="7">
                        <c:v>-8657791</c:v>
                      </c:pt>
                      <c:pt idx="8">
                        <c:v>-2172375</c:v>
                      </c:pt>
                      <c:pt idx="9">
                        <c:v>2520437</c:v>
                      </c:pt>
                      <c:pt idx="10">
                        <c:v>682264</c:v>
                      </c:pt>
                      <c:pt idx="11">
                        <c:v>4677971</c:v>
                      </c:pt>
                      <c:pt idx="12">
                        <c:v>5545309</c:v>
                      </c:pt>
                      <c:pt idx="13">
                        <c:v>-6877412</c:v>
                      </c:pt>
                      <c:pt idx="14">
                        <c:v>402662</c:v>
                      </c:pt>
                      <c:pt idx="15">
                        <c:v>-1107537</c:v>
                      </c:pt>
                      <c:pt idx="16">
                        <c:v>1788697</c:v>
                      </c:pt>
                      <c:pt idx="17">
                        <c:v>153279</c:v>
                      </c:pt>
                      <c:pt idx="18">
                        <c:v>4250230</c:v>
                      </c:pt>
                      <c:pt idx="19">
                        <c:v>-11302155</c:v>
                      </c:pt>
                      <c:pt idx="20">
                        <c:v>2938935</c:v>
                      </c:pt>
                      <c:pt idx="21">
                        <c:v>2756684</c:v>
                      </c:pt>
                      <c:pt idx="22">
                        <c:v>4576531</c:v>
                      </c:pt>
                      <c:pt idx="23">
                        <c:v>5500935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dateAx>
        <c:axId val="454367080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4365512"/>
        <c:crosses val="autoZero"/>
        <c:auto val="1"/>
        <c:lblOffset val="100"/>
        <c:baseTimeUnit val="months"/>
      </c:dateAx>
      <c:valAx>
        <c:axId val="454365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_ ;[Red]\-#,##0\ 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4367080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0980986313193035"/>
          <c:y val="0.12477683783950798"/>
          <c:w val="7.0378019739538306E-2"/>
          <c:h val="0.857048854023358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178" l="0.70000000000000062" r="0.70000000000000062" t="0.75000000000000178" header="0.30000000000000032" footer="0.30000000000000032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売上予実推移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'H29収支予測(本部)'!$F$22</c:f>
              <c:strCache>
                <c:ptCount val="1"/>
                <c:pt idx="0">
                  <c:v>実績</c:v>
                </c:pt>
              </c:strCache>
            </c:strRef>
          </c:tx>
          <c:spPr>
            <a:solidFill>
              <a:srgbClr val="66FF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'H29収支予測(本部)'!$B$23:$B$34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'H29収支予測(本部)'!$F$23:$F$34</c:f>
              <c:numCache>
                <c:formatCode>#,##0_ ;[Red]\-#,##0\ </c:formatCode>
                <c:ptCount val="12"/>
                <c:pt idx="0">
                  <c:v>35916200</c:v>
                </c:pt>
                <c:pt idx="1">
                  <c:v>37696511</c:v>
                </c:pt>
                <c:pt idx="2">
                  <c:v>35721077</c:v>
                </c:pt>
                <c:pt idx="3">
                  <c:v>35713004</c:v>
                </c:pt>
                <c:pt idx="4">
                  <c:v>34507019</c:v>
                </c:pt>
                <c:pt idx="5">
                  <c:v>33718137</c:v>
                </c:pt>
                <c:pt idx="6">
                  <c:v>35034097</c:v>
                </c:pt>
                <c:pt idx="7">
                  <c:v>39122247</c:v>
                </c:pt>
                <c:pt idx="8">
                  <c:v>39669030</c:v>
                </c:pt>
                <c:pt idx="9">
                  <c:v>36072718</c:v>
                </c:pt>
                <c:pt idx="10">
                  <c:v>38549836</c:v>
                </c:pt>
                <c:pt idx="11">
                  <c:v>36710781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B6-4CB7-9409-904CC0B19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457486792"/>
        <c:axId val="457481696"/>
      </c:barChart>
      <c:lineChart>
        <c:grouping val="standard"/>
        <c:varyColors val="0"/>
        <c:ser>
          <c:idx val="0"/>
          <c:order val="0"/>
          <c:tx>
            <c:strRef>
              <c:f>'H29収支予測(本部)'!$C$22</c:f>
              <c:strCache>
                <c:ptCount val="1"/>
                <c:pt idx="0">
                  <c:v>本部予測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'H29収支予測(本部)'!$B$23:$B$34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'H29収支予測(本部)'!$C$23:$C$34</c:f>
              <c:numCache>
                <c:formatCode>#,##0_ ;[Red]\-#,##0\ </c:formatCode>
                <c:ptCount val="12"/>
                <c:pt idx="0">
                  <c:v>36030000</c:v>
                </c:pt>
                <c:pt idx="1">
                  <c:v>37680000</c:v>
                </c:pt>
                <c:pt idx="2">
                  <c:v>35730000</c:v>
                </c:pt>
                <c:pt idx="3">
                  <c:v>35750000</c:v>
                </c:pt>
                <c:pt idx="4">
                  <c:v>34500000</c:v>
                </c:pt>
                <c:pt idx="5">
                  <c:v>33880000</c:v>
                </c:pt>
                <c:pt idx="6">
                  <c:v>35000000</c:v>
                </c:pt>
                <c:pt idx="7">
                  <c:v>39230000</c:v>
                </c:pt>
                <c:pt idx="8">
                  <c:v>39540000</c:v>
                </c:pt>
                <c:pt idx="9">
                  <c:v>36180000</c:v>
                </c:pt>
                <c:pt idx="10">
                  <c:v>38550000</c:v>
                </c:pt>
                <c:pt idx="11">
                  <c:v>37180000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7B6-4CB7-9409-904CC0B19C92}"/>
            </c:ext>
          </c:extLst>
        </c:ser>
        <c:ser>
          <c:idx val="1"/>
          <c:order val="1"/>
          <c:tx>
            <c:strRef>
              <c:f>'H29収支予測(本部)'!$D$22</c:f>
              <c:strCache>
                <c:ptCount val="1"/>
                <c:pt idx="0">
                  <c:v>事業所計画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'H29収支予測(本部)'!$B$23:$B$34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'H29収支予測(本部)'!$D$23:$D$34</c:f>
              <c:numCache>
                <c:formatCode>#,##0_ ;[Red]\-#,##0\ </c:formatCode>
                <c:ptCount val="12"/>
                <c:pt idx="0">
                  <c:v>37141000</c:v>
                </c:pt>
                <c:pt idx="1">
                  <c:v>37741000</c:v>
                </c:pt>
                <c:pt idx="2">
                  <c:v>37991000</c:v>
                </c:pt>
                <c:pt idx="3">
                  <c:v>38091000</c:v>
                </c:pt>
                <c:pt idx="4">
                  <c:v>36711000</c:v>
                </c:pt>
                <c:pt idx="5">
                  <c:v>36721000</c:v>
                </c:pt>
                <c:pt idx="6">
                  <c:v>37721000</c:v>
                </c:pt>
                <c:pt idx="7">
                  <c:v>38221000</c:v>
                </c:pt>
                <c:pt idx="8">
                  <c:v>38321000</c:v>
                </c:pt>
                <c:pt idx="9">
                  <c:v>38701000</c:v>
                </c:pt>
                <c:pt idx="10">
                  <c:v>39211000</c:v>
                </c:pt>
                <c:pt idx="11">
                  <c:v>39346000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7B6-4CB7-9409-904CC0B19C92}"/>
            </c:ext>
          </c:extLst>
        </c:ser>
        <c:ser>
          <c:idx val="2"/>
          <c:order val="2"/>
          <c:tx>
            <c:strRef>
              <c:f>'H29収支予測(本部)'!$E$22</c:f>
              <c:strCache>
                <c:ptCount val="1"/>
                <c:pt idx="0">
                  <c:v>資金繰り表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'H29収支予測(本部)'!$B$23:$B$34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'H29収支予測(本部)'!$E$23:$E$34</c:f>
              <c:numCache>
                <c:formatCode>#,##0_ ;[Red]\-#,##0\ </c:formatCode>
                <c:ptCount val="12"/>
                <c:pt idx="0">
                  <c:v>34998415</c:v>
                </c:pt>
                <c:pt idx="1">
                  <c:v>36859349</c:v>
                </c:pt>
                <c:pt idx="2">
                  <c:v>36333353</c:v>
                </c:pt>
                <c:pt idx="3">
                  <c:v>37725970</c:v>
                </c:pt>
                <c:pt idx="4">
                  <c:v>35447776</c:v>
                </c:pt>
                <c:pt idx="5">
                  <c:v>30228030</c:v>
                </c:pt>
                <c:pt idx="6">
                  <c:v>35395197</c:v>
                </c:pt>
                <c:pt idx="7">
                  <c:v>33352966</c:v>
                </c:pt>
                <c:pt idx="8">
                  <c:v>36137317</c:v>
                </c:pt>
                <c:pt idx="9">
                  <c:v>38936590</c:v>
                </c:pt>
                <c:pt idx="10">
                  <c:v>38235164</c:v>
                </c:pt>
                <c:pt idx="11">
                  <c:v>37003205.666666672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7B6-4CB7-9409-904CC0B19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486792"/>
        <c:axId val="457481696"/>
      </c:lineChart>
      <c:catAx>
        <c:axId val="457486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7481696"/>
        <c:crosses val="autoZero"/>
        <c:auto val="1"/>
        <c:lblAlgn val="ctr"/>
        <c:lblOffset val="100"/>
        <c:noMultiLvlLbl val="0"/>
      </c:catAx>
      <c:valAx>
        <c:axId val="45748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7486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人件費予実推移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'H29収支予測(本部)'!$F$39</c:f>
              <c:strCache>
                <c:ptCount val="1"/>
                <c:pt idx="0">
                  <c:v>実績</c:v>
                </c:pt>
              </c:strCache>
            </c:strRef>
          </c:tx>
          <c:spPr>
            <a:solidFill>
              <a:srgbClr val="66FF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'H29収支予測(本部)'!$B$40:$B$51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'H29収支予測(本部)'!$F$40:$F$51</c:f>
              <c:numCache>
                <c:formatCode>#,##0_ ;[Red]\-#,##0\ </c:formatCode>
                <c:ptCount val="12"/>
                <c:pt idx="0">
                  <c:v>22603261</c:v>
                </c:pt>
                <c:pt idx="1">
                  <c:v>23743100</c:v>
                </c:pt>
                <c:pt idx="2">
                  <c:v>24272152</c:v>
                </c:pt>
                <c:pt idx="3">
                  <c:v>35562689</c:v>
                </c:pt>
                <c:pt idx="4">
                  <c:v>28035865</c:v>
                </c:pt>
                <c:pt idx="5">
                  <c:v>23265110</c:v>
                </c:pt>
                <c:pt idx="6">
                  <c:v>24287584</c:v>
                </c:pt>
                <c:pt idx="7">
                  <c:v>24212389</c:v>
                </c:pt>
                <c:pt idx="8">
                  <c:v>23908066</c:v>
                </c:pt>
                <c:pt idx="9">
                  <c:v>31697163</c:v>
                </c:pt>
                <c:pt idx="10">
                  <c:v>27605792</c:v>
                </c:pt>
                <c:pt idx="11">
                  <c:v>26520463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3A1-4B1A-A6F1-B86E0F37B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457486400"/>
        <c:axId val="457490320"/>
      </c:barChart>
      <c:lineChart>
        <c:grouping val="standard"/>
        <c:varyColors val="0"/>
        <c:ser>
          <c:idx val="0"/>
          <c:order val="0"/>
          <c:tx>
            <c:strRef>
              <c:f>'H29収支予測(本部)'!$C$39</c:f>
              <c:strCache>
                <c:ptCount val="1"/>
                <c:pt idx="0">
                  <c:v>本部予測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'H29収支予測(本部)'!$B$40:$B$51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'H29収支予測(本部)'!$C$40:$C$51</c:f>
              <c:numCache>
                <c:formatCode>#,##0_ ;[Red]\-#,##0\ </c:formatCode>
                <c:ptCount val="12"/>
                <c:pt idx="0">
                  <c:v>23720272.686999999</c:v>
                </c:pt>
                <c:pt idx="1">
                  <c:v>23547152.686999999</c:v>
                </c:pt>
                <c:pt idx="2">
                  <c:v>24130152.686999999</c:v>
                </c:pt>
                <c:pt idx="3">
                  <c:v>36783662.686999999</c:v>
                </c:pt>
                <c:pt idx="4">
                  <c:v>25004112.686999999</c:v>
                </c:pt>
                <c:pt idx="5">
                  <c:v>24298892.686999999</c:v>
                </c:pt>
                <c:pt idx="6">
                  <c:v>24321452.686999999</c:v>
                </c:pt>
                <c:pt idx="7">
                  <c:v>24238992.686999999</c:v>
                </c:pt>
                <c:pt idx="8">
                  <c:v>24336312.686999999</c:v>
                </c:pt>
                <c:pt idx="9">
                  <c:v>31448630.804000001</c:v>
                </c:pt>
                <c:pt idx="10">
                  <c:v>25835711.66</c:v>
                </c:pt>
                <c:pt idx="11">
                  <c:v>26342491.66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3A1-4B1A-A6F1-B86E0F37B814}"/>
            </c:ext>
          </c:extLst>
        </c:ser>
        <c:ser>
          <c:idx val="1"/>
          <c:order val="1"/>
          <c:tx>
            <c:strRef>
              <c:f>'H29収支予測(本部)'!$D$39</c:f>
              <c:strCache>
                <c:ptCount val="1"/>
                <c:pt idx="0">
                  <c:v>事業所計画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'H29収支予測(本部)'!$B$40:$B$51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'H29収支予測(本部)'!$D$40:$D$51</c:f>
              <c:numCache>
                <c:formatCode>#,##0_ ;[Red]\-#,##0\ </c:formatCode>
                <c:ptCount val="12"/>
                <c:pt idx="0">
                  <c:v>24447000</c:v>
                </c:pt>
                <c:pt idx="1">
                  <c:v>25170000</c:v>
                </c:pt>
                <c:pt idx="2">
                  <c:v>25145000</c:v>
                </c:pt>
                <c:pt idx="3">
                  <c:v>39947000</c:v>
                </c:pt>
                <c:pt idx="4">
                  <c:v>24940000</c:v>
                </c:pt>
                <c:pt idx="5">
                  <c:v>25090000</c:v>
                </c:pt>
                <c:pt idx="6">
                  <c:v>25170000</c:v>
                </c:pt>
                <c:pt idx="7">
                  <c:v>25030000</c:v>
                </c:pt>
                <c:pt idx="8">
                  <c:v>25080000</c:v>
                </c:pt>
                <c:pt idx="9">
                  <c:v>39381000</c:v>
                </c:pt>
                <c:pt idx="10">
                  <c:v>26371000</c:v>
                </c:pt>
                <c:pt idx="11">
                  <c:v>26451000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3A1-4B1A-A6F1-B86E0F37B814}"/>
            </c:ext>
          </c:extLst>
        </c:ser>
        <c:ser>
          <c:idx val="2"/>
          <c:order val="2"/>
          <c:tx>
            <c:strRef>
              <c:f>'H29収支予測(本部)'!$E$39</c:f>
              <c:strCache>
                <c:ptCount val="1"/>
                <c:pt idx="0">
                  <c:v>資金繰り表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'H29収支予測(本部)'!$B$40:$B$51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'H29収支予測(本部)'!$E$40:$E$51</c:f>
              <c:numCache>
                <c:formatCode>#,##0_ ;[Red]\-#,##0\ </c:formatCode>
                <c:ptCount val="12"/>
                <c:pt idx="0">
                  <c:v>21380929</c:v>
                </c:pt>
                <c:pt idx="1">
                  <c:v>26478131</c:v>
                </c:pt>
                <c:pt idx="2">
                  <c:v>24092829</c:v>
                </c:pt>
                <c:pt idx="3">
                  <c:v>34911104</c:v>
                </c:pt>
                <c:pt idx="4">
                  <c:v>24770493</c:v>
                </c:pt>
                <c:pt idx="5">
                  <c:v>30591832</c:v>
                </c:pt>
                <c:pt idx="6">
                  <c:v>21845705</c:v>
                </c:pt>
                <c:pt idx="7">
                  <c:v>24257466</c:v>
                </c:pt>
                <c:pt idx="8">
                  <c:v>27606077</c:v>
                </c:pt>
                <c:pt idx="9">
                  <c:v>29557719</c:v>
                </c:pt>
                <c:pt idx="10">
                  <c:v>30629909</c:v>
                </c:pt>
                <c:pt idx="11">
                  <c:v>26932648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3A1-4B1A-A6F1-B86E0F37B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486400"/>
        <c:axId val="457490320"/>
      </c:lineChart>
      <c:catAx>
        <c:axId val="45748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7490320"/>
        <c:crosses val="autoZero"/>
        <c:auto val="1"/>
        <c:lblAlgn val="ctr"/>
        <c:lblOffset val="100"/>
        <c:noMultiLvlLbl val="0"/>
      </c:catAx>
      <c:valAx>
        <c:axId val="457490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7486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経費予実推移</a:t>
            </a:r>
          </a:p>
        </c:rich>
      </c:tx>
      <c:layout>
        <c:manualLayout>
          <c:xMode val="edge"/>
          <c:yMode val="edge"/>
          <c:x val="0.37462489063867016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'H29収支予測(本部)'!$F$56</c:f>
              <c:strCache>
                <c:ptCount val="1"/>
                <c:pt idx="0">
                  <c:v>実績</c:v>
                </c:pt>
              </c:strCache>
            </c:strRef>
          </c:tx>
          <c:spPr>
            <a:solidFill>
              <a:srgbClr val="66FF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'H29収支予測(本部)'!$B$57:$B$68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'H29収支予測(本部)'!$F$57:$F$68</c:f>
              <c:numCache>
                <c:formatCode>#,##0_ ;[Red]\-#,##0\ </c:formatCode>
                <c:ptCount val="12"/>
                <c:pt idx="0">
                  <c:v>7294393</c:v>
                </c:pt>
                <c:pt idx="1">
                  <c:v>7306654</c:v>
                </c:pt>
                <c:pt idx="2">
                  <c:v>8407030</c:v>
                </c:pt>
                <c:pt idx="3">
                  <c:v>8808106</c:v>
                </c:pt>
                <c:pt idx="4">
                  <c:v>8643529</c:v>
                </c:pt>
                <c:pt idx="5">
                  <c:v>7932590</c:v>
                </c:pt>
                <c:pt idx="6">
                  <c:v>10064249</c:v>
                </c:pt>
                <c:pt idx="7">
                  <c:v>10231887</c:v>
                </c:pt>
                <c:pt idx="8">
                  <c:v>10215655</c:v>
                </c:pt>
                <c:pt idx="9">
                  <c:v>11252967</c:v>
                </c:pt>
                <c:pt idx="10">
                  <c:v>10541382</c:v>
                </c:pt>
                <c:pt idx="11">
                  <c:v>12030005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5E-4404-B8E5-2AE1FEA1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457485616"/>
        <c:axId val="457480520"/>
      </c:barChart>
      <c:lineChart>
        <c:grouping val="standard"/>
        <c:varyColors val="0"/>
        <c:ser>
          <c:idx val="0"/>
          <c:order val="0"/>
          <c:tx>
            <c:strRef>
              <c:f>'H29収支予測(本部)'!$C$56</c:f>
              <c:strCache>
                <c:ptCount val="1"/>
                <c:pt idx="0">
                  <c:v>本部予測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'H29収支予測(本部)'!$B$57:$B$68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'H29収支予測(本部)'!$C$57:$C$68</c:f>
              <c:numCache>
                <c:formatCode>#,##0_ ;[Red]\-#,##0\ </c:formatCode>
                <c:ptCount val="12"/>
                <c:pt idx="0">
                  <c:v>7029178</c:v>
                </c:pt>
                <c:pt idx="1">
                  <c:v>7380908</c:v>
                </c:pt>
                <c:pt idx="2">
                  <c:v>7040908</c:v>
                </c:pt>
                <c:pt idx="3">
                  <c:v>7413111.5</c:v>
                </c:pt>
                <c:pt idx="4">
                  <c:v>8582435</c:v>
                </c:pt>
                <c:pt idx="5">
                  <c:v>8607643.8000000007</c:v>
                </c:pt>
                <c:pt idx="6">
                  <c:v>8691876.0833333321</c:v>
                </c:pt>
                <c:pt idx="7">
                  <c:v>12526813</c:v>
                </c:pt>
                <c:pt idx="8">
                  <c:v>10940011</c:v>
                </c:pt>
                <c:pt idx="9">
                  <c:v>11691856</c:v>
                </c:pt>
                <c:pt idx="10">
                  <c:v>10873965</c:v>
                </c:pt>
                <c:pt idx="11">
                  <c:v>10864301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F5E-4404-B8E5-2AE1FEA12763}"/>
            </c:ext>
          </c:extLst>
        </c:ser>
        <c:ser>
          <c:idx val="1"/>
          <c:order val="1"/>
          <c:tx>
            <c:strRef>
              <c:f>'H29収支予測(本部)'!$D$56</c:f>
              <c:strCache>
                <c:ptCount val="1"/>
                <c:pt idx="0">
                  <c:v>事業所計画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'H29収支予測(本部)'!$B$57:$B$68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'H29収支予測(本部)'!$D$57:$D$68</c:f>
              <c:numCache>
                <c:formatCode>#,##0_ ;[Red]\-#,##0\ </c:formatCode>
                <c:ptCount val="12"/>
                <c:pt idx="0">
                  <c:v>7270000</c:v>
                </c:pt>
                <c:pt idx="1">
                  <c:v>7225400</c:v>
                </c:pt>
                <c:pt idx="2">
                  <c:v>7371800</c:v>
                </c:pt>
                <c:pt idx="3">
                  <c:v>7271800</c:v>
                </c:pt>
                <c:pt idx="4">
                  <c:v>9071800</c:v>
                </c:pt>
                <c:pt idx="5">
                  <c:v>7321800</c:v>
                </c:pt>
                <c:pt idx="6">
                  <c:v>7651800</c:v>
                </c:pt>
                <c:pt idx="7">
                  <c:v>7331800</c:v>
                </c:pt>
                <c:pt idx="8">
                  <c:v>7541300</c:v>
                </c:pt>
                <c:pt idx="9">
                  <c:v>8645393</c:v>
                </c:pt>
                <c:pt idx="10">
                  <c:v>9298393</c:v>
                </c:pt>
                <c:pt idx="11">
                  <c:v>11731393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F5E-4404-B8E5-2AE1FEA12763}"/>
            </c:ext>
          </c:extLst>
        </c:ser>
        <c:ser>
          <c:idx val="2"/>
          <c:order val="2"/>
          <c:tx>
            <c:strRef>
              <c:f>'H29収支予測(本部)'!$E$56</c:f>
              <c:strCache>
                <c:ptCount val="1"/>
                <c:pt idx="0">
                  <c:v>資金繰り表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'H29収支予測(本部)'!$B$57:$B$68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'H29収支予測(本部)'!$E$57:$E$68</c:f>
              <c:numCache>
                <c:formatCode>#,##0_ ;[Red]\-#,##0\ </c:formatCode>
                <c:ptCount val="12"/>
                <c:pt idx="0">
                  <c:v>7236052</c:v>
                </c:pt>
                <c:pt idx="1">
                  <c:v>7364200</c:v>
                </c:pt>
                <c:pt idx="2">
                  <c:v>7973656</c:v>
                </c:pt>
                <c:pt idx="3">
                  <c:v>8102541</c:v>
                </c:pt>
                <c:pt idx="4">
                  <c:v>8753169</c:v>
                </c:pt>
                <c:pt idx="5">
                  <c:v>8595026</c:v>
                </c:pt>
                <c:pt idx="6">
                  <c:v>8815114</c:v>
                </c:pt>
                <c:pt idx="7">
                  <c:v>11833392</c:v>
                </c:pt>
                <c:pt idx="8">
                  <c:v>10525308</c:v>
                </c:pt>
                <c:pt idx="9">
                  <c:v>13501568</c:v>
                </c:pt>
                <c:pt idx="10">
                  <c:v>11523160</c:v>
                </c:pt>
                <c:pt idx="11">
                  <c:v>10286903.333333332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F5E-4404-B8E5-2AE1FEA1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485616"/>
        <c:axId val="457480520"/>
      </c:lineChart>
      <c:catAx>
        <c:axId val="45748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7480520"/>
        <c:crosses val="autoZero"/>
        <c:auto val="1"/>
        <c:lblAlgn val="ctr"/>
        <c:lblOffset val="100"/>
        <c:noMultiLvlLbl val="0"/>
      </c:catAx>
      <c:valAx>
        <c:axId val="45748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7485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収支予測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H30収支予測!$D$98</c:f>
              <c:strCache>
                <c:ptCount val="1"/>
                <c:pt idx="0">
                  <c:v>人件費累計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H30収支予測!$B$99:$B$110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H30収支予測!$D$99:$D$110</c:f>
              <c:numCache>
                <c:formatCode>#,##0_ ;[Red]\-#,##0\ </c:formatCode>
                <c:ptCount val="12"/>
                <c:pt idx="0">
                  <c:v>25578188</c:v>
                </c:pt>
                <c:pt idx="1">
                  <c:v>52495957</c:v>
                </c:pt>
                <c:pt idx="2">
                  <c:v>80787247</c:v>
                </c:pt>
                <c:pt idx="3">
                  <c:v>123787481</c:v>
                </c:pt>
                <c:pt idx="4">
                  <c:v>151657553</c:v>
                </c:pt>
                <c:pt idx="5">
                  <c:v>178511524</c:v>
                </c:pt>
                <c:pt idx="6">
                  <c:v>205324183</c:v>
                </c:pt>
                <c:pt idx="7">
                  <c:v>233040187</c:v>
                </c:pt>
                <c:pt idx="8">
                  <c:v>260309128</c:v>
                </c:pt>
                <c:pt idx="9">
                  <c:v>301767933</c:v>
                </c:pt>
                <c:pt idx="10">
                  <c:v>331889876</c:v>
                </c:pt>
                <c:pt idx="11">
                  <c:v>363311608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90-4653-9912-6C07CC18C958}"/>
            </c:ext>
          </c:extLst>
        </c:ser>
        <c:ser>
          <c:idx val="2"/>
          <c:order val="2"/>
          <c:tx>
            <c:strRef>
              <c:f>H30収支予測!$E$98</c:f>
              <c:strCache>
                <c:ptCount val="1"/>
                <c:pt idx="0">
                  <c:v>経費累計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H30収支予測!$B$99:$B$110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H30収支予測!$E$99:$E$110</c:f>
              <c:numCache>
                <c:formatCode>#,##0_ ;[Red]\-#,##0\ </c:formatCode>
                <c:ptCount val="12"/>
                <c:pt idx="0">
                  <c:v>10154606</c:v>
                </c:pt>
                <c:pt idx="1">
                  <c:v>24305350</c:v>
                </c:pt>
                <c:pt idx="2">
                  <c:v>34032850</c:v>
                </c:pt>
                <c:pt idx="3">
                  <c:v>42621507</c:v>
                </c:pt>
                <c:pt idx="4">
                  <c:v>51794777</c:v>
                </c:pt>
                <c:pt idx="5">
                  <c:v>60793956</c:v>
                </c:pt>
                <c:pt idx="6">
                  <c:v>69450019</c:v>
                </c:pt>
                <c:pt idx="7">
                  <c:v>78097798</c:v>
                </c:pt>
                <c:pt idx="8">
                  <c:v>87175995</c:v>
                </c:pt>
                <c:pt idx="9">
                  <c:v>97412152</c:v>
                </c:pt>
                <c:pt idx="10">
                  <c:v>109723120</c:v>
                </c:pt>
                <c:pt idx="11">
                  <c:v>119396058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90-4653-9912-6C07CC18C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8"/>
        <c:overlap val="100"/>
        <c:axId val="457487968"/>
        <c:axId val="457482088"/>
      </c:barChart>
      <c:lineChart>
        <c:grouping val="standard"/>
        <c:varyColors val="0"/>
        <c:ser>
          <c:idx val="0"/>
          <c:order val="0"/>
          <c:tx>
            <c:strRef>
              <c:f>H30収支予測!$C$98</c:f>
              <c:strCache>
                <c:ptCount val="1"/>
                <c:pt idx="0">
                  <c:v>売上累計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H30収支予測!$B$99:$B$110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H30収支予測!$C$99:$C$110</c:f>
              <c:numCache>
                <c:formatCode>#,##0_ ;[Red]\-#,##0\ </c:formatCode>
                <c:ptCount val="12"/>
                <c:pt idx="0">
                  <c:v>37521491</c:v>
                </c:pt>
                <c:pt idx="1">
                  <c:v>78743283</c:v>
                </c:pt>
                <c:pt idx="2">
                  <c:v>121008136</c:v>
                </c:pt>
                <c:pt idx="3">
                  <c:v>161292674</c:v>
                </c:pt>
                <c:pt idx="4">
                  <c:v>201274951</c:v>
                </c:pt>
                <c:pt idx="5">
                  <c:v>239965401</c:v>
                </c:pt>
                <c:pt idx="6">
                  <c:v>280010654</c:v>
                </c:pt>
                <c:pt idx="7">
                  <c:v>321875372</c:v>
                </c:pt>
                <c:pt idx="8">
                  <c:v>362055372</c:v>
                </c:pt>
                <c:pt idx="9">
                  <c:v>404685372</c:v>
                </c:pt>
                <c:pt idx="10">
                  <c:v>447815372</c:v>
                </c:pt>
                <c:pt idx="11">
                  <c:v>491145372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90-4653-9912-6C07CC18C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487968"/>
        <c:axId val="457482088"/>
      </c:lineChart>
      <c:catAx>
        <c:axId val="45748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7482088"/>
        <c:crosses val="autoZero"/>
        <c:auto val="1"/>
        <c:lblAlgn val="ctr"/>
        <c:lblOffset val="100"/>
        <c:noMultiLvlLbl val="0"/>
      </c:catAx>
      <c:valAx>
        <c:axId val="457482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748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利益推移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H30収支予測!$G$79</c:f>
              <c:strCache>
                <c:ptCount val="1"/>
                <c:pt idx="0">
                  <c:v>当月利益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H30収支予測!$B$80:$B$91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H30収支予測!$G$80:$G$91</c:f>
              <c:numCache>
                <c:formatCode>#,##0_ ;[Red]\-#,##0\ </c:formatCode>
                <c:ptCount val="12"/>
                <c:pt idx="0">
                  <c:v>1788697</c:v>
                </c:pt>
                <c:pt idx="1">
                  <c:v>153279</c:v>
                </c:pt>
                <c:pt idx="2">
                  <c:v>4246063</c:v>
                </c:pt>
                <c:pt idx="3">
                  <c:v>-11304353</c:v>
                </c:pt>
                <c:pt idx="4">
                  <c:v>2938935</c:v>
                </c:pt>
                <c:pt idx="5">
                  <c:v>2837300</c:v>
                </c:pt>
                <c:pt idx="6">
                  <c:v>4576531</c:v>
                </c:pt>
                <c:pt idx="7">
                  <c:v>5500935</c:v>
                </c:pt>
                <c:pt idx="8">
                  <c:v>3832862</c:v>
                </c:pt>
                <c:pt idx="9">
                  <c:v>-9064962</c:v>
                </c:pt>
                <c:pt idx="10">
                  <c:v>697089</c:v>
                </c:pt>
                <c:pt idx="11">
                  <c:v>2235330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54-4992-8831-A61D4BD4BAC1}"/>
            </c:ext>
          </c:extLst>
        </c:ser>
        <c:ser>
          <c:idx val="1"/>
          <c:order val="1"/>
          <c:tx>
            <c:strRef>
              <c:f>H30収支予測!$H$79</c:f>
              <c:strCache>
                <c:ptCount val="1"/>
                <c:pt idx="0">
                  <c:v>利益累計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H30収支予測!$B$80:$B$91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H30収支予測!$H$80:$H$91</c:f>
              <c:numCache>
                <c:formatCode>#,##0_ ;[Red]\-#,##0\ </c:formatCode>
                <c:ptCount val="12"/>
                <c:pt idx="0">
                  <c:v>1788697</c:v>
                </c:pt>
                <c:pt idx="1">
                  <c:v>1941976</c:v>
                </c:pt>
                <c:pt idx="2">
                  <c:v>6188039</c:v>
                </c:pt>
                <c:pt idx="3">
                  <c:v>-5116314</c:v>
                </c:pt>
                <c:pt idx="4">
                  <c:v>-2177379</c:v>
                </c:pt>
                <c:pt idx="5">
                  <c:v>659921</c:v>
                </c:pt>
                <c:pt idx="6">
                  <c:v>5236452</c:v>
                </c:pt>
                <c:pt idx="7">
                  <c:v>10737387</c:v>
                </c:pt>
                <c:pt idx="8">
                  <c:v>14570249</c:v>
                </c:pt>
                <c:pt idx="9">
                  <c:v>5505287</c:v>
                </c:pt>
                <c:pt idx="10">
                  <c:v>6202376</c:v>
                </c:pt>
                <c:pt idx="11">
                  <c:v>8437706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54-4992-8831-A61D4BD4B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9"/>
        <c:overlap val="-27"/>
        <c:axId val="457484832"/>
        <c:axId val="457482480"/>
      </c:barChart>
      <c:catAx>
        <c:axId val="45748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7482480"/>
        <c:crosses val="autoZero"/>
        <c:auto val="1"/>
        <c:lblAlgn val="ctr"/>
        <c:lblOffset val="100"/>
        <c:noMultiLvlLbl val="0"/>
      </c:catAx>
      <c:valAx>
        <c:axId val="457482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7484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売上予実推移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H30収支予測!$F$28</c:f>
              <c:strCache>
                <c:ptCount val="1"/>
                <c:pt idx="0">
                  <c:v>実績</c:v>
                </c:pt>
              </c:strCache>
            </c:strRef>
          </c:tx>
          <c:spPr>
            <a:solidFill>
              <a:srgbClr val="66FF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H30収支予測!$B$29:$B$40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H30収支予測!$F$29:$F$40</c:f>
              <c:numCache>
                <c:formatCode>#,##0_ ;[Red]\-#,##0\ </c:formatCode>
                <c:ptCount val="12"/>
                <c:pt idx="0">
                  <c:v>37521491</c:v>
                </c:pt>
                <c:pt idx="1">
                  <c:v>41221792</c:v>
                </c:pt>
                <c:pt idx="2">
                  <c:v>42264853</c:v>
                </c:pt>
                <c:pt idx="3">
                  <c:v>40284538</c:v>
                </c:pt>
                <c:pt idx="4">
                  <c:v>39982277</c:v>
                </c:pt>
                <c:pt idx="5">
                  <c:v>38690450</c:v>
                </c:pt>
                <c:pt idx="6">
                  <c:v>40045253</c:v>
                </c:pt>
                <c:pt idx="7">
                  <c:v>41864718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B6-4CB7-9409-904CC0B19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457488752"/>
        <c:axId val="457491104"/>
      </c:barChart>
      <c:lineChart>
        <c:grouping val="standard"/>
        <c:varyColors val="0"/>
        <c:ser>
          <c:idx val="0"/>
          <c:order val="0"/>
          <c:tx>
            <c:strRef>
              <c:f>H30収支予測!$C$28</c:f>
              <c:strCache>
                <c:ptCount val="1"/>
                <c:pt idx="0">
                  <c:v>本部予測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H30収支予測!$B$29:$B$40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H30収支予測!$C$29:$C$40</c:f>
              <c:numCache>
                <c:formatCode>#,##0_ ;[Red]\-#,##0\ </c:formatCode>
                <c:ptCount val="12"/>
                <c:pt idx="0">
                  <c:v>37460000</c:v>
                </c:pt>
                <c:pt idx="1">
                  <c:v>41250000</c:v>
                </c:pt>
                <c:pt idx="2">
                  <c:v>42210000</c:v>
                </c:pt>
                <c:pt idx="3">
                  <c:v>40180000</c:v>
                </c:pt>
                <c:pt idx="4">
                  <c:v>39940000</c:v>
                </c:pt>
                <c:pt idx="5">
                  <c:v>38690000</c:v>
                </c:pt>
                <c:pt idx="6">
                  <c:v>40040000</c:v>
                </c:pt>
                <c:pt idx="7">
                  <c:v>41860000</c:v>
                </c:pt>
                <c:pt idx="8">
                  <c:v>40180000</c:v>
                </c:pt>
                <c:pt idx="9">
                  <c:v>42630000</c:v>
                </c:pt>
                <c:pt idx="10">
                  <c:v>43130000</c:v>
                </c:pt>
                <c:pt idx="11">
                  <c:v>43330000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7B6-4CB7-9409-904CC0B19C92}"/>
            </c:ext>
          </c:extLst>
        </c:ser>
        <c:ser>
          <c:idx val="1"/>
          <c:order val="1"/>
          <c:tx>
            <c:strRef>
              <c:f>H30収支予測!$D$28</c:f>
              <c:strCache>
                <c:ptCount val="1"/>
                <c:pt idx="0">
                  <c:v>事業所計画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H30収支予測!$B$29:$B$40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H30収支予測!$D$29:$D$40</c:f>
              <c:numCache>
                <c:formatCode>#,##0_ ;[Red]\-#,##0\ </c:formatCode>
                <c:ptCount val="12"/>
                <c:pt idx="0">
                  <c:v>38620000</c:v>
                </c:pt>
                <c:pt idx="1">
                  <c:v>39140000</c:v>
                </c:pt>
                <c:pt idx="2">
                  <c:v>39550000</c:v>
                </c:pt>
                <c:pt idx="3">
                  <c:v>39650000</c:v>
                </c:pt>
                <c:pt idx="4">
                  <c:v>40350000</c:v>
                </c:pt>
                <c:pt idx="5">
                  <c:v>42300000</c:v>
                </c:pt>
                <c:pt idx="6">
                  <c:v>41850000</c:v>
                </c:pt>
                <c:pt idx="7">
                  <c:v>42850000</c:v>
                </c:pt>
                <c:pt idx="8">
                  <c:v>45260000</c:v>
                </c:pt>
                <c:pt idx="9">
                  <c:v>46700000</c:v>
                </c:pt>
                <c:pt idx="10">
                  <c:v>47350000</c:v>
                </c:pt>
                <c:pt idx="11">
                  <c:v>47700000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7B6-4CB7-9409-904CC0B19C92}"/>
            </c:ext>
          </c:extLst>
        </c:ser>
        <c:ser>
          <c:idx val="2"/>
          <c:order val="2"/>
          <c:tx>
            <c:strRef>
              <c:f>H30収支予測!$E$28</c:f>
              <c:strCache>
                <c:ptCount val="1"/>
                <c:pt idx="0">
                  <c:v>資金繰り表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H30収支予測!$B$29:$B$40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H30収支予測!$E$29:$E$40</c:f>
              <c:numCache>
                <c:formatCode>#,##0_ ;[Red]\-#,##0\ </c:formatCode>
                <c:ptCount val="12"/>
                <c:pt idx="0">
                  <c:v>34230206</c:v>
                </c:pt>
                <c:pt idx="1">
                  <c:v>36691953</c:v>
                </c:pt>
                <c:pt idx="2">
                  <c:v>36311548</c:v>
                </c:pt>
                <c:pt idx="3">
                  <c:v>41036568</c:v>
                </c:pt>
                <c:pt idx="4">
                  <c:v>38129544</c:v>
                </c:pt>
                <c:pt idx="5">
                  <c:v>40953363</c:v>
                </c:pt>
                <c:pt idx="6">
                  <c:v>39359707</c:v>
                </c:pt>
                <c:pt idx="7">
                  <c:v>38460890</c:v>
                </c:pt>
                <c:pt idx="8">
                  <c:v>38620000</c:v>
                </c:pt>
                <c:pt idx="9">
                  <c:v>39047500</c:v>
                </c:pt>
                <c:pt idx="10">
                  <c:v>41194500</c:v>
                </c:pt>
                <c:pt idx="11">
                  <c:v>42372500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7B6-4CB7-9409-904CC0B19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488752"/>
        <c:axId val="457491104"/>
      </c:lineChart>
      <c:catAx>
        <c:axId val="45748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7491104"/>
        <c:crosses val="autoZero"/>
        <c:auto val="1"/>
        <c:lblAlgn val="ctr"/>
        <c:lblOffset val="100"/>
        <c:noMultiLvlLbl val="0"/>
      </c:catAx>
      <c:valAx>
        <c:axId val="457491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7488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人件費予実推移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H30収支予測!$F$45</c:f>
              <c:strCache>
                <c:ptCount val="1"/>
                <c:pt idx="0">
                  <c:v>実績</c:v>
                </c:pt>
              </c:strCache>
            </c:strRef>
          </c:tx>
          <c:spPr>
            <a:solidFill>
              <a:srgbClr val="66FF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H30収支予測!$B$46:$B$57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H30収支予測!$F$46:$F$57</c:f>
              <c:numCache>
                <c:formatCode>#,##0_ ;[Red]\-#,##0\ </c:formatCode>
                <c:ptCount val="12"/>
                <c:pt idx="0">
                  <c:v>25578188</c:v>
                </c:pt>
                <c:pt idx="1">
                  <c:v>26917769</c:v>
                </c:pt>
                <c:pt idx="2">
                  <c:v>28291290</c:v>
                </c:pt>
                <c:pt idx="3">
                  <c:v>43000234</c:v>
                </c:pt>
                <c:pt idx="4">
                  <c:v>27870072</c:v>
                </c:pt>
                <c:pt idx="5">
                  <c:v>26853971</c:v>
                </c:pt>
                <c:pt idx="6">
                  <c:v>26812659</c:v>
                </c:pt>
                <c:pt idx="7">
                  <c:v>27716004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3A1-4B1A-A6F1-B86E0F37B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457491496"/>
        <c:axId val="457479344"/>
      </c:barChart>
      <c:lineChart>
        <c:grouping val="standard"/>
        <c:varyColors val="0"/>
        <c:ser>
          <c:idx val="0"/>
          <c:order val="0"/>
          <c:tx>
            <c:strRef>
              <c:f>H30収支予測!$C$45</c:f>
              <c:strCache>
                <c:ptCount val="1"/>
                <c:pt idx="0">
                  <c:v>本部予測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H30収支予測!$B$46:$B$57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H30収支予測!$C$46:$C$57</c:f>
              <c:numCache>
                <c:formatCode>#,##0_ ;[Red]\-#,##0\ </c:formatCode>
                <c:ptCount val="12"/>
                <c:pt idx="0">
                  <c:v>25705390</c:v>
                </c:pt>
                <c:pt idx="1">
                  <c:v>26902272</c:v>
                </c:pt>
                <c:pt idx="2">
                  <c:v>26225161</c:v>
                </c:pt>
                <c:pt idx="3">
                  <c:v>43942558</c:v>
                </c:pt>
                <c:pt idx="4">
                  <c:v>27585471</c:v>
                </c:pt>
                <c:pt idx="5">
                  <c:v>25911001</c:v>
                </c:pt>
                <c:pt idx="6">
                  <c:v>26230521</c:v>
                </c:pt>
                <c:pt idx="7">
                  <c:v>25522340</c:v>
                </c:pt>
                <c:pt idx="8">
                  <c:v>27268941</c:v>
                </c:pt>
                <c:pt idx="9">
                  <c:v>41458805</c:v>
                </c:pt>
                <c:pt idx="10">
                  <c:v>30121943</c:v>
                </c:pt>
                <c:pt idx="11">
                  <c:v>31421732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3A1-4B1A-A6F1-B86E0F37B814}"/>
            </c:ext>
          </c:extLst>
        </c:ser>
        <c:ser>
          <c:idx val="1"/>
          <c:order val="1"/>
          <c:tx>
            <c:strRef>
              <c:f>H30収支予測!$D$45</c:f>
              <c:strCache>
                <c:ptCount val="1"/>
                <c:pt idx="0">
                  <c:v>事業所計画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H30収支予測!$B$46:$B$57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H30収支予測!$D$46:$D$57</c:f>
              <c:numCache>
                <c:formatCode>#,##0_ ;[Red]\-#,##0\ </c:formatCode>
                <c:ptCount val="12"/>
                <c:pt idx="0">
                  <c:v>25164000</c:v>
                </c:pt>
                <c:pt idx="1">
                  <c:v>25323000</c:v>
                </c:pt>
                <c:pt idx="2">
                  <c:v>27381000</c:v>
                </c:pt>
                <c:pt idx="3">
                  <c:v>45979000</c:v>
                </c:pt>
                <c:pt idx="4">
                  <c:v>27774000</c:v>
                </c:pt>
                <c:pt idx="5">
                  <c:v>28214000</c:v>
                </c:pt>
                <c:pt idx="6">
                  <c:v>28354000</c:v>
                </c:pt>
                <c:pt idx="7">
                  <c:v>29333000</c:v>
                </c:pt>
                <c:pt idx="8">
                  <c:v>29373000</c:v>
                </c:pt>
                <c:pt idx="9">
                  <c:v>47664000</c:v>
                </c:pt>
                <c:pt idx="10">
                  <c:v>30613000</c:v>
                </c:pt>
                <c:pt idx="11">
                  <c:v>32583000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3A1-4B1A-A6F1-B86E0F37B814}"/>
            </c:ext>
          </c:extLst>
        </c:ser>
        <c:ser>
          <c:idx val="2"/>
          <c:order val="2"/>
          <c:tx>
            <c:strRef>
              <c:f>H30収支予測!$E$45</c:f>
              <c:strCache>
                <c:ptCount val="1"/>
                <c:pt idx="0">
                  <c:v>資金繰り表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H30収支予測!$B$46:$B$57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H30収支予測!$E$46:$E$57</c:f>
              <c:numCache>
                <c:formatCode>#,##0_ ;[Red]\-#,##0\ </c:formatCode>
                <c:ptCount val="12"/>
                <c:pt idx="0">
                  <c:v>23176352</c:v>
                </c:pt>
                <c:pt idx="1">
                  <c:v>29776545</c:v>
                </c:pt>
                <c:pt idx="2">
                  <c:v>27625334</c:v>
                </c:pt>
                <c:pt idx="3">
                  <c:v>38714288</c:v>
                </c:pt>
                <c:pt idx="4">
                  <c:v>38089430</c:v>
                </c:pt>
                <c:pt idx="5">
                  <c:v>27482437</c:v>
                </c:pt>
                <c:pt idx="6">
                  <c:v>24507009</c:v>
                </c:pt>
                <c:pt idx="7">
                  <c:v>28784803</c:v>
                </c:pt>
                <c:pt idx="8">
                  <c:v>30823829</c:v>
                </c:pt>
                <c:pt idx="9">
                  <c:v>40530598</c:v>
                </c:pt>
                <c:pt idx="10">
                  <c:v>33805858</c:v>
                </c:pt>
                <c:pt idx="11">
                  <c:v>29469098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3A1-4B1A-A6F1-B86E0F37B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491496"/>
        <c:axId val="457479344"/>
      </c:lineChart>
      <c:catAx>
        <c:axId val="457491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7479344"/>
        <c:crosses val="autoZero"/>
        <c:auto val="1"/>
        <c:lblAlgn val="ctr"/>
        <c:lblOffset val="100"/>
        <c:noMultiLvlLbl val="0"/>
      </c:catAx>
      <c:valAx>
        <c:axId val="457479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7491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経費予実推移</a:t>
            </a:r>
          </a:p>
        </c:rich>
      </c:tx>
      <c:layout>
        <c:manualLayout>
          <c:xMode val="edge"/>
          <c:yMode val="edge"/>
          <c:x val="0.37462489063867016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H30収支予測!$F$62</c:f>
              <c:strCache>
                <c:ptCount val="1"/>
                <c:pt idx="0">
                  <c:v>実績</c:v>
                </c:pt>
              </c:strCache>
            </c:strRef>
          </c:tx>
          <c:spPr>
            <a:solidFill>
              <a:srgbClr val="66FF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H30収支予測!$B$63:$B$74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H30収支予測!$F$63:$F$74</c:f>
              <c:numCache>
                <c:formatCode>#,##0_ ;[Red]\-#,##0\ </c:formatCode>
                <c:ptCount val="12"/>
                <c:pt idx="0">
                  <c:v>10154606</c:v>
                </c:pt>
                <c:pt idx="1">
                  <c:v>14150744</c:v>
                </c:pt>
                <c:pt idx="2">
                  <c:v>9727500</c:v>
                </c:pt>
                <c:pt idx="3">
                  <c:v>8588657</c:v>
                </c:pt>
                <c:pt idx="4">
                  <c:v>9173270</c:v>
                </c:pt>
                <c:pt idx="5">
                  <c:v>8999179</c:v>
                </c:pt>
                <c:pt idx="6">
                  <c:v>8656063</c:v>
                </c:pt>
                <c:pt idx="7">
                  <c:v>8647779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5E-4404-B8E5-2AE1FEA1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457494240"/>
        <c:axId val="457494632"/>
      </c:barChart>
      <c:lineChart>
        <c:grouping val="standard"/>
        <c:varyColors val="0"/>
        <c:ser>
          <c:idx val="0"/>
          <c:order val="0"/>
          <c:tx>
            <c:strRef>
              <c:f>H30収支予測!$C$62</c:f>
              <c:strCache>
                <c:ptCount val="1"/>
                <c:pt idx="0">
                  <c:v>本部予測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H30収支予測!$B$63:$B$74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H30収支予測!$C$63:$C$74</c:f>
              <c:numCache>
                <c:formatCode>#,##0_ ;[Red]\-#,##0\ </c:formatCode>
                <c:ptCount val="12"/>
                <c:pt idx="0">
                  <c:v>12361630</c:v>
                </c:pt>
                <c:pt idx="1">
                  <c:v>12391806</c:v>
                </c:pt>
                <c:pt idx="2">
                  <c:v>11220133</c:v>
                </c:pt>
                <c:pt idx="3">
                  <c:v>10292676</c:v>
                </c:pt>
                <c:pt idx="4">
                  <c:v>11009113</c:v>
                </c:pt>
                <c:pt idx="5">
                  <c:v>9801189</c:v>
                </c:pt>
                <c:pt idx="6">
                  <c:v>9637604</c:v>
                </c:pt>
                <c:pt idx="7">
                  <c:v>10221447</c:v>
                </c:pt>
                <c:pt idx="8">
                  <c:v>9078197</c:v>
                </c:pt>
                <c:pt idx="9">
                  <c:v>10236157</c:v>
                </c:pt>
                <c:pt idx="10">
                  <c:v>12310968</c:v>
                </c:pt>
                <c:pt idx="11">
                  <c:v>9672938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F5E-4404-B8E5-2AE1FEA12763}"/>
            </c:ext>
          </c:extLst>
        </c:ser>
        <c:ser>
          <c:idx val="1"/>
          <c:order val="1"/>
          <c:tx>
            <c:strRef>
              <c:f>H30収支予測!$D$62</c:f>
              <c:strCache>
                <c:ptCount val="1"/>
                <c:pt idx="0">
                  <c:v>事業所計画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H30収支予測!$B$63:$B$74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H30収支予測!$D$63:$D$74</c:f>
              <c:numCache>
                <c:formatCode>#,##0_ ;[Red]\-#,##0\ </c:formatCode>
                <c:ptCount val="12"/>
                <c:pt idx="0">
                  <c:v>11635000</c:v>
                </c:pt>
                <c:pt idx="1">
                  <c:v>9909000</c:v>
                </c:pt>
                <c:pt idx="2">
                  <c:v>10389000</c:v>
                </c:pt>
                <c:pt idx="3">
                  <c:v>9571000</c:v>
                </c:pt>
                <c:pt idx="4">
                  <c:v>11382000</c:v>
                </c:pt>
                <c:pt idx="5">
                  <c:v>10271000</c:v>
                </c:pt>
                <c:pt idx="6">
                  <c:v>10409000</c:v>
                </c:pt>
                <c:pt idx="7">
                  <c:v>13118000</c:v>
                </c:pt>
                <c:pt idx="8">
                  <c:v>11103000</c:v>
                </c:pt>
                <c:pt idx="9">
                  <c:v>12042000</c:v>
                </c:pt>
                <c:pt idx="10">
                  <c:v>11447000</c:v>
                </c:pt>
                <c:pt idx="11">
                  <c:v>10328000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F5E-4404-B8E5-2AE1FEA12763}"/>
            </c:ext>
          </c:extLst>
        </c:ser>
        <c:ser>
          <c:idx val="2"/>
          <c:order val="2"/>
          <c:tx>
            <c:strRef>
              <c:f>H30収支予測!$E$62</c:f>
              <c:strCache>
                <c:ptCount val="1"/>
                <c:pt idx="0">
                  <c:v>資金繰り表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H30収支予測!$B$63:$B$74</c:f>
              <c:strCache>
                <c:ptCount val="12"/>
                <c:pt idx="0">
                  <c:v>９月</c:v>
                </c:pt>
                <c:pt idx="1">
                  <c:v>１０月</c:v>
                </c:pt>
                <c:pt idx="2">
                  <c:v>１１月</c:v>
                </c:pt>
                <c:pt idx="3">
                  <c:v>１２月</c:v>
                </c:pt>
                <c:pt idx="4">
                  <c:v>１月</c:v>
                </c:pt>
                <c:pt idx="5">
                  <c:v>２月</c:v>
                </c:pt>
                <c:pt idx="6">
                  <c:v>３月</c:v>
                </c:pt>
                <c:pt idx="7">
                  <c:v>４月</c:v>
                </c:pt>
                <c:pt idx="8">
                  <c:v>５月</c:v>
                </c:pt>
                <c:pt idx="9">
                  <c:v>６月</c:v>
                </c:pt>
                <c:pt idx="10">
                  <c:v>７月</c:v>
                </c:pt>
                <c:pt idx="11">
                  <c:v>８月</c:v>
                </c:pt>
              </c:strCache>
            </c:strRef>
          </c:cat>
          <c:val>
            <c:numRef>
              <c:f>H30収支予測!$E$63:$E$74</c:f>
              <c:numCache>
                <c:formatCode>#,##0_ ;[Red]\-#,##0\ </c:formatCode>
                <c:ptCount val="12"/>
                <c:pt idx="0">
                  <c:v>12107106</c:v>
                </c:pt>
                <c:pt idx="1">
                  <c:v>16243587</c:v>
                </c:pt>
                <c:pt idx="2">
                  <c:v>10960673</c:v>
                </c:pt>
                <c:pt idx="3">
                  <c:v>8828027</c:v>
                </c:pt>
                <c:pt idx="4">
                  <c:v>9737200</c:v>
                </c:pt>
                <c:pt idx="5">
                  <c:v>9288002</c:v>
                </c:pt>
                <c:pt idx="6">
                  <c:v>9175655</c:v>
                </c:pt>
                <c:pt idx="7">
                  <c:v>7998095</c:v>
                </c:pt>
                <c:pt idx="8">
                  <c:v>9676557.333333334</c:v>
                </c:pt>
                <c:pt idx="9">
                  <c:v>9633426.1111111119</c:v>
                </c:pt>
                <c:pt idx="10">
                  <c:v>9581768.4814814813</c:v>
                </c:pt>
                <c:pt idx="11">
                  <c:v>9485351.9753086418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F5E-4404-B8E5-2AE1FEA1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494240"/>
        <c:axId val="457494632"/>
      </c:lineChart>
      <c:catAx>
        <c:axId val="45749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7494632"/>
        <c:crosses val="autoZero"/>
        <c:auto val="1"/>
        <c:lblAlgn val="ctr"/>
        <c:lblOffset val="100"/>
        <c:noMultiLvlLbl val="0"/>
      </c:catAx>
      <c:valAx>
        <c:axId val="457494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749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人数・稼働時間</a:t>
            </a:r>
            <a:r>
              <a:rPr lang="ja-JP" altLang="en-US" sz="1400" b="0" i="0" u="none" strike="noStrike" baseline="0">
                <a:effectLst/>
              </a:rPr>
              <a:t>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社員・パート別稼働表【2月比較】!$AZ$68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社員・パート別稼働表【2月比較】!$BA$64:$BH$65</c15:sqref>
                  </c15:fullRef>
                </c:ext>
              </c:extLst>
              <c:f>(社員・パート別稼働表【2月比較】!$BE$64:$BE$65,社員・パート別稼働表【2月比較】!$BG$64:$BG$65)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2019年4月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社員・パート別稼働表【2月比較】!$BA$68:$BH$68</c15:sqref>
                  </c15:fullRef>
                </c:ext>
              </c:extLst>
              <c:f>(社員・パート別稼働表【2月比較】!$BE$68,社員・パート別稼働表【2月比較】!$BG$68)</c:f>
              <c:numCache>
                <c:formatCode>0.0%</c:formatCode>
                <c:ptCount val="2"/>
                <c:pt idx="0" formatCode="#,##0.0_ ;[Red]\-#,##0.0\ ">
                  <c:v>0</c:v>
                </c:pt>
                <c:pt idx="1" formatCode="[h]:mm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F1-456A-9D38-A04A43F2F1B2}"/>
            </c:ext>
          </c:extLst>
        </c:ser>
        <c:ser>
          <c:idx val="0"/>
          <c:order val="1"/>
          <c:tx>
            <c:strRef>
              <c:f>社員・パート別稼働表【2月比較】!$AZ$69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社員・パート別稼働表【2月比較】!$BA$64:$BH$65</c15:sqref>
                  </c15:fullRef>
                </c:ext>
              </c:extLst>
              <c:f>(社員・パート別稼働表【2月比較】!$BE$64:$BE$65,社員・パート別稼働表【2月比較】!$BG$64:$BG$65)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2019年4月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社員・パート別稼働表【2月比較】!$BA$69:$BH$69</c15:sqref>
                  </c15:fullRef>
                </c:ext>
              </c:extLst>
              <c:f>(社員・パート別稼働表【2月比較】!$BE$69,社員・パート別稼働表【2月比較】!$BG$69)</c:f>
              <c:numCache>
                <c:formatCode>0.0%</c:formatCode>
                <c:ptCount val="2"/>
                <c:pt idx="0" formatCode="#,##0.0_ ;[Red]\-#,##0.0\ ">
                  <c:v>0</c:v>
                </c:pt>
                <c:pt idx="1" formatCode="[h]:mm">
                  <c:v>0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457493848"/>
        <c:axId val="457493064"/>
        <c:extLst xmlns:c16r2="http://schemas.microsoft.com/office/drawing/2015/06/chart"/>
      </c:barChart>
      <c:catAx>
        <c:axId val="457493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7493064"/>
        <c:crosses val="autoZero"/>
        <c:auto val="1"/>
        <c:lblAlgn val="ctr"/>
        <c:lblOffset val="100"/>
        <c:noMultiLvlLbl val="0"/>
      </c:catAx>
      <c:valAx>
        <c:axId val="457493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7493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稼働</a:t>
            </a:r>
            <a:r>
              <a:rPr lang="ja-JP" altLang="en-US" sz="1400" b="0" i="0" u="none" strike="noStrike" baseline="0">
                <a:effectLst/>
              </a:rPr>
              <a:t>時間</a:t>
            </a:r>
            <a:r>
              <a:rPr lang="ja-JP" altLang="en-US"/>
              <a:t>割合</a:t>
            </a:r>
          </a:p>
        </c:rich>
      </c:tx>
      <c:layout>
        <c:manualLayout>
          <c:xMode val="edge"/>
          <c:yMode val="edge"/>
          <c:x val="6.5847112860892384E-2"/>
          <c:y val="8.333333333333332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4680112535830395"/>
          <c:y val="0.16833333333333333"/>
          <c:w val="0.51220399279540252"/>
          <c:h val="0.77798611111111116"/>
        </c:manualLayout>
      </c:layout>
      <c:pieChart>
        <c:varyColors val="1"/>
        <c:ser>
          <c:idx val="6"/>
          <c:order val="6"/>
          <c:tx>
            <c:strRef>
              <c:f>社員・パート別稼働表【2月比較】!$BG$64:$BG$65</c:f>
              <c:strCache>
                <c:ptCount val="2"/>
                <c:pt idx="0">
                  <c:v>2019年4月</c:v>
                </c:pt>
                <c:pt idx="1">
                  <c:v>稼働時分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社員・パート別稼働表【2月比較】!$AZ$68:$AZ$69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f>社員・パート別稼働表【2月比較】!$BG$68:$BG$69</c:f>
              <c:numCache>
                <c:formatCode>[h]:mm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社員・パート別稼働表【2月比較】!$BA$64:$BA$65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人数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</c:spPr>
                <c:dPt>
                  <c:idx val="0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numFmt formatCode="_(&quot;¥&quot;* #,##0_);_(&quot;¥&quot;* \(#,##0\);_(&quot;¥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>
                    <c:ext uri="{CE6537A1-D6FC-4f65-9D91-7224C49458BB}"/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社員・パート別稼働表【2月比較】!$AZ$68:$AZ$69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社員・パート別稼働表【2月比較】!$BA$68:$BA$69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9-3E09-4CE1-B246-5FD4F9892432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社員・パート別稼働表【2月比較】!$BB$64:$BB$65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社員・パート別稼働表【2月比較】!$AZ$68:$AZ$69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社員・パート別稼働表【2月比較】!$BB$68:$BB$69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社員・パート別稼働表【2月比較】!$BC$64:$BC$65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稼働時分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社員・パート別稼働表【2月比較】!$AZ$68:$AZ$69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社員・パート別稼働表【2月比較】!$BC$68:$BC$69</c15:sqref>
                        </c15:formulaRef>
                      </c:ext>
                    </c:extLst>
                    <c:numCache>
                      <c:formatCode>[h]:mm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社員・パート別稼働表【2月比較】!$BD$64:$BD$65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社員・パート別稼働表【2月比較】!$AZ$68:$AZ$69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社員・パート別稼働表【2月比較】!$BD$68:$BD$69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社員・パート別稼働表【2月比較】!$BE$64:$BE$65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人数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社員・パート別稼働表【2月比較】!$AZ$68:$AZ$69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社員・パート別稼働表【2月比較】!$BE$68:$BE$69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社員・パート別稼働表【2月比較】!$BF$64:$BF$65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社員・パート別稼働表【2月比較】!$AZ$68:$AZ$69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社員・パート別稼働表【2月比較】!$BF$68:$BF$69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社員・パート別稼働表【2月比較】!$BH$64:$BH$65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社員・パート別稼働表【2月比較】!$AZ$68:$AZ$69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社員・パート別稼働表【2月比較】!$BH$68:$BH$69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175875841166764E-2"/>
          <c:y val="2.0000339669396353E-2"/>
          <c:w val="0.85423891667897689"/>
          <c:h val="0.89843365627476635"/>
        </c:manualLayout>
      </c:layout>
      <c:areaChart>
        <c:grouping val="standard"/>
        <c:varyColors val="0"/>
        <c:ser>
          <c:idx val="15"/>
          <c:order val="15"/>
          <c:tx>
            <c:strRef>
              <c:f>売上推移!$B$19</c:f>
              <c:strCache>
                <c:ptCount val="1"/>
                <c:pt idx="0">
                  <c:v>全社売上</c:v>
                </c:pt>
              </c:strCache>
            </c:strRef>
          </c:tx>
          <c:spPr>
            <a:solidFill>
              <a:srgbClr val="66CCFF"/>
            </a:solidFill>
            <a:ln>
              <a:noFill/>
            </a:ln>
            <a:effectLst/>
          </c:spPr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売上推移!$C$19:$Z$19</c:f>
              <c:numCache>
                <c:formatCode>#,##0_ ;[Red]\-#,##0\ </c:formatCode>
                <c:ptCount val="24"/>
                <c:pt idx="0">
                  <c:v>32703033</c:v>
                </c:pt>
                <c:pt idx="1">
                  <c:v>36915821</c:v>
                </c:pt>
                <c:pt idx="2">
                  <c:v>36080296</c:v>
                </c:pt>
                <c:pt idx="3">
                  <c:v>34899186</c:v>
                </c:pt>
                <c:pt idx="4">
                  <c:v>35916200</c:v>
                </c:pt>
                <c:pt idx="5">
                  <c:v>37696511</c:v>
                </c:pt>
                <c:pt idx="6">
                  <c:v>35721077</c:v>
                </c:pt>
                <c:pt idx="7">
                  <c:v>35713004</c:v>
                </c:pt>
                <c:pt idx="8">
                  <c:v>34507019</c:v>
                </c:pt>
                <c:pt idx="9">
                  <c:v>33718137</c:v>
                </c:pt>
                <c:pt idx="10">
                  <c:v>35034097</c:v>
                </c:pt>
                <c:pt idx="11">
                  <c:v>39122247</c:v>
                </c:pt>
                <c:pt idx="12">
                  <c:v>39669030</c:v>
                </c:pt>
                <c:pt idx="13">
                  <c:v>36072718</c:v>
                </c:pt>
                <c:pt idx="14">
                  <c:v>38549836</c:v>
                </c:pt>
                <c:pt idx="15">
                  <c:v>36710781</c:v>
                </c:pt>
                <c:pt idx="16">
                  <c:v>37521491</c:v>
                </c:pt>
                <c:pt idx="17">
                  <c:v>41221792</c:v>
                </c:pt>
                <c:pt idx="18">
                  <c:v>42264853</c:v>
                </c:pt>
                <c:pt idx="19">
                  <c:v>40284538</c:v>
                </c:pt>
                <c:pt idx="20">
                  <c:v>39982277</c:v>
                </c:pt>
                <c:pt idx="21">
                  <c:v>38690450</c:v>
                </c:pt>
                <c:pt idx="22">
                  <c:v>40045253</c:v>
                </c:pt>
                <c:pt idx="23">
                  <c:v>41864718</c:v>
                </c:pt>
              </c:numCache>
            </c:numRef>
          </c:val>
        </c:ser>
        <c:ser>
          <c:idx val="16"/>
          <c:order val="16"/>
          <c:tx>
            <c:strRef>
              <c:f>売上推移!$B$20</c:f>
              <c:strCache>
                <c:ptCount val="1"/>
                <c:pt idx="0">
                  <c:v>人件費+経費
-期末調整</c:v>
                </c:pt>
              </c:strCache>
            </c:strRef>
          </c:tx>
          <c:spPr>
            <a:solidFill>
              <a:srgbClr val="FFFFCC"/>
            </a:solidFill>
            <a:ln>
              <a:solidFill>
                <a:schemeClr val="accent1"/>
              </a:solidFill>
            </a:ln>
            <a:effectLst/>
          </c:spPr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売上推移!$C$20:$Z$20</c:f>
              <c:numCache>
                <c:formatCode>#,##0_ ;[Red]\-#,##0\ </c:formatCode>
                <c:ptCount val="24"/>
                <c:pt idx="0">
                  <c:v>28961864</c:v>
                </c:pt>
                <c:pt idx="1">
                  <c:v>34081284</c:v>
                </c:pt>
                <c:pt idx="2">
                  <c:v>31034245</c:v>
                </c:pt>
                <c:pt idx="3">
                  <c:v>32506840</c:v>
                </c:pt>
                <c:pt idx="4">
                  <c:v>29734471</c:v>
                </c:pt>
                <c:pt idx="5">
                  <c:v>31049754</c:v>
                </c:pt>
                <c:pt idx="6">
                  <c:v>32679182</c:v>
                </c:pt>
                <c:pt idx="7">
                  <c:v>44370795</c:v>
                </c:pt>
                <c:pt idx="8">
                  <c:v>36679394</c:v>
                </c:pt>
                <c:pt idx="9">
                  <c:v>31197700</c:v>
                </c:pt>
                <c:pt idx="10">
                  <c:v>34351833</c:v>
                </c:pt>
                <c:pt idx="11">
                  <c:v>34444276</c:v>
                </c:pt>
                <c:pt idx="12">
                  <c:v>34123721</c:v>
                </c:pt>
                <c:pt idx="13">
                  <c:v>42950130</c:v>
                </c:pt>
                <c:pt idx="14">
                  <c:v>38147174</c:v>
                </c:pt>
                <c:pt idx="15">
                  <c:v>37818318</c:v>
                </c:pt>
                <c:pt idx="16">
                  <c:v>35732794</c:v>
                </c:pt>
                <c:pt idx="17">
                  <c:v>41068513</c:v>
                </c:pt>
                <c:pt idx="18">
                  <c:v>38014623</c:v>
                </c:pt>
                <c:pt idx="19">
                  <c:v>51586693</c:v>
                </c:pt>
                <c:pt idx="20">
                  <c:v>37043342</c:v>
                </c:pt>
                <c:pt idx="21">
                  <c:v>35933766</c:v>
                </c:pt>
                <c:pt idx="22">
                  <c:v>35468722</c:v>
                </c:pt>
                <c:pt idx="23">
                  <c:v>36363783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4985720"/>
        <c:axId val="454988464"/>
        <c:extLst>
          <c:ext xmlns:c15="http://schemas.microsoft.com/office/drawing/2012/chart" uri="{02D57815-91ED-43cb-92C2-25804820EDAC}">
            <c15:filteredAreaSeries>
              <c15:ser>
                <c:idx val="13"/>
                <c:order val="13"/>
                <c:tx>
                  <c:strRef>
                    <c:extLst>
                      <c:ext uri="{02D57815-91ED-43cb-92C2-25804820EDAC}">
                        <c15:formulaRef>
                          <c15:sqref>売上推移!$B$17</c15:sqref>
                        </c15:formulaRef>
                      </c:ext>
                    </c:extLst>
                    <c:strCache>
                      <c:ptCount val="1"/>
                      <c:pt idx="0">
                        <c:v>GH計</c:v>
                      </c:pt>
                    </c:strCache>
                  </c:strRef>
                </c:tx>
                <c:spPr>
                  <a:solidFill>
                    <a:srgbClr val="FFFFCC"/>
                  </a:solidFill>
                  <a:ln>
                    <a:solidFill>
                      <a:schemeClr val="accent1"/>
                    </a:solidFill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売上推移!$C$3:$Z$3</c15:sqref>
                        </c15:formulaRef>
                      </c:ext>
                    </c:extLst>
                    <c:numCache>
                      <c:formatCode>[$-411]ge\.mm"月";@</c:formatCode>
                      <c:ptCount val="24"/>
                      <c:pt idx="0">
                        <c:v>42856</c:v>
                      </c:pt>
                      <c:pt idx="1">
                        <c:v>42887</c:v>
                      </c:pt>
                      <c:pt idx="2">
                        <c:v>42917</c:v>
                      </c:pt>
                      <c:pt idx="3">
                        <c:v>42948</c:v>
                      </c:pt>
                      <c:pt idx="4">
                        <c:v>42979</c:v>
                      </c:pt>
                      <c:pt idx="5">
                        <c:v>43009</c:v>
                      </c:pt>
                      <c:pt idx="6">
                        <c:v>43040</c:v>
                      </c:pt>
                      <c:pt idx="7">
                        <c:v>43070</c:v>
                      </c:pt>
                      <c:pt idx="8">
                        <c:v>43101</c:v>
                      </c:pt>
                      <c:pt idx="9">
                        <c:v>43132</c:v>
                      </c:pt>
                      <c:pt idx="10">
                        <c:v>43160</c:v>
                      </c:pt>
                      <c:pt idx="11">
                        <c:v>43191</c:v>
                      </c:pt>
                      <c:pt idx="12">
                        <c:v>43221</c:v>
                      </c:pt>
                      <c:pt idx="13">
                        <c:v>43252</c:v>
                      </c:pt>
                      <c:pt idx="14">
                        <c:v>43282</c:v>
                      </c:pt>
                      <c:pt idx="15">
                        <c:v>43313</c:v>
                      </c:pt>
                      <c:pt idx="16">
                        <c:v>43344</c:v>
                      </c:pt>
                      <c:pt idx="17">
                        <c:v>43374</c:v>
                      </c:pt>
                      <c:pt idx="18">
                        <c:v>43405</c:v>
                      </c:pt>
                      <c:pt idx="19">
                        <c:v>43435</c:v>
                      </c:pt>
                      <c:pt idx="20">
                        <c:v>43466</c:v>
                      </c:pt>
                      <c:pt idx="21">
                        <c:v>43497</c:v>
                      </c:pt>
                      <c:pt idx="22">
                        <c:v>43525</c:v>
                      </c:pt>
                      <c:pt idx="23">
                        <c:v>43556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売上推移!$C$17:$Z$17</c15:sqref>
                        </c15:formulaRef>
                      </c:ext>
                    </c:extLst>
                    <c:numCache>
                      <c:formatCode>#,##0_ ;[Red]\-#,##0\ </c:formatCode>
                      <c:ptCount val="24"/>
                      <c:pt idx="0">
                        <c:v>1527664</c:v>
                      </c:pt>
                      <c:pt idx="1">
                        <c:v>6701834</c:v>
                      </c:pt>
                      <c:pt idx="2">
                        <c:v>4339886</c:v>
                      </c:pt>
                      <c:pt idx="3">
                        <c:v>4033052</c:v>
                      </c:pt>
                      <c:pt idx="4">
                        <c:v>4385088</c:v>
                      </c:pt>
                      <c:pt idx="5">
                        <c:v>5388486</c:v>
                      </c:pt>
                      <c:pt idx="6">
                        <c:v>4932061</c:v>
                      </c:pt>
                      <c:pt idx="7">
                        <c:v>4846209</c:v>
                      </c:pt>
                      <c:pt idx="8">
                        <c:v>4521767</c:v>
                      </c:pt>
                      <c:pt idx="9">
                        <c:v>4251654</c:v>
                      </c:pt>
                      <c:pt idx="10">
                        <c:v>4845757</c:v>
                      </c:pt>
                      <c:pt idx="11">
                        <c:v>4652452</c:v>
                      </c:pt>
                      <c:pt idx="12">
                        <c:v>6288634</c:v>
                      </c:pt>
                      <c:pt idx="13">
                        <c:v>4072029</c:v>
                      </c:pt>
                      <c:pt idx="14">
                        <c:v>5223230</c:v>
                      </c:pt>
                      <c:pt idx="15">
                        <c:v>4262820</c:v>
                      </c:pt>
                      <c:pt idx="16">
                        <c:v>4499106</c:v>
                      </c:pt>
                      <c:pt idx="17">
                        <c:v>5027679</c:v>
                      </c:pt>
                      <c:pt idx="18">
                        <c:v>4965039</c:v>
                      </c:pt>
                      <c:pt idx="19">
                        <c:v>5126089</c:v>
                      </c:pt>
                      <c:pt idx="20">
                        <c:v>5611286</c:v>
                      </c:pt>
                      <c:pt idx="21">
                        <c:v>5636882</c:v>
                      </c:pt>
                      <c:pt idx="22">
                        <c:v>5775875</c:v>
                      </c:pt>
                      <c:pt idx="23">
                        <c:v>6783695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2F00-48E2-BFD1-9E1579D8B22A}"/>
                  </c:ext>
                </c:extLst>
              </c15:ser>
            </c15:filteredAreaSeries>
          </c:ext>
        </c:extLst>
      </c:areaChart>
      <c:barChart>
        <c:barDir val="col"/>
        <c:grouping val="stacked"/>
        <c:varyColors val="0"/>
        <c:ser>
          <c:idx val="1"/>
          <c:order val="0"/>
          <c:tx>
            <c:strRef>
              <c:f>売上推移!$B$4</c:f>
              <c:strCache>
                <c:ptCount val="1"/>
                <c:pt idx="0">
                  <c:v>本部
管理部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売上推移!$C$4:$Z$4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140400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142560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F00-48E2-BFD1-9E1579D8B22A}"/>
            </c:ext>
          </c:extLst>
        </c:ser>
        <c:ser>
          <c:idx val="0"/>
          <c:order val="1"/>
          <c:tx>
            <c:strRef>
              <c:f>売上推移!$B$5</c:f>
              <c:strCache>
                <c:ptCount val="1"/>
                <c:pt idx="0">
                  <c:v>白金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売上推移!$C$5:$Z$5</c:f>
              <c:numCache>
                <c:formatCode>#,##0_ ;[Red]\-#,##0\ </c:formatCode>
                <c:ptCount val="24"/>
                <c:pt idx="0">
                  <c:v>10081728</c:v>
                </c:pt>
                <c:pt idx="1">
                  <c:v>9528673</c:v>
                </c:pt>
                <c:pt idx="2">
                  <c:v>10338554</c:v>
                </c:pt>
                <c:pt idx="3">
                  <c:v>10004240</c:v>
                </c:pt>
                <c:pt idx="4">
                  <c:v>10291903</c:v>
                </c:pt>
                <c:pt idx="5">
                  <c:v>10634528</c:v>
                </c:pt>
                <c:pt idx="6">
                  <c:v>9718481</c:v>
                </c:pt>
                <c:pt idx="7">
                  <c:v>10007332</c:v>
                </c:pt>
                <c:pt idx="8">
                  <c:v>10050857</c:v>
                </c:pt>
                <c:pt idx="9">
                  <c:v>9647827</c:v>
                </c:pt>
                <c:pt idx="10">
                  <c:v>10237581</c:v>
                </c:pt>
                <c:pt idx="11">
                  <c:v>10301194</c:v>
                </c:pt>
                <c:pt idx="12">
                  <c:v>10772827</c:v>
                </c:pt>
                <c:pt idx="13">
                  <c:v>9835106</c:v>
                </c:pt>
                <c:pt idx="14">
                  <c:v>11042771</c:v>
                </c:pt>
                <c:pt idx="15">
                  <c:v>9842755</c:v>
                </c:pt>
                <c:pt idx="16">
                  <c:v>11239510</c:v>
                </c:pt>
                <c:pt idx="17">
                  <c:v>12511332</c:v>
                </c:pt>
                <c:pt idx="18">
                  <c:v>12778671</c:v>
                </c:pt>
                <c:pt idx="19">
                  <c:v>12163091</c:v>
                </c:pt>
                <c:pt idx="20">
                  <c:v>12668826</c:v>
                </c:pt>
                <c:pt idx="21">
                  <c:v>11458207</c:v>
                </c:pt>
                <c:pt idx="22">
                  <c:v>12821396</c:v>
                </c:pt>
                <c:pt idx="23">
                  <c:v>12901588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F00-48E2-BFD1-9E1579D8B22A}"/>
            </c:ext>
          </c:extLst>
        </c:ser>
        <c:ser>
          <c:idx val="2"/>
          <c:order val="2"/>
          <c:tx>
            <c:strRef>
              <c:f>売上推移!$B$6</c:f>
              <c:strCache>
                <c:ptCount val="1"/>
                <c:pt idx="0">
                  <c:v>蘇我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売上推移!$C$6:$Z$6</c:f>
              <c:numCache>
                <c:formatCode>#,##0_ ;[Red]\-#,##0\ </c:formatCode>
                <c:ptCount val="24"/>
                <c:pt idx="0">
                  <c:v>5342987</c:v>
                </c:pt>
                <c:pt idx="1">
                  <c:v>5683733</c:v>
                </c:pt>
                <c:pt idx="2">
                  <c:v>5487698</c:v>
                </c:pt>
                <c:pt idx="3">
                  <c:v>5643961</c:v>
                </c:pt>
                <c:pt idx="4">
                  <c:v>6023613</c:v>
                </c:pt>
                <c:pt idx="5">
                  <c:v>6290993</c:v>
                </c:pt>
                <c:pt idx="6">
                  <c:v>5954408</c:v>
                </c:pt>
                <c:pt idx="7">
                  <c:v>5963920</c:v>
                </c:pt>
                <c:pt idx="8">
                  <c:v>5489569</c:v>
                </c:pt>
                <c:pt idx="9">
                  <c:v>5383737</c:v>
                </c:pt>
                <c:pt idx="10">
                  <c:v>5385437</c:v>
                </c:pt>
                <c:pt idx="11">
                  <c:v>7729590</c:v>
                </c:pt>
                <c:pt idx="12">
                  <c:v>6731026</c:v>
                </c:pt>
                <c:pt idx="13">
                  <c:v>6530234</c:v>
                </c:pt>
                <c:pt idx="14">
                  <c:v>6075758</c:v>
                </c:pt>
                <c:pt idx="15">
                  <c:v>6170804</c:v>
                </c:pt>
                <c:pt idx="16">
                  <c:v>6157056</c:v>
                </c:pt>
                <c:pt idx="17">
                  <c:v>7557882</c:v>
                </c:pt>
                <c:pt idx="18">
                  <c:v>7285298</c:v>
                </c:pt>
                <c:pt idx="19">
                  <c:v>6678253</c:v>
                </c:pt>
                <c:pt idx="20">
                  <c:v>5940817</c:v>
                </c:pt>
                <c:pt idx="21">
                  <c:v>6270597</c:v>
                </c:pt>
                <c:pt idx="22">
                  <c:v>5457771</c:v>
                </c:pt>
                <c:pt idx="23">
                  <c:v>6262229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F00-48E2-BFD1-9E1579D8B22A}"/>
            </c:ext>
          </c:extLst>
        </c:ser>
        <c:ser>
          <c:idx val="3"/>
          <c:order val="3"/>
          <c:tx>
            <c:strRef>
              <c:f>売上推移!$B$7</c:f>
              <c:strCache>
                <c:ptCount val="1"/>
                <c:pt idx="0">
                  <c:v>誉田</c:v>
                </c:pt>
              </c:strCache>
            </c:strRef>
          </c:tx>
          <c:spPr>
            <a:solidFill>
              <a:srgbClr val="00CC99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売上推移!$C$7:$Z$7</c:f>
              <c:numCache>
                <c:formatCode>#,##0_ ;[Red]\-#,##0\ </c:formatCode>
                <c:ptCount val="24"/>
                <c:pt idx="0">
                  <c:v>5374919</c:v>
                </c:pt>
                <c:pt idx="1">
                  <c:v>5697582</c:v>
                </c:pt>
                <c:pt idx="2">
                  <c:v>5897081</c:v>
                </c:pt>
                <c:pt idx="3">
                  <c:v>5788645</c:v>
                </c:pt>
                <c:pt idx="4">
                  <c:v>5817896</c:v>
                </c:pt>
                <c:pt idx="5">
                  <c:v>5787410</c:v>
                </c:pt>
                <c:pt idx="6">
                  <c:v>5899891</c:v>
                </c:pt>
                <c:pt idx="7">
                  <c:v>5629984</c:v>
                </c:pt>
                <c:pt idx="8">
                  <c:v>6168362</c:v>
                </c:pt>
                <c:pt idx="9">
                  <c:v>5709957</c:v>
                </c:pt>
                <c:pt idx="10">
                  <c:v>5793244</c:v>
                </c:pt>
                <c:pt idx="11">
                  <c:v>6587828</c:v>
                </c:pt>
                <c:pt idx="12">
                  <c:v>6479560</c:v>
                </c:pt>
                <c:pt idx="13">
                  <c:v>6806472</c:v>
                </c:pt>
                <c:pt idx="14">
                  <c:v>6915528</c:v>
                </c:pt>
                <c:pt idx="15">
                  <c:v>7519354</c:v>
                </c:pt>
                <c:pt idx="16">
                  <c:v>6774361</c:v>
                </c:pt>
                <c:pt idx="17">
                  <c:v>7419604</c:v>
                </c:pt>
                <c:pt idx="18">
                  <c:v>7099035</c:v>
                </c:pt>
                <c:pt idx="19">
                  <c:v>7065580</c:v>
                </c:pt>
                <c:pt idx="20">
                  <c:v>7041908</c:v>
                </c:pt>
                <c:pt idx="21">
                  <c:v>6369053</c:v>
                </c:pt>
                <c:pt idx="22">
                  <c:v>6979599</c:v>
                </c:pt>
                <c:pt idx="23">
                  <c:v>7110420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F00-48E2-BFD1-9E1579D8B22A}"/>
            </c:ext>
          </c:extLst>
        </c:ser>
        <c:ser>
          <c:idx val="4"/>
          <c:order val="4"/>
          <c:tx>
            <c:strRef>
              <c:f>売上推移!$B$8</c:f>
              <c:strCache>
                <c:ptCount val="1"/>
                <c:pt idx="0">
                  <c:v>千葉東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売上推移!$C$8:$Z$8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100885</c:v>
                </c:pt>
                <c:pt idx="14">
                  <c:v>663080</c:v>
                </c:pt>
                <c:pt idx="15">
                  <c:v>624826</c:v>
                </c:pt>
                <c:pt idx="16">
                  <c:v>1193278</c:v>
                </c:pt>
                <c:pt idx="17">
                  <c:v>1631546</c:v>
                </c:pt>
                <c:pt idx="18">
                  <c:v>1296114</c:v>
                </c:pt>
                <c:pt idx="19">
                  <c:v>1520846</c:v>
                </c:pt>
                <c:pt idx="20">
                  <c:v>1160774</c:v>
                </c:pt>
                <c:pt idx="21">
                  <c:v>903949</c:v>
                </c:pt>
                <c:pt idx="22">
                  <c:v>0</c:v>
                </c:pt>
                <c:pt idx="23">
                  <c:v>13148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F00-48E2-BFD1-9E1579D8B22A}"/>
            </c:ext>
          </c:extLst>
        </c:ser>
        <c:ser>
          <c:idx val="5"/>
          <c:order val="5"/>
          <c:tx>
            <c:strRef>
              <c:f>売上推移!$B$9</c:f>
              <c:strCache>
                <c:ptCount val="1"/>
                <c:pt idx="0">
                  <c:v>千葉西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売上推移!$C$9:$Z$9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234284</c:v>
                </c:pt>
                <c:pt idx="18">
                  <c:v>485638</c:v>
                </c:pt>
                <c:pt idx="19">
                  <c:v>701720</c:v>
                </c:pt>
                <c:pt idx="20">
                  <c:v>810680</c:v>
                </c:pt>
                <c:pt idx="21">
                  <c:v>1060746</c:v>
                </c:pt>
                <c:pt idx="22">
                  <c:v>1438607</c:v>
                </c:pt>
                <c:pt idx="23">
                  <c:v>1905194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2F00-48E2-BFD1-9E1579D8B22A}"/>
            </c:ext>
          </c:extLst>
        </c:ser>
        <c:ser>
          <c:idx val="6"/>
          <c:order val="6"/>
          <c:tx>
            <c:strRef>
              <c:f>売上推移!$B$10</c:f>
              <c:strCache>
                <c:ptCount val="1"/>
                <c:pt idx="0">
                  <c:v>白金デイ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売上推移!$C$10:$Z$10</c:f>
              <c:numCache>
                <c:formatCode>#,##0_ ;[Red]\-#,##0\ </c:formatCode>
                <c:ptCount val="24"/>
                <c:pt idx="0">
                  <c:v>3549708</c:v>
                </c:pt>
                <c:pt idx="1">
                  <c:v>3597785</c:v>
                </c:pt>
                <c:pt idx="2">
                  <c:v>3616139</c:v>
                </c:pt>
                <c:pt idx="3">
                  <c:v>3174804</c:v>
                </c:pt>
                <c:pt idx="4">
                  <c:v>3130698</c:v>
                </c:pt>
                <c:pt idx="5">
                  <c:v>3270391</c:v>
                </c:pt>
                <c:pt idx="6">
                  <c:v>3507733</c:v>
                </c:pt>
                <c:pt idx="7">
                  <c:v>3292348</c:v>
                </c:pt>
                <c:pt idx="8">
                  <c:v>3313516</c:v>
                </c:pt>
                <c:pt idx="9">
                  <c:v>3497339</c:v>
                </c:pt>
                <c:pt idx="10">
                  <c:v>3458623</c:v>
                </c:pt>
                <c:pt idx="11">
                  <c:v>4706520</c:v>
                </c:pt>
                <c:pt idx="12">
                  <c:v>4419633</c:v>
                </c:pt>
                <c:pt idx="13">
                  <c:v>4146272</c:v>
                </c:pt>
                <c:pt idx="14">
                  <c:v>4468494</c:v>
                </c:pt>
                <c:pt idx="15">
                  <c:v>4494230</c:v>
                </c:pt>
                <c:pt idx="16">
                  <c:v>4417151</c:v>
                </c:pt>
                <c:pt idx="17">
                  <c:v>4442200</c:v>
                </c:pt>
                <c:pt idx="18">
                  <c:v>4833081</c:v>
                </c:pt>
                <c:pt idx="19">
                  <c:v>4422644</c:v>
                </c:pt>
                <c:pt idx="20">
                  <c:v>4120917</c:v>
                </c:pt>
                <c:pt idx="21">
                  <c:v>4475893</c:v>
                </c:pt>
                <c:pt idx="22">
                  <c:v>4931183</c:v>
                </c:pt>
                <c:pt idx="23">
                  <c:v>4425975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F00-48E2-BFD1-9E1579D8B22A}"/>
            </c:ext>
          </c:extLst>
        </c:ser>
        <c:ser>
          <c:idx val="7"/>
          <c:order val="7"/>
          <c:tx>
            <c:strRef>
              <c:f>売上推移!$B$11</c:f>
              <c:strCache>
                <c:ptCount val="1"/>
                <c:pt idx="0">
                  <c:v>二日市場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売上推移!$C$11:$Z$11</c:f>
              <c:numCache>
                <c:formatCode>#,##0_ ;[Red]\-#,##0\ </c:formatCode>
                <c:ptCount val="24"/>
                <c:pt idx="0">
                  <c:v>3218370</c:v>
                </c:pt>
                <c:pt idx="1">
                  <c:v>2893429</c:v>
                </c:pt>
                <c:pt idx="2">
                  <c:v>3184472</c:v>
                </c:pt>
                <c:pt idx="3">
                  <c:v>3124894</c:v>
                </c:pt>
                <c:pt idx="4">
                  <c:v>3081346</c:v>
                </c:pt>
                <c:pt idx="5">
                  <c:v>2989139</c:v>
                </c:pt>
                <c:pt idx="6">
                  <c:v>2574677</c:v>
                </c:pt>
                <c:pt idx="7">
                  <c:v>2853536</c:v>
                </c:pt>
                <c:pt idx="8">
                  <c:v>2617181</c:v>
                </c:pt>
                <c:pt idx="9">
                  <c:v>3057960</c:v>
                </c:pt>
                <c:pt idx="10">
                  <c:v>3056897</c:v>
                </c:pt>
                <c:pt idx="11">
                  <c:v>3183714</c:v>
                </c:pt>
                <c:pt idx="12">
                  <c:v>3021707</c:v>
                </c:pt>
                <c:pt idx="13">
                  <c:v>2692178</c:v>
                </c:pt>
                <c:pt idx="14">
                  <c:v>2546587</c:v>
                </c:pt>
                <c:pt idx="15">
                  <c:v>2351469</c:v>
                </c:pt>
                <c:pt idx="16">
                  <c:v>2112073</c:v>
                </c:pt>
                <c:pt idx="17">
                  <c:v>2397265</c:v>
                </c:pt>
                <c:pt idx="18">
                  <c:v>3521977</c:v>
                </c:pt>
                <c:pt idx="19">
                  <c:v>2606315</c:v>
                </c:pt>
                <c:pt idx="20">
                  <c:v>2627069</c:v>
                </c:pt>
                <c:pt idx="21">
                  <c:v>2515123</c:v>
                </c:pt>
                <c:pt idx="22">
                  <c:v>2498262</c:v>
                </c:pt>
                <c:pt idx="23">
                  <c:v>2462469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F00-48E2-BFD1-9E1579D8B22A}"/>
            </c:ext>
          </c:extLst>
        </c:ser>
        <c:ser>
          <c:idx val="8"/>
          <c:order val="8"/>
          <c:tx>
            <c:strRef>
              <c:f>売上推移!$B$12</c:f>
              <c:strCache>
                <c:ptCount val="1"/>
                <c:pt idx="0">
                  <c:v>中高根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売上推移!$C$12:$Z$12</c:f>
              <c:numCache>
                <c:formatCode>#,##0_ ;[Red]\-#,##0\ </c:formatCode>
                <c:ptCount val="24"/>
                <c:pt idx="0">
                  <c:v>596033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F00-48E2-BFD1-9E1579D8B22A}"/>
            </c:ext>
          </c:extLst>
        </c:ser>
        <c:ser>
          <c:idx val="10"/>
          <c:order val="9"/>
          <c:tx>
            <c:strRef>
              <c:f>売上推移!$B$13</c:f>
              <c:strCache>
                <c:ptCount val="1"/>
                <c:pt idx="0">
                  <c:v>GH五井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売上推移!$C$13:$Z$13</c:f>
              <c:numCache>
                <c:formatCode>#,##0_ ;[Red]\-#,##0\ </c:formatCode>
                <c:ptCount val="24"/>
                <c:pt idx="0">
                  <c:v>408033</c:v>
                </c:pt>
                <c:pt idx="1">
                  <c:v>2686373</c:v>
                </c:pt>
                <c:pt idx="2">
                  <c:v>1273066</c:v>
                </c:pt>
                <c:pt idx="3">
                  <c:v>1036363</c:v>
                </c:pt>
                <c:pt idx="4">
                  <c:v>1236162</c:v>
                </c:pt>
                <c:pt idx="5">
                  <c:v>1051496</c:v>
                </c:pt>
                <c:pt idx="6">
                  <c:v>1225409</c:v>
                </c:pt>
                <c:pt idx="7">
                  <c:v>1036248</c:v>
                </c:pt>
                <c:pt idx="8">
                  <c:v>809040</c:v>
                </c:pt>
                <c:pt idx="9">
                  <c:v>741413</c:v>
                </c:pt>
                <c:pt idx="10">
                  <c:v>820390</c:v>
                </c:pt>
                <c:pt idx="11">
                  <c:v>859760</c:v>
                </c:pt>
                <c:pt idx="12">
                  <c:v>1366814</c:v>
                </c:pt>
                <c:pt idx="13">
                  <c:v>548955</c:v>
                </c:pt>
                <c:pt idx="14">
                  <c:v>1159974</c:v>
                </c:pt>
                <c:pt idx="15">
                  <c:v>870546</c:v>
                </c:pt>
                <c:pt idx="16">
                  <c:v>861636</c:v>
                </c:pt>
                <c:pt idx="17">
                  <c:v>1139110</c:v>
                </c:pt>
                <c:pt idx="18">
                  <c:v>1134937</c:v>
                </c:pt>
                <c:pt idx="19">
                  <c:v>1175963</c:v>
                </c:pt>
                <c:pt idx="20">
                  <c:v>1272363</c:v>
                </c:pt>
                <c:pt idx="21">
                  <c:v>1036423</c:v>
                </c:pt>
                <c:pt idx="22">
                  <c:v>1027444</c:v>
                </c:pt>
                <c:pt idx="23">
                  <c:v>1077061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2F00-48E2-BFD1-9E1579D8B22A}"/>
            </c:ext>
          </c:extLst>
        </c:ser>
        <c:ser>
          <c:idx val="9"/>
          <c:order val="10"/>
          <c:tx>
            <c:strRef>
              <c:f>売上推移!$B$14</c:f>
              <c:strCache>
                <c:ptCount val="1"/>
                <c:pt idx="0">
                  <c:v>GH白金</c:v>
                </c:pt>
              </c:strCache>
            </c:strRef>
          </c:tx>
          <c:spPr>
            <a:solidFill>
              <a:srgbClr val="FF99FF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売上推移!$C$14:$Z$14</c:f>
              <c:numCache>
                <c:formatCode>#,##0_ ;[Red]\-#,##0\ </c:formatCode>
                <c:ptCount val="24"/>
                <c:pt idx="0">
                  <c:v>1119631</c:v>
                </c:pt>
                <c:pt idx="1">
                  <c:v>2075072</c:v>
                </c:pt>
                <c:pt idx="2">
                  <c:v>1101492</c:v>
                </c:pt>
                <c:pt idx="3">
                  <c:v>1001492</c:v>
                </c:pt>
                <c:pt idx="4">
                  <c:v>1015378</c:v>
                </c:pt>
                <c:pt idx="5">
                  <c:v>1061492</c:v>
                </c:pt>
                <c:pt idx="6">
                  <c:v>1000792</c:v>
                </c:pt>
                <c:pt idx="7">
                  <c:v>1061492</c:v>
                </c:pt>
                <c:pt idx="8">
                  <c:v>1016092</c:v>
                </c:pt>
                <c:pt idx="9">
                  <c:v>939922</c:v>
                </c:pt>
                <c:pt idx="10">
                  <c:v>1205836</c:v>
                </c:pt>
                <c:pt idx="11">
                  <c:v>1038460</c:v>
                </c:pt>
                <c:pt idx="12">
                  <c:v>1150795</c:v>
                </c:pt>
                <c:pt idx="13">
                  <c:v>1054056</c:v>
                </c:pt>
                <c:pt idx="14">
                  <c:v>1085268</c:v>
                </c:pt>
                <c:pt idx="15">
                  <c:v>923999</c:v>
                </c:pt>
                <c:pt idx="16">
                  <c:v>1050085</c:v>
                </c:pt>
                <c:pt idx="17">
                  <c:v>1087657</c:v>
                </c:pt>
                <c:pt idx="18">
                  <c:v>1070236</c:v>
                </c:pt>
                <c:pt idx="19">
                  <c:v>1102442</c:v>
                </c:pt>
                <c:pt idx="20">
                  <c:v>1356442</c:v>
                </c:pt>
                <c:pt idx="21">
                  <c:v>1005836</c:v>
                </c:pt>
                <c:pt idx="22">
                  <c:v>973793</c:v>
                </c:pt>
                <c:pt idx="23">
                  <c:v>797482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2F00-48E2-BFD1-9E1579D8B22A}"/>
            </c:ext>
          </c:extLst>
        </c:ser>
        <c:ser>
          <c:idx val="11"/>
          <c:order val="11"/>
          <c:tx>
            <c:strRef>
              <c:f>売上推移!$B$15</c:f>
              <c:strCache>
                <c:ptCount val="1"/>
                <c:pt idx="0">
                  <c:v>GH西五所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売上推移!$C$15:$Z$15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1940389</c:v>
                </c:pt>
                <c:pt idx="2">
                  <c:v>1965328</c:v>
                </c:pt>
                <c:pt idx="3">
                  <c:v>1995197</c:v>
                </c:pt>
                <c:pt idx="4">
                  <c:v>2133548</c:v>
                </c:pt>
                <c:pt idx="5">
                  <c:v>3275498</c:v>
                </c:pt>
                <c:pt idx="6">
                  <c:v>2705860</c:v>
                </c:pt>
                <c:pt idx="7">
                  <c:v>2748469</c:v>
                </c:pt>
                <c:pt idx="8">
                  <c:v>2696635</c:v>
                </c:pt>
                <c:pt idx="9">
                  <c:v>2570319</c:v>
                </c:pt>
                <c:pt idx="10">
                  <c:v>2819531</c:v>
                </c:pt>
                <c:pt idx="11">
                  <c:v>2754232</c:v>
                </c:pt>
                <c:pt idx="12">
                  <c:v>3771025</c:v>
                </c:pt>
                <c:pt idx="13">
                  <c:v>2469018</c:v>
                </c:pt>
                <c:pt idx="14">
                  <c:v>2977988</c:v>
                </c:pt>
                <c:pt idx="15">
                  <c:v>2468275</c:v>
                </c:pt>
                <c:pt idx="16">
                  <c:v>2587385</c:v>
                </c:pt>
                <c:pt idx="17">
                  <c:v>2800912</c:v>
                </c:pt>
                <c:pt idx="18">
                  <c:v>2743866</c:v>
                </c:pt>
                <c:pt idx="19">
                  <c:v>2807684</c:v>
                </c:pt>
                <c:pt idx="20">
                  <c:v>2942481</c:v>
                </c:pt>
                <c:pt idx="21">
                  <c:v>2118435</c:v>
                </c:pt>
                <c:pt idx="22">
                  <c:v>1999507</c:v>
                </c:pt>
                <c:pt idx="23">
                  <c:v>2831820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2F00-48E2-BFD1-9E1579D8B22A}"/>
            </c:ext>
          </c:extLst>
        </c:ser>
        <c:ser>
          <c:idx val="12"/>
          <c:order val="12"/>
          <c:tx>
            <c:strRef>
              <c:f>売上推移!$B$16</c:f>
              <c:strCache>
                <c:ptCount val="1"/>
                <c:pt idx="0">
                  <c:v>GH西広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売上推移!$C$16:$Z$16</c:f>
              <c:numCache>
                <c:formatCode>#,##0_ ;[Red]\-#,##0\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16000</c:v>
                </c:pt>
                <c:pt idx="19">
                  <c:v>40000</c:v>
                </c:pt>
                <c:pt idx="20">
                  <c:v>40000</c:v>
                </c:pt>
                <c:pt idx="21">
                  <c:v>1476188</c:v>
                </c:pt>
                <c:pt idx="22">
                  <c:v>1775131</c:v>
                </c:pt>
                <c:pt idx="23">
                  <c:v>2077332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00-48E2-BFD1-9E1579D8B22A}"/>
            </c:ext>
          </c:extLst>
        </c:ser>
        <c:ser>
          <c:idx val="14"/>
          <c:order val="14"/>
          <c:tx>
            <c:strRef>
              <c:f>売上推移!$B$18</c:f>
              <c:strCache>
                <c:ptCount val="1"/>
                <c:pt idx="0">
                  <c:v>白金
タクシー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売上推移!$C$18:$Z$18</c:f>
              <c:numCache>
                <c:formatCode>#,##0_ ;[Red]\-#,##0\ </c:formatCode>
                <c:ptCount val="24"/>
                <c:pt idx="0">
                  <c:v>3011624</c:v>
                </c:pt>
                <c:pt idx="1">
                  <c:v>2812785</c:v>
                </c:pt>
                <c:pt idx="2">
                  <c:v>3216466</c:v>
                </c:pt>
                <c:pt idx="3">
                  <c:v>3129590</c:v>
                </c:pt>
                <c:pt idx="4">
                  <c:v>3185656</c:v>
                </c:pt>
                <c:pt idx="5">
                  <c:v>3195164</c:v>
                </c:pt>
                <c:pt idx="6">
                  <c:v>3133826</c:v>
                </c:pt>
                <c:pt idx="7">
                  <c:v>3119675</c:v>
                </c:pt>
                <c:pt idx="8">
                  <c:v>2345767</c:v>
                </c:pt>
                <c:pt idx="9">
                  <c:v>2169663</c:v>
                </c:pt>
                <c:pt idx="10">
                  <c:v>2256558</c:v>
                </c:pt>
                <c:pt idx="11">
                  <c:v>1960949</c:v>
                </c:pt>
                <c:pt idx="12">
                  <c:v>1955643</c:v>
                </c:pt>
                <c:pt idx="13">
                  <c:v>1889542</c:v>
                </c:pt>
                <c:pt idx="14">
                  <c:v>1614388</c:v>
                </c:pt>
                <c:pt idx="15">
                  <c:v>1444523</c:v>
                </c:pt>
                <c:pt idx="16">
                  <c:v>1128956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4985720"/>
        <c:axId val="454988464"/>
      </c:barChart>
      <c:dateAx>
        <c:axId val="454985720"/>
        <c:scaling>
          <c:orientation val="minMax"/>
        </c:scaling>
        <c:delete val="0"/>
        <c:axPos val="b"/>
        <c:numFmt formatCode="[$-411]ge\.mm&quot;月&quot;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4988464"/>
        <c:crosses val="autoZero"/>
        <c:auto val="1"/>
        <c:lblOffset val="100"/>
        <c:baseTimeUnit val="months"/>
      </c:dateAx>
      <c:valAx>
        <c:axId val="454988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_ ;[Red]\-#,##0\ 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4985720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000000000000178" l="0.70000000000000062" r="0.70000000000000062" t="0.75000000000000178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稼働時間割合</a:t>
            </a:r>
          </a:p>
        </c:rich>
      </c:tx>
      <c:layout>
        <c:manualLayout>
          <c:xMode val="edge"/>
          <c:yMode val="edge"/>
          <c:x val="8.3743961352657006E-2"/>
          <c:y val="8.7962962962962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2"/>
          <c:order val="2"/>
          <c:tx>
            <c:strRef>
              <c:f>社員・パート別稼働表【2月比較】!$BC$64:$BC$65</c:f>
              <c:strCache>
                <c:ptCount val="2"/>
                <c:pt idx="0">
                  <c:v>2019年3月</c:v>
                </c:pt>
                <c:pt idx="1">
                  <c:v>稼働時分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社員・パート別稼働表【2月比較】!$AZ$68:$AZ$69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f>社員・パート別稼働表【2月比較】!$BC$68:$BC$69</c:f>
              <c:numCache>
                <c:formatCode>[h]:mm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社員・パート別稼働表【2月比較】!$BA$64:$BA$65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人数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</c:spPr>
                <c:dPt>
                  <c:idx val="0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rgbClr val="FFC0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numFmt formatCode="_(&quot;¥&quot;* #,##0_);_(&quot;¥&quot;* \(#,##0\);_(&quot;¥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inEnd"/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eparator>
</c:separator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>
                    <c:ext uri="{CE6537A1-D6FC-4f65-9D91-7224C49458BB}"/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社員・パート別稼働表【2月比較】!$AZ$68:$AZ$69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社員・パート別稼働表【2月比較】!$BA$68:$BA$69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4-7B01-4898-AA96-5D6390799A50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社員・パート別稼働表【2月比較】!$BB$64:$BB$65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社員・パート別稼働表【2月比較】!$AZ$68:$AZ$69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社員・パート別稼働表【2月比較】!$BB$68:$BB$69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社員・パート別稼働表【2月比較】!$BD$64:$BD$65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社員・パート別稼働表【2月比較】!$AZ$68:$AZ$69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社員・パート別稼働表【2月比較】!$BD$68:$BD$69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社員・パート別稼働表【2月比較】!$BE$64:$BE$65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人数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社員・パート別稼働表【2月比較】!$AZ$68:$AZ$69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社員・パート別稼働表【2月比較】!$BE$68:$BE$69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社員・パート別稼働表【2月比較】!$BF$64:$BF$65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社員・パート別稼働表【2月比較】!$AZ$68:$AZ$69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社員・パート別稼働表【2月比較】!$BF$68:$BF$69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社員・パート別稼働表【2月比較】!$BG$64:$BG$65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稼働時分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社員・パート別稼働表【2月比較】!$AZ$68:$AZ$69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社員・パート別稼働表【2月比較】!$BG$68:$BG$69</c15:sqref>
                        </c15:formulaRef>
                      </c:ext>
                    </c:extLst>
                    <c:numCache>
                      <c:formatCode>[h]:mm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社員・パート別稼働表【2月比較】!$BH$64:$BH$65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社員・パート別稼働表【2月比較】!$AZ$68:$AZ$69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社員・パート別稼働表【2月比較】!$BH$68:$BH$69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売上・人件費比較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社員・パート別稼働表【2月比較】!$AZ$36</c:f>
              <c:strCache>
                <c:ptCount val="1"/>
                <c:pt idx="0">
                  <c:v>社員賞与</c:v>
                </c:pt>
              </c:strCache>
            </c:strRef>
          </c:tx>
          <c:spPr>
            <a:solidFill>
              <a:srgbClr val="FF696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社員・パート別稼働表【2月比較】!$BA$33:$BH$34</c15:sqref>
                  </c15:fullRef>
                </c:ext>
              </c:extLst>
              <c:f>(社員・パート別稼働表【2月比較】!$BE$33:$BE$34,社員・パート別稼働表【2月比較】!$BG$33:$BG$34)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2019年4月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社員・パート別稼働表【2月比較】!$BA$36:$BH$36</c15:sqref>
                  </c15:fullRef>
                </c:ext>
              </c:extLst>
              <c:f>(社員・パート別稼働表【2月比較】!$BE$36,社員・パート別稼働表【2月比較】!$BG$36)</c:f>
              <c:numCache>
                <c:formatCode>0.0%</c:formatCode>
                <c:ptCount val="2"/>
                <c:pt idx="1" formatCode="#,##0_ ;[Red]\-#,##0\ ">
                  <c:v>83333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2-81AC-47B0-B664-97E795C2FAE3}"/>
            </c:ext>
          </c:extLst>
        </c:ser>
        <c:ser>
          <c:idx val="1"/>
          <c:order val="1"/>
          <c:tx>
            <c:strRef>
              <c:f>社員・パート別稼働表【2月比較】!$AZ$35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社員・パート別稼働表【2月比較】!$BA$33:$BH$34</c15:sqref>
                  </c15:fullRef>
                </c:ext>
              </c:extLst>
              <c:f>(社員・パート別稼働表【2月比較】!$BE$33:$BE$34,社員・パート別稼働表【2月比較】!$BG$33:$BG$34)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2019年4月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社員・パート別稼働表【2月比較】!$BA$35:$BH$35</c15:sqref>
                  </c15:fullRef>
                </c:ext>
              </c:extLst>
              <c:f>(社員・パート別稼働表【2月比較】!$BE$35,社員・パート別稼働表【2月比較】!$BG$35)</c:f>
              <c:numCache>
                <c:formatCode>0.0%</c:formatCode>
                <c:ptCount val="2"/>
                <c:pt idx="0" formatCode="#,##0_ ;[Red]\-#,##0\ ">
                  <c:v>0</c:v>
                </c:pt>
                <c:pt idx="1" formatCode="#,##0_ ;[Red]\-#,##0\ ">
                  <c:v>0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0-81AC-47B0-B664-97E795C2FAE3}"/>
            </c:ext>
          </c:extLst>
        </c:ser>
        <c:ser>
          <c:idx val="3"/>
          <c:order val="3"/>
          <c:tx>
            <c:strRef>
              <c:f>社員・パート別稼働表【2月比較】!$AZ$38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社員・パート別稼働表【2月比較】!$BA$33:$BH$34</c15:sqref>
                  </c15:fullRef>
                </c:ext>
              </c:extLst>
              <c:f>(社員・パート別稼働表【2月比較】!$BE$33:$BE$34,社員・パート別稼働表【2月比較】!$BG$33:$BG$34)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2019年4月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社員・パート別稼働表【2月比較】!$BA$38:$BH$38</c15:sqref>
                  </c15:fullRef>
                </c:ext>
              </c:extLst>
              <c:f>(社員・パート別稼働表【2月比較】!$BE$38,社員・パート別稼働表【2月比較】!$BG$38)</c:f>
              <c:numCache>
                <c:formatCode>0.0%</c:formatCode>
                <c:ptCount val="2"/>
                <c:pt idx="0" formatCode="#,##0_ ;[Red]\-#,##0\ ">
                  <c:v>0</c:v>
                </c:pt>
                <c:pt idx="1" formatCode="#,##0_ ;[Red]\-#,##0\ ">
                  <c:v>0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3-81AC-47B0-B664-97E795C2FAE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457089904"/>
        <c:axId val="40953428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社員・パート別稼働表【2月比較】!$AZ$37</c15:sqref>
                        </c15:formulaRef>
                      </c:ext>
                    </c:extLst>
                    <c:strCache>
                      <c:ptCount val="1"/>
                      <c:pt idx="0">
                        <c:v>社員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ullRef>
                          <c15:sqref>社員・パート別稼働表【2月比較】!$BA$33:$BH$34</c15:sqref>
                        </c15:fullRef>
                        <c15:formulaRef>
                          <c15:sqref>(社員・パート別稼働表【2月比較】!$BE$33:$BE$34,社員・パート別稼働表【2月比較】!$BG$33:$BG$34)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2019年4月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社員・パート別稼働表【2月比較】!$BA$37:$BH$37</c15:sqref>
                        </c15:fullRef>
                        <c15:formulaRef>
                          <c15:sqref>(社員・パート別稼働表【2月比較】!$BE$37,社員・パート別稼働表【2月比較】!$BG$37)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0</c:v>
                      </c:pt>
                      <c:pt idx="1" formatCode="#,##0_ ;[Red]\-#,##0\ ">
                        <c:v>83333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1AC-47B0-B664-97E795C2FAE3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社員・パート別稼働表【2月比較】!$AZ$39</c15:sqref>
                        </c15:formulaRef>
                      </c:ext>
                    </c:extLst>
                    <c:strCache>
                      <c:ptCount val="1"/>
                      <c:pt idx="0">
                        <c:v>計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社員・パート別稼働表【2月比較】!$BA$33:$BH$34</c15:sqref>
                        </c15:fullRef>
                        <c15:formulaRef>
                          <c15:sqref>(社員・パート別稼働表【2月比較】!$BE$33:$BE$34,社員・パート別稼働表【2月比較】!$BG$33:$BG$34)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2019年4月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社員・パート別稼働表【2月比較】!$BA$39:$BH$39</c15:sqref>
                        </c15:fullRef>
                        <c15:formulaRef>
                          <c15:sqref>(社員・パート別稼働表【2月比較】!$BE$39,社員・パート別稼働表【2月比較】!$BG$39)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0</c:v>
                      </c:pt>
                      <c:pt idx="1" formatCode="#,##0_ ;[Red]\-#,##0\ ">
                        <c:v>83333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45708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9534280"/>
        <c:crosses val="autoZero"/>
        <c:auto val="1"/>
        <c:lblAlgn val="ctr"/>
        <c:lblOffset val="100"/>
        <c:noMultiLvlLbl val="0"/>
      </c:catAx>
      <c:valAx>
        <c:axId val="409534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7089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売上・人件費比較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社員・パート別稼働表【2月比較】!$AZ$36</c:f>
              <c:strCache>
                <c:ptCount val="1"/>
                <c:pt idx="0">
                  <c:v>社員賞与</c:v>
                </c:pt>
              </c:strCache>
            </c:strRef>
          </c:tx>
          <c:spPr>
            <a:solidFill>
              <a:srgbClr val="FF696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社員・パート別稼働表【2月比較】!$BA$33:$BD$34</c15:sqref>
                  </c15:fullRef>
                </c:ext>
              </c:extLst>
              <c:f>(社員・パート別稼働表【2月比較】!$BA$33:$BA$34,社員・パート別稼働表【2月比較】!$BC$33:$BC$34)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2019年3月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社員・パート別稼働表【2月比較】!$BA$36:$BD$36</c15:sqref>
                  </c15:fullRef>
                </c:ext>
              </c:extLst>
              <c:f>(社員・パート別稼働表【2月比較】!$BA$36,社員・パート別稼働表【2月比較】!$BC$36)</c:f>
              <c:numCache>
                <c:formatCode>0.0%</c:formatCode>
                <c:ptCount val="2"/>
                <c:pt idx="1" formatCode="#,##0_ ;[Red]\-#,##0\ ">
                  <c:v>83333</c:v>
                </c:pt>
              </c:numCache>
            </c:numRef>
          </c:val>
        </c:ser>
        <c:ser>
          <c:idx val="1"/>
          <c:order val="1"/>
          <c:tx>
            <c:strRef>
              <c:f>社員・パート別稼働表【2月比較】!$AZ$35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社員・パート別稼働表【2月比較】!$BA$33:$BD$34</c15:sqref>
                  </c15:fullRef>
                </c:ext>
              </c:extLst>
              <c:f>(社員・パート別稼働表【2月比較】!$BA$33:$BA$34,社員・パート別稼働表【2月比較】!$BC$33:$BC$34)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2019年3月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社員・パート別稼働表【2月比較】!$BA$35:$BD$35</c15:sqref>
                  </c15:fullRef>
                </c:ext>
              </c:extLst>
              <c:f>(社員・パート別稼働表【2月比較】!$BA$35,社員・パート別稼働表【2月比較】!$BC$35)</c:f>
              <c:numCache>
                <c:formatCode>0.0%</c:formatCode>
                <c:ptCount val="2"/>
                <c:pt idx="0" formatCode="#,##0_ ;[Red]\-#,##0\ ">
                  <c:v>0</c:v>
                </c:pt>
                <c:pt idx="1" formatCode="#,##0_ ;[Red]\-#,##0\ ">
                  <c:v>0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0-5FE5-44E0-91CD-0CEA3B8EE7C5}"/>
            </c:ext>
          </c:extLst>
        </c:ser>
        <c:ser>
          <c:idx val="3"/>
          <c:order val="3"/>
          <c:tx>
            <c:strRef>
              <c:f>社員・パート別稼働表【2月比較】!$AZ$38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社員・パート別稼働表【2月比較】!$BA$33:$BD$34</c15:sqref>
                  </c15:fullRef>
                </c:ext>
              </c:extLst>
              <c:f>(社員・パート別稼働表【2月比較】!$BA$33:$BA$34,社員・パート別稼働表【2月比較】!$BC$33:$BC$34)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2019年3月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社員・パート別稼働表【2月比較】!$BA$38:$BD$38</c15:sqref>
                  </c15:fullRef>
                </c:ext>
              </c:extLst>
              <c:f>(社員・パート別稼働表【2月比較】!$BA$38,社員・パート別稼働表【2月比較】!$BC$38)</c:f>
              <c:numCache>
                <c:formatCode>0.0%</c:formatCode>
                <c:ptCount val="2"/>
                <c:pt idx="0" formatCode="#,##0_ ;[Red]\-#,##0\ ">
                  <c:v>0</c:v>
                </c:pt>
                <c:pt idx="1" formatCode="#,##0_ ;[Red]\-#,##0\ ">
                  <c:v>0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409536632"/>
        <c:axId val="40953467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社員・パート別稼働表【2月比較】!$AZ$37</c15:sqref>
                        </c15:formulaRef>
                      </c:ext>
                    </c:extLst>
                    <c:strCache>
                      <c:ptCount val="1"/>
                      <c:pt idx="0">
                        <c:v>社員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ullRef>
                          <c15:sqref>社員・パート別稼働表【2月比較】!$BA$33:$BD$34</c15:sqref>
                        </c15:fullRef>
                        <c15:formulaRef>
                          <c15:sqref>(社員・パート別稼働表【2月比較】!$BA$33:$BA$34,社員・パート別稼働表【2月比較】!$BC$33:$BC$34)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2019年3月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社員・パート別稼働表【2月比較】!$BA$37:$BD$37</c15:sqref>
                        </c15:fullRef>
                        <c15:formulaRef>
                          <c15:sqref>(社員・パート別稼働表【2月比較】!$BA$37,社員・パート別稼働表【2月比較】!$BC$37)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0</c:v>
                      </c:pt>
                      <c:pt idx="1" formatCode="#,##0_ ;[Red]\-#,##0\ ">
                        <c:v>83333</c:v>
                      </c:pt>
                    </c:numCache>
                  </c:numRef>
                </c:val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社員・パート別稼働表【2月比較】!$AZ$39</c15:sqref>
                        </c15:formulaRef>
                      </c:ext>
                    </c:extLst>
                    <c:strCache>
                      <c:ptCount val="1"/>
                      <c:pt idx="0">
                        <c:v>計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社員・パート別稼働表【2月比較】!$BA$33:$BD$34</c15:sqref>
                        </c15:fullRef>
                        <c15:formulaRef>
                          <c15:sqref>(社員・パート別稼働表【2月比較】!$BA$33:$BA$34,社員・パート別稼働表【2月比較】!$BC$33:$BC$34)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2019年3月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社員・パート別稼働表【2月比較】!$BA$39:$BD$39</c15:sqref>
                        </c15:fullRef>
                        <c15:formulaRef>
                          <c15:sqref>(社員・パート別稼働表【2月比較】!$BA$39,社員・パート別稼働表【2月比較】!$BC$39)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0</c:v>
                      </c:pt>
                      <c:pt idx="1" formatCode="#,##0_ ;[Red]\-#,##0\ ">
                        <c:v>83333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409536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9534672"/>
        <c:crosses val="autoZero"/>
        <c:auto val="1"/>
        <c:lblAlgn val="ctr"/>
        <c:lblOffset val="100"/>
        <c:noMultiLvlLbl val="0"/>
      </c:catAx>
      <c:valAx>
        <c:axId val="40953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9536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売上割合</a:t>
            </a:r>
          </a:p>
        </c:rich>
      </c:tx>
      <c:layout>
        <c:manualLayout>
          <c:xMode val="edge"/>
          <c:yMode val="edge"/>
          <c:x val="0.05"/>
          <c:y val="8.7962962962962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社員・パート別稼働表【2月比較】!$BA$33:$BA$34</c:f>
              <c:strCache>
                <c:ptCount val="2"/>
                <c:pt idx="0">
                  <c:v>2019年3月</c:v>
                </c:pt>
                <c:pt idx="1">
                  <c:v>売上</c:v>
                </c:pt>
              </c:strCache>
            </c:strRef>
          </c:tx>
          <c:spPr>
            <a:solidFill>
              <a:schemeClr val="accent5"/>
            </a:solidFill>
          </c:spPr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numFmt formatCode="_(&quot;¥&quot;* #,##0_);_(&quot;¥&quot;* \(#,##0\);_(&quot;¥&quot;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社員・パート別稼働表【2月比較】!$AZ$35:$AZ$39</c15:sqref>
                  </c15:fullRef>
                </c:ext>
              </c:extLst>
              <c:f>社員・パート別稼働表【2月比較】!$AZ$37:$AZ$38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社員・パート別稼働表【2月比較】!$BA$35:$BA$39</c15:sqref>
                  </c15:fullRef>
                </c:ext>
              </c:extLst>
              <c:f>社員・パート別稼働表【2月比較】!$BA$37:$BA$38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B01-4898-AA96-5D6390799A50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1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社員・パート別稼働表【2月比較】!$BB$33:$BB$34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社員・パート別稼働表【2月比較】!$AZ$35:$AZ$39</c15:sqref>
                        </c15:fullRef>
                        <c15:formulaRef>
                          <c15:sqref>社員・パート別稼働表【2月比較】!$AZ$37:$AZ$38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社員・パート別稼働表【2月比較】!$BB$35:$BB$39</c15:sqref>
                        </c15:fullRef>
                        <c15:formulaRef>
                          <c15:sqref>社員・パート別稼働表【2月比較】!$BB$37:$BB$38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9-7B01-4898-AA96-5D6390799A50}"/>
                  </c:ext>
                  <c:ext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社員・パート別稼働表【2月比較】!$BC$33:$BC$34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社員・パート別稼働表【2月比較】!$AZ$35:$AZ$39</c15:sqref>
                        </c15:fullRef>
                        <c15:formulaRef>
                          <c15:sqref>社員・パート別稼働表【2月比較】!$AZ$37:$AZ$38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社員・パート別稼働表【2月比較】!$BC$35:$BC$39</c15:sqref>
                        </c15:fullRef>
                        <c15:formulaRef>
                          <c15:sqref>社員・パート別稼働表【2月比較】!$BC$37:$BC$38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83333</c:v>
                      </c:pt>
                      <c:pt idx="1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E-7B01-4898-AA96-5D6390799A50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社員・パート別稼働表【2月比較】!$BD$33:$BD$34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社員・パート別稼働表【2月比較】!$AZ$35:$AZ$39</c15:sqref>
                        </c15:fullRef>
                        <c15:formulaRef>
                          <c15:sqref>社員・パート別稼働表【2月比較】!$AZ$37:$AZ$38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社員・パート別稼働表【2月比較】!$BD$35:$BD$39</c15:sqref>
                        </c15:fullRef>
                        <c15:formulaRef>
                          <c15:sqref>社員・パート別稼働表【2月比較】!$BD$37:$BD$38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13-7B01-4898-AA96-5D6390799A50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売上割合</a:t>
            </a:r>
          </a:p>
        </c:rich>
      </c:tx>
      <c:layout>
        <c:manualLayout>
          <c:xMode val="edge"/>
          <c:yMode val="edge"/>
          <c:x val="4.4444444444444446E-2"/>
          <c:y val="0.11111111111111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4"/>
          <c:order val="4"/>
          <c:tx>
            <c:strRef>
              <c:f>社員・パート別稼働表【2月比較】!$BE$33:$BE$34</c:f>
              <c:strCache>
                <c:ptCount val="2"/>
                <c:pt idx="0">
                  <c:v>2019年4月</c:v>
                </c:pt>
                <c:pt idx="1">
                  <c:v>売上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numFmt formatCode="&quot;¥&quot;#,##0_);[Red]\(&quot;¥&quot;#,##0\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社員・パート別稼働表【2月比較】!$AZ$35:$AZ$39</c15:sqref>
                  </c15:fullRef>
                </c:ext>
              </c:extLst>
              <c:f>社員・パート別稼働表【2月比較】!$AZ$37:$AZ$38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社員・パート別稼働表【2月比較】!$BE$35:$BE$39</c15:sqref>
                  </c15:fullRef>
                </c:ext>
              </c:extLst>
              <c:f>社員・パート別稼働表【2月比較】!$BE$37:$BE$38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31-FAF0-44AE-B9B7-BEAD6764B412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社員・パート別稼働表【2月比較】!$BA$33:$BA$34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売上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社員・パート別稼働表【2月比較】!$AZ$35:$AZ$39</c15:sqref>
                        </c15:fullRef>
                        <c15:formulaRef>
                          <c15:sqref>社員・パート別稼働表【2月比較】!$AZ$37:$AZ$38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社員・パート別稼働表【2月比較】!$BA$35:$BA$39</c15:sqref>
                        </c15:fullRef>
                        <c15:formulaRef>
                          <c15:sqref>社員・パート別稼働表【2月比較】!$BA$37:$BA$38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D-FAF0-44AE-B9B7-BEAD6764B412}"/>
                  </c:ext>
                  <c:ext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社員・パート別稼働表【2月比較】!$BB$33:$BB$34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社員・パート別稼働表【2月比較】!$AZ$35:$AZ$39</c15:sqref>
                        </c15:fullRef>
                        <c15:formulaRef>
                          <c15:sqref>社員・パート別稼働表【2月比較】!$AZ$37:$AZ$38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社員・パート別稼働表【2月比較】!$BB$35:$BB$39</c15:sqref>
                        </c15:fullRef>
                        <c15:formulaRef>
                          <c15:sqref>社員・パート別稼働表【2月比較】!$BB$37:$BB$38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16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社員・パート別稼働表【2月比較】!$BC$33:$BC$34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社員・パート別稼働表【2月比較】!$AZ$35:$AZ$39</c15:sqref>
                        </c15:fullRef>
                        <c15:formulaRef>
                          <c15:sqref>社員・パート別稼働表【2月比較】!$AZ$37:$AZ$38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社員・パート別稼働表【2月比較】!$BC$35:$BC$39</c15:sqref>
                        </c15:fullRef>
                        <c15:formulaRef>
                          <c15:sqref>社員・パート別稼働表【2月比較】!$BC$37:$BC$38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83333</c:v>
                      </c:pt>
                      <c:pt idx="1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1F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社員・パート別稼働表【2月比較】!$BD$33:$BD$34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社員・パート別稼働表【2月比較】!$AZ$35:$AZ$39</c15:sqref>
                        </c15:fullRef>
                        <c15:formulaRef>
                          <c15:sqref>社員・パート別稼働表【2月比較】!$AZ$37:$AZ$38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社員・パート別稼働表【2月比較】!$BD$35:$BD$39</c15:sqref>
                        </c15:fullRef>
                        <c15:formulaRef>
                          <c15:sqref>社員・パート別稼働表【2月比較】!$BD$37:$BD$38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28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社員・パート別稼働表【2月比較】!$BF$33:$BF$34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社員・パート別稼働表【2月比較】!$AZ$35:$AZ$39</c15:sqref>
                        </c15:fullRef>
                        <c15:formulaRef>
                          <c15:sqref>社員・パート別稼働表【2月比較】!$AZ$37:$AZ$38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社員・パート別稼働表【2月比較】!$BF$35:$BF$39</c15:sqref>
                        </c15:fullRef>
                        <c15:formulaRef>
                          <c15:sqref>社員・パート別稼働表【2月比較】!$BF$37:$BF$38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36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社員・パート別稼働表【2月比較】!$BG$33:$BG$34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rgbClr val="FFC0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rgbClr val="47D4D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inEnd"/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eparator>
</c:separator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社員・パート別稼働表【2月比較】!$AZ$35:$AZ$39</c15:sqref>
                        </c15:fullRef>
                        <c15:formulaRef>
                          <c15:sqref>社員・パート別稼働表【2月比較】!$AZ$37:$AZ$38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社員・パート別稼働表【2月比較】!$BG$35:$BG$39</c15:sqref>
                        </c15:fullRef>
                        <c15:formulaRef>
                          <c15:sqref>社員・パート別稼働表【2月比較】!$BG$37:$BG$38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83333</c:v>
                      </c:pt>
                      <c:pt idx="1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4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社員・パート別稼働表【2月比較】!$BH$33:$BH$34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社員・パート別稼働表【2月比較】!$AZ$35:$AZ$39</c15:sqref>
                        </c15:fullRef>
                        <c15:formulaRef>
                          <c15:sqref>社員・パート別稼働表【2月比較】!$AZ$37:$AZ$38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社員・パート別稼働表【2月比較】!$BH$35:$BH$39</c15:sqref>
                        </c15:fullRef>
                        <c15:formulaRef>
                          <c15:sqref>社員・パート別稼働表【2月比較】!$BH$37:$BH$38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人数・稼働時間</a:t>
            </a:r>
            <a:r>
              <a:rPr lang="ja-JP" altLang="en-US" sz="1400" b="0" i="0" u="none" strike="noStrike" baseline="0">
                <a:effectLst/>
              </a:rPr>
              <a:t>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社員・パート別稼働表【2月比較】!$AZ$68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社員・パート別稼働表【2月比較】!$BA$64:$BH$65</c15:sqref>
                  </c15:fullRef>
                </c:ext>
              </c:extLst>
              <c:f>(社員・パート別稼働表【2月比較】!$BA$64:$BA$65,社員・パート別稼働表【2月比較】!$BC$64:$BC$65)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2019年3月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社員・パート別稼働表【2月比較】!$BA$68:$BH$68</c15:sqref>
                  </c15:fullRef>
                </c:ext>
              </c:extLst>
              <c:f>(社員・パート別稼働表【2月比較】!$BA$68,社員・パート別稼働表【2月比較】!$BC$68)</c:f>
              <c:numCache>
                <c:formatCode>0.0%</c:formatCode>
                <c:ptCount val="2"/>
                <c:pt idx="0" formatCode="#,##0.0_ ;[Red]\-#,##0.0\ ">
                  <c:v>0</c:v>
                </c:pt>
                <c:pt idx="1" formatCode="[h]:mm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0E-401C-B5A7-83B2A3EFB8F2}"/>
            </c:ext>
          </c:extLst>
        </c:ser>
        <c:ser>
          <c:idx val="0"/>
          <c:order val="1"/>
          <c:tx>
            <c:strRef>
              <c:f>社員・パート別稼働表【2月比較】!$AZ$69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社員・パート別稼働表【2月比較】!$BA$64:$BH$65</c15:sqref>
                  </c15:fullRef>
                </c:ext>
              </c:extLst>
              <c:f>(社員・パート別稼働表【2月比較】!$BA$64:$BA$65,社員・パート別稼働表【2月比較】!$BC$64:$BC$65)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2019年3月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社員・パート別稼働表【2月比較】!$BA$69:$BH$69</c15:sqref>
                  </c15:fullRef>
                </c:ext>
              </c:extLst>
              <c:f>(社員・パート別稼働表【2月比較】!$BA$69,社員・パート別稼働表【2月比較】!$BC$69)</c:f>
              <c:numCache>
                <c:formatCode>0.0%</c:formatCode>
                <c:ptCount val="2"/>
                <c:pt idx="0" formatCode="#,##0.0_ ;[Red]\-#,##0.0\ ">
                  <c:v>0</c:v>
                </c:pt>
                <c:pt idx="1" formatCode="[h]:mm">
                  <c:v>0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409537416"/>
        <c:axId val="409537808"/>
        <c:extLst xmlns:c16r2="http://schemas.microsoft.com/office/drawing/2015/06/chart"/>
      </c:barChart>
      <c:catAx>
        <c:axId val="409537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9537808"/>
        <c:crosses val="autoZero"/>
        <c:auto val="1"/>
        <c:lblAlgn val="ctr"/>
        <c:lblOffset val="100"/>
        <c:noMultiLvlLbl val="0"/>
      </c:catAx>
      <c:valAx>
        <c:axId val="409537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9537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売上・人件費比較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社員・パート別稼働表【2月比較】!$C$5</c:f>
              <c:strCache>
                <c:ptCount val="1"/>
                <c:pt idx="0">
                  <c:v>社員賞与</c:v>
                </c:pt>
              </c:strCache>
            </c:strRef>
          </c:tx>
          <c:spPr>
            <a:solidFill>
              <a:srgbClr val="FF696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社員・パート別稼働表【2月比較】!$D$2:$G$3</c15:sqref>
                  </c15:fullRef>
                </c:ext>
              </c:extLst>
              <c:f>(社員・パート別稼働表【2月比較】!$D$2:$D$3,社員・パート別稼働表【2月比較】!$F$2:$F$3)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2019年3月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社員・パート別稼働表【2月比較】!$D$5:$G$5</c15:sqref>
                  </c15:fullRef>
                </c:ext>
              </c:extLst>
              <c:f>(社員・パート別稼働表【2月比較】!$D$5,社員・パート別稼働表【2月比較】!$F$5)</c:f>
              <c:numCache>
                <c:formatCode>0.0%</c:formatCode>
                <c:ptCount val="2"/>
                <c:pt idx="1" formatCode="#,##0_ ;[Red]\-#,##0\ ">
                  <c:v>498417</c:v>
                </c:pt>
              </c:numCache>
            </c:numRef>
          </c:val>
        </c:ser>
        <c:ser>
          <c:idx val="1"/>
          <c:order val="1"/>
          <c:tx>
            <c:strRef>
              <c:f>社員・パート別稼働表【2月比較】!$C$4</c:f>
              <c:strCache>
                <c:ptCount val="1"/>
                <c:pt idx="0">
                  <c:v>社員</c:v>
                </c:pt>
              </c:strCache>
              <c:extLst xmlns:c16r2="http://schemas.microsoft.com/office/drawing/2015/06/chart" xmlns:c15="http://schemas.microsoft.com/office/drawing/2012/chart"/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 xmlns:c15="http://schemas.microsoft.com/office/drawing/2012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社員・パート別稼働表【2月比較】!$D$2:$G$3</c15:sqref>
                  </c15:fullRef>
                </c:ext>
              </c:extLst>
              <c:f>(社員・パート別稼働表【2月比較】!$D$2:$D$3,社員・パート別稼働表【2月比較】!$F$2:$F$3)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2019年3月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社員・パート別稼働表【2月比較】!$D$4:$G$4</c15:sqref>
                  </c15:fullRef>
                </c:ext>
              </c:extLst>
              <c:f>(社員・パート別稼働表【2月比較】!$D$4,社員・パート別稼働表【2月比較】!$F$4)</c:f>
              <c:numCache>
                <c:formatCode>0.0%</c:formatCode>
                <c:ptCount val="2"/>
                <c:pt idx="0" formatCode="#,##0_ ;[Red]\-#,##0\ ">
                  <c:v>2528720</c:v>
                </c:pt>
                <c:pt idx="1" formatCode="#,##0_ ;[Red]\-#,##0\ ">
                  <c:v>3181129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0-5FE5-44E0-91CD-0CEA3B8EE7C5}"/>
            </c:ext>
          </c:extLst>
        </c:ser>
        <c:ser>
          <c:idx val="3"/>
          <c:order val="3"/>
          <c:tx>
            <c:strRef>
              <c:f>社員・パート別稼働表【2月比較】!$C$7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社員・パート別稼働表【2月比較】!$D$2:$G$3</c15:sqref>
                  </c15:fullRef>
                </c:ext>
              </c:extLst>
              <c:f>(社員・パート別稼働表【2月比較】!$D$2:$D$3,社員・パート別稼働表【2月比較】!$F$2:$F$3)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2019年3月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社員・パート別稼働表【2月比較】!$D$7:$G$7</c15:sqref>
                  </c15:fullRef>
                </c:ext>
              </c:extLst>
              <c:f>(社員・パート別稼働表【2月比較】!$D$7,社員・パート別稼働表【2月比較】!$F$7)</c:f>
              <c:numCache>
                <c:formatCode>0.0%</c:formatCode>
                <c:ptCount val="2"/>
                <c:pt idx="0" formatCode="#,##0_ ;[Red]\-#,##0\ ">
                  <c:v>9313485</c:v>
                </c:pt>
                <c:pt idx="1" formatCode="#,##0_ ;[Red]\-#,##0\ ">
                  <c:v>3994054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409535064"/>
        <c:axId val="40953859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社員・パート別稼働表【2月比較】!$C$6</c15:sqref>
                        </c15:formulaRef>
                      </c:ext>
                    </c:extLst>
                    <c:strCache>
                      <c:ptCount val="1"/>
                      <c:pt idx="0">
                        <c:v>社員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ullRef>
                          <c15:sqref>社員・パート別稼働表【2月比較】!$D$2:$G$3</c15:sqref>
                        </c15:fullRef>
                        <c15:formulaRef>
                          <c15:sqref>(社員・パート別稼働表【2月比較】!$D$2:$D$3,社員・パート別稼働表【2月比較】!$F$2:$F$3)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2019年3月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社員・パート別稼働表【2月比較】!$D$6:$G$6</c15:sqref>
                        </c15:fullRef>
                        <c15:formulaRef>
                          <c15:sqref>(社員・パート別稼働表【2月比較】!$D$6,社員・パート別稼働表【2月比較】!$F$6)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2528720</c:v>
                      </c:pt>
                      <c:pt idx="1" formatCode="#,##0_ ;[Red]\-#,##0\ ">
                        <c:v>3679546</c:v>
                      </c:pt>
                    </c:numCache>
                  </c:numRef>
                </c:val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社員・パート別稼働表【2月比較】!$C$8</c15:sqref>
                        </c15:formulaRef>
                      </c:ext>
                    </c:extLst>
                    <c:strCache>
                      <c:ptCount val="1"/>
                      <c:pt idx="0">
                        <c:v>計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社員・パート別稼働表【2月比較】!$D$2:$G$3</c15:sqref>
                        </c15:fullRef>
                        <c15:formulaRef>
                          <c15:sqref>(社員・パート別稼働表【2月比較】!$D$2:$D$3,社員・パート別稼働表【2月比較】!$F$2:$F$3)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2019年3月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社員・パート別稼働表【2月比較】!$D$8:$G$8</c15:sqref>
                        </c15:fullRef>
                        <c15:formulaRef>
                          <c15:sqref>(社員・パート別稼働表【2月比較】!$D$8,社員・パート別稼働表【2月比較】!$F$8)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11842205</c:v>
                      </c:pt>
                      <c:pt idx="1" formatCode="#,##0_ ;[Red]\-#,##0\ ">
                        <c:v>7673600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40953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9538592"/>
        <c:crosses val="autoZero"/>
        <c:auto val="1"/>
        <c:lblAlgn val="ctr"/>
        <c:lblOffset val="100"/>
        <c:noMultiLvlLbl val="0"/>
      </c:catAx>
      <c:valAx>
        <c:axId val="40953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9535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売上割合</a:t>
            </a:r>
          </a:p>
        </c:rich>
      </c:tx>
      <c:layout>
        <c:manualLayout>
          <c:xMode val="edge"/>
          <c:yMode val="edge"/>
          <c:x val="0.05"/>
          <c:y val="8.7962962962962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社員・パート別稼働表【2月比較】!$D$2:$D$3</c:f>
              <c:strCache>
                <c:ptCount val="2"/>
                <c:pt idx="0">
                  <c:v>2019年3月</c:v>
                </c:pt>
                <c:pt idx="1">
                  <c:v>売上</c:v>
                </c:pt>
              </c:strCache>
            </c:strRef>
          </c:tx>
          <c:spPr>
            <a:solidFill>
              <a:schemeClr val="accent5"/>
            </a:solidFill>
          </c:spPr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numFmt formatCode="_(&quot;¥&quot;* #,##0_);_(&quot;¥&quot;* \(#,##0\);_(&quot;¥&quot;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社員・パート別稼働表【2月比較】!$C$4:$C$8</c15:sqref>
                  </c15:fullRef>
                </c:ext>
              </c:extLst>
              <c:f>社員・パート別稼働表【2月比較】!$C$6:$C$7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社員・パート別稼働表【2月比較】!$D$4:$D$8</c15:sqref>
                  </c15:fullRef>
                </c:ext>
              </c:extLst>
              <c:f>社員・パート別稼働表【2月比較】!$D$6:$D$7</c:f>
              <c:numCache>
                <c:formatCode>#,##0_ ;[Red]\-#,##0\ </c:formatCode>
                <c:ptCount val="2"/>
                <c:pt idx="0">
                  <c:v>2528720</c:v>
                </c:pt>
                <c:pt idx="1">
                  <c:v>9313485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B01-4898-AA96-5D6390799A50}"/>
            </c:ext>
            <c:ext xmlns:c15="http://schemas.microsoft.com/office/drawing/2012/chart" uri="{02D57815-91ED-43cb-92C2-25804820EDAC}">
              <c15:categoryFilterExceptions/>
            </c:ext>
          </c:extLst>
        </c:ser>
        <c:ser>
          <c:idx val="2"/>
          <c:order val="2"/>
          <c:tx>
            <c:strRef>
              <c:f>社員・パート別稼働表【2月比較】!$F$2:$F$3</c:f>
              <c:strCache>
                <c:ptCount val="2"/>
                <c:pt idx="0">
                  <c:v>2019年3月</c:v>
                </c:pt>
                <c:pt idx="1">
                  <c:v>人件費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社員・パート別稼働表【2月比較】!$C$4:$C$8</c15:sqref>
                  </c15:fullRef>
                </c:ext>
              </c:extLst>
              <c:f>社員・パート別稼働表【2月比較】!$C$6:$C$7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社員・パート別稼働表【2月比較】!$F$4:$F$8</c15:sqref>
                  </c15:fullRef>
                </c:ext>
              </c:extLst>
              <c:f>社員・パート別稼働表【2月比較】!$F$6:$F$7</c:f>
              <c:numCache>
                <c:formatCode>#,##0_ ;[Red]\-#,##0\ </c:formatCode>
                <c:ptCount val="2"/>
                <c:pt idx="0">
                  <c:v>3679546</c:v>
                </c:pt>
                <c:pt idx="1">
                  <c:v>3994054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E-7B01-4898-AA96-5D6390799A50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1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社員・パート別稼働表【2月比較】!$E$2:$E$3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社員・パート別稼働表【2月比較】!$C$4:$C$8</c15:sqref>
                        </c15:fullRef>
                        <c15:formulaRef>
                          <c15:sqref>社員・パート別稼働表【2月比較】!$C$6:$C$7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社員・パート別稼働表【2月比較】!$E$4:$E$8</c15:sqref>
                        </c15:fullRef>
                        <c15:formulaRef>
                          <c15:sqref>社員・パート別稼働表【2月比較】!$E$6:$E$7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0.214</c:v>
                      </c:pt>
                      <c:pt idx="1">
                        <c:v>0.78600000000000003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9-7B01-4898-AA96-5D6390799A50}"/>
                  </c:ext>
                  <c:ext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社員・パート別稼働表【2月比較】!$G$2:$G$3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社員・パート別稼働表【2月比較】!$C$4:$C$8</c15:sqref>
                        </c15:fullRef>
                        <c15:formulaRef>
                          <c15:sqref>社員・パート別稼働表【2月比較】!$C$6:$C$7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社員・パート別稼働表【2月比較】!$G$4:$G$8</c15:sqref>
                        </c15:fullRef>
                        <c15:formulaRef>
                          <c15:sqref>社員・パート別稼働表【2月比較】!$G$6:$G$7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1.4550000000000001</c:v>
                      </c:pt>
                      <c:pt idx="1">
                        <c:v>0.42899999999999999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13-7B01-4898-AA96-5D6390799A50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売上・人件費比較</a:t>
            </a:r>
            <a:endParaRPr lang="ja-JP" alt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社員・パート別稼働表【2月比較】!$C$5</c:f>
              <c:strCache>
                <c:ptCount val="1"/>
                <c:pt idx="0">
                  <c:v>社員賞与</c:v>
                </c:pt>
              </c:strCache>
            </c:strRef>
          </c:tx>
          <c:spPr>
            <a:solidFill>
              <a:srgbClr val="FF696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社員・パート別稼働表【2月比較】!$D$2:$K$3</c15:sqref>
                  </c15:fullRef>
                </c:ext>
              </c:extLst>
              <c:f>(社員・パート別稼働表【2月比較】!$H$2:$H$3,社員・パート別稼働表【2月比較】!$J$2:$J$3)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2019年4月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社員・パート別稼働表【2月比較】!$D$5:$K$5</c15:sqref>
                  </c15:fullRef>
                </c:ext>
              </c:extLst>
              <c:f>(社員・パート別稼働表【2月比較】!$H$5,社員・パート別稼働表【2月比較】!$J$5)</c:f>
              <c:numCache>
                <c:formatCode>0.0%</c:formatCode>
                <c:ptCount val="2"/>
                <c:pt idx="1" formatCode="#,##0_ ;[Red]\-#,##0\ ">
                  <c:v>498417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2-81AC-47B0-B664-97E795C2FAE3}"/>
            </c:ext>
          </c:extLst>
        </c:ser>
        <c:ser>
          <c:idx val="1"/>
          <c:order val="1"/>
          <c:tx>
            <c:strRef>
              <c:f>社員・パート別稼働表【2月比較】!$C$4</c:f>
              <c:strCache>
                <c:ptCount val="1"/>
                <c:pt idx="0">
                  <c:v>社員</c:v>
                </c:pt>
              </c:strCache>
              <c:extLst xmlns:c16r2="http://schemas.microsoft.com/office/drawing/2015/06/chart" xmlns:c15="http://schemas.microsoft.com/office/drawing/2012/chart"/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 xmlns:c15="http://schemas.microsoft.com/office/drawing/2012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社員・パート別稼働表【2月比較】!$D$2:$K$3</c15:sqref>
                  </c15:fullRef>
                </c:ext>
              </c:extLst>
              <c:f>(社員・パート別稼働表【2月比較】!$H$2:$H$3,社員・パート別稼働表【2月比較】!$J$2:$J$3)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2019年4月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社員・パート別稼働表【2月比較】!$D$4:$K$4</c15:sqref>
                  </c15:fullRef>
                </c:ext>
              </c:extLst>
              <c:f>(社員・パート別稼働表【2月比較】!$H$4,社員・パート別稼働表【2月比較】!$J$4)</c:f>
              <c:numCache>
                <c:formatCode>0.0%</c:formatCode>
                <c:ptCount val="2"/>
                <c:pt idx="0" formatCode="#,##0_ ;[Red]\-#,##0\ ">
                  <c:v>2915835</c:v>
                </c:pt>
                <c:pt idx="1" formatCode="#,##0_ ;[Red]\-#,##0\ ">
                  <c:v>2699280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0-81AC-47B0-B664-97E795C2FAE3}"/>
            </c:ext>
          </c:extLst>
        </c:ser>
        <c:ser>
          <c:idx val="3"/>
          <c:order val="3"/>
          <c:tx>
            <c:strRef>
              <c:f>社員・パート別稼働表【2月比較】!$C$7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 xmlns:c15="http://schemas.microsoft.com/office/drawing/2012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社員・パート別稼働表【2月比較】!$D$2:$K$3</c15:sqref>
                  </c15:fullRef>
                </c:ext>
              </c:extLst>
              <c:f>(社員・パート別稼働表【2月比較】!$H$2:$H$3,社員・パート別稼働表【2月比較】!$J$2:$J$3)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2019年4月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社員・パート別稼働表【2月比較】!$D$7:$K$7</c15:sqref>
                  </c15:fullRef>
                </c:ext>
              </c:extLst>
              <c:f>(社員・パート別稼働表【2月比較】!$H$7,社員・パート別稼働表【2月比較】!$J$7)</c:f>
              <c:numCache>
                <c:formatCode>0.0%</c:formatCode>
                <c:ptCount val="2"/>
                <c:pt idx="0" formatCode="#,##0_ ;[Red]\-#,##0\ ">
                  <c:v>9159012</c:v>
                </c:pt>
                <c:pt idx="1" formatCode="#,##0_ ;[Red]\-#,##0\ ">
                  <c:v>3892391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3-81AC-47B0-B664-97E795C2FAE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409539376"/>
        <c:axId val="40954094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社員・パート別稼働表【2月比較】!$C$6</c15:sqref>
                        </c15:formulaRef>
                      </c:ext>
                    </c:extLst>
                    <c:strCache>
                      <c:ptCount val="1"/>
                      <c:pt idx="0">
                        <c:v>社員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ullRef>
                          <c15:sqref>社員・パート別稼働表【2月比較】!$D$2:$K$3</c15:sqref>
                        </c15:fullRef>
                        <c15:formulaRef>
                          <c15:sqref>(社員・パート別稼働表【2月比較】!$H$2:$H$3,社員・パート別稼働表【2月比較】!$J$2:$J$3)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2019年4月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社員・パート別稼働表【2月比較】!$D$6:$K$6</c15:sqref>
                        </c15:fullRef>
                        <c15:formulaRef>
                          <c15:sqref>(社員・パート別稼働表【2月比較】!$H$6,社員・パート別稼働表【2月比較】!$J$6)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2915835</c:v>
                      </c:pt>
                      <c:pt idx="1" formatCode="#,##0_ ;[Red]\-#,##0\ ">
                        <c:v>3197697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1AC-47B0-B664-97E795C2FAE3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社員・パート別稼働表【2月比較】!$C$8</c15:sqref>
                        </c15:formulaRef>
                      </c:ext>
                    </c:extLst>
                    <c:strCache>
                      <c:ptCount val="1"/>
                      <c:pt idx="0">
                        <c:v>計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社員・パート別稼働表【2月比較】!$D$2:$K$3</c15:sqref>
                        </c15:fullRef>
                        <c15:formulaRef>
                          <c15:sqref>(社員・パート別稼働表【2月比較】!$H$2:$H$3,社員・パート別稼働表【2月比較】!$J$2:$J$3)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2019年4月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社員・パート別稼働表【2月比較】!$D$8:$K$8</c15:sqref>
                        </c15:fullRef>
                        <c15:formulaRef>
                          <c15:sqref>(社員・パート別稼働表【2月比較】!$H$8,社員・パート別稼働表【2月比較】!$J$8)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12074847</c:v>
                      </c:pt>
                      <c:pt idx="1" formatCode="#,##0_ ;[Red]\-#,##0\ ">
                        <c:v>7090088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40953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9540944"/>
        <c:crosses val="autoZero"/>
        <c:auto val="1"/>
        <c:lblAlgn val="ctr"/>
        <c:lblOffset val="100"/>
        <c:noMultiLvlLbl val="0"/>
      </c:catAx>
      <c:valAx>
        <c:axId val="40954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9539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売上割合</a:t>
            </a:r>
          </a:p>
        </c:rich>
      </c:tx>
      <c:layout>
        <c:manualLayout>
          <c:xMode val="edge"/>
          <c:yMode val="edge"/>
          <c:x val="4.4444444444444446E-2"/>
          <c:y val="0.11111111111111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4"/>
          <c:order val="4"/>
          <c:tx>
            <c:strRef>
              <c:f>社員・パート別稼働表【2月比較】!$H$2:$H$3</c:f>
              <c:strCache>
                <c:ptCount val="2"/>
                <c:pt idx="0">
                  <c:v>2019年4月</c:v>
                </c:pt>
                <c:pt idx="1">
                  <c:v>売上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numFmt formatCode="&quot;¥&quot;#,##0_);[Red]\(&quot;¥&quot;#,##0\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社員・パート別稼働表【2月比較】!$C$4:$C$8</c15:sqref>
                  </c15:fullRef>
                </c:ext>
              </c:extLst>
              <c:f>社員・パート別稼働表【2月比較】!$C$6:$C$7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社員・パート別稼働表【2月比較】!$H$4:$H$8</c15:sqref>
                  </c15:fullRef>
                </c:ext>
              </c:extLst>
              <c:f>社員・パート別稼働表【2月比較】!$H$6:$H$7</c:f>
              <c:numCache>
                <c:formatCode>#,##0_ ;[Red]\-#,##0\ </c:formatCode>
                <c:ptCount val="2"/>
                <c:pt idx="0">
                  <c:v>2915835</c:v>
                </c:pt>
                <c:pt idx="1">
                  <c:v>9159012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31-FAF0-44AE-B9B7-BEAD6764B412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社員・パート別稼働表【2月比較】!$D$2:$D$3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売上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社員・パート別稼働表【2月比較】!$C$4:$C$8</c15:sqref>
                        </c15:fullRef>
                        <c15:formulaRef>
                          <c15:sqref>社員・パート別稼働表【2月比較】!$C$6:$C$7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社員・パート別稼働表【2月比較】!$D$4:$D$8</c15:sqref>
                        </c15:fullRef>
                        <c15:formulaRef>
                          <c15:sqref>社員・パート別稼働表【2月比較】!$D$6:$D$7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2528720</c:v>
                      </c:pt>
                      <c:pt idx="1">
                        <c:v>9313485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D-FAF0-44AE-B9B7-BEAD6764B412}"/>
                  </c:ext>
                  <c:ext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社員・パート別稼働表【2月比較】!$E$2:$E$3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社員・パート別稼働表【2月比較】!$C$4:$C$8</c15:sqref>
                        </c15:fullRef>
                        <c15:formulaRef>
                          <c15:sqref>社員・パート別稼働表【2月比較】!$C$6:$C$7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社員・パート別稼働表【2月比較】!$E$4:$E$8</c15:sqref>
                        </c15:fullRef>
                        <c15:formulaRef>
                          <c15:sqref>社員・パート別稼働表【2月比較】!$E$6:$E$7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0.214</c:v>
                      </c:pt>
                      <c:pt idx="1">
                        <c:v>0.78600000000000003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16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社員・パート別稼働表【2月比較】!$F$2:$F$3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社員・パート別稼働表【2月比較】!$C$4:$C$8</c15:sqref>
                        </c15:fullRef>
                        <c15:formulaRef>
                          <c15:sqref>社員・パート別稼働表【2月比較】!$C$6:$C$7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社員・パート別稼働表【2月比較】!$F$4:$F$8</c15:sqref>
                        </c15:fullRef>
                        <c15:formulaRef>
                          <c15:sqref>社員・パート別稼働表【2月比較】!$F$6:$F$7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3679546</c:v>
                      </c:pt>
                      <c:pt idx="1">
                        <c:v>3994054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1F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社員・パート別稼働表【2月比較】!$G$2:$G$3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社員・パート別稼働表【2月比較】!$C$4:$C$8</c15:sqref>
                        </c15:fullRef>
                        <c15:formulaRef>
                          <c15:sqref>社員・パート別稼働表【2月比較】!$C$6:$C$7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社員・パート別稼働表【2月比較】!$G$4:$G$8</c15:sqref>
                        </c15:fullRef>
                        <c15:formulaRef>
                          <c15:sqref>社員・パート別稼働表【2月比較】!$G$6:$G$7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1.4550000000000001</c:v>
                      </c:pt>
                      <c:pt idx="1">
                        <c:v>0.42899999999999999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28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社員・パート別稼働表【2月比較】!$I$2:$I$3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社員・パート別稼働表【2月比較】!$C$4:$C$8</c15:sqref>
                        </c15:fullRef>
                        <c15:formulaRef>
                          <c15:sqref>社員・パート別稼働表【2月比較】!$C$6:$C$7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社員・パート別稼働表【2月比較】!$I$4:$I$8</c15:sqref>
                        </c15:fullRef>
                        <c15:formulaRef>
                          <c15:sqref>社員・パート別稼働表【2月比較】!$I$6:$I$7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0.24099999999999999</c:v>
                      </c:pt>
                      <c:pt idx="1">
                        <c:v>0.75900000000000001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36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社員・パート別稼働表【2月比較】!$J$2:$J$3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rgbClr val="FFC0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rgbClr val="47D4D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inEnd"/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eparator>
</c:separator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社員・パート別稼働表【2月比較】!$C$4:$C$8</c15:sqref>
                        </c15:fullRef>
                        <c15:formulaRef>
                          <c15:sqref>社員・パート別稼働表【2月比較】!$C$6:$C$7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社員・パート別稼働表【2月比較】!$J$4:$J$8</c15:sqref>
                        </c15:fullRef>
                        <c15:formulaRef>
                          <c15:sqref>社員・パート別稼働表【2月比較】!$J$6:$J$7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3197697</c:v>
                      </c:pt>
                      <c:pt idx="1">
                        <c:v>3892391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4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社員・パート別稼働表【2月比較】!$K$2:$K$3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社員・パート別稼働表【2月比較】!$C$4:$C$8</c15:sqref>
                        </c15:fullRef>
                        <c15:formulaRef>
                          <c15:sqref>社員・パート別稼働表【2月比較】!$C$6:$C$7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社員・パート別稼働表【2月比較】!$K$4:$K$8</c15:sqref>
                        </c15:fullRef>
                        <c15:formulaRef>
                          <c15:sqref>社員・パート別稼働表【2月比較】!$K$6:$K$7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1.097</c:v>
                      </c:pt>
                      <c:pt idx="1">
                        <c:v>0.42499999999999999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売上推移!$B$5</c:f>
              <c:strCache>
                <c:ptCount val="1"/>
                <c:pt idx="0">
                  <c:v>白金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売上推移!$C$5:$Z$5</c:f>
              <c:numCache>
                <c:formatCode>#,##0_ ;[Red]\-#,##0\ </c:formatCode>
                <c:ptCount val="24"/>
                <c:pt idx="0">
                  <c:v>10081728</c:v>
                </c:pt>
                <c:pt idx="1">
                  <c:v>9528673</c:v>
                </c:pt>
                <c:pt idx="2">
                  <c:v>10338554</c:v>
                </c:pt>
                <c:pt idx="3">
                  <c:v>10004240</c:v>
                </c:pt>
                <c:pt idx="4">
                  <c:v>10291903</c:v>
                </c:pt>
                <c:pt idx="5">
                  <c:v>10634528</c:v>
                </c:pt>
                <c:pt idx="6">
                  <c:v>9718481</c:v>
                </c:pt>
                <c:pt idx="7">
                  <c:v>10007332</c:v>
                </c:pt>
                <c:pt idx="8">
                  <c:v>10050857</c:v>
                </c:pt>
                <c:pt idx="9">
                  <c:v>9647827</c:v>
                </c:pt>
                <c:pt idx="10">
                  <c:v>10237581</c:v>
                </c:pt>
                <c:pt idx="11">
                  <c:v>10301194</c:v>
                </c:pt>
                <c:pt idx="12">
                  <c:v>10772827</c:v>
                </c:pt>
                <c:pt idx="13">
                  <c:v>9835106</c:v>
                </c:pt>
                <c:pt idx="14">
                  <c:v>11042771</c:v>
                </c:pt>
                <c:pt idx="15">
                  <c:v>9842755</c:v>
                </c:pt>
                <c:pt idx="16">
                  <c:v>11239510</c:v>
                </c:pt>
                <c:pt idx="17">
                  <c:v>12511332</c:v>
                </c:pt>
                <c:pt idx="18">
                  <c:v>12778671</c:v>
                </c:pt>
                <c:pt idx="19">
                  <c:v>12163091</c:v>
                </c:pt>
                <c:pt idx="20">
                  <c:v>12668826</c:v>
                </c:pt>
                <c:pt idx="21">
                  <c:v>11458207</c:v>
                </c:pt>
                <c:pt idx="22">
                  <c:v>12821396</c:v>
                </c:pt>
                <c:pt idx="23">
                  <c:v>12901588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7E-4827-9D81-6CC91DFD9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986112"/>
        <c:axId val="454984152"/>
      </c:barChart>
      <c:dateAx>
        <c:axId val="454986112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4984152"/>
        <c:crosses val="autoZero"/>
        <c:auto val="1"/>
        <c:lblOffset val="100"/>
        <c:baseTimeUnit val="months"/>
      </c:dateAx>
      <c:valAx>
        <c:axId val="454984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4986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売上・人件費比較</a:t>
            </a:r>
            <a:endParaRPr lang="ja-JP" alt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社員・パート別稼働表【2月比較】!$M$5</c:f>
              <c:strCache>
                <c:ptCount val="1"/>
                <c:pt idx="0">
                  <c:v>社員賞与</c:v>
                </c:pt>
              </c:strCache>
            </c:strRef>
          </c:tx>
          <c:spPr>
            <a:solidFill>
              <a:srgbClr val="FF696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社員・パート別稼働表【2月比較】!$N$2:$Q$3</c15:sqref>
                  </c15:fullRef>
                </c:ext>
              </c:extLst>
              <c:f>(社員・パート別稼働表【2月比較】!$N$2:$N$3,社員・パート別稼働表【2月比較】!$P$2:$P$3)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2019年3月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社員・パート別稼働表【2月比較】!$N$5:$Q$5</c15:sqref>
                  </c15:fullRef>
                </c:ext>
              </c:extLst>
              <c:f>(社員・パート別稼働表【2月比較】!$N$5,社員・パート別稼働表【2月比較】!$P$5)</c:f>
              <c:numCache>
                <c:formatCode>0.0%</c:formatCode>
                <c:ptCount val="2"/>
                <c:pt idx="1" formatCode="#,##0_ ;[Red]\-#,##0\ ">
                  <c:v>411433</c:v>
                </c:pt>
              </c:numCache>
            </c:numRef>
          </c:val>
        </c:ser>
        <c:ser>
          <c:idx val="1"/>
          <c:order val="1"/>
          <c:tx>
            <c:strRef>
              <c:f>社員・パート別稼働表【2月比較】!$M$4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 xmlns:c15="http://schemas.microsoft.com/office/drawing/2012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社員・パート別稼働表【2月比較】!$N$2:$Q$3</c15:sqref>
                  </c15:fullRef>
                </c:ext>
              </c:extLst>
              <c:f>(社員・パート別稼働表【2月比較】!$N$2:$N$3,社員・パート別稼働表【2月比較】!$P$2:$P$3)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2019年3月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社員・パート別稼働表【2月比較】!$N$4:$Q$4</c15:sqref>
                  </c15:fullRef>
                </c:ext>
              </c:extLst>
              <c:f>(社員・パート別稼働表【2月比較】!$N$4,社員・パート別稼働表【2月比較】!$P$4)</c:f>
              <c:numCache>
                <c:formatCode>0.0%</c:formatCode>
                <c:ptCount val="2"/>
                <c:pt idx="0" formatCode="#,##0_ ;[Red]\-#,##0\ ">
                  <c:v>1821172</c:v>
                </c:pt>
                <c:pt idx="1" formatCode="#,##0_ ;[Red]\-#,##0\ ">
                  <c:v>1694679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0-5FE5-44E0-91CD-0CEA3B8EE7C5}"/>
            </c:ext>
          </c:extLst>
        </c:ser>
        <c:ser>
          <c:idx val="3"/>
          <c:order val="3"/>
          <c:tx>
            <c:strRef>
              <c:f>社員・パート別稼働表【2月比較】!$M$7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社員・パート別稼働表【2月比較】!$N$2:$Q$3</c15:sqref>
                  </c15:fullRef>
                </c:ext>
              </c:extLst>
              <c:f>(社員・パート別稼働表【2月比較】!$N$2:$N$3,社員・パート別稼働表【2月比較】!$P$2:$P$3)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2019年3月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社員・パート別稼働表【2月比較】!$N$7:$Q$7</c15:sqref>
                  </c15:fullRef>
                </c:ext>
              </c:extLst>
              <c:f>(社員・パート別稼働表【2月比較】!$N$7,社員・パート別稼働表【2月比較】!$P$7)</c:f>
              <c:numCache>
                <c:formatCode>0.0%</c:formatCode>
                <c:ptCount val="2"/>
                <c:pt idx="0" formatCode="#,##0_ ;[Red]\-#,##0\ ">
                  <c:v>3537087</c:v>
                </c:pt>
                <c:pt idx="1" formatCode="#,##0_ ;[Red]\-#,##0\ ">
                  <c:v>1704753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409540552"/>
        <c:axId val="40953388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社員・パート別稼働表【2月比較】!$M$6</c15:sqref>
                        </c15:formulaRef>
                      </c:ext>
                    </c:extLst>
                    <c:strCache>
                      <c:ptCount val="1"/>
                      <c:pt idx="0">
                        <c:v>社員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ullRef>
                          <c15:sqref>社員・パート別稼働表【2月比較】!$N$2:$Q$3</c15:sqref>
                        </c15:fullRef>
                        <c15:formulaRef>
                          <c15:sqref>(社員・パート別稼働表【2月比較】!$N$2:$N$3,社員・パート別稼働表【2月比較】!$P$2:$P$3)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2019年3月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社員・パート別稼働表【2月比較】!$N$6:$Q$6</c15:sqref>
                        </c15:fullRef>
                        <c15:formulaRef>
                          <c15:sqref>(社員・パート別稼働表【2月比較】!$N$6,社員・パート別稼働表【2月比較】!$P$6)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1821172</c:v>
                      </c:pt>
                      <c:pt idx="1" formatCode="#,##0_ ;[Red]\-#,##0\ ">
                        <c:v>2106112</c:v>
                      </c:pt>
                    </c:numCache>
                  </c:numRef>
                </c:val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社員・パート別稼働表【2月比較】!$M$8</c15:sqref>
                        </c15:formulaRef>
                      </c:ext>
                    </c:extLst>
                    <c:strCache>
                      <c:ptCount val="1"/>
                      <c:pt idx="0">
                        <c:v>計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社員・パート別稼働表【2月比較】!$N$2:$Q$3</c15:sqref>
                        </c15:fullRef>
                        <c15:formulaRef>
                          <c15:sqref>(社員・パート別稼働表【2月比較】!$N$2:$N$3,社員・パート別稼働表【2月比較】!$P$2:$P$3)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2019年3月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社員・パート別稼働表【2月比較】!$N$8:$Q$8</c15:sqref>
                        </c15:fullRef>
                        <c15:formulaRef>
                          <c15:sqref>(社員・パート別稼働表【2月比較】!$N$8,社員・パート別稼働表【2月比較】!$P$8)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5358259</c:v>
                      </c:pt>
                      <c:pt idx="1" formatCode="#,##0_ ;[Red]\-#,##0\ ">
                        <c:v>3810865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409540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9533888"/>
        <c:crosses val="autoZero"/>
        <c:auto val="1"/>
        <c:lblAlgn val="ctr"/>
        <c:lblOffset val="100"/>
        <c:noMultiLvlLbl val="0"/>
      </c:catAx>
      <c:valAx>
        <c:axId val="409533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9540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売上割合</a:t>
            </a:r>
          </a:p>
        </c:rich>
      </c:tx>
      <c:layout>
        <c:manualLayout>
          <c:xMode val="edge"/>
          <c:yMode val="edge"/>
          <c:x val="0.05"/>
          <c:y val="8.7962962962962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社員・パート別稼働表【2月比較】!$N$2:$N$3</c:f>
              <c:strCache>
                <c:ptCount val="2"/>
                <c:pt idx="0">
                  <c:v>2019年3月</c:v>
                </c:pt>
                <c:pt idx="1">
                  <c:v>売上</c:v>
                </c:pt>
              </c:strCache>
            </c:strRef>
          </c:tx>
          <c:spPr>
            <a:solidFill>
              <a:schemeClr val="accent5"/>
            </a:solidFill>
          </c:spPr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numFmt formatCode="_(&quot;¥&quot;* #,##0_);_(&quot;¥&quot;* \(#,##0\);_(&quot;¥&quot;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社員・パート別稼働表【2月比較】!$M$4:$M$8</c15:sqref>
                  </c15:fullRef>
                </c:ext>
              </c:extLst>
              <c:f>社員・パート別稼働表【2月比較】!$M$6:$M$7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社員・パート別稼働表【2月比較】!$N$4:$N$8</c15:sqref>
                  </c15:fullRef>
                </c:ext>
              </c:extLst>
              <c:f>社員・パート別稼働表【2月比較】!$N$6:$N$7</c:f>
              <c:numCache>
                <c:formatCode>#,##0_ ;[Red]\-#,##0\ </c:formatCode>
                <c:ptCount val="2"/>
                <c:pt idx="0">
                  <c:v>1821172</c:v>
                </c:pt>
                <c:pt idx="1">
                  <c:v>3537087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B01-4898-AA96-5D6390799A50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1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社員・パート別稼働表【2月比較】!$O$2:$O$3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社員・パート別稼働表【2月比較】!$M$4:$M$8</c15:sqref>
                        </c15:fullRef>
                        <c15:formulaRef>
                          <c15:sqref>社員・パート別稼働表【2月比較】!$M$6:$M$7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社員・パート別稼働表【2月比較】!$O$4:$O$8</c15:sqref>
                        </c15:fullRef>
                        <c15:formulaRef>
                          <c15:sqref>社員・パート別稼働表【2月比較】!$O$6:$O$7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0.34</c:v>
                      </c:pt>
                      <c:pt idx="1">
                        <c:v>0.66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9-7B01-4898-AA96-5D6390799A50}"/>
                  </c:ext>
                  <c:ext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社員・パート別稼働表【2月比較】!$P$2:$P$3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社員・パート別稼働表【2月比較】!$M$4:$M$8</c15:sqref>
                        </c15:fullRef>
                        <c15:formulaRef>
                          <c15:sqref>社員・パート別稼働表【2月比較】!$M$6:$M$7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社員・パート別稼働表【2月比較】!$P$4:$P$8</c15:sqref>
                        </c15:fullRef>
                        <c15:formulaRef>
                          <c15:sqref>社員・パート別稼働表【2月比較】!$P$6:$P$7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2106112</c:v>
                      </c:pt>
                      <c:pt idx="1">
                        <c:v>1704753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E-7B01-4898-AA96-5D6390799A50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社員・パート別稼働表【2月比較】!$Q$2:$Q$3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社員・パート別稼働表【2月比較】!$M$4:$M$8</c15:sqref>
                        </c15:fullRef>
                        <c15:formulaRef>
                          <c15:sqref>社員・パート別稼働表【2月比較】!$M$6:$M$7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社員・パート別稼働表【2月比較】!$Q$4:$Q$8</c15:sqref>
                        </c15:fullRef>
                        <c15:formulaRef>
                          <c15:sqref>社員・パート別稼働表【2月比較】!$Q$6:$Q$7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1.1559999999999999</c:v>
                      </c:pt>
                      <c:pt idx="1">
                        <c:v>0.48199999999999998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13-7B01-4898-AA96-5D6390799A50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売上・人件費比較</a:t>
            </a:r>
            <a:endParaRPr lang="ja-JP" alt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社員・パート別稼働表【2月比較】!$M$5</c:f>
              <c:strCache>
                <c:ptCount val="1"/>
                <c:pt idx="0">
                  <c:v>社員賞与</c:v>
                </c:pt>
              </c:strCache>
            </c:strRef>
          </c:tx>
          <c:spPr>
            <a:solidFill>
              <a:srgbClr val="FF696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社員・パート別稼働表【2月比較】!$N$2:$U$3</c15:sqref>
                  </c15:fullRef>
                </c:ext>
              </c:extLst>
              <c:f>(社員・パート別稼働表【2月比較】!$R$2:$R$3,社員・パート別稼働表【2月比較】!$T$2:$T$3)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2019年4月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社員・パート別稼働表【2月比較】!$N$5:$U$5</c15:sqref>
                  </c15:fullRef>
                </c:ext>
              </c:extLst>
              <c:f>(社員・パート別稼働表【2月比較】!$R$5,社員・パート別稼働表【2月比較】!$T$5)</c:f>
              <c:numCache>
                <c:formatCode>0.0%</c:formatCode>
                <c:ptCount val="2"/>
                <c:pt idx="1" formatCode="#,##0_ ;[Red]\-#,##0\ ">
                  <c:v>411433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2-81AC-47B0-B664-97E795C2FAE3}"/>
            </c:ext>
          </c:extLst>
        </c:ser>
        <c:ser>
          <c:idx val="1"/>
          <c:order val="1"/>
          <c:tx>
            <c:strRef>
              <c:f>社員・パート別稼働表【2月比較】!$M$4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 xmlns:c15="http://schemas.microsoft.com/office/drawing/2012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社員・パート別稼働表【2月比較】!$N$2:$U$3</c15:sqref>
                  </c15:fullRef>
                </c:ext>
              </c:extLst>
              <c:f>(社員・パート別稼働表【2月比較】!$R$2:$R$3,社員・パート別稼働表【2月比較】!$T$2:$T$3)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2019年4月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社員・パート別稼働表【2月比較】!$N$4:$U$4</c15:sqref>
                  </c15:fullRef>
                </c:ext>
              </c:extLst>
              <c:f>(社員・パート別稼働表【2月比較】!$R$4,社員・パート別稼働表【2月比較】!$T$4)</c:f>
              <c:numCache>
                <c:formatCode>0.0%</c:formatCode>
                <c:ptCount val="2"/>
                <c:pt idx="0" formatCode="#,##0_ ;[Red]\-#,##0\ ">
                  <c:v>1751137</c:v>
                </c:pt>
                <c:pt idx="1" formatCode="#,##0_ ;[Red]\-#,##0\ ">
                  <c:v>1959917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0-81AC-47B0-B664-97E795C2FAE3}"/>
            </c:ext>
          </c:extLst>
        </c:ser>
        <c:ser>
          <c:idx val="3"/>
          <c:order val="3"/>
          <c:tx>
            <c:strRef>
              <c:f>社員・パート別稼働表【2月比較】!$M$7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 xmlns:c15="http://schemas.microsoft.com/office/drawing/2012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社員・パート別稼働表【2月比較】!$N$2:$U$3</c15:sqref>
                  </c15:fullRef>
                </c:ext>
              </c:extLst>
              <c:f>(社員・パート別稼働表【2月比較】!$R$2:$R$3,社員・パート別稼働表【2月比較】!$T$2:$T$3)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2019年4月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社員・パート別稼働表【2月比較】!$N$7:$U$7</c15:sqref>
                  </c15:fullRef>
                </c:ext>
              </c:extLst>
              <c:f>(社員・パート別稼働表【2月比較】!$R$7,社員・パート別稼働表【2月比較】!$T$7)</c:f>
              <c:numCache>
                <c:formatCode>0.0%</c:formatCode>
                <c:ptCount val="2"/>
                <c:pt idx="0" formatCode="#,##0_ ;[Red]\-#,##0\ ">
                  <c:v>3425212</c:v>
                </c:pt>
                <c:pt idx="1" formatCode="#,##0_ ;[Red]\-#,##0\ ">
                  <c:v>1625495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3-81AC-47B0-B664-97E795C2FAE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479136416"/>
        <c:axId val="47913720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社員・パート別稼働表【2月比較】!$M$6</c15:sqref>
                        </c15:formulaRef>
                      </c:ext>
                    </c:extLst>
                    <c:strCache>
                      <c:ptCount val="1"/>
                      <c:pt idx="0">
                        <c:v>社員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ullRef>
                          <c15:sqref>社員・パート別稼働表【2月比較】!$N$2:$U$3</c15:sqref>
                        </c15:fullRef>
                        <c15:formulaRef>
                          <c15:sqref>(社員・パート別稼働表【2月比較】!$R$2:$R$3,社員・パート別稼働表【2月比較】!$T$2:$T$3)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2019年4月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社員・パート別稼働表【2月比較】!$N$6:$U$6</c15:sqref>
                        </c15:fullRef>
                        <c15:formulaRef>
                          <c15:sqref>(社員・パート別稼働表【2月比較】!$R$6,社員・パート別稼働表【2月比較】!$T$6)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1751137</c:v>
                      </c:pt>
                      <c:pt idx="1" formatCode="#,##0_ ;[Red]\-#,##0\ ">
                        <c:v>2371350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1AC-47B0-B664-97E795C2FAE3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社員・パート別稼働表【2月比較】!$M$8</c15:sqref>
                        </c15:formulaRef>
                      </c:ext>
                    </c:extLst>
                    <c:strCache>
                      <c:ptCount val="1"/>
                      <c:pt idx="0">
                        <c:v>計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社員・パート別稼働表【2月比較】!$N$2:$U$3</c15:sqref>
                        </c15:fullRef>
                        <c15:formulaRef>
                          <c15:sqref>(社員・パート別稼働表【2月比較】!$R$2:$R$3,社員・パート別稼働表【2月比較】!$T$2:$T$3)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2019年4月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社員・パート別稼働表【2月比較】!$N$8:$U$8</c15:sqref>
                        </c15:fullRef>
                        <c15:formulaRef>
                          <c15:sqref>(社員・パート別稼働表【2月比較】!$R$8,社員・パート別稼働表【2月比較】!$T$8)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5176349</c:v>
                      </c:pt>
                      <c:pt idx="1" formatCode="#,##0_ ;[Red]\-#,##0\ ">
                        <c:v>3996845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47913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9137200"/>
        <c:crosses val="autoZero"/>
        <c:auto val="1"/>
        <c:lblAlgn val="ctr"/>
        <c:lblOffset val="100"/>
        <c:noMultiLvlLbl val="0"/>
      </c:catAx>
      <c:valAx>
        <c:axId val="47913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9136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売上割合</a:t>
            </a:r>
          </a:p>
        </c:rich>
      </c:tx>
      <c:layout>
        <c:manualLayout>
          <c:xMode val="edge"/>
          <c:yMode val="edge"/>
          <c:x val="4.4444444444444446E-2"/>
          <c:y val="0.11111111111111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4"/>
          <c:order val="4"/>
          <c:tx>
            <c:strRef>
              <c:f>社員・パート別稼働表【2月比較】!$R$2:$R$3</c:f>
              <c:strCache>
                <c:ptCount val="2"/>
                <c:pt idx="0">
                  <c:v>2019年4月</c:v>
                </c:pt>
                <c:pt idx="1">
                  <c:v>売上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numFmt formatCode="&quot;¥&quot;#,##0_);[Red]\(&quot;¥&quot;#,##0\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社員・パート別稼働表【2月比較】!$M$4:$M$8</c15:sqref>
                  </c15:fullRef>
                </c:ext>
              </c:extLst>
              <c:f>社員・パート別稼働表【2月比較】!$M$6:$M$7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社員・パート別稼働表【2月比較】!$R$4:$R$8</c15:sqref>
                  </c15:fullRef>
                </c:ext>
              </c:extLst>
              <c:f>社員・パート別稼働表【2月比較】!$R$6:$R$7</c:f>
              <c:numCache>
                <c:formatCode>#,##0_ ;[Red]\-#,##0\ </c:formatCode>
                <c:ptCount val="2"/>
                <c:pt idx="0">
                  <c:v>1751137</c:v>
                </c:pt>
                <c:pt idx="1">
                  <c:v>3425212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31-FAF0-44AE-B9B7-BEAD6764B412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社員・パート別稼働表【2月比較】!$N$2:$N$3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売上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社員・パート別稼働表【2月比較】!$M$4:$M$8</c15:sqref>
                        </c15:fullRef>
                        <c15:formulaRef>
                          <c15:sqref>社員・パート別稼働表【2月比較】!$M$6:$M$7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社員・パート別稼働表【2月比較】!$N$4:$N$8</c15:sqref>
                        </c15:fullRef>
                        <c15:formulaRef>
                          <c15:sqref>社員・パート別稼働表【2月比較】!$N$6:$N$7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1821172</c:v>
                      </c:pt>
                      <c:pt idx="1">
                        <c:v>3537087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D-FAF0-44AE-B9B7-BEAD6764B412}"/>
                  </c:ext>
                  <c:ext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社員・パート別稼働表【2月比較】!$O$2:$O$3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社員・パート別稼働表【2月比較】!$M$4:$M$8</c15:sqref>
                        </c15:fullRef>
                        <c15:formulaRef>
                          <c15:sqref>社員・パート別稼働表【2月比較】!$M$6:$M$7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社員・パート別稼働表【2月比較】!$O$4:$O$8</c15:sqref>
                        </c15:fullRef>
                        <c15:formulaRef>
                          <c15:sqref>社員・パート別稼働表【2月比較】!$O$6:$O$7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0.34</c:v>
                      </c:pt>
                      <c:pt idx="1">
                        <c:v>0.66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16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社員・パート別稼働表【2月比較】!$P$2:$P$3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社員・パート別稼働表【2月比較】!$M$4:$M$8</c15:sqref>
                        </c15:fullRef>
                        <c15:formulaRef>
                          <c15:sqref>社員・パート別稼働表【2月比較】!$M$6:$M$7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社員・パート別稼働表【2月比較】!$P$4:$P$8</c15:sqref>
                        </c15:fullRef>
                        <c15:formulaRef>
                          <c15:sqref>社員・パート別稼働表【2月比較】!$P$6:$P$7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2106112</c:v>
                      </c:pt>
                      <c:pt idx="1">
                        <c:v>1704753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1F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社員・パート別稼働表【2月比較】!$Q$2:$Q$3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社員・パート別稼働表【2月比較】!$M$4:$M$8</c15:sqref>
                        </c15:fullRef>
                        <c15:formulaRef>
                          <c15:sqref>社員・パート別稼働表【2月比較】!$M$6:$M$7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社員・パート別稼働表【2月比較】!$Q$4:$Q$8</c15:sqref>
                        </c15:fullRef>
                        <c15:formulaRef>
                          <c15:sqref>社員・パート別稼働表【2月比較】!$Q$6:$Q$7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1.1559999999999999</c:v>
                      </c:pt>
                      <c:pt idx="1">
                        <c:v>0.48199999999999998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28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社員・パート別稼働表【2月比較】!$S$2:$S$3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社員・パート別稼働表【2月比較】!$M$4:$M$8</c15:sqref>
                        </c15:fullRef>
                        <c15:formulaRef>
                          <c15:sqref>社員・パート別稼働表【2月比較】!$M$6:$M$7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社員・パート別稼働表【2月比較】!$S$4:$S$8</c15:sqref>
                        </c15:fullRef>
                        <c15:formulaRef>
                          <c15:sqref>社員・パート別稼働表【2月比較】!$S$6:$S$7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0.33800000000000002</c:v>
                      </c:pt>
                      <c:pt idx="1">
                        <c:v>0.66200000000000003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36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社員・パート別稼働表【2月比較】!$T$2:$T$3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rgbClr val="FFC0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rgbClr val="47D4D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inEnd"/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eparator>
</c:separator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社員・パート別稼働表【2月比較】!$M$4:$M$8</c15:sqref>
                        </c15:fullRef>
                        <c15:formulaRef>
                          <c15:sqref>社員・パート別稼働表【2月比較】!$M$6:$M$7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社員・パート別稼働表【2月比較】!$T$4:$T$8</c15:sqref>
                        </c15:fullRef>
                        <c15:formulaRef>
                          <c15:sqref>社員・パート別稼働表【2月比較】!$T$6:$T$7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2371350</c:v>
                      </c:pt>
                      <c:pt idx="1">
                        <c:v>1625495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4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社員・パート別稼働表【2月比較】!$U$2:$U$3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社員・パート別稼働表【2月比較】!$M$4:$M$8</c15:sqref>
                        </c15:fullRef>
                        <c15:formulaRef>
                          <c15:sqref>社員・パート別稼働表【2月比較】!$M$6:$M$7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社員・パート別稼働表【2月比較】!$U$4:$U$8</c15:sqref>
                        </c15:fullRef>
                        <c15:formulaRef>
                          <c15:sqref>社員・パート別稼働表【2月比較】!$U$6:$U$7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1.3540000000000001</c:v>
                      </c:pt>
                      <c:pt idx="1">
                        <c:v>0.47499999999999998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売上・人件費比較</a:t>
            </a:r>
            <a:endParaRPr lang="ja-JP" alt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社員・パート別稼働表【2月比較】!$C$36</c:f>
              <c:strCache>
                <c:ptCount val="1"/>
                <c:pt idx="0">
                  <c:v>社員賞与</c:v>
                </c:pt>
              </c:strCache>
            </c:strRef>
          </c:tx>
          <c:spPr>
            <a:solidFill>
              <a:srgbClr val="FF696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社員・パート別稼働表【2月比較】!$D$33:$G$34</c15:sqref>
                  </c15:fullRef>
                </c:ext>
              </c:extLst>
              <c:f>(社員・パート別稼働表【2月比較】!$D$33:$D$34,社員・パート別稼働表【2月比較】!$F$33:$F$34)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2019年3月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社員・パート別稼働表【2月比較】!$D$36:$G$36</c15:sqref>
                  </c15:fullRef>
                </c:ext>
              </c:extLst>
              <c:f>(社員・パート別稼働表【2月比較】!$D$36,社員・パート別稼働表【2月比較】!$F$36)</c:f>
              <c:numCache>
                <c:formatCode>0.0%</c:formatCode>
                <c:ptCount val="2"/>
                <c:pt idx="1" formatCode="#,##0_ ;[Red]\-#,##0\ ">
                  <c:v>484250</c:v>
                </c:pt>
              </c:numCache>
            </c:numRef>
          </c:val>
        </c:ser>
        <c:ser>
          <c:idx val="1"/>
          <c:order val="1"/>
          <c:tx>
            <c:strRef>
              <c:f>社員・パート別稼働表【2月比較】!$C$35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 xmlns:c15="http://schemas.microsoft.com/office/drawing/2012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社員・パート別稼働表【2月比較】!$D$33:$G$34</c15:sqref>
                  </c15:fullRef>
                </c:ext>
              </c:extLst>
              <c:f>(社員・パート別稼働表【2月比較】!$D$33:$D$34,社員・パート別稼働表【2月比較】!$F$33:$F$34)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2019年3月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社員・パート別稼働表【2月比較】!$D$35:$G$35</c15:sqref>
                  </c15:fullRef>
                </c:ext>
              </c:extLst>
              <c:f>(社員・パート別稼働表【2月比較】!$D$35,社員・パート別稼働表【2月比較】!$F$35)</c:f>
              <c:numCache>
                <c:formatCode>0.0%</c:formatCode>
                <c:ptCount val="2"/>
                <c:pt idx="0" formatCode="#,##0_ ;[Red]\-#,##0\ ">
                  <c:v>2507399</c:v>
                </c:pt>
                <c:pt idx="1" formatCode="#,##0_ ;[Red]\-#,##0\ ">
                  <c:v>2560235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0-5FE5-44E0-91CD-0CEA3B8EE7C5}"/>
            </c:ext>
          </c:extLst>
        </c:ser>
        <c:ser>
          <c:idx val="3"/>
          <c:order val="3"/>
          <c:tx>
            <c:strRef>
              <c:f>社員・パート別稼働表【2月比較】!$C$38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社員・パート別稼働表【2月比較】!$D$33:$G$34</c15:sqref>
                  </c15:fullRef>
                </c:ext>
              </c:extLst>
              <c:f>(社員・パート別稼働表【2月比較】!$D$33:$D$34,社員・パート別稼働表【2月比較】!$F$33:$F$34)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2019年3月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社員・パート別稼働表【2月比較】!$D$38:$G$38</c15:sqref>
                  </c15:fullRef>
                </c:ext>
              </c:extLst>
              <c:f>(社員・パート別稼働表【2月比較】!$D$38,社員・パート別稼働表【2月比較】!$F$38)</c:f>
              <c:numCache>
                <c:formatCode>0.0%</c:formatCode>
                <c:ptCount val="2"/>
                <c:pt idx="0" formatCode="#,##0_ ;[Red]\-#,##0\ ">
                  <c:v>4254545</c:v>
                </c:pt>
                <c:pt idx="1" formatCode="#,##0_ ;[Red]\-#,##0\ ">
                  <c:v>1956346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479138768"/>
        <c:axId val="47913680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社員・パート別稼働表【2月比較】!$C$37</c15:sqref>
                        </c15:formulaRef>
                      </c:ext>
                    </c:extLst>
                    <c:strCache>
                      <c:ptCount val="1"/>
                      <c:pt idx="0">
                        <c:v>社員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ullRef>
                          <c15:sqref>社員・パート別稼働表【2月比較】!$D$33:$G$34</c15:sqref>
                        </c15:fullRef>
                        <c15:formulaRef>
                          <c15:sqref>(社員・パート別稼働表【2月比較】!$D$33:$D$34,社員・パート別稼働表【2月比較】!$F$33:$F$34)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2019年3月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社員・パート別稼働表【2月比較】!$D$37:$G$37</c15:sqref>
                        </c15:fullRef>
                        <c15:formulaRef>
                          <c15:sqref>(社員・パート別稼働表【2月比較】!$D$37,社員・パート別稼働表【2月比較】!$F$37)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2507399</c:v>
                      </c:pt>
                      <c:pt idx="1" formatCode="#,##0_ ;[Red]\-#,##0\ ">
                        <c:v>3044485</c:v>
                      </c:pt>
                    </c:numCache>
                  </c:numRef>
                </c:val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社員・パート別稼働表【2月比較】!$C$39</c15:sqref>
                        </c15:formulaRef>
                      </c:ext>
                    </c:extLst>
                    <c:strCache>
                      <c:ptCount val="1"/>
                      <c:pt idx="0">
                        <c:v>計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社員・パート別稼働表【2月比較】!$D$33:$G$34</c15:sqref>
                        </c15:fullRef>
                        <c15:formulaRef>
                          <c15:sqref>(社員・パート別稼働表【2月比較】!$D$33:$D$34,社員・パート別稼働表【2月比較】!$F$33:$F$34)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2019年3月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社員・パート別稼働表【2月比較】!$D$39:$G$39</c15:sqref>
                        </c15:fullRef>
                        <c15:formulaRef>
                          <c15:sqref>(社員・パート別稼働表【2月比較】!$D$39,社員・パート別稼働表【2月比較】!$F$39)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6761944</c:v>
                      </c:pt>
                      <c:pt idx="1" formatCode="#,##0_ ;[Red]\-#,##0\ ">
                        <c:v>5000831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4791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9136808"/>
        <c:crosses val="autoZero"/>
        <c:auto val="1"/>
        <c:lblAlgn val="ctr"/>
        <c:lblOffset val="100"/>
        <c:noMultiLvlLbl val="0"/>
      </c:catAx>
      <c:valAx>
        <c:axId val="479136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9138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売上・人件費比較</a:t>
            </a:r>
            <a:endParaRPr lang="ja-JP" alt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社員・パート別稼働表【2月比較】!$C$36</c:f>
              <c:strCache>
                <c:ptCount val="1"/>
                <c:pt idx="0">
                  <c:v>社員賞与</c:v>
                </c:pt>
              </c:strCache>
            </c:strRef>
          </c:tx>
          <c:spPr>
            <a:solidFill>
              <a:srgbClr val="FF696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社員・パート別稼働表【2月比較】!$D$33:$K$34</c15:sqref>
                  </c15:fullRef>
                </c:ext>
              </c:extLst>
              <c:f>(社員・パート別稼働表【2月比較】!$H$33:$H$34,社員・パート別稼働表【2月比較】!$J$33:$J$34)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2019年4月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社員・パート別稼働表【2月比較】!$D$36:$K$36</c15:sqref>
                  </c15:fullRef>
                </c:ext>
              </c:extLst>
              <c:f>(社員・パート別稼働表【2月比較】!$H$36,社員・パート別稼働表【2月比較】!$J$36)</c:f>
              <c:numCache>
                <c:formatCode>0.0%</c:formatCode>
                <c:ptCount val="2"/>
                <c:pt idx="1" formatCode="#,##0_ ;[Red]\-#,##0\ ">
                  <c:v>484250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2-81AC-47B0-B664-97E795C2FAE3}"/>
            </c:ext>
          </c:extLst>
        </c:ser>
        <c:ser>
          <c:idx val="1"/>
          <c:order val="1"/>
          <c:tx>
            <c:strRef>
              <c:f>社員・パート別稼働表【2月比較】!$C$35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 xmlns:c15="http://schemas.microsoft.com/office/drawing/2012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社員・パート別稼働表【2月比較】!$D$33:$K$34</c15:sqref>
                  </c15:fullRef>
                </c:ext>
              </c:extLst>
              <c:f>(社員・パート別稼働表【2月比較】!$H$33:$H$34,社員・パート別稼働表【2月比較】!$J$33:$J$34)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2019年4月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社員・パート別稼働表【2月比較】!$D$35:$K$35</c15:sqref>
                  </c15:fullRef>
                </c:ext>
              </c:extLst>
              <c:f>(社員・パート別稼働表【2月比較】!$H$35,社員・パート別稼働表【2月比較】!$J$35)</c:f>
              <c:numCache>
                <c:formatCode>0.0%</c:formatCode>
                <c:ptCount val="2"/>
                <c:pt idx="0" formatCode="#,##0_ ;[Red]\-#,##0\ ">
                  <c:v>2250553</c:v>
                </c:pt>
                <c:pt idx="1" formatCode="#,##0_ ;[Red]\-#,##0\ ">
                  <c:v>2592764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0-81AC-47B0-B664-97E795C2FAE3}"/>
            </c:ext>
          </c:extLst>
        </c:ser>
        <c:ser>
          <c:idx val="3"/>
          <c:order val="3"/>
          <c:tx>
            <c:strRef>
              <c:f>社員・パート別稼働表【2月比較】!$C$38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 xmlns:c15="http://schemas.microsoft.com/office/drawing/2012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社員・パート別稼働表【2月比較】!$D$33:$K$34</c15:sqref>
                  </c15:fullRef>
                </c:ext>
              </c:extLst>
              <c:f>(社員・パート別稼働表【2月比較】!$H$33:$H$34,社員・パート別稼働表【2月比較】!$J$33:$J$34)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2019年4月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社員・パート別稼働表【2月比較】!$D$38:$K$38</c15:sqref>
                  </c15:fullRef>
                </c:ext>
              </c:extLst>
              <c:f>(社員・パート別稼働表【2月比較】!$H$38,社員・パート別稼働表【2月比較】!$J$38)</c:f>
              <c:numCache>
                <c:formatCode>0.0%</c:formatCode>
                <c:ptCount val="2"/>
                <c:pt idx="0" formatCode="#,##0_ ;[Red]\-#,##0\ ">
                  <c:v>4277149</c:v>
                </c:pt>
                <c:pt idx="1" formatCode="#,##0_ ;[Red]\-#,##0\ ">
                  <c:v>2050560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3-81AC-47B0-B664-97E795C2FAE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479133280"/>
        <c:axId val="4791352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社員・パート別稼働表【2月比較】!$C$37</c15:sqref>
                        </c15:formulaRef>
                      </c:ext>
                    </c:extLst>
                    <c:strCache>
                      <c:ptCount val="1"/>
                      <c:pt idx="0">
                        <c:v>社員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ullRef>
                          <c15:sqref>社員・パート別稼働表【2月比較】!$D$33:$K$34</c15:sqref>
                        </c15:fullRef>
                        <c15:formulaRef>
                          <c15:sqref>(社員・パート別稼働表【2月比較】!$H$33:$H$34,社員・パート別稼働表【2月比較】!$J$33:$J$34)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2019年4月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社員・パート別稼働表【2月比較】!$D$37:$K$37</c15:sqref>
                        </c15:fullRef>
                        <c15:formulaRef>
                          <c15:sqref>(社員・パート別稼働表【2月比較】!$H$37,社員・パート別稼働表【2月比較】!$J$37)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2250553</c:v>
                      </c:pt>
                      <c:pt idx="1" formatCode="#,##0_ ;[Red]\-#,##0\ ">
                        <c:v>3077014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1AC-47B0-B664-97E795C2FAE3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社員・パート別稼働表【2月比較】!$C$39</c15:sqref>
                        </c15:formulaRef>
                      </c:ext>
                    </c:extLst>
                    <c:strCache>
                      <c:ptCount val="1"/>
                      <c:pt idx="0">
                        <c:v>計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社員・パート別稼働表【2月比較】!$D$33:$K$34</c15:sqref>
                        </c15:fullRef>
                        <c15:formulaRef>
                          <c15:sqref>(社員・パート別稼働表【2月比較】!$H$33:$H$34,社員・パート別稼働表【2月比較】!$J$33:$J$34)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2019年4月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社員・パート別稼働表【2月比較】!$D$39:$K$39</c15:sqref>
                        </c15:fullRef>
                        <c15:formulaRef>
                          <c15:sqref>(社員・パート別稼働表【2月比較】!$H$39,社員・パート別稼働表【2月比較】!$J$39)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6527702</c:v>
                      </c:pt>
                      <c:pt idx="1" formatCode="#,##0_ ;[Red]\-#,##0\ ">
                        <c:v>5127574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47913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9135240"/>
        <c:crosses val="autoZero"/>
        <c:auto val="1"/>
        <c:lblAlgn val="ctr"/>
        <c:lblOffset val="100"/>
        <c:noMultiLvlLbl val="0"/>
      </c:catAx>
      <c:valAx>
        <c:axId val="479135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9133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売上割合</a:t>
            </a:r>
          </a:p>
        </c:rich>
      </c:tx>
      <c:layout>
        <c:manualLayout>
          <c:xMode val="edge"/>
          <c:yMode val="edge"/>
          <c:x val="0.05"/>
          <c:y val="8.7962962962962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社員・パート別稼働表【2月比較】!$D$33:$D$34</c:f>
              <c:strCache>
                <c:ptCount val="2"/>
                <c:pt idx="0">
                  <c:v>2019年3月</c:v>
                </c:pt>
                <c:pt idx="1">
                  <c:v>売上</c:v>
                </c:pt>
              </c:strCache>
            </c:strRef>
          </c:tx>
          <c:spPr>
            <a:solidFill>
              <a:schemeClr val="accent5"/>
            </a:solidFill>
          </c:spPr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numFmt formatCode="_(&quot;¥&quot;* #,##0_);_(&quot;¥&quot;* \(#,##0\);_(&quot;¥&quot;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社員・パート別稼働表【2月比較】!$C$35:$C$39</c15:sqref>
                  </c15:fullRef>
                </c:ext>
              </c:extLst>
              <c:f>社員・パート別稼働表【2月比較】!$C$37:$C$38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社員・パート別稼働表【2月比較】!$D$35:$D$39</c15:sqref>
                  </c15:fullRef>
                </c:ext>
              </c:extLst>
              <c:f>社員・パート別稼働表【2月比較】!$D$37:$D$38</c:f>
              <c:numCache>
                <c:formatCode>#,##0_ ;[Red]\-#,##0\ </c:formatCode>
                <c:ptCount val="2"/>
                <c:pt idx="0">
                  <c:v>2507399</c:v>
                </c:pt>
                <c:pt idx="1">
                  <c:v>4254545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B01-4898-AA96-5D6390799A50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1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社員・パート別稼働表【2月比較】!$E$33:$E$34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社員・パート別稼働表【2月比較】!$C$35:$C$39</c15:sqref>
                        </c15:fullRef>
                        <c15:formulaRef>
                          <c15:sqref>社員・パート別稼働表【2月比較】!$C$37:$C$38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社員・パート別稼働表【2月比較】!$E$35:$E$39</c15:sqref>
                        </c15:fullRef>
                        <c15:formulaRef>
                          <c15:sqref>社員・パート別稼働表【2月比較】!$E$37:$E$38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0.371</c:v>
                      </c:pt>
                      <c:pt idx="1">
                        <c:v>0.629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9-7B01-4898-AA96-5D6390799A50}"/>
                  </c:ext>
                  <c:ext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社員・パート別稼働表【2月比較】!$F$33:$F$34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社員・パート別稼働表【2月比較】!$C$35:$C$39</c15:sqref>
                        </c15:fullRef>
                        <c15:formulaRef>
                          <c15:sqref>社員・パート別稼働表【2月比較】!$C$37:$C$38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社員・パート別稼働表【2月比較】!$F$35:$F$39</c15:sqref>
                        </c15:fullRef>
                        <c15:formulaRef>
                          <c15:sqref>社員・パート別稼働表【2月比較】!$F$37:$F$38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3044485</c:v>
                      </c:pt>
                      <c:pt idx="1">
                        <c:v>1956346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E-7B01-4898-AA96-5D6390799A50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社員・パート別稼働表【2月比較】!$G$33:$G$34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社員・パート別稼働表【2月比較】!$C$35:$C$39</c15:sqref>
                        </c15:fullRef>
                        <c15:formulaRef>
                          <c15:sqref>社員・パート別稼働表【2月比較】!$C$37:$C$38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社員・パート別稼働表【2月比較】!$G$35:$G$39</c15:sqref>
                        </c15:fullRef>
                        <c15:formulaRef>
                          <c15:sqref>社員・パート別稼働表【2月比較】!$G$37:$G$38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1.214</c:v>
                      </c:pt>
                      <c:pt idx="1">
                        <c:v>0.46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13-7B01-4898-AA96-5D6390799A50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売上割合</a:t>
            </a:r>
          </a:p>
        </c:rich>
      </c:tx>
      <c:layout>
        <c:manualLayout>
          <c:xMode val="edge"/>
          <c:yMode val="edge"/>
          <c:x val="4.4444444444444446E-2"/>
          <c:y val="0.11111111111111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4"/>
          <c:order val="4"/>
          <c:tx>
            <c:strRef>
              <c:f>社員・パート別稼働表【2月比較】!$H$33:$H$34</c:f>
              <c:strCache>
                <c:ptCount val="2"/>
                <c:pt idx="0">
                  <c:v>2019年4月</c:v>
                </c:pt>
                <c:pt idx="1">
                  <c:v>売上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numFmt formatCode="&quot;¥&quot;#,##0_);[Red]\(&quot;¥&quot;#,##0\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社員・パート別稼働表【2月比較】!$C$35:$C$39</c15:sqref>
                  </c15:fullRef>
                </c:ext>
              </c:extLst>
              <c:f>社員・パート別稼働表【2月比較】!$C$37:$C$38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社員・パート別稼働表【2月比較】!$H$35:$H$39</c15:sqref>
                  </c15:fullRef>
                </c:ext>
              </c:extLst>
              <c:f>社員・パート別稼働表【2月比較】!$H$37:$H$38</c:f>
              <c:numCache>
                <c:formatCode>#,##0_ ;[Red]\-#,##0\ </c:formatCode>
                <c:ptCount val="2"/>
                <c:pt idx="0">
                  <c:v>2250553</c:v>
                </c:pt>
                <c:pt idx="1">
                  <c:v>4277149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31-FAF0-44AE-B9B7-BEAD6764B412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社員・パート別稼働表【2月比較】!$D$33:$D$34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売上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社員・パート別稼働表【2月比較】!$C$35:$C$39</c15:sqref>
                        </c15:fullRef>
                        <c15:formulaRef>
                          <c15:sqref>社員・パート別稼働表【2月比較】!$C$37:$C$38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社員・パート別稼働表【2月比較】!$D$35:$D$39</c15:sqref>
                        </c15:fullRef>
                        <c15:formulaRef>
                          <c15:sqref>社員・パート別稼働表【2月比較】!$D$37:$D$38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2507399</c:v>
                      </c:pt>
                      <c:pt idx="1">
                        <c:v>4254545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D-FAF0-44AE-B9B7-BEAD6764B412}"/>
                  </c:ext>
                  <c:ext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社員・パート別稼働表【2月比較】!$E$33:$E$34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社員・パート別稼働表【2月比較】!$C$35:$C$39</c15:sqref>
                        </c15:fullRef>
                        <c15:formulaRef>
                          <c15:sqref>社員・パート別稼働表【2月比較】!$C$37:$C$38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社員・パート別稼働表【2月比較】!$E$35:$E$39</c15:sqref>
                        </c15:fullRef>
                        <c15:formulaRef>
                          <c15:sqref>社員・パート別稼働表【2月比較】!$E$37:$E$38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0.371</c:v>
                      </c:pt>
                      <c:pt idx="1">
                        <c:v>0.629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16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社員・パート別稼働表【2月比較】!$F$33:$F$34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社員・パート別稼働表【2月比較】!$C$35:$C$39</c15:sqref>
                        </c15:fullRef>
                        <c15:formulaRef>
                          <c15:sqref>社員・パート別稼働表【2月比較】!$C$37:$C$38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社員・パート別稼働表【2月比較】!$F$35:$F$39</c15:sqref>
                        </c15:fullRef>
                        <c15:formulaRef>
                          <c15:sqref>社員・パート別稼働表【2月比較】!$F$37:$F$38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3044485</c:v>
                      </c:pt>
                      <c:pt idx="1">
                        <c:v>1956346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1F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社員・パート別稼働表【2月比較】!$G$33:$G$34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社員・パート別稼働表【2月比較】!$C$35:$C$39</c15:sqref>
                        </c15:fullRef>
                        <c15:formulaRef>
                          <c15:sqref>社員・パート別稼働表【2月比較】!$C$37:$C$38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社員・パート別稼働表【2月比較】!$G$35:$G$39</c15:sqref>
                        </c15:fullRef>
                        <c15:formulaRef>
                          <c15:sqref>社員・パート別稼働表【2月比較】!$G$37:$G$38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1.214</c:v>
                      </c:pt>
                      <c:pt idx="1">
                        <c:v>0.46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28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社員・パート別稼働表【2月比較】!$I$33:$I$34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社員・パート別稼働表【2月比較】!$C$35:$C$39</c15:sqref>
                        </c15:fullRef>
                        <c15:formulaRef>
                          <c15:sqref>社員・パート別稼働表【2月比較】!$C$37:$C$38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社員・パート別稼働表【2月比較】!$I$35:$I$39</c15:sqref>
                        </c15:fullRef>
                        <c15:formulaRef>
                          <c15:sqref>社員・パート別稼働表【2月比較】!$I$37:$I$38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0.34499999999999997</c:v>
                      </c:pt>
                      <c:pt idx="1">
                        <c:v>0.65500000000000003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36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社員・パート別稼働表【2月比較】!$J$33:$J$34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rgbClr val="FFC0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rgbClr val="47D4D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inEnd"/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eparator>
</c:separator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社員・パート別稼働表【2月比較】!$C$35:$C$39</c15:sqref>
                        </c15:fullRef>
                        <c15:formulaRef>
                          <c15:sqref>社員・パート別稼働表【2月比較】!$C$37:$C$38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社員・パート別稼働表【2月比較】!$J$35:$J$39</c15:sqref>
                        </c15:fullRef>
                        <c15:formulaRef>
                          <c15:sqref>社員・パート別稼働表【2月比較】!$J$37:$J$38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3077014</c:v>
                      </c:pt>
                      <c:pt idx="1">
                        <c:v>2050560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4-FAF0-44AE-B9B7-BEAD6764B412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社員・パート別稼働表【2月比較】!$K$33:$K$34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社員・パート別稼働表【2月比較】!$C$35:$C$39</c15:sqref>
                        </c15:fullRef>
                        <c15:formulaRef>
                          <c15:sqref>社員・パート別稼働表【2月比較】!$C$37:$C$38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社員・パート別稼働表【2月比較】!$K$35:$K$39</c15:sqref>
                        </c15:fullRef>
                        <c15:formulaRef>
                          <c15:sqref>社員・パート別稼働表【2月比較】!$K$37:$K$38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1.367</c:v>
                      </c:pt>
                      <c:pt idx="1">
                        <c:v>0.47899999999999998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売上・人件費比較</a:t>
            </a:r>
            <a:endParaRPr lang="ja-JP" alt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2"/>
          <c:order val="2"/>
          <c:tx>
            <c:strRef>
              <c:f>社員・パート別稼働表【2月比較】!$M$37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 xmlns:c15="http://schemas.microsoft.com/office/drawing/2012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社員・パート別稼働表【2月比較】!$N$33:$Q$34</c15:sqref>
                  </c15:fullRef>
                </c:ext>
              </c:extLst>
              <c:f>(社員・パート別稼働表【2月比較】!$N$33:$N$34,社員・パート別稼働表【2月比較】!$P$33:$P$34)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2019年3月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社員・パート別稼働表【2月比較】!$N$37:$Q$37</c15:sqref>
                  </c15:fullRef>
                </c:ext>
              </c:extLst>
              <c:f>(社員・パート別稼働表【2月比較】!$N$37,社員・パート別稼働表【2月比較】!$P$37)</c:f>
              <c:numCache>
                <c:formatCode>0.0%</c:formatCode>
                <c:ptCount val="2"/>
                <c:pt idx="0" formatCode="#,##0_ ;[Red]\-#,##0\ ">
                  <c:v>617087</c:v>
                </c:pt>
                <c:pt idx="1" formatCode="#,##0_ ;[Red]\-#,##0\ ">
                  <c:v>736230</c:v>
                </c:pt>
              </c:numCache>
            </c:numRef>
          </c:val>
        </c:ser>
        <c:ser>
          <c:idx val="3"/>
          <c:order val="3"/>
          <c:tx>
            <c:strRef>
              <c:f>社員・パート別稼働表【2月比較】!$M$38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社員・パート別稼働表【2月比較】!$N$33:$Q$34</c15:sqref>
                  </c15:fullRef>
                </c:ext>
              </c:extLst>
              <c:f>(社員・パート別稼働表【2月比較】!$N$33:$N$34,社員・パート別稼働表【2月比較】!$P$33:$P$34)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2019年3月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社員・パート別稼働表【2月比較】!$N$38:$Q$38</c15:sqref>
                  </c15:fullRef>
                </c:ext>
              </c:extLst>
              <c:f>(社員・パート別稼働表【2月比較】!$N$38,社員・パート別稼働表【2月比較】!$P$38)</c:f>
              <c:numCache>
                <c:formatCode>0.0%</c:formatCode>
                <c:ptCount val="2"/>
                <c:pt idx="0" formatCode="#,##0_ ;[Red]\-#,##0\ ">
                  <c:v>795360</c:v>
                </c:pt>
                <c:pt idx="1" formatCode="#,##0_ ;[Red]\-#,##0\ ">
                  <c:v>388602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479136024"/>
        <c:axId val="47913759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社員・パート別稼働表【2月比較】!$M$35</c15:sqref>
                        </c15:formulaRef>
                      </c:ext>
                    </c:extLst>
                    <c:strCache>
                      <c:ptCount val="1"/>
                      <c:pt idx="0">
                        <c:v>社員</c:v>
                      </c:pt>
                    </c:strCache>
                  </c:strRef>
                </c:tx>
                <c:spPr>
                  <a:solidFill>
                    <a:srgbClr val="FF6969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ullRef>
                          <c15:sqref>社員・パート別稼働表【2月比較】!$N$33:$Q$34</c15:sqref>
                        </c15:fullRef>
                        <c15:formulaRef>
                          <c15:sqref>(社員・パート別稼働表【2月比較】!$N$33:$N$34,社員・パート別稼働表【2月比較】!$P$33:$P$34)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2019年3月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社員・パート別稼働表【2月比較】!$N$35:$Q$35</c15:sqref>
                        </c15:fullRef>
                        <c15:formulaRef>
                          <c15:sqref>(社員・パート別稼働表【2月比較】!$N$35,社員・パート別稼働表【2月比較】!$P$35)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617087</c:v>
                      </c:pt>
                      <c:pt idx="1" formatCode="#,##0_ ;[Red]\-#,##0\ ">
                        <c:v>736230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社員・パート別稼働表【2月比較】!$M$36</c15:sqref>
                        </c15:formulaRef>
                      </c:ext>
                    </c:extLst>
                    <c:strCache>
                      <c:ptCount val="1"/>
                      <c:pt idx="0">
                        <c:v>社員賞与</c:v>
                      </c:pt>
                    </c:strCache>
                  </c:strRef>
                </c:tx>
                <c:spPr>
                  <a:solidFill>
                    <a:srgbClr val="FFC000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社員・パート別稼働表【2月比較】!$N$33:$Q$34</c15:sqref>
                        </c15:fullRef>
                        <c15:formulaRef>
                          <c15:sqref>(社員・パート別稼働表【2月比較】!$N$33:$N$34,社員・パート別稼働表【2月比較】!$P$33:$P$34)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2019年3月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社員・パート別稼働表【2月比較】!$N$36:$Q$36</c15:sqref>
                        </c15:fullRef>
                        <c15:formulaRef>
                          <c15:sqref>(社員・パート別稼働表【2月比較】!$N$36,社員・パート別稼働表【2月比較】!$P$36)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1" formatCode="#,##0_ ;[Red]\-#,##0\ 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0-5FE5-44E0-91CD-0CEA3B8EE7C5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社員・パート別稼働表【2月比較】!$M$39</c15:sqref>
                        </c15:formulaRef>
                      </c:ext>
                    </c:extLst>
                    <c:strCache>
                      <c:ptCount val="1"/>
                      <c:pt idx="0">
                        <c:v>計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社員・パート別稼働表【2月比較】!$N$33:$Q$34</c15:sqref>
                        </c15:fullRef>
                        <c15:formulaRef>
                          <c15:sqref>(社員・パート別稼働表【2月比較】!$N$33:$N$34,社員・パート別稼働表【2月比較】!$P$33:$P$34)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2019年3月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社員・パート別稼働表【2月比較】!$N$39:$Q$39</c15:sqref>
                        </c15:fullRef>
                        <c15:formulaRef>
                          <c15:sqref>(社員・パート別稼働表【2月比較】!$N$39,社員・パート別稼働表【2月比較】!$P$39)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1412447</c:v>
                      </c:pt>
                      <c:pt idx="1" formatCode="#,##0_ ;[Red]\-#,##0\ ">
                        <c:v>1124832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479136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9137592"/>
        <c:crosses val="autoZero"/>
        <c:auto val="1"/>
        <c:lblAlgn val="ctr"/>
        <c:lblOffset val="100"/>
        <c:noMultiLvlLbl val="0"/>
      </c:catAx>
      <c:valAx>
        <c:axId val="479137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9136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売上割合</a:t>
            </a:r>
          </a:p>
        </c:rich>
      </c:tx>
      <c:layout>
        <c:manualLayout>
          <c:xMode val="edge"/>
          <c:yMode val="edge"/>
          <c:x val="0.05"/>
          <c:y val="8.7962962962962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社員・パート別稼働表【2月比較】!$N$33:$N$34</c:f>
              <c:strCache>
                <c:ptCount val="2"/>
                <c:pt idx="0">
                  <c:v>2019年3月</c:v>
                </c:pt>
                <c:pt idx="1">
                  <c:v>売上</c:v>
                </c:pt>
              </c:strCache>
            </c:strRef>
          </c:tx>
          <c:spPr>
            <a:solidFill>
              <a:schemeClr val="accent5"/>
            </a:solidFill>
          </c:spPr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numFmt formatCode="_(&quot;¥&quot;* #,##0_);_(&quot;¥&quot;* \(#,##0\);_(&quot;¥&quot;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社員・パート別稼働表【2月比較】!$M$35:$M$39</c15:sqref>
                  </c15:fullRef>
                </c:ext>
              </c:extLst>
              <c:f>社員・パート別稼働表【2月比較】!$M$37:$M$38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社員・パート別稼働表【2月比較】!$N$35:$N$39</c15:sqref>
                  </c15:fullRef>
                </c:ext>
              </c:extLst>
              <c:f>社員・パート別稼働表【2月比較】!$N$37:$N$38</c:f>
              <c:numCache>
                <c:formatCode>#,##0_ ;[Red]\-#,##0\ </c:formatCode>
                <c:ptCount val="2"/>
                <c:pt idx="0">
                  <c:v>617087</c:v>
                </c:pt>
                <c:pt idx="1">
                  <c:v>795360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B01-4898-AA96-5D6390799A50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1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社員・パート別稼働表【2月比較】!$O$33:$O$34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社員・パート別稼働表【2月比較】!$M$35:$M$39</c15:sqref>
                        </c15:fullRef>
                        <c15:formulaRef>
                          <c15:sqref>社員・パート別稼働表【2月比較】!$M$37:$M$38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社員・パート別稼働表【2月比較】!$O$35:$O$39</c15:sqref>
                        </c15:fullRef>
                        <c15:formulaRef>
                          <c15:sqref>社員・パート別稼働表【2月比較】!$O$37:$O$38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0.437</c:v>
                      </c:pt>
                      <c:pt idx="1">
                        <c:v>0.56299999999999994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9-7B01-4898-AA96-5D6390799A50}"/>
                  </c:ext>
                  <c:ext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社員・パート別稼働表【2月比較】!$P$33:$P$34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社員・パート別稼働表【2月比較】!$M$35:$M$39</c15:sqref>
                        </c15:fullRef>
                        <c15:formulaRef>
                          <c15:sqref>社員・パート別稼働表【2月比較】!$M$37:$M$38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社員・パート別稼働表【2月比較】!$P$35:$P$39</c15:sqref>
                        </c15:fullRef>
                        <c15:formulaRef>
                          <c15:sqref>社員・パート別稼働表【2月比較】!$P$37:$P$38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736230</c:v>
                      </c:pt>
                      <c:pt idx="1">
                        <c:v>388602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E-7B01-4898-AA96-5D6390799A50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社員・パート別稼働表【2月比較】!$Q$33:$Q$34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社員・パート別稼働表【2月比較】!$M$35:$M$39</c15:sqref>
                        </c15:fullRef>
                        <c15:formulaRef>
                          <c15:sqref>社員・パート別稼働表【2月比較】!$M$37:$M$38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社員・パート別稼働表【2月比較】!$Q$35:$Q$39</c15:sqref>
                        </c15:fullRef>
                        <c15:formulaRef>
                          <c15:sqref>社員・パート別稼働表【2月比較】!$Q$37:$Q$38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1.1930000000000001</c:v>
                      </c:pt>
                      <c:pt idx="1">
                        <c:v>0.48899999999999999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13-7B01-4898-AA96-5D6390799A50}"/>
                  </c:ext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売上推移!$B$6</c:f>
              <c:strCache>
                <c:ptCount val="1"/>
                <c:pt idx="0">
                  <c:v>蘇我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売上推移!$C$6:$Z$6</c:f>
              <c:numCache>
                <c:formatCode>#,##0_ ;[Red]\-#,##0\ </c:formatCode>
                <c:ptCount val="24"/>
                <c:pt idx="0">
                  <c:v>5342987</c:v>
                </c:pt>
                <c:pt idx="1">
                  <c:v>5683733</c:v>
                </c:pt>
                <c:pt idx="2">
                  <c:v>5487698</c:v>
                </c:pt>
                <c:pt idx="3">
                  <c:v>5643961</c:v>
                </c:pt>
                <c:pt idx="4">
                  <c:v>6023613</c:v>
                </c:pt>
                <c:pt idx="5">
                  <c:v>6290993</c:v>
                </c:pt>
                <c:pt idx="6">
                  <c:v>5954408</c:v>
                </c:pt>
                <c:pt idx="7">
                  <c:v>5963920</c:v>
                </c:pt>
                <c:pt idx="8">
                  <c:v>5489569</c:v>
                </c:pt>
                <c:pt idx="9">
                  <c:v>5383737</c:v>
                </c:pt>
                <c:pt idx="10">
                  <c:v>5385437</c:v>
                </c:pt>
                <c:pt idx="11">
                  <c:v>7729590</c:v>
                </c:pt>
                <c:pt idx="12">
                  <c:v>6731026</c:v>
                </c:pt>
                <c:pt idx="13">
                  <c:v>6530234</c:v>
                </c:pt>
                <c:pt idx="14">
                  <c:v>6075758</c:v>
                </c:pt>
                <c:pt idx="15">
                  <c:v>6170804</c:v>
                </c:pt>
                <c:pt idx="16">
                  <c:v>6157056</c:v>
                </c:pt>
                <c:pt idx="17">
                  <c:v>7557882</c:v>
                </c:pt>
                <c:pt idx="18">
                  <c:v>7285298</c:v>
                </c:pt>
                <c:pt idx="19">
                  <c:v>6678253</c:v>
                </c:pt>
                <c:pt idx="20">
                  <c:v>5940817</c:v>
                </c:pt>
                <c:pt idx="21">
                  <c:v>6270597</c:v>
                </c:pt>
                <c:pt idx="22">
                  <c:v>5457771</c:v>
                </c:pt>
                <c:pt idx="23">
                  <c:v>6262229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9E-44B0-B96F-131EA47A3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990816"/>
        <c:axId val="454989248"/>
      </c:barChart>
      <c:dateAx>
        <c:axId val="454990816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4989248"/>
        <c:crosses val="autoZero"/>
        <c:auto val="1"/>
        <c:lblOffset val="100"/>
        <c:baseTimeUnit val="months"/>
      </c:dateAx>
      <c:valAx>
        <c:axId val="45498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4990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売上・人件費比較</a:t>
            </a:r>
            <a:endParaRPr lang="ja-JP" alt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社員・パート別稼働表【2月比較】!$M$36</c:f>
              <c:strCache>
                <c:ptCount val="1"/>
                <c:pt idx="0">
                  <c:v>社員賞与</c:v>
                </c:pt>
              </c:strCache>
            </c:strRef>
          </c:tx>
          <c:spPr>
            <a:solidFill>
              <a:srgbClr val="FF696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社員・パート別稼働表【2月比較】!$R$33:$U$34</c15:sqref>
                  </c15:fullRef>
                </c:ext>
              </c:extLst>
              <c:f>(社員・パート別稼働表【2月比較】!$R$33:$R$34,社員・パート別稼働表【2月比較】!$T$33:$T$34)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2019年4月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社員・パート別稼働表【2月比較】!$R$36:$U$36</c15:sqref>
                  </c15:fullRef>
                </c:ext>
              </c:extLst>
              <c:f>(社員・パート別稼働表【2月比較】!$R$36,社員・パート別稼働表【2月比較】!$T$36)</c:f>
              <c:numCache>
                <c:formatCode>0.0%</c:formatCode>
                <c:ptCount val="2"/>
                <c:pt idx="1" formatCode="#,##0_ ;[Red]\-#,##0\ ">
                  <c:v>0</c:v>
                </c:pt>
              </c:numCache>
            </c:numRef>
          </c:val>
        </c:ser>
        <c:ser>
          <c:idx val="0"/>
          <c:order val="1"/>
          <c:tx>
            <c:strRef>
              <c:f>社員・パート別稼働表【2月比較】!$M$35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社員・パート別稼働表【2月比較】!$R$33:$U$34</c15:sqref>
                  </c15:fullRef>
                </c:ext>
              </c:extLst>
              <c:f>(社員・パート別稼働表【2月比較】!$R$33:$R$34,社員・パート別稼働表【2月比較】!$T$33:$T$34)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2019年4月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社員・パート別稼働表【2月比較】!$R$35:$U$35</c15:sqref>
                  </c15:fullRef>
                </c:ext>
              </c:extLst>
              <c:f>(社員・パート別稼働表【2月比較】!$R$35,社員・パート別稼働表【2月比較】!$T$35)</c:f>
              <c:numCache>
                <c:formatCode>0.0%</c:formatCode>
                <c:ptCount val="2"/>
                <c:pt idx="0" formatCode="#,##0_ ;[Red]\-#,##0\ ">
                  <c:v>786417</c:v>
                </c:pt>
                <c:pt idx="1" formatCode="#,##0_ ;[Red]\-#,##0\ ">
                  <c:v>877710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2-81AC-47B0-B664-97E795C2FAE3}"/>
            </c:ext>
          </c:extLst>
        </c:ser>
        <c:ser>
          <c:idx val="3"/>
          <c:order val="3"/>
          <c:tx>
            <c:strRef>
              <c:f>社員・パート別稼働表【2月比較】!$M$38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社員・パート別稼働表【2月比較】!$R$33:$U$34</c15:sqref>
                  </c15:fullRef>
                </c:ext>
              </c:extLst>
              <c:f>(社員・パート別稼働表【2月比較】!$R$33:$R$34,社員・パート別稼働表【2月比較】!$T$33:$T$34)</c:f>
              <c:multiLvlStrCache>
                <c:ptCount val="2"/>
                <c:lvl>
                  <c:pt idx="0">
                    <c:v>売上</c:v>
                  </c:pt>
                  <c:pt idx="1">
                    <c:v>人件費</c:v>
                  </c:pt>
                </c:lvl>
                <c:lvl>
                  <c:pt idx="0">
                    <c:v>2019年4月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社員・パート別稼働表【2月比較】!$R$38:$U$38</c15:sqref>
                  </c15:fullRef>
                </c:ext>
              </c:extLst>
              <c:f>(社員・パート別稼働表【2月比較】!$R$38,社員・パート別稼働表【2月比較】!$T$38)</c:f>
              <c:numCache>
                <c:formatCode>0.0%</c:formatCode>
                <c:ptCount val="2"/>
                <c:pt idx="0" formatCode="#,##0_ ;[Red]\-#,##0\ ">
                  <c:v>1013102</c:v>
                </c:pt>
                <c:pt idx="1" formatCode="#,##0_ ;[Red]\-#,##0\ ">
                  <c:v>440879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479141512"/>
        <c:axId val="4791309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社員・パート別稼働表【2月比較】!$M$37</c15:sqref>
                        </c15:formulaRef>
                      </c:ext>
                    </c:extLst>
                    <c:strCache>
                      <c:ptCount val="1"/>
                      <c:pt idx="0">
                        <c:v>社員</c:v>
                      </c:pt>
                    </c:strCache>
                  </c:strRef>
                </c:tx>
                <c:spPr>
                  <a:solidFill>
                    <a:srgbClr val="47D4D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ullRef>
                          <c15:sqref>社員・パート別稼働表【2月比較】!$R$33:$U$34</c15:sqref>
                        </c15:fullRef>
                        <c15:formulaRef>
                          <c15:sqref>(社員・パート別稼働表【2月比較】!$R$33:$R$34,社員・パート別稼働表【2月比較】!$T$33:$T$34)</c15:sqref>
                        </c15:formulaRef>
                      </c:ext>
                    </c:extLst>
                    <c:multiLvlStrCache>
                      <c:ptCount val="2"/>
                      <c:lvl>
                        <c:pt idx="0">
                          <c:v>売上</c:v>
                        </c:pt>
                        <c:pt idx="1">
                          <c:v>人件費</c:v>
                        </c:pt>
                      </c:lvl>
                      <c:lvl>
                        <c:pt idx="0">
                          <c:v>2019年4月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社員・パート別稼働表【2月比較】!$R$37:$U$37</c15:sqref>
                        </c15:fullRef>
                        <c15:formulaRef>
                          <c15:sqref>(社員・パート別稼働表【2月比較】!$R$37,社員・パート別稼働表【2月比較】!$T$37)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 formatCode="#,##0_ ;[Red]\-#,##0\ ">
                        <c:v>786417</c:v>
                      </c:pt>
                      <c:pt idx="1" formatCode="#,##0_ ;[Red]\-#,##0\ ">
                        <c:v>877710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479141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9130928"/>
        <c:crosses val="autoZero"/>
        <c:auto val="1"/>
        <c:lblAlgn val="ctr"/>
        <c:lblOffset val="100"/>
        <c:noMultiLvlLbl val="0"/>
      </c:catAx>
      <c:valAx>
        <c:axId val="479130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9141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売上割合</a:t>
            </a:r>
          </a:p>
        </c:rich>
      </c:tx>
      <c:layout>
        <c:manualLayout>
          <c:xMode val="edge"/>
          <c:yMode val="edge"/>
          <c:x val="4.4444444444444446E-2"/>
          <c:y val="0.11111111111111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社員・パート別稼働表【2月比較】!$R$33:$R$34</c:f>
              <c:strCache>
                <c:ptCount val="2"/>
                <c:pt idx="0">
                  <c:v>2019年4月</c:v>
                </c:pt>
                <c:pt idx="1">
                  <c:v>売上</c:v>
                </c:pt>
              </c:strCache>
            </c:strRef>
          </c:tx>
          <c:spPr>
            <a:solidFill>
              <a:srgbClr val="47D4D1"/>
            </a:solidFill>
          </c:spPr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社員・パート別稼働表【2月比較】!$M$35:$M$39</c15:sqref>
                  </c15:fullRef>
                </c:ext>
              </c:extLst>
              <c:f>社員・パート別稼働表【2月比較】!$M$37:$M$38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社員・パート別稼働表【2月比較】!$R$35:$R$39</c15:sqref>
                  </c15:fullRef>
                </c:ext>
              </c:extLst>
              <c:f>社員・パート別稼働表【2月比較】!$R$37:$R$38</c:f>
              <c:numCache>
                <c:formatCode>#,##0_ ;[Red]\-#,##0\ </c:formatCode>
                <c:ptCount val="2"/>
                <c:pt idx="0">
                  <c:v>786417</c:v>
                </c:pt>
                <c:pt idx="1">
                  <c:v>1013102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D-FAF0-44AE-B9B7-BEAD6764B412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1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社員・パート別稼働表【2月比較】!$S$33:$S$34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売上割合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uri="{02D57815-91ED-43cb-92C2-25804820EDAC}">
                        <c15:fullRef>
                          <c15:sqref>社員・パート別稼働表【2月比較】!$M$35:$M$39</c15:sqref>
                        </c15:fullRef>
                        <c15:formulaRef>
                          <c15:sqref>社員・パート別稼働表【2月比較】!$M$37:$M$38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社員・パート別稼働表【2月比較】!$S$35:$S$39</c15:sqref>
                        </c15:fullRef>
                        <c15:formulaRef>
                          <c15:sqref>社員・パート別稼働表【2月比較】!$S$37:$S$38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0.437</c:v>
                      </c:pt>
                      <c:pt idx="1">
                        <c:v>0.56299999999999994</c:v>
                      </c:pt>
                    </c:numCache>
                  </c:numRef>
                </c:val>
                <c:extLst xmlns:c16r2="http://schemas.microsoft.com/office/drawing/2015/06/chart">
                  <c:ext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社員・パート別稼働表【2月比較】!$T$33:$T$34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人件費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社員・パート別稼働表【2月比較】!$M$35:$M$39</c15:sqref>
                        </c15:fullRef>
                        <c15:formulaRef>
                          <c15:sqref>社員・パート別稼働表【2月比較】!$M$37:$M$38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社員・パート別稼働表【2月比較】!$T$35:$T$39</c15:sqref>
                        </c15:fullRef>
                        <c15:formulaRef>
                          <c15:sqref>社員・パート別稼働表【2月比較】!$T$37:$T$38</c15:sqref>
                        </c15:formulaRef>
                      </c:ext>
                    </c:extLst>
                    <c:numCache>
                      <c:formatCode>#,##0_ ;[Red]\-#,##0\ </c:formatCode>
                      <c:ptCount val="2"/>
                      <c:pt idx="0">
                        <c:v>877710</c:v>
                      </c:pt>
                      <c:pt idx="1">
                        <c:v>440879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社員・パート別稼働表【2月比較】!$U$33:$U$34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人件費比率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社員・パート別稼働表【2月比較】!$M$35:$M$39</c15:sqref>
                        </c15:fullRef>
                        <c15:formulaRef>
                          <c15:sqref>社員・パート別稼働表【2月比較】!$M$37:$M$38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社員・パート別稼働表【2月比較】!$U$35:$U$39</c15:sqref>
                        </c15:fullRef>
                        <c15:formulaRef>
                          <c15:sqref>社員・パート別稼働表【2月比較】!$U$37:$U$38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1.1160000000000001</c:v>
                      </c:pt>
                      <c:pt idx="1">
                        <c:v>0.435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400" b="0" i="0" u="none" strike="noStrike" baseline="0">
                <a:effectLst/>
              </a:rPr>
              <a:t>人数・稼働時間</a:t>
            </a:r>
            <a:r>
              <a:rPr lang="ja-JP" altLang="ja-JP" sz="1400" b="0" i="0" u="none" strike="noStrike" baseline="0">
                <a:effectLst/>
              </a:rPr>
              <a:t>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社員・パート別稼働表【2月比較】!$C$68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社員・パート別稼働表【2月比較】!$D$64:$K$65</c15:sqref>
                  </c15:fullRef>
                </c:ext>
              </c:extLst>
              <c:f>(社員・パート別稼働表【2月比較】!$D$64:$D$65,社員・パート別稼働表【2月比較】!$F$64:$F$65)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2019年3月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社員・パート別稼働表【2月比較】!$D$68:$K$68</c15:sqref>
                  </c15:fullRef>
                </c:ext>
              </c:extLst>
              <c:f>(社員・パート別稼働表【2月比較】!$D$68,社員・パート別稼働表【2月比較】!$F$68)</c:f>
              <c:numCache>
                <c:formatCode>0.0%</c:formatCode>
                <c:ptCount val="2"/>
                <c:pt idx="0" formatCode="#,##0.0_ ;[Red]\-#,##0.0\ ">
                  <c:v>7</c:v>
                </c:pt>
                <c:pt idx="1" formatCode="[h]:mm">
                  <c:v>24.347222222222225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0E-401C-B5A7-83B2A3EFB8F2}"/>
            </c:ext>
          </c:extLst>
        </c:ser>
        <c:ser>
          <c:idx val="0"/>
          <c:order val="1"/>
          <c:tx>
            <c:strRef>
              <c:f>社員・パート別稼働表【2月比較】!$C$69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社員・パート別稼働表【2月比較】!$D$64:$K$65</c15:sqref>
                  </c15:fullRef>
                </c:ext>
              </c:extLst>
              <c:f>(社員・パート別稼働表【2月比較】!$D$64:$D$65,社員・パート別稼働表【2月比較】!$F$64:$F$65)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2019年3月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社員・パート別稼働表【2月比較】!$D$69:$K$69</c15:sqref>
                  </c15:fullRef>
                </c:ext>
              </c:extLst>
              <c:f>(社員・パート別稼働表【2月比較】!$D$69,社員・パート別稼働表【2月比較】!$F$69)</c:f>
              <c:numCache>
                <c:formatCode>0.0%</c:formatCode>
                <c:ptCount val="2"/>
                <c:pt idx="0" formatCode="#,##0.0_ ;[Red]\-#,##0.0\ ">
                  <c:v>41</c:v>
                </c:pt>
                <c:pt idx="1" formatCode="[h]:mm">
                  <c:v>84.754861111111111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479140336"/>
        <c:axId val="479133672"/>
        <c:extLst xmlns:c16r2="http://schemas.microsoft.com/office/drawing/2015/06/chart"/>
      </c:barChart>
      <c:catAx>
        <c:axId val="47914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9133672"/>
        <c:crosses val="autoZero"/>
        <c:auto val="1"/>
        <c:lblAlgn val="ctr"/>
        <c:lblOffset val="100"/>
        <c:noMultiLvlLbl val="0"/>
      </c:catAx>
      <c:valAx>
        <c:axId val="479133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9140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人数・稼働時間比較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社員・パート別稼働表【2月比較】!$C$68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社員・パート別稼働表【2月比較】!$D$64:$K$65</c15:sqref>
                  </c15:fullRef>
                </c:ext>
              </c:extLst>
              <c:f>(社員・パート別稼働表【2月比較】!$H$64:$H$65,社員・パート別稼働表【2月比較】!$J$64:$J$65)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2019年4月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社員・パート別稼働表【2月比較】!$D$68:$K$68</c15:sqref>
                  </c15:fullRef>
                </c:ext>
              </c:extLst>
              <c:f>(社員・パート別稼働表【2月比較】!$H$68,社員・パート別稼働表【2月比較】!$J$68)</c:f>
              <c:numCache>
                <c:formatCode>0.0%</c:formatCode>
                <c:ptCount val="2"/>
                <c:pt idx="0" formatCode="#,##0.0_ ;[Red]\-#,##0.0\ ">
                  <c:v>7</c:v>
                </c:pt>
                <c:pt idx="1" formatCode="[h]:mm">
                  <c:v>27.078472222222221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F1-456A-9D38-A04A43F2F1B2}"/>
            </c:ext>
          </c:extLst>
        </c:ser>
        <c:ser>
          <c:idx val="0"/>
          <c:order val="1"/>
          <c:tx>
            <c:strRef>
              <c:f>社員・パート別稼働表【2月比較】!$C$69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社員・パート別稼働表【2月比較】!$D$64:$K$65</c15:sqref>
                  </c15:fullRef>
                </c:ext>
              </c:extLst>
              <c:f>(社員・パート別稼働表【2月比較】!$H$64:$H$65,社員・パート別稼働表【2月比較】!$J$64:$J$65)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2019年4月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社員・パート別稼働表【2月比較】!$D$69:$K$69</c15:sqref>
                  </c15:fullRef>
                </c:ext>
              </c:extLst>
              <c:f>(社員・パート別稼働表【2月比較】!$H$69,社員・パート別稼働表【2月比較】!$J$69)</c:f>
              <c:numCache>
                <c:formatCode>0.0%</c:formatCode>
                <c:ptCount val="2"/>
                <c:pt idx="0" formatCode="#,##0.0_ ;[Red]\-#,##0.0\ ">
                  <c:v>44</c:v>
                </c:pt>
                <c:pt idx="1" formatCode="[h]:mm">
                  <c:v>84.031944444444449</c:v>
                </c:pt>
              </c:numCache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2-D0F1-456A-9D38-A04A43F2F1B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479134064"/>
        <c:axId val="479140728"/>
        <c:extLst xmlns:c16r2="http://schemas.microsoft.com/office/drawing/2015/06/chart"/>
      </c:barChart>
      <c:catAx>
        <c:axId val="47913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9140728"/>
        <c:crosses val="autoZero"/>
        <c:auto val="1"/>
        <c:lblAlgn val="ctr"/>
        <c:lblOffset val="100"/>
        <c:noMultiLvlLbl val="0"/>
      </c:catAx>
      <c:valAx>
        <c:axId val="479140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9134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稼働時間割合</a:t>
            </a:r>
          </a:p>
        </c:rich>
      </c:tx>
      <c:layout>
        <c:manualLayout>
          <c:xMode val="edge"/>
          <c:yMode val="edge"/>
          <c:x val="8.3743961352657006E-2"/>
          <c:y val="8.7962962962962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2"/>
          <c:order val="2"/>
          <c:tx>
            <c:strRef>
              <c:f>社員・パート別稼働表【2月比較】!$F$64:$F$65</c:f>
              <c:strCache>
                <c:ptCount val="2"/>
                <c:pt idx="0">
                  <c:v>2019年3月</c:v>
                </c:pt>
                <c:pt idx="1">
                  <c:v>稼働時分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社員・パート別稼働表【2月比較】!$C$68:$C$69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f>社員・パート別稼働表【2月比較】!$F$68:$F$69</c:f>
              <c:numCache>
                <c:formatCode>[h]:mm</c:formatCode>
                <c:ptCount val="2"/>
                <c:pt idx="0">
                  <c:v>24.347222222222225</c:v>
                </c:pt>
                <c:pt idx="1">
                  <c:v>84.754861111111111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社員・パート別稼働表【2月比較】!$D$64:$D$65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人数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</c:spPr>
                <c:dPt>
                  <c:idx val="0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rgbClr val="FFC0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numFmt formatCode="_(&quot;¥&quot;* #,##0_);_(&quot;¥&quot;* \(#,##0\);_(&quot;¥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inEnd"/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eparator>
</c:separator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>
                    <c:ext uri="{CE6537A1-D6FC-4f65-9D91-7224C49458BB}"/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社員・パート別稼働表【2月比較】!$C$68:$C$69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社員・パート別稼働表【2月比較】!$D$68:$D$69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7</c:v>
                      </c:pt>
                      <c:pt idx="1">
                        <c:v>41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4-7B01-4898-AA96-5D6390799A50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社員・パート別稼働表【2月比較】!$E$64:$E$65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社員・パート別稼働表【2月比較】!$C$68:$C$69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社員・パート別稼働表【2月比較】!$E$68:$E$69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0.14599999999999999</c:v>
                      </c:pt>
                      <c:pt idx="1">
                        <c:v>0.85399999999999998</c:v>
                      </c:pt>
                    </c:numCache>
                  </c:numRef>
                </c:val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社員・パート別稼働表【2月比較】!$G$64:$G$65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社員・パート別稼働表【2月比較】!$C$68:$C$69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社員・パート別稼働表【2月比較】!$G$68:$G$69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0.223</c:v>
                      </c:pt>
                      <c:pt idx="1">
                        <c:v>0.77700000000000002</c:v>
                      </c:pt>
                    </c:numCache>
                  </c:numRef>
                </c:val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稼働</a:t>
            </a:r>
            <a:r>
              <a:rPr lang="ja-JP" altLang="en-US" sz="1400" b="0" i="0" u="none" strike="noStrike" baseline="0">
                <a:effectLst/>
              </a:rPr>
              <a:t>時間</a:t>
            </a:r>
            <a:r>
              <a:rPr lang="ja-JP" altLang="en-US"/>
              <a:t>割合</a:t>
            </a:r>
          </a:p>
        </c:rich>
      </c:tx>
      <c:layout>
        <c:manualLayout>
          <c:xMode val="edge"/>
          <c:yMode val="edge"/>
          <c:x val="6.5847112860892384E-2"/>
          <c:y val="8.333333333333332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4389788930166661"/>
          <c:y val="0.1771527777777778"/>
          <c:w val="0.51220399279540252"/>
          <c:h val="0.77798611111111116"/>
        </c:manualLayout>
      </c:layout>
      <c:pieChart>
        <c:varyColors val="1"/>
        <c:ser>
          <c:idx val="6"/>
          <c:order val="6"/>
          <c:tx>
            <c:strRef>
              <c:f>社員・パート別稼働表【2月比較】!$J$64:$J$65</c:f>
              <c:strCache>
                <c:ptCount val="2"/>
                <c:pt idx="0">
                  <c:v>2019年4月</c:v>
                </c:pt>
                <c:pt idx="1">
                  <c:v>稼働時分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社員・パート別稼働表【2月比較】!$C$68:$C$69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f>社員・パート別稼働表【2月比較】!$J$68:$J$69</c:f>
              <c:numCache>
                <c:formatCode>[h]:mm</c:formatCode>
                <c:ptCount val="2"/>
                <c:pt idx="0">
                  <c:v>27.078472222222221</c:v>
                </c:pt>
                <c:pt idx="1">
                  <c:v>84.031944444444449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社員・パート別稼働表【2月比較】!$D$64:$D$65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人数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</c:spPr>
                <c:dPt>
                  <c:idx val="0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numFmt formatCode="_(&quot;¥&quot;* #,##0_);_(&quot;¥&quot;* \(#,##0\);_(&quot;¥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>
                    <c:ext uri="{CE6537A1-D6FC-4f65-9D91-7224C49458BB}"/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社員・パート別稼働表【2月比較】!$C$68:$C$69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社員・パート別稼働表【2月比較】!$D$68:$D$69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7</c:v>
                      </c:pt>
                      <c:pt idx="1">
                        <c:v>41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9-3E09-4CE1-B246-5FD4F9892432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社員・パート別稼働表【2月比較】!$E$64:$E$65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社員・パート別稼働表【2月比較】!$C$68:$C$69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社員・パート別稼働表【2月比較】!$E$68:$E$69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0.14599999999999999</c:v>
                      </c:pt>
                      <c:pt idx="1">
                        <c:v>0.85399999999999998</c:v>
                      </c:pt>
                    </c:numCache>
                  </c:numRef>
                </c:val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社員・パート別稼働表【2月比較】!$F$64:$F$65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稼働時分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社員・パート別稼働表【2月比較】!$C$68:$C$69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社員・パート別稼働表【2月比較】!$F$68:$F$69</c15:sqref>
                        </c15:formulaRef>
                      </c:ext>
                    </c:extLst>
                    <c:numCache>
                      <c:formatCode>[h]:mm</c:formatCode>
                      <c:ptCount val="2"/>
                      <c:pt idx="0">
                        <c:v>24.347222222222225</c:v>
                      </c:pt>
                      <c:pt idx="1">
                        <c:v>84.754861111111111</c:v>
                      </c:pt>
                    </c:numCache>
                  </c:numRef>
                </c:val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社員・パート別稼働表【2月比較】!$G$64:$G$65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社員・パート別稼働表【2月比較】!$C$68:$C$69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社員・パート別稼働表【2月比較】!$G$68:$G$69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0.223</c:v>
                      </c:pt>
                      <c:pt idx="1">
                        <c:v>0.77700000000000002</c:v>
                      </c:pt>
                    </c:numCache>
                  </c:numRef>
                </c:val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社員・パート別稼働表【2月比較】!$H$64:$H$65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人数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社員・パート別稼働表【2月比較】!$C$68:$C$69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社員・パート別稼働表【2月比較】!$H$68:$H$69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7</c:v>
                      </c:pt>
                      <c:pt idx="1">
                        <c:v>44</c:v>
                      </c:pt>
                    </c:numCache>
                  </c:numRef>
                </c:val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社員・パート別稼働表【2月比較】!$I$64:$I$65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社員・パート別稼働表【2月比較】!$C$68:$C$69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社員・パート別稼働表【2月比較】!$I$68:$I$69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0.13700000000000001</c:v>
                      </c:pt>
                      <c:pt idx="1">
                        <c:v>0.86299999999999999</c:v>
                      </c:pt>
                    </c:numCache>
                  </c:numRef>
                </c:val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社員・パート別稼働表【2月比較】!$K$64:$K$65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社員・パート別稼働表【2月比較】!$C$68:$C$69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社員・パート別稼働表【2月比較】!$K$68:$K$69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0.24399999999999999</c:v>
                      </c:pt>
                      <c:pt idx="1">
                        <c:v>0.75600000000000001</c:v>
                      </c:pt>
                    </c:numCache>
                  </c:numRef>
                </c:val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人数・稼働時間比較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社員・パート別稼働表【2月比較】!$M$68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社員・パート別稼働表【2月比較】!$N$64:$Q$65</c15:sqref>
                  </c15:fullRef>
                </c:ext>
              </c:extLst>
              <c:f>(社員・パート別稼働表【2月比較】!$N$64:$N$65,社員・パート別稼働表【2月比較】!$P$64:$P$65)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2019年3月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社員・パート別稼働表【2月比較】!$N$68:$Q$68</c15:sqref>
                  </c15:fullRef>
                </c:ext>
              </c:extLst>
              <c:f>(社員・パート別稼働表【2月比較】!$N$68,社員・パート別稼働表【2月比較】!$P$68)</c:f>
              <c:numCache>
                <c:formatCode>0.0%</c:formatCode>
                <c:ptCount val="2"/>
                <c:pt idx="0" formatCode="#,##0.0_ ;[Red]\-#,##0.0\ ">
                  <c:v>7</c:v>
                </c:pt>
                <c:pt idx="1" formatCode="[h]:mm">
                  <c:v>15.253472222222221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0E-401C-B5A7-83B2A3EFB8F2}"/>
            </c:ext>
          </c:extLst>
        </c:ser>
        <c:ser>
          <c:idx val="0"/>
          <c:order val="1"/>
          <c:tx>
            <c:strRef>
              <c:f>社員・パート別稼働表【2月比較】!$M$69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社員・パート別稼働表【2月比較】!$N$64:$Q$65</c15:sqref>
                  </c15:fullRef>
                </c:ext>
              </c:extLst>
              <c:f>(社員・パート別稼働表【2月比較】!$N$64:$N$65,社員・パート別稼働表【2月比較】!$P$64:$P$65)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2019年3月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社員・パート別稼働表【2月比較】!$N$69:$Q$69</c15:sqref>
                  </c15:fullRef>
                </c:ext>
              </c:extLst>
              <c:f>(社員・パート別稼働表【2月比較】!$N$69,社員・パート別稼働表【2月比較】!$P$69)</c:f>
              <c:numCache>
                <c:formatCode>0.0%</c:formatCode>
                <c:ptCount val="2"/>
                <c:pt idx="0" formatCode="#,##0.0_ ;[Red]\-#,##0.0\ ">
                  <c:v>21</c:v>
                </c:pt>
                <c:pt idx="1" formatCode="[h]:mm">
                  <c:v>31.690972222222225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479130144"/>
        <c:axId val="479144648"/>
        <c:extLst xmlns:c16r2="http://schemas.microsoft.com/office/drawing/2015/06/chart"/>
      </c:barChart>
      <c:catAx>
        <c:axId val="47913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9144648"/>
        <c:crosses val="autoZero"/>
        <c:auto val="1"/>
        <c:lblAlgn val="ctr"/>
        <c:lblOffset val="100"/>
        <c:noMultiLvlLbl val="0"/>
      </c:catAx>
      <c:valAx>
        <c:axId val="479144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913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稼働時間割合</a:t>
            </a:r>
          </a:p>
        </c:rich>
      </c:tx>
      <c:layout>
        <c:manualLayout>
          <c:xMode val="edge"/>
          <c:yMode val="edge"/>
          <c:x val="8.3743961352657006E-2"/>
          <c:y val="8.7962962962962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2"/>
          <c:order val="2"/>
          <c:tx>
            <c:strRef>
              <c:f>社員・パート別稼働表【2月比較】!$P$64:$P$65</c:f>
              <c:strCache>
                <c:ptCount val="2"/>
                <c:pt idx="0">
                  <c:v>2019年3月</c:v>
                </c:pt>
                <c:pt idx="1">
                  <c:v>稼働時分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社員・パート別稼働表【2月比較】!$M$68:$M$69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f>社員・パート別稼働表【2月比較】!$P$68:$P$69</c:f>
              <c:numCache>
                <c:formatCode>[h]:mm</c:formatCode>
                <c:ptCount val="2"/>
                <c:pt idx="0">
                  <c:v>15.253472222222221</c:v>
                </c:pt>
                <c:pt idx="1">
                  <c:v>31.690972222222225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社員・パート別稼働表【2月比較】!$N$64:$N$65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人数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</c:spPr>
                <c:dPt>
                  <c:idx val="0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rgbClr val="FFC0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numFmt formatCode="_(&quot;¥&quot;* #,##0_);_(&quot;¥&quot;* \(#,##0\);_(&quot;¥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inEnd"/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eparator>
</c:separator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>
                    <c:ext uri="{CE6537A1-D6FC-4f65-9D91-7224C49458BB}"/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社員・パート別稼働表【2月比較】!$M$68:$M$69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社員・パート別稼働表【2月比較】!$N$68:$N$69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7</c:v>
                      </c:pt>
                      <c:pt idx="1">
                        <c:v>21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4-7B01-4898-AA96-5D6390799A50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社員・パート別稼働表【2月比較】!$O$64:$O$65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社員・パート別稼働表【2月比較】!$M$68:$M$69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社員・パート別稼働表【2月比較】!$O$68:$O$69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0.25</c:v>
                      </c:pt>
                      <c:pt idx="1">
                        <c:v>0.75</c:v>
                      </c:pt>
                    </c:numCache>
                  </c:numRef>
                </c:val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社員・パート別稼働表【2月比較】!$Q$64:$Q$65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社員・パート別稼働表【2月比較】!$M$68:$M$69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社員・パート別稼働表【2月比較】!$Q$68:$Q$69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0.32500000000000001</c:v>
                      </c:pt>
                      <c:pt idx="1">
                        <c:v>0.67500000000000004</c:v>
                      </c:pt>
                    </c:numCache>
                  </c:numRef>
                </c:val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社員・パート別稼働表【2月比較】!$R$64:$R$65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人数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社員・パート別稼働表【2月比較】!$M$68:$M$69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社員・パート別稼働表【2月比較】!$R$68:$R$69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5</c:v>
                      </c:pt>
                      <c:pt idx="1">
                        <c:v>23</c:v>
                      </c:pt>
                    </c:numCache>
                  </c:numRef>
                </c:val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社員・パート別稼働表【2月比較】!$S$64:$S$65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社員・パート別稼働表【2月比較】!$M$68:$M$69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社員・パート別稼働表【2月比較】!$S$68:$S$69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0.17899999999999999</c:v>
                      </c:pt>
                      <c:pt idx="1">
                        <c:v>0.82099999999999995</c:v>
                      </c:pt>
                    </c:numCache>
                  </c:numRef>
                </c:val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社員・パート別稼働表【2月比較】!$T$64:$T$65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稼働時分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社員・パート別稼働表【2月比較】!$M$68:$M$69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社員・パート別稼働表【2月比較】!$T$68:$T$69</c15:sqref>
                        </c15:formulaRef>
                      </c:ext>
                    </c:extLst>
                    <c:numCache>
                      <c:formatCode>[h]:mm</c:formatCode>
                      <c:ptCount val="2"/>
                      <c:pt idx="0">
                        <c:v>13.541666666666666</c:v>
                      </c:pt>
                      <c:pt idx="1">
                        <c:v>30.288194444444443</c:v>
                      </c:pt>
                    </c:numCache>
                  </c:numRef>
                </c:val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社員・パート別稼働表【2月比較】!$U$64:$U$65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社員・パート別稼働表【2月比較】!$M$68:$M$69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社員・パート別稼働表【2月比較】!$U$68:$U$69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0.309</c:v>
                      </c:pt>
                      <c:pt idx="1">
                        <c:v>0.69099999999999995</c:v>
                      </c:pt>
                    </c:numCache>
                  </c:numRef>
                </c:val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人数・稼働時間</a:t>
            </a:r>
            <a:r>
              <a:rPr lang="ja-JP" altLang="en-US" sz="1400" b="0" i="0" u="none" strike="noStrike" baseline="0">
                <a:effectLst/>
              </a:rPr>
              <a:t>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社員・パート別稼働表【2月比較】!$M$68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社員・パート別稼働表【2月比較】!$N$64:$U$65</c15:sqref>
                  </c15:fullRef>
                </c:ext>
              </c:extLst>
              <c:f>(社員・パート別稼働表【2月比較】!$R$64:$R$65,社員・パート別稼働表【2月比較】!$T$64:$T$65)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2019年4月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社員・パート別稼働表【2月比較】!$N$68:$U$68</c15:sqref>
                  </c15:fullRef>
                </c:ext>
              </c:extLst>
              <c:f>(社員・パート別稼働表【2月比較】!$R$68,社員・パート別稼働表【2月比較】!$T$68)</c:f>
              <c:numCache>
                <c:formatCode>0.0%</c:formatCode>
                <c:ptCount val="2"/>
                <c:pt idx="0" formatCode="#,##0.0_ ;[Red]\-#,##0.0\ ">
                  <c:v>5</c:v>
                </c:pt>
                <c:pt idx="1" formatCode="[h]:mm">
                  <c:v>13.541666666666666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F1-456A-9D38-A04A43F2F1B2}"/>
            </c:ext>
          </c:extLst>
        </c:ser>
        <c:ser>
          <c:idx val="0"/>
          <c:order val="1"/>
          <c:tx>
            <c:strRef>
              <c:f>社員・パート別稼働表【2月比較】!$M$69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社員・パート別稼働表【2月比較】!$N$64:$U$65</c15:sqref>
                  </c15:fullRef>
                </c:ext>
              </c:extLst>
              <c:f>(社員・パート別稼働表【2月比較】!$R$64:$R$65,社員・パート別稼働表【2月比較】!$T$64:$T$65)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2019年4月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社員・パート別稼働表【2月比較】!$N$69:$U$69</c15:sqref>
                  </c15:fullRef>
                </c:ext>
              </c:extLst>
              <c:f>(社員・パート別稼働表【2月比較】!$R$69,社員・パート別稼働表【2月比較】!$T$69)</c:f>
              <c:numCache>
                <c:formatCode>0.0%</c:formatCode>
                <c:ptCount val="2"/>
                <c:pt idx="0" formatCode="#,##0.0_ ;[Red]\-#,##0.0\ ">
                  <c:v>23</c:v>
                </c:pt>
                <c:pt idx="1" formatCode="[h]:mm">
                  <c:v>30.288194444444443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479142296"/>
        <c:axId val="479145432"/>
        <c:extLst xmlns:c16r2="http://schemas.microsoft.com/office/drawing/2015/06/chart"/>
      </c:barChart>
      <c:catAx>
        <c:axId val="479142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9145432"/>
        <c:crosses val="autoZero"/>
        <c:auto val="1"/>
        <c:lblAlgn val="ctr"/>
        <c:lblOffset val="100"/>
        <c:noMultiLvlLbl val="0"/>
      </c:catAx>
      <c:valAx>
        <c:axId val="479145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9142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稼働</a:t>
            </a:r>
            <a:r>
              <a:rPr lang="ja-JP" altLang="en-US" sz="1400" b="0" i="0" u="none" strike="noStrike" baseline="0">
                <a:effectLst/>
              </a:rPr>
              <a:t>時間</a:t>
            </a:r>
            <a:r>
              <a:rPr lang="ja-JP" altLang="en-US"/>
              <a:t>割合</a:t>
            </a:r>
          </a:p>
        </c:rich>
      </c:tx>
      <c:layout>
        <c:manualLayout>
          <c:xMode val="edge"/>
          <c:yMode val="edge"/>
          <c:x val="6.5847112860892384E-2"/>
          <c:y val="8.333333333333332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4389788930166661"/>
          <c:y val="0.16833333333333333"/>
          <c:w val="0.51220399279540252"/>
          <c:h val="0.77798611111111116"/>
        </c:manualLayout>
      </c:layout>
      <c:pieChart>
        <c:varyColors val="1"/>
        <c:ser>
          <c:idx val="6"/>
          <c:order val="6"/>
          <c:tx>
            <c:strRef>
              <c:f>社員・パート別稼働表【2月比較】!$T$64:$T$65</c:f>
              <c:strCache>
                <c:ptCount val="2"/>
                <c:pt idx="0">
                  <c:v>2019年4月</c:v>
                </c:pt>
                <c:pt idx="1">
                  <c:v>稼働時分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社員・パート別稼働表【2月比較】!$M$68:$M$69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f>社員・パート別稼働表【2月比較】!$T$68:$T$69</c:f>
              <c:numCache>
                <c:formatCode>[h]:mm</c:formatCode>
                <c:ptCount val="2"/>
                <c:pt idx="0">
                  <c:v>13.541666666666666</c:v>
                </c:pt>
                <c:pt idx="1">
                  <c:v>30.288194444444443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社員・パート別稼働表【2月比較】!$N$64:$N$65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人数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</c:spPr>
                <c:dPt>
                  <c:idx val="0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numFmt formatCode="_(&quot;¥&quot;* #,##0_);_(&quot;¥&quot;* \(#,##0\);_(&quot;¥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>
                    <c:ext uri="{CE6537A1-D6FC-4f65-9D91-7224C49458BB}"/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社員・パート別稼働表【2月比較】!$M$68:$M$69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社員・パート別稼働表【2月比較】!$N$68:$N$69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7</c:v>
                      </c:pt>
                      <c:pt idx="1">
                        <c:v>21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9-3E09-4CE1-B246-5FD4F9892432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社員・パート別稼働表【2月比較】!$O$64:$O$65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社員・パート別稼働表【2月比較】!$M$68:$M$69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社員・パート別稼働表【2月比較】!$O$68:$O$69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0.25</c:v>
                      </c:pt>
                      <c:pt idx="1">
                        <c:v>0.75</c:v>
                      </c:pt>
                    </c:numCache>
                  </c:numRef>
                </c:val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社員・パート別稼働表【2月比較】!$P$64:$P$65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稼働時分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社員・パート別稼働表【2月比較】!$M$68:$M$69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社員・パート別稼働表【2月比較】!$P$68:$P$69</c15:sqref>
                        </c15:formulaRef>
                      </c:ext>
                    </c:extLst>
                    <c:numCache>
                      <c:formatCode>[h]:mm</c:formatCode>
                      <c:ptCount val="2"/>
                      <c:pt idx="0">
                        <c:v>15.253472222222221</c:v>
                      </c:pt>
                      <c:pt idx="1">
                        <c:v>31.690972222222225</c:v>
                      </c:pt>
                    </c:numCache>
                  </c:numRef>
                </c:val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社員・パート別稼働表【2月比較】!$Q$64:$Q$65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社員・パート別稼働表【2月比較】!$M$68:$M$69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社員・パート別稼働表【2月比較】!$Q$68:$Q$69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0.32500000000000001</c:v>
                      </c:pt>
                      <c:pt idx="1">
                        <c:v>0.67500000000000004</c:v>
                      </c:pt>
                    </c:numCache>
                  </c:numRef>
                </c:val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社員・パート別稼働表【2月比較】!$R$64:$R$65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人数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社員・パート別稼働表【2月比較】!$M$68:$M$69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社員・パート別稼働表【2月比較】!$R$68:$R$69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5</c:v>
                      </c:pt>
                      <c:pt idx="1">
                        <c:v>23</c:v>
                      </c:pt>
                    </c:numCache>
                  </c:numRef>
                </c:val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社員・パート別稼働表【2月比較】!$S$64:$S$65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社員・パート別稼働表【2月比較】!$M$68:$M$69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社員・パート別稼働表【2月比較】!$S$68:$S$69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0.17899999999999999</c:v>
                      </c:pt>
                      <c:pt idx="1">
                        <c:v>0.82099999999999995</c:v>
                      </c:pt>
                    </c:numCache>
                  </c:numRef>
                </c:val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社員・パート別稼働表【2月比較】!$U$64:$U$65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社員・パート別稼働表【2月比較】!$M$68:$M$69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社員・パート別稼働表【2月比較】!$U$68:$U$69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0.309</c:v>
                      </c:pt>
                      <c:pt idx="1">
                        <c:v>0.69099999999999995</c:v>
                      </c:pt>
                    </c:numCache>
                  </c:numRef>
                </c:val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売上推移!$B$7</c:f>
              <c:strCache>
                <c:ptCount val="1"/>
                <c:pt idx="0">
                  <c:v>誉田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売上推移!$C$3:$Z$3</c:f>
              <c:numCache>
                <c:formatCode>[$-411]ge\.mm"月";@</c:formatCode>
                <c:ptCount val="24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</c:numCache>
            </c:numRef>
          </c:cat>
          <c:val>
            <c:numRef>
              <c:f>売上推移!$C$7:$Z$7</c:f>
              <c:numCache>
                <c:formatCode>#,##0_ ;[Red]\-#,##0\ </c:formatCode>
                <c:ptCount val="24"/>
                <c:pt idx="0">
                  <c:v>5374919</c:v>
                </c:pt>
                <c:pt idx="1">
                  <c:v>5697582</c:v>
                </c:pt>
                <c:pt idx="2">
                  <c:v>5897081</c:v>
                </c:pt>
                <c:pt idx="3">
                  <c:v>5788645</c:v>
                </c:pt>
                <c:pt idx="4">
                  <c:v>5817896</c:v>
                </c:pt>
                <c:pt idx="5">
                  <c:v>5787410</c:v>
                </c:pt>
                <c:pt idx="6">
                  <c:v>5899891</c:v>
                </c:pt>
                <c:pt idx="7">
                  <c:v>5629984</c:v>
                </c:pt>
                <c:pt idx="8">
                  <c:v>6168362</c:v>
                </c:pt>
                <c:pt idx="9">
                  <c:v>5709957</c:v>
                </c:pt>
                <c:pt idx="10">
                  <c:v>5793244</c:v>
                </c:pt>
                <c:pt idx="11">
                  <c:v>6587828</c:v>
                </c:pt>
                <c:pt idx="12">
                  <c:v>6479560</c:v>
                </c:pt>
                <c:pt idx="13">
                  <c:v>6806472</c:v>
                </c:pt>
                <c:pt idx="14">
                  <c:v>6915528</c:v>
                </c:pt>
                <c:pt idx="15">
                  <c:v>7519354</c:v>
                </c:pt>
                <c:pt idx="16">
                  <c:v>6774361</c:v>
                </c:pt>
                <c:pt idx="17">
                  <c:v>7419604</c:v>
                </c:pt>
                <c:pt idx="18">
                  <c:v>7099035</c:v>
                </c:pt>
                <c:pt idx="19">
                  <c:v>7065580</c:v>
                </c:pt>
                <c:pt idx="20">
                  <c:v>7041908</c:v>
                </c:pt>
                <c:pt idx="21">
                  <c:v>6369053</c:v>
                </c:pt>
                <c:pt idx="22">
                  <c:v>6979599</c:v>
                </c:pt>
                <c:pt idx="23">
                  <c:v>7110420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6A-40AB-9317-8E92F5FF2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990032"/>
        <c:axId val="454991208"/>
      </c:barChart>
      <c:dateAx>
        <c:axId val="454990032"/>
        <c:scaling>
          <c:orientation val="minMax"/>
        </c:scaling>
        <c:delete val="0"/>
        <c:axPos val="b"/>
        <c:numFmt formatCode="[$-411]ge\.m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4991208"/>
        <c:crosses val="autoZero"/>
        <c:auto val="1"/>
        <c:lblOffset val="100"/>
        <c:baseTimeUnit val="months"/>
      </c:dateAx>
      <c:valAx>
        <c:axId val="454991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54990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人数・稼働時間比較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社員・パート別稼働表【2月比較】!$C$99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社員・パート別稼働表【2月比較】!$D$95:$K$96</c15:sqref>
                  </c15:fullRef>
                </c:ext>
              </c:extLst>
              <c:f>(社員・パート別稼働表【2月比較】!$D$95:$D$96,社員・パート別稼働表【2月比較】!$F$95:$F$96)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2019年3月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社員・パート別稼働表【2月比較】!$D$99:$K$99</c15:sqref>
                  </c15:fullRef>
                </c:ext>
              </c:extLst>
              <c:f>(社員・パート別稼働表【2月比較】!$D$99,社員・パート別稼働表【2月比較】!$F$99)</c:f>
              <c:numCache>
                <c:formatCode>0.0%</c:formatCode>
                <c:ptCount val="2"/>
                <c:pt idx="0" formatCode="#,##0.0_ ;[Red]\-#,##0.0\ ">
                  <c:v>6</c:v>
                </c:pt>
                <c:pt idx="1" formatCode="[h]:mm">
                  <c:v>24.552083333333332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0E-401C-B5A7-83B2A3EFB8F2}"/>
            </c:ext>
          </c:extLst>
        </c:ser>
        <c:ser>
          <c:idx val="0"/>
          <c:order val="1"/>
          <c:tx>
            <c:strRef>
              <c:f>社員・パート別稼働表【2月比較】!$C$100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社員・パート別稼働表【2月比較】!$D$95:$K$96</c15:sqref>
                  </c15:fullRef>
                </c:ext>
              </c:extLst>
              <c:f>(社員・パート別稼働表【2月比較】!$D$95:$D$96,社員・パート別稼働表【2月比較】!$F$95:$F$96)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2019年3月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社員・パート別稼働表【2月比較】!$D$100:$K$100</c15:sqref>
                  </c15:fullRef>
                </c:ext>
              </c:extLst>
              <c:f>(社員・パート別稼働表【2月比較】!$D$100,社員・パート別稼働表【2月比較】!$F$100)</c:f>
              <c:numCache>
                <c:formatCode>0.0%</c:formatCode>
                <c:ptCount val="2"/>
                <c:pt idx="0" formatCode="#,##0.0_ ;[Red]\-#,##0.0\ ">
                  <c:v>28</c:v>
                </c:pt>
                <c:pt idx="1" formatCode="[h]:mm">
                  <c:v>44.5625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479143864"/>
        <c:axId val="479145040"/>
        <c:extLst xmlns:c16r2="http://schemas.microsoft.com/office/drawing/2015/06/chart"/>
      </c:barChart>
      <c:catAx>
        <c:axId val="479143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9145040"/>
        <c:crosses val="autoZero"/>
        <c:auto val="1"/>
        <c:lblAlgn val="ctr"/>
        <c:lblOffset val="100"/>
        <c:noMultiLvlLbl val="0"/>
      </c:catAx>
      <c:valAx>
        <c:axId val="47914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9143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人数・稼働時間比較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社員・パート別稼働表【2月比較】!$C$99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社員・パート別稼働表【2月比較】!$D$95:$K$96</c15:sqref>
                  </c15:fullRef>
                </c:ext>
              </c:extLst>
              <c:f>(社員・パート別稼働表【2月比較】!$H$95:$H$96,社員・パート別稼働表【2月比較】!$J$95:$J$96)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2019年4月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社員・パート別稼働表【2月比較】!$D$99:$K$99</c15:sqref>
                  </c15:fullRef>
                </c:ext>
              </c:extLst>
              <c:f>(社員・パート別稼働表【2月比較】!$H$99,社員・パート別稼働表【2月比較】!$J$99)</c:f>
              <c:numCache>
                <c:formatCode>0.0%</c:formatCode>
                <c:ptCount val="2"/>
                <c:pt idx="0" formatCode="#,##0.0_ ;[Red]\-#,##0.0\ ">
                  <c:v>6</c:v>
                </c:pt>
                <c:pt idx="1" formatCode="[h]:mm">
                  <c:v>22.213194444444444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F1-456A-9D38-A04A43F2F1B2}"/>
            </c:ext>
          </c:extLst>
        </c:ser>
        <c:ser>
          <c:idx val="0"/>
          <c:order val="1"/>
          <c:tx>
            <c:strRef>
              <c:f>社員・パート別稼働表【2月比較】!$C$100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社員・パート別稼働表【2月比較】!$D$95:$K$96</c15:sqref>
                  </c15:fullRef>
                </c:ext>
              </c:extLst>
              <c:f>(社員・パート別稼働表【2月比較】!$H$95:$H$96,社員・パート別稼働表【2月比較】!$J$95:$J$96)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2019年4月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社員・パート別稼働表【2月比較】!$D$100:$K$100</c15:sqref>
                  </c15:fullRef>
                </c:ext>
              </c:extLst>
              <c:f>(社員・パート別稼働表【2月比較】!$H$100,社員・パート別稼働表【2月比較】!$J$100)</c:f>
              <c:numCache>
                <c:formatCode>0.0%</c:formatCode>
                <c:ptCount val="2"/>
                <c:pt idx="0" formatCode="#,##0.0_ ;[Red]\-#,##0.0\ ">
                  <c:v>31</c:v>
                </c:pt>
                <c:pt idx="1" formatCode="[h]:mm">
                  <c:v>46.756250000000001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481457408"/>
        <c:axId val="481464464"/>
        <c:extLst xmlns:c16r2="http://schemas.microsoft.com/office/drawing/2015/06/chart"/>
      </c:barChart>
      <c:catAx>
        <c:axId val="48145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81464464"/>
        <c:crosses val="autoZero"/>
        <c:auto val="1"/>
        <c:lblAlgn val="ctr"/>
        <c:lblOffset val="100"/>
        <c:noMultiLvlLbl val="0"/>
      </c:catAx>
      <c:valAx>
        <c:axId val="48146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81457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稼働時間割合</a:t>
            </a:r>
          </a:p>
        </c:rich>
      </c:tx>
      <c:layout>
        <c:manualLayout>
          <c:xMode val="edge"/>
          <c:yMode val="edge"/>
          <c:x val="8.3743961352657006E-2"/>
          <c:y val="8.7962962962962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2"/>
          <c:order val="2"/>
          <c:tx>
            <c:strRef>
              <c:f>社員・パート別稼働表【2月比較】!$F$95:$F$96</c:f>
              <c:strCache>
                <c:ptCount val="2"/>
                <c:pt idx="0">
                  <c:v>2019年3月</c:v>
                </c:pt>
                <c:pt idx="1">
                  <c:v>稼働時分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社員・パート別稼働表【2月比較】!$C$99:$C$100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f>社員・パート別稼働表【2月比較】!$F$99:$F$100</c:f>
              <c:numCache>
                <c:formatCode>[h]:mm</c:formatCode>
                <c:ptCount val="2"/>
                <c:pt idx="0">
                  <c:v>24.552083333333332</c:v>
                </c:pt>
                <c:pt idx="1">
                  <c:v>44.5625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社員・パート別稼働表【2月比較】!$D$95:$D$96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人数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</c:spPr>
                <c:dPt>
                  <c:idx val="0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rgbClr val="FFC0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numFmt formatCode="_(&quot;¥&quot;* #,##0_);_(&quot;¥&quot;* \(#,##0\);_(&quot;¥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inEnd"/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eparator>
</c:separator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>
                    <c:ext uri="{CE6537A1-D6FC-4f65-9D91-7224C49458BB}"/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社員・パート別稼働表【2月比較】!$C$99:$C$100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社員・パート別稼働表【2月比較】!$D$99:$D$100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6</c:v>
                      </c:pt>
                      <c:pt idx="1">
                        <c:v>28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4-7B01-4898-AA96-5D6390799A50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社員・パート別稼働表【2月比較】!$E$95:$E$96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社員・パート別稼働表【2月比較】!$C$99:$C$100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社員・パート別稼働表【2月比較】!$E$99:$E$100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0.17599999999999999</c:v>
                      </c:pt>
                      <c:pt idx="1">
                        <c:v>0.82399999999999995</c:v>
                      </c:pt>
                    </c:numCache>
                  </c:numRef>
                </c:val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社員・パート別稼働表【2月比較】!$G$95:$G$96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社員・パート別稼働表【2月比較】!$C$99:$C$100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社員・パート別稼働表【2月比較】!$G$99:$G$100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0.35499999999999998</c:v>
                      </c:pt>
                      <c:pt idx="1">
                        <c:v>0.64500000000000002</c:v>
                      </c:pt>
                    </c:numCache>
                  </c:numRef>
                </c:val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社員・パート別稼働表【2月比較】!$H$95:$H$96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人数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社員・パート別稼働表【2月比較】!$C$99:$C$100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社員・パート別稼働表【2月比較】!$H$99:$H$100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6</c:v>
                      </c:pt>
                      <c:pt idx="1">
                        <c:v>31</c:v>
                      </c:pt>
                    </c:numCache>
                  </c:numRef>
                </c:val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社員・パート別稼働表【2月比較】!$I$95:$I$96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社員・パート別稼働表【2月比較】!$C$99:$C$100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社員・パート別稼働表【2月比較】!$I$99:$I$100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0.16200000000000001</c:v>
                      </c:pt>
                      <c:pt idx="1">
                        <c:v>0.83799999999999997</c:v>
                      </c:pt>
                    </c:numCache>
                  </c:numRef>
                </c:val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社員・パート別稼働表【2月比較】!$J$95:$J$96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稼働時分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社員・パート別稼働表【2月比較】!$C$99:$C$100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社員・パート別稼働表【2月比較】!$J$99:$J$100</c15:sqref>
                        </c15:formulaRef>
                      </c:ext>
                    </c:extLst>
                    <c:numCache>
                      <c:formatCode>[h]:mm</c:formatCode>
                      <c:ptCount val="2"/>
                      <c:pt idx="0">
                        <c:v>22.213194444444444</c:v>
                      </c:pt>
                      <c:pt idx="1">
                        <c:v>46.756250000000001</c:v>
                      </c:pt>
                    </c:numCache>
                  </c:numRef>
                </c:val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社員・パート別稼働表【2月比較】!$K$95:$K$96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社員・パート別稼働表【2月比較】!$C$99:$C$100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社員・パート別稼働表【2月比較】!$K$99:$K$100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0.32200000000000001</c:v>
                      </c:pt>
                      <c:pt idx="1">
                        <c:v>0.67800000000000005</c:v>
                      </c:pt>
                    </c:numCache>
                  </c:numRef>
                </c:val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稼働</a:t>
            </a:r>
            <a:r>
              <a:rPr lang="ja-JP" altLang="en-US" sz="1400" b="0" i="0" u="none" strike="noStrike" baseline="0">
                <a:effectLst/>
              </a:rPr>
              <a:t>時間</a:t>
            </a:r>
            <a:r>
              <a:rPr lang="ja-JP" altLang="en-US"/>
              <a:t>割合</a:t>
            </a:r>
          </a:p>
        </c:rich>
      </c:tx>
      <c:layout>
        <c:manualLayout>
          <c:xMode val="edge"/>
          <c:yMode val="edge"/>
          <c:x val="6.5847112860892384E-2"/>
          <c:y val="8.333333333333332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4970436141494123"/>
          <c:y val="0.16833333333333333"/>
          <c:w val="0.51220399279540252"/>
          <c:h val="0.77798611111111116"/>
        </c:manualLayout>
      </c:layout>
      <c:pieChart>
        <c:varyColors val="1"/>
        <c:ser>
          <c:idx val="6"/>
          <c:order val="6"/>
          <c:tx>
            <c:strRef>
              <c:f>社員・パート別稼働表【2月比較】!$J$95:$J$96</c:f>
              <c:strCache>
                <c:ptCount val="2"/>
                <c:pt idx="0">
                  <c:v>2019年4月</c:v>
                </c:pt>
                <c:pt idx="1">
                  <c:v>稼働時分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社員・パート別稼働表【2月比較】!$C$99:$C$100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f>社員・パート別稼働表【2月比較】!$J$99:$J$100</c:f>
              <c:numCache>
                <c:formatCode>[h]:mm</c:formatCode>
                <c:ptCount val="2"/>
                <c:pt idx="0">
                  <c:v>22.213194444444444</c:v>
                </c:pt>
                <c:pt idx="1">
                  <c:v>46.756250000000001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社員・パート別稼働表【2月比較】!$D$95:$D$96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人数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</c:spPr>
                <c:dPt>
                  <c:idx val="0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numFmt formatCode="_(&quot;¥&quot;* #,##0_);_(&quot;¥&quot;* \(#,##0\);_(&quot;¥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>
                    <c:ext uri="{CE6537A1-D6FC-4f65-9D91-7224C49458BB}"/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社員・パート別稼働表【2月比較】!$C$99:$C$100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社員・パート別稼働表【2月比較】!$D$99:$D$100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6</c:v>
                      </c:pt>
                      <c:pt idx="1">
                        <c:v>28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9-3E09-4CE1-B246-5FD4F9892432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社員・パート別稼働表【2月比較】!$E$95:$E$96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社員・パート別稼働表【2月比較】!$C$99:$C$100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社員・パート別稼働表【2月比較】!$E$99:$E$100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0.17599999999999999</c:v>
                      </c:pt>
                      <c:pt idx="1">
                        <c:v>0.82399999999999995</c:v>
                      </c:pt>
                    </c:numCache>
                  </c:numRef>
                </c:val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社員・パート別稼働表【2月比較】!$F$95:$F$96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稼働時分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社員・パート別稼働表【2月比較】!$C$99:$C$100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社員・パート別稼働表【2月比較】!$F$99:$F$100</c15:sqref>
                        </c15:formulaRef>
                      </c:ext>
                    </c:extLst>
                    <c:numCache>
                      <c:formatCode>[h]:mm</c:formatCode>
                      <c:ptCount val="2"/>
                      <c:pt idx="0">
                        <c:v>24.552083333333332</c:v>
                      </c:pt>
                      <c:pt idx="1">
                        <c:v>44.5625</c:v>
                      </c:pt>
                    </c:numCache>
                  </c:numRef>
                </c:val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社員・パート別稼働表【2月比較】!$G$95:$G$96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社員・パート別稼働表【2月比較】!$C$99:$C$100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社員・パート別稼働表【2月比較】!$G$99:$G$100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0.35499999999999998</c:v>
                      </c:pt>
                      <c:pt idx="1">
                        <c:v>0.64500000000000002</c:v>
                      </c:pt>
                    </c:numCache>
                  </c:numRef>
                </c:val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社員・パート別稼働表【2月比較】!$H$95:$H$96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人数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社員・パート別稼働表【2月比較】!$C$99:$C$100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社員・パート別稼働表【2月比較】!$H$99:$H$100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6</c:v>
                      </c:pt>
                      <c:pt idx="1">
                        <c:v>31</c:v>
                      </c:pt>
                    </c:numCache>
                  </c:numRef>
                </c:val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社員・パート別稼働表【2月比較】!$I$95:$I$96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社員・パート別稼働表【2月比較】!$C$99:$C$100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社員・パート別稼働表【2月比較】!$I$99:$I$100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0.16200000000000001</c:v>
                      </c:pt>
                      <c:pt idx="1">
                        <c:v>0.83799999999999997</c:v>
                      </c:pt>
                    </c:numCache>
                  </c:numRef>
                </c:val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社員・パート別稼働表【2月比較】!$K$95:$K$96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社員・パート別稼働表【2月比較】!$C$99:$C$100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社員・パート別稼働表【2月比較】!$K$99:$K$100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0.32200000000000001</c:v>
                      </c:pt>
                      <c:pt idx="1">
                        <c:v>0.67800000000000005</c:v>
                      </c:pt>
                    </c:numCache>
                  </c:numRef>
                </c:val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人数・稼働時間</a:t>
            </a:r>
            <a:r>
              <a:rPr lang="ja-JP" altLang="en-US" sz="1400" b="0" i="0" u="none" strike="noStrike" baseline="0">
                <a:effectLst/>
              </a:rPr>
              <a:t>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社員・パート別稼働表【2月比較】!$M$99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社員・パート別稼働表【2月比較】!$N$95:$Q$96</c15:sqref>
                  </c15:fullRef>
                </c:ext>
              </c:extLst>
              <c:f>(社員・パート別稼働表【2月比較】!$N$95:$N$96,社員・パート別稼働表【2月比較】!$P$95:$P$96)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2019年3月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社員・パート別稼働表【2月比較】!$N$99:$Q$99</c15:sqref>
                  </c15:fullRef>
                </c:ext>
              </c:extLst>
              <c:f>(社員・パート別稼働表【2月比較】!$N$99,社員・パート別稼働表【2月比較】!$P$99)</c:f>
              <c:numCache>
                <c:formatCode>0.0%</c:formatCode>
                <c:ptCount val="2"/>
                <c:pt idx="0" formatCode="#,##0.0_ ;[Red]\-#,##0.0\ ">
                  <c:v>2</c:v>
                </c:pt>
                <c:pt idx="1" formatCode="[h]:mm">
                  <c:v>8.2048611111111107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0E-401C-B5A7-83B2A3EFB8F2}"/>
            </c:ext>
          </c:extLst>
        </c:ser>
        <c:ser>
          <c:idx val="0"/>
          <c:order val="1"/>
          <c:tx>
            <c:strRef>
              <c:f>社員・パート別稼働表【2月比較】!$M$100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社員・パート別稼働表【2月比較】!$N$95:$Q$96</c15:sqref>
                  </c15:fullRef>
                </c:ext>
              </c:extLst>
              <c:f>(社員・パート別稼働表【2月比較】!$N$95:$N$96,社員・パート別稼働表【2月比較】!$P$95:$P$96)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2019年3月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社員・パート別稼働表【2月比較】!$N$100:$Q$100</c15:sqref>
                  </c15:fullRef>
                </c:ext>
              </c:extLst>
              <c:f>(社員・パート別稼働表【2月比較】!$N$100,社員・パート別稼働表【2月比較】!$P$100)</c:f>
              <c:numCache>
                <c:formatCode>0.0%</c:formatCode>
                <c:ptCount val="2"/>
                <c:pt idx="0" formatCode="#,##0.0_ ;[Red]\-#,##0.0\ ">
                  <c:v>10</c:v>
                </c:pt>
                <c:pt idx="1" formatCode="[h]:mm">
                  <c:v>8.2395833333333339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481468384"/>
        <c:axId val="481459368"/>
        <c:extLst xmlns:c16r2="http://schemas.microsoft.com/office/drawing/2015/06/chart"/>
      </c:barChart>
      <c:catAx>
        <c:axId val="48146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81459368"/>
        <c:crosses val="autoZero"/>
        <c:auto val="1"/>
        <c:lblAlgn val="ctr"/>
        <c:lblOffset val="100"/>
        <c:noMultiLvlLbl val="0"/>
      </c:catAx>
      <c:valAx>
        <c:axId val="48145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8146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人数・稼働時間</a:t>
            </a:r>
            <a:r>
              <a:rPr lang="ja-JP" altLang="en-US" sz="1400" b="0" i="0" u="none" strike="noStrike" baseline="0">
                <a:effectLst/>
              </a:rPr>
              <a:t>比較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社員・パート別稼働表【2月比較】!$M$99</c:f>
              <c:strCache>
                <c:ptCount val="1"/>
                <c:pt idx="0">
                  <c:v>社員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社員・パート別稼働表【2月比較】!$N$95:$U$96</c15:sqref>
                  </c15:fullRef>
                </c:ext>
              </c:extLst>
              <c:f>(社員・パート別稼働表【2月比較】!$R$95:$R$96,社員・パート別稼働表【2月比較】!$T$95:$T$96)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2019年4月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社員・パート別稼働表【2月比較】!$N$99:$U$99</c15:sqref>
                  </c15:fullRef>
                </c:ext>
              </c:extLst>
              <c:f>(社員・パート別稼働表【2月比較】!$R$99,社員・パート別稼働表【2月比較】!$T$99)</c:f>
              <c:numCache>
                <c:formatCode>0.0%</c:formatCode>
                <c:ptCount val="2"/>
                <c:pt idx="0" formatCode="#,##0.0_ ;[Red]\-#,##0.0\ ">
                  <c:v>2</c:v>
                </c:pt>
                <c:pt idx="1" formatCode="[h]:mm">
                  <c:v>9.4201388888888893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F1-456A-9D38-A04A43F2F1B2}"/>
            </c:ext>
          </c:extLst>
        </c:ser>
        <c:ser>
          <c:idx val="0"/>
          <c:order val="1"/>
          <c:tx>
            <c:strRef>
              <c:f>社員・パート別稼働表【2月比較】!$M$100</c:f>
              <c:strCache>
                <c:ptCount val="1"/>
                <c:pt idx="0">
                  <c:v>パート</c:v>
                </c:pt>
              </c:strCache>
            </c:strRef>
          </c:tx>
          <c:spPr>
            <a:solidFill>
              <a:srgbClr val="47D4D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社員・パート別稼働表【2月比較】!$N$95:$U$96</c15:sqref>
                  </c15:fullRef>
                </c:ext>
              </c:extLst>
              <c:f>(社員・パート別稼働表【2月比較】!$R$95:$R$96,社員・パート別稼働表【2月比較】!$T$95:$T$96)</c:f>
              <c:multiLvlStrCache>
                <c:ptCount val="2"/>
                <c:lvl>
                  <c:pt idx="0">
                    <c:v>人数</c:v>
                  </c:pt>
                  <c:pt idx="1">
                    <c:v>稼働時分</c:v>
                  </c:pt>
                </c:lvl>
                <c:lvl>
                  <c:pt idx="0">
                    <c:v>2019年4月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社員・パート別稼働表【2月比較】!$N$100:$U$100</c15:sqref>
                  </c15:fullRef>
                </c:ext>
              </c:extLst>
              <c:f>(社員・パート別稼働表【2月比較】!$R$100,社員・パート別稼働表【2月比較】!$T$100)</c:f>
              <c:numCache>
                <c:formatCode>0.0%</c:formatCode>
                <c:ptCount val="2"/>
                <c:pt idx="0" formatCode="#,##0.0_ ;[Red]\-#,##0.0\ ">
                  <c:v>10</c:v>
                </c:pt>
                <c:pt idx="1" formatCode="[h]:mm">
                  <c:v>9.1840277777777768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481458192"/>
        <c:axId val="481459760"/>
        <c:extLst xmlns:c16r2="http://schemas.microsoft.com/office/drawing/2015/06/chart"/>
      </c:barChart>
      <c:catAx>
        <c:axId val="48145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81459760"/>
        <c:crosses val="autoZero"/>
        <c:auto val="1"/>
        <c:lblAlgn val="ctr"/>
        <c:lblOffset val="100"/>
        <c:noMultiLvlLbl val="0"/>
      </c:catAx>
      <c:valAx>
        <c:axId val="48145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8145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0" i="0" u="none" strike="noStrike" baseline="0">
                <a:effectLst/>
              </a:rPr>
              <a:t>稼働</a:t>
            </a:r>
            <a:r>
              <a:rPr lang="ja-JP" altLang="en-US" sz="1400" b="0" i="0" u="none" strike="noStrike" baseline="0">
                <a:effectLst/>
              </a:rPr>
              <a:t>時間</a:t>
            </a:r>
            <a:r>
              <a:rPr lang="ja-JP" altLang="en-US"/>
              <a:t>割合</a:t>
            </a:r>
          </a:p>
        </c:rich>
      </c:tx>
      <c:layout>
        <c:manualLayout>
          <c:xMode val="edge"/>
          <c:yMode val="edge"/>
          <c:x val="6.5847112860892384E-2"/>
          <c:y val="8.333333333333332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4680112535830395"/>
          <c:y val="0.16833333333333333"/>
          <c:w val="0.51220399279540252"/>
          <c:h val="0.77798611111111116"/>
        </c:manualLayout>
      </c:layout>
      <c:pieChart>
        <c:varyColors val="1"/>
        <c:ser>
          <c:idx val="7"/>
          <c:order val="7"/>
          <c:tx>
            <c:strRef>
              <c:f>社員・パート別稼働表【2月比較】!$U$95:$U$96</c:f>
              <c:strCache>
                <c:ptCount val="2"/>
                <c:pt idx="0">
                  <c:v>2019年4月</c:v>
                </c:pt>
                <c:pt idx="1">
                  <c:v>稼働時間割合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社員・パート別稼働表【2月比較】!$M$99:$M$100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f>社員・パート別稼働表【2月比較】!$U$99:$U$100</c:f>
              <c:numCache>
                <c:formatCode>0.0%</c:formatCode>
                <c:ptCount val="2"/>
                <c:pt idx="0">
                  <c:v>0.50600000000000001</c:v>
                </c:pt>
                <c:pt idx="1">
                  <c:v>0.49399999999999999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社員・パート別稼働表【2月比較】!$N$95:$N$96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人数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</c:spPr>
                <c:dPt>
                  <c:idx val="0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numFmt formatCode="_(&quot;¥&quot;* #,##0_);_(&quot;¥&quot;* \(#,##0\);_(&quot;¥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>
                    <c:ext uri="{CE6537A1-D6FC-4f65-9D91-7224C49458BB}"/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社員・パート別稼働表【2月比較】!$M$99:$M$100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社員・パート別稼働表【2月比較】!$N$99:$N$100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2</c:v>
                      </c:pt>
                      <c:pt idx="1">
                        <c:v>10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9-3E09-4CE1-B246-5FD4F9892432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社員・パート別稼働表【2月比較】!$O$95:$O$96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社員・パート別稼働表【2月比較】!$M$99:$M$100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社員・パート別稼働表【2月比較】!$O$99:$O$100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0.16700000000000001</c:v>
                      </c:pt>
                      <c:pt idx="1">
                        <c:v>0.83299999999999996</c:v>
                      </c:pt>
                    </c:numCache>
                  </c:numRef>
                </c:val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社員・パート別稼働表【2月比較】!$P$95:$P$96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稼働時分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社員・パート別稼働表【2月比較】!$M$99:$M$100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社員・パート別稼働表【2月比較】!$P$99:$P$100</c15:sqref>
                        </c15:formulaRef>
                      </c:ext>
                    </c:extLst>
                    <c:numCache>
                      <c:formatCode>[h]:mm</c:formatCode>
                      <c:ptCount val="2"/>
                      <c:pt idx="0">
                        <c:v>8.2048611111111107</c:v>
                      </c:pt>
                      <c:pt idx="1">
                        <c:v>8.2395833333333339</c:v>
                      </c:pt>
                    </c:numCache>
                  </c:numRef>
                </c:val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社員・パート別稼働表【2月比較】!$Q$95:$Q$96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稼働時間割合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社員・パート別稼働表【2月比較】!$M$99:$M$100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社員・パート別稼働表【2月比較】!$Q$99:$Q$100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0.499</c:v>
                      </c:pt>
                      <c:pt idx="1">
                        <c:v>0.501</c:v>
                      </c:pt>
                    </c:numCache>
                  </c:numRef>
                </c:val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社員・パート別稼働表【2月比較】!$R$95:$R$96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人数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社員・パート別稼働表【2月比較】!$M$99:$M$100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社員・パート別稼働表【2月比較】!$R$99:$R$100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2</c:v>
                      </c:pt>
                      <c:pt idx="1">
                        <c:v>10</c:v>
                      </c:pt>
                    </c:numCache>
                  </c:numRef>
                </c:val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社員・パート別稼働表【2月比較】!$S$95:$S$96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社員・パート別稼働表【2月比較】!$M$99:$M$100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社員・パート別稼働表【2月比較】!$S$99:$S$100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0.16700000000000001</c:v>
                      </c:pt>
                      <c:pt idx="1">
                        <c:v>0.83299999999999996</c:v>
                      </c:pt>
                    </c:numCache>
                  </c:numRef>
                </c:val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社員・パート別稼働表【2月比較】!$T$95:$T$96</c15:sqref>
                        </c15:formulaRef>
                      </c:ext>
                    </c:extLst>
                    <c:strCache>
                      <c:ptCount val="2"/>
                      <c:pt idx="0">
                        <c:v>2019年4月</c:v>
                      </c:pt>
                      <c:pt idx="1">
                        <c:v>稼働時分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社員・パート別稼働表【2月比較】!$M$99:$M$100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社員・パート別稼働表【2月比較】!$T$99:$T$100</c15:sqref>
                        </c15:formulaRef>
                      </c:ext>
                    </c:extLst>
                    <c:numCache>
                      <c:formatCode>[h]:mm</c:formatCode>
                      <c:ptCount val="2"/>
                      <c:pt idx="0">
                        <c:v>9.4201388888888893</c:v>
                      </c:pt>
                      <c:pt idx="1">
                        <c:v>9.1840277777777768</c:v>
                      </c:pt>
                    </c:numCache>
                  </c:numRef>
                </c:val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稼働時間割合</a:t>
            </a:r>
          </a:p>
        </c:rich>
      </c:tx>
      <c:layout>
        <c:manualLayout>
          <c:xMode val="edge"/>
          <c:yMode val="edge"/>
          <c:x val="8.3743961352657006E-2"/>
          <c:y val="8.7962962962962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3"/>
          <c:order val="3"/>
          <c:tx>
            <c:strRef>
              <c:f>社員・パート別稼働表【2月比較】!$Q$95:$Q$96</c:f>
              <c:strCache>
                <c:ptCount val="2"/>
                <c:pt idx="0">
                  <c:v>2019年3月</c:v>
                </c:pt>
                <c:pt idx="1">
                  <c:v>稼働時間割合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47D4D1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社員・パート別稼働表【2月比較】!$M$99:$M$100</c:f>
              <c:strCache>
                <c:ptCount val="2"/>
                <c:pt idx="0">
                  <c:v>社員</c:v>
                </c:pt>
                <c:pt idx="1">
                  <c:v>パート</c:v>
                </c:pt>
              </c:strCache>
            </c:strRef>
          </c:cat>
          <c:val>
            <c:numRef>
              <c:f>社員・パート別稼働表【2月比較】!$Q$99:$Q$100</c:f>
              <c:numCache>
                <c:formatCode>0.0%</c:formatCode>
                <c:ptCount val="2"/>
                <c:pt idx="0">
                  <c:v>0.499</c:v>
                </c:pt>
                <c:pt idx="1">
                  <c:v>0.501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社員・パート別稼働表【2月比較】!$N$95:$N$96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人数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</c:spPr>
                <c:dPt>
                  <c:idx val="0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2"/>
                  <c:bubble3D val="0"/>
                  <c:spPr>
                    <a:solidFill>
                      <a:srgbClr val="FFC0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3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Lbls>
                  <c:numFmt formatCode="_(&quot;¥&quot;* #,##0_);_(&quot;¥&quot;* \(#,##0\);_(&quot;¥&quot;* &quot;-&quot;_);_(@_)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inEnd"/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eparator>
</c:separator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>
                    <c:ext uri="{CE6537A1-D6FC-4f65-9D91-7224C49458BB}"/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社員・パート別稼働表【2月比較】!$M$99:$M$100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社員・パート別稼働表【2月比較】!$N$99:$N$100</c15:sqref>
                        </c15:formulaRef>
                      </c:ext>
                    </c:extLst>
                    <c:numCache>
                      <c:formatCode>#,##0.0_ ;[Red]\-#,##0.0\ </c:formatCode>
                      <c:ptCount val="2"/>
                      <c:pt idx="0">
                        <c:v>2</c:v>
                      </c:pt>
                      <c:pt idx="1">
                        <c:v>10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4-7B01-4898-AA96-5D6390799A50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社員・パート別稼働表【2月比較】!$O$95:$O$96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人数割合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社員・パート別稼働表【2月比較】!$M$99:$M$100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社員・パート別稼働表【2月比較】!$O$99:$O$100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0.16700000000000001</c:v>
                      </c:pt>
                      <c:pt idx="1">
                        <c:v>0.83299999999999996</c:v>
                      </c:pt>
                    </c:numCache>
                  </c:numRef>
                </c:val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社員・パート別稼働表【2月比較】!$P$95:$P$96</c15:sqref>
                        </c15:formulaRef>
                      </c:ext>
                    </c:extLst>
                    <c:strCache>
                      <c:ptCount val="2"/>
                      <c:pt idx="0">
                        <c:v>2019年3月</c:v>
                      </c:pt>
                      <c:pt idx="1">
                        <c:v>稼働時分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</c:dPt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社員・パート別稼働表【2月比較】!$M$99:$M$100</c15:sqref>
                        </c15:formulaRef>
                      </c:ext>
                    </c:extLst>
                    <c:strCache>
                      <c:ptCount val="2"/>
                      <c:pt idx="0">
                        <c:v>社員</c:v>
                      </c:pt>
                      <c:pt idx="1">
                        <c:v>パート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社員・パート別稼働表【2月比較】!$P$99:$P$100</c15:sqref>
                        </c15:formulaRef>
                      </c:ext>
                    </c:extLst>
                    <c:numCache>
                      <c:formatCode>[h]:mm</c:formatCode>
                      <c:ptCount val="2"/>
                      <c:pt idx="0">
                        <c:v>8.2048611111111107</c:v>
                      </c:pt>
                      <c:pt idx="1">
                        <c:v>8.2395833333333339</c:v>
                      </c:pt>
                    </c:numCache>
                  </c:numRef>
                </c:val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利益比率</a:t>
            </a:r>
          </a:p>
        </c:rich>
      </c:tx>
      <c:layout>
        <c:manualLayout>
          <c:xMode val="edge"/>
          <c:yMode val="edge"/>
          <c:x val="4.2864782590809981E-2"/>
          <c:y val="3.03194078918976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0.15106405924621399"/>
                  <c:y val="3.520797626308064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6.3528912103514266E-3"/>
                  <c:y val="0.2073414103060644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09838753970557E-2"/>
                  <c:y val="9.3621042660747497E-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14638048359355282"/>
                  <c:y val="-1.876571177977863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'H31.4月 月例報告'!$B$17:$B$29</c:f>
              <c:strCache>
                <c:ptCount val="13"/>
                <c:pt idx="0">
                  <c:v>本部・管理部</c:v>
                </c:pt>
                <c:pt idx="1">
                  <c:v>白金</c:v>
                </c:pt>
                <c:pt idx="2">
                  <c:v>蘇我</c:v>
                </c:pt>
                <c:pt idx="3">
                  <c:v>誉田</c:v>
                </c:pt>
                <c:pt idx="4">
                  <c:v>千葉東</c:v>
                </c:pt>
                <c:pt idx="5">
                  <c:v>千葉西</c:v>
                </c:pt>
                <c:pt idx="6">
                  <c:v>白金デイ</c:v>
                </c:pt>
                <c:pt idx="7">
                  <c:v>二日市場</c:v>
                </c:pt>
                <c:pt idx="8">
                  <c:v>GH五井</c:v>
                </c:pt>
                <c:pt idx="9">
                  <c:v>GH白金</c:v>
                </c:pt>
                <c:pt idx="10">
                  <c:v>GH西五所</c:v>
                </c:pt>
                <c:pt idx="11">
                  <c:v>GH西広</c:v>
                </c:pt>
                <c:pt idx="12">
                  <c:v>白金タクシー</c:v>
                </c:pt>
              </c:strCache>
            </c:strRef>
          </c:cat>
          <c:val>
            <c:numRef>
              <c:f>'H31.4月 月例報告'!$R$17:$R$29</c:f>
              <c:numCache>
                <c:formatCode>0.0%</c:formatCode>
                <c:ptCount val="13"/>
                <c:pt idx="0">
                  <c:v>0</c:v>
                </c:pt>
                <c:pt idx="1">
                  <c:v>0.45300000000000001</c:v>
                </c:pt>
                <c:pt idx="2">
                  <c:v>0.13300000000000001</c:v>
                </c:pt>
                <c:pt idx="3">
                  <c:v>7.9000000000000001E-2</c:v>
                </c:pt>
                <c:pt idx="4">
                  <c:v>0</c:v>
                </c:pt>
                <c:pt idx="5">
                  <c:v>0</c:v>
                </c:pt>
                <c:pt idx="6">
                  <c:v>0.14599999999999999</c:v>
                </c:pt>
                <c:pt idx="7">
                  <c:v>0</c:v>
                </c:pt>
                <c:pt idx="8">
                  <c:v>6.7000000000000004E-2</c:v>
                </c:pt>
                <c:pt idx="9">
                  <c:v>8.6999999999999994E-2</c:v>
                </c:pt>
                <c:pt idx="10">
                  <c:v>0</c:v>
                </c:pt>
                <c:pt idx="11">
                  <c:v>3.5000000000000003E-2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tx2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600"/>
              <a:t>業種別売上構成</a:t>
            </a:r>
          </a:p>
        </c:rich>
      </c:tx>
      <c:layout>
        <c:manualLayout>
          <c:xMode val="edge"/>
          <c:yMode val="edge"/>
          <c:x val="0.8465850162142694"/>
          <c:y val="2.075704392372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31062934616361931"/>
          <c:y val="0.19871296208455871"/>
          <c:w val="0.80281222222222226"/>
          <c:h val="0.7950002406904377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3"/>
              <c:layout>
                <c:manualLayout>
                  <c:x val="-7.488481548853243E-2"/>
                  <c:y val="4.170601382250799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14297696309770649"/>
                  <c:y val="6.221036344256094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9.9833259130169313E-2"/>
                  <c:y val="1.551930681153938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11719594253751674"/>
                  <c:y val="-6.917964772475729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3296350594785324E-3"/>
                  <c:y val="-3.738304398697150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0.14168107388951212"/>
                  <c:y val="-7.973980963222970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141396461145103"/>
                  <c:y val="-9.103696317436303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8185039964980987"/>
                  <c:y val="-2.340739335293931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2785132738859985"/>
                  <c:y val="3.450923219750369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'H31.4月 月例報告'!$B$73:$B$88</c:f>
              <c:strCache>
                <c:ptCount val="16"/>
                <c:pt idx="0">
                  <c:v>訪問</c:v>
                </c:pt>
                <c:pt idx="1">
                  <c:v>居宅</c:v>
                </c:pt>
                <c:pt idx="2">
                  <c:v>障害</c:v>
                </c:pt>
                <c:pt idx="3">
                  <c:v>移動支援</c:v>
                </c:pt>
                <c:pt idx="4">
                  <c:v>共同生活援助</c:v>
                </c:pt>
                <c:pt idx="5">
                  <c:v>相談支援事業</c:v>
                </c:pt>
                <c:pt idx="6">
                  <c:v>自費</c:v>
                </c:pt>
                <c:pt idx="7">
                  <c:v>昼食代</c:v>
                </c:pt>
                <c:pt idx="8">
                  <c:v>カナミック</c:v>
                </c:pt>
                <c:pt idx="9">
                  <c:v>生活費</c:v>
                </c:pt>
                <c:pt idx="10">
                  <c:v>弁当売上高</c:v>
                </c:pt>
                <c:pt idx="11">
                  <c:v>家賃助成返金分</c:v>
                </c:pt>
                <c:pt idx="12">
                  <c:v>運営費助成金</c:v>
                </c:pt>
                <c:pt idx="13">
                  <c:v>タクシー運賃</c:v>
                </c:pt>
                <c:pt idx="14">
                  <c:v>買物交通費</c:v>
                </c:pt>
                <c:pt idx="15">
                  <c:v>経営コンサルタント</c:v>
                </c:pt>
              </c:strCache>
            </c:strRef>
          </c:cat>
          <c:val>
            <c:numRef>
              <c:f>'H31.4月 月例報告'!$I$73:$I$88</c:f>
              <c:numCache>
                <c:formatCode>0.0%</c:formatCode>
                <c:ptCount val="16"/>
                <c:pt idx="0">
                  <c:v>0.63500000000000001</c:v>
                </c:pt>
                <c:pt idx="1">
                  <c:v>3.2000000000000001E-2</c:v>
                </c:pt>
                <c:pt idx="2">
                  <c:v>0.13200000000000001</c:v>
                </c:pt>
                <c:pt idx="3">
                  <c:v>6.0000000000000001E-3</c:v>
                </c:pt>
                <c:pt idx="4">
                  <c:v>0.121</c:v>
                </c:pt>
                <c:pt idx="5">
                  <c:v>0</c:v>
                </c:pt>
                <c:pt idx="6">
                  <c:v>1.2E-2</c:v>
                </c:pt>
                <c:pt idx="7">
                  <c:v>7.0000000000000001E-3</c:v>
                </c:pt>
                <c:pt idx="8">
                  <c:v>7.0000000000000001E-3</c:v>
                </c:pt>
                <c:pt idx="9">
                  <c:v>3.5999999999999997E-2</c:v>
                </c:pt>
                <c:pt idx="10">
                  <c:v>2E-3</c:v>
                </c:pt>
                <c:pt idx="11">
                  <c:v>0</c:v>
                </c:pt>
                <c:pt idx="12">
                  <c:v>2E-3</c:v>
                </c:pt>
                <c:pt idx="13">
                  <c:v>1.0999999999999999E-2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5" Type="http://schemas.openxmlformats.org/officeDocument/2006/relationships/chart" Target="../charts/chart52.xml"/><Relationship Id="rId4" Type="http://schemas.openxmlformats.org/officeDocument/2006/relationships/chart" Target="../charts/chart5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.xml"/><Relationship Id="rId13" Type="http://schemas.openxmlformats.org/officeDocument/2006/relationships/chart" Target="../charts/chart70.xml"/><Relationship Id="rId18" Type="http://schemas.openxmlformats.org/officeDocument/2006/relationships/chart" Target="../charts/chart75.xml"/><Relationship Id="rId26" Type="http://schemas.openxmlformats.org/officeDocument/2006/relationships/chart" Target="../charts/chart83.xml"/><Relationship Id="rId39" Type="http://schemas.openxmlformats.org/officeDocument/2006/relationships/chart" Target="../charts/chart96.xml"/><Relationship Id="rId3" Type="http://schemas.openxmlformats.org/officeDocument/2006/relationships/chart" Target="../charts/chart60.xml"/><Relationship Id="rId21" Type="http://schemas.openxmlformats.org/officeDocument/2006/relationships/chart" Target="../charts/chart78.xml"/><Relationship Id="rId34" Type="http://schemas.openxmlformats.org/officeDocument/2006/relationships/chart" Target="../charts/chart91.xml"/><Relationship Id="rId7" Type="http://schemas.openxmlformats.org/officeDocument/2006/relationships/chart" Target="../charts/chart64.xml"/><Relationship Id="rId12" Type="http://schemas.openxmlformats.org/officeDocument/2006/relationships/chart" Target="../charts/chart69.xml"/><Relationship Id="rId17" Type="http://schemas.openxmlformats.org/officeDocument/2006/relationships/chart" Target="../charts/chart74.xml"/><Relationship Id="rId25" Type="http://schemas.openxmlformats.org/officeDocument/2006/relationships/chart" Target="../charts/chart82.xml"/><Relationship Id="rId33" Type="http://schemas.openxmlformats.org/officeDocument/2006/relationships/chart" Target="../charts/chart90.xml"/><Relationship Id="rId38" Type="http://schemas.openxmlformats.org/officeDocument/2006/relationships/chart" Target="../charts/chart95.xml"/><Relationship Id="rId2" Type="http://schemas.openxmlformats.org/officeDocument/2006/relationships/chart" Target="../charts/chart59.xml"/><Relationship Id="rId16" Type="http://schemas.openxmlformats.org/officeDocument/2006/relationships/chart" Target="../charts/chart73.xml"/><Relationship Id="rId20" Type="http://schemas.openxmlformats.org/officeDocument/2006/relationships/chart" Target="../charts/chart77.xml"/><Relationship Id="rId29" Type="http://schemas.openxmlformats.org/officeDocument/2006/relationships/chart" Target="../charts/chart86.xml"/><Relationship Id="rId1" Type="http://schemas.openxmlformats.org/officeDocument/2006/relationships/chart" Target="../charts/chart58.xml"/><Relationship Id="rId6" Type="http://schemas.openxmlformats.org/officeDocument/2006/relationships/chart" Target="../charts/chart63.xml"/><Relationship Id="rId11" Type="http://schemas.openxmlformats.org/officeDocument/2006/relationships/chart" Target="../charts/chart68.xml"/><Relationship Id="rId24" Type="http://schemas.openxmlformats.org/officeDocument/2006/relationships/chart" Target="../charts/chart81.xml"/><Relationship Id="rId32" Type="http://schemas.openxmlformats.org/officeDocument/2006/relationships/chart" Target="../charts/chart89.xml"/><Relationship Id="rId37" Type="http://schemas.openxmlformats.org/officeDocument/2006/relationships/chart" Target="../charts/chart94.xml"/><Relationship Id="rId40" Type="http://schemas.openxmlformats.org/officeDocument/2006/relationships/chart" Target="../charts/chart97.xml"/><Relationship Id="rId5" Type="http://schemas.openxmlformats.org/officeDocument/2006/relationships/chart" Target="../charts/chart62.xml"/><Relationship Id="rId15" Type="http://schemas.openxmlformats.org/officeDocument/2006/relationships/chart" Target="../charts/chart72.xml"/><Relationship Id="rId23" Type="http://schemas.openxmlformats.org/officeDocument/2006/relationships/chart" Target="../charts/chart80.xml"/><Relationship Id="rId28" Type="http://schemas.openxmlformats.org/officeDocument/2006/relationships/chart" Target="../charts/chart85.xml"/><Relationship Id="rId36" Type="http://schemas.openxmlformats.org/officeDocument/2006/relationships/chart" Target="../charts/chart93.xml"/><Relationship Id="rId10" Type="http://schemas.openxmlformats.org/officeDocument/2006/relationships/chart" Target="../charts/chart67.xml"/><Relationship Id="rId19" Type="http://schemas.openxmlformats.org/officeDocument/2006/relationships/chart" Target="../charts/chart76.xml"/><Relationship Id="rId31" Type="http://schemas.openxmlformats.org/officeDocument/2006/relationships/chart" Target="../charts/chart88.xml"/><Relationship Id="rId4" Type="http://schemas.openxmlformats.org/officeDocument/2006/relationships/chart" Target="../charts/chart61.xml"/><Relationship Id="rId9" Type="http://schemas.openxmlformats.org/officeDocument/2006/relationships/chart" Target="../charts/chart66.xml"/><Relationship Id="rId14" Type="http://schemas.openxmlformats.org/officeDocument/2006/relationships/chart" Target="../charts/chart71.xml"/><Relationship Id="rId22" Type="http://schemas.openxmlformats.org/officeDocument/2006/relationships/chart" Target="../charts/chart79.xml"/><Relationship Id="rId27" Type="http://schemas.openxmlformats.org/officeDocument/2006/relationships/chart" Target="../charts/chart84.xml"/><Relationship Id="rId30" Type="http://schemas.openxmlformats.org/officeDocument/2006/relationships/chart" Target="../charts/chart87.xml"/><Relationship Id="rId35" Type="http://schemas.openxmlformats.org/officeDocument/2006/relationships/chart" Target="../charts/chart92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3" Type="http://schemas.openxmlformats.org/officeDocument/2006/relationships/chart" Target="../charts/chart100.xml"/><Relationship Id="rId7" Type="http://schemas.openxmlformats.org/officeDocument/2006/relationships/chart" Target="../charts/chart104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6" Type="http://schemas.openxmlformats.org/officeDocument/2006/relationships/chart" Target="../charts/chart103.xml"/><Relationship Id="rId5" Type="http://schemas.openxmlformats.org/officeDocument/2006/relationships/chart" Target="../charts/chart102.xml"/><Relationship Id="rId10" Type="http://schemas.openxmlformats.org/officeDocument/2006/relationships/chart" Target="../charts/chart107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13" Type="http://schemas.openxmlformats.org/officeDocument/2006/relationships/chart" Target="../charts/chart17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12" Type="http://schemas.openxmlformats.org/officeDocument/2006/relationships/chart" Target="../charts/chart16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chart" Target="../charts/chart15.xml"/><Relationship Id="rId5" Type="http://schemas.openxmlformats.org/officeDocument/2006/relationships/chart" Target="../charts/chart9.xml"/><Relationship Id="rId10" Type="http://schemas.openxmlformats.org/officeDocument/2006/relationships/chart" Target="../charts/chart14.xml"/><Relationship Id="rId4" Type="http://schemas.openxmlformats.org/officeDocument/2006/relationships/chart" Target="../charts/chart8.xml"/><Relationship Id="rId9" Type="http://schemas.openxmlformats.org/officeDocument/2006/relationships/chart" Target="../charts/chart13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.xml"/><Relationship Id="rId13" Type="http://schemas.openxmlformats.org/officeDocument/2006/relationships/chart" Target="../charts/chart30.xml"/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12" Type="http://schemas.openxmlformats.org/officeDocument/2006/relationships/chart" Target="../charts/chart29.xml"/><Relationship Id="rId2" Type="http://schemas.openxmlformats.org/officeDocument/2006/relationships/chart" Target="../charts/chart19.xml"/><Relationship Id="rId16" Type="http://schemas.openxmlformats.org/officeDocument/2006/relationships/chart" Target="../charts/chart33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11" Type="http://schemas.openxmlformats.org/officeDocument/2006/relationships/chart" Target="../charts/chart28.xml"/><Relationship Id="rId5" Type="http://schemas.openxmlformats.org/officeDocument/2006/relationships/chart" Target="../charts/chart22.xml"/><Relationship Id="rId15" Type="http://schemas.openxmlformats.org/officeDocument/2006/relationships/chart" Target="../charts/chart32.xml"/><Relationship Id="rId10" Type="http://schemas.openxmlformats.org/officeDocument/2006/relationships/chart" Target="../charts/chart27.xml"/><Relationship Id="rId4" Type="http://schemas.openxmlformats.org/officeDocument/2006/relationships/chart" Target="../charts/chart21.xml"/><Relationship Id="rId9" Type="http://schemas.openxmlformats.org/officeDocument/2006/relationships/chart" Target="../charts/chart26.xml"/><Relationship Id="rId14" Type="http://schemas.openxmlformats.org/officeDocument/2006/relationships/chart" Target="../charts/chart3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13" Type="http://schemas.openxmlformats.org/officeDocument/2006/relationships/chart" Target="../charts/chart46.xml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12" Type="http://schemas.openxmlformats.org/officeDocument/2006/relationships/chart" Target="../charts/chart45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5" Type="http://schemas.openxmlformats.org/officeDocument/2006/relationships/chart" Target="../charts/chart38.xml"/><Relationship Id="rId10" Type="http://schemas.openxmlformats.org/officeDocument/2006/relationships/chart" Target="../charts/chart43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Relationship Id="rId14" Type="http://schemas.openxmlformats.org/officeDocument/2006/relationships/chart" Target="../charts/chart4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369092</xdr:colOff>
      <xdr:row>203</xdr:row>
      <xdr:rowOff>0</xdr:rowOff>
    </xdr:from>
    <xdr:to>
      <xdr:col>27</xdr:col>
      <xdr:colOff>250030</xdr:colOff>
      <xdr:row>241</xdr:row>
      <xdr:rowOff>130968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381000</xdr:colOff>
      <xdr:row>262</xdr:row>
      <xdr:rowOff>11904</xdr:rowOff>
    </xdr:from>
    <xdr:to>
      <xdr:col>27</xdr:col>
      <xdr:colOff>214313</xdr:colOff>
      <xdr:row>301</xdr:row>
      <xdr:rowOff>95250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750092</xdr:colOff>
      <xdr:row>86</xdr:row>
      <xdr:rowOff>-1</xdr:rowOff>
    </xdr:from>
    <xdr:to>
      <xdr:col>22</xdr:col>
      <xdr:colOff>559593</xdr:colOff>
      <xdr:row>119</xdr:row>
      <xdr:rowOff>130969</xdr:rowOff>
    </xdr:to>
    <xdr:sp macro="" textlink="">
      <xdr:nvSpPr>
        <xdr:cNvPr id="2" name="正方形/長方形 1"/>
        <xdr:cNvSpPr/>
      </xdr:nvSpPr>
      <xdr:spPr>
        <a:xfrm>
          <a:off x="14549436" y="15930562"/>
          <a:ext cx="4786313" cy="3881438"/>
        </a:xfrm>
        <a:prstGeom prst="rect">
          <a:avLst/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702467</xdr:colOff>
      <xdr:row>128</xdr:row>
      <xdr:rowOff>166688</xdr:rowOff>
    </xdr:from>
    <xdr:to>
      <xdr:col>22</xdr:col>
      <xdr:colOff>511968</xdr:colOff>
      <xdr:row>149</xdr:row>
      <xdr:rowOff>95251</xdr:rowOff>
    </xdr:to>
    <xdr:sp macro="" textlink="">
      <xdr:nvSpPr>
        <xdr:cNvPr id="5" name="正方形/長方形 4"/>
        <xdr:cNvSpPr/>
      </xdr:nvSpPr>
      <xdr:spPr>
        <a:xfrm>
          <a:off x="14501811" y="22169438"/>
          <a:ext cx="4786313" cy="3679031"/>
        </a:xfrm>
        <a:prstGeom prst="rect">
          <a:avLst/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2646</xdr:colOff>
      <xdr:row>33</xdr:row>
      <xdr:rowOff>172167</xdr:rowOff>
    </xdr:from>
    <xdr:to>
      <xdr:col>15</xdr:col>
      <xdr:colOff>11907</xdr:colOff>
      <xdr:row>56</xdr:row>
      <xdr:rowOff>25701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1322</xdr:colOff>
      <xdr:row>58</xdr:row>
      <xdr:rowOff>64330</xdr:rowOff>
    </xdr:from>
    <xdr:to>
      <xdr:col>15</xdr:col>
      <xdr:colOff>0</xdr:colOff>
      <xdr:row>83</xdr:row>
      <xdr:rowOff>7177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16</xdr:col>
      <xdr:colOff>166688</xdr:colOff>
      <xdr:row>20</xdr:row>
      <xdr:rowOff>9524</xdr:rowOff>
    </xdr:from>
    <xdr:to>
      <xdr:col>22</xdr:col>
      <xdr:colOff>321468</xdr:colOff>
      <xdr:row>41</xdr:row>
      <xdr:rowOff>156482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16</xdr:col>
      <xdr:colOff>190500</xdr:colOff>
      <xdr:row>43</xdr:row>
      <xdr:rowOff>160903</xdr:rowOff>
    </xdr:from>
    <xdr:to>
      <xdr:col>22</xdr:col>
      <xdr:colOff>321468</xdr:colOff>
      <xdr:row>65</xdr:row>
      <xdr:rowOff>146955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178593</xdr:colOff>
      <xdr:row>67</xdr:row>
      <xdr:rowOff>101941</xdr:rowOff>
    </xdr:from>
    <xdr:to>
      <xdr:col>22</xdr:col>
      <xdr:colOff>307861</xdr:colOff>
      <xdr:row>89</xdr:row>
      <xdr:rowOff>100919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41</xdr:row>
      <xdr:rowOff>0</xdr:rowOff>
    </xdr:from>
    <xdr:to>
      <xdr:col>15</xdr:col>
      <xdr:colOff>9261</xdr:colOff>
      <xdr:row>63</xdr:row>
      <xdr:rowOff>32128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65</xdr:row>
      <xdr:rowOff>0</xdr:rowOff>
    </xdr:from>
    <xdr:to>
      <xdr:col>14</xdr:col>
      <xdr:colOff>986897</xdr:colOff>
      <xdr:row>89</xdr:row>
      <xdr:rowOff>109534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0</xdr:colOff>
      <xdr:row>27</xdr:row>
      <xdr:rowOff>0</xdr:rowOff>
    </xdr:from>
    <xdr:to>
      <xdr:col>21</xdr:col>
      <xdr:colOff>511968</xdr:colOff>
      <xdr:row>48</xdr:row>
      <xdr:rowOff>158864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16</xdr:col>
      <xdr:colOff>0</xdr:colOff>
      <xdr:row>50</xdr:row>
      <xdr:rowOff>0</xdr:rowOff>
    </xdr:from>
    <xdr:to>
      <xdr:col>21</xdr:col>
      <xdr:colOff>488156</xdr:colOff>
      <xdr:row>71</xdr:row>
      <xdr:rowOff>152740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16</xdr:col>
      <xdr:colOff>0</xdr:colOff>
      <xdr:row>73</xdr:row>
      <xdr:rowOff>0</xdr:rowOff>
    </xdr:from>
    <xdr:to>
      <xdr:col>21</xdr:col>
      <xdr:colOff>486456</xdr:colOff>
      <xdr:row>94</xdr:row>
      <xdr:rowOff>165666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9523</xdr:colOff>
      <xdr:row>71</xdr:row>
      <xdr:rowOff>-2</xdr:rowOff>
    </xdr:from>
    <xdr:to>
      <xdr:col>61</xdr:col>
      <xdr:colOff>408898</xdr:colOff>
      <xdr:row>81</xdr:row>
      <xdr:rowOff>112498</xdr:rowOff>
    </xdr:to>
    <xdr:graphicFrame macro="">
      <xdr:nvGraphicFramePr>
        <xdr:cNvPr id="27" name="グラフ 26">
          <a:extLst>
            <a:ext uri="{FF2B5EF4-FFF2-40B4-BE49-F238E27FC236}">
              <a16:creationId xmlns:a16="http://schemas.microsoft.com/office/drawing/2014/main" xmlns="" id="{00000000-0008-0000-1B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56</xdr:col>
      <xdr:colOff>21429</xdr:colOff>
      <xdr:row>82</xdr:row>
      <xdr:rowOff>266</xdr:rowOff>
    </xdr:from>
    <xdr:to>
      <xdr:col>61</xdr:col>
      <xdr:colOff>420804</xdr:colOff>
      <xdr:row>92</xdr:row>
      <xdr:rowOff>112766</xdr:rowOff>
    </xdr:to>
    <xdr:graphicFrame macro="">
      <xdr:nvGraphicFramePr>
        <xdr:cNvPr id="28" name="グラフ 27">
          <a:extLst>
            <a:ext uri="{FF2B5EF4-FFF2-40B4-BE49-F238E27FC236}">
              <a16:creationId xmlns:a16="http://schemas.microsoft.com/office/drawing/2014/main" xmlns="" id="{00000000-0008-0000-1B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51</xdr:col>
      <xdr:colOff>9522</xdr:colOff>
      <xdr:row>82</xdr:row>
      <xdr:rowOff>267</xdr:rowOff>
    </xdr:from>
    <xdr:to>
      <xdr:col>56</xdr:col>
      <xdr:colOff>408897</xdr:colOff>
      <xdr:row>92</xdr:row>
      <xdr:rowOff>112767</xdr:rowOff>
    </xdr:to>
    <xdr:graphicFrame macro="">
      <xdr:nvGraphicFramePr>
        <xdr:cNvPr id="33" name="グラフ 32">
          <a:extLst>
            <a:ext uri="{FF2B5EF4-FFF2-40B4-BE49-F238E27FC236}">
              <a16:creationId xmlns:a16="http://schemas.microsoft.com/office/drawing/2014/main" xmlns="" id="{00000000-0008-0000-1B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55</xdr:col>
      <xdr:colOff>938218</xdr:colOff>
      <xdr:row>40</xdr:row>
      <xdr:rowOff>-1</xdr:rowOff>
    </xdr:from>
    <xdr:to>
      <xdr:col>61</xdr:col>
      <xdr:colOff>337468</xdr:colOff>
      <xdr:row>50</xdr:row>
      <xdr:rowOff>112499</xdr:rowOff>
    </xdr:to>
    <xdr:graphicFrame macro="">
      <xdr:nvGraphicFramePr>
        <xdr:cNvPr id="46" name="グラフ 45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51</xdr:col>
      <xdr:colOff>2380</xdr:colOff>
      <xdr:row>40</xdr:row>
      <xdr:rowOff>-1</xdr:rowOff>
    </xdr:from>
    <xdr:to>
      <xdr:col>56</xdr:col>
      <xdr:colOff>401755</xdr:colOff>
      <xdr:row>50</xdr:row>
      <xdr:rowOff>112499</xdr:rowOff>
    </xdr:to>
    <xdr:graphicFrame macro="">
      <xdr:nvGraphicFramePr>
        <xdr:cNvPr id="47" name="グラフ 46">
          <a:extLst>
            <a:ext uri="{FF2B5EF4-FFF2-40B4-BE49-F238E27FC236}">
              <a16:creationId xmlns:a16="http://schemas.microsoft.com/office/drawing/2014/main" xmlns="" id="{00000000-0008-0000-1B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51</xdr:col>
      <xdr:colOff>678</xdr:colOff>
      <xdr:row>51</xdr:row>
      <xdr:rowOff>4652</xdr:rowOff>
    </xdr:from>
    <xdr:to>
      <xdr:col>56</xdr:col>
      <xdr:colOff>400053</xdr:colOff>
      <xdr:row>61</xdr:row>
      <xdr:rowOff>117152</xdr:rowOff>
    </xdr:to>
    <xdr:graphicFrame macro="">
      <xdr:nvGraphicFramePr>
        <xdr:cNvPr id="48" name="グラフ 47">
          <a:extLst>
            <a:ext uri="{FF2B5EF4-FFF2-40B4-BE49-F238E27FC236}">
              <a16:creationId xmlns:a16="http://schemas.microsoft.com/office/drawing/2014/main" xmlns="" id="{00000000-0008-0000-1B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55</xdr:col>
      <xdr:colOff>936517</xdr:colOff>
      <xdr:row>51</xdr:row>
      <xdr:rowOff>8734</xdr:rowOff>
    </xdr:from>
    <xdr:to>
      <xdr:col>61</xdr:col>
      <xdr:colOff>335767</xdr:colOff>
      <xdr:row>61</xdr:row>
      <xdr:rowOff>121234</xdr:rowOff>
    </xdr:to>
    <xdr:graphicFrame macro="">
      <xdr:nvGraphicFramePr>
        <xdr:cNvPr id="49" name="グラフ 48">
          <a:extLst>
            <a:ext uri="{FF2B5EF4-FFF2-40B4-BE49-F238E27FC236}">
              <a16:creationId xmlns:a16="http://schemas.microsoft.com/office/drawing/2014/main" xmlns="" id="{00000000-0008-0000-1B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51</xdr:col>
      <xdr:colOff>0</xdr:colOff>
      <xdr:row>71</xdr:row>
      <xdr:rowOff>-1</xdr:rowOff>
    </xdr:from>
    <xdr:to>
      <xdr:col>56</xdr:col>
      <xdr:colOff>399375</xdr:colOff>
      <xdr:row>81</xdr:row>
      <xdr:rowOff>112499</xdr:rowOff>
    </xdr:to>
    <xdr:graphicFrame macro="">
      <xdr:nvGraphicFramePr>
        <xdr:cNvPr id="50" name="グラフ 49">
          <a:extLst>
            <a:ext uri="{FF2B5EF4-FFF2-40B4-BE49-F238E27FC236}">
              <a16:creationId xmlns:a16="http://schemas.microsoft.com/office/drawing/2014/main" xmlns="" id="{00000000-0008-0000-1B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9</xdr:row>
      <xdr:rowOff>0</xdr:rowOff>
    </xdr:from>
    <xdr:to>
      <xdr:col>6</xdr:col>
      <xdr:colOff>637500</xdr:colOff>
      <xdr:row>19</xdr:row>
      <xdr:rowOff>112500</xdr:rowOff>
    </xdr:to>
    <xdr:graphicFrame macro="">
      <xdr:nvGraphicFramePr>
        <xdr:cNvPr id="52" name="グラフ 51">
          <a:extLst>
            <a:ext uri="{FF2B5EF4-FFF2-40B4-BE49-F238E27FC236}">
              <a16:creationId xmlns:a16="http://schemas.microsoft.com/office/drawing/2014/main" xmlns="" id="{00000000-0008-0000-1B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0</xdr:colOff>
      <xdr:row>20</xdr:row>
      <xdr:rowOff>0</xdr:rowOff>
    </xdr:from>
    <xdr:to>
      <xdr:col>6</xdr:col>
      <xdr:colOff>637500</xdr:colOff>
      <xdr:row>30</xdr:row>
      <xdr:rowOff>112500</xdr:rowOff>
    </xdr:to>
    <xdr:graphicFrame macro="">
      <xdr:nvGraphicFramePr>
        <xdr:cNvPr id="53" name="グラフ 52">
          <a:extLst>
            <a:ext uri="{FF2B5EF4-FFF2-40B4-BE49-F238E27FC236}">
              <a16:creationId xmlns:a16="http://schemas.microsoft.com/office/drawing/2014/main" xmlns="" id="{00000000-0008-0000-1B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0</xdr:colOff>
      <xdr:row>9</xdr:row>
      <xdr:rowOff>0</xdr:rowOff>
    </xdr:from>
    <xdr:to>
      <xdr:col>11</xdr:col>
      <xdr:colOff>637500</xdr:colOff>
      <xdr:row>19</xdr:row>
      <xdr:rowOff>112500</xdr:rowOff>
    </xdr:to>
    <xdr:graphicFrame macro="">
      <xdr:nvGraphicFramePr>
        <xdr:cNvPr id="54" name="グラフ 53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0</xdr:colOff>
      <xdr:row>20</xdr:row>
      <xdr:rowOff>0</xdr:rowOff>
    </xdr:from>
    <xdr:to>
      <xdr:col>11</xdr:col>
      <xdr:colOff>637500</xdr:colOff>
      <xdr:row>30</xdr:row>
      <xdr:rowOff>112500</xdr:rowOff>
    </xdr:to>
    <xdr:graphicFrame macro="">
      <xdr:nvGraphicFramePr>
        <xdr:cNvPr id="55" name="グラフ 54">
          <a:extLst>
            <a:ext uri="{FF2B5EF4-FFF2-40B4-BE49-F238E27FC236}">
              <a16:creationId xmlns:a16="http://schemas.microsoft.com/office/drawing/2014/main" xmlns="" id="{00000000-0008-0000-1B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12</xdr:col>
      <xdr:colOff>-1</xdr:colOff>
      <xdr:row>9</xdr:row>
      <xdr:rowOff>0</xdr:rowOff>
    </xdr:from>
    <xdr:to>
      <xdr:col>16</xdr:col>
      <xdr:colOff>637499</xdr:colOff>
      <xdr:row>19</xdr:row>
      <xdr:rowOff>112500</xdr:rowOff>
    </xdr:to>
    <xdr:graphicFrame macro="">
      <xdr:nvGraphicFramePr>
        <xdr:cNvPr id="56" name="グラフ 55">
          <a:extLst>
            <a:ext uri="{FF2B5EF4-FFF2-40B4-BE49-F238E27FC236}">
              <a16:creationId xmlns:a16="http://schemas.microsoft.com/office/drawing/2014/main" xmlns="" id="{00000000-0008-0000-1B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12</xdr:col>
      <xdr:colOff>-1</xdr:colOff>
      <xdr:row>20</xdr:row>
      <xdr:rowOff>0</xdr:rowOff>
    </xdr:from>
    <xdr:to>
      <xdr:col>16</xdr:col>
      <xdr:colOff>637499</xdr:colOff>
      <xdr:row>30</xdr:row>
      <xdr:rowOff>112500</xdr:rowOff>
    </xdr:to>
    <xdr:graphicFrame macro="">
      <xdr:nvGraphicFramePr>
        <xdr:cNvPr id="57" name="グラフ 56">
          <a:extLst>
            <a:ext uri="{FF2B5EF4-FFF2-40B4-BE49-F238E27FC236}">
              <a16:creationId xmlns:a16="http://schemas.microsoft.com/office/drawing/2014/main" xmlns="" id="{00000000-0008-0000-1B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17</xdr:col>
      <xdr:colOff>0</xdr:colOff>
      <xdr:row>9</xdr:row>
      <xdr:rowOff>0</xdr:rowOff>
    </xdr:from>
    <xdr:to>
      <xdr:col>21</xdr:col>
      <xdr:colOff>637500</xdr:colOff>
      <xdr:row>19</xdr:row>
      <xdr:rowOff>112500</xdr:rowOff>
    </xdr:to>
    <xdr:graphicFrame macro="">
      <xdr:nvGraphicFramePr>
        <xdr:cNvPr id="58" name="グラフ 57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17</xdr:col>
      <xdr:colOff>0</xdr:colOff>
      <xdr:row>20</xdr:row>
      <xdr:rowOff>0</xdr:rowOff>
    </xdr:from>
    <xdr:to>
      <xdr:col>21</xdr:col>
      <xdr:colOff>637500</xdr:colOff>
      <xdr:row>30</xdr:row>
      <xdr:rowOff>112500</xdr:rowOff>
    </xdr:to>
    <xdr:graphicFrame macro="">
      <xdr:nvGraphicFramePr>
        <xdr:cNvPr id="59" name="グラフ 58">
          <a:extLst>
            <a:ext uri="{FF2B5EF4-FFF2-40B4-BE49-F238E27FC236}">
              <a16:creationId xmlns:a16="http://schemas.microsoft.com/office/drawing/2014/main" xmlns="" id="{00000000-0008-0000-1B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0</xdr:colOff>
      <xdr:row>40</xdr:row>
      <xdr:rowOff>-1</xdr:rowOff>
    </xdr:from>
    <xdr:to>
      <xdr:col>6</xdr:col>
      <xdr:colOff>637500</xdr:colOff>
      <xdr:row>50</xdr:row>
      <xdr:rowOff>112499</xdr:rowOff>
    </xdr:to>
    <xdr:graphicFrame macro="">
      <xdr:nvGraphicFramePr>
        <xdr:cNvPr id="60" name="グラフ 59">
          <a:extLst>
            <a:ext uri="{FF2B5EF4-FFF2-40B4-BE49-F238E27FC236}">
              <a16:creationId xmlns:a16="http://schemas.microsoft.com/office/drawing/2014/main" xmlns="" id="{00000000-0008-0000-1B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0</xdr:colOff>
      <xdr:row>40</xdr:row>
      <xdr:rowOff>-1</xdr:rowOff>
    </xdr:from>
    <xdr:to>
      <xdr:col>11</xdr:col>
      <xdr:colOff>637500</xdr:colOff>
      <xdr:row>50</xdr:row>
      <xdr:rowOff>112499</xdr:rowOff>
    </xdr:to>
    <xdr:graphicFrame macro="">
      <xdr:nvGraphicFramePr>
        <xdr:cNvPr id="61" name="グラフ 60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0</xdr:colOff>
      <xdr:row>51</xdr:row>
      <xdr:rowOff>-1</xdr:rowOff>
    </xdr:from>
    <xdr:to>
      <xdr:col>6</xdr:col>
      <xdr:colOff>637500</xdr:colOff>
      <xdr:row>61</xdr:row>
      <xdr:rowOff>112499</xdr:rowOff>
    </xdr:to>
    <xdr:graphicFrame macro="">
      <xdr:nvGraphicFramePr>
        <xdr:cNvPr id="62" name="グラフ 61">
          <a:extLst>
            <a:ext uri="{FF2B5EF4-FFF2-40B4-BE49-F238E27FC236}">
              <a16:creationId xmlns:a16="http://schemas.microsoft.com/office/drawing/2014/main" xmlns="" id="{00000000-0008-0000-1B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7</xdr:col>
      <xdr:colOff>0</xdr:colOff>
      <xdr:row>51</xdr:row>
      <xdr:rowOff>-1</xdr:rowOff>
    </xdr:from>
    <xdr:to>
      <xdr:col>11</xdr:col>
      <xdr:colOff>637500</xdr:colOff>
      <xdr:row>61</xdr:row>
      <xdr:rowOff>112499</xdr:rowOff>
    </xdr:to>
    <xdr:graphicFrame macro="">
      <xdr:nvGraphicFramePr>
        <xdr:cNvPr id="63" name="グラフ 62">
          <a:extLst>
            <a:ext uri="{FF2B5EF4-FFF2-40B4-BE49-F238E27FC236}">
              <a16:creationId xmlns:a16="http://schemas.microsoft.com/office/drawing/2014/main" xmlns="" id="{00000000-0008-0000-1B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oneCellAnchor>
    <xdr:from>
      <xdr:col>12</xdr:col>
      <xdr:colOff>0</xdr:colOff>
      <xdr:row>40</xdr:row>
      <xdr:rowOff>-1</xdr:rowOff>
    </xdr:from>
    <xdr:ext cx="5439600" cy="2970000"/>
    <xdr:graphicFrame macro="">
      <xdr:nvGraphicFramePr>
        <xdr:cNvPr id="64" name="グラフ 63">
          <a:extLst>
            <a:ext uri="{FF2B5EF4-FFF2-40B4-BE49-F238E27FC236}">
              <a16:creationId xmlns:a16="http://schemas.microsoft.com/office/drawing/2014/main" xmlns="" id="{00000000-0008-0000-1B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12</xdr:col>
      <xdr:colOff>0</xdr:colOff>
      <xdr:row>51</xdr:row>
      <xdr:rowOff>0</xdr:rowOff>
    </xdr:from>
    <xdr:ext cx="5439600" cy="2970000"/>
    <xdr:graphicFrame macro="">
      <xdr:nvGraphicFramePr>
        <xdr:cNvPr id="65" name="グラフ 64">
          <a:extLst>
            <a:ext uri="{FF2B5EF4-FFF2-40B4-BE49-F238E27FC236}">
              <a16:creationId xmlns:a16="http://schemas.microsoft.com/office/drawing/2014/main" xmlns="" id="{00000000-0008-0000-1B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17</xdr:col>
      <xdr:colOff>0</xdr:colOff>
      <xdr:row>40</xdr:row>
      <xdr:rowOff>-1</xdr:rowOff>
    </xdr:from>
    <xdr:ext cx="5439600" cy="2970000"/>
    <xdr:graphicFrame macro="">
      <xdr:nvGraphicFramePr>
        <xdr:cNvPr id="66" name="グラフ 65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17</xdr:col>
      <xdr:colOff>0</xdr:colOff>
      <xdr:row>51</xdr:row>
      <xdr:rowOff>0</xdr:rowOff>
    </xdr:from>
    <xdr:ext cx="5439600" cy="2970000"/>
    <xdr:graphicFrame macro="">
      <xdr:nvGraphicFramePr>
        <xdr:cNvPr id="67" name="グラフ 66">
          <a:extLst>
            <a:ext uri="{FF2B5EF4-FFF2-40B4-BE49-F238E27FC236}">
              <a16:creationId xmlns:a16="http://schemas.microsoft.com/office/drawing/2014/main" xmlns="" id="{00000000-0008-0000-1B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twoCellAnchor editAs="oneCell">
    <xdr:from>
      <xdr:col>0</xdr:col>
      <xdr:colOff>0</xdr:colOff>
      <xdr:row>71</xdr:row>
      <xdr:rowOff>0</xdr:rowOff>
    </xdr:from>
    <xdr:to>
      <xdr:col>6</xdr:col>
      <xdr:colOff>637500</xdr:colOff>
      <xdr:row>81</xdr:row>
      <xdr:rowOff>112500</xdr:rowOff>
    </xdr:to>
    <xdr:graphicFrame macro="">
      <xdr:nvGraphicFramePr>
        <xdr:cNvPr id="68" name="グラフ 67">
          <a:extLst>
            <a:ext uri="{FF2B5EF4-FFF2-40B4-BE49-F238E27FC236}">
              <a16:creationId xmlns:a16="http://schemas.microsoft.com/office/drawing/2014/main" xmlns="" id="{00000000-0008-0000-1B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7</xdr:col>
      <xdr:colOff>0</xdr:colOff>
      <xdr:row>71</xdr:row>
      <xdr:rowOff>0</xdr:rowOff>
    </xdr:from>
    <xdr:to>
      <xdr:col>11</xdr:col>
      <xdr:colOff>637500</xdr:colOff>
      <xdr:row>81</xdr:row>
      <xdr:rowOff>112500</xdr:rowOff>
    </xdr:to>
    <xdr:graphicFrame macro="">
      <xdr:nvGraphicFramePr>
        <xdr:cNvPr id="69" name="グラフ 68">
          <a:extLst>
            <a:ext uri="{FF2B5EF4-FFF2-40B4-BE49-F238E27FC236}">
              <a16:creationId xmlns:a16="http://schemas.microsoft.com/office/drawing/2014/main" xmlns="" id="{00000000-0008-0000-1B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82</xdr:row>
      <xdr:rowOff>-1</xdr:rowOff>
    </xdr:from>
    <xdr:to>
      <xdr:col>6</xdr:col>
      <xdr:colOff>637500</xdr:colOff>
      <xdr:row>92</xdr:row>
      <xdr:rowOff>112499</xdr:rowOff>
    </xdr:to>
    <xdr:graphicFrame macro="">
      <xdr:nvGraphicFramePr>
        <xdr:cNvPr id="70" name="グラフ 69">
          <a:extLst>
            <a:ext uri="{FF2B5EF4-FFF2-40B4-BE49-F238E27FC236}">
              <a16:creationId xmlns:a16="http://schemas.microsoft.com/office/drawing/2014/main" xmlns="" id="{00000000-0008-0000-1B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7</xdr:col>
      <xdr:colOff>0</xdr:colOff>
      <xdr:row>82</xdr:row>
      <xdr:rowOff>-1</xdr:rowOff>
    </xdr:from>
    <xdr:to>
      <xdr:col>11</xdr:col>
      <xdr:colOff>637500</xdr:colOff>
      <xdr:row>92</xdr:row>
      <xdr:rowOff>112499</xdr:rowOff>
    </xdr:to>
    <xdr:graphicFrame macro="">
      <xdr:nvGraphicFramePr>
        <xdr:cNvPr id="71" name="グラフ 70">
          <a:extLst>
            <a:ext uri="{FF2B5EF4-FFF2-40B4-BE49-F238E27FC236}">
              <a16:creationId xmlns:a16="http://schemas.microsoft.com/office/drawing/2014/main" xmlns="" id="{00000000-0008-0000-1B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12</xdr:col>
      <xdr:colOff>0</xdr:colOff>
      <xdr:row>71</xdr:row>
      <xdr:rowOff>0</xdr:rowOff>
    </xdr:from>
    <xdr:to>
      <xdr:col>16</xdr:col>
      <xdr:colOff>637500</xdr:colOff>
      <xdr:row>81</xdr:row>
      <xdr:rowOff>112500</xdr:rowOff>
    </xdr:to>
    <xdr:graphicFrame macro="">
      <xdr:nvGraphicFramePr>
        <xdr:cNvPr id="72" name="グラフ 71">
          <a:extLst>
            <a:ext uri="{FF2B5EF4-FFF2-40B4-BE49-F238E27FC236}">
              <a16:creationId xmlns:a16="http://schemas.microsoft.com/office/drawing/2014/main" xmlns="" id="{00000000-0008-0000-1B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12</xdr:col>
      <xdr:colOff>0</xdr:colOff>
      <xdr:row>82</xdr:row>
      <xdr:rowOff>-1</xdr:rowOff>
    </xdr:from>
    <xdr:to>
      <xdr:col>16</xdr:col>
      <xdr:colOff>637500</xdr:colOff>
      <xdr:row>92</xdr:row>
      <xdr:rowOff>112499</xdr:rowOff>
    </xdr:to>
    <xdr:graphicFrame macro="">
      <xdr:nvGraphicFramePr>
        <xdr:cNvPr id="73" name="グラフ 72">
          <a:extLst>
            <a:ext uri="{FF2B5EF4-FFF2-40B4-BE49-F238E27FC236}">
              <a16:creationId xmlns:a16="http://schemas.microsoft.com/office/drawing/2014/main" xmlns="" id="{00000000-0008-0000-1B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17</xdr:col>
      <xdr:colOff>-1</xdr:colOff>
      <xdr:row>71</xdr:row>
      <xdr:rowOff>0</xdr:rowOff>
    </xdr:from>
    <xdr:to>
      <xdr:col>21</xdr:col>
      <xdr:colOff>637499</xdr:colOff>
      <xdr:row>81</xdr:row>
      <xdr:rowOff>112500</xdr:rowOff>
    </xdr:to>
    <xdr:graphicFrame macro="">
      <xdr:nvGraphicFramePr>
        <xdr:cNvPr id="74" name="グラフ 73">
          <a:extLst>
            <a:ext uri="{FF2B5EF4-FFF2-40B4-BE49-F238E27FC236}">
              <a16:creationId xmlns:a16="http://schemas.microsoft.com/office/drawing/2014/main" xmlns="" id="{00000000-0008-0000-1B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17</xdr:col>
      <xdr:colOff>-1</xdr:colOff>
      <xdr:row>82</xdr:row>
      <xdr:rowOff>-1</xdr:rowOff>
    </xdr:from>
    <xdr:to>
      <xdr:col>21</xdr:col>
      <xdr:colOff>637499</xdr:colOff>
      <xdr:row>92</xdr:row>
      <xdr:rowOff>112499</xdr:rowOff>
    </xdr:to>
    <xdr:graphicFrame macro="">
      <xdr:nvGraphicFramePr>
        <xdr:cNvPr id="75" name="グラフ 74">
          <a:extLst>
            <a:ext uri="{FF2B5EF4-FFF2-40B4-BE49-F238E27FC236}">
              <a16:creationId xmlns:a16="http://schemas.microsoft.com/office/drawing/2014/main" xmlns="" id="{00000000-0008-0000-1B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0</xdr:col>
      <xdr:colOff>0</xdr:colOff>
      <xdr:row>102</xdr:row>
      <xdr:rowOff>-1</xdr:rowOff>
    </xdr:from>
    <xdr:to>
      <xdr:col>6</xdr:col>
      <xdr:colOff>637500</xdr:colOff>
      <xdr:row>112</xdr:row>
      <xdr:rowOff>112499</xdr:rowOff>
    </xdr:to>
    <xdr:graphicFrame macro="">
      <xdr:nvGraphicFramePr>
        <xdr:cNvPr id="76" name="グラフ 75">
          <a:extLst>
            <a:ext uri="{FF2B5EF4-FFF2-40B4-BE49-F238E27FC236}">
              <a16:creationId xmlns:a16="http://schemas.microsoft.com/office/drawing/2014/main" xmlns="" id="{00000000-0008-0000-1B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7</xdr:col>
      <xdr:colOff>0</xdr:colOff>
      <xdr:row>102</xdr:row>
      <xdr:rowOff>-1</xdr:rowOff>
    </xdr:from>
    <xdr:to>
      <xdr:col>11</xdr:col>
      <xdr:colOff>637500</xdr:colOff>
      <xdr:row>112</xdr:row>
      <xdr:rowOff>112499</xdr:rowOff>
    </xdr:to>
    <xdr:graphicFrame macro="">
      <xdr:nvGraphicFramePr>
        <xdr:cNvPr id="77" name="グラフ 76">
          <a:extLst>
            <a:ext uri="{FF2B5EF4-FFF2-40B4-BE49-F238E27FC236}">
              <a16:creationId xmlns:a16="http://schemas.microsoft.com/office/drawing/2014/main" xmlns="" id="{00000000-0008-0000-1B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0</xdr:col>
      <xdr:colOff>0</xdr:colOff>
      <xdr:row>113</xdr:row>
      <xdr:rowOff>-1</xdr:rowOff>
    </xdr:from>
    <xdr:to>
      <xdr:col>6</xdr:col>
      <xdr:colOff>637500</xdr:colOff>
      <xdr:row>123</xdr:row>
      <xdr:rowOff>112499</xdr:rowOff>
    </xdr:to>
    <xdr:graphicFrame macro="">
      <xdr:nvGraphicFramePr>
        <xdr:cNvPr id="78" name="グラフ 77">
          <a:extLst>
            <a:ext uri="{FF2B5EF4-FFF2-40B4-BE49-F238E27FC236}">
              <a16:creationId xmlns:a16="http://schemas.microsoft.com/office/drawing/2014/main" xmlns="" id="{00000000-0008-0000-1B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7</xdr:col>
      <xdr:colOff>0</xdr:colOff>
      <xdr:row>113</xdr:row>
      <xdr:rowOff>-1</xdr:rowOff>
    </xdr:from>
    <xdr:to>
      <xdr:col>11</xdr:col>
      <xdr:colOff>637500</xdr:colOff>
      <xdr:row>123</xdr:row>
      <xdr:rowOff>112499</xdr:rowOff>
    </xdr:to>
    <xdr:graphicFrame macro="">
      <xdr:nvGraphicFramePr>
        <xdr:cNvPr id="79" name="グラフ 78">
          <a:extLst>
            <a:ext uri="{FF2B5EF4-FFF2-40B4-BE49-F238E27FC236}">
              <a16:creationId xmlns:a16="http://schemas.microsoft.com/office/drawing/2014/main" xmlns="" id="{00000000-0008-0000-1B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12</xdr:col>
      <xdr:colOff>0</xdr:colOff>
      <xdr:row>102</xdr:row>
      <xdr:rowOff>-1</xdr:rowOff>
    </xdr:from>
    <xdr:ext cx="5439600" cy="2970000"/>
    <xdr:graphicFrame macro="">
      <xdr:nvGraphicFramePr>
        <xdr:cNvPr id="80" name="グラフ 79">
          <a:extLst>
            <a:ext uri="{FF2B5EF4-FFF2-40B4-BE49-F238E27FC236}">
              <a16:creationId xmlns:a16="http://schemas.microsoft.com/office/drawing/2014/main" xmlns="" id="{00000000-0008-0000-1B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oneCellAnchor>
  <xdr:oneCellAnchor>
    <xdr:from>
      <xdr:col>17</xdr:col>
      <xdr:colOff>0</xdr:colOff>
      <xdr:row>102</xdr:row>
      <xdr:rowOff>-1</xdr:rowOff>
    </xdr:from>
    <xdr:ext cx="5439600" cy="2970000"/>
    <xdr:graphicFrame macro="">
      <xdr:nvGraphicFramePr>
        <xdr:cNvPr id="82" name="グラフ 81">
          <a:extLst>
            <a:ext uri="{FF2B5EF4-FFF2-40B4-BE49-F238E27FC236}">
              <a16:creationId xmlns:a16="http://schemas.microsoft.com/office/drawing/2014/main" xmlns="" id="{00000000-0008-0000-1B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oneCellAnchor>
  <xdr:oneCellAnchor>
    <xdr:from>
      <xdr:col>17</xdr:col>
      <xdr:colOff>0</xdr:colOff>
      <xdr:row>113</xdr:row>
      <xdr:rowOff>-1</xdr:rowOff>
    </xdr:from>
    <xdr:ext cx="5439600" cy="2970000"/>
    <xdr:graphicFrame macro="">
      <xdr:nvGraphicFramePr>
        <xdr:cNvPr id="83" name="グラフ 82">
          <a:extLst>
            <a:ext uri="{FF2B5EF4-FFF2-40B4-BE49-F238E27FC236}">
              <a16:creationId xmlns:a16="http://schemas.microsoft.com/office/drawing/2014/main" xmlns="" id="{00000000-0008-0000-1B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oneCellAnchor>
  <xdr:oneCellAnchor>
    <xdr:from>
      <xdr:col>12</xdr:col>
      <xdr:colOff>0</xdr:colOff>
      <xdr:row>113</xdr:row>
      <xdr:rowOff>0</xdr:rowOff>
    </xdr:from>
    <xdr:ext cx="5439600" cy="2970000"/>
    <xdr:graphicFrame macro="">
      <xdr:nvGraphicFramePr>
        <xdr:cNvPr id="42" name="グラフ 41">
          <a:extLst>
            <a:ext uri="{FF2B5EF4-FFF2-40B4-BE49-F238E27FC236}">
              <a16:creationId xmlns:a16="http://schemas.microsoft.com/office/drawing/2014/main" xmlns="" id="{00000000-0008-0000-1B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802817</xdr:colOff>
      <xdr:row>32</xdr:row>
      <xdr:rowOff>357867</xdr:rowOff>
    </xdr:from>
    <xdr:to>
      <xdr:col>17</xdr:col>
      <xdr:colOff>939531</xdr:colOff>
      <xdr:row>49</xdr:row>
      <xdr:rowOff>241713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71</xdr:row>
      <xdr:rowOff>0</xdr:rowOff>
    </xdr:from>
    <xdr:to>
      <xdr:col>17</xdr:col>
      <xdr:colOff>476250</xdr:colOff>
      <xdr:row>92</xdr:row>
      <xdr:rowOff>190500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0</xdr:colOff>
      <xdr:row>98</xdr:row>
      <xdr:rowOff>0</xdr:rowOff>
    </xdr:from>
    <xdr:to>
      <xdr:col>17</xdr:col>
      <xdr:colOff>485786</xdr:colOff>
      <xdr:row>117</xdr:row>
      <xdr:rowOff>219536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0</xdr:colOff>
      <xdr:row>122</xdr:row>
      <xdr:rowOff>0</xdr:rowOff>
    </xdr:from>
    <xdr:to>
      <xdr:col>17</xdr:col>
      <xdr:colOff>485786</xdr:colOff>
      <xdr:row>141</xdr:row>
      <xdr:rowOff>219536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0</xdr:colOff>
      <xdr:row>146</xdr:row>
      <xdr:rowOff>0</xdr:rowOff>
    </xdr:from>
    <xdr:to>
      <xdr:col>17</xdr:col>
      <xdr:colOff>485786</xdr:colOff>
      <xdr:row>165</xdr:row>
      <xdr:rowOff>219536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0</xdr:colOff>
      <xdr:row>170</xdr:row>
      <xdr:rowOff>0</xdr:rowOff>
    </xdr:from>
    <xdr:to>
      <xdr:col>17</xdr:col>
      <xdr:colOff>485786</xdr:colOff>
      <xdr:row>189</xdr:row>
      <xdr:rowOff>219536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0</xdr:colOff>
      <xdr:row>194</xdr:row>
      <xdr:rowOff>-1</xdr:rowOff>
    </xdr:from>
    <xdr:to>
      <xdr:col>17</xdr:col>
      <xdr:colOff>485786</xdr:colOff>
      <xdr:row>213</xdr:row>
      <xdr:rowOff>219534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0</xdr:colOff>
      <xdr:row>218</xdr:row>
      <xdr:rowOff>-1</xdr:rowOff>
    </xdr:from>
    <xdr:to>
      <xdr:col>17</xdr:col>
      <xdr:colOff>485786</xdr:colOff>
      <xdr:row>237</xdr:row>
      <xdr:rowOff>219535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0</xdr:colOff>
      <xdr:row>242</xdr:row>
      <xdr:rowOff>0</xdr:rowOff>
    </xdr:from>
    <xdr:to>
      <xdr:col>17</xdr:col>
      <xdr:colOff>485786</xdr:colOff>
      <xdr:row>261</xdr:row>
      <xdr:rowOff>219535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0</xdr:colOff>
      <xdr:row>33</xdr:row>
      <xdr:rowOff>0</xdr:rowOff>
    </xdr:from>
    <xdr:to>
      <xdr:col>9</xdr:col>
      <xdr:colOff>313607</xdr:colOff>
      <xdr:row>49</xdr:row>
      <xdr:rowOff>251239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581025</xdr:colOff>
      <xdr:row>29</xdr:row>
      <xdr:rowOff>97630</xdr:rowOff>
    </xdr:from>
    <xdr:to>
      <xdr:col>3</xdr:col>
      <xdr:colOff>419100</xdr:colOff>
      <xdr:row>37</xdr:row>
      <xdr:rowOff>78580</xdr:rowOff>
    </xdr:to>
    <xdr:sp macro="" textlink="">
      <xdr:nvSpPr>
        <xdr:cNvPr id="2" name="下矢印 1">
          <a:extLst>
            <a:ext uri="{FF2B5EF4-FFF2-40B4-BE49-F238E27FC236}">
              <a16:creationId xmlns:a16="http://schemas.microsoft.com/office/drawing/2014/main" xmlns="" id="{00000000-0008-0000-1D00-000002000000}"/>
            </a:ext>
          </a:extLst>
        </xdr:cNvPr>
        <xdr:cNvSpPr/>
      </xdr:nvSpPr>
      <xdr:spPr>
        <a:xfrm>
          <a:off x="1504950" y="5193505"/>
          <a:ext cx="1685925" cy="1352550"/>
        </a:xfrm>
        <a:prstGeom prst="down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742950</xdr:colOff>
      <xdr:row>63</xdr:row>
      <xdr:rowOff>76200</xdr:rowOff>
    </xdr:from>
    <xdr:to>
      <xdr:col>3</xdr:col>
      <xdr:colOff>219075</xdr:colOff>
      <xdr:row>65</xdr:row>
      <xdr:rowOff>133350</xdr:rowOff>
    </xdr:to>
    <xdr:sp macro="" textlink="">
      <xdr:nvSpPr>
        <xdr:cNvPr id="3" name="円/楕円 2"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SpPr/>
      </xdr:nvSpPr>
      <xdr:spPr>
        <a:xfrm>
          <a:off x="1666875" y="10868025"/>
          <a:ext cx="1323975" cy="400050"/>
        </a:xfrm>
        <a:prstGeom prst="ellipse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219075</xdr:colOff>
      <xdr:row>50</xdr:row>
      <xdr:rowOff>95249</xdr:rowOff>
    </xdr:from>
    <xdr:to>
      <xdr:col>8</xdr:col>
      <xdr:colOff>47625</xdr:colOff>
      <xdr:row>64</xdr:row>
      <xdr:rowOff>104775</xdr:rowOff>
    </xdr:to>
    <xdr:cxnSp macro="">
      <xdr:nvCxnSpPr>
        <xdr:cNvPr id="4" name="カギ線コネクタ 3">
          <a:extLst>
            <a:ext uri="{FF2B5EF4-FFF2-40B4-BE49-F238E27FC236}">
              <a16:creationId xmlns:a16="http://schemas.microsoft.com/office/drawing/2014/main" xmlns="" id="{00000000-0008-0000-1D00-000004000000}"/>
            </a:ext>
          </a:extLst>
        </xdr:cNvPr>
        <xdr:cNvCxnSpPr>
          <a:stCxn id="3" idx="6"/>
        </xdr:cNvCxnSpPr>
      </xdr:nvCxnSpPr>
      <xdr:spPr>
        <a:xfrm flipV="1">
          <a:off x="2990850" y="8810624"/>
          <a:ext cx="4448175" cy="2257426"/>
        </a:xfrm>
        <a:prstGeom prst="bentConnector3">
          <a:avLst>
            <a:gd name="adj1" fmla="val 65974"/>
          </a:avLst>
        </a:prstGeom>
        <a:ln w="38100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15840</xdr:colOff>
      <xdr:row>93</xdr:row>
      <xdr:rowOff>75674</xdr:rowOff>
    </xdr:from>
    <xdr:to>
      <xdr:col>13</xdr:col>
      <xdr:colOff>0</xdr:colOff>
      <xdr:row>103</xdr:row>
      <xdr:rowOff>51817</xdr:rowOff>
    </xdr:to>
    <xdr:sp macro="" textlink="">
      <xdr:nvSpPr>
        <xdr:cNvPr id="5" name="円弧 4">
          <a:extLst>
            <a:ext uri="{FF2B5EF4-FFF2-40B4-BE49-F238E27FC236}">
              <a16:creationId xmlns:a16="http://schemas.microsoft.com/office/drawing/2014/main" xmlns="" id="{00000000-0008-0000-1D00-000005000000}"/>
            </a:ext>
          </a:extLst>
        </xdr:cNvPr>
        <xdr:cNvSpPr/>
      </xdr:nvSpPr>
      <xdr:spPr>
        <a:xfrm rot="21092987" flipH="1">
          <a:off x="11102940" y="16049099"/>
          <a:ext cx="908085" cy="1690643"/>
        </a:xfrm>
        <a:prstGeom prst="arc">
          <a:avLst>
            <a:gd name="adj1" fmla="val 19646188"/>
            <a:gd name="adj2" fmla="val 1194398"/>
          </a:avLst>
        </a:prstGeom>
        <a:ln w="19050">
          <a:solidFill>
            <a:srgbClr val="C0000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575165</xdr:colOff>
      <xdr:row>97</xdr:row>
      <xdr:rowOff>20516</xdr:rowOff>
    </xdr:from>
    <xdr:to>
      <xdr:col>1</xdr:col>
      <xdr:colOff>582491</xdr:colOff>
      <xdr:row>99</xdr:row>
      <xdr:rowOff>161192</xdr:rowOff>
    </xdr:to>
    <xdr:cxnSp macro="">
      <xdr:nvCxnSpPr>
        <xdr:cNvPr id="6" name="直線矢印コネクタ 5">
          <a:extLst>
            <a:ext uri="{FF2B5EF4-FFF2-40B4-BE49-F238E27FC236}">
              <a16:creationId xmlns:a16="http://schemas.microsoft.com/office/drawing/2014/main" xmlns="" id="{00000000-0008-0000-1D00-000006000000}"/>
            </a:ext>
          </a:extLst>
        </xdr:cNvPr>
        <xdr:cNvCxnSpPr/>
      </xdr:nvCxnSpPr>
      <xdr:spPr>
        <a:xfrm>
          <a:off x="1499090" y="16679741"/>
          <a:ext cx="7326" cy="483576"/>
        </a:xfrm>
        <a:prstGeom prst="straightConnector1">
          <a:avLst/>
        </a:prstGeom>
        <a:ln w="19050">
          <a:solidFill>
            <a:srgbClr val="C0000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476250</xdr:colOff>
      <xdr:row>97</xdr:row>
      <xdr:rowOff>19050</xdr:rowOff>
    </xdr:from>
    <xdr:to>
      <xdr:col>31</xdr:col>
      <xdr:colOff>483576</xdr:colOff>
      <xdr:row>99</xdr:row>
      <xdr:rowOff>159726</xdr:rowOff>
    </xdr:to>
    <xdr:cxnSp macro="">
      <xdr:nvCxnSpPr>
        <xdr:cNvPr id="7" name="直線矢印コネクタ 6">
          <a:extLst>
            <a:ext uri="{FF2B5EF4-FFF2-40B4-BE49-F238E27FC236}">
              <a16:creationId xmlns:a16="http://schemas.microsoft.com/office/drawing/2014/main" xmlns="" id="{00000000-0008-0000-1D00-000007000000}"/>
            </a:ext>
          </a:extLst>
        </xdr:cNvPr>
        <xdr:cNvCxnSpPr/>
      </xdr:nvCxnSpPr>
      <xdr:spPr>
        <a:xfrm>
          <a:off x="29117925" y="16678275"/>
          <a:ext cx="7326" cy="483576"/>
        </a:xfrm>
        <a:prstGeom prst="straightConnector1">
          <a:avLst/>
        </a:prstGeom>
        <a:ln w="19050">
          <a:solidFill>
            <a:srgbClr val="C0000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457200</xdr:colOff>
      <xdr:row>97</xdr:row>
      <xdr:rowOff>28575</xdr:rowOff>
    </xdr:from>
    <xdr:to>
      <xdr:col>32</xdr:col>
      <xdr:colOff>464526</xdr:colOff>
      <xdr:row>99</xdr:row>
      <xdr:rowOff>169251</xdr:rowOff>
    </xdr:to>
    <xdr:cxnSp macro="">
      <xdr:nvCxnSpPr>
        <xdr:cNvPr id="8" name="直線矢印コネクタ 7">
          <a:extLst>
            <a:ext uri="{FF2B5EF4-FFF2-40B4-BE49-F238E27FC236}">
              <a16:creationId xmlns:a16="http://schemas.microsoft.com/office/drawing/2014/main" xmlns="" id="{00000000-0008-0000-1D00-000008000000}"/>
            </a:ext>
          </a:extLst>
        </xdr:cNvPr>
        <xdr:cNvCxnSpPr/>
      </xdr:nvCxnSpPr>
      <xdr:spPr>
        <a:xfrm>
          <a:off x="30022800" y="16687800"/>
          <a:ext cx="7326" cy="483576"/>
        </a:xfrm>
        <a:prstGeom prst="straightConnector1">
          <a:avLst/>
        </a:prstGeom>
        <a:ln w="19050">
          <a:solidFill>
            <a:srgbClr val="C0000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42337</xdr:colOff>
      <xdr:row>87</xdr:row>
      <xdr:rowOff>142882</xdr:rowOff>
    </xdr:from>
    <xdr:to>
      <xdr:col>39</xdr:col>
      <xdr:colOff>261939</xdr:colOff>
      <xdr:row>114</xdr:row>
      <xdr:rowOff>142881</xdr:rowOff>
    </xdr:to>
    <xdr:sp macro="" textlink="">
      <xdr:nvSpPr>
        <xdr:cNvPr id="9" name="円弧 8">
          <a:extLst>
            <a:ext uri="{FF2B5EF4-FFF2-40B4-BE49-F238E27FC236}">
              <a16:creationId xmlns:a16="http://schemas.microsoft.com/office/drawing/2014/main" xmlns="" id="{00000000-0008-0000-1D00-000009000000}"/>
            </a:ext>
          </a:extLst>
        </xdr:cNvPr>
        <xdr:cNvSpPr/>
      </xdr:nvSpPr>
      <xdr:spPr>
        <a:xfrm rot="5400000">
          <a:off x="29708214" y="13139480"/>
          <a:ext cx="4638674" cy="8534927"/>
        </a:xfrm>
        <a:prstGeom prst="arc">
          <a:avLst>
            <a:gd name="adj1" fmla="val 18410168"/>
            <a:gd name="adj2" fmla="val 3153458"/>
          </a:avLst>
        </a:prstGeom>
        <a:ln w="19050">
          <a:solidFill>
            <a:srgbClr val="C00000"/>
          </a:solidFill>
          <a:headEnd type="triangle" w="lg" len="lg"/>
          <a:tailEnd type="non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916780</xdr:colOff>
      <xdr:row>112</xdr:row>
      <xdr:rowOff>38099</xdr:rowOff>
    </xdr:from>
    <xdr:to>
      <xdr:col>14</xdr:col>
      <xdr:colOff>397665</xdr:colOff>
      <xdr:row>138</xdr:row>
      <xdr:rowOff>104774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xmlns="" id="{00000000-0008-0000-1D00-00000A000000}"/>
            </a:ext>
          </a:extLst>
        </xdr:cNvPr>
        <xdr:cNvGrpSpPr/>
      </xdr:nvGrpSpPr>
      <xdr:grpSpPr>
        <a:xfrm>
          <a:off x="3688555" y="19450049"/>
          <a:ext cx="9644060" cy="4572000"/>
          <a:chOff x="-9521486" y="17668874"/>
          <a:chExt cx="22301652" cy="4543425"/>
        </a:xfrm>
      </xdr:grpSpPr>
      <xdr:sp macro="" textlink="">
        <xdr:nvSpPr>
          <xdr:cNvPr id="11" name="角丸四角形 10">
            <a:extLst>
              <a:ext uri="{FF2B5EF4-FFF2-40B4-BE49-F238E27FC236}">
                <a16:creationId xmlns:a16="http://schemas.microsoft.com/office/drawing/2014/main" xmlns="" id="{00000000-0008-0000-1D00-00000B000000}"/>
              </a:ext>
            </a:extLst>
          </xdr:cNvPr>
          <xdr:cNvSpPr/>
        </xdr:nvSpPr>
        <xdr:spPr>
          <a:xfrm>
            <a:off x="-9521486" y="21859875"/>
            <a:ext cx="22104013" cy="352424"/>
          </a:xfrm>
          <a:prstGeom prst="roundRect">
            <a:avLst/>
          </a:prstGeom>
          <a:noFill/>
          <a:ln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2" name="フリーフォーム 11">
            <a:extLst>
              <a:ext uri="{FF2B5EF4-FFF2-40B4-BE49-F238E27FC236}">
                <a16:creationId xmlns:a16="http://schemas.microsoft.com/office/drawing/2014/main" xmlns="" id="{00000000-0008-0000-1D00-00000C000000}"/>
              </a:ext>
            </a:extLst>
          </xdr:cNvPr>
          <xdr:cNvSpPr/>
        </xdr:nvSpPr>
        <xdr:spPr>
          <a:xfrm>
            <a:off x="4095750" y="17668874"/>
            <a:ext cx="8684416" cy="4181475"/>
          </a:xfrm>
          <a:custGeom>
            <a:avLst/>
            <a:gdLst>
              <a:gd name="connsiteX0" fmla="*/ 0 w 8751091"/>
              <a:gd name="connsiteY0" fmla="*/ 0 h 4114800"/>
              <a:gd name="connsiteX1" fmla="*/ 323850 w 8751091"/>
              <a:gd name="connsiteY1" fmla="*/ 419100 h 4114800"/>
              <a:gd name="connsiteX2" fmla="*/ 1095375 w 8751091"/>
              <a:gd name="connsiteY2" fmla="*/ 866775 h 4114800"/>
              <a:gd name="connsiteX3" fmla="*/ 2876550 w 8751091"/>
              <a:gd name="connsiteY3" fmla="*/ 1276350 h 4114800"/>
              <a:gd name="connsiteX4" fmla="*/ 5962650 w 8751091"/>
              <a:gd name="connsiteY4" fmla="*/ 1447800 h 4114800"/>
              <a:gd name="connsiteX5" fmla="*/ 7896225 w 8751091"/>
              <a:gd name="connsiteY5" fmla="*/ 1571625 h 4114800"/>
              <a:gd name="connsiteX6" fmla="*/ 8610600 w 8751091"/>
              <a:gd name="connsiteY6" fmla="*/ 2057400 h 4114800"/>
              <a:gd name="connsiteX7" fmla="*/ 8743950 w 8751091"/>
              <a:gd name="connsiteY7" fmla="*/ 2981325 h 4114800"/>
              <a:gd name="connsiteX8" fmla="*/ 8496300 w 8751091"/>
              <a:gd name="connsiteY8" fmla="*/ 4114800 h 4114800"/>
              <a:gd name="connsiteX9" fmla="*/ 8496300 w 8751091"/>
              <a:gd name="connsiteY9" fmla="*/ 4114800 h 4114800"/>
              <a:gd name="connsiteX10" fmla="*/ 8515350 w 8751091"/>
              <a:gd name="connsiteY10" fmla="*/ 4086225 h 41148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</a:cxnLst>
            <a:rect l="l" t="t" r="r" b="b"/>
            <a:pathLst>
              <a:path w="8751091" h="4114800">
                <a:moveTo>
                  <a:pt x="0" y="0"/>
                </a:moveTo>
                <a:cubicBezTo>
                  <a:pt x="70644" y="137319"/>
                  <a:pt x="141288" y="274638"/>
                  <a:pt x="323850" y="419100"/>
                </a:cubicBezTo>
                <a:cubicBezTo>
                  <a:pt x="506412" y="563562"/>
                  <a:pt x="669925" y="723900"/>
                  <a:pt x="1095375" y="866775"/>
                </a:cubicBezTo>
                <a:cubicBezTo>
                  <a:pt x="1520825" y="1009650"/>
                  <a:pt x="2065338" y="1179513"/>
                  <a:pt x="2876550" y="1276350"/>
                </a:cubicBezTo>
                <a:cubicBezTo>
                  <a:pt x="3687762" y="1373187"/>
                  <a:pt x="5962650" y="1447800"/>
                  <a:pt x="5962650" y="1447800"/>
                </a:cubicBezTo>
                <a:cubicBezTo>
                  <a:pt x="6799262" y="1497012"/>
                  <a:pt x="7454900" y="1470025"/>
                  <a:pt x="7896225" y="1571625"/>
                </a:cubicBezTo>
                <a:cubicBezTo>
                  <a:pt x="8337550" y="1673225"/>
                  <a:pt x="8469313" y="1822450"/>
                  <a:pt x="8610600" y="2057400"/>
                </a:cubicBezTo>
                <a:cubicBezTo>
                  <a:pt x="8751888" y="2292350"/>
                  <a:pt x="8763000" y="2638425"/>
                  <a:pt x="8743950" y="2981325"/>
                </a:cubicBezTo>
                <a:cubicBezTo>
                  <a:pt x="8724900" y="3324225"/>
                  <a:pt x="8496300" y="4114800"/>
                  <a:pt x="8496300" y="4114800"/>
                </a:cubicBezTo>
                <a:lnTo>
                  <a:pt x="8496300" y="4114800"/>
                </a:lnTo>
                <a:lnTo>
                  <a:pt x="8515350" y="4086225"/>
                </a:lnTo>
              </a:path>
            </a:pathLst>
          </a:custGeom>
          <a:noFill/>
          <a:ln>
            <a:solidFill>
              <a:srgbClr val="C00000"/>
            </a:solidFill>
            <a:headEnd type="triangle" w="lg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33</xdr:col>
      <xdr:colOff>500063</xdr:colOff>
      <xdr:row>97</xdr:row>
      <xdr:rowOff>23812</xdr:rowOff>
    </xdr:from>
    <xdr:to>
      <xdr:col>33</xdr:col>
      <xdr:colOff>507389</xdr:colOff>
      <xdr:row>99</xdr:row>
      <xdr:rowOff>164488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xmlns="" id="{00000000-0008-0000-1D00-000008000000}"/>
            </a:ext>
          </a:extLst>
        </xdr:cNvPr>
        <xdr:cNvCxnSpPr/>
      </xdr:nvCxnSpPr>
      <xdr:spPr>
        <a:xfrm>
          <a:off x="30989588" y="16683037"/>
          <a:ext cx="7326" cy="483576"/>
        </a:xfrm>
        <a:prstGeom prst="straightConnector1">
          <a:avLst/>
        </a:prstGeom>
        <a:ln w="19050">
          <a:solidFill>
            <a:srgbClr val="C0000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130968</xdr:colOff>
      <xdr:row>0</xdr:row>
      <xdr:rowOff>71437</xdr:rowOff>
    </xdr:from>
    <xdr:to>
      <xdr:col>20</xdr:col>
      <xdr:colOff>964406</xdr:colOff>
      <xdr:row>0</xdr:row>
      <xdr:rowOff>369094</xdr:rowOff>
    </xdr:to>
    <xdr:sp macro="" textlink="">
      <xdr:nvSpPr>
        <xdr:cNvPr id="2" name="線吹き出し 2 (枠付き) 1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SpPr/>
      </xdr:nvSpPr>
      <xdr:spPr>
        <a:xfrm>
          <a:off x="16437768" y="71437"/>
          <a:ext cx="1643063" cy="297657"/>
        </a:xfrm>
        <a:prstGeom prst="borderCallout2">
          <a:avLst>
            <a:gd name="adj1" fmla="val 50569"/>
            <a:gd name="adj2" fmla="val -1190"/>
            <a:gd name="adj3" fmla="val 50568"/>
            <a:gd name="adj4" fmla="val -17316"/>
            <a:gd name="adj5" fmla="val 117045"/>
            <a:gd name="adj6" fmla="val -29135"/>
          </a:avLst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現在月までの累計。</a:t>
          </a:r>
        </a:p>
      </xdr:txBody>
    </xdr:sp>
    <xdr:clientData/>
  </xdr:twoCellAnchor>
  <xdr:twoCellAnchor>
    <xdr:from>
      <xdr:col>16</xdr:col>
      <xdr:colOff>761994</xdr:colOff>
      <xdr:row>187</xdr:row>
      <xdr:rowOff>119061</xdr:rowOff>
    </xdr:from>
    <xdr:to>
      <xdr:col>22</xdr:col>
      <xdr:colOff>404812</xdr:colOff>
      <xdr:row>199</xdr:row>
      <xdr:rowOff>178592</xdr:rowOff>
    </xdr:to>
    <xdr:sp macro="" textlink="">
      <xdr:nvSpPr>
        <xdr:cNvPr id="3" name="正方形/長方形 2"/>
        <xdr:cNvSpPr/>
      </xdr:nvSpPr>
      <xdr:spPr>
        <a:xfrm>
          <a:off x="14773269" y="24169686"/>
          <a:ext cx="4033843" cy="2221706"/>
        </a:xfrm>
        <a:prstGeom prst="rect">
          <a:avLst/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65</xdr:row>
      <xdr:rowOff>47622</xdr:rowOff>
    </xdr:from>
    <xdr:to>
      <xdr:col>20</xdr:col>
      <xdr:colOff>3581</xdr:colOff>
      <xdr:row>103</xdr:row>
      <xdr:rowOff>95248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11905</xdr:colOff>
      <xdr:row>66</xdr:row>
      <xdr:rowOff>11908</xdr:rowOff>
    </xdr:from>
    <xdr:to>
      <xdr:col>9</xdr:col>
      <xdr:colOff>440528</xdr:colOff>
      <xdr:row>69</xdr:row>
      <xdr:rowOff>59531</xdr:rowOff>
    </xdr:to>
    <xdr:sp macro="" textlink="">
      <xdr:nvSpPr>
        <xdr:cNvPr id="3" name="年間平均売上高ボックス1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 txBox="1"/>
      </xdr:nvSpPr>
      <xdr:spPr>
        <a:xfrm>
          <a:off x="8334374" y="17014033"/>
          <a:ext cx="1464467" cy="5476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indent="0" algn="ctr"/>
          <a:r>
            <a:rPr kumimoji="1" lang="ja-JP" altLang="en-US" sz="1100">
              <a:solidFill>
                <a:schemeClr val="dk1">
                  <a:lumMod val="100000"/>
                </a:schemeClr>
              </a:solidFill>
              <a:latin typeface="+mn-lt"/>
              <a:ea typeface="+mn-ea"/>
              <a:cs typeface="+mn-cs"/>
            </a:rPr>
            <a:t>年間平均売上高</a:t>
          </a:r>
        </a:p>
        <a:p>
          <a:pPr indent="0" algn="ctr"/>
          <a:r>
            <a:rPr kumimoji="1" lang="en-US" altLang="ja-JP" sz="1100">
              <a:solidFill>
                <a:schemeClr val="dk1">
                  <a:lumMod val="100000"/>
                </a:schemeClr>
              </a:solidFill>
              <a:latin typeface="+mn-lt"/>
              <a:ea typeface="+mn-ea"/>
              <a:cs typeface="+mn-cs"/>
            </a:rPr>
            <a:t>39,406,478 </a:t>
          </a:r>
          <a:r>
            <a:rPr kumimoji="1" lang="ja-JP" altLang="en-US" sz="1100">
              <a:solidFill>
                <a:schemeClr val="dk1">
                  <a:lumMod val="100000"/>
                </a:schemeClr>
              </a:solidFill>
              <a:latin typeface="+mn-lt"/>
              <a:ea typeface="+mn-ea"/>
              <a:cs typeface="+mn-cs"/>
            </a:rPr>
            <a:t>円</a:t>
          </a:r>
          <a:endParaRPr kumimoji="1" lang="ja-JP" altLang="en-US" sz="1100"/>
        </a:p>
      </xdr:txBody>
    </xdr:sp>
    <xdr:clientData/>
  </xdr:twoCellAnchor>
  <xdr:twoCellAnchor>
    <xdr:from>
      <xdr:col>9</xdr:col>
      <xdr:colOff>440531</xdr:colOff>
      <xdr:row>63</xdr:row>
      <xdr:rowOff>345281</xdr:rowOff>
    </xdr:from>
    <xdr:to>
      <xdr:col>11</xdr:col>
      <xdr:colOff>190500</xdr:colOff>
      <xdr:row>66</xdr:row>
      <xdr:rowOff>130969</xdr:rowOff>
    </xdr:to>
    <xdr:cxnSp macro="">
      <xdr:nvCxnSpPr>
        <xdr:cNvPr id="6" name="直線矢印コネクタ 5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CxnSpPr/>
      </xdr:nvCxnSpPr>
      <xdr:spPr>
        <a:xfrm flipH="1">
          <a:off x="9798844" y="16490156"/>
          <a:ext cx="1821656" cy="64293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105</xdr:row>
      <xdr:rowOff>0</xdr:rowOff>
    </xdr:from>
    <xdr:to>
      <xdr:col>20</xdr:col>
      <xdr:colOff>3581</xdr:colOff>
      <xdr:row>135</xdr:row>
      <xdr:rowOff>161250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561518</xdr:colOff>
      <xdr:row>24</xdr:row>
      <xdr:rowOff>139700</xdr:rowOff>
    </xdr:from>
    <xdr:to>
      <xdr:col>20</xdr:col>
      <xdr:colOff>740875</xdr:colOff>
      <xdr:row>64</xdr:row>
      <xdr:rowOff>460375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566717</xdr:colOff>
      <xdr:row>68</xdr:row>
      <xdr:rowOff>50978</xdr:rowOff>
    </xdr:from>
    <xdr:to>
      <xdr:col>20</xdr:col>
      <xdr:colOff>746074</xdr:colOff>
      <xdr:row>125</xdr:row>
      <xdr:rowOff>130997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57187</xdr:colOff>
      <xdr:row>26</xdr:row>
      <xdr:rowOff>70521</xdr:rowOff>
    </xdr:from>
    <xdr:to>
      <xdr:col>20</xdr:col>
      <xdr:colOff>694002</xdr:colOff>
      <xdr:row>29</xdr:row>
      <xdr:rowOff>42854</xdr:rowOff>
    </xdr:to>
    <xdr:sp macro="" textlink="">
      <xdr:nvSpPr>
        <xdr:cNvPr id="16" name="年間平均売上高ボックス2">
          <a:extLst>
            <a:ext uri="{FF2B5EF4-FFF2-40B4-BE49-F238E27FC236}">
              <a16:creationId xmlns:a16="http://schemas.microsoft.com/office/drawing/2014/main" xmlns="" id="{00000000-0008-0000-0E00-000010000000}"/>
            </a:ext>
          </a:extLst>
        </xdr:cNvPr>
        <xdr:cNvSpPr txBox="1"/>
      </xdr:nvSpPr>
      <xdr:spPr>
        <a:xfrm>
          <a:off x="14997830" y="10411950"/>
          <a:ext cx="1466851" cy="50301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indent="0" algn="ctr"/>
          <a:r>
            <a:rPr kumimoji="1" lang="ja-JP" altLang="en-US" sz="1100">
              <a:solidFill>
                <a:schemeClr val="dk1">
                  <a:lumMod val="100000"/>
                </a:schemeClr>
              </a:solidFill>
              <a:latin typeface="+mn-lt"/>
              <a:ea typeface="+mn-ea"/>
              <a:cs typeface="+mn-cs"/>
            </a:rPr>
            <a:t>年間平均売上高</a:t>
          </a:r>
        </a:p>
        <a:p>
          <a:pPr indent="0" algn="ctr"/>
          <a:r>
            <a:rPr kumimoji="1" lang="en-US" altLang="ja-JP" sz="1100">
              <a:solidFill>
                <a:schemeClr val="dk1">
                  <a:lumMod val="100000"/>
                </a:schemeClr>
              </a:solidFill>
              <a:latin typeface="+mn-lt"/>
              <a:ea typeface="+mn-ea"/>
              <a:cs typeface="+mn-cs"/>
            </a:rPr>
            <a:t>39,406,478 </a:t>
          </a:r>
          <a:r>
            <a:rPr kumimoji="1" lang="ja-JP" altLang="en-US" sz="1100">
              <a:solidFill>
                <a:schemeClr val="dk1">
                  <a:lumMod val="100000"/>
                </a:schemeClr>
              </a:solidFill>
              <a:latin typeface="+mn-lt"/>
              <a:ea typeface="+mn-ea"/>
              <a:cs typeface="+mn-cs"/>
            </a:rPr>
            <a:t>円</a:t>
          </a:r>
          <a:endParaRPr kumimoji="1" lang="ja-JP" altLang="en-US" sz="1100"/>
        </a:p>
      </xdr:txBody>
    </xdr:sp>
    <xdr:clientData/>
  </xdr:twoCellAnchor>
  <xdr:twoCellAnchor>
    <xdr:from>
      <xdr:col>3</xdr:col>
      <xdr:colOff>174624</xdr:colOff>
      <xdr:row>128</xdr:row>
      <xdr:rowOff>27214</xdr:rowOff>
    </xdr:from>
    <xdr:to>
      <xdr:col>16</xdr:col>
      <xdr:colOff>355932</xdr:colOff>
      <xdr:row>144</xdr:row>
      <xdr:rowOff>138340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xmlns="" id="{00000000-0008-0000-0E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206374</xdr:colOff>
      <xdr:row>145</xdr:row>
      <xdr:rowOff>238124</xdr:rowOff>
    </xdr:from>
    <xdr:to>
      <xdr:col>16</xdr:col>
      <xdr:colOff>387682</xdr:colOff>
      <xdr:row>162</xdr:row>
      <xdr:rowOff>111124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xmlns="" id="{00000000-0008-0000-0E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238124</xdr:colOff>
      <xdr:row>163</xdr:row>
      <xdr:rowOff>238124</xdr:rowOff>
    </xdr:from>
    <xdr:to>
      <xdr:col>16</xdr:col>
      <xdr:colOff>419432</xdr:colOff>
      <xdr:row>180</xdr:row>
      <xdr:rowOff>111124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xmlns="" id="{00000000-0008-0000-0E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253998</xdr:colOff>
      <xdr:row>218</xdr:row>
      <xdr:rowOff>0</xdr:rowOff>
    </xdr:from>
    <xdr:to>
      <xdr:col>16</xdr:col>
      <xdr:colOff>435306</xdr:colOff>
      <xdr:row>234</xdr:row>
      <xdr:rowOff>111124</xdr:rowOff>
    </xdr:to>
    <xdr:graphicFrame macro="">
      <xdr:nvGraphicFramePr>
        <xdr:cNvPr id="21" name="グラフ 20">
          <a:extLst>
            <a:ext uri="{FF2B5EF4-FFF2-40B4-BE49-F238E27FC236}">
              <a16:creationId xmlns:a16="http://schemas.microsoft.com/office/drawing/2014/main" xmlns="" id="{00000000-0008-0000-0E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269874</xdr:colOff>
      <xdr:row>235</xdr:row>
      <xdr:rowOff>238124</xdr:rowOff>
    </xdr:from>
    <xdr:to>
      <xdr:col>16</xdr:col>
      <xdr:colOff>451182</xdr:colOff>
      <xdr:row>252</xdr:row>
      <xdr:rowOff>111124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xmlns="" id="{00000000-0008-0000-0E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301624</xdr:colOff>
      <xdr:row>291</xdr:row>
      <xdr:rowOff>0</xdr:rowOff>
    </xdr:from>
    <xdr:to>
      <xdr:col>16</xdr:col>
      <xdr:colOff>482932</xdr:colOff>
      <xdr:row>307</xdr:row>
      <xdr:rowOff>127000</xdr:rowOff>
    </xdr:to>
    <xdr:graphicFrame macro="">
      <xdr:nvGraphicFramePr>
        <xdr:cNvPr id="34" name="グラフ 33">
          <a:extLst>
            <a:ext uri="{FF2B5EF4-FFF2-40B4-BE49-F238E27FC236}">
              <a16:creationId xmlns:a16="http://schemas.microsoft.com/office/drawing/2014/main" xmlns="" id="{00000000-0008-0000-0E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333374</xdr:colOff>
      <xdr:row>309</xdr:row>
      <xdr:rowOff>15875</xdr:rowOff>
    </xdr:from>
    <xdr:to>
      <xdr:col>16</xdr:col>
      <xdr:colOff>514682</xdr:colOff>
      <xdr:row>325</xdr:row>
      <xdr:rowOff>142875</xdr:rowOff>
    </xdr:to>
    <xdr:graphicFrame macro="">
      <xdr:nvGraphicFramePr>
        <xdr:cNvPr id="36" name="グラフ 35">
          <a:extLst>
            <a:ext uri="{FF2B5EF4-FFF2-40B4-BE49-F238E27FC236}">
              <a16:creationId xmlns:a16="http://schemas.microsoft.com/office/drawing/2014/main" xmlns="" id="{00000000-0008-0000-0E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42</xdr:col>
      <xdr:colOff>70573</xdr:colOff>
      <xdr:row>13</xdr:row>
      <xdr:rowOff>273757</xdr:rowOff>
    </xdr:from>
    <xdr:to>
      <xdr:col>44</xdr:col>
      <xdr:colOff>29751</xdr:colOff>
      <xdr:row>25</xdr:row>
      <xdr:rowOff>28137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CxnSpPr/>
      </xdr:nvCxnSpPr>
      <xdr:spPr>
        <a:xfrm flipH="1" flipV="1">
          <a:off x="36895192" y="4923249"/>
          <a:ext cx="2300067" cy="3273786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16146</xdr:colOff>
      <xdr:row>2</xdr:row>
      <xdr:rowOff>456045</xdr:rowOff>
    </xdr:from>
    <xdr:to>
      <xdr:col>32</xdr:col>
      <xdr:colOff>1143000</xdr:colOff>
      <xdr:row>17</xdr:row>
      <xdr:rowOff>449039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xmlns="" id="{00000000-0008-0000-0E00-00001E000000}"/>
            </a:ext>
          </a:extLst>
        </xdr:cNvPr>
        <xdr:cNvSpPr/>
      </xdr:nvSpPr>
      <xdr:spPr>
        <a:xfrm>
          <a:off x="24427360" y="1027545"/>
          <a:ext cx="8066497" cy="461942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45</xdr:col>
      <xdr:colOff>276532</xdr:colOff>
      <xdr:row>18</xdr:row>
      <xdr:rowOff>30726</xdr:rowOff>
    </xdr:from>
    <xdr:to>
      <xdr:col>46</xdr:col>
      <xdr:colOff>1028072</xdr:colOff>
      <xdr:row>25</xdr:row>
      <xdr:rowOff>112150</xdr:rowOff>
    </xdr:to>
    <xdr:cxnSp macro="">
      <xdr:nvCxnSpPr>
        <xdr:cNvPr id="32" name="直線矢印コネクタ 31">
          <a:extLst>
            <a:ext uri="{FF2B5EF4-FFF2-40B4-BE49-F238E27FC236}">
              <a16:creationId xmlns:a16="http://schemas.microsoft.com/office/drawing/2014/main" xmlns="" id="{00000000-0008-0000-0E00-000020000000}"/>
            </a:ext>
          </a:extLst>
        </xdr:cNvPr>
        <xdr:cNvCxnSpPr/>
      </xdr:nvCxnSpPr>
      <xdr:spPr>
        <a:xfrm flipH="1" flipV="1">
          <a:off x="36809516" y="5684274"/>
          <a:ext cx="1796217" cy="226295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394607</xdr:colOff>
      <xdr:row>18</xdr:row>
      <xdr:rowOff>394608</xdr:rowOff>
    </xdr:from>
    <xdr:to>
      <xdr:col>27</xdr:col>
      <xdr:colOff>190501</xdr:colOff>
      <xdr:row>26</xdr:row>
      <xdr:rowOff>40821</xdr:rowOff>
    </xdr:to>
    <xdr:cxnSp macro="">
      <xdr:nvCxnSpPr>
        <xdr:cNvPr id="33" name="直線矢印コネクタ 32">
          <a:extLst>
            <a:ext uri="{FF2B5EF4-FFF2-40B4-BE49-F238E27FC236}">
              <a16:creationId xmlns:a16="http://schemas.microsoft.com/office/drawing/2014/main" xmlns="" id="{00000000-0008-0000-0E00-000021000000}"/>
            </a:ext>
          </a:extLst>
        </xdr:cNvPr>
        <xdr:cNvCxnSpPr/>
      </xdr:nvCxnSpPr>
      <xdr:spPr>
        <a:xfrm flipH="1">
          <a:off x="16165286" y="7905751"/>
          <a:ext cx="5783036" cy="247649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301624</xdr:colOff>
      <xdr:row>272</xdr:row>
      <xdr:rowOff>238124</xdr:rowOff>
    </xdr:from>
    <xdr:to>
      <xdr:col>16</xdr:col>
      <xdr:colOff>482932</xdr:colOff>
      <xdr:row>289</xdr:row>
      <xdr:rowOff>111124</xdr:rowOff>
    </xdr:to>
    <xdr:graphicFrame macro="">
      <xdr:nvGraphicFramePr>
        <xdr:cNvPr id="37" name="グラフ 36">
          <a:extLst>
            <a:ext uri="{FF2B5EF4-FFF2-40B4-BE49-F238E27FC236}">
              <a16:creationId xmlns:a16="http://schemas.microsoft.com/office/drawing/2014/main" xmlns="" id="{00000000-0008-0000-0E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25</xdr:col>
      <xdr:colOff>15889</xdr:colOff>
      <xdr:row>3</xdr:row>
      <xdr:rowOff>4535</xdr:rowOff>
    </xdr:from>
    <xdr:to>
      <xdr:col>26</xdr:col>
      <xdr:colOff>6804</xdr:colOff>
      <xdr:row>18</xdr:row>
      <xdr:rowOff>4535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xmlns="" id="{00000000-0008-0000-0E00-000026000000}"/>
            </a:ext>
          </a:extLst>
        </xdr:cNvPr>
        <xdr:cNvSpPr/>
      </xdr:nvSpPr>
      <xdr:spPr>
        <a:xfrm>
          <a:off x="22549318" y="1038678"/>
          <a:ext cx="929807" cy="555171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290592</xdr:colOff>
      <xdr:row>254</xdr:row>
      <xdr:rowOff>209873</xdr:rowOff>
    </xdr:from>
    <xdr:to>
      <xdr:col>16</xdr:col>
      <xdr:colOff>471900</xdr:colOff>
      <xdr:row>271</xdr:row>
      <xdr:rowOff>82874</xdr:rowOff>
    </xdr:to>
    <xdr:graphicFrame macro="">
      <xdr:nvGraphicFramePr>
        <xdr:cNvPr id="35" name="グラフ 34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238124</xdr:colOff>
      <xdr:row>181</xdr:row>
      <xdr:rowOff>238124</xdr:rowOff>
    </xdr:from>
    <xdr:to>
      <xdr:col>16</xdr:col>
      <xdr:colOff>419432</xdr:colOff>
      <xdr:row>198</xdr:row>
      <xdr:rowOff>111124</xdr:rowOff>
    </xdr:to>
    <xdr:graphicFrame macro="">
      <xdr:nvGraphicFramePr>
        <xdr:cNvPr id="39" name="グラフ 38">
          <a:extLst>
            <a:ext uri="{FF2B5EF4-FFF2-40B4-BE49-F238E27FC236}">
              <a16:creationId xmlns:a16="http://schemas.microsoft.com/office/drawing/2014/main" xmlns="" id="{00000000-0008-0000-0E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238124</xdr:colOff>
      <xdr:row>199</xdr:row>
      <xdr:rowOff>238124</xdr:rowOff>
    </xdr:from>
    <xdr:to>
      <xdr:col>16</xdr:col>
      <xdr:colOff>419432</xdr:colOff>
      <xdr:row>216</xdr:row>
      <xdr:rowOff>111124</xdr:rowOff>
    </xdr:to>
    <xdr:graphicFrame macro="">
      <xdr:nvGraphicFramePr>
        <xdr:cNvPr id="40" name="グラフ 39">
          <a:extLst>
            <a:ext uri="{FF2B5EF4-FFF2-40B4-BE49-F238E27FC236}">
              <a16:creationId xmlns:a16="http://schemas.microsoft.com/office/drawing/2014/main" xmlns="" id="{00000000-0008-0000-0E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386120</xdr:colOff>
      <xdr:row>24</xdr:row>
      <xdr:rowOff>47260</xdr:rowOff>
    </xdr:from>
    <xdr:to>
      <xdr:col>21</xdr:col>
      <xdr:colOff>-1</xdr:colOff>
      <xdr:row>62</xdr:row>
      <xdr:rowOff>93445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407698</xdr:colOff>
      <xdr:row>64</xdr:row>
      <xdr:rowOff>77639</xdr:rowOff>
    </xdr:from>
    <xdr:to>
      <xdr:col>21</xdr:col>
      <xdr:colOff>-1</xdr:colOff>
      <xdr:row>102</xdr:row>
      <xdr:rowOff>128443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210702</xdr:colOff>
      <xdr:row>73</xdr:row>
      <xdr:rowOff>87678</xdr:rowOff>
    </xdr:from>
    <xdr:to>
      <xdr:col>15</xdr:col>
      <xdr:colOff>851474</xdr:colOff>
      <xdr:row>73</xdr:row>
      <xdr:rowOff>101022</xdr:rowOff>
    </xdr:to>
    <xdr:cxnSp macro="">
      <xdr:nvCxnSpPr>
        <xdr:cNvPr id="7" name="直線コネクタ 6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CxnSpPr/>
      </xdr:nvCxnSpPr>
      <xdr:spPr>
        <a:xfrm>
          <a:off x="12968429" y="13841201"/>
          <a:ext cx="12272818" cy="13344"/>
        </a:xfrm>
        <a:prstGeom prst="line">
          <a:avLst/>
        </a:prstGeom>
        <a:ln w="12700">
          <a:solidFill>
            <a:srgbClr val="0070C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392915</xdr:colOff>
      <xdr:row>105</xdr:row>
      <xdr:rowOff>158352</xdr:rowOff>
    </xdr:from>
    <xdr:to>
      <xdr:col>11</xdr:col>
      <xdr:colOff>511969</xdr:colOff>
      <xdr:row>122</xdr:row>
      <xdr:rowOff>67865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357195</xdr:colOff>
      <xdr:row>123</xdr:row>
      <xdr:rowOff>122634</xdr:rowOff>
    </xdr:from>
    <xdr:to>
      <xdr:col>11</xdr:col>
      <xdr:colOff>500062</xdr:colOff>
      <xdr:row>140</xdr:row>
      <xdr:rowOff>32147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345289</xdr:colOff>
      <xdr:row>141</xdr:row>
      <xdr:rowOff>75010</xdr:rowOff>
    </xdr:from>
    <xdr:to>
      <xdr:col>11</xdr:col>
      <xdr:colOff>500062</xdr:colOff>
      <xdr:row>157</xdr:row>
      <xdr:rowOff>151210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369101</xdr:colOff>
      <xdr:row>196</xdr:row>
      <xdr:rowOff>27384</xdr:rowOff>
    </xdr:from>
    <xdr:to>
      <xdr:col>11</xdr:col>
      <xdr:colOff>488156</xdr:colOff>
      <xdr:row>212</xdr:row>
      <xdr:rowOff>103584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381001</xdr:colOff>
      <xdr:row>215</xdr:row>
      <xdr:rowOff>11906</xdr:rowOff>
    </xdr:from>
    <xdr:to>
      <xdr:col>11</xdr:col>
      <xdr:colOff>476249</xdr:colOff>
      <xdr:row>231</xdr:row>
      <xdr:rowOff>88106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392906</xdr:colOff>
      <xdr:row>233</xdr:row>
      <xdr:rowOff>23812</xdr:rowOff>
    </xdr:from>
    <xdr:to>
      <xdr:col>11</xdr:col>
      <xdr:colOff>452437</xdr:colOff>
      <xdr:row>249</xdr:row>
      <xdr:rowOff>100012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428624</xdr:colOff>
      <xdr:row>251</xdr:row>
      <xdr:rowOff>23812</xdr:rowOff>
    </xdr:from>
    <xdr:to>
      <xdr:col>11</xdr:col>
      <xdr:colOff>440531</xdr:colOff>
      <xdr:row>267</xdr:row>
      <xdr:rowOff>100012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452437</xdr:colOff>
      <xdr:row>269</xdr:row>
      <xdr:rowOff>11907</xdr:rowOff>
    </xdr:from>
    <xdr:to>
      <xdr:col>11</xdr:col>
      <xdr:colOff>416719</xdr:colOff>
      <xdr:row>285</xdr:row>
      <xdr:rowOff>88107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xmlns="" id="{00000000-0008-0000-0F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488156</xdr:colOff>
      <xdr:row>341</xdr:row>
      <xdr:rowOff>11907</xdr:rowOff>
    </xdr:from>
    <xdr:to>
      <xdr:col>11</xdr:col>
      <xdr:colOff>416718</xdr:colOff>
      <xdr:row>357</xdr:row>
      <xdr:rowOff>88107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xmlns="" id="{00000000-0008-0000-0F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3</xdr:row>
      <xdr:rowOff>0</xdr:rowOff>
    </xdr:from>
    <xdr:to>
      <xdr:col>25</xdr:col>
      <xdr:colOff>13601</xdr:colOff>
      <xdr:row>17</xdr:row>
      <xdr:rowOff>11906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SpPr/>
      </xdr:nvSpPr>
      <xdr:spPr>
        <a:xfrm>
          <a:off x="21755652" y="1118152"/>
          <a:ext cx="910884" cy="335255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13607</xdr:colOff>
      <xdr:row>13</xdr:row>
      <xdr:rowOff>176893</xdr:rowOff>
    </xdr:from>
    <xdr:to>
      <xdr:col>29</xdr:col>
      <xdr:colOff>993322</xdr:colOff>
      <xdr:row>23</xdr:row>
      <xdr:rowOff>95250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xmlns="" id="{00000000-0008-0000-0F00-00000D000000}"/>
            </a:ext>
          </a:extLst>
        </xdr:cNvPr>
        <xdr:cNvCxnSpPr/>
      </xdr:nvCxnSpPr>
      <xdr:spPr>
        <a:xfrm flipH="1" flipV="1">
          <a:off x="16410214" y="3986893"/>
          <a:ext cx="979715" cy="87085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12506</xdr:colOff>
      <xdr:row>3</xdr:row>
      <xdr:rowOff>0</xdr:rowOff>
    </xdr:from>
    <xdr:to>
      <xdr:col>32</xdr:col>
      <xdr:colOff>2270</xdr:colOff>
      <xdr:row>17</xdr:row>
      <xdr:rowOff>23813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xmlns="" id="{00000000-0008-0000-0F00-000013000000}"/>
            </a:ext>
          </a:extLst>
        </xdr:cNvPr>
        <xdr:cNvSpPr/>
      </xdr:nvSpPr>
      <xdr:spPr>
        <a:xfrm>
          <a:off x="25241850" y="1119188"/>
          <a:ext cx="7216858" cy="28098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31</xdr:col>
      <xdr:colOff>996044</xdr:colOff>
      <xdr:row>10</xdr:row>
      <xdr:rowOff>193222</xdr:rowOff>
    </xdr:from>
    <xdr:to>
      <xdr:col>33</xdr:col>
      <xdr:colOff>666750</xdr:colOff>
      <xdr:row>13</xdr:row>
      <xdr:rowOff>163286</xdr:rowOff>
    </xdr:to>
    <xdr:cxnSp macro="">
      <xdr:nvCxnSpPr>
        <xdr:cNvPr id="21" name="直線矢印コネクタ 20">
          <a:extLst>
            <a:ext uri="{FF2B5EF4-FFF2-40B4-BE49-F238E27FC236}">
              <a16:creationId xmlns:a16="http://schemas.microsoft.com/office/drawing/2014/main" xmlns="" id="{00000000-0008-0000-0F00-000015000000}"/>
            </a:ext>
          </a:extLst>
        </xdr:cNvPr>
        <xdr:cNvCxnSpPr/>
      </xdr:nvCxnSpPr>
      <xdr:spPr>
        <a:xfrm flipH="1" flipV="1">
          <a:off x="23583901" y="3105151"/>
          <a:ext cx="1385206" cy="86813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452437</xdr:colOff>
      <xdr:row>323</xdr:row>
      <xdr:rowOff>11907</xdr:rowOff>
    </xdr:from>
    <xdr:to>
      <xdr:col>11</xdr:col>
      <xdr:colOff>392906</xdr:colOff>
      <xdr:row>339</xdr:row>
      <xdr:rowOff>88107</xdr:rowOff>
    </xdr:to>
    <xdr:graphicFrame macro="">
      <xdr:nvGraphicFramePr>
        <xdr:cNvPr id="22" name="グラフ 21">
          <a:extLst>
            <a:ext uri="{FF2B5EF4-FFF2-40B4-BE49-F238E27FC236}">
              <a16:creationId xmlns:a16="http://schemas.microsoft.com/office/drawing/2014/main" xmlns="" id="{00000000-0008-0000-0F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452437</xdr:colOff>
      <xdr:row>287</xdr:row>
      <xdr:rowOff>11907</xdr:rowOff>
    </xdr:from>
    <xdr:to>
      <xdr:col>11</xdr:col>
      <xdr:colOff>428625</xdr:colOff>
      <xdr:row>303</xdr:row>
      <xdr:rowOff>88107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xmlns="" id="{00000000-0008-0000-0F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345289</xdr:colOff>
      <xdr:row>159</xdr:row>
      <xdr:rowOff>75010</xdr:rowOff>
    </xdr:from>
    <xdr:to>
      <xdr:col>11</xdr:col>
      <xdr:colOff>500062</xdr:colOff>
      <xdr:row>175</xdr:row>
      <xdr:rowOff>151210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xmlns="" id="{00000000-0008-0000-0F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345289</xdr:colOff>
      <xdr:row>177</xdr:row>
      <xdr:rowOff>75010</xdr:rowOff>
    </xdr:from>
    <xdr:to>
      <xdr:col>11</xdr:col>
      <xdr:colOff>500062</xdr:colOff>
      <xdr:row>193</xdr:row>
      <xdr:rowOff>151210</xdr:rowOff>
    </xdr:to>
    <xdr:graphicFrame macro="">
      <xdr:nvGraphicFramePr>
        <xdr:cNvPr id="24" name="グラフ 23">
          <a:extLst>
            <a:ext uri="{FF2B5EF4-FFF2-40B4-BE49-F238E27FC236}">
              <a16:creationId xmlns:a16="http://schemas.microsoft.com/office/drawing/2014/main" xmlns="" id="{00000000-0008-0000-0F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452437</xdr:colOff>
      <xdr:row>305</xdr:row>
      <xdr:rowOff>11907</xdr:rowOff>
    </xdr:from>
    <xdr:to>
      <xdr:col>11</xdr:col>
      <xdr:colOff>428625</xdr:colOff>
      <xdr:row>321</xdr:row>
      <xdr:rowOff>88107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xmlns="" id="{00000000-0008-0000-0F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999431</xdr:colOff>
      <xdr:row>311</xdr:row>
      <xdr:rowOff>26193</xdr:rowOff>
    </xdr:from>
    <xdr:to>
      <xdr:col>18</xdr:col>
      <xdr:colOff>527287</xdr:colOff>
      <xdr:row>334</xdr:row>
      <xdr:rowOff>45245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xmlns="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27</xdr:col>
      <xdr:colOff>806067</xdr:colOff>
      <xdr:row>353</xdr:row>
      <xdr:rowOff>6350</xdr:rowOff>
    </xdr:from>
    <xdr:to>
      <xdr:col>49</xdr:col>
      <xdr:colOff>347067</xdr:colOff>
      <xdr:row>524</xdr:row>
      <xdr:rowOff>79969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xmlns="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27</xdr:col>
      <xdr:colOff>762000</xdr:colOff>
      <xdr:row>394</xdr:row>
      <xdr:rowOff>14288</xdr:rowOff>
    </xdr:from>
    <xdr:to>
      <xdr:col>49</xdr:col>
      <xdr:colOff>303000</xdr:colOff>
      <xdr:row>524</xdr:row>
      <xdr:rowOff>79969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xmlns="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27</xdr:col>
      <xdr:colOff>762000</xdr:colOff>
      <xdr:row>436</xdr:row>
      <xdr:rowOff>0</xdr:rowOff>
    </xdr:from>
    <xdr:to>
      <xdr:col>49</xdr:col>
      <xdr:colOff>303000</xdr:colOff>
      <xdr:row>524</xdr:row>
      <xdr:rowOff>79969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xmlns="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</xdr:col>
      <xdr:colOff>0</xdr:colOff>
      <xdr:row>26</xdr:row>
      <xdr:rowOff>178593</xdr:rowOff>
    </xdr:from>
    <xdr:to>
      <xdr:col>21</xdr:col>
      <xdr:colOff>934032</xdr:colOff>
      <xdr:row>50</xdr:row>
      <xdr:rowOff>32343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0</xdr:colOff>
      <xdr:row>66</xdr:row>
      <xdr:rowOff>178592</xdr:rowOff>
    </xdr:from>
    <xdr:to>
      <xdr:col>21</xdr:col>
      <xdr:colOff>934032</xdr:colOff>
      <xdr:row>90</xdr:row>
      <xdr:rowOff>32342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</xdr:col>
      <xdr:colOff>0</xdr:colOff>
      <xdr:row>106</xdr:row>
      <xdr:rowOff>178593</xdr:rowOff>
    </xdr:from>
    <xdr:to>
      <xdr:col>21</xdr:col>
      <xdr:colOff>934032</xdr:colOff>
      <xdr:row>130</xdr:row>
      <xdr:rowOff>32343</xdr:rowOff>
    </xdr:to>
    <xdr:graphicFrame macro="">
      <xdr:nvGraphicFramePr>
        <xdr:cNvPr id="21" name="グラフ 20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0</xdr:colOff>
      <xdr:row>148</xdr:row>
      <xdr:rowOff>0</xdr:rowOff>
    </xdr:from>
    <xdr:to>
      <xdr:col>21</xdr:col>
      <xdr:colOff>779250</xdr:colOff>
      <xdr:row>169</xdr:row>
      <xdr:rowOff>139501</xdr:rowOff>
    </xdr:to>
    <xdr:graphicFrame macro="">
      <xdr:nvGraphicFramePr>
        <xdr:cNvPr id="22" name="グラフ 21">
          <a:extLst>
            <a:ext uri="{FF2B5EF4-FFF2-40B4-BE49-F238E27FC236}">
              <a16:creationId xmlns:a16="http://schemas.microsoft.com/office/drawing/2014/main" xmlns="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2</xdr:col>
      <xdr:colOff>0</xdr:colOff>
      <xdr:row>189</xdr:row>
      <xdr:rowOff>0</xdr:rowOff>
    </xdr:from>
    <xdr:to>
      <xdr:col>21</xdr:col>
      <xdr:colOff>779250</xdr:colOff>
      <xdr:row>210</xdr:row>
      <xdr:rowOff>139500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xmlns="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2</xdr:col>
      <xdr:colOff>0</xdr:colOff>
      <xdr:row>230</xdr:row>
      <xdr:rowOff>0</xdr:rowOff>
    </xdr:from>
    <xdr:to>
      <xdr:col>21</xdr:col>
      <xdr:colOff>934032</xdr:colOff>
      <xdr:row>253</xdr:row>
      <xdr:rowOff>32344</xdr:rowOff>
    </xdr:to>
    <xdr:graphicFrame macro="">
      <xdr:nvGraphicFramePr>
        <xdr:cNvPr id="24" name="グラフ 23"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0</xdr:colOff>
      <xdr:row>269</xdr:row>
      <xdr:rowOff>178593</xdr:rowOff>
    </xdr:from>
    <xdr:to>
      <xdr:col>21</xdr:col>
      <xdr:colOff>934032</xdr:colOff>
      <xdr:row>293</xdr:row>
      <xdr:rowOff>32343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</xdr:col>
      <xdr:colOff>0</xdr:colOff>
      <xdr:row>518</xdr:row>
      <xdr:rowOff>0</xdr:rowOff>
    </xdr:from>
    <xdr:to>
      <xdr:col>21</xdr:col>
      <xdr:colOff>934032</xdr:colOff>
      <xdr:row>541</xdr:row>
      <xdr:rowOff>32344</xdr:rowOff>
    </xdr:to>
    <xdr:graphicFrame macro="">
      <xdr:nvGraphicFramePr>
        <xdr:cNvPr id="30" name="グラフ 29">
          <a:extLs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2</xdr:col>
      <xdr:colOff>0</xdr:colOff>
      <xdr:row>560</xdr:row>
      <xdr:rowOff>0</xdr:rowOff>
    </xdr:from>
    <xdr:to>
      <xdr:col>21</xdr:col>
      <xdr:colOff>934032</xdr:colOff>
      <xdr:row>583</xdr:row>
      <xdr:rowOff>32344</xdr:rowOff>
    </xdr:to>
    <xdr:graphicFrame macro="">
      <xdr:nvGraphicFramePr>
        <xdr:cNvPr id="31" name="グラフ 30">
          <a:extLs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oneCellAnchor>
    <xdr:from>
      <xdr:col>27</xdr:col>
      <xdr:colOff>762000</xdr:colOff>
      <xdr:row>477</xdr:row>
      <xdr:rowOff>0</xdr:rowOff>
    </xdr:from>
    <xdr:ext cx="14876250" cy="3889969"/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xmlns="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0</xdr:colOff>
      <xdr:row>4</xdr:row>
      <xdr:rowOff>238125</xdr:rowOff>
    </xdr:from>
    <xdr:to>
      <xdr:col>51</xdr:col>
      <xdr:colOff>678656</xdr:colOff>
      <xdr:row>4</xdr:row>
      <xdr:rowOff>238125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xmlns="" id="{00000000-0008-0000-1200-00000D000000}"/>
            </a:ext>
          </a:extLst>
        </xdr:cNvPr>
        <xdr:cNvCxnSpPr/>
      </xdr:nvCxnSpPr>
      <xdr:spPr>
        <a:xfrm flipH="1">
          <a:off x="26300906" y="952500"/>
          <a:ext cx="678656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59531</xdr:colOff>
      <xdr:row>11</xdr:row>
      <xdr:rowOff>259556</xdr:rowOff>
    </xdr:from>
    <xdr:to>
      <xdr:col>51</xdr:col>
      <xdr:colOff>676275</xdr:colOff>
      <xdr:row>11</xdr:row>
      <xdr:rowOff>261937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xmlns="" id="{00000000-0008-0000-1200-00000F000000}"/>
            </a:ext>
          </a:extLst>
        </xdr:cNvPr>
        <xdr:cNvCxnSpPr/>
      </xdr:nvCxnSpPr>
      <xdr:spPr>
        <a:xfrm flipH="1">
          <a:off x="27301031" y="4140994"/>
          <a:ext cx="616744" cy="238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0</xdr:colOff>
      <xdr:row>3</xdr:row>
      <xdr:rowOff>214313</xdr:rowOff>
    </xdr:from>
    <xdr:to>
      <xdr:col>51</xdr:col>
      <xdr:colOff>678656</xdr:colOff>
      <xdr:row>3</xdr:row>
      <xdr:rowOff>214313</xdr:rowOff>
    </xdr:to>
    <xdr:cxnSp macro="">
      <xdr:nvCxnSpPr>
        <xdr:cNvPr id="4" name="直線矢印コネクタ 3">
          <a:extLst>
            <a:ext uri="{FF2B5EF4-FFF2-40B4-BE49-F238E27FC236}">
              <a16:creationId xmlns:a16="http://schemas.microsoft.com/office/drawing/2014/main" xmlns="" id="{00000000-0008-0000-1200-00000D000000}"/>
            </a:ext>
          </a:extLst>
        </xdr:cNvPr>
        <xdr:cNvCxnSpPr/>
      </xdr:nvCxnSpPr>
      <xdr:spPr>
        <a:xfrm flipH="1">
          <a:off x="32539781" y="928688"/>
          <a:ext cx="678656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130968</xdr:colOff>
      <xdr:row>0</xdr:row>
      <xdr:rowOff>71437</xdr:rowOff>
    </xdr:from>
    <xdr:to>
      <xdr:col>20</xdr:col>
      <xdr:colOff>964406</xdr:colOff>
      <xdr:row>0</xdr:row>
      <xdr:rowOff>369094</xdr:rowOff>
    </xdr:to>
    <xdr:sp macro="" textlink="">
      <xdr:nvSpPr>
        <xdr:cNvPr id="2" name="線吹き出し 2 (枠付き) 1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SpPr/>
      </xdr:nvSpPr>
      <xdr:spPr>
        <a:xfrm>
          <a:off x="16409193" y="71437"/>
          <a:ext cx="1824038" cy="297657"/>
        </a:xfrm>
        <a:prstGeom prst="borderCallout2">
          <a:avLst>
            <a:gd name="adj1" fmla="val 50569"/>
            <a:gd name="adj2" fmla="val -1190"/>
            <a:gd name="adj3" fmla="val 50568"/>
            <a:gd name="adj4" fmla="val -17316"/>
            <a:gd name="adj5" fmla="val 117045"/>
            <a:gd name="adj6" fmla="val -29135"/>
          </a:avLst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現在月までの累計。</a:t>
          </a:r>
        </a:p>
      </xdr:txBody>
    </xdr:sp>
    <xdr:clientData/>
  </xdr:twoCellAnchor>
  <xdr:twoCellAnchor>
    <xdr:from>
      <xdr:col>16</xdr:col>
      <xdr:colOff>809624</xdr:colOff>
      <xdr:row>155</xdr:row>
      <xdr:rowOff>119062</xdr:rowOff>
    </xdr:from>
    <xdr:to>
      <xdr:col>22</xdr:col>
      <xdr:colOff>535781</xdr:colOff>
      <xdr:row>182</xdr:row>
      <xdr:rowOff>47624</xdr:rowOff>
    </xdr:to>
    <xdr:sp macro="" textlink="">
      <xdr:nvSpPr>
        <xdr:cNvPr id="3" name="正方形/長方形 2"/>
        <xdr:cNvSpPr/>
      </xdr:nvSpPr>
      <xdr:spPr>
        <a:xfrm>
          <a:off x="14775655" y="21526500"/>
          <a:ext cx="3964782" cy="3548062"/>
        </a:xfrm>
        <a:prstGeom prst="rect">
          <a:avLst/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130968</xdr:colOff>
      <xdr:row>0</xdr:row>
      <xdr:rowOff>71437</xdr:rowOff>
    </xdr:from>
    <xdr:to>
      <xdr:col>18</xdr:col>
      <xdr:colOff>964406</xdr:colOff>
      <xdr:row>0</xdr:row>
      <xdr:rowOff>369094</xdr:rowOff>
    </xdr:to>
    <xdr:sp macro="" textlink="">
      <xdr:nvSpPr>
        <xdr:cNvPr id="2" name="線吹き出し 2 (枠付き) 1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SpPr/>
      </xdr:nvSpPr>
      <xdr:spPr>
        <a:xfrm>
          <a:off x="16409193" y="71437"/>
          <a:ext cx="1824038" cy="297657"/>
        </a:xfrm>
        <a:prstGeom prst="borderCallout2">
          <a:avLst>
            <a:gd name="adj1" fmla="val 50569"/>
            <a:gd name="adj2" fmla="val -1190"/>
            <a:gd name="adj3" fmla="val 50568"/>
            <a:gd name="adj4" fmla="val -17316"/>
            <a:gd name="adj5" fmla="val 117045"/>
            <a:gd name="adj6" fmla="val -29135"/>
          </a:avLst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現在月までの累計。</a:t>
          </a:r>
        </a:p>
      </xdr:txBody>
    </xdr:sp>
    <xdr:clientData/>
  </xdr:twoCellAnchor>
  <xdr:twoCellAnchor>
    <xdr:from>
      <xdr:col>14</xdr:col>
      <xdr:colOff>702468</xdr:colOff>
      <xdr:row>171</xdr:row>
      <xdr:rowOff>119062</xdr:rowOff>
    </xdr:from>
    <xdr:to>
      <xdr:col>20</xdr:col>
      <xdr:colOff>428625</xdr:colOff>
      <xdr:row>192</xdr:row>
      <xdr:rowOff>107156</xdr:rowOff>
    </xdr:to>
    <xdr:sp macro="" textlink="">
      <xdr:nvSpPr>
        <xdr:cNvPr id="3" name="正方形/長方形 2"/>
        <xdr:cNvSpPr/>
      </xdr:nvSpPr>
      <xdr:spPr>
        <a:xfrm>
          <a:off x="14978062" y="21669375"/>
          <a:ext cx="3976688" cy="3607594"/>
        </a:xfrm>
        <a:prstGeom prst="rect">
          <a:avLst/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130968</xdr:colOff>
      <xdr:row>0</xdr:row>
      <xdr:rowOff>71437</xdr:rowOff>
    </xdr:from>
    <xdr:to>
      <xdr:col>20</xdr:col>
      <xdr:colOff>964406</xdr:colOff>
      <xdr:row>0</xdr:row>
      <xdr:rowOff>369094</xdr:rowOff>
    </xdr:to>
    <xdr:sp macro="" textlink="">
      <xdr:nvSpPr>
        <xdr:cNvPr id="2" name="線吹き出し 2 (枠付き) 1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SpPr/>
      </xdr:nvSpPr>
      <xdr:spPr>
        <a:xfrm>
          <a:off x="13846968" y="71437"/>
          <a:ext cx="1395413" cy="164307"/>
        </a:xfrm>
        <a:prstGeom prst="borderCallout2">
          <a:avLst>
            <a:gd name="adj1" fmla="val 50569"/>
            <a:gd name="adj2" fmla="val -1190"/>
            <a:gd name="adj3" fmla="val 50568"/>
            <a:gd name="adj4" fmla="val -17316"/>
            <a:gd name="adj5" fmla="val 117045"/>
            <a:gd name="adj6" fmla="val -29135"/>
          </a:avLst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現在月までの累計。</a:t>
          </a:r>
        </a:p>
      </xdr:txBody>
    </xdr:sp>
    <xdr:clientData/>
  </xdr:twoCellAnchor>
  <xdr:twoCellAnchor>
    <xdr:from>
      <xdr:col>16</xdr:col>
      <xdr:colOff>761994</xdr:colOff>
      <xdr:row>113</xdr:row>
      <xdr:rowOff>119061</xdr:rowOff>
    </xdr:from>
    <xdr:to>
      <xdr:col>22</xdr:col>
      <xdr:colOff>809624</xdr:colOff>
      <xdr:row>139</xdr:row>
      <xdr:rowOff>142875</xdr:rowOff>
    </xdr:to>
    <xdr:sp macro="" textlink="">
      <xdr:nvSpPr>
        <xdr:cNvPr id="3" name="正方形/長方形 2"/>
        <xdr:cNvSpPr/>
      </xdr:nvSpPr>
      <xdr:spPr>
        <a:xfrm>
          <a:off x="14799463" y="21859874"/>
          <a:ext cx="4369599" cy="3536157"/>
        </a:xfrm>
        <a:prstGeom prst="rect">
          <a:avLst/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90105-13&#9733;4&#36039;&#37329;&#32368;&#12426;&#34920;(&#23455;&#32318;&#33258;&#21205;&#26356;&#26032;)V01L0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1\drive_d\Honbu\&#21454;&#25903;&#31649;&#29702;&#34920;\H30.8\H30.7_1&#21315;&#33865;&#35199;&#36861;&#21152;&#32102;&#19982;&#35336;&#31639;&#12471;&#12540;&#12488;&#20107;&#26989;&#25152;&#12471;&#12540;&#12488;&#22793;&#26356;&#12298;&#65319;&#65320;&#35199;&#20116;&#25152;&#36861;&#21152;&#12299;&#32102;&#19982;&#23553;&#31570;(&#32102;&#19982;&#25903;&#32102;&#26126;&#32048;&#26360;V07L02)+0(&#28304;&#27849;&#36996;&#20184;&#23550;&#24540;)%20(1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namoto/Desktop/hanamoto3/03%20&#22770;&#19978;&#38598;&#35336;&#12539;&#36001;&#21209;&#31649;&#29702;&#35576;&#34920;/01%20&#21454;&#25903;&#31649;&#29702;&#34920;/&#24179;&#25104;30&#24180;&#24230;/5&#26376;/4b-H30.5&#21454;&#25903;&#31649;&#29702;&#34920;(H30.5&#35531;&#27714;+H30.5&#32102;&#19982;+H30.5&#20837;&#37329;+H30.5&#32076;&#36027;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1\drive_d\Honbu\&#21454;&#25903;&#31649;&#29702;&#34920;\H30&#24180;&#24230;&#20104;&#31639;\6-H30.6&#21454;&#25903;&#31649;&#29702;&#34920;(H30.6&#35531;&#27714;+H30.6&#20837;&#37329;&#36890;&#30693;+H30.6&#32076;&#36027;)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1\Honbu\Users\hanamoto\Desktop\hanamoto3\03%20&#22770;&#19978;&#38598;&#35336;&#12539;&#36001;&#21209;&#31649;&#29702;&#35576;&#34920;\03%20&#20181;&#35379;&#38598;&#35336;\&#20181;&#35379;&#38598;&#35336;\H27&#24180;\H27&#24180;11&#26376;\17\&#20107;&#21209;&#32887;&#20250;&#35696;&#29992;)20151117_&#20181;&#35379;&#38598;&#35336;(&#20107;&#26989;&#25152;&#32076;&#36027;)+6%20Rev03L04%20&#65374;&#65320;27.02.0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メモ"/>
      <sheetName val="資金繰実績 (融資付)"/>
      <sheetName val="千葉信金融資"/>
      <sheetName val="ｸﾞﾙｰﾌﾟホーム五井準備"/>
      <sheetName val="ｸﾞﾙｰﾌﾟホーム西五所準備 "/>
      <sheetName val="H２８.夏賞与"/>
      <sheetName val="姉崎引っ越し"/>
      <sheetName val="融資増減"/>
      <sheetName val="資金繰実績（2018.09～）"/>
      <sheetName val="資金繰りデータ"/>
      <sheetName val="実績集計"/>
      <sheetName val="資金繰表改定2018(入力)"/>
      <sheetName val="資金繰表改定2018（印刷用）"/>
      <sheetName val="融資返済表"/>
      <sheetName val="仕訳データ"/>
      <sheetName val="Sheet4"/>
      <sheetName val="MEMO"/>
      <sheetName val="pivot(売上)"/>
      <sheetName val="PIVOT(売上戻し)"/>
      <sheetName val="pivot(経費)"/>
      <sheetName val="pivot(経費戻り)"/>
      <sheetName val="Sheet1"/>
      <sheetName val="若葉区訪問事業所"/>
      <sheetName val="若葉区訪問事業所 (実際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C2">
            <v>43282</v>
          </cell>
          <cell r="D2">
            <v>43313</v>
          </cell>
          <cell r="E2">
            <v>43344</v>
          </cell>
          <cell r="F2">
            <v>43374</v>
          </cell>
          <cell r="G2">
            <v>43405</v>
          </cell>
          <cell r="H2">
            <v>43435</v>
          </cell>
          <cell r="I2">
            <v>43466</v>
          </cell>
          <cell r="J2">
            <v>43497</v>
          </cell>
          <cell r="K2">
            <v>43525</v>
          </cell>
          <cell r="L2">
            <v>43556</v>
          </cell>
          <cell r="M2">
            <v>43586</v>
          </cell>
          <cell r="N2">
            <v>43617</v>
          </cell>
          <cell r="O2">
            <v>43647</v>
          </cell>
          <cell r="P2">
            <v>43678</v>
          </cell>
          <cell r="Q2">
            <v>43709</v>
          </cell>
          <cell r="R2">
            <v>43739</v>
          </cell>
          <cell r="S2">
            <v>43770</v>
          </cell>
          <cell r="T2">
            <v>43800</v>
          </cell>
          <cell r="U2">
            <v>43831</v>
          </cell>
          <cell r="V2">
            <v>43862</v>
          </cell>
          <cell r="W2">
            <v>43891</v>
          </cell>
          <cell r="X2">
            <v>43922</v>
          </cell>
          <cell r="Y2">
            <v>43952</v>
          </cell>
          <cell r="Z2">
            <v>43983</v>
          </cell>
          <cell r="AA2">
            <v>44013</v>
          </cell>
          <cell r="AB2">
            <v>44044</v>
          </cell>
          <cell r="AC2">
            <v>44075</v>
          </cell>
          <cell r="AD2">
            <v>44105</v>
          </cell>
          <cell r="AE2">
            <v>44136</v>
          </cell>
          <cell r="AF2">
            <v>44166</v>
          </cell>
          <cell r="AG2">
            <v>44197</v>
          </cell>
          <cell r="AH2">
            <v>44228</v>
          </cell>
          <cell r="AI2">
            <v>44256</v>
          </cell>
          <cell r="AJ2">
            <v>44287</v>
          </cell>
          <cell r="AK2">
            <v>44317</v>
          </cell>
          <cell r="AL2">
            <v>44348</v>
          </cell>
          <cell r="AM2">
            <v>44378</v>
          </cell>
          <cell r="AN2">
            <v>44409</v>
          </cell>
          <cell r="AO2">
            <v>44440</v>
          </cell>
          <cell r="AP2">
            <v>44470</v>
          </cell>
          <cell r="AQ2">
            <v>44501</v>
          </cell>
          <cell r="AR2">
            <v>44531</v>
          </cell>
          <cell r="AS2">
            <v>44562</v>
          </cell>
          <cell r="AT2">
            <v>44593</v>
          </cell>
          <cell r="AU2">
            <v>44621</v>
          </cell>
          <cell r="AV2">
            <v>44652</v>
          </cell>
          <cell r="AW2">
            <v>44682</v>
          </cell>
          <cell r="AX2">
            <v>44713</v>
          </cell>
          <cell r="AY2">
            <v>44743</v>
          </cell>
          <cell r="AZ2">
            <v>44774</v>
          </cell>
          <cell r="BA2">
            <v>44805</v>
          </cell>
          <cell r="BB2">
            <v>44835</v>
          </cell>
          <cell r="BC2">
            <v>44866</v>
          </cell>
          <cell r="BD2">
            <v>44896</v>
          </cell>
          <cell r="BE2">
            <v>44927</v>
          </cell>
          <cell r="BF2">
            <v>44958</v>
          </cell>
          <cell r="BG2">
            <v>44986</v>
          </cell>
          <cell r="BH2">
            <v>45017</v>
          </cell>
          <cell r="BI2">
            <v>45047</v>
          </cell>
          <cell r="BJ2">
            <v>45078</v>
          </cell>
          <cell r="BK2">
            <v>45108</v>
          </cell>
          <cell r="BL2">
            <v>45139</v>
          </cell>
        </row>
        <row r="3">
          <cell r="B3" t="str">
            <v>前月繰越金（A)</v>
          </cell>
        </row>
        <row r="4">
          <cell r="B4" t="str">
            <v>国保＆一割負担(131)</v>
          </cell>
        </row>
        <row r="5">
          <cell r="B5" t="str">
            <v>ファクタリング</v>
          </cell>
        </row>
        <row r="6">
          <cell r="B6" t="str">
            <v>自費(1065)</v>
          </cell>
        </row>
        <row r="7">
          <cell r="B7" t="str">
            <v>生活費(810)</v>
          </cell>
        </row>
        <row r="8">
          <cell r="B8" t="str">
            <v>ﾀｸｼｰ(811)</v>
          </cell>
        </row>
        <row r="9">
          <cell r="B9" t="str">
            <v>買物交通費（812）</v>
          </cell>
        </row>
        <row r="10">
          <cell r="B10" t="str">
            <v>弁当売上（813）</v>
          </cell>
        </row>
        <row r="11">
          <cell r="B11" t="str">
            <v>売上見込み1（GH君塚＆西広）</v>
          </cell>
        </row>
        <row r="12">
          <cell r="B12" t="str">
            <v>売上見込み2</v>
          </cell>
        </row>
        <row r="13">
          <cell r="B13" t="str">
            <v>売上見込み3</v>
          </cell>
        </row>
        <row r="14">
          <cell r="B14" t="str">
            <v>売上計</v>
          </cell>
        </row>
        <row r="15">
          <cell r="B15" t="str">
            <v>雑収入・利息</v>
          </cell>
        </row>
        <row r="16">
          <cell r="B16" t="str">
            <v>その他</v>
          </cell>
        </row>
        <row r="17">
          <cell r="B17" t="str">
            <v>貸付金返済金</v>
          </cell>
        </row>
        <row r="18">
          <cell r="B18" t="str">
            <v>収入合計（B)</v>
          </cell>
        </row>
        <row r="19">
          <cell r="B19" t="str">
            <v>役員報酬</v>
          </cell>
        </row>
        <row r="20">
          <cell r="B20" t="str">
            <v>人件費(一般)</v>
          </cell>
        </row>
        <row r="21">
          <cell r="B21" t="str">
            <v>役員賞与</v>
          </cell>
        </row>
        <row r="22">
          <cell r="B22" t="str">
            <v>賞与(一般)</v>
          </cell>
        </row>
        <row r="23">
          <cell r="B23" t="str">
            <v>賞与（処遇改善加算金配布）</v>
          </cell>
        </row>
        <row r="24">
          <cell r="B24" t="str">
            <v>法定福利費</v>
          </cell>
        </row>
        <row r="25">
          <cell r="B25" t="str">
            <v>福利厚生</v>
          </cell>
        </row>
        <row r="26">
          <cell r="B26" t="str">
            <v>人件費増減額</v>
          </cell>
        </row>
        <row r="27">
          <cell r="B27" t="str">
            <v>人件費計</v>
          </cell>
        </row>
        <row r="28">
          <cell r="B28" t="str">
            <v>広告宣伝費</v>
          </cell>
        </row>
        <row r="29">
          <cell r="B29" t="str">
            <v>地代家賃（P代、家賃）</v>
          </cell>
        </row>
        <row r="30">
          <cell r="B30" t="str">
            <v>水道光熱費</v>
          </cell>
        </row>
        <row r="31">
          <cell r="B31" t="str">
            <v>燃料費</v>
          </cell>
        </row>
        <row r="32">
          <cell r="B32" t="str">
            <v>事務用品</v>
          </cell>
        </row>
        <row r="33">
          <cell r="B33" t="str">
            <v>消耗品</v>
          </cell>
        </row>
        <row r="34">
          <cell r="B34" t="str">
            <v>賃借料(ﾘｰｽ）</v>
          </cell>
        </row>
        <row r="35">
          <cell r="B35" t="str">
            <v>保険料</v>
          </cell>
        </row>
        <row r="36">
          <cell r="B36" t="str">
            <v>修繕費</v>
          </cell>
        </row>
        <row r="37">
          <cell r="B37" t="str">
            <v>租税公課</v>
          </cell>
        </row>
        <row r="38">
          <cell r="B38" t="str">
            <v>接待交際費</v>
          </cell>
        </row>
        <row r="39">
          <cell r="B39" t="str">
            <v>旅費交通費</v>
          </cell>
        </row>
        <row r="40">
          <cell r="B40" t="str">
            <v>通信費</v>
          </cell>
        </row>
        <row r="41">
          <cell r="B41" t="str">
            <v>支払手数料</v>
          </cell>
        </row>
        <row r="42">
          <cell r="B42" t="str">
            <v>会議費</v>
          </cell>
        </row>
        <row r="43">
          <cell r="B43" t="str">
            <v>諸会費</v>
          </cell>
        </row>
        <row r="44">
          <cell r="B44" t="str">
            <v>利用者食費</v>
          </cell>
        </row>
        <row r="45">
          <cell r="B45" t="str">
            <v>新聞図書</v>
          </cell>
        </row>
        <row r="46">
          <cell r="B46" t="str">
            <v>雑費</v>
          </cell>
        </row>
        <row r="47">
          <cell r="B47" t="str">
            <v>一般管理費計</v>
          </cell>
        </row>
        <row r="48">
          <cell r="B48" t="str">
            <v>営業支出計</v>
          </cell>
        </row>
        <row r="49">
          <cell r="B49" t="str">
            <v>工事設備費/準備資金/その他</v>
          </cell>
        </row>
        <row r="50">
          <cell r="B50" t="str">
            <v>敷金保証金</v>
          </cell>
        </row>
        <row r="51">
          <cell r="B51" t="str">
            <v>弁当仕入れ代</v>
          </cell>
        </row>
        <row r="52">
          <cell r="B52" t="str">
            <v>短期貸付</v>
          </cell>
        </row>
        <row r="53">
          <cell r="B53" t="str">
            <v>立替金</v>
          </cell>
        </row>
        <row r="54">
          <cell r="B54" t="str">
            <v>仮払金</v>
          </cell>
        </row>
        <row r="55">
          <cell r="B55" t="str">
            <v>その他未払い費用</v>
          </cell>
        </row>
        <row r="56">
          <cell r="B56" t="str">
            <v>未払い金（車）</v>
          </cell>
        </row>
        <row r="57">
          <cell r="B57" t="str">
            <v>未払い金（ｶｰﾄﾞ）</v>
          </cell>
        </row>
        <row r="58">
          <cell r="B58" t="str">
            <v>減価償却分</v>
          </cell>
        </row>
        <row r="59">
          <cell r="B59" t="str">
            <v>支出合計（C)</v>
          </cell>
        </row>
        <row r="60">
          <cell r="B60" t="str">
            <v>Ａ ＋ Ｂ － Ｃ</v>
          </cell>
        </row>
        <row r="61">
          <cell r="B61" t="str">
            <v>ｱｸﾘｰﾃｨﾌﾞﾒﾃﾞｨｶﾙ（資金前倒し借入）</v>
          </cell>
        </row>
        <row r="62">
          <cell r="B62" t="str">
            <v>長期借入金入金</v>
          </cell>
        </row>
        <row r="63">
          <cell r="B63" t="str">
            <v>短期借入金入金</v>
          </cell>
        </row>
        <row r="64">
          <cell r="B64" t="str">
            <v>借入合計</v>
          </cell>
        </row>
        <row r="65">
          <cell r="B65" t="str">
            <v>借入返済 （会計ＮＯ　607）</v>
          </cell>
        </row>
        <row r="66">
          <cell r="B66" t="str">
            <v>借入返済（会計NO　609）</v>
          </cell>
        </row>
        <row r="67">
          <cell r="B67" t="str">
            <v>借入返済（会計NO　612）</v>
          </cell>
        </row>
        <row r="68">
          <cell r="B68" t="str">
            <v>借入返済（会計NO　614）</v>
          </cell>
        </row>
        <row r="69">
          <cell r="B69" t="str">
            <v>借入返済（会計NO　618）</v>
          </cell>
        </row>
        <row r="70">
          <cell r="B70" t="str">
            <v>資金返済（短期借入返済）</v>
          </cell>
        </row>
        <row r="71">
          <cell r="B71" t="str">
            <v>借入返済（会計NO　617）</v>
          </cell>
        </row>
        <row r="72">
          <cell r="B72" t="str">
            <v>借入返済（会計NO　619）</v>
          </cell>
        </row>
        <row r="73">
          <cell r="B73" t="str">
            <v>借入返済（会計NO　621）</v>
          </cell>
        </row>
        <row r="74">
          <cell r="B74" t="str">
            <v>借入返済（会計NO　622）</v>
          </cell>
        </row>
        <row r="75">
          <cell r="B75" t="str">
            <v>借入返済（会計NO　623）</v>
          </cell>
        </row>
        <row r="76">
          <cell r="B76" t="str">
            <v>借入返済（会計NO　624）</v>
          </cell>
        </row>
        <row r="77">
          <cell r="B77" t="str">
            <v>借入返済（会計NO　625）</v>
          </cell>
        </row>
        <row r="78">
          <cell r="B78" t="str">
            <v>借入返済（会計NO　626）</v>
          </cell>
        </row>
        <row r="79">
          <cell r="B79" t="str">
            <v>借入返済（会計NO　628）</v>
          </cell>
        </row>
        <row r="80">
          <cell r="B80" t="str">
            <v>借入返済（会計NO　627）</v>
          </cell>
        </row>
        <row r="81">
          <cell r="B81" t="str">
            <v>借入返済（会計NO　629）</v>
          </cell>
        </row>
        <row r="82">
          <cell r="B82" t="str">
            <v>資金返済予定3</v>
          </cell>
        </row>
        <row r="83">
          <cell r="B83" t="str">
            <v>資金返済予定4</v>
          </cell>
        </row>
        <row r="84">
          <cell r="B84" t="str">
            <v>資金返済予定5</v>
          </cell>
        </row>
        <row r="85">
          <cell r="B85" t="str">
            <v>資金返済予定6</v>
          </cell>
        </row>
        <row r="86">
          <cell r="B86" t="str">
            <v>資金返済予定7</v>
          </cell>
        </row>
        <row r="87">
          <cell r="B87" t="str">
            <v>資金返済予定8</v>
          </cell>
        </row>
        <row r="88">
          <cell r="B88" t="str">
            <v>資金返済予定9</v>
          </cell>
        </row>
        <row r="89">
          <cell r="B89" t="str">
            <v>ｱｸﾘｰﾃｨﾌﾞﾒﾃﾞｨｶﾙ（支払手数料）</v>
          </cell>
        </row>
        <row r="90">
          <cell r="B90" t="str">
            <v>借入返済合計</v>
          </cell>
        </row>
        <row r="91">
          <cell r="B91" t="str">
            <v>収入-支出</v>
          </cell>
        </row>
        <row r="92">
          <cell r="B92" t="str">
            <v>翌　　月　　繰　　越　　金（Ｄ）</v>
          </cell>
        </row>
        <row r="93">
          <cell r="B93" t="str">
            <v>市県民税及び源泉預かり金</v>
          </cell>
        </row>
        <row r="94">
          <cell r="B94" t="str">
            <v>法定副福利費預かり金</v>
          </cell>
        </row>
        <row r="95">
          <cell r="B95" t="str">
            <v>源泉他預り金</v>
          </cell>
        </row>
        <row r="96">
          <cell r="B96" t="str">
            <v>預り敷金（施設/ＧＨ）</v>
          </cell>
        </row>
        <row r="97">
          <cell r="B97" t="str">
            <v>預り金合計</v>
          </cell>
        </row>
        <row r="98">
          <cell r="B98" t="str">
            <v>定期預金積積立金</v>
          </cell>
        </row>
        <row r="99">
          <cell r="B99" t="str">
            <v>定期預金解約</v>
          </cell>
        </row>
        <row r="100">
          <cell r="B100" t="str">
            <v>定期預金積立残高</v>
          </cell>
        </row>
        <row r="101">
          <cell r="B101" t="str">
            <v>倒産防止掛け金/ 保険積立</v>
          </cell>
        </row>
        <row r="102">
          <cell r="B102" t="str">
            <v>改善加算金プール</v>
          </cell>
        </row>
        <row r="103">
          <cell r="B103" t="str">
            <v>改善加算金払い出し</v>
          </cell>
        </row>
        <row r="104">
          <cell r="B104" t="str">
            <v>改善加算プール残高</v>
          </cell>
        </row>
        <row r="105">
          <cell r="B105" t="str">
            <v>短期借入返済</v>
          </cell>
        </row>
        <row r="106">
          <cell r="B106" t="str">
            <v>現金残高（Ｄ－預り金）</v>
          </cell>
        </row>
        <row r="107">
          <cell r="B107" t="str">
            <v>実　際　の　現　金　残　高</v>
          </cell>
        </row>
        <row r="108">
          <cell r="B108" t="str">
            <v>繰越調整金</v>
          </cell>
        </row>
        <row r="109">
          <cell r="B109" t="str">
            <v>翌月繰越金（Ｅ）+繰越調整金＝翌月繰越金（Ｆ）</v>
          </cell>
        </row>
        <row r="110">
          <cell r="B110" t="str">
            <v>イベントメモ1</v>
          </cell>
        </row>
        <row r="111">
          <cell r="B111" t="str">
            <v>イベント金額1</v>
          </cell>
        </row>
        <row r="112">
          <cell r="B112" t="str">
            <v>イベントメモ2</v>
          </cell>
        </row>
        <row r="113">
          <cell r="B113" t="str">
            <v>イベント金額2</v>
          </cell>
        </row>
        <row r="114">
          <cell r="B114" t="str">
            <v>イベントメモ3</v>
          </cell>
        </row>
        <row r="115">
          <cell r="B115" t="str">
            <v>イベント金額3</v>
          </cell>
        </row>
        <row r="116">
          <cell r="B116" t="str">
            <v>イベントメモ4</v>
          </cell>
        </row>
        <row r="117">
          <cell r="B117" t="str">
            <v>イベント金額4</v>
          </cell>
        </row>
        <row r="118">
          <cell r="B118" t="str">
            <v>イベントメモ5</v>
          </cell>
        </row>
        <row r="119">
          <cell r="B119" t="str">
            <v>イベント金額5</v>
          </cell>
        </row>
        <row r="120">
          <cell r="B120" t="str">
            <v>イベントメモ6</v>
          </cell>
        </row>
        <row r="121">
          <cell r="B121" t="str">
            <v>イベント金額6</v>
          </cell>
        </row>
        <row r="122">
          <cell r="B122" t="str">
            <v>イベントメモ7</v>
          </cell>
        </row>
        <row r="123">
          <cell r="B123" t="str">
            <v>イベント金額7</v>
          </cell>
        </row>
        <row r="124">
          <cell r="B124" t="str">
            <v>イベントメモ8</v>
          </cell>
        </row>
        <row r="125">
          <cell r="B125" t="str">
            <v>イベント金額8</v>
          </cell>
        </row>
        <row r="126">
          <cell r="B126" t="str">
            <v>イベントメモ9</v>
          </cell>
        </row>
        <row r="127">
          <cell r="B127" t="str">
            <v>イベント金額9</v>
          </cell>
        </row>
        <row r="128">
          <cell r="B128" t="str">
            <v>イベントメモ10</v>
          </cell>
        </row>
        <row r="129">
          <cell r="B129" t="str">
            <v>イベント金額10</v>
          </cell>
        </row>
        <row r="130">
          <cell r="B130" t="str">
            <v>イベントメモ11</v>
          </cell>
        </row>
        <row r="131">
          <cell r="B131" t="str">
            <v>イベント金額11</v>
          </cell>
        </row>
        <row r="132">
          <cell r="B132" t="str">
            <v>イベントメモ12</v>
          </cell>
        </row>
        <row r="133">
          <cell r="B133" t="str">
            <v>イベント金額12</v>
          </cell>
        </row>
        <row r="134">
          <cell r="B134" t="str">
            <v>イベントメモ13</v>
          </cell>
        </row>
        <row r="135">
          <cell r="B135" t="str">
            <v>イベント金額13</v>
          </cell>
        </row>
        <row r="136">
          <cell r="B136" t="str">
            <v>イベントメモ14</v>
          </cell>
        </row>
        <row r="137">
          <cell r="B137" t="str">
            <v>イベント金額14</v>
          </cell>
        </row>
        <row r="138">
          <cell r="B138" t="str">
            <v>イベントメモ15</v>
          </cell>
        </row>
        <row r="139">
          <cell r="B139" t="str">
            <v>イベント金額15</v>
          </cell>
        </row>
        <row r="140">
          <cell r="B140" t="str">
            <v>イベントメモ16</v>
          </cell>
        </row>
        <row r="141">
          <cell r="B141" t="str">
            <v>イベント金額16</v>
          </cell>
        </row>
        <row r="142">
          <cell r="B142" t="str">
            <v>イベントメモ17</v>
          </cell>
        </row>
        <row r="143">
          <cell r="B143" t="str">
            <v>イベント金額17</v>
          </cell>
        </row>
        <row r="144">
          <cell r="B144" t="str">
            <v>イベントメモ18</v>
          </cell>
        </row>
        <row r="145">
          <cell r="B145" t="str">
            <v>イベント金額18</v>
          </cell>
        </row>
        <row r="146">
          <cell r="B146" t="str">
            <v>銀行借入メモ1</v>
          </cell>
        </row>
        <row r="147">
          <cell r="B147" t="str">
            <v>銀行借入金額1</v>
          </cell>
        </row>
        <row r="148">
          <cell r="B148" t="str">
            <v>銀行借入メモ2</v>
          </cell>
        </row>
        <row r="149">
          <cell r="B149" t="str">
            <v>銀行借入金額2</v>
          </cell>
        </row>
        <row r="150">
          <cell r="B150" t="str">
            <v>銀行借入メモ3</v>
          </cell>
        </row>
        <row r="151">
          <cell r="B151" t="str">
            <v>銀行借入金額3</v>
          </cell>
        </row>
        <row r="152">
          <cell r="B152" t="str">
            <v>銀行借入メモ4</v>
          </cell>
        </row>
        <row r="153">
          <cell r="B153" t="str">
            <v>銀行借入金額4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社員用(2)"/>
      <sheetName val="月額表"/>
      <sheetName val="白金パート用"/>
      <sheetName val="千葉中央パート用"/>
      <sheetName val="姉崎パート用"/>
      <sheetName val="千葉南パート用"/>
      <sheetName val="千葉東パート用"/>
      <sheetName val="千葉西パート用"/>
      <sheetName val="パート用"/>
      <sheetName val="訪問給与データ"/>
      <sheetName val="中高根パート用"/>
      <sheetName val="二日市場パート用"/>
      <sheetName val="白金ディパート用"/>
      <sheetName val="ＧＨ五井パート用"/>
      <sheetName val="ＧＨ白金パート用"/>
      <sheetName val="ＧＨ西五所パート用"/>
      <sheetName val="職員台帳"/>
      <sheetName val="パート賃金集計シート"/>
      <sheetName val="パート交通費集計シート"/>
      <sheetName val="Sheet5"/>
      <sheetName val="Sheet4"/>
      <sheetName val="社員諸手当集計シート"/>
      <sheetName val="社員用"/>
      <sheetName val="役員用"/>
      <sheetName val="支給明細書old"/>
      <sheetName val="事業所別人件費"/>
      <sheetName val="支給明細書"/>
      <sheetName val="支給明細データ"/>
      <sheetName val="封筒印刷"/>
      <sheetName val="封筒印刷リスト"/>
      <sheetName val="給与応援(役員)"/>
      <sheetName val="給与応援(社員)"/>
      <sheetName val="給与応援(時給パート)"/>
      <sheetName val="給与応援(日給夜勤)"/>
      <sheetName val="給与応援(訪問パート)"/>
      <sheetName val="給与明細"/>
      <sheetName val="ini_sheet"/>
      <sheetName val="使い方ヘルプ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">
          <cell r="C3" t="str">
            <v>白金タクシー</v>
          </cell>
          <cell r="P3">
            <v>224323</v>
          </cell>
        </row>
        <row r="4">
          <cell r="C4" t="str">
            <v>白金タクシー</v>
          </cell>
          <cell r="P4" t="str">
            <v/>
          </cell>
        </row>
        <row r="5">
          <cell r="C5" t="str">
            <v>白金タクシー</v>
          </cell>
          <cell r="P5">
            <v>179287</v>
          </cell>
        </row>
        <row r="6">
          <cell r="C6" t="str">
            <v>白金タクシー</v>
          </cell>
          <cell r="P6">
            <v>0</v>
          </cell>
        </row>
        <row r="7">
          <cell r="C7" t="str">
            <v>白金タクシー</v>
          </cell>
          <cell r="P7">
            <v>27868</v>
          </cell>
        </row>
        <row r="8">
          <cell r="C8" t="str">
            <v>白金タクシー</v>
          </cell>
          <cell r="P8">
            <v>72910</v>
          </cell>
        </row>
        <row r="9">
          <cell r="C9" t="str">
            <v>白金事業所</v>
          </cell>
          <cell r="P9">
            <v>112883</v>
          </cell>
        </row>
        <row r="10">
          <cell r="C10" t="str">
            <v>白金事業所</v>
          </cell>
          <cell r="P10">
            <v>101138</v>
          </cell>
        </row>
        <row r="11">
          <cell r="C11" t="str">
            <v>千葉南事業所</v>
          </cell>
          <cell r="P11">
            <v>62506</v>
          </cell>
        </row>
        <row r="12">
          <cell r="C12" t="str">
            <v>千葉中央事業所</v>
          </cell>
          <cell r="P12">
            <v>59160</v>
          </cell>
        </row>
        <row r="13">
          <cell r="C13" t="str">
            <v>千葉中央事業所</v>
          </cell>
          <cell r="P13">
            <v>53070</v>
          </cell>
        </row>
        <row r="14">
          <cell r="C14" t="str">
            <v>白金事業所</v>
          </cell>
          <cell r="P14">
            <v>48720</v>
          </cell>
        </row>
        <row r="15">
          <cell r="C15" t="str">
            <v>白金事業所</v>
          </cell>
          <cell r="P15">
            <v>115275</v>
          </cell>
        </row>
        <row r="16">
          <cell r="C16" t="str">
            <v>二日市場老人ホーム</v>
          </cell>
          <cell r="P16" t="str">
            <v/>
          </cell>
        </row>
        <row r="17">
          <cell r="C17" t="str">
            <v>二日市場老人ホーム</v>
          </cell>
          <cell r="P17" t="str">
            <v/>
          </cell>
        </row>
        <row r="18">
          <cell r="C18" t="str">
            <v>二日市場老人ホーム</v>
          </cell>
          <cell r="P18" t="str">
            <v/>
          </cell>
        </row>
        <row r="19">
          <cell r="C19" t="str">
            <v>二日市場老人ホーム</v>
          </cell>
          <cell r="P19" t="str">
            <v/>
          </cell>
        </row>
        <row r="20">
          <cell r="C20" t="str">
            <v>二日市場老人ホーム</v>
          </cell>
          <cell r="P20" t="str">
            <v/>
          </cell>
        </row>
        <row r="21">
          <cell r="C21" t="str">
            <v>二日市場老人ホーム</v>
          </cell>
          <cell r="P21" t="str">
            <v/>
          </cell>
        </row>
        <row r="22">
          <cell r="C22" t="str">
            <v>二日市場老人ホーム</v>
          </cell>
          <cell r="P22" t="str">
            <v/>
          </cell>
        </row>
        <row r="23">
          <cell r="C23" t="str">
            <v>二日市場老人ホーム</v>
          </cell>
          <cell r="P23" t="str">
            <v/>
          </cell>
        </row>
        <row r="24">
          <cell r="C24" t="str">
            <v>中高根老人ホーム</v>
          </cell>
          <cell r="P24" t="str">
            <v/>
          </cell>
        </row>
        <row r="25">
          <cell r="C25" t="str">
            <v>二日市場老人ホーム</v>
          </cell>
          <cell r="P25" t="str">
            <v/>
          </cell>
        </row>
        <row r="26">
          <cell r="C26" t="str">
            <v>中高根老人ホーム</v>
          </cell>
          <cell r="P26" t="str">
            <v/>
          </cell>
        </row>
        <row r="27">
          <cell r="C27" t="str">
            <v>中高根老人ホーム</v>
          </cell>
          <cell r="P27" t="str">
            <v/>
          </cell>
        </row>
        <row r="28">
          <cell r="C28" t="str">
            <v>二日市場老人ホーム</v>
          </cell>
          <cell r="P28" t="str">
            <v/>
          </cell>
        </row>
        <row r="29">
          <cell r="C29" t="str">
            <v>二日市場老人ホーム</v>
          </cell>
          <cell r="P29" t="str">
            <v/>
          </cell>
        </row>
        <row r="30">
          <cell r="C30" t="str">
            <v>二日市場老人ホーム</v>
          </cell>
          <cell r="P30" t="str">
            <v/>
          </cell>
        </row>
        <row r="31">
          <cell r="C31" t="str">
            <v>中高根老人ホーム</v>
          </cell>
          <cell r="P31" t="str">
            <v/>
          </cell>
        </row>
        <row r="32">
          <cell r="C32" t="str">
            <v>中高根老人ホーム</v>
          </cell>
          <cell r="P32" t="str">
            <v/>
          </cell>
        </row>
        <row r="33">
          <cell r="C33" t="str">
            <v>中高根老人ホーム</v>
          </cell>
          <cell r="P33" t="str">
            <v/>
          </cell>
        </row>
        <row r="34">
          <cell r="C34" t="str">
            <v>二日市場老人ホーム</v>
          </cell>
          <cell r="P34" t="str">
            <v/>
          </cell>
        </row>
        <row r="35">
          <cell r="C35" t="str">
            <v>二日市場老人ホーム</v>
          </cell>
          <cell r="P35" t="str">
            <v/>
          </cell>
        </row>
        <row r="36">
          <cell r="C36" t="str">
            <v>二日市場老人ホーム</v>
          </cell>
          <cell r="P36" t="str">
            <v/>
          </cell>
        </row>
        <row r="37">
          <cell r="C37" t="str">
            <v>二日市場老人ホーム</v>
          </cell>
          <cell r="P37" t="str">
            <v/>
          </cell>
        </row>
        <row r="38">
          <cell r="C38" t="str">
            <v>二日市場老人ホーム</v>
          </cell>
          <cell r="P38" t="str">
            <v/>
          </cell>
        </row>
        <row r="39">
          <cell r="C39" t="str">
            <v>二日市場老人ホーム</v>
          </cell>
          <cell r="P39" t="str">
            <v/>
          </cell>
        </row>
        <row r="40">
          <cell r="C40" t="str">
            <v>白金事業所</v>
          </cell>
          <cell r="P40" t="str">
            <v/>
          </cell>
        </row>
        <row r="41">
          <cell r="C41" t="str">
            <v>姉崎事業所</v>
          </cell>
          <cell r="P41" t="str">
            <v/>
          </cell>
        </row>
        <row r="42">
          <cell r="C42" t="str">
            <v>白金事業所</v>
          </cell>
          <cell r="P42" t="str">
            <v/>
          </cell>
        </row>
        <row r="43">
          <cell r="C43" t="str">
            <v>姉崎事業所</v>
          </cell>
          <cell r="P43" t="str">
            <v/>
          </cell>
        </row>
        <row r="44">
          <cell r="C44" t="str">
            <v>姉崎事業所</v>
          </cell>
          <cell r="P44" t="str">
            <v/>
          </cell>
        </row>
        <row r="45">
          <cell r="C45" t="str">
            <v>白金事業所</v>
          </cell>
          <cell r="P45" t="str">
            <v/>
          </cell>
        </row>
        <row r="46">
          <cell r="C46" t="str">
            <v>姉崎事業所</v>
          </cell>
          <cell r="P46" t="str">
            <v/>
          </cell>
        </row>
        <row r="47">
          <cell r="C47" t="str">
            <v>姉崎事業所</v>
          </cell>
          <cell r="P47" t="str">
            <v/>
          </cell>
        </row>
        <row r="48">
          <cell r="C48" t="str">
            <v>白金事業所</v>
          </cell>
          <cell r="P48" t="str">
            <v/>
          </cell>
        </row>
        <row r="49">
          <cell r="C49" t="str">
            <v>二日市場老人ホーム</v>
          </cell>
          <cell r="P49" t="str">
            <v/>
          </cell>
        </row>
        <row r="50">
          <cell r="C50" t="str">
            <v>白金事業所</v>
          </cell>
          <cell r="P50" t="str">
            <v/>
          </cell>
        </row>
        <row r="51">
          <cell r="C51" t="str">
            <v>白金事業所</v>
          </cell>
          <cell r="P51" t="str">
            <v/>
          </cell>
        </row>
        <row r="52">
          <cell r="C52" t="str">
            <v>白金事業所</v>
          </cell>
          <cell r="P52" t="str">
            <v/>
          </cell>
        </row>
        <row r="53">
          <cell r="C53" t="str">
            <v>白金事業所</v>
          </cell>
          <cell r="P53" t="str">
            <v/>
          </cell>
        </row>
        <row r="54">
          <cell r="C54" t="str">
            <v>白金事業所</v>
          </cell>
          <cell r="P54" t="str">
            <v/>
          </cell>
        </row>
        <row r="55">
          <cell r="C55" t="str">
            <v>白金事業所</v>
          </cell>
          <cell r="P55" t="str">
            <v/>
          </cell>
        </row>
        <row r="56">
          <cell r="C56" t="str">
            <v>白金事業所</v>
          </cell>
          <cell r="P56" t="str">
            <v/>
          </cell>
        </row>
        <row r="57">
          <cell r="C57" t="str">
            <v>白金事業所</v>
          </cell>
          <cell r="P57" t="str">
            <v/>
          </cell>
        </row>
        <row r="58">
          <cell r="C58" t="str">
            <v>白金事業所</v>
          </cell>
          <cell r="P58" t="str">
            <v/>
          </cell>
        </row>
        <row r="59">
          <cell r="C59" t="str">
            <v>白金事業所</v>
          </cell>
          <cell r="P59" t="str">
            <v/>
          </cell>
        </row>
        <row r="60">
          <cell r="C60" t="str">
            <v>白金事業所</v>
          </cell>
          <cell r="P60" t="str">
            <v/>
          </cell>
        </row>
        <row r="61">
          <cell r="C61" t="str">
            <v>白金事業所</v>
          </cell>
          <cell r="P61" t="str">
            <v/>
          </cell>
        </row>
        <row r="62">
          <cell r="C62" t="str">
            <v>白金事業所</v>
          </cell>
          <cell r="P62" t="str">
            <v/>
          </cell>
        </row>
        <row r="63">
          <cell r="C63" t="str">
            <v>白金事業所</v>
          </cell>
          <cell r="P63" t="str">
            <v/>
          </cell>
        </row>
        <row r="64">
          <cell r="C64" t="str">
            <v>白金事業所</v>
          </cell>
          <cell r="P64" t="str">
            <v/>
          </cell>
        </row>
        <row r="65">
          <cell r="C65" t="str">
            <v>白金事業所</v>
          </cell>
          <cell r="P65" t="str">
            <v/>
          </cell>
        </row>
        <row r="66">
          <cell r="C66" t="str">
            <v>白金事業所</v>
          </cell>
          <cell r="P66" t="str">
            <v/>
          </cell>
        </row>
        <row r="67">
          <cell r="C67" t="str">
            <v>白金事業所</v>
          </cell>
          <cell r="P67" t="str">
            <v/>
          </cell>
        </row>
        <row r="68">
          <cell r="C68" t="str">
            <v>白金事業所</v>
          </cell>
          <cell r="P68" t="str">
            <v/>
          </cell>
        </row>
        <row r="69">
          <cell r="C69" t="str">
            <v>白金事業所</v>
          </cell>
          <cell r="P69" t="str">
            <v/>
          </cell>
        </row>
        <row r="70">
          <cell r="C70" t="str">
            <v>白金事業所</v>
          </cell>
          <cell r="P70" t="str">
            <v/>
          </cell>
        </row>
        <row r="71">
          <cell r="C71" t="str">
            <v>白金事業所</v>
          </cell>
          <cell r="P71" t="str">
            <v/>
          </cell>
        </row>
        <row r="72">
          <cell r="C72" t="str">
            <v>白金事業所</v>
          </cell>
          <cell r="P72" t="str">
            <v/>
          </cell>
        </row>
        <row r="73">
          <cell r="C73" t="str">
            <v>白金事業所</v>
          </cell>
          <cell r="P73" t="str">
            <v/>
          </cell>
        </row>
        <row r="74">
          <cell r="C74" t="str">
            <v>白金事業所</v>
          </cell>
          <cell r="P74" t="str">
            <v/>
          </cell>
        </row>
        <row r="75">
          <cell r="C75" t="str">
            <v>白金事業所</v>
          </cell>
          <cell r="P75" t="str">
            <v/>
          </cell>
        </row>
        <row r="76">
          <cell r="C76" t="str">
            <v>白金事業所</v>
          </cell>
          <cell r="P76" t="str">
            <v/>
          </cell>
        </row>
        <row r="77">
          <cell r="C77" t="str">
            <v>白金事業所</v>
          </cell>
          <cell r="P77" t="str">
            <v/>
          </cell>
        </row>
        <row r="78">
          <cell r="C78" t="str">
            <v>白金事業所</v>
          </cell>
          <cell r="P78" t="str">
            <v/>
          </cell>
        </row>
        <row r="79">
          <cell r="C79" t="str">
            <v>白金タクシー</v>
          </cell>
          <cell r="P79">
            <v>25459</v>
          </cell>
        </row>
        <row r="80">
          <cell r="C80" t="str">
            <v>白金事業所</v>
          </cell>
          <cell r="P80" t="str">
            <v/>
          </cell>
        </row>
        <row r="81">
          <cell r="C81" t="str">
            <v>白金事業所</v>
          </cell>
          <cell r="P81" t="str">
            <v/>
          </cell>
        </row>
        <row r="82">
          <cell r="C82" t="str">
            <v>白金事業所</v>
          </cell>
          <cell r="P82" t="str">
            <v/>
          </cell>
        </row>
        <row r="83">
          <cell r="C83" t="str">
            <v>白金事業所</v>
          </cell>
          <cell r="P83" t="str">
            <v/>
          </cell>
        </row>
        <row r="84">
          <cell r="C84" t="str">
            <v>白金事業所</v>
          </cell>
          <cell r="P84" t="str">
            <v/>
          </cell>
        </row>
        <row r="85">
          <cell r="C85" t="str">
            <v>白金事業所</v>
          </cell>
          <cell r="P85" t="str">
            <v/>
          </cell>
        </row>
        <row r="86">
          <cell r="C86" t="str">
            <v>白金事業所</v>
          </cell>
          <cell r="P86" t="str">
            <v/>
          </cell>
        </row>
        <row r="87">
          <cell r="C87" t="str">
            <v>白金事業所</v>
          </cell>
          <cell r="P87" t="str">
            <v/>
          </cell>
        </row>
        <row r="88">
          <cell r="C88" t="str">
            <v>白金事業所</v>
          </cell>
          <cell r="P88" t="str">
            <v/>
          </cell>
        </row>
        <row r="89">
          <cell r="C89" t="str">
            <v>白金事業所</v>
          </cell>
          <cell r="P89" t="str">
            <v/>
          </cell>
        </row>
        <row r="90">
          <cell r="C90" t="str">
            <v>白金事業所</v>
          </cell>
          <cell r="P90" t="str">
            <v/>
          </cell>
        </row>
        <row r="91">
          <cell r="C91" t="str">
            <v>白金事業所</v>
          </cell>
          <cell r="P91" t="str">
            <v/>
          </cell>
        </row>
        <row r="92">
          <cell r="C92" t="str">
            <v>白金事業所</v>
          </cell>
          <cell r="P92" t="str">
            <v/>
          </cell>
        </row>
        <row r="93">
          <cell r="C93" t="str">
            <v>白金事業所</v>
          </cell>
          <cell r="P93" t="str">
            <v/>
          </cell>
        </row>
        <row r="94">
          <cell r="C94" t="str">
            <v>白金事業所</v>
          </cell>
          <cell r="P94" t="str">
            <v/>
          </cell>
        </row>
        <row r="95">
          <cell r="C95" t="str">
            <v>白金事業所</v>
          </cell>
          <cell r="P95" t="str">
            <v/>
          </cell>
        </row>
        <row r="96">
          <cell r="C96" t="str">
            <v>白金事業所</v>
          </cell>
          <cell r="P96" t="str">
            <v/>
          </cell>
        </row>
        <row r="97">
          <cell r="C97" t="str">
            <v>白金事業所</v>
          </cell>
          <cell r="P97" t="str">
            <v/>
          </cell>
        </row>
        <row r="98">
          <cell r="C98" t="str">
            <v>千葉中央事業所</v>
          </cell>
          <cell r="P98" t="str">
            <v/>
          </cell>
        </row>
        <row r="99">
          <cell r="C99" t="str">
            <v>千葉中央事業所</v>
          </cell>
          <cell r="P99" t="str">
            <v/>
          </cell>
        </row>
        <row r="100">
          <cell r="C100" t="str">
            <v>千葉中央事業所</v>
          </cell>
          <cell r="P100" t="str">
            <v/>
          </cell>
        </row>
        <row r="101">
          <cell r="C101" t="str">
            <v>千葉中央事業所</v>
          </cell>
          <cell r="P101" t="str">
            <v/>
          </cell>
        </row>
        <row r="102">
          <cell r="C102" t="str">
            <v>千葉中央事業所</v>
          </cell>
          <cell r="P102" t="str">
            <v/>
          </cell>
        </row>
        <row r="103">
          <cell r="C103" t="str">
            <v>千葉中央事業所</v>
          </cell>
          <cell r="P103" t="str">
            <v/>
          </cell>
        </row>
        <row r="104">
          <cell r="C104" t="str">
            <v>千葉中央事業所</v>
          </cell>
          <cell r="P104" t="str">
            <v/>
          </cell>
        </row>
        <row r="105">
          <cell r="C105" t="str">
            <v>千葉中央事業所</v>
          </cell>
          <cell r="P105" t="str">
            <v/>
          </cell>
        </row>
        <row r="106">
          <cell r="C106" t="str">
            <v>千葉中央事業所</v>
          </cell>
          <cell r="P106" t="str">
            <v/>
          </cell>
        </row>
        <row r="107">
          <cell r="C107" t="str">
            <v>千葉中央事業所</v>
          </cell>
          <cell r="P107" t="str">
            <v/>
          </cell>
        </row>
        <row r="108">
          <cell r="C108" t="str">
            <v>千葉中央事業所</v>
          </cell>
          <cell r="P108" t="str">
            <v/>
          </cell>
        </row>
        <row r="109">
          <cell r="C109" t="str">
            <v>千葉中央事業所</v>
          </cell>
          <cell r="P109" t="str">
            <v/>
          </cell>
        </row>
        <row r="110">
          <cell r="C110" t="str">
            <v>千葉中央事業所</v>
          </cell>
          <cell r="P110" t="str">
            <v/>
          </cell>
        </row>
        <row r="111">
          <cell r="C111" t="str">
            <v>千葉中央事業所</v>
          </cell>
          <cell r="P111" t="str">
            <v/>
          </cell>
        </row>
        <row r="112">
          <cell r="C112" t="str">
            <v>千葉中央事業所</v>
          </cell>
          <cell r="P112" t="str">
            <v/>
          </cell>
        </row>
        <row r="113">
          <cell r="C113" t="str">
            <v>千葉中央事業所</v>
          </cell>
          <cell r="P113" t="str">
            <v/>
          </cell>
        </row>
        <row r="114">
          <cell r="C114" t="str">
            <v>千葉中央事業所</v>
          </cell>
          <cell r="P114" t="str">
            <v/>
          </cell>
        </row>
        <row r="115">
          <cell r="C115" t="str">
            <v>千葉中央事業所</v>
          </cell>
          <cell r="P115" t="str">
            <v/>
          </cell>
        </row>
        <row r="116">
          <cell r="C116" t="str">
            <v>千葉中央事業所</v>
          </cell>
          <cell r="P116" t="str">
            <v/>
          </cell>
        </row>
        <row r="117">
          <cell r="C117" t="str">
            <v>千葉中央事業所</v>
          </cell>
        </row>
        <row r="118">
          <cell r="C118" t="str">
            <v>千葉南事業所</v>
          </cell>
          <cell r="P118" t="str">
            <v/>
          </cell>
        </row>
        <row r="119">
          <cell r="C119" t="str">
            <v>千葉南事業所</v>
          </cell>
          <cell r="P119" t="str">
            <v/>
          </cell>
        </row>
        <row r="120">
          <cell r="C120" t="str">
            <v>千葉南事業所</v>
          </cell>
          <cell r="P120" t="str">
            <v/>
          </cell>
        </row>
        <row r="121">
          <cell r="C121" t="str">
            <v>千葉南事業所</v>
          </cell>
          <cell r="P121" t="str">
            <v/>
          </cell>
        </row>
        <row r="122">
          <cell r="C122" t="str">
            <v>千葉南事業所</v>
          </cell>
          <cell r="P122" t="str">
            <v/>
          </cell>
        </row>
        <row r="123">
          <cell r="C123" t="str">
            <v>千葉南事業所</v>
          </cell>
          <cell r="P123" t="str">
            <v/>
          </cell>
        </row>
        <row r="124">
          <cell r="C124" t="str">
            <v>千葉南事業所</v>
          </cell>
          <cell r="P124" t="str">
            <v/>
          </cell>
        </row>
        <row r="125">
          <cell r="C125" t="str">
            <v>千葉南事業所</v>
          </cell>
          <cell r="P125" t="str">
            <v/>
          </cell>
        </row>
        <row r="126">
          <cell r="C126" t="str">
            <v>千葉南事業所</v>
          </cell>
          <cell r="P126" t="str">
            <v/>
          </cell>
        </row>
        <row r="127">
          <cell r="C127" t="str">
            <v>千葉南事業所</v>
          </cell>
          <cell r="P127" t="str">
            <v/>
          </cell>
        </row>
        <row r="128">
          <cell r="C128" t="str">
            <v>千葉南事業所</v>
          </cell>
          <cell r="P128" t="str">
            <v/>
          </cell>
        </row>
        <row r="129">
          <cell r="C129" t="str">
            <v>千葉南事業所</v>
          </cell>
          <cell r="P129" t="str">
            <v/>
          </cell>
        </row>
        <row r="130">
          <cell r="C130" t="str">
            <v>千葉南事業所</v>
          </cell>
          <cell r="P130" t="str">
            <v/>
          </cell>
        </row>
        <row r="131">
          <cell r="C131" t="str">
            <v>千葉南事業所</v>
          </cell>
          <cell r="P131" t="str">
            <v/>
          </cell>
        </row>
        <row r="132">
          <cell r="C132" t="str">
            <v>千葉南事業所</v>
          </cell>
          <cell r="P132" t="str">
            <v/>
          </cell>
        </row>
        <row r="133">
          <cell r="C133" t="str">
            <v>千葉南事業所</v>
          </cell>
          <cell r="P133" t="str">
            <v/>
          </cell>
        </row>
        <row r="134">
          <cell r="C134" t="str">
            <v>千葉南事業所</v>
          </cell>
          <cell r="P134" t="str">
            <v/>
          </cell>
        </row>
        <row r="135">
          <cell r="C135" t="str">
            <v>千葉南事業所</v>
          </cell>
          <cell r="P135" t="str">
            <v/>
          </cell>
        </row>
        <row r="136">
          <cell r="C136" t="str">
            <v>千葉南事業所</v>
          </cell>
          <cell r="P136" t="str">
            <v/>
          </cell>
        </row>
        <row r="137">
          <cell r="C137" t="str">
            <v>千葉南事業所</v>
          </cell>
          <cell r="P137" t="str">
            <v/>
          </cell>
        </row>
        <row r="138">
          <cell r="C138" t="str">
            <v>千葉南事業所</v>
          </cell>
          <cell r="P138" t="str">
            <v/>
          </cell>
        </row>
        <row r="139">
          <cell r="C139" t="str">
            <v>千葉南事業所</v>
          </cell>
          <cell r="P139" t="str">
            <v/>
          </cell>
        </row>
        <row r="140">
          <cell r="C140" t="str">
            <v>千葉南事業所</v>
          </cell>
          <cell r="P140" t="str">
            <v/>
          </cell>
        </row>
        <row r="141">
          <cell r="C141" t="str">
            <v>千葉南事業所</v>
          </cell>
          <cell r="P141" t="str">
            <v/>
          </cell>
        </row>
        <row r="142">
          <cell r="C142" t="str">
            <v>千葉南事業所</v>
          </cell>
          <cell r="P142" t="str">
            <v/>
          </cell>
        </row>
        <row r="143">
          <cell r="C143" t="str">
            <v>千葉南事業所</v>
          </cell>
          <cell r="P143" t="str">
            <v/>
          </cell>
        </row>
        <row r="144">
          <cell r="C144" t="str">
            <v>千葉南事業所</v>
          </cell>
        </row>
        <row r="145">
          <cell r="C145" t="str">
            <v>千葉南事業所</v>
          </cell>
        </row>
        <row r="146">
          <cell r="C146" t="str">
            <v>白金ディサービス</v>
          </cell>
          <cell r="P146" t="str">
            <v/>
          </cell>
        </row>
        <row r="147">
          <cell r="C147" t="str">
            <v>白金ディサービス</v>
          </cell>
          <cell r="P147" t="str">
            <v/>
          </cell>
        </row>
        <row r="148">
          <cell r="C148" t="str">
            <v>白金ディサービス</v>
          </cell>
          <cell r="P148" t="str">
            <v/>
          </cell>
        </row>
        <row r="149">
          <cell r="C149" t="str">
            <v>白金ディサービス</v>
          </cell>
          <cell r="P149" t="str">
            <v/>
          </cell>
        </row>
        <row r="150">
          <cell r="C150" t="str">
            <v>白金ディサービス</v>
          </cell>
          <cell r="P150" t="str">
            <v/>
          </cell>
        </row>
        <row r="151">
          <cell r="C151" t="str">
            <v>白金ディサービス</v>
          </cell>
          <cell r="P151" t="str">
            <v/>
          </cell>
        </row>
        <row r="152">
          <cell r="C152" t="str">
            <v>白金ディサービス</v>
          </cell>
          <cell r="P152" t="str">
            <v/>
          </cell>
        </row>
        <row r="153">
          <cell r="C153" t="str">
            <v>白金ディサービス</v>
          </cell>
          <cell r="P153" t="str">
            <v/>
          </cell>
        </row>
        <row r="154">
          <cell r="C154" t="str">
            <v>白金ディサービス</v>
          </cell>
          <cell r="P154" t="str">
            <v/>
          </cell>
        </row>
        <row r="155">
          <cell r="C155" t="str">
            <v>白金ディサービス</v>
          </cell>
          <cell r="P155" t="str">
            <v/>
          </cell>
        </row>
        <row r="156">
          <cell r="C156" t="str">
            <v>白金ディサービス</v>
          </cell>
          <cell r="P156" t="str">
            <v/>
          </cell>
        </row>
        <row r="157">
          <cell r="C157" t="str">
            <v>白金ディサービス</v>
          </cell>
          <cell r="P157" t="str">
            <v/>
          </cell>
        </row>
        <row r="158">
          <cell r="C158" t="str">
            <v>白金ディサービス</v>
          </cell>
          <cell r="P158" t="str">
            <v/>
          </cell>
        </row>
        <row r="159">
          <cell r="C159" t="str">
            <v>白金ディサービス</v>
          </cell>
          <cell r="P159" t="str">
            <v/>
          </cell>
        </row>
        <row r="160">
          <cell r="C160" t="str">
            <v>白金ディサービス</v>
          </cell>
          <cell r="P160" t="str">
            <v/>
          </cell>
        </row>
        <row r="161">
          <cell r="C161" t="str">
            <v>白金ディサービス</v>
          </cell>
          <cell r="P161">
            <v>54521</v>
          </cell>
        </row>
        <row r="162">
          <cell r="C162" t="str">
            <v>白金ディサービス</v>
          </cell>
          <cell r="P162" t="str">
            <v/>
          </cell>
        </row>
        <row r="163">
          <cell r="C163" t="str">
            <v>白金ディサービス</v>
          </cell>
          <cell r="P163" t="str">
            <v/>
          </cell>
        </row>
        <row r="164">
          <cell r="C164" t="str">
            <v>白金ディサービス</v>
          </cell>
          <cell r="P164" t="str">
            <v/>
          </cell>
        </row>
        <row r="165">
          <cell r="C165" t="str">
            <v>白金ディサービス</v>
          </cell>
          <cell r="P165" t="str">
            <v/>
          </cell>
        </row>
        <row r="166">
          <cell r="C166" t="str">
            <v>グループホーム五井</v>
          </cell>
          <cell r="P166" t="str">
            <v/>
          </cell>
        </row>
        <row r="167">
          <cell r="C167" t="str">
            <v>グループホーム五井</v>
          </cell>
          <cell r="P167" t="str">
            <v/>
          </cell>
        </row>
        <row r="168">
          <cell r="C168" t="str">
            <v>グループホーム白金</v>
          </cell>
          <cell r="P168" t="str">
            <v/>
          </cell>
        </row>
        <row r="169">
          <cell r="C169" t="str">
            <v>グループホーム白金</v>
          </cell>
          <cell r="P169" t="str">
            <v/>
          </cell>
        </row>
        <row r="170">
          <cell r="C170" t="str">
            <v>グループホーム白金</v>
          </cell>
          <cell r="P170" t="str">
            <v/>
          </cell>
        </row>
        <row r="171">
          <cell r="C171" t="str">
            <v>グループホーム西五所</v>
          </cell>
          <cell r="P171" t="str">
            <v/>
          </cell>
        </row>
        <row r="172">
          <cell r="C172" t="str">
            <v>グループホーム西五所</v>
          </cell>
          <cell r="P172" t="str">
            <v/>
          </cell>
        </row>
        <row r="173">
          <cell r="C173" t="str">
            <v>グループホーム西五所</v>
          </cell>
          <cell r="P173" t="str">
            <v/>
          </cell>
        </row>
        <row r="174">
          <cell r="C174" t="str">
            <v>グループホーム西五所</v>
          </cell>
          <cell r="P174" t="str">
            <v/>
          </cell>
        </row>
        <row r="175">
          <cell r="C175" t="str">
            <v>グループホーム白金</v>
          </cell>
          <cell r="P175" t="str">
            <v/>
          </cell>
        </row>
        <row r="176">
          <cell r="C176" t="str">
            <v>グループホーム五井</v>
          </cell>
          <cell r="P176" t="str">
            <v/>
          </cell>
        </row>
        <row r="177">
          <cell r="C177" t="str">
            <v>グループホーム西五所</v>
          </cell>
          <cell r="P177" t="str">
            <v/>
          </cell>
        </row>
        <row r="178">
          <cell r="C178" t="str">
            <v>グループホーム西五所</v>
          </cell>
          <cell r="P178" t="str">
            <v/>
          </cell>
        </row>
        <row r="179">
          <cell r="C179" t="str">
            <v>グループホーム西五所</v>
          </cell>
          <cell r="P179" t="str">
            <v/>
          </cell>
        </row>
        <row r="180">
          <cell r="C180" t="str">
            <v>グループホーム西五所</v>
          </cell>
          <cell r="P180" t="str">
            <v/>
          </cell>
        </row>
        <row r="181">
          <cell r="C181" t="str">
            <v>グループホーム西五所</v>
          </cell>
          <cell r="P181" t="str">
            <v/>
          </cell>
        </row>
        <row r="182">
          <cell r="C182" t="str">
            <v>グループホーム白金</v>
          </cell>
          <cell r="P182" t="str">
            <v/>
          </cell>
        </row>
        <row r="183">
          <cell r="C183" t="str">
            <v>グループホーム白金</v>
          </cell>
          <cell r="P183" t="str">
            <v/>
          </cell>
        </row>
        <row r="184">
          <cell r="C184" t="str">
            <v>グループホーム白金</v>
          </cell>
          <cell r="P184" t="str">
            <v/>
          </cell>
        </row>
        <row r="185">
          <cell r="C185" t="str">
            <v>千葉東事業所</v>
          </cell>
          <cell r="P185" t="str">
            <v/>
          </cell>
        </row>
        <row r="186">
          <cell r="C186" t="str">
            <v>千葉東事業所</v>
          </cell>
          <cell r="P186" t="str">
            <v/>
          </cell>
        </row>
        <row r="187">
          <cell r="C187" t="str">
            <v>千葉東事業所</v>
          </cell>
        </row>
        <row r="188">
          <cell r="C188" t="str">
            <v>千葉東事業所</v>
          </cell>
        </row>
        <row r="189">
          <cell r="C189" t="str">
            <v/>
          </cell>
          <cell r="P189" t="str">
            <v/>
          </cell>
        </row>
        <row r="190">
          <cell r="D190">
            <v>0</v>
          </cell>
          <cell r="E190">
            <v>3510707</v>
          </cell>
          <cell r="F190">
            <v>1366360</v>
          </cell>
          <cell r="G190">
            <v>1892597</v>
          </cell>
          <cell r="H190">
            <v>87952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>
        <row r="3">
          <cell r="C3" t="str">
            <v>事業本部</v>
          </cell>
          <cell r="W3">
            <v>0</v>
          </cell>
        </row>
        <row r="4">
          <cell r="C4" t="str">
            <v>事業本部</v>
          </cell>
          <cell r="W4">
            <v>0</v>
          </cell>
        </row>
        <row r="5">
          <cell r="C5" t="str">
            <v>事業本部</v>
          </cell>
          <cell r="W5">
            <v>275500</v>
          </cell>
        </row>
        <row r="6">
          <cell r="C6" t="str">
            <v>白金事業所</v>
          </cell>
          <cell r="W6">
            <v>528158</v>
          </cell>
        </row>
        <row r="7">
          <cell r="C7" t="str">
            <v>千葉中央事業所</v>
          </cell>
          <cell r="W7">
            <v>292650</v>
          </cell>
        </row>
        <row r="8">
          <cell r="C8" t="str">
            <v>千葉南事業所</v>
          </cell>
          <cell r="W8">
            <v>430607</v>
          </cell>
        </row>
        <row r="9">
          <cell r="C9" t="str">
            <v>事業本部</v>
          </cell>
          <cell r="W9">
            <v>236500</v>
          </cell>
        </row>
        <row r="10">
          <cell r="C10" t="str">
            <v>白金事業所</v>
          </cell>
          <cell r="W10">
            <v>288087</v>
          </cell>
        </row>
        <row r="11">
          <cell r="C11" t="str">
            <v>白金事業所</v>
          </cell>
          <cell r="W11">
            <v>188667</v>
          </cell>
        </row>
        <row r="12">
          <cell r="C12" t="str">
            <v>白金事業所</v>
          </cell>
          <cell r="W12">
            <v>227056</v>
          </cell>
        </row>
        <row r="13">
          <cell r="C13" t="str">
            <v>千葉中央事業所</v>
          </cell>
          <cell r="W13">
            <v>417317</v>
          </cell>
        </row>
        <row r="14">
          <cell r="C14" t="str">
            <v>千葉中央事業所</v>
          </cell>
          <cell r="W14">
            <v>262206</v>
          </cell>
        </row>
        <row r="15">
          <cell r="C15" t="str">
            <v>事業本部</v>
          </cell>
          <cell r="W15">
            <v>190500</v>
          </cell>
        </row>
        <row r="16">
          <cell r="C16" t="str">
            <v>白金事業所</v>
          </cell>
          <cell r="W16">
            <v>267778</v>
          </cell>
        </row>
        <row r="17">
          <cell r="C17" t="str">
            <v>白金ディサービス</v>
          </cell>
          <cell r="W17">
            <v>340370</v>
          </cell>
        </row>
        <row r="18">
          <cell r="C18" t="str">
            <v>千葉中央事業所</v>
          </cell>
          <cell r="W18">
            <v>230217</v>
          </cell>
        </row>
        <row r="19">
          <cell r="C19" t="str">
            <v>白金事業所</v>
          </cell>
          <cell r="W19">
            <v>271000</v>
          </cell>
        </row>
        <row r="20">
          <cell r="C20" t="str">
            <v>千葉中央事業所</v>
          </cell>
          <cell r="W20">
            <v>227711</v>
          </cell>
        </row>
        <row r="21">
          <cell r="C21" t="str">
            <v>千葉南事業所</v>
          </cell>
          <cell r="W21">
            <v>265882</v>
          </cell>
        </row>
        <row r="22">
          <cell r="C22" t="str">
            <v>白金ディサービス</v>
          </cell>
          <cell r="W22">
            <v>216032</v>
          </cell>
        </row>
        <row r="23">
          <cell r="C23" t="str">
            <v>千葉南事業所</v>
          </cell>
          <cell r="W23">
            <v>231726</v>
          </cell>
        </row>
        <row r="24">
          <cell r="C24" t="str">
            <v>千葉南事業所</v>
          </cell>
          <cell r="W24">
            <v>280661</v>
          </cell>
        </row>
        <row r="25">
          <cell r="C25" t="str">
            <v>千葉東事業所</v>
          </cell>
          <cell r="W25">
            <v>350000</v>
          </cell>
        </row>
        <row r="26">
          <cell r="C26" t="str">
            <v>事業本部</v>
          </cell>
          <cell r="W26">
            <v>203000</v>
          </cell>
        </row>
        <row r="27">
          <cell r="C27" t="str">
            <v>二日市場老人ホーム</v>
          </cell>
          <cell r="W27">
            <v>350000</v>
          </cell>
        </row>
        <row r="28">
          <cell r="C28" t="str">
            <v>千葉中央事業所</v>
          </cell>
          <cell r="W28">
            <v>228438</v>
          </cell>
        </row>
        <row r="29">
          <cell r="C29" t="str">
            <v>千葉中央事業所</v>
          </cell>
          <cell r="W29">
            <v>192312</v>
          </cell>
        </row>
        <row r="30">
          <cell r="C30" t="str">
            <v>千葉南事業所</v>
          </cell>
          <cell r="W30">
            <v>189000</v>
          </cell>
        </row>
        <row r="31">
          <cell r="C31" t="str">
            <v>千葉南事業所</v>
          </cell>
          <cell r="W31">
            <v>189000</v>
          </cell>
        </row>
        <row r="32">
          <cell r="C32" t="str">
            <v>白金事業所</v>
          </cell>
          <cell r="W32">
            <v>264084</v>
          </cell>
        </row>
        <row r="33">
          <cell r="C33" t="str">
            <v>千葉中央事業所</v>
          </cell>
          <cell r="W33">
            <v>364136</v>
          </cell>
        </row>
        <row r="34">
          <cell r="C34" t="str">
            <v>千葉南事業所</v>
          </cell>
          <cell r="W34">
            <v>261539</v>
          </cell>
        </row>
        <row r="35">
          <cell r="C35" t="str">
            <v>千葉中央事業所</v>
          </cell>
          <cell r="W35">
            <v>204878</v>
          </cell>
        </row>
        <row r="36">
          <cell r="C36" t="str">
            <v>白金ディサービス</v>
          </cell>
          <cell r="W36">
            <v>300000</v>
          </cell>
        </row>
        <row r="37">
          <cell r="C37" t="str">
            <v>白金ディサービス</v>
          </cell>
          <cell r="W37">
            <v>191500</v>
          </cell>
        </row>
        <row r="38">
          <cell r="C38" t="str">
            <v>二日市場老人ホーム</v>
          </cell>
          <cell r="W38">
            <v>300000</v>
          </cell>
        </row>
        <row r="39">
          <cell r="W39">
            <v>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国保連売上データ"/>
      <sheetName val="事業所売上データ"/>
      <sheetName val="事業所収支データ"/>
      <sheetName val="処遇改善加算データ"/>
      <sheetName val="パート法定福利費処遇改善計算"/>
      <sheetName val="社員・パート別稼働データ"/>
      <sheetName val="メモ"/>
      <sheetName val="【ピボット】国保連売上"/>
      <sheetName val="【ピボット】事業所売上"/>
      <sheetName val="【ピボット】事業所収支"/>
      <sheetName val="【ピボット】処遇改善加算"/>
      <sheetName val="リスト"/>
      <sheetName val="推移"/>
      <sheetName val="経費推移"/>
      <sheetName val="売上推移"/>
      <sheetName val="国保連単月売上"/>
      <sheetName val="事業所別単月収支"/>
      <sheetName val="事業所別収支"/>
      <sheetName val="処遇改善加算金支払い実績"/>
      <sheetName val="事業所別推移(事業所分担なし)(加算抜き)"/>
      <sheetName val="事業所別推移(事業所分担なし) "/>
      <sheetName val="H29事業所別返戻管理表"/>
      <sheetName val="事業所損益管理(H29.9～H30.8)収支計画表"/>
      <sheetName val="事業所損益管理(H29.9～H30.8)収支計画表(本部経費)"/>
      <sheetName val="H29収支予測(本部)"/>
      <sheetName val="H29収支予測(事業所)"/>
      <sheetName val="H29収支予測(資金繰り)"/>
      <sheetName val="社員・パート別稼働表【単月】"/>
      <sheetName val="社員・パート別稼働表【2月比較】"/>
      <sheetName val="H30収支予測"/>
      <sheetName val="H29本部算定根拠 (新事業所追加)"/>
      <sheetName val="H30管理部算定根拠"/>
      <sheetName val="H30管理部算定根拠_0"/>
    </sheetNames>
    <sheetDataSet>
      <sheetData sheetId="0">
        <row r="1">
          <cell r="A1" t="str">
            <v>年月</v>
          </cell>
        </row>
        <row r="2">
          <cell r="A2">
            <v>42614</v>
          </cell>
        </row>
        <row r="3">
          <cell r="A3">
            <v>42614</v>
          </cell>
        </row>
        <row r="4">
          <cell r="A4">
            <v>42614</v>
          </cell>
        </row>
        <row r="5">
          <cell r="A5">
            <v>42614</v>
          </cell>
        </row>
        <row r="6">
          <cell r="A6">
            <v>42614</v>
          </cell>
        </row>
        <row r="7">
          <cell r="A7">
            <v>42614</v>
          </cell>
        </row>
        <row r="8">
          <cell r="A8">
            <v>42614</v>
          </cell>
        </row>
        <row r="9">
          <cell r="A9">
            <v>42614</v>
          </cell>
        </row>
        <row r="10">
          <cell r="A10">
            <v>42614</v>
          </cell>
        </row>
        <row r="11">
          <cell r="A11">
            <v>42614</v>
          </cell>
        </row>
        <row r="12">
          <cell r="A12">
            <v>42614</v>
          </cell>
        </row>
        <row r="13">
          <cell r="A13">
            <v>42614</v>
          </cell>
        </row>
        <row r="14">
          <cell r="A14">
            <v>42614</v>
          </cell>
        </row>
        <row r="15">
          <cell r="A15">
            <v>42614</v>
          </cell>
        </row>
        <row r="16">
          <cell r="A16">
            <v>42614</v>
          </cell>
        </row>
        <row r="17">
          <cell r="A17">
            <v>42614</v>
          </cell>
        </row>
        <row r="18">
          <cell r="A18">
            <v>42614</v>
          </cell>
        </row>
        <row r="19">
          <cell r="A19">
            <v>42614</v>
          </cell>
        </row>
        <row r="20">
          <cell r="A20">
            <v>42614</v>
          </cell>
        </row>
        <row r="21">
          <cell r="A21">
            <v>42614</v>
          </cell>
        </row>
        <row r="22">
          <cell r="A22">
            <v>42614</v>
          </cell>
        </row>
        <row r="23">
          <cell r="A23">
            <v>42614</v>
          </cell>
        </row>
        <row r="24">
          <cell r="A24">
            <v>42614</v>
          </cell>
        </row>
        <row r="25">
          <cell r="A25">
            <v>42614</v>
          </cell>
        </row>
        <row r="26">
          <cell r="A26">
            <v>42614</v>
          </cell>
        </row>
        <row r="27">
          <cell r="A27">
            <v>42614</v>
          </cell>
        </row>
        <row r="28">
          <cell r="A28">
            <v>42614</v>
          </cell>
        </row>
        <row r="29">
          <cell r="A29">
            <v>42614</v>
          </cell>
        </row>
        <row r="30">
          <cell r="A30">
            <v>42614</v>
          </cell>
        </row>
        <row r="31">
          <cell r="A31">
            <v>42614</v>
          </cell>
        </row>
        <row r="32">
          <cell r="A32">
            <v>42614</v>
          </cell>
        </row>
        <row r="33">
          <cell r="A33">
            <v>42614</v>
          </cell>
        </row>
        <row r="34">
          <cell r="A34">
            <v>42644</v>
          </cell>
        </row>
        <row r="35">
          <cell r="A35">
            <v>42644</v>
          </cell>
        </row>
        <row r="36">
          <cell r="A36">
            <v>42644</v>
          </cell>
        </row>
        <row r="37">
          <cell r="A37">
            <v>42644</v>
          </cell>
        </row>
        <row r="38">
          <cell r="A38">
            <v>42644</v>
          </cell>
        </row>
        <row r="39">
          <cell r="A39">
            <v>42644</v>
          </cell>
        </row>
        <row r="40">
          <cell r="A40">
            <v>42644</v>
          </cell>
        </row>
        <row r="41">
          <cell r="A41">
            <v>42644</v>
          </cell>
        </row>
        <row r="42">
          <cell r="A42">
            <v>42644</v>
          </cell>
        </row>
        <row r="43">
          <cell r="A43">
            <v>42644</v>
          </cell>
        </row>
        <row r="44">
          <cell r="A44">
            <v>42644</v>
          </cell>
        </row>
        <row r="45">
          <cell r="A45">
            <v>42644</v>
          </cell>
        </row>
        <row r="46">
          <cell r="A46">
            <v>42644</v>
          </cell>
        </row>
        <row r="47">
          <cell r="A47">
            <v>42644</v>
          </cell>
        </row>
        <row r="48">
          <cell r="A48">
            <v>42644</v>
          </cell>
        </row>
        <row r="49">
          <cell r="A49">
            <v>42644</v>
          </cell>
        </row>
        <row r="50">
          <cell r="A50">
            <v>42644</v>
          </cell>
        </row>
        <row r="51">
          <cell r="A51">
            <v>42644</v>
          </cell>
        </row>
        <row r="52">
          <cell r="A52">
            <v>42644</v>
          </cell>
        </row>
        <row r="53">
          <cell r="A53">
            <v>42644</v>
          </cell>
        </row>
        <row r="54">
          <cell r="A54">
            <v>42644</v>
          </cell>
        </row>
        <row r="55">
          <cell r="A55">
            <v>42644</v>
          </cell>
        </row>
        <row r="56">
          <cell r="A56">
            <v>42644</v>
          </cell>
        </row>
        <row r="57">
          <cell r="A57">
            <v>42644</v>
          </cell>
        </row>
        <row r="58">
          <cell r="A58">
            <v>42644</v>
          </cell>
        </row>
        <row r="59">
          <cell r="A59">
            <v>42644</v>
          </cell>
        </row>
        <row r="60">
          <cell r="A60">
            <v>42644</v>
          </cell>
        </row>
        <row r="61">
          <cell r="A61">
            <v>42644</v>
          </cell>
        </row>
        <row r="62">
          <cell r="A62">
            <v>42644</v>
          </cell>
        </row>
        <row r="63">
          <cell r="A63">
            <v>42644</v>
          </cell>
        </row>
        <row r="64">
          <cell r="A64">
            <v>42644</v>
          </cell>
        </row>
        <row r="65">
          <cell r="A65">
            <v>42644</v>
          </cell>
        </row>
        <row r="66">
          <cell r="A66">
            <v>42675</v>
          </cell>
        </row>
        <row r="67">
          <cell r="A67">
            <v>42675</v>
          </cell>
        </row>
        <row r="68">
          <cell r="A68">
            <v>42675</v>
          </cell>
        </row>
        <row r="69">
          <cell r="A69">
            <v>42675</v>
          </cell>
        </row>
        <row r="70">
          <cell r="A70">
            <v>42675</v>
          </cell>
        </row>
        <row r="71">
          <cell r="A71">
            <v>42675</v>
          </cell>
        </row>
        <row r="72">
          <cell r="A72">
            <v>42675</v>
          </cell>
        </row>
        <row r="73">
          <cell r="A73">
            <v>42675</v>
          </cell>
        </row>
        <row r="74">
          <cell r="A74">
            <v>42675</v>
          </cell>
        </row>
        <row r="75">
          <cell r="A75">
            <v>42675</v>
          </cell>
        </row>
        <row r="76">
          <cell r="A76">
            <v>42675</v>
          </cell>
        </row>
        <row r="77">
          <cell r="A77">
            <v>42675</v>
          </cell>
        </row>
        <row r="78">
          <cell r="A78">
            <v>42675</v>
          </cell>
        </row>
        <row r="79">
          <cell r="A79">
            <v>42675</v>
          </cell>
        </row>
        <row r="80">
          <cell r="A80">
            <v>42675</v>
          </cell>
        </row>
        <row r="81">
          <cell r="A81">
            <v>42675</v>
          </cell>
        </row>
        <row r="82">
          <cell r="A82">
            <v>42675</v>
          </cell>
        </row>
        <row r="83">
          <cell r="A83">
            <v>42675</v>
          </cell>
        </row>
        <row r="84">
          <cell r="A84">
            <v>42675</v>
          </cell>
        </row>
        <row r="85">
          <cell r="A85">
            <v>42675</v>
          </cell>
        </row>
        <row r="86">
          <cell r="A86">
            <v>42675</v>
          </cell>
        </row>
        <row r="87">
          <cell r="A87">
            <v>42675</v>
          </cell>
        </row>
        <row r="88">
          <cell r="A88">
            <v>42675</v>
          </cell>
        </row>
        <row r="89">
          <cell r="A89">
            <v>42675</v>
          </cell>
        </row>
        <row r="90">
          <cell r="A90">
            <v>42675</v>
          </cell>
        </row>
        <row r="91">
          <cell r="A91">
            <v>42675</v>
          </cell>
        </row>
        <row r="92">
          <cell r="A92">
            <v>42675</v>
          </cell>
        </row>
        <row r="93">
          <cell r="A93">
            <v>42675</v>
          </cell>
        </row>
        <row r="94">
          <cell r="A94">
            <v>42675</v>
          </cell>
        </row>
        <row r="95">
          <cell r="A95">
            <v>42675</v>
          </cell>
        </row>
        <row r="96">
          <cell r="A96">
            <v>42675</v>
          </cell>
        </row>
        <row r="97">
          <cell r="A97">
            <v>42675</v>
          </cell>
        </row>
        <row r="98">
          <cell r="A98">
            <v>42705</v>
          </cell>
        </row>
        <row r="99">
          <cell r="A99">
            <v>42705</v>
          </cell>
        </row>
        <row r="100">
          <cell r="A100">
            <v>42705</v>
          </cell>
        </row>
        <row r="101">
          <cell r="A101">
            <v>42705</v>
          </cell>
        </row>
        <row r="102">
          <cell r="A102">
            <v>42705</v>
          </cell>
        </row>
        <row r="103">
          <cell r="A103">
            <v>42705</v>
          </cell>
        </row>
        <row r="104">
          <cell r="A104">
            <v>42705</v>
          </cell>
        </row>
        <row r="105">
          <cell r="A105">
            <v>42705</v>
          </cell>
        </row>
        <row r="106">
          <cell r="A106">
            <v>42705</v>
          </cell>
        </row>
        <row r="107">
          <cell r="A107">
            <v>42705</v>
          </cell>
        </row>
        <row r="108">
          <cell r="A108">
            <v>42705</v>
          </cell>
        </row>
        <row r="109">
          <cell r="A109">
            <v>42705</v>
          </cell>
        </row>
        <row r="110">
          <cell r="A110">
            <v>42705</v>
          </cell>
        </row>
        <row r="111">
          <cell r="A111">
            <v>42705</v>
          </cell>
        </row>
        <row r="112">
          <cell r="A112">
            <v>42705</v>
          </cell>
        </row>
        <row r="113">
          <cell r="A113">
            <v>42705</v>
          </cell>
        </row>
        <row r="114">
          <cell r="A114">
            <v>42705</v>
          </cell>
        </row>
        <row r="115">
          <cell r="A115">
            <v>42705</v>
          </cell>
        </row>
        <row r="116">
          <cell r="A116">
            <v>42705</v>
          </cell>
        </row>
        <row r="117">
          <cell r="A117">
            <v>42705</v>
          </cell>
        </row>
        <row r="118">
          <cell r="A118">
            <v>42705</v>
          </cell>
        </row>
        <row r="119">
          <cell r="A119">
            <v>42705</v>
          </cell>
        </row>
        <row r="120">
          <cell r="A120">
            <v>42705</v>
          </cell>
        </row>
        <row r="121">
          <cell r="A121">
            <v>42705</v>
          </cell>
        </row>
        <row r="122">
          <cell r="A122">
            <v>42705</v>
          </cell>
        </row>
        <row r="123">
          <cell r="A123">
            <v>42705</v>
          </cell>
        </row>
        <row r="124">
          <cell r="A124">
            <v>42705</v>
          </cell>
        </row>
        <row r="125">
          <cell r="A125">
            <v>42705</v>
          </cell>
        </row>
        <row r="126">
          <cell r="A126">
            <v>42705</v>
          </cell>
        </row>
        <row r="127">
          <cell r="A127">
            <v>42705</v>
          </cell>
        </row>
        <row r="128">
          <cell r="A128">
            <v>42705</v>
          </cell>
        </row>
        <row r="129">
          <cell r="A129">
            <v>42705</v>
          </cell>
        </row>
        <row r="130">
          <cell r="A130">
            <v>42736</v>
          </cell>
        </row>
        <row r="131">
          <cell r="A131">
            <v>42736</v>
          </cell>
        </row>
        <row r="132">
          <cell r="A132">
            <v>42736</v>
          </cell>
        </row>
        <row r="133">
          <cell r="A133">
            <v>42736</v>
          </cell>
        </row>
        <row r="134">
          <cell r="A134">
            <v>42736</v>
          </cell>
        </row>
        <row r="135">
          <cell r="A135">
            <v>42736</v>
          </cell>
        </row>
        <row r="136">
          <cell r="A136">
            <v>42736</v>
          </cell>
        </row>
        <row r="137">
          <cell r="A137">
            <v>42736</v>
          </cell>
        </row>
        <row r="138">
          <cell r="A138">
            <v>42736</v>
          </cell>
        </row>
        <row r="139">
          <cell r="A139">
            <v>42736</v>
          </cell>
        </row>
        <row r="140">
          <cell r="A140">
            <v>42736</v>
          </cell>
        </row>
        <row r="141">
          <cell r="A141">
            <v>42736</v>
          </cell>
        </row>
        <row r="142">
          <cell r="A142">
            <v>42736</v>
          </cell>
        </row>
        <row r="143">
          <cell r="A143">
            <v>42736</v>
          </cell>
        </row>
        <row r="144">
          <cell r="A144">
            <v>42736</v>
          </cell>
        </row>
        <row r="145">
          <cell r="A145">
            <v>42736</v>
          </cell>
        </row>
        <row r="146">
          <cell r="A146">
            <v>42736</v>
          </cell>
        </row>
        <row r="147">
          <cell r="A147">
            <v>42736</v>
          </cell>
        </row>
        <row r="148">
          <cell r="A148">
            <v>42736</v>
          </cell>
        </row>
        <row r="149">
          <cell r="A149">
            <v>42736</v>
          </cell>
        </row>
        <row r="150">
          <cell r="A150">
            <v>42736</v>
          </cell>
        </row>
        <row r="151">
          <cell r="A151">
            <v>42736</v>
          </cell>
        </row>
        <row r="152">
          <cell r="A152">
            <v>42736</v>
          </cell>
        </row>
        <row r="153">
          <cell r="A153">
            <v>42736</v>
          </cell>
        </row>
        <row r="154">
          <cell r="A154">
            <v>42736</v>
          </cell>
        </row>
        <row r="155">
          <cell r="A155">
            <v>42736</v>
          </cell>
        </row>
        <row r="156">
          <cell r="A156">
            <v>42736</v>
          </cell>
        </row>
        <row r="157">
          <cell r="A157">
            <v>42736</v>
          </cell>
        </row>
        <row r="158">
          <cell r="A158">
            <v>42736</v>
          </cell>
        </row>
        <row r="159">
          <cell r="A159">
            <v>42736</v>
          </cell>
        </row>
        <row r="160">
          <cell r="A160">
            <v>42736</v>
          </cell>
        </row>
        <row r="161">
          <cell r="A161">
            <v>42736</v>
          </cell>
        </row>
        <row r="162">
          <cell r="A162">
            <v>42767</v>
          </cell>
        </row>
        <row r="163">
          <cell r="A163">
            <v>42767</v>
          </cell>
        </row>
        <row r="164">
          <cell r="A164">
            <v>42767</v>
          </cell>
        </row>
        <row r="165">
          <cell r="A165">
            <v>42767</v>
          </cell>
        </row>
        <row r="166">
          <cell r="A166">
            <v>42767</v>
          </cell>
        </row>
        <row r="167">
          <cell r="A167">
            <v>42767</v>
          </cell>
        </row>
        <row r="168">
          <cell r="A168">
            <v>42767</v>
          </cell>
        </row>
        <row r="169">
          <cell r="A169">
            <v>42767</v>
          </cell>
        </row>
        <row r="170">
          <cell r="A170">
            <v>42767</v>
          </cell>
        </row>
        <row r="171">
          <cell r="A171">
            <v>42767</v>
          </cell>
        </row>
        <row r="172">
          <cell r="A172">
            <v>42767</v>
          </cell>
        </row>
        <row r="173">
          <cell r="A173">
            <v>42767</v>
          </cell>
        </row>
        <row r="174">
          <cell r="A174">
            <v>42767</v>
          </cell>
        </row>
        <row r="175">
          <cell r="A175">
            <v>42767</v>
          </cell>
        </row>
        <row r="176">
          <cell r="A176">
            <v>42767</v>
          </cell>
        </row>
        <row r="177">
          <cell r="A177">
            <v>42767</v>
          </cell>
        </row>
        <row r="178">
          <cell r="A178">
            <v>42767</v>
          </cell>
        </row>
        <row r="179">
          <cell r="A179">
            <v>42767</v>
          </cell>
        </row>
        <row r="180">
          <cell r="A180">
            <v>42767</v>
          </cell>
        </row>
        <row r="181">
          <cell r="A181">
            <v>42767</v>
          </cell>
        </row>
        <row r="182">
          <cell r="A182">
            <v>42767</v>
          </cell>
        </row>
        <row r="183">
          <cell r="A183">
            <v>42767</v>
          </cell>
        </row>
        <row r="184">
          <cell r="A184">
            <v>42767</v>
          </cell>
        </row>
        <row r="185">
          <cell r="A185">
            <v>42767</v>
          </cell>
        </row>
        <row r="186">
          <cell r="A186">
            <v>42767</v>
          </cell>
        </row>
        <row r="187">
          <cell r="A187">
            <v>42767</v>
          </cell>
        </row>
        <row r="188">
          <cell r="A188">
            <v>42767</v>
          </cell>
        </row>
        <row r="189">
          <cell r="A189">
            <v>42767</v>
          </cell>
        </row>
        <row r="190">
          <cell r="A190">
            <v>42767</v>
          </cell>
        </row>
        <row r="191">
          <cell r="A191">
            <v>42767</v>
          </cell>
        </row>
        <row r="192">
          <cell r="A192">
            <v>42795</v>
          </cell>
        </row>
        <row r="193">
          <cell r="A193">
            <v>42795</v>
          </cell>
        </row>
        <row r="194">
          <cell r="A194">
            <v>42795</v>
          </cell>
        </row>
        <row r="195">
          <cell r="A195">
            <v>42795</v>
          </cell>
        </row>
        <row r="196">
          <cell r="A196">
            <v>42795</v>
          </cell>
        </row>
        <row r="197">
          <cell r="A197">
            <v>42795</v>
          </cell>
        </row>
        <row r="198">
          <cell r="A198">
            <v>42795</v>
          </cell>
        </row>
        <row r="199">
          <cell r="A199">
            <v>42795</v>
          </cell>
        </row>
        <row r="200">
          <cell r="A200">
            <v>42795</v>
          </cell>
        </row>
        <row r="201">
          <cell r="A201">
            <v>42795</v>
          </cell>
        </row>
        <row r="202">
          <cell r="A202">
            <v>42795</v>
          </cell>
        </row>
        <row r="203">
          <cell r="A203">
            <v>42795</v>
          </cell>
        </row>
        <row r="204">
          <cell r="A204">
            <v>42795</v>
          </cell>
        </row>
        <row r="205">
          <cell r="A205">
            <v>42795</v>
          </cell>
        </row>
        <row r="206">
          <cell r="A206">
            <v>42795</v>
          </cell>
        </row>
        <row r="207">
          <cell r="A207">
            <v>42795</v>
          </cell>
        </row>
        <row r="208">
          <cell r="A208">
            <v>42795</v>
          </cell>
        </row>
        <row r="209">
          <cell r="A209">
            <v>42795</v>
          </cell>
        </row>
        <row r="210">
          <cell r="A210">
            <v>42795</v>
          </cell>
        </row>
        <row r="211">
          <cell r="A211">
            <v>42795</v>
          </cell>
        </row>
        <row r="212">
          <cell r="A212">
            <v>42795</v>
          </cell>
        </row>
        <row r="213">
          <cell r="A213">
            <v>42795</v>
          </cell>
        </row>
        <row r="214">
          <cell r="A214">
            <v>42795</v>
          </cell>
        </row>
        <row r="215">
          <cell r="A215">
            <v>42795</v>
          </cell>
        </row>
        <row r="216">
          <cell r="A216">
            <v>42795</v>
          </cell>
        </row>
        <row r="217">
          <cell r="A217">
            <v>42795</v>
          </cell>
        </row>
        <row r="218">
          <cell r="A218">
            <v>42795</v>
          </cell>
        </row>
        <row r="219">
          <cell r="A219">
            <v>42795</v>
          </cell>
        </row>
        <row r="220">
          <cell r="A220">
            <v>42795</v>
          </cell>
        </row>
        <row r="221">
          <cell r="A221">
            <v>42795</v>
          </cell>
        </row>
        <row r="222">
          <cell r="A222">
            <v>42826</v>
          </cell>
        </row>
        <row r="223">
          <cell r="A223">
            <v>42826</v>
          </cell>
        </row>
        <row r="224">
          <cell r="A224">
            <v>42826</v>
          </cell>
        </row>
        <row r="225">
          <cell r="A225">
            <v>42826</v>
          </cell>
        </row>
        <row r="226">
          <cell r="A226">
            <v>42826</v>
          </cell>
        </row>
        <row r="227">
          <cell r="A227">
            <v>42826</v>
          </cell>
        </row>
        <row r="228">
          <cell r="A228">
            <v>42826</v>
          </cell>
        </row>
        <row r="229">
          <cell r="A229">
            <v>42826</v>
          </cell>
        </row>
        <row r="230">
          <cell r="A230">
            <v>42826</v>
          </cell>
        </row>
        <row r="231">
          <cell r="A231">
            <v>42826</v>
          </cell>
        </row>
        <row r="232">
          <cell r="A232">
            <v>42826</v>
          </cell>
        </row>
        <row r="233">
          <cell r="A233">
            <v>42826</v>
          </cell>
        </row>
        <row r="234">
          <cell r="A234">
            <v>42826</v>
          </cell>
        </row>
        <row r="235">
          <cell r="A235">
            <v>42826</v>
          </cell>
        </row>
        <row r="236">
          <cell r="A236">
            <v>42826</v>
          </cell>
        </row>
        <row r="237">
          <cell r="A237">
            <v>42826</v>
          </cell>
        </row>
        <row r="238">
          <cell r="A238">
            <v>42826</v>
          </cell>
        </row>
        <row r="239">
          <cell r="A239">
            <v>42826</v>
          </cell>
        </row>
        <row r="240">
          <cell r="A240">
            <v>42826</v>
          </cell>
        </row>
        <row r="241">
          <cell r="A241">
            <v>42826</v>
          </cell>
        </row>
        <row r="242">
          <cell r="A242">
            <v>42826</v>
          </cell>
        </row>
        <row r="243">
          <cell r="A243">
            <v>42826</v>
          </cell>
        </row>
        <row r="244">
          <cell r="A244">
            <v>42826</v>
          </cell>
        </row>
        <row r="245">
          <cell r="A245">
            <v>42826</v>
          </cell>
        </row>
        <row r="246">
          <cell r="A246">
            <v>42826</v>
          </cell>
        </row>
        <row r="247">
          <cell r="A247">
            <v>42826</v>
          </cell>
        </row>
        <row r="248">
          <cell r="A248">
            <v>42826</v>
          </cell>
        </row>
        <row r="249">
          <cell r="A249">
            <v>42826</v>
          </cell>
        </row>
        <row r="250">
          <cell r="A250">
            <v>42826</v>
          </cell>
        </row>
        <row r="251">
          <cell r="A251">
            <v>42826</v>
          </cell>
        </row>
        <row r="252">
          <cell r="A252">
            <v>42856</v>
          </cell>
        </row>
        <row r="253">
          <cell r="A253">
            <v>42856</v>
          </cell>
        </row>
        <row r="254">
          <cell r="A254">
            <v>42856</v>
          </cell>
        </row>
        <row r="255">
          <cell r="A255">
            <v>42856</v>
          </cell>
        </row>
        <row r="256">
          <cell r="A256">
            <v>42856</v>
          </cell>
        </row>
        <row r="257">
          <cell r="A257">
            <v>42856</v>
          </cell>
        </row>
        <row r="258">
          <cell r="A258">
            <v>42856</v>
          </cell>
        </row>
        <row r="259">
          <cell r="A259">
            <v>42856</v>
          </cell>
        </row>
        <row r="260">
          <cell r="A260">
            <v>42856</v>
          </cell>
        </row>
        <row r="261">
          <cell r="A261">
            <v>42856</v>
          </cell>
        </row>
        <row r="262">
          <cell r="A262">
            <v>42856</v>
          </cell>
        </row>
        <row r="263">
          <cell r="A263">
            <v>42856</v>
          </cell>
        </row>
        <row r="264">
          <cell r="A264">
            <v>42856</v>
          </cell>
        </row>
        <row r="265">
          <cell r="A265">
            <v>42856</v>
          </cell>
        </row>
        <row r="266">
          <cell r="A266">
            <v>42856</v>
          </cell>
        </row>
        <row r="267">
          <cell r="A267">
            <v>42856</v>
          </cell>
        </row>
        <row r="268">
          <cell r="A268">
            <v>42856</v>
          </cell>
        </row>
        <row r="269">
          <cell r="A269">
            <v>42856</v>
          </cell>
        </row>
        <row r="270">
          <cell r="A270">
            <v>42856</v>
          </cell>
        </row>
        <row r="271">
          <cell r="A271">
            <v>42856</v>
          </cell>
        </row>
        <row r="272">
          <cell r="A272">
            <v>42856</v>
          </cell>
        </row>
        <row r="273">
          <cell r="A273">
            <v>42856</v>
          </cell>
        </row>
        <row r="274">
          <cell r="A274">
            <v>42856</v>
          </cell>
        </row>
        <row r="275">
          <cell r="A275">
            <v>42856</v>
          </cell>
        </row>
        <row r="276">
          <cell r="A276">
            <v>42856</v>
          </cell>
        </row>
        <row r="277">
          <cell r="A277">
            <v>42856</v>
          </cell>
        </row>
        <row r="278">
          <cell r="A278">
            <v>42856</v>
          </cell>
        </row>
        <row r="279">
          <cell r="A279">
            <v>42856</v>
          </cell>
        </row>
        <row r="280">
          <cell r="A280">
            <v>42856</v>
          </cell>
        </row>
        <row r="281">
          <cell r="A281">
            <v>42856</v>
          </cell>
        </row>
        <row r="282">
          <cell r="A282">
            <v>42887</v>
          </cell>
        </row>
        <row r="283">
          <cell r="A283">
            <v>42887</v>
          </cell>
        </row>
        <row r="284">
          <cell r="A284">
            <v>42887</v>
          </cell>
        </row>
        <row r="285">
          <cell r="A285">
            <v>42887</v>
          </cell>
        </row>
        <row r="286">
          <cell r="A286">
            <v>42887</v>
          </cell>
        </row>
        <row r="287">
          <cell r="A287">
            <v>42887</v>
          </cell>
        </row>
        <row r="288">
          <cell r="A288">
            <v>42887</v>
          </cell>
        </row>
        <row r="289">
          <cell r="A289">
            <v>42887</v>
          </cell>
        </row>
        <row r="290">
          <cell r="A290">
            <v>42887</v>
          </cell>
        </row>
        <row r="291">
          <cell r="A291">
            <v>42887</v>
          </cell>
        </row>
        <row r="292">
          <cell r="A292">
            <v>42887</v>
          </cell>
        </row>
        <row r="293">
          <cell r="A293">
            <v>42887</v>
          </cell>
        </row>
        <row r="294">
          <cell r="A294">
            <v>42887</v>
          </cell>
        </row>
        <row r="295">
          <cell r="A295">
            <v>42887</v>
          </cell>
        </row>
        <row r="296">
          <cell r="A296">
            <v>42887</v>
          </cell>
        </row>
        <row r="297">
          <cell r="A297">
            <v>42887</v>
          </cell>
        </row>
        <row r="298">
          <cell r="A298">
            <v>42887</v>
          </cell>
        </row>
        <row r="299">
          <cell r="A299">
            <v>42887</v>
          </cell>
        </row>
        <row r="300">
          <cell r="A300">
            <v>42887</v>
          </cell>
        </row>
        <row r="301">
          <cell r="A301">
            <v>42887</v>
          </cell>
        </row>
        <row r="302">
          <cell r="A302">
            <v>42887</v>
          </cell>
        </row>
        <row r="303">
          <cell r="A303">
            <v>42887</v>
          </cell>
        </row>
        <row r="304">
          <cell r="A304">
            <v>42887</v>
          </cell>
        </row>
        <row r="305">
          <cell r="A305">
            <v>42887</v>
          </cell>
        </row>
        <row r="306">
          <cell r="A306">
            <v>42887</v>
          </cell>
        </row>
        <row r="307">
          <cell r="A307">
            <v>42887</v>
          </cell>
        </row>
        <row r="308">
          <cell r="A308">
            <v>42887</v>
          </cell>
        </row>
        <row r="309">
          <cell r="A309">
            <v>42887</v>
          </cell>
        </row>
        <row r="310">
          <cell r="A310">
            <v>42887</v>
          </cell>
        </row>
        <row r="311">
          <cell r="A311">
            <v>42887</v>
          </cell>
        </row>
        <row r="312">
          <cell r="A312">
            <v>42917</v>
          </cell>
        </row>
        <row r="313">
          <cell r="A313">
            <v>42917</v>
          </cell>
        </row>
        <row r="314">
          <cell r="A314">
            <v>42917</v>
          </cell>
        </row>
        <row r="315">
          <cell r="A315">
            <v>42917</v>
          </cell>
        </row>
        <row r="316">
          <cell r="A316">
            <v>42917</v>
          </cell>
        </row>
        <row r="317">
          <cell r="A317">
            <v>42917</v>
          </cell>
        </row>
        <row r="318">
          <cell r="A318">
            <v>42917</v>
          </cell>
        </row>
        <row r="319">
          <cell r="A319">
            <v>42917</v>
          </cell>
        </row>
        <row r="320">
          <cell r="A320">
            <v>42917</v>
          </cell>
        </row>
        <row r="321">
          <cell r="A321">
            <v>42917</v>
          </cell>
        </row>
        <row r="322">
          <cell r="A322">
            <v>42917</v>
          </cell>
        </row>
        <row r="323">
          <cell r="A323">
            <v>42917</v>
          </cell>
        </row>
        <row r="324">
          <cell r="A324">
            <v>42917</v>
          </cell>
        </row>
        <row r="325">
          <cell r="A325">
            <v>42917</v>
          </cell>
        </row>
        <row r="326">
          <cell r="A326">
            <v>42917</v>
          </cell>
        </row>
        <row r="327">
          <cell r="A327">
            <v>42917</v>
          </cell>
        </row>
        <row r="328">
          <cell r="A328">
            <v>42917</v>
          </cell>
        </row>
        <row r="329">
          <cell r="A329">
            <v>42917</v>
          </cell>
        </row>
        <row r="330">
          <cell r="A330">
            <v>42917</v>
          </cell>
        </row>
        <row r="331">
          <cell r="A331">
            <v>42917</v>
          </cell>
        </row>
        <row r="332">
          <cell r="A332">
            <v>42917</v>
          </cell>
        </row>
        <row r="333">
          <cell r="A333">
            <v>42917</v>
          </cell>
        </row>
        <row r="334">
          <cell r="A334">
            <v>42917</v>
          </cell>
        </row>
        <row r="335">
          <cell r="A335">
            <v>42917</v>
          </cell>
        </row>
        <row r="336">
          <cell r="A336">
            <v>42917</v>
          </cell>
        </row>
        <row r="337">
          <cell r="A337">
            <v>42917</v>
          </cell>
        </row>
        <row r="338">
          <cell r="A338">
            <v>42917</v>
          </cell>
        </row>
        <row r="339">
          <cell r="A339">
            <v>42917</v>
          </cell>
        </row>
        <row r="340">
          <cell r="A340">
            <v>42917</v>
          </cell>
        </row>
        <row r="341">
          <cell r="A341">
            <v>42917</v>
          </cell>
        </row>
        <row r="342">
          <cell r="A342">
            <v>42948</v>
          </cell>
        </row>
        <row r="343">
          <cell r="A343">
            <v>42948</v>
          </cell>
        </row>
        <row r="344">
          <cell r="A344">
            <v>42948</v>
          </cell>
        </row>
        <row r="345">
          <cell r="A345">
            <v>42948</v>
          </cell>
        </row>
        <row r="346">
          <cell r="A346">
            <v>42948</v>
          </cell>
        </row>
        <row r="347">
          <cell r="A347">
            <v>42948</v>
          </cell>
        </row>
        <row r="348">
          <cell r="A348">
            <v>42948</v>
          </cell>
        </row>
        <row r="349">
          <cell r="A349">
            <v>42948</v>
          </cell>
        </row>
        <row r="350">
          <cell r="A350">
            <v>42948</v>
          </cell>
        </row>
        <row r="351">
          <cell r="A351">
            <v>42948</v>
          </cell>
        </row>
        <row r="352">
          <cell r="A352">
            <v>42948</v>
          </cell>
        </row>
        <row r="353">
          <cell r="A353">
            <v>42948</v>
          </cell>
        </row>
        <row r="354">
          <cell r="A354">
            <v>42948</v>
          </cell>
        </row>
        <row r="355">
          <cell r="A355">
            <v>42948</v>
          </cell>
        </row>
        <row r="356">
          <cell r="A356">
            <v>42948</v>
          </cell>
        </row>
        <row r="357">
          <cell r="A357">
            <v>42948</v>
          </cell>
        </row>
        <row r="358">
          <cell r="A358">
            <v>42948</v>
          </cell>
        </row>
        <row r="359">
          <cell r="A359">
            <v>42948</v>
          </cell>
        </row>
        <row r="360">
          <cell r="A360">
            <v>42948</v>
          </cell>
        </row>
        <row r="361">
          <cell r="A361">
            <v>42948</v>
          </cell>
        </row>
        <row r="362">
          <cell r="A362">
            <v>42948</v>
          </cell>
        </row>
        <row r="363">
          <cell r="A363">
            <v>42948</v>
          </cell>
        </row>
        <row r="364">
          <cell r="A364">
            <v>42948</v>
          </cell>
        </row>
        <row r="365">
          <cell r="A365">
            <v>42948</v>
          </cell>
        </row>
        <row r="366">
          <cell r="A366">
            <v>42948</v>
          </cell>
        </row>
        <row r="367">
          <cell r="A367">
            <v>42948</v>
          </cell>
        </row>
        <row r="368">
          <cell r="A368">
            <v>42948</v>
          </cell>
        </row>
        <row r="369">
          <cell r="A369">
            <v>42948</v>
          </cell>
        </row>
        <row r="370">
          <cell r="A370">
            <v>42948</v>
          </cell>
        </row>
        <row r="371">
          <cell r="A371">
            <v>42948</v>
          </cell>
        </row>
        <row r="372">
          <cell r="A372">
            <v>42979</v>
          </cell>
        </row>
        <row r="373">
          <cell r="A373">
            <v>42979</v>
          </cell>
        </row>
        <row r="374">
          <cell r="A374">
            <v>42979</v>
          </cell>
        </row>
        <row r="375">
          <cell r="A375">
            <v>42979</v>
          </cell>
        </row>
        <row r="376">
          <cell r="A376">
            <v>42979</v>
          </cell>
        </row>
        <row r="377">
          <cell r="A377">
            <v>42979</v>
          </cell>
        </row>
        <row r="378">
          <cell r="A378">
            <v>42979</v>
          </cell>
        </row>
        <row r="379">
          <cell r="A379">
            <v>42979</v>
          </cell>
        </row>
        <row r="380">
          <cell r="A380">
            <v>42979</v>
          </cell>
        </row>
        <row r="381">
          <cell r="A381">
            <v>42979</v>
          </cell>
        </row>
        <row r="382">
          <cell r="A382">
            <v>42979</v>
          </cell>
        </row>
        <row r="383">
          <cell r="A383">
            <v>42979</v>
          </cell>
        </row>
        <row r="384">
          <cell r="A384">
            <v>42979</v>
          </cell>
        </row>
        <row r="385">
          <cell r="A385">
            <v>42979</v>
          </cell>
        </row>
        <row r="386">
          <cell r="A386">
            <v>42979</v>
          </cell>
        </row>
        <row r="387">
          <cell r="A387">
            <v>42979</v>
          </cell>
        </row>
        <row r="388">
          <cell r="A388">
            <v>42979</v>
          </cell>
        </row>
        <row r="389">
          <cell r="A389">
            <v>42979</v>
          </cell>
        </row>
        <row r="390">
          <cell r="A390">
            <v>42979</v>
          </cell>
        </row>
        <row r="391">
          <cell r="A391">
            <v>42979</v>
          </cell>
        </row>
        <row r="392">
          <cell r="A392">
            <v>42979</v>
          </cell>
        </row>
        <row r="393">
          <cell r="A393">
            <v>42979</v>
          </cell>
        </row>
        <row r="394">
          <cell r="A394">
            <v>42979</v>
          </cell>
        </row>
        <row r="395">
          <cell r="A395">
            <v>42979</v>
          </cell>
        </row>
        <row r="396">
          <cell r="A396">
            <v>42979</v>
          </cell>
        </row>
        <row r="397">
          <cell r="A397">
            <v>42979</v>
          </cell>
        </row>
        <row r="398">
          <cell r="A398">
            <v>42979</v>
          </cell>
        </row>
        <row r="399">
          <cell r="A399">
            <v>42979</v>
          </cell>
        </row>
        <row r="400">
          <cell r="A400">
            <v>42979</v>
          </cell>
        </row>
        <row r="401">
          <cell r="A401">
            <v>42979</v>
          </cell>
        </row>
        <row r="402">
          <cell r="A402">
            <v>43009</v>
          </cell>
        </row>
        <row r="403">
          <cell r="A403">
            <v>43009</v>
          </cell>
        </row>
        <row r="404">
          <cell r="A404">
            <v>43009</v>
          </cell>
        </row>
        <row r="405">
          <cell r="A405">
            <v>43009</v>
          </cell>
        </row>
        <row r="406">
          <cell r="A406">
            <v>43009</v>
          </cell>
        </row>
        <row r="407">
          <cell r="A407">
            <v>43009</v>
          </cell>
        </row>
        <row r="408">
          <cell r="A408">
            <v>43009</v>
          </cell>
        </row>
        <row r="409">
          <cell r="A409">
            <v>43009</v>
          </cell>
        </row>
        <row r="410">
          <cell r="A410">
            <v>43009</v>
          </cell>
        </row>
        <row r="411">
          <cell r="A411">
            <v>43009</v>
          </cell>
        </row>
        <row r="412">
          <cell r="A412">
            <v>43009</v>
          </cell>
        </row>
        <row r="413">
          <cell r="A413">
            <v>43009</v>
          </cell>
        </row>
        <row r="414">
          <cell r="A414">
            <v>43009</v>
          </cell>
        </row>
        <row r="415">
          <cell r="A415">
            <v>43009</v>
          </cell>
        </row>
        <row r="416">
          <cell r="A416">
            <v>43009</v>
          </cell>
        </row>
        <row r="417">
          <cell r="A417">
            <v>43009</v>
          </cell>
        </row>
        <row r="418">
          <cell r="A418">
            <v>43009</v>
          </cell>
        </row>
        <row r="419">
          <cell r="A419">
            <v>43009</v>
          </cell>
        </row>
        <row r="420">
          <cell r="A420">
            <v>43009</v>
          </cell>
        </row>
        <row r="421">
          <cell r="A421">
            <v>43009</v>
          </cell>
        </row>
        <row r="422">
          <cell r="A422">
            <v>43009</v>
          </cell>
        </row>
        <row r="423">
          <cell r="A423">
            <v>43009</v>
          </cell>
        </row>
        <row r="424">
          <cell r="A424">
            <v>43009</v>
          </cell>
        </row>
        <row r="425">
          <cell r="A425">
            <v>43009</v>
          </cell>
        </row>
        <row r="426">
          <cell r="A426">
            <v>43009</v>
          </cell>
        </row>
        <row r="427">
          <cell r="A427">
            <v>43009</v>
          </cell>
        </row>
        <row r="428">
          <cell r="A428">
            <v>43009</v>
          </cell>
        </row>
        <row r="429">
          <cell r="A429">
            <v>43009</v>
          </cell>
        </row>
        <row r="430">
          <cell r="A430">
            <v>43009</v>
          </cell>
        </row>
        <row r="431">
          <cell r="A431">
            <v>43009</v>
          </cell>
        </row>
        <row r="432">
          <cell r="A432">
            <v>43040</v>
          </cell>
        </row>
        <row r="433">
          <cell r="A433">
            <v>43040</v>
          </cell>
        </row>
        <row r="434">
          <cell r="A434">
            <v>43040</v>
          </cell>
        </row>
        <row r="435">
          <cell r="A435">
            <v>43040</v>
          </cell>
        </row>
        <row r="436">
          <cell r="A436">
            <v>43040</v>
          </cell>
        </row>
        <row r="437">
          <cell r="A437">
            <v>43040</v>
          </cell>
        </row>
        <row r="438">
          <cell r="A438">
            <v>43040</v>
          </cell>
        </row>
        <row r="439">
          <cell r="A439">
            <v>43040</v>
          </cell>
        </row>
        <row r="440">
          <cell r="A440">
            <v>43040</v>
          </cell>
        </row>
        <row r="441">
          <cell r="A441">
            <v>43040</v>
          </cell>
        </row>
        <row r="442">
          <cell r="A442">
            <v>43040</v>
          </cell>
        </row>
        <row r="443">
          <cell r="A443">
            <v>43040</v>
          </cell>
        </row>
        <row r="444">
          <cell r="A444">
            <v>43040</v>
          </cell>
        </row>
        <row r="445">
          <cell r="A445">
            <v>43040</v>
          </cell>
        </row>
        <row r="446">
          <cell r="A446">
            <v>43040</v>
          </cell>
        </row>
        <row r="447">
          <cell r="A447">
            <v>43040</v>
          </cell>
        </row>
        <row r="448">
          <cell r="A448">
            <v>43040</v>
          </cell>
        </row>
        <row r="449">
          <cell r="A449">
            <v>43040</v>
          </cell>
        </row>
        <row r="450">
          <cell r="A450">
            <v>43040</v>
          </cell>
        </row>
        <row r="451">
          <cell r="A451">
            <v>43040</v>
          </cell>
        </row>
        <row r="452">
          <cell r="A452">
            <v>43040</v>
          </cell>
        </row>
        <row r="453">
          <cell r="A453">
            <v>43040</v>
          </cell>
        </row>
        <row r="454">
          <cell r="A454">
            <v>43040</v>
          </cell>
        </row>
        <row r="455">
          <cell r="A455">
            <v>43040</v>
          </cell>
        </row>
        <row r="456">
          <cell r="A456">
            <v>43040</v>
          </cell>
        </row>
        <row r="457">
          <cell r="A457">
            <v>43040</v>
          </cell>
        </row>
        <row r="458">
          <cell r="A458">
            <v>43040</v>
          </cell>
        </row>
        <row r="459">
          <cell r="A459">
            <v>43040</v>
          </cell>
        </row>
        <row r="460">
          <cell r="A460">
            <v>43040</v>
          </cell>
        </row>
        <row r="461">
          <cell r="A461">
            <v>43040</v>
          </cell>
        </row>
        <row r="462">
          <cell r="A462">
            <v>43070</v>
          </cell>
        </row>
        <row r="463">
          <cell r="A463">
            <v>43070</v>
          </cell>
        </row>
        <row r="464">
          <cell r="A464">
            <v>43070</v>
          </cell>
        </row>
        <row r="465">
          <cell r="A465">
            <v>43070</v>
          </cell>
        </row>
        <row r="466">
          <cell r="A466">
            <v>43070</v>
          </cell>
        </row>
        <row r="467">
          <cell r="A467">
            <v>43070</v>
          </cell>
        </row>
        <row r="468">
          <cell r="A468">
            <v>43070</v>
          </cell>
        </row>
        <row r="469">
          <cell r="A469">
            <v>43070</v>
          </cell>
        </row>
        <row r="470">
          <cell r="A470">
            <v>43070</v>
          </cell>
        </row>
        <row r="471">
          <cell r="A471">
            <v>43070</v>
          </cell>
        </row>
        <row r="472">
          <cell r="A472">
            <v>43070</v>
          </cell>
        </row>
        <row r="473">
          <cell r="A473">
            <v>43070</v>
          </cell>
        </row>
        <row r="474">
          <cell r="A474">
            <v>43070</v>
          </cell>
        </row>
        <row r="475">
          <cell r="A475">
            <v>43070</v>
          </cell>
        </row>
        <row r="476">
          <cell r="A476">
            <v>43070</v>
          </cell>
        </row>
        <row r="477">
          <cell r="A477">
            <v>43070</v>
          </cell>
        </row>
        <row r="478">
          <cell r="A478">
            <v>43070</v>
          </cell>
        </row>
        <row r="479">
          <cell r="A479">
            <v>43070</v>
          </cell>
        </row>
        <row r="480">
          <cell r="A480">
            <v>43070</v>
          </cell>
        </row>
        <row r="481">
          <cell r="A481">
            <v>43070</v>
          </cell>
        </row>
        <row r="482">
          <cell r="A482">
            <v>43070</v>
          </cell>
        </row>
        <row r="483">
          <cell r="A483">
            <v>43070</v>
          </cell>
        </row>
        <row r="484">
          <cell r="A484">
            <v>43070</v>
          </cell>
        </row>
        <row r="485">
          <cell r="A485">
            <v>43070</v>
          </cell>
        </row>
        <row r="486">
          <cell r="A486">
            <v>43070</v>
          </cell>
        </row>
        <row r="487">
          <cell r="A487">
            <v>43070</v>
          </cell>
        </row>
        <row r="488">
          <cell r="A488">
            <v>43070</v>
          </cell>
        </row>
        <row r="489">
          <cell r="A489">
            <v>43070</v>
          </cell>
        </row>
        <row r="490">
          <cell r="A490">
            <v>43070</v>
          </cell>
        </row>
        <row r="491">
          <cell r="A491">
            <v>43070</v>
          </cell>
        </row>
        <row r="492">
          <cell r="A492">
            <v>43101</v>
          </cell>
        </row>
        <row r="493">
          <cell r="A493">
            <v>43101</v>
          </cell>
        </row>
        <row r="494">
          <cell r="A494">
            <v>43101</v>
          </cell>
        </row>
        <row r="495">
          <cell r="A495">
            <v>43101</v>
          </cell>
        </row>
        <row r="496">
          <cell r="A496">
            <v>43101</v>
          </cell>
        </row>
        <row r="497">
          <cell r="A497">
            <v>43101</v>
          </cell>
        </row>
        <row r="498">
          <cell r="A498">
            <v>43101</v>
          </cell>
        </row>
        <row r="499">
          <cell r="A499">
            <v>43101</v>
          </cell>
        </row>
        <row r="500">
          <cell r="A500">
            <v>43101</v>
          </cell>
        </row>
        <row r="501">
          <cell r="A501">
            <v>43101</v>
          </cell>
        </row>
        <row r="502">
          <cell r="A502">
            <v>43101</v>
          </cell>
        </row>
        <row r="503">
          <cell r="A503">
            <v>43101</v>
          </cell>
        </row>
        <row r="504">
          <cell r="A504">
            <v>43101</v>
          </cell>
        </row>
        <row r="505">
          <cell r="A505">
            <v>43101</v>
          </cell>
        </row>
        <row r="506">
          <cell r="A506">
            <v>43101</v>
          </cell>
        </row>
        <row r="507">
          <cell r="A507">
            <v>43101</v>
          </cell>
        </row>
        <row r="508">
          <cell r="A508">
            <v>43101</v>
          </cell>
        </row>
        <row r="509">
          <cell r="A509">
            <v>43101</v>
          </cell>
        </row>
        <row r="510">
          <cell r="A510">
            <v>43101</v>
          </cell>
        </row>
        <row r="511">
          <cell r="A511">
            <v>43101</v>
          </cell>
        </row>
        <row r="512">
          <cell r="A512">
            <v>43101</v>
          </cell>
        </row>
        <row r="513">
          <cell r="A513">
            <v>43101</v>
          </cell>
        </row>
        <row r="514">
          <cell r="A514">
            <v>43101</v>
          </cell>
        </row>
        <row r="515">
          <cell r="A515">
            <v>43101</v>
          </cell>
        </row>
        <row r="516">
          <cell r="A516">
            <v>43101</v>
          </cell>
        </row>
        <row r="517">
          <cell r="A517">
            <v>43101</v>
          </cell>
        </row>
        <row r="518">
          <cell r="A518">
            <v>43101</v>
          </cell>
        </row>
        <row r="519">
          <cell r="A519">
            <v>43101</v>
          </cell>
        </row>
        <row r="520">
          <cell r="A520">
            <v>43101</v>
          </cell>
        </row>
        <row r="521">
          <cell r="A521">
            <v>43101</v>
          </cell>
        </row>
        <row r="522">
          <cell r="A522">
            <v>43132</v>
          </cell>
        </row>
        <row r="523">
          <cell r="A523">
            <v>43132</v>
          </cell>
        </row>
        <row r="524">
          <cell r="A524">
            <v>43132</v>
          </cell>
        </row>
        <row r="525">
          <cell r="A525">
            <v>43132</v>
          </cell>
        </row>
        <row r="526">
          <cell r="A526">
            <v>43132</v>
          </cell>
        </row>
        <row r="527">
          <cell r="A527">
            <v>43132</v>
          </cell>
        </row>
        <row r="528">
          <cell r="A528">
            <v>43132</v>
          </cell>
        </row>
        <row r="529">
          <cell r="A529">
            <v>43132</v>
          </cell>
        </row>
        <row r="530">
          <cell r="A530">
            <v>43132</v>
          </cell>
        </row>
        <row r="531">
          <cell r="A531">
            <v>43132</v>
          </cell>
        </row>
        <row r="532">
          <cell r="A532">
            <v>43132</v>
          </cell>
        </row>
        <row r="533">
          <cell r="A533">
            <v>43132</v>
          </cell>
        </row>
        <row r="534">
          <cell r="A534">
            <v>43132</v>
          </cell>
        </row>
        <row r="535">
          <cell r="A535">
            <v>43132</v>
          </cell>
        </row>
        <row r="536">
          <cell r="A536">
            <v>43132</v>
          </cell>
        </row>
        <row r="537">
          <cell r="A537">
            <v>43132</v>
          </cell>
        </row>
        <row r="538">
          <cell r="A538">
            <v>43132</v>
          </cell>
        </row>
        <row r="539">
          <cell r="A539">
            <v>43132</v>
          </cell>
        </row>
        <row r="540">
          <cell r="A540">
            <v>43132</v>
          </cell>
        </row>
        <row r="541">
          <cell r="A541">
            <v>43132</v>
          </cell>
        </row>
        <row r="542">
          <cell r="A542">
            <v>43132</v>
          </cell>
        </row>
        <row r="543">
          <cell r="A543">
            <v>43132</v>
          </cell>
        </row>
        <row r="544">
          <cell r="A544">
            <v>43132</v>
          </cell>
        </row>
        <row r="545">
          <cell r="A545">
            <v>43132</v>
          </cell>
        </row>
        <row r="546">
          <cell r="A546">
            <v>43132</v>
          </cell>
        </row>
        <row r="547">
          <cell r="A547">
            <v>43132</v>
          </cell>
        </row>
        <row r="548">
          <cell r="A548">
            <v>43132</v>
          </cell>
        </row>
        <row r="549">
          <cell r="A549">
            <v>43132</v>
          </cell>
        </row>
        <row r="550">
          <cell r="A550">
            <v>43132</v>
          </cell>
        </row>
        <row r="551">
          <cell r="A551">
            <v>43132</v>
          </cell>
        </row>
        <row r="552">
          <cell r="A552">
            <v>43160</v>
          </cell>
        </row>
        <row r="553">
          <cell r="A553">
            <v>43160</v>
          </cell>
        </row>
        <row r="554">
          <cell r="A554">
            <v>43160</v>
          </cell>
        </row>
        <row r="555">
          <cell r="A555">
            <v>43160</v>
          </cell>
        </row>
        <row r="556">
          <cell r="A556">
            <v>43160</v>
          </cell>
        </row>
        <row r="557">
          <cell r="A557">
            <v>43160</v>
          </cell>
        </row>
        <row r="558">
          <cell r="A558">
            <v>43160</v>
          </cell>
        </row>
        <row r="559">
          <cell r="A559">
            <v>43160</v>
          </cell>
        </row>
        <row r="560">
          <cell r="A560">
            <v>43160</v>
          </cell>
        </row>
        <row r="561">
          <cell r="A561">
            <v>43160</v>
          </cell>
        </row>
        <row r="562">
          <cell r="A562">
            <v>43160</v>
          </cell>
        </row>
        <row r="563">
          <cell r="A563">
            <v>43160</v>
          </cell>
        </row>
        <row r="564">
          <cell r="A564">
            <v>43160</v>
          </cell>
        </row>
        <row r="565">
          <cell r="A565">
            <v>43160</v>
          </cell>
        </row>
        <row r="566">
          <cell r="A566">
            <v>43160</v>
          </cell>
        </row>
        <row r="567">
          <cell r="A567">
            <v>43160</v>
          </cell>
        </row>
        <row r="568">
          <cell r="A568">
            <v>43160</v>
          </cell>
        </row>
        <row r="569">
          <cell r="A569">
            <v>43160</v>
          </cell>
        </row>
        <row r="570">
          <cell r="A570">
            <v>43160</v>
          </cell>
        </row>
        <row r="571">
          <cell r="A571">
            <v>43160</v>
          </cell>
        </row>
        <row r="572">
          <cell r="A572">
            <v>43160</v>
          </cell>
        </row>
        <row r="573">
          <cell r="A573">
            <v>43160</v>
          </cell>
        </row>
        <row r="574">
          <cell r="A574">
            <v>43160</v>
          </cell>
        </row>
        <row r="575">
          <cell r="A575">
            <v>43160</v>
          </cell>
        </row>
        <row r="576">
          <cell r="A576">
            <v>43160</v>
          </cell>
        </row>
        <row r="577">
          <cell r="A577">
            <v>43160</v>
          </cell>
        </row>
        <row r="578">
          <cell r="A578">
            <v>43160</v>
          </cell>
        </row>
        <row r="579">
          <cell r="A579">
            <v>43160</v>
          </cell>
        </row>
        <row r="580">
          <cell r="A580">
            <v>43160</v>
          </cell>
        </row>
        <row r="581">
          <cell r="A581">
            <v>43160</v>
          </cell>
        </row>
        <row r="582">
          <cell r="A582">
            <v>43191</v>
          </cell>
        </row>
        <row r="583">
          <cell r="A583">
            <v>43191</v>
          </cell>
        </row>
        <row r="584">
          <cell r="A584">
            <v>43191</v>
          </cell>
        </row>
        <row r="585">
          <cell r="A585">
            <v>43191</v>
          </cell>
        </row>
        <row r="586">
          <cell r="A586">
            <v>43191</v>
          </cell>
        </row>
        <row r="587">
          <cell r="A587">
            <v>43191</v>
          </cell>
        </row>
        <row r="588">
          <cell r="A588">
            <v>43191</v>
          </cell>
        </row>
        <row r="589">
          <cell r="A589">
            <v>43191</v>
          </cell>
        </row>
        <row r="590">
          <cell r="A590">
            <v>43191</v>
          </cell>
        </row>
        <row r="591">
          <cell r="A591">
            <v>43191</v>
          </cell>
        </row>
        <row r="592">
          <cell r="A592">
            <v>43191</v>
          </cell>
        </row>
        <row r="593">
          <cell r="A593">
            <v>43191</v>
          </cell>
        </row>
        <row r="594">
          <cell r="A594">
            <v>43191</v>
          </cell>
        </row>
        <row r="595">
          <cell r="A595">
            <v>43191</v>
          </cell>
        </row>
        <row r="596">
          <cell r="A596">
            <v>43191</v>
          </cell>
        </row>
        <row r="597">
          <cell r="A597">
            <v>43191</v>
          </cell>
        </row>
        <row r="598">
          <cell r="A598">
            <v>43191</v>
          </cell>
        </row>
        <row r="599">
          <cell r="A599">
            <v>43191</v>
          </cell>
        </row>
        <row r="600">
          <cell r="A600">
            <v>43191</v>
          </cell>
        </row>
        <row r="601">
          <cell r="A601">
            <v>43191</v>
          </cell>
        </row>
        <row r="602">
          <cell r="A602">
            <v>43191</v>
          </cell>
        </row>
        <row r="603">
          <cell r="A603">
            <v>43191</v>
          </cell>
        </row>
        <row r="604">
          <cell r="A604">
            <v>43191</v>
          </cell>
        </row>
        <row r="605">
          <cell r="A605">
            <v>43191</v>
          </cell>
        </row>
        <row r="606">
          <cell r="A606">
            <v>43191</v>
          </cell>
        </row>
        <row r="607">
          <cell r="A607">
            <v>43191</v>
          </cell>
        </row>
        <row r="608">
          <cell r="A608">
            <v>43191</v>
          </cell>
        </row>
        <row r="609">
          <cell r="A609">
            <v>43191</v>
          </cell>
        </row>
        <row r="610">
          <cell r="A610">
            <v>43191</v>
          </cell>
        </row>
        <row r="611">
          <cell r="A611">
            <v>43191</v>
          </cell>
        </row>
        <row r="612">
          <cell r="A612">
            <v>43221</v>
          </cell>
        </row>
        <row r="613">
          <cell r="A613">
            <v>43221</v>
          </cell>
        </row>
        <row r="614">
          <cell r="A614">
            <v>43221</v>
          </cell>
        </row>
        <row r="615">
          <cell r="A615">
            <v>43221</v>
          </cell>
        </row>
        <row r="616">
          <cell r="A616">
            <v>43221</v>
          </cell>
        </row>
        <row r="617">
          <cell r="A617">
            <v>43221</v>
          </cell>
        </row>
        <row r="618">
          <cell r="A618">
            <v>43221</v>
          </cell>
        </row>
        <row r="619">
          <cell r="A619">
            <v>43221</v>
          </cell>
        </row>
        <row r="620">
          <cell r="A620">
            <v>43221</v>
          </cell>
        </row>
        <row r="621">
          <cell r="A621">
            <v>43221</v>
          </cell>
        </row>
        <row r="622">
          <cell r="A622">
            <v>43221</v>
          </cell>
        </row>
        <row r="623">
          <cell r="A623">
            <v>43221</v>
          </cell>
        </row>
        <row r="624">
          <cell r="A624">
            <v>43221</v>
          </cell>
        </row>
        <row r="625">
          <cell r="A625">
            <v>43221</v>
          </cell>
        </row>
        <row r="626">
          <cell r="A626">
            <v>43221</v>
          </cell>
        </row>
        <row r="627">
          <cell r="A627">
            <v>43221</v>
          </cell>
        </row>
        <row r="628">
          <cell r="A628">
            <v>43221</v>
          </cell>
        </row>
        <row r="629">
          <cell r="A629">
            <v>43221</v>
          </cell>
        </row>
        <row r="630">
          <cell r="A630">
            <v>43221</v>
          </cell>
        </row>
        <row r="631">
          <cell r="A631">
            <v>43221</v>
          </cell>
        </row>
        <row r="632">
          <cell r="A632">
            <v>43221</v>
          </cell>
        </row>
        <row r="633">
          <cell r="A633">
            <v>43221</v>
          </cell>
        </row>
        <row r="634">
          <cell r="A634">
            <v>43221</v>
          </cell>
        </row>
        <row r="635">
          <cell r="A635">
            <v>43221</v>
          </cell>
        </row>
        <row r="636">
          <cell r="A636">
            <v>43221</v>
          </cell>
        </row>
        <row r="637">
          <cell r="A637">
            <v>43221</v>
          </cell>
        </row>
        <row r="638">
          <cell r="A638">
            <v>43221</v>
          </cell>
        </row>
        <row r="639">
          <cell r="A639">
            <v>43221</v>
          </cell>
        </row>
        <row r="640">
          <cell r="A640">
            <v>43221</v>
          </cell>
        </row>
        <row r="641">
          <cell r="A641">
            <v>43221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  <row r="998">
          <cell r="A998">
            <v>0</v>
          </cell>
        </row>
        <row r="999">
          <cell r="A999">
            <v>0</v>
          </cell>
        </row>
        <row r="1000">
          <cell r="A1000">
            <v>0</v>
          </cell>
        </row>
      </sheetData>
      <sheetData sheetId="1">
        <row r="1">
          <cell r="A1">
            <v>0</v>
          </cell>
        </row>
        <row r="2">
          <cell r="A2" t="str">
            <v>年月</v>
          </cell>
        </row>
        <row r="3">
          <cell r="A3">
            <v>42614</v>
          </cell>
        </row>
        <row r="4">
          <cell r="A4">
            <v>42614</v>
          </cell>
        </row>
        <row r="5">
          <cell r="A5">
            <v>42614</v>
          </cell>
        </row>
        <row r="6">
          <cell r="A6">
            <v>42614</v>
          </cell>
        </row>
        <row r="7">
          <cell r="A7">
            <v>42614</v>
          </cell>
        </row>
        <row r="8">
          <cell r="A8">
            <v>42614</v>
          </cell>
        </row>
        <row r="9">
          <cell r="A9">
            <v>42614</v>
          </cell>
        </row>
        <row r="10">
          <cell r="A10">
            <v>42614</v>
          </cell>
        </row>
        <row r="11">
          <cell r="A11">
            <v>42614</v>
          </cell>
        </row>
        <row r="12">
          <cell r="A12">
            <v>42614</v>
          </cell>
        </row>
        <row r="13">
          <cell r="A13">
            <v>42644</v>
          </cell>
        </row>
        <row r="14">
          <cell r="A14">
            <v>42644</v>
          </cell>
        </row>
        <row r="15">
          <cell r="A15">
            <v>42644</v>
          </cell>
        </row>
        <row r="16">
          <cell r="A16">
            <v>42644</v>
          </cell>
        </row>
        <row r="17">
          <cell r="A17">
            <v>42644</v>
          </cell>
        </row>
        <row r="18">
          <cell r="A18">
            <v>42644</v>
          </cell>
        </row>
        <row r="19">
          <cell r="A19">
            <v>42644</v>
          </cell>
        </row>
        <row r="20">
          <cell r="A20">
            <v>42644</v>
          </cell>
        </row>
        <row r="21">
          <cell r="A21">
            <v>42644</v>
          </cell>
        </row>
        <row r="22">
          <cell r="A22">
            <v>42675</v>
          </cell>
        </row>
        <row r="23">
          <cell r="A23">
            <v>42675</v>
          </cell>
        </row>
        <row r="24">
          <cell r="A24">
            <v>42675</v>
          </cell>
        </row>
        <row r="25">
          <cell r="A25">
            <v>42675</v>
          </cell>
        </row>
        <row r="26">
          <cell r="A26">
            <v>42675</v>
          </cell>
        </row>
        <row r="27">
          <cell r="A27">
            <v>42675</v>
          </cell>
        </row>
        <row r="28">
          <cell r="A28">
            <v>42675</v>
          </cell>
        </row>
        <row r="29">
          <cell r="A29">
            <v>42675</v>
          </cell>
        </row>
        <row r="30">
          <cell r="A30">
            <v>42675</v>
          </cell>
        </row>
        <row r="31">
          <cell r="A31">
            <v>42675</v>
          </cell>
        </row>
        <row r="32">
          <cell r="A32">
            <v>42705</v>
          </cell>
        </row>
        <row r="33">
          <cell r="A33">
            <v>42705</v>
          </cell>
        </row>
        <row r="34">
          <cell r="A34">
            <v>42705</v>
          </cell>
        </row>
        <row r="35">
          <cell r="A35">
            <v>42705</v>
          </cell>
        </row>
        <row r="36">
          <cell r="A36">
            <v>42705</v>
          </cell>
        </row>
        <row r="37">
          <cell r="A37">
            <v>42705</v>
          </cell>
        </row>
        <row r="38">
          <cell r="A38">
            <v>42705</v>
          </cell>
        </row>
        <row r="39">
          <cell r="A39">
            <v>42705</v>
          </cell>
        </row>
        <row r="40">
          <cell r="A40">
            <v>42705</v>
          </cell>
        </row>
        <row r="41">
          <cell r="A41">
            <v>42705</v>
          </cell>
        </row>
        <row r="42">
          <cell r="A42">
            <v>42736</v>
          </cell>
        </row>
        <row r="43">
          <cell r="A43">
            <v>42736</v>
          </cell>
        </row>
        <row r="44">
          <cell r="A44">
            <v>42736</v>
          </cell>
        </row>
        <row r="45">
          <cell r="A45">
            <v>42736</v>
          </cell>
        </row>
        <row r="46">
          <cell r="A46">
            <v>42736</v>
          </cell>
        </row>
        <row r="47">
          <cell r="A47">
            <v>42736</v>
          </cell>
        </row>
        <row r="48">
          <cell r="A48">
            <v>42736</v>
          </cell>
        </row>
        <row r="49">
          <cell r="A49">
            <v>42736</v>
          </cell>
        </row>
        <row r="50">
          <cell r="A50">
            <v>42736</v>
          </cell>
        </row>
        <row r="51">
          <cell r="A51">
            <v>42736</v>
          </cell>
        </row>
        <row r="52">
          <cell r="A52">
            <v>42767</v>
          </cell>
        </row>
        <row r="53">
          <cell r="A53">
            <v>42767</v>
          </cell>
        </row>
        <row r="54">
          <cell r="A54">
            <v>42767</v>
          </cell>
        </row>
        <row r="55">
          <cell r="A55">
            <v>42767</v>
          </cell>
        </row>
        <row r="56">
          <cell r="A56">
            <v>42767</v>
          </cell>
        </row>
        <row r="57">
          <cell r="A57">
            <v>42767</v>
          </cell>
        </row>
        <row r="58">
          <cell r="A58">
            <v>42767</v>
          </cell>
        </row>
        <row r="59">
          <cell r="A59">
            <v>42767</v>
          </cell>
        </row>
        <row r="60">
          <cell r="A60">
            <v>42767</v>
          </cell>
        </row>
        <row r="61">
          <cell r="A61">
            <v>42795</v>
          </cell>
        </row>
        <row r="62">
          <cell r="A62">
            <v>42795</v>
          </cell>
        </row>
        <row r="63">
          <cell r="A63">
            <v>42795</v>
          </cell>
        </row>
        <row r="64">
          <cell r="A64">
            <v>42795</v>
          </cell>
        </row>
        <row r="65">
          <cell r="A65">
            <v>42795</v>
          </cell>
        </row>
        <row r="66">
          <cell r="A66">
            <v>42795</v>
          </cell>
        </row>
        <row r="67">
          <cell r="A67">
            <v>42795</v>
          </cell>
        </row>
        <row r="68">
          <cell r="A68">
            <v>42795</v>
          </cell>
        </row>
        <row r="69">
          <cell r="A69">
            <v>42795</v>
          </cell>
        </row>
        <row r="70">
          <cell r="A70">
            <v>42826</v>
          </cell>
        </row>
        <row r="71">
          <cell r="A71">
            <v>42826</v>
          </cell>
        </row>
        <row r="72">
          <cell r="A72">
            <v>42826</v>
          </cell>
        </row>
        <row r="73">
          <cell r="A73">
            <v>42826</v>
          </cell>
        </row>
        <row r="74">
          <cell r="A74">
            <v>42826</v>
          </cell>
        </row>
        <row r="75">
          <cell r="A75">
            <v>42826</v>
          </cell>
        </row>
        <row r="76">
          <cell r="A76">
            <v>42826</v>
          </cell>
        </row>
        <row r="77">
          <cell r="A77">
            <v>42826</v>
          </cell>
        </row>
        <row r="78">
          <cell r="A78">
            <v>42826</v>
          </cell>
        </row>
        <row r="79">
          <cell r="A79">
            <v>42856</v>
          </cell>
        </row>
        <row r="80">
          <cell r="A80">
            <v>42856</v>
          </cell>
        </row>
        <row r="81">
          <cell r="A81">
            <v>42856</v>
          </cell>
        </row>
        <row r="82">
          <cell r="A82">
            <v>42856</v>
          </cell>
        </row>
        <row r="83">
          <cell r="A83">
            <v>42856</v>
          </cell>
        </row>
        <row r="84">
          <cell r="A84">
            <v>42856</v>
          </cell>
        </row>
        <row r="85">
          <cell r="A85">
            <v>42856</v>
          </cell>
        </row>
        <row r="86">
          <cell r="A86">
            <v>42856</v>
          </cell>
        </row>
        <row r="87">
          <cell r="A87">
            <v>42856</v>
          </cell>
        </row>
        <row r="88">
          <cell r="A88">
            <v>42887</v>
          </cell>
        </row>
        <row r="89">
          <cell r="A89">
            <v>42887</v>
          </cell>
        </row>
        <row r="90">
          <cell r="A90">
            <v>42887</v>
          </cell>
        </row>
        <row r="91">
          <cell r="A91">
            <v>42887</v>
          </cell>
        </row>
        <row r="92">
          <cell r="A92">
            <v>42887</v>
          </cell>
        </row>
        <row r="93">
          <cell r="A93">
            <v>42887</v>
          </cell>
        </row>
        <row r="94">
          <cell r="A94">
            <v>42887</v>
          </cell>
        </row>
        <row r="95">
          <cell r="A95">
            <v>42887</v>
          </cell>
        </row>
        <row r="96">
          <cell r="A96">
            <v>42887</v>
          </cell>
        </row>
        <row r="97">
          <cell r="A97">
            <v>42917</v>
          </cell>
        </row>
        <row r="98">
          <cell r="A98">
            <v>42917</v>
          </cell>
        </row>
        <row r="99">
          <cell r="A99">
            <v>42917</v>
          </cell>
        </row>
        <row r="100">
          <cell r="A100">
            <v>42917</v>
          </cell>
        </row>
        <row r="101">
          <cell r="A101">
            <v>42917</v>
          </cell>
        </row>
        <row r="102">
          <cell r="A102">
            <v>42917</v>
          </cell>
        </row>
        <row r="103">
          <cell r="A103">
            <v>42917</v>
          </cell>
        </row>
        <row r="104">
          <cell r="A104">
            <v>42917</v>
          </cell>
        </row>
        <row r="105">
          <cell r="A105">
            <v>42917</v>
          </cell>
        </row>
        <row r="106">
          <cell r="A106">
            <v>42948</v>
          </cell>
        </row>
        <row r="107">
          <cell r="A107">
            <v>42948</v>
          </cell>
        </row>
        <row r="108">
          <cell r="A108">
            <v>42948</v>
          </cell>
        </row>
        <row r="109">
          <cell r="A109">
            <v>42948</v>
          </cell>
        </row>
        <row r="110">
          <cell r="A110">
            <v>42948</v>
          </cell>
        </row>
        <row r="111">
          <cell r="A111">
            <v>42948</v>
          </cell>
        </row>
        <row r="112">
          <cell r="A112">
            <v>42948</v>
          </cell>
        </row>
        <row r="113">
          <cell r="A113">
            <v>42948</v>
          </cell>
        </row>
        <row r="114">
          <cell r="A114">
            <v>42948</v>
          </cell>
        </row>
        <row r="115">
          <cell r="A115">
            <v>42979</v>
          </cell>
        </row>
        <row r="116">
          <cell r="A116">
            <v>42979</v>
          </cell>
        </row>
        <row r="117">
          <cell r="A117">
            <v>42979</v>
          </cell>
        </row>
        <row r="118">
          <cell r="A118">
            <v>42979</v>
          </cell>
        </row>
        <row r="119">
          <cell r="A119">
            <v>42979</v>
          </cell>
        </row>
        <row r="120">
          <cell r="A120">
            <v>42979</v>
          </cell>
        </row>
        <row r="121">
          <cell r="A121">
            <v>42979</v>
          </cell>
        </row>
        <row r="122">
          <cell r="A122">
            <v>42979</v>
          </cell>
        </row>
        <row r="123">
          <cell r="A123">
            <v>42979</v>
          </cell>
        </row>
        <row r="124">
          <cell r="A124">
            <v>43009</v>
          </cell>
        </row>
        <row r="125">
          <cell r="A125">
            <v>43009</v>
          </cell>
        </row>
        <row r="126">
          <cell r="A126">
            <v>43009</v>
          </cell>
        </row>
        <row r="127">
          <cell r="A127">
            <v>43009</v>
          </cell>
        </row>
        <row r="128">
          <cell r="A128">
            <v>43009</v>
          </cell>
        </row>
        <row r="129">
          <cell r="A129">
            <v>43009</v>
          </cell>
        </row>
        <row r="130">
          <cell r="A130">
            <v>43009</v>
          </cell>
        </row>
        <row r="131">
          <cell r="A131">
            <v>43009</v>
          </cell>
        </row>
        <row r="132">
          <cell r="A132">
            <v>43009</v>
          </cell>
        </row>
        <row r="133">
          <cell r="A133">
            <v>43009</v>
          </cell>
        </row>
        <row r="134">
          <cell r="A134">
            <v>43040</v>
          </cell>
        </row>
        <row r="135">
          <cell r="A135">
            <v>43040</v>
          </cell>
        </row>
        <row r="136">
          <cell r="A136">
            <v>43040</v>
          </cell>
        </row>
        <row r="137">
          <cell r="A137">
            <v>43040</v>
          </cell>
        </row>
        <row r="138">
          <cell r="A138">
            <v>43040</v>
          </cell>
        </row>
        <row r="139">
          <cell r="A139">
            <v>43040</v>
          </cell>
        </row>
        <row r="140">
          <cell r="A140">
            <v>43040</v>
          </cell>
        </row>
        <row r="141">
          <cell r="A141">
            <v>43040</v>
          </cell>
        </row>
        <row r="142">
          <cell r="A142">
            <v>43040</v>
          </cell>
        </row>
        <row r="143">
          <cell r="A143">
            <v>43070</v>
          </cell>
        </row>
        <row r="144">
          <cell r="A144">
            <v>43070</v>
          </cell>
        </row>
        <row r="145">
          <cell r="A145">
            <v>43070</v>
          </cell>
        </row>
        <row r="146">
          <cell r="A146">
            <v>43070</v>
          </cell>
        </row>
        <row r="147">
          <cell r="A147">
            <v>43070</v>
          </cell>
        </row>
        <row r="148">
          <cell r="A148">
            <v>43070</v>
          </cell>
        </row>
        <row r="149">
          <cell r="A149">
            <v>43070</v>
          </cell>
        </row>
        <row r="150">
          <cell r="A150">
            <v>43070</v>
          </cell>
        </row>
        <row r="151">
          <cell r="A151">
            <v>43070</v>
          </cell>
        </row>
        <row r="152">
          <cell r="A152">
            <v>43101</v>
          </cell>
        </row>
        <row r="153">
          <cell r="A153">
            <v>43101</v>
          </cell>
        </row>
        <row r="154">
          <cell r="A154">
            <v>43101</v>
          </cell>
        </row>
        <row r="155">
          <cell r="A155">
            <v>43101</v>
          </cell>
        </row>
        <row r="156">
          <cell r="A156">
            <v>43101</v>
          </cell>
        </row>
        <row r="157">
          <cell r="A157">
            <v>43101</v>
          </cell>
        </row>
        <row r="158">
          <cell r="A158">
            <v>43101</v>
          </cell>
        </row>
        <row r="159">
          <cell r="A159">
            <v>43101</v>
          </cell>
        </row>
        <row r="160">
          <cell r="A160">
            <v>43101</v>
          </cell>
        </row>
        <row r="161">
          <cell r="A161">
            <v>43132</v>
          </cell>
        </row>
        <row r="162">
          <cell r="A162">
            <v>43132</v>
          </cell>
        </row>
        <row r="163">
          <cell r="A163">
            <v>43132</v>
          </cell>
        </row>
        <row r="164">
          <cell r="A164">
            <v>43132</v>
          </cell>
        </row>
        <row r="165">
          <cell r="A165">
            <v>43132</v>
          </cell>
        </row>
        <row r="166">
          <cell r="A166">
            <v>43132</v>
          </cell>
        </row>
        <row r="167">
          <cell r="A167">
            <v>43132</v>
          </cell>
        </row>
        <row r="168">
          <cell r="A168">
            <v>43132</v>
          </cell>
        </row>
        <row r="169">
          <cell r="A169">
            <v>43132</v>
          </cell>
        </row>
        <row r="170">
          <cell r="A170">
            <v>43160</v>
          </cell>
        </row>
        <row r="171">
          <cell r="A171">
            <v>43160</v>
          </cell>
        </row>
        <row r="172">
          <cell r="A172">
            <v>43160</v>
          </cell>
        </row>
        <row r="173">
          <cell r="A173">
            <v>43160</v>
          </cell>
        </row>
        <row r="174">
          <cell r="A174">
            <v>43160</v>
          </cell>
        </row>
        <row r="175">
          <cell r="A175">
            <v>43160</v>
          </cell>
        </row>
        <row r="176">
          <cell r="A176">
            <v>43160</v>
          </cell>
        </row>
        <row r="177">
          <cell r="A177">
            <v>43160</v>
          </cell>
        </row>
        <row r="178">
          <cell r="A178">
            <v>43160</v>
          </cell>
        </row>
        <row r="179">
          <cell r="A179">
            <v>43191</v>
          </cell>
        </row>
        <row r="180">
          <cell r="A180">
            <v>43191</v>
          </cell>
        </row>
        <row r="181">
          <cell r="A181">
            <v>43191</v>
          </cell>
        </row>
        <row r="182">
          <cell r="A182">
            <v>43191</v>
          </cell>
        </row>
        <row r="183">
          <cell r="A183">
            <v>43191</v>
          </cell>
        </row>
        <row r="184">
          <cell r="A184">
            <v>43191</v>
          </cell>
        </row>
        <row r="185">
          <cell r="A185">
            <v>43191</v>
          </cell>
        </row>
        <row r="186">
          <cell r="A186">
            <v>43191</v>
          </cell>
        </row>
        <row r="187">
          <cell r="A187">
            <v>43191</v>
          </cell>
        </row>
        <row r="188">
          <cell r="A188">
            <v>43221</v>
          </cell>
        </row>
        <row r="189">
          <cell r="A189">
            <v>43221</v>
          </cell>
        </row>
        <row r="190">
          <cell r="A190">
            <v>43221</v>
          </cell>
        </row>
        <row r="191">
          <cell r="A191">
            <v>43221</v>
          </cell>
        </row>
        <row r="192">
          <cell r="A192">
            <v>43221</v>
          </cell>
        </row>
        <row r="193">
          <cell r="A193">
            <v>43221</v>
          </cell>
        </row>
        <row r="194">
          <cell r="A194">
            <v>43221</v>
          </cell>
        </row>
        <row r="195">
          <cell r="A195">
            <v>43221</v>
          </cell>
        </row>
        <row r="196">
          <cell r="A196">
            <v>43221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</sheetData>
      <sheetData sheetId="2">
        <row r="1">
          <cell r="A1" t="str">
            <v>年月</v>
          </cell>
        </row>
        <row r="2">
          <cell r="A2">
            <v>41275</v>
          </cell>
        </row>
        <row r="3">
          <cell r="A3">
            <v>41306</v>
          </cell>
        </row>
        <row r="4">
          <cell r="A4">
            <v>41334</v>
          </cell>
        </row>
        <row r="5">
          <cell r="A5">
            <v>41365</v>
          </cell>
        </row>
        <row r="6">
          <cell r="A6">
            <v>41395</v>
          </cell>
        </row>
        <row r="7">
          <cell r="A7">
            <v>41426</v>
          </cell>
        </row>
        <row r="8">
          <cell r="A8">
            <v>41456</v>
          </cell>
        </row>
        <row r="9">
          <cell r="A9">
            <v>41487</v>
          </cell>
        </row>
        <row r="10">
          <cell r="A10">
            <v>41518</v>
          </cell>
        </row>
        <row r="11">
          <cell r="A11">
            <v>41548</v>
          </cell>
        </row>
        <row r="12">
          <cell r="A12">
            <v>41579</v>
          </cell>
        </row>
        <row r="13">
          <cell r="A13">
            <v>41609</v>
          </cell>
        </row>
        <row r="14">
          <cell r="A14">
            <v>41640</v>
          </cell>
        </row>
        <row r="15">
          <cell r="A15">
            <v>41671</v>
          </cell>
        </row>
        <row r="16">
          <cell r="A16">
            <v>41699</v>
          </cell>
        </row>
        <row r="17">
          <cell r="A17">
            <v>41730</v>
          </cell>
        </row>
        <row r="18">
          <cell r="A18">
            <v>41760</v>
          </cell>
        </row>
        <row r="19">
          <cell r="A19">
            <v>41791</v>
          </cell>
        </row>
        <row r="20">
          <cell r="A20">
            <v>41821</v>
          </cell>
        </row>
        <row r="21">
          <cell r="A21">
            <v>41852</v>
          </cell>
        </row>
        <row r="22">
          <cell r="A22">
            <v>41883</v>
          </cell>
        </row>
        <row r="23">
          <cell r="A23">
            <v>41913</v>
          </cell>
        </row>
        <row r="24">
          <cell r="A24">
            <v>41944</v>
          </cell>
        </row>
        <row r="25">
          <cell r="A25">
            <v>41974</v>
          </cell>
        </row>
        <row r="26">
          <cell r="A26">
            <v>42005</v>
          </cell>
        </row>
        <row r="27">
          <cell r="A27">
            <v>42036</v>
          </cell>
        </row>
        <row r="28">
          <cell r="A28">
            <v>42064</v>
          </cell>
        </row>
        <row r="29">
          <cell r="A29">
            <v>42095</v>
          </cell>
        </row>
        <row r="30">
          <cell r="A30">
            <v>42125</v>
          </cell>
        </row>
        <row r="31">
          <cell r="A31">
            <v>42156</v>
          </cell>
        </row>
        <row r="32">
          <cell r="A32">
            <v>42186</v>
          </cell>
        </row>
        <row r="33">
          <cell r="A33">
            <v>42217</v>
          </cell>
        </row>
        <row r="34">
          <cell r="A34">
            <v>42248</v>
          </cell>
        </row>
        <row r="35">
          <cell r="A35">
            <v>42278</v>
          </cell>
        </row>
        <row r="36">
          <cell r="A36">
            <v>42309</v>
          </cell>
        </row>
        <row r="37">
          <cell r="A37">
            <v>42339</v>
          </cell>
        </row>
        <row r="38">
          <cell r="A38">
            <v>42370</v>
          </cell>
        </row>
        <row r="39">
          <cell r="A39">
            <v>42401</v>
          </cell>
        </row>
        <row r="40">
          <cell r="A40">
            <v>42430</v>
          </cell>
        </row>
        <row r="41">
          <cell r="A41">
            <v>42461</v>
          </cell>
        </row>
        <row r="42">
          <cell r="A42">
            <v>42491</v>
          </cell>
        </row>
        <row r="43">
          <cell r="A43">
            <v>42522</v>
          </cell>
        </row>
        <row r="44">
          <cell r="A44">
            <v>42552</v>
          </cell>
        </row>
        <row r="45">
          <cell r="A45">
            <v>42583</v>
          </cell>
        </row>
        <row r="46">
          <cell r="A46">
            <v>42614</v>
          </cell>
        </row>
        <row r="47">
          <cell r="A47">
            <v>42614</v>
          </cell>
        </row>
        <row r="48">
          <cell r="A48">
            <v>42614</v>
          </cell>
        </row>
        <row r="49">
          <cell r="A49">
            <v>42614</v>
          </cell>
        </row>
        <row r="50">
          <cell r="A50">
            <v>42614</v>
          </cell>
        </row>
        <row r="51">
          <cell r="A51">
            <v>42614</v>
          </cell>
        </row>
        <row r="52">
          <cell r="A52">
            <v>42614</v>
          </cell>
        </row>
        <row r="53">
          <cell r="A53">
            <v>42614</v>
          </cell>
        </row>
        <row r="54">
          <cell r="A54">
            <v>42614</v>
          </cell>
        </row>
        <row r="55">
          <cell r="A55">
            <v>42614</v>
          </cell>
        </row>
        <row r="56">
          <cell r="A56">
            <v>42644</v>
          </cell>
        </row>
        <row r="57">
          <cell r="A57">
            <v>42644</v>
          </cell>
        </row>
        <row r="58">
          <cell r="A58">
            <v>42644</v>
          </cell>
        </row>
        <row r="59">
          <cell r="A59">
            <v>42644</v>
          </cell>
        </row>
        <row r="60">
          <cell r="A60">
            <v>42644</v>
          </cell>
        </row>
        <row r="61">
          <cell r="A61">
            <v>42644</v>
          </cell>
        </row>
        <row r="62">
          <cell r="A62">
            <v>42644</v>
          </cell>
        </row>
        <row r="63">
          <cell r="A63">
            <v>42644</v>
          </cell>
        </row>
        <row r="64">
          <cell r="A64">
            <v>42644</v>
          </cell>
        </row>
        <row r="65">
          <cell r="A65">
            <v>42644</v>
          </cell>
        </row>
        <row r="66">
          <cell r="A66">
            <v>42675</v>
          </cell>
        </row>
        <row r="67">
          <cell r="A67">
            <v>42675</v>
          </cell>
        </row>
        <row r="68">
          <cell r="A68">
            <v>42675</v>
          </cell>
        </row>
        <row r="69">
          <cell r="A69">
            <v>42675</v>
          </cell>
        </row>
        <row r="70">
          <cell r="A70">
            <v>42675</v>
          </cell>
        </row>
        <row r="71">
          <cell r="A71">
            <v>42675</v>
          </cell>
        </row>
        <row r="72">
          <cell r="A72">
            <v>42675</v>
          </cell>
        </row>
        <row r="73">
          <cell r="A73">
            <v>42675</v>
          </cell>
        </row>
        <row r="74">
          <cell r="A74">
            <v>42675</v>
          </cell>
        </row>
        <row r="75">
          <cell r="A75">
            <v>42675</v>
          </cell>
        </row>
        <row r="76">
          <cell r="A76">
            <v>42705</v>
          </cell>
        </row>
        <row r="77">
          <cell r="A77">
            <v>42705</v>
          </cell>
        </row>
        <row r="78">
          <cell r="A78">
            <v>42705</v>
          </cell>
        </row>
        <row r="79">
          <cell r="A79">
            <v>42705</v>
          </cell>
        </row>
        <row r="80">
          <cell r="A80">
            <v>42705</v>
          </cell>
        </row>
        <row r="81">
          <cell r="A81">
            <v>42705</v>
          </cell>
        </row>
        <row r="82">
          <cell r="A82">
            <v>42705</v>
          </cell>
        </row>
        <row r="83">
          <cell r="A83">
            <v>42705</v>
          </cell>
        </row>
        <row r="84">
          <cell r="A84">
            <v>42705</v>
          </cell>
        </row>
        <row r="85">
          <cell r="A85">
            <v>42705</v>
          </cell>
        </row>
        <row r="86">
          <cell r="A86">
            <v>42705</v>
          </cell>
        </row>
        <row r="87">
          <cell r="A87">
            <v>42736</v>
          </cell>
        </row>
        <row r="88">
          <cell r="A88">
            <v>42736</v>
          </cell>
        </row>
        <row r="89">
          <cell r="A89">
            <v>42736</v>
          </cell>
        </row>
        <row r="90">
          <cell r="A90">
            <v>42736</v>
          </cell>
        </row>
        <row r="91">
          <cell r="A91">
            <v>42736</v>
          </cell>
        </row>
        <row r="92">
          <cell r="A92">
            <v>42736</v>
          </cell>
        </row>
        <row r="93">
          <cell r="A93">
            <v>42736</v>
          </cell>
        </row>
        <row r="94">
          <cell r="A94">
            <v>42736</v>
          </cell>
        </row>
        <row r="95">
          <cell r="A95">
            <v>42736</v>
          </cell>
        </row>
        <row r="96">
          <cell r="A96">
            <v>42736</v>
          </cell>
        </row>
        <row r="97">
          <cell r="A97">
            <v>42736</v>
          </cell>
        </row>
        <row r="98">
          <cell r="A98">
            <v>42767</v>
          </cell>
        </row>
        <row r="99">
          <cell r="A99">
            <v>42767</v>
          </cell>
        </row>
        <row r="100">
          <cell r="A100">
            <v>42767</v>
          </cell>
        </row>
        <row r="101">
          <cell r="A101">
            <v>42767</v>
          </cell>
        </row>
        <row r="102">
          <cell r="A102">
            <v>42767</v>
          </cell>
        </row>
        <row r="103">
          <cell r="A103">
            <v>42767</v>
          </cell>
        </row>
        <row r="104">
          <cell r="A104">
            <v>42767</v>
          </cell>
        </row>
        <row r="105">
          <cell r="A105">
            <v>42767</v>
          </cell>
        </row>
        <row r="106">
          <cell r="A106">
            <v>42767</v>
          </cell>
        </row>
        <row r="107">
          <cell r="A107">
            <v>42767</v>
          </cell>
        </row>
        <row r="108">
          <cell r="A108">
            <v>42767</v>
          </cell>
        </row>
        <row r="109">
          <cell r="A109">
            <v>42795</v>
          </cell>
        </row>
        <row r="110">
          <cell r="A110">
            <v>42795</v>
          </cell>
        </row>
        <row r="111">
          <cell r="A111">
            <v>42795</v>
          </cell>
        </row>
        <row r="112">
          <cell r="A112">
            <v>42795</v>
          </cell>
        </row>
        <row r="113">
          <cell r="A113">
            <v>42795</v>
          </cell>
        </row>
        <row r="114">
          <cell r="A114">
            <v>42795</v>
          </cell>
        </row>
        <row r="115">
          <cell r="A115">
            <v>42795</v>
          </cell>
        </row>
        <row r="116">
          <cell r="A116">
            <v>42795</v>
          </cell>
        </row>
        <row r="117">
          <cell r="A117">
            <v>42795</v>
          </cell>
        </row>
        <row r="118">
          <cell r="A118">
            <v>42795</v>
          </cell>
        </row>
        <row r="119">
          <cell r="A119">
            <v>42795</v>
          </cell>
        </row>
        <row r="120">
          <cell r="A120">
            <v>42826</v>
          </cell>
        </row>
        <row r="121">
          <cell r="A121">
            <v>42826</v>
          </cell>
        </row>
        <row r="122">
          <cell r="A122">
            <v>42826</v>
          </cell>
        </row>
        <row r="123">
          <cell r="A123">
            <v>42826</v>
          </cell>
        </row>
        <row r="124">
          <cell r="A124">
            <v>42826</v>
          </cell>
        </row>
        <row r="125">
          <cell r="A125">
            <v>42826</v>
          </cell>
        </row>
        <row r="126">
          <cell r="A126">
            <v>42826</v>
          </cell>
        </row>
        <row r="127">
          <cell r="A127">
            <v>42826</v>
          </cell>
        </row>
        <row r="128">
          <cell r="A128">
            <v>42826</v>
          </cell>
        </row>
        <row r="129">
          <cell r="A129">
            <v>42826</v>
          </cell>
        </row>
        <row r="130">
          <cell r="A130">
            <v>42826</v>
          </cell>
        </row>
        <row r="131">
          <cell r="A131">
            <v>42856</v>
          </cell>
        </row>
        <row r="132">
          <cell r="A132">
            <v>42856</v>
          </cell>
        </row>
        <row r="133">
          <cell r="A133">
            <v>42856</v>
          </cell>
        </row>
        <row r="134">
          <cell r="A134">
            <v>42856</v>
          </cell>
        </row>
        <row r="135">
          <cell r="A135">
            <v>42856</v>
          </cell>
        </row>
        <row r="136">
          <cell r="A136">
            <v>42856</v>
          </cell>
        </row>
        <row r="137">
          <cell r="A137">
            <v>42856</v>
          </cell>
        </row>
        <row r="138">
          <cell r="A138">
            <v>42856</v>
          </cell>
        </row>
        <row r="139">
          <cell r="A139">
            <v>42856</v>
          </cell>
        </row>
        <row r="140">
          <cell r="A140">
            <v>42856</v>
          </cell>
        </row>
        <row r="141">
          <cell r="A141">
            <v>42856</v>
          </cell>
        </row>
        <row r="142">
          <cell r="A142">
            <v>42887</v>
          </cell>
        </row>
        <row r="143">
          <cell r="A143">
            <v>42887</v>
          </cell>
        </row>
        <row r="144">
          <cell r="A144">
            <v>42887</v>
          </cell>
        </row>
        <row r="145">
          <cell r="A145">
            <v>42887</v>
          </cell>
        </row>
        <row r="146">
          <cell r="A146">
            <v>42887</v>
          </cell>
        </row>
        <row r="147">
          <cell r="A147">
            <v>42887</v>
          </cell>
        </row>
        <row r="148">
          <cell r="A148">
            <v>42887</v>
          </cell>
        </row>
        <row r="149">
          <cell r="A149">
            <v>42887</v>
          </cell>
        </row>
        <row r="150">
          <cell r="A150">
            <v>42887</v>
          </cell>
        </row>
        <row r="151">
          <cell r="A151">
            <v>42887</v>
          </cell>
        </row>
        <row r="152">
          <cell r="A152">
            <v>42887</v>
          </cell>
        </row>
        <row r="153">
          <cell r="A153">
            <v>42917</v>
          </cell>
        </row>
        <row r="154">
          <cell r="A154">
            <v>42917</v>
          </cell>
        </row>
        <row r="155">
          <cell r="A155">
            <v>42917</v>
          </cell>
        </row>
        <row r="156">
          <cell r="A156">
            <v>42917</v>
          </cell>
        </row>
        <row r="157">
          <cell r="A157">
            <v>42917</v>
          </cell>
        </row>
        <row r="158">
          <cell r="A158">
            <v>42917</v>
          </cell>
        </row>
        <row r="159">
          <cell r="A159">
            <v>42917</v>
          </cell>
        </row>
        <row r="160">
          <cell r="A160">
            <v>42917</v>
          </cell>
        </row>
        <row r="161">
          <cell r="A161">
            <v>42917</v>
          </cell>
        </row>
        <row r="162">
          <cell r="A162">
            <v>42917</v>
          </cell>
        </row>
        <row r="163">
          <cell r="A163">
            <v>42917</v>
          </cell>
        </row>
        <row r="164">
          <cell r="A164">
            <v>42948</v>
          </cell>
        </row>
        <row r="165">
          <cell r="A165">
            <v>42948</v>
          </cell>
        </row>
        <row r="166">
          <cell r="A166">
            <v>42948</v>
          </cell>
        </row>
        <row r="167">
          <cell r="A167">
            <v>42948</v>
          </cell>
        </row>
        <row r="168">
          <cell r="A168">
            <v>42948</v>
          </cell>
        </row>
        <row r="169">
          <cell r="A169">
            <v>42948</v>
          </cell>
        </row>
        <row r="170">
          <cell r="A170">
            <v>42948</v>
          </cell>
        </row>
        <row r="171">
          <cell r="A171">
            <v>42948</v>
          </cell>
        </row>
        <row r="172">
          <cell r="A172">
            <v>42948</v>
          </cell>
        </row>
        <row r="173">
          <cell r="A173">
            <v>42948</v>
          </cell>
        </row>
        <row r="174">
          <cell r="A174">
            <v>42948</v>
          </cell>
        </row>
        <row r="175">
          <cell r="A175">
            <v>42979</v>
          </cell>
        </row>
        <row r="176">
          <cell r="A176">
            <v>42979</v>
          </cell>
        </row>
        <row r="177">
          <cell r="A177">
            <v>42979</v>
          </cell>
        </row>
        <row r="178">
          <cell r="A178">
            <v>42979</v>
          </cell>
        </row>
        <row r="179">
          <cell r="A179">
            <v>42979</v>
          </cell>
        </row>
        <row r="180">
          <cell r="A180">
            <v>42979</v>
          </cell>
        </row>
        <row r="181">
          <cell r="A181">
            <v>42979</v>
          </cell>
        </row>
        <row r="182">
          <cell r="A182">
            <v>42979</v>
          </cell>
        </row>
        <row r="183">
          <cell r="A183">
            <v>42979</v>
          </cell>
        </row>
        <row r="184">
          <cell r="A184">
            <v>42979</v>
          </cell>
        </row>
        <row r="185">
          <cell r="A185">
            <v>43009</v>
          </cell>
        </row>
        <row r="186">
          <cell r="A186">
            <v>43009</v>
          </cell>
        </row>
        <row r="187">
          <cell r="A187">
            <v>43009</v>
          </cell>
        </row>
        <row r="188">
          <cell r="A188">
            <v>43009</v>
          </cell>
        </row>
        <row r="189">
          <cell r="A189">
            <v>43009</v>
          </cell>
        </row>
        <row r="190">
          <cell r="A190">
            <v>43009</v>
          </cell>
        </row>
        <row r="191">
          <cell r="A191">
            <v>43009</v>
          </cell>
        </row>
        <row r="192">
          <cell r="A192">
            <v>43009</v>
          </cell>
        </row>
        <row r="193">
          <cell r="A193">
            <v>43009</v>
          </cell>
        </row>
        <row r="194">
          <cell r="A194">
            <v>43009</v>
          </cell>
        </row>
        <row r="195">
          <cell r="A195">
            <v>43040</v>
          </cell>
        </row>
        <row r="196">
          <cell r="A196">
            <v>43040</v>
          </cell>
        </row>
        <row r="197">
          <cell r="A197">
            <v>43040</v>
          </cell>
        </row>
        <row r="198">
          <cell r="A198">
            <v>43040</v>
          </cell>
        </row>
        <row r="199">
          <cell r="A199">
            <v>43040</v>
          </cell>
        </row>
        <row r="200">
          <cell r="A200">
            <v>43040</v>
          </cell>
        </row>
        <row r="201">
          <cell r="A201">
            <v>43040</v>
          </cell>
        </row>
        <row r="202">
          <cell r="A202">
            <v>43040</v>
          </cell>
        </row>
        <row r="203">
          <cell r="A203">
            <v>43040</v>
          </cell>
        </row>
        <row r="204">
          <cell r="A204">
            <v>43040</v>
          </cell>
        </row>
        <row r="205">
          <cell r="A205">
            <v>43070</v>
          </cell>
        </row>
        <row r="206">
          <cell r="A206">
            <v>43070</v>
          </cell>
        </row>
        <row r="207">
          <cell r="A207">
            <v>43070</v>
          </cell>
        </row>
        <row r="208">
          <cell r="A208">
            <v>43070</v>
          </cell>
        </row>
        <row r="209">
          <cell r="A209">
            <v>43070</v>
          </cell>
        </row>
        <row r="210">
          <cell r="A210">
            <v>43070</v>
          </cell>
        </row>
        <row r="211">
          <cell r="A211">
            <v>43070</v>
          </cell>
        </row>
        <row r="212">
          <cell r="A212">
            <v>43070</v>
          </cell>
        </row>
        <row r="213">
          <cell r="A213">
            <v>43070</v>
          </cell>
        </row>
        <row r="214">
          <cell r="A214">
            <v>43070</v>
          </cell>
        </row>
        <row r="215">
          <cell r="A215">
            <v>43101</v>
          </cell>
        </row>
        <row r="216">
          <cell r="A216">
            <v>43101</v>
          </cell>
        </row>
        <row r="217">
          <cell r="A217">
            <v>43101</v>
          </cell>
        </row>
        <row r="218">
          <cell r="A218">
            <v>43101</v>
          </cell>
        </row>
        <row r="219">
          <cell r="A219">
            <v>43101</v>
          </cell>
        </row>
        <row r="220">
          <cell r="A220">
            <v>43101</v>
          </cell>
        </row>
        <row r="221">
          <cell r="A221">
            <v>43101</v>
          </cell>
        </row>
        <row r="222">
          <cell r="A222">
            <v>43101</v>
          </cell>
        </row>
        <row r="223">
          <cell r="A223">
            <v>43101</v>
          </cell>
        </row>
        <row r="224">
          <cell r="A224">
            <v>43101</v>
          </cell>
        </row>
        <row r="225">
          <cell r="A225">
            <v>43132</v>
          </cell>
        </row>
        <row r="226">
          <cell r="A226">
            <v>43132</v>
          </cell>
        </row>
        <row r="227">
          <cell r="A227">
            <v>43132</v>
          </cell>
        </row>
        <row r="228">
          <cell r="A228">
            <v>43132</v>
          </cell>
        </row>
        <row r="229">
          <cell r="A229">
            <v>43132</v>
          </cell>
        </row>
        <row r="230">
          <cell r="A230">
            <v>43132</v>
          </cell>
        </row>
        <row r="231">
          <cell r="A231">
            <v>43132</v>
          </cell>
        </row>
        <row r="232">
          <cell r="A232">
            <v>43132</v>
          </cell>
        </row>
        <row r="233">
          <cell r="A233">
            <v>43132</v>
          </cell>
        </row>
        <row r="234">
          <cell r="A234">
            <v>43132</v>
          </cell>
        </row>
        <row r="235">
          <cell r="A235">
            <v>43160</v>
          </cell>
        </row>
        <row r="236">
          <cell r="A236">
            <v>43160</v>
          </cell>
        </row>
        <row r="237">
          <cell r="A237">
            <v>43160</v>
          </cell>
        </row>
        <row r="238">
          <cell r="A238">
            <v>43160</v>
          </cell>
        </row>
        <row r="239">
          <cell r="A239">
            <v>43160</v>
          </cell>
        </row>
        <row r="240">
          <cell r="A240">
            <v>43160</v>
          </cell>
        </row>
        <row r="241">
          <cell r="A241">
            <v>43160</v>
          </cell>
        </row>
        <row r="242">
          <cell r="A242">
            <v>43160</v>
          </cell>
        </row>
        <row r="243">
          <cell r="A243">
            <v>43160</v>
          </cell>
        </row>
        <row r="244">
          <cell r="A244">
            <v>43160</v>
          </cell>
        </row>
        <row r="245">
          <cell r="A245">
            <v>43160</v>
          </cell>
        </row>
        <row r="246">
          <cell r="A246">
            <v>43191</v>
          </cell>
        </row>
        <row r="247">
          <cell r="A247">
            <v>43191</v>
          </cell>
        </row>
        <row r="248">
          <cell r="A248">
            <v>43191</v>
          </cell>
        </row>
        <row r="249">
          <cell r="A249">
            <v>43191</v>
          </cell>
        </row>
        <row r="250">
          <cell r="A250">
            <v>43191</v>
          </cell>
        </row>
        <row r="251">
          <cell r="A251">
            <v>43191</v>
          </cell>
        </row>
        <row r="252">
          <cell r="A252">
            <v>43191</v>
          </cell>
        </row>
        <row r="253">
          <cell r="A253">
            <v>43191</v>
          </cell>
        </row>
        <row r="254">
          <cell r="A254">
            <v>43191</v>
          </cell>
        </row>
        <row r="255">
          <cell r="A255">
            <v>43191</v>
          </cell>
        </row>
        <row r="256">
          <cell r="A256">
            <v>43191</v>
          </cell>
        </row>
        <row r="257">
          <cell r="A257">
            <v>43221</v>
          </cell>
        </row>
        <row r="258">
          <cell r="A258">
            <v>43221</v>
          </cell>
        </row>
        <row r="259">
          <cell r="A259">
            <v>43221</v>
          </cell>
        </row>
        <row r="260">
          <cell r="A260">
            <v>43221</v>
          </cell>
        </row>
        <row r="261">
          <cell r="A261">
            <v>43221</v>
          </cell>
        </row>
        <row r="262">
          <cell r="A262">
            <v>43221</v>
          </cell>
        </row>
        <row r="263">
          <cell r="A263">
            <v>43221</v>
          </cell>
        </row>
        <row r="264">
          <cell r="A264">
            <v>43221</v>
          </cell>
        </row>
        <row r="265">
          <cell r="A265">
            <v>43221</v>
          </cell>
        </row>
        <row r="266">
          <cell r="A266">
            <v>43221</v>
          </cell>
        </row>
        <row r="267">
          <cell r="A267">
            <v>43221</v>
          </cell>
        </row>
        <row r="268">
          <cell r="A268">
            <v>43252</v>
          </cell>
        </row>
        <row r="269">
          <cell r="A269">
            <v>43252</v>
          </cell>
        </row>
        <row r="270">
          <cell r="A270">
            <v>43252</v>
          </cell>
        </row>
        <row r="271">
          <cell r="A271">
            <v>43252</v>
          </cell>
        </row>
        <row r="272">
          <cell r="A272">
            <v>43252</v>
          </cell>
        </row>
        <row r="273">
          <cell r="A273">
            <v>43252</v>
          </cell>
        </row>
        <row r="274">
          <cell r="A274">
            <v>43252</v>
          </cell>
        </row>
        <row r="275">
          <cell r="A275">
            <v>43252</v>
          </cell>
        </row>
        <row r="276">
          <cell r="A276">
            <v>43252</v>
          </cell>
        </row>
        <row r="277">
          <cell r="A277">
            <v>43252</v>
          </cell>
        </row>
        <row r="278">
          <cell r="A278">
            <v>43252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  <row r="998">
          <cell r="A998">
            <v>0</v>
          </cell>
        </row>
        <row r="999">
          <cell r="A999">
            <v>0</v>
          </cell>
        </row>
        <row r="1000">
          <cell r="A1000">
            <v>0</v>
          </cell>
        </row>
      </sheetData>
      <sheetData sheetId="3">
        <row r="1">
          <cell r="A1" t="str">
            <v>年月</v>
          </cell>
        </row>
        <row r="2">
          <cell r="A2">
            <v>42614</v>
          </cell>
        </row>
        <row r="3">
          <cell r="A3">
            <v>42644</v>
          </cell>
        </row>
        <row r="4">
          <cell r="A4">
            <v>42675</v>
          </cell>
        </row>
        <row r="5">
          <cell r="A5">
            <v>42705</v>
          </cell>
        </row>
        <row r="6">
          <cell r="A6">
            <v>42705</v>
          </cell>
        </row>
        <row r="7">
          <cell r="A7">
            <v>42736</v>
          </cell>
        </row>
        <row r="8">
          <cell r="A8">
            <v>42767</v>
          </cell>
        </row>
        <row r="9">
          <cell r="A9">
            <v>42795</v>
          </cell>
        </row>
        <row r="10">
          <cell r="A10">
            <v>42826</v>
          </cell>
        </row>
        <row r="11">
          <cell r="A11">
            <v>42856</v>
          </cell>
        </row>
        <row r="12">
          <cell r="A12">
            <v>42887</v>
          </cell>
        </row>
        <row r="13">
          <cell r="A13">
            <v>42887</v>
          </cell>
        </row>
        <row r="14">
          <cell r="A14">
            <v>42917</v>
          </cell>
        </row>
        <row r="15">
          <cell r="A15">
            <v>42948</v>
          </cell>
        </row>
        <row r="16">
          <cell r="A16">
            <v>42979</v>
          </cell>
        </row>
        <row r="17">
          <cell r="A17">
            <v>43009</v>
          </cell>
        </row>
        <row r="18">
          <cell r="A18">
            <v>43040</v>
          </cell>
        </row>
        <row r="19">
          <cell r="A19">
            <v>43070</v>
          </cell>
        </row>
        <row r="20">
          <cell r="A20">
            <v>43070</v>
          </cell>
        </row>
        <row r="21">
          <cell r="A21">
            <v>43101</v>
          </cell>
        </row>
        <row r="22">
          <cell r="A22">
            <v>43132</v>
          </cell>
        </row>
        <row r="23">
          <cell r="A23">
            <v>43160</v>
          </cell>
        </row>
        <row r="24">
          <cell r="A24">
            <v>43191</v>
          </cell>
        </row>
        <row r="25">
          <cell r="A25">
            <v>43221</v>
          </cell>
        </row>
        <row r="26">
          <cell r="A26">
            <v>43252</v>
          </cell>
        </row>
        <row r="27">
          <cell r="A27">
            <v>43252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</sheetData>
      <sheetData sheetId="4"/>
      <sheetData sheetId="5">
        <row r="2">
          <cell r="B2" t="str">
            <v>社員人数</v>
          </cell>
        </row>
        <row r="8">
          <cell r="A8" t="str">
            <v>売
上</v>
          </cell>
          <cell r="B8" t="str">
            <v>社員稼働単位</v>
          </cell>
          <cell r="C8">
            <v>200109</v>
          </cell>
          <cell r="D8">
            <v>155986</v>
          </cell>
          <cell r="E8">
            <v>154199</v>
          </cell>
          <cell r="F8">
            <v>171068</v>
          </cell>
          <cell r="G8">
            <v>156656</v>
          </cell>
          <cell r="H8">
            <v>182535</v>
          </cell>
          <cell r="I8">
            <v>173208</v>
          </cell>
          <cell r="J8">
            <v>158122</v>
          </cell>
          <cell r="K8">
            <v>137453</v>
          </cell>
          <cell r="L8">
            <v>152155</v>
          </cell>
          <cell r="M8">
            <v>168513</v>
          </cell>
          <cell r="N8">
            <v>174876</v>
          </cell>
          <cell r="O8">
            <v>185448</v>
          </cell>
          <cell r="P8">
            <v>152981</v>
          </cell>
          <cell r="Q8">
            <v>132636</v>
          </cell>
          <cell r="R8">
            <v>134916</v>
          </cell>
          <cell r="S8">
            <v>131873</v>
          </cell>
          <cell r="T8">
            <v>154200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42">
          <cell r="B42" t="str">
            <v>社員人数</v>
          </cell>
        </row>
        <row r="82">
          <cell r="B82" t="str">
            <v>社員人数</v>
          </cell>
        </row>
        <row r="162">
          <cell r="B162" t="str">
            <v>社員人数</v>
          </cell>
        </row>
      </sheetData>
      <sheetData sheetId="6">
        <row r="1">
          <cell r="A1" t="str">
            <v>年月</v>
          </cell>
        </row>
        <row r="2">
          <cell r="A2">
            <v>43101</v>
          </cell>
        </row>
        <row r="3">
          <cell r="A3">
            <v>43070</v>
          </cell>
        </row>
        <row r="4">
          <cell r="A4">
            <v>43132</v>
          </cell>
        </row>
        <row r="5">
          <cell r="A5">
            <v>43160</v>
          </cell>
        </row>
        <row r="6">
          <cell r="A6">
            <v>43191</v>
          </cell>
        </row>
        <row r="7">
          <cell r="A7">
            <v>43221</v>
          </cell>
        </row>
        <row r="8">
          <cell r="A8">
            <v>43252</v>
          </cell>
        </row>
        <row r="9">
          <cell r="A9">
            <v>0</v>
          </cell>
        </row>
        <row r="10">
          <cell r="A10">
            <v>0</v>
          </cell>
        </row>
        <row r="11">
          <cell r="A11">
            <v>0</v>
          </cell>
        </row>
        <row r="12">
          <cell r="A12">
            <v>0</v>
          </cell>
        </row>
        <row r="13">
          <cell r="A13">
            <v>0</v>
          </cell>
        </row>
        <row r="14">
          <cell r="A14">
            <v>0</v>
          </cell>
        </row>
        <row r="15">
          <cell r="A15">
            <v>0</v>
          </cell>
        </row>
        <row r="16">
          <cell r="A16">
            <v>0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</sheetData>
      <sheetData sheetId="7"/>
      <sheetData sheetId="8"/>
      <sheetData sheetId="9"/>
      <sheetData sheetId="10"/>
      <sheetData sheetId="11">
        <row r="1">
          <cell r="A1" t="str">
            <v>通称</v>
          </cell>
          <cell r="F1" t="str">
            <v>事業名</v>
          </cell>
        </row>
        <row r="2">
          <cell r="A2" t="str">
            <v>全社</v>
          </cell>
          <cell r="F2" t="str">
            <v>訪問</v>
          </cell>
        </row>
        <row r="3">
          <cell r="A3" t="str">
            <v>管理部</v>
          </cell>
          <cell r="F3" t="str">
            <v>障害</v>
          </cell>
        </row>
        <row r="4">
          <cell r="A4" t="str">
            <v>白金</v>
          </cell>
          <cell r="F4" t="str">
            <v>居宅</v>
          </cell>
        </row>
        <row r="5">
          <cell r="A5" t="str">
            <v>蘇我</v>
          </cell>
          <cell r="F5" t="str">
            <v>通所介護</v>
          </cell>
        </row>
        <row r="6">
          <cell r="A6" t="str">
            <v>誉田</v>
          </cell>
          <cell r="F6" t="str">
            <v>共同生活援助</v>
          </cell>
        </row>
        <row r="7">
          <cell r="A7" t="str">
            <v>白金デイ</v>
          </cell>
          <cell r="F7" t="str">
            <v>相談支援</v>
          </cell>
        </row>
        <row r="8">
          <cell r="A8" t="str">
            <v>二日市場</v>
          </cell>
          <cell r="F8" t="str">
            <v>システム販売</v>
          </cell>
        </row>
        <row r="9">
          <cell r="A9" t="str">
            <v>中高根</v>
          </cell>
        </row>
        <row r="10">
          <cell r="A10" t="str">
            <v>GH五井</v>
          </cell>
        </row>
        <row r="11">
          <cell r="A11" t="str">
            <v>GH白金</v>
          </cell>
        </row>
        <row r="12">
          <cell r="A12" t="str">
            <v>GH西五所</v>
          </cell>
        </row>
        <row r="13">
          <cell r="A13" t="str">
            <v>白金タクシー</v>
          </cell>
        </row>
        <row r="14">
          <cell r="A14" t="str">
            <v>千葉東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2">
          <cell r="J22">
            <v>748654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国保連売上データ"/>
      <sheetName val="事業所売上データ"/>
      <sheetName val="事業所収支データ"/>
      <sheetName val="処遇改善加算データ"/>
      <sheetName val="パート法定福利費処遇改善計算"/>
      <sheetName val="社員・パート別稼働データ"/>
      <sheetName val="メモ"/>
      <sheetName val="【ピボット】国保連売上"/>
      <sheetName val="【ピボット】事業所売上"/>
      <sheetName val="【ピボット】事業所収支"/>
      <sheetName val="【ピボット】処遇改善加算"/>
      <sheetName val="リスト"/>
      <sheetName val="推移 (2)"/>
      <sheetName val="推移"/>
      <sheetName val="経費推移"/>
      <sheetName val="売上推移"/>
      <sheetName val="国保連単月売上"/>
      <sheetName val="事業所別単月収支"/>
      <sheetName val="事業所別収支"/>
      <sheetName val="処遇改善加算金支払い実績"/>
      <sheetName val="事業所別推移(事業所分担なし)(加算抜き)"/>
      <sheetName val="事業所別推移(事業所分担なし) "/>
      <sheetName val="H29事業所別返戻管理表"/>
      <sheetName val="事業所損益管理(H29.9～H30.8)収支計画表"/>
      <sheetName val="事業所損益管理(H29.9～H30.8)収支計画表(査定)"/>
      <sheetName val="H29収支予測(本部)"/>
      <sheetName val="H29収支予測(事業所)"/>
      <sheetName val="H29収支予測(資金繰り)"/>
      <sheetName val="社員・パート別稼働表【単月】"/>
      <sheetName val="社員・パート別稼働表【2月比較】"/>
      <sheetName val="H30収支予測"/>
      <sheetName val="H29本部算定根拠 (新事業所追加)"/>
      <sheetName val="H30管理部算定根拠"/>
      <sheetName val="H31年度収支予測"/>
      <sheetName val="H31年度収支予測 (2)"/>
      <sheetName val="H30管理部算定根拠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8">
          <cell r="A8" t="str">
            <v>売
上</v>
          </cell>
          <cell r="B8" t="str">
            <v>社員稼働単位</v>
          </cell>
          <cell r="C8">
            <v>200109</v>
          </cell>
          <cell r="D8">
            <v>155986</v>
          </cell>
          <cell r="E8">
            <v>154199</v>
          </cell>
          <cell r="F8">
            <v>171068</v>
          </cell>
          <cell r="G8">
            <v>156656</v>
          </cell>
          <cell r="H8">
            <v>182535</v>
          </cell>
          <cell r="I8">
            <v>173208</v>
          </cell>
          <cell r="J8">
            <v>158122</v>
          </cell>
          <cell r="K8">
            <v>137453</v>
          </cell>
          <cell r="L8">
            <v>152155</v>
          </cell>
          <cell r="M8">
            <v>168513</v>
          </cell>
          <cell r="N8">
            <v>174876</v>
          </cell>
          <cell r="O8">
            <v>185448</v>
          </cell>
          <cell r="P8">
            <v>152981</v>
          </cell>
          <cell r="Q8">
            <v>132636</v>
          </cell>
          <cell r="R8">
            <v>134916</v>
          </cell>
          <cell r="S8">
            <v>131873</v>
          </cell>
          <cell r="T8">
            <v>154200</v>
          </cell>
          <cell r="U8">
            <v>134757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122">
          <cell r="B122" t="str">
            <v>社員人数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事業所経費(2013)"/>
      <sheetName val="事業所経費(2014)"/>
      <sheetName val="事業所経費(2015)"/>
      <sheetName val="事業所別経費(2015)"/>
      <sheetName val="仕訳データピボット"/>
      <sheetName val="仕訳データ"/>
      <sheetName val="試算用"/>
      <sheetName val="テーブル"/>
      <sheetName val="科目マスタ"/>
      <sheetName val="Sheet2"/>
      <sheetName val="任意保険料"/>
      <sheetName val="借方集計"/>
      <sheetName val="貸方集計"/>
      <sheetName val="補助科目マスタ"/>
      <sheetName val="修正履歴"/>
      <sheetName val="不具合と対処"/>
      <sheetName val="Sheet1"/>
    </sheetNames>
    <sheetDataSet>
      <sheetData sheetId="0">
        <row r="3">
          <cell r="B3" t="str">
            <v>誉田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B3" t="str">
            <v>全社</v>
          </cell>
        </row>
        <row r="4">
          <cell r="B4" t="str">
            <v>共通</v>
          </cell>
        </row>
        <row r="5">
          <cell r="B5" t="str">
            <v>姉崎</v>
          </cell>
        </row>
        <row r="6">
          <cell r="B6" t="str">
            <v>白金</v>
          </cell>
        </row>
        <row r="7">
          <cell r="B7" t="str">
            <v>白金ディ</v>
          </cell>
        </row>
        <row r="8">
          <cell r="B8" t="str">
            <v>蘇我</v>
          </cell>
        </row>
        <row r="9">
          <cell r="B9" t="str">
            <v>中高根</v>
          </cell>
        </row>
        <row r="10">
          <cell r="B10" t="str">
            <v>二日市場</v>
          </cell>
        </row>
        <row r="11">
          <cell r="B11" t="str">
            <v>誉田</v>
          </cell>
        </row>
        <row r="12">
          <cell r="B12" t="str">
            <v>ｸﾞﾙｰﾌﾟﾎｰﾑ五井</v>
          </cell>
        </row>
        <row r="13">
          <cell r="B13" t="str">
            <v>ｸﾞﾙｰﾌﾟﾎｰﾑ白金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ADA" refreshedDate="43606.713142708337" createdVersion="5" refreshedVersion="5" minRefreshableVersion="3" recordCount="1016">
  <cacheSource type="worksheet">
    <worksheetSource name="国保連売上データ"/>
  </cacheSource>
  <cacheFields count="14">
    <cacheField name="年月" numFmtId="185">
      <sharedItems containsSemiMixedTypes="0" containsNonDate="0" containsDate="1" containsString="0" minDate="2016-09-01T00:00:00" maxDate="2019-04-02T00:00:00" count="32"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</sharedItems>
    </cacheField>
    <cacheField name="事業所コード" numFmtId="0">
      <sharedItems containsMixedTypes="1" containsNumber="1" containsInteger="1" minValue="10" maxValue="10" count="15">
        <s v="00"/>
        <s v="01"/>
        <s v="02"/>
        <s v="03"/>
        <s v="04"/>
        <s v="05"/>
        <s v="06"/>
        <s v="07"/>
        <s v="08"/>
        <s v="10"/>
        <s v="09"/>
        <s v="11"/>
        <s v="12"/>
        <s v="13"/>
        <n v="10" u="1"/>
      </sharedItems>
    </cacheField>
    <cacheField name="事業所" numFmtId="0">
      <sharedItems count="18">
        <s v="管理部"/>
        <s v="白金"/>
        <s v="蘇我"/>
        <s v="誉田"/>
        <s v="白金デイ"/>
        <s v="二日市場"/>
        <s v="中高根"/>
        <s v="GH五井"/>
        <s v="GH白金"/>
        <s v="白金タクシー"/>
        <s v="GH西五所"/>
        <s v="千葉東"/>
        <s v="千葉西"/>
        <s v="GH西広"/>
        <s v="ＧＨ西五所" u="1"/>
        <s v="白金ディ" u="1"/>
        <s v="ＧＨ白金" u="1"/>
        <s v="ＧＨ五井" u="1"/>
      </sharedItems>
    </cacheField>
    <cacheField name="事業区分コード" numFmtId="0">
      <sharedItems count="7">
        <s v="06"/>
        <s v="03"/>
        <s v="02"/>
        <s v="01"/>
        <s v="04"/>
        <s v="05"/>
        <s v="" u="1"/>
      </sharedItems>
    </cacheField>
    <cacheField name="事業区分" numFmtId="0">
      <sharedItems containsBlank="1" count="7">
        <s v="相談支援"/>
        <s v="居宅"/>
        <s v="障害"/>
        <s v="訪問"/>
        <s v="通所介護"/>
        <s v="共同生活援助"/>
        <m u="1"/>
      </sharedItems>
    </cacheField>
    <cacheField name="請求区分コード" numFmtId="0">
      <sharedItems count="2">
        <s v="02"/>
        <s v="01"/>
      </sharedItems>
    </cacheField>
    <cacheField name="請求区分" numFmtId="0">
      <sharedItems count="2">
        <s v="再請求"/>
        <s v="単月"/>
      </sharedItems>
    </cacheField>
    <cacheField name="請求" numFmtId="178">
      <sharedItems containsSemiMixedTypes="0" containsString="0" containsNumber="1" containsInteger="1" minValue="-119623" maxValue="9131435"/>
    </cacheField>
    <cacheField name="返戻" numFmtId="178">
      <sharedItems containsSemiMixedTypes="0" containsString="0" containsNumber="1" containsInteger="1" minValue="-1640949" maxValue="370890"/>
    </cacheField>
    <cacheField name="入金予定" numFmtId="178">
      <sharedItems containsSemiMixedTypes="0" containsString="0" containsNumber="1" containsInteger="1" minValue="-901284" maxValue="9131435"/>
    </cacheField>
    <cacheField name="入金額" numFmtId="178">
      <sharedItems containsSemiMixedTypes="0" containsString="0" containsNumber="1" containsInteger="1" minValue="-901284" maxValue="8979289"/>
    </cacheField>
    <cacheField name="差額" numFmtId="178">
      <sharedItems containsSemiMixedTypes="0" containsString="0" containsNumber="1" containsInteger="1" minValue="0" maxValue="9131435"/>
    </cacheField>
    <cacheField name="請求保留" numFmtId="178">
      <sharedItems containsString="0" containsBlank="1" containsNumber="1" minValue="0" maxValue="578401"/>
    </cacheField>
    <cacheField name="処遇改善加算金" numFmtId="178">
      <sharedItems containsSemiMixedTypes="0" containsString="0" containsNumber="1" containsInteger="1" minValue="0" maxValue="144133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WADA" refreshedDate="43606.713154861114" createdVersion="5" refreshedVersion="5" minRefreshableVersion="3" recordCount="310">
  <cacheSource type="worksheet">
    <worksheetSource name="事業所売上データ"/>
  </cacheSource>
  <cacheFields count="26">
    <cacheField name="年月" numFmtId="185">
      <sharedItems containsSemiMixedTypes="0" containsNonDate="0" containsDate="1" containsString="0" minDate="2016-09-01T00:00:00" maxDate="2019-04-02T00:00:00" count="32"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</sharedItems>
    </cacheField>
    <cacheField name="事業所コード" numFmtId="0">
      <sharedItems containsMixedTypes="1" containsNumber="1" containsInteger="1" minValue="10" maxValue="10" count="15">
        <s v="01"/>
        <s v="02"/>
        <s v="03"/>
        <s v="04"/>
        <s v="07"/>
        <s v="08"/>
        <s v="05"/>
        <s v="06"/>
        <s v="10"/>
        <s v="00"/>
        <s v="09"/>
        <s v="11"/>
        <s v="12"/>
        <s v="13"/>
        <n v="10" u="1"/>
      </sharedItems>
    </cacheField>
    <cacheField name="事業所" numFmtId="0">
      <sharedItems count="18">
        <s v="白金"/>
        <s v="蘇我"/>
        <s v="誉田"/>
        <s v="白金デイ"/>
        <s v="GH五井"/>
        <s v="GH白金"/>
        <s v="二日市場"/>
        <s v="中高根"/>
        <s v="白金タクシー"/>
        <s v="管理部"/>
        <s v="GH西五所"/>
        <s v="千葉東"/>
        <s v="千葉西"/>
        <s v="GH西広"/>
        <s v="ＧＨ西五所" u="1"/>
        <s v="白金ディ" u="1"/>
        <s v="ＧＨ白金" u="1"/>
        <s v="ＧＨ五井" u="1"/>
      </sharedItems>
    </cacheField>
    <cacheField name="訪問" numFmtId="178">
      <sharedItems containsSemiMixedTypes="0" containsString="0" containsNumber="1" containsInteger="1" minValue="0" maxValue="9308391"/>
    </cacheField>
    <cacheField name="訪問処遇改善加算金" numFmtId="178">
      <sharedItems containsSemiMixedTypes="0" containsString="0" containsNumber="1" containsInteger="1" minValue="0" maxValue="1441337"/>
    </cacheField>
    <cacheField name="障害" numFmtId="178">
      <sharedItems containsSemiMixedTypes="0" containsString="0" containsNumber="1" containsInteger="1" minValue="0" maxValue="2352621"/>
    </cacheField>
    <cacheField name="障害処遇改善加算金" numFmtId="178">
      <sharedItems containsSemiMixedTypes="0" containsString="0" containsNumber="1" containsInteger="1" minValue="0" maxValue="541700"/>
    </cacheField>
    <cacheField name="居宅" numFmtId="178">
      <sharedItems containsSemiMixedTypes="0" containsString="0" containsNumber="1" containsInteger="1" minValue="0" maxValue="882170"/>
    </cacheField>
    <cacheField name="通所介護" numFmtId="178">
      <sharedItems containsSemiMixedTypes="0" containsString="0" containsNumber="1" containsInteger="1" minValue="0" maxValue="4590331"/>
    </cacheField>
    <cacheField name="通所介護処遇改善加算金" numFmtId="178">
      <sharedItems containsSemiMixedTypes="0" containsString="0" containsNumber="1" containsInteger="1" minValue="0" maxValue="255703"/>
    </cacheField>
    <cacheField name="共同生活援助" numFmtId="178">
      <sharedItems containsSemiMixedTypes="0" containsString="0" containsNumber="1" containsInteger="1" minValue="0" maxValue="3035498"/>
    </cacheField>
    <cacheField name="共同生活援助処遇改善加算金" numFmtId="178">
      <sharedItems containsSemiMixedTypes="0" containsString="0" containsNumber="1" containsInteger="1" minValue="0" maxValue="431509"/>
    </cacheField>
    <cacheField name="相談支援" numFmtId="178">
      <sharedItems containsSemiMixedTypes="0" containsString="0" containsNumber="1" containsInteger="1" minValue="0" maxValue="50067"/>
    </cacheField>
    <cacheField name="自費" numFmtId="178">
      <sharedItems containsSemiMixedTypes="0" containsString="0" containsNumber="1" containsInteger="1" minValue="0" maxValue="386170"/>
    </cacheField>
    <cacheField name="移動支援" numFmtId="178">
      <sharedItems containsString="0" containsBlank="1" containsNumber="1" containsInteger="1" minValue="0" maxValue="237469"/>
    </cacheField>
    <cacheField name="タクシー運賃" numFmtId="178">
      <sharedItems containsSemiMixedTypes="0" containsString="0" containsNumber="1" containsInteger="1" minValue="0" maxValue="1662760"/>
    </cacheField>
    <cacheField name="買物交通費" numFmtId="178">
      <sharedItems containsSemiMixedTypes="0" containsString="0" containsNumber="1" containsInteger="1" minValue="0" maxValue="9263"/>
    </cacheField>
    <cacheField name="カナミック" numFmtId="178">
      <sharedItems containsSemiMixedTypes="0" containsString="0" containsNumber="1" containsInteger="1" minValue="0" maxValue="173025"/>
    </cacheField>
    <cacheField name="生活費" numFmtId="178">
      <sharedItems containsSemiMixedTypes="0" containsString="0" containsNumber="1" containsInteger="1" minValue="0" maxValue="1247552"/>
    </cacheField>
    <cacheField name="昼食代" numFmtId="178">
      <sharedItems containsSemiMixedTypes="0" containsString="0" containsNumber="1" containsInteger="1" minValue="0" maxValue="330200"/>
    </cacheField>
    <cacheField name="弁当売上高" numFmtId="178">
      <sharedItems containsSemiMixedTypes="0" containsString="0" containsNumber="1" containsInteger="1" minValue="0" maxValue="144180"/>
    </cacheField>
    <cacheField name="家賃助成返金分" numFmtId="178">
      <sharedItems containsSemiMixedTypes="0" containsString="0" containsNumber="1" containsInteger="1" minValue="-290000" maxValue="0"/>
    </cacheField>
    <cacheField name="運営費助成金" numFmtId="178">
      <sharedItems containsSemiMixedTypes="0" containsString="0" containsNumber="1" containsInteger="1" minValue="0" maxValue="1018331"/>
    </cacheField>
    <cacheField name="経営コンサルタント" numFmtId="178">
      <sharedItems containsSemiMixedTypes="0" containsString="0" containsNumber="1" containsInteger="1" minValue="0" maxValue="142560"/>
    </cacheField>
    <cacheField name="合計" numFmtId="178">
      <sharedItems containsSemiMixedTypes="0" containsString="0" containsNumber="1" containsInteger="1" minValue="13148" maxValue="12901588"/>
    </cacheField>
    <cacheField name="その他合計" numFmtId="178">
      <sharedItems containsSemiMixedTypes="0" containsString="0" containsNumber="1" containsInteger="1" minValue="-172000" maxValue="21027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WADA" refreshedDate="43606.713164120367" createdVersion="5" refreshedVersion="5" minRefreshableVersion="3" recordCount="398">
  <cacheSource type="worksheet">
    <worksheetSource name="事業所収支データ"/>
  </cacheSource>
  <cacheFields count="25">
    <cacheField name="年月" numFmtId="185">
      <sharedItems containsSemiMixedTypes="0" containsNonDate="0" containsDate="1" containsString="0" minDate="2013-01-01T00:00:00" maxDate="2019-04-02T00:00:00" count="84"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7-12-09T00:00:00" u="1"/>
        <d v="2017-12-05T00:00:00" u="1"/>
        <d v="2017-12-08T00:00:00" u="1"/>
        <d v="2017-12-04T00:00:00" u="1"/>
        <d v="2017-12-07T00:00:00" u="1"/>
        <d v="2017-12-03T00:00:00" u="1"/>
        <d v="2017-12-06T00:00:00" u="1"/>
        <d v="2017-12-02T00:00:00" u="1"/>
      </sharedItems>
    </cacheField>
    <cacheField name="事業所コード" numFmtId="0">
      <sharedItems containsMixedTypes="1" containsNumber="1" containsInteger="1" minValue="0" maxValue="10" count="17">
        <s v="000"/>
        <s v="00"/>
        <s v="01"/>
        <s v="02"/>
        <s v="03"/>
        <s v="04"/>
        <s v="05"/>
        <s v="06"/>
        <s v="07"/>
        <s v="08"/>
        <s v="10"/>
        <s v="09"/>
        <s v="11"/>
        <s v="12"/>
        <s v="13"/>
        <n v="0" u="1"/>
        <n v="10" u="1"/>
      </sharedItems>
    </cacheField>
    <cacheField name="事業所" numFmtId="0">
      <sharedItems count="19">
        <s v="全社"/>
        <s v="管理部"/>
        <s v="白金"/>
        <s v="蘇我"/>
        <s v="誉田"/>
        <s v="白金デイ"/>
        <s v="二日市場"/>
        <s v="中高根"/>
        <s v="GH五井"/>
        <s v="GH白金"/>
        <s v="白金タクシー"/>
        <s v="GH西五所"/>
        <s v="千葉東"/>
        <s v="千葉西"/>
        <s v="GH西広"/>
        <s v="ＧＨ西五所" u="1"/>
        <s v="白金ディ" u="1"/>
        <s v="ＧＨ白金" u="1"/>
        <s v="ＧＨ五井" u="1"/>
      </sharedItems>
    </cacheField>
    <cacheField name="売上" numFmtId="178">
      <sharedItems containsSemiMixedTypes="0" containsString="0" containsNumber="1" containsInteger="1" minValue="0" maxValue="30880551"/>
    </cacheField>
    <cacheField name="パート給与" numFmtId="178">
      <sharedItems containsSemiMixedTypes="0" containsString="0" containsNumber="1" minValue="0" maxValue="8689429"/>
    </cacheField>
    <cacheField name="社員給与" numFmtId="178">
      <sharedItems containsSemiMixedTypes="0" containsString="0" containsNumber="1" containsInteger="1" minValue="0" maxValue="8514142"/>
    </cacheField>
    <cacheField name="賞与" numFmtId="178">
      <sharedItems containsSemiMixedTypes="0" containsString="0" containsNumber="1" containsInteger="1" minValue="0" maxValue="9125386"/>
    </cacheField>
    <cacheField name="役員給与" numFmtId="178">
      <sharedItems containsString="0" containsBlank="1" containsNumber="1" containsInteger="1" minValue="0" maxValue="3550000"/>
    </cacheField>
    <cacheField name="法定福利費" numFmtId="178">
      <sharedItems containsString="0" containsBlank="1" containsNumber="1" minValue="-66173.033578658826" maxValue="3791051"/>
    </cacheField>
    <cacheField name="福利厚生費" numFmtId="178">
      <sharedItems containsSemiMixedTypes="0" containsString="0" containsNumber="1" containsInteger="1" minValue="-62860" maxValue="945703"/>
    </cacheField>
    <cacheField name="人件費" numFmtId="178">
      <sharedItems containsSemiMixedTypes="0" containsString="0" containsNumber="1" minValue="0" maxValue="30866900"/>
    </cacheField>
    <cacheField name="事業所経費" numFmtId="178">
      <sharedItems containsSemiMixedTypes="0" containsString="0" containsNumber="1" containsInteger="1" minValue="0" maxValue="7230779"/>
    </cacheField>
    <cacheField name="弁当仕入高" numFmtId="178">
      <sharedItems containsSemiMixedTypes="0" containsString="0" containsNumber="1" containsInteger="1" minValue="0" maxValue="110808"/>
    </cacheField>
    <cacheField name="事業所経費計" numFmtId="178">
      <sharedItems containsSemiMixedTypes="0" containsString="0" containsNumber="1" containsInteger="1" minValue="0" maxValue="7230779"/>
    </cacheField>
    <cacheField name="広告経費" numFmtId="178">
      <sharedItems containsSemiMixedTypes="0" containsString="0" containsNumber="1" containsInteger="1" minValue="0" maxValue="945703"/>
    </cacheField>
    <cacheField name="管理部派遣" numFmtId="178">
      <sharedItems containsSemiMixedTypes="0" containsString="0" containsNumber="1" minValue="0" maxValue="220000"/>
    </cacheField>
    <cacheField name="消費税" numFmtId="178">
      <sharedItems containsSemiMixedTypes="0" containsString="0" containsNumber="1" containsInteger="1" minValue="0" maxValue="78013"/>
    </cacheField>
    <cacheField name="期末調整（売上）" numFmtId="178">
      <sharedItems containsSemiMixedTypes="0" containsString="0" containsNumber="1" containsInteger="1" minValue="-241323" maxValue="731894"/>
    </cacheField>
    <cacheField name="期末調整（人件費）" numFmtId="178">
      <sharedItems containsSemiMixedTypes="0" containsString="0" containsNumber="1" containsInteger="1" minValue="0" maxValue="335171"/>
    </cacheField>
    <cacheField name="期末調整（経費）" numFmtId="178">
      <sharedItems containsSemiMixedTypes="0" containsString="0" containsNumber="1" containsInteger="1" minValue="-440640" maxValue="596523"/>
    </cacheField>
    <cacheField name="期末調整" numFmtId="178">
      <sharedItems containsSemiMixedTypes="0" containsString="0" containsNumber="1" containsInteger="1" minValue="-1070364" maxValue="731894"/>
    </cacheField>
    <cacheField name="営業外収益" numFmtId="178">
      <sharedItems containsSemiMixedTypes="0" containsString="0" containsNumber="1" containsInteger="1" minValue="0" maxValue="700432"/>
    </cacheField>
    <cacheField name="営業外費用" numFmtId="178">
      <sharedItems containsSemiMixedTypes="0" containsString="0" containsNumber="1" containsInteger="1" minValue="0" maxValue="1767380"/>
    </cacheField>
    <cacheField name="特別損益" numFmtId="178">
      <sharedItems containsSemiMixedTypes="0" containsString="0" containsNumber="1" containsInteger="1" minValue="-866465" maxValue="0"/>
    </cacheField>
    <cacheField name="税金(法人税等)" numFmtId="178">
      <sharedItems containsSemiMixedTypes="0" containsString="0" containsNumber="1" containsInteger="1" minValue="-120330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WADA" refreshedDate="43606.713175231482" createdVersion="5" refreshedVersion="5" minRefreshableVersion="3" recordCount="38">
  <cacheSource type="worksheet">
    <worksheetSource name="処遇改善加算データ"/>
  </cacheSource>
  <cacheFields count="18">
    <cacheField name="年月" numFmtId="185">
      <sharedItems containsSemiMixedTypes="0" containsNonDate="0" containsDate="1" containsString="0" minDate="2016-09-01T00:00:00" maxDate="2019-04-02T00:00:00" count="32"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</sharedItems>
    </cacheField>
    <cacheField name="支払区分" numFmtId="181">
      <sharedItems count="2">
        <s v="給与"/>
        <s v="賞与"/>
      </sharedItems>
    </cacheField>
    <cacheField name="白金パート" numFmtId="178">
      <sharedItems containsSemiMixedTypes="0" containsString="0" containsNumber="1" containsInteger="1" minValue="0" maxValue="404784"/>
    </cacheField>
    <cacheField name="千葉中央パート" numFmtId="178">
      <sharedItems containsSemiMixedTypes="0" containsString="0" containsNumber="1" containsInteger="1" minValue="0" maxValue="193342"/>
    </cacheField>
    <cacheField name="千葉南パート" numFmtId="178">
      <sharedItems containsSemiMixedTypes="0" containsString="0" containsNumber="1" containsInteger="1" minValue="0" maxValue="222652"/>
    </cacheField>
    <cacheField name="千葉東パート" numFmtId="178">
      <sharedItems containsSemiMixedTypes="0" containsString="0" containsNumber="1" containsInteger="1" minValue="0" maxValue="35179"/>
    </cacheField>
    <cacheField name="千葉西パート" numFmtId="178">
      <sharedItems containsSemiMixedTypes="0" containsString="0" containsNumber="1" containsInteger="1" minValue="0" maxValue="28131"/>
    </cacheField>
    <cacheField name="パート" numFmtId="178">
      <sharedItems containsSemiMixedTypes="0" containsString="0" containsNumber="1" containsInteger="1" minValue="0" maxValue="0"/>
    </cacheField>
    <cacheField name="白金デイパート" numFmtId="178">
      <sharedItems containsSemiMixedTypes="0" containsString="0" containsNumber="1" containsInteger="1" minValue="0" maxValue="121074"/>
    </cacheField>
    <cacheField name="中高根パート" numFmtId="178">
      <sharedItems containsSemiMixedTypes="0" containsString="0" containsNumber="1" minValue="0" maxValue="52880"/>
    </cacheField>
    <cacheField name="二日市場パート" numFmtId="178">
      <sharedItems containsSemiMixedTypes="0" containsString="0" containsNumber="1" containsInteger="1" minValue="0" maxValue="203367"/>
    </cacheField>
    <cacheField name="ＧＨ五井" numFmtId="178">
      <sharedItems containsSemiMixedTypes="0" containsString="0" containsNumber="1" containsInteger="1" minValue="0" maxValue="30000"/>
    </cacheField>
    <cacheField name="ＧＨ白金" numFmtId="178">
      <sharedItems containsSemiMixedTypes="0" containsString="0" containsNumber="1" containsInteger="1" minValue="0" maxValue="7000"/>
    </cacheField>
    <cacheField name="ＧＨ西五所" numFmtId="178">
      <sharedItems containsSemiMixedTypes="0" containsString="0" containsNumber="1" containsInteger="1" minValue="0" maxValue="196042"/>
    </cacheField>
    <cacheField name="GH西広" numFmtId="178">
      <sharedItems containsSemiMixedTypes="0" containsString="0" containsNumber="1" containsInteger="1" minValue="0" maxValue="24250"/>
    </cacheField>
    <cacheField name="タクシーパート" numFmtId="178">
      <sharedItems containsSemiMixedTypes="0" containsString="0" containsNumber="1" containsInteger="1" minValue="0" maxValue="56276"/>
    </cacheField>
    <cacheField name="社員" numFmtId="178">
      <sharedItems containsSemiMixedTypes="0" containsString="0" containsNumber="1" containsInteger="1" minValue="395680" maxValue="10396280"/>
    </cacheField>
    <cacheField name="合計" numFmtId="178">
      <sharedItems containsSemiMixedTypes="0" containsString="0" containsNumber="1" minValue="771049" maxValue="1039628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16">
  <r>
    <x v="0"/>
    <x v="0"/>
    <x v="0"/>
    <x v="0"/>
    <x v="0"/>
    <x v="0"/>
    <x v="0"/>
    <n v="0"/>
    <n v="0"/>
    <n v="0"/>
    <n v="0"/>
    <n v="0"/>
    <n v="0"/>
    <n v="0"/>
  </r>
  <r>
    <x v="0"/>
    <x v="0"/>
    <x v="0"/>
    <x v="0"/>
    <x v="0"/>
    <x v="1"/>
    <x v="1"/>
    <n v="33378"/>
    <n v="0"/>
    <n v="33378"/>
    <n v="33378"/>
    <n v="0"/>
    <n v="0"/>
    <n v="0"/>
  </r>
  <r>
    <x v="0"/>
    <x v="1"/>
    <x v="1"/>
    <x v="1"/>
    <x v="1"/>
    <x v="0"/>
    <x v="0"/>
    <n v="24674"/>
    <n v="0"/>
    <n v="24674"/>
    <n v="24674"/>
    <n v="0"/>
    <n v="0"/>
    <n v="0"/>
  </r>
  <r>
    <x v="0"/>
    <x v="1"/>
    <x v="1"/>
    <x v="2"/>
    <x v="2"/>
    <x v="0"/>
    <x v="0"/>
    <n v="166163"/>
    <n v="-31556"/>
    <n v="134607"/>
    <n v="134607"/>
    <n v="0"/>
    <n v="0"/>
    <n v="0"/>
  </r>
  <r>
    <x v="0"/>
    <x v="1"/>
    <x v="1"/>
    <x v="3"/>
    <x v="3"/>
    <x v="0"/>
    <x v="0"/>
    <n v="-8519"/>
    <n v="0"/>
    <n v="-8519"/>
    <n v="-8519"/>
    <n v="0"/>
    <n v="0"/>
    <n v="0"/>
  </r>
  <r>
    <x v="0"/>
    <x v="1"/>
    <x v="1"/>
    <x v="1"/>
    <x v="1"/>
    <x v="1"/>
    <x v="1"/>
    <n v="488654"/>
    <n v="0"/>
    <n v="488654"/>
    <n v="488654"/>
    <n v="0"/>
    <n v="24674"/>
    <n v="0"/>
  </r>
  <r>
    <x v="0"/>
    <x v="1"/>
    <x v="1"/>
    <x v="2"/>
    <x v="2"/>
    <x v="1"/>
    <x v="1"/>
    <n v="1024896"/>
    <n v="-292254"/>
    <n v="732642"/>
    <n v="732642"/>
    <n v="0"/>
    <n v="96069"/>
    <n v="157440"/>
  </r>
  <r>
    <x v="0"/>
    <x v="1"/>
    <x v="1"/>
    <x v="3"/>
    <x v="3"/>
    <x v="1"/>
    <x v="1"/>
    <n v="6224836"/>
    <n v="-15900"/>
    <n v="6208936"/>
    <n v="6208936"/>
    <n v="0"/>
    <n v="491125"/>
    <n v="762389"/>
  </r>
  <r>
    <x v="0"/>
    <x v="2"/>
    <x v="2"/>
    <x v="1"/>
    <x v="1"/>
    <x v="0"/>
    <x v="0"/>
    <n v="0"/>
    <n v="0"/>
    <n v="0"/>
    <n v="0"/>
    <n v="0"/>
    <n v="0"/>
    <n v="0"/>
  </r>
  <r>
    <x v="0"/>
    <x v="2"/>
    <x v="2"/>
    <x v="2"/>
    <x v="2"/>
    <x v="0"/>
    <x v="0"/>
    <n v="17128"/>
    <n v="0"/>
    <n v="17128"/>
    <n v="17128"/>
    <n v="0"/>
    <n v="0"/>
    <n v="0"/>
  </r>
  <r>
    <x v="0"/>
    <x v="2"/>
    <x v="2"/>
    <x v="3"/>
    <x v="3"/>
    <x v="0"/>
    <x v="0"/>
    <n v="140792"/>
    <n v="21304"/>
    <n v="162096"/>
    <n v="162096"/>
    <n v="0"/>
    <n v="0"/>
    <n v="0"/>
  </r>
  <r>
    <x v="0"/>
    <x v="2"/>
    <x v="2"/>
    <x v="1"/>
    <x v="1"/>
    <x v="1"/>
    <x v="1"/>
    <n v="290452"/>
    <n v="0"/>
    <n v="290452"/>
    <n v="290452"/>
    <n v="0"/>
    <n v="0"/>
    <n v="0"/>
  </r>
  <r>
    <x v="0"/>
    <x v="2"/>
    <x v="2"/>
    <x v="2"/>
    <x v="2"/>
    <x v="1"/>
    <x v="1"/>
    <n v="351077"/>
    <n v="0"/>
    <n v="351077"/>
    <n v="351077"/>
    <n v="0"/>
    <n v="0"/>
    <n v="66648"/>
  </r>
  <r>
    <x v="0"/>
    <x v="2"/>
    <x v="2"/>
    <x v="3"/>
    <x v="3"/>
    <x v="1"/>
    <x v="1"/>
    <n v="4167720"/>
    <n v="-114522"/>
    <n v="4053198"/>
    <n v="4053198"/>
    <n v="0"/>
    <n v="0"/>
    <n v="343694"/>
  </r>
  <r>
    <x v="0"/>
    <x v="3"/>
    <x v="3"/>
    <x v="2"/>
    <x v="2"/>
    <x v="0"/>
    <x v="0"/>
    <n v="-12628"/>
    <n v="0"/>
    <n v="-12628"/>
    <n v="-12628"/>
    <n v="0"/>
    <n v="0"/>
    <n v="0"/>
  </r>
  <r>
    <x v="0"/>
    <x v="3"/>
    <x v="3"/>
    <x v="3"/>
    <x v="3"/>
    <x v="0"/>
    <x v="0"/>
    <n v="19324"/>
    <n v="14011"/>
    <n v="33335"/>
    <n v="33335"/>
    <n v="0"/>
    <n v="0"/>
    <n v="0"/>
  </r>
  <r>
    <x v="0"/>
    <x v="3"/>
    <x v="3"/>
    <x v="2"/>
    <x v="2"/>
    <x v="1"/>
    <x v="1"/>
    <n v="1033206"/>
    <n v="-248601"/>
    <n v="784605"/>
    <n v="784605"/>
    <n v="0"/>
    <n v="7483"/>
    <n v="139892"/>
  </r>
  <r>
    <x v="0"/>
    <x v="3"/>
    <x v="3"/>
    <x v="3"/>
    <x v="3"/>
    <x v="1"/>
    <x v="1"/>
    <n v="2440726"/>
    <n v="-33150"/>
    <n v="2407576"/>
    <n v="2407576"/>
    <n v="0"/>
    <n v="0"/>
    <n v="193381"/>
  </r>
  <r>
    <x v="0"/>
    <x v="4"/>
    <x v="4"/>
    <x v="4"/>
    <x v="4"/>
    <x v="0"/>
    <x v="0"/>
    <n v="236533"/>
    <n v="0"/>
    <n v="236533"/>
    <n v="236533"/>
    <n v="0"/>
    <n v="0"/>
    <n v="0"/>
  </r>
  <r>
    <x v="0"/>
    <x v="4"/>
    <x v="4"/>
    <x v="4"/>
    <x v="4"/>
    <x v="1"/>
    <x v="1"/>
    <n v="2367149"/>
    <n v="-108793"/>
    <n v="2258356"/>
    <n v="2258356"/>
    <n v="0"/>
    <n v="137208"/>
    <n v="96417"/>
  </r>
  <r>
    <x v="0"/>
    <x v="5"/>
    <x v="5"/>
    <x v="3"/>
    <x v="3"/>
    <x v="0"/>
    <x v="0"/>
    <n v="247812"/>
    <n v="0"/>
    <n v="247812"/>
    <n v="247812"/>
    <n v="0"/>
    <n v="0"/>
    <n v="0"/>
  </r>
  <r>
    <x v="0"/>
    <x v="5"/>
    <x v="5"/>
    <x v="3"/>
    <x v="3"/>
    <x v="1"/>
    <x v="1"/>
    <n v="1489448"/>
    <n v="0"/>
    <n v="1489448"/>
    <n v="1489448"/>
    <n v="0"/>
    <n v="529157"/>
    <n v="0"/>
  </r>
  <r>
    <x v="0"/>
    <x v="6"/>
    <x v="6"/>
    <x v="3"/>
    <x v="3"/>
    <x v="0"/>
    <x v="0"/>
    <n v="52216"/>
    <n v="0"/>
    <n v="52216"/>
    <n v="52216"/>
    <n v="0"/>
    <n v="0"/>
    <n v="0"/>
  </r>
  <r>
    <x v="0"/>
    <x v="6"/>
    <x v="6"/>
    <x v="3"/>
    <x v="3"/>
    <x v="1"/>
    <x v="1"/>
    <n v="517708"/>
    <n v="0"/>
    <n v="517708"/>
    <n v="517708"/>
    <n v="0"/>
    <n v="0"/>
    <n v="0"/>
  </r>
  <r>
    <x v="0"/>
    <x v="7"/>
    <x v="7"/>
    <x v="5"/>
    <x v="5"/>
    <x v="0"/>
    <x v="0"/>
    <n v="0"/>
    <n v="0"/>
    <n v="0"/>
    <n v="0"/>
    <n v="0"/>
    <n v="0"/>
    <n v="0"/>
  </r>
  <r>
    <x v="0"/>
    <x v="7"/>
    <x v="7"/>
    <x v="5"/>
    <x v="5"/>
    <x v="1"/>
    <x v="1"/>
    <n v="745437"/>
    <n v="0"/>
    <n v="745437"/>
    <n v="745437"/>
    <n v="0"/>
    <n v="0"/>
    <n v="72968"/>
  </r>
  <r>
    <x v="0"/>
    <x v="8"/>
    <x v="8"/>
    <x v="5"/>
    <x v="5"/>
    <x v="0"/>
    <x v="0"/>
    <n v="0"/>
    <n v="0"/>
    <n v="0"/>
    <n v="0"/>
    <n v="0"/>
    <n v="0"/>
    <n v="0"/>
  </r>
  <r>
    <x v="0"/>
    <x v="8"/>
    <x v="8"/>
    <x v="5"/>
    <x v="5"/>
    <x v="1"/>
    <x v="1"/>
    <n v="749148"/>
    <n v="0"/>
    <n v="749148"/>
    <n v="749148"/>
    <n v="0"/>
    <n v="0"/>
    <n v="0"/>
  </r>
  <r>
    <x v="0"/>
    <x v="9"/>
    <x v="9"/>
    <x v="2"/>
    <x v="2"/>
    <x v="0"/>
    <x v="0"/>
    <n v="0"/>
    <n v="0"/>
    <n v="0"/>
    <n v="0"/>
    <n v="0"/>
    <n v="0"/>
    <n v="0"/>
  </r>
  <r>
    <x v="0"/>
    <x v="9"/>
    <x v="9"/>
    <x v="3"/>
    <x v="3"/>
    <x v="0"/>
    <x v="0"/>
    <n v="0"/>
    <n v="0"/>
    <n v="0"/>
    <n v="0"/>
    <n v="0"/>
    <n v="0"/>
    <n v="0"/>
  </r>
  <r>
    <x v="0"/>
    <x v="9"/>
    <x v="9"/>
    <x v="2"/>
    <x v="2"/>
    <x v="1"/>
    <x v="1"/>
    <n v="2693"/>
    <n v="0"/>
    <n v="2693"/>
    <n v="2693"/>
    <n v="0"/>
    <n v="0"/>
    <n v="0"/>
  </r>
  <r>
    <x v="0"/>
    <x v="9"/>
    <x v="9"/>
    <x v="3"/>
    <x v="3"/>
    <x v="1"/>
    <x v="1"/>
    <n v="1055787"/>
    <n v="0"/>
    <n v="1055787"/>
    <n v="1055787"/>
    <n v="0"/>
    <n v="13685"/>
    <n v="0"/>
  </r>
  <r>
    <x v="1"/>
    <x v="0"/>
    <x v="0"/>
    <x v="0"/>
    <x v="0"/>
    <x v="0"/>
    <x v="0"/>
    <n v="33378"/>
    <n v="-33378"/>
    <n v="0"/>
    <n v="0"/>
    <n v="0"/>
    <n v="0"/>
    <n v="0"/>
  </r>
  <r>
    <x v="1"/>
    <x v="0"/>
    <x v="0"/>
    <x v="0"/>
    <x v="0"/>
    <x v="1"/>
    <x v="1"/>
    <n v="33378"/>
    <n v="-33378"/>
    <n v="0"/>
    <n v="0"/>
    <n v="0"/>
    <n v="0"/>
    <n v="0"/>
  </r>
  <r>
    <x v="1"/>
    <x v="1"/>
    <x v="1"/>
    <x v="1"/>
    <x v="1"/>
    <x v="0"/>
    <x v="0"/>
    <n v="95250"/>
    <n v="0"/>
    <n v="95250"/>
    <n v="95250"/>
    <n v="0"/>
    <n v="0"/>
    <n v="0"/>
  </r>
  <r>
    <x v="1"/>
    <x v="1"/>
    <x v="1"/>
    <x v="2"/>
    <x v="2"/>
    <x v="0"/>
    <x v="0"/>
    <n v="569734"/>
    <n v="0"/>
    <n v="569734"/>
    <n v="569734"/>
    <n v="0"/>
    <n v="0"/>
    <n v="0"/>
  </r>
  <r>
    <x v="1"/>
    <x v="1"/>
    <x v="1"/>
    <x v="3"/>
    <x v="3"/>
    <x v="0"/>
    <x v="0"/>
    <n v="475006"/>
    <n v="6259"/>
    <n v="481265"/>
    <n v="481265"/>
    <n v="0"/>
    <n v="0"/>
    <n v="0"/>
  </r>
  <r>
    <x v="1"/>
    <x v="1"/>
    <x v="1"/>
    <x v="1"/>
    <x v="1"/>
    <x v="1"/>
    <x v="1"/>
    <n v="678331"/>
    <n v="0"/>
    <n v="678331"/>
    <n v="678331"/>
    <n v="0"/>
    <n v="12337"/>
    <n v="0"/>
  </r>
  <r>
    <x v="1"/>
    <x v="1"/>
    <x v="1"/>
    <x v="2"/>
    <x v="2"/>
    <x v="1"/>
    <x v="1"/>
    <n v="1298918"/>
    <n v="-251737"/>
    <n v="1047181"/>
    <n v="1047181"/>
    <n v="0"/>
    <n v="0"/>
    <n v="301358"/>
  </r>
  <r>
    <x v="1"/>
    <x v="1"/>
    <x v="1"/>
    <x v="3"/>
    <x v="3"/>
    <x v="1"/>
    <x v="1"/>
    <n v="7021703"/>
    <n v="-15911"/>
    <n v="7005792"/>
    <n v="7005792"/>
    <n v="0"/>
    <n v="56731"/>
    <n v="965754"/>
  </r>
  <r>
    <x v="1"/>
    <x v="2"/>
    <x v="2"/>
    <x v="1"/>
    <x v="1"/>
    <x v="0"/>
    <x v="0"/>
    <n v="0"/>
    <n v="0"/>
    <n v="0"/>
    <n v="0"/>
    <n v="0"/>
    <n v="0"/>
    <n v="0"/>
  </r>
  <r>
    <x v="1"/>
    <x v="2"/>
    <x v="2"/>
    <x v="2"/>
    <x v="2"/>
    <x v="0"/>
    <x v="0"/>
    <n v="0"/>
    <n v="0"/>
    <n v="0"/>
    <n v="0"/>
    <n v="0"/>
    <n v="0"/>
    <n v="0"/>
  </r>
  <r>
    <x v="1"/>
    <x v="2"/>
    <x v="2"/>
    <x v="3"/>
    <x v="3"/>
    <x v="0"/>
    <x v="0"/>
    <n v="20339"/>
    <n v="114522"/>
    <n v="134861"/>
    <n v="134861"/>
    <n v="0"/>
    <n v="0"/>
    <n v="0"/>
  </r>
  <r>
    <x v="1"/>
    <x v="2"/>
    <x v="2"/>
    <x v="1"/>
    <x v="1"/>
    <x v="1"/>
    <x v="1"/>
    <n v="383481"/>
    <n v="0"/>
    <n v="383481"/>
    <n v="383481"/>
    <n v="0"/>
    <n v="0"/>
    <n v="0"/>
  </r>
  <r>
    <x v="1"/>
    <x v="2"/>
    <x v="2"/>
    <x v="2"/>
    <x v="2"/>
    <x v="1"/>
    <x v="1"/>
    <n v="388698"/>
    <n v="0"/>
    <n v="388698"/>
    <n v="388698"/>
    <n v="0"/>
    <n v="0"/>
    <n v="70336"/>
  </r>
  <r>
    <x v="1"/>
    <x v="2"/>
    <x v="2"/>
    <x v="3"/>
    <x v="3"/>
    <x v="1"/>
    <x v="1"/>
    <n v="4147452"/>
    <n v="-16420"/>
    <n v="4131032"/>
    <n v="4131032"/>
    <n v="0"/>
    <n v="0"/>
    <n v="328743"/>
  </r>
  <r>
    <x v="1"/>
    <x v="3"/>
    <x v="3"/>
    <x v="2"/>
    <x v="2"/>
    <x v="0"/>
    <x v="0"/>
    <n v="247722"/>
    <n v="0"/>
    <n v="247722"/>
    <n v="247722"/>
    <n v="0"/>
    <n v="0"/>
    <n v="0"/>
  </r>
  <r>
    <x v="1"/>
    <x v="3"/>
    <x v="3"/>
    <x v="3"/>
    <x v="3"/>
    <x v="0"/>
    <x v="0"/>
    <n v="33874"/>
    <n v="0"/>
    <n v="33874"/>
    <n v="33874"/>
    <n v="0"/>
    <n v="0"/>
    <n v="0"/>
  </r>
  <r>
    <x v="1"/>
    <x v="3"/>
    <x v="3"/>
    <x v="2"/>
    <x v="2"/>
    <x v="1"/>
    <x v="1"/>
    <n v="1158909"/>
    <n v="-30750"/>
    <n v="1128159"/>
    <n v="1128159"/>
    <n v="0"/>
    <n v="0"/>
    <n v="246750"/>
  </r>
  <r>
    <x v="1"/>
    <x v="3"/>
    <x v="3"/>
    <x v="3"/>
    <x v="3"/>
    <x v="1"/>
    <x v="1"/>
    <n v="2527478"/>
    <n v="-77383"/>
    <n v="2450095"/>
    <n v="2450095"/>
    <n v="0"/>
    <n v="231431"/>
    <n v="197103"/>
  </r>
  <r>
    <x v="1"/>
    <x v="4"/>
    <x v="4"/>
    <x v="4"/>
    <x v="4"/>
    <x v="0"/>
    <x v="0"/>
    <n v="233995"/>
    <n v="0"/>
    <n v="233995"/>
    <n v="233995"/>
    <n v="0"/>
    <n v="0"/>
    <n v="0"/>
  </r>
  <r>
    <x v="1"/>
    <x v="4"/>
    <x v="4"/>
    <x v="4"/>
    <x v="4"/>
    <x v="1"/>
    <x v="1"/>
    <n v="2107445"/>
    <n v="0"/>
    <n v="2107445"/>
    <n v="2107445"/>
    <n v="0"/>
    <n v="0"/>
    <n v="90007"/>
  </r>
  <r>
    <x v="1"/>
    <x v="5"/>
    <x v="5"/>
    <x v="3"/>
    <x v="3"/>
    <x v="0"/>
    <x v="0"/>
    <n v="1007724"/>
    <n v="0"/>
    <n v="1007724"/>
    <n v="1007724"/>
    <n v="0"/>
    <n v="0"/>
    <n v="0"/>
  </r>
  <r>
    <x v="1"/>
    <x v="5"/>
    <x v="5"/>
    <x v="3"/>
    <x v="3"/>
    <x v="1"/>
    <x v="1"/>
    <n v="1787687"/>
    <n v="-1241"/>
    <n v="1786446"/>
    <n v="1786446"/>
    <n v="0"/>
    <n v="0"/>
    <n v="0"/>
  </r>
  <r>
    <x v="1"/>
    <x v="6"/>
    <x v="6"/>
    <x v="3"/>
    <x v="3"/>
    <x v="0"/>
    <x v="0"/>
    <n v="0"/>
    <n v="0"/>
    <n v="0"/>
    <n v="0"/>
    <n v="0"/>
    <n v="0"/>
    <n v="0"/>
  </r>
  <r>
    <x v="1"/>
    <x v="6"/>
    <x v="6"/>
    <x v="3"/>
    <x v="3"/>
    <x v="1"/>
    <x v="1"/>
    <n v="825621"/>
    <n v="0"/>
    <n v="825621"/>
    <n v="825621"/>
    <n v="0"/>
    <n v="0"/>
    <n v="0"/>
  </r>
  <r>
    <x v="1"/>
    <x v="7"/>
    <x v="7"/>
    <x v="5"/>
    <x v="5"/>
    <x v="0"/>
    <x v="0"/>
    <n v="0"/>
    <n v="0"/>
    <n v="0"/>
    <n v="0"/>
    <n v="0"/>
    <n v="0"/>
    <n v="0"/>
  </r>
  <r>
    <x v="1"/>
    <x v="7"/>
    <x v="7"/>
    <x v="5"/>
    <x v="5"/>
    <x v="1"/>
    <x v="1"/>
    <n v="948758"/>
    <n v="-948758"/>
    <n v="0"/>
    <n v="0"/>
    <n v="0"/>
    <n v="0"/>
    <n v="0"/>
  </r>
  <r>
    <x v="1"/>
    <x v="8"/>
    <x v="8"/>
    <x v="5"/>
    <x v="5"/>
    <x v="0"/>
    <x v="0"/>
    <n v="0"/>
    <n v="0"/>
    <n v="0"/>
    <n v="0"/>
    <n v="0"/>
    <n v="0"/>
    <n v="0"/>
  </r>
  <r>
    <x v="1"/>
    <x v="8"/>
    <x v="8"/>
    <x v="5"/>
    <x v="5"/>
    <x v="1"/>
    <x v="1"/>
    <n v="709019"/>
    <n v="-709019"/>
    <n v="0"/>
    <n v="0"/>
    <n v="0"/>
    <n v="0"/>
    <n v="0"/>
  </r>
  <r>
    <x v="1"/>
    <x v="9"/>
    <x v="9"/>
    <x v="2"/>
    <x v="2"/>
    <x v="0"/>
    <x v="0"/>
    <n v="0"/>
    <n v="0"/>
    <n v="0"/>
    <n v="0"/>
    <n v="0"/>
    <n v="0"/>
    <n v="0"/>
  </r>
  <r>
    <x v="1"/>
    <x v="9"/>
    <x v="9"/>
    <x v="3"/>
    <x v="3"/>
    <x v="0"/>
    <x v="0"/>
    <n v="6181"/>
    <n v="0"/>
    <n v="6181"/>
    <n v="6181"/>
    <n v="0"/>
    <n v="0"/>
    <n v="0"/>
  </r>
  <r>
    <x v="1"/>
    <x v="9"/>
    <x v="9"/>
    <x v="2"/>
    <x v="2"/>
    <x v="1"/>
    <x v="1"/>
    <n v="8856"/>
    <n v="0"/>
    <n v="8856"/>
    <n v="8856"/>
    <n v="0"/>
    <n v="0"/>
    <n v="0"/>
  </r>
  <r>
    <x v="1"/>
    <x v="9"/>
    <x v="9"/>
    <x v="3"/>
    <x v="3"/>
    <x v="1"/>
    <x v="1"/>
    <n v="1065665"/>
    <n v="0"/>
    <n v="1065665"/>
    <n v="1065665"/>
    <n v="0"/>
    <n v="32324"/>
    <n v="0"/>
  </r>
  <r>
    <x v="2"/>
    <x v="0"/>
    <x v="0"/>
    <x v="0"/>
    <x v="0"/>
    <x v="0"/>
    <x v="0"/>
    <n v="0"/>
    <n v="0"/>
    <n v="0"/>
    <n v="0"/>
    <n v="0"/>
    <n v="0"/>
    <n v="0"/>
  </r>
  <r>
    <x v="2"/>
    <x v="0"/>
    <x v="0"/>
    <x v="0"/>
    <x v="0"/>
    <x v="1"/>
    <x v="1"/>
    <n v="50067"/>
    <n v="0"/>
    <n v="50067"/>
    <n v="50067"/>
    <n v="0"/>
    <n v="0"/>
    <n v="0"/>
  </r>
  <r>
    <x v="2"/>
    <x v="1"/>
    <x v="1"/>
    <x v="1"/>
    <x v="1"/>
    <x v="0"/>
    <x v="0"/>
    <n v="0"/>
    <n v="0"/>
    <n v="0"/>
    <n v="0"/>
    <n v="0"/>
    <n v="0"/>
    <n v="0"/>
  </r>
  <r>
    <x v="2"/>
    <x v="1"/>
    <x v="1"/>
    <x v="2"/>
    <x v="2"/>
    <x v="0"/>
    <x v="0"/>
    <n v="267084"/>
    <n v="-17052"/>
    <n v="250032"/>
    <n v="250032"/>
    <n v="0"/>
    <n v="0"/>
    <n v="0"/>
  </r>
  <r>
    <x v="2"/>
    <x v="1"/>
    <x v="1"/>
    <x v="3"/>
    <x v="3"/>
    <x v="0"/>
    <x v="0"/>
    <n v="18359"/>
    <n v="-45560"/>
    <n v="-27201"/>
    <n v="-27201"/>
    <n v="0"/>
    <n v="0"/>
    <n v="0"/>
  </r>
  <r>
    <x v="2"/>
    <x v="1"/>
    <x v="1"/>
    <x v="1"/>
    <x v="1"/>
    <x v="1"/>
    <x v="1"/>
    <n v="636206"/>
    <n v="0"/>
    <n v="636206"/>
    <n v="636206"/>
    <n v="0"/>
    <n v="0"/>
    <n v="0"/>
  </r>
  <r>
    <x v="2"/>
    <x v="1"/>
    <x v="1"/>
    <x v="2"/>
    <x v="2"/>
    <x v="1"/>
    <x v="1"/>
    <n v="1446257"/>
    <n v="-105309"/>
    <n v="1340948"/>
    <n v="1340948"/>
    <n v="0"/>
    <n v="0"/>
    <n v="259745"/>
  </r>
  <r>
    <x v="2"/>
    <x v="1"/>
    <x v="1"/>
    <x v="3"/>
    <x v="3"/>
    <x v="1"/>
    <x v="1"/>
    <n v="6782102"/>
    <n v="8355"/>
    <n v="6790457"/>
    <n v="6790457"/>
    <n v="0"/>
    <n v="46159"/>
    <n v="879088"/>
  </r>
  <r>
    <x v="2"/>
    <x v="2"/>
    <x v="2"/>
    <x v="1"/>
    <x v="1"/>
    <x v="0"/>
    <x v="0"/>
    <n v="0"/>
    <n v="0"/>
    <n v="0"/>
    <n v="0"/>
    <n v="0"/>
    <n v="0"/>
    <n v="0"/>
  </r>
  <r>
    <x v="2"/>
    <x v="2"/>
    <x v="2"/>
    <x v="2"/>
    <x v="2"/>
    <x v="0"/>
    <x v="0"/>
    <n v="0"/>
    <n v="0"/>
    <n v="0"/>
    <n v="0"/>
    <n v="0"/>
    <n v="0"/>
    <n v="0"/>
  </r>
  <r>
    <x v="2"/>
    <x v="2"/>
    <x v="2"/>
    <x v="3"/>
    <x v="3"/>
    <x v="0"/>
    <x v="0"/>
    <n v="15970"/>
    <n v="0"/>
    <n v="15970"/>
    <n v="15970"/>
    <n v="0"/>
    <n v="0"/>
    <n v="0"/>
  </r>
  <r>
    <x v="2"/>
    <x v="2"/>
    <x v="2"/>
    <x v="1"/>
    <x v="1"/>
    <x v="1"/>
    <x v="1"/>
    <n v="361404"/>
    <n v="0"/>
    <n v="361404"/>
    <n v="361404"/>
    <n v="0"/>
    <n v="0"/>
    <n v="0"/>
  </r>
  <r>
    <x v="2"/>
    <x v="2"/>
    <x v="2"/>
    <x v="2"/>
    <x v="2"/>
    <x v="1"/>
    <x v="1"/>
    <n v="404724"/>
    <n v="0"/>
    <n v="404724"/>
    <n v="404724"/>
    <n v="0"/>
    <n v="0"/>
    <n v="73251"/>
  </r>
  <r>
    <x v="2"/>
    <x v="2"/>
    <x v="2"/>
    <x v="3"/>
    <x v="3"/>
    <x v="1"/>
    <x v="1"/>
    <n v="3961718"/>
    <n v="-38729"/>
    <n v="3922989"/>
    <n v="3922989"/>
    <n v="0"/>
    <n v="0"/>
    <n v="311756"/>
  </r>
  <r>
    <x v="2"/>
    <x v="3"/>
    <x v="3"/>
    <x v="2"/>
    <x v="2"/>
    <x v="0"/>
    <x v="0"/>
    <n v="33337"/>
    <n v="-33337"/>
    <n v="0"/>
    <n v="0"/>
    <n v="0"/>
    <n v="0"/>
    <n v="0"/>
  </r>
  <r>
    <x v="2"/>
    <x v="3"/>
    <x v="3"/>
    <x v="3"/>
    <x v="3"/>
    <x v="0"/>
    <x v="0"/>
    <n v="308814"/>
    <n v="0"/>
    <n v="308814"/>
    <n v="308814"/>
    <n v="0"/>
    <n v="0"/>
    <n v="0"/>
  </r>
  <r>
    <x v="2"/>
    <x v="3"/>
    <x v="3"/>
    <x v="2"/>
    <x v="2"/>
    <x v="1"/>
    <x v="1"/>
    <n v="949264"/>
    <n v="-61966"/>
    <n v="887298"/>
    <n v="887298"/>
    <n v="0"/>
    <n v="0"/>
    <n v="158398"/>
  </r>
  <r>
    <x v="2"/>
    <x v="3"/>
    <x v="3"/>
    <x v="3"/>
    <x v="3"/>
    <x v="1"/>
    <x v="1"/>
    <n v="2785748"/>
    <n v="-16972"/>
    <n v="2768776"/>
    <n v="2768776"/>
    <n v="0"/>
    <n v="285884"/>
    <n v="243668"/>
  </r>
  <r>
    <x v="2"/>
    <x v="4"/>
    <x v="4"/>
    <x v="4"/>
    <x v="4"/>
    <x v="0"/>
    <x v="0"/>
    <n v="7220"/>
    <n v="0"/>
    <n v="7220"/>
    <n v="7220"/>
    <n v="0"/>
    <n v="0"/>
    <n v="0"/>
  </r>
  <r>
    <x v="2"/>
    <x v="4"/>
    <x v="4"/>
    <x v="4"/>
    <x v="4"/>
    <x v="1"/>
    <x v="1"/>
    <n v="2484404"/>
    <n v="0"/>
    <n v="2484404"/>
    <n v="2484404"/>
    <n v="0"/>
    <n v="0"/>
    <n v="95807"/>
  </r>
  <r>
    <x v="2"/>
    <x v="5"/>
    <x v="5"/>
    <x v="3"/>
    <x v="3"/>
    <x v="0"/>
    <x v="0"/>
    <n v="0"/>
    <n v="0"/>
    <n v="0"/>
    <n v="0"/>
    <n v="0"/>
    <n v="0"/>
    <n v="0"/>
  </r>
  <r>
    <x v="2"/>
    <x v="5"/>
    <x v="5"/>
    <x v="3"/>
    <x v="3"/>
    <x v="1"/>
    <x v="1"/>
    <n v="2048148"/>
    <n v="0"/>
    <n v="2048148"/>
    <n v="2048148"/>
    <n v="0"/>
    <n v="0"/>
    <n v="0"/>
  </r>
  <r>
    <x v="2"/>
    <x v="6"/>
    <x v="6"/>
    <x v="3"/>
    <x v="3"/>
    <x v="0"/>
    <x v="0"/>
    <n v="43078"/>
    <n v="0"/>
    <n v="43078"/>
    <n v="43078"/>
    <n v="0"/>
    <n v="0"/>
    <n v="0"/>
  </r>
  <r>
    <x v="2"/>
    <x v="6"/>
    <x v="6"/>
    <x v="3"/>
    <x v="3"/>
    <x v="1"/>
    <x v="1"/>
    <n v="963609"/>
    <n v="-43078"/>
    <n v="920531"/>
    <n v="920531"/>
    <n v="0"/>
    <n v="0"/>
    <n v="0"/>
  </r>
  <r>
    <x v="2"/>
    <x v="7"/>
    <x v="7"/>
    <x v="5"/>
    <x v="5"/>
    <x v="0"/>
    <x v="0"/>
    <n v="0"/>
    <n v="0"/>
    <n v="0"/>
    <n v="0"/>
    <n v="0"/>
    <n v="0"/>
    <n v="0"/>
  </r>
  <r>
    <x v="2"/>
    <x v="7"/>
    <x v="7"/>
    <x v="5"/>
    <x v="5"/>
    <x v="1"/>
    <x v="1"/>
    <n v="948559"/>
    <n v="-197170"/>
    <n v="751389"/>
    <n v="751389"/>
    <n v="0"/>
    <n v="0"/>
    <n v="72707"/>
  </r>
  <r>
    <x v="2"/>
    <x v="8"/>
    <x v="8"/>
    <x v="5"/>
    <x v="5"/>
    <x v="0"/>
    <x v="0"/>
    <n v="0"/>
    <n v="0"/>
    <n v="0"/>
    <n v="0"/>
    <n v="0"/>
    <n v="0"/>
    <n v="0"/>
  </r>
  <r>
    <x v="2"/>
    <x v="8"/>
    <x v="8"/>
    <x v="5"/>
    <x v="5"/>
    <x v="1"/>
    <x v="1"/>
    <n v="728019"/>
    <n v="0"/>
    <n v="728019"/>
    <n v="728019"/>
    <n v="0"/>
    <n v="0"/>
    <n v="0"/>
  </r>
  <r>
    <x v="2"/>
    <x v="9"/>
    <x v="9"/>
    <x v="2"/>
    <x v="2"/>
    <x v="0"/>
    <x v="0"/>
    <n v="0"/>
    <n v="0"/>
    <n v="0"/>
    <n v="0"/>
    <n v="0"/>
    <n v="0"/>
    <n v="0"/>
  </r>
  <r>
    <x v="2"/>
    <x v="9"/>
    <x v="9"/>
    <x v="3"/>
    <x v="3"/>
    <x v="0"/>
    <x v="0"/>
    <n v="0"/>
    <n v="0"/>
    <n v="0"/>
    <n v="0"/>
    <n v="0"/>
    <n v="0"/>
    <n v="0"/>
  </r>
  <r>
    <x v="2"/>
    <x v="9"/>
    <x v="9"/>
    <x v="2"/>
    <x v="2"/>
    <x v="1"/>
    <x v="1"/>
    <n v="2693"/>
    <n v="0"/>
    <n v="2693"/>
    <n v="2693"/>
    <n v="0"/>
    <n v="0"/>
    <n v="0"/>
  </r>
  <r>
    <x v="2"/>
    <x v="9"/>
    <x v="9"/>
    <x v="3"/>
    <x v="3"/>
    <x v="1"/>
    <x v="1"/>
    <n v="1313627"/>
    <n v="-2482"/>
    <n v="1311145"/>
    <n v="1311145"/>
    <n v="0"/>
    <n v="0"/>
    <n v="0"/>
  </r>
  <r>
    <x v="3"/>
    <x v="0"/>
    <x v="0"/>
    <x v="0"/>
    <x v="0"/>
    <x v="0"/>
    <x v="0"/>
    <n v="33378"/>
    <n v="0"/>
    <n v="33378"/>
    <n v="33378"/>
    <n v="0"/>
    <n v="0"/>
    <n v="0"/>
  </r>
  <r>
    <x v="3"/>
    <x v="0"/>
    <x v="0"/>
    <x v="0"/>
    <x v="0"/>
    <x v="1"/>
    <x v="1"/>
    <n v="13571"/>
    <n v="-13571"/>
    <n v="0"/>
    <n v="0"/>
    <n v="0"/>
    <n v="0"/>
    <n v="0"/>
  </r>
  <r>
    <x v="3"/>
    <x v="1"/>
    <x v="1"/>
    <x v="1"/>
    <x v="1"/>
    <x v="0"/>
    <x v="0"/>
    <n v="0"/>
    <n v="0"/>
    <n v="0"/>
    <n v="0"/>
    <n v="0"/>
    <n v="0"/>
    <n v="0"/>
  </r>
  <r>
    <x v="3"/>
    <x v="1"/>
    <x v="1"/>
    <x v="2"/>
    <x v="2"/>
    <x v="0"/>
    <x v="0"/>
    <n v="94898"/>
    <n v="0"/>
    <n v="94898"/>
    <n v="94898"/>
    <n v="0"/>
    <n v="0"/>
    <n v="0"/>
  </r>
  <r>
    <x v="3"/>
    <x v="1"/>
    <x v="1"/>
    <x v="3"/>
    <x v="3"/>
    <x v="0"/>
    <x v="0"/>
    <n v="-43738"/>
    <n v="-10663"/>
    <n v="-54401"/>
    <n v="-54401"/>
    <n v="0"/>
    <n v="0"/>
    <n v="0"/>
  </r>
  <r>
    <x v="3"/>
    <x v="1"/>
    <x v="1"/>
    <x v="1"/>
    <x v="1"/>
    <x v="1"/>
    <x v="1"/>
    <n v="660526"/>
    <n v="0"/>
    <n v="660526"/>
    <n v="660526"/>
    <n v="0"/>
    <n v="0"/>
    <n v="0"/>
  </r>
  <r>
    <x v="3"/>
    <x v="1"/>
    <x v="1"/>
    <x v="2"/>
    <x v="2"/>
    <x v="1"/>
    <x v="1"/>
    <n v="1624853"/>
    <n v="0"/>
    <n v="1624853"/>
    <n v="1624853"/>
    <n v="0"/>
    <n v="0"/>
    <n v="295462"/>
  </r>
  <r>
    <x v="3"/>
    <x v="1"/>
    <x v="1"/>
    <x v="3"/>
    <x v="3"/>
    <x v="1"/>
    <x v="1"/>
    <n v="6845905"/>
    <n v="-30253"/>
    <n v="6815652"/>
    <n v="6815652"/>
    <n v="0"/>
    <n v="149092"/>
    <n v="922355"/>
  </r>
  <r>
    <x v="3"/>
    <x v="2"/>
    <x v="2"/>
    <x v="1"/>
    <x v="1"/>
    <x v="0"/>
    <x v="0"/>
    <n v="0"/>
    <n v="0"/>
    <n v="0"/>
    <n v="0"/>
    <n v="0"/>
    <n v="0"/>
    <n v="0"/>
  </r>
  <r>
    <x v="3"/>
    <x v="2"/>
    <x v="2"/>
    <x v="2"/>
    <x v="2"/>
    <x v="0"/>
    <x v="0"/>
    <n v="0"/>
    <n v="0"/>
    <n v="0"/>
    <n v="0"/>
    <n v="0"/>
    <n v="0"/>
    <n v="0"/>
  </r>
  <r>
    <x v="3"/>
    <x v="2"/>
    <x v="2"/>
    <x v="3"/>
    <x v="3"/>
    <x v="0"/>
    <x v="0"/>
    <n v="14011"/>
    <n v="24718"/>
    <n v="38729"/>
    <n v="38729"/>
    <n v="0"/>
    <n v="0"/>
    <n v="0"/>
  </r>
  <r>
    <x v="3"/>
    <x v="2"/>
    <x v="2"/>
    <x v="1"/>
    <x v="1"/>
    <x v="1"/>
    <x v="1"/>
    <n v="370597"/>
    <n v="0"/>
    <n v="370597"/>
    <n v="370597"/>
    <n v="0"/>
    <n v="0"/>
    <n v="0"/>
  </r>
  <r>
    <x v="3"/>
    <x v="2"/>
    <x v="2"/>
    <x v="2"/>
    <x v="2"/>
    <x v="1"/>
    <x v="1"/>
    <n v="437647"/>
    <n v="0"/>
    <n v="437647"/>
    <n v="437647"/>
    <n v="0"/>
    <n v="0"/>
    <n v="79197"/>
  </r>
  <r>
    <x v="3"/>
    <x v="2"/>
    <x v="2"/>
    <x v="3"/>
    <x v="3"/>
    <x v="1"/>
    <x v="1"/>
    <n v="4001652"/>
    <n v="-52078"/>
    <n v="3949574"/>
    <n v="3949574"/>
    <n v="0"/>
    <n v="0"/>
    <n v="315719"/>
  </r>
  <r>
    <x v="3"/>
    <x v="3"/>
    <x v="3"/>
    <x v="2"/>
    <x v="2"/>
    <x v="0"/>
    <x v="0"/>
    <n v="95303"/>
    <n v="-16154"/>
    <n v="79149"/>
    <n v="79149"/>
    <n v="0"/>
    <n v="0"/>
    <n v="0"/>
  </r>
  <r>
    <x v="3"/>
    <x v="3"/>
    <x v="3"/>
    <x v="3"/>
    <x v="3"/>
    <x v="0"/>
    <x v="0"/>
    <n v="289497"/>
    <n v="0"/>
    <n v="289497"/>
    <n v="289497"/>
    <n v="0"/>
    <n v="0"/>
    <n v="0"/>
  </r>
  <r>
    <x v="3"/>
    <x v="3"/>
    <x v="3"/>
    <x v="2"/>
    <x v="2"/>
    <x v="1"/>
    <x v="1"/>
    <n v="1057795"/>
    <n v="-28037"/>
    <n v="1029758"/>
    <n v="1029758"/>
    <n v="0"/>
    <n v="0"/>
    <n v="198688"/>
  </r>
  <r>
    <x v="3"/>
    <x v="3"/>
    <x v="3"/>
    <x v="3"/>
    <x v="3"/>
    <x v="1"/>
    <x v="1"/>
    <n v="3245138"/>
    <n v="-59027"/>
    <n v="3186111"/>
    <n v="3186111"/>
    <n v="0"/>
    <n v="28022"/>
    <n v="276371"/>
  </r>
  <r>
    <x v="3"/>
    <x v="4"/>
    <x v="4"/>
    <x v="4"/>
    <x v="4"/>
    <x v="0"/>
    <x v="0"/>
    <n v="7513"/>
    <n v="-7513"/>
    <n v="0"/>
    <n v="0"/>
    <n v="0"/>
    <n v="0"/>
    <n v="0"/>
  </r>
  <r>
    <x v="3"/>
    <x v="4"/>
    <x v="4"/>
    <x v="4"/>
    <x v="4"/>
    <x v="1"/>
    <x v="1"/>
    <n v="2516716"/>
    <n v="-45059"/>
    <n v="2471657"/>
    <n v="2471657"/>
    <n v="0"/>
    <n v="0"/>
    <n v="95336"/>
  </r>
  <r>
    <x v="3"/>
    <x v="5"/>
    <x v="5"/>
    <x v="3"/>
    <x v="3"/>
    <x v="0"/>
    <x v="0"/>
    <n v="0"/>
    <n v="0"/>
    <n v="0"/>
    <n v="0"/>
    <n v="0"/>
    <n v="0"/>
    <n v="0"/>
  </r>
  <r>
    <x v="3"/>
    <x v="5"/>
    <x v="5"/>
    <x v="3"/>
    <x v="3"/>
    <x v="1"/>
    <x v="1"/>
    <n v="2353118"/>
    <n v="0"/>
    <n v="2353118"/>
    <n v="2353118"/>
    <n v="0"/>
    <n v="0"/>
    <n v="0"/>
  </r>
  <r>
    <x v="3"/>
    <x v="6"/>
    <x v="6"/>
    <x v="3"/>
    <x v="3"/>
    <x v="0"/>
    <x v="0"/>
    <n v="43078"/>
    <n v="0"/>
    <n v="43078"/>
    <n v="43078"/>
    <n v="0"/>
    <n v="0"/>
    <n v="0"/>
  </r>
  <r>
    <x v="3"/>
    <x v="6"/>
    <x v="6"/>
    <x v="3"/>
    <x v="3"/>
    <x v="1"/>
    <x v="1"/>
    <n v="895244"/>
    <n v="0"/>
    <n v="895244"/>
    <n v="895244"/>
    <n v="0"/>
    <n v="0"/>
    <n v="0"/>
  </r>
  <r>
    <x v="3"/>
    <x v="7"/>
    <x v="7"/>
    <x v="5"/>
    <x v="5"/>
    <x v="0"/>
    <x v="0"/>
    <n v="948758"/>
    <n v="0"/>
    <n v="948758"/>
    <n v="948758"/>
    <n v="0"/>
    <n v="0"/>
    <n v="0"/>
  </r>
  <r>
    <x v="3"/>
    <x v="7"/>
    <x v="7"/>
    <x v="5"/>
    <x v="5"/>
    <x v="1"/>
    <x v="1"/>
    <n v="965610"/>
    <n v="-200031"/>
    <n v="765579"/>
    <n v="765579"/>
    <n v="0"/>
    <n v="0"/>
    <n v="151302"/>
  </r>
  <r>
    <x v="3"/>
    <x v="8"/>
    <x v="8"/>
    <x v="5"/>
    <x v="5"/>
    <x v="0"/>
    <x v="0"/>
    <n v="709019"/>
    <n v="0"/>
    <n v="709019"/>
    <n v="709019"/>
    <n v="0"/>
    <n v="0"/>
    <n v="0"/>
  </r>
  <r>
    <x v="3"/>
    <x v="8"/>
    <x v="8"/>
    <x v="5"/>
    <x v="5"/>
    <x v="1"/>
    <x v="1"/>
    <n v="650058"/>
    <n v="0"/>
    <n v="650058"/>
    <n v="650058"/>
    <n v="0"/>
    <n v="0"/>
    <n v="0"/>
  </r>
  <r>
    <x v="3"/>
    <x v="9"/>
    <x v="9"/>
    <x v="2"/>
    <x v="2"/>
    <x v="0"/>
    <x v="0"/>
    <n v="0"/>
    <n v="0"/>
    <n v="0"/>
    <n v="0"/>
    <n v="0"/>
    <n v="0"/>
    <n v="0"/>
  </r>
  <r>
    <x v="3"/>
    <x v="9"/>
    <x v="9"/>
    <x v="3"/>
    <x v="3"/>
    <x v="0"/>
    <x v="0"/>
    <n v="39181"/>
    <n v="0"/>
    <n v="39181"/>
    <n v="39181"/>
    <n v="0"/>
    <n v="0"/>
    <n v="0"/>
  </r>
  <r>
    <x v="3"/>
    <x v="9"/>
    <x v="9"/>
    <x v="2"/>
    <x v="2"/>
    <x v="1"/>
    <x v="1"/>
    <n v="5117"/>
    <n v="0"/>
    <n v="5117"/>
    <n v="5117"/>
    <n v="0"/>
    <n v="0"/>
    <n v="0"/>
  </r>
  <r>
    <x v="3"/>
    <x v="9"/>
    <x v="9"/>
    <x v="3"/>
    <x v="3"/>
    <x v="1"/>
    <x v="1"/>
    <n v="1494178"/>
    <n v="-43260"/>
    <n v="1450918"/>
    <n v="1450918"/>
    <n v="0"/>
    <n v="19602"/>
    <n v="0"/>
  </r>
  <r>
    <x v="4"/>
    <x v="0"/>
    <x v="0"/>
    <x v="0"/>
    <x v="0"/>
    <x v="0"/>
    <x v="0"/>
    <n v="33378"/>
    <n v="0"/>
    <n v="33378"/>
    <n v="33378"/>
    <n v="0"/>
    <n v="0"/>
    <n v="0"/>
  </r>
  <r>
    <x v="4"/>
    <x v="0"/>
    <x v="0"/>
    <x v="0"/>
    <x v="0"/>
    <x v="1"/>
    <x v="1"/>
    <n v="16689"/>
    <n v="0"/>
    <n v="16689"/>
    <n v="16689"/>
    <n v="0"/>
    <n v="0"/>
    <n v="0"/>
  </r>
  <r>
    <x v="4"/>
    <x v="1"/>
    <x v="1"/>
    <x v="1"/>
    <x v="1"/>
    <x v="0"/>
    <x v="0"/>
    <n v="0"/>
    <n v="0"/>
    <n v="0"/>
    <n v="0"/>
    <n v="0"/>
    <n v="0"/>
    <n v="0"/>
  </r>
  <r>
    <x v="4"/>
    <x v="1"/>
    <x v="1"/>
    <x v="2"/>
    <x v="2"/>
    <x v="0"/>
    <x v="0"/>
    <n v="0"/>
    <n v="0"/>
    <n v="0"/>
    <n v="0"/>
    <n v="0"/>
    <n v="0"/>
    <n v="0"/>
  </r>
  <r>
    <x v="4"/>
    <x v="1"/>
    <x v="1"/>
    <x v="3"/>
    <x v="3"/>
    <x v="0"/>
    <x v="0"/>
    <n v="207177"/>
    <n v="-15899"/>
    <n v="191278"/>
    <n v="191278"/>
    <n v="0"/>
    <n v="0"/>
    <n v="0"/>
  </r>
  <r>
    <x v="4"/>
    <x v="1"/>
    <x v="1"/>
    <x v="1"/>
    <x v="1"/>
    <x v="1"/>
    <x v="1"/>
    <n v="674885"/>
    <n v="0"/>
    <n v="674885"/>
    <n v="674885"/>
    <n v="0"/>
    <n v="38915"/>
    <n v="0"/>
  </r>
  <r>
    <x v="4"/>
    <x v="1"/>
    <x v="1"/>
    <x v="2"/>
    <x v="2"/>
    <x v="1"/>
    <x v="1"/>
    <n v="1646369"/>
    <n v="0"/>
    <n v="1646369"/>
    <n v="1646369"/>
    <n v="0"/>
    <n v="0"/>
    <n v="277036"/>
  </r>
  <r>
    <x v="4"/>
    <x v="1"/>
    <x v="1"/>
    <x v="3"/>
    <x v="3"/>
    <x v="1"/>
    <x v="1"/>
    <n v="6240804"/>
    <n v="-11085"/>
    <n v="6229719"/>
    <n v="6229719"/>
    <n v="0"/>
    <n v="213250"/>
    <n v="815137"/>
  </r>
  <r>
    <x v="4"/>
    <x v="2"/>
    <x v="2"/>
    <x v="1"/>
    <x v="1"/>
    <x v="0"/>
    <x v="0"/>
    <n v="0"/>
    <n v="0"/>
    <n v="0"/>
    <n v="0"/>
    <n v="0"/>
    <n v="0"/>
    <n v="0"/>
  </r>
  <r>
    <x v="4"/>
    <x v="2"/>
    <x v="2"/>
    <x v="2"/>
    <x v="2"/>
    <x v="0"/>
    <x v="0"/>
    <n v="0"/>
    <n v="0"/>
    <n v="0"/>
    <n v="0"/>
    <n v="0"/>
    <n v="0"/>
    <n v="0"/>
  </r>
  <r>
    <x v="4"/>
    <x v="2"/>
    <x v="2"/>
    <x v="3"/>
    <x v="3"/>
    <x v="0"/>
    <x v="0"/>
    <n v="83878"/>
    <n v="-28022"/>
    <n v="55856"/>
    <n v="55856"/>
    <n v="0"/>
    <n v="0"/>
    <n v="0"/>
  </r>
  <r>
    <x v="4"/>
    <x v="2"/>
    <x v="2"/>
    <x v="1"/>
    <x v="1"/>
    <x v="1"/>
    <x v="1"/>
    <n v="359083"/>
    <n v="0"/>
    <n v="359083"/>
    <n v="359083"/>
    <n v="0"/>
    <n v="0"/>
    <n v="0"/>
  </r>
  <r>
    <x v="4"/>
    <x v="2"/>
    <x v="2"/>
    <x v="2"/>
    <x v="2"/>
    <x v="1"/>
    <x v="1"/>
    <n v="361265"/>
    <n v="0"/>
    <n v="361265"/>
    <n v="361265"/>
    <n v="0"/>
    <n v="0"/>
    <n v="65389"/>
  </r>
  <r>
    <x v="4"/>
    <x v="2"/>
    <x v="2"/>
    <x v="3"/>
    <x v="3"/>
    <x v="1"/>
    <x v="1"/>
    <n v="3899636"/>
    <n v="-21602"/>
    <n v="3878034"/>
    <n v="3878034"/>
    <n v="0"/>
    <n v="0"/>
    <n v="311423"/>
  </r>
  <r>
    <x v="4"/>
    <x v="3"/>
    <x v="3"/>
    <x v="2"/>
    <x v="2"/>
    <x v="0"/>
    <x v="0"/>
    <n v="78587"/>
    <n v="0"/>
    <n v="78587"/>
    <n v="78587"/>
    <n v="0"/>
    <n v="0"/>
    <n v="0"/>
  </r>
  <r>
    <x v="4"/>
    <x v="3"/>
    <x v="3"/>
    <x v="3"/>
    <x v="3"/>
    <x v="0"/>
    <x v="0"/>
    <n v="42818"/>
    <n v="5116"/>
    <n v="47934"/>
    <n v="47934"/>
    <n v="0"/>
    <n v="0"/>
    <n v="0"/>
  </r>
  <r>
    <x v="4"/>
    <x v="3"/>
    <x v="3"/>
    <x v="2"/>
    <x v="2"/>
    <x v="1"/>
    <x v="1"/>
    <n v="1184413"/>
    <n v="-12232"/>
    <n v="1172181"/>
    <n v="1172181"/>
    <n v="0"/>
    <n v="0"/>
    <n v="224199"/>
  </r>
  <r>
    <x v="4"/>
    <x v="3"/>
    <x v="3"/>
    <x v="3"/>
    <x v="3"/>
    <x v="1"/>
    <x v="1"/>
    <n v="2934723"/>
    <n v="-235574"/>
    <n v="2699149"/>
    <n v="2699149"/>
    <n v="0"/>
    <n v="98674"/>
    <n v="217059"/>
  </r>
  <r>
    <x v="4"/>
    <x v="4"/>
    <x v="4"/>
    <x v="4"/>
    <x v="4"/>
    <x v="0"/>
    <x v="0"/>
    <n v="0"/>
    <n v="0"/>
    <n v="0"/>
    <n v="0"/>
    <n v="0"/>
    <n v="0"/>
    <n v="0"/>
  </r>
  <r>
    <x v="4"/>
    <x v="4"/>
    <x v="4"/>
    <x v="4"/>
    <x v="4"/>
    <x v="1"/>
    <x v="1"/>
    <n v="2308205"/>
    <n v="0"/>
    <n v="2308205"/>
    <n v="2308205"/>
    <n v="0"/>
    <n v="65592"/>
    <n v="88738"/>
  </r>
  <r>
    <x v="4"/>
    <x v="5"/>
    <x v="5"/>
    <x v="3"/>
    <x v="3"/>
    <x v="0"/>
    <x v="0"/>
    <n v="0"/>
    <n v="0"/>
    <n v="0"/>
    <n v="0"/>
    <n v="0"/>
    <n v="0"/>
    <n v="0"/>
  </r>
  <r>
    <x v="4"/>
    <x v="5"/>
    <x v="5"/>
    <x v="3"/>
    <x v="3"/>
    <x v="1"/>
    <x v="1"/>
    <n v="2053904"/>
    <n v="0"/>
    <n v="2053904"/>
    <n v="2053904"/>
    <n v="0"/>
    <n v="75295"/>
    <n v="0"/>
  </r>
  <r>
    <x v="4"/>
    <x v="6"/>
    <x v="6"/>
    <x v="3"/>
    <x v="3"/>
    <x v="0"/>
    <x v="0"/>
    <n v="0"/>
    <n v="0"/>
    <n v="0"/>
    <n v="0"/>
    <n v="0"/>
    <n v="0"/>
    <n v="0"/>
  </r>
  <r>
    <x v="4"/>
    <x v="6"/>
    <x v="6"/>
    <x v="3"/>
    <x v="3"/>
    <x v="1"/>
    <x v="1"/>
    <n v="672023"/>
    <n v="0"/>
    <n v="672023"/>
    <n v="672023"/>
    <n v="0"/>
    <n v="0"/>
    <n v="0"/>
  </r>
  <r>
    <x v="4"/>
    <x v="7"/>
    <x v="7"/>
    <x v="5"/>
    <x v="5"/>
    <x v="0"/>
    <x v="0"/>
    <n v="212356"/>
    <n v="0"/>
    <n v="212356"/>
    <n v="212356"/>
    <n v="0"/>
    <n v="0"/>
    <n v="0"/>
  </r>
  <r>
    <x v="4"/>
    <x v="7"/>
    <x v="7"/>
    <x v="5"/>
    <x v="5"/>
    <x v="1"/>
    <x v="1"/>
    <n v="991308"/>
    <n v="0"/>
    <n v="991308"/>
    <n v="991308"/>
    <n v="0"/>
    <n v="0"/>
    <n v="84778"/>
  </r>
  <r>
    <x v="4"/>
    <x v="8"/>
    <x v="8"/>
    <x v="5"/>
    <x v="5"/>
    <x v="0"/>
    <x v="0"/>
    <n v="16193"/>
    <n v="0"/>
    <n v="16193"/>
    <n v="16193"/>
    <n v="0"/>
    <n v="0"/>
    <n v="0"/>
  </r>
  <r>
    <x v="4"/>
    <x v="8"/>
    <x v="8"/>
    <x v="5"/>
    <x v="5"/>
    <x v="1"/>
    <x v="1"/>
    <n v="505339"/>
    <n v="0"/>
    <n v="505339"/>
    <n v="505339"/>
    <n v="0"/>
    <n v="0"/>
    <n v="0"/>
  </r>
  <r>
    <x v="4"/>
    <x v="9"/>
    <x v="9"/>
    <x v="2"/>
    <x v="2"/>
    <x v="0"/>
    <x v="0"/>
    <n v="0"/>
    <n v="0"/>
    <n v="0"/>
    <n v="0"/>
    <n v="0"/>
    <n v="0"/>
    <n v="0"/>
  </r>
  <r>
    <x v="4"/>
    <x v="9"/>
    <x v="9"/>
    <x v="3"/>
    <x v="3"/>
    <x v="0"/>
    <x v="0"/>
    <n v="-29236"/>
    <n v="41367"/>
    <n v="12131"/>
    <n v="12131"/>
    <n v="0"/>
    <n v="0"/>
    <n v="0"/>
  </r>
  <r>
    <x v="4"/>
    <x v="9"/>
    <x v="9"/>
    <x v="2"/>
    <x v="2"/>
    <x v="1"/>
    <x v="1"/>
    <n v="8422"/>
    <n v="0"/>
    <n v="8422"/>
    <n v="8422"/>
    <n v="0"/>
    <n v="0"/>
    <n v="0"/>
  </r>
  <r>
    <x v="4"/>
    <x v="9"/>
    <x v="9"/>
    <x v="3"/>
    <x v="3"/>
    <x v="1"/>
    <x v="1"/>
    <n v="1194569"/>
    <n v="-2482"/>
    <n v="1192087"/>
    <n v="1192087"/>
    <n v="0"/>
    <n v="73357"/>
    <n v="0"/>
  </r>
  <r>
    <x v="5"/>
    <x v="1"/>
    <x v="1"/>
    <x v="1"/>
    <x v="1"/>
    <x v="0"/>
    <x v="0"/>
    <n v="103959"/>
    <n v="0"/>
    <n v="103959"/>
    <n v="103959"/>
    <n v="0"/>
    <n v="0"/>
    <n v="0"/>
  </r>
  <r>
    <x v="5"/>
    <x v="1"/>
    <x v="1"/>
    <x v="2"/>
    <x v="2"/>
    <x v="0"/>
    <x v="0"/>
    <n v="0"/>
    <n v="0"/>
    <n v="0"/>
    <n v="0"/>
    <n v="0"/>
    <n v="0"/>
    <n v="0"/>
  </r>
  <r>
    <x v="5"/>
    <x v="1"/>
    <x v="1"/>
    <x v="3"/>
    <x v="3"/>
    <x v="0"/>
    <x v="0"/>
    <n v="140748"/>
    <n v="17718"/>
    <n v="158466"/>
    <n v="158466"/>
    <n v="0"/>
    <n v="0"/>
    <n v="0"/>
  </r>
  <r>
    <x v="5"/>
    <x v="1"/>
    <x v="1"/>
    <x v="1"/>
    <x v="1"/>
    <x v="1"/>
    <x v="1"/>
    <n v="778211"/>
    <n v="0"/>
    <n v="778211"/>
    <n v="778211"/>
    <n v="0"/>
    <n v="0"/>
    <n v="0"/>
  </r>
  <r>
    <x v="5"/>
    <x v="1"/>
    <x v="1"/>
    <x v="2"/>
    <x v="2"/>
    <x v="1"/>
    <x v="1"/>
    <n v="1502385"/>
    <n v="-131955"/>
    <n v="1370430"/>
    <n v="1370430"/>
    <n v="0"/>
    <n v="0"/>
    <n v="228468"/>
  </r>
  <r>
    <x v="5"/>
    <x v="1"/>
    <x v="1"/>
    <x v="3"/>
    <x v="3"/>
    <x v="1"/>
    <x v="1"/>
    <n v="6226071"/>
    <n v="-99028"/>
    <n v="6127043"/>
    <n v="6127043"/>
    <n v="0"/>
    <n v="326159"/>
    <n v="815137"/>
  </r>
  <r>
    <x v="5"/>
    <x v="2"/>
    <x v="2"/>
    <x v="1"/>
    <x v="1"/>
    <x v="0"/>
    <x v="0"/>
    <n v="0"/>
    <n v="0"/>
    <n v="0"/>
    <n v="0"/>
    <n v="0"/>
    <n v="0"/>
    <n v="0"/>
  </r>
  <r>
    <x v="5"/>
    <x v="2"/>
    <x v="2"/>
    <x v="2"/>
    <x v="2"/>
    <x v="0"/>
    <x v="0"/>
    <n v="16154"/>
    <n v="0"/>
    <n v="16154"/>
    <n v="16154"/>
    <n v="0"/>
    <n v="0"/>
    <n v="0"/>
  </r>
  <r>
    <x v="5"/>
    <x v="2"/>
    <x v="2"/>
    <x v="3"/>
    <x v="3"/>
    <x v="0"/>
    <x v="0"/>
    <n v="57800"/>
    <n v="28022"/>
    <n v="85822"/>
    <n v="85822"/>
    <n v="0"/>
    <n v="0"/>
    <n v="0"/>
  </r>
  <r>
    <x v="5"/>
    <x v="2"/>
    <x v="2"/>
    <x v="1"/>
    <x v="1"/>
    <x v="1"/>
    <x v="1"/>
    <n v="349880"/>
    <n v="-11514"/>
    <n v="338366"/>
    <n v="338366"/>
    <n v="0"/>
    <n v="0"/>
    <n v="0"/>
  </r>
  <r>
    <x v="5"/>
    <x v="2"/>
    <x v="2"/>
    <x v="2"/>
    <x v="2"/>
    <x v="1"/>
    <x v="1"/>
    <n v="510256"/>
    <n v="-16154"/>
    <n v="494102"/>
    <n v="494102"/>
    <n v="0"/>
    <n v="0"/>
    <n v="88748"/>
  </r>
  <r>
    <x v="5"/>
    <x v="2"/>
    <x v="2"/>
    <x v="3"/>
    <x v="3"/>
    <x v="1"/>
    <x v="1"/>
    <n v="3870090"/>
    <n v="-41691"/>
    <n v="3828399"/>
    <n v="3828399"/>
    <n v="0"/>
    <n v="0"/>
    <n v="309401"/>
  </r>
  <r>
    <x v="5"/>
    <x v="3"/>
    <x v="3"/>
    <x v="2"/>
    <x v="2"/>
    <x v="0"/>
    <x v="0"/>
    <n v="12232"/>
    <n v="-12232"/>
    <n v="0"/>
    <n v="0"/>
    <n v="0"/>
    <n v="0"/>
    <n v="0"/>
  </r>
  <r>
    <x v="5"/>
    <x v="3"/>
    <x v="3"/>
    <x v="3"/>
    <x v="3"/>
    <x v="0"/>
    <x v="0"/>
    <n v="272695"/>
    <n v="0"/>
    <n v="272695"/>
    <n v="272695"/>
    <n v="0"/>
    <n v="0"/>
    <n v="0"/>
  </r>
  <r>
    <x v="5"/>
    <x v="3"/>
    <x v="3"/>
    <x v="2"/>
    <x v="2"/>
    <x v="1"/>
    <x v="1"/>
    <n v="1183097"/>
    <n v="-14807"/>
    <n v="1168290"/>
    <n v="1168290"/>
    <n v="0"/>
    <n v="0"/>
    <n v="206946"/>
  </r>
  <r>
    <x v="5"/>
    <x v="3"/>
    <x v="3"/>
    <x v="3"/>
    <x v="3"/>
    <x v="1"/>
    <x v="1"/>
    <n v="2668880"/>
    <n v="-16420"/>
    <n v="2652460"/>
    <n v="2652460"/>
    <n v="0"/>
    <n v="208169"/>
    <n v="232279"/>
  </r>
  <r>
    <x v="5"/>
    <x v="4"/>
    <x v="4"/>
    <x v="4"/>
    <x v="4"/>
    <x v="0"/>
    <x v="0"/>
    <n v="110767"/>
    <n v="-52082"/>
    <n v="58685"/>
    <n v="58685"/>
    <n v="0"/>
    <n v="0"/>
    <n v="0"/>
  </r>
  <r>
    <x v="5"/>
    <x v="4"/>
    <x v="4"/>
    <x v="4"/>
    <x v="4"/>
    <x v="1"/>
    <x v="1"/>
    <n v="2887757"/>
    <n v="-65050"/>
    <n v="2822707"/>
    <n v="2822707"/>
    <n v="0"/>
    <n v="15821"/>
    <n v="111359"/>
  </r>
  <r>
    <x v="5"/>
    <x v="5"/>
    <x v="5"/>
    <x v="3"/>
    <x v="3"/>
    <x v="0"/>
    <x v="0"/>
    <n v="75295"/>
    <n v="0"/>
    <n v="75295"/>
    <n v="75295"/>
    <n v="0"/>
    <n v="0"/>
    <n v="0"/>
  </r>
  <r>
    <x v="5"/>
    <x v="5"/>
    <x v="5"/>
    <x v="3"/>
    <x v="3"/>
    <x v="1"/>
    <x v="1"/>
    <n v="2154121"/>
    <n v="0"/>
    <n v="2154121"/>
    <n v="2154121"/>
    <n v="0"/>
    <n v="0"/>
    <n v="0"/>
  </r>
  <r>
    <x v="5"/>
    <x v="6"/>
    <x v="6"/>
    <x v="3"/>
    <x v="3"/>
    <x v="0"/>
    <x v="0"/>
    <n v="0"/>
    <n v="0"/>
    <n v="0"/>
    <n v="0"/>
    <n v="0"/>
    <n v="0"/>
    <n v="0"/>
  </r>
  <r>
    <x v="5"/>
    <x v="6"/>
    <x v="6"/>
    <x v="3"/>
    <x v="3"/>
    <x v="1"/>
    <x v="1"/>
    <n v="609299"/>
    <n v="0"/>
    <n v="609299"/>
    <n v="609299"/>
    <n v="0"/>
    <n v="0"/>
    <n v="0"/>
  </r>
  <r>
    <x v="5"/>
    <x v="7"/>
    <x v="7"/>
    <x v="5"/>
    <x v="5"/>
    <x v="0"/>
    <x v="0"/>
    <n v="0"/>
    <n v="0"/>
    <n v="0"/>
    <n v="0"/>
    <n v="0"/>
    <n v="0"/>
    <n v="0"/>
  </r>
  <r>
    <x v="5"/>
    <x v="7"/>
    <x v="7"/>
    <x v="5"/>
    <x v="5"/>
    <x v="1"/>
    <x v="1"/>
    <n v="898853"/>
    <n v="0"/>
    <n v="898853"/>
    <n v="898853"/>
    <n v="0"/>
    <n v="0"/>
    <n v="66554"/>
  </r>
  <r>
    <x v="5"/>
    <x v="8"/>
    <x v="8"/>
    <x v="5"/>
    <x v="5"/>
    <x v="0"/>
    <x v="0"/>
    <n v="0"/>
    <n v="0"/>
    <n v="0"/>
    <n v="0"/>
    <n v="0"/>
    <n v="0"/>
    <n v="0"/>
  </r>
  <r>
    <x v="5"/>
    <x v="8"/>
    <x v="8"/>
    <x v="5"/>
    <x v="5"/>
    <x v="1"/>
    <x v="1"/>
    <n v="460537"/>
    <n v="0"/>
    <n v="460537"/>
    <n v="460537"/>
    <n v="0"/>
    <n v="0"/>
    <n v="0"/>
  </r>
  <r>
    <x v="5"/>
    <x v="9"/>
    <x v="9"/>
    <x v="2"/>
    <x v="2"/>
    <x v="0"/>
    <x v="0"/>
    <n v="0"/>
    <n v="0"/>
    <n v="0"/>
    <n v="0"/>
    <n v="0"/>
    <n v="0"/>
    <n v="0"/>
  </r>
  <r>
    <x v="5"/>
    <x v="9"/>
    <x v="9"/>
    <x v="3"/>
    <x v="3"/>
    <x v="0"/>
    <x v="0"/>
    <n v="83308"/>
    <n v="0"/>
    <n v="83308"/>
    <n v="83308"/>
    <n v="0"/>
    <n v="0"/>
    <n v="0"/>
  </r>
  <r>
    <x v="5"/>
    <x v="9"/>
    <x v="9"/>
    <x v="2"/>
    <x v="2"/>
    <x v="1"/>
    <x v="1"/>
    <n v="2424"/>
    <n v="0"/>
    <n v="2424"/>
    <n v="2424"/>
    <n v="0"/>
    <n v="0"/>
    <n v="0"/>
  </r>
  <r>
    <x v="5"/>
    <x v="9"/>
    <x v="9"/>
    <x v="3"/>
    <x v="3"/>
    <x v="1"/>
    <x v="1"/>
    <n v="1091048"/>
    <n v="0"/>
    <n v="1091048"/>
    <n v="1091048"/>
    <n v="0"/>
    <n v="18799"/>
    <n v="0"/>
  </r>
  <r>
    <x v="6"/>
    <x v="1"/>
    <x v="1"/>
    <x v="1"/>
    <x v="1"/>
    <x v="0"/>
    <x v="0"/>
    <n v="0"/>
    <n v="0"/>
    <n v="0"/>
    <n v="0"/>
    <n v="0"/>
    <n v="0"/>
    <n v="0"/>
  </r>
  <r>
    <x v="6"/>
    <x v="1"/>
    <x v="1"/>
    <x v="2"/>
    <x v="2"/>
    <x v="0"/>
    <x v="0"/>
    <n v="130846"/>
    <n v="-142854"/>
    <n v="-12008"/>
    <n v="-12008"/>
    <n v="0"/>
    <n v="0"/>
    <n v="0"/>
  </r>
  <r>
    <x v="6"/>
    <x v="1"/>
    <x v="1"/>
    <x v="3"/>
    <x v="3"/>
    <x v="0"/>
    <x v="0"/>
    <n v="491876"/>
    <n v="-48674"/>
    <n v="443202"/>
    <n v="443202"/>
    <n v="0"/>
    <n v="0"/>
    <n v="0"/>
  </r>
  <r>
    <x v="6"/>
    <x v="1"/>
    <x v="1"/>
    <x v="1"/>
    <x v="1"/>
    <x v="1"/>
    <x v="1"/>
    <n v="745320"/>
    <n v="0"/>
    <n v="745320"/>
    <n v="745320"/>
    <n v="0"/>
    <n v="0"/>
    <n v="0"/>
  </r>
  <r>
    <x v="6"/>
    <x v="1"/>
    <x v="1"/>
    <x v="2"/>
    <x v="2"/>
    <x v="1"/>
    <x v="1"/>
    <n v="1491698"/>
    <n v="-130846"/>
    <n v="1360852"/>
    <n v="1360852"/>
    <n v="0"/>
    <n v="0"/>
    <n v="225651"/>
  </r>
  <r>
    <x v="6"/>
    <x v="1"/>
    <x v="1"/>
    <x v="3"/>
    <x v="3"/>
    <x v="1"/>
    <x v="1"/>
    <n v="7111670"/>
    <n v="0"/>
    <n v="7111670"/>
    <n v="7111670"/>
    <n v="0"/>
    <n v="0"/>
    <n v="902014"/>
  </r>
  <r>
    <x v="6"/>
    <x v="2"/>
    <x v="2"/>
    <x v="1"/>
    <x v="1"/>
    <x v="0"/>
    <x v="0"/>
    <n v="5757"/>
    <n v="0"/>
    <n v="5757"/>
    <n v="5757"/>
    <n v="0"/>
    <n v="0"/>
    <n v="0"/>
  </r>
  <r>
    <x v="6"/>
    <x v="2"/>
    <x v="2"/>
    <x v="2"/>
    <x v="2"/>
    <x v="0"/>
    <x v="0"/>
    <n v="16154"/>
    <n v="-16154"/>
    <n v="0"/>
    <n v="0"/>
    <n v="0"/>
    <n v="0"/>
    <n v="0"/>
  </r>
  <r>
    <x v="6"/>
    <x v="2"/>
    <x v="2"/>
    <x v="3"/>
    <x v="3"/>
    <x v="0"/>
    <x v="0"/>
    <n v="28022"/>
    <n v="20233"/>
    <n v="48255"/>
    <n v="48255"/>
    <n v="0"/>
    <n v="0"/>
    <n v="0"/>
  </r>
  <r>
    <x v="6"/>
    <x v="2"/>
    <x v="2"/>
    <x v="1"/>
    <x v="1"/>
    <x v="1"/>
    <x v="1"/>
    <n v="349759"/>
    <n v="0"/>
    <n v="349759"/>
    <n v="349759"/>
    <n v="0"/>
    <n v="0"/>
    <n v="0"/>
  </r>
  <r>
    <x v="6"/>
    <x v="2"/>
    <x v="2"/>
    <x v="2"/>
    <x v="2"/>
    <x v="1"/>
    <x v="1"/>
    <n v="608591"/>
    <n v="0"/>
    <n v="608591"/>
    <n v="608591"/>
    <n v="0"/>
    <n v="0"/>
    <n v="107095"/>
  </r>
  <r>
    <x v="6"/>
    <x v="2"/>
    <x v="2"/>
    <x v="3"/>
    <x v="3"/>
    <x v="1"/>
    <x v="1"/>
    <n v="3742389"/>
    <n v="-122842"/>
    <n v="3619547"/>
    <n v="3619547"/>
    <n v="0"/>
    <n v="0"/>
    <n v="295058"/>
  </r>
  <r>
    <x v="6"/>
    <x v="3"/>
    <x v="3"/>
    <x v="2"/>
    <x v="2"/>
    <x v="0"/>
    <x v="0"/>
    <n v="27039"/>
    <n v="0"/>
    <n v="27039"/>
    <n v="27039"/>
    <n v="0"/>
    <n v="0"/>
    <n v="0"/>
  </r>
  <r>
    <x v="6"/>
    <x v="3"/>
    <x v="3"/>
    <x v="3"/>
    <x v="3"/>
    <x v="0"/>
    <x v="0"/>
    <n v="167174"/>
    <n v="16420"/>
    <n v="183594"/>
    <n v="183594"/>
    <n v="0"/>
    <n v="0"/>
    <n v="0"/>
  </r>
  <r>
    <x v="6"/>
    <x v="3"/>
    <x v="3"/>
    <x v="2"/>
    <x v="2"/>
    <x v="1"/>
    <x v="1"/>
    <n v="1516513"/>
    <n v="-10388"/>
    <n v="1506125"/>
    <n v="1506125"/>
    <n v="0"/>
    <n v="0"/>
    <n v="275228"/>
  </r>
  <r>
    <x v="6"/>
    <x v="3"/>
    <x v="3"/>
    <x v="3"/>
    <x v="3"/>
    <x v="1"/>
    <x v="1"/>
    <n v="3023773"/>
    <n v="-44675"/>
    <n v="2979098"/>
    <n v="2979098"/>
    <n v="0"/>
    <n v="40995"/>
    <n v="250986"/>
  </r>
  <r>
    <x v="6"/>
    <x v="4"/>
    <x v="4"/>
    <x v="4"/>
    <x v="4"/>
    <x v="0"/>
    <x v="0"/>
    <n v="15277"/>
    <n v="0"/>
    <n v="15277"/>
    <n v="15277"/>
    <n v="0"/>
    <n v="0"/>
    <n v="0"/>
  </r>
  <r>
    <x v="6"/>
    <x v="4"/>
    <x v="4"/>
    <x v="4"/>
    <x v="4"/>
    <x v="1"/>
    <x v="1"/>
    <n v="2964543"/>
    <n v="-69837"/>
    <n v="2894706"/>
    <n v="2894706"/>
    <n v="0"/>
    <n v="67235"/>
    <n v="111908"/>
  </r>
  <r>
    <x v="6"/>
    <x v="5"/>
    <x v="5"/>
    <x v="3"/>
    <x v="3"/>
    <x v="0"/>
    <x v="0"/>
    <n v="28130"/>
    <n v="0"/>
    <n v="28130"/>
    <n v="28130"/>
    <n v="0"/>
    <n v="0"/>
    <n v="0"/>
  </r>
  <r>
    <x v="6"/>
    <x v="5"/>
    <x v="5"/>
    <x v="3"/>
    <x v="3"/>
    <x v="1"/>
    <x v="1"/>
    <n v="1985680"/>
    <n v="0"/>
    <n v="1985680"/>
    <n v="1985680"/>
    <n v="0"/>
    <n v="0"/>
    <n v="0"/>
  </r>
  <r>
    <x v="6"/>
    <x v="6"/>
    <x v="6"/>
    <x v="3"/>
    <x v="3"/>
    <x v="0"/>
    <x v="0"/>
    <n v="-28130"/>
    <n v="0"/>
    <n v="-28130"/>
    <n v="-28130"/>
    <n v="0"/>
    <n v="0"/>
    <n v="0"/>
  </r>
  <r>
    <x v="6"/>
    <x v="6"/>
    <x v="6"/>
    <x v="3"/>
    <x v="3"/>
    <x v="1"/>
    <x v="1"/>
    <n v="671531"/>
    <n v="0"/>
    <n v="671531"/>
    <n v="671531"/>
    <n v="0"/>
    <n v="0"/>
    <n v="0"/>
  </r>
  <r>
    <x v="6"/>
    <x v="7"/>
    <x v="7"/>
    <x v="5"/>
    <x v="5"/>
    <x v="0"/>
    <x v="0"/>
    <n v="0"/>
    <n v="0"/>
    <n v="0"/>
    <n v="0"/>
    <n v="0"/>
    <n v="0"/>
    <n v="0"/>
  </r>
  <r>
    <x v="6"/>
    <x v="7"/>
    <x v="7"/>
    <x v="5"/>
    <x v="5"/>
    <x v="1"/>
    <x v="1"/>
    <n v="991308"/>
    <n v="-216066"/>
    <n v="775242"/>
    <n v="775242"/>
    <n v="0"/>
    <n v="0"/>
    <n v="55552"/>
  </r>
  <r>
    <x v="6"/>
    <x v="8"/>
    <x v="8"/>
    <x v="5"/>
    <x v="5"/>
    <x v="0"/>
    <x v="0"/>
    <n v="0"/>
    <n v="0"/>
    <n v="0"/>
    <n v="0"/>
    <n v="0"/>
    <n v="0"/>
    <n v="0"/>
  </r>
  <r>
    <x v="6"/>
    <x v="8"/>
    <x v="8"/>
    <x v="5"/>
    <x v="5"/>
    <x v="1"/>
    <x v="1"/>
    <n v="359204"/>
    <n v="0"/>
    <n v="359204"/>
    <n v="359204"/>
    <n v="0"/>
    <n v="0"/>
    <n v="0"/>
  </r>
  <r>
    <x v="6"/>
    <x v="9"/>
    <x v="9"/>
    <x v="2"/>
    <x v="2"/>
    <x v="0"/>
    <x v="0"/>
    <n v="0"/>
    <n v="0"/>
    <n v="0"/>
    <n v="0"/>
    <n v="0"/>
    <n v="0"/>
    <n v="0"/>
  </r>
  <r>
    <x v="6"/>
    <x v="9"/>
    <x v="9"/>
    <x v="3"/>
    <x v="3"/>
    <x v="0"/>
    <x v="0"/>
    <n v="50505"/>
    <n v="-23774"/>
    <n v="26731"/>
    <n v="26731"/>
    <n v="0"/>
    <n v="0"/>
    <n v="0"/>
  </r>
  <r>
    <x v="6"/>
    <x v="9"/>
    <x v="9"/>
    <x v="2"/>
    <x v="2"/>
    <x v="1"/>
    <x v="1"/>
    <n v="0"/>
    <n v="0"/>
    <n v="0"/>
    <n v="0"/>
    <n v="0"/>
    <n v="0"/>
    <n v="0"/>
  </r>
  <r>
    <x v="6"/>
    <x v="9"/>
    <x v="9"/>
    <x v="3"/>
    <x v="3"/>
    <x v="1"/>
    <x v="1"/>
    <n v="1109940"/>
    <n v="-8699"/>
    <n v="1101241"/>
    <n v="1101241"/>
    <n v="0"/>
    <n v="37299"/>
    <n v="0"/>
  </r>
  <r>
    <x v="7"/>
    <x v="1"/>
    <x v="1"/>
    <x v="1"/>
    <x v="1"/>
    <x v="0"/>
    <x v="0"/>
    <n v="0"/>
    <n v="0"/>
    <n v="0"/>
    <n v="0"/>
    <n v="0"/>
    <n v="0"/>
    <n v="0"/>
  </r>
  <r>
    <x v="7"/>
    <x v="1"/>
    <x v="1"/>
    <x v="2"/>
    <x v="2"/>
    <x v="0"/>
    <x v="0"/>
    <n v="282651"/>
    <n v="0"/>
    <n v="282651"/>
    <n v="282651"/>
    <n v="0"/>
    <n v="0"/>
    <n v="0"/>
  </r>
  <r>
    <x v="7"/>
    <x v="1"/>
    <x v="1"/>
    <x v="3"/>
    <x v="3"/>
    <x v="0"/>
    <x v="0"/>
    <n v="-119623"/>
    <n v="0"/>
    <n v="-119623"/>
    <n v="-119623"/>
    <n v="0"/>
    <n v="0"/>
    <n v="0"/>
  </r>
  <r>
    <x v="7"/>
    <x v="1"/>
    <x v="1"/>
    <x v="1"/>
    <x v="1"/>
    <x v="1"/>
    <x v="1"/>
    <n v="619566"/>
    <n v="0"/>
    <n v="619566"/>
    <n v="619566"/>
    <n v="0"/>
    <n v="22298"/>
    <n v="0"/>
  </r>
  <r>
    <x v="7"/>
    <x v="1"/>
    <x v="1"/>
    <x v="2"/>
    <x v="2"/>
    <x v="1"/>
    <x v="1"/>
    <n v="1633700"/>
    <n v="0"/>
    <n v="1633700"/>
    <n v="1633700"/>
    <n v="0"/>
    <n v="0"/>
    <n v="404827"/>
  </r>
  <r>
    <x v="7"/>
    <x v="1"/>
    <x v="1"/>
    <x v="3"/>
    <x v="3"/>
    <x v="1"/>
    <x v="1"/>
    <n v="7383618"/>
    <n v="-20778"/>
    <n v="7362840"/>
    <n v="7362840"/>
    <n v="0"/>
    <n v="73700"/>
    <n v="1307359"/>
  </r>
  <r>
    <x v="7"/>
    <x v="2"/>
    <x v="2"/>
    <x v="1"/>
    <x v="1"/>
    <x v="0"/>
    <x v="0"/>
    <n v="0"/>
    <n v="0"/>
    <n v="0"/>
    <n v="0"/>
    <n v="0"/>
    <n v="0"/>
    <n v="0"/>
  </r>
  <r>
    <x v="7"/>
    <x v="2"/>
    <x v="2"/>
    <x v="2"/>
    <x v="2"/>
    <x v="0"/>
    <x v="0"/>
    <n v="16154"/>
    <n v="0"/>
    <n v="16154"/>
    <n v="16154"/>
    <n v="0"/>
    <n v="0"/>
    <n v="0"/>
  </r>
  <r>
    <x v="7"/>
    <x v="2"/>
    <x v="2"/>
    <x v="3"/>
    <x v="3"/>
    <x v="0"/>
    <x v="0"/>
    <n v="0"/>
    <n v="45072"/>
    <n v="45072"/>
    <n v="45072"/>
    <n v="0"/>
    <n v="0"/>
    <n v="0"/>
  </r>
  <r>
    <x v="7"/>
    <x v="2"/>
    <x v="2"/>
    <x v="1"/>
    <x v="1"/>
    <x v="1"/>
    <x v="1"/>
    <n v="353803"/>
    <n v="0"/>
    <n v="353803"/>
    <n v="353803"/>
    <n v="0"/>
    <n v="0"/>
    <n v="0"/>
  </r>
  <r>
    <x v="7"/>
    <x v="2"/>
    <x v="2"/>
    <x v="2"/>
    <x v="2"/>
    <x v="1"/>
    <x v="1"/>
    <n v="745402"/>
    <n v="-16154"/>
    <n v="729248"/>
    <n v="729248"/>
    <n v="0"/>
    <n v="0"/>
    <n v="168926"/>
  </r>
  <r>
    <x v="7"/>
    <x v="2"/>
    <x v="2"/>
    <x v="3"/>
    <x v="3"/>
    <x v="1"/>
    <x v="1"/>
    <n v="3574744"/>
    <n v="-29326"/>
    <n v="3545418"/>
    <n v="3545418"/>
    <n v="0"/>
    <n v="237661"/>
    <n v="432067"/>
  </r>
  <r>
    <x v="7"/>
    <x v="3"/>
    <x v="3"/>
    <x v="2"/>
    <x v="2"/>
    <x v="0"/>
    <x v="0"/>
    <n v="10388"/>
    <n v="0"/>
    <n v="10388"/>
    <n v="10388"/>
    <n v="0"/>
    <n v="0"/>
    <n v="0"/>
  </r>
  <r>
    <x v="7"/>
    <x v="3"/>
    <x v="3"/>
    <x v="3"/>
    <x v="3"/>
    <x v="0"/>
    <x v="0"/>
    <n v="86464"/>
    <n v="6729"/>
    <n v="93193"/>
    <n v="93193"/>
    <n v="0"/>
    <n v="0"/>
    <n v="0"/>
  </r>
  <r>
    <x v="7"/>
    <x v="3"/>
    <x v="3"/>
    <x v="2"/>
    <x v="2"/>
    <x v="1"/>
    <x v="1"/>
    <n v="1508857"/>
    <n v="0"/>
    <n v="1508857"/>
    <n v="1508857"/>
    <n v="0"/>
    <n v="0"/>
    <n v="349812"/>
  </r>
  <r>
    <x v="7"/>
    <x v="3"/>
    <x v="3"/>
    <x v="3"/>
    <x v="3"/>
    <x v="1"/>
    <x v="1"/>
    <n v="3374283"/>
    <n v="-207925"/>
    <n v="3166358"/>
    <n v="3166358"/>
    <n v="0"/>
    <n v="45028"/>
    <n v="382692"/>
  </r>
  <r>
    <x v="7"/>
    <x v="4"/>
    <x v="4"/>
    <x v="4"/>
    <x v="4"/>
    <x v="0"/>
    <x v="0"/>
    <n v="67235"/>
    <n v="-8768"/>
    <n v="58467"/>
    <n v="58467"/>
    <n v="0"/>
    <n v="0"/>
    <n v="0"/>
  </r>
  <r>
    <x v="7"/>
    <x v="4"/>
    <x v="4"/>
    <x v="4"/>
    <x v="4"/>
    <x v="1"/>
    <x v="1"/>
    <n v="2927934"/>
    <n v="-125482"/>
    <n v="2802452"/>
    <n v="2802452"/>
    <n v="0"/>
    <n v="208633"/>
    <n v="158671"/>
  </r>
  <r>
    <x v="7"/>
    <x v="5"/>
    <x v="5"/>
    <x v="3"/>
    <x v="3"/>
    <x v="0"/>
    <x v="0"/>
    <n v="0"/>
    <n v="0"/>
    <n v="0"/>
    <n v="0"/>
    <n v="0"/>
    <n v="0"/>
    <n v="0"/>
  </r>
  <r>
    <x v="7"/>
    <x v="5"/>
    <x v="5"/>
    <x v="3"/>
    <x v="3"/>
    <x v="1"/>
    <x v="1"/>
    <n v="1881228"/>
    <n v="0"/>
    <n v="1881228"/>
    <n v="1881228"/>
    <n v="0"/>
    <n v="133111"/>
    <n v="0"/>
  </r>
  <r>
    <x v="7"/>
    <x v="6"/>
    <x v="6"/>
    <x v="3"/>
    <x v="3"/>
    <x v="0"/>
    <x v="0"/>
    <n v="0"/>
    <n v="0"/>
    <n v="0"/>
    <n v="0"/>
    <n v="0"/>
    <n v="0"/>
    <n v="0"/>
  </r>
  <r>
    <x v="7"/>
    <x v="6"/>
    <x v="6"/>
    <x v="3"/>
    <x v="3"/>
    <x v="1"/>
    <x v="1"/>
    <n v="570726"/>
    <n v="0"/>
    <n v="570726"/>
    <n v="570726"/>
    <n v="0"/>
    <n v="0"/>
    <n v="0"/>
  </r>
  <r>
    <x v="7"/>
    <x v="7"/>
    <x v="7"/>
    <x v="5"/>
    <x v="5"/>
    <x v="0"/>
    <x v="0"/>
    <n v="216066"/>
    <n v="-216066"/>
    <n v="0"/>
    <n v="0"/>
    <n v="0"/>
    <n v="0"/>
    <n v="0"/>
  </r>
  <r>
    <x v="7"/>
    <x v="7"/>
    <x v="7"/>
    <x v="5"/>
    <x v="5"/>
    <x v="1"/>
    <x v="1"/>
    <n v="930807"/>
    <n v="-930807"/>
    <n v="0"/>
    <n v="0"/>
    <n v="0"/>
    <n v="0"/>
    <n v="0"/>
  </r>
  <r>
    <x v="7"/>
    <x v="8"/>
    <x v="8"/>
    <x v="5"/>
    <x v="5"/>
    <x v="0"/>
    <x v="0"/>
    <n v="0"/>
    <n v="0"/>
    <n v="0"/>
    <n v="0"/>
    <n v="0"/>
    <n v="0"/>
    <n v="0"/>
  </r>
  <r>
    <x v="7"/>
    <x v="8"/>
    <x v="8"/>
    <x v="5"/>
    <x v="5"/>
    <x v="1"/>
    <x v="1"/>
    <n v="522589"/>
    <n v="-522589"/>
    <n v="0"/>
    <n v="0"/>
    <n v="0"/>
    <n v="0"/>
    <n v="0"/>
  </r>
  <r>
    <x v="7"/>
    <x v="9"/>
    <x v="9"/>
    <x v="2"/>
    <x v="2"/>
    <x v="0"/>
    <x v="0"/>
    <n v="0"/>
    <n v="0"/>
    <n v="0"/>
    <n v="0"/>
    <n v="0"/>
    <n v="0"/>
    <n v="0"/>
  </r>
  <r>
    <x v="7"/>
    <x v="9"/>
    <x v="9"/>
    <x v="3"/>
    <x v="3"/>
    <x v="0"/>
    <x v="0"/>
    <n v="68542"/>
    <n v="4975"/>
    <n v="73517"/>
    <n v="73517"/>
    <n v="0"/>
    <n v="0"/>
    <n v="0"/>
  </r>
  <r>
    <x v="7"/>
    <x v="9"/>
    <x v="9"/>
    <x v="2"/>
    <x v="2"/>
    <x v="1"/>
    <x v="1"/>
    <n v="2592"/>
    <n v="0"/>
    <n v="2592"/>
    <n v="2592"/>
    <n v="0"/>
    <n v="0"/>
    <n v="0"/>
  </r>
  <r>
    <x v="7"/>
    <x v="9"/>
    <x v="9"/>
    <x v="3"/>
    <x v="3"/>
    <x v="1"/>
    <x v="1"/>
    <n v="968062"/>
    <n v="-12444"/>
    <n v="955618"/>
    <n v="955618"/>
    <n v="0"/>
    <n v="22180"/>
    <n v="0"/>
  </r>
  <r>
    <x v="8"/>
    <x v="1"/>
    <x v="1"/>
    <x v="1"/>
    <x v="1"/>
    <x v="0"/>
    <x v="0"/>
    <n v="43313"/>
    <n v="0"/>
    <n v="43313"/>
    <n v="43313"/>
    <n v="0"/>
    <n v="0"/>
    <n v="0"/>
  </r>
  <r>
    <x v="8"/>
    <x v="1"/>
    <x v="1"/>
    <x v="2"/>
    <x v="2"/>
    <x v="0"/>
    <x v="0"/>
    <n v="0"/>
    <n v="0"/>
    <n v="0"/>
    <n v="0"/>
    <n v="0"/>
    <n v="0"/>
    <n v="0"/>
  </r>
  <r>
    <x v="8"/>
    <x v="1"/>
    <x v="1"/>
    <x v="3"/>
    <x v="3"/>
    <x v="0"/>
    <x v="0"/>
    <n v="-24647"/>
    <n v="-2407"/>
    <n v="-27054"/>
    <n v="-27054"/>
    <n v="0"/>
    <n v="0"/>
    <n v="0"/>
  </r>
  <r>
    <x v="8"/>
    <x v="1"/>
    <x v="1"/>
    <x v="1"/>
    <x v="1"/>
    <x v="1"/>
    <x v="1"/>
    <n v="694925"/>
    <n v="0"/>
    <n v="694925"/>
    <n v="694925"/>
    <n v="0"/>
    <n v="0"/>
    <n v="0"/>
  </r>
  <r>
    <x v="8"/>
    <x v="1"/>
    <x v="1"/>
    <x v="2"/>
    <x v="2"/>
    <x v="1"/>
    <x v="1"/>
    <n v="1888880"/>
    <n v="-144925"/>
    <n v="1743955"/>
    <n v="1743955"/>
    <n v="0"/>
    <n v="0"/>
    <n v="375748"/>
  </r>
  <r>
    <x v="8"/>
    <x v="1"/>
    <x v="1"/>
    <x v="3"/>
    <x v="3"/>
    <x v="1"/>
    <x v="1"/>
    <n v="7409027"/>
    <n v="0"/>
    <n v="7409027"/>
    <n v="7409027"/>
    <n v="0"/>
    <n v="83972"/>
    <n v="1399143"/>
  </r>
  <r>
    <x v="8"/>
    <x v="2"/>
    <x v="2"/>
    <x v="1"/>
    <x v="1"/>
    <x v="0"/>
    <x v="0"/>
    <n v="0"/>
    <n v="0"/>
    <n v="0"/>
    <n v="0"/>
    <n v="0"/>
    <n v="0"/>
    <n v="0"/>
  </r>
  <r>
    <x v="8"/>
    <x v="2"/>
    <x v="2"/>
    <x v="2"/>
    <x v="2"/>
    <x v="0"/>
    <x v="0"/>
    <n v="0"/>
    <n v="0"/>
    <n v="0"/>
    <n v="0"/>
    <n v="0"/>
    <n v="0"/>
    <n v="0"/>
  </r>
  <r>
    <x v="8"/>
    <x v="2"/>
    <x v="2"/>
    <x v="3"/>
    <x v="3"/>
    <x v="0"/>
    <x v="0"/>
    <n v="232401"/>
    <n v="-134079"/>
    <n v="98322"/>
    <n v="98322"/>
    <n v="0"/>
    <n v="0"/>
    <n v="0"/>
  </r>
  <r>
    <x v="8"/>
    <x v="2"/>
    <x v="2"/>
    <x v="1"/>
    <x v="1"/>
    <x v="1"/>
    <x v="1"/>
    <n v="363715"/>
    <n v="0"/>
    <n v="363715"/>
    <n v="363715"/>
    <n v="0"/>
    <n v="0"/>
    <n v="0"/>
  </r>
  <r>
    <x v="8"/>
    <x v="2"/>
    <x v="2"/>
    <x v="2"/>
    <x v="2"/>
    <x v="1"/>
    <x v="1"/>
    <n v="746212"/>
    <n v="0"/>
    <n v="746212"/>
    <n v="746212"/>
    <n v="0"/>
    <n v="0"/>
    <n v="168386"/>
  </r>
  <r>
    <x v="8"/>
    <x v="2"/>
    <x v="2"/>
    <x v="3"/>
    <x v="3"/>
    <x v="1"/>
    <x v="1"/>
    <n v="4103895"/>
    <n v="-179186"/>
    <n v="3924709"/>
    <n v="3924709"/>
    <n v="0"/>
    <n v="29348"/>
    <n v="506157"/>
  </r>
  <r>
    <x v="8"/>
    <x v="3"/>
    <x v="3"/>
    <x v="2"/>
    <x v="2"/>
    <x v="0"/>
    <x v="0"/>
    <n v="-7854"/>
    <n v="0"/>
    <n v="-7854"/>
    <n v="-7854"/>
    <n v="0"/>
    <n v="0"/>
    <n v="0"/>
  </r>
  <r>
    <x v="8"/>
    <x v="3"/>
    <x v="3"/>
    <x v="3"/>
    <x v="3"/>
    <x v="0"/>
    <x v="0"/>
    <n v="84707"/>
    <n v="163925"/>
    <n v="248632"/>
    <n v="248632"/>
    <n v="0"/>
    <n v="0"/>
    <n v="0"/>
  </r>
  <r>
    <x v="8"/>
    <x v="3"/>
    <x v="3"/>
    <x v="2"/>
    <x v="2"/>
    <x v="1"/>
    <x v="1"/>
    <n v="2029970"/>
    <n v="-206411"/>
    <n v="1823559"/>
    <n v="1823559"/>
    <n v="0"/>
    <n v="0"/>
    <n v="424065"/>
  </r>
  <r>
    <x v="8"/>
    <x v="3"/>
    <x v="3"/>
    <x v="3"/>
    <x v="3"/>
    <x v="1"/>
    <x v="1"/>
    <n v="3003094"/>
    <n v="-14674"/>
    <n v="2988420"/>
    <n v="2988420"/>
    <n v="0"/>
    <n v="0"/>
    <n v="382703"/>
  </r>
  <r>
    <x v="8"/>
    <x v="4"/>
    <x v="4"/>
    <x v="4"/>
    <x v="4"/>
    <x v="0"/>
    <x v="0"/>
    <n v="238719"/>
    <n v="55593"/>
    <n v="294312"/>
    <n v="294312"/>
    <n v="0"/>
    <n v="0"/>
    <n v="0"/>
  </r>
  <r>
    <x v="8"/>
    <x v="4"/>
    <x v="4"/>
    <x v="4"/>
    <x v="4"/>
    <x v="1"/>
    <x v="1"/>
    <n v="3159951"/>
    <n v="-88919"/>
    <n v="3071032"/>
    <n v="3071032"/>
    <n v="0"/>
    <n v="55593"/>
    <n v="187859"/>
  </r>
  <r>
    <x v="8"/>
    <x v="5"/>
    <x v="5"/>
    <x v="3"/>
    <x v="3"/>
    <x v="0"/>
    <x v="0"/>
    <n v="270024"/>
    <n v="0"/>
    <n v="270024"/>
    <n v="270024"/>
    <n v="0"/>
    <n v="0"/>
    <n v="0"/>
  </r>
  <r>
    <x v="8"/>
    <x v="5"/>
    <x v="5"/>
    <x v="3"/>
    <x v="3"/>
    <x v="1"/>
    <x v="1"/>
    <n v="2221926"/>
    <n v="0"/>
    <n v="2221926"/>
    <n v="2221926"/>
    <n v="0"/>
    <n v="0"/>
    <n v="0"/>
  </r>
  <r>
    <x v="8"/>
    <x v="6"/>
    <x v="6"/>
    <x v="3"/>
    <x v="3"/>
    <x v="0"/>
    <x v="0"/>
    <n v="0"/>
    <n v="0"/>
    <n v="0"/>
    <n v="0"/>
    <n v="0"/>
    <n v="0"/>
    <n v="0"/>
  </r>
  <r>
    <x v="8"/>
    <x v="6"/>
    <x v="6"/>
    <x v="3"/>
    <x v="3"/>
    <x v="1"/>
    <x v="1"/>
    <n v="421867"/>
    <n v="0"/>
    <n v="421867"/>
    <n v="421867"/>
    <n v="0"/>
    <n v="0"/>
    <n v="0"/>
  </r>
  <r>
    <x v="8"/>
    <x v="7"/>
    <x v="7"/>
    <x v="5"/>
    <x v="5"/>
    <x v="0"/>
    <x v="0"/>
    <n v="930807"/>
    <n v="-930807"/>
    <n v="0"/>
    <n v="0"/>
    <n v="0"/>
    <n v="0"/>
    <n v="0"/>
  </r>
  <r>
    <x v="8"/>
    <x v="7"/>
    <x v="7"/>
    <x v="5"/>
    <x v="5"/>
    <x v="1"/>
    <x v="1"/>
    <n v="901284"/>
    <n v="-901284"/>
    <n v="0"/>
    <n v="0"/>
    <n v="0"/>
    <n v="0"/>
    <n v="0"/>
  </r>
  <r>
    <x v="8"/>
    <x v="8"/>
    <x v="8"/>
    <x v="5"/>
    <x v="5"/>
    <x v="0"/>
    <x v="0"/>
    <n v="537293"/>
    <n v="363991"/>
    <n v="901284"/>
    <n v="901284"/>
    <n v="0"/>
    <n v="0"/>
    <n v="0"/>
  </r>
  <r>
    <x v="8"/>
    <x v="8"/>
    <x v="8"/>
    <x v="5"/>
    <x v="5"/>
    <x v="1"/>
    <x v="1"/>
    <n v="739665"/>
    <n v="-1640949"/>
    <n v="-901284"/>
    <n v="-901284"/>
    <n v="0"/>
    <n v="0"/>
    <n v="0"/>
  </r>
  <r>
    <x v="8"/>
    <x v="9"/>
    <x v="9"/>
    <x v="2"/>
    <x v="2"/>
    <x v="0"/>
    <x v="0"/>
    <n v="0"/>
    <n v="0"/>
    <n v="0"/>
    <n v="0"/>
    <n v="0"/>
    <n v="0"/>
    <n v="0"/>
  </r>
  <r>
    <x v="8"/>
    <x v="9"/>
    <x v="9"/>
    <x v="3"/>
    <x v="3"/>
    <x v="0"/>
    <x v="0"/>
    <n v="10380"/>
    <n v="12444"/>
    <n v="22824"/>
    <n v="22824"/>
    <n v="0"/>
    <n v="0"/>
    <n v="0"/>
  </r>
  <r>
    <x v="8"/>
    <x v="9"/>
    <x v="9"/>
    <x v="2"/>
    <x v="2"/>
    <x v="1"/>
    <x v="1"/>
    <n v="10440"/>
    <n v="0"/>
    <n v="10440"/>
    <n v="10440"/>
    <n v="0"/>
    <n v="0"/>
    <n v="0"/>
  </r>
  <r>
    <x v="8"/>
    <x v="9"/>
    <x v="9"/>
    <x v="3"/>
    <x v="3"/>
    <x v="1"/>
    <x v="1"/>
    <n v="1213195"/>
    <n v="-6505"/>
    <n v="1206690"/>
    <n v="1206690"/>
    <n v="0"/>
    <n v="10411"/>
    <n v="0"/>
  </r>
  <r>
    <x v="9"/>
    <x v="1"/>
    <x v="1"/>
    <x v="1"/>
    <x v="1"/>
    <x v="0"/>
    <x v="0"/>
    <n v="14359"/>
    <n v="0"/>
    <n v="14359"/>
    <n v="14359"/>
    <n v="0"/>
    <n v="0"/>
    <n v="0"/>
  </r>
  <r>
    <x v="9"/>
    <x v="1"/>
    <x v="1"/>
    <x v="2"/>
    <x v="2"/>
    <x v="0"/>
    <x v="0"/>
    <n v="152047"/>
    <n v="-122475"/>
    <n v="29572"/>
    <n v="29572"/>
    <n v="0"/>
    <n v="0"/>
    <n v="0"/>
  </r>
  <r>
    <x v="9"/>
    <x v="1"/>
    <x v="1"/>
    <x v="3"/>
    <x v="3"/>
    <x v="0"/>
    <x v="0"/>
    <n v="154022"/>
    <n v="12775"/>
    <n v="166797"/>
    <n v="166797"/>
    <n v="0"/>
    <n v="0"/>
    <n v="0"/>
  </r>
  <r>
    <x v="9"/>
    <x v="1"/>
    <x v="1"/>
    <x v="1"/>
    <x v="1"/>
    <x v="1"/>
    <x v="1"/>
    <n v="716389"/>
    <n v="0"/>
    <n v="716389"/>
    <n v="716389"/>
    <n v="0"/>
    <n v="0"/>
    <n v="0"/>
  </r>
  <r>
    <x v="9"/>
    <x v="1"/>
    <x v="1"/>
    <x v="2"/>
    <x v="2"/>
    <x v="1"/>
    <x v="1"/>
    <n v="1545222"/>
    <n v="-112758"/>
    <n v="1432464"/>
    <n v="1432464"/>
    <n v="0"/>
    <n v="0"/>
    <n v="311062"/>
  </r>
  <r>
    <x v="9"/>
    <x v="1"/>
    <x v="1"/>
    <x v="3"/>
    <x v="3"/>
    <x v="1"/>
    <x v="1"/>
    <n v="6966301"/>
    <n v="-14209"/>
    <n v="6952092"/>
    <n v="6952092"/>
    <n v="0"/>
    <n v="62413"/>
    <n v="1238192"/>
  </r>
  <r>
    <x v="9"/>
    <x v="2"/>
    <x v="2"/>
    <x v="1"/>
    <x v="1"/>
    <x v="0"/>
    <x v="0"/>
    <n v="0"/>
    <n v="0"/>
    <n v="0"/>
    <n v="0"/>
    <n v="0"/>
    <n v="0"/>
    <n v="0"/>
  </r>
  <r>
    <x v="9"/>
    <x v="2"/>
    <x v="2"/>
    <x v="2"/>
    <x v="2"/>
    <x v="0"/>
    <x v="0"/>
    <n v="0"/>
    <n v="0"/>
    <n v="0"/>
    <n v="0"/>
    <n v="0"/>
    <n v="0"/>
    <n v="0"/>
  </r>
  <r>
    <x v="9"/>
    <x v="2"/>
    <x v="2"/>
    <x v="3"/>
    <x v="3"/>
    <x v="0"/>
    <x v="0"/>
    <n v="121002"/>
    <n v="-53744"/>
    <n v="67258"/>
    <n v="67258"/>
    <n v="0"/>
    <n v="0"/>
    <n v="0"/>
  </r>
  <r>
    <x v="9"/>
    <x v="2"/>
    <x v="2"/>
    <x v="1"/>
    <x v="1"/>
    <x v="1"/>
    <x v="1"/>
    <n v="383360"/>
    <n v="0"/>
    <n v="383360"/>
    <n v="383360"/>
    <n v="0"/>
    <n v="0"/>
    <n v="0"/>
  </r>
  <r>
    <x v="9"/>
    <x v="2"/>
    <x v="2"/>
    <x v="2"/>
    <x v="2"/>
    <x v="1"/>
    <x v="1"/>
    <n v="822858"/>
    <n v="-126266"/>
    <n v="696592"/>
    <n v="696592"/>
    <n v="0"/>
    <n v="0"/>
    <n v="157860"/>
  </r>
  <r>
    <x v="9"/>
    <x v="2"/>
    <x v="2"/>
    <x v="3"/>
    <x v="3"/>
    <x v="1"/>
    <x v="1"/>
    <n v="4203706"/>
    <n v="-63901"/>
    <n v="4139805"/>
    <n v="4139805"/>
    <n v="0"/>
    <n v="23193"/>
    <n v="489137"/>
  </r>
  <r>
    <x v="9"/>
    <x v="3"/>
    <x v="3"/>
    <x v="2"/>
    <x v="2"/>
    <x v="0"/>
    <x v="0"/>
    <n v="169640"/>
    <n v="0"/>
    <n v="169640"/>
    <n v="169640"/>
    <n v="0"/>
    <n v="0"/>
    <n v="0"/>
  </r>
  <r>
    <x v="9"/>
    <x v="3"/>
    <x v="3"/>
    <x v="3"/>
    <x v="3"/>
    <x v="0"/>
    <x v="0"/>
    <n v="30630"/>
    <n v="31856"/>
    <n v="62486"/>
    <n v="62486"/>
    <n v="0"/>
    <n v="0"/>
    <n v="0"/>
  </r>
  <r>
    <x v="9"/>
    <x v="3"/>
    <x v="3"/>
    <x v="2"/>
    <x v="2"/>
    <x v="1"/>
    <x v="1"/>
    <n v="2182981"/>
    <n v="0"/>
    <n v="2182981"/>
    <n v="2182981"/>
    <n v="0"/>
    <n v="0"/>
    <n v="541700"/>
  </r>
  <r>
    <x v="9"/>
    <x v="3"/>
    <x v="3"/>
    <x v="3"/>
    <x v="3"/>
    <x v="1"/>
    <x v="1"/>
    <n v="3021191"/>
    <n v="-34078"/>
    <n v="2987113"/>
    <n v="2987113"/>
    <n v="0"/>
    <n v="67758"/>
    <n v="345767"/>
  </r>
  <r>
    <x v="9"/>
    <x v="4"/>
    <x v="4"/>
    <x v="4"/>
    <x v="4"/>
    <x v="0"/>
    <x v="0"/>
    <n v="270883"/>
    <n v="8224"/>
    <n v="279107"/>
    <n v="279107"/>
    <n v="0"/>
    <n v="0"/>
    <n v="0"/>
  </r>
  <r>
    <x v="9"/>
    <x v="4"/>
    <x v="4"/>
    <x v="4"/>
    <x v="4"/>
    <x v="1"/>
    <x v="1"/>
    <n v="3136628"/>
    <n v="0"/>
    <n v="3136628"/>
    <n v="3136628"/>
    <n v="0"/>
    <n v="0"/>
    <n v="187729"/>
  </r>
  <r>
    <x v="9"/>
    <x v="5"/>
    <x v="5"/>
    <x v="3"/>
    <x v="3"/>
    <x v="0"/>
    <x v="0"/>
    <n v="0"/>
    <n v="0"/>
    <n v="0"/>
    <n v="0"/>
    <n v="0"/>
    <n v="0"/>
    <n v="0"/>
  </r>
  <r>
    <x v="9"/>
    <x v="5"/>
    <x v="5"/>
    <x v="3"/>
    <x v="3"/>
    <x v="1"/>
    <x v="1"/>
    <n v="2170929"/>
    <n v="0"/>
    <n v="2170929"/>
    <n v="2170929"/>
    <n v="0"/>
    <n v="0"/>
    <n v="0"/>
  </r>
  <r>
    <x v="9"/>
    <x v="7"/>
    <x v="7"/>
    <x v="5"/>
    <x v="5"/>
    <x v="0"/>
    <x v="0"/>
    <n v="1865721"/>
    <n v="-205502"/>
    <n v="1660219"/>
    <n v="1660219"/>
    <n v="0"/>
    <n v="0"/>
    <n v="0"/>
  </r>
  <r>
    <x v="9"/>
    <x v="7"/>
    <x v="7"/>
    <x v="5"/>
    <x v="5"/>
    <x v="1"/>
    <x v="1"/>
    <n v="978154"/>
    <n v="0"/>
    <n v="978154"/>
    <n v="978154"/>
    <n v="0"/>
    <n v="0"/>
    <n v="431509"/>
  </r>
  <r>
    <x v="9"/>
    <x v="8"/>
    <x v="8"/>
    <x v="5"/>
    <x v="5"/>
    <x v="0"/>
    <x v="0"/>
    <n v="1304016"/>
    <n v="0"/>
    <n v="1304016"/>
    <n v="1304016"/>
    <n v="0"/>
    <n v="0"/>
    <n v="0"/>
  </r>
  <r>
    <x v="9"/>
    <x v="8"/>
    <x v="8"/>
    <x v="5"/>
    <x v="5"/>
    <x v="1"/>
    <x v="1"/>
    <n v="943056"/>
    <n v="0"/>
    <n v="943056"/>
    <n v="943056"/>
    <n v="0"/>
    <n v="0"/>
    <n v="0"/>
  </r>
  <r>
    <x v="9"/>
    <x v="10"/>
    <x v="10"/>
    <x v="5"/>
    <x v="5"/>
    <x v="0"/>
    <x v="0"/>
    <n v="0"/>
    <n v="0"/>
    <n v="0"/>
    <n v="0"/>
    <n v="0"/>
    <n v="0"/>
    <n v="0"/>
  </r>
  <r>
    <x v="9"/>
    <x v="10"/>
    <x v="10"/>
    <x v="5"/>
    <x v="5"/>
    <x v="1"/>
    <x v="1"/>
    <n v="1647056"/>
    <n v="0"/>
    <n v="1647056"/>
    <n v="1647056"/>
    <n v="0"/>
    <n v="0"/>
    <n v="0"/>
  </r>
  <r>
    <x v="9"/>
    <x v="9"/>
    <x v="9"/>
    <x v="2"/>
    <x v="2"/>
    <x v="0"/>
    <x v="0"/>
    <n v="0"/>
    <n v="0"/>
    <n v="0"/>
    <n v="0"/>
    <n v="0"/>
    <n v="0"/>
    <n v="0"/>
  </r>
  <r>
    <x v="9"/>
    <x v="9"/>
    <x v="9"/>
    <x v="3"/>
    <x v="3"/>
    <x v="0"/>
    <x v="0"/>
    <n v="18285"/>
    <n v="6505"/>
    <n v="24790"/>
    <n v="24790"/>
    <n v="0"/>
    <n v="0"/>
    <n v="0"/>
  </r>
  <r>
    <x v="9"/>
    <x v="9"/>
    <x v="9"/>
    <x v="2"/>
    <x v="2"/>
    <x v="1"/>
    <x v="1"/>
    <n v="7122"/>
    <n v="0"/>
    <n v="7122"/>
    <n v="7122"/>
    <n v="0"/>
    <n v="0"/>
    <n v="0"/>
  </r>
  <r>
    <x v="9"/>
    <x v="9"/>
    <x v="9"/>
    <x v="3"/>
    <x v="3"/>
    <x v="1"/>
    <x v="1"/>
    <n v="1060232"/>
    <n v="-9169"/>
    <n v="1051063"/>
    <n v="1051063"/>
    <n v="0"/>
    <n v="2600"/>
    <n v="0"/>
  </r>
  <r>
    <x v="10"/>
    <x v="1"/>
    <x v="1"/>
    <x v="1"/>
    <x v="1"/>
    <x v="0"/>
    <x v="0"/>
    <n v="0"/>
    <n v="0"/>
    <n v="0"/>
    <n v="0"/>
    <n v="0"/>
    <n v="0"/>
    <n v="0"/>
  </r>
  <r>
    <x v="10"/>
    <x v="1"/>
    <x v="1"/>
    <x v="2"/>
    <x v="2"/>
    <x v="0"/>
    <x v="0"/>
    <n v="246174"/>
    <n v="0"/>
    <n v="246174"/>
    <n v="246174"/>
    <n v="0"/>
    <n v="0"/>
    <n v="0"/>
  </r>
  <r>
    <x v="10"/>
    <x v="1"/>
    <x v="1"/>
    <x v="3"/>
    <x v="3"/>
    <x v="0"/>
    <x v="0"/>
    <n v="90821"/>
    <n v="24619"/>
    <n v="115440"/>
    <n v="115440"/>
    <n v="0"/>
    <n v="0"/>
    <n v="0"/>
  </r>
  <r>
    <x v="10"/>
    <x v="1"/>
    <x v="1"/>
    <x v="1"/>
    <x v="1"/>
    <x v="1"/>
    <x v="1"/>
    <n v="677356"/>
    <n v="0"/>
    <n v="677356"/>
    <n v="677356"/>
    <n v="0"/>
    <n v="0"/>
    <n v="0"/>
  </r>
  <r>
    <x v="10"/>
    <x v="1"/>
    <x v="1"/>
    <x v="2"/>
    <x v="2"/>
    <x v="1"/>
    <x v="1"/>
    <n v="1653112"/>
    <n v="0"/>
    <n v="1653112"/>
    <n v="1653112"/>
    <n v="0"/>
    <n v="0"/>
    <n v="410348"/>
  </r>
  <r>
    <x v="10"/>
    <x v="1"/>
    <x v="1"/>
    <x v="3"/>
    <x v="3"/>
    <x v="1"/>
    <x v="1"/>
    <n v="7445997"/>
    <n v="0"/>
    <n v="7445997"/>
    <n v="7445997"/>
    <n v="0"/>
    <n v="98567"/>
    <n v="1322317"/>
  </r>
  <r>
    <x v="10"/>
    <x v="2"/>
    <x v="2"/>
    <x v="1"/>
    <x v="1"/>
    <x v="0"/>
    <x v="0"/>
    <n v="9072"/>
    <n v="0"/>
    <n v="9072"/>
    <n v="9072"/>
    <n v="0"/>
    <n v="0"/>
    <n v="0"/>
  </r>
  <r>
    <x v="10"/>
    <x v="2"/>
    <x v="2"/>
    <x v="2"/>
    <x v="2"/>
    <x v="0"/>
    <x v="0"/>
    <n v="123479"/>
    <n v="-51876"/>
    <n v="71603"/>
    <n v="71603"/>
    <n v="0"/>
    <n v="0"/>
    <n v="0"/>
  </r>
  <r>
    <x v="10"/>
    <x v="2"/>
    <x v="2"/>
    <x v="3"/>
    <x v="3"/>
    <x v="0"/>
    <x v="0"/>
    <n v="83693"/>
    <n v="-377962"/>
    <n v="-294269"/>
    <n v="-294269"/>
    <n v="0"/>
    <n v="0"/>
    <n v="0"/>
  </r>
  <r>
    <x v="10"/>
    <x v="2"/>
    <x v="2"/>
    <x v="1"/>
    <x v="1"/>
    <x v="1"/>
    <x v="1"/>
    <n v="440665"/>
    <n v="0"/>
    <n v="440665"/>
    <n v="440665"/>
    <n v="0"/>
    <n v="0"/>
    <n v="0"/>
  </r>
  <r>
    <x v="10"/>
    <x v="2"/>
    <x v="2"/>
    <x v="2"/>
    <x v="2"/>
    <x v="1"/>
    <x v="1"/>
    <n v="930164"/>
    <n v="-131079"/>
    <n v="799085"/>
    <n v="799085"/>
    <n v="0"/>
    <n v="0"/>
    <n v="204311"/>
  </r>
  <r>
    <x v="10"/>
    <x v="2"/>
    <x v="2"/>
    <x v="3"/>
    <x v="3"/>
    <x v="1"/>
    <x v="1"/>
    <n v="4096138"/>
    <n v="-3392"/>
    <n v="4092746"/>
    <n v="4092746"/>
    <n v="0"/>
    <n v="0"/>
    <n v="459731"/>
  </r>
  <r>
    <x v="10"/>
    <x v="3"/>
    <x v="3"/>
    <x v="2"/>
    <x v="2"/>
    <x v="0"/>
    <x v="0"/>
    <n v="0"/>
    <n v="0"/>
    <n v="0"/>
    <n v="0"/>
    <n v="0"/>
    <n v="0"/>
    <n v="0"/>
  </r>
  <r>
    <x v="10"/>
    <x v="3"/>
    <x v="3"/>
    <x v="3"/>
    <x v="3"/>
    <x v="0"/>
    <x v="0"/>
    <n v="107758"/>
    <n v="-43304"/>
    <n v="64454"/>
    <n v="64454"/>
    <n v="0"/>
    <n v="0"/>
    <n v="0"/>
  </r>
  <r>
    <x v="10"/>
    <x v="3"/>
    <x v="3"/>
    <x v="2"/>
    <x v="2"/>
    <x v="1"/>
    <x v="1"/>
    <n v="2123008"/>
    <n v="0"/>
    <n v="2123008"/>
    <n v="2123008"/>
    <n v="0"/>
    <n v="0"/>
    <n v="490767"/>
  </r>
  <r>
    <x v="10"/>
    <x v="3"/>
    <x v="3"/>
    <x v="3"/>
    <x v="3"/>
    <x v="1"/>
    <x v="1"/>
    <n v="3447166"/>
    <n v="-43746"/>
    <n v="3403420"/>
    <n v="3403420"/>
    <n v="0"/>
    <n v="6210"/>
    <n v="394909"/>
  </r>
  <r>
    <x v="10"/>
    <x v="4"/>
    <x v="4"/>
    <x v="4"/>
    <x v="4"/>
    <x v="0"/>
    <x v="0"/>
    <n v="34746"/>
    <n v="0"/>
    <n v="34746"/>
    <n v="34746"/>
    <n v="0"/>
    <n v="0"/>
    <n v="0"/>
  </r>
  <r>
    <x v="10"/>
    <x v="4"/>
    <x v="4"/>
    <x v="4"/>
    <x v="4"/>
    <x v="1"/>
    <x v="1"/>
    <n v="3426262"/>
    <n v="-37369"/>
    <n v="3388893"/>
    <n v="3388893"/>
    <n v="0"/>
    <n v="0"/>
    <n v="190666"/>
  </r>
  <r>
    <x v="10"/>
    <x v="5"/>
    <x v="5"/>
    <x v="3"/>
    <x v="3"/>
    <x v="0"/>
    <x v="0"/>
    <n v="0"/>
    <n v="0"/>
    <n v="0"/>
    <n v="0"/>
    <n v="0"/>
    <n v="0"/>
    <n v="0"/>
  </r>
  <r>
    <x v="10"/>
    <x v="5"/>
    <x v="5"/>
    <x v="3"/>
    <x v="3"/>
    <x v="1"/>
    <x v="1"/>
    <n v="2304959"/>
    <n v="0"/>
    <n v="2304959"/>
    <n v="2304959"/>
    <n v="0"/>
    <n v="0"/>
    <n v="0"/>
  </r>
  <r>
    <x v="10"/>
    <x v="7"/>
    <x v="7"/>
    <x v="5"/>
    <x v="5"/>
    <x v="0"/>
    <x v="0"/>
    <n v="205502"/>
    <n v="0"/>
    <n v="205502"/>
    <n v="205502"/>
    <n v="0"/>
    <n v="0"/>
    <n v="0"/>
  </r>
  <r>
    <x v="10"/>
    <x v="7"/>
    <x v="7"/>
    <x v="5"/>
    <x v="5"/>
    <x v="1"/>
    <x v="1"/>
    <n v="1019564"/>
    <n v="0"/>
    <n v="1019564"/>
    <n v="1019564"/>
    <n v="0"/>
    <n v="0"/>
    <n v="256019"/>
  </r>
  <r>
    <x v="10"/>
    <x v="8"/>
    <x v="8"/>
    <x v="5"/>
    <x v="5"/>
    <x v="0"/>
    <x v="0"/>
    <n v="0"/>
    <n v="0"/>
    <n v="0"/>
    <n v="0"/>
    <n v="0"/>
    <n v="0"/>
    <n v="0"/>
  </r>
  <r>
    <x v="10"/>
    <x v="8"/>
    <x v="8"/>
    <x v="5"/>
    <x v="5"/>
    <x v="1"/>
    <x v="1"/>
    <n v="983492"/>
    <n v="0"/>
    <n v="983492"/>
    <n v="983492"/>
    <n v="0"/>
    <n v="0"/>
    <n v="0"/>
  </r>
  <r>
    <x v="10"/>
    <x v="10"/>
    <x v="10"/>
    <x v="5"/>
    <x v="5"/>
    <x v="0"/>
    <x v="0"/>
    <n v="0"/>
    <n v="0"/>
    <n v="0"/>
    <n v="0"/>
    <n v="0"/>
    <n v="0"/>
    <n v="0"/>
  </r>
  <r>
    <x v="10"/>
    <x v="10"/>
    <x v="10"/>
    <x v="5"/>
    <x v="5"/>
    <x v="1"/>
    <x v="1"/>
    <n v="1874549"/>
    <n v="-217608"/>
    <n v="1656941"/>
    <n v="1656941"/>
    <n v="0"/>
    <n v="0"/>
    <n v="0"/>
  </r>
  <r>
    <x v="10"/>
    <x v="9"/>
    <x v="9"/>
    <x v="2"/>
    <x v="2"/>
    <x v="0"/>
    <x v="0"/>
    <n v="0"/>
    <n v="0"/>
    <n v="0"/>
    <n v="0"/>
    <n v="0"/>
    <n v="0"/>
    <n v="0"/>
  </r>
  <r>
    <x v="10"/>
    <x v="9"/>
    <x v="9"/>
    <x v="3"/>
    <x v="3"/>
    <x v="0"/>
    <x v="0"/>
    <n v="2600"/>
    <n v="9169"/>
    <n v="11769"/>
    <n v="11769"/>
    <n v="0"/>
    <n v="0"/>
    <n v="0"/>
  </r>
  <r>
    <x v="10"/>
    <x v="9"/>
    <x v="9"/>
    <x v="2"/>
    <x v="2"/>
    <x v="1"/>
    <x v="1"/>
    <n v="5184"/>
    <n v="0"/>
    <n v="5184"/>
    <n v="5184"/>
    <n v="0"/>
    <n v="0"/>
    <n v="0"/>
  </r>
  <r>
    <x v="10"/>
    <x v="9"/>
    <x v="9"/>
    <x v="3"/>
    <x v="3"/>
    <x v="1"/>
    <x v="1"/>
    <n v="1136231"/>
    <n v="-39418"/>
    <n v="1096813"/>
    <n v="1096813"/>
    <n v="0"/>
    <n v="0"/>
    <n v="0"/>
  </r>
  <r>
    <x v="11"/>
    <x v="1"/>
    <x v="1"/>
    <x v="1"/>
    <x v="1"/>
    <x v="0"/>
    <x v="0"/>
    <n v="14359"/>
    <n v="0"/>
    <n v="14359"/>
    <n v="14359"/>
    <n v="0"/>
    <n v="0"/>
    <n v="0"/>
  </r>
  <r>
    <x v="11"/>
    <x v="1"/>
    <x v="1"/>
    <x v="2"/>
    <x v="2"/>
    <x v="0"/>
    <x v="0"/>
    <n v="0"/>
    <n v="120466"/>
    <n v="120466"/>
    <n v="120466"/>
    <n v="0"/>
    <n v="0"/>
    <n v="0"/>
  </r>
  <r>
    <x v="11"/>
    <x v="1"/>
    <x v="1"/>
    <x v="3"/>
    <x v="3"/>
    <x v="0"/>
    <x v="0"/>
    <n v="22170"/>
    <n v="-34240"/>
    <n v="-12070"/>
    <n v="-12070"/>
    <n v="0"/>
    <n v="0"/>
    <n v="0"/>
  </r>
  <r>
    <x v="11"/>
    <x v="1"/>
    <x v="1"/>
    <x v="1"/>
    <x v="1"/>
    <x v="1"/>
    <x v="1"/>
    <n v="671675"/>
    <n v="0"/>
    <n v="671675"/>
    <n v="671675"/>
    <n v="0"/>
    <n v="0"/>
    <n v="0"/>
  </r>
  <r>
    <x v="11"/>
    <x v="1"/>
    <x v="1"/>
    <x v="2"/>
    <x v="2"/>
    <x v="1"/>
    <x v="1"/>
    <n v="1507926"/>
    <n v="-120466"/>
    <n v="1387460"/>
    <n v="1387460"/>
    <n v="0"/>
    <n v="0"/>
    <n v="324818"/>
  </r>
  <r>
    <x v="11"/>
    <x v="1"/>
    <x v="1"/>
    <x v="3"/>
    <x v="3"/>
    <x v="1"/>
    <x v="1"/>
    <n v="7594429"/>
    <n v="0"/>
    <n v="7594429"/>
    <n v="7594429"/>
    <n v="0"/>
    <n v="100152"/>
    <n v="1351019"/>
  </r>
  <r>
    <x v="11"/>
    <x v="2"/>
    <x v="2"/>
    <x v="1"/>
    <x v="1"/>
    <x v="0"/>
    <x v="0"/>
    <n v="0"/>
    <n v="0"/>
    <n v="0"/>
    <n v="0"/>
    <n v="0"/>
    <n v="0"/>
    <n v="0"/>
  </r>
  <r>
    <x v="11"/>
    <x v="2"/>
    <x v="2"/>
    <x v="2"/>
    <x v="2"/>
    <x v="0"/>
    <x v="0"/>
    <n v="204441"/>
    <n v="0"/>
    <n v="204441"/>
    <n v="204441"/>
    <n v="0"/>
    <n v="0"/>
    <n v="0"/>
  </r>
  <r>
    <x v="11"/>
    <x v="2"/>
    <x v="2"/>
    <x v="3"/>
    <x v="3"/>
    <x v="0"/>
    <x v="0"/>
    <n v="0"/>
    <n v="3392"/>
    <n v="3392"/>
    <n v="3392"/>
    <n v="0"/>
    <n v="0"/>
    <n v="0"/>
  </r>
  <r>
    <x v="11"/>
    <x v="2"/>
    <x v="2"/>
    <x v="1"/>
    <x v="1"/>
    <x v="1"/>
    <x v="1"/>
    <n v="474864"/>
    <n v="0"/>
    <n v="474864"/>
    <n v="474864"/>
    <n v="0"/>
    <n v="0"/>
    <n v="0"/>
  </r>
  <r>
    <x v="11"/>
    <x v="2"/>
    <x v="2"/>
    <x v="2"/>
    <x v="2"/>
    <x v="1"/>
    <x v="1"/>
    <n v="725401"/>
    <n v="-20733"/>
    <n v="704668"/>
    <n v="704668"/>
    <n v="0"/>
    <n v="0"/>
    <n v="198848"/>
  </r>
  <r>
    <x v="11"/>
    <x v="2"/>
    <x v="2"/>
    <x v="3"/>
    <x v="3"/>
    <x v="1"/>
    <x v="1"/>
    <n v="3936467"/>
    <n v="-59131"/>
    <n v="3877336"/>
    <n v="3877336"/>
    <n v="0"/>
    <n v="0"/>
    <n v="436057"/>
  </r>
  <r>
    <x v="11"/>
    <x v="3"/>
    <x v="3"/>
    <x v="2"/>
    <x v="2"/>
    <x v="0"/>
    <x v="0"/>
    <n v="0"/>
    <n v="0"/>
    <n v="0"/>
    <n v="0"/>
    <n v="0"/>
    <n v="0"/>
    <n v="0"/>
  </r>
  <r>
    <x v="11"/>
    <x v="3"/>
    <x v="3"/>
    <x v="3"/>
    <x v="3"/>
    <x v="0"/>
    <x v="0"/>
    <n v="6210"/>
    <n v="52597"/>
    <n v="58807"/>
    <n v="58807"/>
    <n v="0"/>
    <n v="0"/>
    <n v="0"/>
  </r>
  <r>
    <x v="11"/>
    <x v="3"/>
    <x v="3"/>
    <x v="2"/>
    <x v="2"/>
    <x v="1"/>
    <x v="1"/>
    <n v="2017857"/>
    <n v="0"/>
    <n v="2017857"/>
    <n v="2017857"/>
    <n v="0"/>
    <n v="0"/>
    <n v="466306"/>
  </r>
  <r>
    <x v="11"/>
    <x v="3"/>
    <x v="3"/>
    <x v="3"/>
    <x v="3"/>
    <x v="1"/>
    <x v="1"/>
    <n v="3601142"/>
    <n v="-124522"/>
    <n v="3476620"/>
    <n v="3476620"/>
    <n v="0"/>
    <n v="0"/>
    <n v="392966"/>
  </r>
  <r>
    <x v="11"/>
    <x v="4"/>
    <x v="4"/>
    <x v="4"/>
    <x v="4"/>
    <x v="0"/>
    <x v="0"/>
    <n v="0"/>
    <n v="0"/>
    <n v="0"/>
    <n v="0"/>
    <n v="0"/>
    <n v="0"/>
    <n v="0"/>
  </r>
  <r>
    <x v="11"/>
    <x v="4"/>
    <x v="4"/>
    <x v="4"/>
    <x v="4"/>
    <x v="1"/>
    <x v="1"/>
    <n v="3078216"/>
    <n v="-73912"/>
    <n v="3004304"/>
    <n v="3004304"/>
    <n v="0"/>
    <n v="0"/>
    <n v="167502"/>
  </r>
  <r>
    <x v="11"/>
    <x v="5"/>
    <x v="5"/>
    <x v="3"/>
    <x v="3"/>
    <x v="0"/>
    <x v="0"/>
    <n v="0"/>
    <n v="0"/>
    <n v="0"/>
    <n v="0"/>
    <n v="0"/>
    <n v="0"/>
    <n v="0"/>
  </r>
  <r>
    <x v="11"/>
    <x v="5"/>
    <x v="5"/>
    <x v="3"/>
    <x v="3"/>
    <x v="1"/>
    <x v="1"/>
    <n v="2326894"/>
    <n v="0"/>
    <n v="2326894"/>
    <n v="2326894"/>
    <n v="0"/>
    <n v="0"/>
    <n v="0"/>
  </r>
  <r>
    <x v="11"/>
    <x v="7"/>
    <x v="7"/>
    <x v="5"/>
    <x v="5"/>
    <x v="0"/>
    <x v="0"/>
    <n v="0"/>
    <n v="0"/>
    <n v="0"/>
    <n v="0"/>
    <n v="0"/>
    <n v="0"/>
    <n v="0"/>
  </r>
  <r>
    <x v="11"/>
    <x v="7"/>
    <x v="7"/>
    <x v="5"/>
    <x v="5"/>
    <x v="1"/>
    <x v="1"/>
    <n v="998363"/>
    <n v="0"/>
    <n v="998363"/>
    <n v="998363"/>
    <n v="0"/>
    <n v="0"/>
    <n v="251984"/>
  </r>
  <r>
    <x v="11"/>
    <x v="8"/>
    <x v="8"/>
    <x v="5"/>
    <x v="5"/>
    <x v="0"/>
    <x v="0"/>
    <n v="0"/>
    <n v="0"/>
    <n v="0"/>
    <n v="0"/>
    <n v="0"/>
    <n v="0"/>
    <n v="0"/>
  </r>
  <r>
    <x v="11"/>
    <x v="8"/>
    <x v="8"/>
    <x v="5"/>
    <x v="5"/>
    <x v="1"/>
    <x v="1"/>
    <n v="983492"/>
    <n v="0"/>
    <n v="983492"/>
    <n v="983492"/>
    <n v="0"/>
    <n v="0"/>
    <n v="0"/>
  </r>
  <r>
    <x v="11"/>
    <x v="10"/>
    <x v="10"/>
    <x v="5"/>
    <x v="5"/>
    <x v="0"/>
    <x v="0"/>
    <n v="20236"/>
    <n v="-20236"/>
    <n v="0"/>
    <n v="0"/>
    <n v="0"/>
    <n v="0"/>
    <n v="0"/>
  </r>
  <r>
    <x v="11"/>
    <x v="10"/>
    <x v="10"/>
    <x v="5"/>
    <x v="5"/>
    <x v="1"/>
    <x v="1"/>
    <n v="2107435"/>
    <n v="-282238"/>
    <n v="1825197"/>
    <n v="1825197"/>
    <n v="0"/>
    <n v="0"/>
    <n v="0"/>
  </r>
  <r>
    <x v="11"/>
    <x v="9"/>
    <x v="9"/>
    <x v="2"/>
    <x v="2"/>
    <x v="0"/>
    <x v="0"/>
    <n v="0"/>
    <n v="0"/>
    <n v="0"/>
    <n v="0"/>
    <n v="0"/>
    <n v="0"/>
    <n v="0"/>
  </r>
  <r>
    <x v="11"/>
    <x v="9"/>
    <x v="9"/>
    <x v="3"/>
    <x v="3"/>
    <x v="0"/>
    <x v="0"/>
    <n v="40723"/>
    <n v="0"/>
    <n v="40723"/>
    <n v="40723"/>
    <n v="0"/>
    <n v="0"/>
    <n v="0"/>
  </r>
  <r>
    <x v="11"/>
    <x v="9"/>
    <x v="9"/>
    <x v="2"/>
    <x v="2"/>
    <x v="1"/>
    <x v="1"/>
    <n v="2592"/>
    <n v="0"/>
    <n v="2592"/>
    <n v="2592"/>
    <n v="0"/>
    <n v="0"/>
    <n v="0"/>
  </r>
  <r>
    <x v="11"/>
    <x v="9"/>
    <x v="9"/>
    <x v="3"/>
    <x v="3"/>
    <x v="1"/>
    <x v="1"/>
    <n v="1269664"/>
    <n v="-6559"/>
    <n v="1263105"/>
    <n v="1263105"/>
    <n v="0"/>
    <n v="9159"/>
    <n v="0"/>
  </r>
  <r>
    <x v="12"/>
    <x v="1"/>
    <x v="1"/>
    <x v="1"/>
    <x v="1"/>
    <x v="0"/>
    <x v="0"/>
    <n v="0"/>
    <n v="0"/>
    <n v="0"/>
    <n v="0"/>
    <n v="0"/>
    <n v="0"/>
    <n v="0"/>
  </r>
  <r>
    <x v="12"/>
    <x v="1"/>
    <x v="1"/>
    <x v="2"/>
    <x v="2"/>
    <x v="0"/>
    <x v="0"/>
    <n v="112147"/>
    <n v="-112147"/>
    <n v="0"/>
    <n v="0"/>
    <n v="0"/>
    <n v="0"/>
    <n v="0"/>
  </r>
  <r>
    <x v="12"/>
    <x v="1"/>
    <x v="1"/>
    <x v="3"/>
    <x v="3"/>
    <x v="0"/>
    <x v="0"/>
    <n v="134392"/>
    <n v="-28408"/>
    <n v="105984"/>
    <n v="105984"/>
    <n v="0"/>
    <n v="0"/>
    <n v="0"/>
  </r>
  <r>
    <x v="12"/>
    <x v="1"/>
    <x v="1"/>
    <x v="1"/>
    <x v="1"/>
    <x v="1"/>
    <x v="1"/>
    <n v="669653"/>
    <n v="0"/>
    <n v="669653"/>
    <n v="669653"/>
    <n v="0"/>
    <n v="0"/>
    <n v="0"/>
  </r>
  <r>
    <x v="12"/>
    <x v="1"/>
    <x v="1"/>
    <x v="2"/>
    <x v="2"/>
    <x v="1"/>
    <x v="1"/>
    <n v="1360933"/>
    <n v="0"/>
    <n v="1360933"/>
    <n v="1360933"/>
    <n v="0"/>
    <n v="0"/>
    <n v="287532"/>
  </r>
  <r>
    <x v="12"/>
    <x v="1"/>
    <x v="1"/>
    <x v="3"/>
    <x v="3"/>
    <x v="1"/>
    <x v="1"/>
    <n v="8117968"/>
    <n v="-245734"/>
    <n v="7872234"/>
    <n v="7872234"/>
    <n v="0"/>
    <n v="0"/>
    <n v="1418859"/>
  </r>
  <r>
    <x v="12"/>
    <x v="2"/>
    <x v="2"/>
    <x v="1"/>
    <x v="1"/>
    <x v="0"/>
    <x v="0"/>
    <n v="18265"/>
    <n v="0"/>
    <n v="18265"/>
    <n v="18265"/>
    <n v="0"/>
    <n v="0"/>
    <n v="0"/>
  </r>
  <r>
    <x v="12"/>
    <x v="2"/>
    <x v="2"/>
    <x v="2"/>
    <x v="2"/>
    <x v="0"/>
    <x v="0"/>
    <n v="25058"/>
    <n v="0"/>
    <n v="25058"/>
    <n v="25058"/>
    <n v="0"/>
    <n v="0"/>
    <n v="0"/>
  </r>
  <r>
    <x v="12"/>
    <x v="2"/>
    <x v="2"/>
    <x v="3"/>
    <x v="3"/>
    <x v="0"/>
    <x v="0"/>
    <n v="532781"/>
    <n v="-488034"/>
    <n v="44747"/>
    <n v="44747"/>
    <n v="0"/>
    <n v="0"/>
    <n v="0"/>
  </r>
  <r>
    <x v="12"/>
    <x v="2"/>
    <x v="2"/>
    <x v="1"/>
    <x v="1"/>
    <x v="1"/>
    <x v="1"/>
    <n v="488830"/>
    <n v="0"/>
    <n v="488830"/>
    <n v="488830"/>
    <n v="0"/>
    <n v="0"/>
    <n v="0"/>
  </r>
  <r>
    <x v="12"/>
    <x v="2"/>
    <x v="2"/>
    <x v="2"/>
    <x v="2"/>
    <x v="1"/>
    <x v="1"/>
    <n v="880595"/>
    <n v="0"/>
    <n v="880595"/>
    <n v="880595"/>
    <n v="0"/>
    <n v="0"/>
    <n v="206491"/>
  </r>
  <r>
    <x v="12"/>
    <x v="2"/>
    <x v="2"/>
    <x v="3"/>
    <x v="3"/>
    <x v="1"/>
    <x v="1"/>
    <n v="4303508"/>
    <n v="-5635"/>
    <n v="4297873"/>
    <n v="4297873"/>
    <n v="0"/>
    <n v="0"/>
    <n v="485836"/>
  </r>
  <r>
    <x v="12"/>
    <x v="3"/>
    <x v="3"/>
    <x v="2"/>
    <x v="2"/>
    <x v="0"/>
    <x v="0"/>
    <n v="0"/>
    <n v="0"/>
    <n v="0"/>
    <n v="0"/>
    <n v="0"/>
    <n v="0"/>
    <n v="0"/>
  </r>
  <r>
    <x v="12"/>
    <x v="3"/>
    <x v="3"/>
    <x v="3"/>
    <x v="3"/>
    <x v="0"/>
    <x v="0"/>
    <n v="43746"/>
    <n v="123096"/>
    <n v="166842"/>
    <n v="166842"/>
    <n v="0"/>
    <n v="0"/>
    <n v="0"/>
  </r>
  <r>
    <x v="12"/>
    <x v="3"/>
    <x v="3"/>
    <x v="2"/>
    <x v="2"/>
    <x v="1"/>
    <x v="1"/>
    <n v="1897088"/>
    <n v="0"/>
    <n v="1897088"/>
    <n v="1897088"/>
    <n v="0"/>
    <n v="0"/>
    <n v="437767"/>
  </r>
  <r>
    <x v="12"/>
    <x v="3"/>
    <x v="3"/>
    <x v="3"/>
    <x v="3"/>
    <x v="1"/>
    <x v="1"/>
    <n v="3535638"/>
    <n v="0"/>
    <n v="3535638"/>
    <n v="3535638"/>
    <n v="0"/>
    <n v="22575"/>
    <n v="404497"/>
  </r>
  <r>
    <x v="12"/>
    <x v="4"/>
    <x v="4"/>
    <x v="4"/>
    <x v="4"/>
    <x v="0"/>
    <x v="0"/>
    <n v="91991"/>
    <n v="0"/>
    <n v="91991"/>
    <n v="91991"/>
    <n v="0"/>
    <n v="0"/>
    <n v="0"/>
  </r>
  <r>
    <x v="12"/>
    <x v="4"/>
    <x v="4"/>
    <x v="4"/>
    <x v="4"/>
    <x v="1"/>
    <x v="1"/>
    <n v="2955968"/>
    <n v="-90611"/>
    <n v="2865357"/>
    <n v="2865357"/>
    <n v="0"/>
    <n v="0"/>
    <n v="165400"/>
  </r>
  <r>
    <x v="12"/>
    <x v="5"/>
    <x v="5"/>
    <x v="3"/>
    <x v="3"/>
    <x v="0"/>
    <x v="0"/>
    <n v="0"/>
    <n v="0"/>
    <n v="0"/>
    <n v="0"/>
    <n v="0"/>
    <n v="0"/>
    <n v="0"/>
  </r>
  <r>
    <x v="12"/>
    <x v="5"/>
    <x v="5"/>
    <x v="3"/>
    <x v="3"/>
    <x v="1"/>
    <x v="1"/>
    <n v="2383506"/>
    <n v="0"/>
    <n v="2383506"/>
    <n v="2383506"/>
    <n v="0"/>
    <n v="0"/>
    <n v="0"/>
  </r>
  <r>
    <x v="12"/>
    <x v="7"/>
    <x v="7"/>
    <x v="5"/>
    <x v="5"/>
    <x v="0"/>
    <x v="0"/>
    <n v="425162"/>
    <n v="-209096"/>
    <n v="216066"/>
    <n v="216066"/>
    <n v="0"/>
    <n v="0"/>
    <n v="0"/>
  </r>
  <r>
    <x v="12"/>
    <x v="7"/>
    <x v="7"/>
    <x v="5"/>
    <x v="5"/>
    <x v="1"/>
    <x v="1"/>
    <n v="982096"/>
    <n v="0"/>
    <n v="982096"/>
    <n v="982096"/>
    <n v="0"/>
    <n v="0"/>
    <n v="266247"/>
  </r>
  <r>
    <x v="12"/>
    <x v="8"/>
    <x v="8"/>
    <x v="5"/>
    <x v="5"/>
    <x v="0"/>
    <x v="0"/>
    <n v="0"/>
    <n v="0"/>
    <n v="0"/>
    <n v="0"/>
    <n v="0"/>
    <n v="0"/>
    <n v="0"/>
  </r>
  <r>
    <x v="12"/>
    <x v="8"/>
    <x v="8"/>
    <x v="5"/>
    <x v="5"/>
    <x v="1"/>
    <x v="1"/>
    <n v="937378"/>
    <n v="0"/>
    <n v="937378"/>
    <n v="937378"/>
    <n v="0"/>
    <n v="0"/>
    <n v="0"/>
  </r>
  <r>
    <x v="12"/>
    <x v="10"/>
    <x v="10"/>
    <x v="5"/>
    <x v="5"/>
    <x v="0"/>
    <x v="0"/>
    <n v="479923"/>
    <n v="-435216"/>
    <n v="44707"/>
    <n v="44707"/>
    <n v="0"/>
    <n v="0"/>
    <n v="0"/>
  </r>
  <r>
    <x v="12"/>
    <x v="10"/>
    <x v="10"/>
    <x v="5"/>
    <x v="5"/>
    <x v="1"/>
    <x v="1"/>
    <n v="2099753"/>
    <n v="-210912"/>
    <n v="1888841"/>
    <n v="1888841"/>
    <n v="0"/>
    <n v="0"/>
    <n v="0"/>
  </r>
  <r>
    <x v="12"/>
    <x v="9"/>
    <x v="9"/>
    <x v="2"/>
    <x v="2"/>
    <x v="0"/>
    <x v="0"/>
    <n v="0"/>
    <n v="0"/>
    <n v="0"/>
    <n v="0"/>
    <n v="0"/>
    <n v="0"/>
    <n v="0"/>
  </r>
  <r>
    <x v="12"/>
    <x v="9"/>
    <x v="9"/>
    <x v="3"/>
    <x v="3"/>
    <x v="0"/>
    <x v="0"/>
    <n v="6559"/>
    <n v="0"/>
    <n v="6559"/>
    <n v="6559"/>
    <n v="0"/>
    <n v="0"/>
    <n v="0"/>
  </r>
  <r>
    <x v="12"/>
    <x v="9"/>
    <x v="9"/>
    <x v="2"/>
    <x v="2"/>
    <x v="1"/>
    <x v="1"/>
    <n v="0"/>
    <n v="0"/>
    <n v="0"/>
    <n v="0"/>
    <n v="0"/>
    <n v="0"/>
    <n v="0"/>
  </r>
  <r>
    <x v="12"/>
    <x v="9"/>
    <x v="9"/>
    <x v="3"/>
    <x v="3"/>
    <x v="1"/>
    <x v="1"/>
    <n v="1407947"/>
    <n v="0"/>
    <n v="1407947"/>
    <n v="1407947"/>
    <n v="0"/>
    <n v="48577"/>
    <n v="0"/>
  </r>
  <r>
    <x v="13"/>
    <x v="1"/>
    <x v="1"/>
    <x v="1"/>
    <x v="1"/>
    <x v="0"/>
    <x v="0"/>
    <n v="0"/>
    <n v="0"/>
    <n v="0"/>
    <n v="0"/>
    <n v="0"/>
    <n v="0"/>
    <n v="0"/>
  </r>
  <r>
    <x v="13"/>
    <x v="1"/>
    <x v="1"/>
    <x v="2"/>
    <x v="2"/>
    <x v="0"/>
    <x v="0"/>
    <n v="0"/>
    <n v="0"/>
    <n v="0"/>
    <n v="0"/>
    <n v="0"/>
    <n v="0"/>
    <n v="0"/>
  </r>
  <r>
    <x v="13"/>
    <x v="1"/>
    <x v="1"/>
    <x v="3"/>
    <x v="3"/>
    <x v="0"/>
    <x v="0"/>
    <n v="217305"/>
    <n v="45057"/>
    <n v="262362"/>
    <n v="262362"/>
    <n v="0"/>
    <n v="0"/>
    <n v="0"/>
  </r>
  <r>
    <x v="13"/>
    <x v="1"/>
    <x v="1"/>
    <x v="1"/>
    <x v="1"/>
    <x v="1"/>
    <x v="1"/>
    <n v="665042"/>
    <n v="0"/>
    <n v="665042"/>
    <n v="665042"/>
    <n v="0"/>
    <n v="0"/>
    <n v="0"/>
  </r>
  <r>
    <x v="13"/>
    <x v="1"/>
    <x v="1"/>
    <x v="2"/>
    <x v="2"/>
    <x v="1"/>
    <x v="1"/>
    <n v="1512177"/>
    <n v="0"/>
    <n v="1512177"/>
    <n v="1512177"/>
    <n v="0"/>
    <n v="0"/>
    <n v="314563"/>
  </r>
  <r>
    <x v="13"/>
    <x v="1"/>
    <x v="1"/>
    <x v="3"/>
    <x v="3"/>
    <x v="1"/>
    <x v="1"/>
    <n v="7914873"/>
    <n v="-14209"/>
    <n v="7900664"/>
    <n v="7900664"/>
    <n v="0"/>
    <n v="148364"/>
    <n v="1392417"/>
  </r>
  <r>
    <x v="13"/>
    <x v="2"/>
    <x v="2"/>
    <x v="1"/>
    <x v="1"/>
    <x v="0"/>
    <x v="0"/>
    <n v="0"/>
    <n v="0"/>
    <n v="0"/>
    <n v="0"/>
    <n v="0"/>
    <n v="0"/>
    <n v="0"/>
  </r>
  <r>
    <x v="13"/>
    <x v="2"/>
    <x v="2"/>
    <x v="2"/>
    <x v="2"/>
    <x v="0"/>
    <x v="0"/>
    <n v="0"/>
    <n v="0"/>
    <n v="0"/>
    <n v="0"/>
    <n v="0"/>
    <n v="0"/>
    <n v="0"/>
  </r>
  <r>
    <x v="13"/>
    <x v="2"/>
    <x v="2"/>
    <x v="3"/>
    <x v="3"/>
    <x v="0"/>
    <x v="0"/>
    <n v="521902"/>
    <n v="-191439"/>
    <n v="330463"/>
    <n v="330463"/>
    <n v="0"/>
    <n v="0"/>
    <n v="0"/>
  </r>
  <r>
    <x v="13"/>
    <x v="2"/>
    <x v="2"/>
    <x v="1"/>
    <x v="1"/>
    <x v="1"/>
    <x v="1"/>
    <n v="459051"/>
    <n v="0"/>
    <n v="459051"/>
    <n v="459051"/>
    <n v="0"/>
    <n v="0"/>
    <n v="0"/>
  </r>
  <r>
    <x v="13"/>
    <x v="2"/>
    <x v="2"/>
    <x v="2"/>
    <x v="2"/>
    <x v="1"/>
    <x v="1"/>
    <n v="976621"/>
    <n v="0"/>
    <n v="976621"/>
    <n v="976621"/>
    <n v="0"/>
    <n v="0"/>
    <n v="222984"/>
  </r>
  <r>
    <x v="13"/>
    <x v="2"/>
    <x v="2"/>
    <x v="3"/>
    <x v="3"/>
    <x v="1"/>
    <x v="1"/>
    <n v="4136126"/>
    <n v="0"/>
    <n v="4136126"/>
    <n v="4136126"/>
    <n v="0"/>
    <n v="0"/>
    <n v="476289"/>
  </r>
  <r>
    <x v="13"/>
    <x v="3"/>
    <x v="3"/>
    <x v="2"/>
    <x v="2"/>
    <x v="0"/>
    <x v="0"/>
    <n v="0"/>
    <n v="0"/>
    <n v="0"/>
    <n v="0"/>
    <n v="0"/>
    <n v="0"/>
    <n v="0"/>
  </r>
  <r>
    <x v="13"/>
    <x v="3"/>
    <x v="3"/>
    <x v="3"/>
    <x v="3"/>
    <x v="0"/>
    <x v="0"/>
    <n v="0"/>
    <n v="-13569"/>
    <n v="-13569"/>
    <n v="-13569"/>
    <n v="0"/>
    <n v="0"/>
    <n v="0"/>
  </r>
  <r>
    <x v="13"/>
    <x v="3"/>
    <x v="3"/>
    <x v="2"/>
    <x v="2"/>
    <x v="1"/>
    <x v="1"/>
    <n v="1950738"/>
    <n v="-76267"/>
    <n v="1874471"/>
    <n v="1874471"/>
    <n v="0"/>
    <n v="0"/>
    <n v="432798"/>
  </r>
  <r>
    <x v="13"/>
    <x v="3"/>
    <x v="3"/>
    <x v="3"/>
    <x v="3"/>
    <x v="1"/>
    <x v="1"/>
    <n v="3735293"/>
    <n v="-30531"/>
    <n v="3704762"/>
    <n v="3704762"/>
    <n v="0"/>
    <n v="14674"/>
    <n v="401316"/>
  </r>
  <r>
    <x v="13"/>
    <x v="4"/>
    <x v="4"/>
    <x v="4"/>
    <x v="4"/>
    <x v="0"/>
    <x v="0"/>
    <n v="79043"/>
    <n v="0"/>
    <n v="79043"/>
    <n v="79043"/>
    <n v="0"/>
    <n v="0"/>
    <n v="0"/>
  </r>
  <r>
    <x v="13"/>
    <x v="4"/>
    <x v="4"/>
    <x v="4"/>
    <x v="4"/>
    <x v="1"/>
    <x v="1"/>
    <n v="3076553"/>
    <n v="-50755"/>
    <n v="3025798"/>
    <n v="3025798"/>
    <n v="0"/>
    <n v="0"/>
    <n v="173798"/>
  </r>
  <r>
    <x v="13"/>
    <x v="5"/>
    <x v="5"/>
    <x v="3"/>
    <x v="3"/>
    <x v="0"/>
    <x v="0"/>
    <n v="0"/>
    <n v="0"/>
    <n v="0"/>
    <n v="0"/>
    <n v="0"/>
    <n v="0"/>
    <n v="0"/>
  </r>
  <r>
    <x v="13"/>
    <x v="5"/>
    <x v="5"/>
    <x v="3"/>
    <x v="3"/>
    <x v="1"/>
    <x v="1"/>
    <n v="2140629"/>
    <n v="0"/>
    <n v="2140629"/>
    <n v="2140629"/>
    <n v="0"/>
    <n v="0"/>
    <n v="0"/>
  </r>
  <r>
    <x v="13"/>
    <x v="7"/>
    <x v="7"/>
    <x v="5"/>
    <x v="5"/>
    <x v="0"/>
    <x v="0"/>
    <n v="209096"/>
    <n v="-209096"/>
    <n v="0"/>
    <n v="0"/>
    <n v="0"/>
    <n v="0"/>
    <n v="0"/>
  </r>
  <r>
    <x v="13"/>
    <x v="7"/>
    <x v="7"/>
    <x v="5"/>
    <x v="5"/>
    <x v="1"/>
    <x v="1"/>
    <n v="1013496"/>
    <n v="0"/>
    <n v="1013496"/>
    <n v="1013496"/>
    <n v="0"/>
    <n v="0"/>
    <n v="332983"/>
  </r>
  <r>
    <x v="13"/>
    <x v="8"/>
    <x v="8"/>
    <x v="5"/>
    <x v="5"/>
    <x v="0"/>
    <x v="0"/>
    <n v="0"/>
    <n v="0"/>
    <n v="0"/>
    <n v="0"/>
    <n v="0"/>
    <n v="0"/>
    <n v="0"/>
  </r>
  <r>
    <x v="13"/>
    <x v="8"/>
    <x v="8"/>
    <x v="5"/>
    <x v="5"/>
    <x v="1"/>
    <x v="1"/>
    <n v="983492"/>
    <n v="0"/>
    <n v="983492"/>
    <n v="983492"/>
    <n v="0"/>
    <n v="0"/>
    <n v="0"/>
  </r>
  <r>
    <x v="13"/>
    <x v="10"/>
    <x v="10"/>
    <x v="5"/>
    <x v="5"/>
    <x v="0"/>
    <x v="0"/>
    <n v="646128"/>
    <n v="0"/>
    <n v="646128"/>
    <n v="646128"/>
    <n v="0"/>
    <n v="0"/>
    <n v="0"/>
  </r>
  <r>
    <x v="13"/>
    <x v="10"/>
    <x v="10"/>
    <x v="5"/>
    <x v="5"/>
    <x v="1"/>
    <x v="1"/>
    <n v="2389370"/>
    <n v="0"/>
    <n v="2389370"/>
    <n v="2389370"/>
    <n v="0"/>
    <n v="0"/>
    <n v="0"/>
  </r>
  <r>
    <x v="13"/>
    <x v="9"/>
    <x v="9"/>
    <x v="2"/>
    <x v="2"/>
    <x v="0"/>
    <x v="0"/>
    <n v="0"/>
    <n v="0"/>
    <n v="0"/>
    <n v="0"/>
    <n v="0"/>
    <n v="0"/>
    <n v="0"/>
  </r>
  <r>
    <x v="13"/>
    <x v="9"/>
    <x v="9"/>
    <x v="3"/>
    <x v="3"/>
    <x v="0"/>
    <x v="0"/>
    <n v="9159"/>
    <n v="0"/>
    <n v="9159"/>
    <n v="9159"/>
    <n v="0"/>
    <n v="0"/>
    <n v="0"/>
  </r>
  <r>
    <x v="13"/>
    <x v="9"/>
    <x v="9"/>
    <x v="2"/>
    <x v="2"/>
    <x v="1"/>
    <x v="1"/>
    <n v="0"/>
    <n v="0"/>
    <n v="0"/>
    <n v="0"/>
    <n v="0"/>
    <n v="0"/>
    <n v="0"/>
  </r>
  <r>
    <x v="13"/>
    <x v="9"/>
    <x v="9"/>
    <x v="3"/>
    <x v="3"/>
    <x v="1"/>
    <x v="1"/>
    <n v="1243781"/>
    <n v="-2836"/>
    <n v="1240945"/>
    <n v="1240945"/>
    <n v="0"/>
    <n v="6515"/>
    <n v="0"/>
  </r>
  <r>
    <x v="14"/>
    <x v="1"/>
    <x v="1"/>
    <x v="1"/>
    <x v="1"/>
    <x v="0"/>
    <x v="0"/>
    <n v="14359"/>
    <n v="0"/>
    <n v="14359"/>
    <n v="14359"/>
    <n v="0"/>
    <n v="0"/>
    <n v="0"/>
  </r>
  <r>
    <x v="14"/>
    <x v="1"/>
    <x v="1"/>
    <x v="2"/>
    <x v="2"/>
    <x v="0"/>
    <x v="0"/>
    <n v="0"/>
    <n v="0"/>
    <n v="0"/>
    <n v="0"/>
    <n v="0"/>
    <n v="0"/>
    <n v="0"/>
  </r>
  <r>
    <x v="14"/>
    <x v="1"/>
    <x v="1"/>
    <x v="3"/>
    <x v="3"/>
    <x v="0"/>
    <x v="0"/>
    <n v="190265"/>
    <n v="-144310"/>
    <n v="45955"/>
    <n v="45955"/>
    <n v="0"/>
    <n v="0"/>
    <n v="0"/>
  </r>
  <r>
    <x v="14"/>
    <x v="1"/>
    <x v="1"/>
    <x v="1"/>
    <x v="1"/>
    <x v="1"/>
    <x v="1"/>
    <n v="671793"/>
    <n v="0"/>
    <n v="671793"/>
    <n v="671793"/>
    <n v="0"/>
    <n v="11149"/>
    <n v="0"/>
  </r>
  <r>
    <x v="14"/>
    <x v="1"/>
    <x v="1"/>
    <x v="2"/>
    <x v="2"/>
    <x v="1"/>
    <x v="1"/>
    <n v="1517375"/>
    <n v="-230591"/>
    <n v="1286784"/>
    <n v="1286784"/>
    <n v="0"/>
    <n v="0"/>
    <n v="268515"/>
  </r>
  <r>
    <x v="14"/>
    <x v="1"/>
    <x v="1"/>
    <x v="3"/>
    <x v="3"/>
    <x v="1"/>
    <x v="1"/>
    <n v="7703529"/>
    <n v="-375355"/>
    <n v="7328174"/>
    <n v="7328174"/>
    <n v="0"/>
    <n v="31137"/>
    <n v="1293794"/>
  </r>
  <r>
    <x v="14"/>
    <x v="2"/>
    <x v="2"/>
    <x v="1"/>
    <x v="1"/>
    <x v="0"/>
    <x v="0"/>
    <n v="0"/>
    <n v="0"/>
    <n v="0"/>
    <n v="0"/>
    <n v="0"/>
    <n v="0"/>
    <n v="0"/>
  </r>
  <r>
    <x v="14"/>
    <x v="2"/>
    <x v="2"/>
    <x v="2"/>
    <x v="2"/>
    <x v="0"/>
    <x v="0"/>
    <n v="0"/>
    <n v="0"/>
    <n v="0"/>
    <n v="0"/>
    <n v="0"/>
    <n v="0"/>
    <n v="0"/>
  </r>
  <r>
    <x v="14"/>
    <x v="2"/>
    <x v="2"/>
    <x v="3"/>
    <x v="3"/>
    <x v="0"/>
    <x v="0"/>
    <n v="172839"/>
    <n v="-84066"/>
    <n v="88773"/>
    <n v="88773"/>
    <n v="0"/>
    <n v="0"/>
    <n v="0"/>
  </r>
  <r>
    <x v="14"/>
    <x v="2"/>
    <x v="2"/>
    <x v="1"/>
    <x v="1"/>
    <x v="1"/>
    <x v="1"/>
    <n v="436023"/>
    <n v="0"/>
    <n v="436023"/>
    <n v="436023"/>
    <n v="0"/>
    <n v="0"/>
    <n v="0"/>
  </r>
  <r>
    <x v="14"/>
    <x v="2"/>
    <x v="2"/>
    <x v="2"/>
    <x v="2"/>
    <x v="1"/>
    <x v="1"/>
    <n v="971375"/>
    <n v="0"/>
    <n v="971375"/>
    <n v="971375"/>
    <n v="0"/>
    <n v="0"/>
    <n v="221766"/>
  </r>
  <r>
    <x v="14"/>
    <x v="2"/>
    <x v="2"/>
    <x v="3"/>
    <x v="3"/>
    <x v="1"/>
    <x v="1"/>
    <n v="4199450"/>
    <n v="0"/>
    <n v="4199450"/>
    <n v="4199450"/>
    <n v="0"/>
    <n v="0"/>
    <n v="466832"/>
  </r>
  <r>
    <x v="14"/>
    <x v="3"/>
    <x v="3"/>
    <x v="2"/>
    <x v="2"/>
    <x v="0"/>
    <x v="0"/>
    <n v="74973"/>
    <n v="0"/>
    <n v="74973"/>
    <n v="74973"/>
    <n v="0"/>
    <n v="0"/>
    <n v="0"/>
  </r>
  <r>
    <x v="14"/>
    <x v="3"/>
    <x v="3"/>
    <x v="3"/>
    <x v="3"/>
    <x v="0"/>
    <x v="0"/>
    <n v="68265"/>
    <n v="0"/>
    <n v="68265"/>
    <n v="68265"/>
    <n v="0"/>
    <n v="0"/>
    <n v="0"/>
  </r>
  <r>
    <x v="14"/>
    <x v="3"/>
    <x v="3"/>
    <x v="2"/>
    <x v="2"/>
    <x v="1"/>
    <x v="1"/>
    <n v="1840148"/>
    <n v="-41265"/>
    <n v="1798883"/>
    <n v="1798883"/>
    <n v="0"/>
    <n v="0"/>
    <n v="432828"/>
  </r>
  <r>
    <x v="14"/>
    <x v="3"/>
    <x v="3"/>
    <x v="3"/>
    <x v="3"/>
    <x v="1"/>
    <x v="1"/>
    <n v="3725222"/>
    <n v="0"/>
    <n v="3725222"/>
    <n v="3725222"/>
    <n v="0"/>
    <n v="119605"/>
    <n v="411480"/>
  </r>
  <r>
    <x v="14"/>
    <x v="4"/>
    <x v="4"/>
    <x v="4"/>
    <x v="4"/>
    <x v="0"/>
    <x v="0"/>
    <n v="0"/>
    <n v="50755"/>
    <n v="50755"/>
    <n v="50755"/>
    <n v="0"/>
    <n v="0"/>
    <n v="0"/>
  </r>
  <r>
    <x v="14"/>
    <x v="4"/>
    <x v="4"/>
    <x v="4"/>
    <x v="4"/>
    <x v="1"/>
    <x v="1"/>
    <n v="3271508"/>
    <n v="-2080"/>
    <n v="3269428"/>
    <n v="3269428"/>
    <n v="0"/>
    <n v="57391"/>
    <n v="184210"/>
  </r>
  <r>
    <x v="14"/>
    <x v="5"/>
    <x v="5"/>
    <x v="3"/>
    <x v="3"/>
    <x v="0"/>
    <x v="0"/>
    <n v="0"/>
    <n v="0"/>
    <n v="0"/>
    <n v="0"/>
    <n v="0"/>
    <n v="0"/>
    <n v="0"/>
  </r>
  <r>
    <x v="14"/>
    <x v="5"/>
    <x v="5"/>
    <x v="3"/>
    <x v="3"/>
    <x v="1"/>
    <x v="1"/>
    <n v="2052909"/>
    <n v="0"/>
    <n v="2052909"/>
    <n v="2052909"/>
    <n v="0"/>
    <n v="0"/>
    <n v="0"/>
  </r>
  <r>
    <x v="14"/>
    <x v="7"/>
    <x v="7"/>
    <x v="5"/>
    <x v="5"/>
    <x v="0"/>
    <x v="0"/>
    <n v="209096"/>
    <n v="0"/>
    <n v="209096"/>
    <n v="209096"/>
    <n v="0"/>
    <n v="0"/>
    <n v="0"/>
  </r>
  <r>
    <x v="14"/>
    <x v="7"/>
    <x v="7"/>
    <x v="5"/>
    <x v="5"/>
    <x v="1"/>
    <x v="1"/>
    <n v="978313"/>
    <n v="0"/>
    <n v="978313"/>
    <n v="978313"/>
    <n v="0"/>
    <n v="0"/>
    <n v="293704"/>
  </r>
  <r>
    <x v="14"/>
    <x v="8"/>
    <x v="8"/>
    <x v="5"/>
    <x v="5"/>
    <x v="0"/>
    <x v="0"/>
    <n v="0"/>
    <n v="0"/>
    <n v="0"/>
    <n v="0"/>
    <n v="0"/>
    <n v="0"/>
    <n v="0"/>
  </r>
  <r>
    <x v="14"/>
    <x v="8"/>
    <x v="8"/>
    <x v="5"/>
    <x v="5"/>
    <x v="1"/>
    <x v="1"/>
    <n v="922792"/>
    <n v="0"/>
    <n v="922792"/>
    <n v="922792"/>
    <n v="0"/>
    <n v="0"/>
    <n v="0"/>
  </r>
  <r>
    <x v="14"/>
    <x v="10"/>
    <x v="10"/>
    <x v="5"/>
    <x v="5"/>
    <x v="0"/>
    <x v="0"/>
    <n v="0"/>
    <n v="0"/>
    <n v="0"/>
    <n v="0"/>
    <n v="0"/>
    <n v="0"/>
    <n v="0"/>
  </r>
  <r>
    <x v="14"/>
    <x v="10"/>
    <x v="10"/>
    <x v="5"/>
    <x v="5"/>
    <x v="1"/>
    <x v="1"/>
    <n v="2385860"/>
    <n v="0"/>
    <n v="2385860"/>
    <n v="2385860"/>
    <n v="0"/>
    <n v="0"/>
    <n v="0"/>
  </r>
  <r>
    <x v="14"/>
    <x v="9"/>
    <x v="9"/>
    <x v="2"/>
    <x v="2"/>
    <x v="0"/>
    <x v="0"/>
    <n v="0"/>
    <n v="0"/>
    <n v="0"/>
    <n v="0"/>
    <n v="0"/>
    <n v="0"/>
    <n v="0"/>
  </r>
  <r>
    <x v="14"/>
    <x v="9"/>
    <x v="9"/>
    <x v="3"/>
    <x v="3"/>
    <x v="0"/>
    <x v="0"/>
    <n v="6515"/>
    <n v="2836"/>
    <n v="9351"/>
    <n v="9351"/>
    <n v="0"/>
    <n v="0"/>
    <n v="0"/>
  </r>
  <r>
    <x v="14"/>
    <x v="9"/>
    <x v="9"/>
    <x v="2"/>
    <x v="2"/>
    <x v="1"/>
    <x v="1"/>
    <n v="4270"/>
    <n v="0"/>
    <n v="4270"/>
    <n v="4270"/>
    <n v="0"/>
    <n v="0"/>
    <n v="0"/>
  </r>
  <r>
    <x v="14"/>
    <x v="9"/>
    <x v="9"/>
    <x v="3"/>
    <x v="3"/>
    <x v="1"/>
    <x v="1"/>
    <n v="1287903"/>
    <n v="0"/>
    <n v="1287903"/>
    <n v="1287903"/>
    <n v="0"/>
    <n v="40455"/>
    <n v="0"/>
  </r>
  <r>
    <x v="15"/>
    <x v="1"/>
    <x v="1"/>
    <x v="1"/>
    <x v="1"/>
    <x v="0"/>
    <x v="0"/>
    <n v="28718"/>
    <n v="0"/>
    <n v="28718"/>
    <n v="28718"/>
    <n v="0"/>
    <n v="0"/>
    <n v="0"/>
  </r>
  <r>
    <x v="15"/>
    <x v="1"/>
    <x v="1"/>
    <x v="2"/>
    <x v="2"/>
    <x v="0"/>
    <x v="0"/>
    <n v="135527"/>
    <n v="0"/>
    <n v="135527"/>
    <n v="135527"/>
    <n v="0"/>
    <n v="0"/>
    <n v="0"/>
  </r>
  <r>
    <x v="15"/>
    <x v="1"/>
    <x v="1"/>
    <x v="3"/>
    <x v="3"/>
    <x v="0"/>
    <x v="0"/>
    <n v="51230"/>
    <n v="42627"/>
    <n v="93857"/>
    <n v="93857"/>
    <n v="0"/>
    <n v="0"/>
    <n v="0"/>
  </r>
  <r>
    <x v="15"/>
    <x v="1"/>
    <x v="1"/>
    <x v="1"/>
    <x v="1"/>
    <x v="1"/>
    <x v="1"/>
    <n v="716058"/>
    <n v="0"/>
    <n v="716058"/>
    <n v="716058"/>
    <n v="0"/>
    <n v="0"/>
    <n v="0"/>
  </r>
  <r>
    <x v="15"/>
    <x v="1"/>
    <x v="1"/>
    <x v="2"/>
    <x v="2"/>
    <x v="1"/>
    <x v="1"/>
    <n v="1255262"/>
    <n v="0"/>
    <n v="1255262"/>
    <n v="1255262"/>
    <n v="0"/>
    <n v="0"/>
    <n v="295530"/>
  </r>
  <r>
    <x v="15"/>
    <x v="1"/>
    <x v="1"/>
    <x v="3"/>
    <x v="3"/>
    <x v="1"/>
    <x v="1"/>
    <n v="7422306"/>
    <n v="-30847"/>
    <n v="7391459"/>
    <n v="7391459"/>
    <n v="0"/>
    <n v="273727"/>
    <n v="1313989"/>
  </r>
  <r>
    <x v="15"/>
    <x v="2"/>
    <x v="2"/>
    <x v="1"/>
    <x v="1"/>
    <x v="0"/>
    <x v="0"/>
    <n v="0"/>
    <n v="0"/>
    <n v="0"/>
    <n v="0"/>
    <n v="0"/>
    <n v="0"/>
    <n v="0"/>
  </r>
  <r>
    <x v="15"/>
    <x v="2"/>
    <x v="2"/>
    <x v="2"/>
    <x v="2"/>
    <x v="0"/>
    <x v="0"/>
    <n v="0"/>
    <n v="0"/>
    <n v="0"/>
    <n v="0"/>
    <n v="0"/>
    <n v="0"/>
    <n v="0"/>
  </r>
  <r>
    <x v="15"/>
    <x v="2"/>
    <x v="2"/>
    <x v="3"/>
    <x v="3"/>
    <x v="0"/>
    <x v="0"/>
    <n v="84066"/>
    <n v="-37349"/>
    <n v="46717"/>
    <n v="46717"/>
    <n v="0"/>
    <n v="0"/>
    <n v="0"/>
  </r>
  <r>
    <x v="15"/>
    <x v="2"/>
    <x v="2"/>
    <x v="1"/>
    <x v="1"/>
    <x v="1"/>
    <x v="1"/>
    <n v="421073"/>
    <n v="0"/>
    <n v="421073"/>
    <n v="421073"/>
    <n v="0"/>
    <n v="0"/>
    <n v="0"/>
  </r>
  <r>
    <x v="15"/>
    <x v="2"/>
    <x v="2"/>
    <x v="2"/>
    <x v="2"/>
    <x v="1"/>
    <x v="1"/>
    <n v="1056717"/>
    <n v="-128853"/>
    <n v="927864"/>
    <n v="927864"/>
    <n v="0"/>
    <n v="0"/>
    <n v="210870"/>
  </r>
  <r>
    <x v="15"/>
    <x v="2"/>
    <x v="2"/>
    <x v="3"/>
    <x v="3"/>
    <x v="1"/>
    <x v="1"/>
    <n v="4296093"/>
    <n v="-28685"/>
    <n v="4267408"/>
    <n v="4267408"/>
    <n v="0"/>
    <n v="0"/>
    <n v="470435"/>
  </r>
  <r>
    <x v="15"/>
    <x v="3"/>
    <x v="3"/>
    <x v="2"/>
    <x v="2"/>
    <x v="0"/>
    <x v="0"/>
    <n v="53053"/>
    <n v="-53053"/>
    <n v="0"/>
    <n v="0"/>
    <n v="0"/>
    <n v="0"/>
    <n v="0"/>
  </r>
  <r>
    <x v="15"/>
    <x v="3"/>
    <x v="3"/>
    <x v="3"/>
    <x v="3"/>
    <x v="0"/>
    <x v="0"/>
    <n v="119605"/>
    <n v="-119605"/>
    <n v="0"/>
    <n v="0"/>
    <n v="0"/>
    <n v="0"/>
    <n v="0"/>
  </r>
  <r>
    <x v="15"/>
    <x v="3"/>
    <x v="3"/>
    <x v="2"/>
    <x v="2"/>
    <x v="1"/>
    <x v="1"/>
    <n v="1827587"/>
    <n v="-377232"/>
    <n v="1450355"/>
    <n v="1450355"/>
    <n v="0"/>
    <n v="0"/>
    <n v="337271"/>
  </r>
  <r>
    <x v="15"/>
    <x v="3"/>
    <x v="3"/>
    <x v="3"/>
    <x v="3"/>
    <x v="1"/>
    <x v="1"/>
    <n v="3999702"/>
    <n v="-48023"/>
    <n v="3951679"/>
    <n v="3951679"/>
    <n v="0"/>
    <n v="0"/>
    <n v="422479"/>
  </r>
  <r>
    <x v="15"/>
    <x v="4"/>
    <x v="4"/>
    <x v="4"/>
    <x v="4"/>
    <x v="0"/>
    <x v="0"/>
    <n v="5266"/>
    <n v="-35467"/>
    <n v="-30201"/>
    <n v="-30201"/>
    <n v="0"/>
    <n v="0"/>
    <n v="0"/>
  </r>
  <r>
    <x v="15"/>
    <x v="4"/>
    <x v="4"/>
    <x v="4"/>
    <x v="4"/>
    <x v="1"/>
    <x v="1"/>
    <n v="3149307"/>
    <n v="-5225"/>
    <n v="3144082"/>
    <n v="3144082"/>
    <n v="0"/>
    <n v="71446"/>
    <n v="173739"/>
  </r>
  <r>
    <x v="15"/>
    <x v="5"/>
    <x v="5"/>
    <x v="3"/>
    <x v="3"/>
    <x v="0"/>
    <x v="0"/>
    <n v="0"/>
    <n v="0"/>
    <n v="0"/>
    <n v="0"/>
    <n v="0"/>
    <n v="0"/>
    <n v="0"/>
  </r>
  <r>
    <x v="15"/>
    <x v="5"/>
    <x v="5"/>
    <x v="3"/>
    <x v="3"/>
    <x v="1"/>
    <x v="1"/>
    <n v="2157074"/>
    <n v="0"/>
    <n v="2157074"/>
    <n v="2157074"/>
    <n v="0"/>
    <n v="0"/>
    <n v="0"/>
  </r>
  <r>
    <x v="15"/>
    <x v="7"/>
    <x v="7"/>
    <x v="5"/>
    <x v="5"/>
    <x v="0"/>
    <x v="0"/>
    <n v="0"/>
    <n v="0"/>
    <n v="0"/>
    <n v="0"/>
    <n v="0"/>
    <n v="0"/>
    <n v="0"/>
  </r>
  <r>
    <x v="15"/>
    <x v="7"/>
    <x v="7"/>
    <x v="5"/>
    <x v="5"/>
    <x v="1"/>
    <x v="1"/>
    <n v="998248"/>
    <n v="0"/>
    <n v="998248"/>
    <n v="998248"/>
    <n v="0"/>
    <n v="0"/>
    <n v="292855"/>
  </r>
  <r>
    <x v="15"/>
    <x v="8"/>
    <x v="8"/>
    <x v="5"/>
    <x v="5"/>
    <x v="0"/>
    <x v="0"/>
    <n v="0"/>
    <n v="0"/>
    <n v="0"/>
    <n v="0"/>
    <n v="0"/>
    <n v="0"/>
    <n v="0"/>
  </r>
  <r>
    <x v="15"/>
    <x v="8"/>
    <x v="8"/>
    <x v="5"/>
    <x v="5"/>
    <x v="1"/>
    <x v="1"/>
    <n v="983492"/>
    <n v="0"/>
    <n v="983492"/>
    <n v="983492"/>
    <n v="0"/>
    <n v="0"/>
    <n v="0"/>
  </r>
  <r>
    <x v="15"/>
    <x v="10"/>
    <x v="10"/>
    <x v="5"/>
    <x v="5"/>
    <x v="0"/>
    <x v="0"/>
    <n v="0"/>
    <n v="0"/>
    <n v="0"/>
    <n v="0"/>
    <n v="0"/>
    <n v="0"/>
    <n v="0"/>
  </r>
  <r>
    <x v="15"/>
    <x v="10"/>
    <x v="10"/>
    <x v="5"/>
    <x v="5"/>
    <x v="1"/>
    <x v="1"/>
    <n v="2448469"/>
    <n v="0"/>
    <n v="2448469"/>
    <n v="2448469"/>
    <n v="0"/>
    <n v="0"/>
    <n v="0"/>
  </r>
  <r>
    <x v="15"/>
    <x v="9"/>
    <x v="9"/>
    <x v="2"/>
    <x v="2"/>
    <x v="0"/>
    <x v="0"/>
    <n v="2592"/>
    <n v="0"/>
    <n v="2592"/>
    <n v="2592"/>
    <n v="0"/>
    <n v="0"/>
    <n v="0"/>
  </r>
  <r>
    <x v="15"/>
    <x v="9"/>
    <x v="9"/>
    <x v="3"/>
    <x v="3"/>
    <x v="0"/>
    <x v="0"/>
    <n v="17023"/>
    <n v="0"/>
    <n v="17023"/>
    <n v="17023"/>
    <n v="0"/>
    <n v="0"/>
    <n v="0"/>
  </r>
  <r>
    <x v="15"/>
    <x v="9"/>
    <x v="9"/>
    <x v="2"/>
    <x v="2"/>
    <x v="1"/>
    <x v="1"/>
    <n v="0"/>
    <n v="0"/>
    <n v="0"/>
    <n v="0"/>
    <n v="0"/>
    <n v="0"/>
    <n v="0"/>
  </r>
  <r>
    <x v="15"/>
    <x v="9"/>
    <x v="9"/>
    <x v="3"/>
    <x v="3"/>
    <x v="1"/>
    <x v="1"/>
    <n v="1246620"/>
    <n v="-2600"/>
    <n v="1244020"/>
    <n v="1244020"/>
    <n v="0"/>
    <n v="9940"/>
    <n v="0"/>
  </r>
  <r>
    <x v="16"/>
    <x v="1"/>
    <x v="1"/>
    <x v="1"/>
    <x v="1"/>
    <x v="0"/>
    <x v="0"/>
    <n v="17687"/>
    <n v="0"/>
    <n v="17687"/>
    <n v="17687"/>
    <n v="0"/>
    <n v="0"/>
    <n v="0"/>
  </r>
  <r>
    <x v="16"/>
    <x v="1"/>
    <x v="1"/>
    <x v="2"/>
    <x v="2"/>
    <x v="0"/>
    <x v="0"/>
    <n v="0"/>
    <n v="0"/>
    <n v="0"/>
    <n v="0"/>
    <n v="0"/>
    <n v="0"/>
    <n v="0"/>
  </r>
  <r>
    <x v="16"/>
    <x v="1"/>
    <x v="1"/>
    <x v="3"/>
    <x v="3"/>
    <x v="0"/>
    <x v="0"/>
    <n v="496692"/>
    <n v="0"/>
    <n v="496692"/>
    <n v="496692"/>
    <n v="0"/>
    <n v="0"/>
    <n v="0"/>
  </r>
  <r>
    <x v="16"/>
    <x v="1"/>
    <x v="1"/>
    <x v="1"/>
    <x v="1"/>
    <x v="1"/>
    <x v="1"/>
    <n v="749741"/>
    <n v="0"/>
    <n v="749741"/>
    <n v="749741"/>
    <n v="0"/>
    <n v="0"/>
    <n v="0"/>
  </r>
  <r>
    <x v="16"/>
    <x v="1"/>
    <x v="1"/>
    <x v="2"/>
    <x v="2"/>
    <x v="1"/>
    <x v="1"/>
    <n v="1381127"/>
    <n v="0"/>
    <n v="1381127"/>
    <n v="1381127"/>
    <n v="0"/>
    <n v="0"/>
    <n v="297676"/>
  </r>
  <r>
    <x v="16"/>
    <x v="1"/>
    <x v="1"/>
    <x v="3"/>
    <x v="3"/>
    <x v="1"/>
    <x v="1"/>
    <n v="7219564"/>
    <n v="-152025"/>
    <n v="7067539"/>
    <n v="7067539"/>
    <n v="0"/>
    <n v="15717"/>
    <n v="1418859"/>
  </r>
  <r>
    <x v="16"/>
    <x v="2"/>
    <x v="2"/>
    <x v="1"/>
    <x v="1"/>
    <x v="0"/>
    <x v="0"/>
    <n v="0"/>
    <n v="0"/>
    <n v="0"/>
    <n v="0"/>
    <n v="0"/>
    <n v="0"/>
    <n v="0"/>
  </r>
  <r>
    <x v="16"/>
    <x v="2"/>
    <x v="2"/>
    <x v="2"/>
    <x v="2"/>
    <x v="0"/>
    <x v="0"/>
    <n v="0"/>
    <n v="0"/>
    <n v="0"/>
    <n v="0"/>
    <n v="0"/>
    <n v="0"/>
    <n v="0"/>
  </r>
  <r>
    <x v="16"/>
    <x v="2"/>
    <x v="2"/>
    <x v="3"/>
    <x v="3"/>
    <x v="0"/>
    <x v="0"/>
    <n v="0"/>
    <n v="0"/>
    <n v="0"/>
    <n v="0"/>
    <n v="0"/>
    <n v="0"/>
    <n v="0"/>
  </r>
  <r>
    <x v="16"/>
    <x v="2"/>
    <x v="2"/>
    <x v="1"/>
    <x v="1"/>
    <x v="1"/>
    <x v="1"/>
    <n v="421194"/>
    <n v="0"/>
    <n v="421194"/>
    <n v="421194"/>
    <n v="0"/>
    <n v="0"/>
    <n v="0"/>
  </r>
  <r>
    <x v="16"/>
    <x v="2"/>
    <x v="2"/>
    <x v="2"/>
    <x v="2"/>
    <x v="1"/>
    <x v="1"/>
    <n v="947767"/>
    <n v="-82913"/>
    <n v="864854"/>
    <n v="864854"/>
    <n v="0"/>
    <n v="0"/>
    <n v="195922"/>
  </r>
  <r>
    <x v="16"/>
    <x v="2"/>
    <x v="2"/>
    <x v="3"/>
    <x v="3"/>
    <x v="1"/>
    <x v="1"/>
    <n v="4021205"/>
    <n v="-152543"/>
    <n v="3868662"/>
    <n v="3868662"/>
    <n v="0"/>
    <n v="19989"/>
    <n v="421938"/>
  </r>
  <r>
    <x v="16"/>
    <x v="3"/>
    <x v="3"/>
    <x v="2"/>
    <x v="2"/>
    <x v="0"/>
    <x v="0"/>
    <n v="428558"/>
    <n v="-53053"/>
    <n v="375505"/>
    <n v="375505"/>
    <n v="0"/>
    <n v="0"/>
    <n v="0"/>
  </r>
  <r>
    <x v="16"/>
    <x v="3"/>
    <x v="3"/>
    <x v="3"/>
    <x v="3"/>
    <x v="0"/>
    <x v="0"/>
    <n v="159771"/>
    <n v="0"/>
    <n v="159771"/>
    <n v="159771"/>
    <n v="0"/>
    <n v="0"/>
    <n v="0"/>
  </r>
  <r>
    <x v="16"/>
    <x v="3"/>
    <x v="3"/>
    <x v="2"/>
    <x v="2"/>
    <x v="1"/>
    <x v="1"/>
    <n v="1904318"/>
    <n v="0"/>
    <n v="1904318"/>
    <n v="1904318"/>
    <n v="0"/>
    <n v="0"/>
    <n v="524588"/>
  </r>
  <r>
    <x v="16"/>
    <x v="3"/>
    <x v="3"/>
    <x v="3"/>
    <x v="3"/>
    <x v="1"/>
    <x v="1"/>
    <n v="3526471"/>
    <n v="-39403"/>
    <n v="3487068"/>
    <n v="3487068"/>
    <n v="0"/>
    <n v="29138"/>
    <n v="379228"/>
  </r>
  <r>
    <x v="16"/>
    <x v="4"/>
    <x v="4"/>
    <x v="4"/>
    <x v="4"/>
    <x v="0"/>
    <x v="0"/>
    <n v="0"/>
    <n v="0"/>
    <n v="0"/>
    <n v="0"/>
    <n v="0"/>
    <n v="0"/>
    <n v="0"/>
  </r>
  <r>
    <x v="16"/>
    <x v="4"/>
    <x v="4"/>
    <x v="4"/>
    <x v="4"/>
    <x v="1"/>
    <x v="1"/>
    <n v="3148868"/>
    <n v="-14702"/>
    <n v="3134166"/>
    <n v="3134166"/>
    <n v="0"/>
    <n v="11902"/>
    <n v="174710"/>
  </r>
  <r>
    <x v="16"/>
    <x v="5"/>
    <x v="5"/>
    <x v="3"/>
    <x v="3"/>
    <x v="0"/>
    <x v="0"/>
    <n v="0"/>
    <n v="0"/>
    <n v="0"/>
    <n v="0"/>
    <n v="0"/>
    <n v="0"/>
    <n v="0"/>
  </r>
  <r>
    <x v="16"/>
    <x v="5"/>
    <x v="5"/>
    <x v="3"/>
    <x v="3"/>
    <x v="1"/>
    <x v="1"/>
    <n v="2007541"/>
    <n v="0"/>
    <n v="2007541"/>
    <n v="2007541"/>
    <n v="0"/>
    <n v="0"/>
    <n v="0"/>
  </r>
  <r>
    <x v="16"/>
    <x v="7"/>
    <x v="7"/>
    <x v="5"/>
    <x v="5"/>
    <x v="0"/>
    <x v="0"/>
    <n v="0"/>
    <n v="0"/>
    <n v="0"/>
    <n v="0"/>
    <n v="0"/>
    <n v="0"/>
    <n v="0"/>
  </r>
  <r>
    <x v="16"/>
    <x v="7"/>
    <x v="7"/>
    <x v="5"/>
    <x v="5"/>
    <x v="1"/>
    <x v="1"/>
    <n v="778040"/>
    <n v="0"/>
    <n v="778040"/>
    <n v="778040"/>
    <n v="0"/>
    <n v="0"/>
    <n v="271654"/>
  </r>
  <r>
    <x v="16"/>
    <x v="8"/>
    <x v="8"/>
    <x v="5"/>
    <x v="5"/>
    <x v="0"/>
    <x v="0"/>
    <n v="0"/>
    <n v="0"/>
    <n v="0"/>
    <n v="0"/>
    <n v="0"/>
    <n v="0"/>
    <n v="0"/>
  </r>
  <r>
    <x v="16"/>
    <x v="8"/>
    <x v="8"/>
    <x v="5"/>
    <x v="5"/>
    <x v="1"/>
    <x v="1"/>
    <n v="938092"/>
    <n v="0"/>
    <n v="938092"/>
    <n v="938092"/>
    <n v="0"/>
    <n v="0"/>
    <n v="0"/>
  </r>
  <r>
    <x v="16"/>
    <x v="10"/>
    <x v="10"/>
    <x v="5"/>
    <x v="5"/>
    <x v="0"/>
    <x v="0"/>
    <n v="0"/>
    <n v="0"/>
    <n v="0"/>
    <n v="0"/>
    <n v="0"/>
    <n v="0"/>
    <n v="0"/>
  </r>
  <r>
    <x v="16"/>
    <x v="10"/>
    <x v="10"/>
    <x v="5"/>
    <x v="5"/>
    <x v="1"/>
    <x v="1"/>
    <n v="2396635"/>
    <n v="0"/>
    <n v="2396635"/>
    <n v="2396635"/>
    <n v="0"/>
    <n v="0"/>
    <n v="0"/>
  </r>
  <r>
    <x v="16"/>
    <x v="9"/>
    <x v="9"/>
    <x v="2"/>
    <x v="2"/>
    <x v="0"/>
    <x v="0"/>
    <n v="0"/>
    <n v="0"/>
    <n v="0"/>
    <n v="0"/>
    <n v="0"/>
    <n v="0"/>
    <n v="0"/>
  </r>
  <r>
    <x v="16"/>
    <x v="9"/>
    <x v="9"/>
    <x v="3"/>
    <x v="3"/>
    <x v="0"/>
    <x v="0"/>
    <n v="11759"/>
    <n v="-13471"/>
    <n v="-1712"/>
    <n v="-1712"/>
    <n v="0"/>
    <n v="0"/>
    <n v="0"/>
  </r>
  <r>
    <x v="16"/>
    <x v="9"/>
    <x v="9"/>
    <x v="2"/>
    <x v="2"/>
    <x v="1"/>
    <x v="1"/>
    <n v="23400"/>
    <n v="0"/>
    <n v="23400"/>
    <n v="23400"/>
    <n v="0"/>
    <n v="0"/>
    <n v="0"/>
  </r>
  <r>
    <x v="16"/>
    <x v="9"/>
    <x v="9"/>
    <x v="3"/>
    <x v="3"/>
    <x v="1"/>
    <x v="1"/>
    <n v="935055"/>
    <n v="-9116"/>
    <n v="925939"/>
    <n v="925939"/>
    <n v="0"/>
    <n v="18104"/>
    <n v="0"/>
  </r>
  <r>
    <x v="17"/>
    <x v="1"/>
    <x v="1"/>
    <x v="1"/>
    <x v="1"/>
    <x v="0"/>
    <x v="0"/>
    <n v="14359"/>
    <n v="0"/>
    <n v="14359"/>
    <n v="14359"/>
    <n v="0"/>
    <n v="0"/>
    <n v="0"/>
  </r>
  <r>
    <x v="17"/>
    <x v="1"/>
    <x v="1"/>
    <x v="2"/>
    <x v="2"/>
    <x v="0"/>
    <x v="0"/>
    <n v="0"/>
    <n v="0"/>
    <n v="0"/>
    <n v="0"/>
    <n v="0"/>
    <n v="0"/>
    <n v="0"/>
  </r>
  <r>
    <x v="17"/>
    <x v="1"/>
    <x v="1"/>
    <x v="3"/>
    <x v="3"/>
    <x v="0"/>
    <x v="0"/>
    <n v="475291"/>
    <n v="0"/>
    <n v="475291"/>
    <n v="475291"/>
    <n v="0"/>
    <n v="0"/>
    <n v="0"/>
  </r>
  <r>
    <x v="17"/>
    <x v="1"/>
    <x v="1"/>
    <x v="1"/>
    <x v="1"/>
    <x v="1"/>
    <x v="1"/>
    <n v="759371"/>
    <n v="-11149"/>
    <n v="748222"/>
    <n v="748222"/>
    <n v="0"/>
    <n v="0"/>
    <n v="0"/>
  </r>
  <r>
    <x v="17"/>
    <x v="1"/>
    <x v="1"/>
    <x v="2"/>
    <x v="2"/>
    <x v="1"/>
    <x v="1"/>
    <n v="1260742"/>
    <n v="0"/>
    <n v="1260742"/>
    <n v="1260742"/>
    <n v="0"/>
    <n v="0"/>
    <n v="261542"/>
  </r>
  <r>
    <x v="17"/>
    <x v="1"/>
    <x v="1"/>
    <x v="3"/>
    <x v="3"/>
    <x v="1"/>
    <x v="1"/>
    <n v="6811919"/>
    <n v="0"/>
    <n v="6811919"/>
    <n v="6811919"/>
    <n v="0"/>
    <n v="139955"/>
    <n v="1254602"/>
  </r>
  <r>
    <x v="17"/>
    <x v="2"/>
    <x v="2"/>
    <x v="1"/>
    <x v="1"/>
    <x v="0"/>
    <x v="0"/>
    <n v="0"/>
    <n v="0"/>
    <n v="0"/>
    <n v="0"/>
    <n v="0"/>
    <n v="0"/>
    <n v="0"/>
  </r>
  <r>
    <x v="17"/>
    <x v="2"/>
    <x v="2"/>
    <x v="2"/>
    <x v="2"/>
    <x v="0"/>
    <x v="0"/>
    <n v="127125"/>
    <n v="-127125"/>
    <n v="0"/>
    <n v="0"/>
    <n v="0"/>
    <n v="0"/>
    <n v="0"/>
  </r>
  <r>
    <x v="17"/>
    <x v="2"/>
    <x v="2"/>
    <x v="3"/>
    <x v="3"/>
    <x v="0"/>
    <x v="0"/>
    <n v="30287"/>
    <n v="42918"/>
    <n v="73205"/>
    <n v="73205"/>
    <n v="0"/>
    <n v="0"/>
    <n v="0"/>
  </r>
  <r>
    <x v="17"/>
    <x v="2"/>
    <x v="2"/>
    <x v="1"/>
    <x v="1"/>
    <x v="1"/>
    <x v="1"/>
    <n v="444863"/>
    <n v="0"/>
    <n v="444863"/>
    <n v="444863"/>
    <n v="0"/>
    <n v="0"/>
    <n v="0"/>
  </r>
  <r>
    <x v="17"/>
    <x v="2"/>
    <x v="2"/>
    <x v="2"/>
    <x v="2"/>
    <x v="1"/>
    <x v="1"/>
    <n v="838386"/>
    <n v="0"/>
    <n v="838386"/>
    <n v="838386"/>
    <n v="0"/>
    <n v="0"/>
    <n v="192839"/>
  </r>
  <r>
    <x v="17"/>
    <x v="2"/>
    <x v="2"/>
    <x v="3"/>
    <x v="3"/>
    <x v="1"/>
    <x v="1"/>
    <n v="3838746"/>
    <n v="-170180"/>
    <n v="3668566"/>
    <n v="3668566"/>
    <n v="0"/>
    <n v="314016"/>
    <n v="402033"/>
  </r>
  <r>
    <x v="17"/>
    <x v="3"/>
    <x v="3"/>
    <x v="2"/>
    <x v="2"/>
    <x v="0"/>
    <x v="0"/>
    <n v="0"/>
    <n v="0"/>
    <n v="0"/>
    <n v="0"/>
    <n v="0"/>
    <n v="0"/>
    <n v="0"/>
  </r>
  <r>
    <x v="17"/>
    <x v="3"/>
    <x v="3"/>
    <x v="3"/>
    <x v="3"/>
    <x v="0"/>
    <x v="0"/>
    <n v="29138"/>
    <n v="189539"/>
    <n v="218677"/>
    <n v="218677"/>
    <n v="0"/>
    <n v="0"/>
    <n v="0"/>
  </r>
  <r>
    <x v="17"/>
    <x v="3"/>
    <x v="3"/>
    <x v="2"/>
    <x v="2"/>
    <x v="1"/>
    <x v="1"/>
    <n v="1771705"/>
    <n v="0"/>
    <n v="1771705"/>
    <n v="1771705"/>
    <n v="0"/>
    <n v="0"/>
    <n v="409072"/>
  </r>
  <r>
    <x v="17"/>
    <x v="3"/>
    <x v="3"/>
    <x v="3"/>
    <x v="3"/>
    <x v="1"/>
    <x v="1"/>
    <n v="3509891"/>
    <n v="-54034"/>
    <n v="3455857"/>
    <n v="3455857"/>
    <n v="0"/>
    <n v="122401"/>
    <n v="388251"/>
  </r>
  <r>
    <x v="17"/>
    <x v="4"/>
    <x v="4"/>
    <x v="4"/>
    <x v="4"/>
    <x v="0"/>
    <x v="0"/>
    <n v="144167"/>
    <n v="-60819"/>
    <n v="83348"/>
    <n v="83348"/>
    <n v="0"/>
    <n v="0"/>
    <n v="0"/>
  </r>
  <r>
    <x v="17"/>
    <x v="4"/>
    <x v="4"/>
    <x v="4"/>
    <x v="4"/>
    <x v="1"/>
    <x v="1"/>
    <n v="3235791"/>
    <n v="0"/>
    <n v="3235791"/>
    <n v="3235791"/>
    <n v="0"/>
    <n v="0"/>
    <n v="184869"/>
  </r>
  <r>
    <x v="17"/>
    <x v="5"/>
    <x v="5"/>
    <x v="3"/>
    <x v="3"/>
    <x v="0"/>
    <x v="0"/>
    <n v="0"/>
    <n v="0"/>
    <n v="0"/>
    <n v="0"/>
    <n v="0"/>
    <n v="0"/>
    <n v="0"/>
  </r>
  <r>
    <x v="17"/>
    <x v="5"/>
    <x v="5"/>
    <x v="3"/>
    <x v="3"/>
    <x v="1"/>
    <x v="1"/>
    <n v="2306499"/>
    <n v="0"/>
    <n v="2306499"/>
    <n v="2306499"/>
    <n v="0"/>
    <n v="0"/>
    <n v="0"/>
  </r>
  <r>
    <x v="17"/>
    <x v="7"/>
    <x v="7"/>
    <x v="5"/>
    <x v="5"/>
    <x v="0"/>
    <x v="0"/>
    <n v="0"/>
    <n v="0"/>
    <n v="0"/>
    <n v="0"/>
    <n v="0"/>
    <n v="0"/>
    <n v="0"/>
  </r>
  <r>
    <x v="17"/>
    <x v="7"/>
    <x v="7"/>
    <x v="5"/>
    <x v="5"/>
    <x v="1"/>
    <x v="1"/>
    <n v="710413"/>
    <n v="0"/>
    <n v="710413"/>
    <n v="710413"/>
    <n v="0"/>
    <n v="0"/>
    <n v="248202"/>
  </r>
  <r>
    <x v="17"/>
    <x v="8"/>
    <x v="8"/>
    <x v="5"/>
    <x v="5"/>
    <x v="0"/>
    <x v="0"/>
    <n v="0"/>
    <n v="0"/>
    <n v="0"/>
    <n v="0"/>
    <n v="0"/>
    <n v="0"/>
    <n v="0"/>
  </r>
  <r>
    <x v="17"/>
    <x v="8"/>
    <x v="8"/>
    <x v="5"/>
    <x v="5"/>
    <x v="1"/>
    <x v="1"/>
    <n v="861922"/>
    <n v="0"/>
    <n v="861922"/>
    <n v="861922"/>
    <n v="0"/>
    <n v="0"/>
    <n v="0"/>
  </r>
  <r>
    <x v="17"/>
    <x v="10"/>
    <x v="10"/>
    <x v="5"/>
    <x v="5"/>
    <x v="0"/>
    <x v="0"/>
    <n v="0"/>
    <n v="0"/>
    <n v="0"/>
    <n v="0"/>
    <n v="0"/>
    <n v="0"/>
    <n v="0"/>
  </r>
  <r>
    <x v="17"/>
    <x v="10"/>
    <x v="10"/>
    <x v="5"/>
    <x v="5"/>
    <x v="1"/>
    <x v="1"/>
    <n v="2200178"/>
    <n v="0"/>
    <n v="2200178"/>
    <n v="2200178"/>
    <n v="0"/>
    <n v="0"/>
    <n v="0"/>
  </r>
  <r>
    <x v="17"/>
    <x v="9"/>
    <x v="9"/>
    <x v="2"/>
    <x v="2"/>
    <x v="0"/>
    <x v="0"/>
    <n v="0"/>
    <n v="0"/>
    <n v="0"/>
    <n v="0"/>
    <n v="0"/>
    <n v="0"/>
    <n v="0"/>
  </r>
  <r>
    <x v="17"/>
    <x v="9"/>
    <x v="9"/>
    <x v="3"/>
    <x v="3"/>
    <x v="0"/>
    <x v="0"/>
    <n v="25487"/>
    <n v="5254"/>
    <n v="30741"/>
    <n v="30741"/>
    <n v="0"/>
    <n v="0"/>
    <n v="0"/>
  </r>
  <r>
    <x v="17"/>
    <x v="9"/>
    <x v="9"/>
    <x v="2"/>
    <x v="2"/>
    <x v="1"/>
    <x v="1"/>
    <n v="0"/>
    <n v="0"/>
    <n v="0"/>
    <n v="0"/>
    <n v="0"/>
    <n v="0"/>
    <n v="0"/>
  </r>
  <r>
    <x v="17"/>
    <x v="9"/>
    <x v="9"/>
    <x v="3"/>
    <x v="3"/>
    <x v="1"/>
    <x v="1"/>
    <n v="795848"/>
    <n v="-1616"/>
    <n v="794232"/>
    <n v="794232"/>
    <n v="0"/>
    <n v="0"/>
    <n v="0"/>
  </r>
  <r>
    <x v="18"/>
    <x v="1"/>
    <x v="1"/>
    <x v="1"/>
    <x v="1"/>
    <x v="0"/>
    <x v="0"/>
    <n v="25626"/>
    <n v="0"/>
    <n v="25626"/>
    <n v="25626"/>
    <n v="0"/>
    <m/>
    <n v="0"/>
  </r>
  <r>
    <x v="18"/>
    <x v="1"/>
    <x v="1"/>
    <x v="2"/>
    <x v="2"/>
    <x v="0"/>
    <x v="0"/>
    <n v="0"/>
    <n v="0"/>
    <n v="0"/>
    <n v="0"/>
    <n v="0"/>
    <m/>
    <n v="0"/>
  </r>
  <r>
    <x v="18"/>
    <x v="1"/>
    <x v="1"/>
    <x v="3"/>
    <x v="3"/>
    <x v="0"/>
    <x v="0"/>
    <n v="139955"/>
    <n v="0"/>
    <n v="139955"/>
    <n v="139955"/>
    <n v="0"/>
    <n v="0"/>
    <n v="0"/>
  </r>
  <r>
    <x v="18"/>
    <x v="1"/>
    <x v="1"/>
    <x v="1"/>
    <x v="1"/>
    <x v="1"/>
    <x v="1"/>
    <n v="730653"/>
    <n v="-14477"/>
    <n v="716176"/>
    <n v="716176"/>
    <n v="0"/>
    <n v="14477"/>
    <n v="0"/>
  </r>
  <r>
    <x v="18"/>
    <x v="1"/>
    <x v="1"/>
    <x v="2"/>
    <x v="2"/>
    <x v="1"/>
    <x v="1"/>
    <n v="1269395"/>
    <n v="0"/>
    <n v="1269395"/>
    <n v="1269395"/>
    <n v="0"/>
    <n v="23433"/>
    <n v="269529"/>
  </r>
  <r>
    <x v="18"/>
    <x v="1"/>
    <x v="1"/>
    <x v="3"/>
    <x v="3"/>
    <x v="1"/>
    <x v="1"/>
    <n v="7878756"/>
    <n v="-279001"/>
    <n v="7599755"/>
    <n v="7599755"/>
    <n v="0"/>
    <n v="125896"/>
    <n v="1292025"/>
  </r>
  <r>
    <x v="18"/>
    <x v="2"/>
    <x v="2"/>
    <x v="1"/>
    <x v="1"/>
    <x v="0"/>
    <x v="0"/>
    <n v="29900"/>
    <n v="0"/>
    <n v="29900"/>
    <n v="29900"/>
    <n v="0"/>
    <n v="0"/>
    <n v="0"/>
  </r>
  <r>
    <x v="18"/>
    <x v="2"/>
    <x v="2"/>
    <x v="2"/>
    <x v="2"/>
    <x v="0"/>
    <x v="0"/>
    <n v="21252"/>
    <n v="-13960"/>
    <n v="7292"/>
    <n v="7292"/>
    <n v="0"/>
    <n v="0"/>
    <n v="0"/>
  </r>
  <r>
    <x v="18"/>
    <x v="2"/>
    <x v="2"/>
    <x v="3"/>
    <x v="3"/>
    <x v="0"/>
    <x v="0"/>
    <n v="314769"/>
    <n v="-1172410"/>
    <n v="-857641"/>
    <n v="-857641"/>
    <n v="0"/>
    <n v="0"/>
    <n v="0"/>
  </r>
  <r>
    <x v="18"/>
    <x v="2"/>
    <x v="2"/>
    <x v="1"/>
    <x v="1"/>
    <x v="1"/>
    <x v="1"/>
    <n v="453304"/>
    <n v="0"/>
    <n v="453304"/>
    <n v="453304"/>
    <n v="0"/>
    <n v="0"/>
    <n v="0"/>
  </r>
  <r>
    <x v="18"/>
    <x v="2"/>
    <x v="2"/>
    <x v="2"/>
    <x v="2"/>
    <x v="1"/>
    <x v="1"/>
    <n v="908370"/>
    <n v="-14893"/>
    <n v="893477"/>
    <n v="893477"/>
    <n v="0"/>
    <n v="0"/>
    <n v="208652"/>
  </r>
  <r>
    <x v="18"/>
    <x v="2"/>
    <x v="2"/>
    <x v="3"/>
    <x v="3"/>
    <x v="1"/>
    <x v="1"/>
    <n v="4773750"/>
    <n v="-370184"/>
    <n v="4403566"/>
    <n v="4403566"/>
    <n v="0"/>
    <n v="20066"/>
    <n v="520816"/>
  </r>
  <r>
    <x v="18"/>
    <x v="3"/>
    <x v="3"/>
    <x v="2"/>
    <x v="2"/>
    <x v="0"/>
    <x v="0"/>
    <n v="0"/>
    <n v="0"/>
    <n v="0"/>
    <n v="0"/>
    <n v="0"/>
    <n v="0"/>
    <n v="3"/>
  </r>
  <r>
    <x v="18"/>
    <x v="3"/>
    <x v="3"/>
    <x v="3"/>
    <x v="3"/>
    <x v="0"/>
    <x v="0"/>
    <n v="87846"/>
    <n v="-287573"/>
    <n v="-199727"/>
    <n v="-199727"/>
    <n v="0"/>
    <n v="0"/>
    <n v="0"/>
  </r>
  <r>
    <x v="18"/>
    <x v="3"/>
    <x v="3"/>
    <x v="2"/>
    <x v="2"/>
    <x v="1"/>
    <x v="1"/>
    <n v="1866278"/>
    <n v="-242124"/>
    <n v="1624154"/>
    <n v="1624154"/>
    <n v="0"/>
    <n v="0"/>
    <n v="377692"/>
  </r>
  <r>
    <x v="18"/>
    <x v="3"/>
    <x v="3"/>
    <x v="3"/>
    <x v="3"/>
    <x v="1"/>
    <x v="1"/>
    <n v="4129249"/>
    <n v="-13569"/>
    <n v="4115680"/>
    <n v="4115680"/>
    <n v="0"/>
    <n v="232399"/>
    <n v="404767"/>
  </r>
  <r>
    <x v="18"/>
    <x v="4"/>
    <x v="4"/>
    <x v="4"/>
    <x v="4"/>
    <x v="0"/>
    <x v="0"/>
    <n v="96286"/>
    <n v="-430470"/>
    <n v="-334184"/>
    <n v="-334184"/>
    <n v="0"/>
    <n v="0"/>
    <n v="0"/>
  </r>
  <r>
    <x v="18"/>
    <x v="4"/>
    <x v="4"/>
    <x v="4"/>
    <x v="4"/>
    <x v="1"/>
    <x v="1"/>
    <n v="3678425"/>
    <n v="-98971"/>
    <n v="3579454"/>
    <n v="3579454"/>
    <n v="0"/>
    <n v="0"/>
    <n v="186659"/>
  </r>
  <r>
    <x v="18"/>
    <x v="5"/>
    <x v="5"/>
    <x v="3"/>
    <x v="3"/>
    <x v="0"/>
    <x v="0"/>
    <n v="0"/>
    <n v="0"/>
    <n v="0"/>
    <n v="0"/>
    <n v="0"/>
    <n v="0"/>
    <n v="0"/>
  </r>
  <r>
    <x v="18"/>
    <x v="5"/>
    <x v="5"/>
    <x v="3"/>
    <x v="3"/>
    <x v="1"/>
    <x v="1"/>
    <n v="2198815"/>
    <n v="0"/>
    <n v="2198815"/>
    <n v="2198815"/>
    <n v="0"/>
    <n v="98472"/>
    <n v="0"/>
  </r>
  <r>
    <x v="18"/>
    <x v="7"/>
    <x v="7"/>
    <x v="5"/>
    <x v="5"/>
    <x v="0"/>
    <x v="0"/>
    <n v="0"/>
    <n v="0"/>
    <n v="0"/>
    <n v="0"/>
    <n v="0"/>
    <n v="0"/>
    <n v="0"/>
  </r>
  <r>
    <x v="18"/>
    <x v="7"/>
    <x v="7"/>
    <x v="5"/>
    <x v="5"/>
    <x v="1"/>
    <x v="1"/>
    <n v="789390"/>
    <n v="0"/>
    <n v="789390"/>
    <n v="789390"/>
    <n v="0"/>
    <n v="0"/>
    <n v="268227"/>
  </r>
  <r>
    <x v="18"/>
    <x v="8"/>
    <x v="8"/>
    <x v="5"/>
    <x v="5"/>
    <x v="0"/>
    <x v="0"/>
    <n v="0"/>
    <n v="0"/>
    <n v="0"/>
    <n v="0"/>
    <n v="0"/>
    <n v="0"/>
    <n v="0"/>
  </r>
  <r>
    <x v="18"/>
    <x v="8"/>
    <x v="8"/>
    <x v="5"/>
    <x v="5"/>
    <x v="1"/>
    <x v="1"/>
    <n v="847336"/>
    <n v="0"/>
    <n v="847336"/>
    <n v="847336"/>
    <n v="0"/>
    <n v="0"/>
    <n v="0"/>
  </r>
  <r>
    <x v="18"/>
    <x v="10"/>
    <x v="10"/>
    <x v="5"/>
    <x v="5"/>
    <x v="0"/>
    <x v="0"/>
    <n v="0"/>
    <n v="0"/>
    <n v="0"/>
    <n v="0"/>
    <n v="0"/>
    <n v="0"/>
    <n v="0"/>
  </r>
  <r>
    <x v="18"/>
    <x v="10"/>
    <x v="10"/>
    <x v="5"/>
    <x v="5"/>
    <x v="1"/>
    <x v="1"/>
    <n v="2426031"/>
    <n v="0"/>
    <n v="2426031"/>
    <n v="2426031"/>
    <n v="0"/>
    <n v="0"/>
    <n v="0"/>
  </r>
  <r>
    <x v="18"/>
    <x v="9"/>
    <x v="9"/>
    <x v="2"/>
    <x v="2"/>
    <x v="0"/>
    <x v="0"/>
    <n v="0"/>
    <n v="0"/>
    <n v="0"/>
    <n v="0"/>
    <n v="0"/>
    <n v="0"/>
    <n v="0"/>
  </r>
  <r>
    <x v="18"/>
    <x v="9"/>
    <x v="9"/>
    <x v="3"/>
    <x v="3"/>
    <x v="0"/>
    <x v="0"/>
    <n v="2600"/>
    <n v="1616"/>
    <n v="4216"/>
    <n v="4216"/>
    <n v="0"/>
    <n v="0"/>
    <n v="0"/>
  </r>
  <r>
    <x v="18"/>
    <x v="9"/>
    <x v="9"/>
    <x v="2"/>
    <x v="2"/>
    <x v="1"/>
    <x v="1"/>
    <n v="41560"/>
    <n v="0"/>
    <n v="41560"/>
    <n v="41560"/>
    <n v="0"/>
    <n v="0"/>
    <n v="0"/>
  </r>
  <r>
    <x v="18"/>
    <x v="9"/>
    <x v="9"/>
    <x v="3"/>
    <x v="3"/>
    <x v="1"/>
    <x v="1"/>
    <n v="782647"/>
    <n v="-2023"/>
    <n v="780624"/>
    <n v="780624"/>
    <n v="0"/>
    <n v="0"/>
    <n v="0"/>
  </r>
  <r>
    <x v="19"/>
    <x v="1"/>
    <x v="1"/>
    <x v="3"/>
    <x v="3"/>
    <x v="1"/>
    <x v="1"/>
    <n v="7973312"/>
    <n v="-39247"/>
    <n v="7934065"/>
    <n v="7934065"/>
    <n v="0"/>
    <n v="111322"/>
    <n v="1369946"/>
  </r>
  <r>
    <x v="19"/>
    <x v="1"/>
    <x v="1"/>
    <x v="1"/>
    <x v="1"/>
    <x v="1"/>
    <x v="1"/>
    <n v="670235"/>
    <n v="0"/>
    <n v="670235"/>
    <n v="670235"/>
    <n v="0"/>
    <n v="0"/>
    <n v="0"/>
  </r>
  <r>
    <x v="19"/>
    <x v="1"/>
    <x v="1"/>
    <x v="2"/>
    <x v="2"/>
    <x v="1"/>
    <x v="1"/>
    <n v="1148121"/>
    <n v="-99693"/>
    <n v="1048428"/>
    <n v="1048428"/>
    <n v="0"/>
    <n v="0"/>
    <n v="231734"/>
  </r>
  <r>
    <x v="19"/>
    <x v="1"/>
    <x v="1"/>
    <x v="3"/>
    <x v="3"/>
    <x v="0"/>
    <x v="0"/>
    <n v="125896"/>
    <n v="78344"/>
    <n v="204240"/>
    <n v="204240"/>
    <n v="0"/>
    <n v="0"/>
    <n v="0"/>
  </r>
  <r>
    <x v="19"/>
    <x v="1"/>
    <x v="1"/>
    <x v="1"/>
    <x v="1"/>
    <x v="0"/>
    <x v="0"/>
    <n v="32164"/>
    <n v="-17687"/>
    <n v="14477"/>
    <n v="14477"/>
    <n v="0"/>
    <n v="0"/>
    <n v="0"/>
  </r>
  <r>
    <x v="19"/>
    <x v="1"/>
    <x v="1"/>
    <x v="2"/>
    <x v="2"/>
    <x v="0"/>
    <x v="0"/>
    <n v="0"/>
    <n v="0"/>
    <n v="0"/>
    <n v="0"/>
    <n v="0"/>
    <n v="0"/>
    <n v="0"/>
  </r>
  <r>
    <x v="19"/>
    <x v="2"/>
    <x v="2"/>
    <x v="3"/>
    <x v="3"/>
    <x v="1"/>
    <x v="1"/>
    <n v="4702059"/>
    <n v="-113492"/>
    <n v="4588567"/>
    <n v="4588567"/>
    <n v="0"/>
    <n v="0"/>
    <n v="580162"/>
  </r>
  <r>
    <x v="19"/>
    <x v="2"/>
    <x v="2"/>
    <x v="1"/>
    <x v="1"/>
    <x v="1"/>
    <x v="1"/>
    <n v="429208"/>
    <n v="0"/>
    <n v="429208"/>
    <n v="429208"/>
    <n v="0"/>
    <n v="0"/>
    <n v="0"/>
  </r>
  <r>
    <x v="19"/>
    <x v="2"/>
    <x v="2"/>
    <x v="2"/>
    <x v="2"/>
    <x v="1"/>
    <x v="1"/>
    <n v="913269"/>
    <n v="-55677"/>
    <n v="857592"/>
    <n v="857592"/>
    <n v="0"/>
    <n v="0"/>
    <n v="205308"/>
  </r>
  <r>
    <x v="19"/>
    <x v="2"/>
    <x v="2"/>
    <x v="3"/>
    <x v="3"/>
    <x v="0"/>
    <x v="0"/>
    <n v="1388220"/>
    <n v="-71670"/>
    <n v="1316550"/>
    <n v="1316550"/>
    <n v="0"/>
    <n v="0"/>
    <n v="0"/>
  </r>
  <r>
    <x v="19"/>
    <x v="2"/>
    <x v="2"/>
    <x v="1"/>
    <x v="1"/>
    <x v="0"/>
    <x v="0"/>
    <n v="11514"/>
    <n v="0"/>
    <n v="11514"/>
    <n v="11514"/>
    <n v="0"/>
    <n v="0"/>
    <n v="0"/>
  </r>
  <r>
    <x v="19"/>
    <x v="2"/>
    <x v="2"/>
    <x v="2"/>
    <x v="2"/>
    <x v="0"/>
    <x v="0"/>
    <n v="28853"/>
    <n v="0"/>
    <n v="28853"/>
    <n v="28853"/>
    <n v="0"/>
    <n v="0"/>
    <n v="0"/>
  </r>
  <r>
    <x v="19"/>
    <x v="3"/>
    <x v="3"/>
    <x v="3"/>
    <x v="3"/>
    <x v="1"/>
    <x v="1"/>
    <n v="4183861"/>
    <n v="-105403"/>
    <n v="4078458"/>
    <n v="4078458"/>
    <n v="0"/>
    <n v="266062"/>
    <n v="494085"/>
  </r>
  <r>
    <x v="19"/>
    <x v="3"/>
    <x v="3"/>
    <x v="2"/>
    <x v="2"/>
    <x v="1"/>
    <x v="1"/>
    <n v="1598647"/>
    <n v="0"/>
    <n v="1598647"/>
    <n v="1598647"/>
    <n v="0"/>
    <n v="0"/>
    <n v="428061"/>
  </r>
  <r>
    <x v="19"/>
    <x v="3"/>
    <x v="3"/>
    <x v="3"/>
    <x v="3"/>
    <x v="0"/>
    <x v="0"/>
    <n v="484146"/>
    <n v="28232"/>
    <n v="512378"/>
    <n v="512378"/>
    <n v="0"/>
    <n v="0"/>
    <n v="0"/>
  </r>
  <r>
    <x v="19"/>
    <x v="3"/>
    <x v="3"/>
    <x v="2"/>
    <x v="2"/>
    <x v="0"/>
    <x v="0"/>
    <n v="242124"/>
    <n v="0"/>
    <n v="242124"/>
    <n v="242124"/>
    <n v="0"/>
    <n v="0"/>
    <n v="0"/>
  </r>
  <r>
    <x v="19"/>
    <x v="4"/>
    <x v="4"/>
    <x v="4"/>
    <x v="4"/>
    <x v="1"/>
    <x v="1"/>
    <n v="4198450"/>
    <n v="-2592"/>
    <n v="4195858"/>
    <n v="4195858"/>
    <n v="0"/>
    <n v="0"/>
    <n v="247531"/>
  </r>
  <r>
    <x v="19"/>
    <x v="4"/>
    <x v="4"/>
    <x v="4"/>
    <x v="4"/>
    <x v="0"/>
    <x v="0"/>
    <n v="213633"/>
    <n v="61174"/>
    <n v="274807"/>
    <n v="274807"/>
    <n v="0"/>
    <n v="0"/>
    <n v="0"/>
  </r>
  <r>
    <x v="19"/>
    <x v="5"/>
    <x v="5"/>
    <x v="3"/>
    <x v="3"/>
    <x v="1"/>
    <x v="1"/>
    <n v="2291722"/>
    <n v="0"/>
    <n v="2291722"/>
    <n v="2291722"/>
    <n v="0"/>
    <n v="0"/>
    <n v="0"/>
  </r>
  <r>
    <x v="19"/>
    <x v="5"/>
    <x v="5"/>
    <x v="3"/>
    <x v="3"/>
    <x v="0"/>
    <x v="0"/>
    <n v="98472"/>
    <n v="0"/>
    <n v="98472"/>
    <n v="98472"/>
    <n v="0"/>
    <n v="0"/>
    <n v="0"/>
  </r>
  <r>
    <x v="19"/>
    <x v="7"/>
    <x v="7"/>
    <x v="5"/>
    <x v="5"/>
    <x v="1"/>
    <x v="1"/>
    <n v="777456"/>
    <n v="0"/>
    <n v="777456"/>
    <n v="777456"/>
    <n v="0"/>
    <n v="0"/>
    <n v="273762"/>
  </r>
  <r>
    <x v="19"/>
    <x v="7"/>
    <x v="7"/>
    <x v="5"/>
    <x v="5"/>
    <x v="0"/>
    <x v="0"/>
    <n v="0"/>
    <n v="0"/>
    <n v="0"/>
    <n v="0"/>
    <n v="0"/>
    <n v="0"/>
    <n v="0"/>
  </r>
  <r>
    <x v="19"/>
    <x v="8"/>
    <x v="8"/>
    <x v="5"/>
    <x v="5"/>
    <x v="1"/>
    <x v="1"/>
    <n v="960460"/>
    <n v="0"/>
    <n v="960460"/>
    <n v="960460"/>
    <n v="0"/>
    <n v="0"/>
    <n v="0"/>
  </r>
  <r>
    <x v="19"/>
    <x v="8"/>
    <x v="8"/>
    <x v="5"/>
    <x v="5"/>
    <x v="0"/>
    <x v="0"/>
    <n v="0"/>
    <n v="0"/>
    <n v="0"/>
    <n v="0"/>
    <n v="0"/>
    <n v="0"/>
    <n v="0"/>
  </r>
  <r>
    <x v="19"/>
    <x v="10"/>
    <x v="10"/>
    <x v="5"/>
    <x v="5"/>
    <x v="1"/>
    <x v="1"/>
    <n v="2405342"/>
    <n v="0"/>
    <n v="2405342"/>
    <n v="2405342"/>
    <n v="0"/>
    <n v="0"/>
    <n v="0"/>
  </r>
  <r>
    <x v="19"/>
    <x v="10"/>
    <x v="10"/>
    <x v="5"/>
    <x v="5"/>
    <x v="0"/>
    <x v="0"/>
    <n v="0"/>
    <n v="0"/>
    <n v="0"/>
    <n v="0"/>
    <n v="0"/>
    <n v="0"/>
    <n v="0"/>
  </r>
  <r>
    <x v="19"/>
    <x v="9"/>
    <x v="9"/>
    <x v="3"/>
    <x v="3"/>
    <x v="1"/>
    <x v="1"/>
    <n v="823704"/>
    <n v="0"/>
    <n v="823704"/>
    <n v="823704"/>
    <n v="0"/>
    <n v="0"/>
    <n v="0"/>
  </r>
  <r>
    <x v="19"/>
    <x v="9"/>
    <x v="9"/>
    <x v="2"/>
    <x v="2"/>
    <x v="1"/>
    <x v="1"/>
    <n v="60400"/>
    <n v="0"/>
    <n v="60400"/>
    <n v="60400"/>
    <n v="0"/>
    <n v="0"/>
    <n v="0"/>
  </r>
  <r>
    <x v="19"/>
    <x v="9"/>
    <x v="9"/>
    <x v="3"/>
    <x v="3"/>
    <x v="0"/>
    <x v="0"/>
    <n v="0"/>
    <n v="0"/>
    <n v="0"/>
    <n v="0"/>
    <n v="0"/>
    <n v="0"/>
    <n v="0"/>
  </r>
  <r>
    <x v="19"/>
    <x v="9"/>
    <x v="9"/>
    <x v="2"/>
    <x v="2"/>
    <x v="0"/>
    <x v="0"/>
    <n v="28635"/>
    <n v="0"/>
    <n v="28635"/>
    <n v="28635"/>
    <n v="0"/>
    <n v="0"/>
    <n v="0"/>
  </r>
  <r>
    <x v="20"/>
    <x v="1"/>
    <x v="1"/>
    <x v="3"/>
    <x v="3"/>
    <x v="1"/>
    <x v="1"/>
    <n v="8193772"/>
    <n v="-16841"/>
    <n v="8176931"/>
    <n v="8176931"/>
    <n v="0"/>
    <n v="194017"/>
    <n v="1381326"/>
  </r>
  <r>
    <x v="20"/>
    <x v="1"/>
    <x v="1"/>
    <x v="1"/>
    <x v="1"/>
    <x v="1"/>
    <x v="1"/>
    <n v="644331"/>
    <n v="0"/>
    <n v="644331"/>
    <n v="644331"/>
    <n v="0"/>
    <n v="11267"/>
    <n v="0"/>
  </r>
  <r>
    <x v="20"/>
    <x v="1"/>
    <x v="1"/>
    <x v="2"/>
    <x v="2"/>
    <x v="1"/>
    <x v="1"/>
    <n v="1249320"/>
    <n v="0"/>
    <n v="1249320"/>
    <n v="1249320"/>
    <n v="0"/>
    <n v="0"/>
    <n v="295743"/>
  </r>
  <r>
    <x v="20"/>
    <x v="1"/>
    <x v="1"/>
    <x v="3"/>
    <x v="3"/>
    <x v="0"/>
    <x v="0"/>
    <n v="128099"/>
    <n v="15504"/>
    <n v="143603"/>
    <n v="143603"/>
    <n v="0"/>
    <n v="0"/>
    <n v="0"/>
  </r>
  <r>
    <x v="20"/>
    <x v="1"/>
    <x v="1"/>
    <x v="1"/>
    <x v="1"/>
    <x v="0"/>
    <x v="0"/>
    <n v="17687"/>
    <n v="0"/>
    <n v="17687"/>
    <n v="17687"/>
    <n v="0"/>
    <n v="0"/>
    <n v="0"/>
  </r>
  <r>
    <x v="20"/>
    <x v="1"/>
    <x v="1"/>
    <x v="2"/>
    <x v="2"/>
    <x v="0"/>
    <x v="0"/>
    <n v="114882"/>
    <n v="0"/>
    <n v="114882"/>
    <n v="114882"/>
    <n v="0"/>
    <n v="0"/>
    <n v="0"/>
  </r>
  <r>
    <x v="20"/>
    <x v="2"/>
    <x v="2"/>
    <x v="3"/>
    <x v="3"/>
    <x v="1"/>
    <x v="1"/>
    <n v="4790167"/>
    <n v="-72422"/>
    <n v="4717745"/>
    <n v="4717745"/>
    <n v="0"/>
    <n v="0"/>
    <n v="518576"/>
  </r>
  <r>
    <x v="20"/>
    <x v="2"/>
    <x v="2"/>
    <x v="1"/>
    <x v="1"/>
    <x v="1"/>
    <x v="1"/>
    <n v="465738"/>
    <n v="-18431"/>
    <n v="447307"/>
    <n v="447307"/>
    <n v="0"/>
    <n v="0"/>
    <n v="0"/>
  </r>
  <r>
    <x v="20"/>
    <x v="2"/>
    <x v="2"/>
    <x v="2"/>
    <x v="2"/>
    <x v="1"/>
    <x v="1"/>
    <n v="972966"/>
    <n v="-19511"/>
    <n v="953455"/>
    <n v="953455"/>
    <n v="0"/>
    <n v="0"/>
    <n v="233805"/>
  </r>
  <r>
    <x v="20"/>
    <x v="2"/>
    <x v="2"/>
    <x v="3"/>
    <x v="3"/>
    <x v="0"/>
    <x v="0"/>
    <n v="56785"/>
    <n v="0"/>
    <n v="56785"/>
    <n v="56785"/>
    <n v="0"/>
    <n v="0"/>
    <n v="0"/>
  </r>
  <r>
    <x v="20"/>
    <x v="2"/>
    <x v="2"/>
    <x v="1"/>
    <x v="1"/>
    <x v="0"/>
    <x v="0"/>
    <n v="0"/>
    <n v="0"/>
    <n v="0"/>
    <n v="0"/>
    <n v="0"/>
    <n v="0"/>
    <n v="0"/>
  </r>
  <r>
    <x v="20"/>
    <x v="2"/>
    <x v="2"/>
    <x v="2"/>
    <x v="2"/>
    <x v="0"/>
    <x v="0"/>
    <n v="55677"/>
    <n v="0"/>
    <n v="55677"/>
    <n v="55677"/>
    <n v="0"/>
    <n v="0"/>
    <n v="0"/>
  </r>
  <r>
    <x v="20"/>
    <x v="3"/>
    <x v="3"/>
    <x v="3"/>
    <x v="3"/>
    <x v="1"/>
    <x v="1"/>
    <n v="4299495"/>
    <n v="-142589"/>
    <n v="4156906"/>
    <n v="4156906"/>
    <n v="0"/>
    <n v="8133"/>
    <n v="468481"/>
  </r>
  <r>
    <x v="20"/>
    <x v="3"/>
    <x v="3"/>
    <x v="2"/>
    <x v="2"/>
    <x v="1"/>
    <x v="1"/>
    <n v="1488856"/>
    <n v="-20862"/>
    <n v="1467994"/>
    <n v="1467994"/>
    <n v="0"/>
    <n v="0"/>
    <n v="341347"/>
  </r>
  <r>
    <x v="20"/>
    <x v="3"/>
    <x v="3"/>
    <x v="3"/>
    <x v="3"/>
    <x v="0"/>
    <x v="0"/>
    <n v="363033"/>
    <n v="72939"/>
    <n v="435972"/>
    <n v="435972"/>
    <n v="0"/>
    <n v="0"/>
    <n v="0"/>
  </r>
  <r>
    <x v="20"/>
    <x v="3"/>
    <x v="3"/>
    <x v="2"/>
    <x v="2"/>
    <x v="0"/>
    <x v="0"/>
    <n v="0"/>
    <n v="0"/>
    <n v="0"/>
    <n v="0"/>
    <n v="0"/>
    <n v="0"/>
    <n v="0"/>
  </r>
  <r>
    <x v="20"/>
    <x v="4"/>
    <x v="4"/>
    <x v="4"/>
    <x v="4"/>
    <x v="1"/>
    <x v="1"/>
    <n v="4098308"/>
    <n v="0"/>
    <n v="4098308"/>
    <n v="4098308"/>
    <n v="0"/>
    <n v="0"/>
    <n v="231845"/>
  </r>
  <r>
    <x v="20"/>
    <x v="4"/>
    <x v="4"/>
    <x v="4"/>
    <x v="4"/>
    <x v="0"/>
    <x v="0"/>
    <n v="92580"/>
    <n v="0"/>
    <n v="92580"/>
    <n v="92580"/>
    <n v="0"/>
    <n v="0"/>
    <n v="0"/>
  </r>
  <r>
    <x v="20"/>
    <x v="5"/>
    <x v="5"/>
    <x v="3"/>
    <x v="3"/>
    <x v="1"/>
    <x v="1"/>
    <n v="2293370"/>
    <n v="0"/>
    <n v="2293370"/>
    <n v="2293370"/>
    <n v="0"/>
    <n v="0"/>
    <n v="0"/>
  </r>
  <r>
    <x v="20"/>
    <x v="5"/>
    <x v="5"/>
    <x v="3"/>
    <x v="3"/>
    <x v="0"/>
    <x v="0"/>
    <n v="0"/>
    <n v="0"/>
    <n v="0"/>
    <n v="0"/>
    <n v="0"/>
    <n v="0"/>
    <n v="0"/>
  </r>
  <r>
    <x v="20"/>
    <x v="7"/>
    <x v="7"/>
    <x v="5"/>
    <x v="5"/>
    <x v="1"/>
    <x v="1"/>
    <n v="802372"/>
    <n v="0"/>
    <n v="802372"/>
    <n v="802372"/>
    <n v="0"/>
    <n v="0"/>
    <n v="283493"/>
  </r>
  <r>
    <x v="20"/>
    <x v="7"/>
    <x v="7"/>
    <x v="5"/>
    <x v="5"/>
    <x v="0"/>
    <x v="0"/>
    <n v="0"/>
    <n v="0"/>
    <n v="0"/>
    <n v="0"/>
    <n v="0"/>
    <n v="0"/>
    <n v="0"/>
  </r>
  <r>
    <x v="20"/>
    <x v="8"/>
    <x v="8"/>
    <x v="5"/>
    <x v="5"/>
    <x v="1"/>
    <x v="1"/>
    <n v="1007268"/>
    <n v="0"/>
    <n v="1007268"/>
    <n v="1007268"/>
    <n v="0"/>
    <n v="0"/>
    <n v="0"/>
  </r>
  <r>
    <x v="20"/>
    <x v="8"/>
    <x v="8"/>
    <x v="5"/>
    <x v="5"/>
    <x v="0"/>
    <x v="0"/>
    <n v="0"/>
    <n v="0"/>
    <n v="0"/>
    <n v="0"/>
    <n v="0"/>
    <n v="0"/>
    <n v="0"/>
  </r>
  <r>
    <x v="20"/>
    <x v="10"/>
    <x v="10"/>
    <x v="5"/>
    <x v="5"/>
    <x v="1"/>
    <x v="1"/>
    <n v="2474409"/>
    <n v="0"/>
    <n v="2474409"/>
    <n v="2474409"/>
    <n v="0"/>
    <n v="0"/>
    <n v="0"/>
  </r>
  <r>
    <x v="20"/>
    <x v="10"/>
    <x v="10"/>
    <x v="5"/>
    <x v="5"/>
    <x v="0"/>
    <x v="0"/>
    <n v="0"/>
    <n v="0"/>
    <n v="0"/>
    <n v="0"/>
    <n v="0"/>
    <n v="0"/>
    <n v="0"/>
  </r>
  <r>
    <x v="20"/>
    <x v="9"/>
    <x v="9"/>
    <x v="3"/>
    <x v="3"/>
    <x v="1"/>
    <x v="1"/>
    <n v="864418"/>
    <n v="0"/>
    <n v="864418"/>
    <n v="864418"/>
    <n v="0"/>
    <n v="26209"/>
    <n v="0"/>
  </r>
  <r>
    <x v="20"/>
    <x v="9"/>
    <x v="9"/>
    <x v="2"/>
    <x v="2"/>
    <x v="1"/>
    <x v="1"/>
    <n v="50890"/>
    <n v="0"/>
    <n v="50890"/>
    <n v="50890"/>
    <n v="0"/>
    <n v="0"/>
    <n v="0"/>
  </r>
  <r>
    <x v="20"/>
    <x v="9"/>
    <x v="9"/>
    <x v="3"/>
    <x v="3"/>
    <x v="0"/>
    <x v="0"/>
    <n v="1305"/>
    <n v="0"/>
    <n v="1305"/>
    <n v="1305"/>
    <n v="0"/>
    <n v="0"/>
    <n v="0"/>
  </r>
  <r>
    <x v="20"/>
    <x v="9"/>
    <x v="9"/>
    <x v="2"/>
    <x v="2"/>
    <x v="0"/>
    <x v="0"/>
    <n v="0"/>
    <n v="0"/>
    <n v="0"/>
    <n v="0"/>
    <n v="0"/>
    <n v="0"/>
    <n v="0"/>
  </r>
  <r>
    <x v="21"/>
    <x v="1"/>
    <x v="1"/>
    <x v="3"/>
    <x v="3"/>
    <x v="1"/>
    <x v="1"/>
    <n v="7562429"/>
    <n v="-30827"/>
    <n v="7531602"/>
    <n v="7531602"/>
    <n v="0"/>
    <n v="0"/>
    <n v="1264475"/>
  </r>
  <r>
    <x v="21"/>
    <x v="1"/>
    <x v="1"/>
    <x v="1"/>
    <x v="1"/>
    <x v="1"/>
    <x v="1"/>
    <n v="684712"/>
    <n v="0"/>
    <n v="684712"/>
    <n v="684712"/>
    <n v="0"/>
    <n v="0"/>
    <n v="0"/>
  </r>
  <r>
    <x v="21"/>
    <x v="1"/>
    <x v="1"/>
    <x v="2"/>
    <x v="2"/>
    <x v="1"/>
    <x v="1"/>
    <n v="1288468"/>
    <n v="0"/>
    <n v="1288468"/>
    <n v="1288468"/>
    <n v="0"/>
    <n v="0"/>
    <n v="270557"/>
  </r>
  <r>
    <x v="21"/>
    <x v="1"/>
    <x v="1"/>
    <x v="3"/>
    <x v="3"/>
    <x v="0"/>
    <x v="0"/>
    <n v="0"/>
    <n v="14209"/>
    <n v="14209"/>
    <n v="14209"/>
    <n v="0"/>
    <n v="0"/>
    <n v="0"/>
  </r>
  <r>
    <x v="21"/>
    <x v="1"/>
    <x v="1"/>
    <x v="1"/>
    <x v="1"/>
    <x v="0"/>
    <x v="0"/>
    <n v="46801"/>
    <n v="-17687"/>
    <n v="29114"/>
    <n v="29114"/>
    <n v="0"/>
    <n v="0"/>
    <n v="0"/>
  </r>
  <r>
    <x v="21"/>
    <x v="1"/>
    <x v="1"/>
    <x v="2"/>
    <x v="2"/>
    <x v="0"/>
    <x v="0"/>
    <n v="0"/>
    <n v="0"/>
    <n v="0"/>
    <n v="0"/>
    <n v="0"/>
    <n v="0"/>
    <n v="0"/>
  </r>
  <r>
    <x v="21"/>
    <x v="2"/>
    <x v="2"/>
    <x v="3"/>
    <x v="3"/>
    <x v="1"/>
    <x v="1"/>
    <n v="4235406"/>
    <n v="-105669"/>
    <n v="4129737"/>
    <n v="4129737"/>
    <n v="0"/>
    <n v="15083"/>
    <n v="516297"/>
  </r>
  <r>
    <x v="21"/>
    <x v="2"/>
    <x v="2"/>
    <x v="1"/>
    <x v="1"/>
    <x v="1"/>
    <x v="1"/>
    <n v="479063"/>
    <n v="-15116"/>
    <n v="463947"/>
    <n v="463947"/>
    <n v="0"/>
    <n v="0"/>
    <n v="0"/>
  </r>
  <r>
    <x v="21"/>
    <x v="2"/>
    <x v="2"/>
    <x v="2"/>
    <x v="2"/>
    <x v="1"/>
    <x v="1"/>
    <n v="978164"/>
    <n v="-115343"/>
    <n v="862821"/>
    <n v="862821"/>
    <n v="0"/>
    <n v="146456"/>
    <n v="199219"/>
  </r>
  <r>
    <x v="21"/>
    <x v="2"/>
    <x v="2"/>
    <x v="3"/>
    <x v="3"/>
    <x v="0"/>
    <x v="0"/>
    <n v="596695"/>
    <n v="1172"/>
    <n v="597867"/>
    <n v="597867"/>
    <n v="0"/>
    <n v="0"/>
    <n v="0"/>
  </r>
  <r>
    <x v="21"/>
    <x v="2"/>
    <x v="2"/>
    <x v="1"/>
    <x v="1"/>
    <x v="0"/>
    <x v="0"/>
    <n v="14950"/>
    <n v="0"/>
    <n v="14950"/>
    <n v="14950"/>
    <n v="0"/>
    <n v="0"/>
    <n v="0"/>
  </r>
  <r>
    <x v="21"/>
    <x v="2"/>
    <x v="2"/>
    <x v="2"/>
    <x v="2"/>
    <x v="0"/>
    <x v="0"/>
    <n v="0"/>
    <n v="0"/>
    <n v="0"/>
    <n v="0"/>
    <n v="0"/>
    <n v="0"/>
    <n v="0"/>
  </r>
  <r>
    <x v="21"/>
    <x v="3"/>
    <x v="3"/>
    <x v="3"/>
    <x v="3"/>
    <x v="1"/>
    <x v="1"/>
    <n v="4566124"/>
    <n v="-243"/>
    <n v="4565881"/>
    <n v="4565881"/>
    <n v="0"/>
    <n v="10210"/>
    <n v="494657"/>
  </r>
  <r>
    <x v="21"/>
    <x v="3"/>
    <x v="3"/>
    <x v="2"/>
    <x v="2"/>
    <x v="1"/>
    <x v="1"/>
    <n v="1762102"/>
    <n v="0"/>
    <n v="1762102"/>
    <n v="1762102"/>
    <n v="0"/>
    <n v="0"/>
    <n v="414592"/>
  </r>
  <r>
    <x v="21"/>
    <x v="3"/>
    <x v="3"/>
    <x v="3"/>
    <x v="3"/>
    <x v="0"/>
    <x v="0"/>
    <n v="19347"/>
    <n v="145109"/>
    <n v="164456"/>
    <n v="164456"/>
    <n v="0"/>
    <n v="0"/>
    <n v="0"/>
  </r>
  <r>
    <x v="21"/>
    <x v="3"/>
    <x v="3"/>
    <x v="2"/>
    <x v="2"/>
    <x v="0"/>
    <x v="0"/>
    <n v="20862"/>
    <n v="0"/>
    <n v="20862"/>
    <n v="20862"/>
    <n v="0"/>
    <n v="0"/>
    <n v="0"/>
  </r>
  <r>
    <x v="21"/>
    <x v="11"/>
    <x v="11"/>
    <x v="3"/>
    <x v="3"/>
    <x v="1"/>
    <x v="1"/>
    <n v="264787"/>
    <n v="-264787"/>
    <n v="0"/>
    <n v="0"/>
    <n v="0"/>
    <n v="0"/>
    <n v="0"/>
  </r>
  <r>
    <x v="21"/>
    <x v="11"/>
    <x v="11"/>
    <x v="2"/>
    <x v="2"/>
    <x v="1"/>
    <x v="1"/>
    <n v="97685"/>
    <n v="0"/>
    <n v="97685"/>
    <n v="97685"/>
    <n v="0"/>
    <n v="0"/>
    <n v="22715"/>
  </r>
  <r>
    <x v="21"/>
    <x v="11"/>
    <x v="11"/>
    <x v="3"/>
    <x v="3"/>
    <x v="0"/>
    <x v="0"/>
    <n v="0"/>
    <n v="0"/>
    <n v="0"/>
    <n v="0"/>
    <n v="0"/>
    <n v="0"/>
    <n v="0"/>
  </r>
  <r>
    <x v="21"/>
    <x v="11"/>
    <x v="11"/>
    <x v="2"/>
    <x v="2"/>
    <x v="0"/>
    <x v="0"/>
    <n v="0"/>
    <n v="0"/>
    <n v="0"/>
    <n v="0"/>
    <n v="0"/>
    <n v="0"/>
    <n v="0"/>
  </r>
  <r>
    <x v="21"/>
    <x v="4"/>
    <x v="4"/>
    <x v="4"/>
    <x v="4"/>
    <x v="1"/>
    <x v="1"/>
    <n v="3928452"/>
    <n v="-8433"/>
    <n v="3920019"/>
    <n v="3920019"/>
    <n v="0"/>
    <n v="0"/>
    <n v="218824"/>
  </r>
  <r>
    <x v="21"/>
    <x v="4"/>
    <x v="4"/>
    <x v="4"/>
    <x v="4"/>
    <x v="0"/>
    <x v="0"/>
    <n v="0"/>
    <n v="0"/>
    <n v="0"/>
    <n v="0"/>
    <n v="0"/>
    <n v="0"/>
    <n v="0"/>
  </r>
  <r>
    <x v="21"/>
    <x v="5"/>
    <x v="5"/>
    <x v="3"/>
    <x v="3"/>
    <x v="1"/>
    <x v="1"/>
    <n v="2039297"/>
    <n v="0"/>
    <n v="2039297"/>
    <n v="2039297"/>
    <n v="0"/>
    <n v="0"/>
    <n v="0"/>
  </r>
  <r>
    <x v="21"/>
    <x v="5"/>
    <x v="5"/>
    <x v="3"/>
    <x v="3"/>
    <x v="0"/>
    <x v="0"/>
    <n v="0"/>
    <n v="0"/>
    <n v="0"/>
    <n v="0"/>
    <n v="0"/>
    <n v="0"/>
    <n v="0"/>
  </r>
  <r>
    <x v="21"/>
    <x v="7"/>
    <x v="7"/>
    <x v="5"/>
    <x v="5"/>
    <x v="1"/>
    <x v="1"/>
    <n v="777456"/>
    <n v="-259501"/>
    <n v="517955"/>
    <n v="517955"/>
    <n v="0"/>
    <n v="0"/>
    <n v="242054"/>
  </r>
  <r>
    <x v="21"/>
    <x v="7"/>
    <x v="7"/>
    <x v="5"/>
    <x v="5"/>
    <x v="0"/>
    <x v="0"/>
    <n v="0"/>
    <n v="0"/>
    <n v="0"/>
    <n v="0"/>
    <n v="0"/>
    <n v="0"/>
    <n v="0"/>
  </r>
  <r>
    <x v="21"/>
    <x v="8"/>
    <x v="8"/>
    <x v="5"/>
    <x v="5"/>
    <x v="1"/>
    <x v="1"/>
    <n v="976056"/>
    <n v="0"/>
    <n v="976056"/>
    <n v="976056"/>
    <n v="0"/>
    <n v="0"/>
    <n v="0"/>
  </r>
  <r>
    <x v="21"/>
    <x v="8"/>
    <x v="8"/>
    <x v="5"/>
    <x v="5"/>
    <x v="0"/>
    <x v="0"/>
    <n v="0"/>
    <n v="0"/>
    <n v="0"/>
    <n v="0"/>
    <n v="0"/>
    <n v="0"/>
    <n v="0"/>
  </r>
  <r>
    <x v="21"/>
    <x v="10"/>
    <x v="10"/>
    <x v="5"/>
    <x v="5"/>
    <x v="1"/>
    <x v="1"/>
    <n v="2397545"/>
    <n v="-228527"/>
    <n v="2169018"/>
    <n v="2169018"/>
    <n v="0"/>
    <n v="0"/>
    <n v="0"/>
  </r>
  <r>
    <x v="21"/>
    <x v="10"/>
    <x v="10"/>
    <x v="5"/>
    <x v="5"/>
    <x v="0"/>
    <x v="0"/>
    <n v="0"/>
    <n v="0"/>
    <n v="0"/>
    <n v="0"/>
    <n v="0"/>
    <n v="0"/>
    <n v="0"/>
  </r>
  <r>
    <x v="21"/>
    <x v="9"/>
    <x v="9"/>
    <x v="3"/>
    <x v="3"/>
    <x v="1"/>
    <x v="1"/>
    <n v="887407"/>
    <n v="0"/>
    <n v="887407"/>
    <n v="887407"/>
    <n v="0"/>
    <n v="0"/>
    <n v="0"/>
  </r>
  <r>
    <x v="21"/>
    <x v="9"/>
    <x v="9"/>
    <x v="2"/>
    <x v="2"/>
    <x v="1"/>
    <x v="1"/>
    <n v="26796"/>
    <n v="0"/>
    <n v="26796"/>
    <n v="26796"/>
    <n v="0"/>
    <n v="0"/>
    <n v="0"/>
  </r>
  <r>
    <x v="21"/>
    <x v="9"/>
    <x v="9"/>
    <x v="3"/>
    <x v="3"/>
    <x v="0"/>
    <x v="0"/>
    <n v="19709"/>
    <n v="0"/>
    <n v="19709"/>
    <n v="19709"/>
    <n v="0"/>
    <n v="0"/>
    <n v="0"/>
  </r>
  <r>
    <x v="21"/>
    <x v="9"/>
    <x v="9"/>
    <x v="2"/>
    <x v="2"/>
    <x v="0"/>
    <x v="0"/>
    <n v="0"/>
    <n v="0"/>
    <n v="0"/>
    <n v="0"/>
    <n v="0"/>
    <n v="0"/>
    <n v="0"/>
  </r>
  <r>
    <x v="22"/>
    <x v="1"/>
    <x v="1"/>
    <x v="3"/>
    <x v="3"/>
    <x v="1"/>
    <x v="1"/>
    <n v="8342757"/>
    <n v="-143155"/>
    <n v="8199602"/>
    <n v="8199602"/>
    <n v="0"/>
    <n v="0"/>
    <n v="1329824"/>
  </r>
  <r>
    <x v="22"/>
    <x v="1"/>
    <x v="1"/>
    <x v="1"/>
    <x v="1"/>
    <x v="1"/>
    <x v="1"/>
    <n v="690972"/>
    <n v="0"/>
    <n v="690972"/>
    <n v="690972"/>
    <n v="0"/>
    <n v="0"/>
    <n v="0"/>
  </r>
  <r>
    <x v="22"/>
    <x v="1"/>
    <x v="1"/>
    <x v="2"/>
    <x v="2"/>
    <x v="1"/>
    <x v="1"/>
    <n v="1395600"/>
    <n v="-84704"/>
    <n v="1310896"/>
    <n v="1310896"/>
    <n v="0"/>
    <n v="0"/>
    <n v="275953"/>
  </r>
  <r>
    <x v="22"/>
    <x v="1"/>
    <x v="1"/>
    <x v="3"/>
    <x v="3"/>
    <x v="0"/>
    <x v="0"/>
    <n v="444510"/>
    <n v="2419"/>
    <n v="446929"/>
    <n v="446929"/>
    <n v="0"/>
    <n v="0"/>
    <n v="0"/>
  </r>
  <r>
    <x v="22"/>
    <x v="1"/>
    <x v="1"/>
    <x v="1"/>
    <x v="1"/>
    <x v="0"/>
    <x v="0"/>
    <n v="29114"/>
    <n v="0"/>
    <n v="29114"/>
    <n v="29114"/>
    <n v="0"/>
    <n v="0"/>
    <n v="0"/>
  </r>
  <r>
    <x v="22"/>
    <x v="1"/>
    <x v="1"/>
    <x v="2"/>
    <x v="2"/>
    <x v="0"/>
    <x v="0"/>
    <n v="0"/>
    <n v="0"/>
    <n v="0"/>
    <n v="0"/>
    <n v="0"/>
    <n v="0"/>
    <n v="0"/>
  </r>
  <r>
    <x v="22"/>
    <x v="2"/>
    <x v="2"/>
    <x v="3"/>
    <x v="3"/>
    <x v="1"/>
    <x v="1"/>
    <n v="4138802"/>
    <n v="-76785"/>
    <n v="4062017"/>
    <n v="4062017"/>
    <n v="0"/>
    <n v="349270"/>
    <n v="448243"/>
  </r>
  <r>
    <x v="22"/>
    <x v="2"/>
    <x v="2"/>
    <x v="1"/>
    <x v="1"/>
    <x v="1"/>
    <x v="1"/>
    <n v="507858"/>
    <n v="0"/>
    <n v="507858"/>
    <n v="507858"/>
    <n v="0"/>
    <n v="10829"/>
    <n v="0"/>
  </r>
  <r>
    <x v="22"/>
    <x v="2"/>
    <x v="2"/>
    <x v="2"/>
    <x v="2"/>
    <x v="1"/>
    <x v="1"/>
    <n v="949172"/>
    <n v="0"/>
    <n v="949172"/>
    <n v="949172"/>
    <n v="0"/>
    <n v="0"/>
    <n v="223199"/>
  </r>
  <r>
    <x v="22"/>
    <x v="2"/>
    <x v="2"/>
    <x v="3"/>
    <x v="3"/>
    <x v="0"/>
    <x v="0"/>
    <n v="116188"/>
    <n v="-133977"/>
    <n v="-17789"/>
    <n v="-17789"/>
    <n v="0"/>
    <n v="0"/>
    <n v="0"/>
  </r>
  <r>
    <x v="22"/>
    <x v="2"/>
    <x v="2"/>
    <x v="1"/>
    <x v="1"/>
    <x v="0"/>
    <x v="0"/>
    <n v="45182"/>
    <n v="0"/>
    <n v="45182"/>
    <n v="45182"/>
    <n v="0"/>
    <n v="0"/>
    <n v="0"/>
  </r>
  <r>
    <x v="22"/>
    <x v="2"/>
    <x v="2"/>
    <x v="2"/>
    <x v="2"/>
    <x v="0"/>
    <x v="0"/>
    <n v="90807"/>
    <n v="-75351"/>
    <n v="15456"/>
    <n v="15456"/>
    <n v="0"/>
    <n v="0"/>
    <n v="0"/>
  </r>
  <r>
    <x v="22"/>
    <x v="3"/>
    <x v="3"/>
    <x v="3"/>
    <x v="3"/>
    <x v="1"/>
    <x v="1"/>
    <n v="4842637"/>
    <n v="-41934"/>
    <n v="4800703"/>
    <n v="4800703"/>
    <n v="0"/>
    <n v="60145"/>
    <n v="501273"/>
  </r>
  <r>
    <x v="22"/>
    <x v="3"/>
    <x v="3"/>
    <x v="2"/>
    <x v="2"/>
    <x v="1"/>
    <x v="1"/>
    <n v="1836690"/>
    <n v="0"/>
    <n v="1836690"/>
    <n v="1836690"/>
    <n v="0"/>
    <n v="0"/>
    <n v="427104"/>
  </r>
  <r>
    <x v="22"/>
    <x v="3"/>
    <x v="3"/>
    <x v="3"/>
    <x v="3"/>
    <x v="0"/>
    <x v="0"/>
    <n v="11613"/>
    <n v="0"/>
    <n v="11613"/>
    <n v="11613"/>
    <n v="0"/>
    <n v="0"/>
    <n v="0"/>
  </r>
  <r>
    <x v="22"/>
    <x v="3"/>
    <x v="3"/>
    <x v="2"/>
    <x v="2"/>
    <x v="0"/>
    <x v="0"/>
    <n v="0"/>
    <n v="0"/>
    <n v="0"/>
    <n v="0"/>
    <n v="0"/>
    <n v="0"/>
    <n v="0"/>
  </r>
  <r>
    <x v="22"/>
    <x v="11"/>
    <x v="11"/>
    <x v="3"/>
    <x v="3"/>
    <x v="1"/>
    <x v="1"/>
    <n v="252446"/>
    <n v="0"/>
    <n v="252446"/>
    <n v="252446"/>
    <n v="0"/>
    <n v="0"/>
    <n v="48263"/>
  </r>
  <r>
    <x v="22"/>
    <x v="11"/>
    <x v="11"/>
    <x v="2"/>
    <x v="2"/>
    <x v="1"/>
    <x v="1"/>
    <n v="168666"/>
    <n v="0"/>
    <n v="168666"/>
    <n v="168666"/>
    <n v="0"/>
    <n v="0"/>
    <n v="39217"/>
  </r>
  <r>
    <x v="22"/>
    <x v="11"/>
    <x v="11"/>
    <x v="3"/>
    <x v="3"/>
    <x v="0"/>
    <x v="0"/>
    <n v="241538"/>
    <n v="0"/>
    <n v="241538"/>
    <n v="241538"/>
    <n v="0"/>
    <n v="0"/>
    <n v="0"/>
  </r>
  <r>
    <x v="22"/>
    <x v="11"/>
    <x v="11"/>
    <x v="2"/>
    <x v="2"/>
    <x v="0"/>
    <x v="0"/>
    <n v="0"/>
    <n v="0"/>
    <n v="0"/>
    <n v="0"/>
    <n v="0"/>
    <n v="0"/>
    <n v="0"/>
  </r>
  <r>
    <x v="22"/>
    <x v="4"/>
    <x v="4"/>
    <x v="4"/>
    <x v="4"/>
    <x v="1"/>
    <x v="1"/>
    <n v="4234658"/>
    <n v="-20157"/>
    <n v="4214501"/>
    <n v="4214501"/>
    <n v="0"/>
    <n v="0"/>
    <n v="234931"/>
  </r>
  <r>
    <x v="22"/>
    <x v="4"/>
    <x v="4"/>
    <x v="4"/>
    <x v="4"/>
    <x v="0"/>
    <x v="0"/>
    <n v="0"/>
    <n v="0"/>
    <n v="0"/>
    <n v="0"/>
    <n v="0"/>
    <n v="0"/>
    <n v="0"/>
  </r>
  <r>
    <x v="22"/>
    <x v="5"/>
    <x v="5"/>
    <x v="3"/>
    <x v="3"/>
    <x v="1"/>
    <x v="1"/>
    <n v="1697883"/>
    <n v="-57255"/>
    <n v="1640628"/>
    <n v="1640628"/>
    <n v="0"/>
    <n v="0"/>
    <n v="0"/>
  </r>
  <r>
    <x v="22"/>
    <x v="5"/>
    <x v="5"/>
    <x v="3"/>
    <x v="3"/>
    <x v="0"/>
    <x v="0"/>
    <n v="0"/>
    <n v="0"/>
    <n v="0"/>
    <n v="0"/>
    <n v="0"/>
    <n v="0"/>
    <n v="0"/>
  </r>
  <r>
    <x v="22"/>
    <x v="7"/>
    <x v="7"/>
    <x v="5"/>
    <x v="5"/>
    <x v="1"/>
    <x v="1"/>
    <n v="839546"/>
    <n v="0"/>
    <n v="839546"/>
    <n v="839546"/>
    <n v="0"/>
    <n v="0"/>
    <n v="318645"/>
  </r>
  <r>
    <x v="22"/>
    <x v="7"/>
    <x v="7"/>
    <x v="5"/>
    <x v="5"/>
    <x v="0"/>
    <x v="0"/>
    <n v="289428"/>
    <n v="0"/>
    <n v="289428"/>
    <n v="289428"/>
    <n v="0"/>
    <n v="0"/>
    <n v="0"/>
  </r>
  <r>
    <x v="22"/>
    <x v="8"/>
    <x v="8"/>
    <x v="5"/>
    <x v="5"/>
    <x v="1"/>
    <x v="1"/>
    <n v="1007268"/>
    <n v="0"/>
    <n v="1007268"/>
    <n v="1007268"/>
    <n v="0"/>
    <n v="0"/>
    <n v="0"/>
  </r>
  <r>
    <x v="22"/>
    <x v="8"/>
    <x v="8"/>
    <x v="5"/>
    <x v="5"/>
    <x v="0"/>
    <x v="0"/>
    <n v="0"/>
    <n v="0"/>
    <n v="0"/>
    <n v="0"/>
    <n v="0"/>
    <n v="0"/>
    <n v="0"/>
  </r>
  <r>
    <x v="22"/>
    <x v="10"/>
    <x v="10"/>
    <x v="5"/>
    <x v="5"/>
    <x v="1"/>
    <x v="1"/>
    <n v="2449461"/>
    <n v="0"/>
    <n v="2449461"/>
    <n v="2449461"/>
    <n v="0"/>
    <n v="0"/>
    <n v="0"/>
  </r>
  <r>
    <x v="22"/>
    <x v="10"/>
    <x v="10"/>
    <x v="5"/>
    <x v="5"/>
    <x v="0"/>
    <x v="0"/>
    <n v="228527"/>
    <n v="0"/>
    <n v="228527"/>
    <n v="228527"/>
    <n v="0"/>
    <n v="0"/>
    <n v="0"/>
  </r>
  <r>
    <x v="22"/>
    <x v="9"/>
    <x v="9"/>
    <x v="3"/>
    <x v="3"/>
    <x v="1"/>
    <x v="1"/>
    <n v="745508"/>
    <n v="0"/>
    <n v="745508"/>
    <n v="745508"/>
    <n v="0"/>
    <n v="0"/>
    <n v="0"/>
  </r>
  <r>
    <x v="22"/>
    <x v="9"/>
    <x v="9"/>
    <x v="2"/>
    <x v="2"/>
    <x v="1"/>
    <x v="1"/>
    <n v="19440"/>
    <n v="0"/>
    <n v="19440"/>
    <n v="19440"/>
    <n v="0"/>
    <n v="0"/>
    <n v="0"/>
  </r>
  <r>
    <x v="22"/>
    <x v="9"/>
    <x v="9"/>
    <x v="3"/>
    <x v="3"/>
    <x v="0"/>
    <x v="0"/>
    <n v="0"/>
    <n v="0"/>
    <n v="0"/>
    <n v="0"/>
    <n v="0"/>
    <n v="0"/>
    <n v="0"/>
  </r>
  <r>
    <x v="22"/>
    <x v="9"/>
    <x v="9"/>
    <x v="2"/>
    <x v="2"/>
    <x v="0"/>
    <x v="0"/>
    <n v="0"/>
    <n v="0"/>
    <n v="0"/>
    <n v="0"/>
    <n v="0"/>
    <n v="0"/>
    <n v="0"/>
  </r>
  <r>
    <x v="23"/>
    <x v="1"/>
    <x v="1"/>
    <x v="3"/>
    <x v="3"/>
    <x v="1"/>
    <x v="1"/>
    <n v="7730030"/>
    <n v="-191155"/>
    <n v="7538875"/>
    <n v="7538875"/>
    <n v="0"/>
    <n v="97380"/>
    <n v="1186196"/>
  </r>
  <r>
    <x v="23"/>
    <x v="1"/>
    <x v="1"/>
    <x v="1"/>
    <x v="1"/>
    <x v="1"/>
    <x v="1"/>
    <n v="668845"/>
    <n v="0"/>
    <n v="668845"/>
    <n v="668845"/>
    <n v="0"/>
    <n v="0"/>
    <n v="0"/>
  </r>
  <r>
    <x v="23"/>
    <x v="1"/>
    <x v="1"/>
    <x v="2"/>
    <x v="2"/>
    <x v="1"/>
    <x v="1"/>
    <n v="1515977"/>
    <n v="-482819"/>
    <n v="1033158"/>
    <n v="1033158"/>
    <n v="0"/>
    <n v="0"/>
    <n v="250906"/>
  </r>
  <r>
    <x v="23"/>
    <x v="1"/>
    <x v="1"/>
    <x v="3"/>
    <x v="3"/>
    <x v="0"/>
    <x v="0"/>
    <n v="206274"/>
    <n v="21036"/>
    <n v="227310"/>
    <n v="227310"/>
    <n v="0"/>
    <n v="0"/>
    <n v="0"/>
  </r>
  <r>
    <x v="23"/>
    <x v="1"/>
    <x v="1"/>
    <x v="1"/>
    <x v="1"/>
    <x v="0"/>
    <x v="0"/>
    <n v="17687"/>
    <n v="-17687"/>
    <n v="0"/>
    <n v="0"/>
    <n v="0"/>
    <n v="0"/>
    <n v="0"/>
  </r>
  <r>
    <x v="23"/>
    <x v="1"/>
    <x v="1"/>
    <x v="2"/>
    <x v="2"/>
    <x v="0"/>
    <x v="0"/>
    <n v="36644"/>
    <n v="0"/>
    <n v="36644"/>
    <n v="36644"/>
    <n v="0"/>
    <n v="0"/>
    <n v="0"/>
  </r>
  <r>
    <x v="23"/>
    <x v="2"/>
    <x v="2"/>
    <x v="3"/>
    <x v="3"/>
    <x v="1"/>
    <x v="1"/>
    <n v="4428564"/>
    <n v="-256247"/>
    <n v="4172317"/>
    <n v="4172317"/>
    <n v="0"/>
    <n v="18951"/>
    <n v="460193"/>
  </r>
  <r>
    <x v="23"/>
    <x v="2"/>
    <x v="2"/>
    <x v="1"/>
    <x v="1"/>
    <x v="1"/>
    <x v="1"/>
    <n v="510532"/>
    <n v="0"/>
    <n v="510532"/>
    <n v="510532"/>
    <n v="0"/>
    <n v="0"/>
    <n v="0"/>
  </r>
  <r>
    <x v="23"/>
    <x v="2"/>
    <x v="2"/>
    <x v="2"/>
    <x v="2"/>
    <x v="1"/>
    <x v="1"/>
    <n v="930784"/>
    <n v="-137634"/>
    <n v="793150"/>
    <n v="793150"/>
    <n v="0"/>
    <n v="24416"/>
    <n v="202922"/>
  </r>
  <r>
    <x v="23"/>
    <x v="2"/>
    <x v="2"/>
    <x v="3"/>
    <x v="3"/>
    <x v="0"/>
    <x v="0"/>
    <n v="247858"/>
    <n v="15967"/>
    <n v="263825"/>
    <n v="263825"/>
    <n v="0"/>
    <n v="0"/>
    <n v="0"/>
  </r>
  <r>
    <x v="23"/>
    <x v="2"/>
    <x v="2"/>
    <x v="1"/>
    <x v="1"/>
    <x v="0"/>
    <x v="0"/>
    <n v="15116"/>
    <n v="-11635"/>
    <n v="3481"/>
    <n v="3481"/>
    <n v="0"/>
    <n v="0"/>
    <n v="0"/>
  </r>
  <r>
    <x v="23"/>
    <x v="2"/>
    <x v="2"/>
    <x v="2"/>
    <x v="2"/>
    <x v="0"/>
    <x v="0"/>
    <n v="198400"/>
    <n v="-115343"/>
    <n v="83057"/>
    <n v="83057"/>
    <n v="0"/>
    <n v="0"/>
    <n v="0"/>
  </r>
  <r>
    <x v="23"/>
    <x v="3"/>
    <x v="3"/>
    <x v="3"/>
    <x v="3"/>
    <x v="1"/>
    <x v="1"/>
    <n v="5397626"/>
    <n v="-5878"/>
    <n v="5391748"/>
    <n v="5391748"/>
    <n v="0"/>
    <n v="18409"/>
    <n v="580102"/>
  </r>
  <r>
    <x v="23"/>
    <x v="3"/>
    <x v="3"/>
    <x v="2"/>
    <x v="2"/>
    <x v="1"/>
    <x v="1"/>
    <n v="1787227"/>
    <n v="0"/>
    <n v="1787227"/>
    <n v="1787227"/>
    <n v="0"/>
    <n v="0"/>
    <n v="415616"/>
  </r>
  <r>
    <x v="23"/>
    <x v="3"/>
    <x v="3"/>
    <x v="3"/>
    <x v="3"/>
    <x v="0"/>
    <x v="0"/>
    <n v="68388"/>
    <n v="-6111"/>
    <n v="62277"/>
    <n v="62277"/>
    <n v="0"/>
    <n v="0"/>
    <n v="0"/>
  </r>
  <r>
    <x v="23"/>
    <x v="3"/>
    <x v="3"/>
    <x v="2"/>
    <x v="2"/>
    <x v="0"/>
    <x v="0"/>
    <n v="0"/>
    <n v="0"/>
    <n v="0"/>
    <n v="0"/>
    <n v="0"/>
    <n v="0"/>
    <n v="0"/>
  </r>
  <r>
    <x v="23"/>
    <x v="11"/>
    <x v="11"/>
    <x v="3"/>
    <x v="3"/>
    <x v="1"/>
    <x v="1"/>
    <n v="791579"/>
    <n v="-201562"/>
    <n v="590017"/>
    <n v="590017"/>
    <n v="0"/>
    <n v="192619"/>
    <n v="50020"/>
  </r>
  <r>
    <x v="23"/>
    <x v="11"/>
    <x v="11"/>
    <x v="2"/>
    <x v="2"/>
    <x v="1"/>
    <x v="1"/>
    <n v="129186"/>
    <n v="0"/>
    <n v="129186"/>
    <n v="129186"/>
    <n v="0"/>
    <n v="19198"/>
    <n v="5777"/>
  </r>
  <r>
    <x v="23"/>
    <x v="11"/>
    <x v="11"/>
    <x v="3"/>
    <x v="3"/>
    <x v="0"/>
    <x v="0"/>
    <n v="0"/>
    <n v="-104334"/>
    <n v="-104334"/>
    <n v="-104334"/>
    <n v="0"/>
    <n v="0"/>
    <n v="0"/>
  </r>
  <r>
    <x v="23"/>
    <x v="11"/>
    <x v="11"/>
    <x v="2"/>
    <x v="2"/>
    <x v="0"/>
    <x v="0"/>
    <n v="0"/>
    <n v="0"/>
    <n v="0"/>
    <n v="0"/>
    <n v="0"/>
    <n v="0"/>
    <n v="0"/>
  </r>
  <r>
    <x v="23"/>
    <x v="4"/>
    <x v="4"/>
    <x v="4"/>
    <x v="4"/>
    <x v="1"/>
    <x v="1"/>
    <n v="4173142"/>
    <n v="0"/>
    <n v="4173142"/>
    <n v="4173142"/>
    <n v="0"/>
    <n v="0"/>
    <n v="235524"/>
  </r>
  <r>
    <x v="23"/>
    <x v="4"/>
    <x v="4"/>
    <x v="4"/>
    <x v="4"/>
    <x v="0"/>
    <x v="0"/>
    <n v="105439"/>
    <n v="-49846"/>
    <n v="55593"/>
    <n v="55593"/>
    <n v="0"/>
    <n v="0"/>
    <n v="0"/>
  </r>
  <r>
    <x v="23"/>
    <x v="5"/>
    <x v="5"/>
    <x v="3"/>
    <x v="3"/>
    <x v="1"/>
    <x v="1"/>
    <n v="1573689"/>
    <n v="0"/>
    <n v="1573689"/>
    <n v="1573689"/>
    <n v="0"/>
    <n v="186693"/>
    <n v="0"/>
  </r>
  <r>
    <x v="23"/>
    <x v="5"/>
    <x v="5"/>
    <x v="3"/>
    <x v="3"/>
    <x v="0"/>
    <x v="0"/>
    <n v="0"/>
    <n v="0"/>
    <n v="0"/>
    <n v="0"/>
    <n v="0"/>
    <n v="0"/>
    <n v="0"/>
  </r>
  <r>
    <x v="23"/>
    <x v="7"/>
    <x v="7"/>
    <x v="5"/>
    <x v="5"/>
    <x v="1"/>
    <x v="1"/>
    <n v="839546"/>
    <n v="0"/>
    <n v="839546"/>
    <n v="839546"/>
    <n v="0"/>
    <n v="0"/>
    <n v="255357"/>
  </r>
  <r>
    <x v="23"/>
    <x v="7"/>
    <x v="7"/>
    <x v="5"/>
    <x v="5"/>
    <x v="0"/>
    <x v="0"/>
    <n v="0"/>
    <n v="0"/>
    <n v="0"/>
    <n v="0"/>
    <n v="0"/>
    <n v="0"/>
    <n v="0"/>
  </r>
  <r>
    <x v="23"/>
    <x v="8"/>
    <x v="8"/>
    <x v="5"/>
    <x v="5"/>
    <x v="1"/>
    <x v="1"/>
    <n v="827999"/>
    <n v="0"/>
    <n v="827999"/>
    <n v="827999"/>
    <n v="0"/>
    <n v="0"/>
    <n v="0"/>
  </r>
  <r>
    <x v="23"/>
    <x v="8"/>
    <x v="8"/>
    <x v="5"/>
    <x v="5"/>
    <x v="0"/>
    <x v="0"/>
    <n v="0"/>
    <n v="0"/>
    <n v="0"/>
    <n v="0"/>
    <n v="0"/>
    <n v="0"/>
    <n v="0"/>
  </r>
  <r>
    <x v="23"/>
    <x v="10"/>
    <x v="10"/>
    <x v="5"/>
    <x v="5"/>
    <x v="1"/>
    <x v="1"/>
    <n v="2198275"/>
    <n v="0"/>
    <n v="2198275"/>
    <n v="2198275"/>
    <n v="0"/>
    <n v="0"/>
    <n v="0"/>
  </r>
  <r>
    <x v="23"/>
    <x v="10"/>
    <x v="10"/>
    <x v="5"/>
    <x v="5"/>
    <x v="0"/>
    <x v="0"/>
    <n v="0"/>
    <n v="0"/>
    <n v="0"/>
    <n v="0"/>
    <n v="0"/>
    <n v="0"/>
    <n v="0"/>
  </r>
  <r>
    <x v="23"/>
    <x v="9"/>
    <x v="9"/>
    <x v="3"/>
    <x v="3"/>
    <x v="1"/>
    <x v="1"/>
    <n v="512163"/>
    <n v="0"/>
    <n v="512163"/>
    <n v="512163"/>
    <n v="0"/>
    <n v="0"/>
    <n v="0"/>
  </r>
  <r>
    <x v="23"/>
    <x v="9"/>
    <x v="9"/>
    <x v="2"/>
    <x v="2"/>
    <x v="1"/>
    <x v="1"/>
    <n v="52190"/>
    <n v="0"/>
    <n v="52190"/>
    <n v="52190"/>
    <n v="0"/>
    <n v="0"/>
    <n v="0"/>
  </r>
  <r>
    <x v="23"/>
    <x v="9"/>
    <x v="9"/>
    <x v="3"/>
    <x v="3"/>
    <x v="0"/>
    <x v="0"/>
    <n v="0"/>
    <n v="0"/>
    <n v="0"/>
    <n v="0"/>
    <n v="0"/>
    <n v="0"/>
    <n v="0"/>
  </r>
  <r>
    <x v="23"/>
    <x v="9"/>
    <x v="9"/>
    <x v="2"/>
    <x v="2"/>
    <x v="0"/>
    <x v="0"/>
    <n v="0"/>
    <n v="0"/>
    <n v="0"/>
    <n v="0"/>
    <n v="0"/>
    <n v="0"/>
    <n v="0"/>
  </r>
  <r>
    <x v="24"/>
    <x v="1"/>
    <x v="1"/>
    <x v="3"/>
    <x v="3"/>
    <x v="1"/>
    <x v="1"/>
    <n v="8266776"/>
    <n v="-49540"/>
    <n v="8217236"/>
    <n v="8217236"/>
    <n v="0"/>
    <n v="64937"/>
    <n v="1222108"/>
  </r>
  <r>
    <x v="24"/>
    <x v="1"/>
    <x v="1"/>
    <x v="1"/>
    <x v="1"/>
    <x v="1"/>
    <x v="1"/>
    <n v="671232"/>
    <n v="0"/>
    <n v="671232"/>
    <n v="671232"/>
    <n v="0"/>
    <n v="11267"/>
    <n v="0"/>
  </r>
  <r>
    <x v="24"/>
    <x v="1"/>
    <x v="1"/>
    <x v="2"/>
    <x v="2"/>
    <x v="1"/>
    <x v="1"/>
    <n v="1668411"/>
    <n v="-325451"/>
    <n v="1342960"/>
    <n v="1342960"/>
    <n v="0"/>
    <n v="0"/>
    <n v="353946"/>
  </r>
  <r>
    <x v="24"/>
    <x v="1"/>
    <x v="1"/>
    <x v="3"/>
    <x v="3"/>
    <x v="0"/>
    <x v="0"/>
    <n v="382246"/>
    <n v="-170278"/>
    <n v="211968"/>
    <n v="211968"/>
    <n v="0"/>
    <n v="0"/>
    <n v="0"/>
  </r>
  <r>
    <x v="24"/>
    <x v="1"/>
    <x v="1"/>
    <x v="1"/>
    <x v="1"/>
    <x v="0"/>
    <x v="0"/>
    <n v="43431"/>
    <n v="-14477"/>
    <n v="28954"/>
    <n v="28954"/>
    <n v="0"/>
    <n v="0"/>
    <n v="0"/>
  </r>
  <r>
    <x v="24"/>
    <x v="1"/>
    <x v="1"/>
    <x v="2"/>
    <x v="2"/>
    <x v="0"/>
    <x v="0"/>
    <n v="432416"/>
    <n v="0"/>
    <n v="432416"/>
    <n v="432416"/>
    <n v="0"/>
    <n v="0"/>
    <n v="0"/>
  </r>
  <r>
    <x v="24"/>
    <x v="2"/>
    <x v="2"/>
    <x v="3"/>
    <x v="3"/>
    <x v="1"/>
    <x v="1"/>
    <n v="4489345"/>
    <n v="-316425"/>
    <n v="4172920"/>
    <n v="4172920"/>
    <n v="0"/>
    <n v="111008"/>
    <n v="480619"/>
  </r>
  <r>
    <x v="24"/>
    <x v="2"/>
    <x v="2"/>
    <x v="1"/>
    <x v="1"/>
    <x v="1"/>
    <x v="1"/>
    <n v="490864"/>
    <n v="0"/>
    <n v="490864"/>
    <n v="490864"/>
    <n v="0"/>
    <n v="0"/>
    <n v="0"/>
  </r>
  <r>
    <x v="24"/>
    <x v="2"/>
    <x v="2"/>
    <x v="2"/>
    <x v="2"/>
    <x v="1"/>
    <x v="1"/>
    <n v="1104301"/>
    <n v="-250557"/>
    <n v="853744"/>
    <n v="853744"/>
    <n v="0"/>
    <n v="0"/>
    <n v="206934"/>
  </r>
  <r>
    <x v="24"/>
    <x v="2"/>
    <x v="2"/>
    <x v="3"/>
    <x v="3"/>
    <x v="0"/>
    <x v="0"/>
    <n v="300026"/>
    <n v="-78718"/>
    <n v="221308"/>
    <n v="221308"/>
    <n v="0"/>
    <n v="0"/>
    <n v="0"/>
  </r>
  <r>
    <x v="24"/>
    <x v="2"/>
    <x v="2"/>
    <x v="1"/>
    <x v="1"/>
    <x v="0"/>
    <x v="0"/>
    <n v="14950"/>
    <n v="0"/>
    <n v="14950"/>
    <n v="14950"/>
    <n v="0"/>
    <n v="0"/>
    <n v="0"/>
  </r>
  <r>
    <x v="24"/>
    <x v="2"/>
    <x v="2"/>
    <x v="2"/>
    <x v="2"/>
    <x v="0"/>
    <x v="0"/>
    <n v="39740"/>
    <n v="0"/>
    <n v="39740"/>
    <n v="39740"/>
    <n v="0"/>
    <n v="0"/>
    <n v="0"/>
  </r>
  <r>
    <x v="24"/>
    <x v="3"/>
    <x v="3"/>
    <x v="3"/>
    <x v="3"/>
    <x v="1"/>
    <x v="1"/>
    <n v="4825674"/>
    <n v="-108255"/>
    <n v="4717419"/>
    <n v="4717419"/>
    <n v="0"/>
    <n v="84533"/>
    <n v="517769"/>
  </r>
  <r>
    <x v="24"/>
    <x v="3"/>
    <x v="3"/>
    <x v="2"/>
    <x v="2"/>
    <x v="1"/>
    <x v="1"/>
    <n v="1715822"/>
    <n v="5878"/>
    <n v="1721700"/>
    <n v="1721700"/>
    <n v="0"/>
    <n v="0"/>
    <n v="399005"/>
  </r>
  <r>
    <x v="24"/>
    <x v="3"/>
    <x v="3"/>
    <x v="3"/>
    <x v="3"/>
    <x v="0"/>
    <x v="0"/>
    <n v="24376"/>
    <n v="0"/>
    <n v="24376"/>
    <n v="24376"/>
    <n v="0"/>
    <n v="0"/>
    <n v="0"/>
  </r>
  <r>
    <x v="24"/>
    <x v="3"/>
    <x v="3"/>
    <x v="2"/>
    <x v="2"/>
    <x v="0"/>
    <x v="0"/>
    <n v="0"/>
    <n v="0"/>
    <n v="0"/>
    <n v="0"/>
    <n v="0"/>
    <n v="0"/>
    <n v="0"/>
  </r>
  <r>
    <x v="24"/>
    <x v="11"/>
    <x v="11"/>
    <x v="3"/>
    <x v="3"/>
    <x v="1"/>
    <x v="1"/>
    <n v="970747"/>
    <n v="-47568"/>
    <n v="923179"/>
    <n v="923179"/>
    <n v="0"/>
    <n v="578401"/>
    <n v="78006"/>
  </r>
  <r>
    <x v="24"/>
    <x v="11"/>
    <x v="11"/>
    <x v="2"/>
    <x v="2"/>
    <x v="1"/>
    <x v="1"/>
    <n v="166920"/>
    <n v="0"/>
    <n v="166920"/>
    <n v="166920"/>
    <n v="0"/>
    <n v="0"/>
    <n v="61451"/>
  </r>
  <r>
    <x v="24"/>
    <x v="11"/>
    <x v="11"/>
    <x v="3"/>
    <x v="3"/>
    <x v="0"/>
    <x v="0"/>
    <n v="0"/>
    <n v="2210"/>
    <n v="2210"/>
    <n v="2210"/>
    <n v="0"/>
    <n v="0"/>
    <n v="0"/>
  </r>
  <r>
    <x v="24"/>
    <x v="11"/>
    <x v="11"/>
    <x v="2"/>
    <x v="2"/>
    <x v="0"/>
    <x v="0"/>
    <n v="97369"/>
    <n v="0"/>
    <n v="97369"/>
    <n v="97369"/>
    <n v="0"/>
    <n v="0"/>
    <n v="0"/>
  </r>
  <r>
    <x v="24"/>
    <x v="4"/>
    <x v="4"/>
    <x v="4"/>
    <x v="4"/>
    <x v="1"/>
    <x v="1"/>
    <n v="3905307"/>
    <n v="-36627"/>
    <n v="3868680"/>
    <n v="3868680"/>
    <n v="0"/>
    <n v="266055"/>
    <n v="233085"/>
  </r>
  <r>
    <x v="24"/>
    <x v="4"/>
    <x v="4"/>
    <x v="4"/>
    <x v="4"/>
    <x v="0"/>
    <x v="0"/>
    <n v="266075"/>
    <n v="49846"/>
    <n v="315921"/>
    <n v="315921"/>
    <n v="0"/>
    <n v="0"/>
    <n v="0"/>
  </r>
  <r>
    <x v="24"/>
    <x v="5"/>
    <x v="5"/>
    <x v="3"/>
    <x v="3"/>
    <x v="1"/>
    <x v="1"/>
    <n v="1331333"/>
    <n v="0"/>
    <n v="1331333"/>
    <n v="1331333"/>
    <n v="0"/>
    <n v="441502"/>
    <n v="0"/>
  </r>
  <r>
    <x v="24"/>
    <x v="5"/>
    <x v="5"/>
    <x v="3"/>
    <x v="3"/>
    <x v="0"/>
    <x v="0"/>
    <n v="0"/>
    <n v="0"/>
    <n v="0"/>
    <n v="0"/>
    <n v="0"/>
    <n v="0"/>
    <n v="0"/>
  </r>
  <r>
    <x v="24"/>
    <x v="7"/>
    <x v="7"/>
    <x v="5"/>
    <x v="5"/>
    <x v="1"/>
    <x v="1"/>
    <n v="813636"/>
    <n v="0"/>
    <n v="813636"/>
    <n v="813636"/>
    <n v="0"/>
    <n v="0"/>
    <n v="272142"/>
  </r>
  <r>
    <x v="24"/>
    <x v="7"/>
    <x v="7"/>
    <x v="5"/>
    <x v="5"/>
    <x v="0"/>
    <x v="0"/>
    <n v="0"/>
    <n v="0"/>
    <n v="0"/>
    <n v="0"/>
    <n v="0"/>
    <n v="0"/>
    <n v="0"/>
  </r>
  <r>
    <x v="24"/>
    <x v="8"/>
    <x v="8"/>
    <x v="5"/>
    <x v="5"/>
    <x v="1"/>
    <x v="1"/>
    <n v="1003585"/>
    <n v="0"/>
    <n v="1003585"/>
    <n v="1003585"/>
    <n v="0"/>
    <n v="0"/>
    <n v="0"/>
  </r>
  <r>
    <x v="24"/>
    <x v="8"/>
    <x v="8"/>
    <x v="5"/>
    <x v="5"/>
    <x v="0"/>
    <x v="0"/>
    <n v="0"/>
    <n v="0"/>
    <n v="0"/>
    <n v="0"/>
    <n v="0"/>
    <n v="0"/>
    <n v="0"/>
  </r>
  <r>
    <x v="24"/>
    <x v="10"/>
    <x v="10"/>
    <x v="5"/>
    <x v="5"/>
    <x v="1"/>
    <x v="1"/>
    <n v="2292635"/>
    <n v="0"/>
    <n v="2292635"/>
    <n v="2292635"/>
    <n v="0"/>
    <n v="0"/>
    <n v="0"/>
  </r>
  <r>
    <x v="24"/>
    <x v="10"/>
    <x v="10"/>
    <x v="5"/>
    <x v="5"/>
    <x v="0"/>
    <x v="0"/>
    <n v="0"/>
    <n v="0"/>
    <n v="0"/>
    <n v="0"/>
    <n v="0"/>
    <n v="0"/>
    <n v="0"/>
  </r>
  <r>
    <x v="24"/>
    <x v="9"/>
    <x v="9"/>
    <x v="3"/>
    <x v="3"/>
    <x v="1"/>
    <x v="1"/>
    <n v="379821"/>
    <n v="0"/>
    <n v="379821"/>
    <n v="379821"/>
    <n v="0"/>
    <n v="0"/>
    <n v="0"/>
  </r>
  <r>
    <x v="24"/>
    <x v="9"/>
    <x v="9"/>
    <x v="2"/>
    <x v="2"/>
    <x v="1"/>
    <x v="1"/>
    <n v="19400"/>
    <n v="0"/>
    <n v="19400"/>
    <n v="19400"/>
    <n v="0"/>
    <n v="0"/>
    <n v="0"/>
  </r>
  <r>
    <x v="24"/>
    <x v="9"/>
    <x v="9"/>
    <x v="3"/>
    <x v="3"/>
    <x v="0"/>
    <x v="0"/>
    <n v="0"/>
    <n v="0"/>
    <n v="0"/>
    <n v="0"/>
    <n v="0"/>
    <n v="0"/>
    <n v="0"/>
  </r>
  <r>
    <x v="24"/>
    <x v="9"/>
    <x v="9"/>
    <x v="2"/>
    <x v="2"/>
    <x v="0"/>
    <x v="0"/>
    <n v="0"/>
    <n v="0"/>
    <n v="0"/>
    <n v="0"/>
    <n v="0"/>
    <n v="0"/>
    <n v="0"/>
  </r>
  <r>
    <x v="25"/>
    <x v="1"/>
    <x v="1"/>
    <x v="3"/>
    <x v="3"/>
    <x v="1"/>
    <x v="1"/>
    <n v="8979289"/>
    <n v="0"/>
    <n v="8979289"/>
    <n v="8979289"/>
    <n v="0"/>
    <n v="333697"/>
    <n v="1303050"/>
  </r>
  <r>
    <x v="25"/>
    <x v="1"/>
    <x v="1"/>
    <x v="1"/>
    <x v="1"/>
    <x v="1"/>
    <x v="1"/>
    <n v="687762"/>
    <n v="0"/>
    <n v="687762"/>
    <n v="687762"/>
    <n v="0"/>
    <n v="0"/>
    <n v="0"/>
  </r>
  <r>
    <x v="25"/>
    <x v="1"/>
    <x v="1"/>
    <x v="2"/>
    <x v="2"/>
    <x v="1"/>
    <x v="1"/>
    <n v="1856180"/>
    <n v="-536942"/>
    <n v="1319238"/>
    <n v="1319238"/>
    <n v="0"/>
    <n v="42442"/>
    <n v="360476"/>
  </r>
  <r>
    <x v="25"/>
    <x v="1"/>
    <x v="1"/>
    <x v="3"/>
    <x v="3"/>
    <x v="0"/>
    <x v="0"/>
    <n v="170278"/>
    <n v="49540"/>
    <n v="219818"/>
    <n v="219818"/>
    <n v="0"/>
    <n v="0"/>
    <n v="0"/>
  </r>
  <r>
    <x v="25"/>
    <x v="1"/>
    <x v="1"/>
    <x v="1"/>
    <x v="1"/>
    <x v="0"/>
    <x v="0"/>
    <n v="27349"/>
    <n v="0"/>
    <n v="27349"/>
    <n v="27349"/>
    <n v="0"/>
    <n v="0"/>
    <n v="0"/>
  </r>
  <r>
    <x v="25"/>
    <x v="1"/>
    <x v="1"/>
    <x v="2"/>
    <x v="2"/>
    <x v="0"/>
    <x v="0"/>
    <n v="328938"/>
    <n v="0"/>
    <n v="328938"/>
    <n v="328938"/>
    <n v="0"/>
    <n v="0"/>
    <n v="0"/>
  </r>
  <r>
    <x v="25"/>
    <x v="2"/>
    <x v="2"/>
    <x v="3"/>
    <x v="3"/>
    <x v="1"/>
    <x v="1"/>
    <n v="4920936"/>
    <n v="-28497"/>
    <n v="4892439"/>
    <n v="4892439"/>
    <n v="0"/>
    <n v="0"/>
    <n v="567983"/>
  </r>
  <r>
    <x v="25"/>
    <x v="2"/>
    <x v="2"/>
    <x v="1"/>
    <x v="1"/>
    <x v="1"/>
    <x v="1"/>
    <n v="530963"/>
    <n v="0"/>
    <n v="530963"/>
    <n v="530963"/>
    <n v="0"/>
    <n v="0"/>
    <n v="0"/>
  </r>
  <r>
    <x v="25"/>
    <x v="2"/>
    <x v="2"/>
    <x v="2"/>
    <x v="2"/>
    <x v="1"/>
    <x v="1"/>
    <n v="1525581"/>
    <n v="-371613"/>
    <n v="1153968"/>
    <n v="1153968"/>
    <n v="0"/>
    <n v="55307"/>
    <n v="323954"/>
  </r>
  <r>
    <x v="25"/>
    <x v="2"/>
    <x v="2"/>
    <x v="3"/>
    <x v="3"/>
    <x v="0"/>
    <x v="0"/>
    <n v="377717"/>
    <n v="-43746"/>
    <n v="333971"/>
    <n v="333971"/>
    <n v="0"/>
    <n v="0"/>
    <n v="0"/>
  </r>
  <r>
    <x v="25"/>
    <x v="2"/>
    <x v="2"/>
    <x v="1"/>
    <x v="1"/>
    <x v="0"/>
    <x v="0"/>
    <n v="0"/>
    <n v="0"/>
    <n v="0"/>
    <n v="0"/>
    <n v="0"/>
    <n v="0"/>
    <n v="0"/>
  </r>
  <r>
    <x v="25"/>
    <x v="2"/>
    <x v="2"/>
    <x v="2"/>
    <x v="2"/>
    <x v="0"/>
    <x v="0"/>
    <n v="422701"/>
    <n v="-176340"/>
    <n v="246361"/>
    <n v="246361"/>
    <n v="0"/>
    <n v="0"/>
    <n v="0"/>
  </r>
  <r>
    <x v="25"/>
    <x v="3"/>
    <x v="3"/>
    <x v="3"/>
    <x v="3"/>
    <x v="1"/>
    <x v="1"/>
    <n v="4963639"/>
    <n v="0"/>
    <n v="4963639"/>
    <n v="4963639"/>
    <n v="0"/>
    <n v="425856"/>
    <n v="520929"/>
  </r>
  <r>
    <x v="25"/>
    <x v="3"/>
    <x v="3"/>
    <x v="2"/>
    <x v="2"/>
    <x v="1"/>
    <x v="1"/>
    <n v="1992855"/>
    <n v="-115768"/>
    <n v="1877087"/>
    <n v="1877087"/>
    <n v="0"/>
    <n v="0"/>
    <n v="436467"/>
  </r>
  <r>
    <x v="25"/>
    <x v="3"/>
    <x v="3"/>
    <x v="3"/>
    <x v="3"/>
    <x v="0"/>
    <x v="0"/>
    <n v="60343"/>
    <n v="108255"/>
    <n v="168598"/>
    <n v="168598"/>
    <n v="0"/>
    <n v="0"/>
    <n v="0"/>
  </r>
  <r>
    <x v="25"/>
    <x v="3"/>
    <x v="3"/>
    <x v="2"/>
    <x v="2"/>
    <x v="0"/>
    <x v="0"/>
    <n v="270799"/>
    <n v="-270799"/>
    <n v="0"/>
    <n v="0"/>
    <n v="0"/>
    <n v="0"/>
    <n v="0"/>
  </r>
  <r>
    <x v="25"/>
    <x v="11"/>
    <x v="11"/>
    <x v="3"/>
    <x v="3"/>
    <x v="1"/>
    <x v="1"/>
    <n v="1450129"/>
    <n v="-268636"/>
    <n v="1181493"/>
    <n v="1181493"/>
    <n v="0"/>
    <n v="23350"/>
    <n v="0"/>
  </r>
  <r>
    <x v="25"/>
    <x v="11"/>
    <x v="11"/>
    <x v="2"/>
    <x v="2"/>
    <x v="1"/>
    <x v="1"/>
    <n v="208231"/>
    <n v="-102731"/>
    <n v="105500"/>
    <n v="105500"/>
    <n v="0"/>
    <n v="0"/>
    <n v="21396"/>
  </r>
  <r>
    <x v="25"/>
    <x v="11"/>
    <x v="11"/>
    <x v="3"/>
    <x v="3"/>
    <x v="0"/>
    <x v="0"/>
    <n v="416868"/>
    <n v="-77415"/>
    <n v="339453"/>
    <n v="339453"/>
    <n v="0"/>
    <n v="0"/>
    <n v="0"/>
  </r>
  <r>
    <x v="25"/>
    <x v="11"/>
    <x v="11"/>
    <x v="2"/>
    <x v="2"/>
    <x v="0"/>
    <x v="0"/>
    <n v="0"/>
    <n v="0"/>
    <n v="0"/>
    <n v="0"/>
    <n v="0"/>
    <n v="0"/>
    <n v="0"/>
  </r>
  <r>
    <x v="25"/>
    <x v="12"/>
    <x v="12"/>
    <x v="3"/>
    <x v="3"/>
    <x v="1"/>
    <x v="1"/>
    <n v="219733"/>
    <n v="-44906"/>
    <n v="174827"/>
    <n v="174827"/>
    <n v="0"/>
    <n v="0"/>
    <n v="13766"/>
  </r>
  <r>
    <x v="25"/>
    <x v="12"/>
    <x v="12"/>
    <x v="2"/>
    <x v="2"/>
    <x v="1"/>
    <x v="1"/>
    <n v="59457"/>
    <n v="0"/>
    <n v="59457"/>
    <n v="59457"/>
    <n v="0"/>
    <n v="0"/>
    <n v="13820"/>
  </r>
  <r>
    <x v="25"/>
    <x v="12"/>
    <x v="12"/>
    <x v="3"/>
    <x v="3"/>
    <x v="0"/>
    <x v="0"/>
    <n v="0"/>
    <n v="0"/>
    <n v="0"/>
    <n v="0"/>
    <n v="0"/>
    <n v="0"/>
    <n v="0"/>
  </r>
  <r>
    <x v="25"/>
    <x v="12"/>
    <x v="12"/>
    <x v="2"/>
    <x v="2"/>
    <x v="0"/>
    <x v="0"/>
    <n v="0"/>
    <n v="0"/>
    <n v="0"/>
    <n v="0"/>
    <n v="0"/>
    <n v="0"/>
    <n v="0"/>
  </r>
  <r>
    <x v="25"/>
    <x v="4"/>
    <x v="4"/>
    <x v="4"/>
    <x v="4"/>
    <x v="1"/>
    <x v="1"/>
    <n v="4207155"/>
    <n v="-132809"/>
    <n v="4074346"/>
    <n v="4074346"/>
    <n v="0"/>
    <n v="0"/>
    <n v="234125"/>
  </r>
  <r>
    <x v="25"/>
    <x v="4"/>
    <x v="4"/>
    <x v="4"/>
    <x v="4"/>
    <x v="0"/>
    <x v="0"/>
    <n v="312371"/>
    <n v="-184317"/>
    <n v="128054"/>
    <n v="128054"/>
    <n v="0"/>
    <n v="0"/>
    <n v="0"/>
  </r>
  <r>
    <x v="25"/>
    <x v="5"/>
    <x v="5"/>
    <x v="3"/>
    <x v="3"/>
    <x v="1"/>
    <x v="1"/>
    <n v="1489051"/>
    <n v="0"/>
    <n v="1489051"/>
    <n v="1489051"/>
    <n v="0"/>
    <n v="190845"/>
    <n v="0"/>
  </r>
  <r>
    <x v="25"/>
    <x v="5"/>
    <x v="5"/>
    <x v="3"/>
    <x v="3"/>
    <x v="0"/>
    <x v="0"/>
    <n v="129534"/>
    <n v="0"/>
    <n v="129534"/>
    <n v="129534"/>
    <n v="0"/>
    <n v="0"/>
    <n v="0"/>
  </r>
  <r>
    <x v="25"/>
    <x v="7"/>
    <x v="7"/>
    <x v="5"/>
    <x v="5"/>
    <x v="1"/>
    <x v="1"/>
    <n v="1101110"/>
    <n v="0"/>
    <n v="1101110"/>
    <n v="1101110"/>
    <n v="0"/>
    <n v="0"/>
    <n v="306754"/>
  </r>
  <r>
    <x v="25"/>
    <x v="7"/>
    <x v="7"/>
    <x v="5"/>
    <x v="5"/>
    <x v="0"/>
    <x v="0"/>
    <n v="0"/>
    <n v="0"/>
    <n v="0"/>
    <n v="0"/>
    <n v="0"/>
    <n v="0"/>
    <n v="0"/>
  </r>
  <r>
    <x v="25"/>
    <x v="8"/>
    <x v="8"/>
    <x v="5"/>
    <x v="5"/>
    <x v="1"/>
    <x v="1"/>
    <n v="1019657"/>
    <n v="0"/>
    <n v="1019657"/>
    <n v="1019657"/>
    <n v="0"/>
    <n v="0"/>
    <n v="0"/>
  </r>
  <r>
    <x v="25"/>
    <x v="8"/>
    <x v="8"/>
    <x v="5"/>
    <x v="5"/>
    <x v="0"/>
    <x v="0"/>
    <n v="0"/>
    <n v="0"/>
    <n v="0"/>
    <n v="0"/>
    <n v="0"/>
    <n v="0"/>
    <n v="0"/>
  </r>
  <r>
    <x v="25"/>
    <x v="10"/>
    <x v="10"/>
    <x v="5"/>
    <x v="5"/>
    <x v="1"/>
    <x v="1"/>
    <n v="2500912"/>
    <n v="0"/>
    <n v="2500912"/>
    <n v="2500912"/>
    <n v="0"/>
    <n v="0"/>
    <n v="0"/>
  </r>
  <r>
    <x v="25"/>
    <x v="10"/>
    <x v="10"/>
    <x v="5"/>
    <x v="5"/>
    <x v="0"/>
    <x v="0"/>
    <n v="0"/>
    <n v="0"/>
    <n v="0"/>
    <n v="0"/>
    <n v="0"/>
    <n v="0"/>
    <n v="0"/>
  </r>
  <r>
    <x v="26"/>
    <x v="1"/>
    <x v="1"/>
    <x v="3"/>
    <x v="3"/>
    <x v="1"/>
    <x v="1"/>
    <n v="8903706"/>
    <n v="-10753"/>
    <n v="8892953"/>
    <n v="8892953"/>
    <n v="0"/>
    <n v="50700"/>
    <n v="1441337"/>
  </r>
  <r>
    <x v="26"/>
    <x v="1"/>
    <x v="1"/>
    <x v="1"/>
    <x v="1"/>
    <x v="1"/>
    <x v="1"/>
    <n v="707246"/>
    <n v="-14477"/>
    <n v="692769"/>
    <n v="692769"/>
    <n v="0"/>
    <n v="0"/>
    <n v="0"/>
  </r>
  <r>
    <x v="26"/>
    <x v="1"/>
    <x v="1"/>
    <x v="2"/>
    <x v="2"/>
    <x v="1"/>
    <x v="1"/>
    <n v="2032310"/>
    <n v="-561163"/>
    <n v="1471147"/>
    <n v="1471147"/>
    <n v="0"/>
    <n v="92442"/>
    <n v="403228"/>
  </r>
  <r>
    <x v="26"/>
    <x v="1"/>
    <x v="1"/>
    <x v="3"/>
    <x v="3"/>
    <x v="0"/>
    <x v="0"/>
    <n v="334180"/>
    <n v="-3317"/>
    <n v="330863"/>
    <n v="330863"/>
    <n v="0"/>
    <n v="0"/>
    <n v="0"/>
  </r>
  <r>
    <x v="26"/>
    <x v="1"/>
    <x v="1"/>
    <x v="1"/>
    <x v="1"/>
    <x v="0"/>
    <x v="0"/>
    <n v="28954"/>
    <n v="-14477"/>
    <n v="14477"/>
    <n v="14477"/>
    <n v="0"/>
    <n v="0"/>
    <n v="0"/>
  </r>
  <r>
    <x v="26"/>
    <x v="1"/>
    <x v="1"/>
    <x v="2"/>
    <x v="2"/>
    <x v="0"/>
    <x v="0"/>
    <n v="553563"/>
    <n v="0"/>
    <n v="553563"/>
    <n v="553563"/>
    <n v="0"/>
    <n v="0"/>
    <n v="0"/>
  </r>
  <r>
    <x v="26"/>
    <x v="2"/>
    <x v="2"/>
    <x v="3"/>
    <x v="3"/>
    <x v="1"/>
    <x v="1"/>
    <n v="4733216"/>
    <n v="-14939"/>
    <n v="4718277"/>
    <n v="4718277"/>
    <n v="0"/>
    <n v="55977"/>
    <n v="511579"/>
  </r>
  <r>
    <x v="26"/>
    <x v="2"/>
    <x v="2"/>
    <x v="1"/>
    <x v="1"/>
    <x v="1"/>
    <x v="1"/>
    <n v="562631"/>
    <n v="0"/>
    <n v="562631"/>
    <n v="562631"/>
    <n v="0"/>
    <n v="31846"/>
    <n v="0"/>
  </r>
  <r>
    <x v="26"/>
    <x v="2"/>
    <x v="2"/>
    <x v="2"/>
    <x v="2"/>
    <x v="1"/>
    <x v="1"/>
    <n v="1408921"/>
    <n v="-205060"/>
    <n v="1203861"/>
    <n v="1203861"/>
    <n v="0"/>
    <n v="0"/>
    <n v="360429"/>
  </r>
  <r>
    <x v="26"/>
    <x v="2"/>
    <x v="2"/>
    <x v="3"/>
    <x v="3"/>
    <x v="0"/>
    <x v="0"/>
    <n v="0"/>
    <n v="397"/>
    <n v="397"/>
    <n v="397"/>
    <n v="0"/>
    <n v="0"/>
    <n v="0"/>
  </r>
  <r>
    <x v="26"/>
    <x v="2"/>
    <x v="2"/>
    <x v="1"/>
    <x v="1"/>
    <x v="0"/>
    <x v="0"/>
    <n v="60298"/>
    <n v="0"/>
    <n v="60298"/>
    <n v="60298"/>
    <n v="0"/>
    <n v="0"/>
    <n v="0"/>
  </r>
  <r>
    <x v="26"/>
    <x v="2"/>
    <x v="2"/>
    <x v="2"/>
    <x v="2"/>
    <x v="0"/>
    <x v="0"/>
    <n v="547953"/>
    <n v="-196962"/>
    <n v="350991"/>
    <n v="350991"/>
    <n v="0"/>
    <n v="0"/>
    <n v="0"/>
  </r>
  <r>
    <x v="26"/>
    <x v="3"/>
    <x v="3"/>
    <x v="3"/>
    <x v="3"/>
    <x v="1"/>
    <x v="1"/>
    <n v="4496022"/>
    <n v="0"/>
    <n v="4496022"/>
    <n v="4496022"/>
    <n v="0"/>
    <n v="26133"/>
    <n v="525065"/>
  </r>
  <r>
    <x v="26"/>
    <x v="3"/>
    <x v="3"/>
    <x v="2"/>
    <x v="2"/>
    <x v="1"/>
    <x v="1"/>
    <n v="1912543"/>
    <n v="-283388"/>
    <n v="1629155"/>
    <n v="1629155"/>
    <n v="0"/>
    <n v="0"/>
    <n v="405773"/>
  </r>
  <r>
    <x v="26"/>
    <x v="3"/>
    <x v="3"/>
    <x v="3"/>
    <x v="3"/>
    <x v="0"/>
    <x v="0"/>
    <n v="496066"/>
    <n v="0"/>
    <n v="496066"/>
    <n v="496066"/>
    <n v="0"/>
    <n v="0"/>
    <n v="0"/>
  </r>
  <r>
    <x v="26"/>
    <x v="3"/>
    <x v="3"/>
    <x v="2"/>
    <x v="2"/>
    <x v="0"/>
    <x v="0"/>
    <n v="115768"/>
    <n v="0"/>
    <n v="115768"/>
    <n v="115768"/>
    <n v="0"/>
    <n v="0"/>
    <n v="0"/>
  </r>
  <r>
    <x v="26"/>
    <x v="11"/>
    <x v="11"/>
    <x v="3"/>
    <x v="3"/>
    <x v="1"/>
    <x v="1"/>
    <n v="1178265"/>
    <n v="-69349"/>
    <n v="1108916"/>
    <n v="1108916"/>
    <n v="0"/>
    <n v="0"/>
    <n v="104897"/>
  </r>
  <r>
    <x v="26"/>
    <x v="11"/>
    <x v="11"/>
    <x v="2"/>
    <x v="2"/>
    <x v="1"/>
    <x v="1"/>
    <n v="108944"/>
    <n v="0"/>
    <n v="108944"/>
    <n v="108944"/>
    <n v="0"/>
    <n v="0"/>
    <n v="18551"/>
  </r>
  <r>
    <x v="26"/>
    <x v="11"/>
    <x v="11"/>
    <x v="3"/>
    <x v="3"/>
    <x v="0"/>
    <x v="0"/>
    <n v="245618"/>
    <n v="-172932"/>
    <n v="72686"/>
    <n v="72686"/>
    <n v="0"/>
    <n v="0"/>
    <n v="0"/>
  </r>
  <r>
    <x v="26"/>
    <x v="11"/>
    <x v="11"/>
    <x v="2"/>
    <x v="2"/>
    <x v="0"/>
    <x v="0"/>
    <n v="102731"/>
    <n v="-119213"/>
    <n v="-16482"/>
    <n v="-16482"/>
    <n v="0"/>
    <n v="0"/>
    <n v="0"/>
  </r>
  <r>
    <x v="26"/>
    <x v="12"/>
    <x v="12"/>
    <x v="3"/>
    <x v="3"/>
    <x v="1"/>
    <x v="1"/>
    <n v="336011"/>
    <n v="-96663"/>
    <n v="239348"/>
    <n v="239348"/>
    <n v="0"/>
    <n v="23249"/>
    <n v="24627"/>
  </r>
  <r>
    <x v="26"/>
    <x v="12"/>
    <x v="12"/>
    <x v="2"/>
    <x v="2"/>
    <x v="1"/>
    <x v="1"/>
    <n v="107015"/>
    <n v="0"/>
    <n v="107015"/>
    <n v="107015"/>
    <n v="0"/>
    <n v="0"/>
    <n v="24883"/>
  </r>
  <r>
    <x v="26"/>
    <x v="12"/>
    <x v="12"/>
    <x v="3"/>
    <x v="3"/>
    <x v="0"/>
    <x v="0"/>
    <n v="86265"/>
    <n v="0"/>
    <n v="86265"/>
    <n v="86265"/>
    <n v="0"/>
    <n v="0"/>
    <n v="0"/>
  </r>
  <r>
    <x v="26"/>
    <x v="12"/>
    <x v="12"/>
    <x v="2"/>
    <x v="2"/>
    <x v="0"/>
    <x v="0"/>
    <n v="0"/>
    <n v="0"/>
    <n v="0"/>
    <n v="0"/>
    <n v="0"/>
    <n v="0"/>
    <n v="0"/>
  </r>
  <r>
    <x v="26"/>
    <x v="4"/>
    <x v="4"/>
    <x v="4"/>
    <x v="4"/>
    <x v="1"/>
    <x v="1"/>
    <n v="4195626"/>
    <n v="0"/>
    <n v="4195626"/>
    <n v="4195626"/>
    <n v="0"/>
    <n v="0"/>
    <n v="255681"/>
  </r>
  <r>
    <x v="26"/>
    <x v="4"/>
    <x v="4"/>
    <x v="4"/>
    <x v="4"/>
    <x v="0"/>
    <x v="0"/>
    <n v="23815"/>
    <n v="370890"/>
    <n v="394705"/>
    <n v="394705"/>
    <n v="0"/>
    <n v="0"/>
    <n v="0"/>
  </r>
  <r>
    <x v="26"/>
    <x v="5"/>
    <x v="5"/>
    <x v="3"/>
    <x v="3"/>
    <x v="1"/>
    <x v="1"/>
    <n v="1819338"/>
    <n v="0"/>
    <n v="1819338"/>
    <n v="1819338"/>
    <n v="0"/>
    <n v="0"/>
    <n v="0"/>
  </r>
  <r>
    <x v="26"/>
    <x v="5"/>
    <x v="5"/>
    <x v="3"/>
    <x v="3"/>
    <x v="0"/>
    <x v="0"/>
    <n v="858824"/>
    <n v="57255"/>
    <n v="916079"/>
    <n v="916079"/>
    <n v="0"/>
    <n v="0"/>
    <n v="0"/>
  </r>
  <r>
    <x v="26"/>
    <x v="7"/>
    <x v="7"/>
    <x v="5"/>
    <x v="5"/>
    <x v="1"/>
    <x v="1"/>
    <n v="1073137"/>
    <n v="0"/>
    <n v="1073137"/>
    <n v="1073137"/>
    <n v="0"/>
    <n v="0"/>
    <n v="299671"/>
  </r>
  <r>
    <x v="26"/>
    <x v="7"/>
    <x v="7"/>
    <x v="5"/>
    <x v="5"/>
    <x v="0"/>
    <x v="0"/>
    <n v="0"/>
    <n v="0"/>
    <n v="0"/>
    <n v="0"/>
    <n v="0"/>
    <n v="0"/>
    <n v="0"/>
  </r>
  <r>
    <x v="26"/>
    <x v="8"/>
    <x v="8"/>
    <x v="5"/>
    <x v="5"/>
    <x v="1"/>
    <x v="1"/>
    <n v="1012236"/>
    <n v="0"/>
    <n v="1012236"/>
    <n v="1012236"/>
    <n v="0"/>
    <n v="0"/>
    <n v="0"/>
  </r>
  <r>
    <x v="26"/>
    <x v="8"/>
    <x v="8"/>
    <x v="5"/>
    <x v="5"/>
    <x v="0"/>
    <x v="0"/>
    <n v="0"/>
    <n v="0"/>
    <n v="0"/>
    <n v="0"/>
    <n v="0"/>
    <n v="0"/>
    <n v="0"/>
  </r>
  <r>
    <x v="26"/>
    <x v="10"/>
    <x v="10"/>
    <x v="5"/>
    <x v="5"/>
    <x v="1"/>
    <x v="1"/>
    <n v="2443866"/>
    <n v="0"/>
    <n v="2443866"/>
    <n v="2443866"/>
    <n v="0"/>
    <n v="0"/>
    <n v="0"/>
  </r>
  <r>
    <x v="26"/>
    <x v="10"/>
    <x v="10"/>
    <x v="5"/>
    <x v="5"/>
    <x v="0"/>
    <x v="0"/>
    <n v="0"/>
    <n v="0"/>
    <n v="0"/>
    <n v="0"/>
    <n v="0"/>
    <n v="0"/>
    <n v="0"/>
  </r>
  <r>
    <x v="27"/>
    <x v="1"/>
    <x v="1"/>
    <x v="3"/>
    <x v="3"/>
    <x v="1"/>
    <x v="1"/>
    <n v="8797209"/>
    <n v="-136658"/>
    <n v="8660551"/>
    <n v="8660551"/>
    <n v="0"/>
    <n v="45057"/>
    <n v="1264810"/>
  </r>
  <r>
    <x v="27"/>
    <x v="1"/>
    <x v="1"/>
    <x v="1"/>
    <x v="1"/>
    <x v="1"/>
    <x v="1"/>
    <n v="732990"/>
    <n v="0"/>
    <n v="732990"/>
    <n v="732990"/>
    <n v="0"/>
    <n v="0"/>
    <n v="0"/>
  </r>
  <r>
    <x v="27"/>
    <x v="1"/>
    <x v="1"/>
    <x v="2"/>
    <x v="2"/>
    <x v="1"/>
    <x v="1"/>
    <n v="1671762"/>
    <n v="0"/>
    <n v="1671762"/>
    <n v="1671762"/>
    <n v="0"/>
    <n v="42442"/>
    <n v="441769"/>
  </r>
  <r>
    <x v="27"/>
    <x v="1"/>
    <x v="1"/>
    <x v="3"/>
    <x v="3"/>
    <x v="0"/>
    <x v="0"/>
    <n v="33254"/>
    <n v="-23293"/>
    <n v="9961"/>
    <n v="9961"/>
    <n v="0"/>
    <n v="0"/>
    <n v="0"/>
  </r>
  <r>
    <x v="27"/>
    <x v="1"/>
    <x v="1"/>
    <x v="1"/>
    <x v="1"/>
    <x v="0"/>
    <x v="0"/>
    <n v="28954"/>
    <n v="-14477"/>
    <n v="14477"/>
    <n v="14477"/>
    <n v="0"/>
    <n v="0"/>
    <n v="0"/>
  </r>
  <r>
    <x v="27"/>
    <x v="1"/>
    <x v="1"/>
    <x v="2"/>
    <x v="2"/>
    <x v="0"/>
    <x v="0"/>
    <n v="374021"/>
    <n v="0"/>
    <n v="374021"/>
    <n v="374021"/>
    <n v="0"/>
    <n v="0"/>
    <n v="0"/>
  </r>
  <r>
    <x v="27"/>
    <x v="2"/>
    <x v="2"/>
    <x v="3"/>
    <x v="3"/>
    <x v="1"/>
    <x v="1"/>
    <n v="4624537"/>
    <n v="-132521"/>
    <n v="4492016"/>
    <n v="4492016"/>
    <n v="0"/>
    <n v="106323"/>
    <n v="487200"/>
  </r>
  <r>
    <x v="27"/>
    <x v="2"/>
    <x v="2"/>
    <x v="1"/>
    <x v="1"/>
    <x v="1"/>
    <x v="1"/>
    <n v="509461"/>
    <n v="0"/>
    <n v="509461"/>
    <n v="509461"/>
    <n v="0"/>
    <n v="11636"/>
    <n v="0"/>
  </r>
  <r>
    <x v="27"/>
    <x v="2"/>
    <x v="2"/>
    <x v="2"/>
    <x v="2"/>
    <x v="1"/>
    <x v="1"/>
    <n v="1227707"/>
    <n v="-81390"/>
    <n v="1146317"/>
    <n v="1146317"/>
    <n v="0"/>
    <n v="7100"/>
    <n v="296398"/>
  </r>
  <r>
    <x v="27"/>
    <x v="2"/>
    <x v="2"/>
    <x v="3"/>
    <x v="3"/>
    <x v="0"/>
    <x v="0"/>
    <n v="99227"/>
    <n v="-107240"/>
    <n v="-8013"/>
    <n v="-8013"/>
    <n v="0"/>
    <n v="0"/>
    <n v="0"/>
  </r>
  <r>
    <x v="27"/>
    <x v="2"/>
    <x v="2"/>
    <x v="1"/>
    <x v="1"/>
    <x v="0"/>
    <x v="0"/>
    <n v="14950"/>
    <n v="-5823"/>
    <n v="9127"/>
    <n v="9127"/>
    <n v="0"/>
    <n v="0"/>
    <n v="0"/>
  </r>
  <r>
    <x v="27"/>
    <x v="2"/>
    <x v="2"/>
    <x v="2"/>
    <x v="2"/>
    <x v="0"/>
    <x v="0"/>
    <n v="177069"/>
    <n v="0"/>
    <n v="177069"/>
    <n v="177069"/>
    <n v="0"/>
    <n v="0"/>
    <n v="0"/>
  </r>
  <r>
    <x v="27"/>
    <x v="3"/>
    <x v="3"/>
    <x v="3"/>
    <x v="3"/>
    <x v="1"/>
    <x v="1"/>
    <n v="4412058"/>
    <n v="-7469"/>
    <n v="4404589"/>
    <n v="4404589"/>
    <n v="0"/>
    <n v="222242"/>
    <n v="461604"/>
  </r>
  <r>
    <x v="27"/>
    <x v="3"/>
    <x v="3"/>
    <x v="2"/>
    <x v="2"/>
    <x v="1"/>
    <x v="1"/>
    <n v="1876364"/>
    <n v="0"/>
    <n v="1876364"/>
    <n v="1876364"/>
    <n v="0"/>
    <n v="0"/>
    <n v="502225"/>
  </r>
  <r>
    <x v="27"/>
    <x v="3"/>
    <x v="3"/>
    <x v="3"/>
    <x v="3"/>
    <x v="0"/>
    <x v="0"/>
    <n v="29713"/>
    <n v="0"/>
    <n v="29713"/>
    <n v="29713"/>
    <n v="0"/>
    <n v="0"/>
    <n v="0"/>
  </r>
  <r>
    <x v="27"/>
    <x v="3"/>
    <x v="3"/>
    <x v="2"/>
    <x v="2"/>
    <x v="0"/>
    <x v="0"/>
    <n v="283388"/>
    <n v="0"/>
    <n v="283388"/>
    <n v="283388"/>
    <n v="0"/>
    <n v="0"/>
    <n v="0"/>
  </r>
  <r>
    <x v="27"/>
    <x v="11"/>
    <x v="11"/>
    <x v="3"/>
    <x v="3"/>
    <x v="1"/>
    <x v="1"/>
    <n v="928913"/>
    <n v="0"/>
    <n v="928913"/>
    <n v="928913"/>
    <n v="0"/>
    <n v="0"/>
    <n v="119784"/>
  </r>
  <r>
    <x v="27"/>
    <x v="11"/>
    <x v="11"/>
    <x v="2"/>
    <x v="2"/>
    <x v="1"/>
    <x v="1"/>
    <n v="137240"/>
    <n v="0"/>
    <n v="137240"/>
    <n v="137240"/>
    <n v="0"/>
    <n v="0"/>
    <n v="36611"/>
  </r>
  <r>
    <x v="27"/>
    <x v="11"/>
    <x v="11"/>
    <x v="3"/>
    <x v="3"/>
    <x v="0"/>
    <x v="0"/>
    <n v="396992"/>
    <n v="0"/>
    <n v="396992"/>
    <n v="396992"/>
    <n v="0"/>
    <n v="0"/>
    <n v="0"/>
  </r>
  <r>
    <x v="27"/>
    <x v="11"/>
    <x v="11"/>
    <x v="2"/>
    <x v="2"/>
    <x v="0"/>
    <x v="0"/>
    <n v="32918"/>
    <n v="0"/>
    <n v="32918"/>
    <n v="32918"/>
    <n v="0"/>
    <n v="0"/>
    <n v="0"/>
  </r>
  <r>
    <x v="27"/>
    <x v="12"/>
    <x v="12"/>
    <x v="3"/>
    <x v="3"/>
    <x v="1"/>
    <x v="1"/>
    <n v="398584"/>
    <n v="-18508"/>
    <n v="380076"/>
    <n v="380076"/>
    <n v="0"/>
    <n v="30133"/>
    <n v="45753"/>
  </r>
  <r>
    <x v="27"/>
    <x v="12"/>
    <x v="12"/>
    <x v="2"/>
    <x v="2"/>
    <x v="1"/>
    <x v="1"/>
    <n v="157949"/>
    <n v="0"/>
    <n v="157949"/>
    <n v="157949"/>
    <n v="0"/>
    <n v="0"/>
    <n v="36720"/>
  </r>
  <r>
    <x v="27"/>
    <x v="12"/>
    <x v="12"/>
    <x v="3"/>
    <x v="3"/>
    <x v="0"/>
    <x v="0"/>
    <n v="130741"/>
    <n v="0"/>
    <n v="130741"/>
    <n v="130741"/>
    <n v="0"/>
    <n v="0"/>
    <n v="0"/>
  </r>
  <r>
    <x v="27"/>
    <x v="12"/>
    <x v="12"/>
    <x v="2"/>
    <x v="2"/>
    <x v="0"/>
    <x v="0"/>
    <n v="0"/>
    <n v="0"/>
    <n v="0"/>
    <n v="0"/>
    <n v="0"/>
    <n v="0"/>
    <n v="0"/>
  </r>
  <r>
    <x v="27"/>
    <x v="4"/>
    <x v="4"/>
    <x v="4"/>
    <x v="4"/>
    <x v="1"/>
    <x v="1"/>
    <n v="4236747"/>
    <n v="-101594"/>
    <n v="4135153"/>
    <n v="4135153"/>
    <n v="0"/>
    <n v="0"/>
    <n v="228390"/>
  </r>
  <r>
    <x v="27"/>
    <x v="4"/>
    <x v="4"/>
    <x v="4"/>
    <x v="4"/>
    <x v="0"/>
    <x v="0"/>
    <n v="60954"/>
    <n v="-96013"/>
    <n v="-35059"/>
    <n v="-35059"/>
    <n v="0"/>
    <n v="0"/>
    <n v="0"/>
  </r>
  <r>
    <x v="27"/>
    <x v="5"/>
    <x v="5"/>
    <x v="3"/>
    <x v="3"/>
    <x v="1"/>
    <x v="1"/>
    <n v="1826775"/>
    <n v="0"/>
    <n v="1826775"/>
    <n v="1826775"/>
    <n v="0"/>
    <n v="0"/>
    <n v="0"/>
  </r>
  <r>
    <x v="27"/>
    <x v="5"/>
    <x v="5"/>
    <x v="3"/>
    <x v="3"/>
    <x v="0"/>
    <x v="0"/>
    <n v="0"/>
    <n v="0"/>
    <n v="0"/>
    <n v="0"/>
    <n v="0"/>
    <n v="0"/>
    <n v="0"/>
  </r>
  <r>
    <x v="27"/>
    <x v="7"/>
    <x v="7"/>
    <x v="5"/>
    <x v="5"/>
    <x v="1"/>
    <x v="1"/>
    <n v="1107363"/>
    <n v="0"/>
    <n v="1107363"/>
    <n v="1107363"/>
    <n v="0"/>
    <n v="0"/>
    <n v="308666"/>
  </r>
  <r>
    <x v="27"/>
    <x v="7"/>
    <x v="7"/>
    <x v="5"/>
    <x v="5"/>
    <x v="0"/>
    <x v="0"/>
    <n v="0"/>
    <n v="0"/>
    <n v="0"/>
    <n v="0"/>
    <n v="0"/>
    <n v="0"/>
    <n v="0"/>
  </r>
  <r>
    <x v="27"/>
    <x v="8"/>
    <x v="8"/>
    <x v="5"/>
    <x v="5"/>
    <x v="1"/>
    <x v="1"/>
    <n v="1044442"/>
    <n v="0"/>
    <n v="1044442"/>
    <n v="1044442"/>
    <n v="0"/>
    <n v="0"/>
    <n v="0"/>
  </r>
  <r>
    <x v="27"/>
    <x v="8"/>
    <x v="8"/>
    <x v="5"/>
    <x v="5"/>
    <x v="0"/>
    <x v="0"/>
    <n v="0"/>
    <n v="0"/>
    <n v="0"/>
    <n v="0"/>
    <n v="0"/>
    <n v="0"/>
    <n v="0"/>
  </r>
  <r>
    <x v="27"/>
    <x v="10"/>
    <x v="10"/>
    <x v="5"/>
    <x v="5"/>
    <x v="1"/>
    <x v="1"/>
    <n v="2507684"/>
    <n v="0"/>
    <n v="2507684"/>
    <n v="2507684"/>
    <n v="0"/>
    <n v="0"/>
    <n v="0"/>
  </r>
  <r>
    <x v="27"/>
    <x v="10"/>
    <x v="10"/>
    <x v="5"/>
    <x v="5"/>
    <x v="0"/>
    <x v="0"/>
    <n v="0"/>
    <n v="0"/>
    <n v="0"/>
    <n v="0"/>
    <n v="0"/>
    <n v="0"/>
    <n v="0"/>
  </r>
  <r>
    <x v="28"/>
    <x v="1"/>
    <x v="1"/>
    <x v="3"/>
    <x v="3"/>
    <x v="1"/>
    <x v="1"/>
    <n v="8676544"/>
    <n v="-6634"/>
    <n v="8669910"/>
    <n v="8669910"/>
    <n v="0"/>
    <n v="158772"/>
    <n v="1297597"/>
  </r>
  <r>
    <x v="28"/>
    <x v="1"/>
    <x v="1"/>
    <x v="1"/>
    <x v="1"/>
    <x v="1"/>
    <x v="1"/>
    <n v="721723"/>
    <n v="0"/>
    <n v="721723"/>
    <n v="721723"/>
    <n v="0"/>
    <n v="0"/>
    <n v="0"/>
  </r>
  <r>
    <x v="28"/>
    <x v="1"/>
    <x v="1"/>
    <x v="2"/>
    <x v="2"/>
    <x v="1"/>
    <x v="1"/>
    <n v="2016231"/>
    <n v="-79415"/>
    <n v="1936816"/>
    <n v="1936816"/>
    <n v="0"/>
    <n v="0"/>
    <n v="502389"/>
  </r>
  <r>
    <x v="28"/>
    <x v="1"/>
    <x v="1"/>
    <x v="3"/>
    <x v="3"/>
    <x v="0"/>
    <x v="0"/>
    <n v="206795"/>
    <n v="36048"/>
    <n v="242843"/>
    <n v="242843"/>
    <n v="0"/>
    <n v="0"/>
    <n v="0"/>
  </r>
  <r>
    <x v="28"/>
    <x v="1"/>
    <x v="1"/>
    <x v="1"/>
    <x v="1"/>
    <x v="0"/>
    <x v="0"/>
    <n v="14477"/>
    <n v="0"/>
    <n v="14477"/>
    <n v="14477"/>
    <n v="0"/>
    <n v="0"/>
    <n v="0"/>
  </r>
  <r>
    <x v="28"/>
    <x v="1"/>
    <x v="1"/>
    <x v="2"/>
    <x v="2"/>
    <x v="0"/>
    <x v="0"/>
    <n v="379308"/>
    <n v="0"/>
    <n v="379308"/>
    <n v="379308"/>
    <n v="0"/>
    <n v="0"/>
    <n v="0"/>
  </r>
  <r>
    <x v="28"/>
    <x v="2"/>
    <x v="2"/>
    <x v="3"/>
    <x v="3"/>
    <x v="1"/>
    <x v="1"/>
    <n v="4380525"/>
    <n v="-14939"/>
    <n v="4365586"/>
    <n v="4365586"/>
    <n v="0"/>
    <n v="8710"/>
    <n v="442601"/>
  </r>
  <r>
    <x v="28"/>
    <x v="2"/>
    <x v="2"/>
    <x v="1"/>
    <x v="1"/>
    <x v="1"/>
    <x v="1"/>
    <n v="497826"/>
    <n v="0"/>
    <n v="497826"/>
    <n v="497826"/>
    <n v="0"/>
    <n v="0"/>
    <n v="0"/>
  </r>
  <r>
    <x v="28"/>
    <x v="2"/>
    <x v="2"/>
    <x v="2"/>
    <x v="2"/>
    <x v="1"/>
    <x v="1"/>
    <n v="1100923"/>
    <n v="-160480"/>
    <n v="940443"/>
    <n v="940443"/>
    <n v="0"/>
    <n v="0"/>
    <n v="233751"/>
  </r>
  <r>
    <x v="28"/>
    <x v="2"/>
    <x v="2"/>
    <x v="3"/>
    <x v="3"/>
    <x v="0"/>
    <x v="0"/>
    <n v="111881"/>
    <n v="-383080"/>
    <n v="-271199"/>
    <n v="-271199"/>
    <n v="0"/>
    <n v="0"/>
    <n v="0"/>
  </r>
  <r>
    <x v="28"/>
    <x v="2"/>
    <x v="2"/>
    <x v="1"/>
    <x v="1"/>
    <x v="0"/>
    <x v="0"/>
    <n v="32574"/>
    <n v="0"/>
    <n v="32574"/>
    <n v="32574"/>
    <n v="0"/>
    <n v="0"/>
    <n v="0"/>
  </r>
  <r>
    <x v="28"/>
    <x v="2"/>
    <x v="2"/>
    <x v="2"/>
    <x v="2"/>
    <x v="0"/>
    <x v="0"/>
    <n v="209464"/>
    <n v="-144697"/>
    <n v="64767"/>
    <n v="64767"/>
    <n v="0"/>
    <n v="0"/>
    <n v="0"/>
  </r>
  <r>
    <x v="28"/>
    <x v="3"/>
    <x v="3"/>
    <x v="3"/>
    <x v="3"/>
    <x v="1"/>
    <x v="1"/>
    <n v="4735561"/>
    <n v="-2630"/>
    <n v="4732931"/>
    <n v="4732931"/>
    <n v="0"/>
    <n v="0"/>
    <n v="520648"/>
  </r>
  <r>
    <x v="28"/>
    <x v="3"/>
    <x v="3"/>
    <x v="2"/>
    <x v="2"/>
    <x v="1"/>
    <x v="1"/>
    <n v="1738382"/>
    <n v="0"/>
    <n v="1738382"/>
    <n v="1738382"/>
    <n v="0"/>
    <n v="0"/>
    <n v="404246"/>
  </r>
  <r>
    <x v="28"/>
    <x v="3"/>
    <x v="3"/>
    <x v="3"/>
    <x v="3"/>
    <x v="0"/>
    <x v="0"/>
    <n v="232124"/>
    <n v="7469"/>
    <n v="239593"/>
    <n v="239593"/>
    <n v="0"/>
    <n v="0"/>
    <n v="0"/>
  </r>
  <r>
    <x v="28"/>
    <x v="3"/>
    <x v="3"/>
    <x v="2"/>
    <x v="2"/>
    <x v="0"/>
    <x v="0"/>
    <n v="0"/>
    <n v="0"/>
    <n v="0"/>
    <n v="0"/>
    <n v="0"/>
    <n v="0"/>
    <n v="0"/>
  </r>
  <r>
    <x v="28"/>
    <x v="11"/>
    <x v="11"/>
    <x v="3"/>
    <x v="3"/>
    <x v="1"/>
    <x v="1"/>
    <n v="1000605"/>
    <n v="-13148"/>
    <n v="987457"/>
    <n v="987457"/>
    <n v="0"/>
    <n v="0"/>
    <n v="86703"/>
  </r>
  <r>
    <x v="28"/>
    <x v="11"/>
    <x v="11"/>
    <x v="2"/>
    <x v="2"/>
    <x v="1"/>
    <x v="1"/>
    <n v="133567"/>
    <n v="0"/>
    <n v="133567"/>
    <n v="133567"/>
    <n v="0"/>
    <n v="0"/>
    <n v="28110"/>
  </r>
  <r>
    <x v="28"/>
    <x v="11"/>
    <x v="11"/>
    <x v="3"/>
    <x v="3"/>
    <x v="0"/>
    <x v="0"/>
    <n v="0"/>
    <n v="0"/>
    <n v="0"/>
    <n v="0"/>
    <n v="0"/>
    <n v="0"/>
    <n v="0"/>
  </r>
  <r>
    <x v="28"/>
    <x v="11"/>
    <x v="11"/>
    <x v="2"/>
    <x v="2"/>
    <x v="0"/>
    <x v="0"/>
    <n v="0"/>
    <n v="0"/>
    <n v="0"/>
    <n v="0"/>
    <n v="0"/>
    <n v="0"/>
    <n v="0"/>
  </r>
  <r>
    <x v="28"/>
    <x v="12"/>
    <x v="12"/>
    <x v="3"/>
    <x v="3"/>
    <x v="1"/>
    <x v="1"/>
    <n v="551172"/>
    <n v="-57923"/>
    <n v="493249"/>
    <n v="493249"/>
    <n v="0"/>
    <n v="0"/>
    <n v="39332"/>
  </r>
  <r>
    <x v="28"/>
    <x v="12"/>
    <x v="12"/>
    <x v="2"/>
    <x v="2"/>
    <x v="1"/>
    <x v="1"/>
    <n v="242326"/>
    <n v="0"/>
    <n v="242326"/>
    <n v="242326"/>
    <n v="0"/>
    <n v="0"/>
    <n v="56338"/>
  </r>
  <r>
    <x v="28"/>
    <x v="12"/>
    <x v="12"/>
    <x v="3"/>
    <x v="3"/>
    <x v="0"/>
    <x v="0"/>
    <n v="48641"/>
    <n v="-32653"/>
    <n v="15988"/>
    <n v="15988"/>
    <n v="0"/>
    <n v="0"/>
    <n v="0"/>
  </r>
  <r>
    <x v="28"/>
    <x v="12"/>
    <x v="12"/>
    <x v="2"/>
    <x v="2"/>
    <x v="0"/>
    <x v="0"/>
    <n v="0"/>
    <n v="0"/>
    <n v="0"/>
    <n v="0"/>
    <n v="0"/>
    <n v="0"/>
    <n v="0"/>
  </r>
  <r>
    <x v="28"/>
    <x v="4"/>
    <x v="4"/>
    <x v="4"/>
    <x v="4"/>
    <x v="1"/>
    <x v="1"/>
    <n v="3824966"/>
    <n v="-13208"/>
    <n v="3811758"/>
    <n v="3811758"/>
    <n v="0"/>
    <n v="0"/>
    <n v="214247"/>
  </r>
  <r>
    <x v="28"/>
    <x v="4"/>
    <x v="4"/>
    <x v="4"/>
    <x v="4"/>
    <x v="0"/>
    <x v="0"/>
    <n v="35059"/>
    <n v="0"/>
    <n v="35059"/>
    <n v="35059"/>
    <n v="0"/>
    <n v="0"/>
    <n v="0"/>
  </r>
  <r>
    <x v="28"/>
    <x v="5"/>
    <x v="5"/>
    <x v="3"/>
    <x v="3"/>
    <x v="1"/>
    <x v="1"/>
    <n v="1845029"/>
    <n v="0"/>
    <n v="1845029"/>
    <n v="1845029"/>
    <n v="0"/>
    <n v="0"/>
    <n v="0"/>
  </r>
  <r>
    <x v="28"/>
    <x v="5"/>
    <x v="5"/>
    <x v="3"/>
    <x v="3"/>
    <x v="0"/>
    <x v="0"/>
    <n v="0"/>
    <n v="0"/>
    <n v="0"/>
    <n v="0"/>
    <n v="0"/>
    <n v="0"/>
    <n v="0"/>
  </r>
  <r>
    <x v="28"/>
    <x v="7"/>
    <x v="7"/>
    <x v="5"/>
    <x v="5"/>
    <x v="1"/>
    <x v="1"/>
    <n v="1107363"/>
    <n v="0"/>
    <n v="1107363"/>
    <n v="1107363"/>
    <n v="0"/>
    <n v="0"/>
    <n v="309206"/>
  </r>
  <r>
    <x v="28"/>
    <x v="7"/>
    <x v="7"/>
    <x v="5"/>
    <x v="5"/>
    <x v="0"/>
    <x v="0"/>
    <n v="0"/>
    <n v="0"/>
    <n v="0"/>
    <n v="0"/>
    <n v="0"/>
    <n v="0"/>
    <n v="0"/>
  </r>
  <r>
    <x v="28"/>
    <x v="8"/>
    <x v="8"/>
    <x v="5"/>
    <x v="5"/>
    <x v="1"/>
    <x v="1"/>
    <n v="1044442"/>
    <n v="0"/>
    <n v="1044442"/>
    <n v="1044442"/>
    <n v="0"/>
    <n v="0"/>
    <n v="0"/>
  </r>
  <r>
    <x v="28"/>
    <x v="8"/>
    <x v="8"/>
    <x v="5"/>
    <x v="5"/>
    <x v="0"/>
    <x v="0"/>
    <n v="0"/>
    <n v="0"/>
    <n v="0"/>
    <n v="0"/>
    <n v="0"/>
    <n v="0"/>
    <n v="0"/>
  </r>
  <r>
    <x v="28"/>
    <x v="10"/>
    <x v="10"/>
    <x v="5"/>
    <x v="5"/>
    <x v="1"/>
    <x v="1"/>
    <n v="2515481"/>
    <n v="0"/>
    <n v="2515481"/>
    <n v="2515481"/>
    <n v="0"/>
    <n v="0"/>
    <n v="0"/>
  </r>
  <r>
    <x v="28"/>
    <x v="10"/>
    <x v="10"/>
    <x v="5"/>
    <x v="5"/>
    <x v="0"/>
    <x v="0"/>
    <n v="0"/>
    <n v="0"/>
    <n v="0"/>
    <n v="0"/>
    <n v="0"/>
    <n v="0"/>
    <n v="0"/>
  </r>
  <r>
    <x v="29"/>
    <x v="1"/>
    <x v="1"/>
    <x v="3"/>
    <x v="3"/>
    <x v="1"/>
    <x v="1"/>
    <n v="8231230"/>
    <n v="-293863"/>
    <n v="7937367"/>
    <n v="7937367"/>
    <n v="0"/>
    <n v="102654"/>
    <n v="1181981"/>
  </r>
  <r>
    <x v="29"/>
    <x v="1"/>
    <x v="1"/>
    <x v="1"/>
    <x v="1"/>
    <x v="1"/>
    <x v="1"/>
    <n v="724023"/>
    <n v="0"/>
    <n v="724023"/>
    <n v="724023"/>
    <n v="0"/>
    <n v="0"/>
    <n v="0"/>
  </r>
  <r>
    <x v="29"/>
    <x v="1"/>
    <x v="1"/>
    <x v="2"/>
    <x v="2"/>
    <x v="1"/>
    <x v="1"/>
    <n v="1783931"/>
    <n v="-10016"/>
    <n v="1773915"/>
    <n v="1773915"/>
    <n v="0"/>
    <n v="0"/>
    <n v="390453"/>
  </r>
  <r>
    <x v="29"/>
    <x v="1"/>
    <x v="1"/>
    <x v="3"/>
    <x v="3"/>
    <x v="0"/>
    <x v="0"/>
    <n v="165731"/>
    <n v="-8602"/>
    <n v="157129"/>
    <n v="157129"/>
    <n v="0"/>
    <n v="0"/>
    <n v="0"/>
  </r>
  <r>
    <x v="29"/>
    <x v="1"/>
    <x v="1"/>
    <x v="1"/>
    <x v="1"/>
    <x v="0"/>
    <x v="0"/>
    <n v="32324"/>
    <n v="0"/>
    <n v="32324"/>
    <n v="32324"/>
    <n v="0"/>
    <n v="0"/>
    <n v="0"/>
  </r>
  <r>
    <x v="29"/>
    <x v="1"/>
    <x v="1"/>
    <x v="2"/>
    <x v="2"/>
    <x v="0"/>
    <x v="0"/>
    <n v="80061"/>
    <n v="0"/>
    <n v="80061"/>
    <n v="80061"/>
    <n v="0"/>
    <n v="0"/>
    <n v="0"/>
  </r>
  <r>
    <x v="29"/>
    <x v="2"/>
    <x v="2"/>
    <x v="3"/>
    <x v="3"/>
    <x v="1"/>
    <x v="1"/>
    <n v="4010362"/>
    <n v="-29050"/>
    <n v="3981312"/>
    <n v="3981312"/>
    <n v="0"/>
    <n v="0"/>
    <n v="488244"/>
  </r>
  <r>
    <x v="29"/>
    <x v="2"/>
    <x v="2"/>
    <x v="1"/>
    <x v="1"/>
    <x v="1"/>
    <x v="1"/>
    <n v="496555"/>
    <n v="0"/>
    <n v="496555"/>
    <n v="496555"/>
    <n v="0"/>
    <n v="0"/>
    <n v="0"/>
  </r>
  <r>
    <x v="29"/>
    <x v="2"/>
    <x v="2"/>
    <x v="2"/>
    <x v="2"/>
    <x v="1"/>
    <x v="1"/>
    <n v="950774"/>
    <n v="-134167"/>
    <n v="816607"/>
    <n v="816607"/>
    <n v="0"/>
    <n v="23402.3"/>
    <n v="208923"/>
  </r>
  <r>
    <x v="29"/>
    <x v="2"/>
    <x v="2"/>
    <x v="3"/>
    <x v="3"/>
    <x v="0"/>
    <x v="0"/>
    <n v="368085"/>
    <n v="201204"/>
    <n v="569289"/>
    <n v="569289"/>
    <n v="0"/>
    <n v="0"/>
    <n v="0"/>
  </r>
  <r>
    <x v="29"/>
    <x v="2"/>
    <x v="2"/>
    <x v="1"/>
    <x v="1"/>
    <x v="0"/>
    <x v="0"/>
    <n v="33381"/>
    <n v="0"/>
    <n v="33381"/>
    <n v="33381"/>
    <n v="0"/>
    <n v="0"/>
    <n v="0"/>
  </r>
  <r>
    <x v="29"/>
    <x v="2"/>
    <x v="2"/>
    <x v="2"/>
    <x v="2"/>
    <x v="0"/>
    <x v="0"/>
    <n v="81891"/>
    <n v="0"/>
    <n v="81891"/>
    <n v="81891"/>
    <n v="0"/>
    <n v="0"/>
    <n v="0"/>
  </r>
  <r>
    <x v="29"/>
    <x v="3"/>
    <x v="3"/>
    <x v="3"/>
    <x v="3"/>
    <x v="1"/>
    <x v="1"/>
    <n v="4377283"/>
    <n v="0"/>
    <n v="4377283"/>
    <n v="4377283"/>
    <n v="0"/>
    <n v="72996"/>
    <n v="448766"/>
  </r>
  <r>
    <x v="29"/>
    <x v="3"/>
    <x v="3"/>
    <x v="2"/>
    <x v="2"/>
    <x v="1"/>
    <x v="1"/>
    <n v="1701433"/>
    <n v="0"/>
    <n v="1701433"/>
    <n v="1701433"/>
    <n v="0"/>
    <n v="0"/>
    <n v="395654"/>
  </r>
  <r>
    <x v="29"/>
    <x v="3"/>
    <x v="3"/>
    <x v="3"/>
    <x v="3"/>
    <x v="0"/>
    <x v="0"/>
    <n v="0"/>
    <n v="2630"/>
    <n v="2630"/>
    <n v="2630"/>
    <n v="0"/>
    <n v="0"/>
    <n v="0"/>
  </r>
  <r>
    <x v="29"/>
    <x v="3"/>
    <x v="3"/>
    <x v="2"/>
    <x v="2"/>
    <x v="0"/>
    <x v="0"/>
    <n v="0"/>
    <n v="0"/>
    <n v="0"/>
    <n v="0"/>
    <n v="0"/>
    <n v="0"/>
    <n v="0"/>
  </r>
  <r>
    <x v="29"/>
    <x v="11"/>
    <x v="11"/>
    <x v="3"/>
    <x v="3"/>
    <x v="1"/>
    <x v="1"/>
    <n v="779167"/>
    <n v="-8409"/>
    <n v="770758"/>
    <n v="770758"/>
    <n v="0"/>
    <n v="0"/>
    <n v="60595"/>
  </r>
  <r>
    <x v="29"/>
    <x v="11"/>
    <x v="11"/>
    <x v="2"/>
    <x v="2"/>
    <x v="1"/>
    <x v="1"/>
    <n v="113402"/>
    <n v="0"/>
    <n v="113402"/>
    <n v="113402"/>
    <n v="0"/>
    <n v="0"/>
    <n v="24153"/>
  </r>
  <r>
    <x v="29"/>
    <x v="11"/>
    <x v="11"/>
    <x v="3"/>
    <x v="3"/>
    <x v="0"/>
    <x v="0"/>
    <n v="7889"/>
    <n v="0"/>
    <n v="7889"/>
    <n v="7889"/>
    <n v="0"/>
    <n v="0"/>
    <n v="0"/>
  </r>
  <r>
    <x v="29"/>
    <x v="11"/>
    <x v="11"/>
    <x v="2"/>
    <x v="2"/>
    <x v="0"/>
    <x v="0"/>
    <n v="0"/>
    <n v="0"/>
    <n v="0"/>
    <n v="0"/>
    <n v="0"/>
    <n v="0"/>
    <n v="0"/>
  </r>
  <r>
    <x v="29"/>
    <x v="12"/>
    <x v="12"/>
    <x v="3"/>
    <x v="3"/>
    <x v="1"/>
    <x v="1"/>
    <n v="702011"/>
    <n v="-9094"/>
    <n v="692917"/>
    <n v="692917"/>
    <n v="0"/>
    <n v="0"/>
    <n v="65862"/>
  </r>
  <r>
    <x v="29"/>
    <x v="12"/>
    <x v="12"/>
    <x v="2"/>
    <x v="2"/>
    <x v="1"/>
    <x v="1"/>
    <n v="272801"/>
    <n v="0"/>
    <n v="272801"/>
    <n v="272801"/>
    <n v="0"/>
    <n v="0"/>
    <n v="63423"/>
  </r>
  <r>
    <x v="29"/>
    <x v="12"/>
    <x v="12"/>
    <x v="3"/>
    <x v="3"/>
    <x v="0"/>
    <x v="0"/>
    <n v="83514"/>
    <n v="2520"/>
    <n v="86034"/>
    <n v="86034"/>
    <n v="0"/>
    <n v="0"/>
    <n v="0"/>
  </r>
  <r>
    <x v="29"/>
    <x v="12"/>
    <x v="12"/>
    <x v="2"/>
    <x v="2"/>
    <x v="0"/>
    <x v="0"/>
    <n v="0"/>
    <n v="0"/>
    <n v="0"/>
    <n v="0"/>
    <n v="0"/>
    <n v="0"/>
    <n v="0"/>
  </r>
  <r>
    <x v="29"/>
    <x v="4"/>
    <x v="4"/>
    <x v="4"/>
    <x v="4"/>
    <x v="1"/>
    <x v="1"/>
    <n v="4029418"/>
    <n v="-59481"/>
    <n v="3969937"/>
    <n v="3969937"/>
    <n v="0"/>
    <n v="0"/>
    <n v="230959"/>
  </r>
  <r>
    <x v="29"/>
    <x v="4"/>
    <x v="4"/>
    <x v="4"/>
    <x v="4"/>
    <x v="0"/>
    <x v="0"/>
    <n v="162548"/>
    <n v="13208"/>
    <n v="175756"/>
    <n v="175756"/>
    <n v="0"/>
    <n v="0"/>
    <n v="0"/>
  </r>
  <r>
    <x v="29"/>
    <x v="5"/>
    <x v="5"/>
    <x v="3"/>
    <x v="3"/>
    <x v="1"/>
    <x v="1"/>
    <n v="1715603"/>
    <n v="0"/>
    <n v="1715603"/>
    <n v="1715603"/>
    <n v="0"/>
    <n v="0"/>
    <n v="0"/>
  </r>
  <r>
    <x v="29"/>
    <x v="5"/>
    <x v="5"/>
    <x v="3"/>
    <x v="3"/>
    <x v="0"/>
    <x v="0"/>
    <n v="0"/>
    <n v="0"/>
    <n v="0"/>
    <n v="0"/>
    <n v="0"/>
    <n v="0"/>
    <n v="0"/>
  </r>
  <r>
    <x v="29"/>
    <x v="7"/>
    <x v="7"/>
    <x v="5"/>
    <x v="5"/>
    <x v="1"/>
    <x v="1"/>
    <n v="998423"/>
    <n v="0"/>
    <n v="998423"/>
    <n v="998423"/>
    <n v="0"/>
    <n v="0"/>
    <n v="328167"/>
  </r>
  <r>
    <x v="29"/>
    <x v="7"/>
    <x v="7"/>
    <x v="5"/>
    <x v="5"/>
    <x v="0"/>
    <x v="0"/>
    <n v="0"/>
    <n v="0"/>
    <n v="0"/>
    <n v="0"/>
    <n v="0"/>
    <n v="0"/>
    <n v="0"/>
  </r>
  <r>
    <x v="29"/>
    <x v="8"/>
    <x v="8"/>
    <x v="5"/>
    <x v="5"/>
    <x v="1"/>
    <x v="1"/>
    <n v="937836"/>
    <n v="0"/>
    <n v="937836"/>
    <n v="937836"/>
    <n v="0"/>
    <n v="0"/>
    <n v="0"/>
  </r>
  <r>
    <x v="29"/>
    <x v="8"/>
    <x v="8"/>
    <x v="5"/>
    <x v="5"/>
    <x v="0"/>
    <x v="0"/>
    <n v="0"/>
    <n v="0"/>
    <n v="0"/>
    <n v="0"/>
    <n v="0"/>
    <n v="0"/>
    <n v="0"/>
  </r>
  <r>
    <x v="29"/>
    <x v="10"/>
    <x v="10"/>
    <x v="5"/>
    <x v="5"/>
    <x v="1"/>
    <x v="1"/>
    <n v="1944130"/>
    <n v="-213958"/>
    <n v="1730172"/>
    <n v="1730172"/>
    <n v="0"/>
    <n v="0"/>
    <n v="0"/>
  </r>
  <r>
    <x v="29"/>
    <x v="10"/>
    <x v="10"/>
    <x v="5"/>
    <x v="5"/>
    <x v="0"/>
    <x v="0"/>
    <n v="0"/>
    <n v="0"/>
    <n v="0"/>
    <n v="0"/>
    <n v="0"/>
    <n v="0"/>
    <n v="0"/>
  </r>
  <r>
    <x v="29"/>
    <x v="13"/>
    <x v="13"/>
    <x v="5"/>
    <x v="5"/>
    <x v="1"/>
    <x v="1"/>
    <n v="1493913"/>
    <n v="-197725"/>
    <n v="1296188"/>
    <n v="1296188"/>
    <n v="0"/>
    <n v="0"/>
    <n v="0"/>
  </r>
  <r>
    <x v="29"/>
    <x v="13"/>
    <x v="13"/>
    <x v="5"/>
    <x v="5"/>
    <x v="0"/>
    <x v="0"/>
    <n v="0"/>
    <n v="0"/>
    <n v="0"/>
    <n v="0"/>
    <n v="0"/>
    <n v="0"/>
    <n v="0"/>
  </r>
  <r>
    <x v="30"/>
    <x v="1"/>
    <x v="1"/>
    <x v="3"/>
    <x v="3"/>
    <x v="1"/>
    <x v="1"/>
    <n v="8995720"/>
    <n v="-127383"/>
    <n v="8868337"/>
    <n v="8868337"/>
    <n v="0"/>
    <n v="152121"/>
    <n v="1328201"/>
  </r>
  <r>
    <x v="30"/>
    <x v="1"/>
    <x v="1"/>
    <x v="1"/>
    <x v="1"/>
    <x v="1"/>
    <x v="1"/>
    <n v="807053"/>
    <n v="0"/>
    <n v="807053"/>
    <n v="807053"/>
    <n v="0"/>
    <n v="0"/>
    <n v="0"/>
  </r>
  <r>
    <x v="30"/>
    <x v="1"/>
    <x v="1"/>
    <x v="2"/>
    <x v="2"/>
    <x v="1"/>
    <x v="1"/>
    <n v="2039432"/>
    <n v="-50413"/>
    <n v="1989019"/>
    <n v="1989019"/>
    <n v="0"/>
    <n v="0"/>
    <n v="424882"/>
  </r>
  <r>
    <x v="30"/>
    <x v="1"/>
    <x v="1"/>
    <x v="3"/>
    <x v="3"/>
    <x v="0"/>
    <x v="0"/>
    <n v="306337"/>
    <n v="133717"/>
    <n v="440054"/>
    <n v="440054"/>
    <n v="0"/>
    <n v="0"/>
    <n v="0"/>
  </r>
  <r>
    <x v="30"/>
    <x v="1"/>
    <x v="1"/>
    <x v="1"/>
    <x v="1"/>
    <x v="0"/>
    <x v="0"/>
    <n v="32324"/>
    <n v="0"/>
    <n v="32324"/>
    <n v="32324"/>
    <n v="0"/>
    <n v="0"/>
    <n v="0"/>
  </r>
  <r>
    <x v="30"/>
    <x v="1"/>
    <x v="1"/>
    <x v="2"/>
    <x v="2"/>
    <x v="0"/>
    <x v="0"/>
    <n v="14617"/>
    <n v="0"/>
    <n v="14617"/>
    <n v="14617"/>
    <n v="0"/>
    <n v="0"/>
    <n v="0"/>
  </r>
  <r>
    <x v="30"/>
    <x v="2"/>
    <x v="2"/>
    <x v="3"/>
    <x v="3"/>
    <x v="1"/>
    <x v="1"/>
    <n v="3999456"/>
    <n v="-5436"/>
    <n v="3994020"/>
    <n v="3994020"/>
    <n v="0"/>
    <n v="336938"/>
    <n v="373732"/>
  </r>
  <r>
    <x v="30"/>
    <x v="2"/>
    <x v="2"/>
    <x v="1"/>
    <x v="1"/>
    <x v="1"/>
    <x v="1"/>
    <n v="481439"/>
    <n v="0"/>
    <n v="481439"/>
    <n v="481439"/>
    <n v="0"/>
    <n v="11636"/>
    <n v="0"/>
  </r>
  <r>
    <x v="30"/>
    <x v="2"/>
    <x v="2"/>
    <x v="2"/>
    <x v="2"/>
    <x v="1"/>
    <x v="1"/>
    <n v="877364"/>
    <n v="-72920"/>
    <n v="804444"/>
    <n v="804444"/>
    <n v="0"/>
    <n v="105294"/>
    <n v="223423"/>
  </r>
  <r>
    <x v="30"/>
    <x v="2"/>
    <x v="2"/>
    <x v="3"/>
    <x v="3"/>
    <x v="0"/>
    <x v="0"/>
    <n v="26055"/>
    <n v="-371810"/>
    <n v="-345755"/>
    <n v="-345755"/>
    <n v="0"/>
    <n v="0"/>
    <n v="0"/>
  </r>
  <r>
    <x v="30"/>
    <x v="2"/>
    <x v="2"/>
    <x v="1"/>
    <x v="1"/>
    <x v="0"/>
    <x v="0"/>
    <n v="0"/>
    <n v="0"/>
    <n v="0"/>
    <n v="0"/>
    <n v="0"/>
    <n v="0"/>
    <n v="0"/>
  </r>
  <r>
    <x v="30"/>
    <x v="2"/>
    <x v="2"/>
    <x v="2"/>
    <x v="2"/>
    <x v="0"/>
    <x v="0"/>
    <n v="229986"/>
    <n v="-73520"/>
    <n v="156466"/>
    <n v="156466"/>
    <n v="0"/>
    <n v="0"/>
    <n v="0"/>
  </r>
  <r>
    <x v="30"/>
    <x v="3"/>
    <x v="3"/>
    <x v="3"/>
    <x v="3"/>
    <x v="1"/>
    <x v="1"/>
    <n v="4953746"/>
    <n v="0"/>
    <n v="4953746"/>
    <n v="4953746"/>
    <n v="0"/>
    <n v="144180"/>
    <n v="511438"/>
  </r>
  <r>
    <x v="30"/>
    <x v="3"/>
    <x v="3"/>
    <x v="2"/>
    <x v="2"/>
    <x v="1"/>
    <x v="1"/>
    <n v="1808198"/>
    <n v="-140162"/>
    <n v="1668036"/>
    <n v="1668036"/>
    <n v="0"/>
    <n v="0"/>
    <n v="387896"/>
  </r>
  <r>
    <x v="30"/>
    <x v="3"/>
    <x v="3"/>
    <x v="3"/>
    <x v="3"/>
    <x v="0"/>
    <x v="0"/>
    <n v="82996"/>
    <n v="0"/>
    <n v="82996"/>
    <n v="82996"/>
    <n v="0"/>
    <n v="0"/>
    <n v="0"/>
  </r>
  <r>
    <x v="30"/>
    <x v="3"/>
    <x v="3"/>
    <x v="2"/>
    <x v="2"/>
    <x v="0"/>
    <x v="0"/>
    <n v="0"/>
    <n v="0"/>
    <n v="0"/>
    <n v="0"/>
    <n v="0"/>
    <n v="0"/>
    <n v="0"/>
  </r>
  <r>
    <x v="30"/>
    <x v="12"/>
    <x v="12"/>
    <x v="3"/>
    <x v="3"/>
    <x v="1"/>
    <x v="1"/>
    <n v="1003858"/>
    <n v="-43017"/>
    <n v="960841"/>
    <n v="960841"/>
    <n v="0"/>
    <n v="0"/>
    <n v="74624"/>
  </r>
  <r>
    <x v="30"/>
    <x v="12"/>
    <x v="12"/>
    <x v="2"/>
    <x v="2"/>
    <x v="1"/>
    <x v="1"/>
    <n v="408589"/>
    <n v="0"/>
    <n v="408589"/>
    <n v="408589"/>
    <n v="0"/>
    <n v="0"/>
    <n v="95009"/>
  </r>
  <r>
    <x v="30"/>
    <x v="12"/>
    <x v="12"/>
    <x v="3"/>
    <x v="3"/>
    <x v="0"/>
    <x v="0"/>
    <n v="0"/>
    <n v="4542"/>
    <n v="4542"/>
    <n v="4542"/>
    <n v="0"/>
    <n v="0"/>
    <n v="0"/>
  </r>
  <r>
    <x v="30"/>
    <x v="12"/>
    <x v="12"/>
    <x v="2"/>
    <x v="2"/>
    <x v="0"/>
    <x v="0"/>
    <n v="0"/>
    <n v="0"/>
    <n v="0"/>
    <n v="0"/>
    <n v="0"/>
    <n v="0"/>
    <n v="0"/>
  </r>
  <r>
    <x v="30"/>
    <x v="4"/>
    <x v="4"/>
    <x v="4"/>
    <x v="4"/>
    <x v="1"/>
    <x v="1"/>
    <n v="4596566"/>
    <n v="-66064"/>
    <n v="4530502"/>
    <n v="4530502"/>
    <n v="0"/>
    <n v="0"/>
    <n v="255703"/>
  </r>
  <r>
    <x v="30"/>
    <x v="4"/>
    <x v="4"/>
    <x v="4"/>
    <x v="4"/>
    <x v="0"/>
    <x v="0"/>
    <n v="0"/>
    <n v="59481"/>
    <n v="59481"/>
    <n v="59481"/>
    <n v="0"/>
    <n v="0"/>
    <n v="0"/>
  </r>
  <r>
    <x v="30"/>
    <x v="5"/>
    <x v="5"/>
    <x v="3"/>
    <x v="3"/>
    <x v="1"/>
    <x v="1"/>
    <n v="1715602"/>
    <n v="0"/>
    <n v="1715602"/>
    <n v="1715602"/>
    <n v="0"/>
    <n v="0"/>
    <n v="0"/>
  </r>
  <r>
    <x v="30"/>
    <x v="5"/>
    <x v="5"/>
    <x v="3"/>
    <x v="3"/>
    <x v="0"/>
    <x v="0"/>
    <n v="0"/>
    <n v="0"/>
    <n v="0"/>
    <n v="0"/>
    <n v="0"/>
    <n v="0"/>
    <n v="0"/>
  </r>
  <r>
    <x v="30"/>
    <x v="7"/>
    <x v="7"/>
    <x v="5"/>
    <x v="5"/>
    <x v="1"/>
    <x v="1"/>
    <n v="982644"/>
    <n v="0"/>
    <n v="982644"/>
    <n v="982644"/>
    <n v="0"/>
    <n v="0"/>
    <n v="342112"/>
  </r>
  <r>
    <x v="30"/>
    <x v="7"/>
    <x v="7"/>
    <x v="5"/>
    <x v="5"/>
    <x v="0"/>
    <x v="0"/>
    <n v="0"/>
    <n v="0"/>
    <n v="0"/>
    <n v="0"/>
    <n v="0"/>
    <n v="0"/>
    <n v="0"/>
  </r>
  <r>
    <x v="30"/>
    <x v="8"/>
    <x v="8"/>
    <x v="5"/>
    <x v="5"/>
    <x v="1"/>
    <x v="1"/>
    <n v="915793"/>
    <n v="0"/>
    <n v="915793"/>
    <n v="915793"/>
    <n v="0"/>
    <n v="0"/>
    <n v="0"/>
  </r>
  <r>
    <x v="30"/>
    <x v="8"/>
    <x v="8"/>
    <x v="5"/>
    <x v="5"/>
    <x v="0"/>
    <x v="0"/>
    <n v="0"/>
    <n v="0"/>
    <n v="0"/>
    <n v="0"/>
    <n v="0"/>
    <n v="0"/>
    <n v="0"/>
  </r>
  <r>
    <x v="30"/>
    <x v="10"/>
    <x v="10"/>
    <x v="5"/>
    <x v="5"/>
    <x v="1"/>
    <x v="1"/>
    <n v="1927185"/>
    <n v="-235817"/>
    <n v="1691368"/>
    <n v="1691368"/>
    <n v="0"/>
    <n v="0"/>
    <n v="0"/>
  </r>
  <r>
    <x v="30"/>
    <x v="10"/>
    <x v="10"/>
    <x v="5"/>
    <x v="5"/>
    <x v="0"/>
    <x v="0"/>
    <n v="213958"/>
    <n v="-213958"/>
    <n v="0"/>
    <n v="0"/>
    <n v="0"/>
    <n v="0"/>
    <n v="0"/>
  </r>
  <r>
    <x v="30"/>
    <x v="13"/>
    <x v="13"/>
    <x v="5"/>
    <x v="5"/>
    <x v="1"/>
    <x v="1"/>
    <n v="1605823"/>
    <n v="-235817"/>
    <n v="1370006"/>
    <n v="1370006"/>
    <n v="0"/>
    <n v="0"/>
    <n v="0"/>
  </r>
  <r>
    <x v="30"/>
    <x v="13"/>
    <x v="13"/>
    <x v="5"/>
    <x v="5"/>
    <x v="0"/>
    <x v="0"/>
    <n v="225125"/>
    <n v="0"/>
    <n v="225125"/>
    <n v="225125"/>
    <n v="0"/>
    <n v="0"/>
    <n v="0"/>
  </r>
  <r>
    <x v="31"/>
    <x v="1"/>
    <x v="1"/>
    <x v="3"/>
    <x v="3"/>
    <x v="1"/>
    <x v="1"/>
    <n v="9131435"/>
    <n v="0"/>
    <n v="9131435"/>
    <n v="0"/>
    <n v="9131435"/>
    <n v="28408"/>
    <n v="0"/>
  </r>
  <r>
    <x v="31"/>
    <x v="1"/>
    <x v="1"/>
    <x v="1"/>
    <x v="1"/>
    <x v="1"/>
    <x v="1"/>
    <n v="816052"/>
    <n v="0"/>
    <n v="816052"/>
    <n v="0"/>
    <n v="816052"/>
    <n v="0"/>
    <n v="0"/>
  </r>
  <r>
    <x v="31"/>
    <x v="1"/>
    <x v="1"/>
    <x v="2"/>
    <x v="2"/>
    <x v="1"/>
    <x v="1"/>
    <n v="2127360"/>
    <n v="0"/>
    <n v="2127360"/>
    <n v="0"/>
    <n v="2127360"/>
    <n v="0"/>
    <n v="0"/>
  </r>
  <r>
    <x v="31"/>
    <x v="1"/>
    <x v="1"/>
    <x v="3"/>
    <x v="3"/>
    <x v="0"/>
    <x v="0"/>
    <n v="70683"/>
    <n v="0"/>
    <n v="70683"/>
    <n v="0"/>
    <n v="70683"/>
    <n v="0"/>
    <n v="0"/>
  </r>
  <r>
    <x v="31"/>
    <x v="1"/>
    <x v="1"/>
    <x v="1"/>
    <x v="1"/>
    <x v="0"/>
    <x v="0"/>
    <n v="48941"/>
    <n v="0"/>
    <n v="48941"/>
    <n v="0"/>
    <n v="48941"/>
    <n v="0"/>
    <n v="0"/>
  </r>
  <r>
    <x v="31"/>
    <x v="1"/>
    <x v="1"/>
    <x v="2"/>
    <x v="2"/>
    <x v="0"/>
    <x v="0"/>
    <n v="50413"/>
    <n v="0"/>
    <n v="50413"/>
    <n v="0"/>
    <n v="50413"/>
    <n v="0"/>
    <n v="0"/>
  </r>
  <r>
    <x v="31"/>
    <x v="2"/>
    <x v="2"/>
    <x v="3"/>
    <x v="3"/>
    <x v="1"/>
    <x v="1"/>
    <n v="3538699"/>
    <n v="0"/>
    <n v="3538699"/>
    <n v="0"/>
    <n v="3538699"/>
    <n v="40566"/>
    <n v="0"/>
  </r>
  <r>
    <x v="31"/>
    <x v="2"/>
    <x v="2"/>
    <x v="1"/>
    <x v="1"/>
    <x v="1"/>
    <x v="1"/>
    <n v="534609"/>
    <n v="0"/>
    <n v="534609"/>
    <n v="0"/>
    <n v="534609"/>
    <n v="11636"/>
    <n v="0"/>
  </r>
  <r>
    <x v="31"/>
    <x v="2"/>
    <x v="2"/>
    <x v="2"/>
    <x v="2"/>
    <x v="1"/>
    <x v="1"/>
    <n v="1103041"/>
    <n v="0"/>
    <n v="1103041"/>
    <n v="0"/>
    <n v="1103041"/>
    <n v="0"/>
    <n v="0"/>
  </r>
  <r>
    <x v="31"/>
    <x v="2"/>
    <x v="2"/>
    <x v="3"/>
    <x v="3"/>
    <x v="0"/>
    <x v="0"/>
    <n v="384539"/>
    <n v="0"/>
    <n v="384539"/>
    <n v="0"/>
    <n v="384539"/>
    <n v="0"/>
    <n v="0"/>
  </r>
  <r>
    <x v="31"/>
    <x v="2"/>
    <x v="2"/>
    <x v="1"/>
    <x v="1"/>
    <x v="0"/>
    <x v="0"/>
    <n v="14950"/>
    <n v="0"/>
    <n v="14950"/>
    <n v="0"/>
    <n v="14950"/>
    <n v="0"/>
    <n v="0"/>
  </r>
  <r>
    <x v="31"/>
    <x v="2"/>
    <x v="2"/>
    <x v="2"/>
    <x v="2"/>
    <x v="0"/>
    <x v="0"/>
    <n v="243950"/>
    <n v="0"/>
    <n v="243950"/>
    <n v="0"/>
    <n v="243950"/>
    <n v="0"/>
    <n v="0"/>
  </r>
  <r>
    <x v="31"/>
    <x v="3"/>
    <x v="3"/>
    <x v="3"/>
    <x v="3"/>
    <x v="1"/>
    <x v="1"/>
    <n v="4684876"/>
    <n v="0"/>
    <n v="4684876"/>
    <n v="0"/>
    <n v="4684876"/>
    <n v="164777"/>
    <n v="0"/>
  </r>
  <r>
    <x v="31"/>
    <x v="3"/>
    <x v="3"/>
    <x v="2"/>
    <x v="2"/>
    <x v="1"/>
    <x v="1"/>
    <n v="1842826"/>
    <n v="0"/>
    <n v="1842826"/>
    <n v="0"/>
    <n v="1842826"/>
    <n v="0"/>
    <n v="0"/>
  </r>
  <r>
    <x v="31"/>
    <x v="3"/>
    <x v="3"/>
    <x v="3"/>
    <x v="3"/>
    <x v="0"/>
    <x v="0"/>
    <n v="84377"/>
    <n v="0"/>
    <n v="84377"/>
    <n v="0"/>
    <n v="84377"/>
    <n v="0"/>
    <n v="0"/>
  </r>
  <r>
    <x v="31"/>
    <x v="3"/>
    <x v="3"/>
    <x v="2"/>
    <x v="2"/>
    <x v="0"/>
    <x v="0"/>
    <n v="138036"/>
    <n v="0"/>
    <n v="138036"/>
    <n v="0"/>
    <n v="138036"/>
    <n v="0"/>
    <n v="0"/>
  </r>
  <r>
    <x v="31"/>
    <x v="11"/>
    <x v="11"/>
    <x v="3"/>
    <x v="3"/>
    <x v="1"/>
    <x v="1"/>
    <n v="0"/>
    <n v="0"/>
    <n v="0"/>
    <n v="0"/>
    <n v="0"/>
    <n v="0"/>
    <n v="0"/>
  </r>
  <r>
    <x v="31"/>
    <x v="11"/>
    <x v="11"/>
    <x v="2"/>
    <x v="2"/>
    <x v="1"/>
    <x v="1"/>
    <n v="0"/>
    <n v="0"/>
    <n v="0"/>
    <n v="0"/>
    <n v="0"/>
    <n v="0"/>
    <n v="0"/>
  </r>
  <r>
    <x v="31"/>
    <x v="11"/>
    <x v="11"/>
    <x v="3"/>
    <x v="3"/>
    <x v="0"/>
    <x v="0"/>
    <n v="13148"/>
    <n v="0"/>
    <n v="13148"/>
    <n v="0"/>
    <n v="13148"/>
    <n v="0"/>
    <n v="0"/>
  </r>
  <r>
    <x v="31"/>
    <x v="11"/>
    <x v="11"/>
    <x v="2"/>
    <x v="2"/>
    <x v="0"/>
    <x v="0"/>
    <n v="0"/>
    <n v="0"/>
    <n v="0"/>
    <n v="0"/>
    <n v="0"/>
    <n v="0"/>
    <n v="0"/>
  </r>
  <r>
    <x v="31"/>
    <x v="12"/>
    <x v="12"/>
    <x v="3"/>
    <x v="3"/>
    <x v="1"/>
    <x v="1"/>
    <n v="1281841"/>
    <n v="0"/>
    <n v="1281841"/>
    <n v="0"/>
    <n v="1281841"/>
    <n v="10519"/>
    <n v="0"/>
  </r>
  <r>
    <x v="31"/>
    <x v="12"/>
    <x v="12"/>
    <x v="2"/>
    <x v="2"/>
    <x v="1"/>
    <x v="1"/>
    <n v="517678"/>
    <n v="0"/>
    <n v="517678"/>
    <n v="0"/>
    <n v="517678"/>
    <n v="31021"/>
    <n v="0"/>
  </r>
  <r>
    <x v="31"/>
    <x v="12"/>
    <x v="12"/>
    <x v="3"/>
    <x v="3"/>
    <x v="0"/>
    <x v="0"/>
    <n v="43017"/>
    <n v="0"/>
    <n v="43017"/>
    <n v="0"/>
    <n v="43017"/>
    <n v="0"/>
    <n v="0"/>
  </r>
  <r>
    <x v="31"/>
    <x v="12"/>
    <x v="12"/>
    <x v="2"/>
    <x v="2"/>
    <x v="0"/>
    <x v="0"/>
    <n v="0"/>
    <n v="0"/>
    <n v="0"/>
    <n v="0"/>
    <n v="0"/>
    <n v="0"/>
    <n v="0"/>
  </r>
  <r>
    <x v="31"/>
    <x v="4"/>
    <x v="4"/>
    <x v="4"/>
    <x v="4"/>
    <x v="1"/>
    <x v="1"/>
    <n v="4062911"/>
    <n v="0"/>
    <n v="4062911"/>
    <n v="0"/>
    <n v="4062911"/>
    <n v="0"/>
    <n v="0"/>
  </r>
  <r>
    <x v="31"/>
    <x v="4"/>
    <x v="4"/>
    <x v="4"/>
    <x v="4"/>
    <x v="0"/>
    <x v="0"/>
    <n v="66064"/>
    <n v="0"/>
    <n v="66064"/>
    <n v="0"/>
    <n v="66064"/>
    <n v="0"/>
    <n v="0"/>
  </r>
  <r>
    <x v="31"/>
    <x v="5"/>
    <x v="5"/>
    <x v="3"/>
    <x v="3"/>
    <x v="1"/>
    <x v="1"/>
    <n v="1684049"/>
    <n v="0"/>
    <n v="1684049"/>
    <n v="0"/>
    <n v="1684049"/>
    <n v="0"/>
    <n v="0"/>
  </r>
  <r>
    <x v="31"/>
    <x v="5"/>
    <x v="5"/>
    <x v="3"/>
    <x v="3"/>
    <x v="0"/>
    <x v="0"/>
    <n v="0"/>
    <n v="0"/>
    <n v="0"/>
    <n v="0"/>
    <n v="0"/>
    <n v="0"/>
    <n v="0"/>
  </r>
  <r>
    <x v="31"/>
    <x v="7"/>
    <x v="7"/>
    <x v="5"/>
    <x v="5"/>
    <x v="1"/>
    <x v="1"/>
    <n v="1025725"/>
    <n v="0"/>
    <n v="1025725"/>
    <n v="0"/>
    <n v="1025725"/>
    <n v="0"/>
    <n v="0"/>
  </r>
  <r>
    <x v="31"/>
    <x v="7"/>
    <x v="7"/>
    <x v="5"/>
    <x v="5"/>
    <x v="0"/>
    <x v="0"/>
    <n v="0"/>
    <n v="0"/>
    <n v="0"/>
    <n v="0"/>
    <n v="0"/>
    <n v="0"/>
    <n v="0"/>
  </r>
  <r>
    <x v="31"/>
    <x v="8"/>
    <x v="8"/>
    <x v="5"/>
    <x v="5"/>
    <x v="1"/>
    <x v="1"/>
    <n v="746482"/>
    <n v="0"/>
    <n v="746482"/>
    <n v="0"/>
    <n v="746482"/>
    <n v="0"/>
    <n v="0"/>
  </r>
  <r>
    <x v="31"/>
    <x v="8"/>
    <x v="8"/>
    <x v="5"/>
    <x v="5"/>
    <x v="0"/>
    <x v="0"/>
    <n v="0"/>
    <n v="0"/>
    <n v="0"/>
    <n v="0"/>
    <n v="0"/>
    <n v="0"/>
    <n v="0"/>
  </r>
  <r>
    <x v="31"/>
    <x v="10"/>
    <x v="10"/>
    <x v="5"/>
    <x v="5"/>
    <x v="1"/>
    <x v="1"/>
    <n v="2032333"/>
    <n v="0"/>
    <n v="2032333"/>
    <n v="0"/>
    <n v="2032333"/>
    <n v="0"/>
    <n v="0"/>
  </r>
  <r>
    <x v="31"/>
    <x v="10"/>
    <x v="10"/>
    <x v="5"/>
    <x v="5"/>
    <x v="0"/>
    <x v="0"/>
    <n v="477477"/>
    <n v="0"/>
    <n v="477477"/>
    <n v="0"/>
    <n v="477477"/>
    <n v="0"/>
    <n v="0"/>
  </r>
  <r>
    <x v="31"/>
    <x v="13"/>
    <x v="13"/>
    <x v="5"/>
    <x v="5"/>
    <x v="1"/>
    <x v="1"/>
    <n v="1631515"/>
    <n v="0"/>
    <n v="1631515"/>
    <n v="0"/>
    <n v="1631515"/>
    <n v="0"/>
    <n v="0"/>
  </r>
  <r>
    <x v="31"/>
    <x v="13"/>
    <x v="13"/>
    <x v="5"/>
    <x v="5"/>
    <x v="0"/>
    <x v="0"/>
    <n v="235817"/>
    <n v="0"/>
    <n v="235817"/>
    <n v="0"/>
    <n v="235817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10">
  <r>
    <x v="0"/>
    <x v="0"/>
    <x v="0"/>
    <n v="6200417"/>
    <n v="762389"/>
    <n v="867249"/>
    <n v="157440"/>
    <n v="513328"/>
    <n v="0"/>
    <n v="0"/>
    <n v="0"/>
    <n v="0"/>
    <n v="0"/>
    <n v="105000"/>
    <n v="68350"/>
    <n v="0"/>
    <n v="6405"/>
    <n v="149170"/>
    <n v="0"/>
    <n v="0"/>
    <n v="0"/>
    <n v="0"/>
    <n v="0"/>
    <n v="0"/>
    <n v="7909919"/>
    <n v="328925"/>
  </r>
  <r>
    <x v="0"/>
    <x v="1"/>
    <x v="1"/>
    <n v="4215294"/>
    <n v="343694"/>
    <n v="368205"/>
    <n v="66648"/>
    <n v="290452"/>
    <n v="0"/>
    <n v="0"/>
    <n v="0"/>
    <n v="0"/>
    <n v="0"/>
    <n v="124925"/>
    <n v="0"/>
    <n v="0"/>
    <n v="1033"/>
    <n v="106803"/>
    <n v="0"/>
    <n v="0"/>
    <n v="0"/>
    <n v="0"/>
    <n v="0"/>
    <n v="0"/>
    <n v="5106712"/>
    <n v="232761"/>
  </r>
  <r>
    <x v="0"/>
    <x v="2"/>
    <x v="2"/>
    <n v="2440911"/>
    <n v="193381"/>
    <n v="771977"/>
    <n v="139892"/>
    <n v="0"/>
    <n v="0"/>
    <n v="0"/>
    <n v="0"/>
    <n v="0"/>
    <n v="0"/>
    <n v="12700"/>
    <n v="129580"/>
    <n v="0"/>
    <n v="2110"/>
    <n v="0"/>
    <n v="0"/>
    <n v="0"/>
    <n v="0"/>
    <n v="0"/>
    <n v="0"/>
    <n v="0"/>
    <n v="3357278"/>
    <n v="144390"/>
  </r>
  <r>
    <x v="0"/>
    <x v="3"/>
    <x v="3"/>
    <n v="0"/>
    <n v="0"/>
    <n v="0"/>
    <n v="0"/>
    <n v="0"/>
    <n v="2494889"/>
    <n v="96417"/>
    <n v="0"/>
    <n v="0"/>
    <n v="0"/>
    <n v="18495"/>
    <n v="0"/>
    <n v="0"/>
    <n v="0"/>
    <n v="0"/>
    <n v="0"/>
    <n v="136950"/>
    <n v="0"/>
    <n v="0"/>
    <n v="0"/>
    <n v="0"/>
    <n v="2650334"/>
    <n v="155445"/>
  </r>
  <r>
    <x v="0"/>
    <x v="4"/>
    <x v="4"/>
    <n v="0"/>
    <n v="0"/>
    <n v="0"/>
    <n v="0"/>
    <n v="0"/>
    <n v="0"/>
    <n v="0"/>
    <n v="745437"/>
    <n v="72968"/>
    <n v="0"/>
    <n v="0"/>
    <n v="0"/>
    <n v="0"/>
    <n v="0"/>
    <n v="0"/>
    <n v="78000"/>
    <n v="0"/>
    <n v="0"/>
    <n v="-60000"/>
    <n v="0"/>
    <n v="0"/>
    <n v="763437"/>
    <n v="18000"/>
  </r>
  <r>
    <x v="0"/>
    <x v="5"/>
    <x v="5"/>
    <n v="0"/>
    <n v="0"/>
    <n v="0"/>
    <n v="0"/>
    <n v="0"/>
    <n v="0"/>
    <n v="0"/>
    <n v="749148"/>
    <n v="0"/>
    <n v="0"/>
    <n v="0"/>
    <n v="0"/>
    <n v="0"/>
    <n v="0"/>
    <n v="0"/>
    <n v="98000"/>
    <n v="0"/>
    <n v="0"/>
    <n v="-20000"/>
    <n v="0"/>
    <n v="0"/>
    <n v="827148"/>
    <n v="78000"/>
  </r>
  <r>
    <x v="0"/>
    <x v="6"/>
    <x v="6"/>
    <n v="1737260"/>
    <n v="0"/>
    <n v="0"/>
    <n v="0"/>
    <n v="0"/>
    <n v="0"/>
    <n v="0"/>
    <n v="0"/>
    <n v="0"/>
    <n v="0"/>
    <n v="0"/>
    <n v="0"/>
    <n v="0"/>
    <n v="0"/>
    <n v="0"/>
    <n v="631140"/>
    <n v="0"/>
    <n v="0"/>
    <n v="0"/>
    <n v="0"/>
    <n v="0"/>
    <n v="2368400"/>
    <n v="631140"/>
  </r>
  <r>
    <x v="0"/>
    <x v="7"/>
    <x v="7"/>
    <n v="569924"/>
    <n v="0"/>
    <n v="0"/>
    <n v="0"/>
    <n v="0"/>
    <n v="0"/>
    <n v="0"/>
    <n v="0"/>
    <n v="0"/>
    <n v="0"/>
    <n v="0"/>
    <n v="0"/>
    <n v="0"/>
    <n v="0"/>
    <n v="0"/>
    <n v="383940"/>
    <n v="0"/>
    <n v="0"/>
    <n v="0"/>
    <n v="0"/>
    <n v="0"/>
    <n v="953864"/>
    <n v="383940"/>
  </r>
  <r>
    <x v="0"/>
    <x v="8"/>
    <x v="8"/>
    <n v="1055787"/>
    <n v="0"/>
    <n v="2693"/>
    <n v="0"/>
    <n v="0"/>
    <n v="0"/>
    <n v="0"/>
    <n v="0"/>
    <n v="0"/>
    <n v="0"/>
    <n v="188600"/>
    <n v="60840"/>
    <n v="1286055"/>
    <n v="0"/>
    <n v="0"/>
    <n v="0"/>
    <n v="0"/>
    <n v="0"/>
    <n v="0"/>
    <n v="0"/>
    <n v="0"/>
    <n v="2593975"/>
    <n v="1535495"/>
  </r>
  <r>
    <x v="0"/>
    <x v="9"/>
    <x v="9"/>
    <n v="0"/>
    <n v="0"/>
    <n v="0"/>
    <n v="0"/>
    <n v="0"/>
    <n v="0"/>
    <n v="0"/>
    <n v="0"/>
    <n v="0"/>
    <n v="33378"/>
    <n v="0"/>
    <n v="0"/>
    <n v="0"/>
    <n v="0"/>
    <n v="0"/>
    <n v="0"/>
    <n v="0"/>
    <n v="0"/>
    <n v="0"/>
    <n v="0"/>
    <n v="0"/>
    <n v="33378"/>
    <n v="0"/>
  </r>
  <r>
    <x v="1"/>
    <x v="0"/>
    <x v="0"/>
    <n v="7487057"/>
    <n v="965754"/>
    <n v="1616915"/>
    <n v="301358"/>
    <n v="773581"/>
    <n v="0"/>
    <n v="0"/>
    <n v="0"/>
    <n v="0"/>
    <n v="0"/>
    <n v="107400"/>
    <n v="69350"/>
    <n v="0"/>
    <n v="8155"/>
    <n v="130750"/>
    <n v="0"/>
    <n v="0"/>
    <n v="0"/>
    <n v="0"/>
    <n v="0"/>
    <n v="0"/>
    <n v="10193208"/>
    <n v="315655"/>
  </r>
  <r>
    <x v="1"/>
    <x v="1"/>
    <x v="1"/>
    <n v="4265893"/>
    <n v="328743"/>
    <n v="388698"/>
    <n v="70336"/>
    <n v="383481"/>
    <n v="0"/>
    <n v="0"/>
    <n v="0"/>
    <n v="0"/>
    <n v="0"/>
    <n v="162295"/>
    <n v="0"/>
    <n v="0"/>
    <n v="1906"/>
    <n v="94004"/>
    <n v="0"/>
    <n v="0"/>
    <n v="0"/>
    <n v="0"/>
    <n v="0"/>
    <n v="0"/>
    <n v="5296277"/>
    <n v="258205"/>
  </r>
  <r>
    <x v="1"/>
    <x v="2"/>
    <x v="2"/>
    <n v="2483969"/>
    <n v="197103"/>
    <n v="1375881"/>
    <n v="246750"/>
    <n v="0"/>
    <n v="0"/>
    <n v="0"/>
    <n v="0"/>
    <n v="0"/>
    <n v="0"/>
    <n v="37414"/>
    <n v="136800"/>
    <n v="0"/>
    <n v="1941"/>
    <n v="0"/>
    <n v="0"/>
    <n v="0"/>
    <n v="0"/>
    <n v="0"/>
    <n v="0"/>
    <n v="0"/>
    <n v="4036005"/>
    <n v="176155"/>
  </r>
  <r>
    <x v="1"/>
    <x v="3"/>
    <x v="3"/>
    <n v="0"/>
    <n v="0"/>
    <n v="0"/>
    <n v="0"/>
    <n v="0"/>
    <n v="2341440"/>
    <n v="90007"/>
    <n v="0"/>
    <n v="0"/>
    <n v="0"/>
    <n v="0"/>
    <n v="0"/>
    <n v="0"/>
    <n v="0"/>
    <n v="0"/>
    <n v="0"/>
    <n v="127050"/>
    <n v="0"/>
    <n v="0"/>
    <n v="0"/>
    <n v="0"/>
    <n v="2468490"/>
    <n v="127050"/>
  </r>
  <r>
    <x v="1"/>
    <x v="4"/>
    <x v="4"/>
    <n v="0"/>
    <n v="0"/>
    <n v="0"/>
    <n v="0"/>
    <n v="0"/>
    <n v="0"/>
    <n v="0"/>
    <n v="0"/>
    <n v="0"/>
    <n v="0"/>
    <n v="0"/>
    <n v="0"/>
    <n v="0"/>
    <n v="0"/>
    <n v="0"/>
    <n v="78000"/>
    <n v="0"/>
    <n v="0"/>
    <n v="0"/>
    <n v="0"/>
    <n v="0"/>
    <n v="78000"/>
    <n v="78000"/>
  </r>
  <r>
    <x v="1"/>
    <x v="5"/>
    <x v="5"/>
    <n v="0"/>
    <n v="0"/>
    <n v="0"/>
    <n v="0"/>
    <n v="0"/>
    <n v="0"/>
    <n v="0"/>
    <n v="0"/>
    <n v="0"/>
    <n v="0"/>
    <n v="0"/>
    <n v="0"/>
    <n v="0"/>
    <n v="0"/>
    <n v="0"/>
    <n v="98000"/>
    <n v="0"/>
    <n v="0"/>
    <n v="0"/>
    <n v="0"/>
    <n v="0"/>
    <n v="98000"/>
    <n v="98000"/>
  </r>
  <r>
    <x v="1"/>
    <x v="6"/>
    <x v="6"/>
    <n v="2794170"/>
    <n v="0"/>
    <n v="0"/>
    <n v="0"/>
    <n v="0"/>
    <n v="0"/>
    <n v="0"/>
    <n v="0"/>
    <n v="0"/>
    <n v="0"/>
    <n v="0"/>
    <n v="0"/>
    <n v="0"/>
    <n v="0"/>
    <n v="0"/>
    <n v="628568"/>
    <n v="0"/>
    <n v="0"/>
    <n v="0"/>
    <n v="0"/>
    <n v="0"/>
    <n v="3422738"/>
    <n v="628568"/>
  </r>
  <r>
    <x v="1"/>
    <x v="7"/>
    <x v="7"/>
    <n v="825621"/>
    <n v="0"/>
    <n v="0"/>
    <n v="0"/>
    <n v="0"/>
    <n v="0"/>
    <n v="0"/>
    <n v="0"/>
    <n v="0"/>
    <n v="0"/>
    <n v="0"/>
    <n v="0"/>
    <n v="0"/>
    <n v="0"/>
    <n v="0"/>
    <n v="468116"/>
    <n v="0"/>
    <n v="0"/>
    <n v="0"/>
    <n v="0"/>
    <n v="0"/>
    <n v="1293737"/>
    <n v="468116"/>
  </r>
  <r>
    <x v="1"/>
    <x v="8"/>
    <x v="8"/>
    <n v="1071846"/>
    <n v="0"/>
    <n v="8856"/>
    <n v="0"/>
    <n v="0"/>
    <n v="0"/>
    <n v="0"/>
    <n v="0"/>
    <n v="0"/>
    <n v="0"/>
    <n v="156800"/>
    <n v="60840"/>
    <n v="1469220"/>
    <n v="0"/>
    <n v="0"/>
    <n v="0"/>
    <n v="0"/>
    <n v="0"/>
    <n v="0"/>
    <n v="0"/>
    <n v="0"/>
    <n v="2767562"/>
    <n v="1686860"/>
  </r>
  <r>
    <x v="2"/>
    <x v="0"/>
    <x v="0"/>
    <n v="6763256"/>
    <n v="879088"/>
    <n v="1590980"/>
    <n v="259745"/>
    <n v="636206"/>
    <n v="0"/>
    <n v="0"/>
    <n v="0"/>
    <n v="0"/>
    <n v="0"/>
    <n v="84639"/>
    <n v="23960"/>
    <n v="0"/>
    <n v="5092"/>
    <n v="127720"/>
    <n v="0"/>
    <n v="0"/>
    <n v="0"/>
    <n v="0"/>
    <n v="0"/>
    <n v="0"/>
    <n v="9231853"/>
    <n v="241411"/>
  </r>
  <r>
    <x v="2"/>
    <x v="1"/>
    <x v="1"/>
    <n v="3938959"/>
    <n v="311756"/>
    <n v="404724"/>
    <n v="73251"/>
    <n v="361404"/>
    <n v="0"/>
    <n v="0"/>
    <n v="0"/>
    <n v="0"/>
    <n v="0"/>
    <n v="127829"/>
    <n v="0"/>
    <n v="0"/>
    <n v="2615"/>
    <n v="97216"/>
    <n v="0"/>
    <n v="0"/>
    <n v="0"/>
    <n v="0"/>
    <n v="0"/>
    <n v="0"/>
    <n v="4932747"/>
    <n v="227660"/>
  </r>
  <r>
    <x v="2"/>
    <x v="2"/>
    <x v="2"/>
    <n v="3077590"/>
    <n v="243668"/>
    <n v="887298"/>
    <n v="158398"/>
    <n v="0"/>
    <n v="0"/>
    <n v="0"/>
    <n v="0"/>
    <n v="0"/>
    <n v="0"/>
    <n v="79600"/>
    <n v="98380"/>
    <n v="0"/>
    <n v="2697"/>
    <n v="0"/>
    <n v="0"/>
    <n v="0"/>
    <n v="0"/>
    <n v="0"/>
    <n v="0"/>
    <n v="0"/>
    <n v="4145565"/>
    <n v="180677"/>
  </r>
  <r>
    <x v="2"/>
    <x v="3"/>
    <x v="3"/>
    <n v="0"/>
    <n v="0"/>
    <n v="0"/>
    <n v="0"/>
    <n v="0"/>
    <n v="2491624"/>
    <n v="95807"/>
    <n v="0"/>
    <n v="0"/>
    <n v="0"/>
    <n v="0"/>
    <n v="0"/>
    <n v="0"/>
    <n v="0"/>
    <n v="0"/>
    <n v="0"/>
    <n v="139700"/>
    <n v="0"/>
    <n v="0"/>
    <n v="0"/>
    <n v="0"/>
    <n v="2631324"/>
    <n v="139700"/>
  </r>
  <r>
    <x v="2"/>
    <x v="4"/>
    <x v="4"/>
    <n v="0"/>
    <n v="0"/>
    <n v="0"/>
    <n v="0"/>
    <n v="0"/>
    <n v="0"/>
    <n v="0"/>
    <n v="751389"/>
    <n v="72707"/>
    <n v="0"/>
    <n v="0"/>
    <n v="0"/>
    <n v="0"/>
    <n v="0"/>
    <n v="0"/>
    <n v="78000"/>
    <n v="0"/>
    <n v="0"/>
    <n v="-30000"/>
    <n v="0"/>
    <n v="0"/>
    <n v="799389"/>
    <n v="48000"/>
  </r>
  <r>
    <x v="2"/>
    <x v="5"/>
    <x v="5"/>
    <n v="0"/>
    <n v="0"/>
    <n v="0"/>
    <n v="0"/>
    <n v="0"/>
    <n v="0"/>
    <n v="0"/>
    <n v="728019"/>
    <n v="0"/>
    <n v="0"/>
    <n v="0"/>
    <n v="0"/>
    <n v="0"/>
    <n v="0"/>
    <n v="0"/>
    <n v="98000"/>
    <n v="0"/>
    <n v="0"/>
    <n v="-10000"/>
    <n v="0"/>
    <n v="0"/>
    <n v="816019"/>
    <n v="88000"/>
  </r>
  <r>
    <x v="2"/>
    <x v="6"/>
    <x v="6"/>
    <n v="2048148"/>
    <n v="0"/>
    <n v="0"/>
    <n v="0"/>
    <n v="0"/>
    <n v="0"/>
    <n v="0"/>
    <n v="0"/>
    <n v="0"/>
    <n v="0"/>
    <n v="2000"/>
    <n v="0"/>
    <n v="0"/>
    <n v="0"/>
    <n v="0"/>
    <n v="619140"/>
    <n v="0"/>
    <n v="0"/>
    <n v="0"/>
    <n v="0"/>
    <n v="0"/>
    <n v="2669288"/>
    <n v="621140"/>
  </r>
  <r>
    <x v="2"/>
    <x v="7"/>
    <x v="7"/>
    <n v="963609"/>
    <n v="0"/>
    <n v="0"/>
    <n v="0"/>
    <n v="0"/>
    <n v="0"/>
    <n v="0"/>
    <n v="0"/>
    <n v="0"/>
    <n v="0"/>
    <n v="10800"/>
    <n v="0"/>
    <n v="0"/>
    <n v="0"/>
    <n v="0"/>
    <n v="681868"/>
    <n v="0"/>
    <n v="0"/>
    <n v="0"/>
    <n v="0"/>
    <n v="0"/>
    <n v="1656277"/>
    <n v="692668"/>
  </r>
  <r>
    <x v="2"/>
    <x v="8"/>
    <x v="8"/>
    <n v="1311145"/>
    <n v="0"/>
    <n v="2693"/>
    <n v="0"/>
    <n v="0"/>
    <n v="0"/>
    <n v="0"/>
    <n v="0"/>
    <n v="0"/>
    <n v="0"/>
    <n v="158100"/>
    <n v="63533"/>
    <n v="1382908"/>
    <n v="0"/>
    <n v="0"/>
    <n v="0"/>
    <n v="0"/>
    <n v="0"/>
    <n v="0"/>
    <n v="0"/>
    <n v="0"/>
    <n v="2918379"/>
    <n v="1604541"/>
  </r>
  <r>
    <x v="2"/>
    <x v="9"/>
    <x v="9"/>
    <n v="0"/>
    <n v="0"/>
    <n v="0"/>
    <n v="0"/>
    <n v="0"/>
    <n v="0"/>
    <n v="0"/>
    <n v="0"/>
    <n v="0"/>
    <n v="50067"/>
    <n v="0"/>
    <n v="0"/>
    <n v="0"/>
    <n v="0"/>
    <n v="0"/>
    <n v="0"/>
    <n v="0"/>
    <n v="0"/>
    <n v="0"/>
    <n v="0"/>
    <n v="0"/>
    <n v="50067"/>
    <n v="0"/>
  </r>
  <r>
    <x v="3"/>
    <x v="0"/>
    <x v="0"/>
    <n v="6761251"/>
    <n v="922355"/>
    <n v="1719751"/>
    <n v="295462"/>
    <n v="660526"/>
    <n v="0"/>
    <n v="0"/>
    <n v="0"/>
    <n v="0"/>
    <n v="0"/>
    <n v="117852"/>
    <n v="34730"/>
    <n v="0"/>
    <n v="4846"/>
    <n v="130720"/>
    <n v="0"/>
    <n v="0"/>
    <n v="0"/>
    <n v="0"/>
    <n v="0"/>
    <n v="0"/>
    <n v="9429676"/>
    <n v="288148"/>
  </r>
  <r>
    <x v="3"/>
    <x v="1"/>
    <x v="1"/>
    <n v="3988303"/>
    <n v="315719"/>
    <n v="437647"/>
    <n v="79197"/>
    <n v="370597"/>
    <n v="0"/>
    <n v="0"/>
    <n v="0"/>
    <n v="0"/>
    <n v="0"/>
    <n v="146784"/>
    <n v="0"/>
    <n v="0"/>
    <n v="2182"/>
    <n v="94050"/>
    <n v="0"/>
    <n v="0"/>
    <n v="0"/>
    <n v="0"/>
    <n v="0"/>
    <n v="0"/>
    <n v="5039563"/>
    <n v="243016"/>
  </r>
  <r>
    <x v="3"/>
    <x v="2"/>
    <x v="2"/>
    <n v="3475608"/>
    <n v="276371"/>
    <n v="1108907"/>
    <n v="198688"/>
    <n v="0"/>
    <n v="0"/>
    <n v="0"/>
    <n v="0"/>
    <n v="0"/>
    <n v="0"/>
    <n v="48300"/>
    <n v="100857"/>
    <n v="0"/>
    <n v="2552"/>
    <n v="0"/>
    <n v="0"/>
    <n v="0"/>
    <n v="0"/>
    <n v="0"/>
    <n v="0"/>
    <n v="0"/>
    <n v="4736224"/>
    <n v="151709"/>
  </r>
  <r>
    <x v="3"/>
    <x v="3"/>
    <x v="3"/>
    <n v="0"/>
    <n v="0"/>
    <n v="0"/>
    <n v="0"/>
    <n v="0"/>
    <n v="2471657"/>
    <n v="95336"/>
    <n v="0"/>
    <n v="0"/>
    <n v="0"/>
    <n v="20827"/>
    <n v="0"/>
    <n v="0"/>
    <n v="0"/>
    <n v="0"/>
    <n v="0"/>
    <n v="151250"/>
    <n v="0"/>
    <n v="0"/>
    <n v="0"/>
    <n v="0"/>
    <n v="2643734"/>
    <n v="172077"/>
  </r>
  <r>
    <x v="3"/>
    <x v="4"/>
    <x v="4"/>
    <n v="0"/>
    <n v="0"/>
    <n v="0"/>
    <n v="0"/>
    <n v="0"/>
    <n v="0"/>
    <n v="0"/>
    <n v="1714337"/>
    <n v="151302"/>
    <n v="0"/>
    <n v="0"/>
    <n v="0"/>
    <n v="0"/>
    <n v="0"/>
    <n v="0"/>
    <n v="78000"/>
    <n v="0"/>
    <n v="0"/>
    <n v="-30000"/>
    <n v="0"/>
    <n v="0"/>
    <n v="1762337"/>
    <n v="48000"/>
  </r>
  <r>
    <x v="3"/>
    <x v="5"/>
    <x v="5"/>
    <n v="0"/>
    <n v="0"/>
    <n v="0"/>
    <n v="0"/>
    <n v="0"/>
    <n v="0"/>
    <n v="0"/>
    <n v="1359077"/>
    <n v="0"/>
    <n v="0"/>
    <n v="0"/>
    <n v="0"/>
    <n v="0"/>
    <n v="0"/>
    <n v="0"/>
    <n v="98000"/>
    <n v="0"/>
    <n v="0"/>
    <n v="-10000"/>
    <n v="0"/>
    <n v="0"/>
    <n v="1447077"/>
    <n v="88000"/>
  </r>
  <r>
    <x v="3"/>
    <x v="6"/>
    <x v="6"/>
    <n v="2353118"/>
    <n v="0"/>
    <n v="0"/>
    <n v="0"/>
    <n v="0"/>
    <n v="0"/>
    <n v="0"/>
    <n v="0"/>
    <n v="0"/>
    <n v="0"/>
    <n v="0"/>
    <n v="0"/>
    <n v="0"/>
    <n v="0"/>
    <n v="0"/>
    <n v="654388"/>
    <n v="0"/>
    <n v="0"/>
    <n v="0"/>
    <n v="0"/>
    <n v="0"/>
    <n v="3007506"/>
    <n v="654388"/>
  </r>
  <r>
    <x v="3"/>
    <x v="7"/>
    <x v="7"/>
    <n v="938322"/>
    <n v="0"/>
    <n v="0"/>
    <n v="0"/>
    <n v="0"/>
    <n v="0"/>
    <n v="0"/>
    <n v="0"/>
    <n v="0"/>
    <n v="0"/>
    <n v="12800"/>
    <n v="0"/>
    <n v="0"/>
    <n v="0"/>
    <n v="0"/>
    <n v="254391"/>
    <n v="0"/>
    <n v="0"/>
    <n v="0"/>
    <n v="0"/>
    <n v="0"/>
    <n v="1205513"/>
    <n v="267191"/>
  </r>
  <r>
    <x v="3"/>
    <x v="8"/>
    <x v="8"/>
    <n v="1490099"/>
    <n v="0"/>
    <n v="5117"/>
    <n v="0"/>
    <n v="0"/>
    <n v="0"/>
    <n v="0"/>
    <n v="0"/>
    <n v="0"/>
    <n v="0"/>
    <n v="181400"/>
    <n v="60840"/>
    <n v="1476810"/>
    <n v="0"/>
    <n v="0"/>
    <n v="0"/>
    <n v="0"/>
    <n v="0"/>
    <n v="0"/>
    <n v="0"/>
    <n v="0"/>
    <n v="3214266"/>
    <n v="1719050"/>
  </r>
  <r>
    <x v="3"/>
    <x v="9"/>
    <x v="9"/>
    <n v="0"/>
    <n v="0"/>
    <n v="0"/>
    <n v="0"/>
    <n v="0"/>
    <n v="0"/>
    <n v="0"/>
    <n v="0"/>
    <n v="0"/>
    <n v="33378"/>
    <n v="0"/>
    <n v="0"/>
    <n v="0"/>
    <n v="0"/>
    <n v="0"/>
    <n v="0"/>
    <n v="0"/>
    <n v="0"/>
    <n v="0"/>
    <n v="0"/>
    <n v="0"/>
    <n v="33378"/>
    <n v="0"/>
  </r>
  <r>
    <x v="4"/>
    <x v="0"/>
    <x v="0"/>
    <n v="6420997"/>
    <n v="815137"/>
    <n v="1646369"/>
    <n v="277036"/>
    <n v="674885"/>
    <n v="0"/>
    <n v="0"/>
    <n v="0"/>
    <n v="0"/>
    <n v="0"/>
    <n v="78570"/>
    <n v="44640"/>
    <n v="0"/>
    <n v="6636"/>
    <n v="127720"/>
    <n v="0"/>
    <n v="0"/>
    <n v="0"/>
    <n v="0"/>
    <n v="0"/>
    <n v="0"/>
    <n v="8999817"/>
    <n v="257566"/>
  </r>
  <r>
    <x v="4"/>
    <x v="1"/>
    <x v="1"/>
    <n v="3933890"/>
    <n v="311423"/>
    <n v="361265"/>
    <n v="65389"/>
    <n v="359083"/>
    <n v="0"/>
    <n v="0"/>
    <n v="0"/>
    <n v="0"/>
    <n v="0"/>
    <n v="128871"/>
    <n v="0"/>
    <n v="0"/>
    <n v="2349"/>
    <n v="110118"/>
    <n v="0"/>
    <n v="0"/>
    <n v="0"/>
    <n v="0"/>
    <n v="0"/>
    <n v="0"/>
    <n v="4895576"/>
    <n v="241338"/>
  </r>
  <r>
    <x v="4"/>
    <x v="2"/>
    <x v="2"/>
    <n v="2747083"/>
    <n v="217059"/>
    <n v="1250768"/>
    <n v="224199"/>
    <n v="0"/>
    <n v="0"/>
    <n v="0"/>
    <n v="0"/>
    <n v="0"/>
    <n v="0"/>
    <n v="81100"/>
    <n v="90605"/>
    <n v="0"/>
    <n v="3652"/>
    <n v="0"/>
    <n v="0"/>
    <n v="0"/>
    <n v="0"/>
    <n v="0"/>
    <n v="0"/>
    <n v="0"/>
    <n v="4173208"/>
    <n v="175357"/>
  </r>
  <r>
    <x v="4"/>
    <x v="3"/>
    <x v="3"/>
    <n v="0"/>
    <n v="0"/>
    <n v="0"/>
    <n v="0"/>
    <n v="0"/>
    <n v="2308205"/>
    <n v="88738"/>
    <n v="0"/>
    <n v="0"/>
    <n v="0"/>
    <n v="0"/>
    <n v="0"/>
    <n v="0"/>
    <n v="0"/>
    <n v="0"/>
    <n v="0"/>
    <n v="146850"/>
    <n v="0"/>
    <n v="0"/>
    <n v="0"/>
    <n v="0"/>
    <n v="2455055"/>
    <n v="146850"/>
  </r>
  <r>
    <x v="4"/>
    <x v="4"/>
    <x v="4"/>
    <n v="0"/>
    <n v="0"/>
    <n v="0"/>
    <n v="0"/>
    <n v="0"/>
    <n v="0"/>
    <n v="0"/>
    <n v="1203664"/>
    <n v="84778"/>
    <n v="0"/>
    <n v="0"/>
    <n v="0"/>
    <n v="0"/>
    <n v="0"/>
    <n v="0"/>
    <n v="78000"/>
    <n v="0"/>
    <n v="0"/>
    <n v="-30000"/>
    <n v="0"/>
    <n v="0"/>
    <n v="1251664"/>
    <n v="48000"/>
  </r>
  <r>
    <x v="4"/>
    <x v="5"/>
    <x v="5"/>
    <n v="0"/>
    <n v="0"/>
    <n v="0"/>
    <n v="0"/>
    <n v="0"/>
    <n v="0"/>
    <n v="0"/>
    <n v="521532"/>
    <n v="0"/>
    <n v="0"/>
    <n v="0"/>
    <n v="0"/>
    <n v="0"/>
    <n v="0"/>
    <n v="0"/>
    <n v="98000"/>
    <n v="0"/>
    <n v="0"/>
    <n v="-10000"/>
    <n v="0"/>
    <n v="0"/>
    <n v="609532"/>
    <n v="88000"/>
  </r>
  <r>
    <x v="4"/>
    <x v="6"/>
    <x v="6"/>
    <n v="2053904"/>
    <n v="0"/>
    <n v="0"/>
    <n v="0"/>
    <n v="0"/>
    <n v="0"/>
    <n v="0"/>
    <n v="0"/>
    <n v="0"/>
    <n v="0"/>
    <n v="27000"/>
    <n v="0"/>
    <n v="0"/>
    <n v="0"/>
    <n v="0"/>
    <n v="756311"/>
    <n v="0"/>
    <n v="0"/>
    <n v="0"/>
    <n v="0"/>
    <n v="0"/>
    <n v="2837215"/>
    <n v="783311"/>
  </r>
  <r>
    <x v="4"/>
    <x v="7"/>
    <x v="7"/>
    <n v="672023"/>
    <n v="0"/>
    <n v="0"/>
    <n v="0"/>
    <n v="0"/>
    <n v="0"/>
    <n v="0"/>
    <n v="0"/>
    <n v="0"/>
    <n v="0"/>
    <n v="1000"/>
    <n v="0"/>
    <n v="0"/>
    <n v="0"/>
    <n v="0"/>
    <n v="345280"/>
    <n v="0"/>
    <n v="0"/>
    <n v="0"/>
    <n v="0"/>
    <n v="0"/>
    <n v="1018303"/>
    <n v="346280"/>
  </r>
  <r>
    <x v="4"/>
    <x v="8"/>
    <x v="8"/>
    <n v="1204218"/>
    <n v="0"/>
    <n v="8422"/>
    <n v="0"/>
    <n v="0"/>
    <n v="0"/>
    <n v="0"/>
    <n v="0"/>
    <n v="0"/>
    <n v="0"/>
    <n v="221480"/>
    <n v="60840"/>
    <n v="1449320"/>
    <n v="0"/>
    <n v="0"/>
    <n v="0"/>
    <n v="0"/>
    <n v="0"/>
    <n v="0"/>
    <n v="0"/>
    <n v="0"/>
    <n v="2944280"/>
    <n v="1731640"/>
  </r>
  <r>
    <x v="4"/>
    <x v="9"/>
    <x v="9"/>
    <n v="0"/>
    <n v="0"/>
    <n v="0"/>
    <n v="0"/>
    <n v="0"/>
    <n v="0"/>
    <n v="0"/>
    <n v="0"/>
    <n v="0"/>
    <n v="50067"/>
    <n v="0"/>
    <n v="0"/>
    <n v="0"/>
    <n v="0"/>
    <n v="0"/>
    <n v="0"/>
    <n v="0"/>
    <n v="0"/>
    <n v="0"/>
    <n v="0"/>
    <n v="0"/>
    <n v="50067"/>
    <n v="0"/>
  </r>
  <r>
    <x v="5"/>
    <x v="0"/>
    <x v="0"/>
    <n v="6285509"/>
    <n v="815137"/>
    <n v="1370430"/>
    <n v="228468"/>
    <n v="882170"/>
    <n v="0"/>
    <n v="0"/>
    <n v="0"/>
    <n v="0"/>
    <n v="0"/>
    <n v="89320"/>
    <n v="7880"/>
    <n v="0"/>
    <n v="5474"/>
    <n v="144960"/>
    <n v="0"/>
    <n v="0"/>
    <n v="0"/>
    <n v="0"/>
    <n v="0"/>
    <n v="0"/>
    <n v="8785743"/>
    <n v="247634"/>
  </r>
  <r>
    <x v="5"/>
    <x v="1"/>
    <x v="1"/>
    <n v="3914221"/>
    <n v="309401"/>
    <n v="510256"/>
    <n v="88748"/>
    <n v="338366"/>
    <n v="0"/>
    <n v="0"/>
    <n v="0"/>
    <n v="0"/>
    <n v="0"/>
    <n v="109596"/>
    <n v="0"/>
    <n v="0"/>
    <n v="2387"/>
    <n v="90096"/>
    <n v="0"/>
    <n v="0"/>
    <n v="0"/>
    <n v="0"/>
    <n v="0"/>
    <n v="0"/>
    <n v="4964922"/>
    <n v="202079"/>
  </r>
  <r>
    <x v="5"/>
    <x v="2"/>
    <x v="2"/>
    <n v="2925155"/>
    <n v="232279"/>
    <n v="1168290"/>
    <n v="206946"/>
    <n v="0"/>
    <n v="0"/>
    <n v="0"/>
    <n v="0"/>
    <n v="0"/>
    <n v="0"/>
    <n v="51469"/>
    <n v="100360"/>
    <n v="14450"/>
    <n v="3031"/>
    <n v="0"/>
    <n v="0"/>
    <n v="0"/>
    <n v="0"/>
    <n v="0"/>
    <n v="0"/>
    <n v="0"/>
    <n v="4262755"/>
    <n v="169310"/>
  </r>
  <r>
    <x v="5"/>
    <x v="3"/>
    <x v="3"/>
    <n v="0"/>
    <n v="0"/>
    <n v="0"/>
    <n v="0"/>
    <n v="0"/>
    <n v="2881392"/>
    <n v="111359"/>
    <n v="0"/>
    <n v="0"/>
    <n v="0"/>
    <n v="3030"/>
    <n v="0"/>
    <n v="0"/>
    <n v="0"/>
    <n v="0"/>
    <n v="0"/>
    <n v="170500"/>
    <n v="0"/>
    <n v="0"/>
    <n v="0"/>
    <n v="0"/>
    <n v="3054922"/>
    <n v="173530"/>
  </r>
  <r>
    <x v="5"/>
    <x v="4"/>
    <x v="4"/>
    <n v="0"/>
    <n v="0"/>
    <n v="0"/>
    <n v="0"/>
    <n v="0"/>
    <n v="0"/>
    <n v="0"/>
    <n v="898853"/>
    <n v="66554"/>
    <n v="0"/>
    <n v="0"/>
    <n v="0"/>
    <n v="0"/>
    <n v="0"/>
    <n v="0"/>
    <n v="78000"/>
    <n v="0"/>
    <n v="0"/>
    <n v="-30000"/>
    <n v="0"/>
    <n v="0"/>
    <n v="946853"/>
    <n v="48000"/>
  </r>
  <r>
    <x v="5"/>
    <x v="5"/>
    <x v="5"/>
    <n v="0"/>
    <n v="0"/>
    <n v="0"/>
    <n v="0"/>
    <n v="0"/>
    <n v="0"/>
    <n v="0"/>
    <n v="460537"/>
    <n v="0"/>
    <n v="0"/>
    <n v="20000"/>
    <n v="0"/>
    <n v="0"/>
    <n v="0"/>
    <n v="0"/>
    <n v="83857"/>
    <n v="0"/>
    <n v="0"/>
    <n v="-10000"/>
    <n v="0"/>
    <n v="0"/>
    <n v="554394"/>
    <n v="93857"/>
  </r>
  <r>
    <x v="5"/>
    <x v="6"/>
    <x v="6"/>
    <n v="2229416"/>
    <n v="0"/>
    <n v="0"/>
    <n v="0"/>
    <n v="0"/>
    <n v="0"/>
    <n v="0"/>
    <n v="0"/>
    <n v="0"/>
    <n v="0"/>
    <n v="0"/>
    <n v="0"/>
    <n v="0"/>
    <n v="0"/>
    <n v="0"/>
    <n v="631384"/>
    <n v="0"/>
    <n v="0"/>
    <n v="0"/>
    <n v="0"/>
    <n v="0"/>
    <n v="2860800"/>
    <n v="631384"/>
  </r>
  <r>
    <x v="5"/>
    <x v="7"/>
    <x v="7"/>
    <n v="609299"/>
    <n v="0"/>
    <n v="0"/>
    <n v="0"/>
    <n v="0"/>
    <n v="0"/>
    <n v="0"/>
    <n v="0"/>
    <n v="0"/>
    <n v="0"/>
    <n v="0"/>
    <n v="0"/>
    <n v="0"/>
    <n v="0"/>
    <n v="0"/>
    <n v="345280"/>
    <n v="0"/>
    <n v="0"/>
    <n v="0"/>
    <n v="0"/>
    <n v="0"/>
    <n v="954579"/>
    <n v="345280"/>
  </r>
  <r>
    <x v="5"/>
    <x v="8"/>
    <x v="8"/>
    <n v="1174356"/>
    <n v="0"/>
    <n v="2424"/>
    <n v="0"/>
    <n v="0"/>
    <n v="0"/>
    <n v="0"/>
    <n v="0"/>
    <n v="0"/>
    <n v="0"/>
    <n v="204600"/>
    <n v="56160"/>
    <n v="1467070"/>
    <n v="0"/>
    <n v="0"/>
    <n v="0"/>
    <n v="0"/>
    <n v="0"/>
    <n v="0"/>
    <n v="0"/>
    <n v="0"/>
    <n v="2904610"/>
    <n v="1727830"/>
  </r>
  <r>
    <x v="6"/>
    <x v="0"/>
    <x v="0"/>
    <n v="7554872"/>
    <n v="902014"/>
    <n v="1348844"/>
    <n v="225651"/>
    <n v="745320"/>
    <n v="0"/>
    <n v="0"/>
    <n v="0"/>
    <n v="0"/>
    <n v="0"/>
    <n v="138469"/>
    <n v="28460"/>
    <n v="0"/>
    <n v="6278"/>
    <n v="123600"/>
    <n v="0"/>
    <n v="0"/>
    <n v="0"/>
    <n v="0"/>
    <n v="0"/>
    <n v="0"/>
    <n v="9945843"/>
    <n v="296807"/>
  </r>
  <r>
    <x v="6"/>
    <x v="1"/>
    <x v="1"/>
    <n v="3667802"/>
    <n v="295058"/>
    <n v="608591"/>
    <n v="107095"/>
    <n v="355516"/>
    <n v="0"/>
    <n v="0"/>
    <n v="0"/>
    <n v="0"/>
    <n v="0"/>
    <n v="136325"/>
    <n v="0"/>
    <n v="0"/>
    <n v="1929"/>
    <n v="98037"/>
    <n v="0"/>
    <n v="0"/>
    <n v="0"/>
    <n v="0"/>
    <n v="0"/>
    <n v="0"/>
    <n v="4868200"/>
    <n v="236291"/>
  </r>
  <r>
    <x v="6"/>
    <x v="2"/>
    <x v="2"/>
    <n v="3162692"/>
    <n v="250986"/>
    <n v="1533164"/>
    <n v="275228"/>
    <n v="0"/>
    <n v="0"/>
    <n v="0"/>
    <n v="0"/>
    <n v="0"/>
    <n v="0"/>
    <n v="49700"/>
    <n v="92900"/>
    <n v="18390"/>
    <n v="3367"/>
    <n v="0"/>
    <n v="0"/>
    <n v="0"/>
    <n v="0"/>
    <n v="0"/>
    <n v="0"/>
    <n v="0"/>
    <n v="4860213"/>
    <n v="164357"/>
  </r>
  <r>
    <x v="6"/>
    <x v="3"/>
    <x v="3"/>
    <n v="0"/>
    <n v="0"/>
    <n v="0"/>
    <n v="0"/>
    <n v="0"/>
    <n v="2909983"/>
    <n v="111908"/>
    <n v="0"/>
    <n v="0"/>
    <n v="0"/>
    <n v="30000"/>
    <n v="0"/>
    <n v="0"/>
    <n v="0"/>
    <n v="0"/>
    <n v="0"/>
    <n v="182050"/>
    <n v="0"/>
    <n v="0"/>
    <n v="0"/>
    <n v="0"/>
    <n v="3122033"/>
    <n v="212050"/>
  </r>
  <r>
    <x v="6"/>
    <x v="4"/>
    <x v="4"/>
    <n v="0"/>
    <n v="0"/>
    <n v="0"/>
    <n v="0"/>
    <n v="0"/>
    <n v="0"/>
    <n v="0"/>
    <n v="775242"/>
    <n v="55552"/>
    <n v="0"/>
    <n v="0"/>
    <n v="0"/>
    <n v="0"/>
    <n v="0"/>
    <n v="0"/>
    <n v="78000"/>
    <n v="0"/>
    <n v="0"/>
    <n v="-30000"/>
    <n v="0"/>
    <n v="0"/>
    <n v="823242"/>
    <n v="48000"/>
  </r>
  <r>
    <x v="6"/>
    <x v="5"/>
    <x v="5"/>
    <n v="0"/>
    <n v="0"/>
    <n v="0"/>
    <n v="0"/>
    <n v="0"/>
    <n v="0"/>
    <n v="0"/>
    <n v="359204"/>
    <n v="0"/>
    <n v="0"/>
    <n v="20000"/>
    <n v="0"/>
    <n v="0"/>
    <n v="0"/>
    <n v="0"/>
    <n v="65000"/>
    <n v="0"/>
    <n v="0"/>
    <n v="0"/>
    <n v="0"/>
    <n v="0"/>
    <n v="444204"/>
    <n v="85000"/>
  </r>
  <r>
    <x v="6"/>
    <x v="6"/>
    <x v="6"/>
    <n v="2013810"/>
    <n v="0"/>
    <n v="0"/>
    <n v="0"/>
    <n v="0"/>
    <n v="0"/>
    <n v="0"/>
    <n v="0"/>
    <n v="0"/>
    <n v="0"/>
    <n v="14600"/>
    <n v="0"/>
    <n v="0"/>
    <n v="0"/>
    <n v="0"/>
    <n v="1247552"/>
    <n v="0"/>
    <n v="0"/>
    <n v="0"/>
    <n v="0"/>
    <n v="0"/>
    <n v="3275962"/>
    <n v="1262152"/>
  </r>
  <r>
    <x v="6"/>
    <x v="7"/>
    <x v="7"/>
    <n v="643401"/>
    <n v="0"/>
    <n v="0"/>
    <n v="0"/>
    <n v="0"/>
    <n v="0"/>
    <n v="0"/>
    <n v="0"/>
    <n v="0"/>
    <n v="0"/>
    <n v="15800"/>
    <n v="0"/>
    <n v="0"/>
    <n v="0"/>
    <n v="0"/>
    <n v="334358"/>
    <n v="0"/>
    <n v="0"/>
    <n v="0"/>
    <n v="0"/>
    <n v="0"/>
    <n v="993559"/>
    <n v="350158"/>
  </r>
  <r>
    <x v="6"/>
    <x v="8"/>
    <x v="8"/>
    <n v="1127972"/>
    <n v="0"/>
    <n v="0"/>
    <n v="0"/>
    <n v="0"/>
    <n v="0"/>
    <n v="0"/>
    <n v="0"/>
    <n v="0"/>
    <n v="0"/>
    <n v="190700"/>
    <n v="65520"/>
    <n v="1511568"/>
    <n v="0"/>
    <n v="0"/>
    <n v="0"/>
    <n v="0"/>
    <n v="0"/>
    <n v="0"/>
    <n v="0"/>
    <n v="0"/>
    <n v="2895760"/>
    <n v="1767788"/>
  </r>
  <r>
    <x v="7"/>
    <x v="0"/>
    <x v="0"/>
    <n v="7243217"/>
    <n v="1307359"/>
    <n v="1916351"/>
    <n v="404827"/>
    <n v="619566"/>
    <n v="0"/>
    <n v="0"/>
    <n v="0"/>
    <n v="0"/>
    <n v="0"/>
    <n v="11000"/>
    <n v="9850"/>
    <n v="0"/>
    <n v="5333"/>
    <n v="123600"/>
    <n v="0"/>
    <n v="0"/>
    <n v="0"/>
    <n v="0"/>
    <n v="0"/>
    <n v="0"/>
    <n v="9928917"/>
    <n v="149783"/>
  </r>
  <r>
    <x v="7"/>
    <x v="1"/>
    <x v="1"/>
    <n v="3590490"/>
    <n v="432067"/>
    <n v="745402"/>
    <n v="168926"/>
    <n v="353803"/>
    <n v="0"/>
    <n v="0"/>
    <n v="0"/>
    <n v="0"/>
    <n v="0"/>
    <n v="172136"/>
    <n v="0"/>
    <n v="0"/>
    <n v="2295"/>
    <n v="101352"/>
    <n v="0"/>
    <n v="0"/>
    <n v="0"/>
    <n v="0"/>
    <n v="0"/>
    <n v="0"/>
    <n v="4965478"/>
    <n v="275783"/>
  </r>
  <r>
    <x v="7"/>
    <x v="2"/>
    <x v="2"/>
    <n v="3259551"/>
    <n v="382692"/>
    <n v="1519245"/>
    <n v="349812"/>
    <n v="0"/>
    <n v="0"/>
    <n v="0"/>
    <n v="0"/>
    <n v="0"/>
    <n v="0"/>
    <n v="51100"/>
    <n v="118065"/>
    <n v="23440"/>
    <n v="3652"/>
    <n v="0"/>
    <n v="0"/>
    <n v="0"/>
    <n v="0"/>
    <n v="0"/>
    <n v="0"/>
    <n v="0"/>
    <n v="4975053"/>
    <n v="196257"/>
  </r>
  <r>
    <x v="7"/>
    <x v="3"/>
    <x v="3"/>
    <n v="0"/>
    <n v="0"/>
    <n v="0"/>
    <n v="0"/>
    <n v="0"/>
    <n v="2860919"/>
    <n v="158671"/>
    <n v="0"/>
    <n v="0"/>
    <n v="0"/>
    <n v="48527"/>
    <n v="0"/>
    <n v="0"/>
    <n v="0"/>
    <n v="0"/>
    <n v="0"/>
    <n v="182600"/>
    <n v="0"/>
    <n v="0"/>
    <n v="0"/>
    <n v="0"/>
    <n v="3092046"/>
    <n v="231127"/>
  </r>
  <r>
    <x v="7"/>
    <x v="4"/>
    <x v="4"/>
    <n v="0"/>
    <n v="0"/>
    <n v="0"/>
    <n v="0"/>
    <n v="0"/>
    <n v="0"/>
    <n v="0"/>
    <n v="0"/>
    <n v="0"/>
    <n v="0"/>
    <n v="0"/>
    <n v="0"/>
    <n v="0"/>
    <n v="0"/>
    <n v="0"/>
    <n v="78000"/>
    <n v="0"/>
    <n v="0"/>
    <n v="-30000"/>
    <n v="51304"/>
    <n v="0"/>
    <n v="99304"/>
    <n v="99304"/>
  </r>
  <r>
    <x v="7"/>
    <x v="5"/>
    <x v="5"/>
    <n v="0"/>
    <n v="0"/>
    <n v="0"/>
    <n v="0"/>
    <n v="0"/>
    <n v="0"/>
    <n v="0"/>
    <n v="0"/>
    <n v="0"/>
    <n v="0"/>
    <n v="20000"/>
    <n v="0"/>
    <n v="0"/>
    <n v="0"/>
    <n v="0"/>
    <n v="81733"/>
    <n v="0"/>
    <n v="0"/>
    <n v="-30000"/>
    <n v="0"/>
    <n v="0"/>
    <n v="71733"/>
    <n v="71733"/>
  </r>
  <r>
    <x v="7"/>
    <x v="6"/>
    <x v="6"/>
    <n v="1881228"/>
    <n v="0"/>
    <n v="0"/>
    <n v="0"/>
    <n v="0"/>
    <n v="0"/>
    <n v="0"/>
    <n v="0"/>
    <n v="0"/>
    <n v="0"/>
    <n v="14800"/>
    <n v="0"/>
    <n v="0"/>
    <n v="0"/>
    <n v="0"/>
    <n v="1013500"/>
    <n v="0"/>
    <n v="0"/>
    <n v="0"/>
    <n v="0"/>
    <n v="0"/>
    <n v="2909528"/>
    <n v="1028300"/>
  </r>
  <r>
    <x v="7"/>
    <x v="7"/>
    <x v="7"/>
    <n v="570726"/>
    <n v="0"/>
    <n v="0"/>
    <n v="0"/>
    <n v="0"/>
    <n v="0"/>
    <n v="0"/>
    <n v="0"/>
    <n v="0"/>
    <n v="0"/>
    <n v="0"/>
    <n v="0"/>
    <n v="0"/>
    <n v="0"/>
    <n v="0"/>
    <n v="216476"/>
    <n v="0"/>
    <n v="0"/>
    <n v="0"/>
    <n v="0"/>
    <n v="0"/>
    <n v="787202"/>
    <n v="216476"/>
  </r>
  <r>
    <x v="7"/>
    <x v="8"/>
    <x v="8"/>
    <n v="1029135"/>
    <n v="0"/>
    <n v="2592"/>
    <n v="0"/>
    <n v="0"/>
    <n v="0"/>
    <n v="0"/>
    <n v="0"/>
    <n v="0"/>
    <n v="0"/>
    <n v="155750"/>
    <n v="56160"/>
    <n v="1360050"/>
    <n v="0"/>
    <n v="0"/>
    <n v="0"/>
    <n v="0"/>
    <n v="0"/>
    <n v="0"/>
    <n v="0"/>
    <n v="0"/>
    <n v="2603687"/>
    <n v="1571960"/>
  </r>
  <r>
    <x v="8"/>
    <x v="0"/>
    <x v="0"/>
    <n v="7381973"/>
    <n v="1399143"/>
    <n v="1743955"/>
    <n v="375748"/>
    <n v="738238"/>
    <n v="0"/>
    <n v="0"/>
    <n v="0"/>
    <n v="0"/>
    <n v="0"/>
    <n v="90875"/>
    <n v="7880"/>
    <n v="0"/>
    <n v="7567"/>
    <n v="111240"/>
    <n v="0"/>
    <n v="0"/>
    <n v="0"/>
    <n v="0"/>
    <n v="0"/>
    <n v="0"/>
    <n v="10081728"/>
    <n v="217562"/>
  </r>
  <r>
    <x v="8"/>
    <x v="1"/>
    <x v="1"/>
    <n v="4023031"/>
    <n v="506157"/>
    <n v="746212"/>
    <n v="168386"/>
    <n v="363715"/>
    <n v="0"/>
    <n v="0"/>
    <n v="0"/>
    <n v="0"/>
    <n v="0"/>
    <n v="114025"/>
    <n v="0"/>
    <n v="0"/>
    <n v="2000"/>
    <n v="94004"/>
    <n v="0"/>
    <n v="0"/>
    <n v="0"/>
    <n v="0"/>
    <n v="0"/>
    <n v="0"/>
    <n v="5342987"/>
    <n v="210029"/>
  </r>
  <r>
    <x v="8"/>
    <x v="2"/>
    <x v="2"/>
    <n v="3237052"/>
    <n v="382703"/>
    <n v="1815705"/>
    <n v="424065"/>
    <n v="0"/>
    <n v="0"/>
    <n v="0"/>
    <n v="0"/>
    <n v="0"/>
    <n v="0"/>
    <n v="132900"/>
    <n v="141140"/>
    <n v="44650"/>
    <n v="3472"/>
    <n v="0"/>
    <n v="0"/>
    <n v="0"/>
    <n v="0"/>
    <n v="0"/>
    <n v="0"/>
    <n v="0"/>
    <n v="5374919"/>
    <n v="322162"/>
  </r>
  <r>
    <x v="8"/>
    <x v="3"/>
    <x v="3"/>
    <n v="0"/>
    <n v="0"/>
    <n v="0"/>
    <n v="0"/>
    <n v="0"/>
    <n v="3365344"/>
    <n v="187859"/>
    <n v="0"/>
    <n v="0"/>
    <n v="0"/>
    <n v="4514"/>
    <n v="0"/>
    <n v="0"/>
    <n v="0"/>
    <n v="0"/>
    <n v="0"/>
    <n v="179850"/>
    <n v="0"/>
    <n v="0"/>
    <n v="0"/>
    <n v="0"/>
    <n v="3549708"/>
    <n v="184364"/>
  </r>
  <r>
    <x v="8"/>
    <x v="4"/>
    <x v="4"/>
    <n v="0"/>
    <n v="0"/>
    <n v="0"/>
    <n v="0"/>
    <n v="0"/>
    <n v="0"/>
    <n v="0"/>
    <n v="0"/>
    <n v="0"/>
    <n v="0"/>
    <n v="0"/>
    <n v="0"/>
    <n v="0"/>
    <n v="0"/>
    <n v="0"/>
    <n v="78000"/>
    <n v="0"/>
    <n v="0"/>
    <n v="-30000"/>
    <n v="360033"/>
    <n v="0"/>
    <n v="408033"/>
    <n v="408033"/>
  </r>
  <r>
    <x v="8"/>
    <x v="5"/>
    <x v="5"/>
    <n v="0"/>
    <n v="0"/>
    <n v="0"/>
    <n v="0"/>
    <n v="0"/>
    <n v="0"/>
    <n v="0"/>
    <n v="0"/>
    <n v="0"/>
    <n v="0"/>
    <n v="20000"/>
    <n v="0"/>
    <n v="0"/>
    <n v="0"/>
    <n v="0"/>
    <n v="81300"/>
    <n v="0"/>
    <n v="0"/>
    <n v="0"/>
    <n v="1018331"/>
    <n v="0"/>
    <n v="1119631"/>
    <n v="1119631"/>
  </r>
  <r>
    <x v="8"/>
    <x v="6"/>
    <x v="6"/>
    <n v="2491950"/>
    <n v="0"/>
    <n v="0"/>
    <n v="0"/>
    <n v="0"/>
    <n v="0"/>
    <n v="0"/>
    <n v="0"/>
    <n v="0"/>
    <n v="0"/>
    <n v="20000"/>
    <n v="0"/>
    <n v="0"/>
    <n v="0"/>
    <n v="0"/>
    <n v="706420"/>
    <n v="0"/>
    <n v="0"/>
    <n v="0"/>
    <n v="0"/>
    <n v="0"/>
    <n v="3218370"/>
    <n v="726420"/>
  </r>
  <r>
    <x v="8"/>
    <x v="7"/>
    <x v="7"/>
    <n v="421867"/>
    <n v="0"/>
    <n v="0"/>
    <n v="0"/>
    <n v="0"/>
    <n v="0"/>
    <n v="0"/>
    <n v="0"/>
    <n v="0"/>
    <n v="0"/>
    <n v="0"/>
    <n v="0"/>
    <n v="0"/>
    <n v="0"/>
    <n v="0"/>
    <n v="174166"/>
    <n v="0"/>
    <n v="0"/>
    <n v="0"/>
    <n v="0"/>
    <n v="0"/>
    <n v="596033"/>
    <n v="174166"/>
  </r>
  <r>
    <x v="8"/>
    <x v="8"/>
    <x v="8"/>
    <n v="1229514"/>
    <n v="0"/>
    <n v="10440"/>
    <n v="0"/>
    <n v="0"/>
    <n v="0"/>
    <n v="0"/>
    <n v="0"/>
    <n v="0"/>
    <n v="0"/>
    <n v="251400"/>
    <n v="65520"/>
    <n v="1454750"/>
    <n v="0"/>
    <n v="0"/>
    <n v="0"/>
    <n v="0"/>
    <n v="0"/>
    <n v="0"/>
    <n v="0"/>
    <n v="0"/>
    <n v="3011624"/>
    <n v="1771670"/>
  </r>
  <r>
    <x v="9"/>
    <x v="0"/>
    <x v="0"/>
    <n v="7118889"/>
    <n v="1238192"/>
    <n v="1462036"/>
    <n v="311062"/>
    <n v="730748"/>
    <n v="0"/>
    <n v="0"/>
    <n v="0"/>
    <n v="0"/>
    <n v="0"/>
    <n v="62823"/>
    <n v="20360"/>
    <n v="0"/>
    <n v="4217"/>
    <n v="129600"/>
    <n v="0"/>
    <n v="0"/>
    <n v="0"/>
    <n v="0"/>
    <n v="0"/>
    <n v="0"/>
    <n v="9528673"/>
    <n v="217000"/>
  </r>
  <r>
    <x v="9"/>
    <x v="1"/>
    <x v="1"/>
    <n v="4207063"/>
    <n v="489137"/>
    <n v="696592"/>
    <n v="157860"/>
    <n v="383360"/>
    <n v="0"/>
    <n v="0"/>
    <n v="0"/>
    <n v="0"/>
    <n v="0"/>
    <n v="300426"/>
    <n v="0"/>
    <n v="0"/>
    <n v="2288"/>
    <n v="94004"/>
    <n v="0"/>
    <n v="0"/>
    <n v="0"/>
    <n v="0"/>
    <n v="0"/>
    <n v="0"/>
    <n v="5683733"/>
    <n v="396718"/>
  </r>
  <r>
    <x v="9"/>
    <x v="2"/>
    <x v="2"/>
    <n v="3049599"/>
    <n v="345767"/>
    <n v="2352621"/>
    <n v="541700"/>
    <n v="0"/>
    <n v="0"/>
    <n v="0"/>
    <n v="0"/>
    <n v="0"/>
    <n v="0"/>
    <n v="90400"/>
    <n v="127670"/>
    <n v="72910"/>
    <n v="4382"/>
    <n v="0"/>
    <n v="0"/>
    <n v="0"/>
    <n v="0"/>
    <n v="0"/>
    <n v="0"/>
    <n v="0"/>
    <n v="5697582"/>
    <n v="295362"/>
  </r>
  <r>
    <x v="9"/>
    <x v="3"/>
    <x v="3"/>
    <n v="0"/>
    <n v="0"/>
    <n v="0"/>
    <n v="0"/>
    <n v="0"/>
    <n v="3415735"/>
    <n v="187729"/>
    <n v="0"/>
    <n v="0"/>
    <n v="0"/>
    <n v="0"/>
    <n v="0"/>
    <n v="0"/>
    <n v="0"/>
    <n v="0"/>
    <n v="0"/>
    <n v="182050"/>
    <n v="0"/>
    <n v="0"/>
    <n v="0"/>
    <n v="0"/>
    <n v="3597785"/>
    <n v="182050"/>
  </r>
  <r>
    <x v="9"/>
    <x v="4"/>
    <x v="4"/>
    <n v="0"/>
    <n v="0"/>
    <n v="0"/>
    <n v="0"/>
    <n v="0"/>
    <n v="0"/>
    <n v="0"/>
    <n v="2638373"/>
    <n v="431509"/>
    <n v="0"/>
    <n v="0"/>
    <n v="0"/>
    <n v="0"/>
    <n v="0"/>
    <n v="0"/>
    <n v="78000"/>
    <n v="0"/>
    <n v="0"/>
    <n v="-30000"/>
    <n v="0"/>
    <n v="0"/>
    <n v="2686373"/>
    <n v="48000"/>
  </r>
  <r>
    <x v="9"/>
    <x v="5"/>
    <x v="5"/>
    <n v="0"/>
    <n v="0"/>
    <n v="0"/>
    <n v="0"/>
    <n v="0"/>
    <n v="0"/>
    <n v="0"/>
    <n v="2247072"/>
    <n v="0"/>
    <n v="0"/>
    <n v="20000"/>
    <n v="0"/>
    <n v="0"/>
    <n v="0"/>
    <n v="0"/>
    <n v="98000"/>
    <n v="0"/>
    <n v="0"/>
    <n v="-290000"/>
    <n v="0"/>
    <n v="0"/>
    <n v="2075072"/>
    <n v="-172000"/>
  </r>
  <r>
    <x v="9"/>
    <x v="10"/>
    <x v="10"/>
    <n v="0"/>
    <n v="0"/>
    <n v="0"/>
    <n v="0"/>
    <n v="0"/>
    <n v="0"/>
    <n v="0"/>
    <n v="1647056"/>
    <n v="0"/>
    <n v="0"/>
    <n v="0"/>
    <n v="0"/>
    <n v="0"/>
    <n v="0"/>
    <n v="0"/>
    <n v="293333"/>
    <n v="0"/>
    <n v="0"/>
    <n v="0"/>
    <n v="0"/>
    <n v="0"/>
    <n v="1940389"/>
    <n v="293333"/>
  </r>
  <r>
    <x v="9"/>
    <x v="6"/>
    <x v="6"/>
    <n v="2170929"/>
    <n v="0"/>
    <n v="0"/>
    <n v="0"/>
    <n v="0"/>
    <n v="0"/>
    <n v="0"/>
    <n v="0"/>
    <n v="0"/>
    <n v="0"/>
    <n v="19000"/>
    <n v="0"/>
    <n v="0"/>
    <n v="0"/>
    <n v="0"/>
    <n v="703500"/>
    <n v="0"/>
    <n v="0"/>
    <n v="0"/>
    <n v="0"/>
    <n v="0"/>
    <n v="2893429"/>
    <n v="722500"/>
  </r>
  <r>
    <x v="9"/>
    <x v="8"/>
    <x v="8"/>
    <n v="1075853"/>
    <n v="0"/>
    <n v="7122"/>
    <n v="0"/>
    <n v="0"/>
    <n v="0"/>
    <n v="0"/>
    <n v="0"/>
    <n v="0"/>
    <n v="0"/>
    <n v="281600"/>
    <n v="9360"/>
    <n v="1438850"/>
    <n v="0"/>
    <n v="0"/>
    <n v="0"/>
    <n v="0"/>
    <n v="0"/>
    <n v="0"/>
    <n v="0"/>
    <n v="0"/>
    <n v="2812785"/>
    <n v="1729810"/>
  </r>
  <r>
    <x v="10"/>
    <x v="0"/>
    <x v="0"/>
    <n v="7561437"/>
    <n v="1322317"/>
    <n v="1899286"/>
    <n v="410348"/>
    <n v="677356"/>
    <n v="0"/>
    <n v="0"/>
    <n v="0"/>
    <n v="0"/>
    <n v="0"/>
    <n v="43522"/>
    <n v="9850"/>
    <n v="0"/>
    <n v="9263"/>
    <n v="137840"/>
    <n v="0"/>
    <n v="0"/>
    <n v="0"/>
    <n v="0"/>
    <n v="0"/>
    <n v="0"/>
    <n v="10338554"/>
    <n v="200475"/>
  </r>
  <r>
    <x v="10"/>
    <x v="1"/>
    <x v="1"/>
    <n v="3798477"/>
    <n v="459731"/>
    <n v="870688"/>
    <n v="204311"/>
    <n v="449737"/>
    <n v="0"/>
    <n v="0"/>
    <n v="0"/>
    <n v="0"/>
    <n v="0"/>
    <n v="284477"/>
    <n v="0"/>
    <n v="0"/>
    <n v="2251"/>
    <n v="82068"/>
    <n v="0"/>
    <n v="0"/>
    <n v="0"/>
    <n v="0"/>
    <n v="0"/>
    <n v="0"/>
    <n v="5487698"/>
    <n v="368796"/>
  </r>
  <r>
    <x v="10"/>
    <x v="2"/>
    <x v="2"/>
    <n v="3467874"/>
    <n v="394909"/>
    <n v="2123008"/>
    <n v="490767"/>
    <n v="0"/>
    <n v="0"/>
    <n v="0"/>
    <n v="0"/>
    <n v="0"/>
    <n v="0"/>
    <n v="58500"/>
    <n v="181060"/>
    <n v="61320"/>
    <n v="5319"/>
    <n v="0"/>
    <n v="0"/>
    <n v="0"/>
    <n v="0"/>
    <n v="0"/>
    <n v="0"/>
    <n v="0"/>
    <n v="5897081"/>
    <n v="306199"/>
  </r>
  <r>
    <x v="10"/>
    <x v="3"/>
    <x v="3"/>
    <n v="0"/>
    <n v="0"/>
    <n v="0"/>
    <n v="0"/>
    <n v="0"/>
    <n v="3423639"/>
    <n v="190666"/>
    <n v="0"/>
    <n v="0"/>
    <n v="0"/>
    <n v="0"/>
    <n v="0"/>
    <n v="0"/>
    <n v="0"/>
    <n v="0"/>
    <n v="0"/>
    <n v="192500"/>
    <n v="0"/>
    <n v="0"/>
    <n v="0"/>
    <n v="0"/>
    <n v="3616139"/>
    <n v="192500"/>
  </r>
  <r>
    <x v="10"/>
    <x v="4"/>
    <x v="4"/>
    <n v="0"/>
    <n v="0"/>
    <n v="0"/>
    <n v="0"/>
    <n v="0"/>
    <n v="0"/>
    <n v="0"/>
    <n v="1225066"/>
    <n v="256019"/>
    <n v="0"/>
    <n v="0"/>
    <n v="0"/>
    <n v="0"/>
    <n v="0"/>
    <n v="0"/>
    <n v="78000"/>
    <n v="0"/>
    <n v="0"/>
    <n v="-30000"/>
    <n v="0"/>
    <n v="0"/>
    <n v="1273066"/>
    <n v="48000"/>
  </r>
  <r>
    <x v="10"/>
    <x v="5"/>
    <x v="5"/>
    <n v="0"/>
    <n v="0"/>
    <n v="0"/>
    <n v="0"/>
    <n v="0"/>
    <n v="0"/>
    <n v="0"/>
    <n v="983492"/>
    <n v="0"/>
    <n v="0"/>
    <n v="20000"/>
    <n v="0"/>
    <n v="0"/>
    <n v="0"/>
    <n v="0"/>
    <n v="98000"/>
    <n v="0"/>
    <n v="0"/>
    <n v="0"/>
    <n v="0"/>
    <n v="0"/>
    <n v="1101492"/>
    <n v="118000"/>
  </r>
  <r>
    <x v="10"/>
    <x v="10"/>
    <x v="10"/>
    <n v="0"/>
    <n v="0"/>
    <n v="0"/>
    <n v="0"/>
    <n v="0"/>
    <n v="0"/>
    <n v="0"/>
    <n v="1656941"/>
    <n v="0"/>
    <n v="0"/>
    <n v="0"/>
    <n v="0"/>
    <n v="0"/>
    <n v="0"/>
    <n v="0"/>
    <n v="308387"/>
    <n v="0"/>
    <n v="0"/>
    <n v="0"/>
    <n v="0"/>
    <n v="0"/>
    <n v="1965328"/>
    <n v="308387"/>
  </r>
  <r>
    <x v="10"/>
    <x v="6"/>
    <x v="6"/>
    <n v="2304959"/>
    <n v="0"/>
    <n v="0"/>
    <n v="0"/>
    <n v="0"/>
    <n v="0"/>
    <n v="0"/>
    <n v="0"/>
    <n v="0"/>
    <n v="0"/>
    <n v="0"/>
    <n v="0"/>
    <n v="0"/>
    <n v="0"/>
    <n v="0"/>
    <n v="879513"/>
    <n v="0"/>
    <n v="0"/>
    <n v="0"/>
    <n v="0"/>
    <n v="0"/>
    <n v="3184472"/>
    <n v="879513"/>
  </r>
  <r>
    <x v="10"/>
    <x v="8"/>
    <x v="8"/>
    <n v="1108582"/>
    <n v="0"/>
    <n v="5184"/>
    <n v="0"/>
    <n v="0"/>
    <n v="0"/>
    <n v="0"/>
    <n v="0"/>
    <n v="0"/>
    <n v="0"/>
    <n v="347900"/>
    <n v="92040"/>
    <n v="1662760"/>
    <n v="0"/>
    <n v="0"/>
    <n v="0"/>
    <n v="0"/>
    <n v="0"/>
    <n v="0"/>
    <n v="0"/>
    <n v="0"/>
    <n v="3216466"/>
    <n v="2102700"/>
  </r>
  <r>
    <x v="11"/>
    <x v="0"/>
    <x v="0"/>
    <n v="7582359"/>
    <n v="1351019"/>
    <n v="1507926"/>
    <n v="324818"/>
    <n v="686034"/>
    <n v="0"/>
    <n v="0"/>
    <n v="0"/>
    <n v="0"/>
    <n v="0"/>
    <n v="74848"/>
    <n v="5910"/>
    <n v="0"/>
    <n v="6323"/>
    <n v="140840"/>
    <n v="0"/>
    <n v="0"/>
    <n v="0"/>
    <n v="0"/>
    <n v="0"/>
    <n v="0"/>
    <n v="10004240"/>
    <n v="227921"/>
  </r>
  <r>
    <x v="11"/>
    <x v="1"/>
    <x v="1"/>
    <n v="3880728"/>
    <n v="436057"/>
    <n v="909109"/>
    <n v="198848"/>
    <n v="474864"/>
    <n v="0"/>
    <n v="0"/>
    <n v="0"/>
    <n v="0"/>
    <n v="0"/>
    <n v="295980"/>
    <n v="0"/>
    <n v="0"/>
    <n v="1908"/>
    <n v="81372"/>
    <n v="0"/>
    <n v="0"/>
    <n v="0"/>
    <n v="0"/>
    <n v="0"/>
    <n v="0"/>
    <n v="5643961"/>
    <n v="379260"/>
  </r>
  <r>
    <x v="11"/>
    <x v="2"/>
    <x v="2"/>
    <n v="3535427"/>
    <n v="392966"/>
    <n v="2017857"/>
    <n v="466306"/>
    <n v="0"/>
    <n v="0"/>
    <n v="0"/>
    <n v="0"/>
    <n v="0"/>
    <n v="0"/>
    <n v="71200"/>
    <n v="121830"/>
    <n v="38720"/>
    <n v="3611"/>
    <n v="0"/>
    <n v="0"/>
    <n v="0"/>
    <n v="0"/>
    <n v="0"/>
    <n v="0"/>
    <n v="0"/>
    <n v="5788645"/>
    <n v="235361"/>
  </r>
  <r>
    <x v="11"/>
    <x v="3"/>
    <x v="3"/>
    <n v="0"/>
    <n v="0"/>
    <n v="0"/>
    <n v="0"/>
    <n v="0"/>
    <n v="3004304"/>
    <n v="167502"/>
    <n v="0"/>
    <n v="0"/>
    <n v="0"/>
    <n v="0"/>
    <n v="0"/>
    <n v="0"/>
    <n v="0"/>
    <n v="0"/>
    <n v="0"/>
    <n v="170500"/>
    <n v="0"/>
    <n v="0"/>
    <n v="0"/>
    <n v="0"/>
    <n v="3174804"/>
    <n v="170500"/>
  </r>
  <r>
    <x v="11"/>
    <x v="4"/>
    <x v="4"/>
    <n v="0"/>
    <n v="0"/>
    <n v="0"/>
    <n v="0"/>
    <n v="0"/>
    <n v="0"/>
    <n v="0"/>
    <n v="998363"/>
    <n v="251984"/>
    <n v="0"/>
    <n v="0"/>
    <n v="0"/>
    <n v="0"/>
    <n v="0"/>
    <n v="0"/>
    <n v="78000"/>
    <n v="0"/>
    <n v="0"/>
    <n v="-40000"/>
    <n v="0"/>
    <n v="0"/>
    <n v="1036363"/>
    <n v="38000"/>
  </r>
  <r>
    <x v="11"/>
    <x v="5"/>
    <x v="5"/>
    <n v="0"/>
    <n v="0"/>
    <n v="0"/>
    <n v="0"/>
    <n v="0"/>
    <n v="0"/>
    <n v="0"/>
    <n v="983492"/>
    <n v="0"/>
    <n v="0"/>
    <n v="20000"/>
    <n v="0"/>
    <n v="0"/>
    <n v="0"/>
    <n v="0"/>
    <n v="98000"/>
    <n v="0"/>
    <n v="0"/>
    <n v="-100000"/>
    <n v="0"/>
    <n v="0"/>
    <n v="1001492"/>
    <n v="18000"/>
  </r>
  <r>
    <x v="11"/>
    <x v="10"/>
    <x v="10"/>
    <n v="0"/>
    <n v="0"/>
    <n v="0"/>
    <n v="0"/>
    <n v="0"/>
    <n v="0"/>
    <n v="0"/>
    <n v="1825197"/>
    <n v="0"/>
    <n v="0"/>
    <n v="0"/>
    <n v="0"/>
    <n v="0"/>
    <n v="0"/>
    <n v="0"/>
    <n v="320000"/>
    <n v="0"/>
    <n v="0"/>
    <n v="-150000"/>
    <n v="0"/>
    <n v="0"/>
    <n v="1995197"/>
    <n v="170000"/>
  </r>
  <r>
    <x v="11"/>
    <x v="6"/>
    <x v="6"/>
    <n v="2326894"/>
    <n v="0"/>
    <n v="0"/>
    <n v="0"/>
    <n v="0"/>
    <n v="0"/>
    <n v="0"/>
    <n v="0"/>
    <n v="0"/>
    <n v="0"/>
    <n v="2000"/>
    <n v="0"/>
    <n v="0"/>
    <n v="0"/>
    <n v="0"/>
    <n v="796000"/>
    <n v="0"/>
    <n v="0"/>
    <n v="0"/>
    <n v="0"/>
    <n v="0"/>
    <n v="3124894"/>
    <n v="798000"/>
  </r>
  <r>
    <x v="11"/>
    <x v="8"/>
    <x v="8"/>
    <n v="1303828"/>
    <n v="0"/>
    <n v="2592"/>
    <n v="0"/>
    <n v="0"/>
    <n v="0"/>
    <n v="0"/>
    <n v="0"/>
    <n v="0"/>
    <n v="0"/>
    <n v="343600"/>
    <n v="70110"/>
    <n v="1409460"/>
    <n v="0"/>
    <n v="0"/>
    <n v="0"/>
    <n v="0"/>
    <n v="0"/>
    <n v="0"/>
    <n v="0"/>
    <n v="0"/>
    <n v="3129590"/>
    <n v="1823170"/>
  </r>
  <r>
    <x v="12"/>
    <x v="0"/>
    <x v="0"/>
    <n v="7978218"/>
    <n v="1418859"/>
    <n v="1360933"/>
    <n v="287532"/>
    <n v="669653"/>
    <n v="0"/>
    <n v="0"/>
    <n v="0"/>
    <n v="0"/>
    <n v="0"/>
    <n v="117506"/>
    <n v="7880"/>
    <n v="0"/>
    <n v="5718"/>
    <n v="151995"/>
    <n v="0"/>
    <n v="0"/>
    <n v="0"/>
    <n v="0"/>
    <n v="0"/>
    <n v="0"/>
    <n v="10291903"/>
    <n v="283099"/>
  </r>
  <r>
    <x v="12"/>
    <x v="1"/>
    <x v="1"/>
    <n v="4342620"/>
    <n v="485836"/>
    <n v="905653"/>
    <n v="206491"/>
    <n v="507095"/>
    <n v="0"/>
    <n v="0"/>
    <n v="0"/>
    <n v="0"/>
    <n v="0"/>
    <n v="171851"/>
    <n v="0"/>
    <n v="0"/>
    <n v="2344"/>
    <n v="94050"/>
    <n v="0"/>
    <n v="0"/>
    <n v="0"/>
    <n v="0"/>
    <n v="0"/>
    <n v="0"/>
    <n v="6023613"/>
    <n v="268245"/>
  </r>
  <r>
    <x v="12"/>
    <x v="2"/>
    <x v="2"/>
    <n v="3702480"/>
    <n v="404497"/>
    <n v="1897088"/>
    <n v="437767"/>
    <n v="0"/>
    <n v="0"/>
    <n v="0"/>
    <n v="0"/>
    <n v="0"/>
    <n v="0"/>
    <n v="98300"/>
    <n v="91318"/>
    <n v="24540"/>
    <n v="4170"/>
    <n v="0"/>
    <n v="0"/>
    <n v="0"/>
    <n v="0"/>
    <n v="0"/>
    <n v="0"/>
    <n v="0"/>
    <n v="5817896"/>
    <n v="218328"/>
  </r>
  <r>
    <x v="12"/>
    <x v="3"/>
    <x v="3"/>
    <n v="0"/>
    <n v="0"/>
    <n v="0"/>
    <n v="0"/>
    <n v="0"/>
    <n v="2957348"/>
    <n v="165400"/>
    <n v="0"/>
    <n v="0"/>
    <n v="0"/>
    <n v="5600"/>
    <n v="0"/>
    <n v="0"/>
    <n v="0"/>
    <n v="0"/>
    <n v="0"/>
    <n v="167750"/>
    <n v="0"/>
    <n v="0"/>
    <n v="0"/>
    <n v="0"/>
    <n v="3130698"/>
    <n v="173350"/>
  </r>
  <r>
    <x v="12"/>
    <x v="4"/>
    <x v="4"/>
    <n v="0"/>
    <n v="0"/>
    <n v="0"/>
    <n v="0"/>
    <n v="0"/>
    <n v="0"/>
    <n v="0"/>
    <n v="1198162"/>
    <n v="266247"/>
    <n v="0"/>
    <n v="0"/>
    <n v="0"/>
    <n v="0"/>
    <n v="0"/>
    <n v="0"/>
    <n v="78000"/>
    <n v="0"/>
    <n v="0"/>
    <n v="-40000"/>
    <n v="0"/>
    <n v="0"/>
    <n v="1236162"/>
    <n v="38000"/>
  </r>
  <r>
    <x v="12"/>
    <x v="5"/>
    <x v="5"/>
    <n v="0"/>
    <n v="0"/>
    <n v="0"/>
    <n v="0"/>
    <n v="0"/>
    <n v="0"/>
    <n v="0"/>
    <n v="937378"/>
    <n v="0"/>
    <n v="0"/>
    <n v="20000"/>
    <n v="0"/>
    <n v="0"/>
    <n v="0"/>
    <n v="0"/>
    <n v="98000"/>
    <n v="0"/>
    <n v="0"/>
    <n v="-40000"/>
    <n v="0"/>
    <n v="0"/>
    <n v="1015378"/>
    <n v="78000"/>
  </r>
  <r>
    <x v="12"/>
    <x v="10"/>
    <x v="10"/>
    <n v="0"/>
    <n v="0"/>
    <n v="0"/>
    <n v="0"/>
    <n v="0"/>
    <n v="0"/>
    <n v="0"/>
    <n v="1933548"/>
    <n v="0"/>
    <n v="0"/>
    <n v="0"/>
    <n v="0"/>
    <n v="0"/>
    <n v="0"/>
    <n v="0"/>
    <n v="280000"/>
    <n v="0"/>
    <n v="0"/>
    <n v="-80000"/>
    <n v="0"/>
    <n v="0"/>
    <n v="2133548"/>
    <n v="200000"/>
  </r>
  <r>
    <x v="12"/>
    <x v="6"/>
    <x v="6"/>
    <n v="2383506"/>
    <n v="0"/>
    <n v="0"/>
    <n v="0"/>
    <n v="0"/>
    <n v="0"/>
    <n v="0"/>
    <n v="0"/>
    <n v="0"/>
    <n v="0"/>
    <n v="0"/>
    <n v="0"/>
    <n v="0"/>
    <n v="0"/>
    <n v="0"/>
    <n v="697840"/>
    <n v="0"/>
    <n v="0"/>
    <n v="0"/>
    <n v="0"/>
    <n v="0"/>
    <n v="3081346"/>
    <n v="697840"/>
  </r>
  <r>
    <x v="12"/>
    <x v="8"/>
    <x v="8"/>
    <n v="1414506"/>
    <n v="0"/>
    <n v="0"/>
    <n v="0"/>
    <n v="0"/>
    <n v="0"/>
    <n v="0"/>
    <n v="0"/>
    <n v="0"/>
    <n v="0"/>
    <n v="270470"/>
    <n v="60840"/>
    <n v="1439840"/>
    <n v="0"/>
    <n v="0"/>
    <n v="0"/>
    <n v="0"/>
    <n v="0"/>
    <n v="0"/>
    <n v="0"/>
    <n v="0"/>
    <n v="3185656"/>
    <n v="1771150"/>
  </r>
  <r>
    <x v="13"/>
    <x v="0"/>
    <x v="0"/>
    <n v="8163026"/>
    <n v="1392417"/>
    <n v="1512177"/>
    <n v="314563"/>
    <n v="665042"/>
    <n v="0"/>
    <n v="0"/>
    <n v="0"/>
    <n v="0"/>
    <n v="0"/>
    <n v="90600"/>
    <n v="36331"/>
    <n v="0"/>
    <n v="6327"/>
    <n v="161025"/>
    <n v="0"/>
    <n v="0"/>
    <n v="0"/>
    <n v="0"/>
    <n v="0"/>
    <n v="0"/>
    <n v="10634528"/>
    <n v="294283"/>
  </r>
  <r>
    <x v="13"/>
    <x v="1"/>
    <x v="1"/>
    <n v="4466589"/>
    <n v="476289"/>
    <n v="976621"/>
    <n v="222984"/>
    <n v="459051"/>
    <n v="0"/>
    <n v="0"/>
    <n v="0"/>
    <n v="0"/>
    <n v="0"/>
    <n v="296564"/>
    <n v="0"/>
    <n v="0"/>
    <n v="2369"/>
    <n v="89799"/>
    <n v="0"/>
    <n v="0"/>
    <n v="0"/>
    <n v="0"/>
    <n v="0"/>
    <n v="0"/>
    <n v="6290993"/>
    <n v="388732"/>
  </r>
  <r>
    <x v="13"/>
    <x v="2"/>
    <x v="2"/>
    <n v="3691193"/>
    <n v="401316"/>
    <n v="1874471"/>
    <n v="432798"/>
    <n v="0"/>
    <n v="0"/>
    <n v="0"/>
    <n v="0"/>
    <n v="0"/>
    <n v="0"/>
    <n v="110400"/>
    <n v="76567"/>
    <n v="30910"/>
    <n v="3869"/>
    <n v="0"/>
    <n v="0"/>
    <n v="0"/>
    <n v="0"/>
    <n v="0"/>
    <n v="0"/>
    <n v="0"/>
    <n v="5787410"/>
    <n v="221746"/>
  </r>
  <r>
    <x v="13"/>
    <x v="3"/>
    <x v="3"/>
    <n v="0"/>
    <n v="0"/>
    <n v="0"/>
    <n v="0"/>
    <n v="0"/>
    <n v="3104841"/>
    <n v="173798"/>
    <n v="0"/>
    <n v="0"/>
    <n v="0"/>
    <n v="0"/>
    <n v="0"/>
    <n v="0"/>
    <n v="0"/>
    <n v="0"/>
    <n v="0"/>
    <n v="165550"/>
    <n v="0"/>
    <n v="0"/>
    <n v="0"/>
    <n v="0"/>
    <n v="3270391"/>
    <n v="165550"/>
  </r>
  <r>
    <x v="13"/>
    <x v="4"/>
    <x v="4"/>
    <n v="0"/>
    <n v="0"/>
    <n v="0"/>
    <n v="0"/>
    <n v="0"/>
    <n v="0"/>
    <n v="0"/>
    <n v="1013496"/>
    <n v="332983"/>
    <n v="0"/>
    <n v="0"/>
    <n v="0"/>
    <n v="0"/>
    <n v="0"/>
    <n v="0"/>
    <n v="78000"/>
    <n v="0"/>
    <n v="0"/>
    <n v="-40000"/>
    <n v="0"/>
    <n v="0"/>
    <n v="1051496"/>
    <n v="38000"/>
  </r>
  <r>
    <x v="13"/>
    <x v="5"/>
    <x v="5"/>
    <n v="0"/>
    <n v="0"/>
    <n v="0"/>
    <n v="0"/>
    <n v="0"/>
    <n v="0"/>
    <n v="0"/>
    <n v="983492"/>
    <n v="0"/>
    <n v="0"/>
    <n v="20000"/>
    <n v="0"/>
    <n v="0"/>
    <n v="0"/>
    <n v="0"/>
    <n v="98000"/>
    <n v="0"/>
    <n v="0"/>
    <n v="-40000"/>
    <n v="0"/>
    <n v="0"/>
    <n v="1061492"/>
    <n v="78000"/>
  </r>
  <r>
    <x v="13"/>
    <x v="10"/>
    <x v="10"/>
    <n v="0"/>
    <n v="0"/>
    <n v="0"/>
    <n v="0"/>
    <n v="0"/>
    <n v="0"/>
    <n v="0"/>
    <n v="3035498"/>
    <n v="0"/>
    <n v="0"/>
    <n v="0"/>
    <n v="0"/>
    <n v="0"/>
    <n v="0"/>
    <n v="0"/>
    <n v="320000"/>
    <n v="0"/>
    <n v="0"/>
    <n v="-80000"/>
    <n v="0"/>
    <n v="0"/>
    <n v="3275498"/>
    <n v="240000"/>
  </r>
  <r>
    <x v="13"/>
    <x v="6"/>
    <x v="6"/>
    <n v="2140629"/>
    <n v="0"/>
    <n v="0"/>
    <n v="0"/>
    <n v="0"/>
    <n v="0"/>
    <n v="0"/>
    <n v="0"/>
    <n v="0"/>
    <n v="0"/>
    <n v="6000"/>
    <n v="0"/>
    <n v="0"/>
    <n v="0"/>
    <n v="0"/>
    <n v="842510"/>
    <n v="0"/>
    <n v="0"/>
    <n v="0"/>
    <n v="0"/>
    <n v="0"/>
    <n v="2989139"/>
    <n v="848510"/>
  </r>
  <r>
    <x v="13"/>
    <x v="8"/>
    <x v="8"/>
    <n v="1250104"/>
    <n v="0"/>
    <n v="0"/>
    <n v="0"/>
    <n v="0"/>
    <n v="0"/>
    <n v="0"/>
    <n v="0"/>
    <n v="0"/>
    <n v="0"/>
    <n v="354900"/>
    <n v="66040"/>
    <n v="1524120"/>
    <n v="0"/>
    <n v="0"/>
    <n v="0"/>
    <n v="0"/>
    <n v="0"/>
    <n v="0"/>
    <n v="0"/>
    <n v="0"/>
    <n v="3195164"/>
    <n v="1945060"/>
  </r>
  <r>
    <x v="13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400"/>
    <n v="140400"/>
    <n v="140400"/>
  </r>
  <r>
    <x v="14"/>
    <x v="0"/>
    <x v="0"/>
    <n v="7374129"/>
    <n v="1293794"/>
    <n v="1286784"/>
    <n v="268515"/>
    <n v="686152"/>
    <n v="0"/>
    <n v="0"/>
    <n v="0"/>
    <n v="0"/>
    <n v="0"/>
    <n v="165800"/>
    <n v="40523"/>
    <n v="0"/>
    <n v="8583"/>
    <n v="156510"/>
    <n v="0"/>
    <n v="0"/>
    <n v="0"/>
    <n v="0"/>
    <n v="0"/>
    <n v="0"/>
    <n v="9718481"/>
    <n v="371416"/>
  </r>
  <r>
    <x v="14"/>
    <x v="1"/>
    <x v="1"/>
    <n v="4288223"/>
    <n v="466832"/>
    <n v="971375"/>
    <n v="221766"/>
    <n v="436023"/>
    <n v="0"/>
    <n v="0"/>
    <n v="0"/>
    <n v="0"/>
    <n v="0"/>
    <n v="176039"/>
    <n v="0"/>
    <n v="0"/>
    <n v="1715"/>
    <n v="81033"/>
    <n v="0"/>
    <n v="0"/>
    <n v="0"/>
    <n v="0"/>
    <n v="0"/>
    <n v="0"/>
    <n v="5954408"/>
    <n v="258787"/>
  </r>
  <r>
    <x v="14"/>
    <x v="2"/>
    <x v="2"/>
    <n v="3793487"/>
    <n v="411480"/>
    <n v="1873856"/>
    <n v="432828"/>
    <n v="0"/>
    <n v="0"/>
    <n v="0"/>
    <n v="0"/>
    <n v="0"/>
    <n v="0"/>
    <n v="66720"/>
    <n v="113077"/>
    <n v="48900"/>
    <n v="3851"/>
    <n v="0"/>
    <n v="0"/>
    <n v="0"/>
    <n v="0"/>
    <n v="0"/>
    <n v="0"/>
    <n v="0"/>
    <n v="5899891"/>
    <n v="232548"/>
  </r>
  <r>
    <x v="14"/>
    <x v="3"/>
    <x v="3"/>
    <n v="0"/>
    <n v="0"/>
    <n v="0"/>
    <n v="0"/>
    <n v="0"/>
    <n v="3320183"/>
    <n v="184210"/>
    <n v="0"/>
    <n v="0"/>
    <n v="0"/>
    <n v="0"/>
    <n v="0"/>
    <n v="0"/>
    <n v="0"/>
    <n v="0"/>
    <n v="0"/>
    <n v="187550"/>
    <n v="0"/>
    <n v="0"/>
    <n v="0"/>
    <n v="0"/>
    <n v="3507733"/>
    <n v="187550"/>
  </r>
  <r>
    <x v="14"/>
    <x v="4"/>
    <x v="4"/>
    <n v="0"/>
    <n v="0"/>
    <n v="0"/>
    <n v="0"/>
    <n v="0"/>
    <n v="0"/>
    <n v="0"/>
    <n v="1187409"/>
    <n v="293704"/>
    <n v="0"/>
    <n v="0"/>
    <n v="0"/>
    <n v="0"/>
    <n v="0"/>
    <n v="0"/>
    <n v="78000"/>
    <n v="0"/>
    <n v="0"/>
    <n v="-40000"/>
    <n v="0"/>
    <n v="0"/>
    <n v="1225409"/>
    <n v="38000"/>
  </r>
  <r>
    <x v="14"/>
    <x v="5"/>
    <x v="5"/>
    <n v="0"/>
    <n v="0"/>
    <n v="0"/>
    <n v="0"/>
    <n v="0"/>
    <n v="0"/>
    <n v="0"/>
    <n v="922792"/>
    <n v="0"/>
    <n v="0"/>
    <n v="20000"/>
    <n v="0"/>
    <n v="0"/>
    <n v="0"/>
    <n v="0"/>
    <n v="98000"/>
    <n v="0"/>
    <n v="0"/>
    <n v="-40000"/>
    <n v="0"/>
    <n v="0"/>
    <n v="1000792"/>
    <n v="78000"/>
  </r>
  <r>
    <x v="14"/>
    <x v="10"/>
    <x v="10"/>
    <n v="0"/>
    <n v="0"/>
    <n v="0"/>
    <n v="0"/>
    <n v="0"/>
    <n v="0"/>
    <n v="0"/>
    <n v="2385860"/>
    <n v="0"/>
    <n v="0"/>
    <n v="0"/>
    <n v="0"/>
    <n v="0"/>
    <n v="0"/>
    <n v="0"/>
    <n v="400000"/>
    <n v="0"/>
    <n v="0"/>
    <n v="-80000"/>
    <n v="0"/>
    <n v="0"/>
    <n v="2705860"/>
    <n v="320000"/>
  </r>
  <r>
    <x v="14"/>
    <x v="6"/>
    <x v="6"/>
    <n v="2052909"/>
    <n v="0"/>
    <n v="0"/>
    <n v="0"/>
    <n v="0"/>
    <n v="0"/>
    <n v="0"/>
    <n v="0"/>
    <n v="0"/>
    <n v="0"/>
    <n v="0"/>
    <n v="0"/>
    <n v="0"/>
    <n v="0"/>
    <n v="0"/>
    <n v="521768"/>
    <n v="0"/>
    <n v="0"/>
    <n v="0"/>
    <n v="0"/>
    <n v="0"/>
    <n v="2574677"/>
    <n v="521768"/>
  </r>
  <r>
    <x v="14"/>
    <x v="8"/>
    <x v="8"/>
    <n v="1297254"/>
    <n v="0"/>
    <n v="4270"/>
    <n v="0"/>
    <n v="0"/>
    <n v="0"/>
    <n v="0"/>
    <n v="0"/>
    <n v="0"/>
    <n v="0"/>
    <n v="241800"/>
    <n v="60840"/>
    <n v="1529662"/>
    <n v="0"/>
    <n v="0"/>
    <n v="0"/>
    <n v="0"/>
    <n v="0"/>
    <n v="0"/>
    <n v="0"/>
    <n v="0"/>
    <n v="3133826"/>
    <n v="1832302"/>
  </r>
  <r>
    <x v="15"/>
    <x v="0"/>
    <x v="0"/>
    <n v="7485316"/>
    <n v="1313989"/>
    <n v="1390789"/>
    <n v="295530"/>
    <n v="744776"/>
    <n v="0"/>
    <n v="0"/>
    <n v="0"/>
    <n v="0"/>
    <n v="0"/>
    <n v="197032"/>
    <n v="33360"/>
    <n v="0"/>
    <n v="4064"/>
    <n v="151995"/>
    <n v="0"/>
    <n v="0"/>
    <n v="0"/>
    <n v="0"/>
    <n v="0"/>
    <n v="0"/>
    <n v="10007332"/>
    <n v="386451"/>
  </r>
  <r>
    <x v="15"/>
    <x v="1"/>
    <x v="1"/>
    <n v="4314125"/>
    <n v="470435"/>
    <n v="927864"/>
    <n v="210870"/>
    <n v="421073"/>
    <n v="0"/>
    <n v="0"/>
    <n v="0"/>
    <n v="0"/>
    <n v="0"/>
    <n v="197500"/>
    <n v="0"/>
    <n v="0"/>
    <n v="1742"/>
    <n v="101616"/>
    <n v="0"/>
    <n v="0"/>
    <n v="0"/>
    <n v="0"/>
    <n v="0"/>
    <n v="0"/>
    <n v="5963920"/>
    <n v="300858"/>
  </r>
  <r>
    <x v="15"/>
    <x v="2"/>
    <x v="2"/>
    <n v="3951679"/>
    <n v="422479"/>
    <n v="1450355"/>
    <n v="337271"/>
    <n v="0"/>
    <n v="0"/>
    <n v="0"/>
    <n v="0"/>
    <n v="0"/>
    <n v="0"/>
    <n v="101900"/>
    <n v="78987"/>
    <n v="42972"/>
    <n v="4091"/>
    <n v="0"/>
    <n v="0"/>
    <n v="0"/>
    <n v="0"/>
    <n v="0"/>
    <n v="0"/>
    <n v="0"/>
    <n v="5629984"/>
    <n v="227950"/>
  </r>
  <r>
    <x v="15"/>
    <x v="3"/>
    <x v="3"/>
    <n v="0"/>
    <n v="0"/>
    <n v="0"/>
    <n v="0"/>
    <n v="0"/>
    <n v="3113881"/>
    <n v="173739"/>
    <n v="0"/>
    <n v="0"/>
    <n v="0"/>
    <n v="4117"/>
    <n v="0"/>
    <n v="0"/>
    <n v="0"/>
    <n v="0"/>
    <n v="0"/>
    <n v="174350"/>
    <n v="0"/>
    <n v="0"/>
    <n v="0"/>
    <n v="0"/>
    <n v="3292348"/>
    <n v="178467"/>
  </r>
  <r>
    <x v="15"/>
    <x v="4"/>
    <x v="4"/>
    <n v="0"/>
    <n v="0"/>
    <n v="0"/>
    <n v="0"/>
    <n v="0"/>
    <n v="0"/>
    <n v="0"/>
    <n v="998248"/>
    <n v="292855"/>
    <n v="0"/>
    <n v="0"/>
    <n v="0"/>
    <n v="0"/>
    <n v="0"/>
    <n v="0"/>
    <n v="78000"/>
    <n v="0"/>
    <n v="0"/>
    <n v="-40000"/>
    <n v="0"/>
    <n v="0"/>
    <n v="1036248"/>
    <n v="38000"/>
  </r>
  <r>
    <x v="15"/>
    <x v="5"/>
    <x v="5"/>
    <n v="0"/>
    <n v="0"/>
    <n v="0"/>
    <n v="0"/>
    <n v="0"/>
    <n v="0"/>
    <n v="0"/>
    <n v="983492"/>
    <n v="0"/>
    <n v="0"/>
    <n v="20000"/>
    <n v="0"/>
    <n v="0"/>
    <n v="0"/>
    <n v="0"/>
    <n v="98000"/>
    <n v="0"/>
    <n v="0"/>
    <n v="-40000"/>
    <n v="0"/>
    <n v="0"/>
    <n v="1061492"/>
    <n v="78000"/>
  </r>
  <r>
    <x v="15"/>
    <x v="10"/>
    <x v="10"/>
    <n v="0"/>
    <n v="0"/>
    <n v="0"/>
    <n v="0"/>
    <n v="0"/>
    <n v="0"/>
    <n v="0"/>
    <n v="2448469"/>
    <n v="0"/>
    <n v="0"/>
    <n v="0"/>
    <n v="0"/>
    <n v="0"/>
    <n v="0"/>
    <n v="0"/>
    <n v="400000"/>
    <n v="0"/>
    <n v="0"/>
    <n v="-100000"/>
    <n v="0"/>
    <n v="0"/>
    <n v="2748469"/>
    <n v="300000"/>
  </r>
  <r>
    <x v="15"/>
    <x v="6"/>
    <x v="6"/>
    <n v="2157074"/>
    <n v="0"/>
    <n v="0"/>
    <n v="0"/>
    <n v="0"/>
    <n v="0"/>
    <n v="0"/>
    <n v="0"/>
    <n v="0"/>
    <n v="0"/>
    <n v="0"/>
    <n v="0"/>
    <n v="0"/>
    <n v="0"/>
    <n v="0"/>
    <n v="696462"/>
    <n v="0"/>
    <n v="0"/>
    <n v="0"/>
    <n v="0"/>
    <n v="0"/>
    <n v="2853536"/>
    <n v="696462"/>
  </r>
  <r>
    <x v="15"/>
    <x v="8"/>
    <x v="8"/>
    <n v="1261043"/>
    <n v="0"/>
    <n v="2592"/>
    <n v="0"/>
    <n v="0"/>
    <n v="0"/>
    <n v="0"/>
    <n v="0"/>
    <n v="0"/>
    <n v="0"/>
    <n v="270800"/>
    <n v="60840"/>
    <n v="1524400"/>
    <n v="0"/>
    <n v="0"/>
    <n v="0"/>
    <n v="0"/>
    <n v="0"/>
    <n v="0"/>
    <n v="0"/>
    <n v="0"/>
    <n v="3119675"/>
    <n v="1856040"/>
  </r>
  <r>
    <x v="16"/>
    <x v="0"/>
    <x v="0"/>
    <n v="7564231"/>
    <n v="1418859"/>
    <n v="1381127"/>
    <n v="297676"/>
    <n v="767428"/>
    <n v="0"/>
    <n v="0"/>
    <n v="0"/>
    <n v="0"/>
    <n v="0"/>
    <n v="158897"/>
    <n v="34334"/>
    <n v="0"/>
    <n v="4875"/>
    <n v="139965"/>
    <n v="0"/>
    <n v="0"/>
    <n v="0"/>
    <n v="0"/>
    <n v="0"/>
    <n v="0"/>
    <n v="10050857"/>
    <n v="338071"/>
  </r>
  <r>
    <x v="16"/>
    <x v="1"/>
    <x v="1"/>
    <n v="3868662"/>
    <n v="421938"/>
    <n v="864854"/>
    <n v="195922"/>
    <n v="421194"/>
    <n v="0"/>
    <n v="0"/>
    <n v="0"/>
    <n v="0"/>
    <n v="0"/>
    <n v="223191"/>
    <n v="0"/>
    <n v="0"/>
    <n v="1550"/>
    <n v="110118"/>
    <n v="0"/>
    <n v="0"/>
    <n v="0"/>
    <n v="0"/>
    <n v="0"/>
    <n v="0"/>
    <n v="5489569"/>
    <n v="334859"/>
  </r>
  <r>
    <x v="16"/>
    <x v="2"/>
    <x v="2"/>
    <n v="3646839"/>
    <n v="379228"/>
    <n v="2279823"/>
    <n v="524588"/>
    <n v="0"/>
    <n v="0"/>
    <n v="0"/>
    <n v="0"/>
    <n v="0"/>
    <n v="0"/>
    <n v="66200"/>
    <n v="121750"/>
    <n v="50720"/>
    <n v="3030"/>
    <n v="0"/>
    <n v="0"/>
    <n v="0"/>
    <n v="0"/>
    <n v="0"/>
    <n v="0"/>
    <n v="0"/>
    <n v="6168362"/>
    <n v="241700"/>
  </r>
  <r>
    <x v="16"/>
    <x v="3"/>
    <x v="3"/>
    <n v="0"/>
    <n v="0"/>
    <n v="0"/>
    <n v="0"/>
    <n v="0"/>
    <n v="3134166"/>
    <n v="174710"/>
    <n v="0"/>
    <n v="0"/>
    <n v="0"/>
    <n v="2800"/>
    <n v="0"/>
    <n v="0"/>
    <n v="0"/>
    <n v="0"/>
    <n v="0"/>
    <n v="176550"/>
    <n v="0"/>
    <n v="0"/>
    <n v="0"/>
    <n v="0"/>
    <n v="3313516"/>
    <n v="179350"/>
  </r>
  <r>
    <x v="16"/>
    <x v="4"/>
    <x v="4"/>
    <n v="0"/>
    <n v="0"/>
    <n v="0"/>
    <n v="0"/>
    <n v="0"/>
    <n v="0"/>
    <n v="0"/>
    <n v="778040"/>
    <n v="271654"/>
    <n v="0"/>
    <n v="0"/>
    <n v="0"/>
    <n v="0"/>
    <n v="0"/>
    <n v="0"/>
    <n v="61000"/>
    <n v="0"/>
    <n v="0"/>
    <n v="-30000"/>
    <n v="0"/>
    <n v="0"/>
    <n v="809040"/>
    <n v="31000"/>
  </r>
  <r>
    <x v="16"/>
    <x v="5"/>
    <x v="5"/>
    <n v="0"/>
    <n v="0"/>
    <n v="0"/>
    <n v="0"/>
    <n v="0"/>
    <n v="0"/>
    <n v="0"/>
    <n v="938092"/>
    <n v="0"/>
    <n v="0"/>
    <n v="20000"/>
    <n v="0"/>
    <n v="0"/>
    <n v="0"/>
    <n v="0"/>
    <n v="98000"/>
    <n v="0"/>
    <n v="0"/>
    <n v="-40000"/>
    <n v="0"/>
    <n v="0"/>
    <n v="1016092"/>
    <n v="78000"/>
  </r>
  <r>
    <x v="16"/>
    <x v="10"/>
    <x v="10"/>
    <n v="0"/>
    <n v="0"/>
    <n v="0"/>
    <n v="0"/>
    <n v="0"/>
    <n v="0"/>
    <n v="0"/>
    <n v="2396635"/>
    <n v="0"/>
    <n v="0"/>
    <n v="0"/>
    <n v="0"/>
    <n v="0"/>
    <n v="0"/>
    <n v="0"/>
    <n v="400000"/>
    <n v="0"/>
    <n v="0"/>
    <n v="-100000"/>
    <n v="0"/>
    <n v="0"/>
    <n v="2696635"/>
    <n v="300000"/>
  </r>
  <r>
    <x v="16"/>
    <x v="6"/>
    <x v="6"/>
    <n v="2007541"/>
    <n v="0"/>
    <n v="0"/>
    <n v="0"/>
    <n v="0"/>
    <n v="0"/>
    <n v="0"/>
    <n v="0"/>
    <n v="0"/>
    <n v="0"/>
    <n v="0"/>
    <n v="0"/>
    <n v="0"/>
    <n v="0"/>
    <n v="0"/>
    <n v="609640"/>
    <n v="0"/>
    <n v="0"/>
    <n v="0"/>
    <n v="0"/>
    <n v="0"/>
    <n v="2617181"/>
    <n v="609640"/>
  </r>
  <r>
    <x v="16"/>
    <x v="8"/>
    <x v="8"/>
    <n v="924227"/>
    <n v="0"/>
    <n v="23400"/>
    <n v="0"/>
    <n v="0"/>
    <n v="0"/>
    <n v="0"/>
    <n v="0"/>
    <n v="0"/>
    <n v="0"/>
    <n v="165100"/>
    <n v="65520"/>
    <n v="1167520"/>
    <n v="0"/>
    <n v="0"/>
    <n v="0"/>
    <n v="0"/>
    <n v="0"/>
    <n v="0"/>
    <n v="0"/>
    <n v="0"/>
    <n v="2345767"/>
    <n v="1398140"/>
  </r>
  <r>
    <x v="17"/>
    <x v="0"/>
    <x v="0"/>
    <n v="7287210"/>
    <n v="1254602"/>
    <n v="1260742"/>
    <n v="261542"/>
    <n v="762581"/>
    <n v="0"/>
    <n v="0"/>
    <n v="0"/>
    <n v="0"/>
    <n v="0"/>
    <n v="116400"/>
    <n v="43132"/>
    <n v="0"/>
    <n v="6782"/>
    <n v="150480"/>
    <n v="0"/>
    <n v="0"/>
    <n v="20500"/>
    <n v="0"/>
    <n v="0"/>
    <n v="0"/>
    <n v="9647827"/>
    <n v="337294"/>
  </r>
  <r>
    <x v="17"/>
    <x v="1"/>
    <x v="1"/>
    <n v="3741771"/>
    <n v="402033"/>
    <n v="838386"/>
    <n v="192839"/>
    <n v="444863"/>
    <n v="0"/>
    <n v="0"/>
    <n v="0"/>
    <n v="0"/>
    <n v="0"/>
    <n v="250230"/>
    <n v="0"/>
    <n v="0"/>
    <n v="1684"/>
    <n v="106803"/>
    <n v="0"/>
    <n v="0"/>
    <n v="0"/>
    <n v="0"/>
    <n v="0"/>
    <n v="0"/>
    <n v="5383737"/>
    <n v="358717"/>
  </r>
  <r>
    <x v="17"/>
    <x v="2"/>
    <x v="2"/>
    <n v="3674534"/>
    <n v="388251"/>
    <n v="1771705"/>
    <n v="409072"/>
    <n v="0"/>
    <n v="0"/>
    <n v="0"/>
    <n v="0"/>
    <n v="0"/>
    <n v="0"/>
    <n v="55600"/>
    <n v="120530"/>
    <n v="84252"/>
    <n v="3336"/>
    <n v="0"/>
    <n v="0"/>
    <n v="0"/>
    <n v="0"/>
    <n v="0"/>
    <n v="0"/>
    <n v="0"/>
    <n v="5709957"/>
    <n v="263718"/>
  </r>
  <r>
    <x v="17"/>
    <x v="3"/>
    <x v="3"/>
    <n v="0"/>
    <n v="0"/>
    <n v="0"/>
    <n v="0"/>
    <n v="0"/>
    <n v="3319139"/>
    <n v="184869"/>
    <n v="0"/>
    <n v="0"/>
    <n v="0"/>
    <n v="0"/>
    <n v="0"/>
    <n v="0"/>
    <n v="0"/>
    <n v="0"/>
    <n v="0"/>
    <n v="178200"/>
    <n v="0"/>
    <n v="0"/>
    <n v="0"/>
    <n v="0"/>
    <n v="3497339"/>
    <n v="178200"/>
  </r>
  <r>
    <x v="17"/>
    <x v="4"/>
    <x v="4"/>
    <n v="0"/>
    <n v="0"/>
    <n v="0"/>
    <n v="0"/>
    <n v="0"/>
    <n v="0"/>
    <n v="0"/>
    <n v="710413"/>
    <n v="248202"/>
    <n v="0"/>
    <n v="0"/>
    <n v="0"/>
    <n v="0"/>
    <n v="0"/>
    <n v="0"/>
    <n v="61000"/>
    <n v="0"/>
    <n v="0"/>
    <n v="-30000"/>
    <n v="0"/>
    <n v="0"/>
    <n v="741413"/>
    <n v="31000"/>
  </r>
  <r>
    <x v="17"/>
    <x v="5"/>
    <x v="5"/>
    <n v="0"/>
    <n v="0"/>
    <n v="0"/>
    <n v="0"/>
    <n v="0"/>
    <n v="0"/>
    <n v="0"/>
    <n v="861922"/>
    <n v="0"/>
    <n v="0"/>
    <n v="20000"/>
    <n v="0"/>
    <n v="0"/>
    <n v="0"/>
    <n v="0"/>
    <n v="98000"/>
    <n v="0"/>
    <n v="0"/>
    <n v="-40000"/>
    <n v="0"/>
    <n v="0"/>
    <n v="939922"/>
    <n v="78000"/>
  </r>
  <r>
    <x v="17"/>
    <x v="10"/>
    <x v="10"/>
    <n v="0"/>
    <n v="0"/>
    <n v="0"/>
    <n v="0"/>
    <n v="0"/>
    <n v="0"/>
    <n v="0"/>
    <n v="2200178"/>
    <n v="0"/>
    <n v="0"/>
    <n v="0"/>
    <n v="0"/>
    <n v="0"/>
    <n v="0"/>
    <n v="0"/>
    <n v="400000"/>
    <n v="0"/>
    <n v="0"/>
    <n v="-100000"/>
    <n v="70141"/>
    <n v="0"/>
    <n v="2570319"/>
    <n v="370141"/>
  </r>
  <r>
    <x v="17"/>
    <x v="6"/>
    <x v="6"/>
    <n v="2306499"/>
    <n v="0"/>
    <n v="0"/>
    <n v="0"/>
    <n v="0"/>
    <n v="0"/>
    <n v="0"/>
    <n v="0"/>
    <n v="0"/>
    <n v="0"/>
    <n v="0"/>
    <n v="0"/>
    <n v="0"/>
    <n v="0"/>
    <n v="0"/>
    <n v="751461"/>
    <n v="0"/>
    <n v="0"/>
    <n v="0"/>
    <n v="0"/>
    <n v="0"/>
    <n v="3057960"/>
    <n v="751461"/>
  </r>
  <r>
    <x v="17"/>
    <x v="8"/>
    <x v="8"/>
    <n v="824973"/>
    <n v="0"/>
    <n v="0"/>
    <n v="0"/>
    <n v="0"/>
    <n v="0"/>
    <n v="0"/>
    <n v="0"/>
    <n v="0"/>
    <n v="0"/>
    <n v="142900"/>
    <n v="56160"/>
    <n v="1145630"/>
    <n v="0"/>
    <n v="0"/>
    <n v="0"/>
    <n v="0"/>
    <n v="0"/>
    <n v="0"/>
    <n v="0"/>
    <n v="0"/>
    <n v="2169663"/>
    <n v="1344690"/>
  </r>
  <r>
    <x v="18"/>
    <x v="0"/>
    <x v="0"/>
    <n v="7739710"/>
    <n v="1292025"/>
    <n v="1269395"/>
    <n v="269529"/>
    <n v="741802"/>
    <n v="0"/>
    <n v="0"/>
    <n v="0"/>
    <n v="0"/>
    <n v="0"/>
    <n v="256891"/>
    <n v="43375"/>
    <n v="0"/>
    <n v="4928"/>
    <n v="144480"/>
    <n v="0"/>
    <n v="0"/>
    <n v="37000"/>
    <n v="0"/>
    <n v="0"/>
    <n v="0"/>
    <n v="10237581"/>
    <n v="486674"/>
  </r>
  <r>
    <x v="18"/>
    <x v="1"/>
    <x v="1"/>
    <n v="3545925"/>
    <n v="520816"/>
    <n v="900769"/>
    <n v="208652"/>
    <n v="483204"/>
    <n v="0"/>
    <n v="0"/>
    <n v="0"/>
    <n v="0"/>
    <n v="0"/>
    <n v="351148"/>
    <n v="0"/>
    <n v="0"/>
    <n v="1839"/>
    <n v="102552"/>
    <n v="0"/>
    <n v="0"/>
    <n v="0"/>
    <n v="0"/>
    <n v="0"/>
    <n v="0"/>
    <n v="5385437"/>
    <n v="455539"/>
  </r>
  <r>
    <x v="18"/>
    <x v="2"/>
    <x v="2"/>
    <n v="3915953"/>
    <n v="404767"/>
    <n v="1624154"/>
    <n v="377692"/>
    <n v="0"/>
    <n v="0"/>
    <n v="0"/>
    <n v="0"/>
    <n v="0"/>
    <n v="0"/>
    <n v="82704"/>
    <n v="117311"/>
    <n v="49220"/>
    <n v="3902"/>
    <n v="0"/>
    <n v="0"/>
    <n v="0"/>
    <n v="0"/>
    <n v="0"/>
    <n v="0"/>
    <n v="0"/>
    <n v="5793244"/>
    <n v="253137"/>
  </r>
  <r>
    <x v="18"/>
    <x v="3"/>
    <x v="3"/>
    <n v="0"/>
    <n v="0"/>
    <n v="0"/>
    <n v="0"/>
    <n v="0"/>
    <n v="3245270"/>
    <n v="186659"/>
    <n v="0"/>
    <n v="0"/>
    <n v="0"/>
    <n v="8203"/>
    <n v="0"/>
    <n v="0"/>
    <n v="0"/>
    <n v="0"/>
    <n v="0"/>
    <n v="205150"/>
    <n v="0"/>
    <n v="0"/>
    <n v="0"/>
    <n v="0"/>
    <n v="3458623"/>
    <n v="213353"/>
  </r>
  <r>
    <x v="18"/>
    <x v="4"/>
    <x v="4"/>
    <n v="0"/>
    <n v="0"/>
    <n v="0"/>
    <n v="0"/>
    <n v="0"/>
    <n v="0"/>
    <n v="0"/>
    <n v="789390"/>
    <n v="268227"/>
    <n v="0"/>
    <n v="0"/>
    <n v="0"/>
    <n v="0"/>
    <n v="0"/>
    <n v="0"/>
    <n v="61000"/>
    <n v="0"/>
    <n v="0"/>
    <n v="-30000"/>
    <n v="0"/>
    <n v="0"/>
    <n v="820390"/>
    <n v="31000"/>
  </r>
  <r>
    <x v="18"/>
    <x v="5"/>
    <x v="5"/>
    <n v="0"/>
    <n v="0"/>
    <n v="0"/>
    <n v="0"/>
    <n v="0"/>
    <n v="0"/>
    <n v="0"/>
    <n v="847336"/>
    <n v="0"/>
    <n v="0"/>
    <n v="20000"/>
    <n v="0"/>
    <n v="0"/>
    <n v="0"/>
    <n v="0"/>
    <n v="98000"/>
    <n v="0"/>
    <n v="0"/>
    <n v="-40000"/>
    <n v="280500"/>
    <n v="0"/>
    <n v="1205836"/>
    <n v="358500"/>
  </r>
  <r>
    <x v="18"/>
    <x v="10"/>
    <x v="10"/>
    <n v="0"/>
    <n v="0"/>
    <n v="0"/>
    <n v="0"/>
    <n v="0"/>
    <n v="0"/>
    <n v="0"/>
    <n v="2426031"/>
    <n v="0"/>
    <n v="0"/>
    <n v="0"/>
    <n v="0"/>
    <n v="0"/>
    <n v="0"/>
    <n v="0"/>
    <n v="400000"/>
    <n v="0"/>
    <n v="0"/>
    <n v="-100000"/>
    <n v="93500"/>
    <n v="0"/>
    <n v="2819531"/>
    <n v="393500"/>
  </r>
  <r>
    <x v="18"/>
    <x v="6"/>
    <x v="6"/>
    <n v="2198815"/>
    <n v="0"/>
    <n v="0"/>
    <n v="0"/>
    <n v="0"/>
    <n v="0"/>
    <n v="0"/>
    <n v="0"/>
    <n v="0"/>
    <n v="0"/>
    <n v="0"/>
    <n v="0"/>
    <n v="0"/>
    <n v="0"/>
    <n v="0"/>
    <n v="858082"/>
    <n v="0"/>
    <n v="0"/>
    <n v="0"/>
    <n v="0"/>
    <n v="0"/>
    <n v="3056897"/>
    <n v="858082"/>
  </r>
  <r>
    <x v="18"/>
    <x v="8"/>
    <x v="8"/>
    <n v="784840"/>
    <n v="0"/>
    <n v="41560"/>
    <n v="0"/>
    <n v="0"/>
    <n v="0"/>
    <n v="0"/>
    <n v="0"/>
    <n v="0"/>
    <n v="0"/>
    <n v="155500"/>
    <n v="60840"/>
    <n v="1213818"/>
    <n v="0"/>
    <n v="0"/>
    <n v="0"/>
    <n v="0"/>
    <n v="0"/>
    <n v="0"/>
    <n v="0"/>
    <n v="0"/>
    <n v="2256558"/>
    <n v="1430158"/>
  </r>
  <r>
    <x v="19"/>
    <x v="0"/>
    <x v="0"/>
    <n v="8138305"/>
    <n v="1369946"/>
    <n v="1048428"/>
    <n v="231734"/>
    <n v="684712"/>
    <n v="0"/>
    <n v="0"/>
    <n v="0"/>
    <n v="0"/>
    <n v="0"/>
    <n v="213759"/>
    <n v="52575"/>
    <n v="0"/>
    <n v="2510"/>
    <n v="127905"/>
    <n v="0"/>
    <n v="0"/>
    <n v="33000"/>
    <n v="0"/>
    <n v="0"/>
    <n v="0"/>
    <n v="10301194"/>
    <n v="429749"/>
  </r>
  <r>
    <x v="19"/>
    <x v="1"/>
    <x v="1"/>
    <n v="5905117"/>
    <n v="580162"/>
    <n v="886445"/>
    <n v="205308"/>
    <n v="440722"/>
    <n v="0"/>
    <n v="0"/>
    <n v="0"/>
    <n v="0"/>
    <n v="0"/>
    <n v="383012"/>
    <n v="0"/>
    <n v="0"/>
    <n v="4440"/>
    <n v="109854"/>
    <n v="0"/>
    <n v="0"/>
    <n v="0"/>
    <n v="0"/>
    <n v="0"/>
    <n v="0"/>
    <n v="7729590"/>
    <n v="497306"/>
  </r>
  <r>
    <x v="19"/>
    <x v="2"/>
    <x v="2"/>
    <n v="4590836"/>
    <n v="494085"/>
    <n v="1840771"/>
    <n v="428061"/>
    <n v="0"/>
    <n v="0"/>
    <n v="0"/>
    <n v="0"/>
    <n v="0"/>
    <n v="0"/>
    <n v="60903"/>
    <n v="31070"/>
    <n v="60960"/>
    <n v="3288"/>
    <n v="0"/>
    <n v="0"/>
    <n v="0"/>
    <n v="0"/>
    <n v="0"/>
    <n v="0"/>
    <n v="0"/>
    <n v="6587828"/>
    <n v="156221"/>
  </r>
  <r>
    <x v="19"/>
    <x v="3"/>
    <x v="3"/>
    <n v="0"/>
    <n v="0"/>
    <n v="0"/>
    <n v="0"/>
    <n v="0"/>
    <n v="4470665"/>
    <n v="247531"/>
    <n v="0"/>
    <n v="0"/>
    <n v="0"/>
    <n v="4305"/>
    <n v="0"/>
    <n v="0"/>
    <n v="0"/>
    <n v="0"/>
    <n v="0"/>
    <n v="231550"/>
    <n v="0"/>
    <n v="0"/>
    <n v="0"/>
    <n v="0"/>
    <n v="4706520"/>
    <n v="235855"/>
  </r>
  <r>
    <x v="19"/>
    <x v="4"/>
    <x v="4"/>
    <n v="0"/>
    <n v="0"/>
    <n v="0"/>
    <n v="0"/>
    <n v="0"/>
    <n v="0"/>
    <n v="0"/>
    <n v="777456"/>
    <n v="273762"/>
    <n v="0"/>
    <n v="0"/>
    <n v="0"/>
    <n v="0"/>
    <n v="0"/>
    <n v="0"/>
    <n v="61000"/>
    <n v="0"/>
    <n v="0"/>
    <n v="-30000"/>
    <n v="51304"/>
    <n v="0"/>
    <n v="859760"/>
    <n v="82304"/>
  </r>
  <r>
    <x v="19"/>
    <x v="5"/>
    <x v="5"/>
    <n v="0"/>
    <n v="0"/>
    <n v="0"/>
    <n v="0"/>
    <n v="0"/>
    <n v="0"/>
    <n v="0"/>
    <n v="960460"/>
    <n v="0"/>
    <n v="0"/>
    <n v="20000"/>
    <n v="0"/>
    <n v="0"/>
    <n v="0"/>
    <n v="0"/>
    <n v="98000"/>
    <n v="0"/>
    <n v="0"/>
    <n v="-40000"/>
    <n v="0"/>
    <n v="0"/>
    <n v="1038460"/>
    <n v="78000"/>
  </r>
  <r>
    <x v="19"/>
    <x v="10"/>
    <x v="10"/>
    <n v="0"/>
    <n v="0"/>
    <n v="0"/>
    <n v="0"/>
    <n v="0"/>
    <n v="0"/>
    <n v="0"/>
    <n v="2405342"/>
    <n v="0"/>
    <n v="0"/>
    <n v="0"/>
    <n v="0"/>
    <n v="0"/>
    <n v="0"/>
    <n v="0"/>
    <n v="400000"/>
    <n v="0"/>
    <n v="0"/>
    <n v="-100000"/>
    <n v="48890"/>
    <n v="0"/>
    <n v="2754232"/>
    <n v="348890"/>
  </r>
  <r>
    <x v="19"/>
    <x v="6"/>
    <x v="6"/>
    <n v="2390194"/>
    <n v="0"/>
    <n v="0"/>
    <n v="0"/>
    <n v="0"/>
    <n v="0"/>
    <n v="0"/>
    <n v="0"/>
    <n v="0"/>
    <n v="0"/>
    <n v="2400"/>
    <n v="0"/>
    <n v="0"/>
    <n v="0"/>
    <n v="0"/>
    <n v="791120"/>
    <n v="0"/>
    <n v="0"/>
    <n v="0"/>
    <n v="0"/>
    <n v="0"/>
    <n v="3183714"/>
    <n v="793520"/>
  </r>
  <r>
    <x v="19"/>
    <x v="8"/>
    <x v="8"/>
    <n v="823704"/>
    <n v="0"/>
    <n v="89035"/>
    <n v="0"/>
    <n v="0"/>
    <n v="0"/>
    <n v="0"/>
    <n v="0"/>
    <n v="0"/>
    <n v="0"/>
    <n v="97200"/>
    <n v="60840"/>
    <n v="890170"/>
    <n v="0"/>
    <n v="0"/>
    <n v="0"/>
    <n v="0"/>
    <n v="0"/>
    <n v="0"/>
    <n v="0"/>
    <n v="0"/>
    <n v="1960949"/>
    <n v="1048210"/>
  </r>
  <r>
    <x v="20"/>
    <x v="0"/>
    <x v="0"/>
    <n v="8320534"/>
    <n v="1381326"/>
    <n v="1364202"/>
    <n v="295743"/>
    <n v="662018"/>
    <n v="0"/>
    <n v="0"/>
    <n v="0"/>
    <n v="0"/>
    <n v="0"/>
    <n v="150381"/>
    <n v="37721"/>
    <n v="0"/>
    <n v="9036"/>
    <n v="133935"/>
    <n v="0"/>
    <n v="0"/>
    <n v="95000"/>
    <n v="0"/>
    <n v="0"/>
    <n v="0"/>
    <n v="10772827"/>
    <n v="426073"/>
  </r>
  <r>
    <x v="20"/>
    <x v="1"/>
    <x v="1"/>
    <n v="4774530"/>
    <n v="518576"/>
    <n v="1009132"/>
    <n v="233805"/>
    <n v="447307"/>
    <n v="0"/>
    <n v="0"/>
    <n v="0"/>
    <n v="0"/>
    <n v="0"/>
    <n v="352083"/>
    <n v="0"/>
    <n v="0"/>
    <n v="1733"/>
    <n v="146241"/>
    <n v="0"/>
    <n v="0"/>
    <n v="0"/>
    <n v="0"/>
    <n v="0"/>
    <n v="0"/>
    <n v="6731026"/>
    <n v="500057"/>
  </r>
  <r>
    <x v="20"/>
    <x v="2"/>
    <x v="2"/>
    <n v="4592878"/>
    <n v="468481"/>
    <n v="1467994"/>
    <n v="341347"/>
    <n v="0"/>
    <n v="0"/>
    <n v="0"/>
    <n v="0"/>
    <n v="0"/>
    <n v="0"/>
    <n v="91900"/>
    <n v="237469"/>
    <n v="84750"/>
    <n v="4569"/>
    <n v="0"/>
    <n v="0"/>
    <n v="0"/>
    <n v="0"/>
    <n v="0"/>
    <n v="0"/>
    <n v="0"/>
    <n v="6479560"/>
    <n v="418688"/>
  </r>
  <r>
    <x v="20"/>
    <x v="3"/>
    <x v="3"/>
    <n v="0"/>
    <n v="0"/>
    <n v="0"/>
    <n v="0"/>
    <n v="0"/>
    <n v="4190888"/>
    <n v="231845"/>
    <n v="0"/>
    <n v="0"/>
    <n v="0"/>
    <n v="3245"/>
    <n v="0"/>
    <n v="0"/>
    <n v="0"/>
    <n v="0"/>
    <n v="0"/>
    <n v="225500"/>
    <n v="0"/>
    <n v="0"/>
    <n v="0"/>
    <n v="0"/>
    <n v="4419633"/>
    <n v="228745"/>
  </r>
  <r>
    <x v="20"/>
    <x v="4"/>
    <x v="4"/>
    <n v="0"/>
    <n v="0"/>
    <n v="0"/>
    <n v="0"/>
    <n v="0"/>
    <n v="0"/>
    <n v="0"/>
    <n v="802372"/>
    <n v="283493"/>
    <n v="0"/>
    <n v="0"/>
    <n v="0"/>
    <n v="0"/>
    <n v="0"/>
    <n v="0"/>
    <n v="61000"/>
    <n v="0"/>
    <n v="0"/>
    <n v="-30000"/>
    <n v="533442"/>
    <n v="0"/>
    <n v="1366814"/>
    <n v="564442"/>
  </r>
  <r>
    <x v="20"/>
    <x v="5"/>
    <x v="5"/>
    <n v="0"/>
    <n v="0"/>
    <n v="0"/>
    <n v="0"/>
    <n v="0"/>
    <n v="0"/>
    <n v="0"/>
    <n v="1007268"/>
    <n v="0"/>
    <n v="0"/>
    <n v="20000"/>
    <n v="0"/>
    <n v="0"/>
    <n v="0"/>
    <n v="0"/>
    <n v="98000"/>
    <n v="0"/>
    <n v="0"/>
    <n v="-40000"/>
    <n v="65527"/>
    <n v="0"/>
    <n v="1150795"/>
    <n v="143527"/>
  </r>
  <r>
    <x v="20"/>
    <x v="10"/>
    <x v="10"/>
    <n v="0"/>
    <n v="0"/>
    <n v="0"/>
    <n v="0"/>
    <n v="0"/>
    <n v="0"/>
    <n v="0"/>
    <n v="2474409"/>
    <n v="0"/>
    <n v="0"/>
    <n v="0"/>
    <n v="0"/>
    <n v="0"/>
    <n v="0"/>
    <n v="0"/>
    <n v="400000"/>
    <n v="0"/>
    <n v="0"/>
    <n v="-100000"/>
    <n v="996616"/>
    <n v="0"/>
    <n v="3771025"/>
    <n v="1296616"/>
  </r>
  <r>
    <x v="20"/>
    <x v="6"/>
    <x v="6"/>
    <n v="2293370"/>
    <n v="0"/>
    <n v="0"/>
    <n v="0"/>
    <n v="0"/>
    <n v="0"/>
    <n v="0"/>
    <n v="0"/>
    <n v="0"/>
    <n v="0"/>
    <n v="15600"/>
    <n v="0"/>
    <n v="0"/>
    <n v="0"/>
    <n v="0"/>
    <n v="712737"/>
    <n v="0"/>
    <n v="0"/>
    <n v="0"/>
    <n v="0"/>
    <n v="0"/>
    <n v="3021707"/>
    <n v="728337"/>
  </r>
  <r>
    <x v="20"/>
    <x v="8"/>
    <x v="8"/>
    <n v="865723"/>
    <n v="0"/>
    <n v="50890"/>
    <n v="0"/>
    <n v="0"/>
    <n v="0"/>
    <n v="0"/>
    <n v="0"/>
    <n v="0"/>
    <n v="0"/>
    <n v="71300"/>
    <n v="60840"/>
    <n v="906890"/>
    <n v="0"/>
    <n v="0"/>
    <n v="0"/>
    <n v="0"/>
    <n v="0"/>
    <n v="0"/>
    <n v="0"/>
    <n v="0"/>
    <n v="1955643"/>
    <n v="1039030"/>
  </r>
  <r>
    <x v="21"/>
    <x v="0"/>
    <x v="0"/>
    <n v="7545811"/>
    <n v="1264475"/>
    <n v="1288468"/>
    <n v="270557"/>
    <n v="713826"/>
    <n v="0"/>
    <n v="0"/>
    <n v="0"/>
    <n v="0"/>
    <n v="0"/>
    <n v="89119"/>
    <n v="41542"/>
    <n v="0"/>
    <n v="3405"/>
    <n v="130935"/>
    <n v="0"/>
    <n v="0"/>
    <n v="22000"/>
    <n v="0"/>
    <n v="0"/>
    <n v="0"/>
    <n v="9835106"/>
    <n v="287001"/>
  </r>
  <r>
    <x v="21"/>
    <x v="1"/>
    <x v="1"/>
    <n v="4727604"/>
    <n v="516297"/>
    <n v="862821"/>
    <n v="199219"/>
    <n v="478897"/>
    <n v="0"/>
    <n v="0"/>
    <n v="0"/>
    <n v="0"/>
    <n v="0"/>
    <n v="335119"/>
    <n v="0"/>
    <n v="0"/>
    <n v="2250"/>
    <n v="123543"/>
    <n v="0"/>
    <n v="0"/>
    <n v="0"/>
    <n v="0"/>
    <n v="0"/>
    <n v="0"/>
    <n v="6530234"/>
    <n v="460912"/>
  </r>
  <r>
    <x v="21"/>
    <x v="2"/>
    <x v="2"/>
    <n v="4730337"/>
    <n v="494657"/>
    <n v="1782964"/>
    <n v="414592"/>
    <n v="0"/>
    <n v="0"/>
    <n v="0"/>
    <n v="0"/>
    <n v="0"/>
    <n v="0"/>
    <n v="102400"/>
    <n v="113414"/>
    <n v="74680"/>
    <n v="2677"/>
    <n v="0"/>
    <n v="0"/>
    <n v="0"/>
    <n v="0"/>
    <n v="0"/>
    <n v="0"/>
    <n v="0"/>
    <n v="6806472"/>
    <n v="293171"/>
  </r>
  <r>
    <x v="21"/>
    <x v="11"/>
    <x v="11"/>
    <n v="0"/>
    <n v="0"/>
    <n v="97685"/>
    <n v="22715"/>
    <n v="0"/>
    <n v="0"/>
    <n v="0"/>
    <n v="0"/>
    <n v="0"/>
    <n v="0"/>
    <n v="3200"/>
    <n v="0"/>
    <n v="0"/>
    <n v="0"/>
    <n v="0"/>
    <n v="0"/>
    <n v="0"/>
    <n v="0"/>
    <n v="0"/>
    <n v="0"/>
    <n v="0"/>
    <n v="100885"/>
    <n v="3200"/>
  </r>
  <r>
    <x v="21"/>
    <x v="3"/>
    <x v="3"/>
    <n v="0"/>
    <n v="0"/>
    <n v="0"/>
    <n v="0"/>
    <n v="0"/>
    <n v="3920019"/>
    <n v="218824"/>
    <n v="0"/>
    <n v="0"/>
    <n v="0"/>
    <n v="553"/>
    <n v="0"/>
    <n v="0"/>
    <n v="0"/>
    <n v="0"/>
    <n v="0"/>
    <n v="225700"/>
    <n v="0"/>
    <n v="0"/>
    <n v="0"/>
    <n v="0"/>
    <n v="4146272"/>
    <n v="226253"/>
  </r>
  <r>
    <x v="21"/>
    <x v="4"/>
    <x v="4"/>
    <n v="0"/>
    <n v="0"/>
    <n v="0"/>
    <n v="0"/>
    <n v="0"/>
    <n v="0"/>
    <n v="0"/>
    <n v="517955"/>
    <n v="242054"/>
    <n v="0"/>
    <n v="0"/>
    <n v="0"/>
    <n v="0"/>
    <n v="0"/>
    <n v="0"/>
    <n v="61000"/>
    <n v="0"/>
    <n v="0"/>
    <n v="-30000"/>
    <n v="0"/>
    <n v="0"/>
    <n v="548955"/>
    <n v="31000"/>
  </r>
  <r>
    <x v="21"/>
    <x v="5"/>
    <x v="5"/>
    <n v="0"/>
    <n v="0"/>
    <n v="0"/>
    <n v="0"/>
    <n v="0"/>
    <n v="0"/>
    <n v="0"/>
    <n v="976056"/>
    <n v="0"/>
    <n v="0"/>
    <n v="20000"/>
    <n v="0"/>
    <n v="0"/>
    <n v="0"/>
    <n v="0"/>
    <n v="98000"/>
    <n v="0"/>
    <n v="0"/>
    <n v="-40000"/>
    <n v="0"/>
    <n v="0"/>
    <n v="1054056"/>
    <n v="78000"/>
  </r>
  <r>
    <x v="21"/>
    <x v="10"/>
    <x v="10"/>
    <n v="0"/>
    <n v="0"/>
    <n v="0"/>
    <n v="0"/>
    <n v="0"/>
    <n v="0"/>
    <n v="0"/>
    <n v="2169018"/>
    <n v="0"/>
    <n v="0"/>
    <n v="0"/>
    <n v="0"/>
    <n v="0"/>
    <n v="0"/>
    <n v="0"/>
    <n v="400000"/>
    <n v="0"/>
    <n v="0"/>
    <n v="-100000"/>
    <n v="0"/>
    <n v="0"/>
    <n v="2469018"/>
    <n v="300000"/>
  </r>
  <r>
    <x v="21"/>
    <x v="6"/>
    <x v="6"/>
    <n v="2039297"/>
    <n v="0"/>
    <n v="0"/>
    <n v="0"/>
    <n v="0"/>
    <n v="0"/>
    <n v="0"/>
    <n v="0"/>
    <n v="0"/>
    <n v="0"/>
    <n v="7200"/>
    <n v="0"/>
    <n v="0"/>
    <n v="0"/>
    <n v="0"/>
    <n v="645681"/>
    <n v="0"/>
    <n v="0"/>
    <n v="0"/>
    <n v="0"/>
    <n v="0"/>
    <n v="2692178"/>
    <n v="652881"/>
  </r>
  <r>
    <x v="21"/>
    <x v="8"/>
    <x v="8"/>
    <n v="907116"/>
    <n v="0"/>
    <n v="26796"/>
    <n v="0"/>
    <n v="0"/>
    <n v="0"/>
    <n v="0"/>
    <n v="0"/>
    <n v="0"/>
    <n v="0"/>
    <n v="56300"/>
    <n v="60840"/>
    <n v="838490"/>
    <n v="0"/>
    <n v="0"/>
    <n v="0"/>
    <n v="0"/>
    <n v="0"/>
    <n v="0"/>
    <n v="0"/>
    <n v="0"/>
    <n v="1889542"/>
    <n v="955630"/>
  </r>
  <r>
    <x v="22"/>
    <x v="0"/>
    <x v="0"/>
    <n v="8646531"/>
    <n v="1329824"/>
    <n v="1310896"/>
    <n v="275953"/>
    <n v="720086"/>
    <n v="0"/>
    <n v="0"/>
    <n v="0"/>
    <n v="0"/>
    <n v="0"/>
    <n v="81500"/>
    <n v="36502"/>
    <n v="0"/>
    <n v="6836"/>
    <n v="129420"/>
    <n v="0"/>
    <n v="0"/>
    <n v="111000"/>
    <n v="0"/>
    <n v="0"/>
    <n v="0"/>
    <n v="11042771"/>
    <n v="365258"/>
  </r>
  <r>
    <x v="22"/>
    <x v="1"/>
    <x v="1"/>
    <n v="4044228"/>
    <n v="448243"/>
    <n v="964628"/>
    <n v="223199"/>
    <n v="553040"/>
    <n v="0"/>
    <n v="0"/>
    <n v="0"/>
    <n v="0"/>
    <n v="0"/>
    <n v="386170"/>
    <n v="0"/>
    <n v="0"/>
    <n v="834"/>
    <n v="126858"/>
    <n v="0"/>
    <n v="0"/>
    <n v="0"/>
    <n v="0"/>
    <n v="0"/>
    <n v="0"/>
    <n v="6075758"/>
    <n v="513862"/>
  </r>
  <r>
    <x v="22"/>
    <x v="2"/>
    <x v="2"/>
    <n v="4812316"/>
    <n v="501273"/>
    <n v="1836690"/>
    <n v="427104"/>
    <n v="0"/>
    <n v="0"/>
    <n v="0"/>
    <n v="0"/>
    <n v="0"/>
    <n v="0"/>
    <n v="58400"/>
    <n v="139170"/>
    <n v="65530"/>
    <n v="3422"/>
    <n v="0"/>
    <n v="0"/>
    <n v="0"/>
    <n v="0"/>
    <n v="0"/>
    <n v="0"/>
    <n v="0"/>
    <n v="6915528"/>
    <n v="266522"/>
  </r>
  <r>
    <x v="22"/>
    <x v="11"/>
    <x v="11"/>
    <n v="493984"/>
    <n v="48263"/>
    <n v="168666"/>
    <n v="39217"/>
    <n v="0"/>
    <n v="0"/>
    <n v="0"/>
    <n v="0"/>
    <n v="0"/>
    <n v="0"/>
    <n v="0"/>
    <n v="0"/>
    <n v="0"/>
    <n v="430"/>
    <n v="0"/>
    <n v="0"/>
    <n v="0"/>
    <n v="0"/>
    <n v="0"/>
    <n v="0"/>
    <n v="0"/>
    <n v="663080"/>
    <n v="430"/>
  </r>
  <r>
    <x v="22"/>
    <x v="3"/>
    <x v="3"/>
    <n v="0"/>
    <n v="0"/>
    <n v="0"/>
    <n v="0"/>
    <n v="0"/>
    <n v="4214501"/>
    <n v="234931"/>
    <n v="0"/>
    <n v="0"/>
    <n v="0"/>
    <n v="7043"/>
    <n v="0"/>
    <n v="0"/>
    <n v="0"/>
    <n v="0"/>
    <n v="0"/>
    <n v="246950"/>
    <n v="0"/>
    <n v="0"/>
    <n v="0"/>
    <n v="0"/>
    <n v="4468494"/>
    <n v="253993"/>
  </r>
  <r>
    <x v="22"/>
    <x v="6"/>
    <x v="6"/>
    <n v="1640628"/>
    <n v="0"/>
    <n v="0"/>
    <n v="0"/>
    <n v="0"/>
    <n v="0"/>
    <n v="0"/>
    <n v="0"/>
    <n v="0"/>
    <n v="0"/>
    <n v="6000"/>
    <n v="0"/>
    <n v="0"/>
    <n v="0"/>
    <n v="0"/>
    <n v="899959"/>
    <n v="0"/>
    <n v="0"/>
    <n v="0"/>
    <n v="0"/>
    <n v="0"/>
    <n v="2546587"/>
    <n v="905959"/>
  </r>
  <r>
    <x v="22"/>
    <x v="4"/>
    <x v="4"/>
    <n v="0"/>
    <n v="0"/>
    <n v="0"/>
    <n v="0"/>
    <n v="0"/>
    <n v="0"/>
    <n v="0"/>
    <n v="1128974"/>
    <n v="318645"/>
    <n v="0"/>
    <n v="0"/>
    <n v="0"/>
    <n v="0"/>
    <n v="0"/>
    <n v="0"/>
    <n v="61000"/>
    <n v="0"/>
    <n v="0"/>
    <n v="-30000"/>
    <n v="0"/>
    <n v="0"/>
    <n v="1159974"/>
    <n v="31000"/>
  </r>
  <r>
    <x v="22"/>
    <x v="5"/>
    <x v="5"/>
    <n v="0"/>
    <n v="0"/>
    <n v="0"/>
    <n v="0"/>
    <n v="0"/>
    <n v="0"/>
    <n v="0"/>
    <n v="1007268"/>
    <n v="0"/>
    <n v="0"/>
    <n v="20000"/>
    <n v="0"/>
    <n v="0"/>
    <n v="0"/>
    <n v="0"/>
    <n v="98000"/>
    <n v="0"/>
    <n v="0"/>
    <n v="-40000"/>
    <n v="0"/>
    <n v="0"/>
    <n v="1085268"/>
    <n v="78000"/>
  </r>
  <r>
    <x v="22"/>
    <x v="10"/>
    <x v="10"/>
    <n v="0"/>
    <n v="0"/>
    <n v="0"/>
    <n v="0"/>
    <n v="0"/>
    <n v="0"/>
    <n v="0"/>
    <n v="2677988"/>
    <n v="0"/>
    <n v="0"/>
    <n v="0"/>
    <n v="0"/>
    <n v="0"/>
    <n v="0"/>
    <n v="0"/>
    <n v="400000"/>
    <n v="0"/>
    <n v="0"/>
    <n v="-100000"/>
    <n v="0"/>
    <n v="0"/>
    <n v="2977988"/>
    <n v="300000"/>
  </r>
  <r>
    <x v="22"/>
    <x v="8"/>
    <x v="8"/>
    <n v="745508"/>
    <n v="0"/>
    <n v="19440"/>
    <n v="0"/>
    <n v="0"/>
    <n v="0"/>
    <n v="0"/>
    <n v="0"/>
    <n v="0"/>
    <n v="0"/>
    <n v="50600"/>
    <n v="58500"/>
    <n v="740340"/>
    <n v="0"/>
    <n v="0"/>
    <n v="0"/>
    <n v="0"/>
    <n v="0"/>
    <n v="0"/>
    <n v="0"/>
    <n v="0"/>
    <n v="1614388"/>
    <n v="849440"/>
  </r>
  <r>
    <x v="23"/>
    <x v="0"/>
    <x v="0"/>
    <n v="7766185"/>
    <n v="1186196"/>
    <n v="1069802"/>
    <n v="250906"/>
    <n v="668845"/>
    <n v="0"/>
    <n v="0"/>
    <n v="0"/>
    <n v="0"/>
    <n v="0"/>
    <n v="68600"/>
    <n v="40413"/>
    <n v="0"/>
    <n v="6445"/>
    <n v="121905"/>
    <n v="0"/>
    <n v="0"/>
    <n v="100560"/>
    <n v="0"/>
    <n v="0"/>
    <n v="0"/>
    <n v="9842755"/>
    <n v="337923"/>
  </r>
  <r>
    <x v="23"/>
    <x v="1"/>
    <x v="1"/>
    <n v="4436142"/>
    <n v="460193"/>
    <n v="876207"/>
    <n v="202922"/>
    <n v="514013"/>
    <n v="0"/>
    <n v="0"/>
    <n v="0"/>
    <n v="0"/>
    <n v="0"/>
    <n v="214982"/>
    <n v="0"/>
    <n v="0"/>
    <n v="1666"/>
    <n v="127794"/>
    <n v="0"/>
    <n v="0"/>
    <n v="0"/>
    <n v="0"/>
    <n v="0"/>
    <n v="0"/>
    <n v="6170804"/>
    <n v="344442"/>
  </r>
  <r>
    <x v="23"/>
    <x v="2"/>
    <x v="2"/>
    <n v="5454025"/>
    <n v="580102"/>
    <n v="1787227"/>
    <n v="415616"/>
    <n v="0"/>
    <n v="0"/>
    <n v="0"/>
    <n v="0"/>
    <n v="0"/>
    <n v="0"/>
    <n v="83200"/>
    <n v="106370"/>
    <n v="82380"/>
    <n v="6152"/>
    <n v="0"/>
    <n v="0"/>
    <n v="0"/>
    <n v="0"/>
    <n v="0"/>
    <n v="0"/>
    <n v="0"/>
    <n v="7519354"/>
    <n v="278102"/>
  </r>
  <r>
    <x v="23"/>
    <x v="11"/>
    <x v="11"/>
    <n v="485683"/>
    <n v="50020"/>
    <n v="129186"/>
    <n v="5777"/>
    <n v="0"/>
    <n v="0"/>
    <n v="0"/>
    <n v="0"/>
    <n v="0"/>
    <n v="0"/>
    <n v="9600"/>
    <n v="0"/>
    <n v="0"/>
    <n v="357"/>
    <n v="0"/>
    <n v="0"/>
    <n v="0"/>
    <n v="0"/>
    <n v="0"/>
    <n v="0"/>
    <n v="0"/>
    <n v="624826"/>
    <n v="9957"/>
  </r>
  <r>
    <x v="23"/>
    <x v="3"/>
    <x v="3"/>
    <n v="0"/>
    <n v="0"/>
    <n v="0"/>
    <n v="0"/>
    <n v="0"/>
    <n v="4228735"/>
    <n v="235524"/>
    <n v="0"/>
    <n v="0"/>
    <n v="0"/>
    <n v="1045"/>
    <n v="0"/>
    <n v="0"/>
    <n v="0"/>
    <n v="0"/>
    <n v="0"/>
    <n v="264450"/>
    <n v="0"/>
    <n v="0"/>
    <n v="0"/>
    <n v="0"/>
    <n v="4494230"/>
    <n v="265495"/>
  </r>
  <r>
    <x v="23"/>
    <x v="6"/>
    <x v="6"/>
    <n v="1573689"/>
    <n v="0"/>
    <n v="0"/>
    <n v="0"/>
    <n v="0"/>
    <n v="0"/>
    <n v="0"/>
    <n v="0"/>
    <n v="0"/>
    <n v="0"/>
    <n v="7200"/>
    <n v="0"/>
    <n v="0"/>
    <n v="0"/>
    <n v="0"/>
    <n v="770580"/>
    <n v="0"/>
    <n v="0"/>
    <n v="0"/>
    <n v="0"/>
    <n v="0"/>
    <n v="2351469"/>
    <n v="777780"/>
  </r>
  <r>
    <x v="23"/>
    <x v="4"/>
    <x v="4"/>
    <n v="0"/>
    <n v="0"/>
    <n v="0"/>
    <n v="0"/>
    <n v="0"/>
    <n v="0"/>
    <n v="0"/>
    <n v="839546"/>
    <n v="255357"/>
    <n v="0"/>
    <n v="0"/>
    <n v="0"/>
    <n v="0"/>
    <n v="0"/>
    <n v="0"/>
    <n v="61000"/>
    <n v="0"/>
    <n v="0"/>
    <n v="-30000"/>
    <n v="0"/>
    <n v="0"/>
    <n v="870546"/>
    <n v="31000"/>
  </r>
  <r>
    <x v="23"/>
    <x v="5"/>
    <x v="5"/>
    <n v="0"/>
    <n v="0"/>
    <n v="0"/>
    <n v="0"/>
    <n v="0"/>
    <n v="0"/>
    <n v="0"/>
    <n v="827999"/>
    <n v="0"/>
    <n v="0"/>
    <n v="38000"/>
    <n v="0"/>
    <n v="0"/>
    <n v="0"/>
    <n v="0"/>
    <n v="98000"/>
    <n v="0"/>
    <n v="0"/>
    <n v="-40000"/>
    <n v="0"/>
    <n v="0"/>
    <n v="923999"/>
    <n v="96000"/>
  </r>
  <r>
    <x v="23"/>
    <x v="10"/>
    <x v="10"/>
    <n v="0"/>
    <n v="0"/>
    <n v="0"/>
    <n v="0"/>
    <n v="0"/>
    <n v="0"/>
    <n v="0"/>
    <n v="2198275"/>
    <n v="0"/>
    <n v="0"/>
    <n v="0"/>
    <n v="0"/>
    <n v="0"/>
    <n v="0"/>
    <n v="0"/>
    <n v="360000"/>
    <n v="0"/>
    <n v="0"/>
    <n v="-90000"/>
    <n v="0"/>
    <n v="0"/>
    <n v="2468275"/>
    <n v="270000"/>
  </r>
  <r>
    <x v="23"/>
    <x v="8"/>
    <x v="8"/>
    <n v="512163"/>
    <n v="0"/>
    <n v="52190"/>
    <n v="0"/>
    <n v="0"/>
    <n v="0"/>
    <n v="0"/>
    <n v="0"/>
    <n v="0"/>
    <n v="0"/>
    <n v="75300"/>
    <n v="14040"/>
    <n v="790830"/>
    <n v="0"/>
    <n v="0"/>
    <n v="0"/>
    <n v="0"/>
    <n v="0"/>
    <n v="0"/>
    <n v="0"/>
    <n v="0"/>
    <n v="1444523"/>
    <n v="880170"/>
  </r>
  <r>
    <x v="24"/>
    <x v="0"/>
    <x v="0"/>
    <n v="8429204"/>
    <n v="1222108"/>
    <n v="1775376"/>
    <n v="353946"/>
    <n v="700186"/>
    <n v="0"/>
    <n v="0"/>
    <n v="0"/>
    <n v="0"/>
    <n v="0"/>
    <n v="55863"/>
    <n v="47339"/>
    <n v="0"/>
    <n v="7457"/>
    <n v="124905"/>
    <n v="0"/>
    <n v="0"/>
    <n v="99180"/>
    <n v="0"/>
    <n v="0"/>
    <n v="0"/>
    <n v="11239510"/>
    <n v="334744"/>
  </r>
  <r>
    <x v="24"/>
    <x v="1"/>
    <x v="1"/>
    <n v="4394228"/>
    <n v="480619"/>
    <n v="893484"/>
    <n v="206934"/>
    <n v="505814"/>
    <n v="0"/>
    <n v="0"/>
    <n v="0"/>
    <n v="0"/>
    <n v="0"/>
    <n v="222988"/>
    <n v="0"/>
    <n v="0"/>
    <n v="931"/>
    <n v="139611"/>
    <n v="0"/>
    <n v="0"/>
    <n v="0"/>
    <n v="0"/>
    <n v="0"/>
    <n v="0"/>
    <n v="6157056"/>
    <n v="363530"/>
  </r>
  <r>
    <x v="24"/>
    <x v="2"/>
    <x v="2"/>
    <n v="4741795"/>
    <n v="517769"/>
    <n v="1721700"/>
    <n v="399005"/>
    <n v="0"/>
    <n v="0"/>
    <n v="0"/>
    <n v="0"/>
    <n v="0"/>
    <n v="0"/>
    <n v="66600"/>
    <n v="179060"/>
    <n v="61034"/>
    <n v="4172"/>
    <n v="0"/>
    <n v="0"/>
    <n v="0"/>
    <n v="0"/>
    <n v="0"/>
    <n v="0"/>
    <n v="0"/>
    <n v="6774361"/>
    <n v="310866"/>
  </r>
  <r>
    <x v="24"/>
    <x v="11"/>
    <x v="11"/>
    <n v="925389"/>
    <n v="78006"/>
    <n v="264289"/>
    <n v="61451"/>
    <n v="0"/>
    <n v="0"/>
    <n v="0"/>
    <n v="0"/>
    <n v="0"/>
    <n v="0"/>
    <n v="3600"/>
    <n v="0"/>
    <n v="0"/>
    <n v="0"/>
    <n v="0"/>
    <n v="0"/>
    <n v="0"/>
    <n v="0"/>
    <n v="0"/>
    <n v="0"/>
    <n v="0"/>
    <n v="1193278"/>
    <n v="3600"/>
  </r>
  <r>
    <x v="24"/>
    <x v="3"/>
    <x v="3"/>
    <n v="0"/>
    <n v="0"/>
    <n v="0"/>
    <n v="0"/>
    <n v="0"/>
    <n v="4184601"/>
    <n v="233085"/>
    <n v="0"/>
    <n v="0"/>
    <n v="0"/>
    <n v="0"/>
    <n v="0"/>
    <n v="0"/>
    <n v="0"/>
    <n v="0"/>
    <n v="0"/>
    <n v="232550"/>
    <n v="0"/>
    <n v="0"/>
    <n v="0"/>
    <n v="0"/>
    <n v="4417151"/>
    <n v="232550"/>
  </r>
  <r>
    <x v="24"/>
    <x v="6"/>
    <x v="6"/>
    <n v="1331333"/>
    <n v="0"/>
    <n v="0"/>
    <n v="0"/>
    <n v="0"/>
    <n v="0"/>
    <n v="0"/>
    <n v="0"/>
    <n v="0"/>
    <n v="0"/>
    <n v="1200"/>
    <n v="0"/>
    <n v="0"/>
    <n v="0"/>
    <n v="0"/>
    <n v="779540"/>
    <n v="0"/>
    <n v="0"/>
    <n v="0"/>
    <n v="0"/>
    <n v="0"/>
    <n v="2112073"/>
    <n v="780740"/>
  </r>
  <r>
    <x v="24"/>
    <x v="4"/>
    <x v="4"/>
    <n v="0"/>
    <n v="0"/>
    <n v="0"/>
    <n v="0"/>
    <n v="0"/>
    <n v="0"/>
    <n v="0"/>
    <n v="813636"/>
    <n v="272142"/>
    <n v="0"/>
    <n v="0"/>
    <n v="0"/>
    <n v="0"/>
    <n v="0"/>
    <n v="0"/>
    <n v="78000"/>
    <n v="0"/>
    <n v="0"/>
    <n v="-30000"/>
    <n v="0"/>
    <n v="0"/>
    <n v="861636"/>
    <n v="48000"/>
  </r>
  <r>
    <x v="24"/>
    <x v="5"/>
    <x v="5"/>
    <n v="0"/>
    <n v="0"/>
    <n v="0"/>
    <n v="0"/>
    <n v="0"/>
    <n v="0"/>
    <n v="0"/>
    <n v="1003585"/>
    <n v="0"/>
    <n v="0"/>
    <n v="0"/>
    <n v="0"/>
    <n v="0"/>
    <n v="0"/>
    <n v="0"/>
    <n v="86500"/>
    <n v="0"/>
    <n v="0"/>
    <n v="-40000"/>
    <n v="0"/>
    <n v="0"/>
    <n v="1050085"/>
    <n v="46500"/>
  </r>
  <r>
    <x v="24"/>
    <x v="10"/>
    <x v="10"/>
    <n v="0"/>
    <n v="0"/>
    <n v="0"/>
    <n v="0"/>
    <n v="0"/>
    <n v="0"/>
    <n v="0"/>
    <n v="2292635"/>
    <n v="0"/>
    <n v="0"/>
    <n v="0"/>
    <n v="0"/>
    <n v="0"/>
    <n v="0"/>
    <n v="0"/>
    <n v="384750"/>
    <n v="0"/>
    <n v="0"/>
    <n v="-90000"/>
    <n v="0"/>
    <n v="0"/>
    <n v="2587385"/>
    <n v="294750"/>
  </r>
  <r>
    <x v="24"/>
    <x v="8"/>
    <x v="8"/>
    <n v="379821"/>
    <n v="0"/>
    <n v="19400"/>
    <n v="0"/>
    <n v="0"/>
    <n v="0"/>
    <n v="0"/>
    <n v="0"/>
    <n v="0"/>
    <n v="0"/>
    <n v="46800"/>
    <n v="0"/>
    <n v="682935"/>
    <n v="0"/>
    <n v="0"/>
    <n v="0"/>
    <n v="0"/>
    <n v="0"/>
    <n v="0"/>
    <n v="0"/>
    <n v="0"/>
    <n v="1128956"/>
    <n v="729735"/>
  </r>
  <r>
    <x v="25"/>
    <x v="0"/>
    <x v="0"/>
    <n v="9199107"/>
    <n v="1303050"/>
    <n v="1648176"/>
    <n v="360476"/>
    <n v="715111"/>
    <n v="0"/>
    <n v="0"/>
    <n v="0"/>
    <n v="0"/>
    <n v="0"/>
    <n v="121735"/>
    <n v="47082"/>
    <n v="563140"/>
    <n v="8046"/>
    <n v="136935"/>
    <n v="0"/>
    <n v="0"/>
    <n v="72000"/>
    <n v="0"/>
    <n v="0"/>
    <n v="0"/>
    <n v="12511332"/>
    <n v="948938"/>
  </r>
  <r>
    <x v="25"/>
    <x v="1"/>
    <x v="1"/>
    <n v="5226410"/>
    <n v="567983"/>
    <n v="1400329"/>
    <n v="323954"/>
    <n v="530963"/>
    <n v="0"/>
    <n v="0"/>
    <n v="0"/>
    <n v="0"/>
    <n v="0"/>
    <n v="254792"/>
    <n v="0"/>
    <n v="0"/>
    <n v="1526"/>
    <n v="143862"/>
    <n v="0"/>
    <n v="0"/>
    <n v="0"/>
    <n v="0"/>
    <n v="0"/>
    <n v="0"/>
    <n v="7557882"/>
    <n v="400180"/>
  </r>
  <r>
    <x v="25"/>
    <x v="2"/>
    <x v="2"/>
    <n v="5132237"/>
    <n v="520929"/>
    <n v="1877087"/>
    <n v="436467"/>
    <n v="0"/>
    <n v="0"/>
    <n v="0"/>
    <n v="0"/>
    <n v="0"/>
    <n v="0"/>
    <n v="144300"/>
    <n v="160808"/>
    <n v="101920"/>
    <n v="3252"/>
    <n v="0"/>
    <n v="0"/>
    <n v="0"/>
    <n v="0"/>
    <n v="0"/>
    <n v="0"/>
    <n v="0"/>
    <n v="7419604"/>
    <n v="410280"/>
  </r>
  <r>
    <x v="25"/>
    <x v="11"/>
    <x v="11"/>
    <n v="1520946"/>
    <n v="0"/>
    <n v="105500"/>
    <n v="21396"/>
    <n v="0"/>
    <n v="0"/>
    <n v="0"/>
    <n v="0"/>
    <n v="0"/>
    <n v="0"/>
    <n v="5100"/>
    <n v="0"/>
    <n v="0"/>
    <n v="0"/>
    <n v="0"/>
    <n v="0"/>
    <n v="0"/>
    <n v="0"/>
    <n v="0"/>
    <n v="0"/>
    <n v="0"/>
    <n v="1631546"/>
    <n v="5100"/>
  </r>
  <r>
    <x v="25"/>
    <x v="12"/>
    <x v="12"/>
    <n v="174827"/>
    <n v="13766"/>
    <n v="59457"/>
    <n v="13820"/>
    <n v="0"/>
    <n v="0"/>
    <n v="0"/>
    <n v="0"/>
    <n v="0"/>
    <n v="0"/>
    <n v="0"/>
    <n v="0"/>
    <n v="0"/>
    <n v="0"/>
    <n v="0"/>
    <n v="0"/>
    <n v="0"/>
    <n v="0"/>
    <n v="0"/>
    <n v="0"/>
    <n v="0"/>
    <n v="234284"/>
    <n v="0"/>
  </r>
  <r>
    <x v="25"/>
    <x v="3"/>
    <x v="3"/>
    <n v="0"/>
    <n v="0"/>
    <n v="0"/>
    <n v="0"/>
    <n v="0"/>
    <n v="4202400"/>
    <n v="234125"/>
    <n v="0"/>
    <n v="0"/>
    <n v="0"/>
    <n v="0"/>
    <n v="0"/>
    <n v="0"/>
    <n v="0"/>
    <n v="0"/>
    <n v="0"/>
    <n v="239800"/>
    <n v="0"/>
    <n v="0"/>
    <n v="0"/>
    <n v="0"/>
    <n v="4442200"/>
    <n v="239800"/>
  </r>
  <r>
    <x v="25"/>
    <x v="6"/>
    <x v="6"/>
    <n v="1618585"/>
    <n v="0"/>
    <n v="0"/>
    <n v="0"/>
    <n v="0"/>
    <n v="0"/>
    <n v="0"/>
    <n v="0"/>
    <n v="0"/>
    <n v="0"/>
    <n v="0"/>
    <n v="0"/>
    <n v="0"/>
    <n v="0"/>
    <n v="0"/>
    <n v="778680"/>
    <n v="0"/>
    <n v="0"/>
    <n v="0"/>
    <n v="0"/>
    <n v="0"/>
    <n v="2397265"/>
    <n v="778680"/>
  </r>
  <r>
    <x v="25"/>
    <x v="4"/>
    <x v="4"/>
    <n v="0"/>
    <n v="0"/>
    <n v="0"/>
    <n v="0"/>
    <n v="0"/>
    <n v="0"/>
    <n v="0"/>
    <n v="1101110"/>
    <n v="306754"/>
    <n v="0"/>
    <n v="0"/>
    <n v="0"/>
    <n v="0"/>
    <n v="0"/>
    <n v="0"/>
    <n v="78000"/>
    <n v="0"/>
    <n v="0"/>
    <n v="-40000"/>
    <n v="0"/>
    <n v="0"/>
    <n v="1139110"/>
    <n v="38000"/>
  </r>
  <r>
    <x v="25"/>
    <x v="5"/>
    <x v="5"/>
    <n v="0"/>
    <n v="0"/>
    <n v="0"/>
    <n v="0"/>
    <n v="0"/>
    <n v="0"/>
    <n v="0"/>
    <n v="1019657"/>
    <n v="0"/>
    <n v="0"/>
    <n v="0"/>
    <n v="0"/>
    <n v="0"/>
    <n v="0"/>
    <n v="0"/>
    <n v="98000"/>
    <n v="0"/>
    <n v="0"/>
    <n v="-30000"/>
    <n v="0"/>
    <n v="0"/>
    <n v="1087657"/>
    <n v="68000"/>
  </r>
  <r>
    <x v="25"/>
    <x v="10"/>
    <x v="10"/>
    <n v="0"/>
    <n v="0"/>
    <n v="0"/>
    <n v="0"/>
    <n v="0"/>
    <n v="0"/>
    <n v="0"/>
    <n v="2500912"/>
    <n v="0"/>
    <n v="0"/>
    <n v="0"/>
    <n v="0"/>
    <n v="0"/>
    <n v="0"/>
    <n v="0"/>
    <n v="400000"/>
    <n v="0"/>
    <n v="0"/>
    <n v="-100000"/>
    <n v="0"/>
    <n v="0"/>
    <n v="2800912"/>
    <n v="300000"/>
  </r>
  <r>
    <x v="26"/>
    <x v="0"/>
    <x v="0"/>
    <n v="9223816"/>
    <n v="1441337"/>
    <n v="2024710"/>
    <n v="403228"/>
    <n v="707246"/>
    <n v="0"/>
    <n v="0"/>
    <n v="0"/>
    <n v="0"/>
    <n v="0"/>
    <n v="161221"/>
    <n v="56192"/>
    <n v="324584"/>
    <n v="7302"/>
    <n v="129420"/>
    <n v="0"/>
    <n v="0"/>
    <n v="144180"/>
    <n v="0"/>
    <n v="0"/>
    <n v="0"/>
    <n v="12778671"/>
    <n v="822899"/>
  </r>
  <r>
    <x v="26"/>
    <x v="1"/>
    <x v="1"/>
    <n v="4718674"/>
    <n v="511579"/>
    <n v="1554852"/>
    <n v="360429"/>
    <n v="622929"/>
    <n v="0"/>
    <n v="0"/>
    <n v="0"/>
    <n v="0"/>
    <n v="0"/>
    <n v="240145"/>
    <n v="0"/>
    <n v="0"/>
    <n v="1521"/>
    <n v="147177"/>
    <n v="0"/>
    <n v="0"/>
    <n v="0"/>
    <n v="0"/>
    <n v="0"/>
    <n v="0"/>
    <n v="7285298"/>
    <n v="388843"/>
  </r>
  <r>
    <x v="26"/>
    <x v="2"/>
    <x v="2"/>
    <n v="4992088"/>
    <n v="525065"/>
    <n v="1744923"/>
    <n v="405773"/>
    <n v="0"/>
    <n v="0"/>
    <n v="0"/>
    <n v="0"/>
    <n v="0"/>
    <n v="0"/>
    <n v="108300"/>
    <n v="159012"/>
    <n v="87950"/>
    <n v="6762"/>
    <n v="0"/>
    <n v="0"/>
    <n v="0"/>
    <n v="0"/>
    <n v="0"/>
    <n v="0"/>
    <n v="0"/>
    <n v="7099035"/>
    <n v="362024"/>
  </r>
  <r>
    <x v="26"/>
    <x v="11"/>
    <x v="11"/>
    <n v="1181602"/>
    <n v="104897"/>
    <n v="92462"/>
    <n v="18551"/>
    <n v="0"/>
    <n v="0"/>
    <n v="0"/>
    <n v="0"/>
    <n v="0"/>
    <n v="0"/>
    <n v="3400"/>
    <n v="18650"/>
    <n v="0"/>
    <n v="0"/>
    <n v="0"/>
    <n v="0"/>
    <n v="0"/>
    <n v="0"/>
    <n v="0"/>
    <n v="0"/>
    <n v="0"/>
    <n v="1296114"/>
    <n v="22050"/>
  </r>
  <r>
    <x v="26"/>
    <x v="12"/>
    <x v="12"/>
    <n v="325613"/>
    <n v="24627"/>
    <n v="107015"/>
    <n v="24883"/>
    <n v="0"/>
    <n v="0"/>
    <n v="0"/>
    <n v="0"/>
    <n v="0"/>
    <n v="0"/>
    <n v="0"/>
    <n v="52620"/>
    <n v="0"/>
    <n v="390"/>
    <n v="0"/>
    <n v="0"/>
    <n v="0"/>
    <n v="0"/>
    <n v="0"/>
    <n v="0"/>
    <n v="0"/>
    <n v="485638"/>
    <n v="53010"/>
  </r>
  <r>
    <x v="26"/>
    <x v="3"/>
    <x v="3"/>
    <n v="0"/>
    <n v="0"/>
    <n v="0"/>
    <n v="0"/>
    <n v="0"/>
    <n v="4590331"/>
    <n v="255681"/>
    <n v="0"/>
    <n v="0"/>
    <n v="0"/>
    <n v="1000"/>
    <n v="0"/>
    <n v="0"/>
    <n v="0"/>
    <n v="0"/>
    <n v="0"/>
    <n v="241750"/>
    <n v="0"/>
    <n v="0"/>
    <n v="0"/>
    <n v="0"/>
    <n v="4833081"/>
    <n v="242750"/>
  </r>
  <r>
    <x v="26"/>
    <x v="6"/>
    <x v="6"/>
    <n v="2735417"/>
    <n v="0"/>
    <n v="0"/>
    <n v="0"/>
    <n v="0"/>
    <n v="0"/>
    <n v="0"/>
    <n v="0"/>
    <n v="0"/>
    <n v="0"/>
    <n v="0"/>
    <n v="0"/>
    <n v="0"/>
    <n v="0"/>
    <n v="0"/>
    <n v="786560"/>
    <n v="0"/>
    <n v="0"/>
    <n v="0"/>
    <n v="0"/>
    <n v="0"/>
    <n v="3521977"/>
    <n v="786560"/>
  </r>
  <r>
    <x v="26"/>
    <x v="4"/>
    <x v="4"/>
    <n v="0"/>
    <n v="0"/>
    <n v="0"/>
    <n v="0"/>
    <n v="0"/>
    <n v="0"/>
    <n v="0"/>
    <n v="1073137"/>
    <n v="299671"/>
    <n v="0"/>
    <n v="23800"/>
    <n v="0"/>
    <n v="0"/>
    <n v="0"/>
    <n v="0"/>
    <n v="78000"/>
    <n v="0"/>
    <n v="0"/>
    <n v="-40000"/>
    <n v="0"/>
    <n v="0"/>
    <n v="1134937"/>
    <n v="61800"/>
  </r>
  <r>
    <x v="26"/>
    <x v="5"/>
    <x v="5"/>
    <n v="0"/>
    <n v="0"/>
    <n v="0"/>
    <n v="0"/>
    <n v="0"/>
    <n v="0"/>
    <n v="0"/>
    <n v="1012236"/>
    <n v="0"/>
    <n v="0"/>
    <n v="0"/>
    <n v="0"/>
    <n v="0"/>
    <n v="0"/>
    <n v="0"/>
    <n v="98000"/>
    <n v="0"/>
    <n v="0"/>
    <n v="-40000"/>
    <n v="0"/>
    <n v="0"/>
    <n v="1070236"/>
    <n v="58000"/>
  </r>
  <r>
    <x v="26"/>
    <x v="10"/>
    <x v="10"/>
    <n v="0"/>
    <n v="0"/>
    <n v="0"/>
    <n v="0"/>
    <n v="0"/>
    <n v="0"/>
    <n v="0"/>
    <n v="2443866"/>
    <n v="0"/>
    <n v="0"/>
    <n v="0"/>
    <n v="0"/>
    <n v="0"/>
    <n v="0"/>
    <n v="0"/>
    <n v="400000"/>
    <n v="0"/>
    <n v="0"/>
    <n v="-100000"/>
    <n v="0"/>
    <n v="0"/>
    <n v="2743866"/>
    <n v="300000"/>
  </r>
  <r>
    <x v="26"/>
    <x v="13"/>
    <x v="13"/>
    <n v="0"/>
    <n v="0"/>
    <n v="0"/>
    <n v="0"/>
    <n v="0"/>
    <n v="0"/>
    <n v="0"/>
    <n v="0"/>
    <n v="0"/>
    <n v="0"/>
    <n v="0"/>
    <n v="0"/>
    <n v="0"/>
    <n v="0"/>
    <n v="0"/>
    <n v="16000"/>
    <n v="0"/>
    <n v="0"/>
    <n v="0"/>
    <n v="0"/>
    <n v="0"/>
    <n v="16000"/>
    <n v="16000"/>
  </r>
  <r>
    <x v="27"/>
    <x v="0"/>
    <x v="0"/>
    <n v="8670512"/>
    <n v="1264810"/>
    <n v="2045783"/>
    <n v="441769"/>
    <n v="747467"/>
    <n v="0"/>
    <n v="0"/>
    <n v="0"/>
    <n v="0"/>
    <n v="0"/>
    <n v="142642"/>
    <n v="30360"/>
    <n v="300120"/>
    <n v="7342"/>
    <n v="145965"/>
    <n v="0"/>
    <n v="0"/>
    <n v="72900"/>
    <n v="0"/>
    <n v="0"/>
    <n v="0"/>
    <n v="12163091"/>
    <n v="699329"/>
  </r>
  <r>
    <x v="27"/>
    <x v="1"/>
    <x v="1"/>
    <n v="4484003"/>
    <n v="487200"/>
    <n v="1323386"/>
    <n v="296398"/>
    <n v="518588"/>
    <n v="0"/>
    <n v="0"/>
    <n v="0"/>
    <n v="0"/>
    <n v="0"/>
    <n v="198681"/>
    <n v="0"/>
    <n v="0"/>
    <n v="1231"/>
    <n v="152364"/>
    <n v="0"/>
    <n v="0"/>
    <n v="0"/>
    <n v="0"/>
    <n v="0"/>
    <n v="0"/>
    <n v="6678253"/>
    <n v="352276"/>
  </r>
  <r>
    <x v="27"/>
    <x v="2"/>
    <x v="2"/>
    <n v="4434302"/>
    <n v="461604"/>
    <n v="2159752"/>
    <n v="502225"/>
    <n v="0"/>
    <n v="0"/>
    <n v="0"/>
    <n v="0"/>
    <n v="0"/>
    <n v="0"/>
    <n v="158000"/>
    <n v="174879"/>
    <n v="132930"/>
    <n v="5717"/>
    <n v="0"/>
    <n v="0"/>
    <n v="0"/>
    <n v="0"/>
    <n v="0"/>
    <n v="0"/>
    <n v="0"/>
    <n v="7065580"/>
    <n v="471526"/>
  </r>
  <r>
    <x v="27"/>
    <x v="11"/>
    <x v="11"/>
    <n v="1325905"/>
    <n v="119784"/>
    <n v="170158"/>
    <n v="36611"/>
    <n v="0"/>
    <n v="0"/>
    <n v="0"/>
    <n v="0"/>
    <n v="0"/>
    <n v="0"/>
    <n v="5100"/>
    <n v="19540"/>
    <n v="0"/>
    <n v="143"/>
    <n v="0"/>
    <n v="0"/>
    <n v="0"/>
    <n v="0"/>
    <n v="0"/>
    <n v="0"/>
    <n v="0"/>
    <n v="1520846"/>
    <n v="24783"/>
  </r>
  <r>
    <x v="27"/>
    <x v="12"/>
    <x v="12"/>
    <n v="510817"/>
    <n v="45753"/>
    <n v="157949"/>
    <n v="36720"/>
    <n v="0"/>
    <n v="0"/>
    <n v="0"/>
    <n v="0"/>
    <n v="0"/>
    <n v="0"/>
    <n v="0"/>
    <n v="32564"/>
    <n v="0"/>
    <n v="390"/>
    <n v="0"/>
    <n v="0"/>
    <n v="0"/>
    <n v="0"/>
    <n v="0"/>
    <n v="0"/>
    <n v="0"/>
    <n v="701720"/>
    <n v="32954"/>
  </r>
  <r>
    <x v="27"/>
    <x v="3"/>
    <x v="3"/>
    <n v="0"/>
    <n v="0"/>
    <n v="0"/>
    <n v="0"/>
    <n v="0"/>
    <n v="4100094"/>
    <n v="228390"/>
    <n v="0"/>
    <n v="0"/>
    <n v="0"/>
    <n v="0"/>
    <n v="0"/>
    <n v="0"/>
    <n v="0"/>
    <n v="0"/>
    <n v="0"/>
    <n v="322550"/>
    <n v="0"/>
    <n v="0"/>
    <n v="0"/>
    <n v="0"/>
    <n v="4422644"/>
    <n v="322550"/>
  </r>
  <r>
    <x v="27"/>
    <x v="6"/>
    <x v="6"/>
    <n v="1826775"/>
    <n v="0"/>
    <n v="0"/>
    <n v="0"/>
    <n v="0"/>
    <n v="0"/>
    <n v="0"/>
    <n v="0"/>
    <n v="0"/>
    <n v="0"/>
    <n v="0"/>
    <n v="0"/>
    <n v="0"/>
    <n v="0"/>
    <n v="0"/>
    <n v="779540"/>
    <n v="0"/>
    <n v="0"/>
    <n v="0"/>
    <n v="0"/>
    <n v="0"/>
    <n v="2606315"/>
    <n v="779540"/>
  </r>
  <r>
    <x v="27"/>
    <x v="4"/>
    <x v="4"/>
    <n v="0"/>
    <n v="0"/>
    <n v="0"/>
    <n v="0"/>
    <n v="0"/>
    <n v="0"/>
    <n v="0"/>
    <n v="1107363"/>
    <n v="308666"/>
    <n v="0"/>
    <n v="30600"/>
    <n v="0"/>
    <n v="0"/>
    <n v="0"/>
    <n v="0"/>
    <n v="78000"/>
    <n v="0"/>
    <n v="0"/>
    <n v="-40000"/>
    <n v="0"/>
    <n v="0"/>
    <n v="1175963"/>
    <n v="68600"/>
  </r>
  <r>
    <x v="27"/>
    <x v="5"/>
    <x v="5"/>
    <n v="0"/>
    <n v="0"/>
    <n v="0"/>
    <n v="0"/>
    <n v="0"/>
    <n v="0"/>
    <n v="0"/>
    <n v="1044442"/>
    <n v="0"/>
    <n v="0"/>
    <n v="0"/>
    <n v="0"/>
    <n v="0"/>
    <n v="0"/>
    <n v="0"/>
    <n v="98000"/>
    <n v="0"/>
    <n v="0"/>
    <n v="-40000"/>
    <n v="0"/>
    <n v="0"/>
    <n v="1102442"/>
    <n v="58000"/>
  </r>
  <r>
    <x v="27"/>
    <x v="10"/>
    <x v="10"/>
    <n v="0"/>
    <n v="0"/>
    <n v="0"/>
    <n v="0"/>
    <n v="0"/>
    <n v="0"/>
    <n v="0"/>
    <n v="2507684"/>
    <n v="0"/>
    <n v="0"/>
    <n v="0"/>
    <n v="0"/>
    <n v="0"/>
    <n v="0"/>
    <n v="0"/>
    <n v="400000"/>
    <n v="0"/>
    <n v="0"/>
    <n v="-100000"/>
    <n v="0"/>
    <n v="0"/>
    <n v="2807684"/>
    <n v="300000"/>
  </r>
  <r>
    <x v="27"/>
    <x v="13"/>
    <x v="13"/>
    <n v="0"/>
    <n v="0"/>
    <n v="0"/>
    <n v="0"/>
    <n v="0"/>
    <n v="0"/>
    <n v="0"/>
    <n v="0"/>
    <n v="0"/>
    <n v="0"/>
    <n v="0"/>
    <n v="0"/>
    <n v="0"/>
    <n v="0"/>
    <n v="0"/>
    <n v="40000"/>
    <n v="0"/>
    <n v="0"/>
    <n v="0"/>
    <n v="0"/>
    <n v="0"/>
    <n v="40000"/>
    <n v="40000"/>
  </r>
  <r>
    <x v="28"/>
    <x v="0"/>
    <x v="0"/>
    <n v="8912753"/>
    <n v="1297597"/>
    <n v="2316124"/>
    <n v="502389"/>
    <n v="736200"/>
    <n v="0"/>
    <n v="0"/>
    <n v="0"/>
    <n v="0"/>
    <n v="0"/>
    <n v="109700"/>
    <n v="25154"/>
    <n v="268570"/>
    <n v="7270"/>
    <n v="163995"/>
    <n v="0"/>
    <n v="0"/>
    <n v="129060"/>
    <n v="0"/>
    <n v="0"/>
    <n v="0"/>
    <n v="12668826"/>
    <n v="703749"/>
  </r>
  <r>
    <x v="28"/>
    <x v="1"/>
    <x v="1"/>
    <n v="4094387"/>
    <n v="442601"/>
    <n v="1005210"/>
    <n v="233751"/>
    <n v="530400"/>
    <n v="0"/>
    <n v="0"/>
    <n v="0"/>
    <n v="0"/>
    <n v="0"/>
    <n v="169695"/>
    <n v="0"/>
    <n v="0"/>
    <n v="578"/>
    <n v="140547"/>
    <n v="0"/>
    <n v="0"/>
    <n v="0"/>
    <n v="0"/>
    <n v="0"/>
    <n v="0"/>
    <n v="5940817"/>
    <n v="310820"/>
  </r>
  <r>
    <x v="28"/>
    <x v="2"/>
    <x v="2"/>
    <n v="4972524"/>
    <n v="520648"/>
    <n v="1738382"/>
    <n v="404246"/>
    <n v="0"/>
    <n v="0"/>
    <n v="0"/>
    <n v="0"/>
    <n v="0"/>
    <n v="0"/>
    <n v="114100"/>
    <n v="159860"/>
    <n v="54230"/>
    <n v="2812"/>
    <n v="0"/>
    <n v="0"/>
    <n v="0"/>
    <n v="0"/>
    <n v="0"/>
    <n v="0"/>
    <n v="0"/>
    <n v="7041908"/>
    <n v="331002"/>
  </r>
  <r>
    <x v="28"/>
    <x v="11"/>
    <x v="11"/>
    <n v="987457"/>
    <n v="86703"/>
    <n v="133567"/>
    <n v="28110"/>
    <n v="0"/>
    <n v="0"/>
    <n v="0"/>
    <n v="0"/>
    <n v="0"/>
    <n v="0"/>
    <n v="0"/>
    <n v="39080"/>
    <n v="0"/>
    <n v="670"/>
    <n v="0"/>
    <n v="0"/>
    <n v="0"/>
    <n v="0"/>
    <n v="0"/>
    <n v="0"/>
    <n v="0"/>
    <n v="1160774"/>
    <n v="39750"/>
  </r>
  <r>
    <x v="28"/>
    <x v="12"/>
    <x v="12"/>
    <n v="509237"/>
    <n v="39332"/>
    <n v="242326"/>
    <n v="56338"/>
    <n v="0"/>
    <n v="0"/>
    <n v="0"/>
    <n v="0"/>
    <n v="0"/>
    <n v="0"/>
    <n v="7650"/>
    <n v="50908"/>
    <n v="0"/>
    <n v="559"/>
    <n v="0"/>
    <n v="0"/>
    <n v="0"/>
    <n v="0"/>
    <n v="0"/>
    <n v="0"/>
    <n v="0"/>
    <n v="810680"/>
    <n v="59117"/>
  </r>
  <r>
    <x v="28"/>
    <x v="3"/>
    <x v="3"/>
    <n v="0"/>
    <n v="0"/>
    <n v="0"/>
    <n v="0"/>
    <n v="0"/>
    <n v="3846817"/>
    <n v="214247"/>
    <n v="0"/>
    <n v="0"/>
    <n v="0"/>
    <n v="12000"/>
    <n v="0"/>
    <n v="0"/>
    <n v="0"/>
    <n v="0"/>
    <n v="0"/>
    <n v="262100"/>
    <n v="0"/>
    <n v="0"/>
    <n v="0"/>
    <n v="0"/>
    <n v="4120917"/>
    <n v="274100"/>
  </r>
  <r>
    <x v="28"/>
    <x v="6"/>
    <x v="6"/>
    <n v="1845029"/>
    <n v="0"/>
    <n v="0"/>
    <n v="0"/>
    <n v="0"/>
    <n v="0"/>
    <n v="0"/>
    <n v="0"/>
    <n v="0"/>
    <n v="0"/>
    <n v="0"/>
    <n v="0"/>
    <n v="0"/>
    <n v="0"/>
    <n v="0"/>
    <n v="782040"/>
    <n v="0"/>
    <n v="0"/>
    <n v="0"/>
    <n v="0"/>
    <n v="0"/>
    <n v="2627069"/>
    <n v="782040"/>
  </r>
  <r>
    <x v="28"/>
    <x v="4"/>
    <x v="4"/>
    <n v="0"/>
    <n v="0"/>
    <n v="0"/>
    <n v="0"/>
    <n v="0"/>
    <n v="0"/>
    <n v="0"/>
    <n v="1107363"/>
    <n v="309206"/>
    <n v="0"/>
    <n v="0"/>
    <n v="0"/>
    <n v="0"/>
    <n v="0"/>
    <n v="0"/>
    <n v="78000"/>
    <n v="0"/>
    <n v="0"/>
    <n v="-40000"/>
    <n v="127000"/>
    <n v="0"/>
    <n v="1272363"/>
    <n v="165000"/>
  </r>
  <r>
    <x v="28"/>
    <x v="5"/>
    <x v="5"/>
    <n v="0"/>
    <n v="0"/>
    <n v="0"/>
    <n v="0"/>
    <n v="0"/>
    <n v="0"/>
    <n v="0"/>
    <n v="1044442"/>
    <n v="0"/>
    <n v="0"/>
    <n v="0"/>
    <n v="0"/>
    <n v="0"/>
    <n v="0"/>
    <n v="0"/>
    <n v="98000"/>
    <n v="0"/>
    <n v="0"/>
    <n v="-40000"/>
    <n v="254000"/>
    <n v="0"/>
    <n v="1356442"/>
    <n v="312000"/>
  </r>
  <r>
    <x v="28"/>
    <x v="10"/>
    <x v="10"/>
    <n v="0"/>
    <n v="0"/>
    <n v="0"/>
    <n v="0"/>
    <n v="0"/>
    <n v="0"/>
    <n v="0"/>
    <n v="2515481"/>
    <n v="0"/>
    <n v="0"/>
    <n v="0"/>
    <n v="0"/>
    <n v="0"/>
    <n v="0"/>
    <n v="0"/>
    <n v="400000"/>
    <n v="0"/>
    <n v="0"/>
    <n v="-100000"/>
    <n v="127000"/>
    <n v="0"/>
    <n v="2942481"/>
    <n v="427000"/>
  </r>
  <r>
    <x v="28"/>
    <x v="13"/>
    <x v="13"/>
    <n v="0"/>
    <n v="0"/>
    <n v="0"/>
    <n v="0"/>
    <n v="0"/>
    <n v="0"/>
    <n v="0"/>
    <n v="0"/>
    <n v="0"/>
    <n v="0"/>
    <n v="0"/>
    <n v="0"/>
    <n v="0"/>
    <n v="0"/>
    <n v="0"/>
    <n v="40000"/>
    <n v="0"/>
    <n v="0"/>
    <n v="0"/>
    <n v="0"/>
    <n v="0"/>
    <n v="40000"/>
    <n v="40000"/>
  </r>
  <r>
    <x v="29"/>
    <x v="0"/>
    <x v="0"/>
    <n v="8094496"/>
    <n v="1181981"/>
    <n v="1853976"/>
    <n v="390453"/>
    <n v="756347"/>
    <n v="0"/>
    <n v="0"/>
    <n v="0"/>
    <n v="0"/>
    <n v="0"/>
    <n v="169970"/>
    <n v="20454"/>
    <n v="329350"/>
    <n v="4399"/>
    <n v="173025"/>
    <n v="0"/>
    <n v="0"/>
    <n v="56190"/>
    <n v="0"/>
    <n v="0"/>
    <n v="0"/>
    <n v="11458207"/>
    <n v="753388"/>
  </r>
  <r>
    <x v="29"/>
    <x v="1"/>
    <x v="1"/>
    <n v="4550601"/>
    <n v="488244"/>
    <n v="898498"/>
    <n v="208923"/>
    <n v="529936"/>
    <n v="0"/>
    <n v="0"/>
    <n v="0"/>
    <n v="0"/>
    <n v="0"/>
    <n v="151191"/>
    <n v="0"/>
    <n v="0"/>
    <n v="4075"/>
    <n v="136296"/>
    <n v="0"/>
    <n v="0"/>
    <n v="0"/>
    <n v="0"/>
    <n v="0"/>
    <n v="0"/>
    <n v="6270597"/>
    <n v="291562"/>
  </r>
  <r>
    <x v="29"/>
    <x v="2"/>
    <x v="2"/>
    <n v="4379913"/>
    <n v="448766"/>
    <n v="1701433"/>
    <n v="395654"/>
    <n v="0"/>
    <n v="0"/>
    <n v="0"/>
    <n v="0"/>
    <n v="0"/>
    <n v="0"/>
    <n v="144675"/>
    <n v="113940"/>
    <n v="24780"/>
    <n v="4312"/>
    <n v="0"/>
    <n v="0"/>
    <n v="0"/>
    <n v="0"/>
    <n v="0"/>
    <n v="0"/>
    <n v="0"/>
    <n v="6369053"/>
    <n v="287707"/>
  </r>
  <r>
    <x v="29"/>
    <x v="11"/>
    <x v="11"/>
    <n v="778647"/>
    <n v="60595"/>
    <n v="113402"/>
    <n v="24153"/>
    <n v="0"/>
    <n v="0"/>
    <n v="0"/>
    <n v="0"/>
    <n v="0"/>
    <n v="0"/>
    <n v="11900"/>
    <n v="0"/>
    <n v="0"/>
    <n v="0"/>
    <n v="0"/>
    <n v="0"/>
    <n v="0"/>
    <n v="0"/>
    <n v="0"/>
    <n v="0"/>
    <n v="0"/>
    <n v="903949"/>
    <n v="11900"/>
  </r>
  <r>
    <x v="29"/>
    <x v="12"/>
    <x v="12"/>
    <n v="778951"/>
    <n v="65862"/>
    <n v="272801"/>
    <n v="63423"/>
    <n v="0"/>
    <n v="0"/>
    <n v="0"/>
    <n v="0"/>
    <n v="0"/>
    <n v="0"/>
    <n v="6800"/>
    <n v="1284"/>
    <n v="0"/>
    <n v="910"/>
    <n v="0"/>
    <n v="0"/>
    <n v="0"/>
    <n v="0"/>
    <n v="0"/>
    <n v="0"/>
    <n v="0"/>
    <n v="1060746"/>
    <n v="8994"/>
  </r>
  <r>
    <x v="29"/>
    <x v="3"/>
    <x v="3"/>
    <n v="0"/>
    <n v="0"/>
    <n v="0"/>
    <n v="0"/>
    <n v="0"/>
    <n v="4145693"/>
    <n v="230959"/>
    <n v="0"/>
    <n v="0"/>
    <n v="0"/>
    <n v="20000"/>
    <m/>
    <n v="0"/>
    <n v="0"/>
    <n v="0"/>
    <n v="0"/>
    <n v="310200"/>
    <n v="0"/>
    <n v="0"/>
    <n v="0"/>
    <n v="0"/>
    <n v="4475893"/>
    <n v="330200"/>
  </r>
  <r>
    <x v="29"/>
    <x v="6"/>
    <x v="6"/>
    <n v="1715603"/>
    <n v="0"/>
    <n v="0"/>
    <n v="0"/>
    <n v="0"/>
    <n v="0"/>
    <n v="0"/>
    <n v="0"/>
    <n v="0"/>
    <n v="0"/>
    <n v="18700"/>
    <n v="0"/>
    <n v="0"/>
    <n v="0"/>
    <n v="0"/>
    <n v="780820"/>
    <n v="0"/>
    <n v="0"/>
    <n v="0"/>
    <n v="0"/>
    <n v="0"/>
    <n v="2515123"/>
    <n v="799520"/>
  </r>
  <r>
    <x v="29"/>
    <x v="4"/>
    <x v="4"/>
    <n v="0"/>
    <n v="0"/>
    <n v="0"/>
    <n v="0"/>
    <n v="0"/>
    <n v="0"/>
    <n v="0"/>
    <n v="998423"/>
    <n v="328167"/>
    <n v="0"/>
    <n v="0"/>
    <n v="0"/>
    <n v="0"/>
    <n v="0"/>
    <n v="0"/>
    <n v="78000"/>
    <n v="0"/>
    <n v="0"/>
    <n v="-40000"/>
    <n v="0"/>
    <n v="0"/>
    <n v="1036423"/>
    <n v="38000"/>
  </r>
  <r>
    <x v="29"/>
    <x v="5"/>
    <x v="5"/>
    <n v="0"/>
    <n v="0"/>
    <n v="0"/>
    <n v="0"/>
    <n v="0"/>
    <n v="0"/>
    <n v="0"/>
    <n v="937836"/>
    <n v="0"/>
    <n v="0"/>
    <n v="0"/>
    <n v="0"/>
    <n v="0"/>
    <n v="0"/>
    <n v="0"/>
    <n v="98000"/>
    <n v="0"/>
    <n v="0"/>
    <n v="-30000"/>
    <n v="0"/>
    <n v="0"/>
    <n v="1005836"/>
    <n v="68000"/>
  </r>
  <r>
    <x v="29"/>
    <x v="10"/>
    <x v="10"/>
    <n v="0"/>
    <n v="0"/>
    <n v="0"/>
    <n v="0"/>
    <n v="0"/>
    <n v="0"/>
    <n v="0"/>
    <n v="1730172"/>
    <n v="0"/>
    <n v="0"/>
    <n v="0"/>
    <n v="0"/>
    <n v="0"/>
    <n v="0"/>
    <n v="0"/>
    <n v="360000"/>
    <n v="0"/>
    <n v="0"/>
    <n v="-90000"/>
    <n v="118263"/>
    <n v="0"/>
    <n v="2118435"/>
    <n v="388263"/>
  </r>
  <r>
    <x v="29"/>
    <x v="13"/>
    <x v="13"/>
    <n v="0"/>
    <n v="0"/>
    <n v="0"/>
    <n v="0"/>
    <n v="0"/>
    <n v="0"/>
    <n v="0"/>
    <n v="1296188"/>
    <n v="0"/>
    <n v="0"/>
    <n v="0"/>
    <n v="0"/>
    <n v="0"/>
    <n v="0"/>
    <n v="0"/>
    <n v="240000"/>
    <n v="0"/>
    <n v="0"/>
    <n v="-60000"/>
    <n v="0"/>
    <n v="0"/>
    <n v="1476188"/>
    <n v="180000"/>
  </r>
  <r>
    <x v="30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560"/>
    <n v="142560"/>
    <n v="142560"/>
  </r>
  <r>
    <x v="30"/>
    <x v="0"/>
    <x v="0"/>
    <n v="9308391"/>
    <n v="1328201"/>
    <n v="2003636"/>
    <n v="424882"/>
    <n v="839377"/>
    <n v="0"/>
    <n v="0"/>
    <n v="0"/>
    <n v="0"/>
    <n v="0"/>
    <n v="87000"/>
    <n v="40730"/>
    <n v="278280"/>
    <n v="5982"/>
    <n v="154320"/>
    <n v="0"/>
    <n v="0"/>
    <n v="103680"/>
    <n v="0"/>
    <n v="0"/>
    <n v="0"/>
    <n v="12821396"/>
    <n v="669992"/>
  </r>
  <r>
    <x v="30"/>
    <x v="1"/>
    <x v="1"/>
    <n v="3648265"/>
    <n v="373732"/>
    <n v="960910"/>
    <n v="223423"/>
    <n v="481439"/>
    <n v="0"/>
    <n v="0"/>
    <n v="0"/>
    <n v="0"/>
    <n v="0"/>
    <n v="236189"/>
    <n v="8560"/>
    <n v="0"/>
    <n v="4140"/>
    <n v="118268"/>
    <n v="0"/>
    <n v="0"/>
    <n v="0"/>
    <n v="0"/>
    <n v="0"/>
    <n v="0"/>
    <n v="5457771"/>
    <n v="367157"/>
  </r>
  <r>
    <x v="30"/>
    <x v="2"/>
    <x v="2"/>
    <n v="5036742"/>
    <n v="511438"/>
    <n v="1668036"/>
    <n v="387896"/>
    <n v="0"/>
    <n v="0"/>
    <n v="0"/>
    <n v="0"/>
    <n v="0"/>
    <n v="0"/>
    <n v="77300"/>
    <n v="153500"/>
    <n v="42650"/>
    <n v="1371"/>
    <n v="0"/>
    <n v="0"/>
    <n v="0"/>
    <n v="0"/>
    <n v="0"/>
    <n v="0"/>
    <n v="0"/>
    <n v="6979599"/>
    <n v="274821"/>
  </r>
  <r>
    <x v="30"/>
    <x v="12"/>
    <x v="12"/>
    <n v="965383"/>
    <n v="74624"/>
    <n v="408589"/>
    <n v="95009"/>
    <n v="0"/>
    <n v="0"/>
    <n v="0"/>
    <n v="0"/>
    <n v="0"/>
    <n v="0"/>
    <n v="11050"/>
    <n v="52740"/>
    <n v="0"/>
    <n v="845"/>
    <n v="0"/>
    <n v="0"/>
    <n v="0"/>
    <n v="0"/>
    <n v="0"/>
    <n v="0"/>
    <n v="0"/>
    <n v="1438607"/>
    <n v="64635"/>
  </r>
  <r>
    <x v="30"/>
    <x v="3"/>
    <x v="3"/>
    <n v="0"/>
    <n v="0"/>
    <n v="0"/>
    <n v="0"/>
    <n v="0"/>
    <n v="4589983"/>
    <n v="255703"/>
    <n v="0"/>
    <n v="0"/>
    <n v="0"/>
    <n v="11000"/>
    <n v="0"/>
    <n v="0"/>
    <n v="0"/>
    <n v="0"/>
    <n v="0"/>
    <n v="330200"/>
    <n v="0"/>
    <n v="0"/>
    <n v="0"/>
    <n v="0"/>
    <n v="4931183"/>
    <n v="341200"/>
  </r>
  <r>
    <x v="30"/>
    <x v="6"/>
    <x v="6"/>
    <n v="1715602"/>
    <n v="0"/>
    <n v="0"/>
    <n v="0"/>
    <n v="0"/>
    <n v="0"/>
    <n v="0"/>
    <n v="0"/>
    <n v="0"/>
    <n v="0"/>
    <n v="0"/>
    <n v="0"/>
    <n v="0"/>
    <n v="0"/>
    <n v="0"/>
    <n v="782660"/>
    <n v="0"/>
    <n v="0"/>
    <n v="0"/>
    <n v="0"/>
    <n v="0"/>
    <n v="2498262"/>
    <n v="782660"/>
  </r>
  <r>
    <x v="30"/>
    <x v="4"/>
    <x v="4"/>
    <n v="0"/>
    <n v="0"/>
    <n v="0"/>
    <n v="0"/>
    <n v="0"/>
    <n v="0"/>
    <n v="0"/>
    <n v="982644"/>
    <n v="342112"/>
    <n v="0"/>
    <n v="6800"/>
    <n v="0"/>
    <n v="0"/>
    <n v="0"/>
    <n v="0"/>
    <n v="78000"/>
    <n v="0"/>
    <n v="0"/>
    <n v="-40000"/>
    <n v="0"/>
    <n v="0"/>
    <n v="1027444"/>
    <n v="44800"/>
  </r>
  <r>
    <x v="30"/>
    <x v="5"/>
    <x v="5"/>
    <n v="0"/>
    <n v="0"/>
    <n v="0"/>
    <n v="0"/>
    <n v="0"/>
    <n v="0"/>
    <n v="0"/>
    <n v="915793"/>
    <n v="0"/>
    <n v="0"/>
    <n v="0"/>
    <n v="0"/>
    <n v="0"/>
    <n v="0"/>
    <n v="0"/>
    <n v="98000"/>
    <n v="0"/>
    <n v="0"/>
    <n v="-40000"/>
    <n v="0"/>
    <n v="0"/>
    <n v="973793"/>
    <n v="58000"/>
  </r>
  <r>
    <x v="30"/>
    <x v="10"/>
    <x v="10"/>
    <n v="0"/>
    <n v="0"/>
    <n v="0"/>
    <n v="0"/>
    <n v="0"/>
    <n v="0"/>
    <n v="0"/>
    <n v="1691368"/>
    <n v="0"/>
    <n v="0"/>
    <n v="10200"/>
    <n v="0"/>
    <n v="0"/>
    <n v="0"/>
    <n v="0"/>
    <n v="360000"/>
    <n v="0"/>
    <n v="0"/>
    <n v="-90000"/>
    <n v="27939"/>
    <n v="0"/>
    <n v="1999507"/>
    <n v="308139"/>
  </r>
  <r>
    <x v="30"/>
    <x v="13"/>
    <x v="13"/>
    <n v="0"/>
    <n v="0"/>
    <n v="0"/>
    <n v="0"/>
    <n v="0"/>
    <n v="0"/>
    <n v="0"/>
    <n v="1595131"/>
    <n v="0"/>
    <n v="0"/>
    <n v="0"/>
    <n v="0"/>
    <n v="0"/>
    <n v="0"/>
    <n v="0"/>
    <n v="240000"/>
    <n v="0"/>
    <n v="0"/>
    <n v="-60000"/>
    <n v="0"/>
    <n v="0"/>
    <n v="1775131"/>
    <n v="180000"/>
  </r>
  <r>
    <x v="31"/>
    <x v="0"/>
    <x v="0"/>
    <n v="9202118"/>
    <n v="0"/>
    <n v="2177773"/>
    <n v="0"/>
    <n v="864993"/>
    <n v="0"/>
    <n v="0"/>
    <n v="0"/>
    <n v="0"/>
    <n v="0"/>
    <n v="116900"/>
    <n v="48039"/>
    <n v="250260"/>
    <n v="8065"/>
    <n v="161440"/>
    <n v="0"/>
    <n v="0"/>
    <n v="72000"/>
    <n v="0"/>
    <n v="0"/>
    <n v="0"/>
    <n v="12901588"/>
    <n v="656704"/>
  </r>
  <r>
    <x v="31"/>
    <x v="1"/>
    <x v="1"/>
    <n v="3923238"/>
    <n v="0"/>
    <n v="1346991"/>
    <n v="0"/>
    <n v="549559"/>
    <n v="0"/>
    <n v="0"/>
    <n v="0"/>
    <n v="0"/>
    <n v="0"/>
    <n v="311054"/>
    <n v="8560"/>
    <n v="0"/>
    <n v="1467"/>
    <n v="121360"/>
    <n v="0"/>
    <n v="0"/>
    <n v="0"/>
    <n v="0"/>
    <n v="0"/>
    <n v="0"/>
    <n v="6262229"/>
    <n v="442441"/>
  </r>
  <r>
    <x v="31"/>
    <x v="2"/>
    <x v="2"/>
    <n v="4769253"/>
    <n v="0"/>
    <n v="1980862"/>
    <n v="0"/>
    <n v="0"/>
    <n v="0"/>
    <n v="0"/>
    <n v="0"/>
    <n v="0"/>
    <n v="0"/>
    <n v="134300"/>
    <n v="200620"/>
    <n v="19950"/>
    <n v="5435"/>
    <n v="0"/>
    <n v="0"/>
    <n v="0"/>
    <n v="0"/>
    <n v="0"/>
    <n v="0"/>
    <n v="0"/>
    <n v="7110420"/>
    <n v="360305"/>
  </r>
  <r>
    <x v="31"/>
    <x v="11"/>
    <x v="11"/>
    <n v="131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48"/>
    <n v="0"/>
  </r>
  <r>
    <x v="31"/>
    <x v="12"/>
    <x v="12"/>
    <n v="1324858"/>
    <n v="0"/>
    <n v="517678"/>
    <n v="0"/>
    <n v="0"/>
    <n v="0"/>
    <n v="0"/>
    <n v="0"/>
    <n v="0"/>
    <n v="0"/>
    <n v="11050"/>
    <n v="50090"/>
    <n v="0"/>
    <n v="1518"/>
    <n v="0"/>
    <n v="0"/>
    <n v="0"/>
    <n v="0"/>
    <n v="0"/>
    <n v="0"/>
    <n v="0"/>
    <n v="1905194"/>
    <n v="62658"/>
  </r>
  <r>
    <x v="31"/>
    <x v="3"/>
    <x v="3"/>
    <n v="0"/>
    <n v="0"/>
    <n v="0"/>
    <n v="0"/>
    <n v="0"/>
    <n v="4128975"/>
    <n v="0"/>
    <n v="0"/>
    <n v="0"/>
    <n v="0"/>
    <n v="9000"/>
    <n v="0"/>
    <n v="0"/>
    <n v="0"/>
    <n v="0"/>
    <n v="0"/>
    <n v="288000"/>
    <n v="0"/>
    <n v="0"/>
    <n v="0"/>
    <n v="0"/>
    <n v="4425975"/>
    <n v="297000"/>
  </r>
  <r>
    <x v="31"/>
    <x v="6"/>
    <x v="6"/>
    <n v="1684049"/>
    <n v="0"/>
    <n v="0"/>
    <n v="0"/>
    <n v="0"/>
    <n v="0"/>
    <n v="0"/>
    <n v="0"/>
    <n v="0"/>
    <n v="0"/>
    <n v="0"/>
    <n v="0"/>
    <n v="0"/>
    <n v="0"/>
    <n v="0"/>
    <n v="778420"/>
    <n v="0"/>
    <n v="0"/>
    <n v="0"/>
    <n v="0"/>
    <n v="0"/>
    <n v="2462469"/>
    <n v="778420"/>
  </r>
  <r>
    <x v="31"/>
    <x v="4"/>
    <x v="4"/>
    <n v="0"/>
    <n v="0"/>
    <n v="0"/>
    <n v="0"/>
    <n v="0"/>
    <n v="0"/>
    <n v="0"/>
    <n v="1025725"/>
    <n v="0"/>
    <n v="0"/>
    <n v="0"/>
    <n v="0"/>
    <n v="0"/>
    <n v="0"/>
    <n v="0"/>
    <n v="78000"/>
    <n v="0"/>
    <n v="0"/>
    <n v="-40000"/>
    <n v="13336"/>
    <n v="0"/>
    <n v="1077061"/>
    <n v="51336"/>
  </r>
  <r>
    <x v="31"/>
    <x v="5"/>
    <x v="5"/>
    <n v="0"/>
    <n v="0"/>
    <n v="0"/>
    <n v="0"/>
    <n v="0"/>
    <n v="0"/>
    <n v="0"/>
    <n v="746482"/>
    <n v="0"/>
    <n v="0"/>
    <n v="0"/>
    <n v="0"/>
    <n v="0"/>
    <n v="0"/>
    <n v="0"/>
    <n v="81000"/>
    <n v="0"/>
    <n v="0"/>
    <n v="-30000"/>
    <n v="0"/>
    <n v="0"/>
    <n v="797482"/>
    <n v="51000"/>
  </r>
  <r>
    <x v="31"/>
    <x v="10"/>
    <x v="10"/>
    <n v="0"/>
    <n v="0"/>
    <n v="0"/>
    <n v="0"/>
    <n v="0"/>
    <n v="0"/>
    <n v="0"/>
    <n v="2509810"/>
    <n v="0"/>
    <n v="0"/>
    <n v="0"/>
    <n v="0"/>
    <n v="0"/>
    <n v="0"/>
    <n v="0"/>
    <n v="400000"/>
    <n v="0"/>
    <n v="0"/>
    <n v="-100000"/>
    <n v="22010"/>
    <n v="0"/>
    <n v="2831820"/>
    <n v="322010"/>
  </r>
  <r>
    <x v="31"/>
    <x v="13"/>
    <x v="13"/>
    <n v="0"/>
    <n v="0"/>
    <n v="0"/>
    <n v="0"/>
    <n v="0"/>
    <n v="0"/>
    <n v="0"/>
    <n v="1867332"/>
    <n v="0"/>
    <n v="0"/>
    <n v="0"/>
    <n v="0"/>
    <n v="0"/>
    <n v="0"/>
    <n v="0"/>
    <n v="280000"/>
    <n v="0"/>
    <n v="0"/>
    <n v="-70000"/>
    <n v="0"/>
    <n v="0"/>
    <n v="2077332"/>
    <n v="21000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98">
  <r>
    <x v="0"/>
    <x v="0"/>
    <x v="0"/>
    <n v="20850909"/>
    <n v="6242835.75"/>
    <n v="6477670"/>
    <n v="0"/>
    <n v="1450000"/>
    <n v="1773850"/>
    <n v="259000"/>
    <n v="16203355.75"/>
    <n v="4142805"/>
    <n v="0"/>
    <n v="4142805"/>
    <n v="0"/>
    <n v="0"/>
    <n v="0"/>
    <n v="0"/>
    <n v="0"/>
    <n v="0"/>
    <n v="0"/>
    <n v="20603"/>
    <n v="120027"/>
    <n v="0"/>
    <n v="0"/>
  </r>
  <r>
    <x v="1"/>
    <x v="0"/>
    <x v="0"/>
    <n v="23850202"/>
    <n v="6245692"/>
    <n v="6628474"/>
    <n v="0"/>
    <n v="1450000"/>
    <n v="1002190"/>
    <n v="89000"/>
    <n v="15415356"/>
    <n v="5754517"/>
    <n v="0"/>
    <n v="5754517"/>
    <n v="0"/>
    <n v="0"/>
    <n v="0"/>
    <n v="0"/>
    <n v="0"/>
    <n v="0"/>
    <n v="0"/>
    <n v="0"/>
    <n v="130000"/>
    <n v="0"/>
    <n v="0"/>
  </r>
  <r>
    <x v="2"/>
    <x v="0"/>
    <x v="0"/>
    <n v="24110559"/>
    <n v="6719726"/>
    <n v="6581415"/>
    <n v="0"/>
    <n v="1450000"/>
    <n v="1041144"/>
    <n v="29000"/>
    <n v="15821285"/>
    <n v="5134961"/>
    <n v="0"/>
    <n v="5134961"/>
    <n v="0"/>
    <n v="0"/>
    <n v="0"/>
    <n v="0"/>
    <n v="0"/>
    <n v="0"/>
    <n v="0"/>
    <n v="312139"/>
    <n v="260412"/>
    <n v="0"/>
    <n v="0"/>
  </r>
  <r>
    <x v="3"/>
    <x v="0"/>
    <x v="0"/>
    <n v="22717803"/>
    <n v="6664178"/>
    <n v="6486233"/>
    <n v="0"/>
    <n v="1450000"/>
    <n v="1069507"/>
    <n v="44000"/>
    <n v="15713918"/>
    <n v="5142786"/>
    <n v="0"/>
    <n v="5142786"/>
    <n v="0"/>
    <n v="0"/>
    <n v="0"/>
    <n v="0"/>
    <n v="0"/>
    <n v="0"/>
    <n v="0"/>
    <n v="11245"/>
    <n v="137991"/>
    <n v="0"/>
    <n v="0"/>
  </r>
  <r>
    <x v="4"/>
    <x v="0"/>
    <x v="0"/>
    <n v="22647926"/>
    <n v="7015709"/>
    <n v="6473747"/>
    <n v="0"/>
    <n v="1450000"/>
    <n v="1090702.9999999998"/>
    <n v="53000"/>
    <n v="16083159"/>
    <n v="6880931"/>
    <n v="0"/>
    <n v="6880931"/>
    <n v="0"/>
    <n v="0"/>
    <n v="0"/>
    <n v="0"/>
    <n v="0"/>
    <n v="0"/>
    <n v="0"/>
    <n v="9290"/>
    <n v="144149"/>
    <n v="0"/>
    <n v="0"/>
  </r>
  <r>
    <x v="5"/>
    <x v="0"/>
    <x v="0"/>
    <n v="21703778"/>
    <n v="6815323.5"/>
    <n v="6156786"/>
    <n v="3170000"/>
    <n v="1450000"/>
    <n v="638758.99999999988"/>
    <n v="77000"/>
    <n v="18307868.5"/>
    <n v="5071386"/>
    <n v="0"/>
    <n v="5071386"/>
    <n v="0"/>
    <n v="0"/>
    <n v="0"/>
    <n v="0"/>
    <n v="0"/>
    <n v="0"/>
    <n v="0"/>
    <n v="17473"/>
    <n v="145371"/>
    <n v="0"/>
    <n v="0"/>
  </r>
  <r>
    <x v="6"/>
    <x v="0"/>
    <x v="0"/>
    <n v="22632729"/>
    <n v="6682092.5"/>
    <n v="6608156"/>
    <n v="400000"/>
    <n v="1450000"/>
    <n v="1007254.9999999999"/>
    <n v="305000"/>
    <n v="16452503.5"/>
    <n v="5048291"/>
    <n v="0"/>
    <n v="5048291"/>
    <n v="0"/>
    <n v="0"/>
    <n v="0"/>
    <n v="0"/>
    <n v="0"/>
    <n v="0"/>
    <n v="0"/>
    <n v="11788"/>
    <n v="144664"/>
    <n v="0"/>
    <n v="0"/>
  </r>
  <r>
    <x v="7"/>
    <x v="0"/>
    <x v="0"/>
    <n v="21599961"/>
    <n v="6646631"/>
    <n v="7187253"/>
    <n v="0"/>
    <n v="1450000"/>
    <n v="2934172.0000000005"/>
    <n v="27000"/>
    <n v="18245056"/>
    <n v="4530764"/>
    <n v="0"/>
    <n v="4530764"/>
    <n v="0"/>
    <n v="0"/>
    <n v="0"/>
    <n v="0"/>
    <n v="0"/>
    <n v="0"/>
    <n v="0"/>
    <n v="6331"/>
    <n v="141805"/>
    <n v="0"/>
    <n v="0"/>
  </r>
  <r>
    <x v="8"/>
    <x v="0"/>
    <x v="0"/>
    <n v="20926208"/>
    <n v="6674381"/>
    <n v="7207910"/>
    <n v="0"/>
    <n v="1450000"/>
    <n v="1254030"/>
    <n v="40618"/>
    <n v="16626939"/>
    <n v="4934962"/>
    <n v="0"/>
    <n v="4934962"/>
    <n v="0"/>
    <n v="0"/>
    <n v="0"/>
    <n v="0"/>
    <n v="0"/>
    <n v="0"/>
    <n v="0"/>
    <n v="9863"/>
    <n v="141457"/>
    <n v="0"/>
    <n v="0"/>
  </r>
  <r>
    <x v="9"/>
    <x v="0"/>
    <x v="0"/>
    <n v="22734148"/>
    <n v="6685387.5"/>
    <n v="7431631"/>
    <n v="0"/>
    <n v="950000"/>
    <n v="1375334"/>
    <n v="59614"/>
    <n v="16501966.5"/>
    <n v="5667773"/>
    <n v="0"/>
    <n v="5667773"/>
    <n v="0"/>
    <n v="0"/>
    <n v="0"/>
    <n v="0"/>
    <n v="0"/>
    <n v="0"/>
    <n v="0"/>
    <n v="28725"/>
    <n v="128236"/>
    <n v="0"/>
    <n v="0"/>
  </r>
  <r>
    <x v="10"/>
    <x v="0"/>
    <x v="0"/>
    <n v="24174974"/>
    <n v="6736444"/>
    <n v="7708049"/>
    <n v="0"/>
    <n v="855000"/>
    <n v="1275853"/>
    <n v="8596"/>
    <n v="16583942"/>
    <n v="5027612"/>
    <n v="0"/>
    <n v="5027612"/>
    <n v="0"/>
    <n v="0"/>
    <n v="0"/>
    <n v="0"/>
    <n v="0"/>
    <n v="0"/>
    <n v="0"/>
    <n v="6704"/>
    <n v="143170"/>
    <n v="0"/>
    <n v="0"/>
  </r>
  <r>
    <x v="11"/>
    <x v="0"/>
    <x v="0"/>
    <n v="23270414"/>
    <n v="6895286"/>
    <n v="7515773"/>
    <n v="2060000"/>
    <n v="855000"/>
    <n v="984592"/>
    <n v="69644"/>
    <n v="18380295"/>
    <n v="6111667"/>
    <n v="0"/>
    <n v="6111667"/>
    <n v="0"/>
    <n v="0"/>
    <n v="0"/>
    <n v="0"/>
    <n v="0"/>
    <n v="0"/>
    <n v="0"/>
    <n v="5234"/>
    <n v="162974"/>
    <n v="0"/>
    <n v="0"/>
  </r>
  <r>
    <x v="12"/>
    <x v="0"/>
    <x v="0"/>
    <n v="23008747"/>
    <n v="7050233.5"/>
    <n v="7504707"/>
    <n v="0"/>
    <n v="855000"/>
    <n v="2736428"/>
    <n v="166150"/>
    <n v="18312518.5"/>
    <n v="6556872"/>
    <n v="0"/>
    <n v="6556872"/>
    <n v="0"/>
    <n v="0"/>
    <n v="0"/>
    <n v="0"/>
    <n v="0"/>
    <n v="0"/>
    <n v="0"/>
    <n v="17428"/>
    <n v="151806"/>
    <n v="0"/>
    <n v="0"/>
  </r>
  <r>
    <x v="13"/>
    <x v="0"/>
    <x v="0"/>
    <n v="22885912"/>
    <n v="6599241.75"/>
    <n v="7577709"/>
    <n v="0"/>
    <n v="855000"/>
    <n v="1156048"/>
    <n v="358428"/>
    <n v="16546426.75"/>
    <n v="6126043"/>
    <n v="0"/>
    <n v="6126043"/>
    <n v="0"/>
    <n v="0"/>
    <n v="0"/>
    <n v="0"/>
    <n v="0"/>
    <n v="0"/>
    <n v="0"/>
    <n v="4028"/>
    <n v="140412"/>
    <n v="0"/>
    <n v="0"/>
  </r>
  <r>
    <x v="14"/>
    <x v="0"/>
    <x v="0"/>
    <n v="25650824"/>
    <n v="7511939"/>
    <n v="8139429"/>
    <n v="0"/>
    <n v="855000"/>
    <n v="1196374"/>
    <n v="43056"/>
    <n v="17745798"/>
    <n v="7230779"/>
    <n v="0"/>
    <n v="7230779"/>
    <n v="0"/>
    <n v="0"/>
    <n v="0"/>
    <n v="0"/>
    <n v="0"/>
    <n v="0"/>
    <n v="0"/>
    <n v="152976"/>
    <n v="211629"/>
    <n v="0"/>
    <n v="0"/>
  </r>
  <r>
    <x v="15"/>
    <x v="0"/>
    <x v="0"/>
    <n v="20997374"/>
    <n v="6633454.5"/>
    <n v="7491833"/>
    <n v="0"/>
    <n v="855000"/>
    <n v="1227745"/>
    <n v="53595"/>
    <n v="16261627.5"/>
    <n v="7015346"/>
    <n v="0"/>
    <n v="7015346"/>
    <n v="0"/>
    <n v="0"/>
    <n v="0"/>
    <n v="0"/>
    <n v="0"/>
    <n v="0"/>
    <n v="0"/>
    <n v="4293"/>
    <n v="176074"/>
    <n v="0"/>
    <n v="0"/>
  </r>
  <r>
    <x v="16"/>
    <x v="0"/>
    <x v="0"/>
    <n v="21720031"/>
    <n v="6921646"/>
    <n v="7295649"/>
    <n v="0"/>
    <n v="950000"/>
    <n v="1176289"/>
    <n v="36725"/>
    <n v="16380309"/>
    <n v="6360821"/>
    <n v="0"/>
    <n v="6360821"/>
    <n v="0"/>
    <n v="0"/>
    <n v="0"/>
    <n v="0"/>
    <n v="0"/>
    <n v="0"/>
    <n v="0"/>
    <n v="10805"/>
    <n v="179638"/>
    <n v="0"/>
    <n v="0"/>
  </r>
  <r>
    <x v="17"/>
    <x v="0"/>
    <x v="0"/>
    <n v="24686903"/>
    <n v="6812061.5"/>
    <n v="6422270"/>
    <n v="3540000"/>
    <n v="950000"/>
    <n v="658822"/>
    <n v="42981"/>
    <n v="18426134.5"/>
    <n v="5885914"/>
    <n v="0"/>
    <n v="5885914"/>
    <n v="0"/>
    <n v="0"/>
    <n v="0"/>
    <n v="0"/>
    <n v="0"/>
    <n v="0"/>
    <n v="0"/>
    <n v="6725"/>
    <n v="184799"/>
    <n v="0"/>
    <n v="0"/>
  </r>
  <r>
    <x v="18"/>
    <x v="0"/>
    <x v="0"/>
    <n v="21453898"/>
    <n v="7280295"/>
    <n v="6282143"/>
    <n v="0"/>
    <n v="950000"/>
    <n v="2937839"/>
    <n v="285471"/>
    <n v="17735748"/>
    <n v="5839285"/>
    <n v="0"/>
    <n v="5839285"/>
    <n v="0"/>
    <n v="0"/>
    <n v="0"/>
    <n v="0"/>
    <n v="0"/>
    <n v="0"/>
    <n v="0"/>
    <n v="4989"/>
    <n v="165917"/>
    <n v="0"/>
    <n v="0"/>
  </r>
  <r>
    <x v="19"/>
    <x v="0"/>
    <x v="0"/>
    <n v="22666809"/>
    <n v="7084049"/>
    <n v="6942709"/>
    <n v="0"/>
    <n v="950000"/>
    <n v="1007674"/>
    <n v="14407"/>
    <n v="15998839"/>
    <n v="5828265"/>
    <n v="0"/>
    <n v="5828265"/>
    <n v="0"/>
    <n v="0"/>
    <n v="0"/>
    <n v="0"/>
    <n v="0"/>
    <n v="0"/>
    <n v="0"/>
    <n v="8538"/>
    <n v="206545"/>
    <n v="0"/>
    <n v="0"/>
  </r>
  <r>
    <x v="20"/>
    <x v="0"/>
    <x v="0"/>
    <n v="21435923"/>
    <n v="6573757.5"/>
    <n v="7747679"/>
    <n v="0"/>
    <n v="950000"/>
    <n v="1097303"/>
    <n v="48639"/>
    <n v="16417378.5"/>
    <n v="5491669"/>
    <n v="0"/>
    <n v="5491669"/>
    <n v="0"/>
    <n v="0"/>
    <n v="0"/>
    <n v="0"/>
    <n v="0"/>
    <n v="0"/>
    <n v="0"/>
    <n v="11478"/>
    <n v="198632"/>
    <n v="0"/>
    <n v="0"/>
  </r>
  <r>
    <x v="21"/>
    <x v="0"/>
    <x v="0"/>
    <n v="21930282"/>
    <n v="6686957"/>
    <n v="7579988"/>
    <n v="0"/>
    <n v="950000"/>
    <n v="1864134.0000000002"/>
    <n v="200379"/>
    <n v="17281458"/>
    <n v="5493239"/>
    <n v="0"/>
    <n v="5493239"/>
    <n v="0"/>
    <n v="0"/>
    <n v="0"/>
    <n v="0"/>
    <n v="0"/>
    <n v="0"/>
    <n v="0"/>
    <n v="4419"/>
    <n v="186051"/>
    <n v="0"/>
    <n v="0"/>
  </r>
  <r>
    <x v="22"/>
    <x v="0"/>
    <x v="0"/>
    <n v="23533934"/>
    <n v="6372684.5"/>
    <n v="7842555"/>
    <n v="0"/>
    <n v="950000"/>
    <n v="1279021"/>
    <n v="37826"/>
    <n v="16482086.5"/>
    <n v="5260921"/>
    <n v="0"/>
    <n v="5260921"/>
    <n v="0"/>
    <n v="0"/>
    <n v="0"/>
    <n v="0"/>
    <n v="0"/>
    <n v="0"/>
    <n v="0"/>
    <n v="5111"/>
    <n v="184183"/>
    <n v="0"/>
    <n v="0"/>
  </r>
  <r>
    <x v="23"/>
    <x v="0"/>
    <x v="0"/>
    <n v="23584633"/>
    <n v="7293219"/>
    <n v="7596436"/>
    <n v="3555920"/>
    <n v="950000"/>
    <n v="756748"/>
    <n v="57393"/>
    <n v="20209716"/>
    <n v="6366695"/>
    <n v="0"/>
    <n v="6366695"/>
    <n v="0"/>
    <n v="0"/>
    <n v="0"/>
    <n v="0"/>
    <n v="0"/>
    <n v="0"/>
    <n v="0"/>
    <n v="122898"/>
    <n v="185796"/>
    <n v="0"/>
    <n v="0"/>
  </r>
  <r>
    <x v="24"/>
    <x v="0"/>
    <x v="0"/>
    <n v="23881357"/>
    <n v="6724628.5"/>
    <n v="7822814"/>
    <n v="0"/>
    <n v="950000"/>
    <n v="2750005"/>
    <n v="379534"/>
    <n v="18626981.5"/>
    <n v="5240866"/>
    <n v="0"/>
    <n v="5240866"/>
    <n v="0"/>
    <n v="0"/>
    <n v="0"/>
    <n v="0"/>
    <n v="0"/>
    <n v="0"/>
    <n v="0"/>
    <n v="28900"/>
    <n v="180381"/>
    <n v="0"/>
    <n v="0"/>
  </r>
  <r>
    <x v="25"/>
    <x v="0"/>
    <x v="0"/>
    <n v="21197082"/>
    <n v="6280975.5"/>
    <n v="7552347"/>
    <n v="0"/>
    <n v="950000"/>
    <n v="1239871"/>
    <n v="184391"/>
    <n v="16207584.5"/>
    <n v="5686606"/>
    <n v="0"/>
    <n v="5686606"/>
    <n v="0"/>
    <n v="0"/>
    <n v="0"/>
    <n v="0"/>
    <n v="0"/>
    <n v="0"/>
    <n v="0"/>
    <n v="6485"/>
    <n v="162589"/>
    <n v="0"/>
    <n v="0"/>
  </r>
  <r>
    <x v="26"/>
    <x v="0"/>
    <x v="0"/>
    <n v="24839254"/>
    <n v="7046907"/>
    <n v="7256111"/>
    <n v="0"/>
    <n v="950000"/>
    <n v="1151698"/>
    <n v="107816"/>
    <n v="16512532"/>
    <n v="5776034"/>
    <n v="0"/>
    <n v="5776034"/>
    <n v="0"/>
    <n v="0"/>
    <n v="0"/>
    <n v="0"/>
    <n v="0"/>
    <n v="0"/>
    <n v="0"/>
    <n v="299959"/>
    <n v="177242"/>
    <n v="0"/>
    <n v="0"/>
  </r>
  <r>
    <x v="27"/>
    <x v="0"/>
    <x v="0"/>
    <n v="24624365"/>
    <n v="6997702.5"/>
    <n v="6880159"/>
    <n v="0"/>
    <n v="950000"/>
    <n v="1128401"/>
    <n v="21973"/>
    <n v="15978235.5"/>
    <n v="5510538"/>
    <n v="0"/>
    <n v="5510538"/>
    <n v="0"/>
    <n v="0"/>
    <n v="0"/>
    <n v="0"/>
    <n v="0"/>
    <n v="0"/>
    <n v="0"/>
    <n v="4562"/>
    <n v="179458"/>
    <n v="0"/>
    <n v="0"/>
  </r>
  <r>
    <x v="28"/>
    <x v="0"/>
    <x v="0"/>
    <n v="23452608"/>
    <n v="7060328"/>
    <n v="6280018"/>
    <n v="0"/>
    <n v="950000"/>
    <n v="1088157"/>
    <n v="3100"/>
    <n v="15381603"/>
    <n v="5340410"/>
    <n v="0"/>
    <n v="5340410"/>
    <n v="0"/>
    <n v="0"/>
    <n v="0"/>
    <n v="0"/>
    <n v="0"/>
    <n v="0"/>
    <n v="0"/>
    <n v="3752"/>
    <n v="185890"/>
    <n v="0"/>
    <n v="0"/>
  </r>
  <r>
    <x v="29"/>
    <x v="0"/>
    <x v="0"/>
    <n v="25915317"/>
    <n v="7453412.5"/>
    <n v="6661581"/>
    <n v="4288547"/>
    <n v="950000"/>
    <n v="2561200"/>
    <n v="29571"/>
    <n v="21944311.5"/>
    <n v="5544030"/>
    <n v="0"/>
    <n v="5544030"/>
    <n v="0"/>
    <n v="0"/>
    <n v="0"/>
    <n v="0"/>
    <n v="0"/>
    <n v="0"/>
    <n v="0"/>
    <n v="6659"/>
    <n v="185547"/>
    <n v="0"/>
    <n v="0"/>
  </r>
  <r>
    <x v="30"/>
    <x v="0"/>
    <x v="0"/>
    <n v="24770526"/>
    <n v="7357788"/>
    <n v="6855020"/>
    <n v="0"/>
    <n v="950000"/>
    <n v="2712263.0000000005"/>
    <n v="95780"/>
    <n v="17970851"/>
    <n v="5707416"/>
    <n v="0"/>
    <n v="5707416"/>
    <n v="0"/>
    <n v="0"/>
    <n v="0"/>
    <n v="0"/>
    <n v="0"/>
    <n v="0"/>
    <n v="0"/>
    <n v="85300"/>
    <n v="172017"/>
    <n v="0"/>
    <n v="0"/>
  </r>
  <r>
    <x v="31"/>
    <x v="0"/>
    <x v="0"/>
    <n v="22736259"/>
    <n v="7227508.5"/>
    <n v="6975212"/>
    <n v="0"/>
    <n v="950000"/>
    <n v="973676"/>
    <n v="136042"/>
    <n v="16262438.5"/>
    <n v="6110806"/>
    <n v="0"/>
    <n v="6110806"/>
    <n v="0"/>
    <n v="0"/>
    <n v="0"/>
    <n v="0"/>
    <n v="0"/>
    <n v="0"/>
    <n v="0"/>
    <n v="6744"/>
    <n v="181841"/>
    <n v="0"/>
    <n v="0"/>
  </r>
  <r>
    <x v="32"/>
    <x v="0"/>
    <x v="0"/>
    <n v="24183832"/>
    <n v="7302559"/>
    <n v="5985683"/>
    <n v="0"/>
    <n v="1600000"/>
    <n v="1014210"/>
    <n v="18296"/>
    <n v="15920748"/>
    <n v="5431909"/>
    <n v="0"/>
    <n v="5431909"/>
    <n v="0"/>
    <n v="0"/>
    <n v="0"/>
    <n v="0"/>
    <n v="0"/>
    <n v="0"/>
    <n v="0"/>
    <n v="7034"/>
    <n v="160811"/>
    <n v="0"/>
    <n v="0"/>
  </r>
  <r>
    <x v="33"/>
    <x v="0"/>
    <x v="0"/>
    <n v="25209324"/>
    <n v="7637522"/>
    <n v="6282091"/>
    <n v="0"/>
    <n v="1600000"/>
    <n v="1716594"/>
    <n v="469676"/>
    <n v="17705883"/>
    <n v="7207855"/>
    <n v="0"/>
    <n v="7207855"/>
    <n v="0"/>
    <n v="0"/>
    <n v="0"/>
    <n v="0"/>
    <n v="0"/>
    <n v="0"/>
    <n v="0"/>
    <n v="5668"/>
    <n v="164158"/>
    <n v="0"/>
    <n v="0"/>
  </r>
  <r>
    <x v="34"/>
    <x v="0"/>
    <x v="0"/>
    <n v="24327588"/>
    <n v="7459224"/>
    <n v="6382566"/>
    <n v="0"/>
    <n v="2150000"/>
    <n v="1100436"/>
    <n v="64809"/>
    <n v="17157035"/>
    <n v="6483122"/>
    <n v="0"/>
    <n v="6483122"/>
    <n v="0"/>
    <n v="0"/>
    <n v="0"/>
    <n v="0"/>
    <n v="0"/>
    <n v="0"/>
    <n v="0"/>
    <n v="6605"/>
    <n v="163520"/>
    <n v="0"/>
    <n v="0"/>
  </r>
  <r>
    <x v="35"/>
    <x v="0"/>
    <x v="0"/>
    <n v="25066638"/>
    <n v="8689429"/>
    <n v="7077423"/>
    <n v="7159778"/>
    <n v="2150000"/>
    <n v="136932"/>
    <n v="754129"/>
    <n v="25967691"/>
    <n v="6330094"/>
    <n v="0"/>
    <n v="6330094"/>
    <n v="0"/>
    <n v="0"/>
    <n v="0"/>
    <n v="0"/>
    <n v="0"/>
    <n v="0"/>
    <n v="0"/>
    <n v="4094"/>
    <n v="245115"/>
    <n v="0"/>
    <n v="0"/>
  </r>
  <r>
    <x v="36"/>
    <x v="0"/>
    <x v="0"/>
    <n v="24726456"/>
    <n v="8181596"/>
    <n v="6684531"/>
    <n v="0"/>
    <n v="2150000"/>
    <n v="3791051"/>
    <n v="157534"/>
    <n v="20964712"/>
    <n v="5855995"/>
    <n v="0"/>
    <n v="5855995"/>
    <n v="0"/>
    <n v="0"/>
    <n v="0"/>
    <n v="0"/>
    <n v="0"/>
    <n v="0"/>
    <n v="0"/>
    <n v="24483"/>
    <n v="185448"/>
    <n v="0"/>
    <n v="0"/>
  </r>
  <r>
    <x v="37"/>
    <x v="0"/>
    <x v="0"/>
    <n v="25728423"/>
    <n v="8007802"/>
    <n v="6664051"/>
    <n v="0"/>
    <n v="2150000"/>
    <n v="1094134"/>
    <n v="229776"/>
    <n v="18145763"/>
    <n v="6303902"/>
    <n v="0"/>
    <n v="6303902"/>
    <n v="0"/>
    <n v="0"/>
    <n v="0"/>
    <n v="0"/>
    <n v="0"/>
    <n v="0"/>
    <n v="0"/>
    <n v="5406"/>
    <n v="177994"/>
    <n v="0"/>
    <n v="0"/>
  </r>
  <r>
    <x v="38"/>
    <x v="0"/>
    <x v="0"/>
    <n v="28422503"/>
    <n v="8183667"/>
    <n v="6680143"/>
    <n v="0"/>
    <n v="2150000"/>
    <n v="1056702"/>
    <n v="137383"/>
    <n v="18207895"/>
    <n v="6930716"/>
    <n v="0"/>
    <n v="6930716"/>
    <n v="0"/>
    <n v="0"/>
    <n v="0"/>
    <n v="0"/>
    <n v="0"/>
    <n v="0"/>
    <n v="0"/>
    <n v="220123"/>
    <n v="168038"/>
    <n v="0"/>
    <n v="0"/>
  </r>
  <r>
    <x v="39"/>
    <x v="0"/>
    <x v="0"/>
    <n v="27348721"/>
    <n v="7818980"/>
    <n v="7593208"/>
    <n v="0"/>
    <n v="2150000"/>
    <n v="1076053"/>
    <n v="61551"/>
    <n v="18699792"/>
    <n v="5942711"/>
    <n v="0"/>
    <n v="5942711"/>
    <n v="0"/>
    <n v="0"/>
    <n v="0"/>
    <n v="0"/>
    <n v="0"/>
    <n v="0"/>
    <n v="0"/>
    <n v="3631"/>
    <n v="168798"/>
    <n v="0"/>
    <n v="0"/>
  </r>
  <r>
    <x v="40"/>
    <x v="0"/>
    <x v="0"/>
    <n v="28544663"/>
    <n v="8507615"/>
    <n v="7717245"/>
    <n v="0"/>
    <n v="2150000"/>
    <n v="1323246"/>
    <n v="54651"/>
    <n v="19752757"/>
    <n v="6903595"/>
    <n v="0"/>
    <n v="6903595"/>
    <n v="0"/>
    <n v="0"/>
    <n v="0"/>
    <n v="0"/>
    <n v="0"/>
    <n v="0"/>
    <n v="0"/>
    <n v="585595"/>
    <n v="172111"/>
    <n v="0"/>
    <n v="0"/>
  </r>
  <r>
    <x v="41"/>
    <x v="0"/>
    <x v="0"/>
    <n v="24559188"/>
    <n v="8597952"/>
    <n v="8092266"/>
    <n v="9125386"/>
    <n v="2150000"/>
    <n v="2535230"/>
    <n v="366066"/>
    <n v="30866900"/>
    <n v="6511699"/>
    <n v="0"/>
    <n v="6511699"/>
    <n v="0"/>
    <n v="0"/>
    <n v="0"/>
    <n v="0"/>
    <n v="0"/>
    <n v="0"/>
    <n v="0"/>
    <n v="16801"/>
    <n v="286789"/>
    <n v="0"/>
    <n v="0"/>
  </r>
  <r>
    <x v="42"/>
    <x v="0"/>
    <x v="0"/>
    <n v="30880551"/>
    <n v="8310087"/>
    <n v="8279471"/>
    <n v="0"/>
    <n v="2150000"/>
    <n v="1854441"/>
    <n v="176235"/>
    <n v="20770234"/>
    <n v="7199649"/>
    <n v="0"/>
    <n v="7199649"/>
    <n v="0"/>
    <n v="0"/>
    <n v="0"/>
    <n v="0"/>
    <n v="0"/>
    <n v="0"/>
    <n v="0"/>
    <n v="6378"/>
    <n v="518722"/>
    <n v="0"/>
    <n v="0"/>
  </r>
  <r>
    <x v="43"/>
    <x v="0"/>
    <x v="0"/>
    <n v="26366462"/>
    <n v="8395958"/>
    <n v="8514142"/>
    <n v="0"/>
    <n v="2150000"/>
    <n v="1388481"/>
    <n v="202388"/>
    <n v="20650969"/>
    <n v="6610405"/>
    <n v="0"/>
    <n v="6610405"/>
    <n v="0"/>
    <n v="0"/>
    <n v="0"/>
    <n v="0"/>
    <n v="0"/>
    <n v="0"/>
    <n v="0"/>
    <n v="6962"/>
    <n v="253070"/>
    <n v="0"/>
    <n v="0"/>
  </r>
  <r>
    <x v="44"/>
    <x v="1"/>
    <x v="1"/>
    <n v="33378"/>
    <n v="53120"/>
    <n v="1057500"/>
    <n v="0"/>
    <n v="2150000"/>
    <n v="299261"/>
    <n v="61781"/>
    <n v="3621662"/>
    <n v="1592314"/>
    <n v="0"/>
    <n v="1592314"/>
    <n v="61781"/>
    <n v="0"/>
    <n v="0"/>
    <n v="0"/>
    <n v="0"/>
    <n v="0"/>
    <n v="0"/>
    <n v="31120"/>
    <n v="157516"/>
    <n v="0"/>
    <n v="0"/>
  </r>
  <r>
    <x v="44"/>
    <x v="2"/>
    <x v="2"/>
    <n v="7909919"/>
    <n v="3105095"/>
    <n v="2077446"/>
    <n v="0"/>
    <n v="0"/>
    <n v="262874"/>
    <n v="304363"/>
    <n v="5749778"/>
    <n v="787378"/>
    <n v="0"/>
    <n v="787378"/>
    <n v="82200"/>
    <n v="0"/>
    <n v="0"/>
    <n v="0"/>
    <n v="0"/>
    <n v="0"/>
    <n v="0"/>
    <n v="0"/>
    <n v="0"/>
    <n v="0"/>
    <n v="0"/>
  </r>
  <r>
    <x v="44"/>
    <x v="3"/>
    <x v="3"/>
    <n v="5106712"/>
    <n v="1745842"/>
    <n v="1500937"/>
    <n v="0"/>
    <n v="0"/>
    <n v="206100"/>
    <n v="6804"/>
    <n v="3459683"/>
    <n v="940043"/>
    <n v="0"/>
    <n v="940043"/>
    <n v="6804"/>
    <n v="0"/>
    <n v="0"/>
    <n v="0"/>
    <n v="0"/>
    <n v="0"/>
    <n v="0"/>
    <n v="0"/>
    <n v="0"/>
    <n v="0"/>
    <n v="0"/>
  </r>
  <r>
    <x v="44"/>
    <x v="4"/>
    <x v="4"/>
    <n v="3357278"/>
    <n v="797842"/>
    <n v="1641820"/>
    <n v="0"/>
    <n v="0"/>
    <n v="234228"/>
    <n v="83144"/>
    <n v="2757034"/>
    <n v="684635"/>
    <n v="0"/>
    <n v="684635"/>
    <n v="65340"/>
    <n v="0"/>
    <n v="0"/>
    <n v="0"/>
    <n v="0"/>
    <n v="0"/>
    <n v="0"/>
    <n v="0"/>
    <n v="0"/>
    <n v="0"/>
    <n v="0"/>
  </r>
  <r>
    <x v="44"/>
    <x v="5"/>
    <x v="5"/>
    <n v="2650334"/>
    <n v="554852"/>
    <n v="725298"/>
    <n v="0"/>
    <n v="0"/>
    <n v="81413"/>
    <n v="92502"/>
    <n v="1454065"/>
    <n v="1034975"/>
    <n v="0"/>
    <n v="1034975"/>
    <n v="92502"/>
    <n v="0"/>
    <n v="0"/>
    <n v="0"/>
    <n v="0"/>
    <n v="0"/>
    <n v="0"/>
    <n v="0"/>
    <n v="0"/>
    <n v="0"/>
    <n v="0"/>
  </r>
  <r>
    <x v="44"/>
    <x v="6"/>
    <x v="6"/>
    <n v="2368400"/>
    <n v="769854"/>
    <n v="255000"/>
    <n v="0"/>
    <n v="0"/>
    <n v="56330"/>
    <n v="75168"/>
    <n v="1156352"/>
    <n v="474868"/>
    <n v="0"/>
    <n v="474868"/>
    <n v="0"/>
    <n v="0"/>
    <n v="0"/>
    <n v="0"/>
    <n v="0"/>
    <n v="0"/>
    <n v="0"/>
    <n v="0"/>
    <n v="0"/>
    <n v="0"/>
    <n v="0"/>
  </r>
  <r>
    <x v="44"/>
    <x v="7"/>
    <x v="7"/>
    <n v="953864"/>
    <n v="437428"/>
    <n v="285000"/>
    <n v="0"/>
    <n v="0"/>
    <n v="32631"/>
    <n v="49734"/>
    <n v="804793"/>
    <n v="327145"/>
    <n v="0"/>
    <n v="327145"/>
    <n v="0"/>
    <n v="0"/>
    <n v="0"/>
    <n v="0"/>
    <n v="0"/>
    <n v="0"/>
    <n v="0"/>
    <n v="0"/>
    <n v="0"/>
    <n v="0"/>
    <n v="0"/>
  </r>
  <r>
    <x v="44"/>
    <x v="8"/>
    <x v="8"/>
    <n v="763437"/>
    <n v="347984"/>
    <n v="0"/>
    <n v="0"/>
    <n v="0"/>
    <n v="19954"/>
    <n v="25434"/>
    <n v="393372"/>
    <n v="144031"/>
    <n v="0"/>
    <n v="144031"/>
    <n v="0"/>
    <n v="0"/>
    <n v="0"/>
    <n v="0"/>
    <n v="0"/>
    <n v="0"/>
    <n v="0"/>
    <n v="0"/>
    <n v="0"/>
    <n v="0"/>
    <n v="0"/>
  </r>
  <r>
    <x v="44"/>
    <x v="9"/>
    <x v="9"/>
    <n v="827148"/>
    <n v="309118"/>
    <n v="0"/>
    <n v="0"/>
    <n v="0"/>
    <n v="0"/>
    <n v="24300"/>
    <n v="333418"/>
    <n v="296175"/>
    <n v="0"/>
    <n v="296175"/>
    <n v="0"/>
    <n v="0"/>
    <n v="0"/>
    <n v="0"/>
    <n v="0"/>
    <n v="0"/>
    <n v="0"/>
    <n v="0"/>
    <n v="0"/>
    <n v="0"/>
    <n v="0"/>
  </r>
  <r>
    <x v="44"/>
    <x v="10"/>
    <x v="10"/>
    <n v="2593975"/>
    <n v="300106"/>
    <n v="1008502"/>
    <n v="0"/>
    <n v="0"/>
    <n v="94924"/>
    <n v="75581"/>
    <n v="1479113"/>
    <n v="894653"/>
    <n v="0"/>
    <n v="894653"/>
    <n v="1200"/>
    <n v="0"/>
    <n v="0"/>
    <n v="0"/>
    <n v="0"/>
    <n v="0"/>
    <n v="0"/>
    <n v="0"/>
    <n v="0"/>
    <n v="0"/>
    <n v="0"/>
  </r>
  <r>
    <x v="45"/>
    <x v="1"/>
    <x v="1"/>
    <n v="0"/>
    <n v="57800"/>
    <n v="1059021"/>
    <n v="0"/>
    <n v="2000000"/>
    <n v="307343"/>
    <n v="7920"/>
    <n v="3432084"/>
    <n v="1773051"/>
    <n v="0"/>
    <n v="1773051"/>
    <n v="7920"/>
    <n v="0"/>
    <n v="0"/>
    <n v="0"/>
    <n v="0"/>
    <n v="0"/>
    <n v="0"/>
    <n v="9910"/>
    <n v="181403"/>
    <n v="0"/>
    <n v="0"/>
  </r>
  <r>
    <x v="45"/>
    <x v="2"/>
    <x v="2"/>
    <n v="10193208"/>
    <n v="2853709"/>
    <n v="1886464"/>
    <n v="0"/>
    <n v="0"/>
    <n v="376393"/>
    <n v="4510"/>
    <n v="5121076"/>
    <n v="676912"/>
    <n v="0"/>
    <n v="676912"/>
    <n v="0"/>
    <n v="0"/>
    <n v="0"/>
    <n v="0"/>
    <n v="0"/>
    <n v="0"/>
    <n v="0"/>
    <n v="0"/>
    <n v="0"/>
    <n v="0"/>
    <n v="0"/>
  </r>
  <r>
    <x v="45"/>
    <x v="3"/>
    <x v="3"/>
    <n v="5296277"/>
    <n v="1440239"/>
    <n v="1494394"/>
    <n v="0"/>
    <n v="0"/>
    <n v="322841"/>
    <n v="118119"/>
    <n v="3375593"/>
    <n v="726913"/>
    <n v="0"/>
    <n v="726913"/>
    <n v="124923"/>
    <n v="0"/>
    <n v="0"/>
    <n v="0"/>
    <n v="0"/>
    <n v="0"/>
    <n v="0"/>
    <n v="0"/>
    <n v="0"/>
    <n v="0"/>
    <n v="0"/>
  </r>
  <r>
    <x v="45"/>
    <x v="4"/>
    <x v="4"/>
    <n v="4036005"/>
    <n v="887740"/>
    <n v="1675109"/>
    <n v="0"/>
    <n v="0"/>
    <n v="367052"/>
    <n v="31218"/>
    <n v="2961119"/>
    <n v="604473"/>
    <n v="0"/>
    <n v="604473"/>
    <n v="0"/>
    <n v="0"/>
    <n v="0"/>
    <n v="0"/>
    <n v="0"/>
    <n v="0"/>
    <n v="0"/>
    <n v="0"/>
    <n v="0"/>
    <n v="0"/>
    <n v="0"/>
  </r>
  <r>
    <x v="45"/>
    <x v="5"/>
    <x v="5"/>
    <n v="2468490"/>
    <n v="556207"/>
    <n v="687663"/>
    <n v="0"/>
    <n v="0"/>
    <n v="127323"/>
    <n v="3402"/>
    <n v="1374595"/>
    <n v="829433"/>
    <n v="0"/>
    <n v="829433"/>
    <n v="3402"/>
    <n v="0"/>
    <n v="0"/>
    <n v="0"/>
    <n v="0"/>
    <n v="0"/>
    <n v="0"/>
    <n v="0"/>
    <n v="0"/>
    <n v="0"/>
    <n v="0"/>
  </r>
  <r>
    <x v="45"/>
    <x v="6"/>
    <x v="6"/>
    <n v="3422738"/>
    <n v="864093"/>
    <n v="0"/>
    <n v="0"/>
    <n v="0"/>
    <n v="37299"/>
    <n v="2268"/>
    <n v="903660"/>
    <n v="396730"/>
    <n v="0"/>
    <n v="396730"/>
    <n v="51840"/>
    <n v="0"/>
    <n v="0"/>
    <n v="0"/>
    <n v="0"/>
    <n v="0"/>
    <n v="0"/>
    <n v="0"/>
    <n v="0"/>
    <n v="0"/>
    <n v="0"/>
  </r>
  <r>
    <x v="45"/>
    <x v="7"/>
    <x v="7"/>
    <n v="1293737"/>
    <n v="323296"/>
    <n v="276020"/>
    <n v="0"/>
    <n v="0"/>
    <n v="51066"/>
    <n v="1134"/>
    <n v="651516"/>
    <n v="420004"/>
    <n v="0"/>
    <n v="420004"/>
    <n v="51840"/>
    <n v="0"/>
    <n v="0"/>
    <n v="0"/>
    <n v="0"/>
    <n v="0"/>
    <n v="0"/>
    <n v="0"/>
    <n v="0"/>
    <n v="0"/>
    <n v="0"/>
  </r>
  <r>
    <x v="45"/>
    <x v="8"/>
    <x v="8"/>
    <n v="78000"/>
    <n v="357673"/>
    <n v="0"/>
    <n v="0"/>
    <n v="0"/>
    <n v="31336"/>
    <n v="1134"/>
    <n v="390143"/>
    <n v="159315"/>
    <n v="0"/>
    <n v="159315"/>
    <n v="13500"/>
    <n v="0"/>
    <n v="0"/>
    <n v="0"/>
    <n v="0"/>
    <n v="0"/>
    <n v="0"/>
    <n v="0"/>
    <n v="0"/>
    <n v="0"/>
    <n v="0"/>
  </r>
  <r>
    <x v="45"/>
    <x v="9"/>
    <x v="9"/>
    <n v="98000"/>
    <n v="313783"/>
    <n v="0"/>
    <n v="0"/>
    <n v="0"/>
    <n v="0"/>
    <n v="0"/>
    <n v="313783"/>
    <n v="400695"/>
    <n v="0"/>
    <n v="400695"/>
    <n v="13500"/>
    <n v="0"/>
    <n v="0"/>
    <n v="0"/>
    <n v="0"/>
    <n v="0"/>
    <n v="0"/>
    <n v="0"/>
    <n v="0"/>
    <n v="0"/>
    <n v="0"/>
  </r>
  <r>
    <x v="45"/>
    <x v="10"/>
    <x v="10"/>
    <n v="2767562"/>
    <n v="345329"/>
    <n v="1009205"/>
    <n v="0"/>
    <n v="0"/>
    <n v="183054"/>
    <n v="8102"/>
    <n v="1545690"/>
    <n v="989346"/>
    <n v="0"/>
    <n v="989346"/>
    <n v="0"/>
    <n v="0"/>
    <n v="0"/>
    <n v="0"/>
    <n v="0"/>
    <n v="0"/>
    <n v="0"/>
    <n v="0"/>
    <n v="0"/>
    <n v="0"/>
    <n v="0"/>
  </r>
  <r>
    <x v="46"/>
    <x v="1"/>
    <x v="1"/>
    <n v="50067"/>
    <n v="54400"/>
    <n v="1068231"/>
    <n v="0"/>
    <n v="2000000"/>
    <n v="318961"/>
    <n v="11310"/>
    <n v="3452902"/>
    <n v="1336907"/>
    <n v="0"/>
    <n v="1336907"/>
    <n v="11310"/>
    <n v="0"/>
    <n v="0"/>
    <n v="0"/>
    <n v="0"/>
    <n v="0"/>
    <n v="0"/>
    <n v="7897"/>
    <n v="166430"/>
    <n v="0"/>
    <n v="0"/>
  </r>
  <r>
    <x v="46"/>
    <x v="2"/>
    <x v="2"/>
    <n v="9231853"/>
    <n v="2687115"/>
    <n v="1867786"/>
    <n v="0"/>
    <n v="0"/>
    <n v="282124"/>
    <n v="25392"/>
    <n v="4862417"/>
    <n v="576699"/>
    <n v="0"/>
    <n v="576699"/>
    <n v="0"/>
    <n v="0"/>
    <n v="0"/>
    <n v="0"/>
    <n v="0"/>
    <n v="0"/>
    <n v="0"/>
    <n v="0"/>
    <n v="0"/>
    <n v="0"/>
    <n v="0"/>
  </r>
  <r>
    <x v="46"/>
    <x v="3"/>
    <x v="3"/>
    <n v="4932747"/>
    <n v="1544550"/>
    <n v="1477225"/>
    <n v="0"/>
    <n v="0"/>
    <n v="241962"/>
    <n v="7938"/>
    <n v="3271675"/>
    <n v="767660"/>
    <n v="0"/>
    <n v="767660"/>
    <n v="7938"/>
    <n v="0"/>
    <n v="0"/>
    <n v="0"/>
    <n v="0"/>
    <n v="0"/>
    <n v="0"/>
    <n v="0"/>
    <n v="0"/>
    <n v="0"/>
    <n v="0"/>
  </r>
  <r>
    <x v="46"/>
    <x v="4"/>
    <x v="4"/>
    <n v="4145565"/>
    <n v="920992"/>
    <n v="1548193"/>
    <n v="0"/>
    <n v="0"/>
    <n v="274769"/>
    <n v="14634"/>
    <n v="2758588"/>
    <n v="684727"/>
    <n v="0"/>
    <n v="684727"/>
    <n v="73440"/>
    <n v="0"/>
    <n v="0"/>
    <n v="0"/>
    <n v="0"/>
    <n v="0"/>
    <n v="0"/>
    <n v="0"/>
    <n v="0"/>
    <n v="0"/>
    <n v="0"/>
  </r>
  <r>
    <x v="46"/>
    <x v="5"/>
    <x v="5"/>
    <n v="2631324"/>
    <n v="447748"/>
    <n v="685390"/>
    <n v="0"/>
    <n v="0"/>
    <n v="95452"/>
    <n v="3402"/>
    <n v="1231992"/>
    <n v="752673"/>
    <n v="0"/>
    <n v="752673"/>
    <n v="3402"/>
    <n v="0"/>
    <n v="0"/>
    <n v="0"/>
    <n v="0"/>
    <n v="0"/>
    <n v="0"/>
    <n v="0"/>
    <n v="0"/>
    <n v="0"/>
    <n v="0"/>
  </r>
  <r>
    <x v="46"/>
    <x v="6"/>
    <x v="6"/>
    <n v="2669288"/>
    <n v="772161"/>
    <n v="0"/>
    <n v="0"/>
    <n v="0"/>
    <n v="27865"/>
    <n v="2268"/>
    <n v="802294"/>
    <n v="295382"/>
    <n v="0"/>
    <n v="295382"/>
    <n v="27000"/>
    <n v="0"/>
    <n v="0"/>
    <n v="0"/>
    <n v="0"/>
    <n v="0"/>
    <n v="0"/>
    <n v="0"/>
    <n v="0"/>
    <n v="0"/>
    <n v="0"/>
  </r>
  <r>
    <x v="46"/>
    <x v="7"/>
    <x v="7"/>
    <n v="1656277"/>
    <n v="441929"/>
    <n v="275000"/>
    <n v="0"/>
    <n v="0"/>
    <n v="38281"/>
    <n v="1134"/>
    <n v="756344"/>
    <n v="417365"/>
    <n v="0"/>
    <n v="417365"/>
    <n v="27000"/>
    <n v="0"/>
    <n v="0"/>
    <n v="0"/>
    <n v="0"/>
    <n v="0"/>
    <n v="0"/>
    <n v="0"/>
    <n v="0"/>
    <n v="0"/>
    <n v="0"/>
  </r>
  <r>
    <x v="46"/>
    <x v="8"/>
    <x v="8"/>
    <n v="799389"/>
    <n v="343202"/>
    <n v="0"/>
    <n v="0"/>
    <n v="0"/>
    <n v="23414"/>
    <n v="1134"/>
    <n v="367750"/>
    <n v="118111"/>
    <n v="0"/>
    <n v="118111"/>
    <n v="0"/>
    <n v="0"/>
    <n v="0"/>
    <n v="0"/>
    <n v="0"/>
    <n v="0"/>
    <n v="0"/>
    <n v="0"/>
    <n v="0"/>
    <n v="0"/>
    <n v="0"/>
  </r>
  <r>
    <x v="46"/>
    <x v="9"/>
    <x v="9"/>
    <n v="816019"/>
    <n v="284690"/>
    <n v="0"/>
    <n v="0"/>
    <n v="0"/>
    <n v="0"/>
    <n v="0"/>
    <n v="284690"/>
    <n v="307439"/>
    <n v="0"/>
    <n v="307439"/>
    <n v="0"/>
    <n v="0"/>
    <n v="0"/>
    <n v="0"/>
    <n v="0"/>
    <n v="0"/>
    <n v="0"/>
    <n v="0"/>
    <n v="0"/>
    <n v="0"/>
    <n v="0"/>
  </r>
  <r>
    <x v="46"/>
    <x v="10"/>
    <x v="10"/>
    <n v="2918379"/>
    <n v="392075"/>
    <n v="994780"/>
    <n v="0"/>
    <n v="0"/>
    <n v="137187"/>
    <n v="3402"/>
    <n v="1527444"/>
    <n v="799738"/>
    <n v="0"/>
    <n v="799738"/>
    <n v="0"/>
    <n v="0"/>
    <n v="0"/>
    <n v="0"/>
    <n v="0"/>
    <n v="0"/>
    <n v="0"/>
    <n v="0"/>
    <n v="0"/>
    <n v="0"/>
    <n v="0"/>
  </r>
  <r>
    <x v="47"/>
    <x v="1"/>
    <x v="1"/>
    <n v="33378"/>
    <n v="57800"/>
    <n v="1250822"/>
    <n v="721900"/>
    <n v="2000000"/>
    <n v="99689"/>
    <n v="945703"/>
    <n v="5075914"/>
    <n v="1378088"/>
    <n v="0"/>
    <n v="1378088"/>
    <n v="945703"/>
    <n v="0"/>
    <n v="0"/>
    <n v="0"/>
    <n v="0"/>
    <n v="0"/>
    <n v="0"/>
    <n v="5835"/>
    <n v="288359"/>
    <n v="0"/>
    <n v="0"/>
  </r>
  <r>
    <x v="47"/>
    <x v="2"/>
    <x v="2"/>
    <n v="9429676"/>
    <n v="3180091"/>
    <n v="1874773"/>
    <n v="2350000"/>
    <n v="0"/>
    <n v="79253"/>
    <n v="12480"/>
    <n v="7496597"/>
    <n v="750550"/>
    <n v="0"/>
    <n v="750550"/>
    <n v="86400"/>
    <n v="0"/>
    <n v="0"/>
    <n v="0"/>
    <n v="0"/>
    <n v="0"/>
    <n v="0"/>
    <n v="0"/>
    <n v="0"/>
    <n v="0"/>
    <n v="0"/>
  </r>
  <r>
    <x v="47"/>
    <x v="3"/>
    <x v="3"/>
    <n v="5039563"/>
    <n v="1456597"/>
    <n v="1687063"/>
    <n v="1719400"/>
    <n v="0"/>
    <n v="74219"/>
    <n v="8259"/>
    <n v="4945538"/>
    <n v="962317"/>
    <n v="0"/>
    <n v="962317"/>
    <n v="8259"/>
    <n v="0"/>
    <n v="0"/>
    <n v="0"/>
    <n v="0"/>
    <n v="0"/>
    <n v="0"/>
    <n v="0"/>
    <n v="0"/>
    <n v="0"/>
    <n v="0"/>
  </r>
  <r>
    <x v="47"/>
    <x v="4"/>
    <x v="4"/>
    <n v="4736224"/>
    <n v="1086861"/>
    <n v="1484731"/>
    <n v="874000"/>
    <n v="0"/>
    <n v="67236"/>
    <n v="14634"/>
    <n v="3527462"/>
    <n v="682453"/>
    <n v="0"/>
    <n v="682453"/>
    <n v="51840"/>
    <n v="0"/>
    <n v="0"/>
    <n v="0"/>
    <n v="0"/>
    <n v="0"/>
    <n v="0"/>
    <n v="0"/>
    <n v="0"/>
    <n v="0"/>
    <n v="0"/>
  </r>
  <r>
    <x v="47"/>
    <x v="5"/>
    <x v="5"/>
    <n v="2643734"/>
    <n v="766187"/>
    <n v="723372"/>
    <n v="610000"/>
    <n v="0"/>
    <n v="26852"/>
    <n v="23002"/>
    <n v="2149413"/>
    <n v="791010"/>
    <n v="0"/>
    <n v="791010"/>
    <n v="23002"/>
    <n v="0"/>
    <n v="0"/>
    <n v="0"/>
    <n v="0"/>
    <n v="0"/>
    <n v="0"/>
    <n v="0"/>
    <n v="0"/>
    <n v="0"/>
    <n v="0"/>
  </r>
  <r>
    <x v="47"/>
    <x v="6"/>
    <x v="6"/>
    <n v="3007506"/>
    <n v="920017"/>
    <n v="0"/>
    <n v="120000"/>
    <n v="0"/>
    <n v="7849"/>
    <n v="21868"/>
    <n v="1069734"/>
    <n v="233725"/>
    <n v="0"/>
    <n v="233725"/>
    <n v="16200"/>
    <n v="0"/>
    <n v="0"/>
    <n v="0"/>
    <n v="0"/>
    <n v="0"/>
    <n v="0"/>
    <n v="0"/>
    <n v="0"/>
    <n v="0"/>
    <n v="0"/>
  </r>
  <r>
    <x v="47"/>
    <x v="7"/>
    <x v="7"/>
    <n v="1205513"/>
    <n v="703187"/>
    <n v="279000"/>
    <n v="198000"/>
    <n v="0"/>
    <n v="10757"/>
    <n v="1134"/>
    <n v="1192078"/>
    <n v="357981"/>
    <n v="0"/>
    <n v="357981"/>
    <n v="16200"/>
    <n v="0"/>
    <n v="0"/>
    <n v="0"/>
    <n v="0"/>
    <n v="0"/>
    <n v="0"/>
    <n v="0"/>
    <n v="0"/>
    <n v="0"/>
    <n v="0"/>
  </r>
  <r>
    <x v="47"/>
    <x v="8"/>
    <x v="8"/>
    <n v="1762337"/>
    <n v="381890"/>
    <n v="0"/>
    <n v="30000"/>
    <n v="0"/>
    <n v="6594"/>
    <n v="1134"/>
    <n v="419618"/>
    <n v="144094"/>
    <n v="0"/>
    <n v="144094"/>
    <n v="0"/>
    <n v="0"/>
    <n v="0"/>
    <n v="0"/>
    <n v="0"/>
    <n v="0"/>
    <n v="0"/>
    <n v="0"/>
    <n v="0"/>
    <n v="0"/>
    <n v="0"/>
  </r>
  <r>
    <x v="47"/>
    <x v="9"/>
    <x v="9"/>
    <n v="1447077"/>
    <n v="213942"/>
    <n v="0"/>
    <n v="0"/>
    <n v="0"/>
    <n v="0"/>
    <n v="0"/>
    <n v="213942"/>
    <n v="284222"/>
    <n v="0"/>
    <n v="284222"/>
    <n v="0"/>
    <n v="0"/>
    <n v="0"/>
    <n v="0"/>
    <n v="0"/>
    <n v="0"/>
    <n v="0"/>
    <n v="0"/>
    <n v="0"/>
    <n v="0"/>
    <n v="0"/>
  </r>
  <r>
    <x v="47"/>
    <x v="11"/>
    <x v="11"/>
    <n v="0"/>
    <n v="0"/>
    <n v="0"/>
    <n v="0"/>
    <n v="0"/>
    <n v="0"/>
    <n v="0"/>
    <n v="0"/>
    <n v="579376"/>
    <n v="0"/>
    <n v="579376"/>
    <n v="0"/>
    <n v="0"/>
    <n v="0"/>
    <n v="0"/>
    <n v="0"/>
    <n v="0"/>
    <n v="0"/>
    <n v="0"/>
    <n v="0"/>
    <n v="0"/>
    <n v="0"/>
  </r>
  <r>
    <x v="47"/>
    <x v="10"/>
    <x v="10"/>
    <n v="3214266"/>
    <n v="491288"/>
    <n v="1042790"/>
    <n v="560000"/>
    <n v="0"/>
    <n v="38586"/>
    <n v="3402"/>
    <n v="2136066"/>
    <n v="804949"/>
    <n v="0"/>
    <n v="804949"/>
    <n v="0"/>
    <n v="0"/>
    <n v="0"/>
    <n v="0"/>
    <n v="0"/>
    <n v="0"/>
    <n v="0"/>
    <n v="0"/>
    <n v="0"/>
    <n v="0"/>
    <n v="0"/>
  </r>
  <r>
    <x v="48"/>
    <x v="1"/>
    <x v="1"/>
    <n v="50067"/>
    <n v="54400"/>
    <n v="1298890"/>
    <n v="0"/>
    <n v="2000000"/>
    <n v="963443"/>
    <n v="23333"/>
    <n v="4340066"/>
    <n v="1693942"/>
    <n v="0"/>
    <n v="1693942"/>
    <n v="359640"/>
    <n v="0"/>
    <n v="0"/>
    <n v="0"/>
    <n v="0"/>
    <n v="0"/>
    <n v="0"/>
    <n v="6823"/>
    <n v="718794"/>
    <n v="0"/>
    <n v="0"/>
  </r>
  <r>
    <x v="48"/>
    <x v="2"/>
    <x v="2"/>
    <n v="8999817"/>
    <n v="3310378"/>
    <n v="1888409"/>
    <n v="0"/>
    <n v="0"/>
    <n v="765679"/>
    <n v="16152"/>
    <n v="5980618"/>
    <n v="927441"/>
    <n v="0"/>
    <n v="927441"/>
    <n v="70200"/>
    <n v="0"/>
    <n v="0"/>
    <n v="0"/>
    <n v="0"/>
    <n v="0"/>
    <n v="0"/>
    <n v="0"/>
    <n v="0"/>
    <n v="0"/>
    <n v="0"/>
  </r>
  <r>
    <x v="48"/>
    <x v="3"/>
    <x v="3"/>
    <n v="4895576"/>
    <n v="1415446"/>
    <n v="1739781"/>
    <n v="0"/>
    <n v="0"/>
    <n v="716896"/>
    <n v="10018"/>
    <n v="3882141"/>
    <n v="895928"/>
    <n v="0"/>
    <n v="895928"/>
    <n v="10018"/>
    <n v="0"/>
    <n v="0"/>
    <n v="0"/>
    <n v="0"/>
    <n v="0"/>
    <n v="0"/>
    <n v="0"/>
    <n v="0"/>
    <n v="0"/>
    <n v="0"/>
  </r>
  <r>
    <x v="48"/>
    <x v="4"/>
    <x v="4"/>
    <n v="4173208"/>
    <n v="1221540"/>
    <n v="1480650"/>
    <n v="0"/>
    <n v="0"/>
    <n v="713278"/>
    <n v="16548"/>
    <n v="3432016"/>
    <n v="687236"/>
    <n v="0"/>
    <n v="687236"/>
    <n v="51840"/>
    <n v="0"/>
    <n v="0"/>
    <n v="0"/>
    <n v="0"/>
    <n v="0"/>
    <n v="0"/>
    <n v="0"/>
    <n v="0"/>
    <n v="0"/>
    <n v="0"/>
  </r>
  <r>
    <x v="48"/>
    <x v="5"/>
    <x v="5"/>
    <n v="2455055"/>
    <n v="613800"/>
    <n v="735342"/>
    <n v="0"/>
    <n v="0"/>
    <n v="259501"/>
    <n v="3402"/>
    <n v="1612045"/>
    <n v="998575"/>
    <n v="0"/>
    <n v="998575"/>
    <n v="0"/>
    <n v="0"/>
    <n v="0"/>
    <n v="0"/>
    <n v="0"/>
    <n v="0"/>
    <n v="0"/>
    <n v="0"/>
    <n v="0"/>
    <n v="0"/>
    <n v="0"/>
  </r>
  <r>
    <x v="48"/>
    <x v="6"/>
    <x v="6"/>
    <n v="2837215"/>
    <n v="810521"/>
    <n v="0"/>
    <n v="0"/>
    <n v="0"/>
    <n v="76026"/>
    <n v="1134"/>
    <n v="887681"/>
    <n v="765970"/>
    <n v="0"/>
    <n v="765970"/>
    <n v="16200"/>
    <n v="0"/>
    <n v="0"/>
    <n v="0"/>
    <n v="0"/>
    <n v="0"/>
    <n v="0"/>
    <n v="0"/>
    <n v="0"/>
    <n v="0"/>
    <n v="0"/>
  </r>
  <r>
    <x v="48"/>
    <x v="7"/>
    <x v="7"/>
    <n v="1018303"/>
    <n v="656902"/>
    <n v="291000"/>
    <n v="0"/>
    <n v="0"/>
    <n v="104033"/>
    <n v="1134"/>
    <n v="1053069"/>
    <n v="422104"/>
    <n v="0"/>
    <n v="422104"/>
    <n v="16200"/>
    <n v="0"/>
    <n v="0"/>
    <n v="0"/>
    <n v="0"/>
    <n v="0"/>
    <n v="0"/>
    <n v="0"/>
    <n v="0"/>
    <n v="0"/>
    <n v="0"/>
  </r>
  <r>
    <x v="48"/>
    <x v="8"/>
    <x v="8"/>
    <n v="1251664"/>
    <n v="368752"/>
    <n v="0"/>
    <n v="0"/>
    <n v="0"/>
    <n v="63466"/>
    <n v="1134"/>
    <n v="433352"/>
    <n v="144334"/>
    <n v="0"/>
    <n v="144334"/>
    <n v="20520"/>
    <n v="0"/>
    <n v="0"/>
    <n v="0"/>
    <n v="0"/>
    <n v="0"/>
    <n v="0"/>
    <n v="0"/>
    <n v="0"/>
    <n v="0"/>
    <n v="0"/>
  </r>
  <r>
    <x v="48"/>
    <x v="9"/>
    <x v="9"/>
    <n v="609532"/>
    <n v="184013"/>
    <n v="0"/>
    <n v="0"/>
    <n v="0"/>
    <n v="0"/>
    <n v="0"/>
    <n v="184013"/>
    <n v="312332"/>
    <n v="0"/>
    <n v="312332"/>
    <n v="20520"/>
    <n v="0"/>
    <n v="0"/>
    <n v="0"/>
    <n v="0"/>
    <n v="0"/>
    <n v="0"/>
    <n v="0"/>
    <n v="0"/>
    <n v="0"/>
    <n v="0"/>
  </r>
  <r>
    <x v="48"/>
    <x v="11"/>
    <x v="11"/>
    <n v="0"/>
    <n v="0"/>
    <n v="0"/>
    <n v="0"/>
    <n v="0"/>
    <n v="0"/>
    <n v="0"/>
    <n v="0"/>
    <n v="220651"/>
    <n v="0"/>
    <n v="220651"/>
    <n v="0"/>
    <n v="0"/>
    <n v="0"/>
    <n v="0"/>
    <n v="0"/>
    <n v="0"/>
    <n v="0"/>
    <n v="0"/>
    <n v="0"/>
    <n v="0"/>
    <n v="0"/>
  </r>
  <r>
    <x v="48"/>
    <x v="10"/>
    <x v="10"/>
    <n v="2944280"/>
    <n v="662256"/>
    <n v="916404"/>
    <n v="0"/>
    <n v="0"/>
    <n v="309249"/>
    <n v="13236"/>
    <n v="1901145"/>
    <n v="910333"/>
    <n v="0"/>
    <n v="910333"/>
    <n v="35100"/>
    <n v="0"/>
    <n v="0"/>
    <n v="0"/>
    <n v="0"/>
    <n v="0"/>
    <n v="0"/>
    <n v="0"/>
    <n v="0"/>
    <n v="0"/>
    <n v="0"/>
  </r>
  <r>
    <x v="49"/>
    <x v="1"/>
    <x v="1"/>
    <n v="0"/>
    <n v="54400"/>
    <n v="1073654"/>
    <n v="0"/>
    <n v="2000000"/>
    <n v="309956"/>
    <n v="7938"/>
    <n v="3445948"/>
    <n v="1382643"/>
    <n v="0"/>
    <n v="1382643"/>
    <n v="4950"/>
    <n v="0"/>
    <n v="0"/>
    <n v="0"/>
    <n v="0"/>
    <n v="0"/>
    <n v="0"/>
    <n v="6434"/>
    <n v="173112"/>
    <n v="0"/>
    <n v="0"/>
  </r>
  <r>
    <x v="49"/>
    <x v="2"/>
    <x v="2"/>
    <n v="8785743"/>
    <n v="3132119"/>
    <n v="1865921"/>
    <n v="0"/>
    <n v="0"/>
    <n v="274142"/>
    <n v="84226"/>
    <n v="5356408"/>
    <n v="649921"/>
    <n v="0"/>
    <n v="649921"/>
    <n v="15552"/>
    <n v="0"/>
    <n v="0"/>
    <n v="0"/>
    <n v="0"/>
    <n v="0"/>
    <n v="0"/>
    <n v="0"/>
    <n v="0"/>
    <n v="0"/>
    <n v="0"/>
  </r>
  <r>
    <x v="49"/>
    <x v="3"/>
    <x v="3"/>
    <n v="4964922"/>
    <n v="1336510"/>
    <n v="1643034"/>
    <n v="0"/>
    <n v="0"/>
    <n v="256969"/>
    <n v="13138"/>
    <n v="3249651"/>
    <n v="955436"/>
    <n v="0"/>
    <n v="955436"/>
    <n v="13138"/>
    <n v="0"/>
    <n v="0"/>
    <n v="0"/>
    <n v="0"/>
    <n v="0"/>
    <n v="0"/>
    <n v="0"/>
    <n v="0"/>
    <n v="0"/>
    <n v="0"/>
  </r>
  <r>
    <x v="49"/>
    <x v="4"/>
    <x v="4"/>
    <n v="4262755"/>
    <n v="1144155"/>
    <n v="1439667"/>
    <n v="0"/>
    <n v="0"/>
    <n v="255302"/>
    <n v="9404"/>
    <n v="2848528"/>
    <n v="770772"/>
    <n v="0"/>
    <n v="770772"/>
    <n v="68040"/>
    <n v="0"/>
    <n v="0"/>
    <n v="0"/>
    <n v="0"/>
    <n v="0"/>
    <n v="0"/>
    <n v="0"/>
    <n v="0"/>
    <n v="0"/>
    <n v="0"/>
  </r>
  <r>
    <x v="49"/>
    <x v="5"/>
    <x v="5"/>
    <n v="3054922"/>
    <n v="617237"/>
    <n v="729413"/>
    <n v="0"/>
    <n v="0"/>
    <n v="92919"/>
    <n v="3402"/>
    <n v="1442971"/>
    <n v="784274"/>
    <n v="0"/>
    <n v="784274"/>
    <n v="0"/>
    <n v="0"/>
    <n v="0"/>
    <n v="0"/>
    <n v="0"/>
    <n v="0"/>
    <n v="0"/>
    <n v="0"/>
    <n v="0"/>
    <n v="0"/>
    <n v="0"/>
  </r>
  <r>
    <x v="49"/>
    <x v="6"/>
    <x v="6"/>
    <n v="2860800"/>
    <n v="746997"/>
    <n v="0"/>
    <n v="0"/>
    <n v="0"/>
    <n v="27150"/>
    <n v="1134"/>
    <n v="775281"/>
    <n v="1017278"/>
    <n v="0"/>
    <n v="1017278"/>
    <n v="34992"/>
    <n v="0"/>
    <n v="0"/>
    <n v="0"/>
    <n v="0"/>
    <n v="0"/>
    <n v="0"/>
    <n v="0"/>
    <n v="0"/>
    <n v="0"/>
    <n v="0"/>
  </r>
  <r>
    <x v="49"/>
    <x v="7"/>
    <x v="7"/>
    <n v="954579"/>
    <n v="544207"/>
    <n v="275000"/>
    <n v="0"/>
    <n v="0"/>
    <n v="37199"/>
    <n v="1134"/>
    <n v="857540"/>
    <n v="404704"/>
    <n v="0"/>
    <n v="404704"/>
    <n v="34992"/>
    <n v="0"/>
    <n v="0"/>
    <n v="0"/>
    <n v="0"/>
    <n v="0"/>
    <n v="0"/>
    <n v="0"/>
    <n v="0"/>
    <n v="0"/>
    <n v="0"/>
  </r>
  <r>
    <x v="49"/>
    <x v="8"/>
    <x v="8"/>
    <n v="946853"/>
    <n v="332511"/>
    <n v="50000"/>
    <n v="0"/>
    <n v="0"/>
    <n v="22766"/>
    <n v="1134"/>
    <n v="406411"/>
    <n v="160354"/>
    <n v="0"/>
    <n v="160354"/>
    <n v="41472"/>
    <n v="0"/>
    <n v="0"/>
    <n v="0"/>
    <n v="0"/>
    <n v="0"/>
    <n v="0"/>
    <n v="0"/>
    <n v="0"/>
    <n v="0"/>
    <n v="0"/>
  </r>
  <r>
    <x v="49"/>
    <x v="9"/>
    <x v="9"/>
    <n v="554394"/>
    <n v="147335"/>
    <n v="50000"/>
    <n v="0"/>
    <n v="0"/>
    <n v="0"/>
    <n v="0"/>
    <n v="197335"/>
    <n v="376715"/>
    <n v="0"/>
    <n v="376715"/>
    <n v="41472"/>
    <n v="0"/>
    <n v="0"/>
    <n v="0"/>
    <n v="0"/>
    <n v="0"/>
    <n v="0"/>
    <n v="0"/>
    <n v="0"/>
    <n v="0"/>
    <n v="0"/>
  </r>
  <r>
    <x v="49"/>
    <x v="11"/>
    <x v="11"/>
    <n v="0"/>
    <n v="0"/>
    <n v="0"/>
    <n v="0"/>
    <n v="0"/>
    <n v="0"/>
    <n v="0"/>
    <n v="0"/>
    <n v="175912"/>
    <n v="0"/>
    <n v="175912"/>
    <n v="0"/>
    <n v="0"/>
    <n v="0"/>
    <n v="0"/>
    <n v="0"/>
    <n v="0"/>
    <n v="0"/>
    <n v="0"/>
    <n v="0"/>
    <n v="0"/>
    <n v="0"/>
  </r>
  <r>
    <x v="49"/>
    <x v="10"/>
    <x v="10"/>
    <n v="2904610"/>
    <n v="526361"/>
    <n v="983651"/>
    <n v="0"/>
    <n v="0"/>
    <n v="111011"/>
    <n v="9236"/>
    <n v="1630259"/>
    <n v="894242"/>
    <n v="0"/>
    <n v="894242"/>
    <n v="0"/>
    <n v="0"/>
    <n v="0"/>
    <n v="0"/>
    <n v="0"/>
    <n v="0"/>
    <n v="0"/>
    <n v="0"/>
    <n v="0"/>
    <n v="0"/>
    <n v="0"/>
  </r>
  <r>
    <x v="50"/>
    <x v="1"/>
    <x v="1"/>
    <n v="0"/>
    <n v="51000"/>
    <n v="1072116"/>
    <n v="0"/>
    <n v="2000000"/>
    <n v="299581"/>
    <n v="37938"/>
    <n v="3460635"/>
    <n v="1851208"/>
    <n v="0"/>
    <n v="1851208"/>
    <n v="0"/>
    <n v="0"/>
    <n v="0"/>
    <n v="0"/>
    <n v="0"/>
    <n v="0"/>
    <n v="0"/>
    <n v="700432"/>
    <n v="146394"/>
    <n v="-500912"/>
    <n v="0"/>
  </r>
  <r>
    <x v="50"/>
    <x v="2"/>
    <x v="2"/>
    <n v="9945843"/>
    <n v="3371587"/>
    <n v="1990889"/>
    <n v="0"/>
    <n v="0"/>
    <n v="285757"/>
    <n v="22410"/>
    <n v="5670643"/>
    <n v="667865"/>
    <n v="0"/>
    <n v="667865"/>
    <n v="0"/>
    <n v="0"/>
    <n v="0"/>
    <n v="0"/>
    <n v="0"/>
    <n v="0"/>
    <n v="0"/>
    <n v="0"/>
    <n v="0"/>
    <n v="0"/>
    <n v="0"/>
  </r>
  <r>
    <x v="50"/>
    <x v="3"/>
    <x v="3"/>
    <n v="4868200"/>
    <n v="1375628"/>
    <n v="1630048"/>
    <n v="0"/>
    <n v="0"/>
    <n v="248149"/>
    <n v="9072"/>
    <n v="3262897"/>
    <n v="1023865"/>
    <n v="0"/>
    <n v="1023865"/>
    <n v="9072"/>
    <n v="0"/>
    <n v="0"/>
    <n v="0"/>
    <n v="0"/>
    <n v="0"/>
    <n v="0"/>
    <n v="0"/>
    <n v="0"/>
    <n v="0"/>
    <n v="0"/>
  </r>
  <r>
    <x v="50"/>
    <x v="4"/>
    <x v="4"/>
    <n v="4860213"/>
    <n v="1294864"/>
    <n v="1410877"/>
    <n v="0"/>
    <n v="0"/>
    <n v="246454"/>
    <n v="48291"/>
    <n v="3000486"/>
    <n v="858028"/>
    <n v="0"/>
    <n v="858028"/>
    <n v="0"/>
    <n v="0"/>
    <n v="0"/>
    <n v="0"/>
    <n v="0"/>
    <n v="0"/>
    <n v="0"/>
    <n v="0"/>
    <n v="0"/>
    <n v="0"/>
    <n v="0"/>
  </r>
  <r>
    <x v="50"/>
    <x v="5"/>
    <x v="5"/>
    <n v="3122033"/>
    <n v="806310"/>
    <n v="733034"/>
    <n v="0"/>
    <n v="0"/>
    <n v="89776"/>
    <n v="3402"/>
    <n v="1632522"/>
    <n v="912870"/>
    <n v="0"/>
    <n v="912870"/>
    <n v="0"/>
    <n v="0"/>
    <n v="0"/>
    <n v="0"/>
    <n v="0"/>
    <n v="0"/>
    <n v="0"/>
    <n v="0"/>
    <n v="0"/>
    <n v="0"/>
    <n v="0"/>
  </r>
  <r>
    <x v="50"/>
    <x v="6"/>
    <x v="6"/>
    <n v="3275962"/>
    <n v="802271"/>
    <n v="354000"/>
    <n v="0"/>
    <n v="0"/>
    <n v="65627"/>
    <n v="19234"/>
    <n v="1241132"/>
    <n v="1232435"/>
    <n v="0"/>
    <n v="1232435"/>
    <n v="0"/>
    <n v="0"/>
    <n v="0"/>
    <n v="0"/>
    <n v="0"/>
    <n v="0"/>
    <n v="0"/>
    <n v="0"/>
    <n v="0"/>
    <n v="0"/>
    <n v="0"/>
  </r>
  <r>
    <x v="50"/>
    <x v="7"/>
    <x v="7"/>
    <n v="993559"/>
    <n v="572059"/>
    <n v="275000"/>
    <n v="0"/>
    <n v="0"/>
    <n v="35963"/>
    <n v="17334"/>
    <n v="900356"/>
    <n v="533700"/>
    <n v="0"/>
    <n v="533700"/>
    <n v="0"/>
    <n v="0"/>
    <n v="0"/>
    <n v="0"/>
    <n v="0"/>
    <n v="0"/>
    <n v="0"/>
    <n v="0"/>
    <n v="0"/>
    <n v="0"/>
    <n v="0"/>
  </r>
  <r>
    <x v="50"/>
    <x v="8"/>
    <x v="8"/>
    <n v="823242"/>
    <n v="375855"/>
    <n v="50000"/>
    <n v="0"/>
    <n v="0"/>
    <n v="22090"/>
    <n v="17334"/>
    <n v="465279"/>
    <n v="138088"/>
    <n v="0"/>
    <n v="138088"/>
    <n v="0"/>
    <n v="0"/>
    <n v="0"/>
    <n v="0"/>
    <n v="0"/>
    <n v="0"/>
    <n v="0"/>
    <n v="0"/>
    <n v="0"/>
    <n v="0"/>
    <n v="0"/>
  </r>
  <r>
    <x v="50"/>
    <x v="9"/>
    <x v="9"/>
    <n v="444204"/>
    <n v="170300"/>
    <n v="50000"/>
    <n v="0"/>
    <n v="0"/>
    <n v="0"/>
    <n v="16200"/>
    <n v="236500"/>
    <n v="362561"/>
    <n v="0"/>
    <n v="362561"/>
    <n v="0"/>
    <n v="0"/>
    <n v="0"/>
    <n v="0"/>
    <n v="0"/>
    <n v="0"/>
    <n v="0"/>
    <n v="0"/>
    <n v="0"/>
    <n v="0"/>
    <n v="0"/>
  </r>
  <r>
    <x v="50"/>
    <x v="11"/>
    <x v="11"/>
    <n v="0"/>
    <n v="0"/>
    <n v="0"/>
    <n v="0"/>
    <n v="0"/>
    <n v="0"/>
    <n v="0"/>
    <n v="0"/>
    <n v="175436"/>
    <n v="0"/>
    <n v="175436"/>
    <n v="0"/>
    <n v="0"/>
    <n v="0"/>
    <n v="0"/>
    <n v="0"/>
    <n v="0"/>
    <n v="0"/>
    <n v="0"/>
    <n v="0"/>
    <n v="0"/>
    <n v="0"/>
  </r>
  <r>
    <x v="50"/>
    <x v="10"/>
    <x v="10"/>
    <n v="2895760"/>
    <n v="676763"/>
    <n v="995174"/>
    <n v="0"/>
    <n v="0"/>
    <n v="128832"/>
    <n v="5670"/>
    <n v="1806439"/>
    <n v="837453"/>
    <n v="0"/>
    <n v="837453"/>
    <n v="0"/>
    <n v="0"/>
    <n v="0"/>
    <n v="0"/>
    <n v="0"/>
    <n v="0"/>
    <n v="0"/>
    <n v="0"/>
    <n v="0"/>
    <n v="0"/>
    <n v="0"/>
  </r>
  <r>
    <x v="51"/>
    <x v="1"/>
    <x v="1"/>
    <n v="0"/>
    <n v="51000"/>
    <n v="927654"/>
    <n v="0"/>
    <n v="2000000"/>
    <n v="309593"/>
    <n v="8036"/>
    <n v="3296283"/>
    <n v="2023487"/>
    <n v="0"/>
    <n v="2023487"/>
    <n v="0"/>
    <n v="0"/>
    <n v="0"/>
    <n v="0"/>
    <n v="0"/>
    <n v="0"/>
    <n v="0"/>
    <n v="205117"/>
    <n v="135703"/>
    <n v="0"/>
    <n v="0"/>
  </r>
  <r>
    <x v="51"/>
    <x v="2"/>
    <x v="2"/>
    <n v="9928917"/>
    <n v="3164348"/>
    <n v="1840940"/>
    <n v="0"/>
    <n v="0"/>
    <n v="295208"/>
    <n v="21502"/>
    <n v="5321998"/>
    <n v="726347"/>
    <n v="0"/>
    <n v="726347"/>
    <n v="0"/>
    <n v="0"/>
    <n v="0"/>
    <n v="0"/>
    <n v="0"/>
    <n v="0"/>
    <n v="0"/>
    <n v="0"/>
    <n v="0"/>
    <n v="0"/>
    <n v="0"/>
  </r>
  <r>
    <x v="51"/>
    <x v="3"/>
    <x v="3"/>
    <n v="4965478"/>
    <n v="1196416"/>
    <n v="1633778"/>
    <n v="0"/>
    <n v="0"/>
    <n v="256465"/>
    <n v="9072"/>
    <n v="3095731"/>
    <n v="926173"/>
    <n v="0"/>
    <n v="926173"/>
    <n v="9072"/>
    <n v="0"/>
    <n v="0"/>
    <n v="0"/>
    <n v="0"/>
    <n v="0"/>
    <n v="0"/>
    <n v="0"/>
    <n v="0"/>
    <n v="0"/>
    <n v="0"/>
  </r>
  <r>
    <x v="51"/>
    <x v="4"/>
    <x v="4"/>
    <n v="4975053"/>
    <n v="1359846"/>
    <n v="1381298"/>
    <n v="0"/>
    <n v="0"/>
    <n v="254688"/>
    <n v="14888"/>
    <n v="3010720"/>
    <n v="717168"/>
    <n v="0"/>
    <n v="717168"/>
    <n v="43200"/>
    <n v="0"/>
    <n v="0"/>
    <n v="0"/>
    <n v="0"/>
    <n v="0"/>
    <n v="0"/>
    <n v="0"/>
    <n v="0"/>
    <n v="0"/>
    <n v="0"/>
  </r>
  <r>
    <x v="51"/>
    <x v="5"/>
    <x v="5"/>
    <n v="3092046"/>
    <n v="832351"/>
    <n v="729440"/>
    <n v="0"/>
    <n v="0"/>
    <n v="92779"/>
    <n v="3402"/>
    <n v="1657972"/>
    <n v="819456"/>
    <n v="0"/>
    <n v="819456"/>
    <n v="0"/>
    <n v="0"/>
    <n v="0"/>
    <n v="0"/>
    <n v="0"/>
    <n v="0"/>
    <n v="0"/>
    <n v="0"/>
    <n v="0"/>
    <n v="0"/>
    <n v="0"/>
  </r>
  <r>
    <x v="51"/>
    <x v="6"/>
    <x v="6"/>
    <n v="2909528"/>
    <n v="1041609"/>
    <n v="300000"/>
    <n v="0"/>
    <n v="0"/>
    <n v="67680"/>
    <n v="1134"/>
    <n v="1410423"/>
    <n v="752715"/>
    <n v="0"/>
    <n v="752715"/>
    <n v="0"/>
    <n v="0"/>
    <n v="0"/>
    <n v="0"/>
    <n v="0"/>
    <n v="0"/>
    <n v="0"/>
    <n v="0"/>
    <n v="0"/>
    <n v="0"/>
    <n v="0"/>
  </r>
  <r>
    <x v="51"/>
    <x v="7"/>
    <x v="7"/>
    <n v="787202"/>
    <n v="402570"/>
    <n v="285000"/>
    <n v="0"/>
    <n v="0"/>
    <n v="37209"/>
    <n v="1134"/>
    <n v="725913"/>
    <n v="336863"/>
    <n v="0"/>
    <n v="336863"/>
    <n v="0"/>
    <n v="0"/>
    <n v="0"/>
    <n v="0"/>
    <n v="0"/>
    <n v="0"/>
    <n v="0"/>
    <n v="0"/>
    <n v="0"/>
    <n v="0"/>
    <n v="0"/>
  </r>
  <r>
    <x v="51"/>
    <x v="8"/>
    <x v="8"/>
    <n v="99304"/>
    <n v="338251"/>
    <n v="50000"/>
    <n v="0"/>
    <n v="0"/>
    <n v="22781"/>
    <n v="1134"/>
    <n v="412166"/>
    <n v="117771"/>
    <n v="0"/>
    <n v="117771"/>
    <n v="0"/>
    <n v="0"/>
    <n v="0"/>
    <n v="0"/>
    <n v="0"/>
    <n v="0"/>
    <n v="0"/>
    <n v="0"/>
    <n v="0"/>
    <n v="0"/>
    <n v="0"/>
  </r>
  <r>
    <x v="51"/>
    <x v="9"/>
    <x v="9"/>
    <n v="71733"/>
    <n v="252550"/>
    <n v="50000"/>
    <n v="0"/>
    <n v="0"/>
    <n v="0"/>
    <n v="0"/>
    <n v="302550"/>
    <n v="400920"/>
    <n v="0"/>
    <n v="400920"/>
    <n v="0"/>
    <n v="0"/>
    <n v="0"/>
    <n v="0"/>
    <n v="0"/>
    <n v="0"/>
    <n v="0"/>
    <n v="0"/>
    <n v="0"/>
    <n v="0"/>
    <n v="0"/>
  </r>
  <r>
    <x v="51"/>
    <x v="11"/>
    <x v="11"/>
    <n v="0"/>
    <n v="0"/>
    <n v="0"/>
    <n v="0"/>
    <n v="0"/>
    <n v="0"/>
    <n v="0"/>
    <n v="0"/>
    <n v="881383"/>
    <n v="0"/>
    <n v="881383"/>
    <n v="0"/>
    <n v="0"/>
    <n v="0"/>
    <n v="0"/>
    <n v="0"/>
    <n v="0"/>
    <n v="0"/>
    <n v="0"/>
    <n v="0"/>
    <n v="0"/>
    <n v="0"/>
  </r>
  <r>
    <x v="51"/>
    <x v="10"/>
    <x v="10"/>
    <n v="2603687"/>
    <n v="523858"/>
    <n v="829474"/>
    <n v="0"/>
    <n v="0"/>
    <n v="96398"/>
    <n v="9520"/>
    <n v="1459250"/>
    <n v="907826"/>
    <n v="0"/>
    <n v="907826"/>
    <n v="0"/>
    <n v="0"/>
    <n v="0"/>
    <n v="0"/>
    <n v="0"/>
    <n v="0"/>
    <n v="0"/>
    <n v="0"/>
    <n v="0"/>
    <n v="0"/>
    <n v="0"/>
  </r>
  <r>
    <x v="52"/>
    <x v="1"/>
    <x v="1"/>
    <n v="0"/>
    <n v="0"/>
    <n v="109581"/>
    <n v="0"/>
    <n v="2000000"/>
    <n v="343044"/>
    <n v="13327"/>
    <n v="2465952"/>
    <n v="1537199"/>
    <n v="0"/>
    <n v="1537199"/>
    <n v="0"/>
    <n v="0"/>
    <n v="0"/>
    <n v="0"/>
    <n v="0"/>
    <n v="0"/>
    <n v="0"/>
    <n v="104315"/>
    <n v="371587"/>
    <n v="0"/>
    <n v="0"/>
  </r>
  <r>
    <x v="52"/>
    <x v="2"/>
    <x v="2"/>
    <n v="10081728"/>
    <n v="3280321"/>
    <n v="1843335"/>
    <n v="0"/>
    <n v="0"/>
    <n v="282511"/>
    <n v="8111"/>
    <n v="5414278"/>
    <n v="691271"/>
    <n v="0"/>
    <n v="691271"/>
    <n v="0"/>
    <n v="0"/>
    <n v="0"/>
    <n v="0"/>
    <n v="0"/>
    <n v="0"/>
    <n v="0"/>
    <n v="0"/>
    <n v="0"/>
    <n v="0"/>
    <n v="0"/>
  </r>
  <r>
    <x v="52"/>
    <x v="3"/>
    <x v="3"/>
    <n v="5342987"/>
    <n v="1191288"/>
    <n v="1639385"/>
    <n v="0"/>
    <n v="0"/>
    <n v="264633"/>
    <n v="9072"/>
    <n v="3104378"/>
    <n v="866374"/>
    <n v="0"/>
    <n v="866374"/>
    <n v="9072"/>
    <n v="0"/>
    <n v="0"/>
    <n v="0"/>
    <n v="0"/>
    <n v="0"/>
    <n v="0"/>
    <n v="0"/>
    <n v="0"/>
    <n v="0"/>
    <n v="0"/>
  </r>
  <r>
    <x v="52"/>
    <x v="4"/>
    <x v="4"/>
    <n v="5374919"/>
    <n v="1485376"/>
    <n v="1431140"/>
    <n v="0"/>
    <n v="0"/>
    <n v="263048"/>
    <n v="19454"/>
    <n v="3199018"/>
    <n v="827102"/>
    <n v="0"/>
    <n v="827102"/>
    <n v="43200"/>
    <n v="0"/>
    <n v="0"/>
    <n v="0"/>
    <n v="0"/>
    <n v="0"/>
    <n v="0"/>
    <n v="0"/>
    <n v="0"/>
    <n v="0"/>
    <n v="0"/>
  </r>
  <r>
    <x v="52"/>
    <x v="5"/>
    <x v="5"/>
    <n v="3549708"/>
    <n v="906208"/>
    <n v="741997"/>
    <n v="0"/>
    <n v="0"/>
    <n v="95779"/>
    <n v="3402"/>
    <n v="1747386"/>
    <n v="1001164"/>
    <n v="0"/>
    <n v="1001164"/>
    <n v="0"/>
    <n v="0"/>
    <n v="0"/>
    <n v="0"/>
    <n v="0"/>
    <n v="0"/>
    <n v="0"/>
    <n v="0"/>
    <n v="0"/>
    <n v="0"/>
    <n v="0"/>
  </r>
  <r>
    <x v="52"/>
    <x v="6"/>
    <x v="6"/>
    <n v="3218370"/>
    <n v="1019550"/>
    <n v="300000"/>
    <n v="0"/>
    <n v="0"/>
    <n v="69829"/>
    <n v="1134"/>
    <n v="1390513"/>
    <n v="678719"/>
    <n v="0"/>
    <n v="678719"/>
    <n v="0"/>
    <n v="0"/>
    <n v="0"/>
    <n v="0"/>
    <n v="0"/>
    <n v="0"/>
    <n v="0"/>
    <n v="0"/>
    <n v="0"/>
    <n v="0"/>
    <n v="0"/>
  </r>
  <r>
    <x v="52"/>
    <x v="7"/>
    <x v="7"/>
    <n v="596033"/>
    <n v="411617"/>
    <n v="295000"/>
    <n v="0"/>
    <n v="0"/>
    <n v="38432"/>
    <n v="1134"/>
    <n v="746183"/>
    <n v="164646"/>
    <n v="0"/>
    <n v="164646"/>
    <n v="0"/>
    <n v="0"/>
    <n v="0"/>
    <n v="0"/>
    <n v="0"/>
    <n v="0"/>
    <n v="0"/>
    <n v="0"/>
    <n v="0"/>
    <n v="0"/>
    <n v="0"/>
  </r>
  <r>
    <x v="52"/>
    <x v="8"/>
    <x v="8"/>
    <n v="408033"/>
    <n v="314683"/>
    <n v="50000"/>
    <n v="0"/>
    <n v="0"/>
    <n v="18416"/>
    <n v="1134"/>
    <n v="384233"/>
    <n v="147733"/>
    <n v="0"/>
    <n v="147733"/>
    <n v="29520"/>
    <n v="0"/>
    <n v="0"/>
    <n v="0"/>
    <n v="0"/>
    <n v="0"/>
    <n v="0"/>
    <n v="0"/>
    <n v="0"/>
    <n v="0"/>
    <n v="0"/>
  </r>
  <r>
    <x v="52"/>
    <x v="9"/>
    <x v="9"/>
    <n v="1119631"/>
    <n v="287775"/>
    <n v="50000"/>
    <n v="0"/>
    <n v="0"/>
    <n v="0"/>
    <n v="0"/>
    <n v="337775"/>
    <n v="353105"/>
    <n v="0"/>
    <n v="353105"/>
    <n v="29520"/>
    <n v="0"/>
    <n v="0"/>
    <n v="0"/>
    <n v="0"/>
    <n v="0"/>
    <n v="0"/>
    <n v="0"/>
    <n v="0"/>
    <n v="0"/>
    <n v="0"/>
  </r>
  <r>
    <x v="52"/>
    <x v="11"/>
    <x v="11"/>
    <n v="0"/>
    <n v="64405"/>
    <n v="0"/>
    <n v="0"/>
    <n v="0"/>
    <n v="0"/>
    <n v="0"/>
    <n v="64405"/>
    <n v="1127827"/>
    <n v="0"/>
    <n v="1127827"/>
    <n v="164520"/>
    <n v="0"/>
    <n v="0"/>
    <n v="0"/>
    <n v="0"/>
    <n v="0"/>
    <n v="0"/>
    <n v="0"/>
    <n v="0"/>
    <n v="0"/>
    <n v="0"/>
  </r>
  <r>
    <x v="52"/>
    <x v="10"/>
    <x v="10"/>
    <n v="3011624"/>
    <n v="548720"/>
    <n v="938498"/>
    <n v="0"/>
    <n v="0"/>
    <n v="99886"/>
    <n v="5757"/>
    <n v="1592861"/>
    <n v="1119742"/>
    <n v="0"/>
    <n v="1119742"/>
    <n v="3604"/>
    <n v="0"/>
    <n v="0"/>
    <n v="0"/>
    <n v="0"/>
    <n v="0"/>
    <n v="0"/>
    <n v="0"/>
    <n v="0"/>
    <n v="0"/>
    <n v="0"/>
  </r>
  <r>
    <x v="53"/>
    <x v="1"/>
    <x v="1"/>
    <n v="0"/>
    <n v="180000"/>
    <n v="912879"/>
    <n v="0"/>
    <n v="2000000"/>
    <n v="360134"/>
    <n v="121518"/>
    <n v="3574531"/>
    <n v="1345014"/>
    <n v="0"/>
    <n v="1345014"/>
    <n v="27000"/>
    <n v="0"/>
    <n v="0"/>
    <n v="0"/>
    <n v="0"/>
    <n v="0"/>
    <n v="0"/>
    <n v="11460"/>
    <n v="330078"/>
    <n v="0"/>
    <n v="0"/>
  </r>
  <r>
    <x v="53"/>
    <x v="2"/>
    <x v="2"/>
    <n v="9528673"/>
    <n v="3117534"/>
    <n v="1920952"/>
    <n v="3015000"/>
    <n v="0"/>
    <n v="321780"/>
    <n v="14634"/>
    <n v="8389900"/>
    <n v="687623"/>
    <n v="0"/>
    <n v="687623"/>
    <n v="48600"/>
    <n v="0"/>
    <n v="0"/>
    <n v="0"/>
    <n v="0"/>
    <n v="0"/>
    <n v="0"/>
    <n v="0"/>
    <n v="0"/>
    <n v="0"/>
    <n v="0"/>
  </r>
  <r>
    <x v="53"/>
    <x v="3"/>
    <x v="3"/>
    <n v="5683733"/>
    <n v="1364384"/>
    <n v="1861802"/>
    <n v="0"/>
    <n v="0"/>
    <n v="326629"/>
    <n v="19356"/>
    <n v="3572171"/>
    <n v="984939"/>
    <n v="0"/>
    <n v="984939"/>
    <n v="19356"/>
    <n v="0"/>
    <n v="0"/>
    <n v="0"/>
    <n v="0"/>
    <n v="0"/>
    <n v="0"/>
    <n v="0"/>
    <n v="0"/>
    <n v="0"/>
    <n v="0"/>
  </r>
  <r>
    <x v="53"/>
    <x v="4"/>
    <x v="4"/>
    <n v="5697582"/>
    <n v="1523579"/>
    <n v="1502072"/>
    <n v="986000"/>
    <n v="0"/>
    <n v="299629"/>
    <n v="15892"/>
    <n v="4327172"/>
    <n v="718514"/>
    <n v="0"/>
    <n v="718514"/>
    <n v="0"/>
    <n v="0"/>
    <n v="0"/>
    <n v="0"/>
    <n v="0"/>
    <n v="0"/>
    <n v="0"/>
    <n v="0"/>
    <n v="0"/>
    <n v="0"/>
    <n v="0"/>
  </r>
  <r>
    <x v="53"/>
    <x v="5"/>
    <x v="5"/>
    <n v="3597785"/>
    <n v="886359"/>
    <n v="757744"/>
    <n v="30000"/>
    <n v="0"/>
    <n v="139071"/>
    <n v="3402"/>
    <n v="1816576"/>
    <n v="989607"/>
    <n v="0"/>
    <n v="989607"/>
    <n v="46440"/>
    <n v="0"/>
    <n v="0"/>
    <n v="0"/>
    <n v="0"/>
    <n v="0"/>
    <n v="0"/>
    <n v="0"/>
    <n v="0"/>
    <n v="0"/>
    <n v="0"/>
  </r>
  <r>
    <x v="53"/>
    <x v="6"/>
    <x v="6"/>
    <n v="2893429"/>
    <n v="1179780"/>
    <n v="300000"/>
    <n v="0"/>
    <n v="0"/>
    <n v="109516"/>
    <n v="1134"/>
    <n v="1590430"/>
    <n v="716850"/>
    <n v="0"/>
    <n v="716850"/>
    <n v="0"/>
    <n v="0"/>
    <n v="0"/>
    <n v="0"/>
    <n v="0"/>
    <n v="0"/>
    <n v="0"/>
    <n v="0"/>
    <n v="0"/>
    <n v="0"/>
    <n v="0"/>
  </r>
  <r>
    <x v="53"/>
    <x v="7"/>
    <x v="7"/>
    <n v="0"/>
    <n v="0"/>
    <n v="0"/>
    <n v="0"/>
    <n v="0"/>
    <n v="0"/>
    <n v="0"/>
    <n v="0"/>
    <n v="54694"/>
    <n v="0"/>
    <n v="54694"/>
    <n v="0"/>
    <n v="0"/>
    <n v="0"/>
    <n v="0"/>
    <n v="0"/>
    <n v="0"/>
    <n v="0"/>
    <n v="0"/>
    <n v="0"/>
    <n v="0"/>
    <n v="0"/>
  </r>
  <r>
    <x v="53"/>
    <x v="8"/>
    <x v="8"/>
    <n v="2686373"/>
    <n v="374853"/>
    <n v="50000"/>
    <n v="0"/>
    <n v="0"/>
    <n v="25378"/>
    <n v="1134"/>
    <n v="451365"/>
    <n v="162095"/>
    <n v="0"/>
    <n v="162095"/>
    <n v="0"/>
    <n v="0"/>
    <n v="0"/>
    <n v="0"/>
    <n v="0"/>
    <n v="0"/>
    <n v="0"/>
    <n v="0"/>
    <n v="0"/>
    <n v="0"/>
    <n v="0"/>
  </r>
  <r>
    <x v="53"/>
    <x v="9"/>
    <x v="9"/>
    <n v="2075072"/>
    <n v="302450"/>
    <n v="325000"/>
    <n v="0"/>
    <n v="0"/>
    <n v="43640"/>
    <n v="1134"/>
    <n v="672224"/>
    <n v="298938"/>
    <n v="0"/>
    <n v="298938"/>
    <n v="0"/>
    <n v="0"/>
    <n v="0"/>
    <n v="0"/>
    <n v="0"/>
    <n v="0"/>
    <n v="0"/>
    <n v="0"/>
    <n v="0"/>
    <n v="0"/>
    <n v="0"/>
  </r>
  <r>
    <x v="53"/>
    <x v="11"/>
    <x v="11"/>
    <n v="1940389"/>
    <n v="619301"/>
    <n v="0"/>
    <n v="0"/>
    <n v="0"/>
    <n v="0"/>
    <n v="0"/>
    <n v="619301"/>
    <n v="693960"/>
    <n v="0"/>
    <n v="693960"/>
    <n v="48600"/>
    <n v="0"/>
    <n v="0"/>
    <n v="0"/>
    <n v="0"/>
    <n v="0"/>
    <n v="0"/>
    <n v="0"/>
    <n v="0"/>
    <n v="0"/>
    <n v="0"/>
  </r>
  <r>
    <x v="53"/>
    <x v="10"/>
    <x v="10"/>
    <n v="2812785"/>
    <n v="516058"/>
    <n v="914269"/>
    <n v="0"/>
    <n v="0"/>
    <n v="113543"/>
    <n v="29170"/>
    <n v="1573040"/>
    <n v="842340"/>
    <n v="0"/>
    <n v="842340"/>
    <n v="0"/>
    <n v="0"/>
    <n v="0"/>
    <n v="0"/>
    <n v="0"/>
    <n v="0"/>
    <n v="0"/>
    <n v="0"/>
    <n v="0"/>
    <n v="0"/>
    <n v="0"/>
  </r>
  <r>
    <x v="54"/>
    <x v="1"/>
    <x v="1"/>
    <n v="0"/>
    <n v="61200"/>
    <n v="912654"/>
    <n v="0"/>
    <n v="2000000"/>
    <n v="558085"/>
    <n v="344110"/>
    <n v="3876049"/>
    <n v="1234610"/>
    <n v="0"/>
    <n v="1234610"/>
    <n v="0"/>
    <n v="0"/>
    <n v="0"/>
    <n v="0"/>
    <n v="0"/>
    <n v="0"/>
    <n v="0"/>
    <n v="215737"/>
    <n v="246683"/>
    <n v="0"/>
    <n v="0"/>
  </r>
  <r>
    <x v="54"/>
    <x v="2"/>
    <x v="2"/>
    <n v="10338554"/>
    <n v="3419849"/>
    <n v="2024642"/>
    <n v="0"/>
    <n v="0"/>
    <n v="499361"/>
    <n v="19599"/>
    <n v="5963451"/>
    <n v="686383"/>
    <n v="0"/>
    <n v="686383"/>
    <n v="77760"/>
    <n v="0"/>
    <n v="0"/>
    <n v="0"/>
    <n v="0"/>
    <n v="0"/>
    <n v="0"/>
    <n v="0"/>
    <n v="0"/>
    <n v="0"/>
    <n v="0"/>
  </r>
  <r>
    <x v="54"/>
    <x v="3"/>
    <x v="3"/>
    <n v="5487698"/>
    <n v="1356331"/>
    <n v="1880316"/>
    <n v="0"/>
    <n v="0"/>
    <n v="506326"/>
    <n v="9072"/>
    <n v="3752045"/>
    <n v="908008"/>
    <n v="0"/>
    <n v="908008"/>
    <n v="9072"/>
    <n v="0"/>
    <n v="0"/>
    <n v="0"/>
    <n v="0"/>
    <n v="0"/>
    <n v="0"/>
    <n v="0"/>
    <n v="0"/>
    <n v="0"/>
    <n v="0"/>
  </r>
  <r>
    <x v="54"/>
    <x v="4"/>
    <x v="4"/>
    <n v="5897081"/>
    <n v="1660664"/>
    <n v="1529773"/>
    <n v="0"/>
    <n v="0"/>
    <n v="464646"/>
    <n v="14981"/>
    <n v="3670064"/>
    <n v="729566"/>
    <n v="0"/>
    <n v="729566"/>
    <n v="67500"/>
    <n v="0"/>
    <n v="0"/>
    <n v="0"/>
    <n v="0"/>
    <n v="0"/>
    <n v="0"/>
    <n v="0"/>
    <n v="0"/>
    <n v="0"/>
    <n v="0"/>
  </r>
  <r>
    <x v="54"/>
    <x v="5"/>
    <x v="5"/>
    <n v="3616139"/>
    <n v="961704"/>
    <n v="749000"/>
    <n v="0"/>
    <n v="0"/>
    <n v="215498"/>
    <n v="3402"/>
    <n v="1929604"/>
    <n v="897734"/>
    <n v="0"/>
    <n v="897734"/>
    <n v="46440"/>
    <n v="0"/>
    <n v="0"/>
    <n v="0"/>
    <n v="0"/>
    <n v="0"/>
    <n v="0"/>
    <n v="0"/>
    <n v="0"/>
    <n v="0"/>
    <n v="0"/>
  </r>
  <r>
    <x v="54"/>
    <x v="6"/>
    <x v="6"/>
    <n v="3184472"/>
    <n v="1210715"/>
    <n v="320000"/>
    <n v="0"/>
    <n v="0"/>
    <n v="169842"/>
    <n v="1134"/>
    <n v="1701691"/>
    <n v="312799"/>
    <n v="0"/>
    <n v="312799"/>
    <n v="0"/>
    <n v="0"/>
    <n v="0"/>
    <n v="0"/>
    <n v="0"/>
    <n v="0"/>
    <n v="0"/>
    <n v="0"/>
    <n v="0"/>
    <n v="0"/>
    <n v="0"/>
  </r>
  <r>
    <x v="54"/>
    <x v="7"/>
    <x v="7"/>
    <n v="0"/>
    <n v="0"/>
    <n v="0"/>
    <n v="0"/>
    <n v="0"/>
    <n v="0"/>
    <n v="0"/>
    <n v="0"/>
    <n v="5420"/>
    <n v="0"/>
    <n v="5420"/>
    <n v="0"/>
    <n v="0"/>
    <n v="0"/>
    <n v="0"/>
    <n v="0"/>
    <n v="0"/>
    <n v="0"/>
    <n v="0"/>
    <n v="0"/>
    <n v="0"/>
    <n v="0"/>
  </r>
  <r>
    <x v="54"/>
    <x v="8"/>
    <x v="8"/>
    <n v="1273066"/>
    <n v="366733"/>
    <n v="50000"/>
    <n v="0"/>
    <n v="0"/>
    <n v="39238"/>
    <n v="1134"/>
    <n v="457105"/>
    <n v="117007"/>
    <n v="0"/>
    <n v="117007"/>
    <n v="0"/>
    <n v="0"/>
    <n v="0"/>
    <n v="0"/>
    <n v="0"/>
    <n v="0"/>
    <n v="0"/>
    <n v="0"/>
    <n v="0"/>
    <n v="0"/>
    <n v="0"/>
  </r>
  <r>
    <x v="54"/>
    <x v="9"/>
    <x v="9"/>
    <n v="1101492"/>
    <n v="314200"/>
    <n v="186500"/>
    <n v="0"/>
    <n v="0"/>
    <n v="66684"/>
    <n v="1134"/>
    <n v="568518"/>
    <n v="307050"/>
    <n v="0"/>
    <n v="307050"/>
    <n v="0"/>
    <n v="0"/>
    <n v="0"/>
    <n v="0"/>
    <n v="0"/>
    <n v="0"/>
    <n v="0"/>
    <n v="0"/>
    <n v="0"/>
    <n v="0"/>
    <n v="0"/>
  </r>
  <r>
    <x v="54"/>
    <x v="11"/>
    <x v="11"/>
    <n v="1965328"/>
    <n v="742925"/>
    <n v="0"/>
    <n v="0"/>
    <n v="0"/>
    <n v="46916"/>
    <n v="0"/>
    <n v="789841"/>
    <n v="519521"/>
    <n v="0"/>
    <n v="519521"/>
    <n v="0"/>
    <n v="0"/>
    <n v="0"/>
    <n v="0"/>
    <n v="0"/>
    <n v="0"/>
    <n v="0"/>
    <n v="0"/>
    <n v="0"/>
    <n v="0"/>
    <n v="0"/>
  </r>
  <r>
    <x v="54"/>
    <x v="10"/>
    <x v="10"/>
    <n v="3216466"/>
    <n v="659538"/>
    <n v="926258"/>
    <n v="0"/>
    <n v="0"/>
    <n v="176134"/>
    <n v="5670"/>
    <n v="1767600"/>
    <n v="840179"/>
    <n v="0"/>
    <n v="840179"/>
    <n v="5112"/>
    <n v="0"/>
    <n v="0"/>
    <n v="0"/>
    <n v="0"/>
    <n v="0"/>
    <n v="0"/>
    <n v="0"/>
    <n v="0"/>
    <n v="0"/>
    <n v="0"/>
  </r>
  <r>
    <x v="55"/>
    <x v="1"/>
    <x v="1"/>
    <n v="0"/>
    <n v="0"/>
    <n v="912962"/>
    <n v="120000"/>
    <n v="2000000"/>
    <n v="367284"/>
    <n v="44505"/>
    <n v="3444751"/>
    <n v="3226453"/>
    <n v="0"/>
    <n v="3226453"/>
    <n v="380160"/>
    <n v="0"/>
    <n v="0"/>
    <n v="731894"/>
    <n v="0"/>
    <n v="0"/>
    <n v="731894"/>
    <n v="197365"/>
    <n v="1767380"/>
    <n v="-866465"/>
    <n v="-1203300"/>
  </r>
  <r>
    <x v="55"/>
    <x v="2"/>
    <x v="2"/>
    <n v="10004240"/>
    <n v="3491027"/>
    <n v="2014985"/>
    <n v="180000"/>
    <n v="0"/>
    <n v="245348"/>
    <n v="13744"/>
    <n v="5945104"/>
    <n v="815869"/>
    <n v="0"/>
    <n v="815869"/>
    <n v="174960"/>
    <n v="0"/>
    <n v="0"/>
    <n v="0"/>
    <n v="0"/>
    <n v="0"/>
    <n v="0"/>
    <n v="0"/>
    <n v="0"/>
    <n v="0"/>
    <n v="0"/>
  </r>
  <r>
    <x v="55"/>
    <x v="3"/>
    <x v="3"/>
    <n v="5643961"/>
    <n v="1351010"/>
    <n v="1913410"/>
    <n v="210000"/>
    <n v="0"/>
    <n v="266490"/>
    <n v="0"/>
    <n v="3740910"/>
    <n v="1109072"/>
    <n v="0"/>
    <n v="1109072"/>
    <n v="0"/>
    <n v="0"/>
    <n v="0"/>
    <n v="0"/>
    <n v="0"/>
    <n v="0"/>
    <n v="0"/>
    <n v="0"/>
    <n v="0"/>
    <n v="0"/>
    <n v="0"/>
  </r>
  <r>
    <x v="55"/>
    <x v="4"/>
    <x v="4"/>
    <n v="5788645"/>
    <n v="1591278"/>
    <n v="1551514"/>
    <n v="150000"/>
    <n v="0"/>
    <n v="233753"/>
    <n v="7658"/>
    <n v="3534203"/>
    <n v="846397"/>
    <n v="0"/>
    <n v="846397"/>
    <n v="102406"/>
    <n v="0"/>
    <n v="0"/>
    <n v="0"/>
    <n v="0"/>
    <n v="0"/>
    <n v="0"/>
    <n v="0"/>
    <n v="0"/>
    <n v="0"/>
    <n v="0"/>
  </r>
  <r>
    <x v="55"/>
    <x v="5"/>
    <x v="5"/>
    <n v="3174804"/>
    <n v="976079"/>
    <n v="751983"/>
    <n v="120000"/>
    <n v="0"/>
    <n v="118550"/>
    <n v="4536"/>
    <n v="1971148"/>
    <n v="1167584"/>
    <n v="0"/>
    <n v="1167584"/>
    <n v="46440"/>
    <n v="0"/>
    <n v="0"/>
    <n v="0"/>
    <n v="0"/>
    <n v="0"/>
    <n v="0"/>
    <n v="0"/>
    <n v="0"/>
    <n v="0"/>
    <n v="0"/>
  </r>
  <r>
    <x v="55"/>
    <x v="6"/>
    <x v="6"/>
    <n v="3124894"/>
    <n v="1280878"/>
    <n v="354000"/>
    <n v="30000"/>
    <n v="0"/>
    <n v="85037"/>
    <n v="0"/>
    <n v="1749915"/>
    <n v="340117"/>
    <n v="0"/>
    <n v="340117"/>
    <n v="24300"/>
    <n v="0"/>
    <n v="0"/>
    <n v="0"/>
    <n v="0"/>
    <n v="0"/>
    <n v="0"/>
    <n v="0"/>
    <n v="0"/>
    <n v="0"/>
    <n v="0"/>
  </r>
  <r>
    <x v="55"/>
    <x v="7"/>
    <x v="7"/>
    <n v="0"/>
    <n v="0"/>
    <n v="0"/>
    <n v="0"/>
    <n v="0"/>
    <n v="0"/>
    <n v="0"/>
    <n v="0"/>
    <n v="2842"/>
    <n v="0"/>
    <n v="2842"/>
    <n v="0"/>
    <n v="0"/>
    <n v="0"/>
    <n v="0"/>
    <n v="0"/>
    <n v="0"/>
    <n v="0"/>
    <n v="0"/>
    <n v="0"/>
    <n v="0"/>
    <n v="0"/>
  </r>
  <r>
    <x v="55"/>
    <x v="8"/>
    <x v="8"/>
    <n v="1036363"/>
    <n v="343140"/>
    <n v="50000"/>
    <n v="0"/>
    <n v="0"/>
    <n v="18042"/>
    <n v="0"/>
    <n v="411182"/>
    <n v="122447"/>
    <n v="0"/>
    <n v="122447"/>
    <n v="0"/>
    <n v="0"/>
    <n v="0"/>
    <n v="0"/>
    <n v="0"/>
    <n v="0"/>
    <n v="0"/>
    <n v="0"/>
    <n v="0"/>
    <n v="0"/>
    <n v="0"/>
  </r>
  <r>
    <x v="55"/>
    <x v="9"/>
    <x v="9"/>
    <n v="1001492"/>
    <n v="323725"/>
    <n v="50000"/>
    <n v="0"/>
    <n v="0"/>
    <n v="0"/>
    <n v="0"/>
    <n v="373725"/>
    <n v="306079"/>
    <n v="0"/>
    <n v="306079"/>
    <n v="0"/>
    <n v="0"/>
    <n v="0"/>
    <n v="0"/>
    <n v="0"/>
    <n v="0"/>
    <n v="0"/>
    <n v="0"/>
    <n v="0"/>
    <n v="0"/>
    <n v="0"/>
  </r>
  <r>
    <x v="55"/>
    <x v="11"/>
    <x v="11"/>
    <n v="1995197"/>
    <n v="762323"/>
    <n v="0"/>
    <n v="0"/>
    <n v="0"/>
    <n v="23071"/>
    <n v="0"/>
    <n v="785394"/>
    <n v="560741"/>
    <n v="0"/>
    <n v="560741"/>
    <n v="0"/>
    <n v="0"/>
    <n v="0"/>
    <n v="0"/>
    <n v="0"/>
    <n v="0"/>
    <n v="0"/>
    <n v="0"/>
    <n v="0"/>
    <n v="0"/>
    <n v="0"/>
  </r>
  <r>
    <x v="55"/>
    <x v="10"/>
    <x v="10"/>
    <n v="3129590"/>
    <n v="608890"/>
    <n v="953976"/>
    <n v="120000"/>
    <n v="0"/>
    <n v="113251"/>
    <n v="0"/>
    <n v="1796117"/>
    <n v="988684"/>
    <n v="0"/>
    <n v="988684"/>
    <n v="24300"/>
    <n v="0"/>
    <n v="0"/>
    <n v="0"/>
    <n v="0"/>
    <n v="0"/>
    <n v="0"/>
    <n v="0"/>
    <n v="0"/>
    <n v="0"/>
    <n v="0"/>
  </r>
  <r>
    <x v="56"/>
    <x v="1"/>
    <x v="1"/>
    <n v="0"/>
    <n v="76500"/>
    <n v="933019"/>
    <n v="0"/>
    <n v="2000000"/>
    <n v="341242"/>
    <n v="11004"/>
    <n v="3361765"/>
    <n v="1655232"/>
    <n v="0"/>
    <n v="1655232"/>
    <n v="0"/>
    <n v="0"/>
    <n v="0"/>
    <n v="0"/>
    <n v="0"/>
    <n v="0"/>
    <n v="0"/>
    <n v="13417"/>
    <n v="262718"/>
    <n v="-201749"/>
    <n v="0"/>
  </r>
  <r>
    <x v="56"/>
    <x v="2"/>
    <x v="2"/>
    <n v="10291903"/>
    <n v="3534345"/>
    <n v="1892823"/>
    <n v="0"/>
    <n v="0"/>
    <n v="229609"/>
    <n v="30081"/>
    <n v="5686858"/>
    <n v="693471"/>
    <n v="0"/>
    <n v="693471"/>
    <n v="50090"/>
    <n v="0"/>
    <n v="0"/>
    <n v="0"/>
    <n v="0"/>
    <n v="0"/>
    <n v="0"/>
    <n v="0"/>
    <n v="0"/>
    <n v="0"/>
    <n v="0"/>
  </r>
  <r>
    <x v="56"/>
    <x v="3"/>
    <x v="3"/>
    <n v="6023613"/>
    <n v="1513407"/>
    <n v="1782831"/>
    <n v="0"/>
    <n v="0"/>
    <n v="230223"/>
    <n v="0"/>
    <n v="3526461"/>
    <n v="942537"/>
    <n v="0"/>
    <n v="942537"/>
    <n v="48600"/>
    <n v="0"/>
    <n v="0"/>
    <n v="0"/>
    <n v="0"/>
    <n v="0"/>
    <n v="0"/>
    <n v="0"/>
    <n v="0"/>
    <n v="0"/>
    <n v="0"/>
  </r>
  <r>
    <x v="56"/>
    <x v="4"/>
    <x v="4"/>
    <n v="5817896"/>
    <n v="1583827"/>
    <n v="1557365"/>
    <n v="0"/>
    <n v="0"/>
    <n v="217502"/>
    <n v="13049"/>
    <n v="3371743"/>
    <n v="744536"/>
    <n v="0"/>
    <n v="744536"/>
    <n v="155670"/>
    <n v="0"/>
    <n v="0"/>
    <n v="0"/>
    <n v="0"/>
    <n v="0"/>
    <n v="0"/>
    <n v="0"/>
    <n v="0"/>
    <n v="0"/>
    <n v="0"/>
  </r>
  <r>
    <x v="56"/>
    <x v="5"/>
    <x v="5"/>
    <n v="3130698"/>
    <n v="919094"/>
    <n v="771166"/>
    <n v="0"/>
    <n v="0"/>
    <n v="110274"/>
    <n v="14076"/>
    <n v="1814610"/>
    <n v="824423"/>
    <n v="0"/>
    <n v="824423"/>
    <n v="54000"/>
    <n v="0"/>
    <n v="0"/>
    <n v="0"/>
    <n v="0"/>
    <n v="0"/>
    <n v="0"/>
    <n v="0"/>
    <n v="0"/>
    <n v="0"/>
    <n v="0"/>
  </r>
  <r>
    <x v="56"/>
    <x v="6"/>
    <x v="6"/>
    <n v="3081346"/>
    <n v="1252503"/>
    <n v="350000"/>
    <n v="0"/>
    <n v="0"/>
    <n v="55179"/>
    <n v="0"/>
    <n v="1657682"/>
    <n v="521873"/>
    <n v="0"/>
    <n v="521873"/>
    <n v="102384"/>
    <n v="0"/>
    <n v="0"/>
    <n v="0"/>
    <n v="0"/>
    <n v="0"/>
    <n v="0"/>
    <n v="0"/>
    <n v="0"/>
    <n v="0"/>
    <n v="0"/>
  </r>
  <r>
    <x v="56"/>
    <x v="8"/>
    <x v="8"/>
    <n v="1236162"/>
    <n v="339280"/>
    <n v="50000"/>
    <n v="0"/>
    <n v="0"/>
    <n v="16828"/>
    <n v="0"/>
    <n v="406108"/>
    <n v="124140"/>
    <n v="0"/>
    <n v="124140"/>
    <n v="12420"/>
    <n v="0"/>
    <n v="0"/>
    <n v="163183"/>
    <n v="0"/>
    <n v="0"/>
    <n v="163183"/>
    <n v="0"/>
    <n v="0"/>
    <n v="0"/>
    <n v="0"/>
  </r>
  <r>
    <x v="56"/>
    <x v="9"/>
    <x v="9"/>
    <n v="1015378"/>
    <n v="302925"/>
    <n v="50000"/>
    <n v="0"/>
    <n v="0"/>
    <n v="0"/>
    <n v="0"/>
    <n v="352925"/>
    <n v="265479"/>
    <n v="0"/>
    <n v="265479"/>
    <n v="12420"/>
    <n v="0"/>
    <n v="0"/>
    <n v="0"/>
    <n v="0"/>
    <n v="0"/>
    <n v="0"/>
    <n v="0"/>
    <n v="0"/>
    <n v="0"/>
    <n v="0"/>
  </r>
  <r>
    <x v="56"/>
    <x v="11"/>
    <x v="11"/>
    <n v="2133548"/>
    <n v="687112"/>
    <n v="0"/>
    <n v="0"/>
    <n v="0"/>
    <n v="21365"/>
    <n v="0"/>
    <n v="708477"/>
    <n v="542900"/>
    <n v="0"/>
    <n v="542900"/>
    <n v="35100"/>
    <n v="0"/>
    <n v="0"/>
    <n v="0"/>
    <n v="0"/>
    <n v="0"/>
    <n v="0"/>
    <n v="0"/>
    <n v="0"/>
    <n v="0"/>
    <n v="0"/>
  </r>
  <r>
    <x v="56"/>
    <x v="10"/>
    <x v="10"/>
    <n v="3185656"/>
    <n v="648421"/>
    <n v="958131"/>
    <n v="0"/>
    <n v="0"/>
    <n v="105380"/>
    <n v="4700"/>
    <n v="1716632"/>
    <n v="979802"/>
    <n v="0"/>
    <n v="979802"/>
    <n v="24300"/>
    <n v="0"/>
    <n v="73432"/>
    <n v="0"/>
    <n v="0"/>
    <n v="0"/>
    <n v="0"/>
    <n v="0"/>
    <n v="0"/>
    <n v="0"/>
    <n v="0"/>
  </r>
  <r>
    <x v="57"/>
    <x v="1"/>
    <x v="1"/>
    <n v="140400"/>
    <n v="76778"/>
    <n v="939074"/>
    <n v="0"/>
    <n v="2000000"/>
    <n v="400659"/>
    <n v="0"/>
    <n v="3416511"/>
    <n v="1563805"/>
    <n v="0"/>
    <n v="1563805"/>
    <n v="0"/>
    <n v="0"/>
    <n v="0"/>
    <n v="0"/>
    <n v="0"/>
    <n v="0"/>
    <n v="0"/>
    <n v="113702"/>
    <n v="497938"/>
    <n v="0"/>
    <n v="0"/>
  </r>
  <r>
    <x v="57"/>
    <x v="2"/>
    <x v="2"/>
    <n v="10634528"/>
    <n v="3565236"/>
    <n v="1980393"/>
    <n v="0"/>
    <n v="0"/>
    <n v="356726"/>
    <n v="24390"/>
    <n v="5926745"/>
    <n v="731238"/>
    <n v="0"/>
    <n v="731238"/>
    <n v="7621"/>
    <n v="0"/>
    <n v="0"/>
    <n v="0"/>
    <n v="0"/>
    <n v="0"/>
    <n v="0"/>
    <n v="0"/>
    <n v="0"/>
    <n v="0"/>
    <n v="0"/>
  </r>
  <r>
    <x v="57"/>
    <x v="3"/>
    <x v="3"/>
    <n v="6290993"/>
    <n v="1521600"/>
    <n v="1925714"/>
    <n v="0"/>
    <n v="0"/>
    <n v="384882"/>
    <n v="163333"/>
    <n v="3995529"/>
    <n v="879489"/>
    <n v="0"/>
    <n v="879489"/>
    <n v="47952"/>
    <n v="0"/>
    <n v="0"/>
    <n v="0"/>
    <n v="0"/>
    <n v="0"/>
    <n v="0"/>
    <n v="0"/>
    <n v="0"/>
    <n v="0"/>
    <n v="0"/>
  </r>
  <r>
    <x v="57"/>
    <x v="4"/>
    <x v="4"/>
    <n v="5787410"/>
    <n v="1824962"/>
    <n v="1342495"/>
    <n v="0"/>
    <n v="0"/>
    <n v="297113"/>
    <n v="1143"/>
    <n v="3465713"/>
    <n v="902306"/>
    <n v="0"/>
    <n v="902306"/>
    <n v="123696"/>
    <n v="0"/>
    <n v="0"/>
    <n v="0"/>
    <n v="0"/>
    <n v="0"/>
    <n v="0"/>
    <n v="0"/>
    <n v="0"/>
    <n v="0"/>
    <n v="0"/>
  </r>
  <r>
    <x v="57"/>
    <x v="5"/>
    <x v="5"/>
    <n v="3270391"/>
    <n v="949243"/>
    <n v="796962"/>
    <n v="0"/>
    <n v="0"/>
    <n v="171179"/>
    <n v="0"/>
    <n v="1917384"/>
    <n v="966398"/>
    <n v="0"/>
    <n v="966398"/>
    <n v="50988"/>
    <n v="0"/>
    <n v="0"/>
    <n v="0"/>
    <n v="0"/>
    <n v="0"/>
    <n v="0"/>
    <n v="0"/>
    <n v="0"/>
    <n v="0"/>
    <n v="0"/>
  </r>
  <r>
    <x v="57"/>
    <x v="6"/>
    <x v="6"/>
    <n v="2989139"/>
    <n v="1023599"/>
    <n v="650000"/>
    <n v="0"/>
    <n v="0"/>
    <n v="140787"/>
    <n v="30000"/>
    <n v="1844386"/>
    <n v="346984"/>
    <n v="0"/>
    <n v="346984"/>
    <n v="0"/>
    <n v="0"/>
    <n v="0"/>
    <n v="0"/>
    <n v="0"/>
    <n v="0"/>
    <n v="0"/>
    <n v="0"/>
    <n v="0"/>
    <n v="0"/>
    <n v="0"/>
  </r>
  <r>
    <x v="57"/>
    <x v="8"/>
    <x v="8"/>
    <n v="1051496"/>
    <n v="361400"/>
    <n v="50000"/>
    <n v="0"/>
    <n v="0"/>
    <n v="26177"/>
    <n v="0"/>
    <n v="437577"/>
    <n v="127801"/>
    <n v="0"/>
    <n v="127801"/>
    <n v="0"/>
    <n v="0"/>
    <n v="0"/>
    <n v="0"/>
    <n v="0"/>
    <n v="0"/>
    <n v="0"/>
    <n v="0"/>
    <n v="0"/>
    <n v="0"/>
    <n v="0"/>
  </r>
  <r>
    <x v="57"/>
    <x v="9"/>
    <x v="9"/>
    <n v="1061492"/>
    <n v="310225"/>
    <n v="50000"/>
    <n v="0"/>
    <n v="0"/>
    <n v="0"/>
    <n v="0"/>
    <n v="360225"/>
    <n v="183340"/>
    <n v="0"/>
    <n v="183340"/>
    <n v="0"/>
    <n v="0"/>
    <n v="0"/>
    <n v="0"/>
    <n v="0"/>
    <n v="0"/>
    <n v="0"/>
    <n v="0"/>
    <n v="0"/>
    <n v="0"/>
    <n v="0"/>
  </r>
  <r>
    <x v="57"/>
    <x v="11"/>
    <x v="11"/>
    <n v="3275498"/>
    <n v="640064"/>
    <n v="0"/>
    <n v="0"/>
    <n v="0"/>
    <n v="32960"/>
    <n v="0"/>
    <n v="673024"/>
    <n v="624881"/>
    <n v="0"/>
    <n v="624881"/>
    <n v="0"/>
    <n v="0"/>
    <n v="0"/>
    <n v="0"/>
    <n v="0"/>
    <n v="0"/>
    <n v="0"/>
    <n v="0"/>
    <n v="0"/>
    <n v="0"/>
    <n v="0"/>
  </r>
  <r>
    <x v="57"/>
    <x v="10"/>
    <x v="10"/>
    <n v="3195164"/>
    <n v="586197"/>
    <n v="956289"/>
    <n v="0"/>
    <n v="0"/>
    <n v="163520"/>
    <n v="0"/>
    <n v="1706006"/>
    <n v="980412"/>
    <n v="0"/>
    <n v="980412"/>
    <n v="0"/>
    <n v="0"/>
    <n v="77730"/>
    <n v="0"/>
    <n v="0"/>
    <n v="0"/>
    <n v="0"/>
    <n v="0"/>
    <n v="0"/>
    <n v="0"/>
    <n v="0"/>
  </r>
  <r>
    <x v="58"/>
    <x v="1"/>
    <x v="1"/>
    <n v="0"/>
    <n v="0"/>
    <n v="935385"/>
    <n v="0"/>
    <n v="2500000"/>
    <n v="360554"/>
    <n v="669158"/>
    <n v="4465097"/>
    <n v="2425654"/>
    <n v="0"/>
    <n v="2425654"/>
    <n v="519480"/>
    <n v="0"/>
    <n v="0"/>
    <n v="0"/>
    <n v="0"/>
    <n v="0"/>
    <n v="0"/>
    <n v="162234"/>
    <n v="398466"/>
    <n v="0"/>
    <n v="0"/>
  </r>
  <r>
    <x v="58"/>
    <x v="2"/>
    <x v="2"/>
    <n v="9718481"/>
    <n v="3514473"/>
    <n v="1988138"/>
    <n v="0"/>
    <n v="0"/>
    <n v="321067"/>
    <n v="51243"/>
    <n v="5874921"/>
    <n v="718518"/>
    <n v="0"/>
    <n v="718518"/>
    <n v="98400"/>
    <n v="0"/>
    <n v="0"/>
    <n v="0"/>
    <n v="0"/>
    <n v="0"/>
    <n v="0"/>
    <n v="0"/>
    <n v="0"/>
    <n v="0"/>
    <n v="0"/>
  </r>
  <r>
    <x v="58"/>
    <x v="3"/>
    <x v="3"/>
    <n v="5954408"/>
    <n v="1346063"/>
    <n v="2118936"/>
    <n v="0"/>
    <n v="0"/>
    <n v="376349"/>
    <n v="15553"/>
    <n v="3856901"/>
    <n v="1009541"/>
    <n v="0"/>
    <n v="1009541"/>
    <n v="48600"/>
    <n v="0"/>
    <n v="0"/>
    <n v="0"/>
    <n v="0"/>
    <n v="0"/>
    <n v="0"/>
    <n v="0"/>
    <n v="0"/>
    <n v="0"/>
    <n v="0"/>
  </r>
  <r>
    <x v="58"/>
    <x v="4"/>
    <x v="4"/>
    <n v="5899891"/>
    <n v="1878917"/>
    <n v="1348645"/>
    <n v="0"/>
    <n v="0"/>
    <n v="269819"/>
    <n v="23071"/>
    <n v="3520452"/>
    <n v="829374"/>
    <n v="0"/>
    <n v="829374"/>
    <n v="105300"/>
    <n v="0"/>
    <n v="0"/>
    <n v="0"/>
    <n v="0"/>
    <n v="0"/>
    <n v="0"/>
    <n v="0"/>
    <n v="0"/>
    <n v="0"/>
    <n v="0"/>
  </r>
  <r>
    <x v="58"/>
    <x v="5"/>
    <x v="5"/>
    <n v="3507733"/>
    <n v="662686"/>
    <n v="803939"/>
    <n v="0"/>
    <n v="0"/>
    <n v="154166"/>
    <n v="0"/>
    <n v="1620791"/>
    <n v="859233"/>
    <n v="0"/>
    <n v="859233"/>
    <n v="1200"/>
    <n v="0"/>
    <n v="0"/>
    <n v="0"/>
    <n v="0"/>
    <n v="0"/>
    <n v="0"/>
    <n v="0"/>
    <n v="0"/>
    <n v="0"/>
    <n v="0"/>
  </r>
  <r>
    <x v="58"/>
    <x v="6"/>
    <x v="6"/>
    <n v="2574677"/>
    <n v="1031028"/>
    <n v="650000"/>
    <n v="0"/>
    <n v="0"/>
    <n v="97264"/>
    <n v="0"/>
    <n v="1778292"/>
    <n v="604342"/>
    <n v="0"/>
    <n v="604342"/>
    <n v="0"/>
    <n v="0"/>
    <n v="0"/>
    <n v="0"/>
    <n v="0"/>
    <n v="0"/>
    <n v="0"/>
    <n v="0"/>
    <n v="0"/>
    <n v="0"/>
    <n v="0"/>
  </r>
  <r>
    <x v="58"/>
    <x v="8"/>
    <x v="8"/>
    <n v="1225409"/>
    <n v="344537"/>
    <n v="50000"/>
    <n v="0"/>
    <n v="0"/>
    <n v="23522"/>
    <n v="0"/>
    <n v="418059"/>
    <n v="155938"/>
    <n v="0"/>
    <n v="155938"/>
    <n v="0"/>
    <n v="0"/>
    <n v="0"/>
    <n v="0"/>
    <n v="0"/>
    <n v="0"/>
    <n v="0"/>
    <n v="0"/>
    <n v="0"/>
    <n v="0"/>
    <n v="0"/>
  </r>
  <r>
    <x v="58"/>
    <x v="9"/>
    <x v="9"/>
    <n v="1000792"/>
    <n v="282700"/>
    <n v="50000"/>
    <n v="0"/>
    <n v="0"/>
    <n v="0"/>
    <n v="0"/>
    <n v="332700"/>
    <n v="233991"/>
    <n v="0"/>
    <n v="233991"/>
    <n v="0"/>
    <n v="0"/>
    <n v="0"/>
    <n v="0"/>
    <n v="0"/>
    <n v="0"/>
    <n v="0"/>
    <n v="0"/>
    <n v="0"/>
    <n v="0"/>
    <n v="0"/>
  </r>
  <r>
    <x v="58"/>
    <x v="11"/>
    <x v="11"/>
    <n v="2705860"/>
    <n v="680775"/>
    <n v="0"/>
    <n v="0"/>
    <n v="0"/>
    <n v="29775"/>
    <n v="0"/>
    <n v="710550"/>
    <n v="688081"/>
    <n v="0"/>
    <n v="688081"/>
    <n v="0"/>
    <n v="0"/>
    <n v="0"/>
    <n v="0"/>
    <n v="0"/>
    <n v="0"/>
    <n v="0"/>
    <n v="0"/>
    <n v="0"/>
    <n v="0"/>
    <n v="0"/>
  </r>
  <r>
    <x v="58"/>
    <x v="10"/>
    <x v="10"/>
    <n v="3133826"/>
    <n v="596852"/>
    <n v="950404"/>
    <n v="0"/>
    <n v="0"/>
    <n v="147133"/>
    <n v="0"/>
    <n v="1694389"/>
    <n v="882358"/>
    <n v="0"/>
    <n v="882358"/>
    <n v="25500"/>
    <n v="0"/>
    <n v="78013"/>
    <n v="0"/>
    <n v="0"/>
    <n v="0"/>
    <n v="0"/>
    <n v="0"/>
    <n v="0"/>
    <n v="0"/>
    <n v="0"/>
  </r>
  <r>
    <x v="59"/>
    <x v="1"/>
    <x v="1"/>
    <n v="0"/>
    <n v="0"/>
    <n v="931293"/>
    <n v="1398875"/>
    <n v="2500000"/>
    <n v="-52948.242243558198"/>
    <n v="710430"/>
    <n v="5487649.7577564418"/>
    <n v="2104595"/>
    <n v="0"/>
    <n v="2104595"/>
    <n v="0"/>
    <n v="0"/>
    <n v="0"/>
    <n v="0"/>
    <n v="0"/>
    <n v="0"/>
    <n v="0"/>
    <n v="210977"/>
    <n v="353206"/>
    <n v="0"/>
    <n v="0"/>
  </r>
  <r>
    <x v="59"/>
    <x v="2"/>
    <x v="2"/>
    <n v="10007332"/>
    <n v="3446593"/>
    <n v="1976032"/>
    <n v="3800875"/>
    <n v="0"/>
    <n v="-50421.419093419929"/>
    <n v="73335"/>
    <n v="9246413.5809065793"/>
    <n v="1226343"/>
    <n v="0"/>
    <n v="1226343"/>
    <n v="48600"/>
    <n v="0"/>
    <n v="0"/>
    <n v="0"/>
    <n v="0"/>
    <n v="0"/>
    <n v="0"/>
    <n v="0"/>
    <n v="0"/>
    <n v="0"/>
    <n v="0"/>
  </r>
  <r>
    <x v="59"/>
    <x v="3"/>
    <x v="3"/>
    <n v="5963920"/>
    <n v="1316877"/>
    <n v="2260418"/>
    <n v="3385000"/>
    <n v="0"/>
    <n v="-66173.033578658826"/>
    <n v="0"/>
    <n v="6896121.9664213415"/>
    <n v="894494"/>
    <n v="0"/>
    <n v="894494"/>
    <n v="47952"/>
    <n v="0"/>
    <n v="0"/>
    <n v="0"/>
    <n v="0"/>
    <n v="0"/>
    <n v="0"/>
    <n v="0"/>
    <n v="0"/>
    <n v="0"/>
    <n v="0"/>
  </r>
  <r>
    <x v="59"/>
    <x v="4"/>
    <x v="4"/>
    <n v="5629984"/>
    <n v="1864962"/>
    <n v="1333245"/>
    <n v="2770000"/>
    <n v="0"/>
    <n v="-39239.055500687333"/>
    <n v="123018"/>
    <n v="6051985.9444993129"/>
    <n v="997975"/>
    <n v="0"/>
    <n v="997975"/>
    <n v="32400"/>
    <n v="0"/>
    <n v="0"/>
    <n v="0"/>
    <n v="0"/>
    <n v="0"/>
    <n v="0"/>
    <n v="0"/>
    <n v="0"/>
    <n v="0"/>
    <n v="0"/>
  </r>
  <r>
    <x v="59"/>
    <x v="5"/>
    <x v="5"/>
    <n v="3292348"/>
    <n v="1239285"/>
    <n v="824685"/>
    <n v="180000"/>
    <n v="0"/>
    <n v="-22669.38640245752"/>
    <n v="0"/>
    <n v="2221300.6135975425"/>
    <n v="1042803"/>
    <n v="0"/>
    <n v="1042803"/>
    <n v="46440"/>
    <n v="0"/>
    <n v="0"/>
    <n v="0"/>
    <n v="0"/>
    <n v="0"/>
    <n v="0"/>
    <n v="0"/>
    <n v="0"/>
    <n v="0"/>
    <n v="0"/>
  </r>
  <r>
    <x v="59"/>
    <x v="6"/>
    <x v="6"/>
    <n v="2853536"/>
    <n v="1212496"/>
    <n v="658000"/>
    <n v="475000"/>
    <n v="0"/>
    <n v="-14289.186507437851"/>
    <n v="0"/>
    <n v="2331206.8134925622"/>
    <n v="582653"/>
    <n v="0"/>
    <n v="582653"/>
    <n v="0"/>
    <n v="0"/>
    <n v="0"/>
    <n v="0"/>
    <n v="0"/>
    <n v="0"/>
    <n v="0"/>
    <n v="0"/>
    <n v="0"/>
    <n v="0"/>
    <n v="0"/>
  </r>
  <r>
    <x v="59"/>
    <x v="8"/>
    <x v="8"/>
    <n v="1036248"/>
    <n v="371908"/>
    <n v="50000"/>
    <n v="0"/>
    <n v="0"/>
    <n v="-3461.9344628663694"/>
    <n v="0"/>
    <n v="418446.0655371336"/>
    <n v="154535"/>
    <n v="0"/>
    <n v="154535"/>
    <n v="0"/>
    <n v="0"/>
    <n v="0"/>
    <n v="0"/>
    <n v="0"/>
    <n v="0"/>
    <n v="0"/>
    <n v="0"/>
    <n v="0"/>
    <n v="0"/>
    <n v="0"/>
  </r>
  <r>
    <x v="59"/>
    <x v="9"/>
    <x v="9"/>
    <n v="1061492"/>
    <n v="316550"/>
    <n v="50000"/>
    <n v="0"/>
    <n v="0"/>
    <n v="0"/>
    <n v="0"/>
    <n v="366550"/>
    <n v="175504"/>
    <n v="0"/>
    <n v="175504"/>
    <n v="0"/>
    <n v="0"/>
    <n v="0"/>
    <n v="0"/>
    <n v="0"/>
    <n v="0"/>
    <n v="0"/>
    <n v="0"/>
    <n v="0"/>
    <n v="0"/>
    <n v="0"/>
  </r>
  <r>
    <x v="59"/>
    <x v="11"/>
    <x v="11"/>
    <n v="2748469"/>
    <n v="684955"/>
    <n v="0"/>
    <n v="0"/>
    <n v="0"/>
    <n v="-4366.7289966918415"/>
    <n v="0"/>
    <n v="680588.27100330812"/>
    <n v="606874"/>
    <n v="0"/>
    <n v="606874"/>
    <n v="0"/>
    <n v="0"/>
    <n v="0"/>
    <n v="0"/>
    <n v="0"/>
    <n v="0"/>
    <n v="0"/>
    <n v="0"/>
    <n v="0"/>
    <n v="0"/>
    <n v="0"/>
  </r>
  <r>
    <x v="59"/>
    <x v="10"/>
    <x v="10"/>
    <n v="3119675"/>
    <n v="581761"/>
    <n v="922255"/>
    <n v="380000"/>
    <n v="0"/>
    <n v="-21590.013214222141"/>
    <n v="0"/>
    <n v="1862425.9867857778"/>
    <n v="1022330"/>
    <n v="0"/>
    <n v="1022330"/>
    <n v="24300"/>
    <n v="0"/>
    <n v="77744"/>
    <n v="0"/>
    <n v="0"/>
    <n v="0"/>
    <n v="0"/>
    <n v="0"/>
    <n v="0"/>
    <n v="0"/>
    <n v="0"/>
  </r>
  <r>
    <x v="60"/>
    <x v="1"/>
    <x v="1"/>
    <n v="0"/>
    <n v="0"/>
    <n v="938933"/>
    <n v="0"/>
    <n v="2500000"/>
    <n v="1133738"/>
    <n v="-62860"/>
    <n v="4509811"/>
    <n v="2318665"/>
    <n v="0"/>
    <n v="2318665"/>
    <n v="81000"/>
    <n v="0"/>
    <n v="0"/>
    <n v="0"/>
    <n v="0"/>
    <n v="0"/>
    <n v="0"/>
    <n v="111637"/>
    <n v="490477"/>
    <n v="0"/>
    <n v="0"/>
  </r>
  <r>
    <x v="60"/>
    <x v="2"/>
    <x v="2"/>
    <n v="10050857"/>
    <n v="3471506"/>
    <n v="1575046"/>
    <n v="0"/>
    <n v="0"/>
    <n v="1013336"/>
    <n v="58110"/>
    <n v="6117998"/>
    <n v="748654"/>
    <n v="0"/>
    <n v="748654"/>
    <n v="25920"/>
    <n v="0"/>
    <n v="0"/>
    <n v="0"/>
    <n v="0"/>
    <n v="0"/>
    <n v="0"/>
    <n v="0"/>
    <n v="0"/>
    <n v="0"/>
    <n v="0"/>
  </r>
  <r>
    <x v="60"/>
    <x v="3"/>
    <x v="3"/>
    <n v="5489569"/>
    <n v="1289087"/>
    <n v="2246591"/>
    <n v="0"/>
    <n v="0"/>
    <n v="1338312"/>
    <n v="0"/>
    <n v="4873990"/>
    <n v="973495"/>
    <n v="0"/>
    <n v="973495"/>
    <n v="47952"/>
    <n v="0"/>
    <n v="0"/>
    <n v="0"/>
    <n v="0"/>
    <n v="0"/>
    <n v="0"/>
    <n v="0"/>
    <n v="0"/>
    <n v="0"/>
    <n v="0"/>
  </r>
  <r>
    <x v="60"/>
    <x v="4"/>
    <x v="4"/>
    <n v="6168362"/>
    <n v="2029268"/>
    <n v="1339385"/>
    <n v="0"/>
    <n v="0"/>
    <n v="839406"/>
    <n v="996"/>
    <n v="4209055"/>
    <n v="927618"/>
    <n v="0"/>
    <n v="927618"/>
    <n v="51840"/>
    <n v="0"/>
    <n v="0"/>
    <n v="0"/>
    <n v="0"/>
    <n v="0"/>
    <n v="0"/>
    <n v="0"/>
    <n v="0"/>
    <n v="0"/>
    <n v="0"/>
  </r>
  <r>
    <x v="60"/>
    <x v="5"/>
    <x v="5"/>
    <n v="3313516"/>
    <n v="889857"/>
    <n v="768212"/>
    <n v="0"/>
    <n v="0"/>
    <n v="484249"/>
    <n v="0"/>
    <n v="2142318"/>
    <n v="1015011"/>
    <n v="0"/>
    <n v="1015011"/>
    <n v="0"/>
    <n v="0"/>
    <n v="0"/>
    <n v="0"/>
    <n v="0"/>
    <n v="0"/>
    <n v="0"/>
    <n v="0"/>
    <n v="0"/>
    <n v="0"/>
    <n v="0"/>
  </r>
  <r>
    <x v="60"/>
    <x v="6"/>
    <x v="6"/>
    <n v="2617181"/>
    <n v="1143586"/>
    <n v="693438"/>
    <n v="0"/>
    <n v="0"/>
    <n v="305844"/>
    <n v="0"/>
    <n v="2142868"/>
    <n v="573594"/>
    <n v="0"/>
    <n v="573594"/>
    <n v="0"/>
    <n v="0"/>
    <n v="0"/>
    <n v="0"/>
    <n v="0"/>
    <n v="0"/>
    <n v="0"/>
    <n v="0"/>
    <n v="0"/>
    <n v="0"/>
    <n v="0"/>
  </r>
  <r>
    <x v="60"/>
    <x v="8"/>
    <x v="8"/>
    <n v="809040"/>
    <n v="367250"/>
    <n v="0"/>
    <n v="0"/>
    <n v="0"/>
    <n v="73871"/>
    <n v="0"/>
    <n v="441121"/>
    <n v="134184"/>
    <n v="0"/>
    <n v="134184"/>
    <n v="0"/>
    <n v="0"/>
    <n v="0"/>
    <n v="0"/>
    <n v="0"/>
    <n v="0"/>
    <n v="0"/>
    <n v="0"/>
    <n v="0"/>
    <n v="0"/>
    <n v="0"/>
  </r>
  <r>
    <x v="60"/>
    <x v="9"/>
    <x v="9"/>
    <n v="1016092"/>
    <n v="285100"/>
    <n v="0"/>
    <n v="0"/>
    <n v="0"/>
    <n v="0"/>
    <n v="0"/>
    <n v="285100"/>
    <n v="179603"/>
    <n v="0"/>
    <n v="179603"/>
    <n v="0"/>
    <n v="0"/>
    <n v="0"/>
    <n v="0"/>
    <n v="0"/>
    <n v="0"/>
    <n v="0"/>
    <n v="0"/>
    <n v="0"/>
    <n v="0"/>
    <n v="0"/>
  </r>
  <r>
    <x v="60"/>
    <x v="11"/>
    <x v="11"/>
    <n v="2696635"/>
    <n v="713725"/>
    <n v="0"/>
    <n v="0"/>
    <n v="0"/>
    <n v="94146"/>
    <n v="0"/>
    <n v="807871"/>
    <n v="769409"/>
    <n v="0"/>
    <n v="769409"/>
    <n v="0"/>
    <n v="0"/>
    <n v="0"/>
    <n v="0"/>
    <n v="0"/>
    <n v="0"/>
    <n v="0"/>
    <n v="0"/>
    <n v="0"/>
    <n v="0"/>
    <n v="0"/>
  </r>
  <r>
    <x v="60"/>
    <x v="10"/>
    <x v="10"/>
    <n v="2345767"/>
    <n v="660281"/>
    <n v="1103227"/>
    <n v="0"/>
    <n v="0"/>
    <n v="524770"/>
    <n v="217455"/>
    <n v="2505733"/>
    <n v="1003296"/>
    <n v="0"/>
    <n v="1003296"/>
    <n v="25920"/>
    <n v="0"/>
    <n v="59544"/>
    <n v="0"/>
    <n v="0"/>
    <n v="0"/>
    <n v="0"/>
    <n v="0"/>
    <n v="0"/>
    <n v="0"/>
    <n v="0"/>
  </r>
  <r>
    <x v="61"/>
    <x v="1"/>
    <x v="1"/>
    <n v="0"/>
    <n v="0"/>
    <n v="880331"/>
    <n v="0"/>
    <n v="2500000"/>
    <n v="274561"/>
    <n v="0"/>
    <n v="3654892"/>
    <n v="1654867"/>
    <n v="0"/>
    <n v="1654867"/>
    <n v="0"/>
    <n v="0"/>
    <n v="0"/>
    <n v="0"/>
    <n v="0"/>
    <n v="0"/>
    <n v="0"/>
    <n v="12196"/>
    <n v="375068"/>
    <n v="0"/>
    <n v="0"/>
  </r>
  <r>
    <x v="61"/>
    <x v="2"/>
    <x v="2"/>
    <n v="9647827"/>
    <n v="3312925"/>
    <n v="1516081"/>
    <n v="0"/>
    <n v="0"/>
    <n v="257023"/>
    <n v="13705"/>
    <n v="5099734"/>
    <n v="830339"/>
    <n v="34992"/>
    <n v="865331"/>
    <n v="97200"/>
    <n v="0"/>
    <n v="0"/>
    <n v="0"/>
    <n v="0"/>
    <n v="0"/>
    <n v="0"/>
    <n v="0"/>
    <n v="0"/>
    <n v="0"/>
    <n v="0"/>
  </r>
  <r>
    <x v="61"/>
    <x v="3"/>
    <x v="3"/>
    <n v="5383737"/>
    <n v="1305453"/>
    <n v="2541385"/>
    <n v="0"/>
    <n v="0"/>
    <n v="341038"/>
    <n v="3005"/>
    <n v="4190881"/>
    <n v="981443"/>
    <n v="0"/>
    <n v="981443"/>
    <n v="47952"/>
    <n v="0"/>
    <n v="0"/>
    <n v="0"/>
    <n v="0"/>
    <n v="0"/>
    <n v="0"/>
    <n v="0"/>
    <n v="0"/>
    <n v="0"/>
    <n v="0"/>
  </r>
  <r>
    <x v="61"/>
    <x v="4"/>
    <x v="4"/>
    <n v="5709957"/>
    <n v="1811119"/>
    <n v="1828831"/>
    <n v="0"/>
    <n v="0"/>
    <n v="312594"/>
    <n v="16901"/>
    <n v="3969445"/>
    <n v="785358"/>
    <n v="0"/>
    <n v="785358"/>
    <n v="0"/>
    <n v="0"/>
    <n v="0"/>
    <n v="0"/>
    <n v="0"/>
    <n v="0"/>
    <n v="0"/>
    <n v="0"/>
    <n v="0"/>
    <n v="0"/>
    <n v="0"/>
  </r>
  <r>
    <x v="61"/>
    <x v="5"/>
    <x v="5"/>
    <n v="3497339"/>
    <n v="1088483"/>
    <n v="975211"/>
    <n v="0"/>
    <n v="0"/>
    <n v="205964"/>
    <n v="2501"/>
    <n v="2272159"/>
    <n v="1024904"/>
    <n v="0"/>
    <n v="1024904"/>
    <n v="113400"/>
    <n v="0"/>
    <n v="0"/>
    <n v="0"/>
    <n v="0"/>
    <n v="0"/>
    <n v="0"/>
    <n v="0"/>
    <n v="0"/>
    <n v="0"/>
    <n v="0"/>
  </r>
  <r>
    <x v="61"/>
    <x v="6"/>
    <x v="6"/>
    <n v="3057960"/>
    <n v="1053851"/>
    <n v="450000"/>
    <n v="0"/>
    <n v="0"/>
    <n v="38048"/>
    <n v="2501"/>
    <n v="1544400"/>
    <n v="616591"/>
    <n v="0"/>
    <n v="616591"/>
    <n v="24300"/>
    <n v="0"/>
    <n v="0"/>
    <n v="0"/>
    <n v="0"/>
    <n v="0"/>
    <n v="0"/>
    <n v="0"/>
    <n v="0"/>
    <n v="0"/>
    <n v="0"/>
  </r>
  <r>
    <x v="61"/>
    <x v="8"/>
    <x v="8"/>
    <n v="741413"/>
    <n v="309333"/>
    <n v="0"/>
    <n v="0"/>
    <n v="0"/>
    <n v="17857"/>
    <n v="0"/>
    <n v="327190"/>
    <n v="126910"/>
    <n v="0"/>
    <n v="126910"/>
    <n v="0"/>
    <n v="0"/>
    <n v="0"/>
    <n v="0"/>
    <n v="0"/>
    <n v="0"/>
    <n v="0"/>
    <n v="0"/>
    <n v="0"/>
    <n v="0"/>
    <n v="0"/>
  </r>
  <r>
    <x v="61"/>
    <x v="9"/>
    <x v="9"/>
    <n v="939922"/>
    <n v="254875"/>
    <n v="0"/>
    <n v="0"/>
    <n v="0"/>
    <n v="0"/>
    <n v="0"/>
    <n v="254875"/>
    <n v="178705"/>
    <n v="0"/>
    <n v="178705"/>
    <n v="0"/>
    <n v="0"/>
    <n v="0"/>
    <n v="0"/>
    <n v="0"/>
    <n v="0"/>
    <n v="0"/>
    <n v="0"/>
    <n v="0"/>
    <n v="0"/>
    <n v="0"/>
  </r>
  <r>
    <x v="61"/>
    <x v="11"/>
    <x v="11"/>
    <n v="2570319"/>
    <n v="614310"/>
    <n v="0"/>
    <n v="0"/>
    <n v="0"/>
    <n v="23315"/>
    <n v="0"/>
    <n v="637625"/>
    <n v="616496"/>
    <n v="0"/>
    <n v="616496"/>
    <n v="0"/>
    <n v="0"/>
    <n v="0"/>
    <n v="0"/>
    <n v="0"/>
    <n v="0"/>
    <n v="0"/>
    <n v="0"/>
    <n v="0"/>
    <n v="0"/>
    <n v="0"/>
  </r>
  <r>
    <x v="61"/>
    <x v="10"/>
    <x v="10"/>
    <n v="2169663"/>
    <n v="566140"/>
    <n v="697207"/>
    <n v="0"/>
    <n v="0"/>
    <n v="50562"/>
    <n v="0"/>
    <n v="1313909"/>
    <n v="1081985"/>
    <n v="0"/>
    <n v="1081985"/>
    <n v="72900"/>
    <n v="0"/>
    <n v="58427"/>
    <n v="0"/>
    <n v="0"/>
    <n v="0"/>
    <n v="0"/>
    <n v="0"/>
    <n v="0"/>
    <n v="0"/>
    <n v="0"/>
  </r>
  <r>
    <x v="62"/>
    <x v="1"/>
    <x v="1"/>
    <n v="0"/>
    <n v="0"/>
    <n v="881470"/>
    <n v="0"/>
    <n v="2500000"/>
    <n v="380812"/>
    <n v="0"/>
    <n v="3762282"/>
    <n v="2685780"/>
    <n v="0"/>
    <n v="2685780"/>
    <n v="0"/>
    <n v="0"/>
    <n v="0"/>
    <n v="0"/>
    <n v="0"/>
    <n v="0"/>
    <n v="0"/>
    <n v="235621"/>
    <n v="386869"/>
    <n v="0"/>
    <n v="0"/>
  </r>
  <r>
    <x v="62"/>
    <x v="2"/>
    <x v="2"/>
    <n v="10237581"/>
    <n v="3641116"/>
    <n v="1504051"/>
    <n v="0"/>
    <n v="0"/>
    <n v="314706"/>
    <n v="69849"/>
    <n v="5529722"/>
    <n v="955471"/>
    <n v="54136"/>
    <n v="1009607"/>
    <n v="48600"/>
    <n v="0"/>
    <n v="0"/>
    <n v="0"/>
    <n v="0"/>
    <n v="0"/>
    <n v="0"/>
    <n v="0"/>
    <n v="0"/>
    <n v="0"/>
    <n v="0"/>
  </r>
  <r>
    <x v="62"/>
    <x v="3"/>
    <x v="3"/>
    <n v="5385437"/>
    <n v="1522073"/>
    <n v="2285024"/>
    <n v="0"/>
    <n v="0"/>
    <n v="379398"/>
    <n v="2869"/>
    <n v="4189364"/>
    <n v="1138983"/>
    <n v="0"/>
    <n v="1138983"/>
    <n v="112752"/>
    <n v="0"/>
    <n v="0"/>
    <n v="0"/>
    <n v="0"/>
    <n v="0"/>
    <n v="0"/>
    <n v="0"/>
    <n v="0"/>
    <n v="0"/>
    <n v="0"/>
  </r>
  <r>
    <x v="62"/>
    <x v="4"/>
    <x v="4"/>
    <n v="5793244"/>
    <n v="1857613"/>
    <n v="1642018"/>
    <n v="0"/>
    <n v="0"/>
    <n v="325425"/>
    <n v="3621"/>
    <n v="3828677"/>
    <n v="859073"/>
    <n v="0"/>
    <n v="859073"/>
    <n v="51840"/>
    <n v="0"/>
    <n v="0"/>
    <n v="0"/>
    <n v="0"/>
    <n v="0"/>
    <n v="0"/>
    <n v="0"/>
    <n v="0"/>
    <n v="0"/>
    <n v="0"/>
  </r>
  <r>
    <x v="62"/>
    <x v="5"/>
    <x v="5"/>
    <n v="3458623"/>
    <n v="1190810"/>
    <n v="954889"/>
    <n v="0"/>
    <n v="0"/>
    <n v="251605"/>
    <n v="61454"/>
    <n v="2458758"/>
    <n v="969911"/>
    <n v="0"/>
    <n v="969911"/>
    <n v="0"/>
    <n v="0"/>
    <n v="0"/>
    <n v="0"/>
    <n v="0"/>
    <n v="0"/>
    <n v="0"/>
    <n v="0"/>
    <n v="0"/>
    <n v="0"/>
    <n v="0"/>
  </r>
  <r>
    <x v="62"/>
    <x v="6"/>
    <x v="6"/>
    <n v="3056897"/>
    <n v="1164519"/>
    <n v="500000"/>
    <n v="0"/>
    <n v="0"/>
    <n v="46737"/>
    <n v="2377"/>
    <n v="1713633"/>
    <n v="684050"/>
    <n v="0"/>
    <n v="684050"/>
    <n v="0"/>
    <n v="0"/>
    <n v="0"/>
    <n v="0"/>
    <n v="0"/>
    <n v="0"/>
    <n v="0"/>
    <n v="0"/>
    <n v="0"/>
    <n v="0"/>
    <n v="0"/>
  </r>
  <r>
    <x v="62"/>
    <x v="8"/>
    <x v="8"/>
    <n v="820390"/>
    <n v="344078"/>
    <n v="0"/>
    <n v="0"/>
    <n v="0"/>
    <n v="21950"/>
    <n v="0"/>
    <n v="366028"/>
    <n v="167880"/>
    <n v="0"/>
    <n v="167880"/>
    <n v="32400"/>
    <n v="0"/>
    <n v="0"/>
    <n v="0"/>
    <n v="0"/>
    <n v="0"/>
    <n v="0"/>
    <n v="0"/>
    <n v="0"/>
    <n v="0"/>
    <n v="0"/>
  </r>
  <r>
    <x v="62"/>
    <x v="9"/>
    <x v="9"/>
    <n v="1205836"/>
    <n v="301575"/>
    <n v="0"/>
    <n v="0"/>
    <n v="0"/>
    <n v="0"/>
    <n v="0"/>
    <n v="301575"/>
    <n v="322423"/>
    <n v="0"/>
    <n v="322423"/>
    <n v="17280"/>
    <n v="0"/>
    <n v="0"/>
    <n v="0"/>
    <n v="0"/>
    <n v="0"/>
    <n v="0"/>
    <n v="0"/>
    <n v="0"/>
    <n v="0"/>
    <n v="0"/>
  </r>
  <r>
    <x v="62"/>
    <x v="11"/>
    <x v="11"/>
    <n v="2819531"/>
    <n v="688933"/>
    <n v="0"/>
    <n v="0"/>
    <n v="0"/>
    <n v="28024"/>
    <n v="0"/>
    <n v="716957"/>
    <n v="632985"/>
    <n v="0"/>
    <n v="632985"/>
    <n v="17280"/>
    <n v="0"/>
    <n v="0"/>
    <n v="0"/>
    <n v="0"/>
    <n v="0"/>
    <n v="0"/>
    <n v="0"/>
    <n v="0"/>
    <n v="0"/>
    <n v="0"/>
  </r>
  <r>
    <x v="62"/>
    <x v="10"/>
    <x v="10"/>
    <n v="2256558"/>
    <n v="670372"/>
    <n v="694235"/>
    <n v="0"/>
    <n v="0"/>
    <n v="55981"/>
    <n v="0"/>
    <n v="1420588"/>
    <n v="799757"/>
    <n v="0"/>
    <n v="799757"/>
    <n v="17280"/>
    <n v="0"/>
    <n v="61905"/>
    <n v="0"/>
    <n v="0"/>
    <n v="0"/>
    <n v="0"/>
    <n v="0"/>
    <n v="0"/>
    <n v="0"/>
    <n v="0"/>
  </r>
  <r>
    <x v="62"/>
    <x v="12"/>
    <x v="12"/>
    <n v="0"/>
    <n v="0"/>
    <n v="0"/>
    <n v="0"/>
    <n v="0"/>
    <n v="0"/>
    <n v="0"/>
    <n v="0"/>
    <n v="793800"/>
    <n v="0"/>
    <n v="793800"/>
    <n v="0"/>
    <n v="0"/>
    <n v="0"/>
    <n v="0"/>
    <n v="0"/>
    <n v="0"/>
    <n v="0"/>
    <n v="0"/>
    <n v="0"/>
    <n v="0"/>
    <n v="0"/>
  </r>
  <r>
    <x v="63"/>
    <x v="1"/>
    <x v="1"/>
    <n v="0"/>
    <n v="0"/>
    <n v="885500"/>
    <n v="0"/>
    <n v="2500000"/>
    <n v="364892"/>
    <n v="5000"/>
    <n v="3755392"/>
    <n v="3392629"/>
    <n v="0"/>
    <n v="3392629"/>
    <n v="359640"/>
    <n v="0"/>
    <n v="0"/>
    <n v="0"/>
    <n v="0"/>
    <n v="0"/>
    <n v="0"/>
    <n v="240455"/>
    <n v="1728970"/>
    <n v="0"/>
    <n v="-451900"/>
  </r>
  <r>
    <x v="63"/>
    <x v="2"/>
    <x v="2"/>
    <n v="10301194"/>
    <n v="3701711"/>
    <n v="1605173"/>
    <n v="0"/>
    <n v="0"/>
    <n v="293378"/>
    <n v="9792"/>
    <n v="5610054"/>
    <n v="853190"/>
    <n v="69984"/>
    <n v="923174"/>
    <n v="48600"/>
    <n v="0"/>
    <n v="0"/>
    <n v="0"/>
    <n v="0"/>
    <n v="0"/>
    <n v="0"/>
    <n v="0"/>
    <n v="0"/>
    <n v="0"/>
    <n v="0"/>
  </r>
  <r>
    <x v="63"/>
    <x v="3"/>
    <x v="3"/>
    <n v="7729590"/>
    <n v="1506172"/>
    <n v="2278943"/>
    <n v="0"/>
    <n v="0"/>
    <n v="356215"/>
    <n v="8990"/>
    <n v="4150320"/>
    <n v="1027364"/>
    <n v="0"/>
    <n v="1027364"/>
    <n v="81000"/>
    <n v="0"/>
    <n v="0"/>
    <n v="0"/>
    <n v="0"/>
    <n v="0"/>
    <n v="0"/>
    <n v="0"/>
    <n v="0"/>
    <n v="0"/>
    <n v="0"/>
  </r>
  <r>
    <x v="63"/>
    <x v="4"/>
    <x v="4"/>
    <n v="6587828"/>
    <n v="1806032"/>
    <n v="1762060"/>
    <n v="0"/>
    <n v="0"/>
    <n v="303341"/>
    <n v="6952"/>
    <n v="3878385"/>
    <n v="777798"/>
    <n v="0"/>
    <n v="777798"/>
    <n v="51840"/>
    <n v="0"/>
    <n v="0"/>
    <n v="0"/>
    <n v="0"/>
    <n v="0"/>
    <n v="0"/>
    <n v="0"/>
    <n v="0"/>
    <n v="0"/>
    <n v="0"/>
  </r>
  <r>
    <x v="63"/>
    <x v="12"/>
    <x v="12"/>
    <n v="0"/>
    <n v="0"/>
    <n v="0"/>
    <n v="0"/>
    <n v="0"/>
    <n v="0"/>
    <n v="0"/>
    <n v="0"/>
    <n v="741095"/>
    <n v="0"/>
    <n v="741095"/>
    <n v="0"/>
    <n v="0"/>
    <n v="0"/>
    <n v="0"/>
    <n v="0"/>
    <n v="0"/>
    <n v="0"/>
    <n v="0"/>
    <n v="0"/>
    <n v="0"/>
    <n v="0"/>
  </r>
  <r>
    <x v="63"/>
    <x v="5"/>
    <x v="5"/>
    <n v="4706520"/>
    <n v="1332891"/>
    <n v="975349"/>
    <n v="0"/>
    <n v="0"/>
    <n v="234380"/>
    <n v="31530"/>
    <n v="2574150"/>
    <n v="821057"/>
    <n v="0"/>
    <n v="821057"/>
    <n v="0"/>
    <n v="0"/>
    <n v="0"/>
    <n v="0"/>
    <n v="0"/>
    <n v="0"/>
    <n v="0"/>
    <n v="0"/>
    <n v="0"/>
    <n v="0"/>
    <n v="0"/>
  </r>
  <r>
    <x v="63"/>
    <x v="6"/>
    <x v="6"/>
    <n v="3183714"/>
    <n v="1170128"/>
    <n v="500000"/>
    <n v="0"/>
    <n v="0"/>
    <n v="43513"/>
    <n v="3617"/>
    <n v="1717258"/>
    <n v="706946"/>
    <n v="0"/>
    <n v="706946"/>
    <n v="32400"/>
    <n v="0"/>
    <n v="0"/>
    <n v="0"/>
    <n v="0"/>
    <n v="0"/>
    <n v="0"/>
    <n v="0"/>
    <n v="0"/>
    <n v="0"/>
    <n v="0"/>
  </r>
  <r>
    <x v="63"/>
    <x v="8"/>
    <x v="8"/>
    <n v="859760"/>
    <n v="327918"/>
    <n v="0"/>
    <n v="0"/>
    <n v="0"/>
    <n v="20375"/>
    <n v="0"/>
    <n v="348293"/>
    <n v="129954"/>
    <n v="0"/>
    <n v="129954"/>
    <n v="0"/>
    <n v="0"/>
    <n v="0"/>
    <n v="0"/>
    <n v="0"/>
    <n v="0"/>
    <n v="0"/>
    <n v="0"/>
    <n v="0"/>
    <n v="0"/>
    <n v="0"/>
  </r>
  <r>
    <x v="63"/>
    <x v="9"/>
    <x v="9"/>
    <n v="1038460"/>
    <n v="285775"/>
    <n v="0"/>
    <n v="0"/>
    <n v="0"/>
    <n v="0"/>
    <n v="0"/>
    <n v="285775"/>
    <n v="182111"/>
    <n v="0"/>
    <n v="182111"/>
    <n v="0"/>
    <n v="0"/>
    <n v="0"/>
    <n v="0"/>
    <n v="0"/>
    <n v="0"/>
    <n v="0"/>
    <n v="0"/>
    <n v="0"/>
    <n v="0"/>
    <n v="0"/>
  </r>
  <r>
    <x v="63"/>
    <x v="11"/>
    <x v="11"/>
    <n v="2754232"/>
    <n v="635210"/>
    <n v="0"/>
    <n v="0"/>
    <n v="0"/>
    <n v="25914"/>
    <n v="0"/>
    <n v="661124"/>
    <n v="658790"/>
    <n v="0"/>
    <n v="658790"/>
    <n v="0"/>
    <n v="0"/>
    <n v="0"/>
    <n v="0"/>
    <n v="0"/>
    <n v="0"/>
    <n v="0"/>
    <n v="0"/>
    <n v="0"/>
    <n v="0"/>
    <n v="0"/>
  </r>
  <r>
    <x v="63"/>
    <x v="10"/>
    <x v="10"/>
    <n v="1960949"/>
    <n v="508048"/>
    <n v="677000"/>
    <n v="0"/>
    <n v="0"/>
    <n v="46590"/>
    <n v="0"/>
    <n v="1231638"/>
    <n v="870969"/>
    <n v="0"/>
    <n v="870969"/>
    <n v="48600"/>
    <n v="0"/>
    <n v="45399"/>
    <n v="0"/>
    <n v="0"/>
    <n v="0"/>
    <n v="0"/>
    <n v="0"/>
    <n v="0"/>
    <n v="0"/>
    <n v="0"/>
  </r>
  <r>
    <x v="64"/>
    <x v="1"/>
    <x v="1"/>
    <n v="0"/>
    <n v="0"/>
    <n v="886645"/>
    <n v="0"/>
    <n v="2500000"/>
    <n v="375143"/>
    <n v="702"/>
    <n v="3762490"/>
    <n v="2776985"/>
    <n v="0"/>
    <n v="2776985"/>
    <n v="216000"/>
    <n v="0"/>
    <n v="0"/>
    <n v="0"/>
    <n v="0"/>
    <n v="0"/>
    <n v="0"/>
    <n v="131692"/>
    <n v="523134"/>
    <n v="0"/>
    <n v="0"/>
  </r>
  <r>
    <x v="64"/>
    <x v="2"/>
    <x v="2"/>
    <n v="10772827"/>
    <n v="3683627"/>
    <n v="1603715"/>
    <n v="0"/>
    <n v="0"/>
    <n v="300544"/>
    <n v="9765"/>
    <n v="5597651"/>
    <n v="1030679"/>
    <n v="69984"/>
    <n v="1100663"/>
    <n v="194400"/>
    <n v="0"/>
    <n v="0"/>
    <n v="0"/>
    <n v="0"/>
    <n v="0"/>
    <n v="0"/>
    <n v="0"/>
    <n v="0"/>
    <n v="0"/>
    <n v="0"/>
  </r>
  <r>
    <x v="64"/>
    <x v="3"/>
    <x v="3"/>
    <n v="6731026"/>
    <n v="1344542"/>
    <n v="2271244"/>
    <n v="0"/>
    <n v="0"/>
    <n v="332605"/>
    <n v="2500"/>
    <n v="3950891"/>
    <n v="1004094"/>
    <n v="0"/>
    <n v="1004094"/>
    <n v="1000"/>
    <n v="0"/>
    <n v="0"/>
    <n v="0"/>
    <n v="0"/>
    <n v="0"/>
    <n v="0"/>
    <n v="0"/>
    <n v="0"/>
    <n v="0"/>
    <n v="0"/>
  </r>
  <r>
    <x v="64"/>
    <x v="4"/>
    <x v="4"/>
    <n v="6479560"/>
    <n v="1756736"/>
    <n v="1764224"/>
    <n v="0"/>
    <n v="0"/>
    <n v="310574"/>
    <n v="8768"/>
    <n v="3840302"/>
    <n v="870485"/>
    <n v="0"/>
    <n v="870485"/>
    <n v="0"/>
    <n v="0"/>
    <n v="0"/>
    <n v="0"/>
    <n v="0"/>
    <n v="0"/>
    <n v="0"/>
    <n v="0"/>
    <n v="0"/>
    <n v="0"/>
    <n v="0"/>
  </r>
  <r>
    <x v="64"/>
    <x v="12"/>
    <x v="12"/>
    <n v="0"/>
    <n v="0"/>
    <n v="350000"/>
    <n v="0"/>
    <n v="0"/>
    <n v="42363"/>
    <n v="2500"/>
    <n v="394863"/>
    <n v="690320"/>
    <n v="0"/>
    <n v="690320"/>
    <n v="129600"/>
    <n v="0"/>
    <n v="0"/>
    <n v="0"/>
    <n v="0"/>
    <n v="0"/>
    <n v="0"/>
    <n v="0"/>
    <n v="0"/>
    <n v="0"/>
    <n v="0"/>
  </r>
  <r>
    <x v="64"/>
    <x v="5"/>
    <x v="5"/>
    <n v="4419633"/>
    <n v="1559210"/>
    <n v="762550"/>
    <n v="0"/>
    <n v="0"/>
    <n v="198006"/>
    <n v="2500"/>
    <n v="2522266"/>
    <n v="1282778"/>
    <n v="0"/>
    <n v="1282778"/>
    <n v="243000"/>
    <n v="0"/>
    <n v="0"/>
    <n v="0"/>
    <n v="0"/>
    <n v="0"/>
    <n v="0"/>
    <n v="0"/>
    <n v="0"/>
    <n v="0"/>
    <n v="0"/>
  </r>
  <r>
    <x v="64"/>
    <x v="6"/>
    <x v="6"/>
    <n v="3021707"/>
    <n v="1194309"/>
    <n v="350000"/>
    <n v="0"/>
    <n v="0"/>
    <n v="44530"/>
    <n v="2500"/>
    <n v="1591339"/>
    <n v="727124"/>
    <n v="0"/>
    <n v="727124"/>
    <n v="32400"/>
    <n v="0"/>
    <n v="0"/>
    <n v="0"/>
    <n v="0"/>
    <n v="0"/>
    <n v="0"/>
    <n v="0"/>
    <n v="0"/>
    <n v="0"/>
    <n v="0"/>
  </r>
  <r>
    <x v="64"/>
    <x v="8"/>
    <x v="8"/>
    <n v="1366814"/>
    <n v="339463"/>
    <n v="0"/>
    <n v="0"/>
    <n v="0"/>
    <n v="20978"/>
    <n v="0"/>
    <n v="360441"/>
    <n v="129795"/>
    <n v="0"/>
    <n v="129795"/>
    <n v="0"/>
    <n v="0"/>
    <n v="0"/>
    <n v="0"/>
    <n v="0"/>
    <n v="0"/>
    <n v="0"/>
    <n v="0"/>
    <n v="0"/>
    <n v="0"/>
    <n v="0"/>
  </r>
  <r>
    <x v="64"/>
    <x v="9"/>
    <x v="9"/>
    <n v="1150795"/>
    <n v="303275"/>
    <n v="0"/>
    <n v="0"/>
    <n v="0"/>
    <n v="0"/>
    <n v="0"/>
    <n v="303275"/>
    <n v="184675"/>
    <n v="0"/>
    <n v="184675"/>
    <n v="0"/>
    <n v="0"/>
    <n v="0"/>
    <n v="0"/>
    <n v="0"/>
    <n v="0"/>
    <n v="0"/>
    <n v="0"/>
    <n v="0"/>
    <n v="0"/>
    <n v="0"/>
  </r>
  <r>
    <x v="64"/>
    <x v="11"/>
    <x v="11"/>
    <n v="3771025"/>
    <n v="641025"/>
    <n v="0"/>
    <n v="0"/>
    <n v="0"/>
    <n v="26538"/>
    <n v="0"/>
    <n v="667563"/>
    <n v="773088"/>
    <n v="0"/>
    <n v="773088"/>
    <n v="0"/>
    <n v="0"/>
    <n v="0"/>
    <n v="0"/>
    <n v="0"/>
    <n v="0"/>
    <n v="0"/>
    <n v="0"/>
    <n v="0"/>
    <n v="0"/>
    <n v="0"/>
  </r>
  <r>
    <x v="64"/>
    <x v="10"/>
    <x v="10"/>
    <n v="1955643"/>
    <n v="616701"/>
    <n v="300000"/>
    <n v="0"/>
    <n v="0"/>
    <n v="0"/>
    <n v="284"/>
    <n v="916985"/>
    <n v="675648"/>
    <n v="0"/>
    <n v="675648"/>
    <n v="0"/>
    <n v="0"/>
    <n v="46251"/>
    <n v="0"/>
    <n v="0"/>
    <n v="0"/>
    <n v="0"/>
    <n v="0"/>
    <n v="0"/>
    <n v="0"/>
    <n v="0"/>
  </r>
  <r>
    <x v="65"/>
    <x v="1"/>
    <x v="1"/>
    <n v="0"/>
    <n v="0"/>
    <n v="882500"/>
    <n v="1273500"/>
    <n v="2500000"/>
    <n v="326819"/>
    <n v="0"/>
    <n v="4982819"/>
    <n v="4225191"/>
    <n v="0"/>
    <n v="4225191"/>
    <n v="734400"/>
    <n v="0"/>
    <n v="0"/>
    <n v="0"/>
    <n v="0"/>
    <n v="0"/>
    <n v="0"/>
    <n v="138866"/>
    <n v="507754"/>
    <n v="0"/>
    <n v="0"/>
  </r>
  <r>
    <x v="65"/>
    <x v="2"/>
    <x v="2"/>
    <n v="9835106"/>
    <n v="3691486"/>
    <n v="1674777"/>
    <n v="2730000"/>
    <n v="0"/>
    <n v="262532"/>
    <n v="-14849"/>
    <n v="8343946"/>
    <n v="722718"/>
    <n v="93312"/>
    <n v="816030"/>
    <n v="0"/>
    <n v="0"/>
    <n v="0"/>
    <n v="0"/>
    <n v="0"/>
    <n v="0"/>
    <n v="0"/>
    <n v="0"/>
    <n v="0"/>
    <n v="0"/>
    <n v="0"/>
  </r>
  <r>
    <x v="65"/>
    <x v="3"/>
    <x v="3"/>
    <n v="6530234"/>
    <n v="1393370"/>
    <n v="2330446"/>
    <n v="650000"/>
    <n v="0"/>
    <n v="290376"/>
    <n v="82228"/>
    <n v="4746420"/>
    <n v="1000461"/>
    <n v="0"/>
    <n v="1000461"/>
    <n v="0"/>
    <n v="0"/>
    <n v="0"/>
    <n v="0"/>
    <n v="0"/>
    <n v="0"/>
    <n v="0"/>
    <n v="0"/>
    <n v="0"/>
    <n v="0"/>
    <n v="0"/>
  </r>
  <r>
    <x v="65"/>
    <x v="4"/>
    <x v="4"/>
    <n v="6806472"/>
    <n v="2004093"/>
    <n v="1804000"/>
    <n v="1645000"/>
    <n v="0"/>
    <n v="271347"/>
    <n v="6683"/>
    <n v="5731123"/>
    <n v="946985"/>
    <n v="0"/>
    <n v="946985"/>
    <n v="149040"/>
    <n v="0"/>
    <n v="0"/>
    <n v="0"/>
    <n v="0"/>
    <n v="0"/>
    <n v="0"/>
    <n v="0"/>
    <n v="0"/>
    <n v="0"/>
    <n v="0"/>
  </r>
  <r>
    <x v="65"/>
    <x v="12"/>
    <x v="12"/>
    <n v="100885"/>
    <n v="49610"/>
    <n v="405592"/>
    <n v="315000"/>
    <n v="0"/>
    <n v="37084"/>
    <n v="38422"/>
    <n v="845708"/>
    <n v="759192"/>
    <n v="0"/>
    <n v="759192"/>
    <n v="196560"/>
    <n v="0"/>
    <n v="0"/>
    <n v="0"/>
    <n v="0"/>
    <n v="0"/>
    <n v="0"/>
    <n v="0"/>
    <n v="0"/>
    <n v="0"/>
    <n v="0"/>
  </r>
  <r>
    <x v="65"/>
    <x v="5"/>
    <x v="5"/>
    <n v="4146272"/>
    <n v="1098748"/>
    <n v="1216925"/>
    <n v="160000"/>
    <n v="0"/>
    <n v="195918"/>
    <n v="3670"/>
    <n v="2675261"/>
    <n v="1171971"/>
    <n v="0"/>
    <n v="1171971"/>
    <n v="0"/>
    <n v="0"/>
    <n v="0"/>
    <n v="0"/>
    <n v="0"/>
    <n v="0"/>
    <n v="0"/>
    <n v="0"/>
    <n v="0"/>
    <n v="0"/>
    <n v="0"/>
  </r>
  <r>
    <x v="65"/>
    <x v="6"/>
    <x v="6"/>
    <n v="2692178"/>
    <n v="1233262"/>
    <n v="350000"/>
    <n v="451800"/>
    <n v="0"/>
    <n v="59494"/>
    <n v="3670"/>
    <n v="2098226"/>
    <n v="683680"/>
    <n v="0"/>
    <n v="683680"/>
    <n v="10171"/>
    <n v="0"/>
    <n v="0"/>
    <n v="0"/>
    <n v="0"/>
    <n v="0"/>
    <n v="0"/>
    <n v="0"/>
    <n v="0"/>
    <n v="0"/>
    <n v="0"/>
  </r>
  <r>
    <x v="65"/>
    <x v="8"/>
    <x v="8"/>
    <n v="548955"/>
    <n v="340543"/>
    <n v="0"/>
    <n v="0"/>
    <n v="0"/>
    <n v="18298"/>
    <n v="0"/>
    <n v="358841"/>
    <n v="173077"/>
    <n v="0"/>
    <n v="173077"/>
    <n v="0"/>
    <n v="0"/>
    <n v="0"/>
    <n v="0"/>
    <n v="0"/>
    <n v="0"/>
    <n v="0"/>
    <n v="0"/>
    <n v="0"/>
    <n v="0"/>
    <n v="0"/>
  </r>
  <r>
    <x v="65"/>
    <x v="9"/>
    <x v="9"/>
    <n v="1054056"/>
    <n v="299100"/>
    <n v="0"/>
    <n v="0"/>
    <n v="0"/>
    <n v="0"/>
    <n v="0"/>
    <n v="299100"/>
    <n v="176539"/>
    <n v="0"/>
    <n v="176539"/>
    <n v="0"/>
    <n v="0"/>
    <n v="0"/>
    <n v="0"/>
    <n v="0"/>
    <n v="0"/>
    <n v="0"/>
    <n v="0"/>
    <n v="0"/>
    <n v="0"/>
    <n v="0"/>
  </r>
  <r>
    <x v="65"/>
    <x v="11"/>
    <x v="11"/>
    <n v="2469018"/>
    <n v="636965"/>
    <n v="0"/>
    <n v="0"/>
    <n v="0"/>
    <n v="23220"/>
    <n v="0"/>
    <n v="660185"/>
    <n v="589882"/>
    <n v="0"/>
    <n v="589882"/>
    <n v="0"/>
    <n v="0"/>
    <n v="0"/>
    <n v="0"/>
    <n v="0"/>
    <n v="0"/>
    <n v="0"/>
    <n v="0"/>
    <n v="0"/>
    <n v="0"/>
    <n v="0"/>
  </r>
  <r>
    <x v="65"/>
    <x v="10"/>
    <x v="10"/>
    <n v="1889542"/>
    <n v="655449"/>
    <n v="300000"/>
    <n v="0"/>
    <n v="0"/>
    <n v="0"/>
    <n v="85"/>
    <n v="955534"/>
    <n v="709959"/>
    <n v="0"/>
    <n v="709959"/>
    <n v="0"/>
    <n v="0"/>
    <n v="42763"/>
    <n v="0"/>
    <n v="0"/>
    <n v="0"/>
    <n v="0"/>
    <n v="0"/>
    <n v="0"/>
    <n v="0"/>
    <n v="0"/>
  </r>
  <r>
    <x v="66"/>
    <x v="1"/>
    <x v="1"/>
    <n v="0"/>
    <n v="0"/>
    <n v="905500"/>
    <n v="0"/>
    <n v="2500000"/>
    <n v="837837"/>
    <n v="448470"/>
    <n v="4691807"/>
    <n v="2631277"/>
    <n v="0"/>
    <n v="2631277"/>
    <n v="66960"/>
    <n v="0"/>
    <n v="0"/>
    <n v="0"/>
    <n v="0"/>
    <n v="0"/>
    <n v="0"/>
    <n v="135812"/>
    <n v="677872"/>
    <n v="0"/>
    <n v="0"/>
  </r>
  <r>
    <x v="66"/>
    <x v="2"/>
    <x v="2"/>
    <n v="11042771"/>
    <n v="3888723"/>
    <n v="1734830"/>
    <n v="0"/>
    <n v="0"/>
    <n v="673537"/>
    <n v="26707"/>
    <n v="6323797"/>
    <n v="953691"/>
    <n v="69984"/>
    <n v="1023675"/>
    <n v="148500"/>
    <n v="0"/>
    <n v="0"/>
    <n v="0"/>
    <n v="0"/>
    <n v="0"/>
    <n v="0"/>
    <n v="0"/>
    <n v="0"/>
    <n v="0"/>
    <n v="0"/>
  </r>
  <r>
    <x v="66"/>
    <x v="3"/>
    <x v="3"/>
    <n v="6075758"/>
    <n v="1478590"/>
    <n v="2419865"/>
    <n v="0"/>
    <n v="0"/>
    <n v="745189"/>
    <n v="7595"/>
    <n v="4651239"/>
    <n v="1024705"/>
    <n v="0"/>
    <n v="1024705"/>
    <n v="51840"/>
    <n v="0"/>
    <n v="0"/>
    <n v="0"/>
    <n v="0"/>
    <n v="0"/>
    <n v="0"/>
    <n v="0"/>
    <n v="0"/>
    <n v="0"/>
    <n v="0"/>
  </r>
  <r>
    <x v="66"/>
    <x v="4"/>
    <x v="4"/>
    <n v="6915528"/>
    <n v="1955103"/>
    <n v="1848415"/>
    <n v="0"/>
    <n v="0"/>
    <n v="695963"/>
    <n v="2571"/>
    <n v="4502052"/>
    <n v="817228"/>
    <n v="0"/>
    <n v="817228"/>
    <n v="0"/>
    <n v="0"/>
    <n v="0"/>
    <n v="0"/>
    <n v="0"/>
    <n v="0"/>
    <n v="0"/>
    <n v="0"/>
    <n v="0"/>
    <n v="0"/>
    <n v="0"/>
  </r>
  <r>
    <x v="66"/>
    <x v="12"/>
    <x v="12"/>
    <n v="663080"/>
    <n v="87952"/>
    <n v="350000"/>
    <n v="0"/>
    <n v="0"/>
    <n v="94565"/>
    <n v="2181"/>
    <n v="534698"/>
    <n v="713868"/>
    <n v="0"/>
    <n v="713868"/>
    <n v="226800"/>
    <n v="0"/>
    <n v="0"/>
    <n v="0"/>
    <n v="0"/>
    <n v="0"/>
    <n v="0"/>
    <n v="0"/>
    <n v="0"/>
    <n v="0"/>
    <n v="0"/>
  </r>
  <r>
    <x v="66"/>
    <x v="13"/>
    <x v="13"/>
    <n v="0"/>
    <n v="0"/>
    <n v="0"/>
    <n v="0"/>
    <n v="0"/>
    <n v="0"/>
    <n v="0"/>
    <n v="0"/>
    <n v="835563"/>
    <n v="0"/>
    <n v="835563"/>
    <n v="0"/>
    <n v="0"/>
    <n v="0"/>
    <n v="0"/>
    <n v="0"/>
    <n v="0"/>
    <n v="0"/>
    <n v="0"/>
    <n v="0"/>
    <n v="0"/>
    <n v="0"/>
  </r>
  <r>
    <x v="66"/>
    <x v="5"/>
    <x v="5"/>
    <n v="4468494"/>
    <n v="1068839"/>
    <n v="1047902"/>
    <n v="0"/>
    <n v="0"/>
    <n v="430990"/>
    <n v="147479"/>
    <n v="2695210"/>
    <n v="1095648"/>
    <n v="0"/>
    <n v="1095648"/>
    <n v="0"/>
    <n v="0"/>
    <n v="0"/>
    <n v="0"/>
    <n v="0"/>
    <n v="0"/>
    <n v="0"/>
    <n v="0"/>
    <n v="0"/>
    <n v="0"/>
    <n v="0"/>
  </r>
  <r>
    <x v="66"/>
    <x v="6"/>
    <x v="6"/>
    <n v="2546587"/>
    <n v="1098247"/>
    <n v="650000"/>
    <n v="0"/>
    <n v="0"/>
    <n v="251816"/>
    <n v="2189"/>
    <n v="2002252"/>
    <n v="678728"/>
    <n v="0"/>
    <n v="678728"/>
    <n v="32400"/>
    <n v="0"/>
    <n v="0"/>
    <n v="0"/>
    <n v="0"/>
    <n v="0"/>
    <n v="0"/>
    <n v="0"/>
    <n v="0"/>
    <n v="0"/>
    <n v="0"/>
  </r>
  <r>
    <x v="66"/>
    <x v="8"/>
    <x v="8"/>
    <n v="1159974"/>
    <n v="348048"/>
    <n v="0"/>
    <n v="0"/>
    <n v="0"/>
    <n v="46903"/>
    <n v="0"/>
    <n v="394951"/>
    <n v="127926"/>
    <n v="0"/>
    <n v="127926"/>
    <n v="0"/>
    <n v="0"/>
    <n v="0"/>
    <n v="0"/>
    <n v="0"/>
    <n v="0"/>
    <n v="0"/>
    <n v="0"/>
    <n v="0"/>
    <n v="0"/>
    <n v="0"/>
  </r>
  <r>
    <x v="66"/>
    <x v="9"/>
    <x v="9"/>
    <n v="1085268"/>
    <n v="302725"/>
    <n v="0"/>
    <n v="0"/>
    <n v="0"/>
    <n v="0"/>
    <n v="0"/>
    <n v="302725"/>
    <n v="173186"/>
    <n v="0"/>
    <n v="173186"/>
    <n v="0"/>
    <n v="0"/>
    <n v="0"/>
    <n v="0"/>
    <n v="0"/>
    <n v="0"/>
    <n v="0"/>
    <n v="0"/>
    <n v="0"/>
    <n v="0"/>
    <n v="0"/>
  </r>
  <r>
    <x v="66"/>
    <x v="11"/>
    <x v="11"/>
    <n v="2977988"/>
    <n v="617990"/>
    <n v="0"/>
    <n v="0"/>
    <n v="0"/>
    <n v="59224"/>
    <n v="0"/>
    <n v="677214"/>
    <n v="720815"/>
    <n v="0"/>
    <n v="720815"/>
    <n v="0"/>
    <n v="0"/>
    <n v="0"/>
    <n v="0"/>
    <n v="0"/>
    <n v="0"/>
    <n v="0"/>
    <n v="0"/>
    <n v="0"/>
    <n v="0"/>
    <n v="0"/>
  </r>
  <r>
    <x v="66"/>
    <x v="10"/>
    <x v="10"/>
    <n v="1614388"/>
    <n v="529847"/>
    <n v="300000"/>
    <n v="0"/>
    <n v="0"/>
    <n v="0"/>
    <n v="0"/>
    <n v="829847"/>
    <n v="698763"/>
    <n v="0"/>
    <n v="698763"/>
    <n v="0"/>
    <n v="0"/>
    <n v="37757"/>
    <n v="0"/>
    <n v="0"/>
    <n v="0"/>
    <n v="0"/>
    <n v="0"/>
    <n v="0"/>
    <n v="0"/>
    <n v="0"/>
  </r>
  <r>
    <x v="67"/>
    <x v="1"/>
    <x v="1"/>
    <n v="0"/>
    <n v="0"/>
    <n v="921671"/>
    <n v="200000"/>
    <n v="2500000"/>
    <n v="315318"/>
    <n v="120275"/>
    <n v="4057264"/>
    <n v="3953352"/>
    <n v="0"/>
    <n v="3953352"/>
    <n v="359640"/>
    <n v="0"/>
    <n v="0"/>
    <n v="-138670"/>
    <n v="335171"/>
    <n v="596523"/>
    <n v="-1070364"/>
    <n v="170257"/>
    <n v="1148727"/>
    <n v="-8673"/>
    <n v="-471000"/>
  </r>
  <r>
    <x v="67"/>
    <x v="2"/>
    <x v="2"/>
    <n v="9842755"/>
    <n v="3352850"/>
    <n v="1946584"/>
    <n v="400000"/>
    <n v="0"/>
    <n v="283190"/>
    <n v="30192"/>
    <n v="6012816"/>
    <n v="964877"/>
    <n v="93312"/>
    <n v="1058189"/>
    <n v="97200"/>
    <n v="0"/>
    <n v="0"/>
    <n v="58203"/>
    <n v="9999"/>
    <n v="-109354"/>
    <n v="157558"/>
    <n v="0"/>
    <n v="0"/>
    <n v="0"/>
    <n v="0"/>
  </r>
  <r>
    <x v="67"/>
    <x v="3"/>
    <x v="3"/>
    <n v="6170804"/>
    <n v="1216831"/>
    <n v="2767327"/>
    <n v="500000"/>
    <n v="0"/>
    <n v="353085"/>
    <n v="11277"/>
    <n v="4848520"/>
    <n v="972141"/>
    <n v="0"/>
    <n v="972141"/>
    <n v="0"/>
    <n v="0"/>
    <n v="0"/>
    <n v="591588"/>
    <n v="0"/>
    <n v="5316"/>
    <n v="586272"/>
    <n v="0"/>
    <n v="0"/>
    <n v="0"/>
    <n v="0"/>
  </r>
  <r>
    <x v="67"/>
    <x v="4"/>
    <x v="4"/>
    <n v="7519354"/>
    <n v="1913718"/>
    <n v="1894373"/>
    <n v="350000"/>
    <n v="0"/>
    <n v="292839"/>
    <n v="56664"/>
    <n v="4507594"/>
    <n v="1126297"/>
    <n v="0"/>
    <n v="1126297"/>
    <n v="211140"/>
    <n v="0"/>
    <n v="0"/>
    <n v="35870"/>
    <n v="0"/>
    <n v="4320"/>
    <n v="31550"/>
    <n v="0"/>
    <n v="0"/>
    <n v="0"/>
    <n v="0"/>
  </r>
  <r>
    <x v="67"/>
    <x v="12"/>
    <x v="12"/>
    <n v="624826"/>
    <n v="184245"/>
    <n v="359094"/>
    <n v="50000"/>
    <n v="0"/>
    <n v="42952"/>
    <n v="0"/>
    <n v="636291"/>
    <n v="683798"/>
    <n v="0"/>
    <n v="683798"/>
    <n v="184680"/>
    <n v="0"/>
    <n v="0"/>
    <n v="32744"/>
    <n v="0"/>
    <n v="-194400"/>
    <n v="227144"/>
    <n v="0"/>
    <n v="0"/>
    <n v="0"/>
    <n v="0"/>
  </r>
  <r>
    <x v="67"/>
    <x v="13"/>
    <x v="13"/>
    <n v="0"/>
    <n v="0"/>
    <n v="0"/>
    <n v="0"/>
    <n v="0"/>
    <n v="0"/>
    <n v="0"/>
    <n v="0"/>
    <n v="752125"/>
    <n v="0"/>
    <n v="752125"/>
    <n v="246240"/>
    <n v="0"/>
    <n v="0"/>
    <n v="0"/>
    <n v="0"/>
    <n v="-198006"/>
    <n v="198006"/>
    <n v="0"/>
    <n v="0"/>
    <n v="0"/>
    <n v="0"/>
  </r>
  <r>
    <x v="67"/>
    <x v="5"/>
    <x v="5"/>
    <n v="4494230"/>
    <n v="1147860"/>
    <n v="1055568"/>
    <n v="100000"/>
    <n v="0"/>
    <n v="169145"/>
    <n v="0"/>
    <n v="2472573"/>
    <n v="1218671"/>
    <n v="0"/>
    <n v="1218671"/>
    <n v="129600"/>
    <n v="0"/>
    <n v="0"/>
    <n v="-241323"/>
    <n v="0"/>
    <n v="-69000"/>
    <n v="-172323"/>
    <n v="0"/>
    <n v="0"/>
    <n v="0"/>
    <n v="0"/>
  </r>
  <r>
    <x v="67"/>
    <x v="6"/>
    <x v="6"/>
    <n v="2351469"/>
    <n v="953709"/>
    <n v="656000"/>
    <n v="100000"/>
    <n v="0"/>
    <n v="103097"/>
    <n v="0"/>
    <n v="1812806"/>
    <n v="942554"/>
    <n v="0"/>
    <n v="942554"/>
    <n v="0"/>
    <n v="0"/>
    <n v="0"/>
    <n v="53692"/>
    <n v="0"/>
    <n v="-102384"/>
    <n v="156076"/>
    <n v="0"/>
    <n v="0"/>
    <n v="0"/>
    <n v="0"/>
  </r>
  <r>
    <x v="67"/>
    <x v="8"/>
    <x v="8"/>
    <n v="870546"/>
    <n v="326363"/>
    <n v="0"/>
    <n v="0"/>
    <n v="0"/>
    <n v="14996"/>
    <n v="0"/>
    <n v="341359"/>
    <n v="125559"/>
    <n v="0"/>
    <n v="125559"/>
    <n v="0"/>
    <n v="0"/>
    <n v="0"/>
    <n v="76392"/>
    <n v="0"/>
    <n v="0"/>
    <n v="76392"/>
    <n v="0"/>
    <n v="0"/>
    <n v="0"/>
    <n v="0"/>
  </r>
  <r>
    <x v="67"/>
    <x v="9"/>
    <x v="9"/>
    <n v="923999"/>
    <n v="307500"/>
    <n v="0"/>
    <n v="0"/>
    <n v="0"/>
    <n v="0"/>
    <n v="0"/>
    <n v="307500"/>
    <n v="155590"/>
    <n v="0"/>
    <n v="155590"/>
    <n v="0"/>
    <n v="0"/>
    <n v="0"/>
    <n v="0"/>
    <n v="0"/>
    <n v="42970"/>
    <n v="-42970"/>
    <n v="0"/>
    <n v="0"/>
    <n v="0"/>
    <n v="0"/>
  </r>
  <r>
    <x v="67"/>
    <x v="11"/>
    <x v="11"/>
    <n v="2468275"/>
    <n v="673138"/>
    <n v="0"/>
    <n v="0"/>
    <n v="0"/>
    <n v="22639"/>
    <n v="0"/>
    <n v="695777"/>
    <n v="501785"/>
    <n v="0"/>
    <n v="501785"/>
    <n v="0"/>
    <n v="0"/>
    <n v="0"/>
    <n v="157117"/>
    <n v="0"/>
    <n v="0"/>
    <n v="157117"/>
    <n v="0"/>
    <n v="0"/>
    <n v="0"/>
    <n v="0"/>
  </r>
  <r>
    <x v="67"/>
    <x v="10"/>
    <x v="10"/>
    <n v="1444523"/>
    <n v="527963"/>
    <n v="300000"/>
    <n v="0"/>
    <n v="0"/>
    <n v="0"/>
    <n v="0"/>
    <n v="827963"/>
    <n v="539944"/>
    <n v="0"/>
    <n v="539944"/>
    <n v="0"/>
    <n v="0"/>
    <n v="40332"/>
    <n v="-12948"/>
    <n v="0"/>
    <n v="-440640"/>
    <n v="427692"/>
    <n v="0"/>
    <n v="0"/>
    <n v="0"/>
    <n v="0"/>
  </r>
  <r>
    <x v="68"/>
    <x v="1"/>
    <x v="1"/>
    <n v="0"/>
    <n v="0"/>
    <n v="1301392"/>
    <n v="0"/>
    <n v="2500000"/>
    <n v="450170"/>
    <n v="24300"/>
    <n v="4275862"/>
    <n v="3234033"/>
    <n v="0"/>
    <n v="3234033"/>
    <n v="216000"/>
    <n v="0"/>
    <n v="0"/>
    <n v="0"/>
    <n v="0"/>
    <n v="0"/>
    <n v="0"/>
    <n v="148771"/>
    <n v="472801"/>
    <n v="0"/>
    <n v="0"/>
  </r>
  <r>
    <x v="68"/>
    <x v="2"/>
    <x v="2"/>
    <n v="11239510"/>
    <n v="3676096"/>
    <n v="1938036"/>
    <n v="0"/>
    <n v="0"/>
    <n v="0"/>
    <n v="114366"/>
    <n v="5728498"/>
    <n v="719489"/>
    <n v="110808"/>
    <n v="830297"/>
    <n v="51574"/>
    <n v="0"/>
    <n v="0"/>
    <n v="0"/>
    <n v="0"/>
    <n v="0"/>
    <n v="0"/>
    <n v="0"/>
    <n v="0"/>
    <n v="0"/>
    <n v="0"/>
  </r>
  <r>
    <x v="68"/>
    <x v="3"/>
    <x v="3"/>
    <n v="6157056"/>
    <n v="1309950"/>
    <n v="2731021"/>
    <n v="0"/>
    <n v="0"/>
    <n v="373120"/>
    <n v="492"/>
    <n v="4414583"/>
    <n v="1096851"/>
    <n v="0"/>
    <n v="1096851"/>
    <n v="52166"/>
    <n v="0"/>
    <n v="0"/>
    <n v="0"/>
    <n v="0"/>
    <n v="0"/>
    <n v="0"/>
    <n v="0"/>
    <n v="0"/>
    <n v="0"/>
    <n v="0"/>
  </r>
  <r>
    <x v="68"/>
    <x v="4"/>
    <x v="4"/>
    <n v="6774361"/>
    <n v="1972654"/>
    <n v="1822022"/>
    <n v="0"/>
    <n v="0"/>
    <n v="463913"/>
    <n v="39170"/>
    <n v="4297759"/>
    <n v="801389"/>
    <n v="0"/>
    <n v="801389"/>
    <n v="47520"/>
    <n v="0"/>
    <n v="0"/>
    <n v="0"/>
    <n v="0"/>
    <n v="0"/>
    <n v="0"/>
    <n v="0"/>
    <n v="0"/>
    <n v="0"/>
    <n v="0"/>
  </r>
  <r>
    <x v="68"/>
    <x v="12"/>
    <x v="12"/>
    <n v="1193278"/>
    <n v="358716"/>
    <n v="356070"/>
    <n v="0"/>
    <n v="0"/>
    <n v="382917"/>
    <n v="0"/>
    <n v="1097703"/>
    <n v="600303"/>
    <n v="0"/>
    <n v="600303"/>
    <n v="64800"/>
    <n v="0"/>
    <n v="0"/>
    <n v="0"/>
    <n v="0"/>
    <n v="0"/>
    <n v="0"/>
    <n v="0"/>
    <n v="0"/>
    <n v="0"/>
    <n v="0"/>
  </r>
  <r>
    <x v="68"/>
    <x v="13"/>
    <x v="13"/>
    <n v="0"/>
    <n v="0"/>
    <n v="0"/>
    <n v="0"/>
    <n v="0"/>
    <n v="56395"/>
    <n v="0"/>
    <n v="56395"/>
    <n v="740398"/>
    <n v="0"/>
    <n v="740398"/>
    <n v="138000"/>
    <n v="0"/>
    <n v="0"/>
    <n v="0"/>
    <n v="0"/>
    <n v="0"/>
    <n v="0"/>
    <n v="0"/>
    <n v="0"/>
    <n v="0"/>
    <n v="0"/>
  </r>
  <r>
    <x v="68"/>
    <x v="5"/>
    <x v="5"/>
    <n v="4417151"/>
    <n v="1270090"/>
    <n v="856370"/>
    <n v="0"/>
    <n v="0"/>
    <n v="222254"/>
    <n v="1512"/>
    <n v="2350226"/>
    <n v="1089344"/>
    <n v="0"/>
    <n v="1089344"/>
    <n v="0"/>
    <n v="0"/>
    <n v="0"/>
    <n v="0"/>
    <n v="0"/>
    <n v="0"/>
    <n v="0"/>
    <n v="0"/>
    <n v="0"/>
    <n v="0"/>
    <n v="0"/>
  </r>
  <r>
    <x v="68"/>
    <x v="6"/>
    <x v="6"/>
    <n v="2112073"/>
    <n v="905804"/>
    <n v="302770"/>
    <n v="0"/>
    <n v="0"/>
    <n v="75671"/>
    <n v="32400"/>
    <n v="1316645"/>
    <n v="309334"/>
    <n v="0"/>
    <n v="309334"/>
    <n v="0"/>
    <n v="0"/>
    <n v="0"/>
    <n v="0"/>
    <n v="0"/>
    <n v="0"/>
    <n v="0"/>
    <n v="0"/>
    <n v="0"/>
    <n v="0"/>
    <n v="0"/>
  </r>
  <r>
    <x v="68"/>
    <x v="8"/>
    <x v="8"/>
    <n v="861636"/>
    <n v="348020"/>
    <n v="0"/>
    <n v="0"/>
    <n v="0"/>
    <n v="19982"/>
    <n v="0"/>
    <n v="368002"/>
    <n v="121814"/>
    <n v="0"/>
    <n v="121814"/>
    <n v="0"/>
    <n v="0"/>
    <n v="0"/>
    <n v="0"/>
    <n v="0"/>
    <n v="0"/>
    <n v="0"/>
    <n v="0"/>
    <n v="0"/>
    <n v="0"/>
    <n v="0"/>
  </r>
  <r>
    <x v="68"/>
    <x v="9"/>
    <x v="9"/>
    <n v="1050085"/>
    <n v="290550"/>
    <n v="0"/>
    <n v="0"/>
    <n v="0"/>
    <n v="0"/>
    <n v="0"/>
    <n v="290550"/>
    <n v="155385"/>
    <n v="0"/>
    <n v="155385"/>
    <n v="0"/>
    <n v="0"/>
    <n v="0"/>
    <n v="0"/>
    <n v="0"/>
    <n v="0"/>
    <n v="0"/>
    <n v="0"/>
    <n v="0"/>
    <n v="0"/>
    <n v="0"/>
  </r>
  <r>
    <x v="68"/>
    <x v="11"/>
    <x v="11"/>
    <n v="2587385"/>
    <n v="667010"/>
    <n v="0"/>
    <n v="0"/>
    <n v="0"/>
    <n v="29928"/>
    <n v="0"/>
    <n v="696938"/>
    <n v="603836"/>
    <n v="0"/>
    <n v="603836"/>
    <n v="0"/>
    <n v="0"/>
    <n v="0"/>
    <n v="0"/>
    <n v="0"/>
    <n v="0"/>
    <n v="0"/>
    <n v="0"/>
    <n v="0"/>
    <n v="0"/>
    <n v="0"/>
  </r>
  <r>
    <x v="68"/>
    <x v="14"/>
    <x v="14"/>
    <n v="0"/>
    <n v="0"/>
    <n v="0"/>
    <n v="0"/>
    <n v="0"/>
    <n v="0"/>
    <n v="0"/>
    <n v="0"/>
    <n v="30864"/>
    <n v="0"/>
    <n v="30864"/>
    <n v="0"/>
    <n v="0"/>
    <n v="0"/>
    <n v="0"/>
    <n v="0"/>
    <n v="0"/>
    <n v="0"/>
    <n v="0"/>
    <n v="0"/>
    <n v="0"/>
    <n v="0"/>
  </r>
  <r>
    <x v="68"/>
    <x v="10"/>
    <x v="10"/>
    <n v="1128956"/>
    <n v="385027"/>
    <n v="300000"/>
    <n v="0"/>
    <n v="0"/>
    <n v="0"/>
    <n v="0"/>
    <n v="685027"/>
    <n v="540758"/>
    <n v="0"/>
    <n v="540758"/>
    <n v="0"/>
    <n v="0"/>
    <n v="34830"/>
    <n v="0"/>
    <n v="0"/>
    <n v="0"/>
    <n v="0"/>
    <n v="0"/>
    <n v="0"/>
    <n v="0"/>
    <n v="0"/>
  </r>
  <r>
    <x v="69"/>
    <x v="1"/>
    <x v="1"/>
    <n v="0"/>
    <n v="0"/>
    <n v="1284136"/>
    <n v="0"/>
    <n v="3000000"/>
    <n v="458326"/>
    <n v="0"/>
    <n v="4742462"/>
    <n v="5282133"/>
    <n v="0"/>
    <n v="5282133"/>
    <n v="0"/>
    <n v="0"/>
    <n v="0"/>
    <n v="0"/>
    <n v="0"/>
    <n v="0"/>
    <n v="0"/>
    <n v="142298"/>
    <n v="972358"/>
    <n v="0"/>
    <n v="0"/>
  </r>
  <r>
    <x v="69"/>
    <x v="2"/>
    <x v="2"/>
    <n v="12511332"/>
    <n v="3940179"/>
    <n v="2473417"/>
    <n v="0"/>
    <n v="0"/>
    <n v="379848"/>
    <n v="57078"/>
    <n v="6850522"/>
    <n v="1746729"/>
    <n v="107892"/>
    <n v="1854621"/>
    <n v="56700"/>
    <n v="0"/>
    <n v="0"/>
    <n v="0"/>
    <n v="0"/>
    <n v="0"/>
    <n v="0"/>
    <n v="0"/>
    <n v="0"/>
    <n v="0"/>
    <n v="0"/>
  </r>
  <r>
    <x v="69"/>
    <x v="3"/>
    <x v="3"/>
    <n v="7557882"/>
    <n v="1568464"/>
    <n v="2303355"/>
    <n v="0"/>
    <n v="0"/>
    <n v="421567"/>
    <n v="20664"/>
    <n v="4314050"/>
    <n v="1080585"/>
    <n v="0"/>
    <n v="1080585"/>
    <n v="108000"/>
    <n v="0"/>
    <n v="0"/>
    <n v="0"/>
    <n v="0"/>
    <n v="0"/>
    <n v="0"/>
    <n v="0"/>
    <n v="0"/>
    <n v="0"/>
    <n v="0"/>
  </r>
  <r>
    <x v="69"/>
    <x v="4"/>
    <x v="4"/>
    <n v="7419604"/>
    <n v="2165081"/>
    <n v="1959643"/>
    <n v="0"/>
    <n v="0"/>
    <n v="391763"/>
    <n v="5122"/>
    <n v="4521609"/>
    <n v="1522750"/>
    <n v="0"/>
    <n v="1522750"/>
    <n v="100440"/>
    <n v="0"/>
    <n v="0"/>
    <n v="0"/>
    <n v="0"/>
    <n v="0"/>
    <n v="0"/>
    <n v="0"/>
    <n v="0"/>
    <n v="0"/>
    <n v="0"/>
  </r>
  <r>
    <x v="69"/>
    <x v="12"/>
    <x v="12"/>
    <n v="1631546"/>
    <n v="411567"/>
    <n v="365311"/>
    <n v="0"/>
    <n v="0"/>
    <n v="57454"/>
    <n v="0"/>
    <n v="834332"/>
    <n v="606856"/>
    <n v="0"/>
    <n v="606856"/>
    <n v="103680"/>
    <n v="0"/>
    <n v="0"/>
    <n v="0"/>
    <n v="0"/>
    <n v="0"/>
    <n v="0"/>
    <n v="0"/>
    <n v="0"/>
    <n v="0"/>
    <n v="0"/>
  </r>
  <r>
    <x v="69"/>
    <x v="13"/>
    <x v="13"/>
    <n v="234284"/>
    <n v="27512"/>
    <n v="355817"/>
    <n v="0"/>
    <n v="0"/>
    <n v="48772"/>
    <n v="1479"/>
    <n v="433580"/>
    <n v="704776"/>
    <n v="0"/>
    <n v="704776"/>
    <n v="271080"/>
    <n v="0"/>
    <n v="0"/>
    <n v="0"/>
    <n v="0"/>
    <n v="0"/>
    <n v="0"/>
    <n v="0"/>
    <n v="0"/>
    <n v="0"/>
    <n v="0"/>
  </r>
  <r>
    <x v="69"/>
    <x v="5"/>
    <x v="5"/>
    <n v="4442200"/>
    <n v="1235375"/>
    <n v="656604"/>
    <n v="0"/>
    <n v="0"/>
    <n v="191004"/>
    <n v="3367"/>
    <n v="2086350"/>
    <n v="1207486"/>
    <n v="0"/>
    <n v="1207486"/>
    <n v="113400"/>
    <n v="0"/>
    <n v="0"/>
    <n v="0"/>
    <n v="0"/>
    <n v="0"/>
    <n v="0"/>
    <n v="0"/>
    <n v="0"/>
    <n v="0"/>
    <n v="0"/>
  </r>
  <r>
    <x v="69"/>
    <x v="6"/>
    <x v="6"/>
    <n v="2397265"/>
    <n v="952522"/>
    <n v="305886"/>
    <n v="0"/>
    <n v="0"/>
    <n v="77028"/>
    <n v="40500"/>
    <n v="1375936"/>
    <n v="691457"/>
    <n v="0"/>
    <n v="691457"/>
    <n v="0"/>
    <n v="0"/>
    <n v="0"/>
    <n v="0"/>
    <n v="0"/>
    <n v="0"/>
    <n v="0"/>
    <n v="0"/>
    <n v="0"/>
    <n v="0"/>
    <n v="0"/>
  </r>
  <r>
    <x v="69"/>
    <x v="8"/>
    <x v="8"/>
    <n v="1139110"/>
    <n v="366703"/>
    <n v="0"/>
    <n v="0"/>
    <n v="0"/>
    <n v="20453"/>
    <n v="24300"/>
    <n v="411456"/>
    <n v="184298"/>
    <n v="0"/>
    <n v="184298"/>
    <n v="16200"/>
    <n v="0"/>
    <n v="0"/>
    <n v="0"/>
    <n v="0"/>
    <n v="0"/>
    <n v="0"/>
    <n v="0"/>
    <n v="0"/>
    <n v="0"/>
    <n v="0"/>
  </r>
  <r>
    <x v="69"/>
    <x v="9"/>
    <x v="9"/>
    <n v="1087657"/>
    <n v="290975"/>
    <n v="0"/>
    <n v="0"/>
    <n v="0"/>
    <n v="0"/>
    <n v="24300"/>
    <n v="315275"/>
    <n v="192786"/>
    <n v="0"/>
    <n v="192786"/>
    <n v="16200"/>
    <n v="0"/>
    <n v="0"/>
    <n v="0"/>
    <n v="0"/>
    <n v="0"/>
    <n v="0"/>
    <n v="0"/>
    <n v="0"/>
    <n v="0"/>
    <n v="0"/>
  </r>
  <r>
    <x v="69"/>
    <x v="11"/>
    <x v="11"/>
    <n v="2800912"/>
    <n v="619825"/>
    <n v="334455"/>
    <n v="0"/>
    <n v="0"/>
    <n v="61717"/>
    <n v="16200"/>
    <n v="1032197"/>
    <n v="822996"/>
    <n v="0"/>
    <n v="822996"/>
    <n v="16200"/>
    <n v="0"/>
    <n v="0"/>
    <n v="0"/>
    <n v="0"/>
    <n v="0"/>
    <n v="0"/>
    <n v="0"/>
    <n v="0"/>
    <n v="0"/>
    <n v="0"/>
  </r>
  <r>
    <x v="70"/>
    <x v="1"/>
    <x v="1"/>
    <n v="0"/>
    <n v="0"/>
    <n v="1458305"/>
    <n v="0"/>
    <n v="3000000"/>
    <n v="382710"/>
    <n v="910656"/>
    <n v="5751671"/>
    <n v="2864700"/>
    <n v="0"/>
    <n v="2864700"/>
    <n v="348840"/>
    <n v="0"/>
    <n v="0"/>
    <n v="0"/>
    <n v="0"/>
    <n v="0"/>
    <n v="0"/>
    <n v="146805"/>
    <n v="874139"/>
    <n v="0"/>
    <n v="0"/>
  </r>
  <r>
    <x v="70"/>
    <x v="2"/>
    <x v="2"/>
    <n v="12778671"/>
    <n v="3988130"/>
    <n v="2563994"/>
    <n v="0"/>
    <n v="0"/>
    <n v="319575"/>
    <n v="26550"/>
    <n v="6898249"/>
    <n v="1278061"/>
    <n v="87480"/>
    <n v="1365541"/>
    <n v="97740"/>
    <n v="0"/>
    <n v="0"/>
    <n v="27"/>
    <n v="0"/>
    <n v="0"/>
    <n v="27"/>
    <n v="0"/>
    <n v="0"/>
    <n v="0"/>
    <n v="0"/>
  </r>
  <r>
    <x v="70"/>
    <x v="3"/>
    <x v="3"/>
    <n v="7285298"/>
    <n v="1559609"/>
    <n v="2437257"/>
    <n v="0"/>
    <n v="0"/>
    <n v="354571"/>
    <n v="24569"/>
    <n v="4376006"/>
    <n v="906143"/>
    <n v="0"/>
    <n v="906143"/>
    <n v="0"/>
    <n v="0"/>
    <n v="0"/>
    <n v="0"/>
    <n v="0"/>
    <n v="0"/>
    <n v="0"/>
    <n v="0"/>
    <n v="0"/>
    <n v="0"/>
    <n v="0"/>
  </r>
  <r>
    <x v="70"/>
    <x v="4"/>
    <x v="4"/>
    <n v="7099035"/>
    <n v="2058665"/>
    <n v="2274286"/>
    <n v="0"/>
    <n v="0"/>
    <n v="359020"/>
    <n v="133821"/>
    <n v="4825792"/>
    <n v="937541"/>
    <n v="0"/>
    <n v="937541"/>
    <n v="64800"/>
    <n v="0"/>
    <n v="0"/>
    <n v="0"/>
    <n v="0"/>
    <n v="0"/>
    <n v="0"/>
    <n v="0"/>
    <n v="0"/>
    <n v="0"/>
    <n v="0"/>
  </r>
  <r>
    <x v="70"/>
    <x v="12"/>
    <x v="12"/>
    <n v="1296114"/>
    <n v="304379"/>
    <n v="313556"/>
    <n v="0"/>
    <n v="0"/>
    <n v="39713"/>
    <n v="0"/>
    <n v="657648"/>
    <n v="530155"/>
    <n v="0"/>
    <n v="530155"/>
    <n v="125604"/>
    <n v="190000"/>
    <n v="0"/>
    <n v="0"/>
    <n v="0"/>
    <n v="0"/>
    <n v="0"/>
    <n v="0"/>
    <n v="0"/>
    <n v="0"/>
    <n v="0"/>
  </r>
  <r>
    <x v="70"/>
    <x v="13"/>
    <x v="13"/>
    <n v="485638"/>
    <n v="81995"/>
    <n v="353125"/>
    <n v="0"/>
    <n v="0"/>
    <n v="40884"/>
    <n v="12246"/>
    <n v="488250"/>
    <n v="533896"/>
    <n v="0"/>
    <n v="533896"/>
    <n v="100737"/>
    <n v="0"/>
    <n v="0"/>
    <n v="0"/>
    <n v="0"/>
    <n v="0"/>
    <n v="0"/>
    <n v="0"/>
    <n v="0"/>
    <n v="0"/>
    <n v="0"/>
  </r>
  <r>
    <x v="70"/>
    <x v="5"/>
    <x v="5"/>
    <n v="4833081"/>
    <n v="1383679"/>
    <n v="656604"/>
    <n v="0"/>
    <n v="0"/>
    <n v="135028"/>
    <n v="16200"/>
    <n v="2191511"/>
    <n v="1037871"/>
    <n v="0"/>
    <n v="1037871"/>
    <n v="48600"/>
    <n v="0"/>
    <n v="0"/>
    <n v="0"/>
    <n v="0"/>
    <n v="0"/>
    <n v="0"/>
    <n v="0"/>
    <n v="0"/>
    <n v="0"/>
    <n v="0"/>
  </r>
  <r>
    <x v="70"/>
    <x v="6"/>
    <x v="6"/>
    <n v="3521977"/>
    <n v="967647"/>
    <n v="389829"/>
    <n v="0"/>
    <n v="0"/>
    <n v="70665"/>
    <n v="0"/>
    <n v="1428141"/>
    <n v="568580"/>
    <n v="0"/>
    <n v="568580"/>
    <n v="0"/>
    <n v="0"/>
    <n v="0"/>
    <n v="0"/>
    <n v="0"/>
    <n v="0"/>
    <n v="0"/>
    <n v="0"/>
    <n v="0"/>
    <n v="0"/>
    <n v="0"/>
  </r>
  <r>
    <x v="70"/>
    <x v="8"/>
    <x v="8"/>
    <n v="1134937"/>
    <n v="380218"/>
    <n v="0"/>
    <n v="0"/>
    <n v="0"/>
    <n v="16749"/>
    <n v="0"/>
    <n v="396967"/>
    <n v="142328"/>
    <n v="0"/>
    <n v="142328"/>
    <n v="0"/>
    <n v="0"/>
    <n v="0"/>
    <n v="0"/>
    <n v="0"/>
    <n v="0"/>
    <n v="0"/>
    <n v="0"/>
    <n v="0"/>
    <n v="0"/>
    <n v="0"/>
  </r>
  <r>
    <x v="70"/>
    <x v="9"/>
    <x v="9"/>
    <n v="1070236"/>
    <n v="251250"/>
    <n v="0"/>
    <n v="0"/>
    <n v="0"/>
    <n v="0"/>
    <n v="0"/>
    <n v="251250"/>
    <n v="127769"/>
    <n v="0"/>
    <n v="127769"/>
    <n v="0"/>
    <n v="0"/>
    <n v="0"/>
    <n v="0"/>
    <n v="0"/>
    <n v="0"/>
    <n v="0"/>
    <n v="0"/>
    <n v="0"/>
    <n v="0"/>
    <n v="0"/>
  </r>
  <r>
    <x v="70"/>
    <x v="11"/>
    <x v="11"/>
    <n v="2743866"/>
    <n v="450301"/>
    <n v="492994"/>
    <n v="0"/>
    <n v="0"/>
    <n v="81646"/>
    <n v="864"/>
    <n v="1025805"/>
    <n v="695910"/>
    <n v="0"/>
    <n v="695910"/>
    <n v="0"/>
    <n v="0"/>
    <n v="0"/>
    <n v="0"/>
    <n v="0"/>
    <n v="0"/>
    <n v="0"/>
    <n v="0"/>
    <n v="0"/>
    <n v="0"/>
    <n v="0"/>
  </r>
  <r>
    <x v="70"/>
    <x v="14"/>
    <x v="14"/>
    <n v="16000"/>
    <n v="0"/>
    <n v="0"/>
    <n v="0"/>
    <n v="0"/>
    <m/>
    <n v="0"/>
    <n v="0"/>
    <n v="17066"/>
    <n v="0"/>
    <n v="17066"/>
    <n v="0"/>
    <n v="0"/>
    <n v="0"/>
    <n v="0"/>
    <n v="0"/>
    <n v="0"/>
    <n v="0"/>
    <n v="0"/>
    <n v="0"/>
    <n v="0"/>
    <n v="0"/>
  </r>
  <r>
    <x v="70"/>
    <x v="10"/>
    <x v="10"/>
    <n v="0"/>
    <n v="0"/>
    <n v="0"/>
    <n v="0"/>
    <n v="0"/>
    <m/>
    <n v="0"/>
    <n v="0"/>
    <n v="0"/>
    <n v="0"/>
    <n v="0"/>
    <n v="0"/>
    <n v="0"/>
    <n v="0"/>
    <n v="4140"/>
    <n v="0"/>
    <n v="0"/>
    <n v="4140"/>
    <n v="0"/>
    <n v="0"/>
    <n v="0"/>
    <n v="0"/>
  </r>
  <r>
    <x v="71"/>
    <x v="1"/>
    <x v="1"/>
    <n v="0"/>
    <n v="0"/>
    <n v="1297477"/>
    <n v="2393500"/>
    <n v="3000000"/>
    <n v="767514"/>
    <n v="818026"/>
    <n v="8276517"/>
    <n v="1950921"/>
    <n v="0"/>
    <n v="1950921"/>
    <n v="0"/>
    <n v="0"/>
    <n v="0"/>
    <n v="0"/>
    <n v="0"/>
    <n v="0"/>
    <n v="0"/>
    <n v="369915"/>
    <n v="703823"/>
    <n v="0"/>
    <n v="0"/>
  </r>
  <r>
    <x v="71"/>
    <x v="2"/>
    <x v="2"/>
    <n v="12163091"/>
    <n v="4039207"/>
    <n v="2539827"/>
    <n v="2990500"/>
    <n v="0"/>
    <n v="791423"/>
    <n v="36004"/>
    <n v="10396961"/>
    <n v="1291641"/>
    <n v="69984"/>
    <n v="1361625"/>
    <n v="68040"/>
    <n v="0"/>
    <n v="0"/>
    <n v="0"/>
    <n v="0"/>
    <n v="0"/>
    <n v="0"/>
    <n v="0"/>
    <n v="0"/>
    <n v="0"/>
    <n v="0"/>
  </r>
  <r>
    <x v="71"/>
    <x v="3"/>
    <x v="3"/>
    <n v="6678253"/>
    <n v="1573342"/>
    <n v="2489582"/>
    <n v="2468595"/>
    <n v="0"/>
    <n v="758696"/>
    <n v="17854"/>
    <n v="7308069"/>
    <n v="864935"/>
    <n v="0"/>
    <n v="864935"/>
    <n v="0"/>
    <n v="19999.999999999996"/>
    <n v="0"/>
    <n v="0"/>
    <n v="0"/>
    <n v="0"/>
    <n v="0"/>
    <n v="0"/>
    <n v="0"/>
    <n v="0"/>
    <n v="0"/>
  </r>
  <r>
    <x v="71"/>
    <x v="4"/>
    <x v="4"/>
    <n v="7065580"/>
    <n v="1972014"/>
    <n v="2405521"/>
    <n v="2905500"/>
    <n v="0"/>
    <n v="829363"/>
    <n v="62926"/>
    <n v="8175324"/>
    <n v="844228"/>
    <n v="0"/>
    <n v="844228"/>
    <n v="51840"/>
    <n v="0"/>
    <n v="0"/>
    <n v="0"/>
    <n v="0"/>
    <n v="0"/>
    <n v="0"/>
    <n v="0"/>
    <n v="0"/>
    <n v="0"/>
    <n v="0"/>
  </r>
  <r>
    <x v="71"/>
    <x v="12"/>
    <x v="12"/>
    <n v="1520846"/>
    <n v="285948"/>
    <n v="322174"/>
    <n v="500000"/>
    <n v="0"/>
    <n v="114101"/>
    <n v="2980"/>
    <n v="1225203"/>
    <n v="544701"/>
    <n v="0"/>
    <n v="544701"/>
    <n v="106488"/>
    <n v="125000"/>
    <n v="0"/>
    <n v="0"/>
    <n v="0"/>
    <n v="0"/>
    <n v="0"/>
    <n v="0"/>
    <n v="0"/>
    <n v="0"/>
    <n v="0"/>
  </r>
  <r>
    <x v="71"/>
    <x v="13"/>
    <x v="13"/>
    <n v="701720"/>
    <n v="153695"/>
    <n v="361318"/>
    <n v="0"/>
    <n v="0"/>
    <n v="46736"/>
    <n v="0"/>
    <n v="561749"/>
    <n v="395245"/>
    <n v="0"/>
    <n v="395245"/>
    <n v="23042"/>
    <n v="0"/>
    <n v="0"/>
    <n v="0"/>
    <n v="0"/>
    <n v="0"/>
    <n v="0"/>
    <n v="0"/>
    <n v="0"/>
    <n v="0"/>
    <n v="0"/>
  </r>
  <r>
    <x v="71"/>
    <x v="5"/>
    <x v="5"/>
    <n v="4422644"/>
    <n v="1261113"/>
    <n v="979604"/>
    <n v="762000"/>
    <n v="0"/>
    <n v="312105"/>
    <n v="0"/>
    <n v="3314822"/>
    <n v="1158080"/>
    <n v="0"/>
    <n v="1158080"/>
    <n v="0"/>
    <n v="0"/>
    <n v="0"/>
    <n v="2198"/>
    <n v="0"/>
    <n v="0"/>
    <n v="2198"/>
    <n v="0"/>
    <n v="0"/>
    <n v="0"/>
    <n v="0"/>
  </r>
  <r>
    <x v="71"/>
    <x v="6"/>
    <x v="6"/>
    <n v="2606315"/>
    <n v="991529"/>
    <n v="358000"/>
    <n v="334000"/>
    <n v="0"/>
    <n v="128768"/>
    <n v="0"/>
    <n v="1812297"/>
    <n v="547437"/>
    <n v="0"/>
    <n v="547437"/>
    <n v="0"/>
    <n v="0"/>
    <n v="0"/>
    <n v="0"/>
    <n v="0"/>
    <n v="0"/>
    <n v="0"/>
    <n v="0"/>
    <n v="0"/>
    <n v="0"/>
    <n v="0"/>
  </r>
  <r>
    <x v="71"/>
    <x v="8"/>
    <x v="8"/>
    <n v="1175963"/>
    <n v="401485"/>
    <n v="0"/>
    <n v="0"/>
    <n v="0"/>
    <n v="19409"/>
    <n v="0"/>
    <n v="420894"/>
    <n v="143912"/>
    <n v="0"/>
    <n v="143912"/>
    <n v="0"/>
    <n v="0"/>
    <n v="0"/>
    <n v="0"/>
    <n v="0"/>
    <n v="0"/>
    <n v="0"/>
    <n v="0"/>
    <n v="0"/>
    <n v="0"/>
    <n v="0"/>
  </r>
  <r>
    <x v="71"/>
    <x v="9"/>
    <x v="9"/>
    <n v="1102442"/>
    <n v="227000"/>
    <n v="0"/>
    <n v="0"/>
    <n v="0"/>
    <n v="0"/>
    <n v="0"/>
    <n v="227000"/>
    <n v="124309"/>
    <n v="0"/>
    <n v="124309"/>
    <n v="0"/>
    <n v="0"/>
    <n v="0"/>
    <n v="0"/>
    <n v="0"/>
    <n v="0"/>
    <n v="0"/>
    <n v="0"/>
    <n v="0"/>
    <n v="0"/>
    <n v="0"/>
  </r>
  <r>
    <x v="71"/>
    <x v="11"/>
    <x v="11"/>
    <n v="2807684"/>
    <n v="584532"/>
    <n v="515075"/>
    <n v="100000"/>
    <n v="0"/>
    <n v="81791"/>
    <n v="0"/>
    <n v="1281398"/>
    <n v="635256"/>
    <n v="0"/>
    <n v="635256"/>
    <n v="0"/>
    <n v="0"/>
    <n v="0"/>
    <n v="0"/>
    <n v="0"/>
    <n v="0"/>
    <n v="0"/>
    <n v="0"/>
    <n v="0"/>
    <n v="0"/>
    <n v="0"/>
  </r>
  <r>
    <x v="71"/>
    <x v="14"/>
    <x v="14"/>
    <n v="40000"/>
    <n v="0"/>
    <n v="0"/>
    <n v="0"/>
    <n v="0"/>
    <n v="0"/>
    <n v="0"/>
    <n v="0"/>
    <n v="18008"/>
    <n v="0"/>
    <n v="18008"/>
    <n v="0"/>
    <n v="0"/>
    <n v="0"/>
    <n v="0"/>
    <n v="0"/>
    <n v="0"/>
    <n v="0"/>
    <n v="0"/>
    <n v="0"/>
    <n v="0"/>
    <n v="0"/>
  </r>
  <r>
    <x v="72"/>
    <x v="1"/>
    <x v="1"/>
    <n v="0"/>
    <n v="87400"/>
    <n v="1295849"/>
    <n v="0"/>
    <n v="3000000"/>
    <n v="399141"/>
    <n v="22186"/>
    <n v="4804576"/>
    <n v="1758723"/>
    <n v="0"/>
    <n v="1758723"/>
    <n v="0"/>
    <n v="0"/>
    <n v="0"/>
    <n v="0"/>
    <n v="0"/>
    <n v="0"/>
    <n v="0"/>
    <n v="316282"/>
    <n v="1196977"/>
    <n v="0"/>
    <n v="0"/>
  </r>
  <r>
    <x v="72"/>
    <x v="2"/>
    <x v="2"/>
    <n v="12668826"/>
    <n v="4011359"/>
    <n v="2678960"/>
    <n v="0"/>
    <n v="0"/>
    <n v="343436"/>
    <n v="72624"/>
    <n v="7106379"/>
    <n v="1446783"/>
    <n v="102060"/>
    <n v="1548843"/>
    <n v="0"/>
    <n v="0"/>
    <n v="0"/>
    <n v="0"/>
    <n v="0"/>
    <n v="0"/>
    <n v="0"/>
    <n v="0"/>
    <n v="0"/>
    <n v="0"/>
    <n v="0"/>
  </r>
  <r>
    <x v="72"/>
    <x v="3"/>
    <x v="3"/>
    <n v="5940817"/>
    <n v="1653712"/>
    <n v="1864940"/>
    <n v="0"/>
    <n v="0"/>
    <n v="282525"/>
    <n v="206088"/>
    <n v="4007265"/>
    <n v="894137"/>
    <n v="0"/>
    <n v="894137"/>
    <n v="51840"/>
    <n v="25000.000000000007"/>
    <n v="0"/>
    <n v="0"/>
    <n v="0"/>
    <n v="0"/>
    <n v="0"/>
    <n v="0"/>
    <n v="0"/>
    <n v="0"/>
    <n v="0"/>
  </r>
  <r>
    <x v="72"/>
    <x v="4"/>
    <x v="4"/>
    <n v="7041908"/>
    <n v="2139316"/>
    <n v="2408503"/>
    <n v="0"/>
    <n v="0"/>
    <n v="385802"/>
    <n v="8658"/>
    <n v="4942279"/>
    <n v="1033335"/>
    <n v="0"/>
    <n v="1033335"/>
    <n v="0"/>
    <n v="22499.999999999985"/>
    <n v="0"/>
    <n v="0"/>
    <n v="0"/>
    <n v="0"/>
    <n v="0"/>
    <n v="0"/>
    <n v="0"/>
    <n v="0"/>
    <n v="0"/>
  </r>
  <r>
    <x v="72"/>
    <x v="12"/>
    <x v="12"/>
    <n v="1160774"/>
    <n v="271753"/>
    <n v="328566"/>
    <n v="0"/>
    <n v="0"/>
    <n v="42695"/>
    <n v="972"/>
    <n v="643986"/>
    <n v="476615"/>
    <n v="0"/>
    <n v="476615"/>
    <n v="0"/>
    <n v="130000"/>
    <n v="0"/>
    <n v="0"/>
    <n v="0"/>
    <n v="0"/>
    <n v="0"/>
    <n v="0"/>
    <n v="0"/>
    <n v="0"/>
    <n v="0"/>
  </r>
  <r>
    <x v="72"/>
    <x v="13"/>
    <x v="13"/>
    <n v="810680"/>
    <n v="266169"/>
    <n v="368671"/>
    <n v="0"/>
    <n v="0"/>
    <n v="43924"/>
    <n v="13640"/>
    <n v="692404"/>
    <n v="438641"/>
    <n v="0"/>
    <n v="438641"/>
    <n v="0"/>
    <n v="0"/>
    <n v="0"/>
    <n v="0"/>
    <n v="0"/>
    <n v="0"/>
    <n v="0"/>
    <n v="0"/>
    <n v="0"/>
    <n v="0"/>
    <n v="0"/>
  </r>
  <r>
    <x v="72"/>
    <x v="5"/>
    <x v="5"/>
    <n v="4120917"/>
    <n v="1146348"/>
    <n v="899604"/>
    <n v="0"/>
    <n v="0"/>
    <n v="187830"/>
    <n v="99116"/>
    <n v="2332898"/>
    <n v="1282667"/>
    <n v="0"/>
    <n v="1282667"/>
    <n v="0"/>
    <n v="0"/>
    <n v="0"/>
    <n v="0"/>
    <n v="0"/>
    <n v="0"/>
    <n v="0"/>
    <n v="0"/>
    <n v="0"/>
    <n v="0"/>
    <n v="0"/>
  </r>
  <r>
    <x v="72"/>
    <x v="6"/>
    <x v="6"/>
    <n v="2627069"/>
    <n v="1035698"/>
    <n v="359000"/>
    <n v="0"/>
    <n v="0"/>
    <n v="75566"/>
    <n v="0"/>
    <n v="1470264"/>
    <n v="648199"/>
    <n v="0"/>
    <n v="648199"/>
    <n v="0"/>
    <n v="0"/>
    <n v="0"/>
    <n v="0"/>
    <n v="0"/>
    <n v="0"/>
    <n v="0"/>
    <n v="0"/>
    <n v="0"/>
    <n v="0"/>
    <n v="0"/>
  </r>
  <r>
    <x v="72"/>
    <x v="8"/>
    <x v="8"/>
    <n v="1272363"/>
    <n v="370310"/>
    <n v="0"/>
    <n v="0"/>
    <n v="0"/>
    <n v="18168"/>
    <n v="0"/>
    <n v="388478"/>
    <n v="129440"/>
    <n v="0"/>
    <n v="129440"/>
    <n v="0"/>
    <n v="0"/>
    <n v="0"/>
    <n v="0"/>
    <n v="0"/>
    <n v="0"/>
    <n v="0"/>
    <n v="0"/>
    <n v="0"/>
    <n v="0"/>
    <n v="0"/>
  </r>
  <r>
    <x v="72"/>
    <x v="9"/>
    <x v="9"/>
    <n v="1356442"/>
    <n v="238000"/>
    <n v="0"/>
    <n v="0"/>
    <n v="0"/>
    <n v="0"/>
    <n v="0"/>
    <n v="238000"/>
    <n v="123007"/>
    <n v="0"/>
    <n v="123007"/>
    <n v="0"/>
    <n v="0"/>
    <n v="0"/>
    <n v="0"/>
    <n v="0"/>
    <n v="0"/>
    <n v="0"/>
    <n v="0"/>
    <n v="0"/>
    <n v="0"/>
    <n v="0"/>
  </r>
  <r>
    <x v="72"/>
    <x v="11"/>
    <x v="11"/>
    <n v="2942481"/>
    <n v="632926"/>
    <n v="545872"/>
    <n v="0"/>
    <n v="0"/>
    <n v="63614"/>
    <n v="1131"/>
    <n v="1243543"/>
    <n v="654503"/>
    <n v="0"/>
    <n v="654503"/>
    <n v="0"/>
    <n v="0"/>
    <n v="0"/>
    <n v="0"/>
    <n v="0"/>
    <n v="0"/>
    <n v="0"/>
    <n v="0"/>
    <n v="0"/>
    <n v="0"/>
    <n v="0"/>
  </r>
  <r>
    <x v="72"/>
    <x v="14"/>
    <x v="14"/>
    <n v="40000"/>
    <n v="0"/>
    <n v="0"/>
    <n v="0"/>
    <n v="0"/>
    <n v="0"/>
    <n v="0"/>
    <n v="0"/>
    <n v="185160"/>
    <n v="0"/>
    <n v="185160"/>
    <n v="0"/>
    <n v="0"/>
    <n v="0"/>
    <n v="0"/>
    <n v="0"/>
    <n v="0"/>
    <n v="0"/>
    <n v="0"/>
    <n v="0"/>
    <n v="0"/>
    <n v="0"/>
  </r>
  <r>
    <x v="73"/>
    <x v="1"/>
    <x v="1"/>
    <n v="0"/>
    <n v="90600"/>
    <n v="1950032"/>
    <n v="0"/>
    <n v="2850000"/>
    <n v="456832"/>
    <n v="8950"/>
    <n v="5356414"/>
    <n v="2554606"/>
    <n v="0"/>
    <n v="2554606"/>
    <n v="297000"/>
    <n v="0"/>
    <n v="0"/>
    <n v="-80616"/>
    <n v="0"/>
    <n v="0"/>
    <n v="-80616"/>
    <n v="308518"/>
    <n v="977248"/>
    <n v="0"/>
    <n v="0"/>
  </r>
  <r>
    <x v="73"/>
    <x v="2"/>
    <x v="2"/>
    <n v="11458207"/>
    <n v="3725142"/>
    <n v="2819691"/>
    <n v="0"/>
    <n v="0"/>
    <n v="382642"/>
    <n v="49696"/>
    <n v="6977171"/>
    <n v="1177658"/>
    <n v="96228"/>
    <n v="1273886"/>
    <n v="0"/>
    <n v="0"/>
    <n v="0"/>
    <n v="0"/>
    <n v="0"/>
    <n v="0"/>
    <n v="0"/>
    <n v="0"/>
    <n v="0"/>
    <n v="0"/>
    <n v="0"/>
  </r>
  <r>
    <x v="73"/>
    <x v="3"/>
    <x v="3"/>
    <n v="6270597"/>
    <n v="1497153"/>
    <n v="1768840"/>
    <n v="0"/>
    <n v="0"/>
    <n v="290101"/>
    <n v="7882"/>
    <n v="3563976"/>
    <n v="861953"/>
    <n v="0"/>
    <n v="861953"/>
    <n v="0"/>
    <n v="0"/>
    <n v="0"/>
    <n v="0"/>
    <n v="0"/>
    <n v="0"/>
    <n v="0"/>
    <n v="0"/>
    <n v="0"/>
    <n v="0"/>
    <n v="0"/>
  </r>
  <r>
    <x v="73"/>
    <x v="4"/>
    <x v="4"/>
    <n v="6369053"/>
    <n v="1722646"/>
    <n v="2220430"/>
    <n v="0"/>
    <n v="0"/>
    <n v="330411"/>
    <n v="0"/>
    <n v="4273487"/>
    <n v="773129"/>
    <n v="0"/>
    <n v="773129"/>
    <n v="0"/>
    <n v="0"/>
    <n v="0"/>
    <n v="0"/>
    <n v="0"/>
    <n v="0"/>
    <n v="0"/>
    <n v="0"/>
    <n v="0"/>
    <n v="0"/>
    <n v="0"/>
  </r>
  <r>
    <x v="73"/>
    <x v="12"/>
    <x v="12"/>
    <n v="903949"/>
    <n v="228440"/>
    <n v="312778"/>
    <n v="0"/>
    <n v="0"/>
    <n v="43910"/>
    <n v="2904"/>
    <n v="588032"/>
    <n v="364736"/>
    <n v="0"/>
    <n v="364736"/>
    <n v="0"/>
    <n v="220000"/>
    <n v="0"/>
    <n v="0"/>
    <n v="0"/>
    <n v="0"/>
    <n v="0"/>
    <n v="0"/>
    <n v="0"/>
    <n v="0"/>
    <n v="0"/>
  </r>
  <r>
    <x v="73"/>
    <x v="13"/>
    <x v="13"/>
    <n v="1060746"/>
    <n v="283293"/>
    <n v="362513"/>
    <n v="0"/>
    <n v="0"/>
    <n v="45370"/>
    <n v="0"/>
    <n v="691176"/>
    <n v="383687"/>
    <n v="0"/>
    <n v="383687"/>
    <n v="0"/>
    <n v="0"/>
    <n v="0"/>
    <n v="0"/>
    <n v="0"/>
    <n v="0"/>
    <n v="0"/>
    <n v="0"/>
    <n v="0"/>
    <n v="0"/>
    <n v="0"/>
  </r>
  <r>
    <x v="73"/>
    <x v="5"/>
    <x v="5"/>
    <n v="4475893"/>
    <n v="1222020"/>
    <n v="697856"/>
    <n v="0"/>
    <n v="0"/>
    <n v="150053"/>
    <n v="32400"/>
    <n v="2102329"/>
    <n v="1149109"/>
    <n v="0"/>
    <n v="1149109"/>
    <n v="0"/>
    <n v="0"/>
    <n v="0"/>
    <n v="0"/>
    <n v="0"/>
    <n v="0"/>
    <n v="0"/>
    <n v="0"/>
    <n v="0"/>
    <n v="0"/>
    <n v="0"/>
  </r>
  <r>
    <x v="73"/>
    <x v="6"/>
    <x v="6"/>
    <n v="2515123"/>
    <n v="951846"/>
    <n v="150000"/>
    <n v="0"/>
    <n v="150000"/>
    <n v="71120"/>
    <n v="0"/>
    <n v="1322966"/>
    <n v="588210"/>
    <n v="0"/>
    <n v="588210"/>
    <n v="0"/>
    <n v="0"/>
    <n v="0"/>
    <n v="0"/>
    <n v="0"/>
    <n v="0"/>
    <n v="0"/>
    <n v="0"/>
    <n v="0"/>
    <n v="0"/>
    <n v="0"/>
  </r>
  <r>
    <x v="73"/>
    <x v="8"/>
    <x v="8"/>
    <n v="1036423"/>
    <n v="302020"/>
    <n v="0"/>
    <n v="0"/>
    <n v="0"/>
    <n v="18174"/>
    <n v="0"/>
    <n v="320194"/>
    <n v="122019"/>
    <n v="0"/>
    <n v="122019"/>
    <n v="0"/>
    <n v="0"/>
    <n v="0"/>
    <n v="0"/>
    <n v="0"/>
    <n v="0"/>
    <n v="0"/>
    <n v="0"/>
    <n v="0"/>
    <n v="0"/>
    <n v="0"/>
  </r>
  <r>
    <x v="73"/>
    <x v="9"/>
    <x v="9"/>
    <n v="1005836"/>
    <n v="199000"/>
    <n v="0"/>
    <n v="0"/>
    <n v="0"/>
    <n v="0"/>
    <n v="0"/>
    <n v="199000"/>
    <n v="127781"/>
    <n v="0"/>
    <n v="127781"/>
    <n v="0"/>
    <n v="0"/>
    <n v="0"/>
    <n v="0"/>
    <n v="0"/>
    <n v="0"/>
    <n v="0"/>
    <n v="0"/>
    <n v="0"/>
    <n v="0"/>
    <n v="0"/>
  </r>
  <r>
    <x v="73"/>
    <x v="11"/>
    <x v="11"/>
    <n v="2118435"/>
    <n v="517538"/>
    <n v="497000"/>
    <n v="0"/>
    <n v="0"/>
    <n v="64988"/>
    <n v="300"/>
    <n v="1079826"/>
    <n v="611780"/>
    <n v="0"/>
    <n v="611780"/>
    <n v="0"/>
    <n v="0"/>
    <n v="0"/>
    <n v="0"/>
    <n v="0"/>
    <n v="0"/>
    <n v="0"/>
    <n v="0"/>
    <n v="0"/>
    <n v="0"/>
    <n v="0"/>
  </r>
  <r>
    <x v="73"/>
    <x v="14"/>
    <x v="14"/>
    <n v="1476188"/>
    <n v="229400"/>
    <n v="150000"/>
    <n v="0"/>
    <n v="0"/>
    <n v="0"/>
    <n v="0"/>
    <n v="379400"/>
    <n v="188283"/>
    <n v="0"/>
    <n v="188283"/>
    <n v="0"/>
    <n v="0"/>
    <n v="0"/>
    <n v="0"/>
    <n v="0"/>
    <n v="0"/>
    <n v="0"/>
    <n v="0"/>
    <n v="0"/>
    <n v="0"/>
    <n v="0"/>
  </r>
  <r>
    <x v="74"/>
    <x v="1"/>
    <x v="1"/>
    <n v="142560"/>
    <n v="90600"/>
    <n v="1159230"/>
    <n v="0"/>
    <n v="2850000"/>
    <n v="363500"/>
    <n v="17400"/>
    <n v="4480730"/>
    <n v="2293024"/>
    <n v="0"/>
    <n v="2293024"/>
    <n v="0"/>
    <n v="0"/>
    <n v="0"/>
    <n v="0"/>
    <n v="0"/>
    <n v="0"/>
    <n v="0"/>
    <n v="539685"/>
    <n v="532662"/>
    <n v="0"/>
    <n v="0"/>
  </r>
  <r>
    <x v="74"/>
    <x v="2"/>
    <x v="2"/>
    <n v="12821396"/>
    <n v="3994054"/>
    <n v="2752108"/>
    <n v="0"/>
    <n v="0"/>
    <n v="383094"/>
    <n v="45927"/>
    <n v="7175183"/>
    <n v="1123329"/>
    <n v="32076"/>
    <n v="1155405"/>
    <n v="0"/>
    <n v="0"/>
    <n v="0"/>
    <n v="0"/>
    <n v="0"/>
    <n v="0"/>
    <n v="0"/>
    <n v="0"/>
    <n v="0"/>
    <n v="0"/>
    <n v="0"/>
  </r>
  <r>
    <x v="74"/>
    <x v="3"/>
    <x v="3"/>
    <n v="5457771"/>
    <n v="1672913"/>
    <n v="1466687"/>
    <n v="0"/>
    <n v="0"/>
    <n v="256001"/>
    <n v="3831"/>
    <n v="3399432"/>
    <n v="817415"/>
    <n v="0"/>
    <n v="817415"/>
    <n v="0"/>
    <n v="0"/>
    <n v="0"/>
    <n v="0"/>
    <n v="0"/>
    <n v="0"/>
    <n v="0"/>
    <n v="0"/>
    <n v="0"/>
    <n v="0"/>
    <n v="0"/>
  </r>
  <r>
    <x v="74"/>
    <x v="4"/>
    <x v="4"/>
    <n v="6979599"/>
    <n v="1925498"/>
    <n v="2252064"/>
    <n v="0"/>
    <n v="0"/>
    <n v="333160"/>
    <n v="5859"/>
    <n v="4516581"/>
    <n v="726515"/>
    <n v="0"/>
    <n v="726515"/>
    <n v="0"/>
    <n v="0"/>
    <n v="0"/>
    <n v="0"/>
    <n v="0"/>
    <n v="0"/>
    <n v="0"/>
    <n v="0"/>
    <n v="0"/>
    <n v="0"/>
    <n v="0"/>
  </r>
  <r>
    <x v="74"/>
    <x v="12"/>
    <x v="12"/>
    <n v="0"/>
    <n v="0"/>
    <n v="0"/>
    <n v="0"/>
    <n v="0"/>
    <n v="0"/>
    <n v="0"/>
    <n v="0"/>
    <n v="329510"/>
    <n v="0"/>
    <n v="329510"/>
    <n v="0"/>
    <n v="0"/>
    <n v="0"/>
    <n v="0"/>
    <n v="0"/>
    <n v="0"/>
    <n v="0"/>
    <n v="0"/>
    <n v="0"/>
    <n v="0"/>
    <n v="0"/>
  </r>
  <r>
    <x v="74"/>
    <x v="13"/>
    <x v="13"/>
    <n v="1438607"/>
    <n v="388602"/>
    <n v="647173"/>
    <n v="0"/>
    <n v="0"/>
    <n v="89057"/>
    <n v="0"/>
    <n v="1124832"/>
    <n v="410646"/>
    <n v="0"/>
    <n v="410646"/>
    <n v="0"/>
    <n v="0"/>
    <n v="0"/>
    <n v="0"/>
    <n v="0"/>
    <n v="0"/>
    <n v="0"/>
    <n v="0"/>
    <n v="0"/>
    <n v="0"/>
    <n v="0"/>
  </r>
  <r>
    <x v="74"/>
    <x v="5"/>
    <x v="5"/>
    <n v="4931183"/>
    <n v="1307473"/>
    <n v="720487"/>
    <n v="0"/>
    <n v="0"/>
    <n v="151589"/>
    <n v="700"/>
    <n v="2180249"/>
    <n v="1064856"/>
    <n v="0"/>
    <n v="1064856"/>
    <n v="0"/>
    <n v="0"/>
    <n v="0"/>
    <n v="0"/>
    <n v="0"/>
    <n v="0"/>
    <n v="0"/>
    <n v="0"/>
    <n v="0"/>
    <n v="0"/>
    <n v="0"/>
  </r>
  <r>
    <x v="74"/>
    <x v="6"/>
    <x v="6"/>
    <n v="2498262"/>
    <n v="1016604"/>
    <n v="140000"/>
    <n v="0"/>
    <n v="150000"/>
    <n v="71382"/>
    <n v="0"/>
    <n v="1377986"/>
    <n v="778041"/>
    <n v="0"/>
    <n v="778041"/>
    <n v="0"/>
    <n v="0"/>
    <n v="0"/>
    <n v="0"/>
    <n v="0"/>
    <n v="0"/>
    <n v="0"/>
    <n v="0"/>
    <n v="0"/>
    <n v="0"/>
    <n v="0"/>
  </r>
  <r>
    <x v="74"/>
    <x v="8"/>
    <x v="8"/>
    <n v="1027444"/>
    <n v="285393"/>
    <n v="0"/>
    <n v="0"/>
    <n v="0"/>
    <n v="18155"/>
    <n v="0"/>
    <n v="303548"/>
    <n v="136143"/>
    <n v="0"/>
    <n v="136143"/>
    <n v="0"/>
    <n v="0"/>
    <n v="0"/>
    <n v="0"/>
    <n v="0"/>
    <n v="0"/>
    <n v="0"/>
    <n v="0"/>
    <n v="0"/>
    <n v="0"/>
    <n v="0"/>
  </r>
  <r>
    <x v="74"/>
    <x v="9"/>
    <x v="9"/>
    <n v="973793"/>
    <n v="219000"/>
    <n v="0"/>
    <n v="0"/>
    <n v="0"/>
    <n v="0"/>
    <n v="0"/>
    <n v="219000"/>
    <n v="154379"/>
    <n v="0"/>
    <n v="154379"/>
    <n v="0"/>
    <n v="0"/>
    <n v="0"/>
    <n v="0"/>
    <n v="0"/>
    <n v="0"/>
    <n v="0"/>
    <n v="0"/>
    <n v="0"/>
    <n v="0"/>
    <n v="0"/>
  </r>
  <r>
    <x v="74"/>
    <x v="11"/>
    <x v="11"/>
    <n v="1999507"/>
    <n v="962010"/>
    <n v="498502"/>
    <n v="0"/>
    <n v="0"/>
    <n v="65406"/>
    <n v="0"/>
    <n v="1525918"/>
    <n v="656722"/>
    <n v="0"/>
    <n v="656722"/>
    <n v="0"/>
    <n v="0"/>
    <n v="0"/>
    <n v="0"/>
    <n v="0"/>
    <n v="0"/>
    <n v="0"/>
    <n v="0"/>
    <n v="0"/>
    <n v="0"/>
    <n v="0"/>
  </r>
  <r>
    <x v="74"/>
    <x v="14"/>
    <x v="14"/>
    <n v="1775131"/>
    <n v="359200"/>
    <n v="150000"/>
    <n v="0"/>
    <n v="0"/>
    <n v="0"/>
    <n v="0"/>
    <n v="509200"/>
    <n v="133407"/>
    <n v="0"/>
    <n v="133407"/>
    <n v="0"/>
    <n v="0"/>
    <n v="0"/>
    <n v="0"/>
    <n v="0"/>
    <n v="0"/>
    <n v="0"/>
    <n v="0"/>
    <n v="0"/>
    <n v="0"/>
    <n v="0"/>
  </r>
  <r>
    <x v="75"/>
    <x v="1"/>
    <x v="1"/>
    <n v="0"/>
    <n v="0"/>
    <n v="1361630"/>
    <n v="0"/>
    <n v="3550000"/>
    <n v="486301"/>
    <n v="16900"/>
    <n v="5414831"/>
    <n v="2444410"/>
    <n v="0"/>
    <n v="2444410"/>
    <n v="10800"/>
    <n v="0"/>
    <n v="0"/>
    <n v="0"/>
    <n v="0"/>
    <n v="0"/>
    <n v="0"/>
    <n v="215222"/>
    <n v="665619"/>
    <n v="0"/>
    <n v="0"/>
  </r>
  <r>
    <x v="75"/>
    <x v="2"/>
    <x v="2"/>
    <n v="12901588"/>
    <n v="3892391"/>
    <n v="2306540"/>
    <n v="0"/>
    <m/>
    <n v="343198"/>
    <n v="49542"/>
    <n v="6591671"/>
    <n v="1006425"/>
    <n v="61236"/>
    <n v="1067661"/>
    <n v="0"/>
    <n v="0"/>
    <n v="0"/>
    <n v="0"/>
    <n v="0"/>
    <n v="0"/>
    <n v="0"/>
    <n v="0"/>
    <n v="0"/>
    <n v="0"/>
    <n v="0"/>
  </r>
  <r>
    <x v="75"/>
    <x v="3"/>
    <x v="3"/>
    <n v="6262229"/>
    <n v="1593804"/>
    <n v="1672796"/>
    <n v="0"/>
    <m/>
    <n v="303004"/>
    <n v="15808"/>
    <n v="3585412"/>
    <n v="946371"/>
    <n v="0"/>
    <n v="946371"/>
    <n v="0"/>
    <n v="0"/>
    <n v="0"/>
    <n v="0"/>
    <n v="0"/>
    <n v="0"/>
    <n v="0"/>
    <n v="0"/>
    <n v="0"/>
    <n v="0"/>
    <n v="0"/>
  </r>
  <r>
    <x v="75"/>
    <x v="4"/>
    <x v="4"/>
    <n v="7110420"/>
    <n v="2019702"/>
    <n v="2250088"/>
    <n v="0"/>
    <m/>
    <n v="358588"/>
    <n v="14946"/>
    <n v="4643324"/>
    <n v="738059"/>
    <n v="0"/>
    <n v="738059"/>
    <n v="0"/>
    <n v="0"/>
    <n v="0"/>
    <n v="0"/>
    <n v="0"/>
    <n v="0"/>
    <n v="0"/>
    <n v="0"/>
    <n v="0"/>
    <n v="0"/>
    <n v="0"/>
  </r>
  <r>
    <x v="75"/>
    <x v="12"/>
    <x v="12"/>
    <n v="13148"/>
    <n v="0"/>
    <n v="0"/>
    <n v="0"/>
    <m/>
    <n v="0"/>
    <n v="0"/>
    <n v="0"/>
    <n v="275106"/>
    <n v="0"/>
    <n v="275106"/>
    <n v="0"/>
    <n v="0"/>
    <n v="0"/>
    <n v="0"/>
    <n v="0"/>
    <n v="0"/>
    <n v="0"/>
    <n v="0"/>
    <n v="0"/>
    <n v="0"/>
    <n v="0"/>
  </r>
  <r>
    <x v="75"/>
    <x v="13"/>
    <x v="13"/>
    <n v="1905194"/>
    <n v="440879"/>
    <n v="637172"/>
    <n v="0"/>
    <m/>
    <n v="95710"/>
    <n v="144828"/>
    <n v="1318589"/>
    <n v="458741"/>
    <n v="0"/>
    <n v="458741"/>
    <n v="0"/>
    <n v="0"/>
    <n v="0"/>
    <n v="0"/>
    <n v="0"/>
    <n v="0"/>
    <n v="0"/>
    <n v="0"/>
    <n v="0"/>
    <n v="0"/>
    <n v="0"/>
  </r>
  <r>
    <x v="75"/>
    <x v="5"/>
    <x v="5"/>
    <n v="4425975"/>
    <n v="1424258"/>
    <n v="719604"/>
    <n v="0"/>
    <m/>
    <n v="168463"/>
    <n v="4000"/>
    <n v="2316325"/>
    <n v="1085892"/>
    <n v="0"/>
    <n v="1085892"/>
    <n v="0"/>
    <n v="0"/>
    <n v="0"/>
    <n v="0"/>
    <n v="0"/>
    <n v="0"/>
    <n v="0"/>
    <n v="0"/>
    <n v="0"/>
    <n v="0"/>
    <n v="0"/>
  </r>
  <r>
    <x v="75"/>
    <x v="6"/>
    <x v="6"/>
    <n v="2462469"/>
    <n v="913275"/>
    <n v="290000"/>
    <n v="0"/>
    <n v="150000"/>
    <n v="76804"/>
    <n v="0"/>
    <n v="1430079"/>
    <n v="601669"/>
    <n v="0"/>
    <n v="601669"/>
    <n v="0"/>
    <n v="0"/>
    <n v="0"/>
    <n v="0"/>
    <n v="0"/>
    <n v="0"/>
    <n v="0"/>
    <n v="0"/>
    <n v="0"/>
    <n v="0"/>
    <n v="0"/>
  </r>
  <r>
    <x v="75"/>
    <x v="8"/>
    <x v="8"/>
    <n v="1077061"/>
    <n v="318565"/>
    <n v="0"/>
    <n v="0"/>
    <m/>
    <n v="19866"/>
    <n v="0"/>
    <n v="338431"/>
    <n v="116406"/>
    <n v="0"/>
    <n v="116406"/>
    <n v="0"/>
    <n v="0"/>
    <n v="0"/>
    <n v="0"/>
    <n v="0"/>
    <n v="0"/>
    <n v="0"/>
    <n v="0"/>
    <n v="0"/>
    <n v="0"/>
    <n v="0"/>
  </r>
  <r>
    <x v="75"/>
    <x v="9"/>
    <x v="9"/>
    <n v="797482"/>
    <n v="209300"/>
    <n v="0"/>
    <n v="0"/>
    <m/>
    <n v="0"/>
    <n v="0"/>
    <n v="209300"/>
    <n v="121870"/>
    <n v="0"/>
    <n v="121870"/>
    <n v="0"/>
    <n v="0"/>
    <n v="0"/>
    <n v="0"/>
    <n v="0"/>
    <n v="0"/>
    <n v="0"/>
    <n v="0"/>
    <n v="0"/>
    <n v="0"/>
    <n v="0"/>
  </r>
  <r>
    <x v="75"/>
    <x v="11"/>
    <x v="11"/>
    <n v="2831820"/>
    <n v="876775"/>
    <n v="502460"/>
    <n v="0"/>
    <m/>
    <n v="70457"/>
    <n v="0"/>
    <n v="1449692"/>
    <n v="638498"/>
    <n v="0"/>
    <n v="638498"/>
    <n v="0"/>
    <n v="0"/>
    <n v="0"/>
    <n v="0"/>
    <n v="0"/>
    <n v="0"/>
    <n v="0"/>
    <n v="0"/>
    <n v="0"/>
    <n v="0"/>
    <n v="0"/>
  </r>
  <r>
    <x v="75"/>
    <x v="14"/>
    <x v="14"/>
    <n v="2077332"/>
    <n v="418350"/>
    <n v="0"/>
    <n v="0"/>
    <m/>
    <n v="0"/>
    <n v="0"/>
    <n v="418350"/>
    <n v="153096"/>
    <n v="0"/>
    <n v="153096"/>
    <n v="0"/>
    <n v="0"/>
    <n v="0"/>
    <n v="0"/>
    <n v="0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8">
  <r>
    <x v="0"/>
    <x v="0"/>
    <n v="273636"/>
    <n v="134172"/>
    <n v="80119"/>
    <n v="0"/>
    <n v="0"/>
    <n v="0"/>
    <n v="7622"/>
    <n v="52046"/>
    <n v="53691"/>
    <n v="4109"/>
    <n v="3268"/>
    <n v="0"/>
    <n v="0"/>
    <n v="16711"/>
    <n v="482843"/>
    <n v="1108217"/>
  </r>
  <r>
    <x v="1"/>
    <x v="0"/>
    <n v="182379"/>
    <n v="106893"/>
    <n v="57584"/>
    <n v="0"/>
    <n v="0"/>
    <n v="0"/>
    <n v="8169"/>
    <n v="36315"/>
    <n v="50202"/>
    <n v="3948"/>
    <n v="2883"/>
    <n v="0"/>
    <n v="0"/>
    <n v="12649"/>
    <n v="422930"/>
    <n v="883952"/>
  </r>
  <r>
    <x v="2"/>
    <x v="0"/>
    <n v="138053"/>
    <n v="98111"/>
    <n v="40196"/>
    <n v="0"/>
    <n v="0"/>
    <n v="0"/>
    <n v="8460"/>
    <n v="20663"/>
    <n v="52303"/>
    <n v="4727"/>
    <n v="2190"/>
    <n v="0"/>
    <n v="0"/>
    <n v="10666"/>
    <n v="395680"/>
    <n v="771049"/>
  </r>
  <r>
    <x v="3"/>
    <x v="0"/>
    <n v="236069"/>
    <n v="128707"/>
    <n v="79144"/>
    <n v="0"/>
    <n v="0"/>
    <n v="0"/>
    <n v="9936"/>
    <n v="52550.5"/>
    <n v="62541"/>
    <n v="3940"/>
    <n v="942"/>
    <n v="0"/>
    <n v="0"/>
    <n v="21472"/>
    <n v="534225"/>
    <n v="1129526.5"/>
  </r>
  <r>
    <x v="3"/>
    <x v="1"/>
    <n v="0"/>
    <n v="30000"/>
    <n v="30000"/>
    <n v="0"/>
    <n v="0"/>
    <n v="0"/>
    <n v="90000"/>
    <n v="0"/>
    <n v="120000"/>
    <n v="30000"/>
    <n v="0"/>
    <n v="0"/>
    <n v="0"/>
    <n v="0"/>
    <n v="5823664"/>
    <n v="6123664"/>
  </r>
  <r>
    <x v="4"/>
    <x v="0"/>
    <n v="231689"/>
    <n v="119892"/>
    <n v="82618"/>
    <n v="0"/>
    <n v="0"/>
    <n v="0"/>
    <n v="10100"/>
    <n v="45731"/>
    <n v="56637"/>
    <n v="4227"/>
    <n v="1013"/>
    <n v="0"/>
    <n v="0"/>
    <n v="34133"/>
    <n v="497726"/>
    <n v="1083766"/>
  </r>
  <r>
    <x v="5"/>
    <x v="0"/>
    <n v="270640"/>
    <n v="136608"/>
    <n v="100480"/>
    <n v="0"/>
    <n v="0"/>
    <n v="0"/>
    <n v="10074"/>
    <n v="46755"/>
    <n v="58705"/>
    <n v="3761"/>
    <n v="1035"/>
    <n v="0"/>
    <n v="0"/>
    <n v="38251"/>
    <n v="484188"/>
    <n v="1150497"/>
  </r>
  <r>
    <x v="6"/>
    <x v="0"/>
    <n v="214774"/>
    <n v="106992"/>
    <n v="92676"/>
    <n v="0"/>
    <n v="0"/>
    <n v="0"/>
    <n v="10496"/>
    <n v="40838.5"/>
    <n v="53965"/>
    <n v="3868"/>
    <n v="1125"/>
    <n v="0"/>
    <n v="0"/>
    <n v="31975"/>
    <n v="509789"/>
    <n v="1066498.5"/>
  </r>
  <r>
    <x v="7"/>
    <x v="0"/>
    <n v="176462"/>
    <n v="90474"/>
    <n v="75660"/>
    <n v="0"/>
    <n v="0"/>
    <n v="0"/>
    <n v="79208"/>
    <n v="28869"/>
    <n v="155347"/>
    <n v="22899"/>
    <n v="0"/>
    <n v="0"/>
    <n v="0"/>
    <n v="24480"/>
    <n v="438923"/>
    <n v="1092322"/>
  </r>
  <r>
    <x v="8"/>
    <x v="0"/>
    <n v="196736"/>
    <n v="92570"/>
    <n v="86508"/>
    <n v="0"/>
    <n v="0"/>
    <n v="0"/>
    <n v="80457"/>
    <n v="52880"/>
    <n v="152215"/>
    <n v="18375"/>
    <n v="0"/>
    <n v="3475"/>
    <n v="0"/>
    <n v="26354"/>
    <n v="461484"/>
    <n v="1171054"/>
  </r>
  <r>
    <x v="9"/>
    <x v="0"/>
    <n v="315869"/>
    <n v="137566"/>
    <n v="146266"/>
    <n v="0"/>
    <n v="0"/>
    <n v="0"/>
    <n v="88146"/>
    <n v="0"/>
    <n v="172616"/>
    <n v="20769"/>
    <n v="0"/>
    <n v="95410"/>
    <n v="0"/>
    <n v="37983"/>
    <n v="789151"/>
    <n v="1803776"/>
  </r>
  <r>
    <x v="9"/>
    <x v="1"/>
    <n v="0"/>
    <n v="0"/>
    <n v="0"/>
    <n v="0"/>
    <n v="0"/>
    <n v="0"/>
    <n v="30000"/>
    <n v="0"/>
    <n v="0"/>
    <n v="0"/>
    <n v="0"/>
    <n v="0"/>
    <n v="0"/>
    <n v="0"/>
    <n v="3544599"/>
    <n v="3574599"/>
  </r>
  <r>
    <x v="10"/>
    <x v="0"/>
    <n v="336505"/>
    <n v="140644"/>
    <n v="156959"/>
    <n v="0"/>
    <n v="0"/>
    <n v="0"/>
    <n v="89519"/>
    <n v="0"/>
    <n v="183245"/>
    <n v="19473"/>
    <n v="0"/>
    <n v="175852"/>
    <n v="0"/>
    <n v="40677"/>
    <n v="863310"/>
    <n v="2006184"/>
  </r>
  <r>
    <x v="11"/>
    <x v="0"/>
    <n v="234608"/>
    <n v="121688"/>
    <n v="129481"/>
    <n v="0"/>
    <n v="0"/>
    <n v="0"/>
    <n v="121074"/>
    <n v="0"/>
    <n v="203367"/>
    <n v="15476"/>
    <n v="0"/>
    <n v="189705"/>
    <n v="0"/>
    <n v="30297"/>
    <n v="1408669"/>
    <n v="2454365"/>
  </r>
  <r>
    <x v="12"/>
    <x v="0"/>
    <n v="328821"/>
    <n v="145231"/>
    <n v="93772"/>
    <n v="0"/>
    <n v="0"/>
    <n v="0"/>
    <n v="88921"/>
    <n v="0"/>
    <n v="155965"/>
    <n v="17033"/>
    <n v="0"/>
    <n v="169767"/>
    <n v="0"/>
    <n v="47383"/>
    <n v="832678"/>
    <n v="1879571"/>
  </r>
  <r>
    <x v="13"/>
    <x v="0"/>
    <n v="293882"/>
    <n v="124469"/>
    <n v="222652"/>
    <n v="0"/>
    <n v="0"/>
    <n v="0"/>
    <n v="88362"/>
    <n v="0"/>
    <n v="139910"/>
    <n v="18360"/>
    <n v="0"/>
    <n v="170285"/>
    <n v="0"/>
    <n v="35179"/>
    <n v="761599"/>
    <n v="1854698"/>
  </r>
  <r>
    <x v="14"/>
    <x v="0"/>
    <n v="374057"/>
    <n v="168389"/>
    <n v="196915"/>
    <n v="0"/>
    <n v="0"/>
    <n v="0"/>
    <n v="76504"/>
    <n v="0"/>
    <n v="144695"/>
    <n v="17448"/>
    <n v="0"/>
    <n v="180716"/>
    <n v="0"/>
    <n v="9465"/>
    <n v="848312"/>
    <n v="2016501"/>
  </r>
  <r>
    <x v="15"/>
    <x v="0"/>
    <n v="299176"/>
    <n v="168404"/>
    <n v="173893"/>
    <n v="0"/>
    <n v="0"/>
    <n v="0"/>
    <n v="108208"/>
    <n v="0"/>
    <n v="181845"/>
    <n v="28628"/>
    <n v="7000"/>
    <n v="196042"/>
    <n v="0"/>
    <n v="28684"/>
    <n v="852760"/>
    <n v="2044640"/>
  </r>
  <r>
    <x v="15"/>
    <x v="1"/>
    <n v="0"/>
    <n v="0"/>
    <n v="0"/>
    <n v="0"/>
    <n v="0"/>
    <n v="0"/>
    <n v="0"/>
    <n v="0"/>
    <n v="0"/>
    <n v="0"/>
    <n v="0"/>
    <n v="0"/>
    <n v="0"/>
    <n v="0"/>
    <n v="10119970"/>
    <n v="10119970"/>
  </r>
  <r>
    <x v="16"/>
    <x v="0"/>
    <n v="390033"/>
    <n v="193342"/>
    <n v="219838"/>
    <n v="0"/>
    <n v="0"/>
    <n v="0"/>
    <n v="76777"/>
    <n v="0"/>
    <n v="144695"/>
    <n v="17661"/>
    <n v="0"/>
    <n v="181330"/>
    <n v="0"/>
    <n v="39026"/>
    <n v="930226"/>
    <n v="2192928"/>
  </r>
  <r>
    <x v="17"/>
    <x v="0"/>
    <n v="276693"/>
    <n v="117611"/>
    <n v="163885"/>
    <n v="0"/>
    <n v="0"/>
    <n v="0"/>
    <n v="91496"/>
    <n v="0"/>
    <n v="143634"/>
    <n v="15619"/>
    <n v="0"/>
    <n v="45839"/>
    <n v="0"/>
    <n v="48020"/>
    <n v="701587"/>
    <n v="1604384"/>
  </r>
  <r>
    <x v="18"/>
    <x v="0"/>
    <n v="265684"/>
    <n v="106519"/>
    <n v="129953"/>
    <n v="0"/>
    <n v="0"/>
    <n v="0"/>
    <n v="92918"/>
    <n v="0"/>
    <n v="149447"/>
    <n v="17124"/>
    <n v="0"/>
    <n v="70763"/>
    <n v="0"/>
    <n v="39019"/>
    <n v="812094"/>
    <n v="1683521"/>
  </r>
  <r>
    <x v="19"/>
    <x v="0"/>
    <n v="317795"/>
    <n v="107684"/>
    <n v="158509"/>
    <n v="0"/>
    <n v="0"/>
    <n v="0"/>
    <n v="114320"/>
    <n v="0"/>
    <n v="177727"/>
    <n v="15220"/>
    <n v="0"/>
    <n v="36783"/>
    <n v="0"/>
    <n v="32528"/>
    <n v="893308"/>
    <n v="1853874"/>
  </r>
  <r>
    <x v="20"/>
    <x v="0"/>
    <n v="235958"/>
    <n v="79789"/>
    <n v="119876"/>
    <n v="0"/>
    <n v="0"/>
    <n v="0"/>
    <n v="110439"/>
    <n v="0"/>
    <n v="171435"/>
    <n v="15717"/>
    <n v="0"/>
    <n v="95212"/>
    <n v="0"/>
    <n v="27966"/>
    <n v="812144"/>
    <n v="1668536"/>
  </r>
  <r>
    <x v="21"/>
    <x v="0"/>
    <n v="404784"/>
    <n v="139415"/>
    <n v="214356"/>
    <n v="0"/>
    <n v="0"/>
    <n v="0"/>
    <n v="74101"/>
    <n v="0"/>
    <n v="182772"/>
    <n v="16601"/>
    <n v="0"/>
    <n v="98488"/>
    <n v="0"/>
    <n v="56276"/>
    <n v="1106617"/>
    <n v="2293410"/>
  </r>
  <r>
    <x v="21"/>
    <x v="1"/>
    <n v="0"/>
    <n v="0"/>
    <n v="0"/>
    <n v="0"/>
    <n v="0"/>
    <n v="0"/>
    <n v="0"/>
    <n v="0"/>
    <n v="0"/>
    <n v="0"/>
    <n v="0"/>
    <n v="0"/>
    <n v="0"/>
    <n v="0"/>
    <n v="5665504"/>
    <n v="5665504"/>
  </r>
  <r>
    <x v="22"/>
    <x v="0"/>
    <n v="359908"/>
    <n v="132387"/>
    <n v="188332"/>
    <n v="0"/>
    <n v="0"/>
    <n v="0"/>
    <n v="82681"/>
    <n v="0"/>
    <n v="159668"/>
    <n v="16656"/>
    <n v="0"/>
    <n v="86125"/>
    <n v="0"/>
    <n v="40429"/>
    <n v="1058455"/>
    <n v="2124641"/>
  </r>
  <r>
    <x v="23"/>
    <x v="1"/>
    <n v="0"/>
    <n v="0"/>
    <n v="0"/>
    <n v="0"/>
    <n v="0"/>
    <n v="0"/>
    <n v="0"/>
    <n v="0"/>
    <n v="0"/>
    <n v="0"/>
    <n v="0"/>
    <n v="0"/>
    <n v="0"/>
    <n v="0"/>
    <n v="1150000"/>
    <n v="1150000"/>
  </r>
  <r>
    <x v="23"/>
    <x v="0"/>
    <n v="315753"/>
    <n v="123987"/>
    <n v="219700"/>
    <n v="12182"/>
    <n v="0"/>
    <n v="0"/>
    <n v="74027"/>
    <n v="0"/>
    <n v="141510"/>
    <n v="14241"/>
    <n v="0"/>
    <n v="101763"/>
    <n v="0"/>
    <n v="36985"/>
    <n v="1064740"/>
    <n v="2104888"/>
  </r>
  <r>
    <x v="24"/>
    <x v="0"/>
    <n v="280638"/>
    <n v="99911"/>
    <n v="191141"/>
    <n v="8963"/>
    <n v="0"/>
    <n v="0"/>
    <n v="117343"/>
    <n v="0"/>
    <n v="143108"/>
    <n v="17084"/>
    <n v="0"/>
    <n v="119288"/>
    <n v="0"/>
    <n v="31141"/>
    <n v="1087874"/>
    <n v="2096491"/>
  </r>
  <r>
    <x v="25"/>
    <x v="0"/>
    <n v="281240"/>
    <n v="90165"/>
    <n v="177266"/>
    <n v="19128"/>
    <n v="0"/>
    <n v="0"/>
    <n v="93523"/>
    <n v="0"/>
    <n v="149476"/>
    <n v="17996"/>
    <n v="0"/>
    <n v="101897"/>
    <n v="0"/>
    <n v="0"/>
    <n v="1110196"/>
    <n v="2040887"/>
  </r>
  <r>
    <x v="26"/>
    <x v="0"/>
    <n v="314020"/>
    <n v="107519"/>
    <n v="182795"/>
    <n v="35179"/>
    <n v="0"/>
    <n v="0"/>
    <n v="85423"/>
    <n v="0"/>
    <n v="153739"/>
    <n v="15400"/>
    <n v="0"/>
    <n v="41231"/>
    <n v="0"/>
    <n v="0"/>
    <n v="1103378"/>
    <n v="2038684"/>
  </r>
  <r>
    <x v="27"/>
    <x v="0"/>
    <n v="385682"/>
    <n v="147383"/>
    <n v="197283"/>
    <n v="27757"/>
    <n v="4899"/>
    <n v="0"/>
    <n v="76992"/>
    <n v="0"/>
    <n v="154098"/>
    <n v="16974"/>
    <n v="0"/>
    <n v="66575"/>
    <n v="0"/>
    <n v="0"/>
    <n v="1256020"/>
    <n v="2333663"/>
  </r>
  <r>
    <x v="27"/>
    <x v="1"/>
    <n v="0"/>
    <n v="0"/>
    <n v="0"/>
    <n v="0"/>
    <n v="0"/>
    <n v="0"/>
    <n v="0"/>
    <n v="0"/>
    <n v="0"/>
    <n v="0"/>
    <n v="0"/>
    <n v="0"/>
    <n v="0"/>
    <n v="0"/>
    <n v="10396280"/>
    <n v="10396280"/>
  </r>
  <r>
    <x v="28"/>
    <x v="0"/>
    <n v="381961"/>
    <n v="154430"/>
    <n v="202195"/>
    <n v="29050"/>
    <n v="5127"/>
    <n v="0"/>
    <n v="79694"/>
    <n v="0"/>
    <n v="151348"/>
    <n v="16424"/>
    <n v="0"/>
    <n v="64550"/>
    <n v="0"/>
    <n v="0"/>
    <n v="1304526"/>
    <n v="2389305"/>
  </r>
  <r>
    <x v="29"/>
    <x v="0"/>
    <n v="368355"/>
    <n v="142739"/>
    <n v="159634"/>
    <n v="30016"/>
    <n v="14127"/>
    <n v="0"/>
    <n v="81342"/>
    <n v="0"/>
    <n v="162949"/>
    <n v="13218"/>
    <n v="0"/>
    <n v="15688"/>
    <n v="19400"/>
    <n v="0"/>
    <n v="1111897"/>
    <n v="2119365"/>
  </r>
  <r>
    <x v="30"/>
    <x v="0"/>
    <n v="349156"/>
    <n v="124222"/>
    <n v="157936"/>
    <n v="0"/>
    <n v="24466"/>
    <n v="0"/>
    <n v="79791"/>
    <n v="0"/>
    <n v="167616"/>
    <n v="14561"/>
    <n v="0"/>
    <n v="123325"/>
    <n v="24250"/>
    <n v="0"/>
    <n v="1014632"/>
    <n v="2079955"/>
  </r>
  <r>
    <x v="31"/>
    <x v="0"/>
    <n v="329127"/>
    <n v="121317"/>
    <n v="154975"/>
    <n v="0"/>
    <n v="28131"/>
    <n v="0"/>
    <n v="73566"/>
    <n v="0"/>
    <n v="146442"/>
    <n v="13714"/>
    <n v="0"/>
    <n v="86475"/>
    <n v="24250"/>
    <n v="0"/>
    <n v="1005510"/>
    <n v="198350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ﾋﾟﾎﾞｯﾄﾃｰﾌﾞﾙ1" cacheId="0" applyNumberFormats="0" applyBorderFormats="0" applyFontFormats="0" applyPatternFormats="0" applyAlignmentFormats="0" applyWidthHeightFormats="1" dataCaption="値" updatedVersion="5" minRefreshableVersion="3" useAutoFormatting="1" itemPrintTitles="1" createdVersion="5" indent="0" compact="0" compactData="0" gridDropZones="1" multipleFieldFilters="0">
  <location ref="A3:N3357" firstHeaderRow="1" firstDataRow="2" firstDataCol="7"/>
  <pivotFields count="14">
    <pivotField axis="axisRow" compact="0" numFmtId="185" outline="0" subtotalTop="0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axis="axisRow" compact="0" outline="0" subtotalTop="0" showAll="0">
      <items count="16">
        <item x="0"/>
        <item x="1"/>
        <item x="2"/>
        <item x="3"/>
        <item x="4"/>
        <item x="7"/>
        <item x="8"/>
        <item x="10"/>
        <item m="1" x="14"/>
        <item x="6"/>
        <item x="5"/>
        <item x="9"/>
        <item x="11"/>
        <item x="12"/>
        <item x="13"/>
        <item t="default"/>
      </items>
    </pivotField>
    <pivotField axis="axisRow" compact="0" outline="0" subtotalTop="0" showAll="0">
      <items count="19">
        <item m="1" x="17"/>
        <item m="1" x="14"/>
        <item m="1" x="16"/>
        <item x="0"/>
        <item x="2"/>
        <item x="1"/>
        <item m="1" x="15"/>
        <item x="3"/>
        <item x="9"/>
        <item x="6"/>
        <item x="5"/>
        <item x="4"/>
        <item x="8"/>
        <item x="7"/>
        <item x="10"/>
        <item x="11"/>
        <item x="12"/>
        <item x="13"/>
        <item t="default"/>
      </items>
    </pivotField>
    <pivotField axis="axisRow" compact="0" outline="0" subtotalTop="0" showAll="0">
      <items count="8">
        <item x="3"/>
        <item x="2"/>
        <item x="1"/>
        <item x="4"/>
        <item x="5"/>
        <item x="0"/>
        <item m="1" x="6"/>
        <item t="default"/>
      </items>
    </pivotField>
    <pivotField axis="axisRow" compact="0" outline="0" subtotalTop="0" showAll="0">
      <items count="8">
        <item x="1"/>
        <item x="5"/>
        <item x="2"/>
        <item x="0"/>
        <item x="4"/>
        <item x="3"/>
        <item m="1" x="6"/>
        <item t="default"/>
      </items>
    </pivotField>
    <pivotField axis="axisRow" compact="0" outline="0" showAll="0" defaultSubtotal="0">
      <items count="2">
        <item x="1"/>
        <item x="0"/>
      </items>
    </pivotField>
    <pivotField axis="axisRow" compact="0" outline="0" showAll="0">
      <items count="3">
        <item x="0"/>
        <item x="1"/>
        <item t="default"/>
      </items>
    </pivotField>
    <pivotField dataField="1" compact="0" numFmtId="178" outline="0" subtotalTop="0" showAll="0"/>
    <pivotField dataField="1" compact="0" outline="0" subtotalTop="0" showAll="0"/>
    <pivotField dataField="1" compact="0" numFmtId="178" outline="0" subtotalTop="0" showAll="0"/>
    <pivotField dataField="1" compact="0" numFmtId="178" outline="0" subtotalTop="0" showAll="0"/>
    <pivotField dataField="1" compact="0" numFmtId="178" outline="0" subtotalTop="0" showAll="0"/>
    <pivotField dataField="1" compact="0" outline="0" showAll="0" defaultSubtotal="0"/>
    <pivotField dataField="1" compact="0" numFmtId="178" outline="0" subtotalTop="0" showAll="0"/>
  </pivotFields>
  <rowFields count="7">
    <field x="0"/>
    <field x="5"/>
    <field x="6"/>
    <field x="1"/>
    <field x="2"/>
    <field x="3"/>
    <field x="4"/>
  </rowFields>
  <rowItems count="3353">
    <i>
      <x/>
      <x/>
      <x v="1"/>
      <x/>
      <x v="3"/>
      <x v="5"/>
      <x v="3"/>
    </i>
    <i t="default" r="5">
      <x v="5"/>
    </i>
    <i t="default" r="4">
      <x v="3"/>
    </i>
    <i t="default" r="3">
      <x/>
    </i>
    <i r="3"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/>
      <x v="3"/>
      <x v="5"/>
      <x v="3"/>
    </i>
    <i t="default" r="5">
      <x v="5"/>
    </i>
    <i t="default" r="4">
      <x v="3"/>
    </i>
    <i t="default" r="3">
      <x/>
    </i>
    <i r="3"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/>
    </i>
    <i>
      <x v="1"/>
      <x/>
      <x v="1"/>
      <x/>
      <x v="3"/>
      <x v="5"/>
      <x v="3"/>
    </i>
    <i t="default" r="5">
      <x v="5"/>
    </i>
    <i t="default" r="4">
      <x v="3"/>
    </i>
    <i t="default" r="3">
      <x/>
    </i>
    <i r="3"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/>
      <x v="3"/>
      <x v="5"/>
      <x v="3"/>
    </i>
    <i t="default" r="5">
      <x v="5"/>
    </i>
    <i t="default" r="4">
      <x v="3"/>
    </i>
    <i t="default" r="3">
      <x/>
    </i>
    <i r="3"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"/>
    </i>
    <i>
      <x v="2"/>
      <x/>
      <x v="1"/>
      <x/>
      <x v="3"/>
      <x v="5"/>
      <x v="3"/>
    </i>
    <i t="default" r="5">
      <x v="5"/>
    </i>
    <i t="default" r="4">
      <x v="3"/>
    </i>
    <i t="default" r="3">
      <x/>
    </i>
    <i r="3"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/>
      <x v="3"/>
      <x v="5"/>
      <x v="3"/>
    </i>
    <i t="default" r="5">
      <x v="5"/>
    </i>
    <i t="default" r="4">
      <x v="3"/>
    </i>
    <i t="default" r="3">
      <x/>
    </i>
    <i r="3"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2"/>
    </i>
    <i>
      <x v="3"/>
      <x/>
      <x v="1"/>
      <x/>
      <x v="3"/>
      <x v="5"/>
      <x v="3"/>
    </i>
    <i t="default" r="5">
      <x v="5"/>
    </i>
    <i t="default" r="4">
      <x v="3"/>
    </i>
    <i t="default" r="3">
      <x/>
    </i>
    <i r="3"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/>
      <x v="3"/>
      <x v="5"/>
      <x v="3"/>
    </i>
    <i t="default" r="5">
      <x v="5"/>
    </i>
    <i t="default" r="4">
      <x v="3"/>
    </i>
    <i t="default" r="3">
      <x/>
    </i>
    <i r="3"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3"/>
    </i>
    <i>
      <x v="4"/>
      <x/>
      <x v="1"/>
      <x/>
      <x v="3"/>
      <x v="5"/>
      <x v="3"/>
    </i>
    <i t="default" r="5">
      <x v="5"/>
    </i>
    <i t="default" r="4">
      <x v="3"/>
    </i>
    <i t="default" r="3">
      <x/>
    </i>
    <i r="3"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/>
      <x v="3"/>
      <x v="5"/>
      <x v="3"/>
    </i>
    <i t="default" r="5">
      <x v="5"/>
    </i>
    <i t="default" r="4">
      <x v="3"/>
    </i>
    <i t="default" r="3">
      <x/>
    </i>
    <i r="3"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4"/>
    </i>
    <i>
      <x v="5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5"/>
    </i>
    <i>
      <x v="6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6"/>
    </i>
    <i>
      <x v="7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7"/>
    </i>
    <i>
      <x v="8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9"/>
      <x v="9"/>
      <x/>
      <x v="5"/>
    </i>
    <i t="default" r="5">
      <x/>
    </i>
    <i t="default" r="4">
      <x v="9"/>
    </i>
    <i t="default" r="3">
      <x v="9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8"/>
    </i>
    <i>
      <x v="9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9"/>
    </i>
    <i>
      <x v="10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0"/>
    </i>
    <i>
      <x v="11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1"/>
    </i>
    <i>
      <x v="12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2"/>
    </i>
    <i>
      <x v="13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3"/>
    </i>
    <i>
      <x v="14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4"/>
    </i>
    <i>
      <x v="15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5"/>
    </i>
    <i>
      <x v="16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6"/>
    </i>
    <i>
      <x v="17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7"/>
    </i>
    <i>
      <x v="18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8"/>
    </i>
    <i>
      <x v="19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19"/>
    </i>
    <i>
      <x v="20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t="default" r="2">
      <x/>
    </i>
    <i t="default">
      <x v="20"/>
    </i>
    <i>
      <x v="21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t="default" r="2">
      <x/>
    </i>
    <i t="default">
      <x v="21"/>
    </i>
    <i>
      <x v="22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t="default" r="2">
      <x/>
    </i>
    <i t="default">
      <x v="22"/>
    </i>
    <i>
      <x v="23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t="default" r="2">
      <x/>
    </i>
    <i t="default">
      <x v="23"/>
    </i>
    <i>
      <x v="24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1"/>
      <x v="8"/>
      <x/>
      <x v="5"/>
    </i>
    <i t="default" r="5">
      <x/>
    </i>
    <i r="5">
      <x v="1"/>
      <x v="2"/>
    </i>
    <i t="default" r="5">
      <x v="1"/>
    </i>
    <i t="default" r="4">
      <x v="8"/>
    </i>
    <i t="default" r="3">
      <x v="11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t="default" r="2">
      <x/>
    </i>
    <i t="default">
      <x v="24"/>
    </i>
    <i>
      <x v="25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t="default" r="2">
      <x/>
    </i>
    <i t="default">
      <x v="25"/>
    </i>
    <i>
      <x v="26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t="default" r="2">
      <x/>
    </i>
    <i t="default">
      <x v="26"/>
    </i>
    <i>
      <x v="27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t="default" r="2">
      <x/>
    </i>
    <i t="default">
      <x v="27"/>
    </i>
    <i>
      <x v="28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t="default" r="2">
      <x/>
    </i>
    <i t="default">
      <x v="28"/>
    </i>
    <i>
      <x v="29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r="3">
      <x v="14"/>
      <x v="17"/>
      <x v="4"/>
      <x v="1"/>
    </i>
    <i t="default" r="5">
      <x v="4"/>
    </i>
    <i t="default" r="4">
      <x v="17"/>
    </i>
    <i t="default" r="3">
      <x v="14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r="3">
      <x v="14"/>
      <x v="17"/>
      <x v="4"/>
      <x v="1"/>
    </i>
    <i t="default" r="5">
      <x v="4"/>
    </i>
    <i t="default" r="4">
      <x v="17"/>
    </i>
    <i t="default" r="3">
      <x v="14"/>
    </i>
    <i t="default" r="2">
      <x/>
    </i>
    <i t="default">
      <x v="29"/>
    </i>
    <i>
      <x v="30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r="3">
      <x v="14"/>
      <x v="17"/>
      <x v="4"/>
      <x v="1"/>
    </i>
    <i t="default" r="5">
      <x v="4"/>
    </i>
    <i t="default" r="4">
      <x v="17"/>
    </i>
    <i t="default" r="3">
      <x v="14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r="3">
      <x v="14"/>
      <x v="17"/>
      <x v="4"/>
      <x v="1"/>
    </i>
    <i t="default" r="5">
      <x v="4"/>
    </i>
    <i t="default" r="4">
      <x v="17"/>
    </i>
    <i t="default" r="3">
      <x v="14"/>
    </i>
    <i t="default" r="2">
      <x/>
    </i>
    <i t="default">
      <x v="30"/>
    </i>
    <i>
      <x v="31"/>
      <x/>
      <x v="1"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r="3">
      <x v="14"/>
      <x v="17"/>
      <x v="4"/>
      <x v="1"/>
    </i>
    <i t="default" r="5">
      <x v="4"/>
    </i>
    <i t="default" r="4">
      <x v="17"/>
    </i>
    <i t="default" r="3">
      <x v="14"/>
    </i>
    <i t="default" r="2">
      <x v="1"/>
    </i>
    <i r="1">
      <x v="1"/>
      <x/>
      <x v="1"/>
      <x v="5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5"/>
    </i>
    <i t="default" r="3">
      <x v="1"/>
    </i>
    <i r="3">
      <x v="2"/>
      <x v="4"/>
      <x/>
      <x v="5"/>
    </i>
    <i t="default" r="5">
      <x/>
    </i>
    <i r="5">
      <x v="1"/>
      <x v="2"/>
    </i>
    <i t="default" r="5">
      <x v="1"/>
    </i>
    <i r="5">
      <x v="2"/>
      <x/>
    </i>
    <i t="default" r="5">
      <x v="2"/>
    </i>
    <i t="default" r="4">
      <x v="4"/>
    </i>
    <i t="default" r="3">
      <x v="2"/>
    </i>
    <i r="3">
      <x v="3"/>
      <x v="7"/>
      <x/>
      <x v="5"/>
    </i>
    <i t="default" r="5">
      <x/>
    </i>
    <i r="5">
      <x v="1"/>
      <x v="2"/>
    </i>
    <i t="default" r="5">
      <x v="1"/>
    </i>
    <i t="default" r="4">
      <x v="7"/>
    </i>
    <i t="default" r="3">
      <x v="3"/>
    </i>
    <i r="3">
      <x v="4"/>
      <x v="11"/>
      <x v="3"/>
      <x v="4"/>
    </i>
    <i t="default" r="5">
      <x v="3"/>
    </i>
    <i t="default" r="4">
      <x v="11"/>
    </i>
    <i t="default" r="3">
      <x v="4"/>
    </i>
    <i r="3">
      <x v="5"/>
      <x v="13"/>
      <x v="4"/>
      <x v="1"/>
    </i>
    <i t="default" r="5">
      <x v="4"/>
    </i>
    <i t="default" r="4">
      <x v="13"/>
    </i>
    <i t="default" r="3">
      <x v="5"/>
    </i>
    <i r="3">
      <x v="6"/>
      <x v="12"/>
      <x v="4"/>
      <x v="1"/>
    </i>
    <i t="default" r="5">
      <x v="4"/>
    </i>
    <i t="default" r="4">
      <x v="12"/>
    </i>
    <i t="default" r="3">
      <x v="6"/>
    </i>
    <i r="3">
      <x v="7"/>
      <x v="14"/>
      <x v="4"/>
      <x v="1"/>
    </i>
    <i t="default" r="5">
      <x v="4"/>
    </i>
    <i t="default" r="4">
      <x v="14"/>
    </i>
    <i t="default" r="3">
      <x v="7"/>
    </i>
    <i r="3">
      <x v="10"/>
      <x v="10"/>
      <x/>
      <x v="5"/>
    </i>
    <i t="default" r="5">
      <x/>
    </i>
    <i t="default" r="4">
      <x v="10"/>
    </i>
    <i t="default" r="3">
      <x v="10"/>
    </i>
    <i r="3">
      <x v="12"/>
      <x v="15"/>
      <x/>
      <x v="5"/>
    </i>
    <i t="default" r="5">
      <x/>
    </i>
    <i r="5">
      <x v="1"/>
      <x v="2"/>
    </i>
    <i t="default" r="5">
      <x v="1"/>
    </i>
    <i t="default" r="4">
      <x v="15"/>
    </i>
    <i t="default" r="3">
      <x v="12"/>
    </i>
    <i r="3">
      <x v="13"/>
      <x v="16"/>
      <x/>
      <x v="5"/>
    </i>
    <i t="default" r="5">
      <x/>
    </i>
    <i r="5">
      <x v="1"/>
      <x v="2"/>
    </i>
    <i t="default" r="5">
      <x v="1"/>
    </i>
    <i t="default" r="4">
      <x v="16"/>
    </i>
    <i t="default" r="3">
      <x v="13"/>
    </i>
    <i r="3">
      <x v="14"/>
      <x v="17"/>
      <x v="4"/>
      <x v="1"/>
    </i>
    <i t="default" r="5">
      <x v="4"/>
    </i>
    <i t="default" r="4">
      <x v="17"/>
    </i>
    <i t="default" r="3">
      <x v="14"/>
    </i>
    <i t="default" r="2">
      <x/>
    </i>
    <i t="default">
      <x v="3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合計 / 請求" fld="7" baseField="0" baseItem="0"/>
    <dataField name="合計 / 返戻" fld="8" baseField="2" baseItem="2"/>
    <dataField name="合計 / 入金予定" fld="9" baseField="0" baseItem="0"/>
    <dataField name="合計 / 入金額" fld="10" baseField="0" baseItem="0"/>
    <dataField name="合計 / 差額" fld="11" baseField="0" baseItem="0"/>
    <dataField name="合計 / 請求保留" fld="12" baseField="0" baseItem="0"/>
    <dataField name="合計 / 処遇改善加算金" fld="13" baseField="0" baseItem="0"/>
  </dataFields>
  <formats count="1">
    <format dxfId="365">
      <pivotArea field="1" type="button" dataOnly="0" labelOnly="1" outline="0" axis="axisRow" fieldPosition="3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ﾋﾟﾎﾞｯﾄﾃｰﾌﾞﾙ2" cacheId="1" applyNumberFormats="0" applyBorderFormats="0" applyFontFormats="0" applyPatternFormats="0" applyAlignmentFormats="0" applyWidthHeightFormats="1" dataCaption="値" updatedVersion="5" minRefreshableVersion="3" useAutoFormatting="1" itemPrintTitles="1" createdVersion="5" indent="0" compact="0" compactData="0" gridDropZones="1" multipleFieldFilters="0">
  <location ref="A3:Z347" firstHeaderRow="1" firstDataRow="2" firstDataCol="3"/>
  <pivotFields count="26">
    <pivotField axis="axisRow" compact="0" numFmtId="185" outline="0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axis="axisRow" compact="0" outline="0" showAll="0" defaultSubtotal="0">
      <items count="15">
        <item m="1" x="14"/>
        <item x="9"/>
        <item x="0"/>
        <item x="1"/>
        <item x="2"/>
        <item x="6"/>
        <item x="7"/>
        <item x="4"/>
        <item x="5"/>
        <item x="10"/>
        <item x="8"/>
        <item x="3"/>
        <item x="11"/>
        <item x="12"/>
        <item x="13"/>
      </items>
    </pivotField>
    <pivotField axis="axisRow" compact="0" outline="0" showAll="0">
      <items count="19">
        <item m="1" x="17"/>
        <item m="1" x="14"/>
        <item m="1" x="16"/>
        <item x="9"/>
        <item x="1"/>
        <item x="7"/>
        <item x="6"/>
        <item x="0"/>
        <item x="8"/>
        <item m="1" x="15"/>
        <item x="2"/>
        <item x="3"/>
        <item x="4"/>
        <item x="5"/>
        <item x="10"/>
        <item x="11"/>
        <item x="12"/>
        <item x="13"/>
        <item t="default"/>
      </items>
    </pivotField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 defaultSubtotal="0"/>
    <pivotField dataField="1" compact="0" numFmtId="178" outline="0" showAll="0"/>
    <pivotField dataField="1" compact="0" numFmtId="178" outline="0" showAll="0"/>
    <pivotField dataField="1" compact="0" numFmtId="178" outline="0" showAll="0"/>
    <pivotField dataField="1" compact="0" numFmtId="178" outline="0" showAll="0" defaultSubtotal="0"/>
    <pivotField dataField="1" compact="0" numFmtId="178" outline="0" showAll="0" defaultSubtotal="0"/>
  </pivotFields>
  <rowFields count="3">
    <field x="0"/>
    <field x="1"/>
    <field x="2"/>
  </rowFields>
  <rowItems count="343">
    <i>
      <x/>
      <x v="1"/>
      <x v="3"/>
    </i>
    <i r="1">
      <x v="2"/>
      <x v="7"/>
    </i>
    <i r="1">
      <x v="3"/>
      <x v="4"/>
    </i>
    <i r="1">
      <x v="4"/>
      <x v="10"/>
    </i>
    <i r="1">
      <x v="5"/>
      <x v="6"/>
    </i>
    <i r="1">
      <x v="6"/>
      <x v="5"/>
    </i>
    <i r="1">
      <x v="7"/>
      <x v="12"/>
    </i>
    <i r="1">
      <x v="8"/>
      <x v="13"/>
    </i>
    <i r="1">
      <x v="10"/>
      <x v="8"/>
    </i>
    <i r="1">
      <x v="11"/>
      <x v="11"/>
    </i>
    <i t="default">
      <x/>
    </i>
    <i>
      <x v="1"/>
      <x v="2"/>
      <x v="7"/>
    </i>
    <i r="1">
      <x v="3"/>
      <x v="4"/>
    </i>
    <i r="1">
      <x v="4"/>
      <x v="10"/>
    </i>
    <i r="1">
      <x v="5"/>
      <x v="6"/>
    </i>
    <i r="1">
      <x v="6"/>
      <x v="5"/>
    </i>
    <i r="1">
      <x v="7"/>
      <x v="12"/>
    </i>
    <i r="1">
      <x v="8"/>
      <x v="13"/>
    </i>
    <i r="1">
      <x v="10"/>
      <x v="8"/>
    </i>
    <i r="1">
      <x v="11"/>
      <x v="11"/>
    </i>
    <i t="default">
      <x v="1"/>
    </i>
    <i>
      <x v="2"/>
      <x v="1"/>
      <x v="3"/>
    </i>
    <i r="1">
      <x v="2"/>
      <x v="7"/>
    </i>
    <i r="1">
      <x v="3"/>
      <x v="4"/>
    </i>
    <i r="1">
      <x v="4"/>
      <x v="10"/>
    </i>
    <i r="1">
      <x v="5"/>
      <x v="6"/>
    </i>
    <i r="1">
      <x v="6"/>
      <x v="5"/>
    </i>
    <i r="1">
      <x v="7"/>
      <x v="12"/>
    </i>
    <i r="1">
      <x v="8"/>
      <x v="13"/>
    </i>
    <i r="1">
      <x v="10"/>
      <x v="8"/>
    </i>
    <i r="1">
      <x v="11"/>
      <x v="11"/>
    </i>
    <i t="default">
      <x v="2"/>
    </i>
    <i>
      <x v="3"/>
      <x v="1"/>
      <x v="3"/>
    </i>
    <i r="1">
      <x v="2"/>
      <x v="7"/>
    </i>
    <i r="1">
      <x v="3"/>
      <x v="4"/>
    </i>
    <i r="1">
      <x v="4"/>
      <x v="10"/>
    </i>
    <i r="1">
      <x v="5"/>
      <x v="6"/>
    </i>
    <i r="1">
      <x v="6"/>
      <x v="5"/>
    </i>
    <i r="1">
      <x v="7"/>
      <x v="12"/>
    </i>
    <i r="1">
      <x v="8"/>
      <x v="13"/>
    </i>
    <i r="1">
      <x v="10"/>
      <x v="8"/>
    </i>
    <i r="1">
      <x v="11"/>
      <x v="11"/>
    </i>
    <i t="default">
      <x v="3"/>
    </i>
    <i>
      <x v="4"/>
      <x v="1"/>
      <x v="3"/>
    </i>
    <i r="1">
      <x v="2"/>
      <x v="7"/>
    </i>
    <i r="1">
      <x v="3"/>
      <x v="4"/>
    </i>
    <i r="1">
      <x v="4"/>
      <x v="10"/>
    </i>
    <i r="1">
      <x v="5"/>
      <x v="6"/>
    </i>
    <i r="1">
      <x v="6"/>
      <x v="5"/>
    </i>
    <i r="1">
      <x v="7"/>
      <x v="12"/>
    </i>
    <i r="1">
      <x v="8"/>
      <x v="13"/>
    </i>
    <i r="1">
      <x v="10"/>
      <x v="8"/>
    </i>
    <i r="1">
      <x v="11"/>
      <x v="11"/>
    </i>
    <i t="default">
      <x v="4"/>
    </i>
    <i>
      <x v="5"/>
      <x v="2"/>
      <x v="7"/>
    </i>
    <i r="1">
      <x v="3"/>
      <x v="4"/>
    </i>
    <i r="1">
      <x v="4"/>
      <x v="10"/>
    </i>
    <i r="1">
      <x v="5"/>
      <x v="6"/>
    </i>
    <i r="1">
      <x v="6"/>
      <x v="5"/>
    </i>
    <i r="1">
      <x v="7"/>
      <x v="12"/>
    </i>
    <i r="1">
      <x v="8"/>
      <x v="13"/>
    </i>
    <i r="1">
      <x v="10"/>
      <x v="8"/>
    </i>
    <i r="1">
      <x v="11"/>
      <x v="11"/>
    </i>
    <i t="default">
      <x v="5"/>
    </i>
    <i>
      <x v="6"/>
      <x v="2"/>
      <x v="7"/>
    </i>
    <i r="1">
      <x v="3"/>
      <x v="4"/>
    </i>
    <i r="1">
      <x v="4"/>
      <x v="10"/>
    </i>
    <i r="1">
      <x v="5"/>
      <x v="6"/>
    </i>
    <i r="1">
      <x v="6"/>
      <x v="5"/>
    </i>
    <i r="1">
      <x v="7"/>
      <x v="12"/>
    </i>
    <i r="1">
      <x v="8"/>
      <x v="13"/>
    </i>
    <i r="1">
      <x v="10"/>
      <x v="8"/>
    </i>
    <i r="1">
      <x v="11"/>
      <x v="11"/>
    </i>
    <i t="default">
      <x v="6"/>
    </i>
    <i>
      <x v="7"/>
      <x v="2"/>
      <x v="7"/>
    </i>
    <i r="1">
      <x v="3"/>
      <x v="4"/>
    </i>
    <i r="1">
      <x v="4"/>
      <x v="10"/>
    </i>
    <i r="1">
      <x v="5"/>
      <x v="6"/>
    </i>
    <i r="1">
      <x v="6"/>
      <x v="5"/>
    </i>
    <i r="1">
      <x v="7"/>
      <x v="12"/>
    </i>
    <i r="1">
      <x v="8"/>
      <x v="13"/>
    </i>
    <i r="1">
      <x v="10"/>
      <x v="8"/>
    </i>
    <i r="1">
      <x v="11"/>
      <x v="11"/>
    </i>
    <i t="default">
      <x v="7"/>
    </i>
    <i>
      <x v="8"/>
      <x v="2"/>
      <x v="7"/>
    </i>
    <i r="1">
      <x v="3"/>
      <x v="4"/>
    </i>
    <i r="1">
      <x v="4"/>
      <x v="10"/>
    </i>
    <i r="1">
      <x v="5"/>
      <x v="6"/>
    </i>
    <i r="1">
      <x v="6"/>
      <x v="5"/>
    </i>
    <i r="1">
      <x v="7"/>
      <x v="12"/>
    </i>
    <i r="1">
      <x v="8"/>
      <x v="13"/>
    </i>
    <i r="1">
      <x v="10"/>
      <x v="8"/>
    </i>
    <i r="1">
      <x v="11"/>
      <x v="11"/>
    </i>
    <i t="default">
      <x v="8"/>
    </i>
    <i>
      <x v="9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9"/>
    </i>
    <i>
      <x v="10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10"/>
    </i>
    <i>
      <x v="11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11"/>
    </i>
    <i>
      <x v="12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12"/>
    </i>
    <i>
      <x v="13"/>
      <x v="1"/>
      <x v="3"/>
    </i>
    <i r="1"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13"/>
    </i>
    <i>
      <x v="14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14"/>
    </i>
    <i>
      <x v="15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15"/>
    </i>
    <i>
      <x v="16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16"/>
    </i>
    <i>
      <x v="17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17"/>
    </i>
    <i>
      <x v="18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18"/>
    </i>
    <i>
      <x v="19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19"/>
    </i>
    <i>
      <x v="20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t="default">
      <x v="20"/>
    </i>
    <i>
      <x v="21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r="1">
      <x v="12"/>
      <x v="15"/>
    </i>
    <i t="default">
      <x v="21"/>
    </i>
    <i>
      <x v="22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r="1">
      <x v="12"/>
      <x v="15"/>
    </i>
    <i t="default">
      <x v="22"/>
    </i>
    <i>
      <x v="23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r="1">
      <x v="12"/>
      <x v="15"/>
    </i>
    <i t="default">
      <x v="23"/>
    </i>
    <i>
      <x v="24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0"/>
      <x v="8"/>
    </i>
    <i r="1">
      <x v="11"/>
      <x v="11"/>
    </i>
    <i r="1">
      <x v="12"/>
      <x v="15"/>
    </i>
    <i t="default">
      <x v="24"/>
    </i>
    <i>
      <x v="25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1"/>
      <x v="11"/>
    </i>
    <i r="1">
      <x v="12"/>
      <x v="15"/>
    </i>
    <i r="1">
      <x v="13"/>
      <x v="16"/>
    </i>
    <i t="default">
      <x v="25"/>
    </i>
    <i>
      <x v="26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1"/>
      <x v="11"/>
    </i>
    <i r="1">
      <x v="12"/>
      <x v="15"/>
    </i>
    <i r="1">
      <x v="13"/>
      <x v="16"/>
    </i>
    <i r="1">
      <x v="14"/>
      <x v="17"/>
    </i>
    <i t="default">
      <x v="26"/>
    </i>
    <i>
      <x v="27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1"/>
      <x v="11"/>
    </i>
    <i r="1">
      <x v="12"/>
      <x v="15"/>
    </i>
    <i r="1">
      <x v="13"/>
      <x v="16"/>
    </i>
    <i r="1">
      <x v="14"/>
      <x v="17"/>
    </i>
    <i t="default">
      <x v="27"/>
    </i>
    <i>
      <x v="28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1"/>
      <x v="11"/>
    </i>
    <i r="1">
      <x v="12"/>
      <x v="15"/>
    </i>
    <i r="1">
      <x v="13"/>
      <x v="16"/>
    </i>
    <i r="1">
      <x v="14"/>
      <x v="17"/>
    </i>
    <i t="default">
      <x v="28"/>
    </i>
    <i>
      <x v="29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1"/>
      <x v="11"/>
    </i>
    <i r="1">
      <x v="12"/>
      <x v="15"/>
    </i>
    <i r="1">
      <x v="13"/>
      <x v="16"/>
    </i>
    <i r="1">
      <x v="14"/>
      <x v="17"/>
    </i>
    <i t="default">
      <x v="29"/>
    </i>
    <i>
      <x v="30"/>
      <x v="1"/>
      <x v="3"/>
    </i>
    <i r="1"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1"/>
      <x v="11"/>
    </i>
    <i r="1">
      <x v="13"/>
      <x v="16"/>
    </i>
    <i r="1">
      <x v="14"/>
      <x v="17"/>
    </i>
    <i t="default">
      <x v="30"/>
    </i>
    <i>
      <x v="31"/>
      <x v="2"/>
      <x v="7"/>
    </i>
    <i r="1">
      <x v="3"/>
      <x v="4"/>
    </i>
    <i r="1">
      <x v="4"/>
      <x v="10"/>
    </i>
    <i r="1">
      <x v="5"/>
      <x v="6"/>
    </i>
    <i r="1">
      <x v="7"/>
      <x v="12"/>
    </i>
    <i r="1">
      <x v="8"/>
      <x v="13"/>
    </i>
    <i r="1">
      <x v="9"/>
      <x v="14"/>
    </i>
    <i r="1">
      <x v="11"/>
      <x v="11"/>
    </i>
    <i r="1">
      <x v="12"/>
      <x v="15"/>
    </i>
    <i r="1">
      <x v="13"/>
      <x v="16"/>
    </i>
    <i r="1">
      <x v="14"/>
      <x v="17"/>
    </i>
    <i t="default">
      <x v="31"/>
    </i>
    <i t="grand">
      <x/>
    </i>
  </rowItems>
  <colFields count="1">
    <field x="-2"/>
  </colFields>
  <col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colItems>
  <dataFields count="23">
    <dataField name="合計 / 訪問" fld="3" baseField="0" baseItem="0"/>
    <dataField name="合計 / 訪問処遇改善加算金" fld="4" baseField="0" baseItem="0"/>
    <dataField name="合計 / 障害" fld="5" baseField="0" baseItem="0"/>
    <dataField name="合計 / 障害処遇改善加算金" fld="6" baseField="0" baseItem="0"/>
    <dataField name="合計 / 居宅" fld="7" baseField="0" baseItem="0"/>
    <dataField name="合計 / 通所介護" fld="8" baseField="0" baseItem="0"/>
    <dataField name="合計 / 通所介護処遇改善加算金" fld="9" baseField="0" baseItem="0"/>
    <dataField name="合計 / 共同生活援助" fld="10" baseField="0" baseItem="0"/>
    <dataField name="合計 / 共同生活援助処遇改善加算金" fld="11" baseField="0" baseItem="0"/>
    <dataField name="合計 / 相談支援" fld="12" baseField="0" baseItem="0"/>
    <dataField name="合計 / 自費" fld="13" baseField="0" baseItem="0"/>
    <dataField name="合計 / 移動支援" fld="14" baseField="0" baseItem="0"/>
    <dataField name="合計 / タクシー運賃" fld="15" baseField="0" baseItem="0"/>
    <dataField name="合計 / 買物交通費" fld="16" baseField="0" baseItem="0"/>
    <dataField name="合計 / カナミック" fld="17" baseField="0" baseItem="0"/>
    <dataField name="合計 / 生活費" fld="18" baseField="0" baseItem="0"/>
    <dataField name="合計 / 昼食代" fld="19" baseField="0" baseItem="0"/>
    <dataField name="合計 / 弁当売上高" fld="20" baseField="0" baseItem="0"/>
    <dataField name="合計 / 家賃助成返金分" fld="21" baseField="0" baseItem="0"/>
    <dataField name="合計 / 運営費助成金" fld="22" baseField="0" baseItem="0"/>
    <dataField name="合計 / 経営コンサルタント" fld="23" baseField="0" baseItem="0"/>
    <dataField name="合計 / 合計" fld="24" baseField="0" baseItem="0"/>
    <dataField name="合計 / その他合計" fld="2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ﾋﾟﾎﾞｯﾄﾃｰﾌﾞﾙ3" cacheId="2" applyNumberFormats="0" applyBorderFormats="0" applyFontFormats="0" applyPatternFormats="0" applyAlignmentFormats="0" applyWidthHeightFormats="1" dataCaption="値" updatedVersion="5" minRefreshableVersion="3" useAutoFormatting="1" itemPrintTitles="1" createdVersion="5" indent="0" compact="0" compactData="0" gridDropZones="1" multipleFieldFilters="0">
  <location ref="A3:Y479" firstHeaderRow="1" firstDataRow="2" firstDataCol="3"/>
  <pivotFields count="25">
    <pivotField axis="axisRow" compact="0" numFmtId="185" outline="0" subtotalTop="0" showAll="0">
      <items count="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m="1" x="83"/>
        <item m="1" x="81"/>
        <item m="1" x="79"/>
        <item m="1" x="77"/>
        <item m="1" x="82"/>
        <item m="1" x="80"/>
        <item m="1" x="78"/>
        <item m="1" x="76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</pivotField>
    <pivotField axis="axisRow" compact="0" outline="0" subtotalTop="0" showAll="0" defaultSubtotal="0">
      <items count="17">
        <item m="1" x="15"/>
        <item m="1" x="16"/>
        <item x="2"/>
        <item x="3"/>
        <item x="4"/>
        <item x="5"/>
        <item x="6"/>
        <item x="7"/>
        <item x="8"/>
        <item x="9"/>
        <item x="11"/>
        <item x="1"/>
        <item x="0"/>
        <item x="10"/>
        <item x="12"/>
        <item x="13"/>
        <item x="14"/>
      </items>
    </pivotField>
    <pivotField axis="axisRow" compact="0" outline="0" subtotalTop="0" showAll="0">
      <items count="20">
        <item m="1" x="18"/>
        <item m="1" x="15"/>
        <item m="1" x="17"/>
        <item x="0"/>
        <item x="3"/>
        <item x="7"/>
        <item x="6"/>
        <item x="2"/>
        <item x="10"/>
        <item m="1" x="16"/>
        <item x="4"/>
        <item x="1"/>
        <item x="5"/>
        <item x="8"/>
        <item x="9"/>
        <item x="11"/>
        <item x="12"/>
        <item x="13"/>
        <item x="14"/>
        <item t="default"/>
      </items>
    </pivotField>
    <pivotField dataField="1" compact="0" numFmtId="178" outline="0" subtotalTop="0" showAll="0"/>
    <pivotField dataField="1" compact="0" numFmtId="178" outline="0" subtotalTop="0" showAll="0"/>
    <pivotField dataField="1" compact="0" numFmtId="178" outline="0" subtotalTop="0" showAll="0"/>
    <pivotField dataField="1" compact="0" numFmtId="178" outline="0" subtotalTop="0" showAll="0"/>
    <pivotField dataField="1" compact="0" numFmtId="178" outline="0" subtotalTop="0" showAll="0"/>
    <pivotField dataField="1" compact="0" numFmtId="178" outline="0" subtotalTop="0" showAll="0"/>
    <pivotField dataField="1" compact="0" numFmtId="178" outline="0" subtotalTop="0" showAll="0"/>
    <pivotField dataField="1" compact="0" numFmtId="178" outline="0" subtotalTop="0" showAll="0"/>
    <pivotField dataField="1" compact="0" numFmtId="178" outline="0" subtotalTop="0" showAll="0"/>
    <pivotField dataField="1" compact="0" numFmtId="178" outline="0" showAll="0" defaultSubtotal="0"/>
    <pivotField dataField="1" compact="0" numFmtId="178" outline="0" showAll="0" defaultSubtotal="0"/>
    <pivotField dataField="1" compact="0" outline="0" showAll="0" defaultSubtotal="0"/>
    <pivotField dataField="1" compact="0" numFmtId="178" outline="0" showAll="0" defaultSubtotal="0"/>
    <pivotField dataField="1" compact="0" outline="0" showAll="0" defaultSubtotal="0"/>
    <pivotField dataField="1" compact="0" numFmtId="178" outline="0" showAll="0" defaultSubtotal="0"/>
    <pivotField dataField="1" compact="0" numFmtId="178" outline="0" showAll="0" defaultSubtotal="0"/>
    <pivotField dataField="1" compact="0" numFmtId="178" outline="0" showAll="0" defaultSubtotal="0"/>
    <pivotField dataField="1" compact="0" numFmtId="178" outline="0" showAll="0" defaultSubtotal="0"/>
    <pivotField dataField="1" compact="0" numFmtId="178" outline="0" showAll="0" defaultSubtotal="0"/>
    <pivotField dataField="1" compact="0" numFmtId="178" outline="0" showAll="0" defaultSubtotal="0"/>
    <pivotField dataField="1" compact="0" numFmtId="178" outline="0" showAll="0" defaultSubtotal="0"/>
    <pivotField dataField="1" compact="0" numFmtId="178" outline="0" showAll="0" defaultSubtotal="0"/>
  </pivotFields>
  <rowFields count="3">
    <field x="0"/>
    <field x="1"/>
    <field x="2"/>
  </rowFields>
  <rowItems count="475">
    <i>
      <x/>
      <x v="12"/>
      <x v="3"/>
    </i>
    <i t="default">
      <x/>
    </i>
    <i>
      <x v="1"/>
      <x v="12"/>
      <x v="3"/>
    </i>
    <i t="default">
      <x v="1"/>
    </i>
    <i>
      <x v="2"/>
      <x v="12"/>
      <x v="3"/>
    </i>
    <i t="default">
      <x v="2"/>
    </i>
    <i>
      <x v="3"/>
      <x v="12"/>
      <x v="3"/>
    </i>
    <i t="default">
      <x v="3"/>
    </i>
    <i>
      <x v="4"/>
      <x v="12"/>
      <x v="3"/>
    </i>
    <i t="default">
      <x v="4"/>
    </i>
    <i>
      <x v="5"/>
      <x v="12"/>
      <x v="3"/>
    </i>
    <i t="default">
      <x v="5"/>
    </i>
    <i>
      <x v="6"/>
      <x v="12"/>
      <x v="3"/>
    </i>
    <i t="default">
      <x v="6"/>
    </i>
    <i>
      <x v="7"/>
      <x v="12"/>
      <x v="3"/>
    </i>
    <i t="default">
      <x v="7"/>
    </i>
    <i>
      <x v="8"/>
      <x v="12"/>
      <x v="3"/>
    </i>
    <i t="default">
      <x v="8"/>
    </i>
    <i>
      <x v="9"/>
      <x v="12"/>
      <x v="3"/>
    </i>
    <i t="default">
      <x v="9"/>
    </i>
    <i>
      <x v="10"/>
      <x v="12"/>
      <x v="3"/>
    </i>
    <i t="default">
      <x v="10"/>
    </i>
    <i>
      <x v="11"/>
      <x v="12"/>
      <x v="3"/>
    </i>
    <i t="default">
      <x v="11"/>
    </i>
    <i>
      <x v="12"/>
      <x v="12"/>
      <x v="3"/>
    </i>
    <i t="default">
      <x v="12"/>
    </i>
    <i>
      <x v="13"/>
      <x v="12"/>
      <x v="3"/>
    </i>
    <i t="default">
      <x v="13"/>
    </i>
    <i>
      <x v="14"/>
      <x v="12"/>
      <x v="3"/>
    </i>
    <i t="default">
      <x v="14"/>
    </i>
    <i>
      <x v="15"/>
      <x v="12"/>
      <x v="3"/>
    </i>
    <i t="default">
      <x v="15"/>
    </i>
    <i>
      <x v="16"/>
      <x v="12"/>
      <x v="3"/>
    </i>
    <i t="default">
      <x v="16"/>
    </i>
    <i>
      <x v="17"/>
      <x v="12"/>
      <x v="3"/>
    </i>
    <i t="default">
      <x v="17"/>
    </i>
    <i>
      <x v="18"/>
      <x v="12"/>
      <x v="3"/>
    </i>
    <i t="default">
      <x v="18"/>
    </i>
    <i>
      <x v="19"/>
      <x v="12"/>
      <x v="3"/>
    </i>
    <i t="default">
      <x v="19"/>
    </i>
    <i>
      <x v="20"/>
      <x v="12"/>
      <x v="3"/>
    </i>
    <i t="default">
      <x v="20"/>
    </i>
    <i>
      <x v="21"/>
      <x v="12"/>
      <x v="3"/>
    </i>
    <i t="default">
      <x v="21"/>
    </i>
    <i>
      <x v="22"/>
      <x v="12"/>
      <x v="3"/>
    </i>
    <i t="default">
      <x v="22"/>
    </i>
    <i>
      <x v="23"/>
      <x v="12"/>
      <x v="3"/>
    </i>
    <i t="default">
      <x v="23"/>
    </i>
    <i>
      <x v="24"/>
      <x v="12"/>
      <x v="3"/>
    </i>
    <i t="default">
      <x v="24"/>
    </i>
    <i>
      <x v="25"/>
      <x v="12"/>
      <x v="3"/>
    </i>
    <i t="default">
      <x v="25"/>
    </i>
    <i>
      <x v="26"/>
      <x v="12"/>
      <x v="3"/>
    </i>
    <i t="default">
      <x v="26"/>
    </i>
    <i>
      <x v="27"/>
      <x v="12"/>
      <x v="3"/>
    </i>
    <i t="default">
      <x v="27"/>
    </i>
    <i>
      <x v="28"/>
      <x v="12"/>
      <x v="3"/>
    </i>
    <i t="default">
      <x v="28"/>
    </i>
    <i>
      <x v="29"/>
      <x v="12"/>
      <x v="3"/>
    </i>
    <i t="default">
      <x v="29"/>
    </i>
    <i>
      <x v="30"/>
      <x v="12"/>
      <x v="3"/>
    </i>
    <i t="default">
      <x v="30"/>
    </i>
    <i>
      <x v="31"/>
      <x v="12"/>
      <x v="3"/>
    </i>
    <i t="default">
      <x v="31"/>
    </i>
    <i>
      <x v="32"/>
      <x v="12"/>
      <x v="3"/>
    </i>
    <i t="default">
      <x v="32"/>
    </i>
    <i>
      <x v="33"/>
      <x v="12"/>
      <x v="3"/>
    </i>
    <i t="default">
      <x v="33"/>
    </i>
    <i>
      <x v="34"/>
      <x v="12"/>
      <x v="3"/>
    </i>
    <i t="default">
      <x v="34"/>
    </i>
    <i>
      <x v="35"/>
      <x v="12"/>
      <x v="3"/>
    </i>
    <i t="default">
      <x v="35"/>
    </i>
    <i>
      <x v="36"/>
      <x v="12"/>
      <x v="3"/>
    </i>
    <i t="default">
      <x v="36"/>
    </i>
    <i>
      <x v="37"/>
      <x v="12"/>
      <x v="3"/>
    </i>
    <i t="default">
      <x v="37"/>
    </i>
    <i>
      <x v="38"/>
      <x v="12"/>
      <x v="3"/>
    </i>
    <i t="default">
      <x v="38"/>
    </i>
    <i>
      <x v="39"/>
      <x v="12"/>
      <x v="3"/>
    </i>
    <i t="default">
      <x v="39"/>
    </i>
    <i>
      <x v="40"/>
      <x v="12"/>
      <x v="3"/>
    </i>
    <i t="default">
      <x v="40"/>
    </i>
    <i>
      <x v="41"/>
      <x v="12"/>
      <x v="3"/>
    </i>
    <i t="default">
      <x v="41"/>
    </i>
    <i>
      <x v="42"/>
      <x v="12"/>
      <x v="3"/>
    </i>
    <i t="default">
      <x v="42"/>
    </i>
    <i>
      <x v="43"/>
      <x v="12"/>
      <x v="3"/>
    </i>
    <i t="default">
      <x v="43"/>
    </i>
    <i>
      <x v="44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1"/>
      <x v="11"/>
    </i>
    <i r="1">
      <x v="13"/>
      <x v="8"/>
    </i>
    <i t="default">
      <x v="44"/>
    </i>
    <i>
      <x v="45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1"/>
      <x v="11"/>
    </i>
    <i r="1">
      <x v="13"/>
      <x v="8"/>
    </i>
    <i t="default">
      <x v="45"/>
    </i>
    <i>
      <x v="46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1"/>
      <x v="11"/>
    </i>
    <i r="1">
      <x v="13"/>
      <x v="8"/>
    </i>
    <i t="default">
      <x v="46"/>
    </i>
    <i>
      <x v="47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47"/>
    </i>
    <i>
      <x v="48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48"/>
    </i>
    <i>
      <x v="49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49"/>
    </i>
    <i>
      <x v="50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50"/>
    </i>
    <i>
      <x v="51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51"/>
    </i>
    <i>
      <x v="52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52"/>
    </i>
    <i>
      <x v="53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53"/>
    </i>
    <i>
      <x v="54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54"/>
    </i>
    <i>
      <x v="55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7"/>
      <x v="5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55"/>
    </i>
    <i>
      <x v="56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56"/>
    </i>
    <i>
      <x v="57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57"/>
    </i>
    <i>
      <x v="58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58"/>
    </i>
    <i>
      <x v="59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59"/>
    </i>
    <i>
      <x v="68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68"/>
    </i>
    <i>
      <x v="69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t="default">
      <x v="69"/>
    </i>
    <i>
      <x v="70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r="1">
      <x v="14"/>
      <x v="16"/>
    </i>
    <i t="default">
      <x v="70"/>
    </i>
    <i>
      <x v="71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r="1">
      <x v="14"/>
      <x v="16"/>
    </i>
    <i t="default">
      <x v="71"/>
    </i>
    <i>
      <x v="72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r="1">
      <x v="14"/>
      <x v="16"/>
    </i>
    <i t="default">
      <x v="72"/>
    </i>
    <i>
      <x v="73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r="1">
      <x v="14"/>
      <x v="16"/>
    </i>
    <i t="default">
      <x v="73"/>
    </i>
    <i>
      <x v="74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r="1">
      <x v="14"/>
      <x v="16"/>
    </i>
    <i r="1">
      <x v="15"/>
      <x v="17"/>
    </i>
    <i t="default">
      <x v="74"/>
    </i>
    <i>
      <x v="75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r="1">
      <x v="14"/>
      <x v="16"/>
    </i>
    <i r="1">
      <x v="15"/>
      <x v="17"/>
    </i>
    <i t="default">
      <x v="75"/>
    </i>
    <i>
      <x v="76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r="1">
      <x v="14"/>
      <x v="16"/>
    </i>
    <i r="1">
      <x v="15"/>
      <x v="17"/>
    </i>
    <i r="1">
      <x v="16"/>
      <x v="18"/>
    </i>
    <i t="default">
      <x v="76"/>
    </i>
    <i>
      <x v="77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4"/>
      <x v="16"/>
    </i>
    <i r="1">
      <x v="15"/>
      <x v="17"/>
    </i>
    <i t="default">
      <x v="77"/>
    </i>
    <i>
      <x v="78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3"/>
      <x v="8"/>
    </i>
    <i r="1">
      <x v="14"/>
      <x v="16"/>
    </i>
    <i r="1">
      <x v="15"/>
      <x v="17"/>
    </i>
    <i r="1">
      <x v="16"/>
      <x v="18"/>
    </i>
    <i t="default">
      <x v="78"/>
    </i>
    <i>
      <x v="79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4"/>
      <x v="16"/>
    </i>
    <i r="1">
      <x v="15"/>
      <x v="17"/>
    </i>
    <i r="1">
      <x v="16"/>
      <x v="18"/>
    </i>
    <i t="default">
      <x v="79"/>
    </i>
    <i>
      <x v="80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4"/>
      <x v="16"/>
    </i>
    <i r="1">
      <x v="15"/>
      <x v="17"/>
    </i>
    <i r="1">
      <x v="16"/>
      <x v="18"/>
    </i>
    <i t="default">
      <x v="80"/>
    </i>
    <i>
      <x v="81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4"/>
      <x v="16"/>
    </i>
    <i r="1">
      <x v="15"/>
      <x v="17"/>
    </i>
    <i r="1">
      <x v="16"/>
      <x v="18"/>
    </i>
    <i t="default">
      <x v="81"/>
    </i>
    <i>
      <x v="82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4"/>
      <x v="16"/>
    </i>
    <i r="1">
      <x v="15"/>
      <x v="17"/>
    </i>
    <i r="1">
      <x v="16"/>
      <x v="18"/>
    </i>
    <i t="default">
      <x v="82"/>
    </i>
    <i>
      <x v="83"/>
      <x v="2"/>
      <x v="7"/>
    </i>
    <i r="1">
      <x v="3"/>
      <x v="4"/>
    </i>
    <i r="1">
      <x v="4"/>
      <x v="10"/>
    </i>
    <i r="1">
      <x v="5"/>
      <x v="12"/>
    </i>
    <i r="1">
      <x v="6"/>
      <x v="6"/>
    </i>
    <i r="1">
      <x v="8"/>
      <x v="13"/>
    </i>
    <i r="1">
      <x v="9"/>
      <x v="14"/>
    </i>
    <i r="1">
      <x v="10"/>
      <x v="15"/>
    </i>
    <i r="1">
      <x v="11"/>
      <x v="11"/>
    </i>
    <i r="1">
      <x v="14"/>
      <x v="16"/>
    </i>
    <i r="1">
      <x v="15"/>
      <x v="17"/>
    </i>
    <i r="1">
      <x v="16"/>
      <x v="18"/>
    </i>
    <i t="default">
      <x v="83"/>
    </i>
    <i t="grand">
      <x/>
    </i>
  </rowItems>
  <colFields count="1">
    <field x="-2"/>
  </colFields>
  <col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colItems>
  <dataFields count="22">
    <dataField name="合計 / 売上" fld="3" baseField="0" baseItem="0"/>
    <dataField name="合計 / パート給与" fld="4" baseField="0" baseItem="0"/>
    <dataField name="合計 / 社員給与" fld="5" baseField="0" baseItem="0"/>
    <dataField name="合計 / 賞与" fld="6" baseField="0" baseItem="0"/>
    <dataField name="合計 / 役員給与" fld="7" baseField="0" baseItem="0"/>
    <dataField name="合計 / 法定福利費" fld="8" baseField="0" baseItem="0"/>
    <dataField name="合計 / 福利厚生費" fld="9" baseField="0" baseItem="0"/>
    <dataField name="合計 / 人件費" fld="10" baseField="0" baseItem="0"/>
    <dataField name="合計 / 事業所経費" fld="11" baseField="0" baseItem="0"/>
    <dataField name="合計 / 弁当仕入高" fld="12" baseField="0" baseItem="0"/>
    <dataField name="合計 / 事業所経費計" fld="13" baseField="0" baseItem="0"/>
    <dataField name="合計 / 広告経費" fld="14" baseField="2" baseItem="3"/>
    <dataField name="合計 / 管理部派遣" fld="15" baseField="0" baseItem="0"/>
    <dataField name="合計 / 消費税" fld="16" baseField="0" baseItem="5"/>
    <dataField name="合計 / 期末調整（売上）" fld="17" baseField="0" baseItem="0"/>
    <dataField name="合計 / 期末調整（人件費）" fld="18" baseField="0" baseItem="0"/>
    <dataField name="合計 / 期末調整（経費）" fld="19" baseField="0" baseItem="0"/>
    <dataField name="合計 / 期末調整" fld="20" baseField="0" baseItem="0"/>
    <dataField name="合計 / 営業外収益" fld="21" baseField="0" baseItem="0"/>
    <dataField name="合計 / 営業外費用" fld="22" baseField="0" baseItem="0"/>
    <dataField name="合計 / 特別損益" fld="23" baseField="0" baseItem="0"/>
    <dataField name="合計 / 税金(法人税等)" fld="24" baseField="0" baseItem="0"/>
  </dataFields>
  <formats count="1">
    <format dxfId="364">
      <pivotArea field="1" type="button" dataOnly="0" labelOnly="1" outline="0" axis="axisRow" fieldPosition="1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ﾋﾟﾎﾞｯﾄﾃｰﾌﾞﾙ1" cacheId="3" applyNumberFormats="0" applyBorderFormats="0" applyFontFormats="0" applyPatternFormats="0" applyAlignmentFormats="0" applyWidthHeightFormats="1" dataCaption="値" updatedVersion="5" minRefreshableVersion="3" useAutoFormatting="1" itemPrintTitles="1" createdVersion="5" indent="0" compact="0" compactData="0" gridDropZones="1" multipleFieldFilters="0">
  <location ref="A3:O43" firstHeaderRow="1" firstDataRow="2" firstDataCol="2"/>
  <pivotFields count="18">
    <pivotField axis="axisRow" compact="0" numFmtId="181" outline="0" showAll="0" defaultSubtota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axis="axisRow" compact="0" outline="0" showAll="0" defaultSubtotal="0">
      <items count="2">
        <item x="0"/>
        <item x="1"/>
      </items>
    </pivotField>
    <pivotField dataField="1" compact="0" outline="0" showAll="0"/>
    <pivotField dataField="1" compact="0" outline="0" showAll="0"/>
    <pivotField dataField="1" compact="0" outline="0" showAll="0"/>
    <pivotField compact="0" numFmtId="178" outline="0" showAll="0" defaultSubtotal="0"/>
    <pivotField compact="0" numFmtId="178" outline="0" showAll="0" defaultSubtotal="0"/>
    <pivotField dataField="1" compact="0" outline="0" showAll="0"/>
    <pivotField dataField="1"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numFmtId="178" outline="0" showAll="0" defaultSubtotal="0"/>
    <pivotField dataField="1" compact="0" outline="0" showAll="0"/>
    <pivotField dataField="1" compact="0" outline="0" showAll="0"/>
    <pivotField dataField="1" compact="0" numFmtId="178" outline="0" showAll="0" defaultSubtotal="0"/>
  </pivotFields>
  <rowFields count="2">
    <field x="0"/>
    <field x="1"/>
  </rowFields>
  <rowItems count="39">
    <i>
      <x/>
      <x/>
    </i>
    <i>
      <x v="1"/>
      <x/>
    </i>
    <i>
      <x v="2"/>
      <x/>
    </i>
    <i>
      <x v="3"/>
      <x/>
    </i>
    <i r="1">
      <x v="1"/>
    </i>
    <i>
      <x v="4"/>
      <x/>
    </i>
    <i>
      <x v="5"/>
      <x/>
    </i>
    <i>
      <x v="6"/>
      <x/>
    </i>
    <i>
      <x v="7"/>
      <x/>
    </i>
    <i>
      <x v="8"/>
      <x/>
    </i>
    <i>
      <x v="9"/>
      <x/>
    </i>
    <i r="1">
      <x v="1"/>
    </i>
    <i>
      <x v="10"/>
      <x/>
    </i>
    <i>
      <x v="11"/>
      <x/>
    </i>
    <i>
      <x v="12"/>
      <x/>
    </i>
    <i>
      <x v="13"/>
      <x/>
    </i>
    <i>
      <x v="14"/>
      <x/>
    </i>
    <i>
      <x v="15"/>
      <x/>
    </i>
    <i r="1">
      <x v="1"/>
    </i>
    <i>
      <x v="16"/>
      <x/>
    </i>
    <i>
      <x v="17"/>
      <x/>
    </i>
    <i>
      <x v="18"/>
      <x/>
    </i>
    <i>
      <x v="19"/>
      <x/>
    </i>
    <i>
      <x v="20"/>
      <x/>
    </i>
    <i>
      <x v="21"/>
      <x/>
    </i>
    <i r="1">
      <x v="1"/>
    </i>
    <i>
      <x v="22"/>
      <x/>
    </i>
    <i>
      <x v="23"/>
      <x/>
    </i>
    <i r="1">
      <x v="1"/>
    </i>
    <i>
      <x v="24"/>
      <x/>
    </i>
    <i>
      <x v="25"/>
      <x/>
    </i>
    <i>
      <x v="26"/>
      <x/>
    </i>
    <i>
      <x v="27"/>
      <x/>
    </i>
    <i r="1">
      <x v="1"/>
    </i>
    <i>
      <x v="28"/>
      <x/>
    </i>
    <i>
      <x v="29"/>
      <x/>
    </i>
    <i>
      <x v="30"/>
      <x/>
    </i>
    <i>
      <x v="31"/>
      <x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合計 / 白金パート" fld="2" baseField="0" baseItem="0"/>
    <dataField name="合計 / 千葉中央パート" fld="3" baseField="0" baseItem="0"/>
    <dataField name="合計 / 千葉南パート" fld="4" baseField="0" baseItem="0"/>
    <dataField name="合計 / パート" fld="7" baseField="0" baseItem="0"/>
    <dataField name="合計 / 白金デイパート" fld="8" baseField="0" baseItem="0"/>
    <dataField name="合計 / 中高根パート" fld="9" baseField="0" baseItem="0"/>
    <dataField name="合計 / 二日市場パート" fld="10" baseField="0" baseItem="0"/>
    <dataField name="合計 / ＧＨ五井" fld="11" baseField="0" baseItem="0"/>
    <dataField name="合計 / ＧＨ白金" fld="12" baseField="0" baseItem="0"/>
    <dataField name="合計 / ＧＨ西五所" fld="13" baseField="0" baseItem="0"/>
    <dataField name="合計 / タクシーパート" fld="15" baseField="0" baseItem="0"/>
    <dataField name="合計 / 社員" fld="16" baseField="0" baseItem="0"/>
    <dataField name="合計 / 合計" fld="1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ﾋﾟﾎﾞｯﾄﾃｰﾌﾞﾙ1" cacheId="0" applyNumberFormats="0" applyBorderFormats="0" applyFontFormats="0" applyPatternFormats="0" applyAlignmentFormats="0" applyWidthHeightFormats="1" dataCaption="値" updatedVersion="5" minRefreshableVersion="3" useAutoFormatting="1" itemPrintTitles="1" createdVersion="5" indent="0" compact="0" compactData="0" gridDropZones="1" multipleFieldFilters="0">
  <location ref="A3:J367" firstHeaderRow="1" firstDataRow="2" firstDataCol="3"/>
  <pivotFields count="14">
    <pivotField axis="axisRow" compact="0" numFmtId="185" outline="0" subtotalTop="0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compact="0" outline="0" subtotalTop="0" showAll="0">
      <items count="16">
        <item x="0"/>
        <item x="1"/>
        <item x="2"/>
        <item x="3"/>
        <item x="4"/>
        <item x="7"/>
        <item x="8"/>
        <item x="10"/>
        <item m="1" x="14"/>
        <item x="6"/>
        <item x="5"/>
        <item x="9"/>
        <item x="11"/>
        <item x="12"/>
        <item x="13"/>
        <item t="default"/>
      </items>
    </pivotField>
    <pivotField compact="0" outline="0" subtotalTop="0" showAll="0"/>
    <pivotField axis="axisRow" compact="0" outline="0" subtotalTop="0" showAll="0">
      <items count="8">
        <item x="3"/>
        <item x="2"/>
        <item x="1"/>
        <item x="4"/>
        <item x="5"/>
        <item x="0"/>
        <item m="1" x="6"/>
        <item t="default"/>
      </items>
    </pivotField>
    <pivotField axis="axisRow" compact="0" outline="0" subtotalTop="0" showAll="0">
      <items count="8">
        <item x="1"/>
        <item x="5"/>
        <item x="2"/>
        <item x="0"/>
        <item x="4"/>
        <item x="3"/>
        <item m="1" x="6"/>
        <item t="default"/>
      </items>
    </pivotField>
    <pivotField compact="0" outline="0" showAll="0" defaultSubtotal="0"/>
    <pivotField compact="0" outline="0" showAll="0"/>
    <pivotField dataField="1" compact="0" numFmtId="178" outline="0" subtotalTop="0" showAll="0"/>
    <pivotField dataField="1" compact="0" outline="0" subtotalTop="0" showAll="0"/>
    <pivotField dataField="1" compact="0" numFmtId="178" outline="0" subtotalTop="0" showAll="0"/>
    <pivotField dataField="1" compact="0" numFmtId="178" outline="0" subtotalTop="0" showAll="0"/>
    <pivotField dataField="1" compact="0" numFmtId="178" outline="0" subtotalTop="0" showAll="0"/>
    <pivotField dataField="1" compact="0" outline="0" showAll="0" defaultSubtotal="0"/>
    <pivotField dataField="1" compact="0" numFmtId="178" outline="0" subtotalTop="0" showAll="0"/>
  </pivotFields>
  <rowFields count="3">
    <field x="0"/>
    <field x="3"/>
    <field x="4"/>
  </rowFields>
  <rowItems count="363">
    <i>
      <x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r="1">
      <x v="5"/>
      <x v="3"/>
    </i>
    <i t="default" r="1">
      <x v="5"/>
    </i>
    <i t="default">
      <x/>
    </i>
    <i>
      <x v="1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r="1">
      <x v="5"/>
      <x v="3"/>
    </i>
    <i t="default" r="1">
      <x v="5"/>
    </i>
    <i t="default">
      <x v="1"/>
    </i>
    <i>
      <x v="2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r="1">
      <x v="5"/>
      <x v="3"/>
    </i>
    <i t="default" r="1">
      <x v="5"/>
    </i>
    <i t="default">
      <x v="2"/>
    </i>
    <i>
      <x v="3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r="1">
      <x v="5"/>
      <x v="3"/>
    </i>
    <i t="default" r="1">
      <x v="5"/>
    </i>
    <i t="default">
      <x v="3"/>
    </i>
    <i>
      <x v="4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r="1">
      <x v="5"/>
      <x v="3"/>
    </i>
    <i t="default" r="1">
      <x v="5"/>
    </i>
    <i t="default">
      <x v="4"/>
    </i>
    <i>
      <x v="5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5"/>
    </i>
    <i>
      <x v="6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6"/>
    </i>
    <i>
      <x v="7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7"/>
    </i>
    <i>
      <x v="8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8"/>
    </i>
    <i>
      <x v="9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9"/>
    </i>
    <i>
      <x v="10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10"/>
    </i>
    <i>
      <x v="11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11"/>
    </i>
    <i>
      <x v="12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12"/>
    </i>
    <i>
      <x v="13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13"/>
    </i>
    <i>
      <x v="14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14"/>
    </i>
    <i>
      <x v="15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15"/>
    </i>
    <i>
      <x v="16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16"/>
    </i>
    <i>
      <x v="17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17"/>
    </i>
    <i>
      <x v="18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18"/>
    </i>
    <i>
      <x v="19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19"/>
    </i>
    <i>
      <x v="20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20"/>
    </i>
    <i>
      <x v="21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21"/>
    </i>
    <i>
      <x v="22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22"/>
    </i>
    <i>
      <x v="23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23"/>
    </i>
    <i>
      <x v="24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24"/>
    </i>
    <i>
      <x v="25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25"/>
    </i>
    <i>
      <x v="26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26"/>
    </i>
    <i>
      <x v="27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27"/>
    </i>
    <i>
      <x v="28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28"/>
    </i>
    <i>
      <x v="29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29"/>
    </i>
    <i>
      <x v="30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30"/>
    </i>
    <i>
      <x v="31"/>
      <x/>
      <x v="5"/>
    </i>
    <i t="default" r="1">
      <x/>
    </i>
    <i r="1">
      <x v="1"/>
      <x v="2"/>
    </i>
    <i t="default" r="1">
      <x v="1"/>
    </i>
    <i r="1">
      <x v="2"/>
      <x/>
    </i>
    <i t="default" r="1">
      <x v="2"/>
    </i>
    <i r="1">
      <x v="3"/>
      <x v="4"/>
    </i>
    <i t="default" r="1">
      <x v="3"/>
    </i>
    <i r="1">
      <x v="4"/>
      <x v="1"/>
    </i>
    <i t="default" r="1">
      <x v="4"/>
    </i>
    <i t="default">
      <x v="3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合計 / 請求" fld="7" baseField="0" baseItem="0"/>
    <dataField name="合計 / 返戻" fld="8" baseField="2" baseItem="2"/>
    <dataField name="合計 / 入金予定" fld="9" baseField="0" baseItem="0"/>
    <dataField name="合計 / 入金額" fld="10" baseField="0" baseItem="0"/>
    <dataField name="合計 / 差額" fld="11" baseField="0" baseItem="0"/>
    <dataField name="合計 / 請求保留" fld="12" baseField="0" baseItem="0"/>
    <dataField name="合計 / 処遇改善加算金" fld="13" baseField="0" baseItem="0"/>
  </dataFields>
  <formats count="1">
    <format dxfId="363">
      <pivotArea field="1" type="button" dataOnly="0" labelOnly="1" outline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a:spPr>
      <a:bodyPr vertOverflow="clip" horzOverflow="clip" wrap="square" rtlCol="0" anchor="t"/>
      <a:lstStyle>
        <a:defPPr>
          <a:defRPr kumimoji="1" sz="1100"/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5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4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5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7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8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tabColor rgb="FFFF9999"/>
  </sheetPr>
  <dimension ref="A1:N1501"/>
  <sheetViews>
    <sheetView zoomScale="80" zoomScaleNormal="80" workbookViewId="0">
      <pane xSplit="3" ySplit="1" topLeftCell="D933" activePane="bottomRight" state="frozen"/>
      <selection pane="topRight" activeCell="D1" sqref="D1"/>
      <selection pane="bottomLeft" activeCell="A2" sqref="A2"/>
      <selection pane="bottomRight" activeCell="S974" sqref="S974"/>
    </sheetView>
  </sheetViews>
  <sheetFormatPr defaultRowHeight="15.95" customHeight="1" x14ac:dyDescent="0.15"/>
  <cols>
    <col min="1" max="1" width="12" style="775" customWidth="1"/>
    <col min="2" max="2" width="5.625" style="637" customWidth="1"/>
    <col min="3" max="3" width="15.375" style="776" customWidth="1"/>
    <col min="4" max="4" width="5.625" style="637" customWidth="1"/>
    <col min="5" max="5" width="12.625" style="777" customWidth="1"/>
    <col min="6" max="6" width="5.625" style="635" customWidth="1"/>
    <col min="7" max="7" width="12.625" style="777" customWidth="1"/>
    <col min="8" max="9" width="12.25" style="778" customWidth="1"/>
    <col min="10" max="10" width="12.25" style="4" customWidth="1"/>
    <col min="11" max="11" width="12.25" style="778" customWidth="1"/>
    <col min="12" max="12" width="12.25" style="4" customWidth="1"/>
    <col min="13" max="13" width="12.25" style="71" customWidth="1"/>
    <col min="14" max="14" width="12.25" style="4" customWidth="1"/>
  </cols>
  <sheetData>
    <row r="1" spans="1:14" s="1468" customFormat="1" ht="15.95" customHeight="1" x14ac:dyDescent="0.15">
      <c r="A1" s="1466" t="s">
        <v>182</v>
      </c>
      <c r="B1" s="1467" t="s">
        <v>541</v>
      </c>
      <c r="C1" s="1466" t="s">
        <v>33</v>
      </c>
      <c r="D1" s="1467" t="s">
        <v>558</v>
      </c>
      <c r="E1" s="1466" t="s">
        <v>553</v>
      </c>
      <c r="F1" s="646" t="s">
        <v>843</v>
      </c>
      <c r="G1" s="1466" t="s">
        <v>844</v>
      </c>
      <c r="H1" s="1466" t="s">
        <v>554</v>
      </c>
      <c r="I1" s="1466" t="s">
        <v>470</v>
      </c>
      <c r="J1" s="646" t="s">
        <v>555</v>
      </c>
      <c r="K1" s="1466" t="s">
        <v>170</v>
      </c>
      <c r="L1" s="646" t="s">
        <v>230</v>
      </c>
      <c r="M1" s="1466" t="s">
        <v>846</v>
      </c>
      <c r="N1" s="645" t="s">
        <v>557</v>
      </c>
    </row>
    <row r="2" spans="1:14" ht="15.95" customHeight="1" x14ac:dyDescent="0.15">
      <c r="A2" s="1286">
        <v>42614</v>
      </c>
      <c r="B2" s="640" t="str">
        <f t="shared" ref="B2:B65" ca="1" si="0">IF(C2="","",VLOOKUP(C2,事業所コード2,2,FALSE))</f>
        <v>00</v>
      </c>
      <c r="C2" s="1285" t="s">
        <v>490</v>
      </c>
      <c r="D2" s="640" t="str">
        <f t="shared" ref="D2:D65" ca="1" si="1">IF(E2="","",VLOOKUP(E2,事業区分コード2,2,FALSE))</f>
        <v>06</v>
      </c>
      <c r="E2" s="1285" t="s">
        <v>585</v>
      </c>
      <c r="F2" s="641" t="str">
        <f>IF(G2="","",VLOOKUP(G2,リスト!J$2:K$3,2,FALSE))</f>
        <v>02</v>
      </c>
      <c r="G2" s="1285" t="s">
        <v>842</v>
      </c>
      <c r="H2" s="1284">
        <v>0</v>
      </c>
      <c r="I2" s="1284">
        <v>0</v>
      </c>
      <c r="J2" s="644">
        <f t="shared" ref="J2:J65" si="2">IF(A2="","",H2+I2)</f>
        <v>0</v>
      </c>
      <c r="K2" s="1284">
        <v>0</v>
      </c>
      <c r="L2" s="644">
        <f t="shared" ref="L2:L65" si="3">IF(A2="","",J2-K2)</f>
        <v>0</v>
      </c>
      <c r="M2" s="680">
        <v>0</v>
      </c>
      <c r="N2" s="651">
        <v>0</v>
      </c>
    </row>
    <row r="3" spans="1:14" ht="15.95" customHeight="1" x14ac:dyDescent="0.15">
      <c r="A3" s="1286">
        <v>42614</v>
      </c>
      <c r="B3" s="640" t="str">
        <f t="shared" ca="1" si="0"/>
        <v>00</v>
      </c>
      <c r="C3" s="1285" t="s">
        <v>490</v>
      </c>
      <c r="D3" s="640" t="str">
        <f t="shared" ca="1" si="1"/>
        <v>06</v>
      </c>
      <c r="E3" s="1285" t="s">
        <v>585</v>
      </c>
      <c r="F3" s="641" t="str">
        <f>IF(G3="","",VLOOKUP(G3,リスト!J$2:K$3,2,FALSE))</f>
        <v>01</v>
      </c>
      <c r="G3" s="1285" t="s">
        <v>841</v>
      </c>
      <c r="H3" s="1284">
        <v>33378</v>
      </c>
      <c r="I3" s="1284">
        <v>0</v>
      </c>
      <c r="J3" s="644">
        <f t="shared" si="2"/>
        <v>33378</v>
      </c>
      <c r="K3" s="1284">
        <v>33378</v>
      </c>
      <c r="L3" s="644">
        <f t="shared" si="3"/>
        <v>0</v>
      </c>
      <c r="M3" s="680">
        <v>0</v>
      </c>
      <c r="N3" s="651">
        <v>0</v>
      </c>
    </row>
    <row r="4" spans="1:14" ht="15.95" customHeight="1" x14ac:dyDescent="0.15">
      <c r="A4" s="1286">
        <v>42614</v>
      </c>
      <c r="B4" s="640" t="str">
        <f t="shared" ca="1" si="0"/>
        <v>01</v>
      </c>
      <c r="C4" s="1285" t="s">
        <v>34</v>
      </c>
      <c r="D4" s="640" t="str">
        <f t="shared" ca="1" si="1"/>
        <v>03</v>
      </c>
      <c r="E4" s="1285" t="s">
        <v>98</v>
      </c>
      <c r="F4" s="641" t="str">
        <f>IF(G4="","",VLOOKUP(G4,リスト!J$2:K$3,2,FALSE))</f>
        <v>02</v>
      </c>
      <c r="G4" s="1285" t="s">
        <v>842</v>
      </c>
      <c r="H4" s="1284">
        <v>24674</v>
      </c>
      <c r="I4" s="1284">
        <v>0</v>
      </c>
      <c r="J4" s="644">
        <f t="shared" si="2"/>
        <v>24674</v>
      </c>
      <c r="K4" s="1284">
        <v>24674</v>
      </c>
      <c r="L4" s="644">
        <f t="shared" si="3"/>
        <v>0</v>
      </c>
      <c r="M4" s="680">
        <v>0</v>
      </c>
      <c r="N4" s="651">
        <v>0</v>
      </c>
    </row>
    <row r="5" spans="1:14" ht="15.95" customHeight="1" x14ac:dyDescent="0.15">
      <c r="A5" s="1286">
        <v>42614</v>
      </c>
      <c r="B5" s="640" t="str">
        <f t="shared" ca="1" si="0"/>
        <v>01</v>
      </c>
      <c r="C5" s="1285" t="s">
        <v>34</v>
      </c>
      <c r="D5" s="640" t="str">
        <f t="shared" ca="1" si="1"/>
        <v>02</v>
      </c>
      <c r="E5" s="1285" t="s">
        <v>84</v>
      </c>
      <c r="F5" s="641" t="str">
        <f>IF(G5="","",VLOOKUP(G5,リスト!J$2:K$3,2,FALSE))</f>
        <v>02</v>
      </c>
      <c r="G5" s="1285" t="s">
        <v>842</v>
      </c>
      <c r="H5" s="1284">
        <v>166163</v>
      </c>
      <c r="I5" s="1284">
        <v>-31556</v>
      </c>
      <c r="J5" s="644">
        <f t="shared" si="2"/>
        <v>134607</v>
      </c>
      <c r="K5" s="1284">
        <v>134607</v>
      </c>
      <c r="L5" s="644">
        <f t="shared" si="3"/>
        <v>0</v>
      </c>
      <c r="M5" s="680">
        <v>0</v>
      </c>
      <c r="N5" s="651">
        <v>0</v>
      </c>
    </row>
    <row r="6" spans="1:14" ht="15.95" customHeight="1" x14ac:dyDescent="0.15">
      <c r="A6" s="1286">
        <v>42614</v>
      </c>
      <c r="B6" s="640" t="str">
        <f t="shared" ca="1" si="0"/>
        <v>01</v>
      </c>
      <c r="C6" s="1285" t="s">
        <v>34</v>
      </c>
      <c r="D6" s="640" t="str">
        <f t="shared" ca="1" si="1"/>
        <v>01</v>
      </c>
      <c r="E6" s="1285" t="s">
        <v>83</v>
      </c>
      <c r="F6" s="641" t="str">
        <f>IF(G6="","",VLOOKUP(G6,リスト!J$2:K$3,2,FALSE))</f>
        <v>02</v>
      </c>
      <c r="G6" s="1285" t="s">
        <v>842</v>
      </c>
      <c r="H6" s="1284">
        <v>-8519</v>
      </c>
      <c r="I6" s="1284">
        <v>0</v>
      </c>
      <c r="J6" s="644">
        <f t="shared" si="2"/>
        <v>-8519</v>
      </c>
      <c r="K6" s="1284">
        <v>-8519</v>
      </c>
      <c r="L6" s="644">
        <f t="shared" si="3"/>
        <v>0</v>
      </c>
      <c r="M6" s="680">
        <v>0</v>
      </c>
      <c r="N6" s="651">
        <v>0</v>
      </c>
    </row>
    <row r="7" spans="1:14" ht="15.95" customHeight="1" x14ac:dyDescent="0.15">
      <c r="A7" s="1286">
        <v>42614</v>
      </c>
      <c r="B7" s="640" t="str">
        <f t="shared" ca="1" si="0"/>
        <v>01</v>
      </c>
      <c r="C7" s="1285" t="s">
        <v>34</v>
      </c>
      <c r="D7" s="640" t="str">
        <f t="shared" ca="1" si="1"/>
        <v>03</v>
      </c>
      <c r="E7" s="1285" t="s">
        <v>98</v>
      </c>
      <c r="F7" s="641" t="str">
        <f>IF(G7="","",VLOOKUP(G7,リスト!J$2:K$3,2,FALSE))</f>
        <v>01</v>
      </c>
      <c r="G7" s="1285" t="s">
        <v>841</v>
      </c>
      <c r="H7" s="1284">
        <v>488654</v>
      </c>
      <c r="I7" s="1284">
        <v>0</v>
      </c>
      <c r="J7" s="644">
        <f t="shared" si="2"/>
        <v>488654</v>
      </c>
      <c r="K7" s="1284">
        <v>488654</v>
      </c>
      <c r="L7" s="644">
        <f t="shared" si="3"/>
        <v>0</v>
      </c>
      <c r="M7" s="680">
        <v>24674</v>
      </c>
      <c r="N7" s="651">
        <v>0</v>
      </c>
    </row>
    <row r="8" spans="1:14" ht="15.95" customHeight="1" x14ac:dyDescent="0.15">
      <c r="A8" s="1286">
        <v>42614</v>
      </c>
      <c r="B8" s="640" t="str">
        <f t="shared" ca="1" si="0"/>
        <v>01</v>
      </c>
      <c r="C8" s="1285" t="s">
        <v>34</v>
      </c>
      <c r="D8" s="640" t="str">
        <f t="shared" ca="1" si="1"/>
        <v>02</v>
      </c>
      <c r="E8" s="1285" t="s">
        <v>84</v>
      </c>
      <c r="F8" s="641" t="str">
        <f>IF(G8="","",VLOOKUP(G8,リスト!J$2:K$3,2,FALSE))</f>
        <v>01</v>
      </c>
      <c r="G8" s="1285" t="s">
        <v>841</v>
      </c>
      <c r="H8" s="1284">
        <v>1024896</v>
      </c>
      <c r="I8" s="1284">
        <v>-292254</v>
      </c>
      <c r="J8" s="644">
        <f t="shared" si="2"/>
        <v>732642</v>
      </c>
      <c r="K8" s="1284">
        <v>732642</v>
      </c>
      <c r="L8" s="644">
        <f t="shared" si="3"/>
        <v>0</v>
      </c>
      <c r="M8" s="680">
        <v>96069</v>
      </c>
      <c r="N8" s="651">
        <v>157440</v>
      </c>
    </row>
    <row r="9" spans="1:14" ht="15.95" customHeight="1" x14ac:dyDescent="0.15">
      <c r="A9" s="1286">
        <v>42614</v>
      </c>
      <c r="B9" s="640" t="str">
        <f t="shared" ca="1" si="0"/>
        <v>01</v>
      </c>
      <c r="C9" s="1285" t="s">
        <v>34</v>
      </c>
      <c r="D9" s="640" t="str">
        <f t="shared" ca="1" si="1"/>
        <v>01</v>
      </c>
      <c r="E9" s="1285" t="s">
        <v>83</v>
      </c>
      <c r="F9" s="641" t="str">
        <f>IF(G9="","",VLOOKUP(G9,リスト!J$2:K$3,2,FALSE))</f>
        <v>01</v>
      </c>
      <c r="G9" s="1285" t="s">
        <v>841</v>
      </c>
      <c r="H9" s="1284">
        <v>6224836</v>
      </c>
      <c r="I9" s="1284">
        <v>-15900</v>
      </c>
      <c r="J9" s="644">
        <f t="shared" si="2"/>
        <v>6208936</v>
      </c>
      <c r="K9" s="1284">
        <v>6208936</v>
      </c>
      <c r="L9" s="644">
        <f t="shared" si="3"/>
        <v>0</v>
      </c>
      <c r="M9" s="680">
        <v>491125</v>
      </c>
      <c r="N9" s="651">
        <v>762389</v>
      </c>
    </row>
    <row r="10" spans="1:14" ht="15.95" customHeight="1" x14ac:dyDescent="0.15">
      <c r="A10" s="1286">
        <v>42614</v>
      </c>
      <c r="B10" s="640" t="str">
        <f t="shared" ca="1" si="0"/>
        <v>02</v>
      </c>
      <c r="C10" s="1285" t="s">
        <v>37</v>
      </c>
      <c r="D10" s="640" t="str">
        <f t="shared" ca="1" si="1"/>
        <v>03</v>
      </c>
      <c r="E10" s="1285" t="s">
        <v>98</v>
      </c>
      <c r="F10" s="641" t="str">
        <f>IF(G10="","",VLOOKUP(G10,リスト!J$2:K$3,2,FALSE))</f>
        <v>02</v>
      </c>
      <c r="G10" s="1285" t="s">
        <v>842</v>
      </c>
      <c r="H10" s="1284">
        <v>0</v>
      </c>
      <c r="I10" s="1284">
        <v>0</v>
      </c>
      <c r="J10" s="644">
        <f t="shared" si="2"/>
        <v>0</v>
      </c>
      <c r="K10" s="1284">
        <v>0</v>
      </c>
      <c r="L10" s="644">
        <f t="shared" si="3"/>
        <v>0</v>
      </c>
      <c r="M10" s="680">
        <v>0</v>
      </c>
      <c r="N10" s="651">
        <v>0</v>
      </c>
    </row>
    <row r="11" spans="1:14" ht="15.95" customHeight="1" x14ac:dyDescent="0.15">
      <c r="A11" s="1286">
        <v>42614</v>
      </c>
      <c r="B11" s="640" t="str">
        <f t="shared" ca="1" si="0"/>
        <v>02</v>
      </c>
      <c r="C11" s="1285" t="s">
        <v>37</v>
      </c>
      <c r="D11" s="640" t="str">
        <f t="shared" ca="1" si="1"/>
        <v>02</v>
      </c>
      <c r="E11" s="1285" t="s">
        <v>84</v>
      </c>
      <c r="F11" s="641" t="str">
        <f>IF(G11="","",VLOOKUP(G11,リスト!J$2:K$3,2,FALSE))</f>
        <v>02</v>
      </c>
      <c r="G11" s="1285" t="s">
        <v>842</v>
      </c>
      <c r="H11" s="1284">
        <v>17128</v>
      </c>
      <c r="I11" s="1284">
        <v>0</v>
      </c>
      <c r="J11" s="644">
        <f t="shared" si="2"/>
        <v>17128</v>
      </c>
      <c r="K11" s="1284">
        <v>17128</v>
      </c>
      <c r="L11" s="644">
        <f t="shared" si="3"/>
        <v>0</v>
      </c>
      <c r="M11" s="680">
        <v>0</v>
      </c>
      <c r="N11" s="651">
        <v>0</v>
      </c>
    </row>
    <row r="12" spans="1:14" ht="15.95" customHeight="1" x14ac:dyDescent="0.15">
      <c r="A12" s="1286">
        <v>42614</v>
      </c>
      <c r="B12" s="640" t="str">
        <f t="shared" ca="1" si="0"/>
        <v>02</v>
      </c>
      <c r="C12" s="1285" t="s">
        <v>37</v>
      </c>
      <c r="D12" s="640" t="str">
        <f t="shared" ca="1" si="1"/>
        <v>01</v>
      </c>
      <c r="E12" s="1285" t="s">
        <v>83</v>
      </c>
      <c r="F12" s="641" t="str">
        <f>IF(G12="","",VLOOKUP(G12,リスト!J$2:K$3,2,FALSE))</f>
        <v>02</v>
      </c>
      <c r="G12" s="1285" t="s">
        <v>842</v>
      </c>
      <c r="H12" s="1284">
        <v>140792</v>
      </c>
      <c r="I12" s="1284">
        <v>21304</v>
      </c>
      <c r="J12" s="644">
        <f t="shared" si="2"/>
        <v>162096</v>
      </c>
      <c r="K12" s="1284">
        <v>162096</v>
      </c>
      <c r="L12" s="644">
        <f t="shared" si="3"/>
        <v>0</v>
      </c>
      <c r="M12" s="680">
        <v>0</v>
      </c>
      <c r="N12" s="651">
        <v>0</v>
      </c>
    </row>
    <row r="13" spans="1:14" ht="15.95" customHeight="1" x14ac:dyDescent="0.15">
      <c r="A13" s="1286">
        <v>42614</v>
      </c>
      <c r="B13" s="640" t="str">
        <f t="shared" ca="1" si="0"/>
        <v>02</v>
      </c>
      <c r="C13" s="1285" t="s">
        <v>37</v>
      </c>
      <c r="D13" s="640" t="str">
        <f t="shared" ca="1" si="1"/>
        <v>03</v>
      </c>
      <c r="E13" s="1285" t="s">
        <v>98</v>
      </c>
      <c r="F13" s="641" t="str">
        <f>IF(G13="","",VLOOKUP(G13,リスト!J$2:K$3,2,FALSE))</f>
        <v>01</v>
      </c>
      <c r="G13" s="1285" t="s">
        <v>841</v>
      </c>
      <c r="H13" s="1284">
        <v>290452</v>
      </c>
      <c r="I13" s="1284">
        <v>0</v>
      </c>
      <c r="J13" s="644">
        <f t="shared" si="2"/>
        <v>290452</v>
      </c>
      <c r="K13" s="1284">
        <v>290452</v>
      </c>
      <c r="L13" s="644">
        <f t="shared" si="3"/>
        <v>0</v>
      </c>
      <c r="M13" s="680">
        <v>0</v>
      </c>
      <c r="N13" s="651">
        <v>0</v>
      </c>
    </row>
    <row r="14" spans="1:14" ht="15.95" customHeight="1" x14ac:dyDescent="0.15">
      <c r="A14" s="1286">
        <v>42614</v>
      </c>
      <c r="B14" s="640" t="str">
        <f t="shared" ca="1" si="0"/>
        <v>02</v>
      </c>
      <c r="C14" s="1285" t="s">
        <v>37</v>
      </c>
      <c r="D14" s="640" t="str">
        <f t="shared" ca="1" si="1"/>
        <v>02</v>
      </c>
      <c r="E14" s="1285" t="s">
        <v>84</v>
      </c>
      <c r="F14" s="641" t="str">
        <f>IF(G14="","",VLOOKUP(G14,リスト!J$2:K$3,2,FALSE))</f>
        <v>01</v>
      </c>
      <c r="G14" s="1285" t="s">
        <v>841</v>
      </c>
      <c r="H14" s="1284">
        <v>351077</v>
      </c>
      <c r="I14" s="1284">
        <v>0</v>
      </c>
      <c r="J14" s="644">
        <f t="shared" si="2"/>
        <v>351077</v>
      </c>
      <c r="K14" s="1284">
        <v>351077</v>
      </c>
      <c r="L14" s="644">
        <f t="shared" si="3"/>
        <v>0</v>
      </c>
      <c r="M14" s="680">
        <v>0</v>
      </c>
      <c r="N14" s="651">
        <v>66648</v>
      </c>
    </row>
    <row r="15" spans="1:14" ht="15.95" customHeight="1" x14ac:dyDescent="0.15">
      <c r="A15" s="1286">
        <v>42614</v>
      </c>
      <c r="B15" s="640" t="str">
        <f t="shared" ca="1" si="0"/>
        <v>02</v>
      </c>
      <c r="C15" s="1285" t="s">
        <v>37</v>
      </c>
      <c r="D15" s="640" t="str">
        <f t="shared" ca="1" si="1"/>
        <v>01</v>
      </c>
      <c r="E15" s="1285" t="s">
        <v>83</v>
      </c>
      <c r="F15" s="641" t="str">
        <f>IF(G15="","",VLOOKUP(G15,リスト!J$2:K$3,2,FALSE))</f>
        <v>01</v>
      </c>
      <c r="G15" s="1285" t="s">
        <v>841</v>
      </c>
      <c r="H15" s="1284">
        <v>4167720</v>
      </c>
      <c r="I15" s="1284">
        <v>-114522</v>
      </c>
      <c r="J15" s="644">
        <f t="shared" si="2"/>
        <v>4053198</v>
      </c>
      <c r="K15" s="1284">
        <v>4053198</v>
      </c>
      <c r="L15" s="644">
        <f t="shared" si="3"/>
        <v>0</v>
      </c>
      <c r="M15" s="680">
        <v>0</v>
      </c>
      <c r="N15" s="651">
        <v>343694</v>
      </c>
    </row>
    <row r="16" spans="1:14" ht="15.95" customHeight="1" x14ac:dyDescent="0.15">
      <c r="A16" s="1286">
        <v>42614</v>
      </c>
      <c r="B16" s="640" t="str">
        <f t="shared" ca="1" si="0"/>
        <v>03</v>
      </c>
      <c r="C16" s="1285" t="s">
        <v>66</v>
      </c>
      <c r="D16" s="640" t="str">
        <f t="shared" ca="1" si="1"/>
        <v>02</v>
      </c>
      <c r="E16" s="1285" t="s">
        <v>84</v>
      </c>
      <c r="F16" s="641" t="str">
        <f>IF(G16="","",VLOOKUP(G16,リスト!J$2:K$3,2,FALSE))</f>
        <v>02</v>
      </c>
      <c r="G16" s="1285" t="s">
        <v>842</v>
      </c>
      <c r="H16" s="1284">
        <v>-12628</v>
      </c>
      <c r="I16" s="1284">
        <v>0</v>
      </c>
      <c r="J16" s="644">
        <f t="shared" si="2"/>
        <v>-12628</v>
      </c>
      <c r="K16" s="1284">
        <v>-12628</v>
      </c>
      <c r="L16" s="644">
        <f t="shared" si="3"/>
        <v>0</v>
      </c>
      <c r="M16" s="680">
        <v>0</v>
      </c>
      <c r="N16" s="651">
        <v>0</v>
      </c>
    </row>
    <row r="17" spans="1:14" ht="15.95" customHeight="1" x14ac:dyDescent="0.15">
      <c r="A17" s="1286">
        <v>42614</v>
      </c>
      <c r="B17" s="640" t="str">
        <f t="shared" ca="1" si="0"/>
        <v>03</v>
      </c>
      <c r="C17" s="1285" t="s">
        <v>66</v>
      </c>
      <c r="D17" s="640" t="str">
        <f t="shared" ca="1" si="1"/>
        <v>01</v>
      </c>
      <c r="E17" s="1285" t="s">
        <v>83</v>
      </c>
      <c r="F17" s="641" t="str">
        <f>IF(G17="","",VLOOKUP(G17,リスト!J$2:K$3,2,FALSE))</f>
        <v>02</v>
      </c>
      <c r="G17" s="1285" t="s">
        <v>842</v>
      </c>
      <c r="H17" s="1284">
        <v>19324</v>
      </c>
      <c r="I17" s="1284">
        <v>14011</v>
      </c>
      <c r="J17" s="644">
        <f t="shared" si="2"/>
        <v>33335</v>
      </c>
      <c r="K17" s="1284">
        <v>33335</v>
      </c>
      <c r="L17" s="644">
        <f t="shared" si="3"/>
        <v>0</v>
      </c>
      <c r="M17" s="680">
        <v>0</v>
      </c>
      <c r="N17" s="651">
        <v>0</v>
      </c>
    </row>
    <row r="18" spans="1:14" ht="15.95" customHeight="1" x14ac:dyDescent="0.15">
      <c r="A18" s="1286">
        <v>42614</v>
      </c>
      <c r="B18" s="640" t="str">
        <f t="shared" ca="1" si="0"/>
        <v>03</v>
      </c>
      <c r="C18" s="1285" t="s">
        <v>66</v>
      </c>
      <c r="D18" s="640" t="str">
        <f t="shared" ca="1" si="1"/>
        <v>02</v>
      </c>
      <c r="E18" s="1285" t="s">
        <v>84</v>
      </c>
      <c r="F18" s="641" t="str">
        <f>IF(G18="","",VLOOKUP(G18,リスト!J$2:K$3,2,FALSE))</f>
        <v>01</v>
      </c>
      <c r="G18" s="1285" t="s">
        <v>841</v>
      </c>
      <c r="H18" s="1284">
        <v>1033206</v>
      </c>
      <c r="I18" s="1284">
        <v>-248601</v>
      </c>
      <c r="J18" s="644">
        <f t="shared" si="2"/>
        <v>784605</v>
      </c>
      <c r="K18" s="1284">
        <v>784605</v>
      </c>
      <c r="L18" s="644">
        <f t="shared" si="3"/>
        <v>0</v>
      </c>
      <c r="M18" s="680">
        <v>7483</v>
      </c>
      <c r="N18" s="651">
        <v>139892</v>
      </c>
    </row>
    <row r="19" spans="1:14" ht="15.95" customHeight="1" x14ac:dyDescent="0.15">
      <c r="A19" s="1286">
        <v>42614</v>
      </c>
      <c r="B19" s="640" t="str">
        <f t="shared" ca="1" si="0"/>
        <v>03</v>
      </c>
      <c r="C19" s="1285" t="s">
        <v>66</v>
      </c>
      <c r="D19" s="640" t="str">
        <f t="shared" ca="1" si="1"/>
        <v>01</v>
      </c>
      <c r="E19" s="1285" t="s">
        <v>83</v>
      </c>
      <c r="F19" s="641" t="str">
        <f>IF(G19="","",VLOOKUP(G19,リスト!J$2:K$3,2,FALSE))</f>
        <v>01</v>
      </c>
      <c r="G19" s="1285" t="s">
        <v>841</v>
      </c>
      <c r="H19" s="1284">
        <v>2440726</v>
      </c>
      <c r="I19" s="1284">
        <v>-33150</v>
      </c>
      <c r="J19" s="644">
        <f t="shared" si="2"/>
        <v>2407576</v>
      </c>
      <c r="K19" s="1284">
        <v>2407576</v>
      </c>
      <c r="L19" s="644">
        <f t="shared" si="3"/>
        <v>0</v>
      </c>
      <c r="M19" s="680">
        <v>0</v>
      </c>
      <c r="N19" s="651">
        <v>193381</v>
      </c>
    </row>
    <row r="20" spans="1:14" ht="15.95" customHeight="1" x14ac:dyDescent="0.15">
      <c r="A20" s="1286">
        <v>42614</v>
      </c>
      <c r="B20" s="640" t="str">
        <f t="shared" ca="1" si="0"/>
        <v>04</v>
      </c>
      <c r="C20" s="1285" t="s">
        <v>358</v>
      </c>
      <c r="D20" s="640" t="str">
        <f t="shared" ca="1" si="1"/>
        <v>04</v>
      </c>
      <c r="E20" s="1285" t="s">
        <v>542</v>
      </c>
      <c r="F20" s="641" t="str">
        <f>IF(G20="","",VLOOKUP(G20,リスト!J$2:K$3,2,FALSE))</f>
        <v>02</v>
      </c>
      <c r="G20" s="1285" t="s">
        <v>842</v>
      </c>
      <c r="H20" s="1284">
        <v>236533</v>
      </c>
      <c r="I20" s="1284">
        <v>0</v>
      </c>
      <c r="J20" s="644">
        <f t="shared" si="2"/>
        <v>236533</v>
      </c>
      <c r="K20" s="1284">
        <v>236533</v>
      </c>
      <c r="L20" s="644">
        <f t="shared" si="3"/>
        <v>0</v>
      </c>
      <c r="M20" s="680">
        <v>0</v>
      </c>
      <c r="N20" s="651">
        <v>0</v>
      </c>
    </row>
    <row r="21" spans="1:14" ht="15.95" customHeight="1" x14ac:dyDescent="0.15">
      <c r="A21" s="1286">
        <v>42614</v>
      </c>
      <c r="B21" s="640" t="str">
        <f t="shared" ca="1" si="0"/>
        <v>04</v>
      </c>
      <c r="C21" s="1285" t="s">
        <v>358</v>
      </c>
      <c r="D21" s="640" t="str">
        <f t="shared" ca="1" si="1"/>
        <v>04</v>
      </c>
      <c r="E21" s="1285" t="s">
        <v>542</v>
      </c>
      <c r="F21" s="641" t="str">
        <f>IF(G21="","",VLOOKUP(G21,リスト!J$2:K$3,2,FALSE))</f>
        <v>01</v>
      </c>
      <c r="G21" s="1285" t="s">
        <v>841</v>
      </c>
      <c r="H21" s="1284">
        <v>2367149</v>
      </c>
      <c r="I21" s="1284">
        <v>-108793</v>
      </c>
      <c r="J21" s="644">
        <f t="shared" si="2"/>
        <v>2258356</v>
      </c>
      <c r="K21" s="1284">
        <v>2258356</v>
      </c>
      <c r="L21" s="644">
        <f t="shared" si="3"/>
        <v>0</v>
      </c>
      <c r="M21" s="680">
        <v>137208</v>
      </c>
      <c r="N21" s="651">
        <v>96417</v>
      </c>
    </row>
    <row r="22" spans="1:14" ht="15.95" customHeight="1" x14ac:dyDescent="0.15">
      <c r="A22" s="1286">
        <v>42614</v>
      </c>
      <c r="B22" s="640" t="str">
        <f t="shared" ca="1" si="0"/>
        <v>05</v>
      </c>
      <c r="C22" s="1285" t="s">
        <v>38</v>
      </c>
      <c r="D22" s="640" t="str">
        <f t="shared" ca="1" si="1"/>
        <v>01</v>
      </c>
      <c r="E22" s="1285" t="s">
        <v>83</v>
      </c>
      <c r="F22" s="641" t="str">
        <f>IF(G22="","",VLOOKUP(G22,リスト!J$2:K$3,2,FALSE))</f>
        <v>02</v>
      </c>
      <c r="G22" s="1285" t="s">
        <v>842</v>
      </c>
      <c r="H22" s="1284">
        <v>247812</v>
      </c>
      <c r="I22" s="1284">
        <v>0</v>
      </c>
      <c r="J22" s="644">
        <f t="shared" si="2"/>
        <v>247812</v>
      </c>
      <c r="K22" s="1284">
        <v>247812</v>
      </c>
      <c r="L22" s="644">
        <f t="shared" si="3"/>
        <v>0</v>
      </c>
      <c r="M22" s="680">
        <v>0</v>
      </c>
      <c r="N22" s="651">
        <v>0</v>
      </c>
    </row>
    <row r="23" spans="1:14" ht="15.95" customHeight="1" x14ac:dyDescent="0.15">
      <c r="A23" s="1286">
        <v>42614</v>
      </c>
      <c r="B23" s="640" t="str">
        <f t="shared" ca="1" si="0"/>
        <v>05</v>
      </c>
      <c r="C23" s="1285" t="s">
        <v>38</v>
      </c>
      <c r="D23" s="640" t="str">
        <f t="shared" ca="1" si="1"/>
        <v>01</v>
      </c>
      <c r="E23" s="1285" t="s">
        <v>83</v>
      </c>
      <c r="F23" s="641" t="str">
        <f>IF(G23="","",VLOOKUP(G23,リスト!J$2:K$3,2,FALSE))</f>
        <v>01</v>
      </c>
      <c r="G23" s="1285" t="s">
        <v>841</v>
      </c>
      <c r="H23" s="1284">
        <v>1489448</v>
      </c>
      <c r="I23" s="1284">
        <v>0</v>
      </c>
      <c r="J23" s="644">
        <f t="shared" si="2"/>
        <v>1489448</v>
      </c>
      <c r="K23" s="1284">
        <v>1489448</v>
      </c>
      <c r="L23" s="644">
        <f t="shared" si="3"/>
        <v>0</v>
      </c>
      <c r="M23" s="680">
        <v>529157</v>
      </c>
      <c r="N23" s="651">
        <v>0</v>
      </c>
    </row>
    <row r="24" spans="1:14" ht="15.95" customHeight="1" x14ac:dyDescent="0.15">
      <c r="A24" s="1286">
        <v>42614</v>
      </c>
      <c r="B24" s="640" t="str">
        <f t="shared" ca="1" si="0"/>
        <v>06</v>
      </c>
      <c r="C24" s="1285" t="s">
        <v>57</v>
      </c>
      <c r="D24" s="640" t="str">
        <f t="shared" ca="1" si="1"/>
        <v>01</v>
      </c>
      <c r="E24" s="1285" t="s">
        <v>83</v>
      </c>
      <c r="F24" s="641" t="str">
        <f>IF(G24="","",VLOOKUP(G24,リスト!J$2:K$3,2,FALSE))</f>
        <v>02</v>
      </c>
      <c r="G24" s="1285" t="s">
        <v>842</v>
      </c>
      <c r="H24" s="1284">
        <v>52216</v>
      </c>
      <c r="I24" s="1284">
        <v>0</v>
      </c>
      <c r="J24" s="644">
        <f t="shared" si="2"/>
        <v>52216</v>
      </c>
      <c r="K24" s="1284">
        <v>52216</v>
      </c>
      <c r="L24" s="644">
        <f t="shared" si="3"/>
        <v>0</v>
      </c>
      <c r="M24" s="680">
        <v>0</v>
      </c>
      <c r="N24" s="651">
        <v>0</v>
      </c>
    </row>
    <row r="25" spans="1:14" ht="15.95" customHeight="1" x14ac:dyDescent="0.15">
      <c r="A25" s="1286">
        <v>42614</v>
      </c>
      <c r="B25" s="640" t="str">
        <f t="shared" ca="1" si="0"/>
        <v>06</v>
      </c>
      <c r="C25" s="1285" t="s">
        <v>57</v>
      </c>
      <c r="D25" s="640" t="str">
        <f t="shared" ca="1" si="1"/>
        <v>01</v>
      </c>
      <c r="E25" s="1285" t="s">
        <v>83</v>
      </c>
      <c r="F25" s="641" t="str">
        <f>IF(G25="","",VLOOKUP(G25,リスト!J$2:K$3,2,FALSE))</f>
        <v>01</v>
      </c>
      <c r="G25" s="1285" t="s">
        <v>841</v>
      </c>
      <c r="H25" s="1284">
        <v>517708</v>
      </c>
      <c r="I25" s="1284">
        <v>0</v>
      </c>
      <c r="J25" s="644">
        <f t="shared" si="2"/>
        <v>517708</v>
      </c>
      <c r="K25" s="1284">
        <v>517708</v>
      </c>
      <c r="L25" s="644">
        <f t="shared" si="3"/>
        <v>0</v>
      </c>
      <c r="M25" s="680">
        <v>0</v>
      </c>
      <c r="N25" s="651">
        <v>0</v>
      </c>
    </row>
    <row r="26" spans="1:14" ht="15.95" customHeight="1" x14ac:dyDescent="0.15">
      <c r="A26" s="1286">
        <v>42614</v>
      </c>
      <c r="B26" s="640" t="str">
        <f t="shared" ca="1" si="0"/>
        <v>07</v>
      </c>
      <c r="C26" s="1285" t="s">
        <v>119</v>
      </c>
      <c r="D26" s="640" t="str">
        <f t="shared" ca="1" si="1"/>
        <v>05</v>
      </c>
      <c r="E26" s="1285" t="s">
        <v>543</v>
      </c>
      <c r="F26" s="641" t="str">
        <f>IF(G26="","",VLOOKUP(G26,リスト!J$2:K$3,2,FALSE))</f>
        <v>02</v>
      </c>
      <c r="G26" s="1285" t="s">
        <v>842</v>
      </c>
      <c r="H26" s="1284">
        <v>0</v>
      </c>
      <c r="I26" s="1284">
        <v>0</v>
      </c>
      <c r="J26" s="644">
        <f t="shared" si="2"/>
        <v>0</v>
      </c>
      <c r="K26" s="1284">
        <v>0</v>
      </c>
      <c r="L26" s="644">
        <f t="shared" si="3"/>
        <v>0</v>
      </c>
      <c r="M26" s="680">
        <v>0</v>
      </c>
      <c r="N26" s="651">
        <v>0</v>
      </c>
    </row>
    <row r="27" spans="1:14" ht="15.95" customHeight="1" x14ac:dyDescent="0.15">
      <c r="A27" s="1286">
        <v>42614</v>
      </c>
      <c r="B27" s="640" t="str">
        <f t="shared" ca="1" si="0"/>
        <v>07</v>
      </c>
      <c r="C27" s="1285" t="s">
        <v>119</v>
      </c>
      <c r="D27" s="640" t="str">
        <f t="shared" ca="1" si="1"/>
        <v>05</v>
      </c>
      <c r="E27" s="1285" t="s">
        <v>543</v>
      </c>
      <c r="F27" s="641" t="str">
        <f>IF(G27="","",VLOOKUP(G27,リスト!J$2:K$3,2,FALSE))</f>
        <v>01</v>
      </c>
      <c r="G27" s="1285" t="s">
        <v>841</v>
      </c>
      <c r="H27" s="1284">
        <v>745437</v>
      </c>
      <c r="I27" s="1284">
        <v>0</v>
      </c>
      <c r="J27" s="644">
        <f t="shared" si="2"/>
        <v>745437</v>
      </c>
      <c r="K27" s="1284">
        <v>745437</v>
      </c>
      <c r="L27" s="644">
        <f t="shared" si="3"/>
        <v>0</v>
      </c>
      <c r="M27" s="680">
        <v>0</v>
      </c>
      <c r="N27" s="651">
        <v>72968</v>
      </c>
    </row>
    <row r="28" spans="1:14" ht="15.95" customHeight="1" x14ac:dyDescent="0.15">
      <c r="A28" s="1286">
        <v>42614</v>
      </c>
      <c r="B28" s="640" t="str">
        <f t="shared" ca="1" si="0"/>
        <v>08</v>
      </c>
      <c r="C28" s="1285" t="s">
        <v>189</v>
      </c>
      <c r="D28" s="640" t="str">
        <f t="shared" ca="1" si="1"/>
        <v>05</v>
      </c>
      <c r="E28" s="1285" t="s">
        <v>543</v>
      </c>
      <c r="F28" s="641" t="str">
        <f>IF(G28="","",VLOOKUP(G28,リスト!J$2:K$3,2,FALSE))</f>
        <v>02</v>
      </c>
      <c r="G28" s="1285" t="s">
        <v>842</v>
      </c>
      <c r="H28" s="1284">
        <v>0</v>
      </c>
      <c r="I28" s="1284">
        <v>0</v>
      </c>
      <c r="J28" s="644">
        <f t="shared" si="2"/>
        <v>0</v>
      </c>
      <c r="K28" s="1284">
        <v>0</v>
      </c>
      <c r="L28" s="644">
        <f t="shared" si="3"/>
        <v>0</v>
      </c>
      <c r="M28" s="680">
        <v>0</v>
      </c>
      <c r="N28" s="651">
        <v>0</v>
      </c>
    </row>
    <row r="29" spans="1:14" ht="15.95" customHeight="1" x14ac:dyDescent="0.15">
      <c r="A29" s="1286">
        <v>42614</v>
      </c>
      <c r="B29" s="640" t="str">
        <f t="shared" ca="1" si="0"/>
        <v>08</v>
      </c>
      <c r="C29" s="1285" t="s">
        <v>189</v>
      </c>
      <c r="D29" s="640" t="str">
        <f t="shared" ca="1" si="1"/>
        <v>05</v>
      </c>
      <c r="E29" s="1285" t="s">
        <v>543</v>
      </c>
      <c r="F29" s="641" t="str">
        <f>IF(G29="","",VLOOKUP(G29,リスト!J$2:K$3,2,FALSE))</f>
        <v>01</v>
      </c>
      <c r="G29" s="1285" t="s">
        <v>841</v>
      </c>
      <c r="H29" s="1284">
        <v>749148</v>
      </c>
      <c r="I29" s="1284">
        <v>0</v>
      </c>
      <c r="J29" s="644">
        <f t="shared" si="2"/>
        <v>749148</v>
      </c>
      <c r="K29" s="1284">
        <v>749148</v>
      </c>
      <c r="L29" s="644">
        <f t="shared" si="3"/>
        <v>0</v>
      </c>
      <c r="M29" s="680">
        <v>0</v>
      </c>
      <c r="N29" s="651">
        <v>0</v>
      </c>
    </row>
    <row r="30" spans="1:14" ht="15.95" customHeight="1" x14ac:dyDescent="0.15">
      <c r="A30" s="1286">
        <v>42614</v>
      </c>
      <c r="B30" s="640" t="str">
        <f t="shared" ca="1" si="0"/>
        <v>10</v>
      </c>
      <c r="C30" s="1285" t="s">
        <v>336</v>
      </c>
      <c r="D30" s="640" t="str">
        <f t="shared" ca="1" si="1"/>
        <v>02</v>
      </c>
      <c r="E30" s="1285" t="s">
        <v>84</v>
      </c>
      <c r="F30" s="641" t="str">
        <f>IF(G30="","",VLOOKUP(G30,リスト!J$2:K$3,2,FALSE))</f>
        <v>02</v>
      </c>
      <c r="G30" s="1285" t="s">
        <v>842</v>
      </c>
      <c r="H30" s="1284">
        <v>0</v>
      </c>
      <c r="I30" s="1284">
        <v>0</v>
      </c>
      <c r="J30" s="644">
        <f t="shared" si="2"/>
        <v>0</v>
      </c>
      <c r="K30" s="1284">
        <v>0</v>
      </c>
      <c r="L30" s="644">
        <f t="shared" si="3"/>
        <v>0</v>
      </c>
      <c r="M30" s="680">
        <v>0</v>
      </c>
      <c r="N30" s="651">
        <v>0</v>
      </c>
    </row>
    <row r="31" spans="1:14" ht="15.95" customHeight="1" x14ac:dyDescent="0.15">
      <c r="A31" s="1286">
        <v>42614</v>
      </c>
      <c r="B31" s="640" t="str">
        <f t="shared" ca="1" si="0"/>
        <v>10</v>
      </c>
      <c r="C31" s="1285" t="s">
        <v>336</v>
      </c>
      <c r="D31" s="640" t="str">
        <f t="shared" ca="1" si="1"/>
        <v>01</v>
      </c>
      <c r="E31" s="1285" t="s">
        <v>83</v>
      </c>
      <c r="F31" s="641" t="str">
        <f>IF(G31="","",VLOOKUP(G31,リスト!J$2:K$3,2,FALSE))</f>
        <v>02</v>
      </c>
      <c r="G31" s="1285" t="s">
        <v>842</v>
      </c>
      <c r="H31" s="1284">
        <v>0</v>
      </c>
      <c r="I31" s="1284">
        <v>0</v>
      </c>
      <c r="J31" s="644">
        <f t="shared" si="2"/>
        <v>0</v>
      </c>
      <c r="K31" s="1284">
        <v>0</v>
      </c>
      <c r="L31" s="644">
        <f t="shared" si="3"/>
        <v>0</v>
      </c>
      <c r="M31" s="680">
        <v>0</v>
      </c>
      <c r="N31" s="651">
        <v>0</v>
      </c>
    </row>
    <row r="32" spans="1:14" ht="15.95" customHeight="1" x14ac:dyDescent="0.15">
      <c r="A32" s="1286">
        <v>42614</v>
      </c>
      <c r="B32" s="640" t="str">
        <f t="shared" ca="1" si="0"/>
        <v>10</v>
      </c>
      <c r="C32" s="1285" t="s">
        <v>336</v>
      </c>
      <c r="D32" s="640" t="str">
        <f t="shared" ca="1" si="1"/>
        <v>02</v>
      </c>
      <c r="E32" s="1285" t="s">
        <v>84</v>
      </c>
      <c r="F32" s="641" t="str">
        <f>IF(G32="","",VLOOKUP(G32,リスト!J$2:K$3,2,FALSE))</f>
        <v>01</v>
      </c>
      <c r="G32" s="1285" t="s">
        <v>841</v>
      </c>
      <c r="H32" s="1284">
        <v>2693</v>
      </c>
      <c r="I32" s="1284">
        <v>0</v>
      </c>
      <c r="J32" s="644">
        <f t="shared" si="2"/>
        <v>2693</v>
      </c>
      <c r="K32" s="1284">
        <v>2693</v>
      </c>
      <c r="L32" s="644">
        <f t="shared" si="3"/>
        <v>0</v>
      </c>
      <c r="M32" s="680">
        <v>0</v>
      </c>
      <c r="N32" s="651">
        <v>0</v>
      </c>
    </row>
    <row r="33" spans="1:14" ht="15.95" customHeight="1" x14ac:dyDescent="0.15">
      <c r="A33" s="1286">
        <v>42614</v>
      </c>
      <c r="B33" s="640" t="str">
        <f t="shared" ca="1" si="0"/>
        <v>10</v>
      </c>
      <c r="C33" s="1285" t="s">
        <v>336</v>
      </c>
      <c r="D33" s="640" t="str">
        <f t="shared" ca="1" si="1"/>
        <v>01</v>
      </c>
      <c r="E33" s="1285" t="s">
        <v>83</v>
      </c>
      <c r="F33" s="641" t="str">
        <f>IF(G33="","",VLOOKUP(G33,リスト!J$2:K$3,2,FALSE))</f>
        <v>01</v>
      </c>
      <c r="G33" s="1285" t="s">
        <v>841</v>
      </c>
      <c r="H33" s="1284">
        <v>1055787</v>
      </c>
      <c r="I33" s="1284">
        <v>0</v>
      </c>
      <c r="J33" s="644">
        <f t="shared" si="2"/>
        <v>1055787</v>
      </c>
      <c r="K33" s="1284">
        <v>1055787</v>
      </c>
      <c r="L33" s="644">
        <f t="shared" si="3"/>
        <v>0</v>
      </c>
      <c r="M33" s="680">
        <v>13685</v>
      </c>
      <c r="N33" s="651">
        <v>0</v>
      </c>
    </row>
    <row r="34" spans="1:14" ht="15.95" customHeight="1" x14ac:dyDescent="0.15">
      <c r="A34" s="1286">
        <v>42644</v>
      </c>
      <c r="B34" s="640" t="str">
        <f t="shared" ca="1" si="0"/>
        <v>00</v>
      </c>
      <c r="C34" s="1285" t="s">
        <v>490</v>
      </c>
      <c r="D34" s="640" t="str">
        <f t="shared" ca="1" si="1"/>
        <v>06</v>
      </c>
      <c r="E34" s="1285" t="s">
        <v>585</v>
      </c>
      <c r="F34" s="641" t="str">
        <f>IF(G34="","",VLOOKUP(G34,リスト!J$2:K$3,2,FALSE))</f>
        <v>02</v>
      </c>
      <c r="G34" s="1285" t="s">
        <v>842</v>
      </c>
      <c r="H34" s="1284">
        <v>33378</v>
      </c>
      <c r="I34" s="1284">
        <v>-33378</v>
      </c>
      <c r="J34" s="644">
        <f t="shared" si="2"/>
        <v>0</v>
      </c>
      <c r="K34" s="1284">
        <v>0</v>
      </c>
      <c r="L34" s="644">
        <f t="shared" si="3"/>
        <v>0</v>
      </c>
      <c r="M34" s="680">
        <v>0</v>
      </c>
      <c r="N34" s="651">
        <v>0</v>
      </c>
    </row>
    <row r="35" spans="1:14" ht="15.95" customHeight="1" x14ac:dyDescent="0.15">
      <c r="A35" s="1286">
        <v>42644</v>
      </c>
      <c r="B35" s="640" t="str">
        <f t="shared" ca="1" si="0"/>
        <v>00</v>
      </c>
      <c r="C35" s="1285" t="s">
        <v>490</v>
      </c>
      <c r="D35" s="640" t="str">
        <f t="shared" ca="1" si="1"/>
        <v>06</v>
      </c>
      <c r="E35" s="1285" t="s">
        <v>585</v>
      </c>
      <c r="F35" s="641" t="str">
        <f>IF(G35="","",VLOOKUP(G35,リスト!J$2:K$3,2,FALSE))</f>
        <v>01</v>
      </c>
      <c r="G35" s="1285" t="s">
        <v>841</v>
      </c>
      <c r="H35" s="1284">
        <v>33378</v>
      </c>
      <c r="I35" s="1284">
        <v>-33378</v>
      </c>
      <c r="J35" s="644">
        <f t="shared" si="2"/>
        <v>0</v>
      </c>
      <c r="K35" s="1284">
        <v>0</v>
      </c>
      <c r="L35" s="644">
        <f t="shared" si="3"/>
        <v>0</v>
      </c>
      <c r="M35" s="680">
        <v>0</v>
      </c>
      <c r="N35" s="651">
        <v>0</v>
      </c>
    </row>
    <row r="36" spans="1:14" ht="15.95" customHeight="1" x14ac:dyDescent="0.15">
      <c r="A36" s="1286">
        <v>42644</v>
      </c>
      <c r="B36" s="640" t="str">
        <f t="shared" ca="1" si="0"/>
        <v>01</v>
      </c>
      <c r="C36" s="1285" t="s">
        <v>34</v>
      </c>
      <c r="D36" s="640" t="str">
        <f t="shared" ca="1" si="1"/>
        <v>03</v>
      </c>
      <c r="E36" s="1285" t="s">
        <v>98</v>
      </c>
      <c r="F36" s="641" t="str">
        <f>IF(G36="","",VLOOKUP(G36,リスト!J$2:K$3,2,FALSE))</f>
        <v>02</v>
      </c>
      <c r="G36" s="1285" t="s">
        <v>842</v>
      </c>
      <c r="H36" s="1284">
        <v>95250</v>
      </c>
      <c r="I36" s="1284">
        <v>0</v>
      </c>
      <c r="J36" s="644">
        <f t="shared" si="2"/>
        <v>95250</v>
      </c>
      <c r="K36" s="1284">
        <v>95250</v>
      </c>
      <c r="L36" s="644">
        <f t="shared" si="3"/>
        <v>0</v>
      </c>
      <c r="M36" s="680">
        <v>0</v>
      </c>
      <c r="N36" s="651">
        <v>0</v>
      </c>
    </row>
    <row r="37" spans="1:14" ht="15.95" customHeight="1" x14ac:dyDescent="0.15">
      <c r="A37" s="1286">
        <v>42644</v>
      </c>
      <c r="B37" s="640" t="str">
        <f t="shared" ca="1" si="0"/>
        <v>01</v>
      </c>
      <c r="C37" s="1285" t="s">
        <v>34</v>
      </c>
      <c r="D37" s="640" t="str">
        <f t="shared" ca="1" si="1"/>
        <v>02</v>
      </c>
      <c r="E37" s="1285" t="s">
        <v>84</v>
      </c>
      <c r="F37" s="641" t="str">
        <f>IF(G37="","",VLOOKUP(G37,リスト!J$2:K$3,2,FALSE))</f>
        <v>02</v>
      </c>
      <c r="G37" s="1285" t="s">
        <v>842</v>
      </c>
      <c r="H37" s="1284">
        <v>569734</v>
      </c>
      <c r="I37" s="1284">
        <v>0</v>
      </c>
      <c r="J37" s="644">
        <f t="shared" si="2"/>
        <v>569734</v>
      </c>
      <c r="K37" s="1284">
        <v>569734</v>
      </c>
      <c r="L37" s="644">
        <f t="shared" si="3"/>
        <v>0</v>
      </c>
      <c r="M37" s="680">
        <v>0</v>
      </c>
      <c r="N37" s="651">
        <v>0</v>
      </c>
    </row>
    <row r="38" spans="1:14" ht="15.95" customHeight="1" x14ac:dyDescent="0.15">
      <c r="A38" s="1286">
        <v>42644</v>
      </c>
      <c r="B38" s="640" t="str">
        <f t="shared" ca="1" si="0"/>
        <v>01</v>
      </c>
      <c r="C38" s="1285" t="s">
        <v>34</v>
      </c>
      <c r="D38" s="640" t="str">
        <f t="shared" ca="1" si="1"/>
        <v>01</v>
      </c>
      <c r="E38" s="1285" t="s">
        <v>83</v>
      </c>
      <c r="F38" s="641" t="str">
        <f>IF(G38="","",VLOOKUP(G38,リスト!J$2:K$3,2,FALSE))</f>
        <v>02</v>
      </c>
      <c r="G38" s="1285" t="s">
        <v>842</v>
      </c>
      <c r="H38" s="1284">
        <v>475006</v>
      </c>
      <c r="I38" s="1284">
        <v>6259</v>
      </c>
      <c r="J38" s="644">
        <f t="shared" si="2"/>
        <v>481265</v>
      </c>
      <c r="K38" s="1284">
        <v>481265</v>
      </c>
      <c r="L38" s="644">
        <f t="shared" si="3"/>
        <v>0</v>
      </c>
      <c r="M38" s="680">
        <v>0</v>
      </c>
      <c r="N38" s="651">
        <v>0</v>
      </c>
    </row>
    <row r="39" spans="1:14" ht="15.95" customHeight="1" x14ac:dyDescent="0.15">
      <c r="A39" s="1286">
        <v>42644</v>
      </c>
      <c r="B39" s="640" t="str">
        <f t="shared" ca="1" si="0"/>
        <v>01</v>
      </c>
      <c r="C39" s="1285" t="s">
        <v>34</v>
      </c>
      <c r="D39" s="640" t="str">
        <f t="shared" ca="1" si="1"/>
        <v>03</v>
      </c>
      <c r="E39" s="1285" t="s">
        <v>98</v>
      </c>
      <c r="F39" s="641" t="str">
        <f>IF(G39="","",VLOOKUP(G39,リスト!J$2:K$3,2,FALSE))</f>
        <v>01</v>
      </c>
      <c r="G39" s="1285" t="s">
        <v>841</v>
      </c>
      <c r="H39" s="1284">
        <v>678331</v>
      </c>
      <c r="I39" s="1284">
        <v>0</v>
      </c>
      <c r="J39" s="644">
        <f t="shared" si="2"/>
        <v>678331</v>
      </c>
      <c r="K39" s="1284">
        <v>678331</v>
      </c>
      <c r="L39" s="644">
        <f t="shared" si="3"/>
        <v>0</v>
      </c>
      <c r="M39" s="680">
        <v>12337</v>
      </c>
      <c r="N39" s="651">
        <v>0</v>
      </c>
    </row>
    <row r="40" spans="1:14" ht="15.95" customHeight="1" x14ac:dyDescent="0.15">
      <c r="A40" s="1286">
        <v>42644</v>
      </c>
      <c r="B40" s="640" t="str">
        <f t="shared" ca="1" si="0"/>
        <v>01</v>
      </c>
      <c r="C40" s="1285" t="s">
        <v>34</v>
      </c>
      <c r="D40" s="640" t="str">
        <f t="shared" ca="1" si="1"/>
        <v>02</v>
      </c>
      <c r="E40" s="1285" t="s">
        <v>84</v>
      </c>
      <c r="F40" s="641" t="str">
        <f>IF(G40="","",VLOOKUP(G40,リスト!J$2:K$3,2,FALSE))</f>
        <v>01</v>
      </c>
      <c r="G40" s="1285" t="s">
        <v>841</v>
      </c>
      <c r="H40" s="1284">
        <v>1298918</v>
      </c>
      <c r="I40" s="1284">
        <v>-251737</v>
      </c>
      <c r="J40" s="644">
        <f t="shared" si="2"/>
        <v>1047181</v>
      </c>
      <c r="K40" s="1284">
        <v>1047181</v>
      </c>
      <c r="L40" s="644">
        <f t="shared" si="3"/>
        <v>0</v>
      </c>
      <c r="M40" s="680">
        <v>0</v>
      </c>
      <c r="N40" s="651">
        <v>301358</v>
      </c>
    </row>
    <row r="41" spans="1:14" ht="15.95" customHeight="1" x14ac:dyDescent="0.15">
      <c r="A41" s="1286">
        <v>42644</v>
      </c>
      <c r="B41" s="640" t="str">
        <f t="shared" ca="1" si="0"/>
        <v>01</v>
      </c>
      <c r="C41" s="1285" t="s">
        <v>34</v>
      </c>
      <c r="D41" s="640" t="str">
        <f t="shared" ca="1" si="1"/>
        <v>01</v>
      </c>
      <c r="E41" s="1285" t="s">
        <v>83</v>
      </c>
      <c r="F41" s="641" t="str">
        <f>IF(G41="","",VLOOKUP(G41,リスト!J$2:K$3,2,FALSE))</f>
        <v>01</v>
      </c>
      <c r="G41" s="1285" t="s">
        <v>841</v>
      </c>
      <c r="H41" s="1284">
        <v>7021703</v>
      </c>
      <c r="I41" s="1284">
        <v>-15911</v>
      </c>
      <c r="J41" s="644">
        <f t="shared" si="2"/>
        <v>7005792</v>
      </c>
      <c r="K41" s="1284">
        <v>7005792</v>
      </c>
      <c r="L41" s="644">
        <f t="shared" si="3"/>
        <v>0</v>
      </c>
      <c r="M41" s="680">
        <v>56731</v>
      </c>
      <c r="N41" s="651">
        <v>965754</v>
      </c>
    </row>
    <row r="42" spans="1:14" ht="15.95" customHeight="1" x14ac:dyDescent="0.15">
      <c r="A42" s="1286">
        <v>42644</v>
      </c>
      <c r="B42" s="640" t="str">
        <f t="shared" ca="1" si="0"/>
        <v>02</v>
      </c>
      <c r="C42" s="1285" t="s">
        <v>37</v>
      </c>
      <c r="D42" s="640" t="str">
        <f t="shared" ca="1" si="1"/>
        <v>03</v>
      </c>
      <c r="E42" s="1285" t="s">
        <v>98</v>
      </c>
      <c r="F42" s="641" t="str">
        <f>IF(G42="","",VLOOKUP(G42,リスト!J$2:K$3,2,FALSE))</f>
        <v>02</v>
      </c>
      <c r="G42" s="1285" t="s">
        <v>842</v>
      </c>
      <c r="H42" s="1284">
        <v>0</v>
      </c>
      <c r="I42" s="1284">
        <v>0</v>
      </c>
      <c r="J42" s="644">
        <f t="shared" si="2"/>
        <v>0</v>
      </c>
      <c r="K42" s="1284">
        <v>0</v>
      </c>
      <c r="L42" s="644">
        <f t="shared" si="3"/>
        <v>0</v>
      </c>
      <c r="M42" s="680">
        <v>0</v>
      </c>
      <c r="N42" s="651">
        <v>0</v>
      </c>
    </row>
    <row r="43" spans="1:14" ht="15.95" customHeight="1" x14ac:dyDescent="0.15">
      <c r="A43" s="1286">
        <v>42644</v>
      </c>
      <c r="B43" s="640" t="str">
        <f t="shared" ca="1" si="0"/>
        <v>02</v>
      </c>
      <c r="C43" s="1285" t="s">
        <v>37</v>
      </c>
      <c r="D43" s="640" t="str">
        <f t="shared" ca="1" si="1"/>
        <v>02</v>
      </c>
      <c r="E43" s="1285" t="s">
        <v>84</v>
      </c>
      <c r="F43" s="641" t="str">
        <f>IF(G43="","",VLOOKUP(G43,リスト!J$2:K$3,2,FALSE))</f>
        <v>02</v>
      </c>
      <c r="G43" s="1285" t="s">
        <v>842</v>
      </c>
      <c r="H43" s="1284">
        <v>0</v>
      </c>
      <c r="I43" s="1284">
        <v>0</v>
      </c>
      <c r="J43" s="644">
        <f t="shared" si="2"/>
        <v>0</v>
      </c>
      <c r="K43" s="1284">
        <v>0</v>
      </c>
      <c r="L43" s="644">
        <f t="shared" si="3"/>
        <v>0</v>
      </c>
      <c r="M43" s="680">
        <v>0</v>
      </c>
      <c r="N43" s="651">
        <v>0</v>
      </c>
    </row>
    <row r="44" spans="1:14" ht="15.95" customHeight="1" x14ac:dyDescent="0.15">
      <c r="A44" s="1286">
        <v>42644</v>
      </c>
      <c r="B44" s="640" t="str">
        <f t="shared" ca="1" si="0"/>
        <v>02</v>
      </c>
      <c r="C44" s="1285" t="s">
        <v>37</v>
      </c>
      <c r="D44" s="640" t="str">
        <f t="shared" ca="1" si="1"/>
        <v>01</v>
      </c>
      <c r="E44" s="1285" t="s">
        <v>83</v>
      </c>
      <c r="F44" s="641" t="str">
        <f>IF(G44="","",VLOOKUP(G44,リスト!J$2:K$3,2,FALSE))</f>
        <v>02</v>
      </c>
      <c r="G44" s="1285" t="s">
        <v>842</v>
      </c>
      <c r="H44" s="1284">
        <v>20339</v>
      </c>
      <c r="I44" s="1284">
        <v>114522</v>
      </c>
      <c r="J44" s="644">
        <f t="shared" si="2"/>
        <v>134861</v>
      </c>
      <c r="K44" s="1284">
        <v>134861</v>
      </c>
      <c r="L44" s="644">
        <f t="shared" si="3"/>
        <v>0</v>
      </c>
      <c r="M44" s="680">
        <v>0</v>
      </c>
      <c r="N44" s="651">
        <v>0</v>
      </c>
    </row>
    <row r="45" spans="1:14" ht="15.95" customHeight="1" x14ac:dyDescent="0.15">
      <c r="A45" s="1286">
        <v>42644</v>
      </c>
      <c r="B45" s="640" t="str">
        <f t="shared" ca="1" si="0"/>
        <v>02</v>
      </c>
      <c r="C45" s="1285" t="s">
        <v>37</v>
      </c>
      <c r="D45" s="640" t="str">
        <f t="shared" ca="1" si="1"/>
        <v>03</v>
      </c>
      <c r="E45" s="1285" t="s">
        <v>98</v>
      </c>
      <c r="F45" s="641" t="str">
        <f>IF(G45="","",VLOOKUP(G45,リスト!J$2:K$3,2,FALSE))</f>
        <v>01</v>
      </c>
      <c r="G45" s="1285" t="s">
        <v>841</v>
      </c>
      <c r="H45" s="1284">
        <v>383481</v>
      </c>
      <c r="I45" s="1284">
        <v>0</v>
      </c>
      <c r="J45" s="644">
        <f t="shared" si="2"/>
        <v>383481</v>
      </c>
      <c r="K45" s="1284">
        <v>383481</v>
      </c>
      <c r="L45" s="644">
        <f t="shared" si="3"/>
        <v>0</v>
      </c>
      <c r="M45" s="680">
        <v>0</v>
      </c>
      <c r="N45" s="651">
        <v>0</v>
      </c>
    </row>
    <row r="46" spans="1:14" ht="15.95" customHeight="1" x14ac:dyDescent="0.15">
      <c r="A46" s="1286">
        <v>42644</v>
      </c>
      <c r="B46" s="640" t="str">
        <f t="shared" ca="1" si="0"/>
        <v>02</v>
      </c>
      <c r="C46" s="1285" t="s">
        <v>37</v>
      </c>
      <c r="D46" s="640" t="str">
        <f t="shared" ca="1" si="1"/>
        <v>02</v>
      </c>
      <c r="E46" s="1285" t="s">
        <v>84</v>
      </c>
      <c r="F46" s="641" t="str">
        <f>IF(G46="","",VLOOKUP(G46,リスト!J$2:K$3,2,FALSE))</f>
        <v>01</v>
      </c>
      <c r="G46" s="1285" t="s">
        <v>841</v>
      </c>
      <c r="H46" s="1284">
        <v>388698</v>
      </c>
      <c r="I46" s="1284">
        <v>0</v>
      </c>
      <c r="J46" s="644">
        <f t="shared" si="2"/>
        <v>388698</v>
      </c>
      <c r="K46" s="1284">
        <v>388698</v>
      </c>
      <c r="L46" s="644">
        <f t="shared" si="3"/>
        <v>0</v>
      </c>
      <c r="M46" s="680">
        <v>0</v>
      </c>
      <c r="N46" s="651">
        <v>70336</v>
      </c>
    </row>
    <row r="47" spans="1:14" ht="15.95" customHeight="1" x14ac:dyDescent="0.15">
      <c r="A47" s="1286">
        <v>42644</v>
      </c>
      <c r="B47" s="640" t="str">
        <f t="shared" ca="1" si="0"/>
        <v>02</v>
      </c>
      <c r="C47" s="1285" t="s">
        <v>37</v>
      </c>
      <c r="D47" s="640" t="str">
        <f t="shared" ca="1" si="1"/>
        <v>01</v>
      </c>
      <c r="E47" s="1285" t="s">
        <v>83</v>
      </c>
      <c r="F47" s="641" t="str">
        <f>IF(G47="","",VLOOKUP(G47,リスト!J$2:K$3,2,FALSE))</f>
        <v>01</v>
      </c>
      <c r="G47" s="1285" t="s">
        <v>841</v>
      </c>
      <c r="H47" s="1284">
        <v>4147452</v>
      </c>
      <c r="I47" s="1284">
        <v>-16420</v>
      </c>
      <c r="J47" s="644">
        <f t="shared" si="2"/>
        <v>4131032</v>
      </c>
      <c r="K47" s="1284">
        <v>4131032</v>
      </c>
      <c r="L47" s="644">
        <f t="shared" si="3"/>
        <v>0</v>
      </c>
      <c r="M47" s="680">
        <v>0</v>
      </c>
      <c r="N47" s="651">
        <v>328743</v>
      </c>
    </row>
    <row r="48" spans="1:14" ht="15.95" customHeight="1" x14ac:dyDescent="0.15">
      <c r="A48" s="1286">
        <v>42644</v>
      </c>
      <c r="B48" s="640" t="str">
        <f t="shared" ca="1" si="0"/>
        <v>03</v>
      </c>
      <c r="C48" s="1285" t="s">
        <v>66</v>
      </c>
      <c r="D48" s="640" t="str">
        <f t="shared" ca="1" si="1"/>
        <v>02</v>
      </c>
      <c r="E48" s="1285" t="s">
        <v>84</v>
      </c>
      <c r="F48" s="641" t="str">
        <f>IF(G48="","",VLOOKUP(G48,リスト!J$2:K$3,2,FALSE))</f>
        <v>02</v>
      </c>
      <c r="G48" s="1285" t="s">
        <v>842</v>
      </c>
      <c r="H48" s="1284">
        <v>247722</v>
      </c>
      <c r="I48" s="1284">
        <v>0</v>
      </c>
      <c r="J48" s="644">
        <f t="shared" si="2"/>
        <v>247722</v>
      </c>
      <c r="K48" s="1284">
        <v>247722</v>
      </c>
      <c r="L48" s="644">
        <f t="shared" si="3"/>
        <v>0</v>
      </c>
      <c r="M48" s="680">
        <v>0</v>
      </c>
      <c r="N48" s="651">
        <v>0</v>
      </c>
    </row>
    <row r="49" spans="1:14" ht="15.95" customHeight="1" x14ac:dyDescent="0.15">
      <c r="A49" s="1286">
        <v>42644</v>
      </c>
      <c r="B49" s="640" t="str">
        <f t="shared" ca="1" si="0"/>
        <v>03</v>
      </c>
      <c r="C49" s="1285" t="s">
        <v>66</v>
      </c>
      <c r="D49" s="640" t="str">
        <f t="shared" ca="1" si="1"/>
        <v>01</v>
      </c>
      <c r="E49" s="1285" t="s">
        <v>83</v>
      </c>
      <c r="F49" s="641" t="str">
        <f>IF(G49="","",VLOOKUP(G49,リスト!J$2:K$3,2,FALSE))</f>
        <v>02</v>
      </c>
      <c r="G49" s="1285" t="s">
        <v>842</v>
      </c>
      <c r="H49" s="1284">
        <v>33874</v>
      </c>
      <c r="I49" s="1284">
        <v>0</v>
      </c>
      <c r="J49" s="644">
        <f t="shared" si="2"/>
        <v>33874</v>
      </c>
      <c r="K49" s="1284">
        <v>33874</v>
      </c>
      <c r="L49" s="644">
        <f t="shared" si="3"/>
        <v>0</v>
      </c>
      <c r="M49" s="680">
        <v>0</v>
      </c>
      <c r="N49" s="651">
        <v>0</v>
      </c>
    </row>
    <row r="50" spans="1:14" ht="15.95" customHeight="1" x14ac:dyDescent="0.15">
      <c r="A50" s="1286">
        <v>42644</v>
      </c>
      <c r="B50" s="640" t="str">
        <f t="shared" ca="1" si="0"/>
        <v>03</v>
      </c>
      <c r="C50" s="1285" t="s">
        <v>66</v>
      </c>
      <c r="D50" s="640" t="str">
        <f t="shared" ca="1" si="1"/>
        <v>02</v>
      </c>
      <c r="E50" s="1285" t="s">
        <v>84</v>
      </c>
      <c r="F50" s="641" t="str">
        <f>IF(G50="","",VLOOKUP(G50,リスト!J$2:K$3,2,FALSE))</f>
        <v>01</v>
      </c>
      <c r="G50" s="1285" t="s">
        <v>841</v>
      </c>
      <c r="H50" s="1284">
        <v>1158909</v>
      </c>
      <c r="I50" s="1284">
        <v>-30750</v>
      </c>
      <c r="J50" s="644">
        <f t="shared" si="2"/>
        <v>1128159</v>
      </c>
      <c r="K50" s="1284">
        <v>1128159</v>
      </c>
      <c r="L50" s="644">
        <f t="shared" si="3"/>
        <v>0</v>
      </c>
      <c r="M50" s="680">
        <v>0</v>
      </c>
      <c r="N50" s="651">
        <v>246750</v>
      </c>
    </row>
    <row r="51" spans="1:14" ht="15.95" customHeight="1" x14ac:dyDescent="0.15">
      <c r="A51" s="1286">
        <v>42644</v>
      </c>
      <c r="B51" s="640" t="str">
        <f t="shared" ca="1" si="0"/>
        <v>03</v>
      </c>
      <c r="C51" s="1285" t="s">
        <v>66</v>
      </c>
      <c r="D51" s="640" t="str">
        <f t="shared" ca="1" si="1"/>
        <v>01</v>
      </c>
      <c r="E51" s="1285" t="s">
        <v>83</v>
      </c>
      <c r="F51" s="641" t="str">
        <f>IF(G51="","",VLOOKUP(G51,リスト!J$2:K$3,2,FALSE))</f>
        <v>01</v>
      </c>
      <c r="G51" s="1285" t="s">
        <v>841</v>
      </c>
      <c r="H51" s="1284">
        <v>2527478</v>
      </c>
      <c r="I51" s="1284">
        <v>-77383</v>
      </c>
      <c r="J51" s="644">
        <f t="shared" si="2"/>
        <v>2450095</v>
      </c>
      <c r="K51" s="1284">
        <v>2450095</v>
      </c>
      <c r="L51" s="644">
        <f t="shared" si="3"/>
        <v>0</v>
      </c>
      <c r="M51" s="680">
        <v>231431</v>
      </c>
      <c r="N51" s="651">
        <v>197103</v>
      </c>
    </row>
    <row r="52" spans="1:14" ht="15.95" customHeight="1" x14ac:dyDescent="0.15">
      <c r="A52" s="1286">
        <v>42644</v>
      </c>
      <c r="B52" s="640" t="str">
        <f t="shared" ca="1" si="0"/>
        <v>04</v>
      </c>
      <c r="C52" s="1285" t="s">
        <v>358</v>
      </c>
      <c r="D52" s="640" t="str">
        <f t="shared" ca="1" si="1"/>
        <v>04</v>
      </c>
      <c r="E52" s="1285" t="s">
        <v>542</v>
      </c>
      <c r="F52" s="641" t="str">
        <f>IF(G52="","",VLOOKUP(G52,リスト!J$2:K$3,2,FALSE))</f>
        <v>02</v>
      </c>
      <c r="G52" s="1285" t="s">
        <v>842</v>
      </c>
      <c r="H52" s="1284">
        <v>233995</v>
      </c>
      <c r="I52" s="1284">
        <v>0</v>
      </c>
      <c r="J52" s="644">
        <f t="shared" si="2"/>
        <v>233995</v>
      </c>
      <c r="K52" s="1284">
        <v>233995</v>
      </c>
      <c r="L52" s="644">
        <f t="shared" si="3"/>
        <v>0</v>
      </c>
      <c r="M52" s="680">
        <v>0</v>
      </c>
      <c r="N52" s="651">
        <v>0</v>
      </c>
    </row>
    <row r="53" spans="1:14" ht="15.95" customHeight="1" x14ac:dyDescent="0.15">
      <c r="A53" s="1286">
        <v>42644</v>
      </c>
      <c r="B53" s="640" t="str">
        <f t="shared" ca="1" si="0"/>
        <v>04</v>
      </c>
      <c r="C53" s="1285" t="s">
        <v>358</v>
      </c>
      <c r="D53" s="640" t="str">
        <f t="shared" ca="1" si="1"/>
        <v>04</v>
      </c>
      <c r="E53" s="1285" t="s">
        <v>542</v>
      </c>
      <c r="F53" s="641" t="str">
        <f>IF(G53="","",VLOOKUP(G53,リスト!J$2:K$3,2,FALSE))</f>
        <v>01</v>
      </c>
      <c r="G53" s="1285" t="s">
        <v>841</v>
      </c>
      <c r="H53" s="1284">
        <v>2107445</v>
      </c>
      <c r="I53" s="1284">
        <v>0</v>
      </c>
      <c r="J53" s="644">
        <f t="shared" si="2"/>
        <v>2107445</v>
      </c>
      <c r="K53" s="1284">
        <v>2107445</v>
      </c>
      <c r="L53" s="644">
        <f t="shared" si="3"/>
        <v>0</v>
      </c>
      <c r="M53" s="680">
        <v>0</v>
      </c>
      <c r="N53" s="651">
        <v>90007</v>
      </c>
    </row>
    <row r="54" spans="1:14" ht="15.95" customHeight="1" x14ac:dyDescent="0.15">
      <c r="A54" s="1286">
        <v>42644</v>
      </c>
      <c r="B54" s="640" t="str">
        <f t="shared" ca="1" si="0"/>
        <v>05</v>
      </c>
      <c r="C54" s="1285" t="s">
        <v>38</v>
      </c>
      <c r="D54" s="640" t="str">
        <f t="shared" ca="1" si="1"/>
        <v>01</v>
      </c>
      <c r="E54" s="1285" t="s">
        <v>83</v>
      </c>
      <c r="F54" s="641" t="str">
        <f>IF(G54="","",VLOOKUP(G54,リスト!J$2:K$3,2,FALSE))</f>
        <v>02</v>
      </c>
      <c r="G54" s="1285" t="s">
        <v>842</v>
      </c>
      <c r="H54" s="1284">
        <v>1007724</v>
      </c>
      <c r="I54" s="1284">
        <v>0</v>
      </c>
      <c r="J54" s="644">
        <f t="shared" si="2"/>
        <v>1007724</v>
      </c>
      <c r="K54" s="1284">
        <v>1007724</v>
      </c>
      <c r="L54" s="644">
        <f t="shared" si="3"/>
        <v>0</v>
      </c>
      <c r="M54" s="680">
        <v>0</v>
      </c>
      <c r="N54" s="651">
        <v>0</v>
      </c>
    </row>
    <row r="55" spans="1:14" ht="15.95" customHeight="1" x14ac:dyDescent="0.15">
      <c r="A55" s="1286">
        <v>42644</v>
      </c>
      <c r="B55" s="640" t="str">
        <f t="shared" ca="1" si="0"/>
        <v>05</v>
      </c>
      <c r="C55" s="1285" t="s">
        <v>38</v>
      </c>
      <c r="D55" s="640" t="str">
        <f t="shared" ca="1" si="1"/>
        <v>01</v>
      </c>
      <c r="E55" s="1285" t="s">
        <v>83</v>
      </c>
      <c r="F55" s="641" t="str">
        <f>IF(G55="","",VLOOKUP(G55,リスト!J$2:K$3,2,FALSE))</f>
        <v>01</v>
      </c>
      <c r="G55" s="1285" t="s">
        <v>841</v>
      </c>
      <c r="H55" s="1284">
        <v>1787687</v>
      </c>
      <c r="I55" s="1284">
        <v>-1241</v>
      </c>
      <c r="J55" s="644">
        <f t="shared" si="2"/>
        <v>1786446</v>
      </c>
      <c r="K55" s="1284">
        <v>1786446</v>
      </c>
      <c r="L55" s="644">
        <f t="shared" si="3"/>
        <v>0</v>
      </c>
      <c r="M55" s="680">
        <v>0</v>
      </c>
      <c r="N55" s="651">
        <v>0</v>
      </c>
    </row>
    <row r="56" spans="1:14" ht="15.95" customHeight="1" x14ac:dyDescent="0.15">
      <c r="A56" s="1286">
        <v>42644</v>
      </c>
      <c r="B56" s="640" t="str">
        <f t="shared" ca="1" si="0"/>
        <v>06</v>
      </c>
      <c r="C56" s="1285" t="s">
        <v>57</v>
      </c>
      <c r="D56" s="640" t="str">
        <f t="shared" ca="1" si="1"/>
        <v>01</v>
      </c>
      <c r="E56" s="1285" t="s">
        <v>83</v>
      </c>
      <c r="F56" s="641" t="str">
        <f>IF(G56="","",VLOOKUP(G56,リスト!J$2:K$3,2,FALSE))</f>
        <v>02</v>
      </c>
      <c r="G56" s="1285" t="s">
        <v>842</v>
      </c>
      <c r="H56" s="1284">
        <v>0</v>
      </c>
      <c r="I56" s="1284">
        <v>0</v>
      </c>
      <c r="J56" s="644">
        <f t="shared" si="2"/>
        <v>0</v>
      </c>
      <c r="K56" s="1284">
        <v>0</v>
      </c>
      <c r="L56" s="644">
        <f t="shared" si="3"/>
        <v>0</v>
      </c>
      <c r="M56" s="680">
        <v>0</v>
      </c>
      <c r="N56" s="651">
        <v>0</v>
      </c>
    </row>
    <row r="57" spans="1:14" ht="15.95" customHeight="1" x14ac:dyDescent="0.15">
      <c r="A57" s="1286">
        <v>42644</v>
      </c>
      <c r="B57" s="640" t="str">
        <f t="shared" ca="1" si="0"/>
        <v>06</v>
      </c>
      <c r="C57" s="1285" t="s">
        <v>57</v>
      </c>
      <c r="D57" s="640" t="str">
        <f t="shared" ca="1" si="1"/>
        <v>01</v>
      </c>
      <c r="E57" s="1285" t="s">
        <v>83</v>
      </c>
      <c r="F57" s="641" t="str">
        <f>IF(G57="","",VLOOKUP(G57,リスト!J$2:K$3,2,FALSE))</f>
        <v>01</v>
      </c>
      <c r="G57" s="1285" t="s">
        <v>841</v>
      </c>
      <c r="H57" s="1284">
        <v>825621</v>
      </c>
      <c r="I57" s="1284">
        <v>0</v>
      </c>
      <c r="J57" s="644">
        <f t="shared" si="2"/>
        <v>825621</v>
      </c>
      <c r="K57" s="1284">
        <v>825621</v>
      </c>
      <c r="L57" s="644">
        <f t="shared" si="3"/>
        <v>0</v>
      </c>
      <c r="M57" s="680">
        <v>0</v>
      </c>
      <c r="N57" s="651">
        <v>0</v>
      </c>
    </row>
    <row r="58" spans="1:14" ht="15.95" customHeight="1" x14ac:dyDescent="0.15">
      <c r="A58" s="1286">
        <v>42644</v>
      </c>
      <c r="B58" s="640" t="str">
        <f t="shared" ca="1" si="0"/>
        <v>07</v>
      </c>
      <c r="C58" s="1285" t="s">
        <v>119</v>
      </c>
      <c r="D58" s="640" t="str">
        <f t="shared" ca="1" si="1"/>
        <v>05</v>
      </c>
      <c r="E58" s="1285" t="s">
        <v>543</v>
      </c>
      <c r="F58" s="641" t="str">
        <f>IF(G58="","",VLOOKUP(G58,リスト!J$2:K$3,2,FALSE))</f>
        <v>02</v>
      </c>
      <c r="G58" s="1285" t="s">
        <v>842</v>
      </c>
      <c r="H58" s="1284">
        <v>0</v>
      </c>
      <c r="I58" s="1284">
        <v>0</v>
      </c>
      <c r="J58" s="644">
        <f t="shared" si="2"/>
        <v>0</v>
      </c>
      <c r="K58" s="1284">
        <v>0</v>
      </c>
      <c r="L58" s="644">
        <f t="shared" si="3"/>
        <v>0</v>
      </c>
      <c r="M58" s="680">
        <v>0</v>
      </c>
      <c r="N58" s="651">
        <v>0</v>
      </c>
    </row>
    <row r="59" spans="1:14" ht="15.95" customHeight="1" x14ac:dyDescent="0.15">
      <c r="A59" s="1286">
        <v>42644</v>
      </c>
      <c r="B59" s="640" t="str">
        <f t="shared" ca="1" si="0"/>
        <v>07</v>
      </c>
      <c r="C59" s="1285" t="s">
        <v>119</v>
      </c>
      <c r="D59" s="640" t="str">
        <f t="shared" ca="1" si="1"/>
        <v>05</v>
      </c>
      <c r="E59" s="1285" t="s">
        <v>543</v>
      </c>
      <c r="F59" s="641" t="str">
        <f>IF(G59="","",VLOOKUP(G59,リスト!J$2:K$3,2,FALSE))</f>
        <v>01</v>
      </c>
      <c r="G59" s="1285" t="s">
        <v>841</v>
      </c>
      <c r="H59" s="1284">
        <v>948758</v>
      </c>
      <c r="I59" s="1284">
        <v>-948758</v>
      </c>
      <c r="J59" s="644">
        <f t="shared" si="2"/>
        <v>0</v>
      </c>
      <c r="K59" s="1284">
        <v>0</v>
      </c>
      <c r="L59" s="644">
        <f t="shared" si="3"/>
        <v>0</v>
      </c>
      <c r="M59" s="680">
        <v>0</v>
      </c>
      <c r="N59" s="651">
        <v>0</v>
      </c>
    </row>
    <row r="60" spans="1:14" ht="15.95" customHeight="1" x14ac:dyDescent="0.15">
      <c r="A60" s="1286">
        <v>42644</v>
      </c>
      <c r="B60" s="640" t="str">
        <f t="shared" ca="1" si="0"/>
        <v>08</v>
      </c>
      <c r="C60" s="1285" t="s">
        <v>189</v>
      </c>
      <c r="D60" s="640" t="str">
        <f t="shared" ca="1" si="1"/>
        <v>05</v>
      </c>
      <c r="E60" s="1285" t="s">
        <v>543</v>
      </c>
      <c r="F60" s="641" t="str">
        <f>IF(G60="","",VLOOKUP(G60,リスト!J$2:K$3,2,FALSE))</f>
        <v>02</v>
      </c>
      <c r="G60" s="1285" t="s">
        <v>842</v>
      </c>
      <c r="H60" s="1284">
        <v>0</v>
      </c>
      <c r="I60" s="1284">
        <v>0</v>
      </c>
      <c r="J60" s="644">
        <f t="shared" si="2"/>
        <v>0</v>
      </c>
      <c r="K60" s="1284">
        <v>0</v>
      </c>
      <c r="L60" s="644">
        <f t="shared" si="3"/>
        <v>0</v>
      </c>
      <c r="M60" s="680">
        <v>0</v>
      </c>
      <c r="N60" s="651">
        <v>0</v>
      </c>
    </row>
    <row r="61" spans="1:14" ht="15.95" customHeight="1" x14ac:dyDescent="0.15">
      <c r="A61" s="1286">
        <v>42644</v>
      </c>
      <c r="B61" s="640" t="str">
        <f t="shared" ca="1" si="0"/>
        <v>08</v>
      </c>
      <c r="C61" s="1285" t="s">
        <v>189</v>
      </c>
      <c r="D61" s="640" t="str">
        <f t="shared" ca="1" si="1"/>
        <v>05</v>
      </c>
      <c r="E61" s="1285" t="s">
        <v>543</v>
      </c>
      <c r="F61" s="641" t="str">
        <f>IF(G61="","",VLOOKUP(G61,リスト!J$2:K$3,2,FALSE))</f>
        <v>01</v>
      </c>
      <c r="G61" s="1285" t="s">
        <v>841</v>
      </c>
      <c r="H61" s="1284">
        <v>709019</v>
      </c>
      <c r="I61" s="1284">
        <v>-709019</v>
      </c>
      <c r="J61" s="644">
        <f t="shared" si="2"/>
        <v>0</v>
      </c>
      <c r="K61" s="1284">
        <v>0</v>
      </c>
      <c r="L61" s="644">
        <f t="shared" si="3"/>
        <v>0</v>
      </c>
      <c r="M61" s="680">
        <v>0</v>
      </c>
      <c r="N61" s="651">
        <v>0</v>
      </c>
    </row>
    <row r="62" spans="1:14" ht="15.95" customHeight="1" x14ac:dyDescent="0.15">
      <c r="A62" s="1286">
        <v>42644</v>
      </c>
      <c r="B62" s="640" t="str">
        <f t="shared" ca="1" si="0"/>
        <v>10</v>
      </c>
      <c r="C62" s="1285" t="s">
        <v>336</v>
      </c>
      <c r="D62" s="640" t="str">
        <f t="shared" ca="1" si="1"/>
        <v>02</v>
      </c>
      <c r="E62" s="1285" t="s">
        <v>84</v>
      </c>
      <c r="F62" s="641" t="str">
        <f>IF(G62="","",VLOOKUP(G62,リスト!J$2:K$3,2,FALSE))</f>
        <v>02</v>
      </c>
      <c r="G62" s="1285" t="s">
        <v>842</v>
      </c>
      <c r="H62" s="1284">
        <v>0</v>
      </c>
      <c r="I62" s="1284">
        <v>0</v>
      </c>
      <c r="J62" s="644">
        <f t="shared" si="2"/>
        <v>0</v>
      </c>
      <c r="K62" s="1284">
        <v>0</v>
      </c>
      <c r="L62" s="644">
        <f t="shared" si="3"/>
        <v>0</v>
      </c>
      <c r="M62" s="680">
        <v>0</v>
      </c>
      <c r="N62" s="651">
        <v>0</v>
      </c>
    </row>
    <row r="63" spans="1:14" ht="15.95" customHeight="1" x14ac:dyDescent="0.15">
      <c r="A63" s="1286">
        <v>42644</v>
      </c>
      <c r="B63" s="640" t="str">
        <f t="shared" ca="1" si="0"/>
        <v>10</v>
      </c>
      <c r="C63" s="1285" t="s">
        <v>336</v>
      </c>
      <c r="D63" s="640" t="str">
        <f t="shared" ca="1" si="1"/>
        <v>01</v>
      </c>
      <c r="E63" s="1285" t="s">
        <v>83</v>
      </c>
      <c r="F63" s="641" t="str">
        <f>IF(G63="","",VLOOKUP(G63,リスト!J$2:K$3,2,FALSE))</f>
        <v>02</v>
      </c>
      <c r="G63" s="1285" t="s">
        <v>842</v>
      </c>
      <c r="H63" s="1284">
        <v>6181</v>
      </c>
      <c r="I63" s="1284">
        <v>0</v>
      </c>
      <c r="J63" s="644">
        <f t="shared" si="2"/>
        <v>6181</v>
      </c>
      <c r="K63" s="1284">
        <v>6181</v>
      </c>
      <c r="L63" s="644">
        <f t="shared" si="3"/>
        <v>0</v>
      </c>
      <c r="M63" s="680">
        <v>0</v>
      </c>
      <c r="N63" s="651">
        <v>0</v>
      </c>
    </row>
    <row r="64" spans="1:14" ht="15.95" customHeight="1" x14ac:dyDescent="0.15">
      <c r="A64" s="1286">
        <v>42644</v>
      </c>
      <c r="B64" s="640" t="str">
        <f t="shared" ca="1" si="0"/>
        <v>10</v>
      </c>
      <c r="C64" s="1285" t="s">
        <v>336</v>
      </c>
      <c r="D64" s="640" t="str">
        <f t="shared" ca="1" si="1"/>
        <v>02</v>
      </c>
      <c r="E64" s="1285" t="s">
        <v>84</v>
      </c>
      <c r="F64" s="641" t="str">
        <f>IF(G64="","",VLOOKUP(G64,リスト!J$2:K$3,2,FALSE))</f>
        <v>01</v>
      </c>
      <c r="G64" s="1285" t="s">
        <v>841</v>
      </c>
      <c r="H64" s="1284">
        <v>8856</v>
      </c>
      <c r="I64" s="1284">
        <v>0</v>
      </c>
      <c r="J64" s="644">
        <f t="shared" si="2"/>
        <v>8856</v>
      </c>
      <c r="K64" s="1284">
        <v>8856</v>
      </c>
      <c r="L64" s="644">
        <f t="shared" si="3"/>
        <v>0</v>
      </c>
      <c r="M64" s="680">
        <v>0</v>
      </c>
      <c r="N64" s="651">
        <v>0</v>
      </c>
    </row>
    <row r="65" spans="1:14" ht="15.95" customHeight="1" x14ac:dyDescent="0.15">
      <c r="A65" s="1286">
        <v>42644</v>
      </c>
      <c r="B65" s="640" t="str">
        <f t="shared" ca="1" si="0"/>
        <v>10</v>
      </c>
      <c r="C65" s="1285" t="s">
        <v>336</v>
      </c>
      <c r="D65" s="640" t="str">
        <f t="shared" ca="1" si="1"/>
        <v>01</v>
      </c>
      <c r="E65" s="1285" t="s">
        <v>83</v>
      </c>
      <c r="F65" s="641" t="str">
        <f>IF(G65="","",VLOOKUP(G65,リスト!J$2:K$3,2,FALSE))</f>
        <v>01</v>
      </c>
      <c r="G65" s="1285" t="s">
        <v>841</v>
      </c>
      <c r="H65" s="1284">
        <v>1065665</v>
      </c>
      <c r="I65" s="1284">
        <v>0</v>
      </c>
      <c r="J65" s="644">
        <f t="shared" si="2"/>
        <v>1065665</v>
      </c>
      <c r="K65" s="1284">
        <v>1065665</v>
      </c>
      <c r="L65" s="644">
        <f t="shared" si="3"/>
        <v>0</v>
      </c>
      <c r="M65" s="680">
        <v>32324</v>
      </c>
      <c r="N65" s="651">
        <v>0</v>
      </c>
    </row>
    <row r="66" spans="1:14" ht="15.95" customHeight="1" x14ac:dyDescent="0.15">
      <c r="A66" s="1286">
        <v>42675</v>
      </c>
      <c r="B66" s="640" t="str">
        <f t="shared" ref="B66:B129" ca="1" si="4">IF(C66="","",VLOOKUP(C66,事業所コード2,2,FALSE))</f>
        <v>00</v>
      </c>
      <c r="C66" s="1285" t="s">
        <v>490</v>
      </c>
      <c r="D66" s="640" t="str">
        <f t="shared" ref="D66:D129" ca="1" si="5">IF(E66="","",VLOOKUP(E66,事業区分コード2,2,FALSE))</f>
        <v>06</v>
      </c>
      <c r="E66" s="1285" t="s">
        <v>585</v>
      </c>
      <c r="F66" s="641" t="str">
        <f>IF(G66="","",VLOOKUP(G66,リスト!J$2:K$3,2,FALSE))</f>
        <v>02</v>
      </c>
      <c r="G66" s="1285" t="s">
        <v>842</v>
      </c>
      <c r="H66" s="1284">
        <v>0</v>
      </c>
      <c r="I66" s="1284">
        <v>0</v>
      </c>
      <c r="J66" s="644">
        <f t="shared" ref="J66:J129" si="6">IF(A66="","",H66+I66)</f>
        <v>0</v>
      </c>
      <c r="K66" s="1284">
        <v>0</v>
      </c>
      <c r="L66" s="644">
        <f t="shared" ref="L66:L129" si="7">IF(A66="","",J66-K66)</f>
        <v>0</v>
      </c>
      <c r="M66" s="680">
        <v>0</v>
      </c>
      <c r="N66" s="651">
        <v>0</v>
      </c>
    </row>
    <row r="67" spans="1:14" ht="15.95" customHeight="1" x14ac:dyDescent="0.15">
      <c r="A67" s="1286">
        <v>42675</v>
      </c>
      <c r="B67" s="640" t="str">
        <f t="shared" ca="1" si="4"/>
        <v>00</v>
      </c>
      <c r="C67" s="1285" t="s">
        <v>490</v>
      </c>
      <c r="D67" s="640" t="str">
        <f t="shared" ca="1" si="5"/>
        <v>06</v>
      </c>
      <c r="E67" s="1285" t="s">
        <v>585</v>
      </c>
      <c r="F67" s="641" t="str">
        <f>IF(G67="","",VLOOKUP(G67,リスト!J$2:K$3,2,FALSE))</f>
        <v>01</v>
      </c>
      <c r="G67" s="1285" t="s">
        <v>841</v>
      </c>
      <c r="H67" s="1284">
        <v>50067</v>
      </c>
      <c r="I67" s="1284">
        <v>0</v>
      </c>
      <c r="J67" s="644">
        <f t="shared" si="6"/>
        <v>50067</v>
      </c>
      <c r="K67" s="1284">
        <v>50067</v>
      </c>
      <c r="L67" s="644">
        <f t="shared" si="7"/>
        <v>0</v>
      </c>
      <c r="M67" s="680">
        <v>0</v>
      </c>
      <c r="N67" s="651">
        <v>0</v>
      </c>
    </row>
    <row r="68" spans="1:14" ht="15.95" customHeight="1" x14ac:dyDescent="0.15">
      <c r="A68" s="1286">
        <v>42675</v>
      </c>
      <c r="B68" s="640" t="str">
        <f t="shared" ca="1" si="4"/>
        <v>01</v>
      </c>
      <c r="C68" s="1285" t="s">
        <v>34</v>
      </c>
      <c r="D68" s="640" t="str">
        <f t="shared" ca="1" si="5"/>
        <v>03</v>
      </c>
      <c r="E68" s="1285" t="s">
        <v>98</v>
      </c>
      <c r="F68" s="641" t="str">
        <f>IF(G68="","",VLOOKUP(G68,リスト!J$2:K$3,2,FALSE))</f>
        <v>02</v>
      </c>
      <c r="G68" s="1285" t="s">
        <v>842</v>
      </c>
      <c r="H68" s="1284">
        <v>0</v>
      </c>
      <c r="I68" s="1284">
        <v>0</v>
      </c>
      <c r="J68" s="644">
        <f t="shared" si="6"/>
        <v>0</v>
      </c>
      <c r="K68" s="1284">
        <v>0</v>
      </c>
      <c r="L68" s="644">
        <f t="shared" si="7"/>
        <v>0</v>
      </c>
      <c r="M68" s="680">
        <v>0</v>
      </c>
      <c r="N68" s="651">
        <v>0</v>
      </c>
    </row>
    <row r="69" spans="1:14" ht="15.95" customHeight="1" x14ac:dyDescent="0.15">
      <c r="A69" s="1286">
        <v>42675</v>
      </c>
      <c r="B69" s="640" t="str">
        <f t="shared" ca="1" si="4"/>
        <v>01</v>
      </c>
      <c r="C69" s="1285" t="s">
        <v>34</v>
      </c>
      <c r="D69" s="640" t="str">
        <f t="shared" ca="1" si="5"/>
        <v>02</v>
      </c>
      <c r="E69" s="1285" t="s">
        <v>84</v>
      </c>
      <c r="F69" s="641" t="str">
        <f>IF(G69="","",VLOOKUP(G69,リスト!J$2:K$3,2,FALSE))</f>
        <v>02</v>
      </c>
      <c r="G69" s="1285" t="s">
        <v>842</v>
      </c>
      <c r="H69" s="1284">
        <v>267084</v>
      </c>
      <c r="I69" s="1284">
        <v>-17052</v>
      </c>
      <c r="J69" s="644">
        <f t="shared" si="6"/>
        <v>250032</v>
      </c>
      <c r="K69" s="1284">
        <v>250032</v>
      </c>
      <c r="L69" s="644">
        <f t="shared" si="7"/>
        <v>0</v>
      </c>
      <c r="M69" s="680">
        <v>0</v>
      </c>
      <c r="N69" s="651">
        <v>0</v>
      </c>
    </row>
    <row r="70" spans="1:14" ht="15.95" customHeight="1" x14ac:dyDescent="0.15">
      <c r="A70" s="1286">
        <v>42675</v>
      </c>
      <c r="B70" s="640" t="str">
        <f t="shared" ca="1" si="4"/>
        <v>01</v>
      </c>
      <c r="C70" s="1285" t="s">
        <v>34</v>
      </c>
      <c r="D70" s="640" t="str">
        <f t="shared" ca="1" si="5"/>
        <v>01</v>
      </c>
      <c r="E70" s="1285" t="s">
        <v>83</v>
      </c>
      <c r="F70" s="641" t="str">
        <f>IF(G70="","",VLOOKUP(G70,リスト!J$2:K$3,2,FALSE))</f>
        <v>02</v>
      </c>
      <c r="G70" s="1285" t="s">
        <v>842</v>
      </c>
      <c r="H70" s="1284">
        <v>18359</v>
      </c>
      <c r="I70" s="1284">
        <v>-45560</v>
      </c>
      <c r="J70" s="644">
        <f t="shared" si="6"/>
        <v>-27201</v>
      </c>
      <c r="K70" s="1284">
        <v>-27201</v>
      </c>
      <c r="L70" s="644">
        <f t="shared" si="7"/>
        <v>0</v>
      </c>
      <c r="M70" s="680">
        <v>0</v>
      </c>
      <c r="N70" s="651">
        <v>0</v>
      </c>
    </row>
    <row r="71" spans="1:14" ht="15.95" customHeight="1" x14ac:dyDescent="0.15">
      <c r="A71" s="1286">
        <v>42675</v>
      </c>
      <c r="B71" s="640" t="str">
        <f t="shared" ca="1" si="4"/>
        <v>01</v>
      </c>
      <c r="C71" s="1285" t="s">
        <v>34</v>
      </c>
      <c r="D71" s="640" t="str">
        <f t="shared" ca="1" si="5"/>
        <v>03</v>
      </c>
      <c r="E71" s="1285" t="s">
        <v>98</v>
      </c>
      <c r="F71" s="641" t="str">
        <f>IF(G71="","",VLOOKUP(G71,リスト!J$2:K$3,2,FALSE))</f>
        <v>01</v>
      </c>
      <c r="G71" s="1285" t="s">
        <v>841</v>
      </c>
      <c r="H71" s="1284">
        <v>636206</v>
      </c>
      <c r="I71" s="1284">
        <v>0</v>
      </c>
      <c r="J71" s="644">
        <f t="shared" si="6"/>
        <v>636206</v>
      </c>
      <c r="K71" s="1284">
        <v>636206</v>
      </c>
      <c r="L71" s="644">
        <f t="shared" si="7"/>
        <v>0</v>
      </c>
      <c r="M71" s="680">
        <v>0</v>
      </c>
      <c r="N71" s="651">
        <v>0</v>
      </c>
    </row>
    <row r="72" spans="1:14" ht="15.95" customHeight="1" x14ac:dyDescent="0.15">
      <c r="A72" s="1286">
        <v>42675</v>
      </c>
      <c r="B72" s="640" t="str">
        <f t="shared" ca="1" si="4"/>
        <v>01</v>
      </c>
      <c r="C72" s="1285" t="s">
        <v>34</v>
      </c>
      <c r="D72" s="640" t="str">
        <f t="shared" ca="1" si="5"/>
        <v>02</v>
      </c>
      <c r="E72" s="1285" t="s">
        <v>84</v>
      </c>
      <c r="F72" s="641" t="str">
        <f>IF(G72="","",VLOOKUP(G72,リスト!J$2:K$3,2,FALSE))</f>
        <v>01</v>
      </c>
      <c r="G72" s="1285" t="s">
        <v>841</v>
      </c>
      <c r="H72" s="1284">
        <v>1446257</v>
      </c>
      <c r="I72" s="1284">
        <v>-105309</v>
      </c>
      <c r="J72" s="644">
        <f t="shared" si="6"/>
        <v>1340948</v>
      </c>
      <c r="K72" s="1284">
        <v>1340948</v>
      </c>
      <c r="L72" s="644">
        <f t="shared" si="7"/>
        <v>0</v>
      </c>
      <c r="M72" s="680">
        <v>0</v>
      </c>
      <c r="N72" s="651">
        <v>259745</v>
      </c>
    </row>
    <row r="73" spans="1:14" ht="15.95" customHeight="1" x14ac:dyDescent="0.15">
      <c r="A73" s="1286">
        <v>42675</v>
      </c>
      <c r="B73" s="640" t="str">
        <f t="shared" ca="1" si="4"/>
        <v>01</v>
      </c>
      <c r="C73" s="1285" t="s">
        <v>34</v>
      </c>
      <c r="D73" s="640" t="str">
        <f t="shared" ca="1" si="5"/>
        <v>01</v>
      </c>
      <c r="E73" s="1285" t="s">
        <v>83</v>
      </c>
      <c r="F73" s="641" t="str">
        <f>IF(G73="","",VLOOKUP(G73,リスト!J$2:K$3,2,FALSE))</f>
        <v>01</v>
      </c>
      <c r="G73" s="1285" t="s">
        <v>841</v>
      </c>
      <c r="H73" s="1284">
        <v>6782102</v>
      </c>
      <c r="I73" s="1284">
        <v>8355</v>
      </c>
      <c r="J73" s="644">
        <f t="shared" si="6"/>
        <v>6790457</v>
      </c>
      <c r="K73" s="1284">
        <v>6790457</v>
      </c>
      <c r="L73" s="644">
        <f t="shared" si="7"/>
        <v>0</v>
      </c>
      <c r="M73" s="680">
        <v>46159</v>
      </c>
      <c r="N73" s="651">
        <v>879088</v>
      </c>
    </row>
    <row r="74" spans="1:14" ht="15.95" customHeight="1" x14ac:dyDescent="0.15">
      <c r="A74" s="1286">
        <v>42675</v>
      </c>
      <c r="B74" s="640" t="str">
        <f t="shared" ca="1" si="4"/>
        <v>02</v>
      </c>
      <c r="C74" s="1285" t="s">
        <v>37</v>
      </c>
      <c r="D74" s="640" t="str">
        <f t="shared" ca="1" si="5"/>
        <v>03</v>
      </c>
      <c r="E74" s="1285" t="s">
        <v>98</v>
      </c>
      <c r="F74" s="641" t="str">
        <f>IF(G74="","",VLOOKUP(G74,リスト!J$2:K$3,2,FALSE))</f>
        <v>02</v>
      </c>
      <c r="G74" s="1285" t="s">
        <v>842</v>
      </c>
      <c r="H74" s="1284">
        <v>0</v>
      </c>
      <c r="I74" s="1284">
        <v>0</v>
      </c>
      <c r="J74" s="644">
        <f t="shared" si="6"/>
        <v>0</v>
      </c>
      <c r="K74" s="1284">
        <v>0</v>
      </c>
      <c r="L74" s="644">
        <f t="shared" si="7"/>
        <v>0</v>
      </c>
      <c r="M74" s="680">
        <v>0</v>
      </c>
      <c r="N74" s="651">
        <v>0</v>
      </c>
    </row>
    <row r="75" spans="1:14" ht="15.95" customHeight="1" x14ac:dyDescent="0.15">
      <c r="A75" s="1286">
        <v>42675</v>
      </c>
      <c r="B75" s="640" t="str">
        <f t="shared" ca="1" si="4"/>
        <v>02</v>
      </c>
      <c r="C75" s="1285" t="s">
        <v>37</v>
      </c>
      <c r="D75" s="640" t="str">
        <f t="shared" ca="1" si="5"/>
        <v>02</v>
      </c>
      <c r="E75" s="1285" t="s">
        <v>84</v>
      </c>
      <c r="F75" s="641" t="str">
        <f>IF(G75="","",VLOOKUP(G75,リスト!J$2:K$3,2,FALSE))</f>
        <v>02</v>
      </c>
      <c r="G75" s="1285" t="s">
        <v>842</v>
      </c>
      <c r="H75" s="1284">
        <v>0</v>
      </c>
      <c r="I75" s="1284">
        <v>0</v>
      </c>
      <c r="J75" s="644">
        <f t="shared" si="6"/>
        <v>0</v>
      </c>
      <c r="K75" s="1284">
        <v>0</v>
      </c>
      <c r="L75" s="644">
        <f t="shared" si="7"/>
        <v>0</v>
      </c>
      <c r="M75" s="680">
        <v>0</v>
      </c>
      <c r="N75" s="651">
        <v>0</v>
      </c>
    </row>
    <row r="76" spans="1:14" ht="15.95" customHeight="1" x14ac:dyDescent="0.15">
      <c r="A76" s="1286">
        <v>42675</v>
      </c>
      <c r="B76" s="640" t="str">
        <f t="shared" ca="1" si="4"/>
        <v>02</v>
      </c>
      <c r="C76" s="1285" t="s">
        <v>37</v>
      </c>
      <c r="D76" s="640" t="str">
        <f t="shared" ca="1" si="5"/>
        <v>01</v>
      </c>
      <c r="E76" s="1285" t="s">
        <v>83</v>
      </c>
      <c r="F76" s="641" t="str">
        <f>IF(G76="","",VLOOKUP(G76,リスト!J$2:K$3,2,FALSE))</f>
        <v>02</v>
      </c>
      <c r="G76" s="1285" t="s">
        <v>842</v>
      </c>
      <c r="H76" s="1284">
        <v>15970</v>
      </c>
      <c r="I76" s="1284">
        <v>0</v>
      </c>
      <c r="J76" s="644">
        <f t="shared" si="6"/>
        <v>15970</v>
      </c>
      <c r="K76" s="1284">
        <v>15970</v>
      </c>
      <c r="L76" s="644">
        <f t="shared" si="7"/>
        <v>0</v>
      </c>
      <c r="M76" s="680">
        <v>0</v>
      </c>
      <c r="N76" s="651">
        <v>0</v>
      </c>
    </row>
    <row r="77" spans="1:14" ht="15.95" customHeight="1" x14ac:dyDescent="0.15">
      <c r="A77" s="1286">
        <v>42675</v>
      </c>
      <c r="B77" s="640" t="str">
        <f t="shared" ca="1" si="4"/>
        <v>02</v>
      </c>
      <c r="C77" s="1285" t="s">
        <v>37</v>
      </c>
      <c r="D77" s="640" t="str">
        <f t="shared" ca="1" si="5"/>
        <v>03</v>
      </c>
      <c r="E77" s="1285" t="s">
        <v>98</v>
      </c>
      <c r="F77" s="641" t="str">
        <f>IF(G77="","",VLOOKUP(G77,リスト!J$2:K$3,2,FALSE))</f>
        <v>01</v>
      </c>
      <c r="G77" s="1285" t="s">
        <v>841</v>
      </c>
      <c r="H77" s="1284">
        <v>361404</v>
      </c>
      <c r="I77" s="1284">
        <v>0</v>
      </c>
      <c r="J77" s="644">
        <f t="shared" si="6"/>
        <v>361404</v>
      </c>
      <c r="K77" s="1284">
        <v>361404</v>
      </c>
      <c r="L77" s="644">
        <f t="shared" si="7"/>
        <v>0</v>
      </c>
      <c r="M77" s="680">
        <v>0</v>
      </c>
      <c r="N77" s="651">
        <v>0</v>
      </c>
    </row>
    <row r="78" spans="1:14" ht="15.95" customHeight="1" x14ac:dyDescent="0.15">
      <c r="A78" s="1286">
        <v>42675</v>
      </c>
      <c r="B78" s="640" t="str">
        <f t="shared" ca="1" si="4"/>
        <v>02</v>
      </c>
      <c r="C78" s="1285" t="s">
        <v>37</v>
      </c>
      <c r="D78" s="640" t="str">
        <f t="shared" ca="1" si="5"/>
        <v>02</v>
      </c>
      <c r="E78" s="1285" t="s">
        <v>84</v>
      </c>
      <c r="F78" s="641" t="str">
        <f>IF(G78="","",VLOOKUP(G78,リスト!J$2:K$3,2,FALSE))</f>
        <v>01</v>
      </c>
      <c r="G78" s="1285" t="s">
        <v>841</v>
      </c>
      <c r="H78" s="1284">
        <v>404724</v>
      </c>
      <c r="I78" s="1284">
        <v>0</v>
      </c>
      <c r="J78" s="644">
        <f t="shared" si="6"/>
        <v>404724</v>
      </c>
      <c r="K78" s="1284">
        <v>404724</v>
      </c>
      <c r="L78" s="644">
        <f t="shared" si="7"/>
        <v>0</v>
      </c>
      <c r="M78" s="680">
        <v>0</v>
      </c>
      <c r="N78" s="651">
        <v>73251</v>
      </c>
    </row>
    <row r="79" spans="1:14" ht="15.95" customHeight="1" x14ac:dyDescent="0.15">
      <c r="A79" s="1286">
        <v>42675</v>
      </c>
      <c r="B79" s="640" t="str">
        <f t="shared" ca="1" si="4"/>
        <v>02</v>
      </c>
      <c r="C79" s="1285" t="s">
        <v>37</v>
      </c>
      <c r="D79" s="640" t="str">
        <f t="shared" ca="1" si="5"/>
        <v>01</v>
      </c>
      <c r="E79" s="1285" t="s">
        <v>83</v>
      </c>
      <c r="F79" s="641" t="str">
        <f>IF(G79="","",VLOOKUP(G79,リスト!J$2:K$3,2,FALSE))</f>
        <v>01</v>
      </c>
      <c r="G79" s="1285" t="s">
        <v>841</v>
      </c>
      <c r="H79" s="1284">
        <v>3961718</v>
      </c>
      <c r="I79" s="1284">
        <v>-38729</v>
      </c>
      <c r="J79" s="644">
        <f t="shared" si="6"/>
        <v>3922989</v>
      </c>
      <c r="K79" s="1284">
        <v>3922989</v>
      </c>
      <c r="L79" s="644">
        <f t="shared" si="7"/>
        <v>0</v>
      </c>
      <c r="M79" s="680">
        <v>0</v>
      </c>
      <c r="N79" s="651">
        <v>311756</v>
      </c>
    </row>
    <row r="80" spans="1:14" ht="15.95" customHeight="1" x14ac:dyDescent="0.15">
      <c r="A80" s="1286">
        <v>42675</v>
      </c>
      <c r="B80" s="640" t="str">
        <f t="shared" ca="1" si="4"/>
        <v>03</v>
      </c>
      <c r="C80" s="1285" t="s">
        <v>66</v>
      </c>
      <c r="D80" s="640" t="str">
        <f t="shared" ca="1" si="5"/>
        <v>02</v>
      </c>
      <c r="E80" s="1285" t="s">
        <v>84</v>
      </c>
      <c r="F80" s="641" t="str">
        <f>IF(G80="","",VLOOKUP(G80,リスト!J$2:K$3,2,FALSE))</f>
        <v>02</v>
      </c>
      <c r="G80" s="1285" t="s">
        <v>842</v>
      </c>
      <c r="H80" s="1284">
        <v>33337</v>
      </c>
      <c r="I80" s="1284">
        <v>-33337</v>
      </c>
      <c r="J80" s="644">
        <f t="shared" si="6"/>
        <v>0</v>
      </c>
      <c r="K80" s="1284">
        <v>0</v>
      </c>
      <c r="L80" s="644">
        <f t="shared" si="7"/>
        <v>0</v>
      </c>
      <c r="M80" s="680">
        <v>0</v>
      </c>
      <c r="N80" s="651">
        <v>0</v>
      </c>
    </row>
    <row r="81" spans="1:14" ht="15.95" customHeight="1" x14ac:dyDescent="0.15">
      <c r="A81" s="1286">
        <v>42675</v>
      </c>
      <c r="B81" s="640" t="str">
        <f t="shared" ca="1" si="4"/>
        <v>03</v>
      </c>
      <c r="C81" s="1285" t="s">
        <v>66</v>
      </c>
      <c r="D81" s="640" t="str">
        <f t="shared" ca="1" si="5"/>
        <v>01</v>
      </c>
      <c r="E81" s="1285" t="s">
        <v>83</v>
      </c>
      <c r="F81" s="641" t="str">
        <f>IF(G81="","",VLOOKUP(G81,リスト!J$2:K$3,2,FALSE))</f>
        <v>02</v>
      </c>
      <c r="G81" s="1285" t="s">
        <v>842</v>
      </c>
      <c r="H81" s="1284">
        <v>308814</v>
      </c>
      <c r="I81" s="1284">
        <v>0</v>
      </c>
      <c r="J81" s="644">
        <f t="shared" si="6"/>
        <v>308814</v>
      </c>
      <c r="K81" s="1284">
        <v>308814</v>
      </c>
      <c r="L81" s="644">
        <f t="shared" si="7"/>
        <v>0</v>
      </c>
      <c r="M81" s="680">
        <v>0</v>
      </c>
      <c r="N81" s="651">
        <v>0</v>
      </c>
    </row>
    <row r="82" spans="1:14" ht="15.95" customHeight="1" x14ac:dyDescent="0.15">
      <c r="A82" s="1286">
        <v>42675</v>
      </c>
      <c r="B82" s="640" t="str">
        <f t="shared" ca="1" si="4"/>
        <v>03</v>
      </c>
      <c r="C82" s="1285" t="s">
        <v>66</v>
      </c>
      <c r="D82" s="640" t="str">
        <f t="shared" ca="1" si="5"/>
        <v>02</v>
      </c>
      <c r="E82" s="1285" t="s">
        <v>84</v>
      </c>
      <c r="F82" s="641" t="str">
        <f>IF(G82="","",VLOOKUP(G82,リスト!J$2:K$3,2,FALSE))</f>
        <v>01</v>
      </c>
      <c r="G82" s="1285" t="s">
        <v>841</v>
      </c>
      <c r="H82" s="1284">
        <v>949264</v>
      </c>
      <c r="I82" s="1284">
        <v>-61966</v>
      </c>
      <c r="J82" s="644">
        <f t="shared" si="6"/>
        <v>887298</v>
      </c>
      <c r="K82" s="1284">
        <v>887298</v>
      </c>
      <c r="L82" s="644">
        <f t="shared" si="7"/>
        <v>0</v>
      </c>
      <c r="M82" s="680">
        <v>0</v>
      </c>
      <c r="N82" s="651">
        <v>158398</v>
      </c>
    </row>
    <row r="83" spans="1:14" ht="15.95" customHeight="1" x14ac:dyDescent="0.15">
      <c r="A83" s="1286">
        <v>42675</v>
      </c>
      <c r="B83" s="640" t="str">
        <f t="shared" ca="1" si="4"/>
        <v>03</v>
      </c>
      <c r="C83" s="1285" t="s">
        <v>66</v>
      </c>
      <c r="D83" s="640" t="str">
        <f t="shared" ca="1" si="5"/>
        <v>01</v>
      </c>
      <c r="E83" s="1285" t="s">
        <v>83</v>
      </c>
      <c r="F83" s="641" t="str">
        <f>IF(G83="","",VLOOKUP(G83,リスト!J$2:K$3,2,FALSE))</f>
        <v>01</v>
      </c>
      <c r="G83" s="1285" t="s">
        <v>841</v>
      </c>
      <c r="H83" s="1284">
        <v>2785748</v>
      </c>
      <c r="I83" s="1284">
        <v>-16972</v>
      </c>
      <c r="J83" s="644">
        <f t="shared" si="6"/>
        <v>2768776</v>
      </c>
      <c r="K83" s="1284">
        <v>2768776</v>
      </c>
      <c r="L83" s="644">
        <f t="shared" si="7"/>
        <v>0</v>
      </c>
      <c r="M83" s="680">
        <v>285884</v>
      </c>
      <c r="N83" s="651">
        <v>243668</v>
      </c>
    </row>
    <row r="84" spans="1:14" ht="15.95" customHeight="1" x14ac:dyDescent="0.15">
      <c r="A84" s="1286">
        <v>42675</v>
      </c>
      <c r="B84" s="640" t="str">
        <f t="shared" ca="1" si="4"/>
        <v>04</v>
      </c>
      <c r="C84" s="1285" t="s">
        <v>358</v>
      </c>
      <c r="D84" s="640" t="str">
        <f t="shared" ca="1" si="5"/>
        <v>04</v>
      </c>
      <c r="E84" s="1285" t="s">
        <v>542</v>
      </c>
      <c r="F84" s="641" t="str">
        <f>IF(G84="","",VLOOKUP(G84,リスト!J$2:K$3,2,FALSE))</f>
        <v>02</v>
      </c>
      <c r="G84" s="1285" t="s">
        <v>842</v>
      </c>
      <c r="H84" s="1284">
        <v>7220</v>
      </c>
      <c r="I84" s="1284">
        <v>0</v>
      </c>
      <c r="J84" s="644">
        <f t="shared" si="6"/>
        <v>7220</v>
      </c>
      <c r="K84" s="1284">
        <v>7220</v>
      </c>
      <c r="L84" s="644">
        <f t="shared" si="7"/>
        <v>0</v>
      </c>
      <c r="M84" s="680">
        <v>0</v>
      </c>
      <c r="N84" s="651">
        <v>0</v>
      </c>
    </row>
    <row r="85" spans="1:14" ht="15.95" customHeight="1" x14ac:dyDescent="0.15">
      <c r="A85" s="1286">
        <v>42675</v>
      </c>
      <c r="B85" s="640" t="str">
        <f t="shared" ca="1" si="4"/>
        <v>04</v>
      </c>
      <c r="C85" s="1285" t="s">
        <v>358</v>
      </c>
      <c r="D85" s="640" t="str">
        <f t="shared" ca="1" si="5"/>
        <v>04</v>
      </c>
      <c r="E85" s="1285" t="s">
        <v>542</v>
      </c>
      <c r="F85" s="641" t="str">
        <f>IF(G85="","",VLOOKUP(G85,リスト!J$2:K$3,2,FALSE))</f>
        <v>01</v>
      </c>
      <c r="G85" s="1285" t="s">
        <v>841</v>
      </c>
      <c r="H85" s="1284">
        <v>2484404</v>
      </c>
      <c r="I85" s="1284">
        <v>0</v>
      </c>
      <c r="J85" s="644">
        <f t="shared" si="6"/>
        <v>2484404</v>
      </c>
      <c r="K85" s="1284">
        <v>2484404</v>
      </c>
      <c r="L85" s="644">
        <f t="shared" si="7"/>
        <v>0</v>
      </c>
      <c r="M85" s="680">
        <v>0</v>
      </c>
      <c r="N85" s="651">
        <v>95807</v>
      </c>
    </row>
    <row r="86" spans="1:14" ht="15.95" customHeight="1" x14ac:dyDescent="0.15">
      <c r="A86" s="1286">
        <v>42675</v>
      </c>
      <c r="B86" s="640" t="str">
        <f t="shared" ca="1" si="4"/>
        <v>05</v>
      </c>
      <c r="C86" s="1285" t="s">
        <v>38</v>
      </c>
      <c r="D86" s="640" t="str">
        <f t="shared" ca="1" si="5"/>
        <v>01</v>
      </c>
      <c r="E86" s="1285" t="s">
        <v>83</v>
      </c>
      <c r="F86" s="641" t="str">
        <f>IF(G86="","",VLOOKUP(G86,リスト!J$2:K$3,2,FALSE))</f>
        <v>02</v>
      </c>
      <c r="G86" s="1285" t="s">
        <v>842</v>
      </c>
      <c r="H86" s="1284">
        <v>0</v>
      </c>
      <c r="I86" s="1284">
        <v>0</v>
      </c>
      <c r="J86" s="644">
        <f t="shared" si="6"/>
        <v>0</v>
      </c>
      <c r="K86" s="1284">
        <v>0</v>
      </c>
      <c r="L86" s="644">
        <f t="shared" si="7"/>
        <v>0</v>
      </c>
      <c r="M86" s="680">
        <v>0</v>
      </c>
      <c r="N86" s="651">
        <v>0</v>
      </c>
    </row>
    <row r="87" spans="1:14" ht="15.95" customHeight="1" x14ac:dyDescent="0.15">
      <c r="A87" s="1286">
        <v>42675</v>
      </c>
      <c r="B87" s="640" t="str">
        <f t="shared" ca="1" si="4"/>
        <v>05</v>
      </c>
      <c r="C87" s="1285" t="s">
        <v>38</v>
      </c>
      <c r="D87" s="640" t="str">
        <f t="shared" ca="1" si="5"/>
        <v>01</v>
      </c>
      <c r="E87" s="1285" t="s">
        <v>83</v>
      </c>
      <c r="F87" s="641" t="str">
        <f>IF(G87="","",VLOOKUP(G87,リスト!J$2:K$3,2,FALSE))</f>
        <v>01</v>
      </c>
      <c r="G87" s="1285" t="s">
        <v>841</v>
      </c>
      <c r="H87" s="1284">
        <v>2048148</v>
      </c>
      <c r="I87" s="1284">
        <v>0</v>
      </c>
      <c r="J87" s="644">
        <f t="shared" si="6"/>
        <v>2048148</v>
      </c>
      <c r="K87" s="1284">
        <v>2048148</v>
      </c>
      <c r="L87" s="644">
        <f t="shared" si="7"/>
        <v>0</v>
      </c>
      <c r="M87" s="680">
        <v>0</v>
      </c>
      <c r="N87" s="651">
        <v>0</v>
      </c>
    </row>
    <row r="88" spans="1:14" ht="15.95" customHeight="1" x14ac:dyDescent="0.15">
      <c r="A88" s="1286">
        <v>42675</v>
      </c>
      <c r="B88" s="640" t="str">
        <f t="shared" ca="1" si="4"/>
        <v>06</v>
      </c>
      <c r="C88" s="1285" t="s">
        <v>57</v>
      </c>
      <c r="D88" s="640" t="str">
        <f t="shared" ca="1" si="5"/>
        <v>01</v>
      </c>
      <c r="E88" s="1285" t="s">
        <v>83</v>
      </c>
      <c r="F88" s="641" t="str">
        <f>IF(G88="","",VLOOKUP(G88,リスト!J$2:K$3,2,FALSE))</f>
        <v>02</v>
      </c>
      <c r="G88" s="1285" t="s">
        <v>842</v>
      </c>
      <c r="H88" s="1284">
        <v>43078</v>
      </c>
      <c r="I88" s="1284">
        <v>0</v>
      </c>
      <c r="J88" s="644">
        <f t="shared" si="6"/>
        <v>43078</v>
      </c>
      <c r="K88" s="1284">
        <v>43078</v>
      </c>
      <c r="L88" s="644">
        <f t="shared" si="7"/>
        <v>0</v>
      </c>
      <c r="M88" s="680">
        <v>0</v>
      </c>
      <c r="N88" s="651">
        <v>0</v>
      </c>
    </row>
    <row r="89" spans="1:14" ht="15.95" customHeight="1" x14ac:dyDescent="0.15">
      <c r="A89" s="1286">
        <v>42675</v>
      </c>
      <c r="B89" s="640" t="str">
        <f t="shared" ca="1" si="4"/>
        <v>06</v>
      </c>
      <c r="C89" s="1285" t="s">
        <v>57</v>
      </c>
      <c r="D89" s="640" t="str">
        <f t="shared" ca="1" si="5"/>
        <v>01</v>
      </c>
      <c r="E89" s="1285" t="s">
        <v>83</v>
      </c>
      <c r="F89" s="641" t="str">
        <f>IF(G89="","",VLOOKUP(G89,リスト!J$2:K$3,2,FALSE))</f>
        <v>01</v>
      </c>
      <c r="G89" s="1285" t="s">
        <v>841</v>
      </c>
      <c r="H89" s="1284">
        <v>963609</v>
      </c>
      <c r="I89" s="1284">
        <v>-43078</v>
      </c>
      <c r="J89" s="644">
        <f t="shared" si="6"/>
        <v>920531</v>
      </c>
      <c r="K89" s="1284">
        <v>920531</v>
      </c>
      <c r="L89" s="644">
        <f t="shared" si="7"/>
        <v>0</v>
      </c>
      <c r="M89" s="680">
        <v>0</v>
      </c>
      <c r="N89" s="651">
        <v>0</v>
      </c>
    </row>
    <row r="90" spans="1:14" ht="15.95" customHeight="1" x14ac:dyDescent="0.15">
      <c r="A90" s="1286">
        <v>42675</v>
      </c>
      <c r="B90" s="640" t="str">
        <f t="shared" ca="1" si="4"/>
        <v>07</v>
      </c>
      <c r="C90" s="1285" t="s">
        <v>119</v>
      </c>
      <c r="D90" s="640" t="str">
        <f t="shared" ca="1" si="5"/>
        <v>05</v>
      </c>
      <c r="E90" s="1285" t="s">
        <v>543</v>
      </c>
      <c r="F90" s="641" t="str">
        <f>IF(G90="","",VLOOKUP(G90,リスト!J$2:K$3,2,FALSE))</f>
        <v>02</v>
      </c>
      <c r="G90" s="1285" t="s">
        <v>842</v>
      </c>
      <c r="H90" s="1284">
        <v>0</v>
      </c>
      <c r="I90" s="1284">
        <v>0</v>
      </c>
      <c r="J90" s="644">
        <f t="shared" si="6"/>
        <v>0</v>
      </c>
      <c r="K90" s="1284">
        <v>0</v>
      </c>
      <c r="L90" s="644">
        <f t="shared" si="7"/>
        <v>0</v>
      </c>
      <c r="M90" s="680">
        <v>0</v>
      </c>
      <c r="N90" s="651">
        <v>0</v>
      </c>
    </row>
    <row r="91" spans="1:14" ht="15.95" customHeight="1" x14ac:dyDescent="0.15">
      <c r="A91" s="1286">
        <v>42675</v>
      </c>
      <c r="B91" s="640" t="str">
        <f t="shared" ca="1" si="4"/>
        <v>07</v>
      </c>
      <c r="C91" s="1285" t="s">
        <v>119</v>
      </c>
      <c r="D91" s="640" t="str">
        <f t="shared" ca="1" si="5"/>
        <v>05</v>
      </c>
      <c r="E91" s="1285" t="s">
        <v>543</v>
      </c>
      <c r="F91" s="641" t="str">
        <f>IF(G91="","",VLOOKUP(G91,リスト!J$2:K$3,2,FALSE))</f>
        <v>01</v>
      </c>
      <c r="G91" s="1285" t="s">
        <v>841</v>
      </c>
      <c r="H91" s="1284">
        <v>948559</v>
      </c>
      <c r="I91" s="1284">
        <v>-197170</v>
      </c>
      <c r="J91" s="644">
        <f t="shared" si="6"/>
        <v>751389</v>
      </c>
      <c r="K91" s="1284">
        <v>751389</v>
      </c>
      <c r="L91" s="644">
        <f t="shared" si="7"/>
        <v>0</v>
      </c>
      <c r="M91" s="680">
        <v>0</v>
      </c>
      <c r="N91" s="651">
        <v>72707</v>
      </c>
    </row>
    <row r="92" spans="1:14" ht="15.95" customHeight="1" x14ac:dyDescent="0.15">
      <c r="A92" s="1286">
        <v>42675</v>
      </c>
      <c r="B92" s="640" t="str">
        <f t="shared" ca="1" si="4"/>
        <v>08</v>
      </c>
      <c r="C92" s="1285" t="s">
        <v>189</v>
      </c>
      <c r="D92" s="640" t="str">
        <f t="shared" ca="1" si="5"/>
        <v>05</v>
      </c>
      <c r="E92" s="1285" t="s">
        <v>543</v>
      </c>
      <c r="F92" s="641" t="str">
        <f>IF(G92="","",VLOOKUP(G92,リスト!J$2:K$3,2,FALSE))</f>
        <v>02</v>
      </c>
      <c r="G92" s="1285" t="s">
        <v>842</v>
      </c>
      <c r="H92" s="1284">
        <v>0</v>
      </c>
      <c r="I92" s="1284">
        <v>0</v>
      </c>
      <c r="J92" s="644">
        <f t="shared" si="6"/>
        <v>0</v>
      </c>
      <c r="K92" s="1284">
        <v>0</v>
      </c>
      <c r="L92" s="644">
        <f t="shared" si="7"/>
        <v>0</v>
      </c>
      <c r="M92" s="680">
        <v>0</v>
      </c>
      <c r="N92" s="651">
        <v>0</v>
      </c>
    </row>
    <row r="93" spans="1:14" ht="15.95" customHeight="1" x14ac:dyDescent="0.15">
      <c r="A93" s="1286">
        <v>42675</v>
      </c>
      <c r="B93" s="640" t="str">
        <f t="shared" ca="1" si="4"/>
        <v>08</v>
      </c>
      <c r="C93" s="1285" t="s">
        <v>189</v>
      </c>
      <c r="D93" s="640" t="str">
        <f t="shared" ca="1" si="5"/>
        <v>05</v>
      </c>
      <c r="E93" s="1285" t="s">
        <v>543</v>
      </c>
      <c r="F93" s="641" t="str">
        <f>IF(G93="","",VLOOKUP(G93,リスト!J$2:K$3,2,FALSE))</f>
        <v>01</v>
      </c>
      <c r="G93" s="1285" t="s">
        <v>841</v>
      </c>
      <c r="H93" s="1284">
        <v>728019</v>
      </c>
      <c r="I93" s="1284">
        <v>0</v>
      </c>
      <c r="J93" s="644">
        <f t="shared" si="6"/>
        <v>728019</v>
      </c>
      <c r="K93" s="1284">
        <v>728019</v>
      </c>
      <c r="L93" s="644">
        <f t="shared" si="7"/>
        <v>0</v>
      </c>
      <c r="M93" s="680">
        <v>0</v>
      </c>
      <c r="N93" s="651">
        <v>0</v>
      </c>
    </row>
    <row r="94" spans="1:14" ht="15.95" customHeight="1" x14ac:dyDescent="0.15">
      <c r="A94" s="1286">
        <v>42675</v>
      </c>
      <c r="B94" s="640" t="str">
        <f t="shared" ca="1" si="4"/>
        <v>10</v>
      </c>
      <c r="C94" s="1285" t="s">
        <v>336</v>
      </c>
      <c r="D94" s="640" t="str">
        <f t="shared" ca="1" si="5"/>
        <v>02</v>
      </c>
      <c r="E94" s="1285" t="s">
        <v>84</v>
      </c>
      <c r="F94" s="641" t="str">
        <f>IF(G94="","",VLOOKUP(G94,リスト!J$2:K$3,2,FALSE))</f>
        <v>02</v>
      </c>
      <c r="G94" s="1285" t="s">
        <v>842</v>
      </c>
      <c r="H94" s="1284">
        <v>0</v>
      </c>
      <c r="I94" s="1284">
        <v>0</v>
      </c>
      <c r="J94" s="644">
        <f t="shared" si="6"/>
        <v>0</v>
      </c>
      <c r="K94" s="1284">
        <v>0</v>
      </c>
      <c r="L94" s="644">
        <f t="shared" si="7"/>
        <v>0</v>
      </c>
      <c r="M94" s="680">
        <v>0</v>
      </c>
      <c r="N94" s="651">
        <v>0</v>
      </c>
    </row>
    <row r="95" spans="1:14" ht="15.95" customHeight="1" x14ac:dyDescent="0.15">
      <c r="A95" s="1286">
        <v>42675</v>
      </c>
      <c r="B95" s="640" t="str">
        <f t="shared" ca="1" si="4"/>
        <v>10</v>
      </c>
      <c r="C95" s="1285" t="s">
        <v>336</v>
      </c>
      <c r="D95" s="640" t="str">
        <f t="shared" ca="1" si="5"/>
        <v>01</v>
      </c>
      <c r="E95" s="1285" t="s">
        <v>83</v>
      </c>
      <c r="F95" s="641" t="str">
        <f>IF(G95="","",VLOOKUP(G95,リスト!J$2:K$3,2,FALSE))</f>
        <v>02</v>
      </c>
      <c r="G95" s="1285" t="s">
        <v>842</v>
      </c>
      <c r="H95" s="1284">
        <v>0</v>
      </c>
      <c r="I95" s="1284">
        <v>0</v>
      </c>
      <c r="J95" s="644">
        <f t="shared" si="6"/>
        <v>0</v>
      </c>
      <c r="K95" s="1284">
        <v>0</v>
      </c>
      <c r="L95" s="644">
        <f t="shared" si="7"/>
        <v>0</v>
      </c>
      <c r="M95" s="680">
        <v>0</v>
      </c>
      <c r="N95" s="651">
        <v>0</v>
      </c>
    </row>
    <row r="96" spans="1:14" ht="15.95" customHeight="1" x14ac:dyDescent="0.15">
      <c r="A96" s="1286">
        <v>42675</v>
      </c>
      <c r="B96" s="640" t="str">
        <f t="shared" ca="1" si="4"/>
        <v>10</v>
      </c>
      <c r="C96" s="1285" t="s">
        <v>336</v>
      </c>
      <c r="D96" s="640" t="str">
        <f t="shared" ca="1" si="5"/>
        <v>02</v>
      </c>
      <c r="E96" s="1285" t="s">
        <v>84</v>
      </c>
      <c r="F96" s="641" t="str">
        <f>IF(G96="","",VLOOKUP(G96,リスト!J$2:K$3,2,FALSE))</f>
        <v>01</v>
      </c>
      <c r="G96" s="1285" t="s">
        <v>841</v>
      </c>
      <c r="H96" s="1284">
        <v>2693</v>
      </c>
      <c r="I96" s="1284">
        <v>0</v>
      </c>
      <c r="J96" s="644">
        <f t="shared" si="6"/>
        <v>2693</v>
      </c>
      <c r="K96" s="1284">
        <v>2693</v>
      </c>
      <c r="L96" s="644">
        <f t="shared" si="7"/>
        <v>0</v>
      </c>
      <c r="M96" s="680">
        <v>0</v>
      </c>
      <c r="N96" s="651">
        <v>0</v>
      </c>
    </row>
    <row r="97" spans="1:14" ht="15.95" customHeight="1" x14ac:dyDescent="0.15">
      <c r="A97" s="1286">
        <v>42675</v>
      </c>
      <c r="B97" s="640" t="str">
        <f t="shared" ca="1" si="4"/>
        <v>10</v>
      </c>
      <c r="C97" s="1285" t="s">
        <v>336</v>
      </c>
      <c r="D97" s="640" t="str">
        <f t="shared" ca="1" si="5"/>
        <v>01</v>
      </c>
      <c r="E97" s="1285" t="s">
        <v>83</v>
      </c>
      <c r="F97" s="641" t="str">
        <f>IF(G97="","",VLOOKUP(G97,リスト!J$2:K$3,2,FALSE))</f>
        <v>01</v>
      </c>
      <c r="G97" s="1285" t="s">
        <v>841</v>
      </c>
      <c r="H97" s="1284">
        <v>1313627</v>
      </c>
      <c r="I97" s="1284">
        <v>-2482</v>
      </c>
      <c r="J97" s="644">
        <f t="shared" si="6"/>
        <v>1311145</v>
      </c>
      <c r="K97" s="1284">
        <v>1311145</v>
      </c>
      <c r="L97" s="644">
        <f t="shared" si="7"/>
        <v>0</v>
      </c>
      <c r="M97" s="680">
        <v>0</v>
      </c>
      <c r="N97" s="651">
        <v>0</v>
      </c>
    </row>
    <row r="98" spans="1:14" ht="15.95" customHeight="1" x14ac:dyDescent="0.15">
      <c r="A98" s="1286">
        <v>42705</v>
      </c>
      <c r="B98" s="640" t="str">
        <f t="shared" ca="1" si="4"/>
        <v>00</v>
      </c>
      <c r="C98" s="1285" t="s">
        <v>490</v>
      </c>
      <c r="D98" s="640" t="str">
        <f t="shared" ca="1" si="5"/>
        <v>06</v>
      </c>
      <c r="E98" s="1285" t="s">
        <v>585</v>
      </c>
      <c r="F98" s="641" t="str">
        <f>IF(G98="","",VLOOKUP(G98,リスト!J$2:K$3,2,FALSE))</f>
        <v>02</v>
      </c>
      <c r="G98" s="1285" t="s">
        <v>842</v>
      </c>
      <c r="H98" s="1284">
        <v>33378</v>
      </c>
      <c r="I98" s="1284">
        <v>0</v>
      </c>
      <c r="J98" s="644">
        <f t="shared" si="6"/>
        <v>33378</v>
      </c>
      <c r="K98" s="1284">
        <v>33378</v>
      </c>
      <c r="L98" s="644">
        <f t="shared" si="7"/>
        <v>0</v>
      </c>
      <c r="M98" s="680">
        <v>0</v>
      </c>
      <c r="N98" s="651">
        <v>0</v>
      </c>
    </row>
    <row r="99" spans="1:14" ht="15.95" customHeight="1" x14ac:dyDescent="0.15">
      <c r="A99" s="1286">
        <v>42705</v>
      </c>
      <c r="B99" s="640" t="str">
        <f t="shared" ca="1" si="4"/>
        <v>00</v>
      </c>
      <c r="C99" s="1285" t="s">
        <v>490</v>
      </c>
      <c r="D99" s="640" t="str">
        <f t="shared" ca="1" si="5"/>
        <v>06</v>
      </c>
      <c r="E99" s="1285" t="s">
        <v>585</v>
      </c>
      <c r="F99" s="641" t="str">
        <f>IF(G99="","",VLOOKUP(G99,リスト!J$2:K$3,2,FALSE))</f>
        <v>01</v>
      </c>
      <c r="G99" s="1285" t="s">
        <v>841</v>
      </c>
      <c r="H99" s="1284">
        <v>13571</v>
      </c>
      <c r="I99" s="1284">
        <v>-13571</v>
      </c>
      <c r="J99" s="644">
        <f t="shared" si="6"/>
        <v>0</v>
      </c>
      <c r="K99" s="1284">
        <v>0</v>
      </c>
      <c r="L99" s="644">
        <f t="shared" si="7"/>
        <v>0</v>
      </c>
      <c r="M99" s="680">
        <v>0</v>
      </c>
      <c r="N99" s="651">
        <v>0</v>
      </c>
    </row>
    <row r="100" spans="1:14" ht="15.95" customHeight="1" x14ac:dyDescent="0.15">
      <c r="A100" s="1286">
        <v>42705</v>
      </c>
      <c r="B100" s="640" t="str">
        <f t="shared" ca="1" si="4"/>
        <v>01</v>
      </c>
      <c r="C100" s="1285" t="s">
        <v>34</v>
      </c>
      <c r="D100" s="640" t="str">
        <f t="shared" ca="1" si="5"/>
        <v>03</v>
      </c>
      <c r="E100" s="1285" t="s">
        <v>98</v>
      </c>
      <c r="F100" s="641" t="str">
        <f>IF(G100="","",VLOOKUP(G100,リスト!J$2:K$3,2,FALSE))</f>
        <v>02</v>
      </c>
      <c r="G100" s="1285" t="s">
        <v>842</v>
      </c>
      <c r="H100" s="1284">
        <v>0</v>
      </c>
      <c r="I100" s="1284">
        <v>0</v>
      </c>
      <c r="J100" s="644">
        <f t="shared" si="6"/>
        <v>0</v>
      </c>
      <c r="K100" s="1284">
        <v>0</v>
      </c>
      <c r="L100" s="644">
        <f t="shared" si="7"/>
        <v>0</v>
      </c>
      <c r="M100" s="680">
        <v>0</v>
      </c>
      <c r="N100" s="651">
        <v>0</v>
      </c>
    </row>
    <row r="101" spans="1:14" ht="15.95" customHeight="1" x14ac:dyDescent="0.15">
      <c r="A101" s="1286">
        <v>42705</v>
      </c>
      <c r="B101" s="640" t="str">
        <f t="shared" ca="1" si="4"/>
        <v>01</v>
      </c>
      <c r="C101" s="1285" t="s">
        <v>34</v>
      </c>
      <c r="D101" s="640" t="str">
        <f t="shared" ca="1" si="5"/>
        <v>02</v>
      </c>
      <c r="E101" s="1285" t="s">
        <v>84</v>
      </c>
      <c r="F101" s="641" t="str">
        <f>IF(G101="","",VLOOKUP(G101,リスト!J$2:K$3,2,FALSE))</f>
        <v>02</v>
      </c>
      <c r="G101" s="1285" t="s">
        <v>842</v>
      </c>
      <c r="H101" s="1284">
        <v>94898</v>
      </c>
      <c r="I101" s="1284">
        <v>0</v>
      </c>
      <c r="J101" s="644">
        <f t="shared" si="6"/>
        <v>94898</v>
      </c>
      <c r="K101" s="1284">
        <v>94898</v>
      </c>
      <c r="L101" s="644">
        <f t="shared" si="7"/>
        <v>0</v>
      </c>
      <c r="M101" s="680">
        <v>0</v>
      </c>
      <c r="N101" s="651">
        <v>0</v>
      </c>
    </row>
    <row r="102" spans="1:14" ht="15.95" customHeight="1" x14ac:dyDescent="0.15">
      <c r="A102" s="1286">
        <v>42705</v>
      </c>
      <c r="B102" s="640" t="str">
        <f t="shared" ca="1" si="4"/>
        <v>01</v>
      </c>
      <c r="C102" s="1285" t="s">
        <v>34</v>
      </c>
      <c r="D102" s="640" t="str">
        <f t="shared" ca="1" si="5"/>
        <v>01</v>
      </c>
      <c r="E102" s="1285" t="s">
        <v>83</v>
      </c>
      <c r="F102" s="641" t="str">
        <f>IF(G102="","",VLOOKUP(G102,リスト!J$2:K$3,2,FALSE))</f>
        <v>02</v>
      </c>
      <c r="G102" s="1285" t="s">
        <v>842</v>
      </c>
      <c r="H102" s="1284">
        <v>-43738</v>
      </c>
      <c r="I102" s="1284">
        <v>-10663</v>
      </c>
      <c r="J102" s="644">
        <f t="shared" si="6"/>
        <v>-54401</v>
      </c>
      <c r="K102" s="1284">
        <v>-54401</v>
      </c>
      <c r="L102" s="644">
        <f t="shared" si="7"/>
        <v>0</v>
      </c>
      <c r="M102" s="680">
        <v>0</v>
      </c>
      <c r="N102" s="651">
        <v>0</v>
      </c>
    </row>
    <row r="103" spans="1:14" ht="15.95" customHeight="1" x14ac:dyDescent="0.15">
      <c r="A103" s="1286">
        <v>42705</v>
      </c>
      <c r="B103" s="640" t="str">
        <f t="shared" ca="1" si="4"/>
        <v>01</v>
      </c>
      <c r="C103" s="1285" t="s">
        <v>34</v>
      </c>
      <c r="D103" s="640" t="str">
        <f t="shared" ca="1" si="5"/>
        <v>03</v>
      </c>
      <c r="E103" s="1285" t="s">
        <v>98</v>
      </c>
      <c r="F103" s="641" t="str">
        <f>IF(G103="","",VLOOKUP(G103,リスト!J$2:K$3,2,FALSE))</f>
        <v>01</v>
      </c>
      <c r="G103" s="1285" t="s">
        <v>841</v>
      </c>
      <c r="H103" s="1284">
        <v>660526</v>
      </c>
      <c r="I103" s="1284">
        <v>0</v>
      </c>
      <c r="J103" s="644">
        <f t="shared" si="6"/>
        <v>660526</v>
      </c>
      <c r="K103" s="1284">
        <v>660526</v>
      </c>
      <c r="L103" s="644">
        <f t="shared" si="7"/>
        <v>0</v>
      </c>
      <c r="M103" s="680">
        <v>0</v>
      </c>
      <c r="N103" s="651">
        <v>0</v>
      </c>
    </row>
    <row r="104" spans="1:14" ht="15.95" customHeight="1" x14ac:dyDescent="0.15">
      <c r="A104" s="1286">
        <v>42705</v>
      </c>
      <c r="B104" s="640" t="str">
        <f t="shared" ca="1" si="4"/>
        <v>01</v>
      </c>
      <c r="C104" s="1285" t="s">
        <v>34</v>
      </c>
      <c r="D104" s="640" t="str">
        <f t="shared" ca="1" si="5"/>
        <v>02</v>
      </c>
      <c r="E104" s="1285" t="s">
        <v>84</v>
      </c>
      <c r="F104" s="641" t="str">
        <f>IF(G104="","",VLOOKUP(G104,リスト!J$2:K$3,2,FALSE))</f>
        <v>01</v>
      </c>
      <c r="G104" s="1285" t="s">
        <v>841</v>
      </c>
      <c r="H104" s="1284">
        <v>1624853</v>
      </c>
      <c r="I104" s="1284">
        <v>0</v>
      </c>
      <c r="J104" s="644">
        <f t="shared" si="6"/>
        <v>1624853</v>
      </c>
      <c r="K104" s="1284">
        <v>1624853</v>
      </c>
      <c r="L104" s="644">
        <f t="shared" si="7"/>
        <v>0</v>
      </c>
      <c r="M104" s="680">
        <v>0</v>
      </c>
      <c r="N104" s="651">
        <v>295462</v>
      </c>
    </row>
    <row r="105" spans="1:14" ht="15.95" customHeight="1" x14ac:dyDescent="0.15">
      <c r="A105" s="1286">
        <v>42705</v>
      </c>
      <c r="B105" s="640" t="str">
        <f t="shared" ca="1" si="4"/>
        <v>01</v>
      </c>
      <c r="C105" s="1285" t="s">
        <v>34</v>
      </c>
      <c r="D105" s="640" t="str">
        <f t="shared" ca="1" si="5"/>
        <v>01</v>
      </c>
      <c r="E105" s="1285" t="s">
        <v>83</v>
      </c>
      <c r="F105" s="641" t="str">
        <f>IF(G105="","",VLOOKUP(G105,リスト!J$2:K$3,2,FALSE))</f>
        <v>01</v>
      </c>
      <c r="G105" s="1285" t="s">
        <v>841</v>
      </c>
      <c r="H105" s="1284">
        <v>6845905</v>
      </c>
      <c r="I105" s="1284">
        <v>-30253</v>
      </c>
      <c r="J105" s="644">
        <f t="shared" si="6"/>
        <v>6815652</v>
      </c>
      <c r="K105" s="1284">
        <v>6815652</v>
      </c>
      <c r="L105" s="644">
        <f t="shared" si="7"/>
        <v>0</v>
      </c>
      <c r="M105" s="680">
        <v>149092</v>
      </c>
      <c r="N105" s="651">
        <v>922355</v>
      </c>
    </row>
    <row r="106" spans="1:14" ht="15.95" customHeight="1" x14ac:dyDescent="0.15">
      <c r="A106" s="1286">
        <v>42705</v>
      </c>
      <c r="B106" s="640" t="str">
        <f t="shared" ca="1" si="4"/>
        <v>02</v>
      </c>
      <c r="C106" s="1285" t="s">
        <v>37</v>
      </c>
      <c r="D106" s="640" t="str">
        <f t="shared" ca="1" si="5"/>
        <v>03</v>
      </c>
      <c r="E106" s="1285" t="s">
        <v>98</v>
      </c>
      <c r="F106" s="641" t="str">
        <f>IF(G106="","",VLOOKUP(G106,リスト!J$2:K$3,2,FALSE))</f>
        <v>02</v>
      </c>
      <c r="G106" s="1285" t="s">
        <v>842</v>
      </c>
      <c r="H106" s="1284">
        <v>0</v>
      </c>
      <c r="I106" s="1284">
        <v>0</v>
      </c>
      <c r="J106" s="644">
        <f t="shared" si="6"/>
        <v>0</v>
      </c>
      <c r="K106" s="1284">
        <v>0</v>
      </c>
      <c r="L106" s="644">
        <f t="shared" si="7"/>
        <v>0</v>
      </c>
      <c r="M106" s="680">
        <v>0</v>
      </c>
      <c r="N106" s="651">
        <v>0</v>
      </c>
    </row>
    <row r="107" spans="1:14" ht="15.95" customHeight="1" x14ac:dyDescent="0.15">
      <c r="A107" s="1286">
        <v>42705</v>
      </c>
      <c r="B107" s="640" t="str">
        <f t="shared" ca="1" si="4"/>
        <v>02</v>
      </c>
      <c r="C107" s="1285" t="s">
        <v>37</v>
      </c>
      <c r="D107" s="640" t="str">
        <f t="shared" ca="1" si="5"/>
        <v>02</v>
      </c>
      <c r="E107" s="1285" t="s">
        <v>84</v>
      </c>
      <c r="F107" s="641" t="str">
        <f>IF(G107="","",VLOOKUP(G107,リスト!J$2:K$3,2,FALSE))</f>
        <v>02</v>
      </c>
      <c r="G107" s="1285" t="s">
        <v>842</v>
      </c>
      <c r="H107" s="1284">
        <v>0</v>
      </c>
      <c r="I107" s="1284">
        <v>0</v>
      </c>
      <c r="J107" s="644">
        <f t="shared" si="6"/>
        <v>0</v>
      </c>
      <c r="K107" s="1284">
        <v>0</v>
      </c>
      <c r="L107" s="644">
        <f t="shared" si="7"/>
        <v>0</v>
      </c>
      <c r="M107" s="680">
        <v>0</v>
      </c>
      <c r="N107" s="651">
        <v>0</v>
      </c>
    </row>
    <row r="108" spans="1:14" ht="15.95" customHeight="1" x14ac:dyDescent="0.15">
      <c r="A108" s="1286">
        <v>42705</v>
      </c>
      <c r="B108" s="640" t="str">
        <f t="shared" ca="1" si="4"/>
        <v>02</v>
      </c>
      <c r="C108" s="1285" t="s">
        <v>37</v>
      </c>
      <c r="D108" s="640" t="str">
        <f t="shared" ca="1" si="5"/>
        <v>01</v>
      </c>
      <c r="E108" s="1285" t="s">
        <v>83</v>
      </c>
      <c r="F108" s="641" t="str">
        <f>IF(G108="","",VLOOKUP(G108,リスト!J$2:K$3,2,FALSE))</f>
        <v>02</v>
      </c>
      <c r="G108" s="1285" t="s">
        <v>842</v>
      </c>
      <c r="H108" s="1284">
        <v>14011</v>
      </c>
      <c r="I108" s="1284">
        <v>24718</v>
      </c>
      <c r="J108" s="644">
        <f t="shared" si="6"/>
        <v>38729</v>
      </c>
      <c r="K108" s="1284">
        <v>38729</v>
      </c>
      <c r="L108" s="644">
        <f t="shared" si="7"/>
        <v>0</v>
      </c>
      <c r="M108" s="680">
        <v>0</v>
      </c>
      <c r="N108" s="651">
        <v>0</v>
      </c>
    </row>
    <row r="109" spans="1:14" ht="15.95" customHeight="1" x14ac:dyDescent="0.15">
      <c r="A109" s="1286">
        <v>42705</v>
      </c>
      <c r="B109" s="640" t="str">
        <f t="shared" ca="1" si="4"/>
        <v>02</v>
      </c>
      <c r="C109" s="1285" t="s">
        <v>37</v>
      </c>
      <c r="D109" s="640" t="str">
        <f t="shared" ca="1" si="5"/>
        <v>03</v>
      </c>
      <c r="E109" s="1285" t="s">
        <v>98</v>
      </c>
      <c r="F109" s="641" t="str">
        <f>IF(G109="","",VLOOKUP(G109,リスト!J$2:K$3,2,FALSE))</f>
        <v>01</v>
      </c>
      <c r="G109" s="1285" t="s">
        <v>841</v>
      </c>
      <c r="H109" s="1284">
        <v>370597</v>
      </c>
      <c r="I109" s="1284">
        <v>0</v>
      </c>
      <c r="J109" s="644">
        <f t="shared" si="6"/>
        <v>370597</v>
      </c>
      <c r="K109" s="1284">
        <v>370597</v>
      </c>
      <c r="L109" s="644">
        <f t="shared" si="7"/>
        <v>0</v>
      </c>
      <c r="M109" s="680">
        <v>0</v>
      </c>
      <c r="N109" s="651">
        <v>0</v>
      </c>
    </row>
    <row r="110" spans="1:14" ht="15.95" customHeight="1" x14ac:dyDescent="0.15">
      <c r="A110" s="1286">
        <v>42705</v>
      </c>
      <c r="B110" s="640" t="str">
        <f t="shared" ca="1" si="4"/>
        <v>02</v>
      </c>
      <c r="C110" s="1285" t="s">
        <v>37</v>
      </c>
      <c r="D110" s="640" t="str">
        <f t="shared" ca="1" si="5"/>
        <v>02</v>
      </c>
      <c r="E110" s="1285" t="s">
        <v>84</v>
      </c>
      <c r="F110" s="641" t="str">
        <f>IF(G110="","",VLOOKUP(G110,リスト!J$2:K$3,2,FALSE))</f>
        <v>01</v>
      </c>
      <c r="G110" s="1285" t="s">
        <v>841</v>
      </c>
      <c r="H110" s="1284">
        <v>437647</v>
      </c>
      <c r="I110" s="1284">
        <v>0</v>
      </c>
      <c r="J110" s="644">
        <f t="shared" si="6"/>
        <v>437647</v>
      </c>
      <c r="K110" s="1284">
        <v>437647</v>
      </c>
      <c r="L110" s="644">
        <f t="shared" si="7"/>
        <v>0</v>
      </c>
      <c r="M110" s="680">
        <v>0</v>
      </c>
      <c r="N110" s="651">
        <v>79197</v>
      </c>
    </row>
    <row r="111" spans="1:14" ht="15.95" customHeight="1" x14ac:dyDescent="0.15">
      <c r="A111" s="1286">
        <v>42705</v>
      </c>
      <c r="B111" s="640" t="str">
        <f t="shared" ca="1" si="4"/>
        <v>02</v>
      </c>
      <c r="C111" s="1285" t="s">
        <v>37</v>
      </c>
      <c r="D111" s="640" t="str">
        <f t="shared" ca="1" si="5"/>
        <v>01</v>
      </c>
      <c r="E111" s="1285" t="s">
        <v>83</v>
      </c>
      <c r="F111" s="641" t="str">
        <f>IF(G111="","",VLOOKUP(G111,リスト!J$2:K$3,2,FALSE))</f>
        <v>01</v>
      </c>
      <c r="G111" s="1285" t="s">
        <v>841</v>
      </c>
      <c r="H111" s="1284">
        <v>4001652</v>
      </c>
      <c r="I111" s="1284">
        <v>-52078</v>
      </c>
      <c r="J111" s="644">
        <f t="shared" si="6"/>
        <v>3949574</v>
      </c>
      <c r="K111" s="1284">
        <v>3949574</v>
      </c>
      <c r="L111" s="644">
        <f t="shared" si="7"/>
        <v>0</v>
      </c>
      <c r="M111" s="680">
        <v>0</v>
      </c>
      <c r="N111" s="651">
        <v>315719</v>
      </c>
    </row>
    <row r="112" spans="1:14" ht="15.95" customHeight="1" x14ac:dyDescent="0.15">
      <c r="A112" s="1286">
        <v>42705</v>
      </c>
      <c r="B112" s="640" t="str">
        <f t="shared" ca="1" si="4"/>
        <v>03</v>
      </c>
      <c r="C112" s="1285" t="s">
        <v>66</v>
      </c>
      <c r="D112" s="640" t="str">
        <f t="shared" ca="1" si="5"/>
        <v>02</v>
      </c>
      <c r="E112" s="1285" t="s">
        <v>84</v>
      </c>
      <c r="F112" s="641" t="str">
        <f>IF(G112="","",VLOOKUP(G112,リスト!J$2:K$3,2,FALSE))</f>
        <v>02</v>
      </c>
      <c r="G112" s="1285" t="s">
        <v>842</v>
      </c>
      <c r="H112" s="1284">
        <v>95303</v>
      </c>
      <c r="I112" s="1284">
        <v>-16154</v>
      </c>
      <c r="J112" s="644">
        <f t="shared" si="6"/>
        <v>79149</v>
      </c>
      <c r="K112" s="1284">
        <v>79149</v>
      </c>
      <c r="L112" s="644">
        <f t="shared" si="7"/>
        <v>0</v>
      </c>
      <c r="M112" s="680">
        <v>0</v>
      </c>
      <c r="N112" s="651">
        <v>0</v>
      </c>
    </row>
    <row r="113" spans="1:14" ht="15.95" customHeight="1" x14ac:dyDescent="0.15">
      <c r="A113" s="1286">
        <v>42705</v>
      </c>
      <c r="B113" s="640" t="str">
        <f t="shared" ca="1" si="4"/>
        <v>03</v>
      </c>
      <c r="C113" s="1285" t="s">
        <v>66</v>
      </c>
      <c r="D113" s="640" t="str">
        <f t="shared" ca="1" si="5"/>
        <v>01</v>
      </c>
      <c r="E113" s="1285" t="s">
        <v>83</v>
      </c>
      <c r="F113" s="641" t="str">
        <f>IF(G113="","",VLOOKUP(G113,リスト!J$2:K$3,2,FALSE))</f>
        <v>02</v>
      </c>
      <c r="G113" s="1285" t="s">
        <v>842</v>
      </c>
      <c r="H113" s="1284">
        <v>289497</v>
      </c>
      <c r="I113" s="1284">
        <v>0</v>
      </c>
      <c r="J113" s="644">
        <f t="shared" si="6"/>
        <v>289497</v>
      </c>
      <c r="K113" s="1284">
        <v>289497</v>
      </c>
      <c r="L113" s="644">
        <f t="shared" si="7"/>
        <v>0</v>
      </c>
      <c r="M113" s="680">
        <v>0</v>
      </c>
      <c r="N113" s="651">
        <v>0</v>
      </c>
    </row>
    <row r="114" spans="1:14" ht="15.95" customHeight="1" x14ac:dyDescent="0.15">
      <c r="A114" s="1286">
        <v>42705</v>
      </c>
      <c r="B114" s="640" t="str">
        <f t="shared" ca="1" si="4"/>
        <v>03</v>
      </c>
      <c r="C114" s="1285" t="s">
        <v>66</v>
      </c>
      <c r="D114" s="640" t="str">
        <f t="shared" ca="1" si="5"/>
        <v>02</v>
      </c>
      <c r="E114" s="1285" t="s">
        <v>84</v>
      </c>
      <c r="F114" s="641" t="str">
        <f>IF(G114="","",VLOOKUP(G114,リスト!J$2:K$3,2,FALSE))</f>
        <v>01</v>
      </c>
      <c r="G114" s="1285" t="s">
        <v>841</v>
      </c>
      <c r="H114" s="1284">
        <v>1057795</v>
      </c>
      <c r="I114" s="1284">
        <v>-28037</v>
      </c>
      <c r="J114" s="644">
        <f t="shared" si="6"/>
        <v>1029758</v>
      </c>
      <c r="K114" s="1284">
        <v>1029758</v>
      </c>
      <c r="L114" s="644">
        <f t="shared" si="7"/>
        <v>0</v>
      </c>
      <c r="M114" s="680">
        <v>0</v>
      </c>
      <c r="N114" s="651">
        <v>198688</v>
      </c>
    </row>
    <row r="115" spans="1:14" ht="15.95" customHeight="1" x14ac:dyDescent="0.15">
      <c r="A115" s="1286">
        <v>42705</v>
      </c>
      <c r="B115" s="640" t="str">
        <f t="shared" ca="1" si="4"/>
        <v>03</v>
      </c>
      <c r="C115" s="1285" t="s">
        <v>66</v>
      </c>
      <c r="D115" s="640" t="str">
        <f t="shared" ca="1" si="5"/>
        <v>01</v>
      </c>
      <c r="E115" s="1285" t="s">
        <v>83</v>
      </c>
      <c r="F115" s="641" t="str">
        <f>IF(G115="","",VLOOKUP(G115,リスト!J$2:K$3,2,FALSE))</f>
        <v>01</v>
      </c>
      <c r="G115" s="1285" t="s">
        <v>841</v>
      </c>
      <c r="H115" s="1284">
        <v>3245138</v>
      </c>
      <c r="I115" s="1284">
        <v>-59027</v>
      </c>
      <c r="J115" s="644">
        <f t="shared" si="6"/>
        <v>3186111</v>
      </c>
      <c r="K115" s="1284">
        <v>3186111</v>
      </c>
      <c r="L115" s="644">
        <f t="shared" si="7"/>
        <v>0</v>
      </c>
      <c r="M115" s="680">
        <v>28022</v>
      </c>
      <c r="N115" s="651">
        <v>276371</v>
      </c>
    </row>
    <row r="116" spans="1:14" ht="15.95" customHeight="1" x14ac:dyDescent="0.15">
      <c r="A116" s="1286">
        <v>42705</v>
      </c>
      <c r="B116" s="640" t="str">
        <f t="shared" ca="1" si="4"/>
        <v>04</v>
      </c>
      <c r="C116" s="1285" t="s">
        <v>358</v>
      </c>
      <c r="D116" s="640" t="str">
        <f t="shared" ca="1" si="5"/>
        <v>04</v>
      </c>
      <c r="E116" s="1285" t="s">
        <v>542</v>
      </c>
      <c r="F116" s="641" t="str">
        <f>IF(G116="","",VLOOKUP(G116,リスト!J$2:K$3,2,FALSE))</f>
        <v>02</v>
      </c>
      <c r="G116" s="1285" t="s">
        <v>842</v>
      </c>
      <c r="H116" s="1284">
        <v>7513</v>
      </c>
      <c r="I116" s="1284">
        <v>-7513</v>
      </c>
      <c r="J116" s="644">
        <f t="shared" si="6"/>
        <v>0</v>
      </c>
      <c r="K116" s="1284">
        <v>0</v>
      </c>
      <c r="L116" s="644">
        <f t="shared" si="7"/>
        <v>0</v>
      </c>
      <c r="M116" s="680">
        <v>0</v>
      </c>
      <c r="N116" s="651">
        <v>0</v>
      </c>
    </row>
    <row r="117" spans="1:14" ht="15.95" customHeight="1" x14ac:dyDescent="0.15">
      <c r="A117" s="1286">
        <v>42705</v>
      </c>
      <c r="B117" s="640" t="str">
        <f t="shared" ca="1" si="4"/>
        <v>04</v>
      </c>
      <c r="C117" s="1285" t="s">
        <v>358</v>
      </c>
      <c r="D117" s="640" t="str">
        <f t="shared" ca="1" si="5"/>
        <v>04</v>
      </c>
      <c r="E117" s="1285" t="s">
        <v>542</v>
      </c>
      <c r="F117" s="641" t="str">
        <f>IF(G117="","",VLOOKUP(G117,リスト!J$2:K$3,2,FALSE))</f>
        <v>01</v>
      </c>
      <c r="G117" s="1285" t="s">
        <v>841</v>
      </c>
      <c r="H117" s="1284">
        <v>2516716</v>
      </c>
      <c r="I117" s="1284">
        <v>-45059</v>
      </c>
      <c r="J117" s="644">
        <f t="shared" si="6"/>
        <v>2471657</v>
      </c>
      <c r="K117" s="1284">
        <v>2471657</v>
      </c>
      <c r="L117" s="644">
        <f t="shared" si="7"/>
        <v>0</v>
      </c>
      <c r="M117" s="680">
        <v>0</v>
      </c>
      <c r="N117" s="651">
        <v>95336</v>
      </c>
    </row>
    <row r="118" spans="1:14" ht="15.95" customHeight="1" x14ac:dyDescent="0.15">
      <c r="A118" s="1286">
        <v>42705</v>
      </c>
      <c r="B118" s="640" t="str">
        <f t="shared" ca="1" si="4"/>
        <v>05</v>
      </c>
      <c r="C118" s="1285" t="s">
        <v>38</v>
      </c>
      <c r="D118" s="640" t="str">
        <f t="shared" ca="1" si="5"/>
        <v>01</v>
      </c>
      <c r="E118" s="1285" t="s">
        <v>83</v>
      </c>
      <c r="F118" s="641" t="str">
        <f>IF(G118="","",VLOOKUP(G118,リスト!J$2:K$3,2,FALSE))</f>
        <v>02</v>
      </c>
      <c r="G118" s="1285" t="s">
        <v>842</v>
      </c>
      <c r="H118" s="1284">
        <v>0</v>
      </c>
      <c r="I118" s="1284">
        <v>0</v>
      </c>
      <c r="J118" s="644">
        <f t="shared" si="6"/>
        <v>0</v>
      </c>
      <c r="K118" s="1284">
        <v>0</v>
      </c>
      <c r="L118" s="644">
        <f t="shared" si="7"/>
        <v>0</v>
      </c>
      <c r="M118" s="680">
        <v>0</v>
      </c>
      <c r="N118" s="651">
        <v>0</v>
      </c>
    </row>
    <row r="119" spans="1:14" ht="15.95" customHeight="1" x14ac:dyDescent="0.15">
      <c r="A119" s="1286">
        <v>42705</v>
      </c>
      <c r="B119" s="640" t="str">
        <f t="shared" ca="1" si="4"/>
        <v>05</v>
      </c>
      <c r="C119" s="1285" t="s">
        <v>38</v>
      </c>
      <c r="D119" s="640" t="str">
        <f t="shared" ca="1" si="5"/>
        <v>01</v>
      </c>
      <c r="E119" s="1285" t="s">
        <v>83</v>
      </c>
      <c r="F119" s="641" t="str">
        <f>IF(G119="","",VLOOKUP(G119,リスト!J$2:K$3,2,FALSE))</f>
        <v>01</v>
      </c>
      <c r="G119" s="1285" t="s">
        <v>841</v>
      </c>
      <c r="H119" s="1284">
        <v>2353118</v>
      </c>
      <c r="I119" s="1284">
        <v>0</v>
      </c>
      <c r="J119" s="644">
        <f t="shared" si="6"/>
        <v>2353118</v>
      </c>
      <c r="K119" s="1284">
        <v>2353118</v>
      </c>
      <c r="L119" s="644">
        <f t="shared" si="7"/>
        <v>0</v>
      </c>
      <c r="M119" s="680">
        <v>0</v>
      </c>
      <c r="N119" s="651">
        <v>0</v>
      </c>
    </row>
    <row r="120" spans="1:14" ht="15.95" customHeight="1" x14ac:dyDescent="0.15">
      <c r="A120" s="1286">
        <v>42705</v>
      </c>
      <c r="B120" s="640" t="str">
        <f t="shared" ca="1" si="4"/>
        <v>06</v>
      </c>
      <c r="C120" s="1285" t="s">
        <v>57</v>
      </c>
      <c r="D120" s="640" t="str">
        <f t="shared" ca="1" si="5"/>
        <v>01</v>
      </c>
      <c r="E120" s="1285" t="s">
        <v>83</v>
      </c>
      <c r="F120" s="641" t="str">
        <f>IF(G120="","",VLOOKUP(G120,リスト!J$2:K$3,2,FALSE))</f>
        <v>02</v>
      </c>
      <c r="G120" s="1285" t="s">
        <v>842</v>
      </c>
      <c r="H120" s="1284">
        <v>43078</v>
      </c>
      <c r="I120" s="1284">
        <v>0</v>
      </c>
      <c r="J120" s="644">
        <f t="shared" si="6"/>
        <v>43078</v>
      </c>
      <c r="K120" s="1284">
        <v>43078</v>
      </c>
      <c r="L120" s="644">
        <f t="shared" si="7"/>
        <v>0</v>
      </c>
      <c r="M120" s="680">
        <v>0</v>
      </c>
      <c r="N120" s="651">
        <v>0</v>
      </c>
    </row>
    <row r="121" spans="1:14" ht="15.95" customHeight="1" x14ac:dyDescent="0.15">
      <c r="A121" s="1286">
        <v>42705</v>
      </c>
      <c r="B121" s="640" t="str">
        <f t="shared" ca="1" si="4"/>
        <v>06</v>
      </c>
      <c r="C121" s="1285" t="s">
        <v>57</v>
      </c>
      <c r="D121" s="640" t="str">
        <f t="shared" ca="1" si="5"/>
        <v>01</v>
      </c>
      <c r="E121" s="1285" t="s">
        <v>83</v>
      </c>
      <c r="F121" s="641" t="str">
        <f>IF(G121="","",VLOOKUP(G121,リスト!J$2:K$3,2,FALSE))</f>
        <v>01</v>
      </c>
      <c r="G121" s="1285" t="s">
        <v>841</v>
      </c>
      <c r="H121" s="1284">
        <v>895244</v>
      </c>
      <c r="I121" s="1284">
        <v>0</v>
      </c>
      <c r="J121" s="644">
        <f t="shared" si="6"/>
        <v>895244</v>
      </c>
      <c r="K121" s="1284">
        <v>895244</v>
      </c>
      <c r="L121" s="644">
        <f t="shared" si="7"/>
        <v>0</v>
      </c>
      <c r="M121" s="680">
        <v>0</v>
      </c>
      <c r="N121" s="651">
        <v>0</v>
      </c>
    </row>
    <row r="122" spans="1:14" ht="15.95" customHeight="1" x14ac:dyDescent="0.15">
      <c r="A122" s="1286">
        <v>42705</v>
      </c>
      <c r="B122" s="640" t="str">
        <f t="shared" ca="1" si="4"/>
        <v>07</v>
      </c>
      <c r="C122" s="1285" t="s">
        <v>119</v>
      </c>
      <c r="D122" s="640" t="str">
        <f t="shared" ca="1" si="5"/>
        <v>05</v>
      </c>
      <c r="E122" s="1285" t="s">
        <v>543</v>
      </c>
      <c r="F122" s="641" t="str">
        <f>IF(G122="","",VLOOKUP(G122,リスト!J$2:K$3,2,FALSE))</f>
        <v>02</v>
      </c>
      <c r="G122" s="1285" t="s">
        <v>842</v>
      </c>
      <c r="H122" s="1284">
        <v>948758</v>
      </c>
      <c r="I122" s="1284">
        <v>0</v>
      </c>
      <c r="J122" s="644">
        <f t="shared" si="6"/>
        <v>948758</v>
      </c>
      <c r="K122" s="1284">
        <v>948758</v>
      </c>
      <c r="L122" s="644">
        <f t="shared" si="7"/>
        <v>0</v>
      </c>
      <c r="M122" s="680">
        <v>0</v>
      </c>
      <c r="N122" s="651">
        <v>0</v>
      </c>
    </row>
    <row r="123" spans="1:14" ht="15.95" customHeight="1" x14ac:dyDescent="0.15">
      <c r="A123" s="1286">
        <v>42705</v>
      </c>
      <c r="B123" s="640" t="str">
        <f t="shared" ca="1" si="4"/>
        <v>07</v>
      </c>
      <c r="C123" s="1285" t="s">
        <v>119</v>
      </c>
      <c r="D123" s="640" t="str">
        <f t="shared" ca="1" si="5"/>
        <v>05</v>
      </c>
      <c r="E123" s="1285" t="s">
        <v>543</v>
      </c>
      <c r="F123" s="641" t="str">
        <f>IF(G123="","",VLOOKUP(G123,リスト!J$2:K$3,2,FALSE))</f>
        <v>01</v>
      </c>
      <c r="G123" s="1285" t="s">
        <v>841</v>
      </c>
      <c r="H123" s="1284">
        <v>965610</v>
      </c>
      <c r="I123" s="1284">
        <v>-200031</v>
      </c>
      <c r="J123" s="644">
        <f t="shared" si="6"/>
        <v>765579</v>
      </c>
      <c r="K123" s="1284">
        <v>765579</v>
      </c>
      <c r="L123" s="644">
        <f t="shared" si="7"/>
        <v>0</v>
      </c>
      <c r="M123" s="680">
        <v>0</v>
      </c>
      <c r="N123" s="651">
        <v>151302</v>
      </c>
    </row>
    <row r="124" spans="1:14" ht="15.95" customHeight="1" x14ac:dyDescent="0.15">
      <c r="A124" s="1286">
        <v>42705</v>
      </c>
      <c r="B124" s="640" t="str">
        <f t="shared" ca="1" si="4"/>
        <v>08</v>
      </c>
      <c r="C124" s="1285" t="s">
        <v>189</v>
      </c>
      <c r="D124" s="640" t="str">
        <f t="shared" ca="1" si="5"/>
        <v>05</v>
      </c>
      <c r="E124" s="1285" t="s">
        <v>543</v>
      </c>
      <c r="F124" s="641" t="str">
        <f>IF(G124="","",VLOOKUP(G124,リスト!J$2:K$3,2,FALSE))</f>
        <v>02</v>
      </c>
      <c r="G124" s="1285" t="s">
        <v>842</v>
      </c>
      <c r="H124" s="1284">
        <v>709019</v>
      </c>
      <c r="I124" s="1284">
        <v>0</v>
      </c>
      <c r="J124" s="644">
        <f t="shared" si="6"/>
        <v>709019</v>
      </c>
      <c r="K124" s="1284">
        <v>709019</v>
      </c>
      <c r="L124" s="644">
        <f t="shared" si="7"/>
        <v>0</v>
      </c>
      <c r="M124" s="680">
        <v>0</v>
      </c>
      <c r="N124" s="651">
        <v>0</v>
      </c>
    </row>
    <row r="125" spans="1:14" ht="15.95" customHeight="1" x14ac:dyDescent="0.15">
      <c r="A125" s="1286">
        <v>42705</v>
      </c>
      <c r="B125" s="640" t="str">
        <f t="shared" ca="1" si="4"/>
        <v>08</v>
      </c>
      <c r="C125" s="1285" t="s">
        <v>189</v>
      </c>
      <c r="D125" s="640" t="str">
        <f t="shared" ca="1" si="5"/>
        <v>05</v>
      </c>
      <c r="E125" s="1285" t="s">
        <v>543</v>
      </c>
      <c r="F125" s="641" t="str">
        <f>IF(G125="","",VLOOKUP(G125,リスト!J$2:K$3,2,FALSE))</f>
        <v>01</v>
      </c>
      <c r="G125" s="1285" t="s">
        <v>841</v>
      </c>
      <c r="H125" s="1284">
        <v>650058</v>
      </c>
      <c r="I125" s="1284">
        <v>0</v>
      </c>
      <c r="J125" s="644">
        <f t="shared" si="6"/>
        <v>650058</v>
      </c>
      <c r="K125" s="1284">
        <v>650058</v>
      </c>
      <c r="L125" s="644">
        <f t="shared" si="7"/>
        <v>0</v>
      </c>
      <c r="M125" s="680">
        <v>0</v>
      </c>
      <c r="N125" s="651">
        <v>0</v>
      </c>
    </row>
    <row r="126" spans="1:14" ht="15.95" customHeight="1" x14ac:dyDescent="0.15">
      <c r="A126" s="1286">
        <v>42705</v>
      </c>
      <c r="B126" s="640" t="str">
        <f t="shared" ca="1" si="4"/>
        <v>10</v>
      </c>
      <c r="C126" s="1285" t="s">
        <v>336</v>
      </c>
      <c r="D126" s="640" t="str">
        <f t="shared" ca="1" si="5"/>
        <v>02</v>
      </c>
      <c r="E126" s="1285" t="s">
        <v>84</v>
      </c>
      <c r="F126" s="641" t="str">
        <f>IF(G126="","",VLOOKUP(G126,リスト!J$2:K$3,2,FALSE))</f>
        <v>02</v>
      </c>
      <c r="G126" s="1285" t="s">
        <v>842</v>
      </c>
      <c r="H126" s="1284">
        <v>0</v>
      </c>
      <c r="I126" s="1284">
        <v>0</v>
      </c>
      <c r="J126" s="644">
        <f t="shared" si="6"/>
        <v>0</v>
      </c>
      <c r="K126" s="1284">
        <v>0</v>
      </c>
      <c r="L126" s="644">
        <f t="shared" si="7"/>
        <v>0</v>
      </c>
      <c r="M126" s="680">
        <v>0</v>
      </c>
      <c r="N126" s="651">
        <v>0</v>
      </c>
    </row>
    <row r="127" spans="1:14" ht="15.95" customHeight="1" x14ac:dyDescent="0.15">
      <c r="A127" s="1286">
        <v>42705</v>
      </c>
      <c r="B127" s="640" t="str">
        <f t="shared" ca="1" si="4"/>
        <v>10</v>
      </c>
      <c r="C127" s="1285" t="s">
        <v>336</v>
      </c>
      <c r="D127" s="640" t="str">
        <f t="shared" ca="1" si="5"/>
        <v>01</v>
      </c>
      <c r="E127" s="1285" t="s">
        <v>83</v>
      </c>
      <c r="F127" s="641" t="str">
        <f>IF(G127="","",VLOOKUP(G127,リスト!J$2:K$3,2,FALSE))</f>
        <v>02</v>
      </c>
      <c r="G127" s="1285" t="s">
        <v>842</v>
      </c>
      <c r="H127" s="1284">
        <v>39181</v>
      </c>
      <c r="I127" s="1284">
        <v>0</v>
      </c>
      <c r="J127" s="644">
        <f t="shared" si="6"/>
        <v>39181</v>
      </c>
      <c r="K127" s="1284">
        <v>39181</v>
      </c>
      <c r="L127" s="644">
        <f t="shared" si="7"/>
        <v>0</v>
      </c>
      <c r="M127" s="680">
        <v>0</v>
      </c>
      <c r="N127" s="651">
        <v>0</v>
      </c>
    </row>
    <row r="128" spans="1:14" ht="15.95" customHeight="1" x14ac:dyDescent="0.15">
      <c r="A128" s="1286">
        <v>42705</v>
      </c>
      <c r="B128" s="640" t="str">
        <f t="shared" ca="1" si="4"/>
        <v>10</v>
      </c>
      <c r="C128" s="1285" t="s">
        <v>336</v>
      </c>
      <c r="D128" s="640" t="str">
        <f t="shared" ca="1" si="5"/>
        <v>02</v>
      </c>
      <c r="E128" s="1285" t="s">
        <v>84</v>
      </c>
      <c r="F128" s="641" t="str">
        <f>IF(G128="","",VLOOKUP(G128,リスト!J$2:K$3,2,FALSE))</f>
        <v>01</v>
      </c>
      <c r="G128" s="1285" t="s">
        <v>841</v>
      </c>
      <c r="H128" s="1284">
        <v>5117</v>
      </c>
      <c r="I128" s="1284">
        <v>0</v>
      </c>
      <c r="J128" s="644">
        <f t="shared" si="6"/>
        <v>5117</v>
      </c>
      <c r="K128" s="1284">
        <v>5117</v>
      </c>
      <c r="L128" s="644">
        <f t="shared" si="7"/>
        <v>0</v>
      </c>
      <c r="M128" s="680">
        <v>0</v>
      </c>
      <c r="N128" s="651">
        <v>0</v>
      </c>
    </row>
    <row r="129" spans="1:14" ht="15.95" customHeight="1" x14ac:dyDescent="0.15">
      <c r="A129" s="1286">
        <v>42705</v>
      </c>
      <c r="B129" s="640" t="str">
        <f t="shared" ca="1" si="4"/>
        <v>10</v>
      </c>
      <c r="C129" s="1285" t="s">
        <v>336</v>
      </c>
      <c r="D129" s="640" t="str">
        <f t="shared" ca="1" si="5"/>
        <v>01</v>
      </c>
      <c r="E129" s="1285" t="s">
        <v>83</v>
      </c>
      <c r="F129" s="641" t="str">
        <f>IF(G129="","",VLOOKUP(G129,リスト!J$2:K$3,2,FALSE))</f>
        <v>01</v>
      </c>
      <c r="G129" s="1285" t="s">
        <v>841</v>
      </c>
      <c r="H129" s="1284">
        <v>1494178</v>
      </c>
      <c r="I129" s="1284">
        <v>-43260</v>
      </c>
      <c r="J129" s="644">
        <f t="shared" si="6"/>
        <v>1450918</v>
      </c>
      <c r="K129" s="1284">
        <v>1450918</v>
      </c>
      <c r="L129" s="644">
        <f t="shared" si="7"/>
        <v>0</v>
      </c>
      <c r="M129" s="680">
        <v>19602</v>
      </c>
      <c r="N129" s="651">
        <v>0</v>
      </c>
    </row>
    <row r="130" spans="1:14" ht="15.95" customHeight="1" x14ac:dyDescent="0.15">
      <c r="A130" s="1286">
        <v>42736</v>
      </c>
      <c r="B130" s="640" t="str">
        <f t="shared" ref="B130:B193" ca="1" si="8">IF(C130="","",VLOOKUP(C130,事業所コード2,2,FALSE))</f>
        <v>00</v>
      </c>
      <c r="C130" s="1285" t="s">
        <v>490</v>
      </c>
      <c r="D130" s="640" t="str">
        <f t="shared" ref="D130:D193" ca="1" si="9">IF(E130="","",VLOOKUP(E130,事業区分コード2,2,FALSE))</f>
        <v>06</v>
      </c>
      <c r="E130" s="1285" t="s">
        <v>585</v>
      </c>
      <c r="F130" s="641" t="str">
        <f>IF(G130="","",VLOOKUP(G130,リスト!J$2:K$3,2,FALSE))</f>
        <v>02</v>
      </c>
      <c r="G130" s="1285" t="s">
        <v>842</v>
      </c>
      <c r="H130" s="1284">
        <v>33378</v>
      </c>
      <c r="I130" s="1284">
        <v>0</v>
      </c>
      <c r="J130" s="644">
        <f t="shared" ref="J130:J193" si="10">IF(A130="","",H130+I130)</f>
        <v>33378</v>
      </c>
      <c r="K130" s="1284">
        <v>33378</v>
      </c>
      <c r="L130" s="644">
        <f t="shared" ref="L130:L193" si="11">IF(A130="","",J130-K130)</f>
        <v>0</v>
      </c>
      <c r="M130" s="680">
        <v>0</v>
      </c>
      <c r="N130" s="651">
        <v>0</v>
      </c>
    </row>
    <row r="131" spans="1:14" ht="15.95" customHeight="1" x14ac:dyDescent="0.15">
      <c r="A131" s="1286">
        <v>42736</v>
      </c>
      <c r="B131" s="640" t="str">
        <f t="shared" ca="1" si="8"/>
        <v>00</v>
      </c>
      <c r="C131" s="1285" t="s">
        <v>490</v>
      </c>
      <c r="D131" s="640" t="str">
        <f t="shared" ca="1" si="9"/>
        <v>06</v>
      </c>
      <c r="E131" s="1285" t="s">
        <v>585</v>
      </c>
      <c r="F131" s="641" t="str">
        <f>IF(G131="","",VLOOKUP(G131,リスト!J$2:K$3,2,FALSE))</f>
        <v>01</v>
      </c>
      <c r="G131" s="1285" t="s">
        <v>841</v>
      </c>
      <c r="H131" s="1284">
        <v>16689</v>
      </c>
      <c r="I131" s="1284">
        <v>0</v>
      </c>
      <c r="J131" s="644">
        <f t="shared" si="10"/>
        <v>16689</v>
      </c>
      <c r="K131" s="1284">
        <v>16689</v>
      </c>
      <c r="L131" s="644">
        <f t="shared" si="11"/>
        <v>0</v>
      </c>
      <c r="M131" s="680">
        <v>0</v>
      </c>
      <c r="N131" s="651">
        <v>0</v>
      </c>
    </row>
    <row r="132" spans="1:14" ht="15.95" customHeight="1" x14ac:dyDescent="0.15">
      <c r="A132" s="1286">
        <v>42736</v>
      </c>
      <c r="B132" s="640" t="str">
        <f t="shared" ca="1" si="8"/>
        <v>01</v>
      </c>
      <c r="C132" s="1285" t="s">
        <v>34</v>
      </c>
      <c r="D132" s="640" t="str">
        <f t="shared" ca="1" si="9"/>
        <v>03</v>
      </c>
      <c r="E132" s="1285" t="s">
        <v>98</v>
      </c>
      <c r="F132" s="641" t="str">
        <f>IF(G132="","",VLOOKUP(G132,リスト!J$2:K$3,2,FALSE))</f>
        <v>02</v>
      </c>
      <c r="G132" s="1285" t="s">
        <v>842</v>
      </c>
      <c r="H132" s="1284">
        <v>0</v>
      </c>
      <c r="I132" s="1284">
        <v>0</v>
      </c>
      <c r="J132" s="644">
        <f t="shared" si="10"/>
        <v>0</v>
      </c>
      <c r="K132" s="1284">
        <v>0</v>
      </c>
      <c r="L132" s="644">
        <f t="shared" si="11"/>
        <v>0</v>
      </c>
      <c r="M132" s="680">
        <v>0</v>
      </c>
      <c r="N132" s="651">
        <v>0</v>
      </c>
    </row>
    <row r="133" spans="1:14" ht="15.95" customHeight="1" x14ac:dyDescent="0.15">
      <c r="A133" s="1286">
        <v>42736</v>
      </c>
      <c r="B133" s="640" t="str">
        <f t="shared" ca="1" si="8"/>
        <v>01</v>
      </c>
      <c r="C133" s="1285" t="s">
        <v>34</v>
      </c>
      <c r="D133" s="640" t="str">
        <f t="shared" ca="1" si="9"/>
        <v>02</v>
      </c>
      <c r="E133" s="1285" t="s">
        <v>84</v>
      </c>
      <c r="F133" s="641" t="str">
        <f>IF(G133="","",VLOOKUP(G133,リスト!J$2:K$3,2,FALSE))</f>
        <v>02</v>
      </c>
      <c r="G133" s="1285" t="s">
        <v>842</v>
      </c>
      <c r="H133" s="1284">
        <v>0</v>
      </c>
      <c r="I133" s="1284">
        <v>0</v>
      </c>
      <c r="J133" s="644">
        <f t="shared" si="10"/>
        <v>0</v>
      </c>
      <c r="K133" s="1284">
        <v>0</v>
      </c>
      <c r="L133" s="644">
        <f t="shared" si="11"/>
        <v>0</v>
      </c>
      <c r="M133" s="680">
        <v>0</v>
      </c>
      <c r="N133" s="651">
        <v>0</v>
      </c>
    </row>
    <row r="134" spans="1:14" ht="15.95" customHeight="1" x14ac:dyDescent="0.15">
      <c r="A134" s="1286">
        <v>42736</v>
      </c>
      <c r="B134" s="640" t="str">
        <f t="shared" ca="1" si="8"/>
        <v>01</v>
      </c>
      <c r="C134" s="1285" t="s">
        <v>34</v>
      </c>
      <c r="D134" s="640" t="str">
        <f t="shared" ca="1" si="9"/>
        <v>01</v>
      </c>
      <c r="E134" s="1285" t="s">
        <v>83</v>
      </c>
      <c r="F134" s="641" t="str">
        <f>IF(G134="","",VLOOKUP(G134,リスト!J$2:K$3,2,FALSE))</f>
        <v>02</v>
      </c>
      <c r="G134" s="1285" t="s">
        <v>842</v>
      </c>
      <c r="H134" s="1284">
        <v>207177</v>
      </c>
      <c r="I134" s="1284">
        <v>-15899</v>
      </c>
      <c r="J134" s="644">
        <f t="shared" si="10"/>
        <v>191278</v>
      </c>
      <c r="K134" s="1284">
        <v>191278</v>
      </c>
      <c r="L134" s="644">
        <f t="shared" si="11"/>
        <v>0</v>
      </c>
      <c r="M134" s="680">
        <v>0</v>
      </c>
      <c r="N134" s="651">
        <v>0</v>
      </c>
    </row>
    <row r="135" spans="1:14" ht="15.95" customHeight="1" x14ac:dyDescent="0.15">
      <c r="A135" s="1286">
        <v>42736</v>
      </c>
      <c r="B135" s="640" t="str">
        <f t="shared" ca="1" si="8"/>
        <v>01</v>
      </c>
      <c r="C135" s="1285" t="s">
        <v>34</v>
      </c>
      <c r="D135" s="640" t="str">
        <f t="shared" ca="1" si="9"/>
        <v>03</v>
      </c>
      <c r="E135" s="1285" t="s">
        <v>98</v>
      </c>
      <c r="F135" s="641" t="str">
        <f>IF(G135="","",VLOOKUP(G135,リスト!J$2:K$3,2,FALSE))</f>
        <v>01</v>
      </c>
      <c r="G135" s="1285" t="s">
        <v>841</v>
      </c>
      <c r="H135" s="1284">
        <v>674885</v>
      </c>
      <c r="I135" s="1284">
        <v>0</v>
      </c>
      <c r="J135" s="644">
        <f t="shared" si="10"/>
        <v>674885</v>
      </c>
      <c r="K135" s="1284">
        <v>674885</v>
      </c>
      <c r="L135" s="644">
        <f t="shared" si="11"/>
        <v>0</v>
      </c>
      <c r="M135" s="680">
        <v>38915</v>
      </c>
      <c r="N135" s="651">
        <v>0</v>
      </c>
    </row>
    <row r="136" spans="1:14" ht="15.95" customHeight="1" x14ac:dyDescent="0.15">
      <c r="A136" s="1286">
        <v>42736</v>
      </c>
      <c r="B136" s="640" t="str">
        <f t="shared" ca="1" si="8"/>
        <v>01</v>
      </c>
      <c r="C136" s="1285" t="s">
        <v>34</v>
      </c>
      <c r="D136" s="640" t="str">
        <f t="shared" ca="1" si="9"/>
        <v>02</v>
      </c>
      <c r="E136" s="1285" t="s">
        <v>84</v>
      </c>
      <c r="F136" s="641" t="str">
        <f>IF(G136="","",VLOOKUP(G136,リスト!J$2:K$3,2,FALSE))</f>
        <v>01</v>
      </c>
      <c r="G136" s="1285" t="s">
        <v>841</v>
      </c>
      <c r="H136" s="1284">
        <v>1646369</v>
      </c>
      <c r="I136" s="1284">
        <v>0</v>
      </c>
      <c r="J136" s="644">
        <f t="shared" si="10"/>
        <v>1646369</v>
      </c>
      <c r="K136" s="1284">
        <v>1646369</v>
      </c>
      <c r="L136" s="644">
        <f t="shared" si="11"/>
        <v>0</v>
      </c>
      <c r="M136" s="680">
        <v>0</v>
      </c>
      <c r="N136" s="651">
        <v>277036</v>
      </c>
    </row>
    <row r="137" spans="1:14" ht="15.95" customHeight="1" x14ac:dyDescent="0.15">
      <c r="A137" s="1286">
        <v>42736</v>
      </c>
      <c r="B137" s="640" t="str">
        <f t="shared" ca="1" si="8"/>
        <v>01</v>
      </c>
      <c r="C137" s="1285" t="s">
        <v>34</v>
      </c>
      <c r="D137" s="640" t="str">
        <f t="shared" ca="1" si="9"/>
        <v>01</v>
      </c>
      <c r="E137" s="1285" t="s">
        <v>83</v>
      </c>
      <c r="F137" s="641" t="str">
        <f>IF(G137="","",VLOOKUP(G137,リスト!J$2:K$3,2,FALSE))</f>
        <v>01</v>
      </c>
      <c r="G137" s="1285" t="s">
        <v>841</v>
      </c>
      <c r="H137" s="1284">
        <v>6240804</v>
      </c>
      <c r="I137" s="1284">
        <v>-11085</v>
      </c>
      <c r="J137" s="644">
        <f t="shared" si="10"/>
        <v>6229719</v>
      </c>
      <c r="K137" s="1284">
        <v>6229719</v>
      </c>
      <c r="L137" s="644">
        <f t="shared" si="11"/>
        <v>0</v>
      </c>
      <c r="M137" s="680">
        <v>213250</v>
      </c>
      <c r="N137" s="651">
        <v>815137</v>
      </c>
    </row>
    <row r="138" spans="1:14" ht="15.95" customHeight="1" x14ac:dyDescent="0.15">
      <c r="A138" s="1286">
        <v>42736</v>
      </c>
      <c r="B138" s="640" t="str">
        <f t="shared" ca="1" si="8"/>
        <v>02</v>
      </c>
      <c r="C138" s="1285" t="s">
        <v>37</v>
      </c>
      <c r="D138" s="640" t="str">
        <f t="shared" ca="1" si="9"/>
        <v>03</v>
      </c>
      <c r="E138" s="1285" t="s">
        <v>98</v>
      </c>
      <c r="F138" s="641" t="str">
        <f>IF(G138="","",VLOOKUP(G138,リスト!J$2:K$3,2,FALSE))</f>
        <v>02</v>
      </c>
      <c r="G138" s="1285" t="s">
        <v>842</v>
      </c>
      <c r="H138" s="1284">
        <v>0</v>
      </c>
      <c r="I138" s="1284">
        <v>0</v>
      </c>
      <c r="J138" s="644">
        <f t="shared" si="10"/>
        <v>0</v>
      </c>
      <c r="K138" s="1284">
        <v>0</v>
      </c>
      <c r="L138" s="644">
        <f t="shared" si="11"/>
        <v>0</v>
      </c>
      <c r="M138" s="680">
        <v>0</v>
      </c>
      <c r="N138" s="651">
        <v>0</v>
      </c>
    </row>
    <row r="139" spans="1:14" ht="15.95" customHeight="1" x14ac:dyDescent="0.15">
      <c r="A139" s="1286">
        <v>42736</v>
      </c>
      <c r="B139" s="640" t="str">
        <f t="shared" ca="1" si="8"/>
        <v>02</v>
      </c>
      <c r="C139" s="1285" t="s">
        <v>37</v>
      </c>
      <c r="D139" s="640" t="str">
        <f t="shared" ca="1" si="9"/>
        <v>02</v>
      </c>
      <c r="E139" s="1285" t="s">
        <v>84</v>
      </c>
      <c r="F139" s="641" t="str">
        <f>IF(G139="","",VLOOKUP(G139,リスト!J$2:K$3,2,FALSE))</f>
        <v>02</v>
      </c>
      <c r="G139" s="1285" t="s">
        <v>842</v>
      </c>
      <c r="H139" s="1284">
        <v>0</v>
      </c>
      <c r="I139" s="1284">
        <v>0</v>
      </c>
      <c r="J139" s="644">
        <f t="shared" si="10"/>
        <v>0</v>
      </c>
      <c r="K139" s="1284">
        <v>0</v>
      </c>
      <c r="L139" s="644">
        <f t="shared" si="11"/>
        <v>0</v>
      </c>
      <c r="M139" s="680">
        <v>0</v>
      </c>
      <c r="N139" s="651">
        <v>0</v>
      </c>
    </row>
    <row r="140" spans="1:14" ht="15.95" customHeight="1" x14ac:dyDescent="0.15">
      <c r="A140" s="1286">
        <v>42736</v>
      </c>
      <c r="B140" s="640" t="str">
        <f t="shared" ca="1" si="8"/>
        <v>02</v>
      </c>
      <c r="C140" s="1285" t="s">
        <v>37</v>
      </c>
      <c r="D140" s="640" t="str">
        <f t="shared" ca="1" si="9"/>
        <v>01</v>
      </c>
      <c r="E140" s="1285" t="s">
        <v>83</v>
      </c>
      <c r="F140" s="641" t="str">
        <f>IF(G140="","",VLOOKUP(G140,リスト!J$2:K$3,2,FALSE))</f>
        <v>02</v>
      </c>
      <c r="G140" s="1285" t="s">
        <v>842</v>
      </c>
      <c r="H140" s="1284">
        <v>83878</v>
      </c>
      <c r="I140" s="1284">
        <v>-28022</v>
      </c>
      <c r="J140" s="644">
        <f t="shared" si="10"/>
        <v>55856</v>
      </c>
      <c r="K140" s="1284">
        <v>55856</v>
      </c>
      <c r="L140" s="644">
        <f t="shared" si="11"/>
        <v>0</v>
      </c>
      <c r="M140" s="680">
        <v>0</v>
      </c>
      <c r="N140" s="651">
        <v>0</v>
      </c>
    </row>
    <row r="141" spans="1:14" ht="15.95" customHeight="1" x14ac:dyDescent="0.15">
      <c r="A141" s="1286">
        <v>42736</v>
      </c>
      <c r="B141" s="640" t="str">
        <f t="shared" ca="1" si="8"/>
        <v>02</v>
      </c>
      <c r="C141" s="1285" t="s">
        <v>37</v>
      </c>
      <c r="D141" s="640" t="str">
        <f t="shared" ca="1" si="9"/>
        <v>03</v>
      </c>
      <c r="E141" s="1285" t="s">
        <v>98</v>
      </c>
      <c r="F141" s="641" t="str">
        <f>IF(G141="","",VLOOKUP(G141,リスト!J$2:K$3,2,FALSE))</f>
        <v>01</v>
      </c>
      <c r="G141" s="1285" t="s">
        <v>841</v>
      </c>
      <c r="H141" s="1284">
        <v>359083</v>
      </c>
      <c r="I141" s="1284">
        <v>0</v>
      </c>
      <c r="J141" s="644">
        <f t="shared" si="10"/>
        <v>359083</v>
      </c>
      <c r="K141" s="1284">
        <v>359083</v>
      </c>
      <c r="L141" s="644">
        <f t="shared" si="11"/>
        <v>0</v>
      </c>
      <c r="M141" s="680">
        <v>0</v>
      </c>
      <c r="N141" s="651">
        <v>0</v>
      </c>
    </row>
    <row r="142" spans="1:14" ht="15.95" customHeight="1" x14ac:dyDescent="0.15">
      <c r="A142" s="1286">
        <v>42736</v>
      </c>
      <c r="B142" s="640" t="str">
        <f t="shared" ca="1" si="8"/>
        <v>02</v>
      </c>
      <c r="C142" s="1285" t="s">
        <v>37</v>
      </c>
      <c r="D142" s="640" t="str">
        <f t="shared" ca="1" si="9"/>
        <v>02</v>
      </c>
      <c r="E142" s="1285" t="s">
        <v>84</v>
      </c>
      <c r="F142" s="641" t="str">
        <f>IF(G142="","",VLOOKUP(G142,リスト!J$2:K$3,2,FALSE))</f>
        <v>01</v>
      </c>
      <c r="G142" s="1285" t="s">
        <v>841</v>
      </c>
      <c r="H142" s="1284">
        <v>361265</v>
      </c>
      <c r="I142" s="1284">
        <v>0</v>
      </c>
      <c r="J142" s="644">
        <f t="shared" si="10"/>
        <v>361265</v>
      </c>
      <c r="K142" s="1284">
        <v>361265</v>
      </c>
      <c r="L142" s="644">
        <f t="shared" si="11"/>
        <v>0</v>
      </c>
      <c r="M142" s="680">
        <v>0</v>
      </c>
      <c r="N142" s="651">
        <v>65389</v>
      </c>
    </row>
    <row r="143" spans="1:14" ht="15.95" customHeight="1" x14ac:dyDescent="0.15">
      <c r="A143" s="1286">
        <v>42736</v>
      </c>
      <c r="B143" s="640" t="str">
        <f t="shared" ca="1" si="8"/>
        <v>02</v>
      </c>
      <c r="C143" s="1285" t="s">
        <v>37</v>
      </c>
      <c r="D143" s="640" t="str">
        <f t="shared" ca="1" si="9"/>
        <v>01</v>
      </c>
      <c r="E143" s="1285" t="s">
        <v>83</v>
      </c>
      <c r="F143" s="641" t="str">
        <f>IF(G143="","",VLOOKUP(G143,リスト!J$2:K$3,2,FALSE))</f>
        <v>01</v>
      </c>
      <c r="G143" s="1285" t="s">
        <v>841</v>
      </c>
      <c r="H143" s="1284">
        <v>3899636</v>
      </c>
      <c r="I143" s="1284">
        <v>-21602</v>
      </c>
      <c r="J143" s="644">
        <f t="shared" si="10"/>
        <v>3878034</v>
      </c>
      <c r="K143" s="1284">
        <v>3878034</v>
      </c>
      <c r="L143" s="644">
        <f t="shared" si="11"/>
        <v>0</v>
      </c>
      <c r="M143" s="680">
        <v>0</v>
      </c>
      <c r="N143" s="651">
        <v>311423</v>
      </c>
    </row>
    <row r="144" spans="1:14" ht="15.95" customHeight="1" x14ac:dyDescent="0.15">
      <c r="A144" s="1286">
        <v>42736</v>
      </c>
      <c r="B144" s="640" t="str">
        <f t="shared" ca="1" si="8"/>
        <v>03</v>
      </c>
      <c r="C144" s="1285" t="s">
        <v>66</v>
      </c>
      <c r="D144" s="640" t="str">
        <f t="shared" ca="1" si="9"/>
        <v>02</v>
      </c>
      <c r="E144" s="1285" t="s">
        <v>84</v>
      </c>
      <c r="F144" s="641" t="str">
        <f>IF(G144="","",VLOOKUP(G144,リスト!J$2:K$3,2,FALSE))</f>
        <v>02</v>
      </c>
      <c r="G144" s="1285" t="s">
        <v>842</v>
      </c>
      <c r="H144" s="1284">
        <v>78587</v>
      </c>
      <c r="I144" s="1284">
        <v>0</v>
      </c>
      <c r="J144" s="644">
        <f t="shared" si="10"/>
        <v>78587</v>
      </c>
      <c r="K144" s="1284">
        <v>78587</v>
      </c>
      <c r="L144" s="644">
        <f t="shared" si="11"/>
        <v>0</v>
      </c>
      <c r="M144" s="680">
        <v>0</v>
      </c>
      <c r="N144" s="651">
        <v>0</v>
      </c>
    </row>
    <row r="145" spans="1:14" ht="15.95" customHeight="1" x14ac:dyDescent="0.15">
      <c r="A145" s="1286">
        <v>42736</v>
      </c>
      <c r="B145" s="640" t="str">
        <f t="shared" ca="1" si="8"/>
        <v>03</v>
      </c>
      <c r="C145" s="1285" t="s">
        <v>66</v>
      </c>
      <c r="D145" s="640" t="str">
        <f t="shared" ca="1" si="9"/>
        <v>01</v>
      </c>
      <c r="E145" s="1285" t="s">
        <v>83</v>
      </c>
      <c r="F145" s="641" t="str">
        <f>IF(G145="","",VLOOKUP(G145,リスト!J$2:K$3,2,FALSE))</f>
        <v>02</v>
      </c>
      <c r="G145" s="1285" t="s">
        <v>842</v>
      </c>
      <c r="H145" s="1284">
        <v>42818</v>
      </c>
      <c r="I145" s="1284">
        <v>5116</v>
      </c>
      <c r="J145" s="644">
        <f t="shared" si="10"/>
        <v>47934</v>
      </c>
      <c r="K145" s="1284">
        <v>47934</v>
      </c>
      <c r="L145" s="644">
        <f t="shared" si="11"/>
        <v>0</v>
      </c>
      <c r="M145" s="680">
        <v>0</v>
      </c>
      <c r="N145" s="651">
        <v>0</v>
      </c>
    </row>
    <row r="146" spans="1:14" ht="15.95" customHeight="1" x14ac:dyDescent="0.15">
      <c r="A146" s="1286">
        <v>42736</v>
      </c>
      <c r="B146" s="640" t="str">
        <f t="shared" ca="1" si="8"/>
        <v>03</v>
      </c>
      <c r="C146" s="1285" t="s">
        <v>66</v>
      </c>
      <c r="D146" s="640" t="str">
        <f t="shared" ca="1" si="9"/>
        <v>02</v>
      </c>
      <c r="E146" s="1285" t="s">
        <v>84</v>
      </c>
      <c r="F146" s="641" t="str">
        <f>IF(G146="","",VLOOKUP(G146,リスト!J$2:K$3,2,FALSE))</f>
        <v>01</v>
      </c>
      <c r="G146" s="1285" t="s">
        <v>841</v>
      </c>
      <c r="H146" s="1284">
        <v>1184413</v>
      </c>
      <c r="I146" s="1284">
        <v>-12232</v>
      </c>
      <c r="J146" s="644">
        <f t="shared" si="10"/>
        <v>1172181</v>
      </c>
      <c r="K146" s="1284">
        <v>1172181</v>
      </c>
      <c r="L146" s="644">
        <f t="shared" si="11"/>
        <v>0</v>
      </c>
      <c r="M146" s="680">
        <v>0</v>
      </c>
      <c r="N146" s="651">
        <v>224199</v>
      </c>
    </row>
    <row r="147" spans="1:14" ht="15.95" customHeight="1" x14ac:dyDescent="0.15">
      <c r="A147" s="1286">
        <v>42736</v>
      </c>
      <c r="B147" s="640" t="str">
        <f t="shared" ca="1" si="8"/>
        <v>03</v>
      </c>
      <c r="C147" s="1285" t="s">
        <v>66</v>
      </c>
      <c r="D147" s="640" t="str">
        <f t="shared" ca="1" si="9"/>
        <v>01</v>
      </c>
      <c r="E147" s="1285" t="s">
        <v>83</v>
      </c>
      <c r="F147" s="641" t="str">
        <f>IF(G147="","",VLOOKUP(G147,リスト!J$2:K$3,2,FALSE))</f>
        <v>01</v>
      </c>
      <c r="G147" s="1285" t="s">
        <v>841</v>
      </c>
      <c r="H147" s="1284">
        <v>2934723</v>
      </c>
      <c r="I147" s="1284">
        <v>-235574</v>
      </c>
      <c r="J147" s="644">
        <f t="shared" si="10"/>
        <v>2699149</v>
      </c>
      <c r="K147" s="1284">
        <v>2699149</v>
      </c>
      <c r="L147" s="644">
        <f t="shared" si="11"/>
        <v>0</v>
      </c>
      <c r="M147" s="680">
        <v>98674</v>
      </c>
      <c r="N147" s="651">
        <v>217059</v>
      </c>
    </row>
    <row r="148" spans="1:14" ht="15.95" customHeight="1" x14ac:dyDescent="0.15">
      <c r="A148" s="1286">
        <v>42736</v>
      </c>
      <c r="B148" s="640" t="str">
        <f t="shared" ca="1" si="8"/>
        <v>04</v>
      </c>
      <c r="C148" s="1285" t="s">
        <v>358</v>
      </c>
      <c r="D148" s="640" t="str">
        <f t="shared" ca="1" si="9"/>
        <v>04</v>
      </c>
      <c r="E148" s="1285" t="s">
        <v>542</v>
      </c>
      <c r="F148" s="641" t="str">
        <f>IF(G148="","",VLOOKUP(G148,リスト!J$2:K$3,2,FALSE))</f>
        <v>02</v>
      </c>
      <c r="G148" s="1285" t="s">
        <v>842</v>
      </c>
      <c r="H148" s="1284">
        <v>0</v>
      </c>
      <c r="I148" s="1284">
        <v>0</v>
      </c>
      <c r="J148" s="644">
        <f t="shared" si="10"/>
        <v>0</v>
      </c>
      <c r="K148" s="1284">
        <v>0</v>
      </c>
      <c r="L148" s="644">
        <f t="shared" si="11"/>
        <v>0</v>
      </c>
      <c r="M148" s="680">
        <v>0</v>
      </c>
      <c r="N148" s="651">
        <v>0</v>
      </c>
    </row>
    <row r="149" spans="1:14" ht="15.95" customHeight="1" x14ac:dyDescent="0.15">
      <c r="A149" s="1286">
        <v>42736</v>
      </c>
      <c r="B149" s="640" t="str">
        <f t="shared" ca="1" si="8"/>
        <v>04</v>
      </c>
      <c r="C149" s="1285" t="s">
        <v>358</v>
      </c>
      <c r="D149" s="640" t="str">
        <f t="shared" ca="1" si="9"/>
        <v>04</v>
      </c>
      <c r="E149" s="1285" t="s">
        <v>542</v>
      </c>
      <c r="F149" s="641" t="str">
        <f>IF(G149="","",VLOOKUP(G149,リスト!J$2:K$3,2,FALSE))</f>
        <v>01</v>
      </c>
      <c r="G149" s="1285" t="s">
        <v>841</v>
      </c>
      <c r="H149" s="1284">
        <v>2308205</v>
      </c>
      <c r="I149" s="1284">
        <v>0</v>
      </c>
      <c r="J149" s="644">
        <f t="shared" si="10"/>
        <v>2308205</v>
      </c>
      <c r="K149" s="1284">
        <v>2308205</v>
      </c>
      <c r="L149" s="644">
        <f t="shared" si="11"/>
        <v>0</v>
      </c>
      <c r="M149" s="680">
        <v>65592</v>
      </c>
      <c r="N149" s="651">
        <v>88738</v>
      </c>
    </row>
    <row r="150" spans="1:14" ht="15.95" customHeight="1" x14ac:dyDescent="0.15">
      <c r="A150" s="1286">
        <v>42736</v>
      </c>
      <c r="B150" s="640" t="str">
        <f t="shared" ca="1" si="8"/>
        <v>05</v>
      </c>
      <c r="C150" s="1285" t="s">
        <v>38</v>
      </c>
      <c r="D150" s="640" t="str">
        <f t="shared" ca="1" si="9"/>
        <v>01</v>
      </c>
      <c r="E150" s="1285" t="s">
        <v>83</v>
      </c>
      <c r="F150" s="641" t="str">
        <f>IF(G150="","",VLOOKUP(G150,リスト!J$2:K$3,2,FALSE))</f>
        <v>02</v>
      </c>
      <c r="G150" s="1285" t="s">
        <v>842</v>
      </c>
      <c r="H150" s="1284">
        <v>0</v>
      </c>
      <c r="I150" s="1284">
        <v>0</v>
      </c>
      <c r="J150" s="644">
        <f t="shared" si="10"/>
        <v>0</v>
      </c>
      <c r="K150" s="1284">
        <v>0</v>
      </c>
      <c r="L150" s="644">
        <f t="shared" si="11"/>
        <v>0</v>
      </c>
      <c r="M150" s="680">
        <v>0</v>
      </c>
      <c r="N150" s="651">
        <v>0</v>
      </c>
    </row>
    <row r="151" spans="1:14" ht="15.95" customHeight="1" x14ac:dyDescent="0.15">
      <c r="A151" s="1286">
        <v>42736</v>
      </c>
      <c r="B151" s="640" t="str">
        <f t="shared" ca="1" si="8"/>
        <v>05</v>
      </c>
      <c r="C151" s="1285" t="s">
        <v>38</v>
      </c>
      <c r="D151" s="640" t="str">
        <f t="shared" ca="1" si="9"/>
        <v>01</v>
      </c>
      <c r="E151" s="1285" t="s">
        <v>83</v>
      </c>
      <c r="F151" s="641" t="str">
        <f>IF(G151="","",VLOOKUP(G151,リスト!J$2:K$3,2,FALSE))</f>
        <v>01</v>
      </c>
      <c r="G151" s="1285" t="s">
        <v>841</v>
      </c>
      <c r="H151" s="1284">
        <v>2053904</v>
      </c>
      <c r="I151" s="1284">
        <v>0</v>
      </c>
      <c r="J151" s="644">
        <f t="shared" si="10"/>
        <v>2053904</v>
      </c>
      <c r="K151" s="1284">
        <v>2053904</v>
      </c>
      <c r="L151" s="644">
        <f t="shared" si="11"/>
        <v>0</v>
      </c>
      <c r="M151" s="680">
        <v>75295</v>
      </c>
      <c r="N151" s="651">
        <v>0</v>
      </c>
    </row>
    <row r="152" spans="1:14" ht="15.95" customHeight="1" x14ac:dyDescent="0.15">
      <c r="A152" s="1286">
        <v>42736</v>
      </c>
      <c r="B152" s="640" t="str">
        <f t="shared" ca="1" si="8"/>
        <v>06</v>
      </c>
      <c r="C152" s="1285" t="s">
        <v>57</v>
      </c>
      <c r="D152" s="640" t="str">
        <f t="shared" ca="1" si="9"/>
        <v>01</v>
      </c>
      <c r="E152" s="1285" t="s">
        <v>83</v>
      </c>
      <c r="F152" s="641" t="str">
        <f>IF(G152="","",VLOOKUP(G152,リスト!J$2:K$3,2,FALSE))</f>
        <v>02</v>
      </c>
      <c r="G152" s="1285" t="s">
        <v>842</v>
      </c>
      <c r="H152" s="1284">
        <v>0</v>
      </c>
      <c r="I152" s="1284">
        <v>0</v>
      </c>
      <c r="J152" s="644">
        <f t="shared" si="10"/>
        <v>0</v>
      </c>
      <c r="K152" s="1284">
        <v>0</v>
      </c>
      <c r="L152" s="644">
        <f t="shared" si="11"/>
        <v>0</v>
      </c>
      <c r="M152" s="680">
        <v>0</v>
      </c>
      <c r="N152" s="651">
        <v>0</v>
      </c>
    </row>
    <row r="153" spans="1:14" ht="15.95" customHeight="1" x14ac:dyDescent="0.15">
      <c r="A153" s="1286">
        <v>42736</v>
      </c>
      <c r="B153" s="640" t="str">
        <f t="shared" ca="1" si="8"/>
        <v>06</v>
      </c>
      <c r="C153" s="1285" t="s">
        <v>57</v>
      </c>
      <c r="D153" s="640" t="str">
        <f t="shared" ca="1" si="9"/>
        <v>01</v>
      </c>
      <c r="E153" s="1285" t="s">
        <v>83</v>
      </c>
      <c r="F153" s="641" t="str">
        <f>IF(G153="","",VLOOKUP(G153,リスト!J$2:K$3,2,FALSE))</f>
        <v>01</v>
      </c>
      <c r="G153" s="1285" t="s">
        <v>841</v>
      </c>
      <c r="H153" s="1284">
        <v>672023</v>
      </c>
      <c r="I153" s="1284">
        <v>0</v>
      </c>
      <c r="J153" s="644">
        <f t="shared" si="10"/>
        <v>672023</v>
      </c>
      <c r="K153" s="1284">
        <v>672023</v>
      </c>
      <c r="L153" s="644">
        <f t="shared" si="11"/>
        <v>0</v>
      </c>
      <c r="M153" s="680">
        <v>0</v>
      </c>
      <c r="N153" s="651">
        <v>0</v>
      </c>
    </row>
    <row r="154" spans="1:14" ht="15.95" customHeight="1" x14ac:dyDescent="0.15">
      <c r="A154" s="1286">
        <v>42736</v>
      </c>
      <c r="B154" s="640" t="str">
        <f t="shared" ca="1" si="8"/>
        <v>07</v>
      </c>
      <c r="C154" s="1285" t="s">
        <v>119</v>
      </c>
      <c r="D154" s="640" t="str">
        <f t="shared" ca="1" si="9"/>
        <v>05</v>
      </c>
      <c r="E154" s="1285" t="s">
        <v>543</v>
      </c>
      <c r="F154" s="641" t="str">
        <f>IF(G154="","",VLOOKUP(G154,リスト!J$2:K$3,2,FALSE))</f>
        <v>02</v>
      </c>
      <c r="G154" s="1285" t="s">
        <v>842</v>
      </c>
      <c r="H154" s="1284">
        <v>212356</v>
      </c>
      <c r="I154" s="1284">
        <v>0</v>
      </c>
      <c r="J154" s="644">
        <f t="shared" si="10"/>
        <v>212356</v>
      </c>
      <c r="K154" s="1284">
        <v>212356</v>
      </c>
      <c r="L154" s="644">
        <f t="shared" si="11"/>
        <v>0</v>
      </c>
      <c r="M154" s="680">
        <v>0</v>
      </c>
      <c r="N154" s="651">
        <v>0</v>
      </c>
    </row>
    <row r="155" spans="1:14" ht="15.95" customHeight="1" x14ac:dyDescent="0.15">
      <c r="A155" s="1286">
        <v>42736</v>
      </c>
      <c r="B155" s="640" t="str">
        <f t="shared" ca="1" si="8"/>
        <v>07</v>
      </c>
      <c r="C155" s="1285" t="s">
        <v>119</v>
      </c>
      <c r="D155" s="640" t="str">
        <f t="shared" ca="1" si="9"/>
        <v>05</v>
      </c>
      <c r="E155" s="1285" t="s">
        <v>543</v>
      </c>
      <c r="F155" s="641" t="str">
        <f>IF(G155="","",VLOOKUP(G155,リスト!J$2:K$3,2,FALSE))</f>
        <v>01</v>
      </c>
      <c r="G155" s="1285" t="s">
        <v>841</v>
      </c>
      <c r="H155" s="1284">
        <v>991308</v>
      </c>
      <c r="I155" s="1284">
        <v>0</v>
      </c>
      <c r="J155" s="644">
        <f t="shared" si="10"/>
        <v>991308</v>
      </c>
      <c r="K155" s="1284">
        <v>991308</v>
      </c>
      <c r="L155" s="644">
        <f t="shared" si="11"/>
        <v>0</v>
      </c>
      <c r="M155" s="680">
        <v>0</v>
      </c>
      <c r="N155" s="651">
        <v>84778</v>
      </c>
    </row>
    <row r="156" spans="1:14" ht="15.95" customHeight="1" x14ac:dyDescent="0.15">
      <c r="A156" s="1286">
        <v>42736</v>
      </c>
      <c r="B156" s="640" t="str">
        <f t="shared" ca="1" si="8"/>
        <v>08</v>
      </c>
      <c r="C156" s="1285" t="s">
        <v>189</v>
      </c>
      <c r="D156" s="640" t="str">
        <f t="shared" ca="1" si="9"/>
        <v>05</v>
      </c>
      <c r="E156" s="1285" t="s">
        <v>543</v>
      </c>
      <c r="F156" s="641" t="str">
        <f>IF(G156="","",VLOOKUP(G156,リスト!J$2:K$3,2,FALSE))</f>
        <v>02</v>
      </c>
      <c r="G156" s="1285" t="s">
        <v>842</v>
      </c>
      <c r="H156" s="1284">
        <v>16193</v>
      </c>
      <c r="I156" s="1284">
        <v>0</v>
      </c>
      <c r="J156" s="644">
        <f t="shared" si="10"/>
        <v>16193</v>
      </c>
      <c r="K156" s="1284">
        <v>16193</v>
      </c>
      <c r="L156" s="644">
        <f t="shared" si="11"/>
        <v>0</v>
      </c>
      <c r="M156" s="680">
        <v>0</v>
      </c>
      <c r="N156" s="651">
        <v>0</v>
      </c>
    </row>
    <row r="157" spans="1:14" ht="15.95" customHeight="1" x14ac:dyDescent="0.15">
      <c r="A157" s="1286">
        <v>42736</v>
      </c>
      <c r="B157" s="640" t="str">
        <f t="shared" ca="1" si="8"/>
        <v>08</v>
      </c>
      <c r="C157" s="1285" t="s">
        <v>189</v>
      </c>
      <c r="D157" s="640" t="str">
        <f t="shared" ca="1" si="9"/>
        <v>05</v>
      </c>
      <c r="E157" s="1285" t="s">
        <v>543</v>
      </c>
      <c r="F157" s="641" t="str">
        <f>IF(G157="","",VLOOKUP(G157,リスト!J$2:K$3,2,FALSE))</f>
        <v>01</v>
      </c>
      <c r="G157" s="1285" t="s">
        <v>841</v>
      </c>
      <c r="H157" s="1284">
        <v>505339</v>
      </c>
      <c r="I157" s="1284">
        <v>0</v>
      </c>
      <c r="J157" s="644">
        <f t="shared" si="10"/>
        <v>505339</v>
      </c>
      <c r="K157" s="1284">
        <v>505339</v>
      </c>
      <c r="L157" s="644">
        <f t="shared" si="11"/>
        <v>0</v>
      </c>
      <c r="M157" s="680">
        <v>0</v>
      </c>
      <c r="N157" s="651">
        <v>0</v>
      </c>
    </row>
    <row r="158" spans="1:14" ht="15.95" customHeight="1" x14ac:dyDescent="0.15">
      <c r="A158" s="1286">
        <v>42736</v>
      </c>
      <c r="B158" s="640" t="str">
        <f t="shared" ca="1" si="8"/>
        <v>10</v>
      </c>
      <c r="C158" s="1285" t="s">
        <v>336</v>
      </c>
      <c r="D158" s="640" t="str">
        <f t="shared" ca="1" si="9"/>
        <v>02</v>
      </c>
      <c r="E158" s="1285" t="s">
        <v>84</v>
      </c>
      <c r="F158" s="641" t="str">
        <f>IF(G158="","",VLOOKUP(G158,リスト!J$2:K$3,2,FALSE))</f>
        <v>02</v>
      </c>
      <c r="G158" s="1285" t="s">
        <v>842</v>
      </c>
      <c r="H158" s="1284">
        <v>0</v>
      </c>
      <c r="I158" s="1284">
        <v>0</v>
      </c>
      <c r="J158" s="644">
        <f t="shared" si="10"/>
        <v>0</v>
      </c>
      <c r="K158" s="1284">
        <v>0</v>
      </c>
      <c r="L158" s="644">
        <f t="shared" si="11"/>
        <v>0</v>
      </c>
      <c r="M158" s="680">
        <v>0</v>
      </c>
      <c r="N158" s="651">
        <v>0</v>
      </c>
    </row>
    <row r="159" spans="1:14" ht="15.95" customHeight="1" x14ac:dyDescent="0.15">
      <c r="A159" s="1286">
        <v>42736</v>
      </c>
      <c r="B159" s="640" t="str">
        <f t="shared" ca="1" si="8"/>
        <v>10</v>
      </c>
      <c r="C159" s="1285" t="s">
        <v>336</v>
      </c>
      <c r="D159" s="640" t="str">
        <f t="shared" ca="1" si="9"/>
        <v>01</v>
      </c>
      <c r="E159" s="1285" t="s">
        <v>83</v>
      </c>
      <c r="F159" s="641" t="str">
        <f>IF(G159="","",VLOOKUP(G159,リスト!J$2:K$3,2,FALSE))</f>
        <v>02</v>
      </c>
      <c r="G159" s="1285" t="s">
        <v>842</v>
      </c>
      <c r="H159" s="1284">
        <v>-29236</v>
      </c>
      <c r="I159" s="1284">
        <v>41367</v>
      </c>
      <c r="J159" s="644">
        <f t="shared" si="10"/>
        <v>12131</v>
      </c>
      <c r="K159" s="1284">
        <v>12131</v>
      </c>
      <c r="L159" s="644">
        <f t="shared" si="11"/>
        <v>0</v>
      </c>
      <c r="M159" s="680">
        <v>0</v>
      </c>
      <c r="N159" s="651">
        <v>0</v>
      </c>
    </row>
    <row r="160" spans="1:14" ht="15.95" customHeight="1" x14ac:dyDescent="0.15">
      <c r="A160" s="1286">
        <v>42736</v>
      </c>
      <c r="B160" s="640" t="str">
        <f t="shared" ca="1" si="8"/>
        <v>10</v>
      </c>
      <c r="C160" s="1285" t="s">
        <v>336</v>
      </c>
      <c r="D160" s="640" t="str">
        <f t="shared" ca="1" si="9"/>
        <v>02</v>
      </c>
      <c r="E160" s="1285" t="s">
        <v>84</v>
      </c>
      <c r="F160" s="641" t="str">
        <f>IF(G160="","",VLOOKUP(G160,リスト!J$2:K$3,2,FALSE))</f>
        <v>01</v>
      </c>
      <c r="G160" s="1285" t="s">
        <v>841</v>
      </c>
      <c r="H160" s="1284">
        <v>8422</v>
      </c>
      <c r="I160" s="1284">
        <v>0</v>
      </c>
      <c r="J160" s="644">
        <f t="shared" si="10"/>
        <v>8422</v>
      </c>
      <c r="K160" s="1284">
        <v>8422</v>
      </c>
      <c r="L160" s="644">
        <f t="shared" si="11"/>
        <v>0</v>
      </c>
      <c r="M160" s="680">
        <v>0</v>
      </c>
      <c r="N160" s="651">
        <v>0</v>
      </c>
    </row>
    <row r="161" spans="1:14" ht="15.95" customHeight="1" x14ac:dyDescent="0.15">
      <c r="A161" s="1286">
        <v>42736</v>
      </c>
      <c r="B161" s="640" t="str">
        <f t="shared" ca="1" si="8"/>
        <v>10</v>
      </c>
      <c r="C161" s="1285" t="s">
        <v>336</v>
      </c>
      <c r="D161" s="640" t="str">
        <f t="shared" ca="1" si="9"/>
        <v>01</v>
      </c>
      <c r="E161" s="1285" t="s">
        <v>83</v>
      </c>
      <c r="F161" s="641" t="str">
        <f>IF(G161="","",VLOOKUP(G161,リスト!J$2:K$3,2,FALSE))</f>
        <v>01</v>
      </c>
      <c r="G161" s="1285" t="s">
        <v>841</v>
      </c>
      <c r="H161" s="1284">
        <v>1194569</v>
      </c>
      <c r="I161" s="1284">
        <v>-2482</v>
      </c>
      <c r="J161" s="644">
        <f t="shared" si="10"/>
        <v>1192087</v>
      </c>
      <c r="K161" s="1284">
        <v>1192087</v>
      </c>
      <c r="L161" s="644">
        <f t="shared" si="11"/>
        <v>0</v>
      </c>
      <c r="M161" s="680">
        <v>73357</v>
      </c>
      <c r="N161" s="651">
        <v>0</v>
      </c>
    </row>
    <row r="162" spans="1:14" ht="15.95" customHeight="1" x14ac:dyDescent="0.15">
      <c r="A162" s="1286">
        <v>42767</v>
      </c>
      <c r="B162" s="640" t="str">
        <f t="shared" ca="1" si="8"/>
        <v>01</v>
      </c>
      <c r="C162" s="1285" t="s">
        <v>34</v>
      </c>
      <c r="D162" s="640" t="str">
        <f t="shared" ca="1" si="9"/>
        <v>03</v>
      </c>
      <c r="E162" s="1285" t="s">
        <v>98</v>
      </c>
      <c r="F162" s="641" t="str">
        <f>IF(G162="","",VLOOKUP(G162,リスト!J$2:K$3,2,FALSE))</f>
        <v>02</v>
      </c>
      <c r="G162" s="1285" t="s">
        <v>842</v>
      </c>
      <c r="H162" s="1284">
        <v>103959</v>
      </c>
      <c r="I162" s="1284">
        <v>0</v>
      </c>
      <c r="J162" s="644">
        <f t="shared" si="10"/>
        <v>103959</v>
      </c>
      <c r="K162" s="1284">
        <v>103959</v>
      </c>
      <c r="L162" s="644">
        <f t="shared" si="11"/>
        <v>0</v>
      </c>
      <c r="M162" s="680">
        <v>0</v>
      </c>
      <c r="N162" s="651">
        <v>0</v>
      </c>
    </row>
    <row r="163" spans="1:14" ht="15.95" customHeight="1" x14ac:dyDescent="0.15">
      <c r="A163" s="1286">
        <v>42767</v>
      </c>
      <c r="B163" s="640" t="str">
        <f t="shared" ca="1" si="8"/>
        <v>01</v>
      </c>
      <c r="C163" s="1285" t="s">
        <v>34</v>
      </c>
      <c r="D163" s="640" t="str">
        <f t="shared" ca="1" si="9"/>
        <v>02</v>
      </c>
      <c r="E163" s="1285" t="s">
        <v>84</v>
      </c>
      <c r="F163" s="641" t="str">
        <f>IF(G163="","",VLOOKUP(G163,リスト!J$2:K$3,2,FALSE))</f>
        <v>02</v>
      </c>
      <c r="G163" s="1285" t="s">
        <v>842</v>
      </c>
      <c r="H163" s="1284">
        <v>0</v>
      </c>
      <c r="I163" s="1284">
        <v>0</v>
      </c>
      <c r="J163" s="644">
        <f t="shared" si="10"/>
        <v>0</v>
      </c>
      <c r="K163" s="1284">
        <v>0</v>
      </c>
      <c r="L163" s="644">
        <f t="shared" si="11"/>
        <v>0</v>
      </c>
      <c r="M163" s="680">
        <v>0</v>
      </c>
      <c r="N163" s="651">
        <v>0</v>
      </c>
    </row>
    <row r="164" spans="1:14" ht="15.95" customHeight="1" x14ac:dyDescent="0.15">
      <c r="A164" s="1286">
        <v>42767</v>
      </c>
      <c r="B164" s="640" t="str">
        <f t="shared" ca="1" si="8"/>
        <v>01</v>
      </c>
      <c r="C164" s="1285" t="s">
        <v>34</v>
      </c>
      <c r="D164" s="640" t="str">
        <f t="shared" ca="1" si="9"/>
        <v>01</v>
      </c>
      <c r="E164" s="1285" t="s">
        <v>83</v>
      </c>
      <c r="F164" s="641" t="str">
        <f>IF(G164="","",VLOOKUP(G164,リスト!J$2:K$3,2,FALSE))</f>
        <v>02</v>
      </c>
      <c r="G164" s="1285" t="s">
        <v>842</v>
      </c>
      <c r="H164" s="1284">
        <v>140748</v>
      </c>
      <c r="I164" s="1284">
        <v>17718</v>
      </c>
      <c r="J164" s="644">
        <f t="shared" si="10"/>
        <v>158466</v>
      </c>
      <c r="K164" s="1284">
        <v>158466</v>
      </c>
      <c r="L164" s="644">
        <f t="shared" si="11"/>
        <v>0</v>
      </c>
      <c r="M164" s="680">
        <v>0</v>
      </c>
      <c r="N164" s="651">
        <v>0</v>
      </c>
    </row>
    <row r="165" spans="1:14" ht="15.95" customHeight="1" x14ac:dyDescent="0.15">
      <c r="A165" s="1286">
        <v>42767</v>
      </c>
      <c r="B165" s="640" t="str">
        <f t="shared" ca="1" si="8"/>
        <v>01</v>
      </c>
      <c r="C165" s="1285" t="s">
        <v>34</v>
      </c>
      <c r="D165" s="640" t="str">
        <f t="shared" ca="1" si="9"/>
        <v>03</v>
      </c>
      <c r="E165" s="1285" t="s">
        <v>98</v>
      </c>
      <c r="F165" s="641" t="str">
        <f>IF(G165="","",VLOOKUP(G165,リスト!J$2:K$3,2,FALSE))</f>
        <v>01</v>
      </c>
      <c r="G165" s="1285" t="s">
        <v>841</v>
      </c>
      <c r="H165" s="1284">
        <v>778211</v>
      </c>
      <c r="I165" s="1284">
        <v>0</v>
      </c>
      <c r="J165" s="644">
        <f t="shared" si="10"/>
        <v>778211</v>
      </c>
      <c r="K165" s="1284">
        <v>778211</v>
      </c>
      <c r="L165" s="644">
        <f t="shared" si="11"/>
        <v>0</v>
      </c>
      <c r="M165" s="680">
        <v>0</v>
      </c>
      <c r="N165" s="651">
        <v>0</v>
      </c>
    </row>
    <row r="166" spans="1:14" ht="15.95" customHeight="1" x14ac:dyDescent="0.15">
      <c r="A166" s="1286">
        <v>42767</v>
      </c>
      <c r="B166" s="640" t="str">
        <f t="shared" ca="1" si="8"/>
        <v>01</v>
      </c>
      <c r="C166" s="1285" t="s">
        <v>34</v>
      </c>
      <c r="D166" s="640" t="str">
        <f t="shared" ca="1" si="9"/>
        <v>02</v>
      </c>
      <c r="E166" s="1285" t="s">
        <v>84</v>
      </c>
      <c r="F166" s="641" t="str">
        <f>IF(G166="","",VLOOKUP(G166,リスト!J$2:K$3,2,FALSE))</f>
        <v>01</v>
      </c>
      <c r="G166" s="1285" t="s">
        <v>841</v>
      </c>
      <c r="H166" s="1284">
        <v>1502385</v>
      </c>
      <c r="I166" s="1284">
        <v>-131955</v>
      </c>
      <c r="J166" s="644">
        <f t="shared" si="10"/>
        <v>1370430</v>
      </c>
      <c r="K166" s="1284">
        <v>1370430</v>
      </c>
      <c r="L166" s="644">
        <f t="shared" si="11"/>
        <v>0</v>
      </c>
      <c r="M166" s="680">
        <v>0</v>
      </c>
      <c r="N166" s="651">
        <v>228468</v>
      </c>
    </row>
    <row r="167" spans="1:14" ht="15.95" customHeight="1" x14ac:dyDescent="0.15">
      <c r="A167" s="1286">
        <v>42767</v>
      </c>
      <c r="B167" s="640" t="str">
        <f t="shared" ca="1" si="8"/>
        <v>01</v>
      </c>
      <c r="C167" s="1285" t="s">
        <v>34</v>
      </c>
      <c r="D167" s="640" t="str">
        <f t="shared" ca="1" si="9"/>
        <v>01</v>
      </c>
      <c r="E167" s="1285" t="s">
        <v>83</v>
      </c>
      <c r="F167" s="641" t="str">
        <f>IF(G167="","",VLOOKUP(G167,リスト!J$2:K$3,2,FALSE))</f>
        <v>01</v>
      </c>
      <c r="G167" s="1285" t="s">
        <v>841</v>
      </c>
      <c r="H167" s="1284">
        <v>6226071</v>
      </c>
      <c r="I167" s="1284">
        <v>-99028</v>
      </c>
      <c r="J167" s="644">
        <f t="shared" si="10"/>
        <v>6127043</v>
      </c>
      <c r="K167" s="1284">
        <v>6127043</v>
      </c>
      <c r="L167" s="644">
        <f t="shared" si="11"/>
        <v>0</v>
      </c>
      <c r="M167" s="680">
        <v>326159</v>
      </c>
      <c r="N167" s="651">
        <v>815137</v>
      </c>
    </row>
    <row r="168" spans="1:14" ht="15.95" customHeight="1" x14ac:dyDescent="0.15">
      <c r="A168" s="1286">
        <v>42767</v>
      </c>
      <c r="B168" s="640" t="str">
        <f t="shared" ca="1" si="8"/>
        <v>02</v>
      </c>
      <c r="C168" s="1285" t="s">
        <v>37</v>
      </c>
      <c r="D168" s="640" t="str">
        <f t="shared" ca="1" si="9"/>
        <v>03</v>
      </c>
      <c r="E168" s="1285" t="s">
        <v>98</v>
      </c>
      <c r="F168" s="641" t="str">
        <f>IF(G168="","",VLOOKUP(G168,リスト!J$2:K$3,2,FALSE))</f>
        <v>02</v>
      </c>
      <c r="G168" s="1285" t="s">
        <v>842</v>
      </c>
      <c r="H168" s="1284">
        <v>0</v>
      </c>
      <c r="I168" s="1284">
        <v>0</v>
      </c>
      <c r="J168" s="644">
        <f t="shared" si="10"/>
        <v>0</v>
      </c>
      <c r="K168" s="1284">
        <v>0</v>
      </c>
      <c r="L168" s="644">
        <f t="shared" si="11"/>
        <v>0</v>
      </c>
      <c r="M168" s="680">
        <v>0</v>
      </c>
      <c r="N168" s="651">
        <v>0</v>
      </c>
    </row>
    <row r="169" spans="1:14" ht="15.95" customHeight="1" x14ac:dyDescent="0.15">
      <c r="A169" s="1286">
        <v>42767</v>
      </c>
      <c r="B169" s="640" t="str">
        <f t="shared" ca="1" si="8"/>
        <v>02</v>
      </c>
      <c r="C169" s="1285" t="s">
        <v>37</v>
      </c>
      <c r="D169" s="640" t="str">
        <f t="shared" ca="1" si="9"/>
        <v>02</v>
      </c>
      <c r="E169" s="1285" t="s">
        <v>84</v>
      </c>
      <c r="F169" s="641" t="str">
        <f>IF(G169="","",VLOOKUP(G169,リスト!J$2:K$3,2,FALSE))</f>
        <v>02</v>
      </c>
      <c r="G169" s="1285" t="s">
        <v>842</v>
      </c>
      <c r="H169" s="1284">
        <v>16154</v>
      </c>
      <c r="I169" s="1284">
        <v>0</v>
      </c>
      <c r="J169" s="644">
        <f t="shared" si="10"/>
        <v>16154</v>
      </c>
      <c r="K169" s="1284">
        <v>16154</v>
      </c>
      <c r="L169" s="644">
        <f t="shared" si="11"/>
        <v>0</v>
      </c>
      <c r="M169" s="680">
        <v>0</v>
      </c>
      <c r="N169" s="651">
        <v>0</v>
      </c>
    </row>
    <row r="170" spans="1:14" ht="15.95" customHeight="1" x14ac:dyDescent="0.15">
      <c r="A170" s="1286">
        <v>42767</v>
      </c>
      <c r="B170" s="640" t="str">
        <f t="shared" ca="1" si="8"/>
        <v>02</v>
      </c>
      <c r="C170" s="1285" t="s">
        <v>37</v>
      </c>
      <c r="D170" s="640" t="str">
        <f t="shared" ca="1" si="9"/>
        <v>01</v>
      </c>
      <c r="E170" s="1285" t="s">
        <v>83</v>
      </c>
      <c r="F170" s="641" t="str">
        <f>IF(G170="","",VLOOKUP(G170,リスト!J$2:K$3,2,FALSE))</f>
        <v>02</v>
      </c>
      <c r="G170" s="1285" t="s">
        <v>842</v>
      </c>
      <c r="H170" s="1284">
        <v>57800</v>
      </c>
      <c r="I170" s="1284">
        <v>28022</v>
      </c>
      <c r="J170" s="644">
        <f t="shared" si="10"/>
        <v>85822</v>
      </c>
      <c r="K170" s="1284">
        <v>85822</v>
      </c>
      <c r="L170" s="644">
        <f t="shared" si="11"/>
        <v>0</v>
      </c>
      <c r="M170" s="680">
        <v>0</v>
      </c>
      <c r="N170" s="651">
        <v>0</v>
      </c>
    </row>
    <row r="171" spans="1:14" ht="15.95" customHeight="1" x14ac:dyDescent="0.15">
      <c r="A171" s="1286">
        <v>42767</v>
      </c>
      <c r="B171" s="640" t="str">
        <f t="shared" ca="1" si="8"/>
        <v>02</v>
      </c>
      <c r="C171" s="1285" t="s">
        <v>37</v>
      </c>
      <c r="D171" s="640" t="str">
        <f t="shared" ca="1" si="9"/>
        <v>03</v>
      </c>
      <c r="E171" s="1285" t="s">
        <v>98</v>
      </c>
      <c r="F171" s="641" t="str">
        <f>IF(G171="","",VLOOKUP(G171,リスト!J$2:K$3,2,FALSE))</f>
        <v>01</v>
      </c>
      <c r="G171" s="1285" t="s">
        <v>841</v>
      </c>
      <c r="H171" s="1284">
        <v>349880</v>
      </c>
      <c r="I171" s="1284">
        <v>-11514</v>
      </c>
      <c r="J171" s="644">
        <f t="shared" si="10"/>
        <v>338366</v>
      </c>
      <c r="K171" s="1284">
        <v>338366</v>
      </c>
      <c r="L171" s="644">
        <f t="shared" si="11"/>
        <v>0</v>
      </c>
      <c r="M171" s="680">
        <v>0</v>
      </c>
      <c r="N171" s="651">
        <v>0</v>
      </c>
    </row>
    <row r="172" spans="1:14" ht="15.95" customHeight="1" x14ac:dyDescent="0.15">
      <c r="A172" s="1286">
        <v>42767</v>
      </c>
      <c r="B172" s="640" t="str">
        <f t="shared" ca="1" si="8"/>
        <v>02</v>
      </c>
      <c r="C172" s="1285" t="s">
        <v>37</v>
      </c>
      <c r="D172" s="640" t="str">
        <f t="shared" ca="1" si="9"/>
        <v>02</v>
      </c>
      <c r="E172" s="1285" t="s">
        <v>84</v>
      </c>
      <c r="F172" s="641" t="str">
        <f>IF(G172="","",VLOOKUP(G172,リスト!J$2:K$3,2,FALSE))</f>
        <v>01</v>
      </c>
      <c r="G172" s="1285" t="s">
        <v>841</v>
      </c>
      <c r="H172" s="1284">
        <v>510256</v>
      </c>
      <c r="I172" s="1284">
        <v>-16154</v>
      </c>
      <c r="J172" s="644">
        <f t="shared" si="10"/>
        <v>494102</v>
      </c>
      <c r="K172" s="1284">
        <v>494102</v>
      </c>
      <c r="L172" s="644">
        <f t="shared" si="11"/>
        <v>0</v>
      </c>
      <c r="M172" s="680">
        <v>0</v>
      </c>
      <c r="N172" s="651">
        <v>88748</v>
      </c>
    </row>
    <row r="173" spans="1:14" ht="15.95" customHeight="1" x14ac:dyDescent="0.15">
      <c r="A173" s="1286">
        <v>42767</v>
      </c>
      <c r="B173" s="640" t="str">
        <f t="shared" ca="1" si="8"/>
        <v>02</v>
      </c>
      <c r="C173" s="1285" t="s">
        <v>37</v>
      </c>
      <c r="D173" s="640" t="str">
        <f t="shared" ca="1" si="9"/>
        <v>01</v>
      </c>
      <c r="E173" s="1285" t="s">
        <v>83</v>
      </c>
      <c r="F173" s="641" t="str">
        <f>IF(G173="","",VLOOKUP(G173,リスト!J$2:K$3,2,FALSE))</f>
        <v>01</v>
      </c>
      <c r="G173" s="1285" t="s">
        <v>841</v>
      </c>
      <c r="H173" s="1284">
        <v>3870090</v>
      </c>
      <c r="I173" s="1284">
        <v>-41691</v>
      </c>
      <c r="J173" s="644">
        <f t="shared" si="10"/>
        <v>3828399</v>
      </c>
      <c r="K173" s="1284">
        <v>3828399</v>
      </c>
      <c r="L173" s="644">
        <f t="shared" si="11"/>
        <v>0</v>
      </c>
      <c r="M173" s="680">
        <v>0</v>
      </c>
      <c r="N173" s="651">
        <v>309401</v>
      </c>
    </row>
    <row r="174" spans="1:14" ht="15.95" customHeight="1" x14ac:dyDescent="0.15">
      <c r="A174" s="1286">
        <v>42767</v>
      </c>
      <c r="B174" s="640" t="str">
        <f t="shared" ca="1" si="8"/>
        <v>03</v>
      </c>
      <c r="C174" s="1285" t="s">
        <v>66</v>
      </c>
      <c r="D174" s="640" t="str">
        <f t="shared" ca="1" si="9"/>
        <v>02</v>
      </c>
      <c r="E174" s="1285" t="s">
        <v>84</v>
      </c>
      <c r="F174" s="641" t="str">
        <f>IF(G174="","",VLOOKUP(G174,リスト!J$2:K$3,2,FALSE))</f>
        <v>02</v>
      </c>
      <c r="G174" s="1285" t="s">
        <v>842</v>
      </c>
      <c r="H174" s="1284">
        <v>12232</v>
      </c>
      <c r="I174" s="1284">
        <v>-12232</v>
      </c>
      <c r="J174" s="644">
        <f t="shared" si="10"/>
        <v>0</v>
      </c>
      <c r="K174" s="1284">
        <v>0</v>
      </c>
      <c r="L174" s="644">
        <f t="shared" si="11"/>
        <v>0</v>
      </c>
      <c r="M174" s="680">
        <v>0</v>
      </c>
      <c r="N174" s="651">
        <v>0</v>
      </c>
    </row>
    <row r="175" spans="1:14" ht="15.95" customHeight="1" x14ac:dyDescent="0.15">
      <c r="A175" s="1286">
        <v>42767</v>
      </c>
      <c r="B175" s="640" t="str">
        <f t="shared" ca="1" si="8"/>
        <v>03</v>
      </c>
      <c r="C175" s="1285" t="s">
        <v>66</v>
      </c>
      <c r="D175" s="640" t="str">
        <f t="shared" ca="1" si="9"/>
        <v>01</v>
      </c>
      <c r="E175" s="1285" t="s">
        <v>83</v>
      </c>
      <c r="F175" s="641" t="str">
        <f>IF(G175="","",VLOOKUP(G175,リスト!J$2:K$3,2,FALSE))</f>
        <v>02</v>
      </c>
      <c r="G175" s="1285" t="s">
        <v>842</v>
      </c>
      <c r="H175" s="1284">
        <v>272695</v>
      </c>
      <c r="I175" s="1284">
        <v>0</v>
      </c>
      <c r="J175" s="644">
        <f t="shared" si="10"/>
        <v>272695</v>
      </c>
      <c r="K175" s="1284">
        <v>272695</v>
      </c>
      <c r="L175" s="644">
        <f t="shared" si="11"/>
        <v>0</v>
      </c>
      <c r="M175" s="680">
        <v>0</v>
      </c>
      <c r="N175" s="651">
        <v>0</v>
      </c>
    </row>
    <row r="176" spans="1:14" ht="15.95" customHeight="1" x14ac:dyDescent="0.15">
      <c r="A176" s="1286">
        <v>42767</v>
      </c>
      <c r="B176" s="640" t="str">
        <f t="shared" ca="1" si="8"/>
        <v>03</v>
      </c>
      <c r="C176" s="1285" t="s">
        <v>66</v>
      </c>
      <c r="D176" s="640" t="str">
        <f t="shared" ca="1" si="9"/>
        <v>02</v>
      </c>
      <c r="E176" s="1285" t="s">
        <v>84</v>
      </c>
      <c r="F176" s="641" t="str">
        <f>IF(G176="","",VLOOKUP(G176,リスト!J$2:K$3,2,FALSE))</f>
        <v>01</v>
      </c>
      <c r="G176" s="1285" t="s">
        <v>841</v>
      </c>
      <c r="H176" s="1284">
        <v>1183097</v>
      </c>
      <c r="I176" s="1284">
        <v>-14807</v>
      </c>
      <c r="J176" s="644">
        <f t="shared" si="10"/>
        <v>1168290</v>
      </c>
      <c r="K176" s="1284">
        <v>1168290</v>
      </c>
      <c r="L176" s="644">
        <f t="shared" si="11"/>
        <v>0</v>
      </c>
      <c r="M176" s="680">
        <v>0</v>
      </c>
      <c r="N176" s="651">
        <v>206946</v>
      </c>
    </row>
    <row r="177" spans="1:14" ht="15.95" customHeight="1" x14ac:dyDescent="0.15">
      <c r="A177" s="1286">
        <v>42767</v>
      </c>
      <c r="B177" s="640" t="str">
        <f t="shared" ca="1" si="8"/>
        <v>03</v>
      </c>
      <c r="C177" s="1285" t="s">
        <v>66</v>
      </c>
      <c r="D177" s="640" t="str">
        <f t="shared" ca="1" si="9"/>
        <v>01</v>
      </c>
      <c r="E177" s="1285" t="s">
        <v>83</v>
      </c>
      <c r="F177" s="641" t="str">
        <f>IF(G177="","",VLOOKUP(G177,リスト!J$2:K$3,2,FALSE))</f>
        <v>01</v>
      </c>
      <c r="G177" s="1285" t="s">
        <v>841</v>
      </c>
      <c r="H177" s="1284">
        <v>2668880</v>
      </c>
      <c r="I177" s="1284">
        <v>-16420</v>
      </c>
      <c r="J177" s="644">
        <f t="shared" si="10"/>
        <v>2652460</v>
      </c>
      <c r="K177" s="1284">
        <v>2652460</v>
      </c>
      <c r="L177" s="644">
        <f t="shared" si="11"/>
        <v>0</v>
      </c>
      <c r="M177" s="680">
        <v>208169</v>
      </c>
      <c r="N177" s="651">
        <v>232279</v>
      </c>
    </row>
    <row r="178" spans="1:14" ht="15.95" customHeight="1" x14ac:dyDescent="0.15">
      <c r="A178" s="1286">
        <v>42767</v>
      </c>
      <c r="B178" s="640" t="str">
        <f t="shared" ca="1" si="8"/>
        <v>04</v>
      </c>
      <c r="C178" s="1285" t="s">
        <v>358</v>
      </c>
      <c r="D178" s="640" t="str">
        <f t="shared" ca="1" si="9"/>
        <v>04</v>
      </c>
      <c r="E178" s="1285" t="s">
        <v>542</v>
      </c>
      <c r="F178" s="641" t="str">
        <f>IF(G178="","",VLOOKUP(G178,リスト!J$2:K$3,2,FALSE))</f>
        <v>02</v>
      </c>
      <c r="G178" s="1285" t="s">
        <v>842</v>
      </c>
      <c r="H178" s="1284">
        <v>110767</v>
      </c>
      <c r="I178" s="1284">
        <v>-52082</v>
      </c>
      <c r="J178" s="644">
        <f t="shared" si="10"/>
        <v>58685</v>
      </c>
      <c r="K178" s="1284">
        <v>58685</v>
      </c>
      <c r="L178" s="644">
        <f t="shared" si="11"/>
        <v>0</v>
      </c>
      <c r="M178" s="680">
        <v>0</v>
      </c>
      <c r="N178" s="651">
        <v>0</v>
      </c>
    </row>
    <row r="179" spans="1:14" ht="15.95" customHeight="1" x14ac:dyDescent="0.15">
      <c r="A179" s="1286">
        <v>42767</v>
      </c>
      <c r="B179" s="640" t="str">
        <f t="shared" ca="1" si="8"/>
        <v>04</v>
      </c>
      <c r="C179" s="1285" t="s">
        <v>358</v>
      </c>
      <c r="D179" s="640" t="str">
        <f t="shared" ca="1" si="9"/>
        <v>04</v>
      </c>
      <c r="E179" s="1285" t="s">
        <v>542</v>
      </c>
      <c r="F179" s="641" t="str">
        <f>IF(G179="","",VLOOKUP(G179,リスト!J$2:K$3,2,FALSE))</f>
        <v>01</v>
      </c>
      <c r="G179" s="1285" t="s">
        <v>841</v>
      </c>
      <c r="H179" s="1284">
        <v>2887757</v>
      </c>
      <c r="I179" s="1284">
        <v>-65050</v>
      </c>
      <c r="J179" s="644">
        <f t="shared" si="10"/>
        <v>2822707</v>
      </c>
      <c r="K179" s="1284">
        <v>2822707</v>
      </c>
      <c r="L179" s="644">
        <f t="shared" si="11"/>
        <v>0</v>
      </c>
      <c r="M179" s="680">
        <v>15821</v>
      </c>
      <c r="N179" s="651">
        <v>111359</v>
      </c>
    </row>
    <row r="180" spans="1:14" ht="15.95" customHeight="1" x14ac:dyDescent="0.15">
      <c r="A180" s="1286">
        <v>42767</v>
      </c>
      <c r="B180" s="640" t="str">
        <f t="shared" ca="1" si="8"/>
        <v>05</v>
      </c>
      <c r="C180" s="1285" t="s">
        <v>38</v>
      </c>
      <c r="D180" s="640" t="str">
        <f t="shared" ca="1" si="9"/>
        <v>01</v>
      </c>
      <c r="E180" s="1285" t="s">
        <v>83</v>
      </c>
      <c r="F180" s="641" t="str">
        <f>IF(G180="","",VLOOKUP(G180,リスト!J$2:K$3,2,FALSE))</f>
        <v>02</v>
      </c>
      <c r="G180" s="1285" t="s">
        <v>842</v>
      </c>
      <c r="H180" s="1284">
        <v>75295</v>
      </c>
      <c r="I180" s="1284">
        <v>0</v>
      </c>
      <c r="J180" s="644">
        <f t="shared" si="10"/>
        <v>75295</v>
      </c>
      <c r="K180" s="1284">
        <v>75295</v>
      </c>
      <c r="L180" s="644">
        <f t="shared" si="11"/>
        <v>0</v>
      </c>
      <c r="M180" s="680">
        <v>0</v>
      </c>
      <c r="N180" s="651">
        <v>0</v>
      </c>
    </row>
    <row r="181" spans="1:14" ht="15.95" customHeight="1" x14ac:dyDescent="0.15">
      <c r="A181" s="1286">
        <v>42767</v>
      </c>
      <c r="B181" s="640" t="str">
        <f t="shared" ca="1" si="8"/>
        <v>05</v>
      </c>
      <c r="C181" s="1285" t="s">
        <v>38</v>
      </c>
      <c r="D181" s="640" t="str">
        <f t="shared" ca="1" si="9"/>
        <v>01</v>
      </c>
      <c r="E181" s="1285" t="s">
        <v>83</v>
      </c>
      <c r="F181" s="641" t="str">
        <f>IF(G181="","",VLOOKUP(G181,リスト!J$2:K$3,2,FALSE))</f>
        <v>01</v>
      </c>
      <c r="G181" s="1285" t="s">
        <v>841</v>
      </c>
      <c r="H181" s="1284">
        <v>2154121</v>
      </c>
      <c r="I181" s="1284">
        <v>0</v>
      </c>
      <c r="J181" s="644">
        <f t="shared" si="10"/>
        <v>2154121</v>
      </c>
      <c r="K181" s="1284">
        <v>2154121</v>
      </c>
      <c r="L181" s="644">
        <f t="shared" si="11"/>
        <v>0</v>
      </c>
      <c r="M181" s="680">
        <v>0</v>
      </c>
      <c r="N181" s="651">
        <v>0</v>
      </c>
    </row>
    <row r="182" spans="1:14" ht="15.95" customHeight="1" x14ac:dyDescent="0.15">
      <c r="A182" s="1286">
        <v>42767</v>
      </c>
      <c r="B182" s="640" t="str">
        <f t="shared" ca="1" si="8"/>
        <v>06</v>
      </c>
      <c r="C182" s="1285" t="s">
        <v>57</v>
      </c>
      <c r="D182" s="640" t="str">
        <f t="shared" ca="1" si="9"/>
        <v>01</v>
      </c>
      <c r="E182" s="1285" t="s">
        <v>83</v>
      </c>
      <c r="F182" s="641" t="str">
        <f>IF(G182="","",VLOOKUP(G182,リスト!J$2:K$3,2,FALSE))</f>
        <v>02</v>
      </c>
      <c r="G182" s="1285" t="s">
        <v>842</v>
      </c>
      <c r="H182" s="1284">
        <v>0</v>
      </c>
      <c r="I182" s="1284">
        <v>0</v>
      </c>
      <c r="J182" s="644">
        <f t="shared" si="10"/>
        <v>0</v>
      </c>
      <c r="K182" s="1284">
        <v>0</v>
      </c>
      <c r="L182" s="644">
        <f t="shared" si="11"/>
        <v>0</v>
      </c>
      <c r="M182" s="680">
        <v>0</v>
      </c>
      <c r="N182" s="651">
        <v>0</v>
      </c>
    </row>
    <row r="183" spans="1:14" ht="15.95" customHeight="1" x14ac:dyDescent="0.15">
      <c r="A183" s="1286">
        <v>42767</v>
      </c>
      <c r="B183" s="640" t="str">
        <f t="shared" ca="1" si="8"/>
        <v>06</v>
      </c>
      <c r="C183" s="1285" t="s">
        <v>57</v>
      </c>
      <c r="D183" s="640" t="str">
        <f t="shared" ca="1" si="9"/>
        <v>01</v>
      </c>
      <c r="E183" s="1285" t="s">
        <v>83</v>
      </c>
      <c r="F183" s="641" t="str">
        <f>IF(G183="","",VLOOKUP(G183,リスト!J$2:K$3,2,FALSE))</f>
        <v>01</v>
      </c>
      <c r="G183" s="1285" t="s">
        <v>841</v>
      </c>
      <c r="H183" s="1284">
        <v>609299</v>
      </c>
      <c r="I183" s="1284">
        <v>0</v>
      </c>
      <c r="J183" s="644">
        <f t="shared" si="10"/>
        <v>609299</v>
      </c>
      <c r="K183" s="1284">
        <v>609299</v>
      </c>
      <c r="L183" s="644">
        <f t="shared" si="11"/>
        <v>0</v>
      </c>
      <c r="M183" s="680">
        <v>0</v>
      </c>
      <c r="N183" s="651">
        <v>0</v>
      </c>
    </row>
    <row r="184" spans="1:14" ht="15.95" customHeight="1" x14ac:dyDescent="0.15">
      <c r="A184" s="1286">
        <v>42767</v>
      </c>
      <c r="B184" s="640" t="str">
        <f t="shared" ca="1" si="8"/>
        <v>07</v>
      </c>
      <c r="C184" s="1285" t="s">
        <v>119</v>
      </c>
      <c r="D184" s="640" t="str">
        <f t="shared" ca="1" si="9"/>
        <v>05</v>
      </c>
      <c r="E184" s="1285" t="s">
        <v>543</v>
      </c>
      <c r="F184" s="641" t="str">
        <f>IF(G184="","",VLOOKUP(G184,リスト!J$2:K$3,2,FALSE))</f>
        <v>02</v>
      </c>
      <c r="G184" s="1285" t="s">
        <v>842</v>
      </c>
      <c r="H184" s="1284">
        <v>0</v>
      </c>
      <c r="I184" s="1284">
        <v>0</v>
      </c>
      <c r="J184" s="644">
        <f t="shared" si="10"/>
        <v>0</v>
      </c>
      <c r="K184" s="1284">
        <v>0</v>
      </c>
      <c r="L184" s="644">
        <f t="shared" si="11"/>
        <v>0</v>
      </c>
      <c r="M184" s="680">
        <v>0</v>
      </c>
      <c r="N184" s="651">
        <v>0</v>
      </c>
    </row>
    <row r="185" spans="1:14" ht="15.95" customHeight="1" x14ac:dyDescent="0.15">
      <c r="A185" s="1286">
        <v>42767</v>
      </c>
      <c r="B185" s="640" t="str">
        <f t="shared" ca="1" si="8"/>
        <v>07</v>
      </c>
      <c r="C185" s="1285" t="s">
        <v>119</v>
      </c>
      <c r="D185" s="640" t="str">
        <f t="shared" ca="1" si="9"/>
        <v>05</v>
      </c>
      <c r="E185" s="1285" t="s">
        <v>543</v>
      </c>
      <c r="F185" s="641" t="str">
        <f>IF(G185="","",VLOOKUP(G185,リスト!J$2:K$3,2,FALSE))</f>
        <v>01</v>
      </c>
      <c r="G185" s="1285" t="s">
        <v>841</v>
      </c>
      <c r="H185" s="1284">
        <v>898853</v>
      </c>
      <c r="I185" s="1284">
        <v>0</v>
      </c>
      <c r="J185" s="644">
        <f t="shared" si="10"/>
        <v>898853</v>
      </c>
      <c r="K185" s="1284">
        <v>898853</v>
      </c>
      <c r="L185" s="644">
        <f t="shared" si="11"/>
        <v>0</v>
      </c>
      <c r="M185" s="680">
        <v>0</v>
      </c>
      <c r="N185" s="651">
        <v>66554</v>
      </c>
    </row>
    <row r="186" spans="1:14" ht="15.95" customHeight="1" x14ac:dyDescent="0.15">
      <c r="A186" s="1286">
        <v>42767</v>
      </c>
      <c r="B186" s="640" t="str">
        <f t="shared" ca="1" si="8"/>
        <v>08</v>
      </c>
      <c r="C186" s="1285" t="s">
        <v>189</v>
      </c>
      <c r="D186" s="640" t="str">
        <f t="shared" ca="1" si="9"/>
        <v>05</v>
      </c>
      <c r="E186" s="1285" t="s">
        <v>543</v>
      </c>
      <c r="F186" s="641" t="str">
        <f>IF(G186="","",VLOOKUP(G186,リスト!J$2:K$3,2,FALSE))</f>
        <v>02</v>
      </c>
      <c r="G186" s="1285" t="s">
        <v>842</v>
      </c>
      <c r="H186" s="1284">
        <v>0</v>
      </c>
      <c r="I186" s="1284">
        <v>0</v>
      </c>
      <c r="J186" s="644">
        <f t="shared" si="10"/>
        <v>0</v>
      </c>
      <c r="K186" s="1284">
        <v>0</v>
      </c>
      <c r="L186" s="644">
        <f t="shared" si="11"/>
        <v>0</v>
      </c>
      <c r="M186" s="680">
        <v>0</v>
      </c>
      <c r="N186" s="651">
        <v>0</v>
      </c>
    </row>
    <row r="187" spans="1:14" ht="15.95" customHeight="1" x14ac:dyDescent="0.15">
      <c r="A187" s="1286">
        <v>42767</v>
      </c>
      <c r="B187" s="640" t="str">
        <f t="shared" ca="1" si="8"/>
        <v>08</v>
      </c>
      <c r="C187" s="1285" t="s">
        <v>189</v>
      </c>
      <c r="D187" s="640" t="str">
        <f t="shared" ca="1" si="9"/>
        <v>05</v>
      </c>
      <c r="E187" s="1285" t="s">
        <v>543</v>
      </c>
      <c r="F187" s="641" t="str">
        <f>IF(G187="","",VLOOKUP(G187,リスト!J$2:K$3,2,FALSE))</f>
        <v>01</v>
      </c>
      <c r="G187" s="1285" t="s">
        <v>841</v>
      </c>
      <c r="H187" s="1284">
        <v>460537</v>
      </c>
      <c r="I187" s="1284">
        <v>0</v>
      </c>
      <c r="J187" s="644">
        <f t="shared" si="10"/>
        <v>460537</v>
      </c>
      <c r="K187" s="1284">
        <v>460537</v>
      </c>
      <c r="L187" s="644">
        <f t="shared" si="11"/>
        <v>0</v>
      </c>
      <c r="M187" s="680">
        <v>0</v>
      </c>
      <c r="N187" s="651">
        <v>0</v>
      </c>
    </row>
    <row r="188" spans="1:14" ht="15.95" customHeight="1" x14ac:dyDescent="0.15">
      <c r="A188" s="1286">
        <v>42767</v>
      </c>
      <c r="B188" s="640" t="str">
        <f t="shared" ca="1" si="8"/>
        <v>10</v>
      </c>
      <c r="C188" s="1285" t="s">
        <v>336</v>
      </c>
      <c r="D188" s="640" t="str">
        <f t="shared" ca="1" si="9"/>
        <v>02</v>
      </c>
      <c r="E188" s="1285" t="s">
        <v>84</v>
      </c>
      <c r="F188" s="641" t="str">
        <f>IF(G188="","",VLOOKUP(G188,リスト!J$2:K$3,2,FALSE))</f>
        <v>02</v>
      </c>
      <c r="G188" s="1285" t="s">
        <v>842</v>
      </c>
      <c r="H188" s="1284">
        <v>0</v>
      </c>
      <c r="I188" s="1284">
        <v>0</v>
      </c>
      <c r="J188" s="644">
        <f t="shared" si="10"/>
        <v>0</v>
      </c>
      <c r="K188" s="1284">
        <v>0</v>
      </c>
      <c r="L188" s="644">
        <f t="shared" si="11"/>
        <v>0</v>
      </c>
      <c r="M188" s="680">
        <v>0</v>
      </c>
      <c r="N188" s="651">
        <v>0</v>
      </c>
    </row>
    <row r="189" spans="1:14" ht="15.95" customHeight="1" x14ac:dyDescent="0.15">
      <c r="A189" s="1286">
        <v>42767</v>
      </c>
      <c r="B189" s="640" t="str">
        <f t="shared" ca="1" si="8"/>
        <v>10</v>
      </c>
      <c r="C189" s="1285" t="s">
        <v>336</v>
      </c>
      <c r="D189" s="640" t="str">
        <f t="shared" ca="1" si="9"/>
        <v>01</v>
      </c>
      <c r="E189" s="1285" t="s">
        <v>83</v>
      </c>
      <c r="F189" s="641" t="str">
        <f>IF(G189="","",VLOOKUP(G189,リスト!J$2:K$3,2,FALSE))</f>
        <v>02</v>
      </c>
      <c r="G189" s="1285" t="s">
        <v>842</v>
      </c>
      <c r="H189" s="1284">
        <v>83308</v>
      </c>
      <c r="I189" s="1284">
        <v>0</v>
      </c>
      <c r="J189" s="644">
        <f t="shared" si="10"/>
        <v>83308</v>
      </c>
      <c r="K189" s="1284">
        <v>83308</v>
      </c>
      <c r="L189" s="644">
        <f t="shared" si="11"/>
        <v>0</v>
      </c>
      <c r="M189" s="680">
        <v>0</v>
      </c>
      <c r="N189" s="651">
        <v>0</v>
      </c>
    </row>
    <row r="190" spans="1:14" ht="15.95" customHeight="1" x14ac:dyDescent="0.15">
      <c r="A190" s="1286">
        <v>42767</v>
      </c>
      <c r="B190" s="640" t="str">
        <f t="shared" ca="1" si="8"/>
        <v>10</v>
      </c>
      <c r="C190" s="1285" t="s">
        <v>336</v>
      </c>
      <c r="D190" s="640" t="str">
        <f t="shared" ca="1" si="9"/>
        <v>02</v>
      </c>
      <c r="E190" s="1285" t="s">
        <v>84</v>
      </c>
      <c r="F190" s="641" t="str">
        <f>IF(G190="","",VLOOKUP(G190,リスト!J$2:K$3,2,FALSE))</f>
        <v>01</v>
      </c>
      <c r="G190" s="1285" t="s">
        <v>841</v>
      </c>
      <c r="H190" s="1284">
        <v>2424</v>
      </c>
      <c r="I190" s="1284">
        <v>0</v>
      </c>
      <c r="J190" s="644">
        <f t="shared" si="10"/>
        <v>2424</v>
      </c>
      <c r="K190" s="1284">
        <v>2424</v>
      </c>
      <c r="L190" s="644">
        <f t="shared" si="11"/>
        <v>0</v>
      </c>
      <c r="M190" s="680">
        <v>0</v>
      </c>
      <c r="N190" s="651">
        <v>0</v>
      </c>
    </row>
    <row r="191" spans="1:14" ht="15.95" customHeight="1" x14ac:dyDescent="0.15">
      <c r="A191" s="1286">
        <v>42767</v>
      </c>
      <c r="B191" s="640" t="str">
        <f t="shared" ca="1" si="8"/>
        <v>10</v>
      </c>
      <c r="C191" s="1285" t="s">
        <v>336</v>
      </c>
      <c r="D191" s="640" t="str">
        <f t="shared" ca="1" si="9"/>
        <v>01</v>
      </c>
      <c r="E191" s="1285" t="s">
        <v>83</v>
      </c>
      <c r="F191" s="641" t="str">
        <f>IF(G191="","",VLOOKUP(G191,リスト!J$2:K$3,2,FALSE))</f>
        <v>01</v>
      </c>
      <c r="G191" s="1285" t="s">
        <v>841</v>
      </c>
      <c r="H191" s="1284">
        <v>1091048</v>
      </c>
      <c r="I191" s="1284">
        <v>0</v>
      </c>
      <c r="J191" s="644">
        <f t="shared" si="10"/>
        <v>1091048</v>
      </c>
      <c r="K191" s="1284">
        <v>1091048</v>
      </c>
      <c r="L191" s="644">
        <f t="shared" si="11"/>
        <v>0</v>
      </c>
      <c r="M191" s="680">
        <v>18799</v>
      </c>
      <c r="N191" s="651">
        <v>0</v>
      </c>
    </row>
    <row r="192" spans="1:14" ht="15.95" customHeight="1" x14ac:dyDescent="0.15">
      <c r="A192" s="1286">
        <v>42795</v>
      </c>
      <c r="B192" s="640" t="str">
        <f t="shared" ca="1" si="8"/>
        <v>01</v>
      </c>
      <c r="C192" s="1285" t="s">
        <v>34</v>
      </c>
      <c r="D192" s="640" t="str">
        <f t="shared" ca="1" si="9"/>
        <v>03</v>
      </c>
      <c r="E192" s="1285" t="s">
        <v>98</v>
      </c>
      <c r="F192" s="641" t="str">
        <f>IF(G192="","",VLOOKUP(G192,リスト!J$2:K$3,2,FALSE))</f>
        <v>02</v>
      </c>
      <c r="G192" s="1285" t="s">
        <v>842</v>
      </c>
      <c r="H192" s="1284">
        <v>0</v>
      </c>
      <c r="I192" s="1284">
        <v>0</v>
      </c>
      <c r="J192" s="644">
        <f t="shared" si="10"/>
        <v>0</v>
      </c>
      <c r="K192" s="1284">
        <v>0</v>
      </c>
      <c r="L192" s="644">
        <f t="shared" si="11"/>
        <v>0</v>
      </c>
      <c r="M192" s="680">
        <v>0</v>
      </c>
      <c r="N192" s="651">
        <v>0</v>
      </c>
    </row>
    <row r="193" spans="1:14" ht="15.95" customHeight="1" x14ac:dyDescent="0.15">
      <c r="A193" s="1286">
        <v>42795</v>
      </c>
      <c r="B193" s="640" t="str">
        <f t="shared" ca="1" si="8"/>
        <v>01</v>
      </c>
      <c r="C193" s="1285" t="s">
        <v>34</v>
      </c>
      <c r="D193" s="640" t="str">
        <f t="shared" ca="1" si="9"/>
        <v>02</v>
      </c>
      <c r="E193" s="1285" t="s">
        <v>84</v>
      </c>
      <c r="F193" s="641" t="str">
        <f>IF(G193="","",VLOOKUP(G193,リスト!J$2:K$3,2,FALSE))</f>
        <v>02</v>
      </c>
      <c r="G193" s="1285" t="s">
        <v>842</v>
      </c>
      <c r="H193" s="1284">
        <v>130846</v>
      </c>
      <c r="I193" s="1284">
        <v>-142854</v>
      </c>
      <c r="J193" s="644">
        <f t="shared" si="10"/>
        <v>-12008</v>
      </c>
      <c r="K193" s="1284">
        <v>-12008</v>
      </c>
      <c r="L193" s="644">
        <f t="shared" si="11"/>
        <v>0</v>
      </c>
      <c r="M193" s="680">
        <v>0</v>
      </c>
      <c r="N193" s="651">
        <v>0</v>
      </c>
    </row>
    <row r="194" spans="1:14" ht="15.95" customHeight="1" x14ac:dyDescent="0.15">
      <c r="A194" s="1286">
        <v>42795</v>
      </c>
      <c r="B194" s="640" t="str">
        <f t="shared" ref="B194:B257" ca="1" si="12">IF(C194="","",VLOOKUP(C194,事業所コード2,2,FALSE))</f>
        <v>01</v>
      </c>
      <c r="C194" s="1285" t="s">
        <v>34</v>
      </c>
      <c r="D194" s="640" t="str">
        <f t="shared" ref="D194:D257" ca="1" si="13">IF(E194="","",VLOOKUP(E194,事業区分コード2,2,FALSE))</f>
        <v>01</v>
      </c>
      <c r="E194" s="1285" t="s">
        <v>83</v>
      </c>
      <c r="F194" s="641" t="str">
        <f>IF(G194="","",VLOOKUP(G194,リスト!J$2:K$3,2,FALSE))</f>
        <v>02</v>
      </c>
      <c r="G194" s="1285" t="s">
        <v>842</v>
      </c>
      <c r="H194" s="1284">
        <v>491876</v>
      </c>
      <c r="I194" s="1284">
        <v>-48674</v>
      </c>
      <c r="J194" s="644">
        <f t="shared" ref="J194:J257" si="14">IF(A194="","",H194+I194)</f>
        <v>443202</v>
      </c>
      <c r="K194" s="1284">
        <v>443202</v>
      </c>
      <c r="L194" s="644">
        <f t="shared" ref="L194:L257" si="15">IF(A194="","",J194-K194)</f>
        <v>0</v>
      </c>
      <c r="M194" s="680">
        <v>0</v>
      </c>
      <c r="N194" s="651">
        <v>0</v>
      </c>
    </row>
    <row r="195" spans="1:14" ht="15.95" customHeight="1" x14ac:dyDescent="0.15">
      <c r="A195" s="1286">
        <v>42795</v>
      </c>
      <c r="B195" s="640" t="str">
        <f t="shared" ca="1" si="12"/>
        <v>01</v>
      </c>
      <c r="C195" s="1285" t="s">
        <v>34</v>
      </c>
      <c r="D195" s="640" t="str">
        <f t="shared" ca="1" si="13"/>
        <v>03</v>
      </c>
      <c r="E195" s="1285" t="s">
        <v>98</v>
      </c>
      <c r="F195" s="641" t="str">
        <f>IF(G195="","",VLOOKUP(G195,リスト!J$2:K$3,2,FALSE))</f>
        <v>01</v>
      </c>
      <c r="G195" s="1285" t="s">
        <v>841</v>
      </c>
      <c r="H195" s="1284">
        <v>745320</v>
      </c>
      <c r="I195" s="1284">
        <v>0</v>
      </c>
      <c r="J195" s="644">
        <f t="shared" si="14"/>
        <v>745320</v>
      </c>
      <c r="K195" s="1284">
        <v>745320</v>
      </c>
      <c r="L195" s="644">
        <f t="shared" si="15"/>
        <v>0</v>
      </c>
      <c r="M195" s="680">
        <v>0</v>
      </c>
      <c r="N195" s="651">
        <v>0</v>
      </c>
    </row>
    <row r="196" spans="1:14" ht="15.95" customHeight="1" x14ac:dyDescent="0.15">
      <c r="A196" s="1286">
        <v>42795</v>
      </c>
      <c r="B196" s="640" t="str">
        <f t="shared" ca="1" si="12"/>
        <v>01</v>
      </c>
      <c r="C196" s="1285" t="s">
        <v>34</v>
      </c>
      <c r="D196" s="640" t="str">
        <f t="shared" ca="1" si="13"/>
        <v>02</v>
      </c>
      <c r="E196" s="1285" t="s">
        <v>84</v>
      </c>
      <c r="F196" s="641" t="str">
        <f>IF(G196="","",VLOOKUP(G196,リスト!J$2:K$3,2,FALSE))</f>
        <v>01</v>
      </c>
      <c r="G196" s="1285" t="s">
        <v>841</v>
      </c>
      <c r="H196" s="1284">
        <v>1491698</v>
      </c>
      <c r="I196" s="1284">
        <v>-130846</v>
      </c>
      <c r="J196" s="644">
        <f t="shared" si="14"/>
        <v>1360852</v>
      </c>
      <c r="K196" s="1284">
        <v>1360852</v>
      </c>
      <c r="L196" s="644">
        <f t="shared" si="15"/>
        <v>0</v>
      </c>
      <c r="M196" s="680">
        <v>0</v>
      </c>
      <c r="N196" s="651">
        <v>225651</v>
      </c>
    </row>
    <row r="197" spans="1:14" ht="15.95" customHeight="1" x14ac:dyDescent="0.15">
      <c r="A197" s="1286">
        <v>42795</v>
      </c>
      <c r="B197" s="640" t="str">
        <f t="shared" ca="1" si="12"/>
        <v>01</v>
      </c>
      <c r="C197" s="1285" t="s">
        <v>34</v>
      </c>
      <c r="D197" s="640" t="str">
        <f t="shared" ca="1" si="13"/>
        <v>01</v>
      </c>
      <c r="E197" s="1285" t="s">
        <v>83</v>
      </c>
      <c r="F197" s="641" t="str">
        <f>IF(G197="","",VLOOKUP(G197,リスト!J$2:K$3,2,FALSE))</f>
        <v>01</v>
      </c>
      <c r="G197" s="1285" t="s">
        <v>841</v>
      </c>
      <c r="H197" s="1284">
        <v>7111670</v>
      </c>
      <c r="I197" s="1284">
        <v>0</v>
      </c>
      <c r="J197" s="644">
        <f t="shared" si="14"/>
        <v>7111670</v>
      </c>
      <c r="K197" s="1284">
        <v>7111670</v>
      </c>
      <c r="L197" s="644">
        <f t="shared" si="15"/>
        <v>0</v>
      </c>
      <c r="M197" s="680">
        <v>0</v>
      </c>
      <c r="N197" s="651">
        <v>902014</v>
      </c>
    </row>
    <row r="198" spans="1:14" ht="15.95" customHeight="1" x14ac:dyDescent="0.15">
      <c r="A198" s="1286">
        <v>42795</v>
      </c>
      <c r="B198" s="640" t="str">
        <f t="shared" ca="1" si="12"/>
        <v>02</v>
      </c>
      <c r="C198" s="1285" t="s">
        <v>37</v>
      </c>
      <c r="D198" s="640" t="str">
        <f t="shared" ca="1" si="13"/>
        <v>03</v>
      </c>
      <c r="E198" s="1285" t="s">
        <v>98</v>
      </c>
      <c r="F198" s="641" t="str">
        <f>IF(G198="","",VLOOKUP(G198,リスト!J$2:K$3,2,FALSE))</f>
        <v>02</v>
      </c>
      <c r="G198" s="1285" t="s">
        <v>842</v>
      </c>
      <c r="H198" s="1284">
        <v>5757</v>
      </c>
      <c r="I198" s="1284">
        <v>0</v>
      </c>
      <c r="J198" s="644">
        <f t="shared" si="14"/>
        <v>5757</v>
      </c>
      <c r="K198" s="1284">
        <v>5757</v>
      </c>
      <c r="L198" s="644">
        <f t="shared" si="15"/>
        <v>0</v>
      </c>
      <c r="M198" s="680">
        <v>0</v>
      </c>
      <c r="N198" s="651">
        <v>0</v>
      </c>
    </row>
    <row r="199" spans="1:14" ht="15.95" customHeight="1" x14ac:dyDescent="0.15">
      <c r="A199" s="1286">
        <v>42795</v>
      </c>
      <c r="B199" s="640" t="str">
        <f t="shared" ca="1" si="12"/>
        <v>02</v>
      </c>
      <c r="C199" s="1285" t="s">
        <v>37</v>
      </c>
      <c r="D199" s="640" t="str">
        <f t="shared" ca="1" si="13"/>
        <v>02</v>
      </c>
      <c r="E199" s="1285" t="s">
        <v>84</v>
      </c>
      <c r="F199" s="641" t="str">
        <f>IF(G199="","",VLOOKUP(G199,リスト!J$2:K$3,2,FALSE))</f>
        <v>02</v>
      </c>
      <c r="G199" s="1285" t="s">
        <v>842</v>
      </c>
      <c r="H199" s="1284">
        <v>16154</v>
      </c>
      <c r="I199" s="1284">
        <v>-16154</v>
      </c>
      <c r="J199" s="644">
        <f t="shared" si="14"/>
        <v>0</v>
      </c>
      <c r="K199" s="1284">
        <v>0</v>
      </c>
      <c r="L199" s="644">
        <f t="shared" si="15"/>
        <v>0</v>
      </c>
      <c r="M199" s="680">
        <v>0</v>
      </c>
      <c r="N199" s="651">
        <v>0</v>
      </c>
    </row>
    <row r="200" spans="1:14" ht="15.95" customHeight="1" x14ac:dyDescent="0.15">
      <c r="A200" s="1286">
        <v>42795</v>
      </c>
      <c r="B200" s="640" t="str">
        <f t="shared" ca="1" si="12"/>
        <v>02</v>
      </c>
      <c r="C200" s="1285" t="s">
        <v>37</v>
      </c>
      <c r="D200" s="640" t="str">
        <f t="shared" ca="1" si="13"/>
        <v>01</v>
      </c>
      <c r="E200" s="1285" t="s">
        <v>83</v>
      </c>
      <c r="F200" s="641" t="str">
        <f>IF(G200="","",VLOOKUP(G200,リスト!J$2:K$3,2,FALSE))</f>
        <v>02</v>
      </c>
      <c r="G200" s="1285" t="s">
        <v>842</v>
      </c>
      <c r="H200" s="1284">
        <v>28022</v>
      </c>
      <c r="I200" s="1284">
        <v>20233</v>
      </c>
      <c r="J200" s="644">
        <f t="shared" si="14"/>
        <v>48255</v>
      </c>
      <c r="K200" s="1284">
        <v>48255</v>
      </c>
      <c r="L200" s="644">
        <f t="shared" si="15"/>
        <v>0</v>
      </c>
      <c r="M200" s="680">
        <v>0</v>
      </c>
      <c r="N200" s="651">
        <v>0</v>
      </c>
    </row>
    <row r="201" spans="1:14" ht="15.95" customHeight="1" x14ac:dyDescent="0.15">
      <c r="A201" s="1286">
        <v>42795</v>
      </c>
      <c r="B201" s="640" t="str">
        <f t="shared" ca="1" si="12"/>
        <v>02</v>
      </c>
      <c r="C201" s="1285" t="s">
        <v>37</v>
      </c>
      <c r="D201" s="640" t="str">
        <f t="shared" ca="1" si="13"/>
        <v>03</v>
      </c>
      <c r="E201" s="1285" t="s">
        <v>98</v>
      </c>
      <c r="F201" s="641" t="str">
        <f>IF(G201="","",VLOOKUP(G201,リスト!J$2:K$3,2,FALSE))</f>
        <v>01</v>
      </c>
      <c r="G201" s="1285" t="s">
        <v>841</v>
      </c>
      <c r="H201" s="1284">
        <v>349759</v>
      </c>
      <c r="I201" s="1284">
        <v>0</v>
      </c>
      <c r="J201" s="644">
        <f t="shared" si="14"/>
        <v>349759</v>
      </c>
      <c r="K201" s="1284">
        <v>349759</v>
      </c>
      <c r="L201" s="644">
        <f t="shared" si="15"/>
        <v>0</v>
      </c>
      <c r="M201" s="680">
        <v>0</v>
      </c>
      <c r="N201" s="651">
        <v>0</v>
      </c>
    </row>
    <row r="202" spans="1:14" ht="15.95" customHeight="1" x14ac:dyDescent="0.15">
      <c r="A202" s="1286">
        <v>42795</v>
      </c>
      <c r="B202" s="640" t="str">
        <f t="shared" ca="1" si="12"/>
        <v>02</v>
      </c>
      <c r="C202" s="1285" t="s">
        <v>37</v>
      </c>
      <c r="D202" s="640" t="str">
        <f t="shared" ca="1" si="13"/>
        <v>02</v>
      </c>
      <c r="E202" s="1285" t="s">
        <v>84</v>
      </c>
      <c r="F202" s="641" t="str">
        <f>IF(G202="","",VLOOKUP(G202,リスト!J$2:K$3,2,FALSE))</f>
        <v>01</v>
      </c>
      <c r="G202" s="1285" t="s">
        <v>841</v>
      </c>
      <c r="H202" s="1284">
        <v>608591</v>
      </c>
      <c r="I202" s="1284">
        <v>0</v>
      </c>
      <c r="J202" s="644">
        <f t="shared" si="14"/>
        <v>608591</v>
      </c>
      <c r="K202" s="1284">
        <v>608591</v>
      </c>
      <c r="L202" s="644">
        <f t="shared" si="15"/>
        <v>0</v>
      </c>
      <c r="M202" s="680">
        <v>0</v>
      </c>
      <c r="N202" s="651">
        <v>107095</v>
      </c>
    </row>
    <row r="203" spans="1:14" ht="15.95" customHeight="1" x14ac:dyDescent="0.15">
      <c r="A203" s="1286">
        <v>42795</v>
      </c>
      <c r="B203" s="640" t="str">
        <f t="shared" ca="1" si="12"/>
        <v>02</v>
      </c>
      <c r="C203" s="1285" t="s">
        <v>37</v>
      </c>
      <c r="D203" s="640" t="str">
        <f t="shared" ca="1" si="13"/>
        <v>01</v>
      </c>
      <c r="E203" s="1285" t="s">
        <v>83</v>
      </c>
      <c r="F203" s="641" t="str">
        <f>IF(G203="","",VLOOKUP(G203,リスト!J$2:K$3,2,FALSE))</f>
        <v>01</v>
      </c>
      <c r="G203" s="1285" t="s">
        <v>841</v>
      </c>
      <c r="H203" s="1284">
        <v>3742389</v>
      </c>
      <c r="I203" s="1284">
        <v>-122842</v>
      </c>
      <c r="J203" s="644">
        <f t="shared" si="14"/>
        <v>3619547</v>
      </c>
      <c r="K203" s="1284">
        <v>3619547</v>
      </c>
      <c r="L203" s="644">
        <f t="shared" si="15"/>
        <v>0</v>
      </c>
      <c r="M203" s="680">
        <v>0</v>
      </c>
      <c r="N203" s="651">
        <v>295058</v>
      </c>
    </row>
    <row r="204" spans="1:14" ht="15.95" customHeight="1" x14ac:dyDescent="0.15">
      <c r="A204" s="1286">
        <v>42795</v>
      </c>
      <c r="B204" s="640" t="str">
        <f t="shared" ca="1" si="12"/>
        <v>03</v>
      </c>
      <c r="C204" s="1285" t="s">
        <v>66</v>
      </c>
      <c r="D204" s="640" t="str">
        <f t="shared" ca="1" si="13"/>
        <v>02</v>
      </c>
      <c r="E204" s="1285" t="s">
        <v>84</v>
      </c>
      <c r="F204" s="641" t="str">
        <f>IF(G204="","",VLOOKUP(G204,リスト!J$2:K$3,2,FALSE))</f>
        <v>02</v>
      </c>
      <c r="G204" s="1285" t="s">
        <v>842</v>
      </c>
      <c r="H204" s="1284">
        <v>27039</v>
      </c>
      <c r="I204" s="1284">
        <v>0</v>
      </c>
      <c r="J204" s="644">
        <f t="shared" si="14"/>
        <v>27039</v>
      </c>
      <c r="K204" s="1284">
        <v>27039</v>
      </c>
      <c r="L204" s="644">
        <f t="shared" si="15"/>
        <v>0</v>
      </c>
      <c r="M204" s="680">
        <v>0</v>
      </c>
      <c r="N204" s="651">
        <v>0</v>
      </c>
    </row>
    <row r="205" spans="1:14" ht="15.95" customHeight="1" x14ac:dyDescent="0.15">
      <c r="A205" s="1286">
        <v>42795</v>
      </c>
      <c r="B205" s="640" t="str">
        <f t="shared" ca="1" si="12"/>
        <v>03</v>
      </c>
      <c r="C205" s="1285" t="s">
        <v>66</v>
      </c>
      <c r="D205" s="640" t="str">
        <f t="shared" ca="1" si="13"/>
        <v>01</v>
      </c>
      <c r="E205" s="1285" t="s">
        <v>83</v>
      </c>
      <c r="F205" s="641" t="str">
        <f>IF(G205="","",VLOOKUP(G205,リスト!J$2:K$3,2,FALSE))</f>
        <v>02</v>
      </c>
      <c r="G205" s="1285" t="s">
        <v>842</v>
      </c>
      <c r="H205" s="1284">
        <v>167174</v>
      </c>
      <c r="I205" s="1284">
        <v>16420</v>
      </c>
      <c r="J205" s="644">
        <f t="shared" si="14"/>
        <v>183594</v>
      </c>
      <c r="K205" s="1284">
        <v>183594</v>
      </c>
      <c r="L205" s="644">
        <f t="shared" si="15"/>
        <v>0</v>
      </c>
      <c r="M205" s="680">
        <v>0</v>
      </c>
      <c r="N205" s="651">
        <v>0</v>
      </c>
    </row>
    <row r="206" spans="1:14" ht="15.95" customHeight="1" x14ac:dyDescent="0.15">
      <c r="A206" s="1286">
        <v>42795</v>
      </c>
      <c r="B206" s="640" t="str">
        <f t="shared" ca="1" si="12"/>
        <v>03</v>
      </c>
      <c r="C206" s="1285" t="s">
        <v>66</v>
      </c>
      <c r="D206" s="640" t="str">
        <f t="shared" ca="1" si="13"/>
        <v>02</v>
      </c>
      <c r="E206" s="1285" t="s">
        <v>84</v>
      </c>
      <c r="F206" s="641" t="str">
        <f>IF(G206="","",VLOOKUP(G206,リスト!J$2:K$3,2,FALSE))</f>
        <v>01</v>
      </c>
      <c r="G206" s="1285" t="s">
        <v>841</v>
      </c>
      <c r="H206" s="1284">
        <v>1516513</v>
      </c>
      <c r="I206" s="1284">
        <v>-10388</v>
      </c>
      <c r="J206" s="644">
        <f t="shared" si="14"/>
        <v>1506125</v>
      </c>
      <c r="K206" s="1284">
        <v>1506125</v>
      </c>
      <c r="L206" s="644">
        <f t="shared" si="15"/>
        <v>0</v>
      </c>
      <c r="M206" s="680">
        <v>0</v>
      </c>
      <c r="N206" s="651">
        <v>275228</v>
      </c>
    </row>
    <row r="207" spans="1:14" ht="15.95" customHeight="1" x14ac:dyDescent="0.15">
      <c r="A207" s="1286">
        <v>42795</v>
      </c>
      <c r="B207" s="640" t="str">
        <f t="shared" ca="1" si="12"/>
        <v>03</v>
      </c>
      <c r="C207" s="1285" t="s">
        <v>66</v>
      </c>
      <c r="D207" s="640" t="str">
        <f t="shared" ca="1" si="13"/>
        <v>01</v>
      </c>
      <c r="E207" s="1285" t="s">
        <v>83</v>
      </c>
      <c r="F207" s="641" t="str">
        <f>IF(G207="","",VLOOKUP(G207,リスト!J$2:K$3,2,FALSE))</f>
        <v>01</v>
      </c>
      <c r="G207" s="1285" t="s">
        <v>841</v>
      </c>
      <c r="H207" s="1284">
        <v>3023773</v>
      </c>
      <c r="I207" s="1284">
        <v>-44675</v>
      </c>
      <c r="J207" s="644">
        <f t="shared" si="14"/>
        <v>2979098</v>
      </c>
      <c r="K207" s="1284">
        <v>2979098</v>
      </c>
      <c r="L207" s="644">
        <f t="shared" si="15"/>
        <v>0</v>
      </c>
      <c r="M207" s="680">
        <v>40995</v>
      </c>
      <c r="N207" s="651">
        <v>250986</v>
      </c>
    </row>
    <row r="208" spans="1:14" ht="15.95" customHeight="1" x14ac:dyDescent="0.15">
      <c r="A208" s="1286">
        <v>42795</v>
      </c>
      <c r="B208" s="640" t="str">
        <f t="shared" ca="1" si="12"/>
        <v>04</v>
      </c>
      <c r="C208" s="1285" t="s">
        <v>358</v>
      </c>
      <c r="D208" s="640" t="str">
        <f t="shared" ca="1" si="13"/>
        <v>04</v>
      </c>
      <c r="E208" s="1285" t="s">
        <v>542</v>
      </c>
      <c r="F208" s="641" t="str">
        <f>IF(G208="","",VLOOKUP(G208,リスト!J$2:K$3,2,FALSE))</f>
        <v>02</v>
      </c>
      <c r="G208" s="1285" t="s">
        <v>842</v>
      </c>
      <c r="H208" s="1284">
        <v>15277</v>
      </c>
      <c r="I208" s="1284">
        <v>0</v>
      </c>
      <c r="J208" s="644">
        <f t="shared" si="14"/>
        <v>15277</v>
      </c>
      <c r="K208" s="1284">
        <v>15277</v>
      </c>
      <c r="L208" s="644">
        <f t="shared" si="15"/>
        <v>0</v>
      </c>
      <c r="M208" s="680">
        <v>0</v>
      </c>
      <c r="N208" s="651">
        <v>0</v>
      </c>
    </row>
    <row r="209" spans="1:14" ht="15.95" customHeight="1" x14ac:dyDescent="0.15">
      <c r="A209" s="1286">
        <v>42795</v>
      </c>
      <c r="B209" s="640" t="str">
        <f t="shared" ca="1" si="12"/>
        <v>04</v>
      </c>
      <c r="C209" s="1285" t="s">
        <v>358</v>
      </c>
      <c r="D209" s="640" t="str">
        <f t="shared" ca="1" si="13"/>
        <v>04</v>
      </c>
      <c r="E209" s="1285" t="s">
        <v>542</v>
      </c>
      <c r="F209" s="641" t="str">
        <f>IF(G209="","",VLOOKUP(G209,リスト!J$2:K$3,2,FALSE))</f>
        <v>01</v>
      </c>
      <c r="G209" s="1285" t="s">
        <v>841</v>
      </c>
      <c r="H209" s="1284">
        <v>2964543</v>
      </c>
      <c r="I209" s="1284">
        <v>-69837</v>
      </c>
      <c r="J209" s="644">
        <f t="shared" si="14"/>
        <v>2894706</v>
      </c>
      <c r="K209" s="1284">
        <v>2894706</v>
      </c>
      <c r="L209" s="644">
        <f t="shared" si="15"/>
        <v>0</v>
      </c>
      <c r="M209" s="680">
        <v>67235</v>
      </c>
      <c r="N209" s="651">
        <v>111908</v>
      </c>
    </row>
    <row r="210" spans="1:14" ht="15.95" customHeight="1" x14ac:dyDescent="0.15">
      <c r="A210" s="1286">
        <v>42795</v>
      </c>
      <c r="B210" s="640" t="str">
        <f t="shared" ca="1" si="12"/>
        <v>05</v>
      </c>
      <c r="C210" s="1285" t="s">
        <v>38</v>
      </c>
      <c r="D210" s="640" t="str">
        <f t="shared" ca="1" si="13"/>
        <v>01</v>
      </c>
      <c r="E210" s="1285" t="s">
        <v>83</v>
      </c>
      <c r="F210" s="641" t="str">
        <f>IF(G210="","",VLOOKUP(G210,リスト!J$2:K$3,2,FALSE))</f>
        <v>02</v>
      </c>
      <c r="G210" s="1285" t="s">
        <v>842</v>
      </c>
      <c r="H210" s="1284">
        <v>28130</v>
      </c>
      <c r="I210" s="1284">
        <v>0</v>
      </c>
      <c r="J210" s="644">
        <f t="shared" si="14"/>
        <v>28130</v>
      </c>
      <c r="K210" s="1284">
        <v>28130</v>
      </c>
      <c r="L210" s="644">
        <f t="shared" si="15"/>
        <v>0</v>
      </c>
      <c r="M210" s="680">
        <v>0</v>
      </c>
      <c r="N210" s="651">
        <v>0</v>
      </c>
    </row>
    <row r="211" spans="1:14" ht="15.95" customHeight="1" x14ac:dyDescent="0.15">
      <c r="A211" s="1286">
        <v>42795</v>
      </c>
      <c r="B211" s="640" t="str">
        <f t="shared" ca="1" si="12"/>
        <v>05</v>
      </c>
      <c r="C211" s="1285" t="s">
        <v>38</v>
      </c>
      <c r="D211" s="640" t="str">
        <f t="shared" ca="1" si="13"/>
        <v>01</v>
      </c>
      <c r="E211" s="1285" t="s">
        <v>83</v>
      </c>
      <c r="F211" s="641" t="str">
        <f>IF(G211="","",VLOOKUP(G211,リスト!J$2:K$3,2,FALSE))</f>
        <v>01</v>
      </c>
      <c r="G211" s="1285" t="s">
        <v>841</v>
      </c>
      <c r="H211" s="1284">
        <v>1985680</v>
      </c>
      <c r="I211" s="1284">
        <v>0</v>
      </c>
      <c r="J211" s="644">
        <f t="shared" si="14"/>
        <v>1985680</v>
      </c>
      <c r="K211" s="1284">
        <v>1985680</v>
      </c>
      <c r="L211" s="644">
        <f t="shared" si="15"/>
        <v>0</v>
      </c>
      <c r="M211" s="680">
        <v>0</v>
      </c>
      <c r="N211" s="651">
        <v>0</v>
      </c>
    </row>
    <row r="212" spans="1:14" ht="15.95" customHeight="1" x14ac:dyDescent="0.15">
      <c r="A212" s="1286">
        <v>42795</v>
      </c>
      <c r="B212" s="640" t="str">
        <f t="shared" ca="1" si="12"/>
        <v>06</v>
      </c>
      <c r="C212" s="1285" t="s">
        <v>57</v>
      </c>
      <c r="D212" s="640" t="str">
        <f t="shared" ca="1" si="13"/>
        <v>01</v>
      </c>
      <c r="E212" s="1285" t="s">
        <v>83</v>
      </c>
      <c r="F212" s="641" t="str">
        <f>IF(G212="","",VLOOKUP(G212,リスト!J$2:K$3,2,FALSE))</f>
        <v>02</v>
      </c>
      <c r="G212" s="1285" t="s">
        <v>842</v>
      </c>
      <c r="H212" s="1284">
        <v>-28130</v>
      </c>
      <c r="I212" s="1284">
        <v>0</v>
      </c>
      <c r="J212" s="644">
        <f t="shared" si="14"/>
        <v>-28130</v>
      </c>
      <c r="K212" s="1284">
        <v>-28130</v>
      </c>
      <c r="L212" s="644">
        <f t="shared" si="15"/>
        <v>0</v>
      </c>
      <c r="M212" s="680">
        <v>0</v>
      </c>
      <c r="N212" s="651">
        <v>0</v>
      </c>
    </row>
    <row r="213" spans="1:14" ht="15.95" customHeight="1" x14ac:dyDescent="0.15">
      <c r="A213" s="1286">
        <v>42795</v>
      </c>
      <c r="B213" s="640" t="str">
        <f t="shared" ca="1" si="12"/>
        <v>06</v>
      </c>
      <c r="C213" s="1285" t="s">
        <v>57</v>
      </c>
      <c r="D213" s="640" t="str">
        <f t="shared" ca="1" si="13"/>
        <v>01</v>
      </c>
      <c r="E213" s="1285" t="s">
        <v>83</v>
      </c>
      <c r="F213" s="641" t="str">
        <f>IF(G213="","",VLOOKUP(G213,リスト!J$2:K$3,2,FALSE))</f>
        <v>01</v>
      </c>
      <c r="G213" s="1285" t="s">
        <v>841</v>
      </c>
      <c r="H213" s="1284">
        <v>671531</v>
      </c>
      <c r="I213" s="1284">
        <v>0</v>
      </c>
      <c r="J213" s="644">
        <f t="shared" si="14"/>
        <v>671531</v>
      </c>
      <c r="K213" s="1284">
        <v>671531</v>
      </c>
      <c r="L213" s="644">
        <f t="shared" si="15"/>
        <v>0</v>
      </c>
      <c r="M213" s="680">
        <v>0</v>
      </c>
      <c r="N213" s="651">
        <v>0</v>
      </c>
    </row>
    <row r="214" spans="1:14" ht="15.95" customHeight="1" x14ac:dyDescent="0.15">
      <c r="A214" s="1286">
        <v>42795</v>
      </c>
      <c r="B214" s="640" t="str">
        <f t="shared" ca="1" si="12"/>
        <v>07</v>
      </c>
      <c r="C214" s="1285" t="s">
        <v>119</v>
      </c>
      <c r="D214" s="640" t="str">
        <f t="shared" ca="1" si="13"/>
        <v>05</v>
      </c>
      <c r="E214" s="1285" t="s">
        <v>543</v>
      </c>
      <c r="F214" s="641" t="str">
        <f>IF(G214="","",VLOOKUP(G214,リスト!J$2:K$3,2,FALSE))</f>
        <v>02</v>
      </c>
      <c r="G214" s="1285" t="s">
        <v>842</v>
      </c>
      <c r="H214" s="1284">
        <v>0</v>
      </c>
      <c r="I214" s="1284">
        <v>0</v>
      </c>
      <c r="J214" s="644">
        <f t="shared" si="14"/>
        <v>0</v>
      </c>
      <c r="K214" s="1284">
        <v>0</v>
      </c>
      <c r="L214" s="644">
        <f t="shared" si="15"/>
        <v>0</v>
      </c>
      <c r="M214" s="680">
        <v>0</v>
      </c>
      <c r="N214" s="651">
        <v>0</v>
      </c>
    </row>
    <row r="215" spans="1:14" ht="15.95" customHeight="1" x14ac:dyDescent="0.15">
      <c r="A215" s="1286">
        <v>42795</v>
      </c>
      <c r="B215" s="640" t="str">
        <f t="shared" ca="1" si="12"/>
        <v>07</v>
      </c>
      <c r="C215" s="1285" t="s">
        <v>119</v>
      </c>
      <c r="D215" s="640" t="str">
        <f t="shared" ca="1" si="13"/>
        <v>05</v>
      </c>
      <c r="E215" s="1285" t="s">
        <v>543</v>
      </c>
      <c r="F215" s="641" t="str">
        <f>IF(G215="","",VLOOKUP(G215,リスト!J$2:K$3,2,FALSE))</f>
        <v>01</v>
      </c>
      <c r="G215" s="1285" t="s">
        <v>841</v>
      </c>
      <c r="H215" s="1284">
        <v>991308</v>
      </c>
      <c r="I215" s="1284">
        <v>-216066</v>
      </c>
      <c r="J215" s="644">
        <f t="shared" si="14"/>
        <v>775242</v>
      </c>
      <c r="K215" s="1284">
        <v>775242</v>
      </c>
      <c r="L215" s="644">
        <f t="shared" si="15"/>
        <v>0</v>
      </c>
      <c r="M215" s="680">
        <v>0</v>
      </c>
      <c r="N215" s="651">
        <v>55552</v>
      </c>
    </row>
    <row r="216" spans="1:14" ht="15.95" customHeight="1" x14ac:dyDescent="0.15">
      <c r="A216" s="1286">
        <v>42795</v>
      </c>
      <c r="B216" s="640" t="str">
        <f t="shared" ca="1" si="12"/>
        <v>08</v>
      </c>
      <c r="C216" s="1285" t="s">
        <v>189</v>
      </c>
      <c r="D216" s="640" t="str">
        <f t="shared" ca="1" si="13"/>
        <v>05</v>
      </c>
      <c r="E216" s="1285" t="s">
        <v>543</v>
      </c>
      <c r="F216" s="641" t="str">
        <f>IF(G216="","",VLOOKUP(G216,リスト!J$2:K$3,2,FALSE))</f>
        <v>02</v>
      </c>
      <c r="G216" s="1285" t="s">
        <v>842</v>
      </c>
      <c r="H216" s="1284">
        <v>0</v>
      </c>
      <c r="I216" s="1284">
        <v>0</v>
      </c>
      <c r="J216" s="644">
        <f t="shared" si="14"/>
        <v>0</v>
      </c>
      <c r="K216" s="1284">
        <v>0</v>
      </c>
      <c r="L216" s="644">
        <f t="shared" si="15"/>
        <v>0</v>
      </c>
      <c r="M216" s="680">
        <v>0</v>
      </c>
      <c r="N216" s="651">
        <v>0</v>
      </c>
    </row>
    <row r="217" spans="1:14" ht="15.95" customHeight="1" x14ac:dyDescent="0.15">
      <c r="A217" s="1286">
        <v>42795</v>
      </c>
      <c r="B217" s="640" t="str">
        <f t="shared" ca="1" si="12"/>
        <v>08</v>
      </c>
      <c r="C217" s="1285" t="s">
        <v>189</v>
      </c>
      <c r="D217" s="640" t="str">
        <f t="shared" ca="1" si="13"/>
        <v>05</v>
      </c>
      <c r="E217" s="1285" t="s">
        <v>543</v>
      </c>
      <c r="F217" s="641" t="str">
        <f>IF(G217="","",VLOOKUP(G217,リスト!J$2:K$3,2,FALSE))</f>
        <v>01</v>
      </c>
      <c r="G217" s="1285" t="s">
        <v>841</v>
      </c>
      <c r="H217" s="1284">
        <v>359204</v>
      </c>
      <c r="I217" s="1284">
        <v>0</v>
      </c>
      <c r="J217" s="644">
        <f t="shared" si="14"/>
        <v>359204</v>
      </c>
      <c r="K217" s="1284">
        <v>359204</v>
      </c>
      <c r="L217" s="644">
        <f t="shared" si="15"/>
        <v>0</v>
      </c>
      <c r="M217" s="680">
        <v>0</v>
      </c>
      <c r="N217" s="651">
        <v>0</v>
      </c>
    </row>
    <row r="218" spans="1:14" ht="15.95" customHeight="1" x14ac:dyDescent="0.15">
      <c r="A218" s="1286">
        <v>42795</v>
      </c>
      <c r="B218" s="640" t="str">
        <f t="shared" ca="1" si="12"/>
        <v>10</v>
      </c>
      <c r="C218" s="1285" t="s">
        <v>336</v>
      </c>
      <c r="D218" s="640" t="str">
        <f t="shared" ca="1" si="13"/>
        <v>02</v>
      </c>
      <c r="E218" s="1285" t="s">
        <v>84</v>
      </c>
      <c r="F218" s="641" t="str">
        <f>IF(G218="","",VLOOKUP(G218,リスト!J$2:K$3,2,FALSE))</f>
        <v>02</v>
      </c>
      <c r="G218" s="1285" t="s">
        <v>842</v>
      </c>
      <c r="H218" s="1284">
        <v>0</v>
      </c>
      <c r="I218" s="1284">
        <v>0</v>
      </c>
      <c r="J218" s="644">
        <f t="shared" si="14"/>
        <v>0</v>
      </c>
      <c r="K218" s="1284">
        <v>0</v>
      </c>
      <c r="L218" s="644">
        <f t="shared" si="15"/>
        <v>0</v>
      </c>
      <c r="M218" s="680">
        <v>0</v>
      </c>
      <c r="N218" s="651">
        <v>0</v>
      </c>
    </row>
    <row r="219" spans="1:14" ht="15.95" customHeight="1" x14ac:dyDescent="0.15">
      <c r="A219" s="1286">
        <v>42795</v>
      </c>
      <c r="B219" s="640" t="str">
        <f t="shared" ca="1" si="12"/>
        <v>10</v>
      </c>
      <c r="C219" s="1285" t="s">
        <v>336</v>
      </c>
      <c r="D219" s="640" t="str">
        <f t="shared" ca="1" si="13"/>
        <v>01</v>
      </c>
      <c r="E219" s="1285" t="s">
        <v>83</v>
      </c>
      <c r="F219" s="641" t="str">
        <f>IF(G219="","",VLOOKUP(G219,リスト!J$2:K$3,2,FALSE))</f>
        <v>02</v>
      </c>
      <c r="G219" s="1285" t="s">
        <v>842</v>
      </c>
      <c r="H219" s="1284">
        <v>50505</v>
      </c>
      <c r="I219" s="1284">
        <v>-23774</v>
      </c>
      <c r="J219" s="644">
        <f t="shared" si="14"/>
        <v>26731</v>
      </c>
      <c r="K219" s="1284">
        <v>26731</v>
      </c>
      <c r="L219" s="644">
        <f t="shared" si="15"/>
        <v>0</v>
      </c>
      <c r="M219" s="680">
        <v>0</v>
      </c>
      <c r="N219" s="651">
        <v>0</v>
      </c>
    </row>
    <row r="220" spans="1:14" ht="15.95" customHeight="1" x14ac:dyDescent="0.15">
      <c r="A220" s="1286">
        <v>42795</v>
      </c>
      <c r="B220" s="640" t="str">
        <f t="shared" ca="1" si="12"/>
        <v>10</v>
      </c>
      <c r="C220" s="1285" t="s">
        <v>336</v>
      </c>
      <c r="D220" s="640" t="str">
        <f t="shared" ca="1" si="13"/>
        <v>02</v>
      </c>
      <c r="E220" s="1285" t="s">
        <v>84</v>
      </c>
      <c r="F220" s="641" t="str">
        <f>IF(G220="","",VLOOKUP(G220,リスト!J$2:K$3,2,FALSE))</f>
        <v>01</v>
      </c>
      <c r="G220" s="1285" t="s">
        <v>841</v>
      </c>
      <c r="H220" s="1284">
        <v>0</v>
      </c>
      <c r="I220" s="1284">
        <v>0</v>
      </c>
      <c r="J220" s="644">
        <f t="shared" si="14"/>
        <v>0</v>
      </c>
      <c r="K220" s="1284">
        <v>0</v>
      </c>
      <c r="L220" s="644">
        <f t="shared" si="15"/>
        <v>0</v>
      </c>
      <c r="M220" s="680">
        <v>0</v>
      </c>
      <c r="N220" s="651">
        <v>0</v>
      </c>
    </row>
    <row r="221" spans="1:14" ht="15.95" customHeight="1" x14ac:dyDescent="0.15">
      <c r="A221" s="1286">
        <v>42795</v>
      </c>
      <c r="B221" s="640" t="str">
        <f t="shared" ca="1" si="12"/>
        <v>10</v>
      </c>
      <c r="C221" s="1285" t="s">
        <v>336</v>
      </c>
      <c r="D221" s="640" t="str">
        <f t="shared" ca="1" si="13"/>
        <v>01</v>
      </c>
      <c r="E221" s="1285" t="s">
        <v>83</v>
      </c>
      <c r="F221" s="641" t="str">
        <f>IF(G221="","",VLOOKUP(G221,リスト!J$2:K$3,2,FALSE))</f>
        <v>01</v>
      </c>
      <c r="G221" s="1285" t="s">
        <v>841</v>
      </c>
      <c r="H221" s="1284">
        <v>1109940</v>
      </c>
      <c r="I221" s="1284">
        <v>-8699</v>
      </c>
      <c r="J221" s="644">
        <f t="shared" si="14"/>
        <v>1101241</v>
      </c>
      <c r="K221" s="1284">
        <v>1101241</v>
      </c>
      <c r="L221" s="644">
        <f t="shared" si="15"/>
        <v>0</v>
      </c>
      <c r="M221" s="680">
        <v>37299</v>
      </c>
      <c r="N221" s="651">
        <v>0</v>
      </c>
    </row>
    <row r="222" spans="1:14" ht="15.95" customHeight="1" x14ac:dyDescent="0.15">
      <c r="A222" s="1286">
        <v>42826</v>
      </c>
      <c r="B222" s="640" t="str">
        <f t="shared" ca="1" si="12"/>
        <v>01</v>
      </c>
      <c r="C222" s="1285" t="s">
        <v>34</v>
      </c>
      <c r="D222" s="640" t="str">
        <f t="shared" ca="1" si="13"/>
        <v>03</v>
      </c>
      <c r="E222" s="1285" t="s">
        <v>98</v>
      </c>
      <c r="F222" s="641" t="str">
        <f>IF(G222="","",VLOOKUP(G222,リスト!J$2:K$3,2,FALSE))</f>
        <v>02</v>
      </c>
      <c r="G222" s="1285" t="s">
        <v>842</v>
      </c>
      <c r="H222" s="1284">
        <v>0</v>
      </c>
      <c r="I222" s="1284">
        <v>0</v>
      </c>
      <c r="J222" s="644">
        <f t="shared" si="14"/>
        <v>0</v>
      </c>
      <c r="K222" s="1284">
        <v>0</v>
      </c>
      <c r="L222" s="644">
        <f t="shared" si="15"/>
        <v>0</v>
      </c>
      <c r="M222" s="680">
        <v>0</v>
      </c>
      <c r="N222" s="651">
        <v>0</v>
      </c>
    </row>
    <row r="223" spans="1:14" ht="15.95" customHeight="1" x14ac:dyDescent="0.15">
      <c r="A223" s="1286">
        <v>42826</v>
      </c>
      <c r="B223" s="640" t="str">
        <f t="shared" ca="1" si="12"/>
        <v>01</v>
      </c>
      <c r="C223" s="1285" t="s">
        <v>34</v>
      </c>
      <c r="D223" s="640" t="str">
        <f t="shared" ca="1" si="13"/>
        <v>02</v>
      </c>
      <c r="E223" s="1285" t="s">
        <v>84</v>
      </c>
      <c r="F223" s="641" t="str">
        <f>IF(G223="","",VLOOKUP(G223,リスト!J$2:K$3,2,FALSE))</f>
        <v>02</v>
      </c>
      <c r="G223" s="1285" t="s">
        <v>842</v>
      </c>
      <c r="H223" s="1284">
        <v>282651</v>
      </c>
      <c r="I223" s="1284">
        <v>0</v>
      </c>
      <c r="J223" s="644">
        <f t="shared" si="14"/>
        <v>282651</v>
      </c>
      <c r="K223" s="1284">
        <v>282651</v>
      </c>
      <c r="L223" s="644">
        <f t="shared" si="15"/>
        <v>0</v>
      </c>
      <c r="M223" s="680">
        <v>0</v>
      </c>
      <c r="N223" s="651">
        <v>0</v>
      </c>
    </row>
    <row r="224" spans="1:14" ht="15.95" customHeight="1" x14ac:dyDescent="0.15">
      <c r="A224" s="1286">
        <v>42826</v>
      </c>
      <c r="B224" s="640" t="str">
        <f t="shared" ca="1" si="12"/>
        <v>01</v>
      </c>
      <c r="C224" s="1285" t="s">
        <v>34</v>
      </c>
      <c r="D224" s="640" t="str">
        <f t="shared" ca="1" si="13"/>
        <v>01</v>
      </c>
      <c r="E224" s="1285" t="s">
        <v>83</v>
      </c>
      <c r="F224" s="641" t="str">
        <f>IF(G224="","",VLOOKUP(G224,リスト!J$2:K$3,2,FALSE))</f>
        <v>02</v>
      </c>
      <c r="G224" s="1285" t="s">
        <v>842</v>
      </c>
      <c r="H224" s="1284">
        <v>-119623</v>
      </c>
      <c r="I224" s="1284">
        <v>0</v>
      </c>
      <c r="J224" s="644">
        <f t="shared" si="14"/>
        <v>-119623</v>
      </c>
      <c r="K224" s="1284">
        <v>-119623</v>
      </c>
      <c r="L224" s="644">
        <f t="shared" si="15"/>
        <v>0</v>
      </c>
      <c r="M224" s="680">
        <v>0</v>
      </c>
      <c r="N224" s="651">
        <v>0</v>
      </c>
    </row>
    <row r="225" spans="1:14" ht="15.95" customHeight="1" x14ac:dyDescent="0.15">
      <c r="A225" s="1286">
        <v>42826</v>
      </c>
      <c r="B225" s="640" t="str">
        <f t="shared" ca="1" si="12"/>
        <v>01</v>
      </c>
      <c r="C225" s="1285" t="s">
        <v>34</v>
      </c>
      <c r="D225" s="640" t="str">
        <f t="shared" ca="1" si="13"/>
        <v>03</v>
      </c>
      <c r="E225" s="1285" t="s">
        <v>98</v>
      </c>
      <c r="F225" s="641" t="str">
        <f>IF(G225="","",VLOOKUP(G225,リスト!J$2:K$3,2,FALSE))</f>
        <v>01</v>
      </c>
      <c r="G225" s="1285" t="s">
        <v>841</v>
      </c>
      <c r="H225" s="1284">
        <v>619566</v>
      </c>
      <c r="I225" s="1284">
        <v>0</v>
      </c>
      <c r="J225" s="644">
        <f t="shared" si="14"/>
        <v>619566</v>
      </c>
      <c r="K225" s="1284">
        <v>619566</v>
      </c>
      <c r="L225" s="644">
        <f t="shared" si="15"/>
        <v>0</v>
      </c>
      <c r="M225" s="680">
        <v>22298</v>
      </c>
      <c r="N225" s="651">
        <v>0</v>
      </c>
    </row>
    <row r="226" spans="1:14" ht="15.95" customHeight="1" x14ac:dyDescent="0.15">
      <c r="A226" s="1286">
        <v>42826</v>
      </c>
      <c r="B226" s="640" t="str">
        <f t="shared" ca="1" si="12"/>
        <v>01</v>
      </c>
      <c r="C226" s="1285" t="s">
        <v>34</v>
      </c>
      <c r="D226" s="640" t="str">
        <f t="shared" ca="1" si="13"/>
        <v>02</v>
      </c>
      <c r="E226" s="1285" t="s">
        <v>84</v>
      </c>
      <c r="F226" s="641" t="str">
        <f>IF(G226="","",VLOOKUP(G226,リスト!J$2:K$3,2,FALSE))</f>
        <v>01</v>
      </c>
      <c r="G226" s="1285" t="s">
        <v>841</v>
      </c>
      <c r="H226" s="1284">
        <v>1633700</v>
      </c>
      <c r="I226" s="1284">
        <v>0</v>
      </c>
      <c r="J226" s="644">
        <f t="shared" si="14"/>
        <v>1633700</v>
      </c>
      <c r="K226" s="1284">
        <v>1633700</v>
      </c>
      <c r="L226" s="644">
        <f t="shared" si="15"/>
        <v>0</v>
      </c>
      <c r="M226" s="680">
        <v>0</v>
      </c>
      <c r="N226" s="651">
        <v>404827</v>
      </c>
    </row>
    <row r="227" spans="1:14" ht="15.95" customHeight="1" x14ac:dyDescent="0.15">
      <c r="A227" s="1286">
        <v>42826</v>
      </c>
      <c r="B227" s="640" t="str">
        <f t="shared" ca="1" si="12"/>
        <v>01</v>
      </c>
      <c r="C227" s="1285" t="s">
        <v>34</v>
      </c>
      <c r="D227" s="640" t="str">
        <f t="shared" ca="1" si="13"/>
        <v>01</v>
      </c>
      <c r="E227" s="1285" t="s">
        <v>83</v>
      </c>
      <c r="F227" s="641" t="str">
        <f>IF(G227="","",VLOOKUP(G227,リスト!J$2:K$3,2,FALSE))</f>
        <v>01</v>
      </c>
      <c r="G227" s="1285" t="s">
        <v>841</v>
      </c>
      <c r="H227" s="1284">
        <v>7383618</v>
      </c>
      <c r="I227" s="1284">
        <v>-20778</v>
      </c>
      <c r="J227" s="644">
        <f t="shared" si="14"/>
        <v>7362840</v>
      </c>
      <c r="K227" s="1284">
        <v>7362840</v>
      </c>
      <c r="L227" s="644">
        <f t="shared" si="15"/>
        <v>0</v>
      </c>
      <c r="M227" s="680">
        <v>73700</v>
      </c>
      <c r="N227" s="651">
        <v>1307359</v>
      </c>
    </row>
    <row r="228" spans="1:14" ht="15.95" customHeight="1" x14ac:dyDescent="0.15">
      <c r="A228" s="1286">
        <v>42826</v>
      </c>
      <c r="B228" s="640" t="str">
        <f t="shared" ca="1" si="12"/>
        <v>02</v>
      </c>
      <c r="C228" s="1285" t="s">
        <v>37</v>
      </c>
      <c r="D228" s="640" t="str">
        <f t="shared" ca="1" si="13"/>
        <v>03</v>
      </c>
      <c r="E228" s="1285" t="s">
        <v>98</v>
      </c>
      <c r="F228" s="641" t="str">
        <f>IF(G228="","",VLOOKUP(G228,リスト!J$2:K$3,2,FALSE))</f>
        <v>02</v>
      </c>
      <c r="G228" s="1285" t="s">
        <v>842</v>
      </c>
      <c r="H228" s="1284">
        <v>0</v>
      </c>
      <c r="I228" s="1284">
        <v>0</v>
      </c>
      <c r="J228" s="644">
        <f t="shared" si="14"/>
        <v>0</v>
      </c>
      <c r="K228" s="1284">
        <v>0</v>
      </c>
      <c r="L228" s="644">
        <f t="shared" si="15"/>
        <v>0</v>
      </c>
      <c r="M228" s="680">
        <v>0</v>
      </c>
      <c r="N228" s="651">
        <v>0</v>
      </c>
    </row>
    <row r="229" spans="1:14" ht="15.95" customHeight="1" x14ac:dyDescent="0.15">
      <c r="A229" s="1286">
        <v>42826</v>
      </c>
      <c r="B229" s="640" t="str">
        <f t="shared" ca="1" si="12"/>
        <v>02</v>
      </c>
      <c r="C229" s="1285" t="s">
        <v>37</v>
      </c>
      <c r="D229" s="640" t="str">
        <f t="shared" ca="1" si="13"/>
        <v>02</v>
      </c>
      <c r="E229" s="1285" t="s">
        <v>84</v>
      </c>
      <c r="F229" s="641" t="str">
        <f>IF(G229="","",VLOOKUP(G229,リスト!J$2:K$3,2,FALSE))</f>
        <v>02</v>
      </c>
      <c r="G229" s="1285" t="s">
        <v>842</v>
      </c>
      <c r="H229" s="1284">
        <v>16154</v>
      </c>
      <c r="I229" s="1284">
        <v>0</v>
      </c>
      <c r="J229" s="644">
        <f t="shared" si="14"/>
        <v>16154</v>
      </c>
      <c r="K229" s="1284">
        <v>16154</v>
      </c>
      <c r="L229" s="644">
        <f t="shared" si="15"/>
        <v>0</v>
      </c>
      <c r="M229" s="680">
        <v>0</v>
      </c>
      <c r="N229" s="651">
        <v>0</v>
      </c>
    </row>
    <row r="230" spans="1:14" ht="15.95" customHeight="1" x14ac:dyDescent="0.15">
      <c r="A230" s="1286">
        <v>42826</v>
      </c>
      <c r="B230" s="640" t="str">
        <f t="shared" ca="1" si="12"/>
        <v>02</v>
      </c>
      <c r="C230" s="1285" t="s">
        <v>37</v>
      </c>
      <c r="D230" s="640" t="str">
        <f t="shared" ca="1" si="13"/>
        <v>01</v>
      </c>
      <c r="E230" s="1285" t="s">
        <v>83</v>
      </c>
      <c r="F230" s="641" t="str">
        <f>IF(G230="","",VLOOKUP(G230,リスト!J$2:K$3,2,FALSE))</f>
        <v>02</v>
      </c>
      <c r="G230" s="1285" t="s">
        <v>842</v>
      </c>
      <c r="H230" s="1284">
        <v>0</v>
      </c>
      <c r="I230" s="1284">
        <v>45072</v>
      </c>
      <c r="J230" s="644">
        <f t="shared" si="14"/>
        <v>45072</v>
      </c>
      <c r="K230" s="1284">
        <v>45072</v>
      </c>
      <c r="L230" s="644">
        <f t="shared" si="15"/>
        <v>0</v>
      </c>
      <c r="M230" s="680">
        <v>0</v>
      </c>
      <c r="N230" s="651">
        <v>0</v>
      </c>
    </row>
    <row r="231" spans="1:14" ht="15.95" customHeight="1" x14ac:dyDescent="0.15">
      <c r="A231" s="1286">
        <v>42826</v>
      </c>
      <c r="B231" s="640" t="str">
        <f t="shared" ca="1" si="12"/>
        <v>02</v>
      </c>
      <c r="C231" s="1285" t="s">
        <v>37</v>
      </c>
      <c r="D231" s="640" t="str">
        <f t="shared" ca="1" si="13"/>
        <v>03</v>
      </c>
      <c r="E231" s="1285" t="s">
        <v>98</v>
      </c>
      <c r="F231" s="641" t="str">
        <f>IF(G231="","",VLOOKUP(G231,リスト!J$2:K$3,2,FALSE))</f>
        <v>01</v>
      </c>
      <c r="G231" s="1285" t="s">
        <v>841</v>
      </c>
      <c r="H231" s="1284">
        <v>353803</v>
      </c>
      <c r="I231" s="1284">
        <v>0</v>
      </c>
      <c r="J231" s="644">
        <f t="shared" si="14"/>
        <v>353803</v>
      </c>
      <c r="K231" s="1284">
        <v>353803</v>
      </c>
      <c r="L231" s="644">
        <f t="shared" si="15"/>
        <v>0</v>
      </c>
      <c r="M231" s="680">
        <v>0</v>
      </c>
      <c r="N231" s="651">
        <v>0</v>
      </c>
    </row>
    <row r="232" spans="1:14" ht="15.95" customHeight="1" x14ac:dyDescent="0.15">
      <c r="A232" s="1286">
        <v>42826</v>
      </c>
      <c r="B232" s="640" t="str">
        <f t="shared" ca="1" si="12"/>
        <v>02</v>
      </c>
      <c r="C232" s="1285" t="s">
        <v>37</v>
      </c>
      <c r="D232" s="640" t="str">
        <f t="shared" ca="1" si="13"/>
        <v>02</v>
      </c>
      <c r="E232" s="1285" t="s">
        <v>84</v>
      </c>
      <c r="F232" s="641" t="str">
        <f>IF(G232="","",VLOOKUP(G232,リスト!J$2:K$3,2,FALSE))</f>
        <v>01</v>
      </c>
      <c r="G232" s="1285" t="s">
        <v>841</v>
      </c>
      <c r="H232" s="1284">
        <v>745402</v>
      </c>
      <c r="I232" s="1284">
        <v>-16154</v>
      </c>
      <c r="J232" s="644">
        <f t="shared" si="14"/>
        <v>729248</v>
      </c>
      <c r="K232" s="1284">
        <v>729248</v>
      </c>
      <c r="L232" s="644">
        <f t="shared" si="15"/>
        <v>0</v>
      </c>
      <c r="M232" s="680">
        <v>0</v>
      </c>
      <c r="N232" s="651">
        <v>168926</v>
      </c>
    </row>
    <row r="233" spans="1:14" ht="15.95" customHeight="1" x14ac:dyDescent="0.15">
      <c r="A233" s="1286">
        <v>42826</v>
      </c>
      <c r="B233" s="640" t="str">
        <f t="shared" ca="1" si="12"/>
        <v>02</v>
      </c>
      <c r="C233" s="1285" t="s">
        <v>37</v>
      </c>
      <c r="D233" s="640" t="str">
        <f t="shared" ca="1" si="13"/>
        <v>01</v>
      </c>
      <c r="E233" s="1285" t="s">
        <v>83</v>
      </c>
      <c r="F233" s="641" t="str">
        <f>IF(G233="","",VLOOKUP(G233,リスト!J$2:K$3,2,FALSE))</f>
        <v>01</v>
      </c>
      <c r="G233" s="1285" t="s">
        <v>841</v>
      </c>
      <c r="H233" s="1284">
        <v>3574744</v>
      </c>
      <c r="I233" s="1284">
        <v>-29326</v>
      </c>
      <c r="J233" s="644">
        <f t="shared" si="14"/>
        <v>3545418</v>
      </c>
      <c r="K233" s="1284">
        <v>3545418</v>
      </c>
      <c r="L233" s="644">
        <f t="shared" si="15"/>
        <v>0</v>
      </c>
      <c r="M233" s="680">
        <v>237661</v>
      </c>
      <c r="N233" s="651">
        <v>432067</v>
      </c>
    </row>
    <row r="234" spans="1:14" ht="15.95" customHeight="1" x14ac:dyDescent="0.15">
      <c r="A234" s="1286">
        <v>42826</v>
      </c>
      <c r="B234" s="640" t="str">
        <f t="shared" ca="1" si="12"/>
        <v>03</v>
      </c>
      <c r="C234" s="1285" t="s">
        <v>66</v>
      </c>
      <c r="D234" s="640" t="str">
        <f t="shared" ca="1" si="13"/>
        <v>02</v>
      </c>
      <c r="E234" s="1285" t="s">
        <v>84</v>
      </c>
      <c r="F234" s="641" t="str">
        <f>IF(G234="","",VLOOKUP(G234,リスト!J$2:K$3,2,FALSE))</f>
        <v>02</v>
      </c>
      <c r="G234" s="1285" t="s">
        <v>842</v>
      </c>
      <c r="H234" s="1284">
        <v>10388</v>
      </c>
      <c r="I234" s="1284">
        <v>0</v>
      </c>
      <c r="J234" s="644">
        <f t="shared" si="14"/>
        <v>10388</v>
      </c>
      <c r="K234" s="1284">
        <v>10388</v>
      </c>
      <c r="L234" s="644">
        <f t="shared" si="15"/>
        <v>0</v>
      </c>
      <c r="M234" s="680">
        <v>0</v>
      </c>
      <c r="N234" s="651">
        <v>0</v>
      </c>
    </row>
    <row r="235" spans="1:14" ht="15.95" customHeight="1" x14ac:dyDescent="0.15">
      <c r="A235" s="1286">
        <v>42826</v>
      </c>
      <c r="B235" s="640" t="str">
        <f t="shared" ca="1" si="12"/>
        <v>03</v>
      </c>
      <c r="C235" s="1285" t="s">
        <v>66</v>
      </c>
      <c r="D235" s="640" t="str">
        <f t="shared" ca="1" si="13"/>
        <v>01</v>
      </c>
      <c r="E235" s="1285" t="s">
        <v>83</v>
      </c>
      <c r="F235" s="641" t="str">
        <f>IF(G235="","",VLOOKUP(G235,リスト!J$2:K$3,2,FALSE))</f>
        <v>02</v>
      </c>
      <c r="G235" s="1285" t="s">
        <v>842</v>
      </c>
      <c r="H235" s="1284">
        <v>86464</v>
      </c>
      <c r="I235" s="1284">
        <v>6729</v>
      </c>
      <c r="J235" s="644">
        <f t="shared" si="14"/>
        <v>93193</v>
      </c>
      <c r="K235" s="1284">
        <v>93193</v>
      </c>
      <c r="L235" s="644">
        <f t="shared" si="15"/>
        <v>0</v>
      </c>
      <c r="M235" s="680">
        <v>0</v>
      </c>
      <c r="N235" s="651">
        <v>0</v>
      </c>
    </row>
    <row r="236" spans="1:14" ht="15.95" customHeight="1" x14ac:dyDescent="0.15">
      <c r="A236" s="1286">
        <v>42826</v>
      </c>
      <c r="B236" s="640" t="str">
        <f t="shared" ca="1" si="12"/>
        <v>03</v>
      </c>
      <c r="C236" s="1285" t="s">
        <v>66</v>
      </c>
      <c r="D236" s="640" t="str">
        <f t="shared" ca="1" si="13"/>
        <v>02</v>
      </c>
      <c r="E236" s="1285" t="s">
        <v>84</v>
      </c>
      <c r="F236" s="641" t="str">
        <f>IF(G236="","",VLOOKUP(G236,リスト!J$2:K$3,2,FALSE))</f>
        <v>01</v>
      </c>
      <c r="G236" s="1285" t="s">
        <v>841</v>
      </c>
      <c r="H236" s="1284">
        <v>1508857</v>
      </c>
      <c r="I236" s="1284">
        <v>0</v>
      </c>
      <c r="J236" s="644">
        <f t="shared" si="14"/>
        <v>1508857</v>
      </c>
      <c r="K236" s="1284">
        <v>1508857</v>
      </c>
      <c r="L236" s="644">
        <f t="shared" si="15"/>
        <v>0</v>
      </c>
      <c r="M236" s="680">
        <v>0</v>
      </c>
      <c r="N236" s="651">
        <v>349812</v>
      </c>
    </row>
    <row r="237" spans="1:14" ht="15.95" customHeight="1" x14ac:dyDescent="0.15">
      <c r="A237" s="1286">
        <v>42826</v>
      </c>
      <c r="B237" s="640" t="str">
        <f t="shared" ca="1" si="12"/>
        <v>03</v>
      </c>
      <c r="C237" s="1285" t="s">
        <v>66</v>
      </c>
      <c r="D237" s="640" t="str">
        <f t="shared" ca="1" si="13"/>
        <v>01</v>
      </c>
      <c r="E237" s="1285" t="s">
        <v>83</v>
      </c>
      <c r="F237" s="641" t="str">
        <f>IF(G237="","",VLOOKUP(G237,リスト!J$2:K$3,2,FALSE))</f>
        <v>01</v>
      </c>
      <c r="G237" s="1285" t="s">
        <v>841</v>
      </c>
      <c r="H237" s="1284">
        <v>3374283</v>
      </c>
      <c r="I237" s="1284">
        <v>-207925</v>
      </c>
      <c r="J237" s="644">
        <f t="shared" si="14"/>
        <v>3166358</v>
      </c>
      <c r="K237" s="1284">
        <v>3166358</v>
      </c>
      <c r="L237" s="644">
        <f t="shared" si="15"/>
        <v>0</v>
      </c>
      <c r="M237" s="680">
        <v>45028</v>
      </c>
      <c r="N237" s="651">
        <v>382692</v>
      </c>
    </row>
    <row r="238" spans="1:14" ht="15.95" customHeight="1" x14ac:dyDescent="0.15">
      <c r="A238" s="1286">
        <v>42826</v>
      </c>
      <c r="B238" s="640" t="str">
        <f t="shared" ca="1" si="12"/>
        <v>04</v>
      </c>
      <c r="C238" s="1285" t="s">
        <v>358</v>
      </c>
      <c r="D238" s="640" t="str">
        <f t="shared" ca="1" si="13"/>
        <v>04</v>
      </c>
      <c r="E238" s="1285" t="s">
        <v>542</v>
      </c>
      <c r="F238" s="641" t="str">
        <f>IF(G238="","",VLOOKUP(G238,リスト!J$2:K$3,2,FALSE))</f>
        <v>02</v>
      </c>
      <c r="G238" s="1285" t="s">
        <v>842</v>
      </c>
      <c r="H238" s="1284">
        <v>67235</v>
      </c>
      <c r="I238" s="1284">
        <v>-8768</v>
      </c>
      <c r="J238" s="644">
        <f t="shared" si="14"/>
        <v>58467</v>
      </c>
      <c r="K238" s="1284">
        <v>58467</v>
      </c>
      <c r="L238" s="644">
        <f t="shared" si="15"/>
        <v>0</v>
      </c>
      <c r="M238" s="680">
        <v>0</v>
      </c>
      <c r="N238" s="651">
        <v>0</v>
      </c>
    </row>
    <row r="239" spans="1:14" ht="15.95" customHeight="1" x14ac:dyDescent="0.15">
      <c r="A239" s="1286">
        <v>42826</v>
      </c>
      <c r="B239" s="640" t="str">
        <f t="shared" ca="1" si="12"/>
        <v>04</v>
      </c>
      <c r="C239" s="1285" t="s">
        <v>358</v>
      </c>
      <c r="D239" s="640" t="str">
        <f t="shared" ca="1" si="13"/>
        <v>04</v>
      </c>
      <c r="E239" s="1285" t="s">
        <v>542</v>
      </c>
      <c r="F239" s="641" t="str">
        <f>IF(G239="","",VLOOKUP(G239,リスト!J$2:K$3,2,FALSE))</f>
        <v>01</v>
      </c>
      <c r="G239" s="1285" t="s">
        <v>841</v>
      </c>
      <c r="H239" s="1284">
        <v>2927934</v>
      </c>
      <c r="I239" s="1284">
        <v>-125482</v>
      </c>
      <c r="J239" s="644">
        <f t="shared" si="14"/>
        <v>2802452</v>
      </c>
      <c r="K239" s="1284">
        <v>2802452</v>
      </c>
      <c r="L239" s="644">
        <f t="shared" si="15"/>
        <v>0</v>
      </c>
      <c r="M239" s="680">
        <v>208633</v>
      </c>
      <c r="N239" s="651">
        <v>158671</v>
      </c>
    </row>
    <row r="240" spans="1:14" ht="15.95" customHeight="1" x14ac:dyDescent="0.15">
      <c r="A240" s="1286">
        <v>42826</v>
      </c>
      <c r="B240" s="640" t="str">
        <f t="shared" ca="1" si="12"/>
        <v>05</v>
      </c>
      <c r="C240" s="1285" t="s">
        <v>38</v>
      </c>
      <c r="D240" s="640" t="str">
        <f t="shared" ca="1" si="13"/>
        <v>01</v>
      </c>
      <c r="E240" s="1285" t="s">
        <v>83</v>
      </c>
      <c r="F240" s="641" t="str">
        <f>IF(G240="","",VLOOKUP(G240,リスト!J$2:K$3,2,FALSE))</f>
        <v>02</v>
      </c>
      <c r="G240" s="1285" t="s">
        <v>842</v>
      </c>
      <c r="H240" s="1284">
        <v>0</v>
      </c>
      <c r="I240" s="1284">
        <v>0</v>
      </c>
      <c r="J240" s="644">
        <f t="shared" si="14"/>
        <v>0</v>
      </c>
      <c r="K240" s="1284">
        <v>0</v>
      </c>
      <c r="L240" s="644">
        <f t="shared" si="15"/>
        <v>0</v>
      </c>
      <c r="M240" s="680">
        <v>0</v>
      </c>
      <c r="N240" s="651">
        <v>0</v>
      </c>
    </row>
    <row r="241" spans="1:14" ht="15.95" customHeight="1" x14ac:dyDescent="0.15">
      <c r="A241" s="1286">
        <v>42826</v>
      </c>
      <c r="B241" s="640" t="str">
        <f t="shared" ca="1" si="12"/>
        <v>05</v>
      </c>
      <c r="C241" s="1285" t="s">
        <v>38</v>
      </c>
      <c r="D241" s="640" t="str">
        <f t="shared" ca="1" si="13"/>
        <v>01</v>
      </c>
      <c r="E241" s="1285" t="s">
        <v>83</v>
      </c>
      <c r="F241" s="641" t="str">
        <f>IF(G241="","",VLOOKUP(G241,リスト!J$2:K$3,2,FALSE))</f>
        <v>01</v>
      </c>
      <c r="G241" s="1285" t="s">
        <v>841</v>
      </c>
      <c r="H241" s="1284">
        <v>1881228</v>
      </c>
      <c r="I241" s="1284">
        <v>0</v>
      </c>
      <c r="J241" s="644">
        <f t="shared" si="14"/>
        <v>1881228</v>
      </c>
      <c r="K241" s="1284">
        <v>1881228</v>
      </c>
      <c r="L241" s="644">
        <f t="shared" si="15"/>
        <v>0</v>
      </c>
      <c r="M241" s="680">
        <v>133111</v>
      </c>
      <c r="N241" s="651">
        <v>0</v>
      </c>
    </row>
    <row r="242" spans="1:14" ht="15.95" customHeight="1" x14ac:dyDescent="0.15">
      <c r="A242" s="1286">
        <v>42826</v>
      </c>
      <c r="B242" s="640" t="str">
        <f t="shared" ca="1" si="12"/>
        <v>06</v>
      </c>
      <c r="C242" s="1285" t="s">
        <v>57</v>
      </c>
      <c r="D242" s="640" t="str">
        <f t="shared" ca="1" si="13"/>
        <v>01</v>
      </c>
      <c r="E242" s="1285" t="s">
        <v>83</v>
      </c>
      <c r="F242" s="641" t="str">
        <f>IF(G242="","",VLOOKUP(G242,リスト!J$2:K$3,2,FALSE))</f>
        <v>02</v>
      </c>
      <c r="G242" s="1285" t="s">
        <v>842</v>
      </c>
      <c r="H242" s="1284">
        <v>0</v>
      </c>
      <c r="I242" s="1284">
        <v>0</v>
      </c>
      <c r="J242" s="644">
        <f t="shared" si="14"/>
        <v>0</v>
      </c>
      <c r="K242" s="1284">
        <v>0</v>
      </c>
      <c r="L242" s="644">
        <f t="shared" si="15"/>
        <v>0</v>
      </c>
      <c r="M242" s="680">
        <v>0</v>
      </c>
      <c r="N242" s="651">
        <v>0</v>
      </c>
    </row>
    <row r="243" spans="1:14" ht="15.95" customHeight="1" x14ac:dyDescent="0.15">
      <c r="A243" s="1286">
        <v>42826</v>
      </c>
      <c r="B243" s="640" t="str">
        <f t="shared" ca="1" si="12"/>
        <v>06</v>
      </c>
      <c r="C243" s="1285" t="s">
        <v>57</v>
      </c>
      <c r="D243" s="640" t="str">
        <f t="shared" ca="1" si="13"/>
        <v>01</v>
      </c>
      <c r="E243" s="1285" t="s">
        <v>83</v>
      </c>
      <c r="F243" s="641" t="str">
        <f>IF(G243="","",VLOOKUP(G243,リスト!J$2:K$3,2,FALSE))</f>
        <v>01</v>
      </c>
      <c r="G243" s="1285" t="s">
        <v>841</v>
      </c>
      <c r="H243" s="1284">
        <v>570726</v>
      </c>
      <c r="I243" s="1284">
        <v>0</v>
      </c>
      <c r="J243" s="644">
        <f t="shared" si="14"/>
        <v>570726</v>
      </c>
      <c r="K243" s="1284">
        <v>570726</v>
      </c>
      <c r="L243" s="644">
        <f t="shared" si="15"/>
        <v>0</v>
      </c>
      <c r="M243" s="680">
        <v>0</v>
      </c>
      <c r="N243" s="651">
        <v>0</v>
      </c>
    </row>
    <row r="244" spans="1:14" ht="15.95" customHeight="1" x14ac:dyDescent="0.15">
      <c r="A244" s="1286">
        <v>42826</v>
      </c>
      <c r="B244" s="640" t="str">
        <f t="shared" ca="1" si="12"/>
        <v>07</v>
      </c>
      <c r="C244" s="1285" t="s">
        <v>119</v>
      </c>
      <c r="D244" s="640" t="str">
        <f t="shared" ca="1" si="13"/>
        <v>05</v>
      </c>
      <c r="E244" s="1285" t="s">
        <v>543</v>
      </c>
      <c r="F244" s="641" t="str">
        <f>IF(G244="","",VLOOKUP(G244,リスト!J$2:K$3,2,FALSE))</f>
        <v>02</v>
      </c>
      <c r="G244" s="1285" t="s">
        <v>842</v>
      </c>
      <c r="H244" s="1284">
        <v>216066</v>
      </c>
      <c r="I244" s="1284">
        <v>-216066</v>
      </c>
      <c r="J244" s="644">
        <f t="shared" si="14"/>
        <v>0</v>
      </c>
      <c r="K244" s="1284">
        <v>0</v>
      </c>
      <c r="L244" s="644">
        <f t="shared" si="15"/>
        <v>0</v>
      </c>
      <c r="M244" s="680">
        <v>0</v>
      </c>
      <c r="N244" s="651">
        <v>0</v>
      </c>
    </row>
    <row r="245" spans="1:14" ht="15.95" customHeight="1" x14ac:dyDescent="0.15">
      <c r="A245" s="1286">
        <v>42826</v>
      </c>
      <c r="B245" s="640" t="str">
        <f t="shared" ca="1" si="12"/>
        <v>07</v>
      </c>
      <c r="C245" s="1285" t="s">
        <v>119</v>
      </c>
      <c r="D245" s="640" t="str">
        <f t="shared" ca="1" si="13"/>
        <v>05</v>
      </c>
      <c r="E245" s="1285" t="s">
        <v>543</v>
      </c>
      <c r="F245" s="641" t="str">
        <f>IF(G245="","",VLOOKUP(G245,リスト!J$2:K$3,2,FALSE))</f>
        <v>01</v>
      </c>
      <c r="G245" s="1285" t="s">
        <v>841</v>
      </c>
      <c r="H245" s="1284">
        <v>930807</v>
      </c>
      <c r="I245" s="1284">
        <v>-930807</v>
      </c>
      <c r="J245" s="644">
        <f t="shared" si="14"/>
        <v>0</v>
      </c>
      <c r="K245" s="1284">
        <v>0</v>
      </c>
      <c r="L245" s="644">
        <f t="shared" si="15"/>
        <v>0</v>
      </c>
      <c r="M245" s="680">
        <v>0</v>
      </c>
      <c r="N245" s="651">
        <v>0</v>
      </c>
    </row>
    <row r="246" spans="1:14" ht="15.95" customHeight="1" x14ac:dyDescent="0.15">
      <c r="A246" s="1286">
        <v>42826</v>
      </c>
      <c r="B246" s="640" t="str">
        <f t="shared" ca="1" si="12"/>
        <v>08</v>
      </c>
      <c r="C246" s="1285" t="s">
        <v>189</v>
      </c>
      <c r="D246" s="640" t="str">
        <f t="shared" ca="1" si="13"/>
        <v>05</v>
      </c>
      <c r="E246" s="1285" t="s">
        <v>543</v>
      </c>
      <c r="F246" s="641" t="str">
        <f>IF(G246="","",VLOOKUP(G246,リスト!J$2:K$3,2,FALSE))</f>
        <v>02</v>
      </c>
      <c r="G246" s="1285" t="s">
        <v>842</v>
      </c>
      <c r="H246" s="1284">
        <v>0</v>
      </c>
      <c r="I246" s="1284">
        <v>0</v>
      </c>
      <c r="J246" s="644">
        <f t="shared" si="14"/>
        <v>0</v>
      </c>
      <c r="K246" s="1284">
        <v>0</v>
      </c>
      <c r="L246" s="644">
        <f t="shared" si="15"/>
        <v>0</v>
      </c>
      <c r="M246" s="680">
        <v>0</v>
      </c>
      <c r="N246" s="651">
        <v>0</v>
      </c>
    </row>
    <row r="247" spans="1:14" ht="15.95" customHeight="1" x14ac:dyDescent="0.15">
      <c r="A247" s="1286">
        <v>42826</v>
      </c>
      <c r="B247" s="640" t="str">
        <f t="shared" ca="1" si="12"/>
        <v>08</v>
      </c>
      <c r="C247" s="1285" t="s">
        <v>189</v>
      </c>
      <c r="D247" s="640" t="str">
        <f t="shared" ca="1" si="13"/>
        <v>05</v>
      </c>
      <c r="E247" s="1285" t="s">
        <v>543</v>
      </c>
      <c r="F247" s="641" t="str">
        <f>IF(G247="","",VLOOKUP(G247,リスト!J$2:K$3,2,FALSE))</f>
        <v>01</v>
      </c>
      <c r="G247" s="1285" t="s">
        <v>841</v>
      </c>
      <c r="H247" s="1284">
        <v>522589</v>
      </c>
      <c r="I247" s="1284">
        <v>-522589</v>
      </c>
      <c r="J247" s="644">
        <f t="shared" si="14"/>
        <v>0</v>
      </c>
      <c r="K247" s="1284">
        <v>0</v>
      </c>
      <c r="L247" s="644">
        <f t="shared" si="15"/>
        <v>0</v>
      </c>
      <c r="M247" s="680">
        <v>0</v>
      </c>
      <c r="N247" s="651">
        <v>0</v>
      </c>
    </row>
    <row r="248" spans="1:14" ht="15.95" customHeight="1" x14ac:dyDescent="0.15">
      <c r="A248" s="1286">
        <v>42826</v>
      </c>
      <c r="B248" s="640" t="str">
        <f t="shared" ca="1" si="12"/>
        <v>10</v>
      </c>
      <c r="C248" s="1285" t="s">
        <v>336</v>
      </c>
      <c r="D248" s="640" t="str">
        <f t="shared" ca="1" si="13"/>
        <v>02</v>
      </c>
      <c r="E248" s="1285" t="s">
        <v>84</v>
      </c>
      <c r="F248" s="641" t="str">
        <f>IF(G248="","",VLOOKUP(G248,リスト!J$2:K$3,2,FALSE))</f>
        <v>02</v>
      </c>
      <c r="G248" s="1285" t="s">
        <v>842</v>
      </c>
      <c r="H248" s="1284">
        <v>0</v>
      </c>
      <c r="I248" s="1284">
        <v>0</v>
      </c>
      <c r="J248" s="644">
        <f t="shared" si="14"/>
        <v>0</v>
      </c>
      <c r="K248" s="1284">
        <v>0</v>
      </c>
      <c r="L248" s="644">
        <f t="shared" si="15"/>
        <v>0</v>
      </c>
      <c r="M248" s="680">
        <v>0</v>
      </c>
      <c r="N248" s="651">
        <v>0</v>
      </c>
    </row>
    <row r="249" spans="1:14" ht="15.95" customHeight="1" x14ac:dyDescent="0.15">
      <c r="A249" s="1286">
        <v>42826</v>
      </c>
      <c r="B249" s="640" t="str">
        <f t="shared" ca="1" si="12"/>
        <v>10</v>
      </c>
      <c r="C249" s="1285" t="s">
        <v>336</v>
      </c>
      <c r="D249" s="640" t="str">
        <f t="shared" ca="1" si="13"/>
        <v>01</v>
      </c>
      <c r="E249" s="1285" t="s">
        <v>83</v>
      </c>
      <c r="F249" s="641" t="str">
        <f>IF(G249="","",VLOOKUP(G249,リスト!J$2:K$3,2,FALSE))</f>
        <v>02</v>
      </c>
      <c r="G249" s="1285" t="s">
        <v>842</v>
      </c>
      <c r="H249" s="1284">
        <v>68542</v>
      </c>
      <c r="I249" s="1284">
        <v>4975</v>
      </c>
      <c r="J249" s="644">
        <f t="shared" si="14"/>
        <v>73517</v>
      </c>
      <c r="K249" s="1284">
        <v>73517</v>
      </c>
      <c r="L249" s="644">
        <f t="shared" si="15"/>
        <v>0</v>
      </c>
      <c r="M249" s="680">
        <v>0</v>
      </c>
      <c r="N249" s="651">
        <v>0</v>
      </c>
    </row>
    <row r="250" spans="1:14" ht="15.95" customHeight="1" x14ac:dyDescent="0.15">
      <c r="A250" s="1286">
        <v>42826</v>
      </c>
      <c r="B250" s="640" t="str">
        <f t="shared" ca="1" si="12"/>
        <v>10</v>
      </c>
      <c r="C250" s="1285" t="s">
        <v>336</v>
      </c>
      <c r="D250" s="640" t="str">
        <f t="shared" ca="1" si="13"/>
        <v>02</v>
      </c>
      <c r="E250" s="1285" t="s">
        <v>84</v>
      </c>
      <c r="F250" s="641" t="str">
        <f>IF(G250="","",VLOOKUP(G250,リスト!J$2:K$3,2,FALSE))</f>
        <v>01</v>
      </c>
      <c r="G250" s="1285" t="s">
        <v>841</v>
      </c>
      <c r="H250" s="1284">
        <v>2592</v>
      </c>
      <c r="I250" s="1284">
        <v>0</v>
      </c>
      <c r="J250" s="644">
        <f t="shared" si="14"/>
        <v>2592</v>
      </c>
      <c r="K250" s="1284">
        <v>2592</v>
      </c>
      <c r="L250" s="644">
        <f t="shared" si="15"/>
        <v>0</v>
      </c>
      <c r="M250" s="680">
        <v>0</v>
      </c>
      <c r="N250" s="651">
        <v>0</v>
      </c>
    </row>
    <row r="251" spans="1:14" ht="15.95" customHeight="1" x14ac:dyDescent="0.15">
      <c r="A251" s="1286">
        <v>42826</v>
      </c>
      <c r="B251" s="640" t="str">
        <f t="shared" ca="1" si="12"/>
        <v>10</v>
      </c>
      <c r="C251" s="1285" t="s">
        <v>336</v>
      </c>
      <c r="D251" s="640" t="str">
        <f t="shared" ca="1" si="13"/>
        <v>01</v>
      </c>
      <c r="E251" s="1285" t="s">
        <v>83</v>
      </c>
      <c r="F251" s="641" t="str">
        <f>IF(G251="","",VLOOKUP(G251,リスト!J$2:K$3,2,FALSE))</f>
        <v>01</v>
      </c>
      <c r="G251" s="1285" t="s">
        <v>841</v>
      </c>
      <c r="H251" s="1284">
        <v>968062</v>
      </c>
      <c r="I251" s="1284">
        <v>-12444</v>
      </c>
      <c r="J251" s="644">
        <f t="shared" si="14"/>
        <v>955618</v>
      </c>
      <c r="K251" s="1284">
        <v>955618</v>
      </c>
      <c r="L251" s="644">
        <f t="shared" si="15"/>
        <v>0</v>
      </c>
      <c r="M251" s="680">
        <v>22180</v>
      </c>
      <c r="N251" s="651">
        <v>0</v>
      </c>
    </row>
    <row r="252" spans="1:14" ht="15.95" customHeight="1" x14ac:dyDescent="0.15">
      <c r="A252" s="1286">
        <v>42856</v>
      </c>
      <c r="B252" s="640" t="str">
        <f t="shared" ca="1" si="12"/>
        <v>01</v>
      </c>
      <c r="C252" s="1285" t="s">
        <v>34</v>
      </c>
      <c r="D252" s="640" t="str">
        <f t="shared" ca="1" si="13"/>
        <v>03</v>
      </c>
      <c r="E252" s="1285" t="s">
        <v>98</v>
      </c>
      <c r="F252" s="641" t="str">
        <f>IF(G252="","",VLOOKUP(G252,リスト!J$2:K$3,2,FALSE))</f>
        <v>02</v>
      </c>
      <c r="G252" s="1285" t="s">
        <v>842</v>
      </c>
      <c r="H252" s="1284">
        <v>43313</v>
      </c>
      <c r="I252" s="1284">
        <v>0</v>
      </c>
      <c r="J252" s="644">
        <f t="shared" si="14"/>
        <v>43313</v>
      </c>
      <c r="K252" s="1284">
        <v>43313</v>
      </c>
      <c r="L252" s="644">
        <f t="shared" si="15"/>
        <v>0</v>
      </c>
      <c r="M252" s="680">
        <v>0</v>
      </c>
      <c r="N252" s="651">
        <v>0</v>
      </c>
    </row>
    <row r="253" spans="1:14" ht="15.95" customHeight="1" x14ac:dyDescent="0.15">
      <c r="A253" s="1286">
        <v>42856</v>
      </c>
      <c r="B253" s="640" t="str">
        <f t="shared" ca="1" si="12"/>
        <v>01</v>
      </c>
      <c r="C253" s="1285" t="s">
        <v>34</v>
      </c>
      <c r="D253" s="640" t="str">
        <f t="shared" ca="1" si="13"/>
        <v>02</v>
      </c>
      <c r="E253" s="1285" t="s">
        <v>84</v>
      </c>
      <c r="F253" s="641" t="str">
        <f>IF(G253="","",VLOOKUP(G253,リスト!J$2:K$3,2,FALSE))</f>
        <v>02</v>
      </c>
      <c r="G253" s="1285" t="s">
        <v>842</v>
      </c>
      <c r="H253" s="1284">
        <v>0</v>
      </c>
      <c r="I253" s="1284">
        <v>0</v>
      </c>
      <c r="J253" s="644">
        <f t="shared" si="14"/>
        <v>0</v>
      </c>
      <c r="K253" s="1284">
        <v>0</v>
      </c>
      <c r="L253" s="644">
        <f t="shared" si="15"/>
        <v>0</v>
      </c>
      <c r="M253" s="680">
        <v>0</v>
      </c>
      <c r="N253" s="651">
        <v>0</v>
      </c>
    </row>
    <row r="254" spans="1:14" ht="15.95" customHeight="1" x14ac:dyDescent="0.15">
      <c r="A254" s="1286">
        <v>42856</v>
      </c>
      <c r="B254" s="640" t="str">
        <f t="shared" ca="1" si="12"/>
        <v>01</v>
      </c>
      <c r="C254" s="1285" t="s">
        <v>34</v>
      </c>
      <c r="D254" s="640" t="str">
        <f t="shared" ca="1" si="13"/>
        <v>01</v>
      </c>
      <c r="E254" s="1285" t="s">
        <v>83</v>
      </c>
      <c r="F254" s="641" t="str">
        <f>IF(G254="","",VLOOKUP(G254,リスト!J$2:K$3,2,FALSE))</f>
        <v>02</v>
      </c>
      <c r="G254" s="1285" t="s">
        <v>842</v>
      </c>
      <c r="H254" s="1284">
        <v>-24647</v>
      </c>
      <c r="I254" s="1284">
        <v>-2407</v>
      </c>
      <c r="J254" s="644">
        <f t="shared" si="14"/>
        <v>-27054</v>
      </c>
      <c r="K254" s="1284">
        <v>-27054</v>
      </c>
      <c r="L254" s="644">
        <f t="shared" si="15"/>
        <v>0</v>
      </c>
      <c r="M254" s="680">
        <v>0</v>
      </c>
      <c r="N254" s="651">
        <v>0</v>
      </c>
    </row>
    <row r="255" spans="1:14" ht="15.95" customHeight="1" x14ac:dyDescent="0.15">
      <c r="A255" s="1286">
        <v>42856</v>
      </c>
      <c r="B255" s="640" t="str">
        <f t="shared" ca="1" si="12"/>
        <v>01</v>
      </c>
      <c r="C255" s="1285" t="s">
        <v>34</v>
      </c>
      <c r="D255" s="640" t="str">
        <f t="shared" ca="1" si="13"/>
        <v>03</v>
      </c>
      <c r="E255" s="1285" t="s">
        <v>98</v>
      </c>
      <c r="F255" s="641" t="str">
        <f>IF(G255="","",VLOOKUP(G255,リスト!J$2:K$3,2,FALSE))</f>
        <v>01</v>
      </c>
      <c r="G255" s="1285" t="s">
        <v>841</v>
      </c>
      <c r="H255" s="1284">
        <v>694925</v>
      </c>
      <c r="I255" s="1284">
        <v>0</v>
      </c>
      <c r="J255" s="644">
        <f t="shared" si="14"/>
        <v>694925</v>
      </c>
      <c r="K255" s="1284">
        <v>694925</v>
      </c>
      <c r="L255" s="644">
        <f t="shared" si="15"/>
        <v>0</v>
      </c>
      <c r="M255" s="680">
        <v>0</v>
      </c>
      <c r="N255" s="651">
        <v>0</v>
      </c>
    </row>
    <row r="256" spans="1:14" ht="15.95" customHeight="1" x14ac:dyDescent="0.15">
      <c r="A256" s="1286">
        <v>42856</v>
      </c>
      <c r="B256" s="640" t="str">
        <f t="shared" ca="1" si="12"/>
        <v>01</v>
      </c>
      <c r="C256" s="1285" t="s">
        <v>34</v>
      </c>
      <c r="D256" s="640" t="str">
        <f t="shared" ca="1" si="13"/>
        <v>02</v>
      </c>
      <c r="E256" s="1285" t="s">
        <v>84</v>
      </c>
      <c r="F256" s="641" t="str">
        <f>IF(G256="","",VLOOKUP(G256,リスト!J$2:K$3,2,FALSE))</f>
        <v>01</v>
      </c>
      <c r="G256" s="1285" t="s">
        <v>841</v>
      </c>
      <c r="H256" s="1284">
        <v>1888880</v>
      </c>
      <c r="I256" s="1284">
        <v>-144925</v>
      </c>
      <c r="J256" s="644">
        <f t="shared" si="14"/>
        <v>1743955</v>
      </c>
      <c r="K256" s="1284">
        <v>1743955</v>
      </c>
      <c r="L256" s="644">
        <f t="shared" si="15"/>
        <v>0</v>
      </c>
      <c r="M256" s="680">
        <v>0</v>
      </c>
      <c r="N256" s="651">
        <v>375748</v>
      </c>
    </row>
    <row r="257" spans="1:14" ht="15.95" customHeight="1" x14ac:dyDescent="0.15">
      <c r="A257" s="1286">
        <v>42856</v>
      </c>
      <c r="B257" s="640" t="str">
        <f t="shared" ca="1" si="12"/>
        <v>01</v>
      </c>
      <c r="C257" s="1285" t="s">
        <v>34</v>
      </c>
      <c r="D257" s="640" t="str">
        <f t="shared" ca="1" si="13"/>
        <v>01</v>
      </c>
      <c r="E257" s="1285" t="s">
        <v>83</v>
      </c>
      <c r="F257" s="641" t="str">
        <f>IF(G257="","",VLOOKUP(G257,リスト!J$2:K$3,2,FALSE))</f>
        <v>01</v>
      </c>
      <c r="G257" s="1285" t="s">
        <v>841</v>
      </c>
      <c r="H257" s="1284">
        <v>7409027</v>
      </c>
      <c r="I257" s="1284">
        <v>0</v>
      </c>
      <c r="J257" s="644">
        <f t="shared" si="14"/>
        <v>7409027</v>
      </c>
      <c r="K257" s="1284">
        <v>7409027</v>
      </c>
      <c r="L257" s="644">
        <f t="shared" si="15"/>
        <v>0</v>
      </c>
      <c r="M257" s="680">
        <v>83972</v>
      </c>
      <c r="N257" s="651">
        <v>1399143</v>
      </c>
    </row>
    <row r="258" spans="1:14" ht="15.95" customHeight="1" x14ac:dyDescent="0.15">
      <c r="A258" s="1286">
        <v>42856</v>
      </c>
      <c r="B258" s="640" t="str">
        <f t="shared" ref="B258:B321" ca="1" si="16">IF(C258="","",VLOOKUP(C258,事業所コード2,2,FALSE))</f>
        <v>02</v>
      </c>
      <c r="C258" s="1285" t="s">
        <v>37</v>
      </c>
      <c r="D258" s="640" t="str">
        <f t="shared" ref="D258:D321" ca="1" si="17">IF(E258="","",VLOOKUP(E258,事業区分コード2,2,FALSE))</f>
        <v>03</v>
      </c>
      <c r="E258" s="1285" t="s">
        <v>98</v>
      </c>
      <c r="F258" s="641" t="str">
        <f>IF(G258="","",VLOOKUP(G258,リスト!J$2:K$3,2,FALSE))</f>
        <v>02</v>
      </c>
      <c r="G258" s="1285" t="s">
        <v>842</v>
      </c>
      <c r="H258" s="1284">
        <v>0</v>
      </c>
      <c r="I258" s="1284">
        <v>0</v>
      </c>
      <c r="J258" s="644">
        <f t="shared" ref="J258:J321" si="18">IF(A258="","",H258+I258)</f>
        <v>0</v>
      </c>
      <c r="K258" s="1284">
        <v>0</v>
      </c>
      <c r="L258" s="644">
        <f t="shared" ref="L258:L321" si="19">IF(A258="","",J258-K258)</f>
        <v>0</v>
      </c>
      <c r="M258" s="680">
        <v>0</v>
      </c>
      <c r="N258" s="651">
        <v>0</v>
      </c>
    </row>
    <row r="259" spans="1:14" ht="15.95" customHeight="1" x14ac:dyDescent="0.15">
      <c r="A259" s="1286">
        <v>42856</v>
      </c>
      <c r="B259" s="640" t="str">
        <f t="shared" ca="1" si="16"/>
        <v>02</v>
      </c>
      <c r="C259" s="1285" t="s">
        <v>37</v>
      </c>
      <c r="D259" s="640" t="str">
        <f t="shared" ca="1" si="17"/>
        <v>02</v>
      </c>
      <c r="E259" s="1285" t="s">
        <v>84</v>
      </c>
      <c r="F259" s="641" t="str">
        <f>IF(G259="","",VLOOKUP(G259,リスト!J$2:K$3,2,FALSE))</f>
        <v>02</v>
      </c>
      <c r="G259" s="1285" t="s">
        <v>842</v>
      </c>
      <c r="H259" s="1284">
        <v>0</v>
      </c>
      <c r="I259" s="1284">
        <v>0</v>
      </c>
      <c r="J259" s="644">
        <f t="shared" si="18"/>
        <v>0</v>
      </c>
      <c r="K259" s="1284">
        <v>0</v>
      </c>
      <c r="L259" s="644">
        <f t="shared" si="19"/>
        <v>0</v>
      </c>
      <c r="M259" s="680">
        <v>0</v>
      </c>
      <c r="N259" s="651">
        <v>0</v>
      </c>
    </row>
    <row r="260" spans="1:14" ht="15.95" customHeight="1" x14ac:dyDescent="0.15">
      <c r="A260" s="1286">
        <v>42856</v>
      </c>
      <c r="B260" s="640" t="str">
        <f t="shared" ca="1" si="16"/>
        <v>02</v>
      </c>
      <c r="C260" s="1285" t="s">
        <v>37</v>
      </c>
      <c r="D260" s="640" t="str">
        <f t="shared" ca="1" si="17"/>
        <v>01</v>
      </c>
      <c r="E260" s="1285" t="s">
        <v>83</v>
      </c>
      <c r="F260" s="641" t="str">
        <f>IF(G260="","",VLOOKUP(G260,リスト!J$2:K$3,2,FALSE))</f>
        <v>02</v>
      </c>
      <c r="G260" s="1285" t="s">
        <v>842</v>
      </c>
      <c r="H260" s="1284">
        <v>232401</v>
      </c>
      <c r="I260" s="1284">
        <v>-134079</v>
      </c>
      <c r="J260" s="644">
        <f t="shared" si="18"/>
        <v>98322</v>
      </c>
      <c r="K260" s="1284">
        <v>98322</v>
      </c>
      <c r="L260" s="644">
        <f t="shared" si="19"/>
        <v>0</v>
      </c>
      <c r="M260" s="680">
        <v>0</v>
      </c>
      <c r="N260" s="651">
        <v>0</v>
      </c>
    </row>
    <row r="261" spans="1:14" ht="15.95" customHeight="1" x14ac:dyDescent="0.15">
      <c r="A261" s="1286">
        <v>42856</v>
      </c>
      <c r="B261" s="640" t="str">
        <f t="shared" ca="1" si="16"/>
        <v>02</v>
      </c>
      <c r="C261" s="1285" t="s">
        <v>37</v>
      </c>
      <c r="D261" s="640" t="str">
        <f t="shared" ca="1" si="17"/>
        <v>03</v>
      </c>
      <c r="E261" s="1285" t="s">
        <v>98</v>
      </c>
      <c r="F261" s="641" t="str">
        <f>IF(G261="","",VLOOKUP(G261,リスト!J$2:K$3,2,FALSE))</f>
        <v>01</v>
      </c>
      <c r="G261" s="1285" t="s">
        <v>841</v>
      </c>
      <c r="H261" s="1284">
        <v>363715</v>
      </c>
      <c r="I261" s="1284">
        <v>0</v>
      </c>
      <c r="J261" s="644">
        <f t="shared" si="18"/>
        <v>363715</v>
      </c>
      <c r="K261" s="1284">
        <v>363715</v>
      </c>
      <c r="L261" s="644">
        <f t="shared" si="19"/>
        <v>0</v>
      </c>
      <c r="M261" s="680">
        <v>0</v>
      </c>
      <c r="N261" s="651">
        <v>0</v>
      </c>
    </row>
    <row r="262" spans="1:14" ht="15.95" customHeight="1" x14ac:dyDescent="0.15">
      <c r="A262" s="1286">
        <v>42856</v>
      </c>
      <c r="B262" s="640" t="str">
        <f t="shared" ca="1" si="16"/>
        <v>02</v>
      </c>
      <c r="C262" s="1285" t="s">
        <v>37</v>
      </c>
      <c r="D262" s="640" t="str">
        <f t="shared" ca="1" si="17"/>
        <v>02</v>
      </c>
      <c r="E262" s="1285" t="s">
        <v>84</v>
      </c>
      <c r="F262" s="641" t="str">
        <f>IF(G262="","",VLOOKUP(G262,リスト!J$2:K$3,2,FALSE))</f>
        <v>01</v>
      </c>
      <c r="G262" s="1285" t="s">
        <v>841</v>
      </c>
      <c r="H262" s="1284">
        <v>746212</v>
      </c>
      <c r="I262" s="1284">
        <v>0</v>
      </c>
      <c r="J262" s="644">
        <f t="shared" si="18"/>
        <v>746212</v>
      </c>
      <c r="K262" s="1284">
        <v>746212</v>
      </c>
      <c r="L262" s="644">
        <f t="shared" si="19"/>
        <v>0</v>
      </c>
      <c r="M262" s="680">
        <v>0</v>
      </c>
      <c r="N262" s="651">
        <v>168386</v>
      </c>
    </row>
    <row r="263" spans="1:14" ht="15.95" customHeight="1" x14ac:dyDescent="0.15">
      <c r="A263" s="1286">
        <v>42856</v>
      </c>
      <c r="B263" s="640" t="str">
        <f t="shared" ca="1" si="16"/>
        <v>02</v>
      </c>
      <c r="C263" s="1285" t="s">
        <v>37</v>
      </c>
      <c r="D263" s="640" t="str">
        <f t="shared" ca="1" si="17"/>
        <v>01</v>
      </c>
      <c r="E263" s="1285" t="s">
        <v>83</v>
      </c>
      <c r="F263" s="641" t="str">
        <f>IF(G263="","",VLOOKUP(G263,リスト!J$2:K$3,2,FALSE))</f>
        <v>01</v>
      </c>
      <c r="G263" s="1285" t="s">
        <v>841</v>
      </c>
      <c r="H263" s="1284">
        <v>4103895</v>
      </c>
      <c r="I263" s="1284">
        <v>-179186</v>
      </c>
      <c r="J263" s="644">
        <f t="shared" si="18"/>
        <v>3924709</v>
      </c>
      <c r="K263" s="1284">
        <v>3924709</v>
      </c>
      <c r="L263" s="644">
        <f t="shared" si="19"/>
        <v>0</v>
      </c>
      <c r="M263" s="680">
        <v>29348</v>
      </c>
      <c r="N263" s="651">
        <v>506157</v>
      </c>
    </row>
    <row r="264" spans="1:14" ht="15.95" customHeight="1" x14ac:dyDescent="0.15">
      <c r="A264" s="1286">
        <v>42856</v>
      </c>
      <c r="B264" s="640" t="str">
        <f t="shared" ca="1" si="16"/>
        <v>03</v>
      </c>
      <c r="C264" s="1285" t="s">
        <v>66</v>
      </c>
      <c r="D264" s="640" t="str">
        <f t="shared" ca="1" si="17"/>
        <v>02</v>
      </c>
      <c r="E264" s="1285" t="s">
        <v>84</v>
      </c>
      <c r="F264" s="641" t="str">
        <f>IF(G264="","",VLOOKUP(G264,リスト!J$2:K$3,2,FALSE))</f>
        <v>02</v>
      </c>
      <c r="G264" s="1285" t="s">
        <v>842</v>
      </c>
      <c r="H264" s="1284">
        <v>-7854</v>
      </c>
      <c r="I264" s="1284">
        <v>0</v>
      </c>
      <c r="J264" s="644">
        <f t="shared" si="18"/>
        <v>-7854</v>
      </c>
      <c r="K264" s="1284">
        <v>-7854</v>
      </c>
      <c r="L264" s="644">
        <f t="shared" si="19"/>
        <v>0</v>
      </c>
      <c r="M264" s="680">
        <v>0</v>
      </c>
      <c r="N264" s="651">
        <v>0</v>
      </c>
    </row>
    <row r="265" spans="1:14" ht="15.95" customHeight="1" x14ac:dyDescent="0.15">
      <c r="A265" s="1286">
        <v>42856</v>
      </c>
      <c r="B265" s="640" t="str">
        <f t="shared" ca="1" si="16"/>
        <v>03</v>
      </c>
      <c r="C265" s="1285" t="s">
        <v>66</v>
      </c>
      <c r="D265" s="640" t="str">
        <f t="shared" ca="1" si="17"/>
        <v>01</v>
      </c>
      <c r="E265" s="1285" t="s">
        <v>83</v>
      </c>
      <c r="F265" s="641" t="str">
        <f>IF(G265="","",VLOOKUP(G265,リスト!J$2:K$3,2,FALSE))</f>
        <v>02</v>
      </c>
      <c r="G265" s="1285" t="s">
        <v>842</v>
      </c>
      <c r="H265" s="1284">
        <v>84707</v>
      </c>
      <c r="I265" s="1284">
        <v>163925</v>
      </c>
      <c r="J265" s="644">
        <f t="shared" si="18"/>
        <v>248632</v>
      </c>
      <c r="K265" s="1284">
        <v>248632</v>
      </c>
      <c r="L265" s="644">
        <f t="shared" si="19"/>
        <v>0</v>
      </c>
      <c r="M265" s="680">
        <v>0</v>
      </c>
      <c r="N265" s="651">
        <v>0</v>
      </c>
    </row>
    <row r="266" spans="1:14" ht="15.95" customHeight="1" x14ac:dyDescent="0.15">
      <c r="A266" s="1286">
        <v>42856</v>
      </c>
      <c r="B266" s="640" t="str">
        <f t="shared" ca="1" si="16"/>
        <v>03</v>
      </c>
      <c r="C266" s="1285" t="s">
        <v>66</v>
      </c>
      <c r="D266" s="640" t="str">
        <f t="shared" ca="1" si="17"/>
        <v>02</v>
      </c>
      <c r="E266" s="1285" t="s">
        <v>84</v>
      </c>
      <c r="F266" s="641" t="str">
        <f>IF(G266="","",VLOOKUP(G266,リスト!J$2:K$3,2,FALSE))</f>
        <v>01</v>
      </c>
      <c r="G266" s="1285" t="s">
        <v>841</v>
      </c>
      <c r="H266" s="1284">
        <v>2029970</v>
      </c>
      <c r="I266" s="1284">
        <v>-206411</v>
      </c>
      <c r="J266" s="644">
        <f t="shared" si="18"/>
        <v>1823559</v>
      </c>
      <c r="K266" s="1284">
        <v>1823559</v>
      </c>
      <c r="L266" s="644">
        <f t="shared" si="19"/>
        <v>0</v>
      </c>
      <c r="M266" s="680">
        <v>0</v>
      </c>
      <c r="N266" s="651">
        <v>424065</v>
      </c>
    </row>
    <row r="267" spans="1:14" ht="15.95" customHeight="1" x14ac:dyDescent="0.15">
      <c r="A267" s="1286">
        <v>42856</v>
      </c>
      <c r="B267" s="640" t="str">
        <f t="shared" ca="1" si="16"/>
        <v>03</v>
      </c>
      <c r="C267" s="1285" t="s">
        <v>66</v>
      </c>
      <c r="D267" s="640" t="str">
        <f t="shared" ca="1" si="17"/>
        <v>01</v>
      </c>
      <c r="E267" s="1285" t="s">
        <v>83</v>
      </c>
      <c r="F267" s="641" t="str">
        <f>IF(G267="","",VLOOKUP(G267,リスト!J$2:K$3,2,FALSE))</f>
        <v>01</v>
      </c>
      <c r="G267" s="1285" t="s">
        <v>841</v>
      </c>
      <c r="H267" s="1284">
        <v>3003094</v>
      </c>
      <c r="I267" s="1284">
        <v>-14674</v>
      </c>
      <c r="J267" s="644">
        <f t="shared" si="18"/>
        <v>2988420</v>
      </c>
      <c r="K267" s="1284">
        <v>2988420</v>
      </c>
      <c r="L267" s="644">
        <f t="shared" si="19"/>
        <v>0</v>
      </c>
      <c r="M267" s="680">
        <v>0</v>
      </c>
      <c r="N267" s="651">
        <v>382703</v>
      </c>
    </row>
    <row r="268" spans="1:14" ht="15.95" customHeight="1" x14ac:dyDescent="0.15">
      <c r="A268" s="1286">
        <v>42856</v>
      </c>
      <c r="B268" s="640" t="str">
        <f t="shared" ca="1" si="16"/>
        <v>04</v>
      </c>
      <c r="C268" s="1285" t="s">
        <v>358</v>
      </c>
      <c r="D268" s="640" t="str">
        <f t="shared" ca="1" si="17"/>
        <v>04</v>
      </c>
      <c r="E268" s="1285" t="s">
        <v>542</v>
      </c>
      <c r="F268" s="641" t="str">
        <f>IF(G268="","",VLOOKUP(G268,リスト!J$2:K$3,2,FALSE))</f>
        <v>02</v>
      </c>
      <c r="G268" s="1285" t="s">
        <v>842</v>
      </c>
      <c r="H268" s="1284">
        <v>238719</v>
      </c>
      <c r="I268" s="1284">
        <v>55593</v>
      </c>
      <c r="J268" s="644">
        <f t="shared" si="18"/>
        <v>294312</v>
      </c>
      <c r="K268" s="1284">
        <v>294312</v>
      </c>
      <c r="L268" s="644">
        <f t="shared" si="19"/>
        <v>0</v>
      </c>
      <c r="M268" s="680">
        <v>0</v>
      </c>
      <c r="N268" s="651">
        <v>0</v>
      </c>
    </row>
    <row r="269" spans="1:14" ht="15.95" customHeight="1" x14ac:dyDescent="0.15">
      <c r="A269" s="1286">
        <v>42856</v>
      </c>
      <c r="B269" s="640" t="str">
        <f t="shared" ca="1" si="16"/>
        <v>04</v>
      </c>
      <c r="C269" s="1285" t="s">
        <v>358</v>
      </c>
      <c r="D269" s="640" t="str">
        <f t="shared" ca="1" si="17"/>
        <v>04</v>
      </c>
      <c r="E269" s="1285" t="s">
        <v>542</v>
      </c>
      <c r="F269" s="641" t="str">
        <f>IF(G269="","",VLOOKUP(G269,リスト!J$2:K$3,2,FALSE))</f>
        <v>01</v>
      </c>
      <c r="G269" s="1285" t="s">
        <v>841</v>
      </c>
      <c r="H269" s="1284">
        <v>3159951</v>
      </c>
      <c r="I269" s="1284">
        <v>-88919</v>
      </c>
      <c r="J269" s="644">
        <f t="shared" si="18"/>
        <v>3071032</v>
      </c>
      <c r="K269" s="1284">
        <v>3071032</v>
      </c>
      <c r="L269" s="644">
        <f t="shared" si="19"/>
        <v>0</v>
      </c>
      <c r="M269" s="680">
        <v>55593</v>
      </c>
      <c r="N269" s="651">
        <v>187859</v>
      </c>
    </row>
    <row r="270" spans="1:14" ht="15.95" customHeight="1" x14ac:dyDescent="0.15">
      <c r="A270" s="1286">
        <v>42856</v>
      </c>
      <c r="B270" s="640" t="str">
        <f t="shared" ca="1" si="16"/>
        <v>05</v>
      </c>
      <c r="C270" s="1285" t="s">
        <v>38</v>
      </c>
      <c r="D270" s="640" t="str">
        <f t="shared" ca="1" si="17"/>
        <v>01</v>
      </c>
      <c r="E270" s="1285" t="s">
        <v>83</v>
      </c>
      <c r="F270" s="641" t="str">
        <f>IF(G270="","",VLOOKUP(G270,リスト!J$2:K$3,2,FALSE))</f>
        <v>02</v>
      </c>
      <c r="G270" s="1285" t="s">
        <v>842</v>
      </c>
      <c r="H270" s="1284">
        <v>270024</v>
      </c>
      <c r="I270" s="1284">
        <v>0</v>
      </c>
      <c r="J270" s="644">
        <f t="shared" si="18"/>
        <v>270024</v>
      </c>
      <c r="K270" s="1284">
        <v>270024</v>
      </c>
      <c r="L270" s="644">
        <f t="shared" si="19"/>
        <v>0</v>
      </c>
      <c r="M270" s="680">
        <v>0</v>
      </c>
      <c r="N270" s="651">
        <v>0</v>
      </c>
    </row>
    <row r="271" spans="1:14" ht="15.95" customHeight="1" x14ac:dyDescent="0.15">
      <c r="A271" s="1286">
        <v>42856</v>
      </c>
      <c r="B271" s="640" t="str">
        <f t="shared" ca="1" si="16"/>
        <v>05</v>
      </c>
      <c r="C271" s="1285" t="s">
        <v>38</v>
      </c>
      <c r="D271" s="640" t="str">
        <f t="shared" ca="1" si="17"/>
        <v>01</v>
      </c>
      <c r="E271" s="1285" t="s">
        <v>83</v>
      </c>
      <c r="F271" s="641" t="str">
        <f>IF(G271="","",VLOOKUP(G271,リスト!J$2:K$3,2,FALSE))</f>
        <v>01</v>
      </c>
      <c r="G271" s="1285" t="s">
        <v>841</v>
      </c>
      <c r="H271" s="1284">
        <v>2221926</v>
      </c>
      <c r="I271" s="1284">
        <v>0</v>
      </c>
      <c r="J271" s="644">
        <f t="shared" si="18"/>
        <v>2221926</v>
      </c>
      <c r="K271" s="1284">
        <v>2221926</v>
      </c>
      <c r="L271" s="644">
        <f t="shared" si="19"/>
        <v>0</v>
      </c>
      <c r="M271" s="680">
        <v>0</v>
      </c>
      <c r="N271" s="651">
        <v>0</v>
      </c>
    </row>
    <row r="272" spans="1:14" ht="15.95" customHeight="1" x14ac:dyDescent="0.15">
      <c r="A272" s="1286">
        <v>42856</v>
      </c>
      <c r="B272" s="640" t="str">
        <f t="shared" ca="1" si="16"/>
        <v>06</v>
      </c>
      <c r="C272" s="1285" t="s">
        <v>57</v>
      </c>
      <c r="D272" s="640" t="str">
        <f t="shared" ca="1" si="17"/>
        <v>01</v>
      </c>
      <c r="E272" s="1285" t="s">
        <v>83</v>
      </c>
      <c r="F272" s="641" t="str">
        <f>IF(G272="","",VLOOKUP(G272,リスト!J$2:K$3,2,FALSE))</f>
        <v>02</v>
      </c>
      <c r="G272" s="1285" t="s">
        <v>842</v>
      </c>
      <c r="H272" s="1284">
        <v>0</v>
      </c>
      <c r="I272" s="1284">
        <v>0</v>
      </c>
      <c r="J272" s="644">
        <f t="shared" si="18"/>
        <v>0</v>
      </c>
      <c r="K272" s="1284">
        <v>0</v>
      </c>
      <c r="L272" s="644">
        <f t="shared" si="19"/>
        <v>0</v>
      </c>
      <c r="M272" s="680">
        <v>0</v>
      </c>
      <c r="N272" s="651">
        <v>0</v>
      </c>
    </row>
    <row r="273" spans="1:14" ht="15.95" customHeight="1" x14ac:dyDescent="0.15">
      <c r="A273" s="1286">
        <v>42856</v>
      </c>
      <c r="B273" s="640" t="str">
        <f t="shared" ca="1" si="16"/>
        <v>06</v>
      </c>
      <c r="C273" s="1285" t="s">
        <v>57</v>
      </c>
      <c r="D273" s="640" t="str">
        <f t="shared" ca="1" si="17"/>
        <v>01</v>
      </c>
      <c r="E273" s="1285" t="s">
        <v>83</v>
      </c>
      <c r="F273" s="641" t="str">
        <f>IF(G273="","",VLOOKUP(G273,リスト!J$2:K$3,2,FALSE))</f>
        <v>01</v>
      </c>
      <c r="G273" s="1285" t="s">
        <v>841</v>
      </c>
      <c r="H273" s="1284">
        <v>421867</v>
      </c>
      <c r="I273" s="1284">
        <v>0</v>
      </c>
      <c r="J273" s="644">
        <f t="shared" si="18"/>
        <v>421867</v>
      </c>
      <c r="K273" s="1284">
        <v>421867</v>
      </c>
      <c r="L273" s="644">
        <f t="shared" si="19"/>
        <v>0</v>
      </c>
      <c r="M273" s="680">
        <v>0</v>
      </c>
      <c r="N273" s="651">
        <v>0</v>
      </c>
    </row>
    <row r="274" spans="1:14" ht="15.95" customHeight="1" x14ac:dyDescent="0.15">
      <c r="A274" s="1286">
        <v>42856</v>
      </c>
      <c r="B274" s="640" t="str">
        <f t="shared" ca="1" si="16"/>
        <v>07</v>
      </c>
      <c r="C274" s="1285" t="s">
        <v>119</v>
      </c>
      <c r="D274" s="640" t="str">
        <f t="shared" ca="1" si="17"/>
        <v>05</v>
      </c>
      <c r="E274" s="1285" t="s">
        <v>543</v>
      </c>
      <c r="F274" s="641" t="str">
        <f>IF(G274="","",VLOOKUP(G274,リスト!J$2:K$3,2,FALSE))</f>
        <v>02</v>
      </c>
      <c r="G274" s="1285" t="s">
        <v>842</v>
      </c>
      <c r="H274" s="1284">
        <v>930807</v>
      </c>
      <c r="I274" s="1284">
        <v>-930807</v>
      </c>
      <c r="J274" s="644">
        <f t="shared" si="18"/>
        <v>0</v>
      </c>
      <c r="K274" s="1284">
        <v>0</v>
      </c>
      <c r="L274" s="644">
        <f t="shared" si="19"/>
        <v>0</v>
      </c>
      <c r="M274" s="680">
        <v>0</v>
      </c>
      <c r="N274" s="651">
        <v>0</v>
      </c>
    </row>
    <row r="275" spans="1:14" ht="15.95" customHeight="1" x14ac:dyDescent="0.15">
      <c r="A275" s="1286">
        <v>42856</v>
      </c>
      <c r="B275" s="640" t="str">
        <f t="shared" ca="1" si="16"/>
        <v>07</v>
      </c>
      <c r="C275" s="1285" t="s">
        <v>119</v>
      </c>
      <c r="D275" s="640" t="str">
        <f t="shared" ca="1" si="17"/>
        <v>05</v>
      </c>
      <c r="E275" s="1285" t="s">
        <v>543</v>
      </c>
      <c r="F275" s="641" t="str">
        <f>IF(G275="","",VLOOKUP(G275,リスト!J$2:K$3,2,FALSE))</f>
        <v>01</v>
      </c>
      <c r="G275" s="1285" t="s">
        <v>841</v>
      </c>
      <c r="H275" s="1284">
        <v>901284</v>
      </c>
      <c r="I275" s="1284">
        <v>-901284</v>
      </c>
      <c r="J275" s="644">
        <f t="shared" si="18"/>
        <v>0</v>
      </c>
      <c r="K275" s="1284">
        <v>0</v>
      </c>
      <c r="L275" s="644">
        <f t="shared" si="19"/>
        <v>0</v>
      </c>
      <c r="M275" s="680">
        <v>0</v>
      </c>
      <c r="N275" s="651">
        <v>0</v>
      </c>
    </row>
    <row r="276" spans="1:14" ht="15.95" customHeight="1" x14ac:dyDescent="0.15">
      <c r="A276" s="1286">
        <v>42856</v>
      </c>
      <c r="B276" s="640" t="str">
        <f t="shared" ca="1" si="16"/>
        <v>08</v>
      </c>
      <c r="C276" s="1285" t="s">
        <v>189</v>
      </c>
      <c r="D276" s="640" t="str">
        <f t="shared" ca="1" si="17"/>
        <v>05</v>
      </c>
      <c r="E276" s="1285" t="s">
        <v>543</v>
      </c>
      <c r="F276" s="641" t="str">
        <f>IF(G276="","",VLOOKUP(G276,リスト!J$2:K$3,2,FALSE))</f>
        <v>02</v>
      </c>
      <c r="G276" s="1285" t="s">
        <v>842</v>
      </c>
      <c r="H276" s="1284">
        <v>537293</v>
      </c>
      <c r="I276" s="1284">
        <v>363991</v>
      </c>
      <c r="J276" s="644">
        <f t="shared" si="18"/>
        <v>901284</v>
      </c>
      <c r="K276" s="1284">
        <v>901284</v>
      </c>
      <c r="L276" s="644">
        <f t="shared" si="19"/>
        <v>0</v>
      </c>
      <c r="M276" s="680">
        <v>0</v>
      </c>
      <c r="N276" s="651">
        <v>0</v>
      </c>
    </row>
    <row r="277" spans="1:14" ht="15.95" customHeight="1" x14ac:dyDescent="0.15">
      <c r="A277" s="1286">
        <v>42856</v>
      </c>
      <c r="B277" s="640" t="str">
        <f t="shared" ca="1" si="16"/>
        <v>08</v>
      </c>
      <c r="C277" s="1285" t="s">
        <v>189</v>
      </c>
      <c r="D277" s="640" t="str">
        <f t="shared" ca="1" si="17"/>
        <v>05</v>
      </c>
      <c r="E277" s="1285" t="s">
        <v>543</v>
      </c>
      <c r="F277" s="641" t="str">
        <f>IF(G277="","",VLOOKUP(G277,リスト!J$2:K$3,2,FALSE))</f>
        <v>01</v>
      </c>
      <c r="G277" s="1285" t="s">
        <v>841</v>
      </c>
      <c r="H277" s="1284">
        <v>739665</v>
      </c>
      <c r="I277" s="1284">
        <v>-1640949</v>
      </c>
      <c r="J277" s="644">
        <f t="shared" si="18"/>
        <v>-901284</v>
      </c>
      <c r="K277" s="1284">
        <v>-901284</v>
      </c>
      <c r="L277" s="644">
        <f t="shared" si="19"/>
        <v>0</v>
      </c>
      <c r="M277" s="680">
        <v>0</v>
      </c>
      <c r="N277" s="651">
        <v>0</v>
      </c>
    </row>
    <row r="278" spans="1:14" ht="15.95" customHeight="1" x14ac:dyDescent="0.15">
      <c r="A278" s="1286">
        <v>42856</v>
      </c>
      <c r="B278" s="640" t="str">
        <f t="shared" ca="1" si="16"/>
        <v>10</v>
      </c>
      <c r="C278" s="1285" t="s">
        <v>336</v>
      </c>
      <c r="D278" s="640" t="str">
        <f t="shared" ca="1" si="17"/>
        <v>02</v>
      </c>
      <c r="E278" s="1285" t="s">
        <v>84</v>
      </c>
      <c r="F278" s="641" t="str">
        <f>IF(G278="","",VLOOKUP(G278,リスト!J$2:K$3,2,FALSE))</f>
        <v>02</v>
      </c>
      <c r="G278" s="1285" t="s">
        <v>842</v>
      </c>
      <c r="H278" s="1284">
        <v>0</v>
      </c>
      <c r="I278" s="1284">
        <v>0</v>
      </c>
      <c r="J278" s="644">
        <f t="shared" si="18"/>
        <v>0</v>
      </c>
      <c r="K278" s="1284">
        <v>0</v>
      </c>
      <c r="L278" s="644">
        <f t="shared" si="19"/>
        <v>0</v>
      </c>
      <c r="M278" s="680">
        <v>0</v>
      </c>
      <c r="N278" s="651">
        <v>0</v>
      </c>
    </row>
    <row r="279" spans="1:14" ht="15.95" customHeight="1" x14ac:dyDescent="0.15">
      <c r="A279" s="1286">
        <v>42856</v>
      </c>
      <c r="B279" s="640" t="str">
        <f t="shared" ca="1" si="16"/>
        <v>10</v>
      </c>
      <c r="C279" s="1285" t="s">
        <v>336</v>
      </c>
      <c r="D279" s="640" t="str">
        <f t="shared" ca="1" si="17"/>
        <v>01</v>
      </c>
      <c r="E279" s="1285" t="s">
        <v>83</v>
      </c>
      <c r="F279" s="641" t="str">
        <f>IF(G279="","",VLOOKUP(G279,リスト!J$2:K$3,2,FALSE))</f>
        <v>02</v>
      </c>
      <c r="G279" s="1285" t="s">
        <v>842</v>
      </c>
      <c r="H279" s="1284">
        <v>10380</v>
      </c>
      <c r="I279" s="1284">
        <v>12444</v>
      </c>
      <c r="J279" s="644">
        <f t="shared" si="18"/>
        <v>22824</v>
      </c>
      <c r="K279" s="1284">
        <v>22824</v>
      </c>
      <c r="L279" s="644">
        <f t="shared" si="19"/>
        <v>0</v>
      </c>
      <c r="M279" s="680">
        <v>0</v>
      </c>
      <c r="N279" s="651">
        <v>0</v>
      </c>
    </row>
    <row r="280" spans="1:14" ht="15.95" customHeight="1" x14ac:dyDescent="0.15">
      <c r="A280" s="1286">
        <v>42856</v>
      </c>
      <c r="B280" s="640" t="str">
        <f t="shared" ca="1" si="16"/>
        <v>10</v>
      </c>
      <c r="C280" s="1285" t="s">
        <v>336</v>
      </c>
      <c r="D280" s="640" t="str">
        <f t="shared" ca="1" si="17"/>
        <v>02</v>
      </c>
      <c r="E280" s="1285" t="s">
        <v>84</v>
      </c>
      <c r="F280" s="641" t="str">
        <f>IF(G280="","",VLOOKUP(G280,リスト!J$2:K$3,2,FALSE))</f>
        <v>01</v>
      </c>
      <c r="G280" s="1285" t="s">
        <v>841</v>
      </c>
      <c r="H280" s="1284">
        <v>10440</v>
      </c>
      <c r="I280" s="1284">
        <v>0</v>
      </c>
      <c r="J280" s="644">
        <f t="shared" si="18"/>
        <v>10440</v>
      </c>
      <c r="K280" s="1284">
        <v>10440</v>
      </c>
      <c r="L280" s="644">
        <f t="shared" si="19"/>
        <v>0</v>
      </c>
      <c r="M280" s="680">
        <v>0</v>
      </c>
      <c r="N280" s="651">
        <v>0</v>
      </c>
    </row>
    <row r="281" spans="1:14" ht="15.95" customHeight="1" x14ac:dyDescent="0.15">
      <c r="A281" s="1286">
        <v>42856</v>
      </c>
      <c r="B281" s="640" t="str">
        <f t="shared" ca="1" si="16"/>
        <v>10</v>
      </c>
      <c r="C281" s="1285" t="s">
        <v>336</v>
      </c>
      <c r="D281" s="640" t="str">
        <f t="shared" ca="1" si="17"/>
        <v>01</v>
      </c>
      <c r="E281" s="1285" t="s">
        <v>83</v>
      </c>
      <c r="F281" s="641" t="str">
        <f>IF(G281="","",VLOOKUP(G281,リスト!J$2:K$3,2,FALSE))</f>
        <v>01</v>
      </c>
      <c r="G281" s="1285" t="s">
        <v>841</v>
      </c>
      <c r="H281" s="1284">
        <v>1213195</v>
      </c>
      <c r="I281" s="1284">
        <v>-6505</v>
      </c>
      <c r="J281" s="644">
        <f t="shared" si="18"/>
        <v>1206690</v>
      </c>
      <c r="K281" s="1284">
        <v>1206690</v>
      </c>
      <c r="L281" s="644">
        <f t="shared" si="19"/>
        <v>0</v>
      </c>
      <c r="M281" s="680">
        <v>10411</v>
      </c>
      <c r="N281" s="651">
        <v>0</v>
      </c>
    </row>
    <row r="282" spans="1:14" ht="15.95" customHeight="1" x14ac:dyDescent="0.15">
      <c r="A282" s="1286">
        <v>42887</v>
      </c>
      <c r="B282" s="640" t="str">
        <f t="shared" ca="1" si="16"/>
        <v>01</v>
      </c>
      <c r="C282" s="1285" t="s">
        <v>34</v>
      </c>
      <c r="D282" s="640" t="str">
        <f t="shared" ca="1" si="17"/>
        <v>03</v>
      </c>
      <c r="E282" s="1285" t="s">
        <v>98</v>
      </c>
      <c r="F282" s="641" t="str">
        <f>IF(G282="","",VLOOKUP(G282,リスト!J$2:K$3,2,FALSE))</f>
        <v>02</v>
      </c>
      <c r="G282" s="1285" t="s">
        <v>842</v>
      </c>
      <c r="H282" s="1284">
        <v>14359</v>
      </c>
      <c r="I282" s="1284">
        <v>0</v>
      </c>
      <c r="J282" s="644">
        <f t="shared" si="18"/>
        <v>14359</v>
      </c>
      <c r="K282" s="1284">
        <v>14359</v>
      </c>
      <c r="L282" s="644">
        <f t="shared" si="19"/>
        <v>0</v>
      </c>
      <c r="M282" s="680">
        <v>0</v>
      </c>
      <c r="N282" s="651">
        <v>0</v>
      </c>
    </row>
    <row r="283" spans="1:14" ht="15.95" customHeight="1" x14ac:dyDescent="0.15">
      <c r="A283" s="1286">
        <v>42887</v>
      </c>
      <c r="B283" s="640" t="str">
        <f t="shared" ca="1" si="16"/>
        <v>01</v>
      </c>
      <c r="C283" s="1285" t="s">
        <v>34</v>
      </c>
      <c r="D283" s="640" t="str">
        <f t="shared" ca="1" si="17"/>
        <v>02</v>
      </c>
      <c r="E283" s="1285" t="s">
        <v>84</v>
      </c>
      <c r="F283" s="641" t="str">
        <f>IF(G283="","",VLOOKUP(G283,リスト!J$2:K$3,2,FALSE))</f>
        <v>02</v>
      </c>
      <c r="G283" s="1285" t="s">
        <v>842</v>
      </c>
      <c r="H283" s="1284">
        <v>152047</v>
      </c>
      <c r="I283" s="1284">
        <v>-122475</v>
      </c>
      <c r="J283" s="644">
        <f t="shared" si="18"/>
        <v>29572</v>
      </c>
      <c r="K283" s="1284">
        <v>29572</v>
      </c>
      <c r="L283" s="644">
        <f t="shared" si="19"/>
        <v>0</v>
      </c>
      <c r="M283" s="680">
        <v>0</v>
      </c>
      <c r="N283" s="651">
        <v>0</v>
      </c>
    </row>
    <row r="284" spans="1:14" ht="15.95" customHeight="1" x14ac:dyDescent="0.15">
      <c r="A284" s="1286">
        <v>42887</v>
      </c>
      <c r="B284" s="640" t="str">
        <f t="shared" ca="1" si="16"/>
        <v>01</v>
      </c>
      <c r="C284" s="1285" t="s">
        <v>34</v>
      </c>
      <c r="D284" s="640" t="str">
        <f t="shared" ca="1" si="17"/>
        <v>01</v>
      </c>
      <c r="E284" s="1285" t="s">
        <v>83</v>
      </c>
      <c r="F284" s="641" t="str">
        <f>IF(G284="","",VLOOKUP(G284,リスト!J$2:K$3,2,FALSE))</f>
        <v>02</v>
      </c>
      <c r="G284" s="1285" t="s">
        <v>842</v>
      </c>
      <c r="H284" s="1284">
        <v>154022</v>
      </c>
      <c r="I284" s="1284">
        <v>12775</v>
      </c>
      <c r="J284" s="644">
        <f t="shared" si="18"/>
        <v>166797</v>
      </c>
      <c r="K284" s="1284">
        <v>166797</v>
      </c>
      <c r="L284" s="644">
        <f t="shared" si="19"/>
        <v>0</v>
      </c>
      <c r="M284" s="680">
        <v>0</v>
      </c>
      <c r="N284" s="651">
        <v>0</v>
      </c>
    </row>
    <row r="285" spans="1:14" ht="15.95" customHeight="1" x14ac:dyDescent="0.15">
      <c r="A285" s="1286">
        <v>42887</v>
      </c>
      <c r="B285" s="640" t="str">
        <f t="shared" ca="1" si="16"/>
        <v>01</v>
      </c>
      <c r="C285" s="1285" t="s">
        <v>34</v>
      </c>
      <c r="D285" s="640" t="str">
        <f t="shared" ca="1" si="17"/>
        <v>03</v>
      </c>
      <c r="E285" s="1285" t="s">
        <v>98</v>
      </c>
      <c r="F285" s="641" t="str">
        <f>IF(G285="","",VLOOKUP(G285,リスト!J$2:K$3,2,FALSE))</f>
        <v>01</v>
      </c>
      <c r="G285" s="1285" t="s">
        <v>841</v>
      </c>
      <c r="H285" s="1284">
        <v>716389</v>
      </c>
      <c r="I285" s="1284">
        <v>0</v>
      </c>
      <c r="J285" s="644">
        <f t="shared" si="18"/>
        <v>716389</v>
      </c>
      <c r="K285" s="1284">
        <v>716389</v>
      </c>
      <c r="L285" s="644">
        <f t="shared" si="19"/>
        <v>0</v>
      </c>
      <c r="M285" s="680">
        <v>0</v>
      </c>
      <c r="N285" s="651">
        <v>0</v>
      </c>
    </row>
    <row r="286" spans="1:14" ht="15.95" customHeight="1" x14ac:dyDescent="0.15">
      <c r="A286" s="1286">
        <v>42887</v>
      </c>
      <c r="B286" s="640" t="str">
        <f t="shared" ca="1" si="16"/>
        <v>01</v>
      </c>
      <c r="C286" s="1285" t="s">
        <v>34</v>
      </c>
      <c r="D286" s="640" t="str">
        <f t="shared" ca="1" si="17"/>
        <v>02</v>
      </c>
      <c r="E286" s="1285" t="s">
        <v>84</v>
      </c>
      <c r="F286" s="641" t="str">
        <f>IF(G286="","",VLOOKUP(G286,リスト!J$2:K$3,2,FALSE))</f>
        <v>01</v>
      </c>
      <c r="G286" s="1285" t="s">
        <v>841</v>
      </c>
      <c r="H286" s="1284">
        <v>1545222</v>
      </c>
      <c r="I286" s="1284">
        <v>-112758</v>
      </c>
      <c r="J286" s="644">
        <f t="shared" si="18"/>
        <v>1432464</v>
      </c>
      <c r="K286" s="1284">
        <v>1432464</v>
      </c>
      <c r="L286" s="644">
        <f t="shared" si="19"/>
        <v>0</v>
      </c>
      <c r="M286" s="680">
        <v>0</v>
      </c>
      <c r="N286" s="651">
        <v>311062</v>
      </c>
    </row>
    <row r="287" spans="1:14" ht="15.95" customHeight="1" x14ac:dyDescent="0.15">
      <c r="A287" s="1286">
        <v>42887</v>
      </c>
      <c r="B287" s="640" t="str">
        <f t="shared" ca="1" si="16"/>
        <v>01</v>
      </c>
      <c r="C287" s="1285" t="s">
        <v>34</v>
      </c>
      <c r="D287" s="640" t="str">
        <f t="shared" ca="1" si="17"/>
        <v>01</v>
      </c>
      <c r="E287" s="1285" t="s">
        <v>83</v>
      </c>
      <c r="F287" s="641" t="str">
        <f>IF(G287="","",VLOOKUP(G287,リスト!J$2:K$3,2,FALSE))</f>
        <v>01</v>
      </c>
      <c r="G287" s="1285" t="s">
        <v>841</v>
      </c>
      <c r="H287" s="1284">
        <v>6966301</v>
      </c>
      <c r="I287" s="1284">
        <v>-14209</v>
      </c>
      <c r="J287" s="644">
        <f t="shared" si="18"/>
        <v>6952092</v>
      </c>
      <c r="K287" s="1284">
        <v>6952092</v>
      </c>
      <c r="L287" s="644">
        <f t="shared" si="19"/>
        <v>0</v>
      </c>
      <c r="M287" s="680">
        <v>62413</v>
      </c>
      <c r="N287" s="651">
        <v>1238192</v>
      </c>
    </row>
    <row r="288" spans="1:14" ht="15.95" customHeight="1" x14ac:dyDescent="0.15">
      <c r="A288" s="1286">
        <v>42887</v>
      </c>
      <c r="B288" s="640" t="str">
        <f t="shared" ca="1" si="16"/>
        <v>02</v>
      </c>
      <c r="C288" s="1285" t="s">
        <v>37</v>
      </c>
      <c r="D288" s="640" t="str">
        <f t="shared" ca="1" si="17"/>
        <v>03</v>
      </c>
      <c r="E288" s="1285" t="s">
        <v>98</v>
      </c>
      <c r="F288" s="641" t="str">
        <f>IF(G288="","",VLOOKUP(G288,リスト!J$2:K$3,2,FALSE))</f>
        <v>02</v>
      </c>
      <c r="G288" s="1285" t="s">
        <v>842</v>
      </c>
      <c r="H288" s="1284">
        <v>0</v>
      </c>
      <c r="I288" s="1284">
        <v>0</v>
      </c>
      <c r="J288" s="644">
        <f t="shared" si="18"/>
        <v>0</v>
      </c>
      <c r="K288" s="1284">
        <v>0</v>
      </c>
      <c r="L288" s="644">
        <f t="shared" si="19"/>
        <v>0</v>
      </c>
      <c r="M288" s="680">
        <v>0</v>
      </c>
      <c r="N288" s="651">
        <v>0</v>
      </c>
    </row>
    <row r="289" spans="1:14" ht="15.95" customHeight="1" x14ac:dyDescent="0.15">
      <c r="A289" s="1286">
        <v>42887</v>
      </c>
      <c r="B289" s="640" t="str">
        <f t="shared" ca="1" si="16"/>
        <v>02</v>
      </c>
      <c r="C289" s="1285" t="s">
        <v>37</v>
      </c>
      <c r="D289" s="640" t="str">
        <f t="shared" ca="1" si="17"/>
        <v>02</v>
      </c>
      <c r="E289" s="1285" t="s">
        <v>84</v>
      </c>
      <c r="F289" s="641" t="str">
        <f>IF(G289="","",VLOOKUP(G289,リスト!J$2:K$3,2,FALSE))</f>
        <v>02</v>
      </c>
      <c r="G289" s="1285" t="s">
        <v>842</v>
      </c>
      <c r="H289" s="1284">
        <v>0</v>
      </c>
      <c r="I289" s="1284">
        <v>0</v>
      </c>
      <c r="J289" s="644">
        <f t="shared" si="18"/>
        <v>0</v>
      </c>
      <c r="K289" s="1284">
        <v>0</v>
      </c>
      <c r="L289" s="644">
        <f t="shared" si="19"/>
        <v>0</v>
      </c>
      <c r="M289" s="680">
        <v>0</v>
      </c>
      <c r="N289" s="651">
        <v>0</v>
      </c>
    </row>
    <row r="290" spans="1:14" ht="15.95" customHeight="1" x14ac:dyDescent="0.15">
      <c r="A290" s="1286">
        <v>42887</v>
      </c>
      <c r="B290" s="640" t="str">
        <f t="shared" ca="1" si="16"/>
        <v>02</v>
      </c>
      <c r="C290" s="1285" t="s">
        <v>37</v>
      </c>
      <c r="D290" s="640" t="str">
        <f t="shared" ca="1" si="17"/>
        <v>01</v>
      </c>
      <c r="E290" s="1285" t="s">
        <v>83</v>
      </c>
      <c r="F290" s="641" t="str">
        <f>IF(G290="","",VLOOKUP(G290,リスト!J$2:K$3,2,FALSE))</f>
        <v>02</v>
      </c>
      <c r="G290" s="1285" t="s">
        <v>842</v>
      </c>
      <c r="H290" s="1284">
        <v>121002</v>
      </c>
      <c r="I290" s="1284">
        <v>-53744</v>
      </c>
      <c r="J290" s="644">
        <f t="shared" si="18"/>
        <v>67258</v>
      </c>
      <c r="K290" s="1284">
        <v>67258</v>
      </c>
      <c r="L290" s="644">
        <f t="shared" si="19"/>
        <v>0</v>
      </c>
      <c r="M290" s="680">
        <v>0</v>
      </c>
      <c r="N290" s="651">
        <v>0</v>
      </c>
    </row>
    <row r="291" spans="1:14" ht="15.95" customHeight="1" x14ac:dyDescent="0.15">
      <c r="A291" s="1286">
        <v>42887</v>
      </c>
      <c r="B291" s="640" t="str">
        <f t="shared" ca="1" si="16"/>
        <v>02</v>
      </c>
      <c r="C291" s="1285" t="s">
        <v>37</v>
      </c>
      <c r="D291" s="640" t="str">
        <f t="shared" ca="1" si="17"/>
        <v>03</v>
      </c>
      <c r="E291" s="1285" t="s">
        <v>98</v>
      </c>
      <c r="F291" s="641" t="str">
        <f>IF(G291="","",VLOOKUP(G291,リスト!J$2:K$3,2,FALSE))</f>
        <v>01</v>
      </c>
      <c r="G291" s="1285" t="s">
        <v>841</v>
      </c>
      <c r="H291" s="1284">
        <v>383360</v>
      </c>
      <c r="I291" s="1284">
        <v>0</v>
      </c>
      <c r="J291" s="644">
        <f t="shared" si="18"/>
        <v>383360</v>
      </c>
      <c r="K291" s="1284">
        <v>383360</v>
      </c>
      <c r="L291" s="644">
        <f t="shared" si="19"/>
        <v>0</v>
      </c>
      <c r="M291" s="680">
        <v>0</v>
      </c>
      <c r="N291" s="651">
        <v>0</v>
      </c>
    </row>
    <row r="292" spans="1:14" ht="15.95" customHeight="1" x14ac:dyDescent="0.15">
      <c r="A292" s="1286">
        <v>42887</v>
      </c>
      <c r="B292" s="640" t="str">
        <f t="shared" ca="1" si="16"/>
        <v>02</v>
      </c>
      <c r="C292" s="1285" t="s">
        <v>37</v>
      </c>
      <c r="D292" s="640" t="str">
        <f t="shared" ca="1" si="17"/>
        <v>02</v>
      </c>
      <c r="E292" s="1285" t="s">
        <v>84</v>
      </c>
      <c r="F292" s="641" t="str">
        <f>IF(G292="","",VLOOKUP(G292,リスト!J$2:K$3,2,FALSE))</f>
        <v>01</v>
      </c>
      <c r="G292" s="1285" t="s">
        <v>841</v>
      </c>
      <c r="H292" s="1284">
        <v>822858</v>
      </c>
      <c r="I292" s="1284">
        <v>-126266</v>
      </c>
      <c r="J292" s="644">
        <f t="shared" si="18"/>
        <v>696592</v>
      </c>
      <c r="K292" s="1284">
        <v>696592</v>
      </c>
      <c r="L292" s="644">
        <f t="shared" si="19"/>
        <v>0</v>
      </c>
      <c r="M292" s="680">
        <v>0</v>
      </c>
      <c r="N292" s="651">
        <v>157860</v>
      </c>
    </row>
    <row r="293" spans="1:14" ht="15.95" customHeight="1" x14ac:dyDescent="0.15">
      <c r="A293" s="1286">
        <v>42887</v>
      </c>
      <c r="B293" s="640" t="str">
        <f t="shared" ca="1" si="16"/>
        <v>02</v>
      </c>
      <c r="C293" s="1285" t="s">
        <v>37</v>
      </c>
      <c r="D293" s="640" t="str">
        <f t="shared" ca="1" si="17"/>
        <v>01</v>
      </c>
      <c r="E293" s="1285" t="s">
        <v>83</v>
      </c>
      <c r="F293" s="641" t="str">
        <f>IF(G293="","",VLOOKUP(G293,リスト!J$2:K$3,2,FALSE))</f>
        <v>01</v>
      </c>
      <c r="G293" s="1285" t="s">
        <v>841</v>
      </c>
      <c r="H293" s="1284">
        <v>4203706</v>
      </c>
      <c r="I293" s="1284">
        <v>-63901</v>
      </c>
      <c r="J293" s="644">
        <f t="shared" si="18"/>
        <v>4139805</v>
      </c>
      <c r="K293" s="1284">
        <v>4139805</v>
      </c>
      <c r="L293" s="644">
        <f t="shared" si="19"/>
        <v>0</v>
      </c>
      <c r="M293" s="680">
        <v>23193</v>
      </c>
      <c r="N293" s="651">
        <v>489137</v>
      </c>
    </row>
    <row r="294" spans="1:14" ht="15.95" customHeight="1" x14ac:dyDescent="0.15">
      <c r="A294" s="1286">
        <v>42887</v>
      </c>
      <c r="B294" s="640" t="str">
        <f t="shared" ca="1" si="16"/>
        <v>03</v>
      </c>
      <c r="C294" s="1285" t="s">
        <v>66</v>
      </c>
      <c r="D294" s="640" t="str">
        <f t="shared" ca="1" si="17"/>
        <v>02</v>
      </c>
      <c r="E294" s="1285" t="s">
        <v>84</v>
      </c>
      <c r="F294" s="641" t="str">
        <f>IF(G294="","",VLOOKUP(G294,リスト!J$2:K$3,2,FALSE))</f>
        <v>02</v>
      </c>
      <c r="G294" s="1285" t="s">
        <v>842</v>
      </c>
      <c r="H294" s="1284">
        <v>169640</v>
      </c>
      <c r="I294" s="1284">
        <v>0</v>
      </c>
      <c r="J294" s="644">
        <f t="shared" si="18"/>
        <v>169640</v>
      </c>
      <c r="K294" s="1284">
        <v>169640</v>
      </c>
      <c r="L294" s="644">
        <f t="shared" si="19"/>
        <v>0</v>
      </c>
      <c r="M294" s="680">
        <v>0</v>
      </c>
      <c r="N294" s="651">
        <v>0</v>
      </c>
    </row>
    <row r="295" spans="1:14" ht="15.95" customHeight="1" x14ac:dyDescent="0.15">
      <c r="A295" s="1286">
        <v>42887</v>
      </c>
      <c r="B295" s="640" t="str">
        <f t="shared" ca="1" si="16"/>
        <v>03</v>
      </c>
      <c r="C295" s="1285" t="s">
        <v>66</v>
      </c>
      <c r="D295" s="640" t="str">
        <f t="shared" ca="1" si="17"/>
        <v>01</v>
      </c>
      <c r="E295" s="1285" t="s">
        <v>83</v>
      </c>
      <c r="F295" s="641" t="str">
        <f>IF(G295="","",VLOOKUP(G295,リスト!J$2:K$3,2,FALSE))</f>
        <v>02</v>
      </c>
      <c r="G295" s="1285" t="s">
        <v>842</v>
      </c>
      <c r="H295" s="1284">
        <v>30630</v>
      </c>
      <c r="I295" s="1284">
        <v>31856</v>
      </c>
      <c r="J295" s="644">
        <f t="shared" si="18"/>
        <v>62486</v>
      </c>
      <c r="K295" s="1284">
        <v>62486</v>
      </c>
      <c r="L295" s="644">
        <f t="shared" si="19"/>
        <v>0</v>
      </c>
      <c r="M295" s="680">
        <v>0</v>
      </c>
      <c r="N295" s="651">
        <v>0</v>
      </c>
    </row>
    <row r="296" spans="1:14" ht="15.95" customHeight="1" x14ac:dyDescent="0.15">
      <c r="A296" s="1286">
        <v>42887</v>
      </c>
      <c r="B296" s="640" t="str">
        <f t="shared" ca="1" si="16"/>
        <v>03</v>
      </c>
      <c r="C296" s="1285" t="s">
        <v>66</v>
      </c>
      <c r="D296" s="640" t="str">
        <f t="shared" ca="1" si="17"/>
        <v>02</v>
      </c>
      <c r="E296" s="1285" t="s">
        <v>84</v>
      </c>
      <c r="F296" s="641" t="str">
        <f>IF(G296="","",VLOOKUP(G296,リスト!J$2:K$3,2,FALSE))</f>
        <v>01</v>
      </c>
      <c r="G296" s="1285" t="s">
        <v>841</v>
      </c>
      <c r="H296" s="1284">
        <v>2182981</v>
      </c>
      <c r="I296" s="1284">
        <v>0</v>
      </c>
      <c r="J296" s="644">
        <f t="shared" si="18"/>
        <v>2182981</v>
      </c>
      <c r="K296" s="1284">
        <v>2182981</v>
      </c>
      <c r="L296" s="644">
        <f t="shared" si="19"/>
        <v>0</v>
      </c>
      <c r="M296" s="680">
        <v>0</v>
      </c>
      <c r="N296" s="651">
        <v>541700</v>
      </c>
    </row>
    <row r="297" spans="1:14" ht="15.95" customHeight="1" x14ac:dyDescent="0.15">
      <c r="A297" s="1286">
        <v>42887</v>
      </c>
      <c r="B297" s="640" t="str">
        <f t="shared" ca="1" si="16"/>
        <v>03</v>
      </c>
      <c r="C297" s="1285" t="s">
        <v>66</v>
      </c>
      <c r="D297" s="640" t="str">
        <f t="shared" ca="1" si="17"/>
        <v>01</v>
      </c>
      <c r="E297" s="1285" t="s">
        <v>83</v>
      </c>
      <c r="F297" s="641" t="str">
        <f>IF(G297="","",VLOOKUP(G297,リスト!J$2:K$3,2,FALSE))</f>
        <v>01</v>
      </c>
      <c r="G297" s="1285" t="s">
        <v>841</v>
      </c>
      <c r="H297" s="1284">
        <v>3021191</v>
      </c>
      <c r="I297" s="1284">
        <v>-34078</v>
      </c>
      <c r="J297" s="644">
        <f t="shared" si="18"/>
        <v>2987113</v>
      </c>
      <c r="K297" s="1284">
        <v>2987113</v>
      </c>
      <c r="L297" s="644">
        <f t="shared" si="19"/>
        <v>0</v>
      </c>
      <c r="M297" s="680">
        <v>67758</v>
      </c>
      <c r="N297" s="651">
        <v>345767</v>
      </c>
    </row>
    <row r="298" spans="1:14" ht="15.95" customHeight="1" x14ac:dyDescent="0.15">
      <c r="A298" s="1286">
        <v>42887</v>
      </c>
      <c r="B298" s="640" t="str">
        <f t="shared" ca="1" si="16"/>
        <v>04</v>
      </c>
      <c r="C298" s="1285" t="s">
        <v>358</v>
      </c>
      <c r="D298" s="640" t="str">
        <f t="shared" ca="1" si="17"/>
        <v>04</v>
      </c>
      <c r="E298" s="1285" t="s">
        <v>542</v>
      </c>
      <c r="F298" s="641" t="str">
        <f>IF(G298="","",VLOOKUP(G298,リスト!J$2:K$3,2,FALSE))</f>
        <v>02</v>
      </c>
      <c r="G298" s="1285" t="s">
        <v>842</v>
      </c>
      <c r="H298" s="1284">
        <v>270883</v>
      </c>
      <c r="I298" s="1284">
        <v>8224</v>
      </c>
      <c r="J298" s="644">
        <f t="shared" si="18"/>
        <v>279107</v>
      </c>
      <c r="K298" s="1284">
        <v>279107</v>
      </c>
      <c r="L298" s="644">
        <f t="shared" si="19"/>
        <v>0</v>
      </c>
      <c r="M298" s="680">
        <v>0</v>
      </c>
      <c r="N298" s="651">
        <v>0</v>
      </c>
    </row>
    <row r="299" spans="1:14" ht="15.95" customHeight="1" x14ac:dyDescent="0.15">
      <c r="A299" s="1286">
        <v>42887</v>
      </c>
      <c r="B299" s="640" t="str">
        <f t="shared" ca="1" si="16"/>
        <v>04</v>
      </c>
      <c r="C299" s="1285" t="s">
        <v>358</v>
      </c>
      <c r="D299" s="640" t="str">
        <f t="shared" ca="1" si="17"/>
        <v>04</v>
      </c>
      <c r="E299" s="1285" t="s">
        <v>542</v>
      </c>
      <c r="F299" s="641" t="str">
        <f>IF(G299="","",VLOOKUP(G299,リスト!J$2:K$3,2,FALSE))</f>
        <v>01</v>
      </c>
      <c r="G299" s="1285" t="s">
        <v>841</v>
      </c>
      <c r="H299" s="1284">
        <v>3136628</v>
      </c>
      <c r="I299" s="1284">
        <v>0</v>
      </c>
      <c r="J299" s="644">
        <f t="shared" si="18"/>
        <v>3136628</v>
      </c>
      <c r="K299" s="1284">
        <v>3136628</v>
      </c>
      <c r="L299" s="644">
        <f t="shared" si="19"/>
        <v>0</v>
      </c>
      <c r="M299" s="680">
        <v>0</v>
      </c>
      <c r="N299" s="651">
        <v>187729</v>
      </c>
    </row>
    <row r="300" spans="1:14" ht="15.95" customHeight="1" x14ac:dyDescent="0.15">
      <c r="A300" s="1286">
        <v>42887</v>
      </c>
      <c r="B300" s="640" t="str">
        <f t="shared" ca="1" si="16"/>
        <v>05</v>
      </c>
      <c r="C300" s="1285" t="s">
        <v>38</v>
      </c>
      <c r="D300" s="640" t="str">
        <f t="shared" ca="1" si="17"/>
        <v>01</v>
      </c>
      <c r="E300" s="1285" t="s">
        <v>83</v>
      </c>
      <c r="F300" s="641" t="str">
        <f>IF(G300="","",VLOOKUP(G300,リスト!J$2:K$3,2,FALSE))</f>
        <v>02</v>
      </c>
      <c r="G300" s="1285" t="s">
        <v>842</v>
      </c>
      <c r="H300" s="1284">
        <v>0</v>
      </c>
      <c r="I300" s="1284">
        <v>0</v>
      </c>
      <c r="J300" s="644">
        <f t="shared" si="18"/>
        <v>0</v>
      </c>
      <c r="K300" s="1284">
        <v>0</v>
      </c>
      <c r="L300" s="644">
        <f t="shared" si="19"/>
        <v>0</v>
      </c>
      <c r="M300" s="680">
        <v>0</v>
      </c>
      <c r="N300" s="651">
        <v>0</v>
      </c>
    </row>
    <row r="301" spans="1:14" ht="15.95" customHeight="1" x14ac:dyDescent="0.15">
      <c r="A301" s="1286">
        <v>42887</v>
      </c>
      <c r="B301" s="640" t="str">
        <f t="shared" ca="1" si="16"/>
        <v>05</v>
      </c>
      <c r="C301" s="1285" t="s">
        <v>38</v>
      </c>
      <c r="D301" s="640" t="str">
        <f t="shared" ca="1" si="17"/>
        <v>01</v>
      </c>
      <c r="E301" s="1285" t="s">
        <v>83</v>
      </c>
      <c r="F301" s="641" t="str">
        <f>IF(G301="","",VLOOKUP(G301,リスト!J$2:K$3,2,FALSE))</f>
        <v>01</v>
      </c>
      <c r="G301" s="1285" t="s">
        <v>841</v>
      </c>
      <c r="H301" s="1284">
        <v>2170929</v>
      </c>
      <c r="I301" s="1284">
        <v>0</v>
      </c>
      <c r="J301" s="644">
        <f t="shared" si="18"/>
        <v>2170929</v>
      </c>
      <c r="K301" s="1284">
        <v>2170929</v>
      </c>
      <c r="L301" s="644">
        <f t="shared" si="19"/>
        <v>0</v>
      </c>
      <c r="M301" s="680">
        <v>0</v>
      </c>
      <c r="N301" s="651">
        <v>0</v>
      </c>
    </row>
    <row r="302" spans="1:14" ht="15.95" customHeight="1" x14ac:dyDescent="0.15">
      <c r="A302" s="1286">
        <v>42887</v>
      </c>
      <c r="B302" s="640" t="str">
        <f t="shared" ca="1" si="16"/>
        <v>07</v>
      </c>
      <c r="C302" s="1285" t="s">
        <v>119</v>
      </c>
      <c r="D302" s="640" t="str">
        <f t="shared" ca="1" si="17"/>
        <v>05</v>
      </c>
      <c r="E302" s="1285" t="s">
        <v>543</v>
      </c>
      <c r="F302" s="641" t="str">
        <f>IF(G302="","",VLOOKUP(G302,リスト!J$2:K$3,2,FALSE))</f>
        <v>02</v>
      </c>
      <c r="G302" s="1285" t="s">
        <v>842</v>
      </c>
      <c r="H302" s="1284">
        <v>1865721</v>
      </c>
      <c r="I302" s="1284">
        <v>-205502</v>
      </c>
      <c r="J302" s="644">
        <f t="shared" si="18"/>
        <v>1660219</v>
      </c>
      <c r="K302" s="1284">
        <v>1660219</v>
      </c>
      <c r="L302" s="644">
        <f t="shared" si="19"/>
        <v>0</v>
      </c>
      <c r="M302" s="680">
        <v>0</v>
      </c>
      <c r="N302" s="651">
        <v>0</v>
      </c>
    </row>
    <row r="303" spans="1:14" ht="15.95" customHeight="1" x14ac:dyDescent="0.15">
      <c r="A303" s="1286">
        <v>42887</v>
      </c>
      <c r="B303" s="640" t="str">
        <f t="shared" ca="1" si="16"/>
        <v>07</v>
      </c>
      <c r="C303" s="1285" t="s">
        <v>119</v>
      </c>
      <c r="D303" s="640" t="str">
        <f t="shared" ca="1" si="17"/>
        <v>05</v>
      </c>
      <c r="E303" s="1285" t="s">
        <v>543</v>
      </c>
      <c r="F303" s="641" t="str">
        <f>IF(G303="","",VLOOKUP(G303,リスト!J$2:K$3,2,FALSE))</f>
        <v>01</v>
      </c>
      <c r="G303" s="1285" t="s">
        <v>841</v>
      </c>
      <c r="H303" s="1284">
        <v>978154</v>
      </c>
      <c r="I303" s="1284">
        <v>0</v>
      </c>
      <c r="J303" s="644">
        <f t="shared" si="18"/>
        <v>978154</v>
      </c>
      <c r="K303" s="1284">
        <v>978154</v>
      </c>
      <c r="L303" s="644">
        <f t="shared" si="19"/>
        <v>0</v>
      </c>
      <c r="M303" s="680">
        <v>0</v>
      </c>
      <c r="N303" s="651">
        <v>431509</v>
      </c>
    </row>
    <row r="304" spans="1:14" ht="15.95" customHeight="1" x14ac:dyDescent="0.15">
      <c r="A304" s="1286">
        <v>42887</v>
      </c>
      <c r="B304" s="640" t="str">
        <f t="shared" ca="1" si="16"/>
        <v>08</v>
      </c>
      <c r="C304" s="1285" t="s">
        <v>189</v>
      </c>
      <c r="D304" s="640" t="str">
        <f t="shared" ca="1" si="17"/>
        <v>05</v>
      </c>
      <c r="E304" s="1285" t="s">
        <v>543</v>
      </c>
      <c r="F304" s="641" t="str">
        <f>IF(G304="","",VLOOKUP(G304,リスト!J$2:K$3,2,FALSE))</f>
        <v>02</v>
      </c>
      <c r="G304" s="1285" t="s">
        <v>842</v>
      </c>
      <c r="H304" s="1284">
        <v>1304016</v>
      </c>
      <c r="I304" s="1284">
        <v>0</v>
      </c>
      <c r="J304" s="644">
        <f t="shared" si="18"/>
        <v>1304016</v>
      </c>
      <c r="K304" s="1284">
        <v>1304016</v>
      </c>
      <c r="L304" s="644">
        <f t="shared" si="19"/>
        <v>0</v>
      </c>
      <c r="M304" s="680">
        <v>0</v>
      </c>
      <c r="N304" s="651">
        <v>0</v>
      </c>
    </row>
    <row r="305" spans="1:14" ht="15.95" customHeight="1" x14ac:dyDescent="0.15">
      <c r="A305" s="1286">
        <v>42887</v>
      </c>
      <c r="B305" s="640" t="str">
        <f t="shared" ca="1" si="16"/>
        <v>08</v>
      </c>
      <c r="C305" s="1285" t="s">
        <v>189</v>
      </c>
      <c r="D305" s="640" t="str">
        <f t="shared" ca="1" si="17"/>
        <v>05</v>
      </c>
      <c r="E305" s="1285" t="s">
        <v>543</v>
      </c>
      <c r="F305" s="641" t="str">
        <f>IF(G305="","",VLOOKUP(G305,リスト!J$2:K$3,2,FALSE))</f>
        <v>01</v>
      </c>
      <c r="G305" s="1285" t="s">
        <v>841</v>
      </c>
      <c r="H305" s="1284">
        <v>943056</v>
      </c>
      <c r="I305" s="1284">
        <v>0</v>
      </c>
      <c r="J305" s="644">
        <f t="shared" si="18"/>
        <v>943056</v>
      </c>
      <c r="K305" s="1284">
        <v>943056</v>
      </c>
      <c r="L305" s="644">
        <f t="shared" si="19"/>
        <v>0</v>
      </c>
      <c r="M305" s="680">
        <v>0</v>
      </c>
      <c r="N305" s="651">
        <v>0</v>
      </c>
    </row>
    <row r="306" spans="1:14" ht="15.95" customHeight="1" x14ac:dyDescent="0.15">
      <c r="A306" s="1286">
        <v>42887</v>
      </c>
      <c r="B306" s="640" t="str">
        <f t="shared" ca="1" si="16"/>
        <v>09</v>
      </c>
      <c r="C306" s="1285" t="s">
        <v>329</v>
      </c>
      <c r="D306" s="640" t="str">
        <f t="shared" ca="1" si="17"/>
        <v>05</v>
      </c>
      <c r="E306" s="1285" t="s">
        <v>543</v>
      </c>
      <c r="F306" s="641" t="str">
        <f>IF(G306="","",VLOOKUP(G306,リスト!J$2:K$3,2,FALSE))</f>
        <v>02</v>
      </c>
      <c r="G306" s="1285" t="s">
        <v>842</v>
      </c>
      <c r="H306" s="1284">
        <v>0</v>
      </c>
      <c r="I306" s="1284">
        <v>0</v>
      </c>
      <c r="J306" s="644">
        <f t="shared" si="18"/>
        <v>0</v>
      </c>
      <c r="K306" s="1284">
        <v>0</v>
      </c>
      <c r="L306" s="644">
        <f t="shared" si="19"/>
        <v>0</v>
      </c>
      <c r="M306" s="680">
        <v>0</v>
      </c>
      <c r="N306" s="651">
        <v>0</v>
      </c>
    </row>
    <row r="307" spans="1:14" ht="15.95" customHeight="1" x14ac:dyDescent="0.15">
      <c r="A307" s="1286">
        <v>42887</v>
      </c>
      <c r="B307" s="640" t="str">
        <f t="shared" ca="1" si="16"/>
        <v>09</v>
      </c>
      <c r="C307" s="1285" t="s">
        <v>329</v>
      </c>
      <c r="D307" s="640" t="str">
        <f t="shared" ca="1" si="17"/>
        <v>05</v>
      </c>
      <c r="E307" s="1285" t="s">
        <v>543</v>
      </c>
      <c r="F307" s="641" t="str">
        <f>IF(G307="","",VLOOKUP(G307,リスト!J$2:K$3,2,FALSE))</f>
        <v>01</v>
      </c>
      <c r="G307" s="1285" t="s">
        <v>841</v>
      </c>
      <c r="H307" s="1284">
        <v>1647056</v>
      </c>
      <c r="I307" s="1284">
        <v>0</v>
      </c>
      <c r="J307" s="644">
        <f t="shared" si="18"/>
        <v>1647056</v>
      </c>
      <c r="K307" s="1284">
        <v>1647056</v>
      </c>
      <c r="L307" s="644">
        <f t="shared" si="19"/>
        <v>0</v>
      </c>
      <c r="M307" s="680">
        <v>0</v>
      </c>
      <c r="N307" s="651">
        <v>0</v>
      </c>
    </row>
    <row r="308" spans="1:14" ht="15.95" customHeight="1" x14ac:dyDescent="0.15">
      <c r="A308" s="1286">
        <v>42887</v>
      </c>
      <c r="B308" s="640" t="str">
        <f t="shared" ca="1" si="16"/>
        <v>10</v>
      </c>
      <c r="C308" s="1285" t="s">
        <v>336</v>
      </c>
      <c r="D308" s="640" t="str">
        <f t="shared" ca="1" si="17"/>
        <v>02</v>
      </c>
      <c r="E308" s="1285" t="s">
        <v>84</v>
      </c>
      <c r="F308" s="641" t="str">
        <f>IF(G308="","",VLOOKUP(G308,リスト!J$2:K$3,2,FALSE))</f>
        <v>02</v>
      </c>
      <c r="G308" s="1285" t="s">
        <v>842</v>
      </c>
      <c r="H308" s="1284">
        <v>0</v>
      </c>
      <c r="I308" s="1284">
        <v>0</v>
      </c>
      <c r="J308" s="644">
        <f t="shared" si="18"/>
        <v>0</v>
      </c>
      <c r="K308" s="1284">
        <v>0</v>
      </c>
      <c r="L308" s="644">
        <f t="shared" si="19"/>
        <v>0</v>
      </c>
      <c r="M308" s="680">
        <v>0</v>
      </c>
      <c r="N308" s="651">
        <v>0</v>
      </c>
    </row>
    <row r="309" spans="1:14" ht="15.95" customHeight="1" x14ac:dyDescent="0.15">
      <c r="A309" s="1286">
        <v>42887</v>
      </c>
      <c r="B309" s="640" t="str">
        <f t="shared" ca="1" si="16"/>
        <v>10</v>
      </c>
      <c r="C309" s="1285" t="s">
        <v>336</v>
      </c>
      <c r="D309" s="640" t="str">
        <f t="shared" ca="1" si="17"/>
        <v>01</v>
      </c>
      <c r="E309" s="1285" t="s">
        <v>83</v>
      </c>
      <c r="F309" s="641" t="str">
        <f>IF(G309="","",VLOOKUP(G309,リスト!J$2:K$3,2,FALSE))</f>
        <v>02</v>
      </c>
      <c r="G309" s="1285" t="s">
        <v>842</v>
      </c>
      <c r="H309" s="1284">
        <v>18285</v>
      </c>
      <c r="I309" s="1284">
        <v>6505</v>
      </c>
      <c r="J309" s="644">
        <f t="shared" si="18"/>
        <v>24790</v>
      </c>
      <c r="K309" s="1284">
        <v>24790</v>
      </c>
      <c r="L309" s="644">
        <f t="shared" si="19"/>
        <v>0</v>
      </c>
      <c r="M309" s="680">
        <v>0</v>
      </c>
      <c r="N309" s="651">
        <v>0</v>
      </c>
    </row>
    <row r="310" spans="1:14" ht="15.95" customHeight="1" x14ac:dyDescent="0.15">
      <c r="A310" s="1286">
        <v>42887</v>
      </c>
      <c r="B310" s="640" t="str">
        <f t="shared" ca="1" si="16"/>
        <v>10</v>
      </c>
      <c r="C310" s="1285" t="s">
        <v>336</v>
      </c>
      <c r="D310" s="640" t="str">
        <f t="shared" ca="1" si="17"/>
        <v>02</v>
      </c>
      <c r="E310" s="1285" t="s">
        <v>84</v>
      </c>
      <c r="F310" s="641" t="str">
        <f>IF(G310="","",VLOOKUP(G310,リスト!J$2:K$3,2,FALSE))</f>
        <v>01</v>
      </c>
      <c r="G310" s="1285" t="s">
        <v>841</v>
      </c>
      <c r="H310" s="1284">
        <v>7122</v>
      </c>
      <c r="I310" s="1284">
        <v>0</v>
      </c>
      <c r="J310" s="644">
        <f t="shared" si="18"/>
        <v>7122</v>
      </c>
      <c r="K310" s="1284">
        <v>7122</v>
      </c>
      <c r="L310" s="644">
        <f t="shared" si="19"/>
        <v>0</v>
      </c>
      <c r="M310" s="680">
        <v>0</v>
      </c>
      <c r="N310" s="651">
        <v>0</v>
      </c>
    </row>
    <row r="311" spans="1:14" ht="15.95" customHeight="1" x14ac:dyDescent="0.15">
      <c r="A311" s="1286">
        <v>42887</v>
      </c>
      <c r="B311" s="640" t="str">
        <f t="shared" ca="1" si="16"/>
        <v>10</v>
      </c>
      <c r="C311" s="1285" t="s">
        <v>336</v>
      </c>
      <c r="D311" s="640" t="str">
        <f t="shared" ca="1" si="17"/>
        <v>01</v>
      </c>
      <c r="E311" s="1285" t="s">
        <v>83</v>
      </c>
      <c r="F311" s="641" t="str">
        <f>IF(G311="","",VLOOKUP(G311,リスト!J$2:K$3,2,FALSE))</f>
        <v>01</v>
      </c>
      <c r="G311" s="1285" t="s">
        <v>841</v>
      </c>
      <c r="H311" s="1284">
        <v>1060232</v>
      </c>
      <c r="I311" s="1284">
        <v>-9169</v>
      </c>
      <c r="J311" s="644">
        <f t="shared" si="18"/>
        <v>1051063</v>
      </c>
      <c r="K311" s="1284">
        <v>1051063</v>
      </c>
      <c r="L311" s="644">
        <f t="shared" si="19"/>
        <v>0</v>
      </c>
      <c r="M311" s="680">
        <v>2600</v>
      </c>
      <c r="N311" s="651">
        <v>0</v>
      </c>
    </row>
    <row r="312" spans="1:14" ht="15.95" customHeight="1" x14ac:dyDescent="0.15">
      <c r="A312" s="1286">
        <v>42917</v>
      </c>
      <c r="B312" s="640" t="str">
        <f t="shared" ca="1" si="16"/>
        <v>01</v>
      </c>
      <c r="C312" s="1285" t="s">
        <v>34</v>
      </c>
      <c r="D312" s="640" t="str">
        <f t="shared" ca="1" si="17"/>
        <v>03</v>
      </c>
      <c r="E312" s="1285" t="s">
        <v>98</v>
      </c>
      <c r="F312" s="641" t="str">
        <f>IF(G312="","",VLOOKUP(G312,リスト!J$2:K$3,2,FALSE))</f>
        <v>02</v>
      </c>
      <c r="G312" s="1285" t="s">
        <v>842</v>
      </c>
      <c r="H312" s="1284">
        <v>0</v>
      </c>
      <c r="I312" s="1284">
        <v>0</v>
      </c>
      <c r="J312" s="644">
        <f t="shared" si="18"/>
        <v>0</v>
      </c>
      <c r="K312" s="1284">
        <v>0</v>
      </c>
      <c r="L312" s="644">
        <f t="shared" si="19"/>
        <v>0</v>
      </c>
      <c r="M312" s="680">
        <v>0</v>
      </c>
      <c r="N312" s="651">
        <v>0</v>
      </c>
    </row>
    <row r="313" spans="1:14" ht="15.95" customHeight="1" x14ac:dyDescent="0.15">
      <c r="A313" s="1286">
        <v>42917</v>
      </c>
      <c r="B313" s="640" t="str">
        <f t="shared" ca="1" si="16"/>
        <v>01</v>
      </c>
      <c r="C313" s="1285" t="s">
        <v>34</v>
      </c>
      <c r="D313" s="640" t="str">
        <f t="shared" ca="1" si="17"/>
        <v>02</v>
      </c>
      <c r="E313" s="1285" t="s">
        <v>84</v>
      </c>
      <c r="F313" s="641" t="str">
        <f>IF(G313="","",VLOOKUP(G313,リスト!J$2:K$3,2,FALSE))</f>
        <v>02</v>
      </c>
      <c r="G313" s="1285" t="s">
        <v>842</v>
      </c>
      <c r="H313" s="1284">
        <v>246174</v>
      </c>
      <c r="I313" s="1284">
        <v>0</v>
      </c>
      <c r="J313" s="644">
        <f t="shared" si="18"/>
        <v>246174</v>
      </c>
      <c r="K313" s="1284">
        <v>246174</v>
      </c>
      <c r="L313" s="644">
        <f t="shared" si="19"/>
        <v>0</v>
      </c>
      <c r="M313" s="680">
        <v>0</v>
      </c>
      <c r="N313" s="651">
        <v>0</v>
      </c>
    </row>
    <row r="314" spans="1:14" ht="15.95" customHeight="1" x14ac:dyDescent="0.15">
      <c r="A314" s="1286">
        <v>42917</v>
      </c>
      <c r="B314" s="640" t="str">
        <f t="shared" ca="1" si="16"/>
        <v>01</v>
      </c>
      <c r="C314" s="1285" t="s">
        <v>34</v>
      </c>
      <c r="D314" s="640" t="str">
        <f t="shared" ca="1" si="17"/>
        <v>01</v>
      </c>
      <c r="E314" s="1285" t="s">
        <v>83</v>
      </c>
      <c r="F314" s="641" t="str">
        <f>IF(G314="","",VLOOKUP(G314,リスト!J$2:K$3,2,FALSE))</f>
        <v>02</v>
      </c>
      <c r="G314" s="1285" t="s">
        <v>842</v>
      </c>
      <c r="H314" s="1284">
        <v>90821</v>
      </c>
      <c r="I314" s="1284">
        <v>24619</v>
      </c>
      <c r="J314" s="644">
        <f t="shared" si="18"/>
        <v>115440</v>
      </c>
      <c r="K314" s="1284">
        <v>115440</v>
      </c>
      <c r="L314" s="644">
        <f t="shared" si="19"/>
        <v>0</v>
      </c>
      <c r="M314" s="680">
        <v>0</v>
      </c>
      <c r="N314" s="651">
        <v>0</v>
      </c>
    </row>
    <row r="315" spans="1:14" ht="15.95" customHeight="1" x14ac:dyDescent="0.15">
      <c r="A315" s="1286">
        <v>42917</v>
      </c>
      <c r="B315" s="640" t="str">
        <f t="shared" ca="1" si="16"/>
        <v>01</v>
      </c>
      <c r="C315" s="1285" t="s">
        <v>34</v>
      </c>
      <c r="D315" s="640" t="str">
        <f t="shared" ca="1" si="17"/>
        <v>03</v>
      </c>
      <c r="E315" s="1285" t="s">
        <v>98</v>
      </c>
      <c r="F315" s="641" t="str">
        <f>IF(G315="","",VLOOKUP(G315,リスト!J$2:K$3,2,FALSE))</f>
        <v>01</v>
      </c>
      <c r="G315" s="1285" t="s">
        <v>841</v>
      </c>
      <c r="H315" s="1284">
        <v>677356</v>
      </c>
      <c r="I315" s="1284">
        <v>0</v>
      </c>
      <c r="J315" s="644">
        <f t="shared" si="18"/>
        <v>677356</v>
      </c>
      <c r="K315" s="1284">
        <v>677356</v>
      </c>
      <c r="L315" s="644">
        <f t="shared" si="19"/>
        <v>0</v>
      </c>
      <c r="M315" s="680">
        <v>0</v>
      </c>
      <c r="N315" s="651">
        <v>0</v>
      </c>
    </row>
    <row r="316" spans="1:14" ht="15.95" customHeight="1" x14ac:dyDescent="0.15">
      <c r="A316" s="1286">
        <v>42917</v>
      </c>
      <c r="B316" s="640" t="str">
        <f t="shared" ca="1" si="16"/>
        <v>01</v>
      </c>
      <c r="C316" s="1285" t="s">
        <v>34</v>
      </c>
      <c r="D316" s="640" t="str">
        <f t="shared" ca="1" si="17"/>
        <v>02</v>
      </c>
      <c r="E316" s="1285" t="s">
        <v>84</v>
      </c>
      <c r="F316" s="641" t="str">
        <f>IF(G316="","",VLOOKUP(G316,リスト!J$2:K$3,2,FALSE))</f>
        <v>01</v>
      </c>
      <c r="G316" s="1285" t="s">
        <v>841</v>
      </c>
      <c r="H316" s="1284">
        <v>1653112</v>
      </c>
      <c r="I316" s="1284">
        <v>0</v>
      </c>
      <c r="J316" s="644">
        <f t="shared" si="18"/>
        <v>1653112</v>
      </c>
      <c r="K316" s="1284">
        <v>1653112</v>
      </c>
      <c r="L316" s="644">
        <f t="shared" si="19"/>
        <v>0</v>
      </c>
      <c r="M316" s="680">
        <v>0</v>
      </c>
      <c r="N316" s="651">
        <v>410348</v>
      </c>
    </row>
    <row r="317" spans="1:14" ht="15.95" customHeight="1" x14ac:dyDescent="0.15">
      <c r="A317" s="1286">
        <v>42917</v>
      </c>
      <c r="B317" s="640" t="str">
        <f t="shared" ca="1" si="16"/>
        <v>01</v>
      </c>
      <c r="C317" s="1285" t="s">
        <v>34</v>
      </c>
      <c r="D317" s="640" t="str">
        <f t="shared" ca="1" si="17"/>
        <v>01</v>
      </c>
      <c r="E317" s="1285" t="s">
        <v>83</v>
      </c>
      <c r="F317" s="641" t="str">
        <f>IF(G317="","",VLOOKUP(G317,リスト!J$2:K$3,2,FALSE))</f>
        <v>01</v>
      </c>
      <c r="G317" s="1285" t="s">
        <v>841</v>
      </c>
      <c r="H317" s="1284">
        <v>7445997</v>
      </c>
      <c r="I317" s="1284">
        <v>0</v>
      </c>
      <c r="J317" s="644">
        <f t="shared" si="18"/>
        <v>7445997</v>
      </c>
      <c r="K317" s="1284">
        <v>7445997</v>
      </c>
      <c r="L317" s="644">
        <f t="shared" si="19"/>
        <v>0</v>
      </c>
      <c r="M317" s="680">
        <v>98567</v>
      </c>
      <c r="N317" s="651">
        <v>1322317</v>
      </c>
    </row>
    <row r="318" spans="1:14" ht="15.95" customHeight="1" x14ac:dyDescent="0.15">
      <c r="A318" s="1286">
        <v>42917</v>
      </c>
      <c r="B318" s="640" t="str">
        <f t="shared" ca="1" si="16"/>
        <v>02</v>
      </c>
      <c r="C318" s="1285" t="s">
        <v>37</v>
      </c>
      <c r="D318" s="640" t="str">
        <f t="shared" ca="1" si="17"/>
        <v>03</v>
      </c>
      <c r="E318" s="1285" t="s">
        <v>98</v>
      </c>
      <c r="F318" s="641" t="str">
        <f>IF(G318="","",VLOOKUP(G318,リスト!J$2:K$3,2,FALSE))</f>
        <v>02</v>
      </c>
      <c r="G318" s="1285" t="s">
        <v>842</v>
      </c>
      <c r="H318" s="1284">
        <v>9072</v>
      </c>
      <c r="I318" s="1284">
        <v>0</v>
      </c>
      <c r="J318" s="644">
        <f t="shared" si="18"/>
        <v>9072</v>
      </c>
      <c r="K318" s="1284">
        <v>9072</v>
      </c>
      <c r="L318" s="644">
        <f t="shared" si="19"/>
        <v>0</v>
      </c>
      <c r="M318" s="680">
        <v>0</v>
      </c>
      <c r="N318" s="651">
        <v>0</v>
      </c>
    </row>
    <row r="319" spans="1:14" ht="15.95" customHeight="1" x14ac:dyDescent="0.15">
      <c r="A319" s="1286">
        <v>42917</v>
      </c>
      <c r="B319" s="640" t="str">
        <f t="shared" ca="1" si="16"/>
        <v>02</v>
      </c>
      <c r="C319" s="1285" t="s">
        <v>37</v>
      </c>
      <c r="D319" s="640" t="str">
        <f t="shared" ca="1" si="17"/>
        <v>02</v>
      </c>
      <c r="E319" s="1285" t="s">
        <v>84</v>
      </c>
      <c r="F319" s="641" t="str">
        <f>IF(G319="","",VLOOKUP(G319,リスト!J$2:K$3,2,FALSE))</f>
        <v>02</v>
      </c>
      <c r="G319" s="1285" t="s">
        <v>842</v>
      </c>
      <c r="H319" s="1284">
        <v>123479</v>
      </c>
      <c r="I319" s="1284">
        <v>-51876</v>
      </c>
      <c r="J319" s="644">
        <f t="shared" si="18"/>
        <v>71603</v>
      </c>
      <c r="K319" s="1284">
        <v>71603</v>
      </c>
      <c r="L319" s="644">
        <f t="shared" si="19"/>
        <v>0</v>
      </c>
      <c r="M319" s="680">
        <v>0</v>
      </c>
      <c r="N319" s="651">
        <v>0</v>
      </c>
    </row>
    <row r="320" spans="1:14" ht="15.95" customHeight="1" x14ac:dyDescent="0.15">
      <c r="A320" s="1286">
        <v>42917</v>
      </c>
      <c r="B320" s="640" t="str">
        <f t="shared" ca="1" si="16"/>
        <v>02</v>
      </c>
      <c r="C320" s="1285" t="s">
        <v>37</v>
      </c>
      <c r="D320" s="640" t="str">
        <f t="shared" ca="1" si="17"/>
        <v>01</v>
      </c>
      <c r="E320" s="1285" t="s">
        <v>83</v>
      </c>
      <c r="F320" s="641" t="str">
        <f>IF(G320="","",VLOOKUP(G320,リスト!J$2:K$3,2,FALSE))</f>
        <v>02</v>
      </c>
      <c r="G320" s="1285" t="s">
        <v>842</v>
      </c>
      <c r="H320" s="1284">
        <v>83693</v>
      </c>
      <c r="I320" s="1284">
        <v>-377962</v>
      </c>
      <c r="J320" s="644">
        <f t="shared" si="18"/>
        <v>-294269</v>
      </c>
      <c r="K320" s="1284">
        <v>-294269</v>
      </c>
      <c r="L320" s="644">
        <f t="shared" si="19"/>
        <v>0</v>
      </c>
      <c r="M320" s="680">
        <v>0</v>
      </c>
      <c r="N320" s="651">
        <v>0</v>
      </c>
    </row>
    <row r="321" spans="1:14" ht="15.95" customHeight="1" x14ac:dyDescent="0.15">
      <c r="A321" s="1286">
        <v>42917</v>
      </c>
      <c r="B321" s="640" t="str">
        <f t="shared" ca="1" si="16"/>
        <v>02</v>
      </c>
      <c r="C321" s="1285" t="s">
        <v>37</v>
      </c>
      <c r="D321" s="640" t="str">
        <f t="shared" ca="1" si="17"/>
        <v>03</v>
      </c>
      <c r="E321" s="1285" t="s">
        <v>98</v>
      </c>
      <c r="F321" s="641" t="str">
        <f>IF(G321="","",VLOOKUP(G321,リスト!J$2:K$3,2,FALSE))</f>
        <v>01</v>
      </c>
      <c r="G321" s="1285" t="s">
        <v>841</v>
      </c>
      <c r="H321" s="1284">
        <v>440665</v>
      </c>
      <c r="I321" s="1284">
        <v>0</v>
      </c>
      <c r="J321" s="644">
        <f t="shared" si="18"/>
        <v>440665</v>
      </c>
      <c r="K321" s="1284">
        <v>440665</v>
      </c>
      <c r="L321" s="644">
        <f t="shared" si="19"/>
        <v>0</v>
      </c>
      <c r="M321" s="680">
        <v>0</v>
      </c>
      <c r="N321" s="651">
        <v>0</v>
      </c>
    </row>
    <row r="322" spans="1:14" ht="15.95" customHeight="1" x14ac:dyDescent="0.15">
      <c r="A322" s="1286">
        <v>42917</v>
      </c>
      <c r="B322" s="640" t="str">
        <f t="shared" ref="B322:B385" ca="1" si="20">IF(C322="","",VLOOKUP(C322,事業所コード2,2,FALSE))</f>
        <v>02</v>
      </c>
      <c r="C322" s="1285" t="s">
        <v>37</v>
      </c>
      <c r="D322" s="640" t="str">
        <f t="shared" ref="D322:D385" ca="1" si="21">IF(E322="","",VLOOKUP(E322,事業区分コード2,2,FALSE))</f>
        <v>02</v>
      </c>
      <c r="E322" s="1285" t="s">
        <v>84</v>
      </c>
      <c r="F322" s="641" t="str">
        <f>IF(G322="","",VLOOKUP(G322,リスト!J$2:K$3,2,FALSE))</f>
        <v>01</v>
      </c>
      <c r="G322" s="1285" t="s">
        <v>841</v>
      </c>
      <c r="H322" s="1284">
        <v>930164</v>
      </c>
      <c r="I322" s="1284">
        <v>-131079</v>
      </c>
      <c r="J322" s="644">
        <f t="shared" ref="J322:J385" si="22">IF(A322="","",H322+I322)</f>
        <v>799085</v>
      </c>
      <c r="K322" s="1284">
        <v>799085</v>
      </c>
      <c r="L322" s="644">
        <f t="shared" ref="L322:L385" si="23">IF(A322="","",J322-K322)</f>
        <v>0</v>
      </c>
      <c r="M322" s="680">
        <v>0</v>
      </c>
      <c r="N322" s="651">
        <v>204311</v>
      </c>
    </row>
    <row r="323" spans="1:14" ht="15.95" customHeight="1" x14ac:dyDescent="0.15">
      <c r="A323" s="1286">
        <v>42917</v>
      </c>
      <c r="B323" s="640" t="str">
        <f t="shared" ca="1" si="20"/>
        <v>02</v>
      </c>
      <c r="C323" s="1285" t="s">
        <v>37</v>
      </c>
      <c r="D323" s="640" t="str">
        <f t="shared" ca="1" si="21"/>
        <v>01</v>
      </c>
      <c r="E323" s="1285" t="s">
        <v>83</v>
      </c>
      <c r="F323" s="641" t="str">
        <f>IF(G323="","",VLOOKUP(G323,リスト!J$2:K$3,2,FALSE))</f>
        <v>01</v>
      </c>
      <c r="G323" s="1285" t="s">
        <v>841</v>
      </c>
      <c r="H323" s="1284">
        <v>4096138</v>
      </c>
      <c r="I323" s="1284">
        <v>-3392</v>
      </c>
      <c r="J323" s="644">
        <f t="shared" si="22"/>
        <v>4092746</v>
      </c>
      <c r="K323" s="1284">
        <v>4092746</v>
      </c>
      <c r="L323" s="644">
        <f t="shared" si="23"/>
        <v>0</v>
      </c>
      <c r="M323" s="680">
        <v>0</v>
      </c>
      <c r="N323" s="651">
        <v>459731</v>
      </c>
    </row>
    <row r="324" spans="1:14" ht="15.95" customHeight="1" x14ac:dyDescent="0.15">
      <c r="A324" s="1286">
        <v>42917</v>
      </c>
      <c r="B324" s="640" t="str">
        <f t="shared" ca="1" si="20"/>
        <v>03</v>
      </c>
      <c r="C324" s="1285" t="s">
        <v>66</v>
      </c>
      <c r="D324" s="640" t="str">
        <f t="shared" ca="1" si="21"/>
        <v>02</v>
      </c>
      <c r="E324" s="1285" t="s">
        <v>84</v>
      </c>
      <c r="F324" s="641" t="str">
        <f>IF(G324="","",VLOOKUP(G324,リスト!J$2:K$3,2,FALSE))</f>
        <v>02</v>
      </c>
      <c r="G324" s="1285" t="s">
        <v>842</v>
      </c>
      <c r="H324" s="1284">
        <v>0</v>
      </c>
      <c r="I324" s="1284">
        <v>0</v>
      </c>
      <c r="J324" s="644">
        <f t="shared" si="22"/>
        <v>0</v>
      </c>
      <c r="K324" s="1284">
        <v>0</v>
      </c>
      <c r="L324" s="644">
        <f t="shared" si="23"/>
        <v>0</v>
      </c>
      <c r="M324" s="680">
        <v>0</v>
      </c>
      <c r="N324" s="651">
        <v>0</v>
      </c>
    </row>
    <row r="325" spans="1:14" ht="15.95" customHeight="1" x14ac:dyDescent="0.15">
      <c r="A325" s="1286">
        <v>42917</v>
      </c>
      <c r="B325" s="640" t="str">
        <f t="shared" ca="1" si="20"/>
        <v>03</v>
      </c>
      <c r="C325" s="1285" t="s">
        <v>66</v>
      </c>
      <c r="D325" s="640" t="str">
        <f t="shared" ca="1" si="21"/>
        <v>01</v>
      </c>
      <c r="E325" s="1285" t="s">
        <v>83</v>
      </c>
      <c r="F325" s="641" t="str">
        <f>IF(G325="","",VLOOKUP(G325,リスト!J$2:K$3,2,FALSE))</f>
        <v>02</v>
      </c>
      <c r="G325" s="1285" t="s">
        <v>842</v>
      </c>
      <c r="H325" s="1284">
        <v>107758</v>
      </c>
      <c r="I325" s="1284">
        <v>-43304</v>
      </c>
      <c r="J325" s="644">
        <f t="shared" si="22"/>
        <v>64454</v>
      </c>
      <c r="K325" s="1284">
        <v>64454</v>
      </c>
      <c r="L325" s="644">
        <f t="shared" si="23"/>
        <v>0</v>
      </c>
      <c r="M325" s="680">
        <v>0</v>
      </c>
      <c r="N325" s="651">
        <v>0</v>
      </c>
    </row>
    <row r="326" spans="1:14" ht="15.95" customHeight="1" x14ac:dyDescent="0.15">
      <c r="A326" s="1286">
        <v>42917</v>
      </c>
      <c r="B326" s="640" t="str">
        <f t="shared" ca="1" si="20"/>
        <v>03</v>
      </c>
      <c r="C326" s="1285" t="s">
        <v>66</v>
      </c>
      <c r="D326" s="640" t="str">
        <f t="shared" ca="1" si="21"/>
        <v>02</v>
      </c>
      <c r="E326" s="1285" t="s">
        <v>84</v>
      </c>
      <c r="F326" s="641" t="str">
        <f>IF(G326="","",VLOOKUP(G326,リスト!J$2:K$3,2,FALSE))</f>
        <v>01</v>
      </c>
      <c r="G326" s="1285" t="s">
        <v>841</v>
      </c>
      <c r="H326" s="1284">
        <v>2123008</v>
      </c>
      <c r="I326" s="1284">
        <v>0</v>
      </c>
      <c r="J326" s="644">
        <f t="shared" si="22"/>
        <v>2123008</v>
      </c>
      <c r="K326" s="1284">
        <v>2123008</v>
      </c>
      <c r="L326" s="644">
        <f t="shared" si="23"/>
        <v>0</v>
      </c>
      <c r="M326" s="680">
        <v>0</v>
      </c>
      <c r="N326" s="651">
        <v>490767</v>
      </c>
    </row>
    <row r="327" spans="1:14" ht="15.95" customHeight="1" x14ac:dyDescent="0.15">
      <c r="A327" s="1286">
        <v>42917</v>
      </c>
      <c r="B327" s="640" t="str">
        <f t="shared" ca="1" si="20"/>
        <v>03</v>
      </c>
      <c r="C327" s="1285" t="s">
        <v>66</v>
      </c>
      <c r="D327" s="640" t="str">
        <f t="shared" ca="1" si="21"/>
        <v>01</v>
      </c>
      <c r="E327" s="1285" t="s">
        <v>83</v>
      </c>
      <c r="F327" s="641" t="str">
        <f>IF(G327="","",VLOOKUP(G327,リスト!J$2:K$3,2,FALSE))</f>
        <v>01</v>
      </c>
      <c r="G327" s="1285" t="s">
        <v>841</v>
      </c>
      <c r="H327" s="1284">
        <v>3447166</v>
      </c>
      <c r="I327" s="1284">
        <v>-43746</v>
      </c>
      <c r="J327" s="644">
        <f t="shared" si="22"/>
        <v>3403420</v>
      </c>
      <c r="K327" s="1284">
        <v>3403420</v>
      </c>
      <c r="L327" s="644">
        <f t="shared" si="23"/>
        <v>0</v>
      </c>
      <c r="M327" s="680">
        <v>6210</v>
      </c>
      <c r="N327" s="651">
        <v>394909</v>
      </c>
    </row>
    <row r="328" spans="1:14" ht="15.95" customHeight="1" x14ac:dyDescent="0.15">
      <c r="A328" s="1286">
        <v>42917</v>
      </c>
      <c r="B328" s="640" t="str">
        <f t="shared" ca="1" si="20"/>
        <v>04</v>
      </c>
      <c r="C328" s="1285" t="s">
        <v>358</v>
      </c>
      <c r="D328" s="640" t="str">
        <f t="shared" ca="1" si="21"/>
        <v>04</v>
      </c>
      <c r="E328" s="1285" t="s">
        <v>542</v>
      </c>
      <c r="F328" s="641" t="str">
        <f>IF(G328="","",VLOOKUP(G328,リスト!J$2:K$3,2,FALSE))</f>
        <v>02</v>
      </c>
      <c r="G328" s="1285" t="s">
        <v>842</v>
      </c>
      <c r="H328" s="1284">
        <v>34746</v>
      </c>
      <c r="I328" s="1284">
        <v>0</v>
      </c>
      <c r="J328" s="644">
        <f t="shared" si="22"/>
        <v>34746</v>
      </c>
      <c r="K328" s="1284">
        <v>34746</v>
      </c>
      <c r="L328" s="644">
        <f t="shared" si="23"/>
        <v>0</v>
      </c>
      <c r="M328" s="680">
        <v>0</v>
      </c>
      <c r="N328" s="651">
        <v>0</v>
      </c>
    </row>
    <row r="329" spans="1:14" ht="15.95" customHeight="1" x14ac:dyDescent="0.15">
      <c r="A329" s="1286">
        <v>42917</v>
      </c>
      <c r="B329" s="640" t="str">
        <f t="shared" ca="1" si="20"/>
        <v>04</v>
      </c>
      <c r="C329" s="1285" t="s">
        <v>358</v>
      </c>
      <c r="D329" s="640" t="str">
        <f t="shared" ca="1" si="21"/>
        <v>04</v>
      </c>
      <c r="E329" s="1285" t="s">
        <v>542</v>
      </c>
      <c r="F329" s="641" t="str">
        <f>IF(G329="","",VLOOKUP(G329,リスト!J$2:K$3,2,FALSE))</f>
        <v>01</v>
      </c>
      <c r="G329" s="1285" t="s">
        <v>841</v>
      </c>
      <c r="H329" s="1284">
        <v>3426262</v>
      </c>
      <c r="I329" s="1284">
        <v>-37369</v>
      </c>
      <c r="J329" s="644">
        <f t="shared" si="22"/>
        <v>3388893</v>
      </c>
      <c r="K329" s="1284">
        <v>3388893</v>
      </c>
      <c r="L329" s="644">
        <f t="shared" si="23"/>
        <v>0</v>
      </c>
      <c r="M329" s="680">
        <v>0</v>
      </c>
      <c r="N329" s="651">
        <v>190666</v>
      </c>
    </row>
    <row r="330" spans="1:14" ht="15.95" customHeight="1" x14ac:dyDescent="0.15">
      <c r="A330" s="1286">
        <v>42917</v>
      </c>
      <c r="B330" s="640" t="str">
        <f t="shared" ca="1" si="20"/>
        <v>05</v>
      </c>
      <c r="C330" s="1285" t="s">
        <v>38</v>
      </c>
      <c r="D330" s="640" t="str">
        <f t="shared" ca="1" si="21"/>
        <v>01</v>
      </c>
      <c r="E330" s="1285" t="s">
        <v>83</v>
      </c>
      <c r="F330" s="641" t="str">
        <f>IF(G330="","",VLOOKUP(G330,リスト!J$2:K$3,2,FALSE))</f>
        <v>02</v>
      </c>
      <c r="G330" s="1285" t="s">
        <v>842</v>
      </c>
      <c r="H330" s="1284">
        <v>0</v>
      </c>
      <c r="I330" s="1284">
        <v>0</v>
      </c>
      <c r="J330" s="644">
        <f t="shared" si="22"/>
        <v>0</v>
      </c>
      <c r="K330" s="1284">
        <v>0</v>
      </c>
      <c r="L330" s="644">
        <f t="shared" si="23"/>
        <v>0</v>
      </c>
      <c r="M330" s="680">
        <v>0</v>
      </c>
      <c r="N330" s="651">
        <v>0</v>
      </c>
    </row>
    <row r="331" spans="1:14" ht="15.95" customHeight="1" x14ac:dyDescent="0.15">
      <c r="A331" s="1286">
        <v>42917</v>
      </c>
      <c r="B331" s="640" t="str">
        <f t="shared" ca="1" si="20"/>
        <v>05</v>
      </c>
      <c r="C331" s="1285" t="s">
        <v>38</v>
      </c>
      <c r="D331" s="640" t="str">
        <f t="shared" ca="1" si="21"/>
        <v>01</v>
      </c>
      <c r="E331" s="1285" t="s">
        <v>83</v>
      </c>
      <c r="F331" s="641" t="str">
        <f>IF(G331="","",VLOOKUP(G331,リスト!J$2:K$3,2,FALSE))</f>
        <v>01</v>
      </c>
      <c r="G331" s="1285" t="s">
        <v>841</v>
      </c>
      <c r="H331" s="1284">
        <v>2304959</v>
      </c>
      <c r="I331" s="1284">
        <v>0</v>
      </c>
      <c r="J331" s="644">
        <f t="shared" si="22"/>
        <v>2304959</v>
      </c>
      <c r="K331" s="1284">
        <v>2304959</v>
      </c>
      <c r="L331" s="644">
        <f t="shared" si="23"/>
        <v>0</v>
      </c>
      <c r="M331" s="680">
        <v>0</v>
      </c>
      <c r="N331" s="651">
        <v>0</v>
      </c>
    </row>
    <row r="332" spans="1:14" ht="15.95" customHeight="1" x14ac:dyDescent="0.15">
      <c r="A332" s="1286">
        <v>42917</v>
      </c>
      <c r="B332" s="640" t="str">
        <f t="shared" ca="1" si="20"/>
        <v>07</v>
      </c>
      <c r="C332" s="1285" t="s">
        <v>119</v>
      </c>
      <c r="D332" s="640" t="str">
        <f t="shared" ca="1" si="21"/>
        <v>05</v>
      </c>
      <c r="E332" s="1285" t="s">
        <v>543</v>
      </c>
      <c r="F332" s="641" t="str">
        <f>IF(G332="","",VLOOKUP(G332,リスト!J$2:K$3,2,FALSE))</f>
        <v>02</v>
      </c>
      <c r="G332" s="1285" t="s">
        <v>842</v>
      </c>
      <c r="H332" s="1284">
        <v>205502</v>
      </c>
      <c r="I332" s="1284">
        <v>0</v>
      </c>
      <c r="J332" s="644">
        <f t="shared" si="22"/>
        <v>205502</v>
      </c>
      <c r="K332" s="1284">
        <v>205502</v>
      </c>
      <c r="L332" s="644">
        <f t="shared" si="23"/>
        <v>0</v>
      </c>
      <c r="M332" s="680">
        <v>0</v>
      </c>
      <c r="N332" s="651">
        <v>0</v>
      </c>
    </row>
    <row r="333" spans="1:14" ht="15.95" customHeight="1" x14ac:dyDescent="0.15">
      <c r="A333" s="1286">
        <v>42917</v>
      </c>
      <c r="B333" s="640" t="str">
        <f t="shared" ca="1" si="20"/>
        <v>07</v>
      </c>
      <c r="C333" s="1285" t="s">
        <v>119</v>
      </c>
      <c r="D333" s="640" t="str">
        <f t="shared" ca="1" si="21"/>
        <v>05</v>
      </c>
      <c r="E333" s="1285" t="s">
        <v>543</v>
      </c>
      <c r="F333" s="641" t="str">
        <f>IF(G333="","",VLOOKUP(G333,リスト!J$2:K$3,2,FALSE))</f>
        <v>01</v>
      </c>
      <c r="G333" s="1285" t="s">
        <v>841</v>
      </c>
      <c r="H333" s="1284">
        <v>1019564</v>
      </c>
      <c r="I333" s="1284">
        <v>0</v>
      </c>
      <c r="J333" s="644">
        <f t="shared" si="22"/>
        <v>1019564</v>
      </c>
      <c r="K333" s="1284">
        <v>1019564</v>
      </c>
      <c r="L333" s="644">
        <f t="shared" si="23"/>
        <v>0</v>
      </c>
      <c r="M333" s="680">
        <v>0</v>
      </c>
      <c r="N333" s="651">
        <v>256019</v>
      </c>
    </row>
    <row r="334" spans="1:14" ht="15.95" customHeight="1" x14ac:dyDescent="0.15">
      <c r="A334" s="1286">
        <v>42917</v>
      </c>
      <c r="B334" s="640" t="str">
        <f t="shared" ca="1" si="20"/>
        <v>08</v>
      </c>
      <c r="C334" s="1285" t="s">
        <v>189</v>
      </c>
      <c r="D334" s="640" t="str">
        <f t="shared" ca="1" si="21"/>
        <v>05</v>
      </c>
      <c r="E334" s="1285" t="s">
        <v>543</v>
      </c>
      <c r="F334" s="641" t="str">
        <f>IF(G334="","",VLOOKUP(G334,リスト!J$2:K$3,2,FALSE))</f>
        <v>02</v>
      </c>
      <c r="G334" s="1285" t="s">
        <v>842</v>
      </c>
      <c r="H334" s="1284">
        <v>0</v>
      </c>
      <c r="I334" s="1284">
        <v>0</v>
      </c>
      <c r="J334" s="644">
        <f t="shared" si="22"/>
        <v>0</v>
      </c>
      <c r="K334" s="1284">
        <v>0</v>
      </c>
      <c r="L334" s="644">
        <f t="shared" si="23"/>
        <v>0</v>
      </c>
      <c r="M334" s="680">
        <v>0</v>
      </c>
      <c r="N334" s="651">
        <v>0</v>
      </c>
    </row>
    <row r="335" spans="1:14" ht="15.95" customHeight="1" x14ac:dyDescent="0.15">
      <c r="A335" s="1286">
        <v>42917</v>
      </c>
      <c r="B335" s="640" t="str">
        <f t="shared" ca="1" si="20"/>
        <v>08</v>
      </c>
      <c r="C335" s="1285" t="s">
        <v>189</v>
      </c>
      <c r="D335" s="640" t="str">
        <f t="shared" ca="1" si="21"/>
        <v>05</v>
      </c>
      <c r="E335" s="1285" t="s">
        <v>543</v>
      </c>
      <c r="F335" s="641" t="str">
        <f>IF(G335="","",VLOOKUP(G335,リスト!J$2:K$3,2,FALSE))</f>
        <v>01</v>
      </c>
      <c r="G335" s="1285" t="s">
        <v>841</v>
      </c>
      <c r="H335" s="1284">
        <v>983492</v>
      </c>
      <c r="I335" s="1284">
        <v>0</v>
      </c>
      <c r="J335" s="644">
        <f t="shared" si="22"/>
        <v>983492</v>
      </c>
      <c r="K335" s="1284">
        <v>983492</v>
      </c>
      <c r="L335" s="644">
        <f t="shared" si="23"/>
        <v>0</v>
      </c>
      <c r="M335" s="680">
        <v>0</v>
      </c>
      <c r="N335" s="651">
        <v>0</v>
      </c>
    </row>
    <row r="336" spans="1:14" ht="15.95" customHeight="1" x14ac:dyDescent="0.15">
      <c r="A336" s="1286">
        <v>42917</v>
      </c>
      <c r="B336" s="640" t="str">
        <f t="shared" ca="1" si="20"/>
        <v>09</v>
      </c>
      <c r="C336" s="1285" t="s">
        <v>329</v>
      </c>
      <c r="D336" s="640" t="str">
        <f t="shared" ca="1" si="21"/>
        <v>05</v>
      </c>
      <c r="E336" s="1285" t="s">
        <v>543</v>
      </c>
      <c r="F336" s="641" t="str">
        <f>IF(G336="","",VLOOKUP(G336,リスト!J$2:K$3,2,FALSE))</f>
        <v>02</v>
      </c>
      <c r="G336" s="1285" t="s">
        <v>842</v>
      </c>
      <c r="H336" s="1284">
        <v>0</v>
      </c>
      <c r="I336" s="1284">
        <v>0</v>
      </c>
      <c r="J336" s="644">
        <f t="shared" si="22"/>
        <v>0</v>
      </c>
      <c r="K336" s="1284">
        <v>0</v>
      </c>
      <c r="L336" s="644">
        <f t="shared" si="23"/>
        <v>0</v>
      </c>
      <c r="M336" s="680">
        <v>0</v>
      </c>
      <c r="N336" s="651">
        <v>0</v>
      </c>
    </row>
    <row r="337" spans="1:14" ht="15.95" customHeight="1" x14ac:dyDescent="0.15">
      <c r="A337" s="1286">
        <v>42917</v>
      </c>
      <c r="B337" s="640" t="str">
        <f t="shared" ca="1" si="20"/>
        <v>09</v>
      </c>
      <c r="C337" s="1285" t="s">
        <v>329</v>
      </c>
      <c r="D337" s="640" t="str">
        <f t="shared" ca="1" si="21"/>
        <v>05</v>
      </c>
      <c r="E337" s="1285" t="s">
        <v>543</v>
      </c>
      <c r="F337" s="641" t="str">
        <f>IF(G337="","",VLOOKUP(G337,リスト!J$2:K$3,2,FALSE))</f>
        <v>01</v>
      </c>
      <c r="G337" s="1285" t="s">
        <v>841</v>
      </c>
      <c r="H337" s="1284">
        <v>1874549</v>
      </c>
      <c r="I337" s="1284">
        <v>-217608</v>
      </c>
      <c r="J337" s="644">
        <f t="shared" si="22"/>
        <v>1656941</v>
      </c>
      <c r="K337" s="1284">
        <v>1656941</v>
      </c>
      <c r="L337" s="644">
        <f t="shared" si="23"/>
        <v>0</v>
      </c>
      <c r="M337" s="680">
        <v>0</v>
      </c>
      <c r="N337" s="651">
        <v>0</v>
      </c>
    </row>
    <row r="338" spans="1:14" ht="15.95" customHeight="1" x14ac:dyDescent="0.15">
      <c r="A338" s="1286">
        <v>42917</v>
      </c>
      <c r="B338" s="640" t="str">
        <f t="shared" ca="1" si="20"/>
        <v>10</v>
      </c>
      <c r="C338" s="1285" t="s">
        <v>336</v>
      </c>
      <c r="D338" s="640" t="str">
        <f t="shared" ca="1" si="21"/>
        <v>02</v>
      </c>
      <c r="E338" s="1285" t="s">
        <v>84</v>
      </c>
      <c r="F338" s="641" t="str">
        <f>IF(G338="","",VLOOKUP(G338,リスト!J$2:K$3,2,FALSE))</f>
        <v>02</v>
      </c>
      <c r="G338" s="1285" t="s">
        <v>842</v>
      </c>
      <c r="H338" s="1284">
        <v>0</v>
      </c>
      <c r="I338" s="1284">
        <v>0</v>
      </c>
      <c r="J338" s="644">
        <f t="shared" si="22"/>
        <v>0</v>
      </c>
      <c r="K338" s="1284">
        <v>0</v>
      </c>
      <c r="L338" s="644">
        <f t="shared" si="23"/>
        <v>0</v>
      </c>
      <c r="M338" s="680">
        <v>0</v>
      </c>
      <c r="N338" s="651">
        <v>0</v>
      </c>
    </row>
    <row r="339" spans="1:14" ht="15.95" customHeight="1" x14ac:dyDescent="0.15">
      <c r="A339" s="1286">
        <v>42917</v>
      </c>
      <c r="B339" s="640" t="str">
        <f t="shared" ca="1" si="20"/>
        <v>10</v>
      </c>
      <c r="C339" s="1285" t="s">
        <v>336</v>
      </c>
      <c r="D339" s="640" t="str">
        <f t="shared" ca="1" si="21"/>
        <v>01</v>
      </c>
      <c r="E339" s="1285" t="s">
        <v>83</v>
      </c>
      <c r="F339" s="641" t="str">
        <f>IF(G339="","",VLOOKUP(G339,リスト!J$2:K$3,2,FALSE))</f>
        <v>02</v>
      </c>
      <c r="G339" s="1285" t="s">
        <v>842</v>
      </c>
      <c r="H339" s="1284">
        <v>2600</v>
      </c>
      <c r="I339" s="1284">
        <v>9169</v>
      </c>
      <c r="J339" s="644">
        <f t="shared" si="22"/>
        <v>11769</v>
      </c>
      <c r="K339" s="1284">
        <v>11769</v>
      </c>
      <c r="L339" s="644">
        <f t="shared" si="23"/>
        <v>0</v>
      </c>
      <c r="M339" s="680">
        <v>0</v>
      </c>
      <c r="N339" s="651">
        <v>0</v>
      </c>
    </row>
    <row r="340" spans="1:14" ht="15.95" customHeight="1" x14ac:dyDescent="0.15">
      <c r="A340" s="1286">
        <v>42917</v>
      </c>
      <c r="B340" s="640" t="str">
        <f t="shared" ca="1" si="20"/>
        <v>10</v>
      </c>
      <c r="C340" s="1285" t="s">
        <v>336</v>
      </c>
      <c r="D340" s="640" t="str">
        <f t="shared" ca="1" si="21"/>
        <v>02</v>
      </c>
      <c r="E340" s="1285" t="s">
        <v>84</v>
      </c>
      <c r="F340" s="641" t="str">
        <f>IF(G340="","",VLOOKUP(G340,リスト!J$2:K$3,2,FALSE))</f>
        <v>01</v>
      </c>
      <c r="G340" s="1285" t="s">
        <v>841</v>
      </c>
      <c r="H340" s="1284">
        <v>5184</v>
      </c>
      <c r="I340" s="1284">
        <v>0</v>
      </c>
      <c r="J340" s="644">
        <f t="shared" si="22"/>
        <v>5184</v>
      </c>
      <c r="K340" s="1284">
        <v>5184</v>
      </c>
      <c r="L340" s="644">
        <f t="shared" si="23"/>
        <v>0</v>
      </c>
      <c r="M340" s="680">
        <v>0</v>
      </c>
      <c r="N340" s="651">
        <v>0</v>
      </c>
    </row>
    <row r="341" spans="1:14" ht="15.95" customHeight="1" x14ac:dyDescent="0.15">
      <c r="A341" s="1286">
        <v>42917</v>
      </c>
      <c r="B341" s="640" t="str">
        <f t="shared" ca="1" si="20"/>
        <v>10</v>
      </c>
      <c r="C341" s="1285" t="s">
        <v>336</v>
      </c>
      <c r="D341" s="640" t="str">
        <f t="shared" ca="1" si="21"/>
        <v>01</v>
      </c>
      <c r="E341" s="1285" t="s">
        <v>83</v>
      </c>
      <c r="F341" s="641" t="str">
        <f>IF(G341="","",VLOOKUP(G341,リスト!J$2:K$3,2,FALSE))</f>
        <v>01</v>
      </c>
      <c r="G341" s="1285" t="s">
        <v>841</v>
      </c>
      <c r="H341" s="1284">
        <v>1136231</v>
      </c>
      <c r="I341" s="1284">
        <v>-39418</v>
      </c>
      <c r="J341" s="644">
        <f t="shared" si="22"/>
        <v>1096813</v>
      </c>
      <c r="K341" s="1284">
        <v>1096813</v>
      </c>
      <c r="L341" s="644">
        <f t="shared" si="23"/>
        <v>0</v>
      </c>
      <c r="M341" s="680">
        <v>0</v>
      </c>
      <c r="N341" s="651">
        <v>0</v>
      </c>
    </row>
    <row r="342" spans="1:14" ht="15.95" customHeight="1" x14ac:dyDescent="0.15">
      <c r="A342" s="1286">
        <v>42948</v>
      </c>
      <c r="B342" s="640" t="str">
        <f t="shared" ca="1" si="20"/>
        <v>01</v>
      </c>
      <c r="C342" s="1285" t="s">
        <v>34</v>
      </c>
      <c r="D342" s="640" t="str">
        <f t="shared" ca="1" si="21"/>
        <v>03</v>
      </c>
      <c r="E342" s="1285" t="s">
        <v>98</v>
      </c>
      <c r="F342" s="641" t="str">
        <f>IF(G342="","",VLOOKUP(G342,リスト!J$2:K$3,2,FALSE))</f>
        <v>02</v>
      </c>
      <c r="G342" s="1285" t="s">
        <v>842</v>
      </c>
      <c r="H342" s="1284">
        <v>14359</v>
      </c>
      <c r="I342" s="1284">
        <v>0</v>
      </c>
      <c r="J342" s="644">
        <f t="shared" si="22"/>
        <v>14359</v>
      </c>
      <c r="K342" s="1284">
        <v>14359</v>
      </c>
      <c r="L342" s="644">
        <f t="shared" si="23"/>
        <v>0</v>
      </c>
      <c r="M342" s="680">
        <v>0</v>
      </c>
      <c r="N342" s="651">
        <v>0</v>
      </c>
    </row>
    <row r="343" spans="1:14" ht="15.95" customHeight="1" x14ac:dyDescent="0.15">
      <c r="A343" s="1286">
        <v>42948</v>
      </c>
      <c r="B343" s="640" t="str">
        <f t="shared" ca="1" si="20"/>
        <v>01</v>
      </c>
      <c r="C343" s="1285" t="s">
        <v>34</v>
      </c>
      <c r="D343" s="640" t="str">
        <f t="shared" ca="1" si="21"/>
        <v>02</v>
      </c>
      <c r="E343" s="1285" t="s">
        <v>84</v>
      </c>
      <c r="F343" s="641" t="str">
        <f>IF(G343="","",VLOOKUP(G343,リスト!J$2:K$3,2,FALSE))</f>
        <v>02</v>
      </c>
      <c r="G343" s="1285" t="s">
        <v>842</v>
      </c>
      <c r="H343" s="1284">
        <v>0</v>
      </c>
      <c r="I343" s="1284">
        <v>120466</v>
      </c>
      <c r="J343" s="644">
        <f t="shared" si="22"/>
        <v>120466</v>
      </c>
      <c r="K343" s="1284">
        <v>120466</v>
      </c>
      <c r="L343" s="644">
        <f t="shared" si="23"/>
        <v>0</v>
      </c>
      <c r="M343" s="680">
        <v>0</v>
      </c>
      <c r="N343" s="651">
        <v>0</v>
      </c>
    </row>
    <row r="344" spans="1:14" ht="15.95" customHeight="1" x14ac:dyDescent="0.15">
      <c r="A344" s="1286">
        <v>42948</v>
      </c>
      <c r="B344" s="640" t="str">
        <f t="shared" ca="1" si="20"/>
        <v>01</v>
      </c>
      <c r="C344" s="1285" t="s">
        <v>34</v>
      </c>
      <c r="D344" s="640" t="str">
        <f t="shared" ca="1" si="21"/>
        <v>01</v>
      </c>
      <c r="E344" s="1285" t="s">
        <v>83</v>
      </c>
      <c r="F344" s="641" t="str">
        <f>IF(G344="","",VLOOKUP(G344,リスト!J$2:K$3,2,FALSE))</f>
        <v>02</v>
      </c>
      <c r="G344" s="1285" t="s">
        <v>842</v>
      </c>
      <c r="H344" s="1284">
        <v>22170</v>
      </c>
      <c r="I344" s="1284">
        <v>-34240</v>
      </c>
      <c r="J344" s="644">
        <f t="shared" si="22"/>
        <v>-12070</v>
      </c>
      <c r="K344" s="1284">
        <v>-12070</v>
      </c>
      <c r="L344" s="644">
        <f t="shared" si="23"/>
        <v>0</v>
      </c>
      <c r="M344" s="680">
        <v>0</v>
      </c>
      <c r="N344" s="651">
        <v>0</v>
      </c>
    </row>
    <row r="345" spans="1:14" ht="15.95" customHeight="1" x14ac:dyDescent="0.15">
      <c r="A345" s="1286">
        <v>42948</v>
      </c>
      <c r="B345" s="640" t="str">
        <f t="shared" ca="1" si="20"/>
        <v>01</v>
      </c>
      <c r="C345" s="1285" t="s">
        <v>34</v>
      </c>
      <c r="D345" s="640" t="str">
        <f t="shared" ca="1" si="21"/>
        <v>03</v>
      </c>
      <c r="E345" s="1285" t="s">
        <v>98</v>
      </c>
      <c r="F345" s="641" t="str">
        <f>IF(G345="","",VLOOKUP(G345,リスト!J$2:K$3,2,FALSE))</f>
        <v>01</v>
      </c>
      <c r="G345" s="1285" t="s">
        <v>841</v>
      </c>
      <c r="H345" s="1284">
        <v>671675</v>
      </c>
      <c r="I345" s="1284">
        <v>0</v>
      </c>
      <c r="J345" s="644">
        <f t="shared" si="22"/>
        <v>671675</v>
      </c>
      <c r="K345" s="1284">
        <v>671675</v>
      </c>
      <c r="L345" s="644">
        <f t="shared" si="23"/>
        <v>0</v>
      </c>
      <c r="M345" s="680">
        <v>0</v>
      </c>
      <c r="N345" s="651">
        <v>0</v>
      </c>
    </row>
    <row r="346" spans="1:14" ht="15.95" customHeight="1" x14ac:dyDescent="0.15">
      <c r="A346" s="1286">
        <v>42948</v>
      </c>
      <c r="B346" s="640" t="str">
        <f t="shared" ca="1" si="20"/>
        <v>01</v>
      </c>
      <c r="C346" s="1285" t="s">
        <v>34</v>
      </c>
      <c r="D346" s="640" t="str">
        <f t="shared" ca="1" si="21"/>
        <v>02</v>
      </c>
      <c r="E346" s="1285" t="s">
        <v>84</v>
      </c>
      <c r="F346" s="641" t="str">
        <f>IF(G346="","",VLOOKUP(G346,リスト!J$2:K$3,2,FALSE))</f>
        <v>01</v>
      </c>
      <c r="G346" s="1285" t="s">
        <v>841</v>
      </c>
      <c r="H346" s="1284">
        <v>1507926</v>
      </c>
      <c r="I346" s="1284">
        <v>-120466</v>
      </c>
      <c r="J346" s="644">
        <f t="shared" si="22"/>
        <v>1387460</v>
      </c>
      <c r="K346" s="1284">
        <v>1387460</v>
      </c>
      <c r="L346" s="644">
        <f t="shared" si="23"/>
        <v>0</v>
      </c>
      <c r="M346" s="680">
        <v>0</v>
      </c>
      <c r="N346" s="651">
        <v>324818</v>
      </c>
    </row>
    <row r="347" spans="1:14" ht="15.95" customHeight="1" x14ac:dyDescent="0.15">
      <c r="A347" s="1286">
        <v>42948</v>
      </c>
      <c r="B347" s="640" t="str">
        <f t="shared" ca="1" si="20"/>
        <v>01</v>
      </c>
      <c r="C347" s="1285" t="s">
        <v>34</v>
      </c>
      <c r="D347" s="640" t="str">
        <f t="shared" ca="1" si="21"/>
        <v>01</v>
      </c>
      <c r="E347" s="1285" t="s">
        <v>83</v>
      </c>
      <c r="F347" s="641" t="str">
        <f>IF(G347="","",VLOOKUP(G347,リスト!J$2:K$3,2,FALSE))</f>
        <v>01</v>
      </c>
      <c r="G347" s="1285" t="s">
        <v>841</v>
      </c>
      <c r="H347" s="1284">
        <v>7594429</v>
      </c>
      <c r="I347" s="1284">
        <v>0</v>
      </c>
      <c r="J347" s="644">
        <f t="shared" si="22"/>
        <v>7594429</v>
      </c>
      <c r="K347" s="1284">
        <v>7594429</v>
      </c>
      <c r="L347" s="644">
        <f t="shared" si="23"/>
        <v>0</v>
      </c>
      <c r="M347" s="680">
        <v>100152</v>
      </c>
      <c r="N347" s="651">
        <v>1351019</v>
      </c>
    </row>
    <row r="348" spans="1:14" ht="15.95" customHeight="1" x14ac:dyDescent="0.15">
      <c r="A348" s="1286">
        <v>42948</v>
      </c>
      <c r="B348" s="640" t="str">
        <f t="shared" ca="1" si="20"/>
        <v>02</v>
      </c>
      <c r="C348" s="1285" t="s">
        <v>37</v>
      </c>
      <c r="D348" s="640" t="str">
        <f t="shared" ca="1" si="21"/>
        <v>03</v>
      </c>
      <c r="E348" s="1285" t="s">
        <v>98</v>
      </c>
      <c r="F348" s="641" t="str">
        <f>IF(G348="","",VLOOKUP(G348,リスト!J$2:K$3,2,FALSE))</f>
        <v>02</v>
      </c>
      <c r="G348" s="1285" t="s">
        <v>842</v>
      </c>
      <c r="H348" s="1284">
        <v>0</v>
      </c>
      <c r="I348" s="1284">
        <v>0</v>
      </c>
      <c r="J348" s="644">
        <f t="shared" si="22"/>
        <v>0</v>
      </c>
      <c r="K348" s="1284">
        <v>0</v>
      </c>
      <c r="L348" s="644">
        <f t="shared" si="23"/>
        <v>0</v>
      </c>
      <c r="M348" s="680">
        <v>0</v>
      </c>
      <c r="N348" s="651">
        <v>0</v>
      </c>
    </row>
    <row r="349" spans="1:14" ht="15.95" customHeight="1" x14ac:dyDescent="0.15">
      <c r="A349" s="1286">
        <v>42948</v>
      </c>
      <c r="B349" s="640" t="str">
        <f t="shared" ca="1" si="20"/>
        <v>02</v>
      </c>
      <c r="C349" s="1285" t="s">
        <v>37</v>
      </c>
      <c r="D349" s="640" t="str">
        <f t="shared" ca="1" si="21"/>
        <v>02</v>
      </c>
      <c r="E349" s="1285" t="s">
        <v>84</v>
      </c>
      <c r="F349" s="641" t="str">
        <f>IF(G349="","",VLOOKUP(G349,リスト!J$2:K$3,2,FALSE))</f>
        <v>02</v>
      </c>
      <c r="G349" s="1285" t="s">
        <v>842</v>
      </c>
      <c r="H349" s="1284">
        <v>204441</v>
      </c>
      <c r="I349" s="1284">
        <v>0</v>
      </c>
      <c r="J349" s="644">
        <f t="shared" si="22"/>
        <v>204441</v>
      </c>
      <c r="K349" s="1284">
        <v>204441</v>
      </c>
      <c r="L349" s="644">
        <f t="shared" si="23"/>
        <v>0</v>
      </c>
      <c r="M349" s="680">
        <v>0</v>
      </c>
      <c r="N349" s="651">
        <v>0</v>
      </c>
    </row>
    <row r="350" spans="1:14" ht="15.95" customHeight="1" x14ac:dyDescent="0.15">
      <c r="A350" s="1286">
        <v>42948</v>
      </c>
      <c r="B350" s="640" t="str">
        <f t="shared" ca="1" si="20"/>
        <v>02</v>
      </c>
      <c r="C350" s="1285" t="s">
        <v>37</v>
      </c>
      <c r="D350" s="640" t="str">
        <f t="shared" ca="1" si="21"/>
        <v>01</v>
      </c>
      <c r="E350" s="1285" t="s">
        <v>83</v>
      </c>
      <c r="F350" s="641" t="str">
        <f>IF(G350="","",VLOOKUP(G350,リスト!J$2:K$3,2,FALSE))</f>
        <v>02</v>
      </c>
      <c r="G350" s="1285" t="s">
        <v>842</v>
      </c>
      <c r="H350" s="1284">
        <v>0</v>
      </c>
      <c r="I350" s="1284">
        <v>3392</v>
      </c>
      <c r="J350" s="644">
        <f t="shared" si="22"/>
        <v>3392</v>
      </c>
      <c r="K350" s="1284">
        <v>3392</v>
      </c>
      <c r="L350" s="644">
        <f t="shared" si="23"/>
        <v>0</v>
      </c>
      <c r="M350" s="680">
        <v>0</v>
      </c>
      <c r="N350" s="651">
        <v>0</v>
      </c>
    </row>
    <row r="351" spans="1:14" ht="15.95" customHeight="1" x14ac:dyDescent="0.15">
      <c r="A351" s="1286">
        <v>42948</v>
      </c>
      <c r="B351" s="640" t="str">
        <f t="shared" ca="1" si="20"/>
        <v>02</v>
      </c>
      <c r="C351" s="1285" t="s">
        <v>37</v>
      </c>
      <c r="D351" s="640" t="str">
        <f t="shared" ca="1" si="21"/>
        <v>03</v>
      </c>
      <c r="E351" s="1285" t="s">
        <v>98</v>
      </c>
      <c r="F351" s="641" t="str">
        <f>IF(G351="","",VLOOKUP(G351,リスト!J$2:K$3,2,FALSE))</f>
        <v>01</v>
      </c>
      <c r="G351" s="1285" t="s">
        <v>841</v>
      </c>
      <c r="H351" s="1284">
        <v>474864</v>
      </c>
      <c r="I351" s="1284">
        <v>0</v>
      </c>
      <c r="J351" s="644">
        <f t="shared" si="22"/>
        <v>474864</v>
      </c>
      <c r="K351" s="1284">
        <v>474864</v>
      </c>
      <c r="L351" s="644">
        <f t="shared" si="23"/>
        <v>0</v>
      </c>
      <c r="M351" s="680">
        <v>0</v>
      </c>
      <c r="N351" s="651">
        <v>0</v>
      </c>
    </row>
    <row r="352" spans="1:14" ht="15.95" customHeight="1" x14ac:dyDescent="0.15">
      <c r="A352" s="1286">
        <v>42948</v>
      </c>
      <c r="B352" s="640" t="str">
        <f t="shared" ca="1" si="20"/>
        <v>02</v>
      </c>
      <c r="C352" s="1285" t="s">
        <v>37</v>
      </c>
      <c r="D352" s="640" t="str">
        <f t="shared" ca="1" si="21"/>
        <v>02</v>
      </c>
      <c r="E352" s="1285" t="s">
        <v>84</v>
      </c>
      <c r="F352" s="641" t="str">
        <f>IF(G352="","",VLOOKUP(G352,リスト!J$2:K$3,2,FALSE))</f>
        <v>01</v>
      </c>
      <c r="G352" s="1285" t="s">
        <v>841</v>
      </c>
      <c r="H352" s="1284">
        <v>725401</v>
      </c>
      <c r="I352" s="1284">
        <v>-20733</v>
      </c>
      <c r="J352" s="644">
        <f t="shared" si="22"/>
        <v>704668</v>
      </c>
      <c r="K352" s="1284">
        <v>704668</v>
      </c>
      <c r="L352" s="644">
        <f t="shared" si="23"/>
        <v>0</v>
      </c>
      <c r="M352" s="680">
        <v>0</v>
      </c>
      <c r="N352" s="651">
        <v>198848</v>
      </c>
    </row>
    <row r="353" spans="1:14" ht="15.95" customHeight="1" x14ac:dyDescent="0.15">
      <c r="A353" s="1286">
        <v>42948</v>
      </c>
      <c r="B353" s="640" t="str">
        <f t="shared" ca="1" si="20"/>
        <v>02</v>
      </c>
      <c r="C353" s="1285" t="s">
        <v>37</v>
      </c>
      <c r="D353" s="640" t="str">
        <f t="shared" ca="1" si="21"/>
        <v>01</v>
      </c>
      <c r="E353" s="1285" t="s">
        <v>83</v>
      </c>
      <c r="F353" s="641" t="str">
        <f>IF(G353="","",VLOOKUP(G353,リスト!J$2:K$3,2,FALSE))</f>
        <v>01</v>
      </c>
      <c r="G353" s="1285" t="s">
        <v>841</v>
      </c>
      <c r="H353" s="1284">
        <v>3936467</v>
      </c>
      <c r="I353" s="1284">
        <v>-59131</v>
      </c>
      <c r="J353" s="644">
        <f t="shared" si="22"/>
        <v>3877336</v>
      </c>
      <c r="K353" s="1284">
        <v>3877336</v>
      </c>
      <c r="L353" s="644">
        <f t="shared" si="23"/>
        <v>0</v>
      </c>
      <c r="M353" s="680">
        <v>0</v>
      </c>
      <c r="N353" s="651">
        <v>436057</v>
      </c>
    </row>
    <row r="354" spans="1:14" ht="15.95" customHeight="1" x14ac:dyDescent="0.15">
      <c r="A354" s="1286">
        <v>42948</v>
      </c>
      <c r="B354" s="640" t="str">
        <f t="shared" ca="1" si="20"/>
        <v>03</v>
      </c>
      <c r="C354" s="1285" t="s">
        <v>66</v>
      </c>
      <c r="D354" s="640" t="str">
        <f t="shared" ca="1" si="21"/>
        <v>02</v>
      </c>
      <c r="E354" s="1285" t="s">
        <v>84</v>
      </c>
      <c r="F354" s="641" t="str">
        <f>IF(G354="","",VLOOKUP(G354,リスト!J$2:K$3,2,FALSE))</f>
        <v>02</v>
      </c>
      <c r="G354" s="1285" t="s">
        <v>842</v>
      </c>
      <c r="H354" s="1284">
        <v>0</v>
      </c>
      <c r="I354" s="1284">
        <v>0</v>
      </c>
      <c r="J354" s="644">
        <f t="shared" si="22"/>
        <v>0</v>
      </c>
      <c r="K354" s="1284">
        <v>0</v>
      </c>
      <c r="L354" s="644">
        <f t="shared" si="23"/>
        <v>0</v>
      </c>
      <c r="M354" s="680">
        <v>0</v>
      </c>
      <c r="N354" s="651">
        <v>0</v>
      </c>
    </row>
    <row r="355" spans="1:14" ht="15.95" customHeight="1" x14ac:dyDescent="0.15">
      <c r="A355" s="1286">
        <v>42948</v>
      </c>
      <c r="B355" s="640" t="str">
        <f t="shared" ca="1" si="20"/>
        <v>03</v>
      </c>
      <c r="C355" s="1285" t="s">
        <v>66</v>
      </c>
      <c r="D355" s="640" t="str">
        <f t="shared" ca="1" si="21"/>
        <v>01</v>
      </c>
      <c r="E355" s="1285" t="s">
        <v>83</v>
      </c>
      <c r="F355" s="641" t="str">
        <f>IF(G355="","",VLOOKUP(G355,リスト!J$2:K$3,2,FALSE))</f>
        <v>02</v>
      </c>
      <c r="G355" s="1285" t="s">
        <v>842</v>
      </c>
      <c r="H355" s="1284">
        <v>6210</v>
      </c>
      <c r="I355" s="1284">
        <v>52597</v>
      </c>
      <c r="J355" s="644">
        <f t="shared" si="22"/>
        <v>58807</v>
      </c>
      <c r="K355" s="1284">
        <v>58807</v>
      </c>
      <c r="L355" s="644">
        <f t="shared" si="23"/>
        <v>0</v>
      </c>
      <c r="M355" s="680">
        <v>0</v>
      </c>
      <c r="N355" s="651">
        <v>0</v>
      </c>
    </row>
    <row r="356" spans="1:14" ht="15.95" customHeight="1" x14ac:dyDescent="0.15">
      <c r="A356" s="1286">
        <v>42948</v>
      </c>
      <c r="B356" s="640" t="str">
        <f t="shared" ca="1" si="20"/>
        <v>03</v>
      </c>
      <c r="C356" s="1285" t="s">
        <v>66</v>
      </c>
      <c r="D356" s="640" t="str">
        <f t="shared" ca="1" si="21"/>
        <v>02</v>
      </c>
      <c r="E356" s="1285" t="s">
        <v>84</v>
      </c>
      <c r="F356" s="641" t="str">
        <f>IF(G356="","",VLOOKUP(G356,リスト!J$2:K$3,2,FALSE))</f>
        <v>01</v>
      </c>
      <c r="G356" s="1285" t="s">
        <v>841</v>
      </c>
      <c r="H356" s="1284">
        <v>2017857</v>
      </c>
      <c r="I356" s="1284">
        <v>0</v>
      </c>
      <c r="J356" s="644">
        <f t="shared" si="22"/>
        <v>2017857</v>
      </c>
      <c r="K356" s="1284">
        <v>2017857</v>
      </c>
      <c r="L356" s="644">
        <f t="shared" si="23"/>
        <v>0</v>
      </c>
      <c r="M356" s="680">
        <v>0</v>
      </c>
      <c r="N356" s="651">
        <v>466306</v>
      </c>
    </row>
    <row r="357" spans="1:14" ht="15.95" customHeight="1" x14ac:dyDescent="0.15">
      <c r="A357" s="1286">
        <v>42948</v>
      </c>
      <c r="B357" s="640" t="str">
        <f t="shared" ca="1" si="20"/>
        <v>03</v>
      </c>
      <c r="C357" s="1285" t="s">
        <v>66</v>
      </c>
      <c r="D357" s="640" t="str">
        <f t="shared" ca="1" si="21"/>
        <v>01</v>
      </c>
      <c r="E357" s="1285" t="s">
        <v>83</v>
      </c>
      <c r="F357" s="641" t="str">
        <f>IF(G357="","",VLOOKUP(G357,リスト!J$2:K$3,2,FALSE))</f>
        <v>01</v>
      </c>
      <c r="G357" s="1285" t="s">
        <v>841</v>
      </c>
      <c r="H357" s="1284">
        <v>3601142</v>
      </c>
      <c r="I357" s="1284">
        <v>-124522</v>
      </c>
      <c r="J357" s="644">
        <f t="shared" si="22"/>
        <v>3476620</v>
      </c>
      <c r="K357" s="1284">
        <v>3476620</v>
      </c>
      <c r="L357" s="644">
        <f t="shared" si="23"/>
        <v>0</v>
      </c>
      <c r="M357" s="680">
        <v>0</v>
      </c>
      <c r="N357" s="651">
        <v>392966</v>
      </c>
    </row>
    <row r="358" spans="1:14" ht="15.95" customHeight="1" x14ac:dyDescent="0.15">
      <c r="A358" s="1286">
        <v>42948</v>
      </c>
      <c r="B358" s="640" t="str">
        <f t="shared" ca="1" si="20"/>
        <v>04</v>
      </c>
      <c r="C358" s="1285" t="s">
        <v>358</v>
      </c>
      <c r="D358" s="640" t="str">
        <f t="shared" ca="1" si="21"/>
        <v>04</v>
      </c>
      <c r="E358" s="1285" t="s">
        <v>542</v>
      </c>
      <c r="F358" s="641" t="str">
        <f>IF(G358="","",VLOOKUP(G358,リスト!J$2:K$3,2,FALSE))</f>
        <v>02</v>
      </c>
      <c r="G358" s="1285" t="s">
        <v>842</v>
      </c>
      <c r="H358" s="1284">
        <v>0</v>
      </c>
      <c r="I358" s="1284">
        <v>0</v>
      </c>
      <c r="J358" s="644">
        <f t="shared" si="22"/>
        <v>0</v>
      </c>
      <c r="K358" s="1284">
        <v>0</v>
      </c>
      <c r="L358" s="644">
        <f t="shared" si="23"/>
        <v>0</v>
      </c>
      <c r="M358" s="680">
        <v>0</v>
      </c>
      <c r="N358" s="651">
        <v>0</v>
      </c>
    </row>
    <row r="359" spans="1:14" ht="15.95" customHeight="1" x14ac:dyDescent="0.15">
      <c r="A359" s="1286">
        <v>42948</v>
      </c>
      <c r="B359" s="640" t="str">
        <f t="shared" ca="1" si="20"/>
        <v>04</v>
      </c>
      <c r="C359" s="1285" t="s">
        <v>358</v>
      </c>
      <c r="D359" s="640" t="str">
        <f t="shared" ca="1" si="21"/>
        <v>04</v>
      </c>
      <c r="E359" s="1285" t="s">
        <v>542</v>
      </c>
      <c r="F359" s="641" t="str">
        <f>IF(G359="","",VLOOKUP(G359,リスト!J$2:K$3,2,FALSE))</f>
        <v>01</v>
      </c>
      <c r="G359" s="1285" t="s">
        <v>841</v>
      </c>
      <c r="H359" s="1284">
        <v>3078216</v>
      </c>
      <c r="I359" s="1284">
        <v>-73912</v>
      </c>
      <c r="J359" s="644">
        <f t="shared" si="22"/>
        <v>3004304</v>
      </c>
      <c r="K359" s="1284">
        <v>3004304</v>
      </c>
      <c r="L359" s="644">
        <f t="shared" si="23"/>
        <v>0</v>
      </c>
      <c r="M359" s="680">
        <v>0</v>
      </c>
      <c r="N359" s="651">
        <v>167502</v>
      </c>
    </row>
    <row r="360" spans="1:14" ht="15.95" customHeight="1" x14ac:dyDescent="0.15">
      <c r="A360" s="1286">
        <v>42948</v>
      </c>
      <c r="B360" s="640" t="str">
        <f t="shared" ca="1" si="20"/>
        <v>05</v>
      </c>
      <c r="C360" s="1285" t="s">
        <v>38</v>
      </c>
      <c r="D360" s="640" t="str">
        <f t="shared" ca="1" si="21"/>
        <v>01</v>
      </c>
      <c r="E360" s="1285" t="s">
        <v>83</v>
      </c>
      <c r="F360" s="641" t="str">
        <f>IF(G360="","",VLOOKUP(G360,リスト!J$2:K$3,2,FALSE))</f>
        <v>02</v>
      </c>
      <c r="G360" s="1285" t="s">
        <v>842</v>
      </c>
      <c r="H360" s="1284">
        <v>0</v>
      </c>
      <c r="I360" s="1284">
        <v>0</v>
      </c>
      <c r="J360" s="644">
        <f t="shared" si="22"/>
        <v>0</v>
      </c>
      <c r="K360" s="1284">
        <v>0</v>
      </c>
      <c r="L360" s="644">
        <f t="shared" si="23"/>
        <v>0</v>
      </c>
      <c r="M360" s="680">
        <v>0</v>
      </c>
      <c r="N360" s="651">
        <v>0</v>
      </c>
    </row>
    <row r="361" spans="1:14" ht="15.95" customHeight="1" x14ac:dyDescent="0.15">
      <c r="A361" s="1286">
        <v>42948</v>
      </c>
      <c r="B361" s="640" t="str">
        <f t="shared" ca="1" si="20"/>
        <v>05</v>
      </c>
      <c r="C361" s="1285" t="s">
        <v>38</v>
      </c>
      <c r="D361" s="640" t="str">
        <f t="shared" ca="1" si="21"/>
        <v>01</v>
      </c>
      <c r="E361" s="1285" t="s">
        <v>83</v>
      </c>
      <c r="F361" s="641" t="str">
        <f>IF(G361="","",VLOOKUP(G361,リスト!J$2:K$3,2,FALSE))</f>
        <v>01</v>
      </c>
      <c r="G361" s="1285" t="s">
        <v>841</v>
      </c>
      <c r="H361" s="1284">
        <v>2326894</v>
      </c>
      <c r="I361" s="1284">
        <v>0</v>
      </c>
      <c r="J361" s="644">
        <f t="shared" si="22"/>
        <v>2326894</v>
      </c>
      <c r="K361" s="1284">
        <v>2326894</v>
      </c>
      <c r="L361" s="644">
        <f t="shared" si="23"/>
        <v>0</v>
      </c>
      <c r="M361" s="680">
        <v>0</v>
      </c>
      <c r="N361" s="651">
        <v>0</v>
      </c>
    </row>
    <row r="362" spans="1:14" ht="15.95" customHeight="1" x14ac:dyDescent="0.15">
      <c r="A362" s="1286">
        <v>42948</v>
      </c>
      <c r="B362" s="640" t="str">
        <f t="shared" ca="1" si="20"/>
        <v>07</v>
      </c>
      <c r="C362" s="1285" t="s">
        <v>119</v>
      </c>
      <c r="D362" s="640" t="str">
        <f t="shared" ca="1" si="21"/>
        <v>05</v>
      </c>
      <c r="E362" s="1285" t="s">
        <v>543</v>
      </c>
      <c r="F362" s="641" t="str">
        <f>IF(G362="","",VLOOKUP(G362,リスト!J$2:K$3,2,FALSE))</f>
        <v>02</v>
      </c>
      <c r="G362" s="1285" t="s">
        <v>842</v>
      </c>
      <c r="H362" s="1284">
        <v>0</v>
      </c>
      <c r="I362" s="1284">
        <v>0</v>
      </c>
      <c r="J362" s="644">
        <f t="shared" si="22"/>
        <v>0</v>
      </c>
      <c r="K362" s="1284">
        <v>0</v>
      </c>
      <c r="L362" s="644">
        <f t="shared" si="23"/>
        <v>0</v>
      </c>
      <c r="M362" s="680">
        <v>0</v>
      </c>
      <c r="N362" s="651">
        <v>0</v>
      </c>
    </row>
    <row r="363" spans="1:14" ht="15.95" customHeight="1" x14ac:dyDescent="0.15">
      <c r="A363" s="1286">
        <v>42948</v>
      </c>
      <c r="B363" s="640" t="str">
        <f t="shared" ca="1" si="20"/>
        <v>07</v>
      </c>
      <c r="C363" s="1285" t="s">
        <v>119</v>
      </c>
      <c r="D363" s="640" t="str">
        <f t="shared" ca="1" si="21"/>
        <v>05</v>
      </c>
      <c r="E363" s="1285" t="s">
        <v>543</v>
      </c>
      <c r="F363" s="641" t="str">
        <f>IF(G363="","",VLOOKUP(G363,リスト!J$2:K$3,2,FALSE))</f>
        <v>01</v>
      </c>
      <c r="G363" s="1285" t="s">
        <v>841</v>
      </c>
      <c r="H363" s="1284">
        <v>998363</v>
      </c>
      <c r="I363" s="1284">
        <v>0</v>
      </c>
      <c r="J363" s="644">
        <f t="shared" si="22"/>
        <v>998363</v>
      </c>
      <c r="K363" s="1284">
        <v>998363</v>
      </c>
      <c r="L363" s="644">
        <f t="shared" si="23"/>
        <v>0</v>
      </c>
      <c r="M363" s="680">
        <v>0</v>
      </c>
      <c r="N363" s="651">
        <v>251984</v>
      </c>
    </row>
    <row r="364" spans="1:14" ht="15.95" customHeight="1" x14ac:dyDescent="0.15">
      <c r="A364" s="1286">
        <v>42948</v>
      </c>
      <c r="B364" s="640" t="str">
        <f t="shared" ca="1" si="20"/>
        <v>08</v>
      </c>
      <c r="C364" s="1285" t="s">
        <v>189</v>
      </c>
      <c r="D364" s="640" t="str">
        <f t="shared" ca="1" si="21"/>
        <v>05</v>
      </c>
      <c r="E364" s="1285" t="s">
        <v>543</v>
      </c>
      <c r="F364" s="641" t="str">
        <f>IF(G364="","",VLOOKUP(G364,リスト!J$2:K$3,2,FALSE))</f>
        <v>02</v>
      </c>
      <c r="G364" s="1285" t="s">
        <v>842</v>
      </c>
      <c r="H364" s="1284">
        <v>0</v>
      </c>
      <c r="I364" s="1284">
        <v>0</v>
      </c>
      <c r="J364" s="644">
        <f t="shared" si="22"/>
        <v>0</v>
      </c>
      <c r="K364" s="1284">
        <v>0</v>
      </c>
      <c r="L364" s="644">
        <f t="shared" si="23"/>
        <v>0</v>
      </c>
      <c r="M364" s="680">
        <v>0</v>
      </c>
      <c r="N364" s="651">
        <v>0</v>
      </c>
    </row>
    <row r="365" spans="1:14" ht="15.95" customHeight="1" x14ac:dyDescent="0.15">
      <c r="A365" s="1286">
        <v>42948</v>
      </c>
      <c r="B365" s="640" t="str">
        <f t="shared" ca="1" si="20"/>
        <v>08</v>
      </c>
      <c r="C365" s="1285" t="s">
        <v>189</v>
      </c>
      <c r="D365" s="640" t="str">
        <f t="shared" ca="1" si="21"/>
        <v>05</v>
      </c>
      <c r="E365" s="1285" t="s">
        <v>543</v>
      </c>
      <c r="F365" s="641" t="str">
        <f>IF(G365="","",VLOOKUP(G365,リスト!J$2:K$3,2,FALSE))</f>
        <v>01</v>
      </c>
      <c r="G365" s="1285" t="s">
        <v>841</v>
      </c>
      <c r="H365" s="1284">
        <v>983492</v>
      </c>
      <c r="I365" s="1284">
        <v>0</v>
      </c>
      <c r="J365" s="644">
        <f t="shared" si="22"/>
        <v>983492</v>
      </c>
      <c r="K365" s="1284">
        <v>983492</v>
      </c>
      <c r="L365" s="644">
        <f t="shared" si="23"/>
        <v>0</v>
      </c>
      <c r="M365" s="680">
        <v>0</v>
      </c>
      <c r="N365" s="651">
        <v>0</v>
      </c>
    </row>
    <row r="366" spans="1:14" ht="15.95" customHeight="1" x14ac:dyDescent="0.15">
      <c r="A366" s="1286">
        <v>42948</v>
      </c>
      <c r="B366" s="640" t="str">
        <f t="shared" ca="1" si="20"/>
        <v>09</v>
      </c>
      <c r="C366" s="1285" t="s">
        <v>329</v>
      </c>
      <c r="D366" s="640" t="str">
        <f t="shared" ca="1" si="21"/>
        <v>05</v>
      </c>
      <c r="E366" s="1285" t="s">
        <v>543</v>
      </c>
      <c r="F366" s="641" t="str">
        <f>IF(G366="","",VLOOKUP(G366,リスト!J$2:K$3,2,FALSE))</f>
        <v>02</v>
      </c>
      <c r="G366" s="1285" t="s">
        <v>842</v>
      </c>
      <c r="H366" s="1284">
        <v>20236</v>
      </c>
      <c r="I366" s="1284">
        <v>-20236</v>
      </c>
      <c r="J366" s="644">
        <f t="shared" si="22"/>
        <v>0</v>
      </c>
      <c r="K366" s="1284">
        <v>0</v>
      </c>
      <c r="L366" s="644">
        <f t="shared" si="23"/>
        <v>0</v>
      </c>
      <c r="M366" s="680">
        <v>0</v>
      </c>
      <c r="N366" s="651">
        <v>0</v>
      </c>
    </row>
    <row r="367" spans="1:14" ht="15.95" customHeight="1" x14ac:dyDescent="0.15">
      <c r="A367" s="1286">
        <v>42948</v>
      </c>
      <c r="B367" s="640" t="str">
        <f t="shared" ca="1" si="20"/>
        <v>09</v>
      </c>
      <c r="C367" s="1285" t="s">
        <v>329</v>
      </c>
      <c r="D367" s="640" t="str">
        <f t="shared" ca="1" si="21"/>
        <v>05</v>
      </c>
      <c r="E367" s="1285" t="s">
        <v>543</v>
      </c>
      <c r="F367" s="641" t="str">
        <f>IF(G367="","",VLOOKUP(G367,リスト!J$2:K$3,2,FALSE))</f>
        <v>01</v>
      </c>
      <c r="G367" s="1285" t="s">
        <v>841</v>
      </c>
      <c r="H367" s="1284">
        <v>2107435</v>
      </c>
      <c r="I367" s="1284">
        <v>-282238</v>
      </c>
      <c r="J367" s="644">
        <f t="shared" si="22"/>
        <v>1825197</v>
      </c>
      <c r="K367" s="1284">
        <v>1825197</v>
      </c>
      <c r="L367" s="644">
        <f t="shared" si="23"/>
        <v>0</v>
      </c>
      <c r="M367" s="680">
        <v>0</v>
      </c>
      <c r="N367" s="651">
        <v>0</v>
      </c>
    </row>
    <row r="368" spans="1:14" ht="15.95" customHeight="1" x14ac:dyDescent="0.15">
      <c r="A368" s="1286">
        <v>42948</v>
      </c>
      <c r="B368" s="640" t="str">
        <f t="shared" ca="1" si="20"/>
        <v>10</v>
      </c>
      <c r="C368" s="1285" t="s">
        <v>336</v>
      </c>
      <c r="D368" s="640" t="str">
        <f t="shared" ca="1" si="21"/>
        <v>02</v>
      </c>
      <c r="E368" s="1285" t="s">
        <v>84</v>
      </c>
      <c r="F368" s="641" t="str">
        <f>IF(G368="","",VLOOKUP(G368,リスト!J$2:K$3,2,FALSE))</f>
        <v>02</v>
      </c>
      <c r="G368" s="1285" t="s">
        <v>842</v>
      </c>
      <c r="H368" s="1284">
        <v>0</v>
      </c>
      <c r="I368" s="1284">
        <v>0</v>
      </c>
      <c r="J368" s="644">
        <f t="shared" si="22"/>
        <v>0</v>
      </c>
      <c r="K368" s="1284">
        <v>0</v>
      </c>
      <c r="L368" s="644">
        <f t="shared" si="23"/>
        <v>0</v>
      </c>
      <c r="M368" s="680">
        <v>0</v>
      </c>
      <c r="N368" s="651">
        <v>0</v>
      </c>
    </row>
    <row r="369" spans="1:14" ht="15.95" customHeight="1" x14ac:dyDescent="0.15">
      <c r="A369" s="1286">
        <v>42948</v>
      </c>
      <c r="B369" s="640" t="str">
        <f t="shared" ca="1" si="20"/>
        <v>10</v>
      </c>
      <c r="C369" s="1285" t="s">
        <v>336</v>
      </c>
      <c r="D369" s="640" t="str">
        <f t="shared" ca="1" si="21"/>
        <v>01</v>
      </c>
      <c r="E369" s="1285" t="s">
        <v>83</v>
      </c>
      <c r="F369" s="641" t="str">
        <f>IF(G369="","",VLOOKUP(G369,リスト!J$2:K$3,2,FALSE))</f>
        <v>02</v>
      </c>
      <c r="G369" s="1285" t="s">
        <v>842</v>
      </c>
      <c r="H369" s="1284">
        <v>40723</v>
      </c>
      <c r="I369" s="1284">
        <v>0</v>
      </c>
      <c r="J369" s="644">
        <f t="shared" si="22"/>
        <v>40723</v>
      </c>
      <c r="K369" s="1284">
        <v>40723</v>
      </c>
      <c r="L369" s="644">
        <f t="shared" si="23"/>
        <v>0</v>
      </c>
      <c r="M369" s="680">
        <v>0</v>
      </c>
      <c r="N369" s="651">
        <v>0</v>
      </c>
    </row>
    <row r="370" spans="1:14" ht="15.95" customHeight="1" x14ac:dyDescent="0.15">
      <c r="A370" s="1286">
        <v>42948</v>
      </c>
      <c r="B370" s="640" t="str">
        <f t="shared" ca="1" si="20"/>
        <v>10</v>
      </c>
      <c r="C370" s="1285" t="s">
        <v>336</v>
      </c>
      <c r="D370" s="640" t="str">
        <f t="shared" ca="1" si="21"/>
        <v>02</v>
      </c>
      <c r="E370" s="1285" t="s">
        <v>84</v>
      </c>
      <c r="F370" s="641" t="str">
        <f>IF(G370="","",VLOOKUP(G370,リスト!J$2:K$3,2,FALSE))</f>
        <v>01</v>
      </c>
      <c r="G370" s="1285" t="s">
        <v>841</v>
      </c>
      <c r="H370" s="1284">
        <v>2592</v>
      </c>
      <c r="I370" s="1284">
        <v>0</v>
      </c>
      <c r="J370" s="644">
        <f t="shared" si="22"/>
        <v>2592</v>
      </c>
      <c r="K370" s="1284">
        <v>2592</v>
      </c>
      <c r="L370" s="644">
        <f t="shared" si="23"/>
        <v>0</v>
      </c>
      <c r="M370" s="680">
        <v>0</v>
      </c>
      <c r="N370" s="651">
        <v>0</v>
      </c>
    </row>
    <row r="371" spans="1:14" ht="15.95" customHeight="1" x14ac:dyDescent="0.15">
      <c r="A371" s="1286">
        <v>42948</v>
      </c>
      <c r="B371" s="640" t="str">
        <f t="shared" ca="1" si="20"/>
        <v>10</v>
      </c>
      <c r="C371" s="1285" t="s">
        <v>336</v>
      </c>
      <c r="D371" s="640" t="str">
        <f t="shared" ca="1" si="21"/>
        <v>01</v>
      </c>
      <c r="E371" s="1285" t="s">
        <v>83</v>
      </c>
      <c r="F371" s="641" t="str">
        <f>IF(G371="","",VLOOKUP(G371,リスト!J$2:K$3,2,FALSE))</f>
        <v>01</v>
      </c>
      <c r="G371" s="1285" t="s">
        <v>841</v>
      </c>
      <c r="H371" s="1284">
        <v>1269664</v>
      </c>
      <c r="I371" s="1284">
        <v>-6559</v>
      </c>
      <c r="J371" s="644">
        <f t="shared" si="22"/>
        <v>1263105</v>
      </c>
      <c r="K371" s="1284">
        <v>1263105</v>
      </c>
      <c r="L371" s="644">
        <f t="shared" si="23"/>
        <v>0</v>
      </c>
      <c r="M371" s="680">
        <v>9159</v>
      </c>
      <c r="N371" s="651">
        <v>0</v>
      </c>
    </row>
    <row r="372" spans="1:14" ht="15.95" customHeight="1" x14ac:dyDescent="0.15">
      <c r="A372" s="1286">
        <v>42979</v>
      </c>
      <c r="B372" s="640" t="str">
        <f t="shared" ca="1" si="20"/>
        <v>01</v>
      </c>
      <c r="C372" s="1285" t="s">
        <v>34</v>
      </c>
      <c r="D372" s="640" t="str">
        <f t="shared" ca="1" si="21"/>
        <v>03</v>
      </c>
      <c r="E372" s="1285" t="s">
        <v>98</v>
      </c>
      <c r="F372" s="641" t="str">
        <f>IF(G372="","",VLOOKUP(G372,リスト!J$2:K$3,2,FALSE))</f>
        <v>02</v>
      </c>
      <c r="G372" s="1285" t="s">
        <v>842</v>
      </c>
      <c r="H372" s="1284">
        <v>0</v>
      </c>
      <c r="I372" s="1284">
        <v>0</v>
      </c>
      <c r="J372" s="644">
        <f t="shared" si="22"/>
        <v>0</v>
      </c>
      <c r="K372" s="1284">
        <v>0</v>
      </c>
      <c r="L372" s="644">
        <f t="shared" si="23"/>
        <v>0</v>
      </c>
      <c r="M372" s="680">
        <v>0</v>
      </c>
      <c r="N372" s="651">
        <v>0</v>
      </c>
    </row>
    <row r="373" spans="1:14" ht="15.95" customHeight="1" x14ac:dyDescent="0.15">
      <c r="A373" s="1286">
        <v>42979</v>
      </c>
      <c r="B373" s="640" t="str">
        <f t="shared" ca="1" si="20"/>
        <v>01</v>
      </c>
      <c r="C373" s="1285" t="s">
        <v>34</v>
      </c>
      <c r="D373" s="640" t="str">
        <f t="shared" ca="1" si="21"/>
        <v>02</v>
      </c>
      <c r="E373" s="1285" t="s">
        <v>84</v>
      </c>
      <c r="F373" s="641" t="str">
        <f>IF(G373="","",VLOOKUP(G373,リスト!J$2:K$3,2,FALSE))</f>
        <v>02</v>
      </c>
      <c r="G373" s="1285" t="s">
        <v>842</v>
      </c>
      <c r="H373" s="1284">
        <v>112147</v>
      </c>
      <c r="I373" s="1284">
        <v>-112147</v>
      </c>
      <c r="J373" s="644">
        <f t="shared" si="22"/>
        <v>0</v>
      </c>
      <c r="K373" s="1284">
        <v>0</v>
      </c>
      <c r="L373" s="644">
        <f t="shared" si="23"/>
        <v>0</v>
      </c>
      <c r="M373" s="680">
        <v>0</v>
      </c>
      <c r="N373" s="651">
        <v>0</v>
      </c>
    </row>
    <row r="374" spans="1:14" ht="15.95" customHeight="1" x14ac:dyDescent="0.15">
      <c r="A374" s="1286">
        <v>42979</v>
      </c>
      <c r="B374" s="640" t="str">
        <f t="shared" ca="1" si="20"/>
        <v>01</v>
      </c>
      <c r="C374" s="1285" t="s">
        <v>34</v>
      </c>
      <c r="D374" s="640" t="str">
        <f t="shared" ca="1" si="21"/>
        <v>01</v>
      </c>
      <c r="E374" s="1285" t="s">
        <v>83</v>
      </c>
      <c r="F374" s="641" t="str">
        <f>IF(G374="","",VLOOKUP(G374,リスト!J$2:K$3,2,FALSE))</f>
        <v>02</v>
      </c>
      <c r="G374" s="1285" t="s">
        <v>842</v>
      </c>
      <c r="H374" s="1284">
        <v>134392</v>
      </c>
      <c r="I374" s="1284">
        <v>-28408</v>
      </c>
      <c r="J374" s="644">
        <f t="shared" si="22"/>
        <v>105984</v>
      </c>
      <c r="K374" s="1284">
        <v>105984</v>
      </c>
      <c r="L374" s="644">
        <f t="shared" si="23"/>
        <v>0</v>
      </c>
      <c r="M374" s="680">
        <v>0</v>
      </c>
      <c r="N374" s="651">
        <v>0</v>
      </c>
    </row>
    <row r="375" spans="1:14" ht="15.95" customHeight="1" x14ac:dyDescent="0.15">
      <c r="A375" s="1286">
        <v>42979</v>
      </c>
      <c r="B375" s="640" t="str">
        <f t="shared" ca="1" si="20"/>
        <v>01</v>
      </c>
      <c r="C375" s="1285" t="s">
        <v>34</v>
      </c>
      <c r="D375" s="640" t="str">
        <f t="shared" ca="1" si="21"/>
        <v>03</v>
      </c>
      <c r="E375" s="1285" t="s">
        <v>98</v>
      </c>
      <c r="F375" s="641" t="str">
        <f>IF(G375="","",VLOOKUP(G375,リスト!J$2:K$3,2,FALSE))</f>
        <v>01</v>
      </c>
      <c r="G375" s="1285" t="s">
        <v>841</v>
      </c>
      <c r="H375" s="1284">
        <v>669653</v>
      </c>
      <c r="I375" s="1284">
        <v>0</v>
      </c>
      <c r="J375" s="644">
        <f t="shared" si="22"/>
        <v>669653</v>
      </c>
      <c r="K375" s="1284">
        <v>669653</v>
      </c>
      <c r="L375" s="644">
        <f t="shared" si="23"/>
        <v>0</v>
      </c>
      <c r="M375" s="680">
        <v>0</v>
      </c>
      <c r="N375" s="651">
        <v>0</v>
      </c>
    </row>
    <row r="376" spans="1:14" ht="15.95" customHeight="1" x14ac:dyDescent="0.15">
      <c r="A376" s="1286">
        <v>42979</v>
      </c>
      <c r="B376" s="640" t="str">
        <f t="shared" ca="1" si="20"/>
        <v>01</v>
      </c>
      <c r="C376" s="1285" t="s">
        <v>34</v>
      </c>
      <c r="D376" s="640" t="str">
        <f t="shared" ca="1" si="21"/>
        <v>02</v>
      </c>
      <c r="E376" s="1285" t="s">
        <v>84</v>
      </c>
      <c r="F376" s="641" t="str">
        <f>IF(G376="","",VLOOKUP(G376,リスト!J$2:K$3,2,FALSE))</f>
        <v>01</v>
      </c>
      <c r="G376" s="1285" t="s">
        <v>841</v>
      </c>
      <c r="H376" s="1284">
        <v>1360933</v>
      </c>
      <c r="I376" s="1284">
        <v>0</v>
      </c>
      <c r="J376" s="644">
        <f t="shared" si="22"/>
        <v>1360933</v>
      </c>
      <c r="K376" s="1284">
        <v>1360933</v>
      </c>
      <c r="L376" s="644">
        <f t="shared" si="23"/>
        <v>0</v>
      </c>
      <c r="M376" s="680">
        <v>0</v>
      </c>
      <c r="N376" s="651">
        <v>287532</v>
      </c>
    </row>
    <row r="377" spans="1:14" ht="15.95" customHeight="1" x14ac:dyDescent="0.15">
      <c r="A377" s="1286">
        <v>42979</v>
      </c>
      <c r="B377" s="640" t="str">
        <f t="shared" ca="1" si="20"/>
        <v>01</v>
      </c>
      <c r="C377" s="1285" t="s">
        <v>34</v>
      </c>
      <c r="D377" s="640" t="str">
        <f t="shared" ca="1" si="21"/>
        <v>01</v>
      </c>
      <c r="E377" s="1285" t="s">
        <v>83</v>
      </c>
      <c r="F377" s="641" t="str">
        <f>IF(G377="","",VLOOKUP(G377,リスト!J$2:K$3,2,FALSE))</f>
        <v>01</v>
      </c>
      <c r="G377" s="1285" t="s">
        <v>841</v>
      </c>
      <c r="H377" s="1284">
        <v>8117968</v>
      </c>
      <c r="I377" s="1284">
        <v>-245734</v>
      </c>
      <c r="J377" s="644">
        <f t="shared" si="22"/>
        <v>7872234</v>
      </c>
      <c r="K377" s="1284">
        <v>7872234</v>
      </c>
      <c r="L377" s="644">
        <f t="shared" si="23"/>
        <v>0</v>
      </c>
      <c r="M377" s="680">
        <v>0</v>
      </c>
      <c r="N377" s="651">
        <v>1418859</v>
      </c>
    </row>
    <row r="378" spans="1:14" ht="15.95" customHeight="1" x14ac:dyDescent="0.15">
      <c r="A378" s="1286">
        <v>42979</v>
      </c>
      <c r="B378" s="640" t="str">
        <f t="shared" ca="1" si="20"/>
        <v>02</v>
      </c>
      <c r="C378" s="1285" t="s">
        <v>37</v>
      </c>
      <c r="D378" s="640" t="str">
        <f t="shared" ca="1" si="21"/>
        <v>03</v>
      </c>
      <c r="E378" s="1285" t="s">
        <v>98</v>
      </c>
      <c r="F378" s="641" t="str">
        <f>IF(G378="","",VLOOKUP(G378,リスト!J$2:K$3,2,FALSE))</f>
        <v>02</v>
      </c>
      <c r="G378" s="1285" t="s">
        <v>842</v>
      </c>
      <c r="H378" s="1284">
        <v>18265</v>
      </c>
      <c r="I378" s="1284">
        <v>0</v>
      </c>
      <c r="J378" s="644">
        <f t="shared" si="22"/>
        <v>18265</v>
      </c>
      <c r="K378" s="1284">
        <v>18265</v>
      </c>
      <c r="L378" s="644">
        <f t="shared" si="23"/>
        <v>0</v>
      </c>
      <c r="M378" s="680">
        <v>0</v>
      </c>
      <c r="N378" s="651">
        <v>0</v>
      </c>
    </row>
    <row r="379" spans="1:14" ht="15.95" customHeight="1" x14ac:dyDescent="0.15">
      <c r="A379" s="1286">
        <v>42979</v>
      </c>
      <c r="B379" s="640" t="str">
        <f t="shared" ca="1" si="20"/>
        <v>02</v>
      </c>
      <c r="C379" s="1285" t="s">
        <v>37</v>
      </c>
      <c r="D379" s="640" t="str">
        <f t="shared" ca="1" si="21"/>
        <v>02</v>
      </c>
      <c r="E379" s="1285" t="s">
        <v>84</v>
      </c>
      <c r="F379" s="641" t="str">
        <f>IF(G379="","",VLOOKUP(G379,リスト!J$2:K$3,2,FALSE))</f>
        <v>02</v>
      </c>
      <c r="G379" s="1285" t="s">
        <v>842</v>
      </c>
      <c r="H379" s="1284">
        <v>25058</v>
      </c>
      <c r="I379" s="1284">
        <v>0</v>
      </c>
      <c r="J379" s="644">
        <f t="shared" si="22"/>
        <v>25058</v>
      </c>
      <c r="K379" s="1284">
        <v>25058</v>
      </c>
      <c r="L379" s="644">
        <f t="shared" si="23"/>
        <v>0</v>
      </c>
      <c r="M379" s="680">
        <v>0</v>
      </c>
      <c r="N379" s="651">
        <v>0</v>
      </c>
    </row>
    <row r="380" spans="1:14" ht="15.95" customHeight="1" x14ac:dyDescent="0.15">
      <c r="A380" s="1286">
        <v>42979</v>
      </c>
      <c r="B380" s="640" t="str">
        <f t="shared" ca="1" si="20"/>
        <v>02</v>
      </c>
      <c r="C380" s="1285" t="s">
        <v>37</v>
      </c>
      <c r="D380" s="640" t="str">
        <f t="shared" ca="1" si="21"/>
        <v>01</v>
      </c>
      <c r="E380" s="1285" t="s">
        <v>83</v>
      </c>
      <c r="F380" s="641" t="str">
        <f>IF(G380="","",VLOOKUP(G380,リスト!J$2:K$3,2,FALSE))</f>
        <v>02</v>
      </c>
      <c r="G380" s="1285" t="s">
        <v>842</v>
      </c>
      <c r="H380" s="1284">
        <v>532781</v>
      </c>
      <c r="I380" s="1284">
        <v>-488034</v>
      </c>
      <c r="J380" s="644">
        <f t="shared" si="22"/>
        <v>44747</v>
      </c>
      <c r="K380" s="1284">
        <v>44747</v>
      </c>
      <c r="L380" s="644">
        <f t="shared" si="23"/>
        <v>0</v>
      </c>
      <c r="M380" s="680">
        <v>0</v>
      </c>
      <c r="N380" s="651">
        <v>0</v>
      </c>
    </row>
    <row r="381" spans="1:14" ht="15.95" customHeight="1" x14ac:dyDescent="0.15">
      <c r="A381" s="1286">
        <v>42979</v>
      </c>
      <c r="B381" s="640" t="str">
        <f t="shared" ca="1" si="20"/>
        <v>02</v>
      </c>
      <c r="C381" s="1285" t="s">
        <v>37</v>
      </c>
      <c r="D381" s="640" t="str">
        <f t="shared" ca="1" si="21"/>
        <v>03</v>
      </c>
      <c r="E381" s="1285" t="s">
        <v>98</v>
      </c>
      <c r="F381" s="641" t="str">
        <f>IF(G381="","",VLOOKUP(G381,リスト!J$2:K$3,2,FALSE))</f>
        <v>01</v>
      </c>
      <c r="G381" s="1285" t="s">
        <v>841</v>
      </c>
      <c r="H381" s="1284">
        <v>488830</v>
      </c>
      <c r="I381" s="1284">
        <v>0</v>
      </c>
      <c r="J381" s="644">
        <f t="shared" si="22"/>
        <v>488830</v>
      </c>
      <c r="K381" s="1284">
        <v>488830</v>
      </c>
      <c r="L381" s="644">
        <f t="shared" si="23"/>
        <v>0</v>
      </c>
      <c r="M381" s="680">
        <v>0</v>
      </c>
      <c r="N381" s="651">
        <v>0</v>
      </c>
    </row>
    <row r="382" spans="1:14" ht="15.95" customHeight="1" x14ac:dyDescent="0.15">
      <c r="A382" s="1286">
        <v>42979</v>
      </c>
      <c r="B382" s="640" t="str">
        <f t="shared" ca="1" si="20"/>
        <v>02</v>
      </c>
      <c r="C382" s="1285" t="s">
        <v>37</v>
      </c>
      <c r="D382" s="640" t="str">
        <f t="shared" ca="1" si="21"/>
        <v>02</v>
      </c>
      <c r="E382" s="1285" t="s">
        <v>84</v>
      </c>
      <c r="F382" s="641" t="str">
        <f>IF(G382="","",VLOOKUP(G382,リスト!J$2:K$3,2,FALSE))</f>
        <v>01</v>
      </c>
      <c r="G382" s="1285" t="s">
        <v>841</v>
      </c>
      <c r="H382" s="1284">
        <v>880595</v>
      </c>
      <c r="I382" s="1284">
        <v>0</v>
      </c>
      <c r="J382" s="644">
        <f t="shared" si="22"/>
        <v>880595</v>
      </c>
      <c r="K382" s="1284">
        <v>880595</v>
      </c>
      <c r="L382" s="644">
        <f t="shared" si="23"/>
        <v>0</v>
      </c>
      <c r="M382" s="680">
        <v>0</v>
      </c>
      <c r="N382" s="651">
        <v>206491</v>
      </c>
    </row>
    <row r="383" spans="1:14" ht="15.95" customHeight="1" x14ac:dyDescent="0.15">
      <c r="A383" s="1286">
        <v>42979</v>
      </c>
      <c r="B383" s="640" t="str">
        <f t="shared" ca="1" si="20"/>
        <v>02</v>
      </c>
      <c r="C383" s="1285" t="s">
        <v>37</v>
      </c>
      <c r="D383" s="640" t="str">
        <f t="shared" ca="1" si="21"/>
        <v>01</v>
      </c>
      <c r="E383" s="1285" t="s">
        <v>83</v>
      </c>
      <c r="F383" s="641" t="str">
        <f>IF(G383="","",VLOOKUP(G383,リスト!J$2:K$3,2,FALSE))</f>
        <v>01</v>
      </c>
      <c r="G383" s="1285" t="s">
        <v>841</v>
      </c>
      <c r="H383" s="1284">
        <v>4303508</v>
      </c>
      <c r="I383" s="1284">
        <v>-5635</v>
      </c>
      <c r="J383" s="644">
        <f t="shared" si="22"/>
        <v>4297873</v>
      </c>
      <c r="K383" s="1284">
        <v>4297873</v>
      </c>
      <c r="L383" s="644">
        <f t="shared" si="23"/>
        <v>0</v>
      </c>
      <c r="M383" s="680">
        <v>0</v>
      </c>
      <c r="N383" s="651">
        <v>485836</v>
      </c>
    </row>
    <row r="384" spans="1:14" ht="15.95" customHeight="1" x14ac:dyDescent="0.15">
      <c r="A384" s="1286">
        <v>42979</v>
      </c>
      <c r="B384" s="640" t="str">
        <f t="shared" ca="1" si="20"/>
        <v>03</v>
      </c>
      <c r="C384" s="1285" t="s">
        <v>66</v>
      </c>
      <c r="D384" s="640" t="str">
        <f t="shared" ca="1" si="21"/>
        <v>02</v>
      </c>
      <c r="E384" s="1285" t="s">
        <v>84</v>
      </c>
      <c r="F384" s="641" t="str">
        <f>IF(G384="","",VLOOKUP(G384,リスト!J$2:K$3,2,FALSE))</f>
        <v>02</v>
      </c>
      <c r="G384" s="1285" t="s">
        <v>842</v>
      </c>
      <c r="H384" s="1284">
        <v>0</v>
      </c>
      <c r="I384" s="1284">
        <v>0</v>
      </c>
      <c r="J384" s="644">
        <f t="shared" si="22"/>
        <v>0</v>
      </c>
      <c r="K384" s="1284">
        <v>0</v>
      </c>
      <c r="L384" s="644">
        <f t="shared" si="23"/>
        <v>0</v>
      </c>
      <c r="M384" s="680">
        <v>0</v>
      </c>
      <c r="N384" s="651">
        <v>0</v>
      </c>
    </row>
    <row r="385" spans="1:14" ht="15.95" customHeight="1" x14ac:dyDescent="0.15">
      <c r="A385" s="1286">
        <v>42979</v>
      </c>
      <c r="B385" s="640" t="str">
        <f t="shared" ca="1" si="20"/>
        <v>03</v>
      </c>
      <c r="C385" s="1285" t="s">
        <v>66</v>
      </c>
      <c r="D385" s="640" t="str">
        <f t="shared" ca="1" si="21"/>
        <v>01</v>
      </c>
      <c r="E385" s="1285" t="s">
        <v>83</v>
      </c>
      <c r="F385" s="641" t="str">
        <f>IF(G385="","",VLOOKUP(G385,リスト!J$2:K$3,2,FALSE))</f>
        <v>02</v>
      </c>
      <c r="G385" s="1285" t="s">
        <v>842</v>
      </c>
      <c r="H385" s="1284">
        <v>43746</v>
      </c>
      <c r="I385" s="1284">
        <v>123096</v>
      </c>
      <c r="J385" s="644">
        <f t="shared" si="22"/>
        <v>166842</v>
      </c>
      <c r="K385" s="1284">
        <v>166842</v>
      </c>
      <c r="L385" s="644">
        <f t="shared" si="23"/>
        <v>0</v>
      </c>
      <c r="M385" s="680">
        <v>0</v>
      </c>
      <c r="N385" s="651">
        <v>0</v>
      </c>
    </row>
    <row r="386" spans="1:14" ht="15.95" customHeight="1" x14ac:dyDescent="0.15">
      <c r="A386" s="1286">
        <v>42979</v>
      </c>
      <c r="B386" s="640" t="str">
        <f t="shared" ref="B386:B449" ca="1" si="24">IF(C386="","",VLOOKUP(C386,事業所コード2,2,FALSE))</f>
        <v>03</v>
      </c>
      <c r="C386" s="1285" t="s">
        <v>66</v>
      </c>
      <c r="D386" s="640" t="str">
        <f t="shared" ref="D386:D449" ca="1" si="25">IF(E386="","",VLOOKUP(E386,事業区分コード2,2,FALSE))</f>
        <v>02</v>
      </c>
      <c r="E386" s="1285" t="s">
        <v>84</v>
      </c>
      <c r="F386" s="641" t="str">
        <f>IF(G386="","",VLOOKUP(G386,リスト!J$2:K$3,2,FALSE))</f>
        <v>01</v>
      </c>
      <c r="G386" s="1285" t="s">
        <v>841</v>
      </c>
      <c r="H386" s="1284">
        <v>1897088</v>
      </c>
      <c r="I386" s="1284">
        <v>0</v>
      </c>
      <c r="J386" s="644">
        <f t="shared" ref="J386:J449" si="26">IF(A386="","",H386+I386)</f>
        <v>1897088</v>
      </c>
      <c r="K386" s="1284">
        <v>1897088</v>
      </c>
      <c r="L386" s="644">
        <f t="shared" ref="L386:L449" si="27">IF(A386="","",J386-K386)</f>
        <v>0</v>
      </c>
      <c r="M386" s="680">
        <v>0</v>
      </c>
      <c r="N386" s="651">
        <v>437767</v>
      </c>
    </row>
    <row r="387" spans="1:14" ht="15.95" customHeight="1" x14ac:dyDescent="0.15">
      <c r="A387" s="1286">
        <v>42979</v>
      </c>
      <c r="B387" s="640" t="str">
        <f t="shared" ca="1" si="24"/>
        <v>03</v>
      </c>
      <c r="C387" s="1285" t="s">
        <v>66</v>
      </c>
      <c r="D387" s="640" t="str">
        <f t="shared" ca="1" si="25"/>
        <v>01</v>
      </c>
      <c r="E387" s="1285" t="s">
        <v>83</v>
      </c>
      <c r="F387" s="641" t="str">
        <f>IF(G387="","",VLOOKUP(G387,リスト!J$2:K$3,2,FALSE))</f>
        <v>01</v>
      </c>
      <c r="G387" s="1285" t="s">
        <v>841</v>
      </c>
      <c r="H387" s="1284">
        <v>3535638</v>
      </c>
      <c r="I387" s="1284">
        <v>0</v>
      </c>
      <c r="J387" s="644">
        <f t="shared" si="26"/>
        <v>3535638</v>
      </c>
      <c r="K387" s="1284">
        <v>3535638</v>
      </c>
      <c r="L387" s="644">
        <f t="shared" si="27"/>
        <v>0</v>
      </c>
      <c r="M387" s="680">
        <v>22575</v>
      </c>
      <c r="N387" s="651">
        <v>404497</v>
      </c>
    </row>
    <row r="388" spans="1:14" ht="15.95" customHeight="1" x14ac:dyDescent="0.15">
      <c r="A388" s="1286">
        <v>42979</v>
      </c>
      <c r="B388" s="640" t="str">
        <f t="shared" ca="1" si="24"/>
        <v>04</v>
      </c>
      <c r="C388" s="1285" t="s">
        <v>358</v>
      </c>
      <c r="D388" s="640" t="str">
        <f t="shared" ca="1" si="25"/>
        <v>04</v>
      </c>
      <c r="E388" s="1285" t="s">
        <v>542</v>
      </c>
      <c r="F388" s="641" t="str">
        <f>IF(G388="","",VLOOKUP(G388,リスト!J$2:K$3,2,FALSE))</f>
        <v>02</v>
      </c>
      <c r="G388" s="1285" t="s">
        <v>842</v>
      </c>
      <c r="H388" s="1284">
        <v>91991</v>
      </c>
      <c r="I388" s="1284">
        <v>0</v>
      </c>
      <c r="J388" s="644">
        <f t="shared" si="26"/>
        <v>91991</v>
      </c>
      <c r="K388" s="1284">
        <v>91991</v>
      </c>
      <c r="L388" s="644">
        <f t="shared" si="27"/>
        <v>0</v>
      </c>
      <c r="M388" s="680">
        <v>0</v>
      </c>
      <c r="N388" s="651">
        <v>0</v>
      </c>
    </row>
    <row r="389" spans="1:14" ht="15.95" customHeight="1" x14ac:dyDescent="0.15">
      <c r="A389" s="1286">
        <v>42979</v>
      </c>
      <c r="B389" s="640" t="str">
        <f t="shared" ca="1" si="24"/>
        <v>04</v>
      </c>
      <c r="C389" s="1285" t="s">
        <v>358</v>
      </c>
      <c r="D389" s="640" t="str">
        <f t="shared" ca="1" si="25"/>
        <v>04</v>
      </c>
      <c r="E389" s="1285" t="s">
        <v>542</v>
      </c>
      <c r="F389" s="641" t="str">
        <f>IF(G389="","",VLOOKUP(G389,リスト!J$2:K$3,2,FALSE))</f>
        <v>01</v>
      </c>
      <c r="G389" s="1285" t="s">
        <v>841</v>
      </c>
      <c r="H389" s="1284">
        <v>2955968</v>
      </c>
      <c r="I389" s="1284">
        <v>-90611</v>
      </c>
      <c r="J389" s="644">
        <f t="shared" si="26"/>
        <v>2865357</v>
      </c>
      <c r="K389" s="1284">
        <v>2865357</v>
      </c>
      <c r="L389" s="644">
        <f t="shared" si="27"/>
        <v>0</v>
      </c>
      <c r="M389" s="680">
        <v>0</v>
      </c>
      <c r="N389" s="651">
        <v>165400</v>
      </c>
    </row>
    <row r="390" spans="1:14" ht="15.95" customHeight="1" x14ac:dyDescent="0.15">
      <c r="A390" s="1286">
        <v>42979</v>
      </c>
      <c r="B390" s="640" t="str">
        <f t="shared" ca="1" si="24"/>
        <v>05</v>
      </c>
      <c r="C390" s="1285" t="s">
        <v>38</v>
      </c>
      <c r="D390" s="640" t="str">
        <f t="shared" ca="1" si="25"/>
        <v>01</v>
      </c>
      <c r="E390" s="1285" t="s">
        <v>83</v>
      </c>
      <c r="F390" s="641" t="str">
        <f>IF(G390="","",VLOOKUP(G390,リスト!J$2:K$3,2,FALSE))</f>
        <v>02</v>
      </c>
      <c r="G390" s="1285" t="s">
        <v>842</v>
      </c>
      <c r="H390" s="1284">
        <v>0</v>
      </c>
      <c r="I390" s="1284">
        <v>0</v>
      </c>
      <c r="J390" s="644">
        <f t="shared" si="26"/>
        <v>0</v>
      </c>
      <c r="K390" s="1284">
        <v>0</v>
      </c>
      <c r="L390" s="644">
        <f t="shared" si="27"/>
        <v>0</v>
      </c>
      <c r="M390" s="680">
        <v>0</v>
      </c>
      <c r="N390" s="651">
        <v>0</v>
      </c>
    </row>
    <row r="391" spans="1:14" ht="15.95" customHeight="1" x14ac:dyDescent="0.15">
      <c r="A391" s="1286">
        <v>42979</v>
      </c>
      <c r="B391" s="640" t="str">
        <f t="shared" ca="1" si="24"/>
        <v>05</v>
      </c>
      <c r="C391" s="1285" t="s">
        <v>38</v>
      </c>
      <c r="D391" s="640" t="str">
        <f t="shared" ca="1" si="25"/>
        <v>01</v>
      </c>
      <c r="E391" s="1285" t="s">
        <v>83</v>
      </c>
      <c r="F391" s="641" t="str">
        <f>IF(G391="","",VLOOKUP(G391,リスト!J$2:K$3,2,FALSE))</f>
        <v>01</v>
      </c>
      <c r="G391" s="1285" t="s">
        <v>841</v>
      </c>
      <c r="H391" s="1284">
        <v>2383506</v>
      </c>
      <c r="I391" s="1284">
        <v>0</v>
      </c>
      <c r="J391" s="644">
        <f t="shared" si="26"/>
        <v>2383506</v>
      </c>
      <c r="K391" s="1284">
        <v>2383506</v>
      </c>
      <c r="L391" s="644">
        <f t="shared" si="27"/>
        <v>0</v>
      </c>
      <c r="M391" s="680">
        <v>0</v>
      </c>
      <c r="N391" s="651">
        <v>0</v>
      </c>
    </row>
    <row r="392" spans="1:14" ht="15.95" customHeight="1" x14ac:dyDescent="0.15">
      <c r="A392" s="1286">
        <v>42979</v>
      </c>
      <c r="B392" s="640" t="str">
        <f t="shared" ca="1" si="24"/>
        <v>07</v>
      </c>
      <c r="C392" s="1285" t="s">
        <v>119</v>
      </c>
      <c r="D392" s="640" t="str">
        <f t="shared" ca="1" si="25"/>
        <v>05</v>
      </c>
      <c r="E392" s="1285" t="s">
        <v>543</v>
      </c>
      <c r="F392" s="641" t="str">
        <f>IF(G392="","",VLOOKUP(G392,リスト!J$2:K$3,2,FALSE))</f>
        <v>02</v>
      </c>
      <c r="G392" s="1285" t="s">
        <v>842</v>
      </c>
      <c r="H392" s="1284">
        <v>425162</v>
      </c>
      <c r="I392" s="1284">
        <v>-209096</v>
      </c>
      <c r="J392" s="644">
        <f t="shared" si="26"/>
        <v>216066</v>
      </c>
      <c r="K392" s="1284">
        <v>216066</v>
      </c>
      <c r="L392" s="644">
        <f t="shared" si="27"/>
        <v>0</v>
      </c>
      <c r="M392" s="680">
        <v>0</v>
      </c>
      <c r="N392" s="651">
        <v>0</v>
      </c>
    </row>
    <row r="393" spans="1:14" ht="15.95" customHeight="1" x14ac:dyDescent="0.15">
      <c r="A393" s="1286">
        <v>42979</v>
      </c>
      <c r="B393" s="640" t="str">
        <f t="shared" ca="1" si="24"/>
        <v>07</v>
      </c>
      <c r="C393" s="1285" t="s">
        <v>119</v>
      </c>
      <c r="D393" s="640" t="str">
        <f t="shared" ca="1" si="25"/>
        <v>05</v>
      </c>
      <c r="E393" s="1285" t="s">
        <v>543</v>
      </c>
      <c r="F393" s="641" t="str">
        <f>IF(G393="","",VLOOKUP(G393,リスト!J$2:K$3,2,FALSE))</f>
        <v>01</v>
      </c>
      <c r="G393" s="1285" t="s">
        <v>841</v>
      </c>
      <c r="H393" s="1284">
        <v>982096</v>
      </c>
      <c r="I393" s="1284">
        <v>0</v>
      </c>
      <c r="J393" s="644">
        <f t="shared" si="26"/>
        <v>982096</v>
      </c>
      <c r="K393" s="1284">
        <v>982096</v>
      </c>
      <c r="L393" s="644">
        <f t="shared" si="27"/>
        <v>0</v>
      </c>
      <c r="M393" s="680">
        <v>0</v>
      </c>
      <c r="N393" s="651">
        <v>266247</v>
      </c>
    </row>
    <row r="394" spans="1:14" ht="15.95" customHeight="1" x14ac:dyDescent="0.15">
      <c r="A394" s="1286">
        <v>42979</v>
      </c>
      <c r="B394" s="640" t="str">
        <f t="shared" ca="1" si="24"/>
        <v>08</v>
      </c>
      <c r="C394" s="1285" t="s">
        <v>189</v>
      </c>
      <c r="D394" s="640" t="str">
        <f t="shared" ca="1" si="25"/>
        <v>05</v>
      </c>
      <c r="E394" s="1285" t="s">
        <v>543</v>
      </c>
      <c r="F394" s="641" t="str">
        <f>IF(G394="","",VLOOKUP(G394,リスト!J$2:K$3,2,FALSE))</f>
        <v>02</v>
      </c>
      <c r="G394" s="1285" t="s">
        <v>842</v>
      </c>
      <c r="H394" s="1284">
        <v>0</v>
      </c>
      <c r="I394" s="1284">
        <v>0</v>
      </c>
      <c r="J394" s="644">
        <f t="shared" si="26"/>
        <v>0</v>
      </c>
      <c r="K394" s="1284">
        <v>0</v>
      </c>
      <c r="L394" s="644">
        <f t="shared" si="27"/>
        <v>0</v>
      </c>
      <c r="M394" s="680">
        <v>0</v>
      </c>
      <c r="N394" s="651">
        <v>0</v>
      </c>
    </row>
    <row r="395" spans="1:14" ht="15.95" customHeight="1" x14ac:dyDescent="0.15">
      <c r="A395" s="1286">
        <v>42979</v>
      </c>
      <c r="B395" s="640" t="str">
        <f t="shared" ca="1" si="24"/>
        <v>08</v>
      </c>
      <c r="C395" s="1285" t="s">
        <v>189</v>
      </c>
      <c r="D395" s="640" t="str">
        <f t="shared" ca="1" si="25"/>
        <v>05</v>
      </c>
      <c r="E395" s="1285" t="s">
        <v>543</v>
      </c>
      <c r="F395" s="641" t="str">
        <f>IF(G395="","",VLOOKUP(G395,リスト!J$2:K$3,2,FALSE))</f>
        <v>01</v>
      </c>
      <c r="G395" s="1285" t="s">
        <v>841</v>
      </c>
      <c r="H395" s="1284">
        <v>937378</v>
      </c>
      <c r="I395" s="1284">
        <v>0</v>
      </c>
      <c r="J395" s="644">
        <f t="shared" si="26"/>
        <v>937378</v>
      </c>
      <c r="K395" s="1284">
        <v>937378</v>
      </c>
      <c r="L395" s="644">
        <f t="shared" si="27"/>
        <v>0</v>
      </c>
      <c r="M395" s="680">
        <v>0</v>
      </c>
      <c r="N395" s="651">
        <v>0</v>
      </c>
    </row>
    <row r="396" spans="1:14" ht="15.95" customHeight="1" x14ac:dyDescent="0.15">
      <c r="A396" s="1286">
        <v>42979</v>
      </c>
      <c r="B396" s="640" t="str">
        <f t="shared" ca="1" si="24"/>
        <v>09</v>
      </c>
      <c r="C396" s="1285" t="s">
        <v>329</v>
      </c>
      <c r="D396" s="640" t="str">
        <f t="shared" ca="1" si="25"/>
        <v>05</v>
      </c>
      <c r="E396" s="1285" t="s">
        <v>543</v>
      </c>
      <c r="F396" s="641" t="str">
        <f>IF(G396="","",VLOOKUP(G396,リスト!J$2:K$3,2,FALSE))</f>
        <v>02</v>
      </c>
      <c r="G396" s="1285" t="s">
        <v>842</v>
      </c>
      <c r="H396" s="1284">
        <v>479923</v>
      </c>
      <c r="I396" s="1284">
        <v>-435216</v>
      </c>
      <c r="J396" s="644">
        <f t="shared" si="26"/>
        <v>44707</v>
      </c>
      <c r="K396" s="1284">
        <v>44707</v>
      </c>
      <c r="L396" s="644">
        <f t="shared" si="27"/>
        <v>0</v>
      </c>
      <c r="M396" s="680">
        <v>0</v>
      </c>
      <c r="N396" s="651">
        <v>0</v>
      </c>
    </row>
    <row r="397" spans="1:14" ht="15.95" customHeight="1" x14ac:dyDescent="0.15">
      <c r="A397" s="1286">
        <v>42979</v>
      </c>
      <c r="B397" s="640" t="str">
        <f t="shared" ca="1" si="24"/>
        <v>09</v>
      </c>
      <c r="C397" s="1285" t="s">
        <v>329</v>
      </c>
      <c r="D397" s="640" t="str">
        <f t="shared" ca="1" si="25"/>
        <v>05</v>
      </c>
      <c r="E397" s="1285" t="s">
        <v>543</v>
      </c>
      <c r="F397" s="641" t="str">
        <f>IF(G397="","",VLOOKUP(G397,リスト!J$2:K$3,2,FALSE))</f>
        <v>01</v>
      </c>
      <c r="G397" s="1285" t="s">
        <v>841</v>
      </c>
      <c r="H397" s="1284">
        <v>2099753</v>
      </c>
      <c r="I397" s="1284">
        <v>-210912</v>
      </c>
      <c r="J397" s="644">
        <f t="shared" si="26"/>
        <v>1888841</v>
      </c>
      <c r="K397" s="1284">
        <v>1888841</v>
      </c>
      <c r="L397" s="644">
        <f t="shared" si="27"/>
        <v>0</v>
      </c>
      <c r="M397" s="680">
        <v>0</v>
      </c>
      <c r="N397" s="651">
        <v>0</v>
      </c>
    </row>
    <row r="398" spans="1:14" ht="15.95" customHeight="1" x14ac:dyDescent="0.15">
      <c r="A398" s="1286">
        <v>42979</v>
      </c>
      <c r="B398" s="640" t="str">
        <f t="shared" ca="1" si="24"/>
        <v>10</v>
      </c>
      <c r="C398" s="1285" t="s">
        <v>336</v>
      </c>
      <c r="D398" s="640" t="str">
        <f t="shared" ca="1" si="25"/>
        <v>02</v>
      </c>
      <c r="E398" s="1285" t="s">
        <v>84</v>
      </c>
      <c r="F398" s="641" t="str">
        <f>IF(G398="","",VLOOKUP(G398,リスト!J$2:K$3,2,FALSE))</f>
        <v>02</v>
      </c>
      <c r="G398" s="1285" t="s">
        <v>842</v>
      </c>
      <c r="H398" s="1284">
        <v>0</v>
      </c>
      <c r="I398" s="1284">
        <v>0</v>
      </c>
      <c r="J398" s="644">
        <f t="shared" si="26"/>
        <v>0</v>
      </c>
      <c r="K398" s="1284">
        <v>0</v>
      </c>
      <c r="L398" s="644">
        <f t="shared" si="27"/>
        <v>0</v>
      </c>
      <c r="M398" s="680">
        <v>0</v>
      </c>
      <c r="N398" s="651">
        <v>0</v>
      </c>
    </row>
    <row r="399" spans="1:14" ht="15.95" customHeight="1" x14ac:dyDescent="0.15">
      <c r="A399" s="1286">
        <v>42979</v>
      </c>
      <c r="B399" s="640" t="str">
        <f t="shared" ca="1" si="24"/>
        <v>10</v>
      </c>
      <c r="C399" s="1285" t="s">
        <v>336</v>
      </c>
      <c r="D399" s="640" t="str">
        <f t="shared" ca="1" si="25"/>
        <v>01</v>
      </c>
      <c r="E399" s="1285" t="s">
        <v>83</v>
      </c>
      <c r="F399" s="641" t="str">
        <f>IF(G399="","",VLOOKUP(G399,リスト!J$2:K$3,2,FALSE))</f>
        <v>02</v>
      </c>
      <c r="G399" s="1285" t="s">
        <v>842</v>
      </c>
      <c r="H399" s="1284">
        <v>6559</v>
      </c>
      <c r="I399" s="1284">
        <v>0</v>
      </c>
      <c r="J399" s="644">
        <f t="shared" si="26"/>
        <v>6559</v>
      </c>
      <c r="K399" s="1284">
        <v>6559</v>
      </c>
      <c r="L399" s="644">
        <f t="shared" si="27"/>
        <v>0</v>
      </c>
      <c r="M399" s="680">
        <v>0</v>
      </c>
      <c r="N399" s="651">
        <v>0</v>
      </c>
    </row>
    <row r="400" spans="1:14" ht="15.95" customHeight="1" x14ac:dyDescent="0.15">
      <c r="A400" s="1286">
        <v>42979</v>
      </c>
      <c r="B400" s="640" t="str">
        <f t="shared" ca="1" si="24"/>
        <v>10</v>
      </c>
      <c r="C400" s="1285" t="s">
        <v>336</v>
      </c>
      <c r="D400" s="640" t="str">
        <f t="shared" ca="1" si="25"/>
        <v>02</v>
      </c>
      <c r="E400" s="1285" t="s">
        <v>84</v>
      </c>
      <c r="F400" s="641" t="str">
        <f>IF(G400="","",VLOOKUP(G400,リスト!J$2:K$3,2,FALSE))</f>
        <v>01</v>
      </c>
      <c r="G400" s="1285" t="s">
        <v>841</v>
      </c>
      <c r="H400" s="1284">
        <v>0</v>
      </c>
      <c r="I400" s="1284">
        <v>0</v>
      </c>
      <c r="J400" s="644">
        <f t="shared" si="26"/>
        <v>0</v>
      </c>
      <c r="K400" s="1284">
        <v>0</v>
      </c>
      <c r="L400" s="644">
        <f t="shared" si="27"/>
        <v>0</v>
      </c>
      <c r="M400" s="680">
        <v>0</v>
      </c>
      <c r="N400" s="651">
        <v>0</v>
      </c>
    </row>
    <row r="401" spans="1:14" ht="15.95" customHeight="1" x14ac:dyDescent="0.15">
      <c r="A401" s="1286">
        <v>42979</v>
      </c>
      <c r="B401" s="640" t="str">
        <f t="shared" ca="1" si="24"/>
        <v>10</v>
      </c>
      <c r="C401" s="1285" t="s">
        <v>336</v>
      </c>
      <c r="D401" s="640" t="str">
        <f t="shared" ca="1" si="25"/>
        <v>01</v>
      </c>
      <c r="E401" s="1285" t="s">
        <v>83</v>
      </c>
      <c r="F401" s="641" t="str">
        <f>IF(G401="","",VLOOKUP(G401,リスト!J$2:K$3,2,FALSE))</f>
        <v>01</v>
      </c>
      <c r="G401" s="1285" t="s">
        <v>841</v>
      </c>
      <c r="H401" s="1284">
        <v>1407947</v>
      </c>
      <c r="I401" s="1284">
        <v>0</v>
      </c>
      <c r="J401" s="644">
        <f t="shared" si="26"/>
        <v>1407947</v>
      </c>
      <c r="K401" s="1284">
        <v>1407947</v>
      </c>
      <c r="L401" s="644">
        <f t="shared" si="27"/>
        <v>0</v>
      </c>
      <c r="M401" s="680">
        <v>48577</v>
      </c>
      <c r="N401" s="651">
        <v>0</v>
      </c>
    </row>
    <row r="402" spans="1:14" ht="15.95" customHeight="1" x14ac:dyDescent="0.15">
      <c r="A402" s="1286">
        <v>43009</v>
      </c>
      <c r="B402" s="640" t="str">
        <f t="shared" ca="1" si="24"/>
        <v>01</v>
      </c>
      <c r="C402" s="1285" t="s">
        <v>34</v>
      </c>
      <c r="D402" s="640" t="str">
        <f t="shared" ca="1" si="25"/>
        <v>03</v>
      </c>
      <c r="E402" s="1285" t="s">
        <v>98</v>
      </c>
      <c r="F402" s="641" t="str">
        <f>IF(G402="","",VLOOKUP(G402,リスト!J$2:K$3,2,FALSE))</f>
        <v>02</v>
      </c>
      <c r="G402" s="1285" t="s">
        <v>842</v>
      </c>
      <c r="H402" s="1284">
        <v>0</v>
      </c>
      <c r="I402" s="1284">
        <v>0</v>
      </c>
      <c r="J402" s="644">
        <f t="shared" si="26"/>
        <v>0</v>
      </c>
      <c r="K402" s="1284">
        <v>0</v>
      </c>
      <c r="L402" s="644">
        <f t="shared" si="27"/>
        <v>0</v>
      </c>
      <c r="M402" s="680">
        <v>0</v>
      </c>
      <c r="N402" s="651">
        <v>0</v>
      </c>
    </row>
    <row r="403" spans="1:14" ht="15.95" customHeight="1" x14ac:dyDescent="0.15">
      <c r="A403" s="1286">
        <v>43009</v>
      </c>
      <c r="B403" s="640" t="str">
        <f t="shared" ca="1" si="24"/>
        <v>01</v>
      </c>
      <c r="C403" s="1285" t="s">
        <v>34</v>
      </c>
      <c r="D403" s="640" t="str">
        <f t="shared" ca="1" si="25"/>
        <v>02</v>
      </c>
      <c r="E403" s="1285" t="s">
        <v>84</v>
      </c>
      <c r="F403" s="641" t="str">
        <f>IF(G403="","",VLOOKUP(G403,リスト!J$2:K$3,2,FALSE))</f>
        <v>02</v>
      </c>
      <c r="G403" s="1285" t="s">
        <v>842</v>
      </c>
      <c r="H403" s="1284">
        <v>0</v>
      </c>
      <c r="I403" s="1284">
        <v>0</v>
      </c>
      <c r="J403" s="644">
        <f t="shared" si="26"/>
        <v>0</v>
      </c>
      <c r="K403" s="1284">
        <v>0</v>
      </c>
      <c r="L403" s="644">
        <f t="shared" si="27"/>
        <v>0</v>
      </c>
      <c r="M403" s="680">
        <v>0</v>
      </c>
      <c r="N403" s="651">
        <v>0</v>
      </c>
    </row>
    <row r="404" spans="1:14" ht="15.95" customHeight="1" x14ac:dyDescent="0.15">
      <c r="A404" s="1286">
        <v>43009</v>
      </c>
      <c r="B404" s="640" t="str">
        <f t="shared" ca="1" si="24"/>
        <v>01</v>
      </c>
      <c r="C404" s="1285" t="s">
        <v>34</v>
      </c>
      <c r="D404" s="640" t="str">
        <f t="shared" ca="1" si="25"/>
        <v>01</v>
      </c>
      <c r="E404" s="1285" t="s">
        <v>83</v>
      </c>
      <c r="F404" s="641" t="str">
        <f>IF(G404="","",VLOOKUP(G404,リスト!J$2:K$3,2,FALSE))</f>
        <v>02</v>
      </c>
      <c r="G404" s="1285" t="s">
        <v>842</v>
      </c>
      <c r="H404" s="1284">
        <v>217305</v>
      </c>
      <c r="I404" s="1284">
        <v>45057</v>
      </c>
      <c r="J404" s="644">
        <f t="shared" si="26"/>
        <v>262362</v>
      </c>
      <c r="K404" s="1284">
        <v>262362</v>
      </c>
      <c r="L404" s="644">
        <f t="shared" si="27"/>
        <v>0</v>
      </c>
      <c r="M404" s="680">
        <v>0</v>
      </c>
      <c r="N404" s="651">
        <v>0</v>
      </c>
    </row>
    <row r="405" spans="1:14" ht="15.95" customHeight="1" x14ac:dyDescent="0.15">
      <c r="A405" s="1286">
        <v>43009</v>
      </c>
      <c r="B405" s="640" t="str">
        <f t="shared" ca="1" si="24"/>
        <v>01</v>
      </c>
      <c r="C405" s="1285" t="s">
        <v>34</v>
      </c>
      <c r="D405" s="640" t="str">
        <f t="shared" ca="1" si="25"/>
        <v>03</v>
      </c>
      <c r="E405" s="1285" t="s">
        <v>98</v>
      </c>
      <c r="F405" s="641" t="str">
        <f>IF(G405="","",VLOOKUP(G405,リスト!J$2:K$3,2,FALSE))</f>
        <v>01</v>
      </c>
      <c r="G405" s="1285" t="s">
        <v>841</v>
      </c>
      <c r="H405" s="1284">
        <v>665042</v>
      </c>
      <c r="I405" s="1284">
        <v>0</v>
      </c>
      <c r="J405" s="644">
        <f t="shared" si="26"/>
        <v>665042</v>
      </c>
      <c r="K405" s="1284">
        <v>665042</v>
      </c>
      <c r="L405" s="644">
        <f t="shared" si="27"/>
        <v>0</v>
      </c>
      <c r="M405" s="680">
        <v>0</v>
      </c>
      <c r="N405" s="651">
        <v>0</v>
      </c>
    </row>
    <row r="406" spans="1:14" ht="15.95" customHeight="1" x14ac:dyDescent="0.15">
      <c r="A406" s="1286">
        <v>43009</v>
      </c>
      <c r="B406" s="640" t="str">
        <f t="shared" ca="1" si="24"/>
        <v>01</v>
      </c>
      <c r="C406" s="1285" t="s">
        <v>34</v>
      </c>
      <c r="D406" s="640" t="str">
        <f t="shared" ca="1" si="25"/>
        <v>02</v>
      </c>
      <c r="E406" s="1285" t="s">
        <v>84</v>
      </c>
      <c r="F406" s="641" t="str">
        <f>IF(G406="","",VLOOKUP(G406,リスト!J$2:K$3,2,FALSE))</f>
        <v>01</v>
      </c>
      <c r="G406" s="1285" t="s">
        <v>841</v>
      </c>
      <c r="H406" s="1284">
        <v>1512177</v>
      </c>
      <c r="I406" s="1284">
        <v>0</v>
      </c>
      <c r="J406" s="644">
        <f t="shared" si="26"/>
        <v>1512177</v>
      </c>
      <c r="K406" s="1284">
        <v>1512177</v>
      </c>
      <c r="L406" s="644">
        <f t="shared" si="27"/>
        <v>0</v>
      </c>
      <c r="M406" s="680">
        <v>0</v>
      </c>
      <c r="N406" s="651">
        <v>314563</v>
      </c>
    </row>
    <row r="407" spans="1:14" ht="15.95" customHeight="1" x14ac:dyDescent="0.15">
      <c r="A407" s="1286">
        <v>43009</v>
      </c>
      <c r="B407" s="640" t="str">
        <f t="shared" ca="1" si="24"/>
        <v>01</v>
      </c>
      <c r="C407" s="1285" t="s">
        <v>34</v>
      </c>
      <c r="D407" s="640" t="str">
        <f t="shared" ca="1" si="25"/>
        <v>01</v>
      </c>
      <c r="E407" s="1285" t="s">
        <v>83</v>
      </c>
      <c r="F407" s="641" t="str">
        <f>IF(G407="","",VLOOKUP(G407,リスト!J$2:K$3,2,FALSE))</f>
        <v>01</v>
      </c>
      <c r="G407" s="1285" t="s">
        <v>841</v>
      </c>
      <c r="H407" s="1284">
        <v>7914873</v>
      </c>
      <c r="I407" s="1284">
        <v>-14209</v>
      </c>
      <c r="J407" s="644">
        <f t="shared" si="26"/>
        <v>7900664</v>
      </c>
      <c r="K407" s="1284">
        <v>7900664</v>
      </c>
      <c r="L407" s="644">
        <f t="shared" si="27"/>
        <v>0</v>
      </c>
      <c r="M407" s="680">
        <v>148364</v>
      </c>
      <c r="N407" s="651">
        <v>1392417</v>
      </c>
    </row>
    <row r="408" spans="1:14" ht="15.95" customHeight="1" x14ac:dyDescent="0.15">
      <c r="A408" s="1286">
        <v>43009</v>
      </c>
      <c r="B408" s="640" t="str">
        <f t="shared" ca="1" si="24"/>
        <v>02</v>
      </c>
      <c r="C408" s="1285" t="s">
        <v>37</v>
      </c>
      <c r="D408" s="640" t="str">
        <f t="shared" ca="1" si="25"/>
        <v>03</v>
      </c>
      <c r="E408" s="1285" t="s">
        <v>98</v>
      </c>
      <c r="F408" s="641" t="str">
        <f>IF(G408="","",VLOOKUP(G408,リスト!J$2:K$3,2,FALSE))</f>
        <v>02</v>
      </c>
      <c r="G408" s="1285" t="s">
        <v>842</v>
      </c>
      <c r="H408" s="1284">
        <v>0</v>
      </c>
      <c r="I408" s="1284">
        <v>0</v>
      </c>
      <c r="J408" s="644">
        <f t="shared" si="26"/>
        <v>0</v>
      </c>
      <c r="K408" s="1284">
        <v>0</v>
      </c>
      <c r="L408" s="644">
        <f t="shared" si="27"/>
        <v>0</v>
      </c>
      <c r="M408" s="680">
        <v>0</v>
      </c>
      <c r="N408" s="651">
        <v>0</v>
      </c>
    </row>
    <row r="409" spans="1:14" ht="15.95" customHeight="1" x14ac:dyDescent="0.15">
      <c r="A409" s="1286">
        <v>43009</v>
      </c>
      <c r="B409" s="640" t="str">
        <f t="shared" ca="1" si="24"/>
        <v>02</v>
      </c>
      <c r="C409" s="1285" t="s">
        <v>37</v>
      </c>
      <c r="D409" s="640" t="str">
        <f t="shared" ca="1" si="25"/>
        <v>02</v>
      </c>
      <c r="E409" s="1285" t="s">
        <v>84</v>
      </c>
      <c r="F409" s="641" t="str">
        <f>IF(G409="","",VLOOKUP(G409,リスト!J$2:K$3,2,FALSE))</f>
        <v>02</v>
      </c>
      <c r="G409" s="1285" t="s">
        <v>842</v>
      </c>
      <c r="H409" s="1284">
        <v>0</v>
      </c>
      <c r="I409" s="1284">
        <v>0</v>
      </c>
      <c r="J409" s="644">
        <f t="shared" si="26"/>
        <v>0</v>
      </c>
      <c r="K409" s="1284">
        <v>0</v>
      </c>
      <c r="L409" s="644">
        <f t="shared" si="27"/>
        <v>0</v>
      </c>
      <c r="M409" s="680">
        <v>0</v>
      </c>
      <c r="N409" s="651">
        <v>0</v>
      </c>
    </row>
    <row r="410" spans="1:14" ht="15.95" customHeight="1" x14ac:dyDescent="0.15">
      <c r="A410" s="1286">
        <v>43009</v>
      </c>
      <c r="B410" s="640" t="str">
        <f t="shared" ca="1" si="24"/>
        <v>02</v>
      </c>
      <c r="C410" s="1285" t="s">
        <v>37</v>
      </c>
      <c r="D410" s="640" t="str">
        <f t="shared" ca="1" si="25"/>
        <v>01</v>
      </c>
      <c r="E410" s="1285" t="s">
        <v>83</v>
      </c>
      <c r="F410" s="641" t="str">
        <f>IF(G410="","",VLOOKUP(G410,リスト!J$2:K$3,2,FALSE))</f>
        <v>02</v>
      </c>
      <c r="G410" s="1285" t="s">
        <v>842</v>
      </c>
      <c r="H410" s="1284">
        <v>521902</v>
      </c>
      <c r="I410" s="1284">
        <v>-191439</v>
      </c>
      <c r="J410" s="644">
        <f t="shared" si="26"/>
        <v>330463</v>
      </c>
      <c r="K410" s="1284">
        <v>330463</v>
      </c>
      <c r="L410" s="644">
        <f t="shared" si="27"/>
        <v>0</v>
      </c>
      <c r="M410" s="680">
        <v>0</v>
      </c>
      <c r="N410" s="651">
        <v>0</v>
      </c>
    </row>
    <row r="411" spans="1:14" ht="15.95" customHeight="1" x14ac:dyDescent="0.15">
      <c r="A411" s="1286">
        <v>43009</v>
      </c>
      <c r="B411" s="640" t="str">
        <f t="shared" ca="1" si="24"/>
        <v>02</v>
      </c>
      <c r="C411" s="1285" t="s">
        <v>37</v>
      </c>
      <c r="D411" s="640" t="str">
        <f t="shared" ca="1" si="25"/>
        <v>03</v>
      </c>
      <c r="E411" s="1285" t="s">
        <v>98</v>
      </c>
      <c r="F411" s="641" t="str">
        <f>IF(G411="","",VLOOKUP(G411,リスト!J$2:K$3,2,FALSE))</f>
        <v>01</v>
      </c>
      <c r="G411" s="1285" t="s">
        <v>841</v>
      </c>
      <c r="H411" s="1284">
        <v>459051</v>
      </c>
      <c r="I411" s="1284">
        <v>0</v>
      </c>
      <c r="J411" s="644">
        <f t="shared" si="26"/>
        <v>459051</v>
      </c>
      <c r="K411" s="1284">
        <v>459051</v>
      </c>
      <c r="L411" s="644">
        <f t="shared" si="27"/>
        <v>0</v>
      </c>
      <c r="M411" s="680">
        <v>0</v>
      </c>
      <c r="N411" s="651">
        <v>0</v>
      </c>
    </row>
    <row r="412" spans="1:14" ht="15.95" customHeight="1" x14ac:dyDescent="0.15">
      <c r="A412" s="1286">
        <v>43009</v>
      </c>
      <c r="B412" s="640" t="str">
        <f t="shared" ca="1" si="24"/>
        <v>02</v>
      </c>
      <c r="C412" s="1285" t="s">
        <v>37</v>
      </c>
      <c r="D412" s="640" t="str">
        <f t="shared" ca="1" si="25"/>
        <v>02</v>
      </c>
      <c r="E412" s="1285" t="s">
        <v>84</v>
      </c>
      <c r="F412" s="641" t="str">
        <f>IF(G412="","",VLOOKUP(G412,リスト!J$2:K$3,2,FALSE))</f>
        <v>01</v>
      </c>
      <c r="G412" s="1285" t="s">
        <v>841</v>
      </c>
      <c r="H412" s="1284">
        <v>976621</v>
      </c>
      <c r="I412" s="1284">
        <v>0</v>
      </c>
      <c r="J412" s="644">
        <f t="shared" si="26"/>
        <v>976621</v>
      </c>
      <c r="K412" s="1284">
        <v>976621</v>
      </c>
      <c r="L412" s="644">
        <f t="shared" si="27"/>
        <v>0</v>
      </c>
      <c r="M412" s="680">
        <v>0</v>
      </c>
      <c r="N412" s="651">
        <v>222984</v>
      </c>
    </row>
    <row r="413" spans="1:14" ht="15.95" customHeight="1" x14ac:dyDescent="0.15">
      <c r="A413" s="1286">
        <v>43009</v>
      </c>
      <c r="B413" s="640" t="str">
        <f t="shared" ca="1" si="24"/>
        <v>02</v>
      </c>
      <c r="C413" s="1285" t="s">
        <v>37</v>
      </c>
      <c r="D413" s="640" t="str">
        <f t="shared" ca="1" si="25"/>
        <v>01</v>
      </c>
      <c r="E413" s="1285" t="s">
        <v>83</v>
      </c>
      <c r="F413" s="641" t="str">
        <f>IF(G413="","",VLOOKUP(G413,リスト!J$2:K$3,2,FALSE))</f>
        <v>01</v>
      </c>
      <c r="G413" s="1285" t="s">
        <v>841</v>
      </c>
      <c r="H413" s="1284">
        <v>4136126</v>
      </c>
      <c r="I413" s="1284">
        <v>0</v>
      </c>
      <c r="J413" s="644">
        <f t="shared" si="26"/>
        <v>4136126</v>
      </c>
      <c r="K413" s="1284">
        <v>4136126</v>
      </c>
      <c r="L413" s="644">
        <f t="shared" si="27"/>
        <v>0</v>
      </c>
      <c r="M413" s="680">
        <v>0</v>
      </c>
      <c r="N413" s="651">
        <v>476289</v>
      </c>
    </row>
    <row r="414" spans="1:14" ht="15.95" customHeight="1" x14ac:dyDescent="0.15">
      <c r="A414" s="1286">
        <v>43009</v>
      </c>
      <c r="B414" s="640" t="str">
        <f t="shared" ca="1" si="24"/>
        <v>03</v>
      </c>
      <c r="C414" s="1285" t="s">
        <v>66</v>
      </c>
      <c r="D414" s="640" t="str">
        <f t="shared" ca="1" si="25"/>
        <v>02</v>
      </c>
      <c r="E414" s="1285" t="s">
        <v>84</v>
      </c>
      <c r="F414" s="641" t="str">
        <f>IF(G414="","",VLOOKUP(G414,リスト!J$2:K$3,2,FALSE))</f>
        <v>02</v>
      </c>
      <c r="G414" s="1285" t="s">
        <v>842</v>
      </c>
      <c r="H414" s="1284">
        <v>0</v>
      </c>
      <c r="I414" s="1284">
        <v>0</v>
      </c>
      <c r="J414" s="644">
        <f t="shared" si="26"/>
        <v>0</v>
      </c>
      <c r="K414" s="1284">
        <v>0</v>
      </c>
      <c r="L414" s="644">
        <f t="shared" si="27"/>
        <v>0</v>
      </c>
      <c r="M414" s="680">
        <v>0</v>
      </c>
      <c r="N414" s="651">
        <v>0</v>
      </c>
    </row>
    <row r="415" spans="1:14" ht="15.95" customHeight="1" x14ac:dyDescent="0.15">
      <c r="A415" s="1286">
        <v>43009</v>
      </c>
      <c r="B415" s="640" t="str">
        <f t="shared" ca="1" si="24"/>
        <v>03</v>
      </c>
      <c r="C415" s="1285" t="s">
        <v>66</v>
      </c>
      <c r="D415" s="640" t="str">
        <f t="shared" ca="1" si="25"/>
        <v>01</v>
      </c>
      <c r="E415" s="1285" t="s">
        <v>83</v>
      </c>
      <c r="F415" s="641" t="str">
        <f>IF(G415="","",VLOOKUP(G415,リスト!J$2:K$3,2,FALSE))</f>
        <v>02</v>
      </c>
      <c r="G415" s="1285" t="s">
        <v>842</v>
      </c>
      <c r="H415" s="1284">
        <v>0</v>
      </c>
      <c r="I415" s="1284">
        <v>-13569</v>
      </c>
      <c r="J415" s="644">
        <f t="shared" si="26"/>
        <v>-13569</v>
      </c>
      <c r="K415" s="1284">
        <v>-13569</v>
      </c>
      <c r="L415" s="644">
        <f t="shared" si="27"/>
        <v>0</v>
      </c>
      <c r="M415" s="680">
        <v>0</v>
      </c>
      <c r="N415" s="651">
        <v>0</v>
      </c>
    </row>
    <row r="416" spans="1:14" ht="15.95" customHeight="1" x14ac:dyDescent="0.15">
      <c r="A416" s="1286">
        <v>43009</v>
      </c>
      <c r="B416" s="640" t="str">
        <f t="shared" ca="1" si="24"/>
        <v>03</v>
      </c>
      <c r="C416" s="1285" t="s">
        <v>66</v>
      </c>
      <c r="D416" s="640" t="str">
        <f t="shared" ca="1" si="25"/>
        <v>02</v>
      </c>
      <c r="E416" s="1285" t="s">
        <v>84</v>
      </c>
      <c r="F416" s="641" t="str">
        <f>IF(G416="","",VLOOKUP(G416,リスト!J$2:K$3,2,FALSE))</f>
        <v>01</v>
      </c>
      <c r="G416" s="1285" t="s">
        <v>841</v>
      </c>
      <c r="H416" s="1284">
        <v>1950738</v>
      </c>
      <c r="I416" s="1284">
        <v>-76267</v>
      </c>
      <c r="J416" s="644">
        <f t="shared" si="26"/>
        <v>1874471</v>
      </c>
      <c r="K416" s="1284">
        <v>1874471</v>
      </c>
      <c r="L416" s="644">
        <f t="shared" si="27"/>
        <v>0</v>
      </c>
      <c r="M416" s="680">
        <v>0</v>
      </c>
      <c r="N416" s="651">
        <v>432798</v>
      </c>
    </row>
    <row r="417" spans="1:14" ht="15.95" customHeight="1" x14ac:dyDescent="0.15">
      <c r="A417" s="1286">
        <v>43009</v>
      </c>
      <c r="B417" s="640" t="str">
        <f t="shared" ca="1" si="24"/>
        <v>03</v>
      </c>
      <c r="C417" s="1285" t="s">
        <v>66</v>
      </c>
      <c r="D417" s="640" t="str">
        <f t="shared" ca="1" si="25"/>
        <v>01</v>
      </c>
      <c r="E417" s="1285" t="s">
        <v>83</v>
      </c>
      <c r="F417" s="641" t="str">
        <f>IF(G417="","",VLOOKUP(G417,リスト!J$2:K$3,2,FALSE))</f>
        <v>01</v>
      </c>
      <c r="G417" s="1285" t="s">
        <v>841</v>
      </c>
      <c r="H417" s="1284">
        <v>3735293</v>
      </c>
      <c r="I417" s="1284">
        <v>-30531</v>
      </c>
      <c r="J417" s="644">
        <f t="shared" si="26"/>
        <v>3704762</v>
      </c>
      <c r="K417" s="1284">
        <v>3704762</v>
      </c>
      <c r="L417" s="644">
        <f t="shared" si="27"/>
        <v>0</v>
      </c>
      <c r="M417" s="680">
        <v>14674</v>
      </c>
      <c r="N417" s="651">
        <v>401316</v>
      </c>
    </row>
    <row r="418" spans="1:14" ht="15.95" customHeight="1" x14ac:dyDescent="0.15">
      <c r="A418" s="1286">
        <v>43009</v>
      </c>
      <c r="B418" s="640" t="str">
        <f t="shared" ca="1" si="24"/>
        <v>04</v>
      </c>
      <c r="C418" s="1285" t="s">
        <v>358</v>
      </c>
      <c r="D418" s="640" t="str">
        <f t="shared" ca="1" si="25"/>
        <v>04</v>
      </c>
      <c r="E418" s="1285" t="s">
        <v>542</v>
      </c>
      <c r="F418" s="641" t="str">
        <f>IF(G418="","",VLOOKUP(G418,リスト!J$2:K$3,2,FALSE))</f>
        <v>02</v>
      </c>
      <c r="G418" s="1285" t="s">
        <v>842</v>
      </c>
      <c r="H418" s="1284">
        <v>79043</v>
      </c>
      <c r="I418" s="1284">
        <v>0</v>
      </c>
      <c r="J418" s="644">
        <f t="shared" si="26"/>
        <v>79043</v>
      </c>
      <c r="K418" s="1284">
        <v>79043</v>
      </c>
      <c r="L418" s="644">
        <f t="shared" si="27"/>
        <v>0</v>
      </c>
      <c r="M418" s="680">
        <v>0</v>
      </c>
      <c r="N418" s="651">
        <v>0</v>
      </c>
    </row>
    <row r="419" spans="1:14" ht="15.95" customHeight="1" x14ac:dyDescent="0.15">
      <c r="A419" s="1286">
        <v>43009</v>
      </c>
      <c r="B419" s="640" t="str">
        <f t="shared" ca="1" si="24"/>
        <v>04</v>
      </c>
      <c r="C419" s="1285" t="s">
        <v>358</v>
      </c>
      <c r="D419" s="640" t="str">
        <f t="shared" ca="1" si="25"/>
        <v>04</v>
      </c>
      <c r="E419" s="1285" t="s">
        <v>542</v>
      </c>
      <c r="F419" s="641" t="str">
        <f>IF(G419="","",VLOOKUP(G419,リスト!J$2:K$3,2,FALSE))</f>
        <v>01</v>
      </c>
      <c r="G419" s="1285" t="s">
        <v>841</v>
      </c>
      <c r="H419" s="1284">
        <v>3076553</v>
      </c>
      <c r="I419" s="1284">
        <v>-50755</v>
      </c>
      <c r="J419" s="644">
        <f t="shared" si="26"/>
        <v>3025798</v>
      </c>
      <c r="K419" s="1284">
        <v>3025798</v>
      </c>
      <c r="L419" s="644">
        <f t="shared" si="27"/>
        <v>0</v>
      </c>
      <c r="M419" s="680">
        <v>0</v>
      </c>
      <c r="N419" s="651">
        <v>173798</v>
      </c>
    </row>
    <row r="420" spans="1:14" ht="15.95" customHeight="1" x14ac:dyDescent="0.15">
      <c r="A420" s="1286">
        <v>43009</v>
      </c>
      <c r="B420" s="640" t="str">
        <f t="shared" ca="1" si="24"/>
        <v>05</v>
      </c>
      <c r="C420" s="1285" t="s">
        <v>38</v>
      </c>
      <c r="D420" s="640" t="str">
        <f t="shared" ca="1" si="25"/>
        <v>01</v>
      </c>
      <c r="E420" s="1285" t="s">
        <v>83</v>
      </c>
      <c r="F420" s="641" t="str">
        <f>IF(G420="","",VLOOKUP(G420,リスト!J$2:K$3,2,FALSE))</f>
        <v>02</v>
      </c>
      <c r="G420" s="1285" t="s">
        <v>842</v>
      </c>
      <c r="H420" s="1284">
        <v>0</v>
      </c>
      <c r="I420" s="1284">
        <v>0</v>
      </c>
      <c r="J420" s="644">
        <f t="shared" si="26"/>
        <v>0</v>
      </c>
      <c r="K420" s="1284">
        <v>0</v>
      </c>
      <c r="L420" s="644">
        <f t="shared" si="27"/>
        <v>0</v>
      </c>
      <c r="M420" s="680">
        <v>0</v>
      </c>
      <c r="N420" s="651">
        <v>0</v>
      </c>
    </row>
    <row r="421" spans="1:14" ht="15.95" customHeight="1" x14ac:dyDescent="0.15">
      <c r="A421" s="1286">
        <v>43009</v>
      </c>
      <c r="B421" s="640" t="str">
        <f t="shared" ca="1" si="24"/>
        <v>05</v>
      </c>
      <c r="C421" s="1285" t="s">
        <v>38</v>
      </c>
      <c r="D421" s="640" t="str">
        <f t="shared" ca="1" si="25"/>
        <v>01</v>
      </c>
      <c r="E421" s="1285" t="s">
        <v>83</v>
      </c>
      <c r="F421" s="641" t="str">
        <f>IF(G421="","",VLOOKUP(G421,リスト!J$2:K$3,2,FALSE))</f>
        <v>01</v>
      </c>
      <c r="G421" s="1285" t="s">
        <v>841</v>
      </c>
      <c r="H421" s="1284">
        <v>2140629</v>
      </c>
      <c r="I421" s="1284">
        <v>0</v>
      </c>
      <c r="J421" s="644">
        <f t="shared" si="26"/>
        <v>2140629</v>
      </c>
      <c r="K421" s="1284">
        <v>2140629</v>
      </c>
      <c r="L421" s="644">
        <f t="shared" si="27"/>
        <v>0</v>
      </c>
      <c r="M421" s="680">
        <v>0</v>
      </c>
      <c r="N421" s="651">
        <v>0</v>
      </c>
    </row>
    <row r="422" spans="1:14" ht="15.95" customHeight="1" x14ac:dyDescent="0.15">
      <c r="A422" s="1286">
        <v>43009</v>
      </c>
      <c r="B422" s="640" t="str">
        <f t="shared" ca="1" si="24"/>
        <v>07</v>
      </c>
      <c r="C422" s="1285" t="s">
        <v>119</v>
      </c>
      <c r="D422" s="640" t="str">
        <f t="shared" ca="1" si="25"/>
        <v>05</v>
      </c>
      <c r="E422" s="1285" t="s">
        <v>543</v>
      </c>
      <c r="F422" s="641" t="str">
        <f>IF(G422="","",VLOOKUP(G422,リスト!J$2:K$3,2,FALSE))</f>
        <v>02</v>
      </c>
      <c r="G422" s="1285" t="s">
        <v>842</v>
      </c>
      <c r="H422" s="1284">
        <v>209096</v>
      </c>
      <c r="I422" s="1284">
        <v>-209096</v>
      </c>
      <c r="J422" s="644">
        <f t="shared" si="26"/>
        <v>0</v>
      </c>
      <c r="K422" s="1284">
        <v>0</v>
      </c>
      <c r="L422" s="644">
        <f t="shared" si="27"/>
        <v>0</v>
      </c>
      <c r="M422" s="680">
        <v>0</v>
      </c>
      <c r="N422" s="651">
        <v>0</v>
      </c>
    </row>
    <row r="423" spans="1:14" ht="15.95" customHeight="1" x14ac:dyDescent="0.15">
      <c r="A423" s="1286">
        <v>43009</v>
      </c>
      <c r="B423" s="640" t="str">
        <f t="shared" ca="1" si="24"/>
        <v>07</v>
      </c>
      <c r="C423" s="1285" t="s">
        <v>119</v>
      </c>
      <c r="D423" s="640" t="str">
        <f t="shared" ca="1" si="25"/>
        <v>05</v>
      </c>
      <c r="E423" s="1285" t="s">
        <v>543</v>
      </c>
      <c r="F423" s="641" t="str">
        <f>IF(G423="","",VLOOKUP(G423,リスト!J$2:K$3,2,FALSE))</f>
        <v>01</v>
      </c>
      <c r="G423" s="1285" t="s">
        <v>841</v>
      </c>
      <c r="H423" s="1284">
        <v>1013496</v>
      </c>
      <c r="I423" s="1284">
        <v>0</v>
      </c>
      <c r="J423" s="644">
        <f t="shared" si="26"/>
        <v>1013496</v>
      </c>
      <c r="K423" s="1284">
        <v>1013496</v>
      </c>
      <c r="L423" s="644">
        <f t="shared" si="27"/>
        <v>0</v>
      </c>
      <c r="M423" s="680">
        <v>0</v>
      </c>
      <c r="N423" s="651">
        <v>332983</v>
      </c>
    </row>
    <row r="424" spans="1:14" ht="15.95" customHeight="1" x14ac:dyDescent="0.15">
      <c r="A424" s="1286">
        <v>43009</v>
      </c>
      <c r="B424" s="640" t="str">
        <f t="shared" ca="1" si="24"/>
        <v>08</v>
      </c>
      <c r="C424" s="1285" t="s">
        <v>189</v>
      </c>
      <c r="D424" s="640" t="str">
        <f t="shared" ca="1" si="25"/>
        <v>05</v>
      </c>
      <c r="E424" s="1285" t="s">
        <v>543</v>
      </c>
      <c r="F424" s="641" t="str">
        <f>IF(G424="","",VLOOKUP(G424,リスト!J$2:K$3,2,FALSE))</f>
        <v>02</v>
      </c>
      <c r="G424" s="1285" t="s">
        <v>842</v>
      </c>
      <c r="H424" s="1284">
        <v>0</v>
      </c>
      <c r="I424" s="1284">
        <v>0</v>
      </c>
      <c r="J424" s="644">
        <f t="shared" si="26"/>
        <v>0</v>
      </c>
      <c r="K424" s="1284">
        <v>0</v>
      </c>
      <c r="L424" s="644">
        <f t="shared" si="27"/>
        <v>0</v>
      </c>
      <c r="M424" s="680">
        <v>0</v>
      </c>
      <c r="N424" s="651">
        <v>0</v>
      </c>
    </row>
    <row r="425" spans="1:14" ht="15.95" customHeight="1" x14ac:dyDescent="0.15">
      <c r="A425" s="1286">
        <v>43009</v>
      </c>
      <c r="B425" s="640" t="str">
        <f t="shared" ca="1" si="24"/>
        <v>08</v>
      </c>
      <c r="C425" s="1285" t="s">
        <v>189</v>
      </c>
      <c r="D425" s="640" t="str">
        <f t="shared" ca="1" si="25"/>
        <v>05</v>
      </c>
      <c r="E425" s="1285" t="s">
        <v>543</v>
      </c>
      <c r="F425" s="641" t="str">
        <f>IF(G425="","",VLOOKUP(G425,リスト!J$2:K$3,2,FALSE))</f>
        <v>01</v>
      </c>
      <c r="G425" s="1285" t="s">
        <v>841</v>
      </c>
      <c r="H425" s="1284">
        <v>983492</v>
      </c>
      <c r="I425" s="1284">
        <v>0</v>
      </c>
      <c r="J425" s="644">
        <f t="shared" si="26"/>
        <v>983492</v>
      </c>
      <c r="K425" s="1284">
        <v>983492</v>
      </c>
      <c r="L425" s="644">
        <f t="shared" si="27"/>
        <v>0</v>
      </c>
      <c r="M425" s="680">
        <v>0</v>
      </c>
      <c r="N425" s="651">
        <v>0</v>
      </c>
    </row>
    <row r="426" spans="1:14" ht="15.95" customHeight="1" x14ac:dyDescent="0.15">
      <c r="A426" s="1286">
        <v>43009</v>
      </c>
      <c r="B426" s="640" t="str">
        <f t="shared" ca="1" si="24"/>
        <v>09</v>
      </c>
      <c r="C426" s="1285" t="s">
        <v>329</v>
      </c>
      <c r="D426" s="640" t="str">
        <f t="shared" ca="1" si="25"/>
        <v>05</v>
      </c>
      <c r="E426" s="1285" t="s">
        <v>543</v>
      </c>
      <c r="F426" s="641" t="str">
        <f>IF(G426="","",VLOOKUP(G426,リスト!J$2:K$3,2,FALSE))</f>
        <v>02</v>
      </c>
      <c r="G426" s="1285" t="s">
        <v>842</v>
      </c>
      <c r="H426" s="1284">
        <v>646128</v>
      </c>
      <c r="I426" s="1284">
        <v>0</v>
      </c>
      <c r="J426" s="644">
        <f t="shared" si="26"/>
        <v>646128</v>
      </c>
      <c r="K426" s="1284">
        <v>646128</v>
      </c>
      <c r="L426" s="644">
        <f t="shared" si="27"/>
        <v>0</v>
      </c>
      <c r="M426" s="680">
        <v>0</v>
      </c>
      <c r="N426" s="651">
        <v>0</v>
      </c>
    </row>
    <row r="427" spans="1:14" ht="15.95" customHeight="1" x14ac:dyDescent="0.15">
      <c r="A427" s="1286">
        <v>43009</v>
      </c>
      <c r="B427" s="640" t="str">
        <f t="shared" ca="1" si="24"/>
        <v>09</v>
      </c>
      <c r="C427" s="1285" t="s">
        <v>329</v>
      </c>
      <c r="D427" s="640" t="str">
        <f t="shared" ca="1" si="25"/>
        <v>05</v>
      </c>
      <c r="E427" s="1285" t="s">
        <v>543</v>
      </c>
      <c r="F427" s="641" t="str">
        <f>IF(G427="","",VLOOKUP(G427,リスト!J$2:K$3,2,FALSE))</f>
        <v>01</v>
      </c>
      <c r="G427" s="1285" t="s">
        <v>841</v>
      </c>
      <c r="H427" s="1284">
        <v>2389370</v>
      </c>
      <c r="I427" s="1284">
        <v>0</v>
      </c>
      <c r="J427" s="644">
        <f t="shared" si="26"/>
        <v>2389370</v>
      </c>
      <c r="K427" s="1284">
        <v>2389370</v>
      </c>
      <c r="L427" s="644">
        <f t="shared" si="27"/>
        <v>0</v>
      </c>
      <c r="M427" s="680">
        <v>0</v>
      </c>
      <c r="N427" s="651">
        <v>0</v>
      </c>
    </row>
    <row r="428" spans="1:14" ht="15.95" customHeight="1" x14ac:dyDescent="0.15">
      <c r="A428" s="1286">
        <v>43009</v>
      </c>
      <c r="B428" s="640" t="str">
        <f t="shared" ca="1" si="24"/>
        <v>10</v>
      </c>
      <c r="C428" s="1285" t="s">
        <v>336</v>
      </c>
      <c r="D428" s="640" t="str">
        <f t="shared" ca="1" si="25"/>
        <v>02</v>
      </c>
      <c r="E428" s="1285" t="s">
        <v>84</v>
      </c>
      <c r="F428" s="641" t="str">
        <f>IF(G428="","",VLOOKUP(G428,リスト!J$2:K$3,2,FALSE))</f>
        <v>02</v>
      </c>
      <c r="G428" s="1285" t="s">
        <v>842</v>
      </c>
      <c r="H428" s="1284">
        <v>0</v>
      </c>
      <c r="I428" s="1284">
        <v>0</v>
      </c>
      <c r="J428" s="644">
        <f t="shared" si="26"/>
        <v>0</v>
      </c>
      <c r="K428" s="1284">
        <v>0</v>
      </c>
      <c r="L428" s="644">
        <f t="shared" si="27"/>
        <v>0</v>
      </c>
      <c r="M428" s="680">
        <v>0</v>
      </c>
      <c r="N428" s="651">
        <v>0</v>
      </c>
    </row>
    <row r="429" spans="1:14" ht="15.95" customHeight="1" x14ac:dyDescent="0.15">
      <c r="A429" s="1286">
        <v>43009</v>
      </c>
      <c r="B429" s="640" t="str">
        <f t="shared" ca="1" si="24"/>
        <v>10</v>
      </c>
      <c r="C429" s="1285" t="s">
        <v>336</v>
      </c>
      <c r="D429" s="640" t="str">
        <f t="shared" ca="1" si="25"/>
        <v>01</v>
      </c>
      <c r="E429" s="1285" t="s">
        <v>83</v>
      </c>
      <c r="F429" s="641" t="str">
        <f>IF(G429="","",VLOOKUP(G429,リスト!J$2:K$3,2,FALSE))</f>
        <v>02</v>
      </c>
      <c r="G429" s="1285" t="s">
        <v>842</v>
      </c>
      <c r="H429" s="1284">
        <v>9159</v>
      </c>
      <c r="I429" s="1284">
        <v>0</v>
      </c>
      <c r="J429" s="644">
        <f t="shared" si="26"/>
        <v>9159</v>
      </c>
      <c r="K429" s="1284">
        <v>9159</v>
      </c>
      <c r="L429" s="644">
        <f t="shared" si="27"/>
        <v>0</v>
      </c>
      <c r="M429" s="680">
        <v>0</v>
      </c>
      <c r="N429" s="651">
        <v>0</v>
      </c>
    </row>
    <row r="430" spans="1:14" ht="15.95" customHeight="1" x14ac:dyDescent="0.15">
      <c r="A430" s="1286">
        <v>43009</v>
      </c>
      <c r="B430" s="640" t="str">
        <f t="shared" ca="1" si="24"/>
        <v>10</v>
      </c>
      <c r="C430" s="1285" t="s">
        <v>336</v>
      </c>
      <c r="D430" s="640" t="str">
        <f t="shared" ca="1" si="25"/>
        <v>02</v>
      </c>
      <c r="E430" s="1285" t="s">
        <v>84</v>
      </c>
      <c r="F430" s="641" t="str">
        <f>IF(G430="","",VLOOKUP(G430,リスト!J$2:K$3,2,FALSE))</f>
        <v>01</v>
      </c>
      <c r="G430" s="1285" t="s">
        <v>841</v>
      </c>
      <c r="H430" s="1284">
        <v>0</v>
      </c>
      <c r="I430" s="1284">
        <v>0</v>
      </c>
      <c r="J430" s="644">
        <f t="shared" si="26"/>
        <v>0</v>
      </c>
      <c r="K430" s="1284">
        <v>0</v>
      </c>
      <c r="L430" s="644">
        <f t="shared" si="27"/>
        <v>0</v>
      </c>
      <c r="M430" s="680">
        <v>0</v>
      </c>
      <c r="N430" s="651">
        <v>0</v>
      </c>
    </row>
    <row r="431" spans="1:14" ht="15.95" customHeight="1" x14ac:dyDescent="0.15">
      <c r="A431" s="1286">
        <v>43009</v>
      </c>
      <c r="B431" s="640" t="str">
        <f t="shared" ca="1" si="24"/>
        <v>10</v>
      </c>
      <c r="C431" s="1285" t="s">
        <v>336</v>
      </c>
      <c r="D431" s="640" t="str">
        <f t="shared" ca="1" si="25"/>
        <v>01</v>
      </c>
      <c r="E431" s="1285" t="s">
        <v>83</v>
      </c>
      <c r="F431" s="641" t="str">
        <f>IF(G431="","",VLOOKUP(G431,リスト!J$2:K$3,2,FALSE))</f>
        <v>01</v>
      </c>
      <c r="G431" s="1285" t="s">
        <v>841</v>
      </c>
      <c r="H431" s="1284">
        <v>1243781</v>
      </c>
      <c r="I431" s="1284">
        <v>-2836</v>
      </c>
      <c r="J431" s="644">
        <f t="shared" si="26"/>
        <v>1240945</v>
      </c>
      <c r="K431" s="1284">
        <v>1240945</v>
      </c>
      <c r="L431" s="644">
        <f t="shared" si="27"/>
        <v>0</v>
      </c>
      <c r="M431" s="680">
        <v>6515</v>
      </c>
      <c r="N431" s="651">
        <v>0</v>
      </c>
    </row>
    <row r="432" spans="1:14" ht="15.95" customHeight="1" x14ac:dyDescent="0.15">
      <c r="A432" s="1286">
        <v>43040</v>
      </c>
      <c r="B432" s="640" t="str">
        <f t="shared" ca="1" si="24"/>
        <v>01</v>
      </c>
      <c r="C432" s="1285" t="s">
        <v>34</v>
      </c>
      <c r="D432" s="640" t="str">
        <f t="shared" ca="1" si="25"/>
        <v>03</v>
      </c>
      <c r="E432" s="1285" t="s">
        <v>98</v>
      </c>
      <c r="F432" s="641" t="str">
        <f>IF(G432="","",VLOOKUP(G432,リスト!J$2:K$3,2,FALSE))</f>
        <v>02</v>
      </c>
      <c r="G432" s="1285" t="s">
        <v>842</v>
      </c>
      <c r="H432" s="1284">
        <v>14359</v>
      </c>
      <c r="I432" s="1284">
        <v>0</v>
      </c>
      <c r="J432" s="644">
        <f t="shared" si="26"/>
        <v>14359</v>
      </c>
      <c r="K432" s="1284">
        <v>14359</v>
      </c>
      <c r="L432" s="644">
        <f t="shared" si="27"/>
        <v>0</v>
      </c>
      <c r="M432" s="680">
        <v>0</v>
      </c>
      <c r="N432" s="651">
        <v>0</v>
      </c>
    </row>
    <row r="433" spans="1:14" ht="15.95" customHeight="1" x14ac:dyDescent="0.15">
      <c r="A433" s="1286">
        <v>43040</v>
      </c>
      <c r="B433" s="640" t="str">
        <f t="shared" ca="1" si="24"/>
        <v>01</v>
      </c>
      <c r="C433" s="1285" t="s">
        <v>34</v>
      </c>
      <c r="D433" s="640" t="str">
        <f t="shared" ca="1" si="25"/>
        <v>02</v>
      </c>
      <c r="E433" s="1285" t="s">
        <v>84</v>
      </c>
      <c r="F433" s="641" t="str">
        <f>IF(G433="","",VLOOKUP(G433,リスト!J$2:K$3,2,FALSE))</f>
        <v>02</v>
      </c>
      <c r="G433" s="1285" t="s">
        <v>842</v>
      </c>
      <c r="H433" s="1284">
        <v>0</v>
      </c>
      <c r="I433" s="1284">
        <v>0</v>
      </c>
      <c r="J433" s="644">
        <f t="shared" si="26"/>
        <v>0</v>
      </c>
      <c r="K433" s="1284">
        <v>0</v>
      </c>
      <c r="L433" s="644">
        <f t="shared" si="27"/>
        <v>0</v>
      </c>
      <c r="M433" s="680">
        <v>0</v>
      </c>
      <c r="N433" s="651">
        <v>0</v>
      </c>
    </row>
    <row r="434" spans="1:14" ht="15.95" customHeight="1" x14ac:dyDescent="0.15">
      <c r="A434" s="1286">
        <v>43040</v>
      </c>
      <c r="B434" s="640" t="str">
        <f t="shared" ca="1" si="24"/>
        <v>01</v>
      </c>
      <c r="C434" s="1285" t="s">
        <v>34</v>
      </c>
      <c r="D434" s="640" t="str">
        <f t="shared" ca="1" si="25"/>
        <v>01</v>
      </c>
      <c r="E434" s="1285" t="s">
        <v>83</v>
      </c>
      <c r="F434" s="641" t="str">
        <f>IF(G434="","",VLOOKUP(G434,リスト!J$2:K$3,2,FALSE))</f>
        <v>02</v>
      </c>
      <c r="G434" s="1285" t="s">
        <v>842</v>
      </c>
      <c r="H434" s="1284">
        <v>190265</v>
      </c>
      <c r="I434" s="1284">
        <v>-144310</v>
      </c>
      <c r="J434" s="644">
        <f t="shared" si="26"/>
        <v>45955</v>
      </c>
      <c r="K434" s="1284">
        <v>45955</v>
      </c>
      <c r="L434" s="644">
        <f t="shared" si="27"/>
        <v>0</v>
      </c>
      <c r="M434" s="680">
        <v>0</v>
      </c>
      <c r="N434" s="651">
        <v>0</v>
      </c>
    </row>
    <row r="435" spans="1:14" ht="15.95" customHeight="1" x14ac:dyDescent="0.15">
      <c r="A435" s="1286">
        <v>43040</v>
      </c>
      <c r="B435" s="640" t="str">
        <f t="shared" ca="1" si="24"/>
        <v>01</v>
      </c>
      <c r="C435" s="1285" t="s">
        <v>34</v>
      </c>
      <c r="D435" s="640" t="str">
        <f t="shared" ca="1" si="25"/>
        <v>03</v>
      </c>
      <c r="E435" s="1285" t="s">
        <v>98</v>
      </c>
      <c r="F435" s="641" t="str">
        <f>IF(G435="","",VLOOKUP(G435,リスト!J$2:K$3,2,FALSE))</f>
        <v>01</v>
      </c>
      <c r="G435" s="1285" t="s">
        <v>841</v>
      </c>
      <c r="H435" s="1284">
        <v>671793</v>
      </c>
      <c r="I435" s="1284">
        <v>0</v>
      </c>
      <c r="J435" s="644">
        <f t="shared" si="26"/>
        <v>671793</v>
      </c>
      <c r="K435" s="1284">
        <v>671793</v>
      </c>
      <c r="L435" s="644">
        <f t="shared" si="27"/>
        <v>0</v>
      </c>
      <c r="M435" s="680">
        <v>11149</v>
      </c>
      <c r="N435" s="651">
        <v>0</v>
      </c>
    </row>
    <row r="436" spans="1:14" ht="15.95" customHeight="1" x14ac:dyDescent="0.15">
      <c r="A436" s="1286">
        <v>43040</v>
      </c>
      <c r="B436" s="640" t="str">
        <f t="shared" ca="1" si="24"/>
        <v>01</v>
      </c>
      <c r="C436" s="1285" t="s">
        <v>34</v>
      </c>
      <c r="D436" s="640" t="str">
        <f t="shared" ca="1" si="25"/>
        <v>02</v>
      </c>
      <c r="E436" s="1285" t="s">
        <v>84</v>
      </c>
      <c r="F436" s="641" t="str">
        <f>IF(G436="","",VLOOKUP(G436,リスト!J$2:K$3,2,FALSE))</f>
        <v>01</v>
      </c>
      <c r="G436" s="1285" t="s">
        <v>841</v>
      </c>
      <c r="H436" s="1284">
        <v>1517375</v>
      </c>
      <c r="I436" s="1284">
        <v>-230591</v>
      </c>
      <c r="J436" s="644">
        <f t="shared" si="26"/>
        <v>1286784</v>
      </c>
      <c r="K436" s="1284">
        <v>1286784</v>
      </c>
      <c r="L436" s="644">
        <f t="shared" si="27"/>
        <v>0</v>
      </c>
      <c r="M436" s="680">
        <v>0</v>
      </c>
      <c r="N436" s="651">
        <v>268515</v>
      </c>
    </row>
    <row r="437" spans="1:14" ht="15.95" customHeight="1" x14ac:dyDescent="0.15">
      <c r="A437" s="1286">
        <v>43040</v>
      </c>
      <c r="B437" s="640" t="str">
        <f t="shared" ca="1" si="24"/>
        <v>01</v>
      </c>
      <c r="C437" s="1285" t="s">
        <v>34</v>
      </c>
      <c r="D437" s="640" t="str">
        <f t="shared" ca="1" si="25"/>
        <v>01</v>
      </c>
      <c r="E437" s="1285" t="s">
        <v>83</v>
      </c>
      <c r="F437" s="641" t="str">
        <f>IF(G437="","",VLOOKUP(G437,リスト!J$2:K$3,2,FALSE))</f>
        <v>01</v>
      </c>
      <c r="G437" s="1285" t="s">
        <v>841</v>
      </c>
      <c r="H437" s="1284">
        <v>7703529</v>
      </c>
      <c r="I437" s="1284">
        <v>-375355</v>
      </c>
      <c r="J437" s="644">
        <f t="shared" si="26"/>
        <v>7328174</v>
      </c>
      <c r="K437" s="1284">
        <v>7328174</v>
      </c>
      <c r="L437" s="644">
        <f t="shared" si="27"/>
        <v>0</v>
      </c>
      <c r="M437" s="680">
        <v>31137</v>
      </c>
      <c r="N437" s="651">
        <v>1293794</v>
      </c>
    </row>
    <row r="438" spans="1:14" ht="15.95" customHeight="1" x14ac:dyDescent="0.15">
      <c r="A438" s="1286">
        <v>43040</v>
      </c>
      <c r="B438" s="640" t="str">
        <f t="shared" ca="1" si="24"/>
        <v>02</v>
      </c>
      <c r="C438" s="1285" t="s">
        <v>37</v>
      </c>
      <c r="D438" s="640" t="str">
        <f t="shared" ca="1" si="25"/>
        <v>03</v>
      </c>
      <c r="E438" s="1285" t="s">
        <v>98</v>
      </c>
      <c r="F438" s="641" t="str">
        <f>IF(G438="","",VLOOKUP(G438,リスト!J$2:K$3,2,FALSE))</f>
        <v>02</v>
      </c>
      <c r="G438" s="1285" t="s">
        <v>842</v>
      </c>
      <c r="H438" s="1284">
        <v>0</v>
      </c>
      <c r="I438" s="1284">
        <v>0</v>
      </c>
      <c r="J438" s="644">
        <f t="shared" si="26"/>
        <v>0</v>
      </c>
      <c r="K438" s="1284">
        <v>0</v>
      </c>
      <c r="L438" s="644">
        <f t="shared" si="27"/>
        <v>0</v>
      </c>
      <c r="M438" s="680">
        <v>0</v>
      </c>
      <c r="N438" s="651">
        <v>0</v>
      </c>
    </row>
    <row r="439" spans="1:14" ht="15.95" customHeight="1" x14ac:dyDescent="0.15">
      <c r="A439" s="1286">
        <v>43040</v>
      </c>
      <c r="B439" s="640" t="str">
        <f t="shared" ca="1" si="24"/>
        <v>02</v>
      </c>
      <c r="C439" s="1285" t="s">
        <v>37</v>
      </c>
      <c r="D439" s="640" t="str">
        <f t="shared" ca="1" si="25"/>
        <v>02</v>
      </c>
      <c r="E439" s="1285" t="s">
        <v>84</v>
      </c>
      <c r="F439" s="641" t="str">
        <f>IF(G439="","",VLOOKUP(G439,リスト!J$2:K$3,2,FALSE))</f>
        <v>02</v>
      </c>
      <c r="G439" s="1285" t="s">
        <v>842</v>
      </c>
      <c r="H439" s="1284">
        <v>0</v>
      </c>
      <c r="I439" s="1284">
        <v>0</v>
      </c>
      <c r="J439" s="644">
        <f t="shared" si="26"/>
        <v>0</v>
      </c>
      <c r="K439" s="1284">
        <v>0</v>
      </c>
      <c r="L439" s="644">
        <f t="shared" si="27"/>
        <v>0</v>
      </c>
      <c r="M439" s="680">
        <v>0</v>
      </c>
      <c r="N439" s="651">
        <v>0</v>
      </c>
    </row>
    <row r="440" spans="1:14" ht="15.95" customHeight="1" x14ac:dyDescent="0.15">
      <c r="A440" s="1286">
        <v>43040</v>
      </c>
      <c r="B440" s="640" t="str">
        <f t="shared" ca="1" si="24"/>
        <v>02</v>
      </c>
      <c r="C440" s="1285" t="s">
        <v>37</v>
      </c>
      <c r="D440" s="640" t="str">
        <f t="shared" ca="1" si="25"/>
        <v>01</v>
      </c>
      <c r="E440" s="1285" t="s">
        <v>83</v>
      </c>
      <c r="F440" s="641" t="str">
        <f>IF(G440="","",VLOOKUP(G440,リスト!J$2:K$3,2,FALSE))</f>
        <v>02</v>
      </c>
      <c r="G440" s="1285" t="s">
        <v>842</v>
      </c>
      <c r="H440" s="1284">
        <v>172839</v>
      </c>
      <c r="I440" s="1284">
        <v>-84066</v>
      </c>
      <c r="J440" s="644">
        <f t="shared" si="26"/>
        <v>88773</v>
      </c>
      <c r="K440" s="1284">
        <v>88773</v>
      </c>
      <c r="L440" s="644">
        <f t="shared" si="27"/>
        <v>0</v>
      </c>
      <c r="M440" s="680">
        <v>0</v>
      </c>
      <c r="N440" s="651">
        <v>0</v>
      </c>
    </row>
    <row r="441" spans="1:14" ht="15.95" customHeight="1" x14ac:dyDescent="0.15">
      <c r="A441" s="1286">
        <v>43040</v>
      </c>
      <c r="B441" s="640" t="str">
        <f t="shared" ca="1" si="24"/>
        <v>02</v>
      </c>
      <c r="C441" s="1285" t="s">
        <v>37</v>
      </c>
      <c r="D441" s="640" t="str">
        <f t="shared" ca="1" si="25"/>
        <v>03</v>
      </c>
      <c r="E441" s="1285" t="s">
        <v>98</v>
      </c>
      <c r="F441" s="641" t="str">
        <f>IF(G441="","",VLOOKUP(G441,リスト!J$2:K$3,2,FALSE))</f>
        <v>01</v>
      </c>
      <c r="G441" s="1285" t="s">
        <v>841</v>
      </c>
      <c r="H441" s="1284">
        <v>436023</v>
      </c>
      <c r="I441" s="1284">
        <v>0</v>
      </c>
      <c r="J441" s="644">
        <f t="shared" si="26"/>
        <v>436023</v>
      </c>
      <c r="K441" s="1284">
        <v>436023</v>
      </c>
      <c r="L441" s="644">
        <f t="shared" si="27"/>
        <v>0</v>
      </c>
      <c r="M441" s="680">
        <v>0</v>
      </c>
      <c r="N441" s="651">
        <v>0</v>
      </c>
    </row>
    <row r="442" spans="1:14" ht="15.95" customHeight="1" x14ac:dyDescent="0.15">
      <c r="A442" s="1286">
        <v>43040</v>
      </c>
      <c r="B442" s="640" t="str">
        <f t="shared" ca="1" si="24"/>
        <v>02</v>
      </c>
      <c r="C442" s="1285" t="s">
        <v>37</v>
      </c>
      <c r="D442" s="640" t="str">
        <f t="shared" ca="1" si="25"/>
        <v>02</v>
      </c>
      <c r="E442" s="1285" t="s">
        <v>84</v>
      </c>
      <c r="F442" s="641" t="str">
        <f>IF(G442="","",VLOOKUP(G442,リスト!J$2:K$3,2,FALSE))</f>
        <v>01</v>
      </c>
      <c r="G442" s="1285" t="s">
        <v>841</v>
      </c>
      <c r="H442" s="1284">
        <v>971375</v>
      </c>
      <c r="I442" s="1284">
        <v>0</v>
      </c>
      <c r="J442" s="644">
        <f t="shared" si="26"/>
        <v>971375</v>
      </c>
      <c r="K442" s="1284">
        <v>971375</v>
      </c>
      <c r="L442" s="644">
        <f t="shared" si="27"/>
        <v>0</v>
      </c>
      <c r="M442" s="680">
        <v>0</v>
      </c>
      <c r="N442" s="651">
        <v>221766</v>
      </c>
    </row>
    <row r="443" spans="1:14" ht="15.95" customHeight="1" x14ac:dyDescent="0.15">
      <c r="A443" s="1286">
        <v>43040</v>
      </c>
      <c r="B443" s="640" t="str">
        <f t="shared" ca="1" si="24"/>
        <v>02</v>
      </c>
      <c r="C443" s="1285" t="s">
        <v>37</v>
      </c>
      <c r="D443" s="640" t="str">
        <f t="shared" ca="1" si="25"/>
        <v>01</v>
      </c>
      <c r="E443" s="1285" t="s">
        <v>83</v>
      </c>
      <c r="F443" s="641" t="str">
        <f>IF(G443="","",VLOOKUP(G443,リスト!J$2:K$3,2,FALSE))</f>
        <v>01</v>
      </c>
      <c r="G443" s="1285" t="s">
        <v>841</v>
      </c>
      <c r="H443" s="1284">
        <v>4199450</v>
      </c>
      <c r="I443" s="1284">
        <v>0</v>
      </c>
      <c r="J443" s="644">
        <f t="shared" si="26"/>
        <v>4199450</v>
      </c>
      <c r="K443" s="1284">
        <v>4199450</v>
      </c>
      <c r="L443" s="644">
        <f t="shared" si="27"/>
        <v>0</v>
      </c>
      <c r="M443" s="680">
        <v>0</v>
      </c>
      <c r="N443" s="651">
        <v>466832</v>
      </c>
    </row>
    <row r="444" spans="1:14" ht="15.95" customHeight="1" x14ac:dyDescent="0.15">
      <c r="A444" s="1286">
        <v>43040</v>
      </c>
      <c r="B444" s="640" t="str">
        <f t="shared" ca="1" si="24"/>
        <v>03</v>
      </c>
      <c r="C444" s="1285" t="s">
        <v>66</v>
      </c>
      <c r="D444" s="640" t="str">
        <f t="shared" ca="1" si="25"/>
        <v>02</v>
      </c>
      <c r="E444" s="1285" t="s">
        <v>84</v>
      </c>
      <c r="F444" s="641" t="str">
        <f>IF(G444="","",VLOOKUP(G444,リスト!J$2:K$3,2,FALSE))</f>
        <v>02</v>
      </c>
      <c r="G444" s="1285" t="s">
        <v>842</v>
      </c>
      <c r="H444" s="1284">
        <v>74973</v>
      </c>
      <c r="I444" s="1284">
        <v>0</v>
      </c>
      <c r="J444" s="644">
        <f t="shared" si="26"/>
        <v>74973</v>
      </c>
      <c r="K444" s="1284">
        <v>74973</v>
      </c>
      <c r="L444" s="644">
        <f t="shared" si="27"/>
        <v>0</v>
      </c>
      <c r="M444" s="680">
        <v>0</v>
      </c>
      <c r="N444" s="651">
        <v>0</v>
      </c>
    </row>
    <row r="445" spans="1:14" ht="15.95" customHeight="1" x14ac:dyDescent="0.15">
      <c r="A445" s="1286">
        <v>43040</v>
      </c>
      <c r="B445" s="640" t="str">
        <f t="shared" ca="1" si="24"/>
        <v>03</v>
      </c>
      <c r="C445" s="1285" t="s">
        <v>66</v>
      </c>
      <c r="D445" s="640" t="str">
        <f t="shared" ca="1" si="25"/>
        <v>01</v>
      </c>
      <c r="E445" s="1285" t="s">
        <v>83</v>
      </c>
      <c r="F445" s="641" t="str">
        <f>IF(G445="","",VLOOKUP(G445,リスト!J$2:K$3,2,FALSE))</f>
        <v>02</v>
      </c>
      <c r="G445" s="1285" t="s">
        <v>842</v>
      </c>
      <c r="H445" s="1284">
        <v>68265</v>
      </c>
      <c r="I445" s="1284">
        <v>0</v>
      </c>
      <c r="J445" s="644">
        <f t="shared" si="26"/>
        <v>68265</v>
      </c>
      <c r="K445" s="1284">
        <v>68265</v>
      </c>
      <c r="L445" s="644">
        <f t="shared" si="27"/>
        <v>0</v>
      </c>
      <c r="M445" s="680">
        <v>0</v>
      </c>
      <c r="N445" s="651">
        <v>0</v>
      </c>
    </row>
    <row r="446" spans="1:14" ht="15.95" customHeight="1" x14ac:dyDescent="0.15">
      <c r="A446" s="1286">
        <v>43040</v>
      </c>
      <c r="B446" s="640" t="str">
        <f t="shared" ca="1" si="24"/>
        <v>03</v>
      </c>
      <c r="C446" s="1285" t="s">
        <v>66</v>
      </c>
      <c r="D446" s="640" t="str">
        <f t="shared" ca="1" si="25"/>
        <v>02</v>
      </c>
      <c r="E446" s="1285" t="s">
        <v>84</v>
      </c>
      <c r="F446" s="641" t="str">
        <f>IF(G446="","",VLOOKUP(G446,リスト!J$2:K$3,2,FALSE))</f>
        <v>01</v>
      </c>
      <c r="G446" s="1285" t="s">
        <v>841</v>
      </c>
      <c r="H446" s="1284">
        <v>1840148</v>
      </c>
      <c r="I446" s="1284">
        <v>-41265</v>
      </c>
      <c r="J446" s="644">
        <f t="shared" si="26"/>
        <v>1798883</v>
      </c>
      <c r="K446" s="1284">
        <v>1798883</v>
      </c>
      <c r="L446" s="644">
        <f t="shared" si="27"/>
        <v>0</v>
      </c>
      <c r="M446" s="680">
        <v>0</v>
      </c>
      <c r="N446" s="651">
        <v>432828</v>
      </c>
    </row>
    <row r="447" spans="1:14" ht="15.95" customHeight="1" x14ac:dyDescent="0.15">
      <c r="A447" s="1286">
        <v>43040</v>
      </c>
      <c r="B447" s="640" t="str">
        <f t="shared" ca="1" si="24"/>
        <v>03</v>
      </c>
      <c r="C447" s="1285" t="s">
        <v>66</v>
      </c>
      <c r="D447" s="640" t="str">
        <f t="shared" ca="1" si="25"/>
        <v>01</v>
      </c>
      <c r="E447" s="1285" t="s">
        <v>83</v>
      </c>
      <c r="F447" s="641" t="str">
        <f>IF(G447="","",VLOOKUP(G447,リスト!J$2:K$3,2,FALSE))</f>
        <v>01</v>
      </c>
      <c r="G447" s="1285" t="s">
        <v>841</v>
      </c>
      <c r="H447" s="1284">
        <v>3725222</v>
      </c>
      <c r="I447" s="1284">
        <v>0</v>
      </c>
      <c r="J447" s="644">
        <f t="shared" si="26"/>
        <v>3725222</v>
      </c>
      <c r="K447" s="1284">
        <v>3725222</v>
      </c>
      <c r="L447" s="644">
        <f t="shared" si="27"/>
        <v>0</v>
      </c>
      <c r="M447" s="680">
        <v>119605</v>
      </c>
      <c r="N447" s="651">
        <v>411480</v>
      </c>
    </row>
    <row r="448" spans="1:14" ht="15.95" customHeight="1" x14ac:dyDescent="0.15">
      <c r="A448" s="1286">
        <v>43040</v>
      </c>
      <c r="B448" s="640" t="str">
        <f t="shared" ca="1" si="24"/>
        <v>04</v>
      </c>
      <c r="C448" s="1285" t="s">
        <v>358</v>
      </c>
      <c r="D448" s="640" t="str">
        <f t="shared" ca="1" si="25"/>
        <v>04</v>
      </c>
      <c r="E448" s="1285" t="s">
        <v>542</v>
      </c>
      <c r="F448" s="641" t="str">
        <f>IF(G448="","",VLOOKUP(G448,リスト!J$2:K$3,2,FALSE))</f>
        <v>02</v>
      </c>
      <c r="G448" s="1285" t="s">
        <v>842</v>
      </c>
      <c r="H448" s="1284">
        <v>0</v>
      </c>
      <c r="I448" s="1284">
        <v>50755</v>
      </c>
      <c r="J448" s="644">
        <f t="shared" si="26"/>
        <v>50755</v>
      </c>
      <c r="K448" s="1284">
        <v>50755</v>
      </c>
      <c r="L448" s="644">
        <f t="shared" si="27"/>
        <v>0</v>
      </c>
      <c r="M448" s="680">
        <v>0</v>
      </c>
      <c r="N448" s="651">
        <v>0</v>
      </c>
    </row>
    <row r="449" spans="1:14" ht="15.95" customHeight="1" x14ac:dyDescent="0.15">
      <c r="A449" s="1286">
        <v>43040</v>
      </c>
      <c r="B449" s="640" t="str">
        <f t="shared" ca="1" si="24"/>
        <v>04</v>
      </c>
      <c r="C449" s="1285" t="s">
        <v>358</v>
      </c>
      <c r="D449" s="640" t="str">
        <f t="shared" ca="1" si="25"/>
        <v>04</v>
      </c>
      <c r="E449" s="1285" t="s">
        <v>542</v>
      </c>
      <c r="F449" s="641" t="str">
        <f>IF(G449="","",VLOOKUP(G449,リスト!J$2:K$3,2,FALSE))</f>
        <v>01</v>
      </c>
      <c r="G449" s="1285" t="s">
        <v>841</v>
      </c>
      <c r="H449" s="1284">
        <v>3271508</v>
      </c>
      <c r="I449" s="1284">
        <v>-2080</v>
      </c>
      <c r="J449" s="644">
        <f t="shared" si="26"/>
        <v>3269428</v>
      </c>
      <c r="K449" s="1284">
        <v>3269428</v>
      </c>
      <c r="L449" s="644">
        <f t="shared" si="27"/>
        <v>0</v>
      </c>
      <c r="M449" s="680">
        <v>57391</v>
      </c>
      <c r="N449" s="651">
        <v>184210</v>
      </c>
    </row>
    <row r="450" spans="1:14" ht="15.95" customHeight="1" x14ac:dyDescent="0.15">
      <c r="A450" s="1286">
        <v>43040</v>
      </c>
      <c r="B450" s="640" t="str">
        <f t="shared" ref="B450:B513" ca="1" si="28">IF(C450="","",VLOOKUP(C450,事業所コード2,2,FALSE))</f>
        <v>05</v>
      </c>
      <c r="C450" s="1285" t="s">
        <v>38</v>
      </c>
      <c r="D450" s="640" t="str">
        <f t="shared" ref="D450:D513" ca="1" si="29">IF(E450="","",VLOOKUP(E450,事業区分コード2,2,FALSE))</f>
        <v>01</v>
      </c>
      <c r="E450" s="1285" t="s">
        <v>83</v>
      </c>
      <c r="F450" s="641" t="str">
        <f>IF(G450="","",VLOOKUP(G450,リスト!J$2:K$3,2,FALSE))</f>
        <v>02</v>
      </c>
      <c r="G450" s="1285" t="s">
        <v>842</v>
      </c>
      <c r="H450" s="1284">
        <v>0</v>
      </c>
      <c r="I450" s="1284">
        <v>0</v>
      </c>
      <c r="J450" s="644">
        <f t="shared" ref="J450:J513" si="30">IF(A450="","",H450+I450)</f>
        <v>0</v>
      </c>
      <c r="K450" s="1284">
        <v>0</v>
      </c>
      <c r="L450" s="644">
        <f t="shared" ref="L450:L513" si="31">IF(A450="","",J450-K450)</f>
        <v>0</v>
      </c>
      <c r="M450" s="680">
        <v>0</v>
      </c>
      <c r="N450" s="651">
        <v>0</v>
      </c>
    </row>
    <row r="451" spans="1:14" ht="15.95" customHeight="1" x14ac:dyDescent="0.15">
      <c r="A451" s="1286">
        <v>43040</v>
      </c>
      <c r="B451" s="640" t="str">
        <f t="shared" ca="1" si="28"/>
        <v>05</v>
      </c>
      <c r="C451" s="1285" t="s">
        <v>38</v>
      </c>
      <c r="D451" s="640" t="str">
        <f t="shared" ca="1" si="29"/>
        <v>01</v>
      </c>
      <c r="E451" s="1285" t="s">
        <v>83</v>
      </c>
      <c r="F451" s="641" t="str">
        <f>IF(G451="","",VLOOKUP(G451,リスト!J$2:K$3,2,FALSE))</f>
        <v>01</v>
      </c>
      <c r="G451" s="1285" t="s">
        <v>841</v>
      </c>
      <c r="H451" s="1284">
        <v>2052909</v>
      </c>
      <c r="I451" s="1284">
        <v>0</v>
      </c>
      <c r="J451" s="644">
        <f t="shared" si="30"/>
        <v>2052909</v>
      </c>
      <c r="K451" s="1284">
        <v>2052909</v>
      </c>
      <c r="L451" s="644">
        <f t="shared" si="31"/>
        <v>0</v>
      </c>
      <c r="M451" s="680">
        <v>0</v>
      </c>
      <c r="N451" s="651">
        <v>0</v>
      </c>
    </row>
    <row r="452" spans="1:14" ht="15.95" customHeight="1" x14ac:dyDescent="0.15">
      <c r="A452" s="1286">
        <v>43040</v>
      </c>
      <c r="B452" s="640" t="str">
        <f t="shared" ca="1" si="28"/>
        <v>07</v>
      </c>
      <c r="C452" s="1285" t="s">
        <v>119</v>
      </c>
      <c r="D452" s="640" t="str">
        <f t="shared" ca="1" si="29"/>
        <v>05</v>
      </c>
      <c r="E452" s="1285" t="s">
        <v>543</v>
      </c>
      <c r="F452" s="641" t="str">
        <f>IF(G452="","",VLOOKUP(G452,リスト!J$2:K$3,2,FALSE))</f>
        <v>02</v>
      </c>
      <c r="G452" s="1285" t="s">
        <v>842</v>
      </c>
      <c r="H452" s="1284">
        <v>209096</v>
      </c>
      <c r="I452" s="1284">
        <v>0</v>
      </c>
      <c r="J452" s="644">
        <f t="shared" si="30"/>
        <v>209096</v>
      </c>
      <c r="K452" s="1284">
        <v>209096</v>
      </c>
      <c r="L452" s="644">
        <f t="shared" si="31"/>
        <v>0</v>
      </c>
      <c r="M452" s="680">
        <v>0</v>
      </c>
      <c r="N452" s="651">
        <v>0</v>
      </c>
    </row>
    <row r="453" spans="1:14" ht="15.95" customHeight="1" x14ac:dyDescent="0.15">
      <c r="A453" s="1286">
        <v>43040</v>
      </c>
      <c r="B453" s="640" t="str">
        <f t="shared" ca="1" si="28"/>
        <v>07</v>
      </c>
      <c r="C453" s="1285" t="s">
        <v>119</v>
      </c>
      <c r="D453" s="640" t="str">
        <f t="shared" ca="1" si="29"/>
        <v>05</v>
      </c>
      <c r="E453" s="1285" t="s">
        <v>543</v>
      </c>
      <c r="F453" s="641" t="str">
        <f>IF(G453="","",VLOOKUP(G453,リスト!J$2:K$3,2,FALSE))</f>
        <v>01</v>
      </c>
      <c r="G453" s="1285" t="s">
        <v>841</v>
      </c>
      <c r="H453" s="1284">
        <v>978313</v>
      </c>
      <c r="I453" s="1284">
        <v>0</v>
      </c>
      <c r="J453" s="644">
        <f t="shared" si="30"/>
        <v>978313</v>
      </c>
      <c r="K453" s="1284">
        <v>978313</v>
      </c>
      <c r="L453" s="644">
        <f t="shared" si="31"/>
        <v>0</v>
      </c>
      <c r="M453" s="680">
        <v>0</v>
      </c>
      <c r="N453" s="651">
        <v>293704</v>
      </c>
    </row>
    <row r="454" spans="1:14" ht="15.95" customHeight="1" x14ac:dyDescent="0.15">
      <c r="A454" s="1286">
        <v>43040</v>
      </c>
      <c r="B454" s="640" t="str">
        <f t="shared" ca="1" si="28"/>
        <v>08</v>
      </c>
      <c r="C454" s="1285" t="s">
        <v>189</v>
      </c>
      <c r="D454" s="640" t="str">
        <f t="shared" ca="1" si="29"/>
        <v>05</v>
      </c>
      <c r="E454" s="1285" t="s">
        <v>543</v>
      </c>
      <c r="F454" s="641" t="str">
        <f>IF(G454="","",VLOOKUP(G454,リスト!J$2:K$3,2,FALSE))</f>
        <v>02</v>
      </c>
      <c r="G454" s="1285" t="s">
        <v>842</v>
      </c>
      <c r="H454" s="1284">
        <v>0</v>
      </c>
      <c r="I454" s="1284">
        <v>0</v>
      </c>
      <c r="J454" s="644">
        <f t="shared" si="30"/>
        <v>0</v>
      </c>
      <c r="K454" s="1284">
        <v>0</v>
      </c>
      <c r="L454" s="644">
        <f t="shared" si="31"/>
        <v>0</v>
      </c>
      <c r="M454" s="680">
        <v>0</v>
      </c>
      <c r="N454" s="651">
        <v>0</v>
      </c>
    </row>
    <row r="455" spans="1:14" ht="15.95" customHeight="1" x14ac:dyDescent="0.15">
      <c r="A455" s="1286">
        <v>43040</v>
      </c>
      <c r="B455" s="640" t="str">
        <f t="shared" ca="1" si="28"/>
        <v>08</v>
      </c>
      <c r="C455" s="1285" t="s">
        <v>189</v>
      </c>
      <c r="D455" s="640" t="str">
        <f t="shared" ca="1" si="29"/>
        <v>05</v>
      </c>
      <c r="E455" s="1285" t="s">
        <v>543</v>
      </c>
      <c r="F455" s="641" t="str">
        <f>IF(G455="","",VLOOKUP(G455,リスト!J$2:K$3,2,FALSE))</f>
        <v>01</v>
      </c>
      <c r="G455" s="1285" t="s">
        <v>841</v>
      </c>
      <c r="H455" s="1284">
        <v>922792</v>
      </c>
      <c r="I455" s="1284">
        <v>0</v>
      </c>
      <c r="J455" s="644">
        <f t="shared" si="30"/>
        <v>922792</v>
      </c>
      <c r="K455" s="1284">
        <v>922792</v>
      </c>
      <c r="L455" s="644">
        <f t="shared" si="31"/>
        <v>0</v>
      </c>
      <c r="M455" s="680">
        <v>0</v>
      </c>
      <c r="N455" s="651">
        <v>0</v>
      </c>
    </row>
    <row r="456" spans="1:14" ht="15.95" customHeight="1" x14ac:dyDescent="0.15">
      <c r="A456" s="1286">
        <v>43040</v>
      </c>
      <c r="B456" s="640" t="str">
        <f t="shared" ca="1" si="28"/>
        <v>09</v>
      </c>
      <c r="C456" s="1285" t="s">
        <v>329</v>
      </c>
      <c r="D456" s="640" t="str">
        <f t="shared" ca="1" si="29"/>
        <v>05</v>
      </c>
      <c r="E456" s="1285" t="s">
        <v>543</v>
      </c>
      <c r="F456" s="641" t="str">
        <f>IF(G456="","",VLOOKUP(G456,リスト!J$2:K$3,2,FALSE))</f>
        <v>02</v>
      </c>
      <c r="G456" s="1285" t="s">
        <v>842</v>
      </c>
      <c r="H456" s="1284">
        <v>0</v>
      </c>
      <c r="I456" s="1284">
        <v>0</v>
      </c>
      <c r="J456" s="644">
        <f t="shared" si="30"/>
        <v>0</v>
      </c>
      <c r="K456" s="1284">
        <v>0</v>
      </c>
      <c r="L456" s="644">
        <f t="shared" si="31"/>
        <v>0</v>
      </c>
      <c r="M456" s="680">
        <v>0</v>
      </c>
      <c r="N456" s="651">
        <v>0</v>
      </c>
    </row>
    <row r="457" spans="1:14" ht="15.95" customHeight="1" x14ac:dyDescent="0.15">
      <c r="A457" s="1286">
        <v>43040</v>
      </c>
      <c r="B457" s="640" t="str">
        <f t="shared" ca="1" si="28"/>
        <v>09</v>
      </c>
      <c r="C457" s="1285" t="s">
        <v>329</v>
      </c>
      <c r="D457" s="640" t="str">
        <f t="shared" ca="1" si="29"/>
        <v>05</v>
      </c>
      <c r="E457" s="1285" t="s">
        <v>543</v>
      </c>
      <c r="F457" s="641" t="str">
        <f>IF(G457="","",VLOOKUP(G457,リスト!J$2:K$3,2,FALSE))</f>
        <v>01</v>
      </c>
      <c r="G457" s="1285" t="s">
        <v>841</v>
      </c>
      <c r="H457" s="1284">
        <v>2385860</v>
      </c>
      <c r="I457" s="1284">
        <v>0</v>
      </c>
      <c r="J457" s="644">
        <f t="shared" si="30"/>
        <v>2385860</v>
      </c>
      <c r="K457" s="1284">
        <v>2385860</v>
      </c>
      <c r="L457" s="644">
        <f t="shared" si="31"/>
        <v>0</v>
      </c>
      <c r="M457" s="680">
        <v>0</v>
      </c>
      <c r="N457" s="651">
        <v>0</v>
      </c>
    </row>
    <row r="458" spans="1:14" ht="15.95" customHeight="1" x14ac:dyDescent="0.15">
      <c r="A458" s="1286">
        <v>43040</v>
      </c>
      <c r="B458" s="640" t="str">
        <f t="shared" ca="1" si="28"/>
        <v>10</v>
      </c>
      <c r="C458" s="1285" t="s">
        <v>336</v>
      </c>
      <c r="D458" s="640" t="str">
        <f t="shared" ca="1" si="29"/>
        <v>02</v>
      </c>
      <c r="E458" s="1285" t="s">
        <v>84</v>
      </c>
      <c r="F458" s="641" t="str">
        <f>IF(G458="","",VLOOKUP(G458,リスト!J$2:K$3,2,FALSE))</f>
        <v>02</v>
      </c>
      <c r="G458" s="1285" t="s">
        <v>842</v>
      </c>
      <c r="H458" s="1284">
        <v>0</v>
      </c>
      <c r="I458" s="1284">
        <v>0</v>
      </c>
      <c r="J458" s="644">
        <f t="shared" si="30"/>
        <v>0</v>
      </c>
      <c r="K458" s="1284">
        <v>0</v>
      </c>
      <c r="L458" s="644">
        <f t="shared" si="31"/>
        <v>0</v>
      </c>
      <c r="M458" s="680">
        <v>0</v>
      </c>
      <c r="N458" s="651">
        <v>0</v>
      </c>
    </row>
    <row r="459" spans="1:14" ht="15.95" customHeight="1" x14ac:dyDescent="0.15">
      <c r="A459" s="1286">
        <v>43040</v>
      </c>
      <c r="B459" s="640" t="str">
        <f t="shared" ca="1" si="28"/>
        <v>10</v>
      </c>
      <c r="C459" s="1285" t="s">
        <v>336</v>
      </c>
      <c r="D459" s="640" t="str">
        <f t="shared" ca="1" si="29"/>
        <v>01</v>
      </c>
      <c r="E459" s="1285" t="s">
        <v>83</v>
      </c>
      <c r="F459" s="641" t="str">
        <f>IF(G459="","",VLOOKUP(G459,リスト!J$2:K$3,2,FALSE))</f>
        <v>02</v>
      </c>
      <c r="G459" s="1285" t="s">
        <v>842</v>
      </c>
      <c r="H459" s="1284">
        <v>6515</v>
      </c>
      <c r="I459" s="1284">
        <v>2836</v>
      </c>
      <c r="J459" s="644">
        <f t="shared" si="30"/>
        <v>9351</v>
      </c>
      <c r="K459" s="1284">
        <v>9351</v>
      </c>
      <c r="L459" s="644">
        <f t="shared" si="31"/>
        <v>0</v>
      </c>
      <c r="M459" s="680">
        <v>0</v>
      </c>
      <c r="N459" s="651">
        <v>0</v>
      </c>
    </row>
    <row r="460" spans="1:14" ht="15.95" customHeight="1" x14ac:dyDescent="0.15">
      <c r="A460" s="1286">
        <v>43040</v>
      </c>
      <c r="B460" s="640" t="str">
        <f t="shared" ca="1" si="28"/>
        <v>10</v>
      </c>
      <c r="C460" s="1285" t="s">
        <v>336</v>
      </c>
      <c r="D460" s="640" t="str">
        <f t="shared" ca="1" si="29"/>
        <v>02</v>
      </c>
      <c r="E460" s="1285" t="s">
        <v>84</v>
      </c>
      <c r="F460" s="641" t="str">
        <f>IF(G460="","",VLOOKUP(G460,リスト!J$2:K$3,2,FALSE))</f>
        <v>01</v>
      </c>
      <c r="G460" s="1285" t="s">
        <v>841</v>
      </c>
      <c r="H460" s="1284">
        <v>4270</v>
      </c>
      <c r="I460" s="1284">
        <v>0</v>
      </c>
      <c r="J460" s="644">
        <f t="shared" si="30"/>
        <v>4270</v>
      </c>
      <c r="K460" s="1284">
        <v>4270</v>
      </c>
      <c r="L460" s="644">
        <f t="shared" si="31"/>
        <v>0</v>
      </c>
      <c r="M460" s="680">
        <v>0</v>
      </c>
      <c r="N460" s="651">
        <v>0</v>
      </c>
    </row>
    <row r="461" spans="1:14" ht="15.95" customHeight="1" x14ac:dyDescent="0.15">
      <c r="A461" s="1286">
        <v>43040</v>
      </c>
      <c r="B461" s="640" t="str">
        <f t="shared" ca="1" si="28"/>
        <v>10</v>
      </c>
      <c r="C461" s="1285" t="s">
        <v>336</v>
      </c>
      <c r="D461" s="640" t="str">
        <f t="shared" ca="1" si="29"/>
        <v>01</v>
      </c>
      <c r="E461" s="1285" t="s">
        <v>83</v>
      </c>
      <c r="F461" s="641" t="str">
        <f>IF(G461="","",VLOOKUP(G461,リスト!J$2:K$3,2,FALSE))</f>
        <v>01</v>
      </c>
      <c r="G461" s="1285" t="s">
        <v>841</v>
      </c>
      <c r="H461" s="1284">
        <v>1287903</v>
      </c>
      <c r="I461" s="1284">
        <v>0</v>
      </c>
      <c r="J461" s="644">
        <f t="shared" si="30"/>
        <v>1287903</v>
      </c>
      <c r="K461" s="1284">
        <v>1287903</v>
      </c>
      <c r="L461" s="644">
        <f t="shared" si="31"/>
        <v>0</v>
      </c>
      <c r="M461" s="680">
        <v>40455</v>
      </c>
      <c r="N461" s="651">
        <v>0</v>
      </c>
    </row>
    <row r="462" spans="1:14" ht="15.95" customHeight="1" x14ac:dyDescent="0.15">
      <c r="A462" s="1286">
        <v>43070</v>
      </c>
      <c r="B462" s="640" t="str">
        <f t="shared" ca="1" si="28"/>
        <v>01</v>
      </c>
      <c r="C462" s="1285" t="s">
        <v>34</v>
      </c>
      <c r="D462" s="640" t="str">
        <f t="shared" ca="1" si="29"/>
        <v>03</v>
      </c>
      <c r="E462" s="1285" t="s">
        <v>98</v>
      </c>
      <c r="F462" s="641" t="str">
        <f>IF(G462="","",VLOOKUP(G462,リスト!J$2:K$3,2,FALSE))</f>
        <v>02</v>
      </c>
      <c r="G462" s="1285" t="s">
        <v>842</v>
      </c>
      <c r="H462" s="1284">
        <v>28718</v>
      </c>
      <c r="I462" s="1284">
        <v>0</v>
      </c>
      <c r="J462" s="644">
        <f t="shared" si="30"/>
        <v>28718</v>
      </c>
      <c r="K462" s="1284">
        <v>28718</v>
      </c>
      <c r="L462" s="644">
        <f t="shared" si="31"/>
        <v>0</v>
      </c>
      <c r="M462" s="680">
        <v>0</v>
      </c>
      <c r="N462" s="651">
        <v>0</v>
      </c>
    </row>
    <row r="463" spans="1:14" ht="15.95" customHeight="1" x14ac:dyDescent="0.15">
      <c r="A463" s="1286">
        <v>43070</v>
      </c>
      <c r="B463" s="640" t="str">
        <f t="shared" ca="1" si="28"/>
        <v>01</v>
      </c>
      <c r="C463" s="1285" t="s">
        <v>34</v>
      </c>
      <c r="D463" s="640" t="str">
        <f t="shared" ca="1" si="29"/>
        <v>02</v>
      </c>
      <c r="E463" s="1285" t="s">
        <v>84</v>
      </c>
      <c r="F463" s="641" t="str">
        <f>IF(G463="","",VLOOKUP(G463,リスト!J$2:K$3,2,FALSE))</f>
        <v>02</v>
      </c>
      <c r="G463" s="1285" t="s">
        <v>842</v>
      </c>
      <c r="H463" s="1284">
        <v>135527</v>
      </c>
      <c r="I463" s="1284">
        <v>0</v>
      </c>
      <c r="J463" s="644">
        <f t="shared" si="30"/>
        <v>135527</v>
      </c>
      <c r="K463" s="1284">
        <v>135527</v>
      </c>
      <c r="L463" s="644">
        <f t="shared" si="31"/>
        <v>0</v>
      </c>
      <c r="M463" s="680">
        <v>0</v>
      </c>
      <c r="N463" s="651">
        <v>0</v>
      </c>
    </row>
    <row r="464" spans="1:14" ht="15.95" customHeight="1" x14ac:dyDescent="0.15">
      <c r="A464" s="1286">
        <v>43070</v>
      </c>
      <c r="B464" s="640" t="str">
        <f t="shared" ca="1" si="28"/>
        <v>01</v>
      </c>
      <c r="C464" s="1285" t="s">
        <v>34</v>
      </c>
      <c r="D464" s="640" t="str">
        <f t="shared" ca="1" si="29"/>
        <v>01</v>
      </c>
      <c r="E464" s="1285" t="s">
        <v>83</v>
      </c>
      <c r="F464" s="641" t="str">
        <f>IF(G464="","",VLOOKUP(G464,リスト!J$2:K$3,2,FALSE))</f>
        <v>02</v>
      </c>
      <c r="G464" s="1285" t="s">
        <v>842</v>
      </c>
      <c r="H464" s="1284">
        <v>51230</v>
      </c>
      <c r="I464" s="1284">
        <v>42627</v>
      </c>
      <c r="J464" s="644">
        <f t="shared" si="30"/>
        <v>93857</v>
      </c>
      <c r="K464" s="1284">
        <v>93857</v>
      </c>
      <c r="L464" s="644">
        <f t="shared" si="31"/>
        <v>0</v>
      </c>
      <c r="M464" s="680">
        <v>0</v>
      </c>
      <c r="N464" s="651">
        <v>0</v>
      </c>
    </row>
    <row r="465" spans="1:14" ht="15.95" customHeight="1" x14ac:dyDescent="0.15">
      <c r="A465" s="1286">
        <v>43070</v>
      </c>
      <c r="B465" s="640" t="str">
        <f t="shared" ca="1" si="28"/>
        <v>01</v>
      </c>
      <c r="C465" s="1285" t="s">
        <v>34</v>
      </c>
      <c r="D465" s="640" t="str">
        <f t="shared" ca="1" si="29"/>
        <v>03</v>
      </c>
      <c r="E465" s="1285" t="s">
        <v>98</v>
      </c>
      <c r="F465" s="641" t="str">
        <f>IF(G465="","",VLOOKUP(G465,リスト!J$2:K$3,2,FALSE))</f>
        <v>01</v>
      </c>
      <c r="G465" s="1285" t="s">
        <v>841</v>
      </c>
      <c r="H465" s="1284">
        <v>716058</v>
      </c>
      <c r="I465" s="1284">
        <v>0</v>
      </c>
      <c r="J465" s="644">
        <f t="shared" si="30"/>
        <v>716058</v>
      </c>
      <c r="K465" s="1284">
        <v>716058</v>
      </c>
      <c r="L465" s="644">
        <f t="shared" si="31"/>
        <v>0</v>
      </c>
      <c r="M465" s="680">
        <v>0</v>
      </c>
      <c r="N465" s="651">
        <v>0</v>
      </c>
    </row>
    <row r="466" spans="1:14" ht="15.95" customHeight="1" x14ac:dyDescent="0.15">
      <c r="A466" s="1286">
        <v>43070</v>
      </c>
      <c r="B466" s="640" t="str">
        <f t="shared" ca="1" si="28"/>
        <v>01</v>
      </c>
      <c r="C466" s="1285" t="s">
        <v>34</v>
      </c>
      <c r="D466" s="640" t="str">
        <f t="shared" ca="1" si="29"/>
        <v>02</v>
      </c>
      <c r="E466" s="1285" t="s">
        <v>84</v>
      </c>
      <c r="F466" s="641" t="str">
        <f>IF(G466="","",VLOOKUP(G466,リスト!J$2:K$3,2,FALSE))</f>
        <v>01</v>
      </c>
      <c r="G466" s="1285" t="s">
        <v>841</v>
      </c>
      <c r="H466" s="1284">
        <v>1255262</v>
      </c>
      <c r="I466" s="1284">
        <v>0</v>
      </c>
      <c r="J466" s="644">
        <f t="shared" si="30"/>
        <v>1255262</v>
      </c>
      <c r="K466" s="1284">
        <v>1255262</v>
      </c>
      <c r="L466" s="644">
        <f t="shared" si="31"/>
        <v>0</v>
      </c>
      <c r="M466" s="680">
        <v>0</v>
      </c>
      <c r="N466" s="651">
        <v>295530</v>
      </c>
    </row>
    <row r="467" spans="1:14" ht="15.95" customHeight="1" x14ac:dyDescent="0.15">
      <c r="A467" s="1286">
        <v>43070</v>
      </c>
      <c r="B467" s="640" t="str">
        <f t="shared" ca="1" si="28"/>
        <v>01</v>
      </c>
      <c r="C467" s="1285" t="s">
        <v>34</v>
      </c>
      <c r="D467" s="640" t="str">
        <f t="shared" ca="1" si="29"/>
        <v>01</v>
      </c>
      <c r="E467" s="1285" t="s">
        <v>83</v>
      </c>
      <c r="F467" s="641" t="str">
        <f>IF(G467="","",VLOOKUP(G467,リスト!J$2:K$3,2,FALSE))</f>
        <v>01</v>
      </c>
      <c r="G467" s="1285" t="s">
        <v>841</v>
      </c>
      <c r="H467" s="1284">
        <v>7422306</v>
      </c>
      <c r="I467" s="1284">
        <v>-30847</v>
      </c>
      <c r="J467" s="644">
        <f t="shared" si="30"/>
        <v>7391459</v>
      </c>
      <c r="K467" s="1284">
        <v>7391459</v>
      </c>
      <c r="L467" s="644">
        <f t="shared" si="31"/>
        <v>0</v>
      </c>
      <c r="M467" s="680">
        <v>273727</v>
      </c>
      <c r="N467" s="651">
        <v>1313989</v>
      </c>
    </row>
    <row r="468" spans="1:14" ht="15.95" customHeight="1" x14ac:dyDescent="0.15">
      <c r="A468" s="1286">
        <v>43070</v>
      </c>
      <c r="B468" s="640" t="str">
        <f t="shared" ca="1" si="28"/>
        <v>02</v>
      </c>
      <c r="C468" s="1285" t="s">
        <v>37</v>
      </c>
      <c r="D468" s="640" t="str">
        <f t="shared" ca="1" si="29"/>
        <v>03</v>
      </c>
      <c r="E468" s="1285" t="s">
        <v>98</v>
      </c>
      <c r="F468" s="641" t="str">
        <f>IF(G468="","",VLOOKUP(G468,リスト!J$2:K$3,2,FALSE))</f>
        <v>02</v>
      </c>
      <c r="G468" s="1285" t="s">
        <v>842</v>
      </c>
      <c r="H468" s="1284">
        <v>0</v>
      </c>
      <c r="I468" s="1284">
        <v>0</v>
      </c>
      <c r="J468" s="644">
        <f>IF(A468="","",H468+I468)</f>
        <v>0</v>
      </c>
      <c r="K468" s="1284">
        <v>0</v>
      </c>
      <c r="L468" s="644">
        <f t="shared" si="31"/>
        <v>0</v>
      </c>
      <c r="M468" s="680">
        <v>0</v>
      </c>
      <c r="N468" s="651">
        <v>0</v>
      </c>
    </row>
    <row r="469" spans="1:14" ht="15.95" customHeight="1" x14ac:dyDescent="0.15">
      <c r="A469" s="1286">
        <v>43070</v>
      </c>
      <c r="B469" s="640" t="str">
        <f t="shared" ca="1" si="28"/>
        <v>02</v>
      </c>
      <c r="C469" s="1285" t="s">
        <v>37</v>
      </c>
      <c r="D469" s="640" t="str">
        <f t="shared" ca="1" si="29"/>
        <v>02</v>
      </c>
      <c r="E469" s="1285" t="s">
        <v>84</v>
      </c>
      <c r="F469" s="641" t="str">
        <f>IF(G469="","",VLOOKUP(G469,リスト!J$2:K$3,2,FALSE))</f>
        <v>02</v>
      </c>
      <c r="G469" s="1285" t="s">
        <v>842</v>
      </c>
      <c r="H469" s="1284">
        <v>0</v>
      </c>
      <c r="I469" s="1284">
        <v>0</v>
      </c>
      <c r="J469" s="644">
        <f t="shared" si="30"/>
        <v>0</v>
      </c>
      <c r="K469" s="1284">
        <v>0</v>
      </c>
      <c r="L469" s="644">
        <f t="shared" si="31"/>
        <v>0</v>
      </c>
      <c r="M469" s="680">
        <v>0</v>
      </c>
      <c r="N469" s="651">
        <v>0</v>
      </c>
    </row>
    <row r="470" spans="1:14" ht="15.95" customHeight="1" x14ac:dyDescent="0.15">
      <c r="A470" s="1286">
        <v>43070</v>
      </c>
      <c r="B470" s="640" t="str">
        <f t="shared" ca="1" si="28"/>
        <v>02</v>
      </c>
      <c r="C470" s="1285" t="s">
        <v>37</v>
      </c>
      <c r="D470" s="640" t="str">
        <f t="shared" ca="1" si="29"/>
        <v>01</v>
      </c>
      <c r="E470" s="1285" t="s">
        <v>83</v>
      </c>
      <c r="F470" s="641" t="str">
        <f>IF(G470="","",VLOOKUP(G470,リスト!J$2:K$3,2,FALSE))</f>
        <v>02</v>
      </c>
      <c r="G470" s="1285" t="s">
        <v>842</v>
      </c>
      <c r="H470" s="1284">
        <v>84066</v>
      </c>
      <c r="I470" s="1284">
        <v>-37349</v>
      </c>
      <c r="J470" s="644">
        <f t="shared" si="30"/>
        <v>46717</v>
      </c>
      <c r="K470" s="1284">
        <v>46717</v>
      </c>
      <c r="L470" s="644">
        <f t="shared" si="31"/>
        <v>0</v>
      </c>
      <c r="M470" s="680">
        <v>0</v>
      </c>
      <c r="N470" s="651">
        <v>0</v>
      </c>
    </row>
    <row r="471" spans="1:14" ht="15.95" customHeight="1" x14ac:dyDescent="0.15">
      <c r="A471" s="1286">
        <v>43070</v>
      </c>
      <c r="B471" s="640" t="str">
        <f t="shared" ca="1" si="28"/>
        <v>02</v>
      </c>
      <c r="C471" s="1285" t="s">
        <v>37</v>
      </c>
      <c r="D471" s="640" t="str">
        <f t="shared" ca="1" si="29"/>
        <v>03</v>
      </c>
      <c r="E471" s="1285" t="s">
        <v>98</v>
      </c>
      <c r="F471" s="641" t="str">
        <f>IF(G471="","",VLOOKUP(G471,リスト!J$2:K$3,2,FALSE))</f>
        <v>01</v>
      </c>
      <c r="G471" s="1285" t="s">
        <v>841</v>
      </c>
      <c r="H471" s="1284">
        <v>421073</v>
      </c>
      <c r="I471" s="1284">
        <v>0</v>
      </c>
      <c r="J471" s="644">
        <f t="shared" si="30"/>
        <v>421073</v>
      </c>
      <c r="K471" s="1284">
        <v>421073</v>
      </c>
      <c r="L471" s="644">
        <f t="shared" si="31"/>
        <v>0</v>
      </c>
      <c r="M471" s="680">
        <v>0</v>
      </c>
      <c r="N471" s="651">
        <v>0</v>
      </c>
    </row>
    <row r="472" spans="1:14" ht="15.95" customHeight="1" x14ac:dyDescent="0.15">
      <c r="A472" s="1286">
        <v>43070</v>
      </c>
      <c r="B472" s="640" t="str">
        <f t="shared" ca="1" si="28"/>
        <v>02</v>
      </c>
      <c r="C472" s="1285" t="s">
        <v>37</v>
      </c>
      <c r="D472" s="640" t="str">
        <f t="shared" ca="1" si="29"/>
        <v>02</v>
      </c>
      <c r="E472" s="1285" t="s">
        <v>84</v>
      </c>
      <c r="F472" s="641" t="str">
        <f>IF(G472="","",VLOOKUP(G472,リスト!J$2:K$3,2,FALSE))</f>
        <v>01</v>
      </c>
      <c r="G472" s="1285" t="s">
        <v>841</v>
      </c>
      <c r="H472" s="1284">
        <v>1056717</v>
      </c>
      <c r="I472" s="1284">
        <v>-128853</v>
      </c>
      <c r="J472" s="644">
        <f t="shared" si="30"/>
        <v>927864</v>
      </c>
      <c r="K472" s="1284">
        <v>927864</v>
      </c>
      <c r="L472" s="644">
        <f t="shared" si="31"/>
        <v>0</v>
      </c>
      <c r="M472" s="680">
        <v>0</v>
      </c>
      <c r="N472" s="651">
        <v>210870</v>
      </c>
    </row>
    <row r="473" spans="1:14" ht="15.95" customHeight="1" x14ac:dyDescent="0.15">
      <c r="A473" s="1286">
        <v>43070</v>
      </c>
      <c r="B473" s="640" t="str">
        <f t="shared" ca="1" si="28"/>
        <v>02</v>
      </c>
      <c r="C473" s="1285" t="s">
        <v>37</v>
      </c>
      <c r="D473" s="640" t="str">
        <f t="shared" ca="1" si="29"/>
        <v>01</v>
      </c>
      <c r="E473" s="1285" t="s">
        <v>83</v>
      </c>
      <c r="F473" s="641" t="str">
        <f>IF(G473="","",VLOOKUP(G473,リスト!J$2:K$3,2,FALSE))</f>
        <v>01</v>
      </c>
      <c r="G473" s="1285" t="s">
        <v>841</v>
      </c>
      <c r="H473" s="1284">
        <v>4296093</v>
      </c>
      <c r="I473" s="1284">
        <v>-28685</v>
      </c>
      <c r="J473" s="644">
        <f t="shared" si="30"/>
        <v>4267408</v>
      </c>
      <c r="K473" s="1284">
        <v>4267408</v>
      </c>
      <c r="L473" s="644">
        <f t="shared" si="31"/>
        <v>0</v>
      </c>
      <c r="M473" s="680">
        <v>0</v>
      </c>
      <c r="N473" s="651">
        <v>470435</v>
      </c>
    </row>
    <row r="474" spans="1:14" ht="15.95" customHeight="1" x14ac:dyDescent="0.15">
      <c r="A474" s="1286">
        <v>43070</v>
      </c>
      <c r="B474" s="640" t="str">
        <f t="shared" ca="1" si="28"/>
        <v>03</v>
      </c>
      <c r="C474" s="1285" t="s">
        <v>66</v>
      </c>
      <c r="D474" s="640" t="str">
        <f t="shared" ca="1" si="29"/>
        <v>02</v>
      </c>
      <c r="E474" s="1285" t="s">
        <v>84</v>
      </c>
      <c r="F474" s="641" t="str">
        <f>IF(G474="","",VLOOKUP(G474,リスト!J$2:K$3,2,FALSE))</f>
        <v>02</v>
      </c>
      <c r="G474" s="1285" t="s">
        <v>842</v>
      </c>
      <c r="H474" s="1284">
        <v>53053</v>
      </c>
      <c r="I474" s="1284">
        <v>-53053</v>
      </c>
      <c r="J474" s="644">
        <f t="shared" si="30"/>
        <v>0</v>
      </c>
      <c r="K474" s="1284">
        <v>0</v>
      </c>
      <c r="L474" s="644">
        <f t="shared" si="31"/>
        <v>0</v>
      </c>
      <c r="M474" s="680">
        <v>0</v>
      </c>
      <c r="N474" s="651">
        <v>0</v>
      </c>
    </row>
    <row r="475" spans="1:14" ht="15.95" customHeight="1" x14ac:dyDescent="0.15">
      <c r="A475" s="1286">
        <v>43070</v>
      </c>
      <c r="B475" s="640" t="str">
        <f t="shared" ca="1" si="28"/>
        <v>03</v>
      </c>
      <c r="C475" s="1285" t="s">
        <v>66</v>
      </c>
      <c r="D475" s="640" t="str">
        <f t="shared" ca="1" si="29"/>
        <v>01</v>
      </c>
      <c r="E475" s="1285" t="s">
        <v>83</v>
      </c>
      <c r="F475" s="641" t="str">
        <f>IF(G475="","",VLOOKUP(G475,リスト!J$2:K$3,2,FALSE))</f>
        <v>02</v>
      </c>
      <c r="G475" s="1285" t="s">
        <v>842</v>
      </c>
      <c r="H475" s="1284">
        <v>119605</v>
      </c>
      <c r="I475" s="1284">
        <v>-119605</v>
      </c>
      <c r="J475" s="644">
        <f t="shared" si="30"/>
        <v>0</v>
      </c>
      <c r="K475" s="1284">
        <v>0</v>
      </c>
      <c r="L475" s="644">
        <f t="shared" si="31"/>
        <v>0</v>
      </c>
      <c r="M475" s="680">
        <v>0</v>
      </c>
      <c r="N475" s="651">
        <v>0</v>
      </c>
    </row>
    <row r="476" spans="1:14" ht="15.75" customHeight="1" x14ac:dyDescent="0.15">
      <c r="A476" s="1286">
        <v>43070</v>
      </c>
      <c r="B476" s="640" t="str">
        <f t="shared" ca="1" si="28"/>
        <v>03</v>
      </c>
      <c r="C476" s="1285" t="s">
        <v>66</v>
      </c>
      <c r="D476" s="640" t="str">
        <f t="shared" ca="1" si="29"/>
        <v>02</v>
      </c>
      <c r="E476" s="1285" t="s">
        <v>84</v>
      </c>
      <c r="F476" s="641" t="str">
        <f>IF(G476="","",VLOOKUP(G476,リスト!J$2:K$3,2,FALSE))</f>
        <v>01</v>
      </c>
      <c r="G476" s="1285" t="s">
        <v>841</v>
      </c>
      <c r="H476" s="1284">
        <v>1827587</v>
      </c>
      <c r="I476" s="1284">
        <v>-377232</v>
      </c>
      <c r="J476" s="644">
        <f t="shared" si="30"/>
        <v>1450355</v>
      </c>
      <c r="K476" s="1284">
        <v>1450355</v>
      </c>
      <c r="L476" s="644">
        <f t="shared" si="31"/>
        <v>0</v>
      </c>
      <c r="M476" s="680">
        <v>0</v>
      </c>
      <c r="N476" s="651">
        <v>337271</v>
      </c>
    </row>
    <row r="477" spans="1:14" ht="15.95" customHeight="1" x14ac:dyDescent="0.15">
      <c r="A477" s="1286">
        <v>43070</v>
      </c>
      <c r="B477" s="640" t="str">
        <f t="shared" ca="1" si="28"/>
        <v>03</v>
      </c>
      <c r="C477" s="1285" t="s">
        <v>66</v>
      </c>
      <c r="D477" s="640" t="str">
        <f t="shared" ca="1" si="29"/>
        <v>01</v>
      </c>
      <c r="E477" s="1285" t="s">
        <v>83</v>
      </c>
      <c r="F477" s="641" t="str">
        <f>IF(G477="","",VLOOKUP(G477,リスト!J$2:K$3,2,FALSE))</f>
        <v>01</v>
      </c>
      <c r="G477" s="1285" t="s">
        <v>841</v>
      </c>
      <c r="H477" s="1284">
        <v>3999702</v>
      </c>
      <c r="I477" s="1284">
        <v>-48023</v>
      </c>
      <c r="J477" s="644">
        <f t="shared" si="30"/>
        <v>3951679</v>
      </c>
      <c r="K477" s="1284">
        <v>3951679</v>
      </c>
      <c r="L477" s="644">
        <f t="shared" si="31"/>
        <v>0</v>
      </c>
      <c r="M477" s="680">
        <v>0</v>
      </c>
      <c r="N477" s="651">
        <v>422479</v>
      </c>
    </row>
    <row r="478" spans="1:14" ht="15.95" customHeight="1" x14ac:dyDescent="0.15">
      <c r="A478" s="1286">
        <v>43070</v>
      </c>
      <c r="B478" s="640" t="str">
        <f t="shared" ca="1" si="28"/>
        <v>04</v>
      </c>
      <c r="C478" s="1285" t="s">
        <v>358</v>
      </c>
      <c r="D478" s="640" t="str">
        <f t="shared" ca="1" si="29"/>
        <v>04</v>
      </c>
      <c r="E478" s="1285" t="s">
        <v>542</v>
      </c>
      <c r="F478" s="641" t="str">
        <f>IF(G478="","",VLOOKUP(G478,リスト!J$2:K$3,2,FALSE))</f>
        <v>02</v>
      </c>
      <c r="G478" s="1285" t="s">
        <v>842</v>
      </c>
      <c r="H478" s="1284">
        <v>5266</v>
      </c>
      <c r="I478" s="1284">
        <v>-35467</v>
      </c>
      <c r="J478" s="644">
        <f t="shared" si="30"/>
        <v>-30201</v>
      </c>
      <c r="K478" s="1284">
        <v>-30201</v>
      </c>
      <c r="L478" s="644">
        <f t="shared" si="31"/>
        <v>0</v>
      </c>
      <c r="M478" s="680">
        <v>0</v>
      </c>
      <c r="N478" s="651">
        <v>0</v>
      </c>
    </row>
    <row r="479" spans="1:14" ht="15.95" customHeight="1" x14ac:dyDescent="0.15">
      <c r="A479" s="1286">
        <v>43070</v>
      </c>
      <c r="B479" s="640" t="str">
        <f t="shared" ca="1" si="28"/>
        <v>04</v>
      </c>
      <c r="C479" s="1285" t="s">
        <v>358</v>
      </c>
      <c r="D479" s="640" t="str">
        <f t="shared" ca="1" si="29"/>
        <v>04</v>
      </c>
      <c r="E479" s="1285" t="s">
        <v>542</v>
      </c>
      <c r="F479" s="641" t="str">
        <f>IF(G479="","",VLOOKUP(G479,リスト!J$2:K$3,2,FALSE))</f>
        <v>01</v>
      </c>
      <c r="G479" s="1285" t="s">
        <v>841</v>
      </c>
      <c r="H479" s="1284">
        <v>3149307</v>
      </c>
      <c r="I479" s="1284">
        <v>-5225</v>
      </c>
      <c r="J479" s="644">
        <f t="shared" si="30"/>
        <v>3144082</v>
      </c>
      <c r="K479" s="1284">
        <v>3144082</v>
      </c>
      <c r="L479" s="644">
        <f t="shared" si="31"/>
        <v>0</v>
      </c>
      <c r="M479" s="680">
        <v>71446</v>
      </c>
      <c r="N479" s="651">
        <v>173739</v>
      </c>
    </row>
    <row r="480" spans="1:14" ht="15.95" customHeight="1" x14ac:dyDescent="0.15">
      <c r="A480" s="1286">
        <v>43070</v>
      </c>
      <c r="B480" s="640" t="str">
        <f t="shared" ca="1" si="28"/>
        <v>05</v>
      </c>
      <c r="C480" s="1285" t="s">
        <v>38</v>
      </c>
      <c r="D480" s="640" t="str">
        <f t="shared" ca="1" si="29"/>
        <v>01</v>
      </c>
      <c r="E480" s="1285" t="s">
        <v>83</v>
      </c>
      <c r="F480" s="641" t="str">
        <f>IF(G480="","",VLOOKUP(G480,リスト!J$2:K$3,2,FALSE))</f>
        <v>02</v>
      </c>
      <c r="G480" s="1285" t="s">
        <v>842</v>
      </c>
      <c r="H480" s="1284">
        <v>0</v>
      </c>
      <c r="I480" s="1284">
        <v>0</v>
      </c>
      <c r="J480" s="644">
        <f t="shared" si="30"/>
        <v>0</v>
      </c>
      <c r="K480" s="1284">
        <v>0</v>
      </c>
      <c r="L480" s="644">
        <f t="shared" si="31"/>
        <v>0</v>
      </c>
      <c r="M480" s="680">
        <v>0</v>
      </c>
      <c r="N480" s="651">
        <v>0</v>
      </c>
    </row>
    <row r="481" spans="1:14" ht="15.95" customHeight="1" x14ac:dyDescent="0.15">
      <c r="A481" s="1286">
        <v>43070</v>
      </c>
      <c r="B481" s="640" t="str">
        <f t="shared" ca="1" si="28"/>
        <v>05</v>
      </c>
      <c r="C481" s="1285" t="s">
        <v>38</v>
      </c>
      <c r="D481" s="640" t="str">
        <f t="shared" ca="1" si="29"/>
        <v>01</v>
      </c>
      <c r="E481" s="1285" t="s">
        <v>83</v>
      </c>
      <c r="F481" s="641" t="str">
        <f>IF(G481="","",VLOOKUP(G481,リスト!J$2:K$3,2,FALSE))</f>
        <v>01</v>
      </c>
      <c r="G481" s="1285" t="s">
        <v>841</v>
      </c>
      <c r="H481" s="1284">
        <v>2157074</v>
      </c>
      <c r="I481" s="1284">
        <v>0</v>
      </c>
      <c r="J481" s="644">
        <f t="shared" si="30"/>
        <v>2157074</v>
      </c>
      <c r="K481" s="1284">
        <v>2157074</v>
      </c>
      <c r="L481" s="644">
        <f t="shared" si="31"/>
        <v>0</v>
      </c>
      <c r="M481" s="680">
        <v>0</v>
      </c>
      <c r="N481" s="651">
        <v>0</v>
      </c>
    </row>
    <row r="482" spans="1:14" ht="15.95" customHeight="1" x14ac:dyDescent="0.15">
      <c r="A482" s="1286">
        <v>43070</v>
      </c>
      <c r="B482" s="640" t="str">
        <f t="shared" ca="1" si="28"/>
        <v>07</v>
      </c>
      <c r="C482" s="1285" t="s">
        <v>119</v>
      </c>
      <c r="D482" s="640" t="str">
        <f t="shared" ca="1" si="29"/>
        <v>05</v>
      </c>
      <c r="E482" s="1285" t="s">
        <v>543</v>
      </c>
      <c r="F482" s="641" t="str">
        <f>IF(G482="","",VLOOKUP(G482,リスト!J$2:K$3,2,FALSE))</f>
        <v>02</v>
      </c>
      <c r="G482" s="1285" t="s">
        <v>842</v>
      </c>
      <c r="H482" s="1284">
        <v>0</v>
      </c>
      <c r="I482" s="1284">
        <v>0</v>
      </c>
      <c r="J482" s="644">
        <f t="shared" si="30"/>
        <v>0</v>
      </c>
      <c r="K482" s="1284">
        <v>0</v>
      </c>
      <c r="L482" s="644">
        <f t="shared" si="31"/>
        <v>0</v>
      </c>
      <c r="M482" s="680">
        <v>0</v>
      </c>
      <c r="N482" s="651">
        <v>0</v>
      </c>
    </row>
    <row r="483" spans="1:14" ht="15.95" customHeight="1" x14ac:dyDescent="0.15">
      <c r="A483" s="1286">
        <v>43070</v>
      </c>
      <c r="B483" s="640" t="str">
        <f t="shared" ca="1" si="28"/>
        <v>07</v>
      </c>
      <c r="C483" s="1285" t="s">
        <v>119</v>
      </c>
      <c r="D483" s="640" t="str">
        <f t="shared" ca="1" si="29"/>
        <v>05</v>
      </c>
      <c r="E483" s="1285" t="s">
        <v>543</v>
      </c>
      <c r="F483" s="641" t="str">
        <f>IF(G483="","",VLOOKUP(G483,リスト!J$2:K$3,2,FALSE))</f>
        <v>01</v>
      </c>
      <c r="G483" s="1285" t="s">
        <v>841</v>
      </c>
      <c r="H483" s="1284">
        <v>998248</v>
      </c>
      <c r="I483" s="1284">
        <v>0</v>
      </c>
      <c r="J483" s="644">
        <f t="shared" si="30"/>
        <v>998248</v>
      </c>
      <c r="K483" s="1284">
        <v>998248</v>
      </c>
      <c r="L483" s="644">
        <f t="shared" si="31"/>
        <v>0</v>
      </c>
      <c r="M483" s="680">
        <v>0</v>
      </c>
      <c r="N483" s="651">
        <v>292855</v>
      </c>
    </row>
    <row r="484" spans="1:14" ht="15.95" customHeight="1" x14ac:dyDescent="0.15">
      <c r="A484" s="1286">
        <v>43070</v>
      </c>
      <c r="B484" s="640" t="str">
        <f t="shared" ca="1" si="28"/>
        <v>08</v>
      </c>
      <c r="C484" s="1285" t="s">
        <v>189</v>
      </c>
      <c r="D484" s="640" t="str">
        <f t="shared" ca="1" si="29"/>
        <v>05</v>
      </c>
      <c r="E484" s="1285" t="s">
        <v>543</v>
      </c>
      <c r="F484" s="641" t="str">
        <f>IF(G484="","",VLOOKUP(G484,リスト!J$2:K$3,2,FALSE))</f>
        <v>02</v>
      </c>
      <c r="G484" s="1285" t="s">
        <v>842</v>
      </c>
      <c r="H484" s="1284">
        <v>0</v>
      </c>
      <c r="I484" s="1284">
        <v>0</v>
      </c>
      <c r="J484" s="644">
        <f t="shared" si="30"/>
        <v>0</v>
      </c>
      <c r="K484" s="1284">
        <v>0</v>
      </c>
      <c r="L484" s="644">
        <f t="shared" si="31"/>
        <v>0</v>
      </c>
      <c r="M484" s="680">
        <v>0</v>
      </c>
      <c r="N484" s="651">
        <v>0</v>
      </c>
    </row>
    <row r="485" spans="1:14" ht="15.95" customHeight="1" x14ac:dyDescent="0.15">
      <c r="A485" s="1286">
        <v>43070</v>
      </c>
      <c r="B485" s="640" t="str">
        <f t="shared" ca="1" si="28"/>
        <v>08</v>
      </c>
      <c r="C485" s="1285" t="s">
        <v>189</v>
      </c>
      <c r="D485" s="640" t="str">
        <f t="shared" ca="1" si="29"/>
        <v>05</v>
      </c>
      <c r="E485" s="1285" t="s">
        <v>543</v>
      </c>
      <c r="F485" s="641" t="str">
        <f>IF(G485="","",VLOOKUP(G485,リスト!J$2:K$3,2,FALSE))</f>
        <v>01</v>
      </c>
      <c r="G485" s="1285" t="s">
        <v>841</v>
      </c>
      <c r="H485" s="1284">
        <v>983492</v>
      </c>
      <c r="I485" s="1284">
        <v>0</v>
      </c>
      <c r="J485" s="644">
        <f t="shared" si="30"/>
        <v>983492</v>
      </c>
      <c r="K485" s="1284">
        <v>983492</v>
      </c>
      <c r="L485" s="644">
        <f t="shared" si="31"/>
        <v>0</v>
      </c>
      <c r="M485" s="680">
        <v>0</v>
      </c>
      <c r="N485" s="651">
        <v>0</v>
      </c>
    </row>
    <row r="486" spans="1:14" ht="15.95" customHeight="1" x14ac:dyDescent="0.15">
      <c r="A486" s="1286">
        <v>43070</v>
      </c>
      <c r="B486" s="640" t="str">
        <f t="shared" ca="1" si="28"/>
        <v>09</v>
      </c>
      <c r="C486" s="1285" t="s">
        <v>329</v>
      </c>
      <c r="D486" s="640" t="str">
        <f t="shared" ca="1" si="29"/>
        <v>05</v>
      </c>
      <c r="E486" s="1285" t="s">
        <v>543</v>
      </c>
      <c r="F486" s="641" t="str">
        <f>IF(G486="","",VLOOKUP(G486,リスト!J$2:K$3,2,FALSE))</f>
        <v>02</v>
      </c>
      <c r="G486" s="1285" t="s">
        <v>842</v>
      </c>
      <c r="H486" s="1284">
        <v>0</v>
      </c>
      <c r="I486" s="1284">
        <v>0</v>
      </c>
      <c r="J486" s="644">
        <f t="shared" si="30"/>
        <v>0</v>
      </c>
      <c r="K486" s="1284">
        <v>0</v>
      </c>
      <c r="L486" s="644">
        <f t="shared" si="31"/>
        <v>0</v>
      </c>
      <c r="M486" s="680">
        <v>0</v>
      </c>
      <c r="N486" s="651">
        <v>0</v>
      </c>
    </row>
    <row r="487" spans="1:14" ht="15.95" customHeight="1" x14ac:dyDescent="0.15">
      <c r="A487" s="1286">
        <v>43070</v>
      </c>
      <c r="B487" s="640" t="str">
        <f t="shared" ca="1" si="28"/>
        <v>09</v>
      </c>
      <c r="C487" s="1285" t="s">
        <v>329</v>
      </c>
      <c r="D487" s="640" t="str">
        <f t="shared" ca="1" si="29"/>
        <v>05</v>
      </c>
      <c r="E487" s="1285" t="s">
        <v>543</v>
      </c>
      <c r="F487" s="641" t="str">
        <f>IF(G487="","",VLOOKUP(G487,リスト!J$2:K$3,2,FALSE))</f>
        <v>01</v>
      </c>
      <c r="G487" s="1285" t="s">
        <v>841</v>
      </c>
      <c r="H487" s="1284">
        <v>2448469</v>
      </c>
      <c r="I487" s="1284">
        <v>0</v>
      </c>
      <c r="J487" s="644">
        <f t="shared" si="30"/>
        <v>2448469</v>
      </c>
      <c r="K487" s="1284">
        <v>2448469</v>
      </c>
      <c r="L487" s="644">
        <f t="shared" si="31"/>
        <v>0</v>
      </c>
      <c r="M487" s="680">
        <v>0</v>
      </c>
      <c r="N487" s="651">
        <v>0</v>
      </c>
    </row>
    <row r="488" spans="1:14" ht="15.95" customHeight="1" x14ac:dyDescent="0.15">
      <c r="A488" s="1286">
        <v>43070</v>
      </c>
      <c r="B488" s="640" t="str">
        <f t="shared" ca="1" si="28"/>
        <v>10</v>
      </c>
      <c r="C488" s="1285" t="s">
        <v>336</v>
      </c>
      <c r="D488" s="640" t="str">
        <f t="shared" ca="1" si="29"/>
        <v>02</v>
      </c>
      <c r="E488" s="1285" t="s">
        <v>84</v>
      </c>
      <c r="F488" s="641" t="str">
        <f>IF(G488="","",VLOOKUP(G488,リスト!J$2:K$3,2,FALSE))</f>
        <v>02</v>
      </c>
      <c r="G488" s="1285" t="s">
        <v>842</v>
      </c>
      <c r="H488" s="1284">
        <v>2592</v>
      </c>
      <c r="I488" s="1284">
        <v>0</v>
      </c>
      <c r="J488" s="644">
        <f t="shared" si="30"/>
        <v>2592</v>
      </c>
      <c r="K488" s="1284">
        <v>2592</v>
      </c>
      <c r="L488" s="644">
        <f t="shared" si="31"/>
        <v>0</v>
      </c>
      <c r="M488" s="680">
        <v>0</v>
      </c>
      <c r="N488" s="651">
        <v>0</v>
      </c>
    </row>
    <row r="489" spans="1:14" ht="15.95" customHeight="1" x14ac:dyDescent="0.15">
      <c r="A489" s="1286">
        <v>43070</v>
      </c>
      <c r="B489" s="640" t="str">
        <f t="shared" ca="1" si="28"/>
        <v>10</v>
      </c>
      <c r="C489" s="1285" t="s">
        <v>336</v>
      </c>
      <c r="D489" s="640" t="str">
        <f t="shared" ca="1" si="29"/>
        <v>01</v>
      </c>
      <c r="E489" s="1285" t="s">
        <v>83</v>
      </c>
      <c r="F489" s="641" t="str">
        <f>IF(G489="","",VLOOKUP(G489,リスト!J$2:K$3,2,FALSE))</f>
        <v>02</v>
      </c>
      <c r="G489" s="1285" t="s">
        <v>842</v>
      </c>
      <c r="H489" s="1284">
        <v>17023</v>
      </c>
      <c r="I489" s="1284">
        <v>0</v>
      </c>
      <c r="J489" s="644">
        <f t="shared" si="30"/>
        <v>17023</v>
      </c>
      <c r="K489" s="1284">
        <v>17023</v>
      </c>
      <c r="L489" s="644">
        <f t="shared" si="31"/>
        <v>0</v>
      </c>
      <c r="M489" s="680">
        <v>0</v>
      </c>
      <c r="N489" s="651">
        <v>0</v>
      </c>
    </row>
    <row r="490" spans="1:14" ht="15.95" customHeight="1" x14ac:dyDescent="0.15">
      <c r="A490" s="1286">
        <v>43070</v>
      </c>
      <c r="B490" s="640" t="str">
        <f t="shared" ca="1" si="28"/>
        <v>10</v>
      </c>
      <c r="C490" s="1285" t="s">
        <v>336</v>
      </c>
      <c r="D490" s="640" t="str">
        <f t="shared" ca="1" si="29"/>
        <v>02</v>
      </c>
      <c r="E490" s="1285" t="s">
        <v>84</v>
      </c>
      <c r="F490" s="641" t="str">
        <f>IF(G490="","",VLOOKUP(G490,リスト!J$2:K$3,2,FALSE))</f>
        <v>01</v>
      </c>
      <c r="G490" s="1285" t="s">
        <v>841</v>
      </c>
      <c r="H490" s="1284">
        <v>0</v>
      </c>
      <c r="I490" s="1284">
        <v>0</v>
      </c>
      <c r="J490" s="644">
        <f t="shared" si="30"/>
        <v>0</v>
      </c>
      <c r="K490" s="1284">
        <v>0</v>
      </c>
      <c r="L490" s="644">
        <f t="shared" si="31"/>
        <v>0</v>
      </c>
      <c r="M490" s="680">
        <v>0</v>
      </c>
      <c r="N490" s="651">
        <v>0</v>
      </c>
    </row>
    <row r="491" spans="1:14" ht="15.95" customHeight="1" x14ac:dyDescent="0.15">
      <c r="A491" s="1286">
        <v>43070</v>
      </c>
      <c r="B491" s="640" t="str">
        <f t="shared" ca="1" si="28"/>
        <v>10</v>
      </c>
      <c r="C491" s="1285" t="s">
        <v>336</v>
      </c>
      <c r="D491" s="640" t="str">
        <f t="shared" ca="1" si="29"/>
        <v>01</v>
      </c>
      <c r="E491" s="1285" t="s">
        <v>83</v>
      </c>
      <c r="F491" s="641" t="str">
        <f>IF(G491="","",VLOOKUP(G491,リスト!J$2:K$3,2,FALSE))</f>
        <v>01</v>
      </c>
      <c r="G491" s="1285" t="s">
        <v>841</v>
      </c>
      <c r="H491" s="1284">
        <v>1246620</v>
      </c>
      <c r="I491" s="1284">
        <v>-2600</v>
      </c>
      <c r="J491" s="644">
        <f t="shared" si="30"/>
        <v>1244020</v>
      </c>
      <c r="K491" s="1284">
        <v>1244020</v>
      </c>
      <c r="L491" s="644">
        <f t="shared" si="31"/>
        <v>0</v>
      </c>
      <c r="M491" s="680">
        <v>9940</v>
      </c>
      <c r="N491" s="651">
        <v>0</v>
      </c>
    </row>
    <row r="492" spans="1:14" ht="15.95" customHeight="1" x14ac:dyDescent="0.15">
      <c r="A492" s="1286">
        <v>43101</v>
      </c>
      <c r="B492" s="640" t="str">
        <f t="shared" ca="1" si="28"/>
        <v>01</v>
      </c>
      <c r="C492" s="1285" t="s">
        <v>34</v>
      </c>
      <c r="D492" s="640" t="str">
        <f t="shared" ca="1" si="29"/>
        <v>03</v>
      </c>
      <c r="E492" s="1285" t="s">
        <v>98</v>
      </c>
      <c r="F492" s="641" t="str">
        <f>IF(G492="","",VLOOKUP(G492,リスト!J$2:K$3,2,FALSE))</f>
        <v>02</v>
      </c>
      <c r="G492" s="1285" t="s">
        <v>842</v>
      </c>
      <c r="H492" s="1284">
        <v>17687</v>
      </c>
      <c r="I492" s="1284">
        <v>0</v>
      </c>
      <c r="J492" s="644">
        <f t="shared" si="30"/>
        <v>17687</v>
      </c>
      <c r="K492" s="1284">
        <v>17687</v>
      </c>
      <c r="L492" s="644">
        <f t="shared" si="31"/>
        <v>0</v>
      </c>
      <c r="M492" s="680">
        <v>0</v>
      </c>
      <c r="N492" s="651">
        <v>0</v>
      </c>
    </row>
    <row r="493" spans="1:14" ht="15.95" customHeight="1" x14ac:dyDescent="0.15">
      <c r="A493" s="1286">
        <v>43101</v>
      </c>
      <c r="B493" s="640" t="str">
        <f t="shared" ca="1" si="28"/>
        <v>01</v>
      </c>
      <c r="C493" s="1285" t="s">
        <v>34</v>
      </c>
      <c r="D493" s="640" t="str">
        <f t="shared" ca="1" si="29"/>
        <v>02</v>
      </c>
      <c r="E493" s="1285" t="s">
        <v>84</v>
      </c>
      <c r="F493" s="641" t="str">
        <f>IF(G493="","",VLOOKUP(G493,リスト!J$2:K$3,2,FALSE))</f>
        <v>02</v>
      </c>
      <c r="G493" s="1285" t="s">
        <v>842</v>
      </c>
      <c r="H493" s="1284">
        <v>0</v>
      </c>
      <c r="I493" s="1284">
        <v>0</v>
      </c>
      <c r="J493" s="644">
        <f t="shared" si="30"/>
        <v>0</v>
      </c>
      <c r="K493" s="1284">
        <v>0</v>
      </c>
      <c r="L493" s="644">
        <f>IF(A493="","",J493-K493)</f>
        <v>0</v>
      </c>
      <c r="M493" s="680">
        <v>0</v>
      </c>
      <c r="N493" s="651">
        <v>0</v>
      </c>
    </row>
    <row r="494" spans="1:14" ht="15.95" customHeight="1" x14ac:dyDescent="0.15">
      <c r="A494" s="1286">
        <v>43101</v>
      </c>
      <c r="B494" s="640" t="str">
        <f t="shared" ca="1" si="28"/>
        <v>01</v>
      </c>
      <c r="C494" s="1285" t="s">
        <v>34</v>
      </c>
      <c r="D494" s="640" t="str">
        <f t="shared" ca="1" si="29"/>
        <v>01</v>
      </c>
      <c r="E494" s="1285" t="s">
        <v>83</v>
      </c>
      <c r="F494" s="641" t="str">
        <f>IF(G494="","",VLOOKUP(G494,リスト!J$2:K$3,2,FALSE))</f>
        <v>02</v>
      </c>
      <c r="G494" s="1285" t="s">
        <v>842</v>
      </c>
      <c r="H494" s="1284">
        <v>496692</v>
      </c>
      <c r="I494" s="1284">
        <v>0</v>
      </c>
      <c r="J494" s="644">
        <f t="shared" si="30"/>
        <v>496692</v>
      </c>
      <c r="K494" s="1284">
        <v>496692</v>
      </c>
      <c r="L494" s="644">
        <f>IF(A494="","",J494-K494)</f>
        <v>0</v>
      </c>
      <c r="M494" s="680">
        <v>0</v>
      </c>
      <c r="N494" s="651">
        <v>0</v>
      </c>
    </row>
    <row r="495" spans="1:14" ht="15.95" customHeight="1" x14ac:dyDescent="0.15">
      <c r="A495" s="1286">
        <v>43101</v>
      </c>
      <c r="B495" s="640" t="str">
        <f t="shared" ca="1" si="28"/>
        <v>01</v>
      </c>
      <c r="C495" s="1285" t="s">
        <v>34</v>
      </c>
      <c r="D495" s="640" t="str">
        <f t="shared" ca="1" si="29"/>
        <v>03</v>
      </c>
      <c r="E495" s="1285" t="s">
        <v>98</v>
      </c>
      <c r="F495" s="641" t="str">
        <f>IF(G495="","",VLOOKUP(G495,リスト!J$2:K$3,2,FALSE))</f>
        <v>01</v>
      </c>
      <c r="G495" s="1285" t="s">
        <v>841</v>
      </c>
      <c r="H495" s="1284">
        <v>749741</v>
      </c>
      <c r="I495" s="1284">
        <v>0</v>
      </c>
      <c r="J495" s="644">
        <f t="shared" si="30"/>
        <v>749741</v>
      </c>
      <c r="K495" s="1284">
        <v>749741</v>
      </c>
      <c r="L495" s="644">
        <f t="shared" si="31"/>
        <v>0</v>
      </c>
      <c r="M495" s="680">
        <v>0</v>
      </c>
      <c r="N495" s="651">
        <v>0</v>
      </c>
    </row>
    <row r="496" spans="1:14" ht="15.95" customHeight="1" x14ac:dyDescent="0.15">
      <c r="A496" s="1286">
        <v>43101</v>
      </c>
      <c r="B496" s="640" t="str">
        <f t="shared" ca="1" si="28"/>
        <v>01</v>
      </c>
      <c r="C496" s="1285" t="s">
        <v>34</v>
      </c>
      <c r="D496" s="640" t="str">
        <f t="shared" ca="1" si="29"/>
        <v>02</v>
      </c>
      <c r="E496" s="1285" t="s">
        <v>84</v>
      </c>
      <c r="F496" s="641" t="str">
        <f>IF(G496="","",VLOOKUP(G496,リスト!J$2:K$3,2,FALSE))</f>
        <v>01</v>
      </c>
      <c r="G496" s="1285" t="s">
        <v>841</v>
      </c>
      <c r="H496" s="1284">
        <v>1381127</v>
      </c>
      <c r="I496" s="1284">
        <v>0</v>
      </c>
      <c r="J496" s="644">
        <f t="shared" si="30"/>
        <v>1381127</v>
      </c>
      <c r="K496" s="1284">
        <v>1381127</v>
      </c>
      <c r="L496" s="644">
        <f t="shared" si="31"/>
        <v>0</v>
      </c>
      <c r="M496" s="680">
        <v>0</v>
      </c>
      <c r="N496" s="651">
        <v>297676</v>
      </c>
    </row>
    <row r="497" spans="1:14" ht="15.95" customHeight="1" x14ac:dyDescent="0.15">
      <c r="A497" s="1286">
        <v>43101</v>
      </c>
      <c r="B497" s="640" t="str">
        <f t="shared" ca="1" si="28"/>
        <v>01</v>
      </c>
      <c r="C497" s="1285" t="s">
        <v>34</v>
      </c>
      <c r="D497" s="640" t="str">
        <f t="shared" ca="1" si="29"/>
        <v>01</v>
      </c>
      <c r="E497" s="1285" t="s">
        <v>83</v>
      </c>
      <c r="F497" s="641" t="str">
        <f>IF(G497="","",VLOOKUP(G497,リスト!J$2:K$3,2,FALSE))</f>
        <v>01</v>
      </c>
      <c r="G497" s="1285" t="s">
        <v>841</v>
      </c>
      <c r="H497" s="1284">
        <v>7219564</v>
      </c>
      <c r="I497" s="1284">
        <v>-152025</v>
      </c>
      <c r="J497" s="644">
        <f t="shared" si="30"/>
        <v>7067539</v>
      </c>
      <c r="K497" s="1284">
        <v>7067539</v>
      </c>
      <c r="L497" s="644">
        <f t="shared" si="31"/>
        <v>0</v>
      </c>
      <c r="M497" s="680">
        <v>15717</v>
      </c>
      <c r="N497" s="651">
        <v>1418859</v>
      </c>
    </row>
    <row r="498" spans="1:14" ht="15.95" customHeight="1" x14ac:dyDescent="0.15">
      <c r="A498" s="1286">
        <v>43101</v>
      </c>
      <c r="B498" s="640" t="str">
        <f t="shared" ca="1" si="28"/>
        <v>02</v>
      </c>
      <c r="C498" s="1285" t="s">
        <v>37</v>
      </c>
      <c r="D498" s="640" t="str">
        <f t="shared" ca="1" si="29"/>
        <v>03</v>
      </c>
      <c r="E498" s="1285" t="s">
        <v>98</v>
      </c>
      <c r="F498" s="641" t="str">
        <f>IF(G498="","",VLOOKUP(G498,リスト!J$2:K$3,2,FALSE))</f>
        <v>02</v>
      </c>
      <c r="G498" s="1285" t="s">
        <v>842</v>
      </c>
      <c r="H498" s="1284">
        <v>0</v>
      </c>
      <c r="I498" s="1284">
        <v>0</v>
      </c>
      <c r="J498" s="644">
        <f t="shared" si="30"/>
        <v>0</v>
      </c>
      <c r="K498" s="1284">
        <v>0</v>
      </c>
      <c r="L498" s="644">
        <f t="shared" si="31"/>
        <v>0</v>
      </c>
      <c r="M498" s="680">
        <v>0</v>
      </c>
      <c r="N498" s="651">
        <v>0</v>
      </c>
    </row>
    <row r="499" spans="1:14" ht="15.95" customHeight="1" x14ac:dyDescent="0.15">
      <c r="A499" s="1286">
        <v>43101</v>
      </c>
      <c r="B499" s="640" t="str">
        <f t="shared" ca="1" si="28"/>
        <v>02</v>
      </c>
      <c r="C499" s="1285" t="s">
        <v>37</v>
      </c>
      <c r="D499" s="640" t="str">
        <f t="shared" ca="1" si="29"/>
        <v>02</v>
      </c>
      <c r="E499" s="1285" t="s">
        <v>84</v>
      </c>
      <c r="F499" s="641" t="str">
        <f>IF(G499="","",VLOOKUP(G499,リスト!J$2:K$3,2,FALSE))</f>
        <v>02</v>
      </c>
      <c r="G499" s="1285" t="s">
        <v>842</v>
      </c>
      <c r="H499" s="1284">
        <v>0</v>
      </c>
      <c r="I499" s="1284">
        <v>0</v>
      </c>
      <c r="J499" s="644">
        <f t="shared" si="30"/>
        <v>0</v>
      </c>
      <c r="K499" s="1284">
        <v>0</v>
      </c>
      <c r="L499" s="644">
        <f t="shared" si="31"/>
        <v>0</v>
      </c>
      <c r="M499" s="680">
        <v>0</v>
      </c>
      <c r="N499" s="651">
        <v>0</v>
      </c>
    </row>
    <row r="500" spans="1:14" ht="15.95" customHeight="1" x14ac:dyDescent="0.15">
      <c r="A500" s="1286">
        <v>43101</v>
      </c>
      <c r="B500" s="640" t="str">
        <f t="shared" ca="1" si="28"/>
        <v>02</v>
      </c>
      <c r="C500" s="1285" t="s">
        <v>37</v>
      </c>
      <c r="D500" s="640" t="str">
        <f t="shared" ca="1" si="29"/>
        <v>01</v>
      </c>
      <c r="E500" s="1285" t="s">
        <v>83</v>
      </c>
      <c r="F500" s="641" t="str">
        <f>IF(G500="","",VLOOKUP(G500,リスト!J$2:K$3,2,FALSE))</f>
        <v>02</v>
      </c>
      <c r="G500" s="1285" t="s">
        <v>842</v>
      </c>
      <c r="H500" s="1284">
        <v>0</v>
      </c>
      <c r="I500" s="1284">
        <v>0</v>
      </c>
      <c r="J500" s="644">
        <f t="shared" si="30"/>
        <v>0</v>
      </c>
      <c r="K500" s="1284">
        <v>0</v>
      </c>
      <c r="L500" s="644">
        <f t="shared" si="31"/>
        <v>0</v>
      </c>
      <c r="M500" s="680">
        <v>0</v>
      </c>
      <c r="N500" s="651">
        <v>0</v>
      </c>
    </row>
    <row r="501" spans="1:14" ht="15.95" customHeight="1" x14ac:dyDescent="0.15">
      <c r="A501" s="1286">
        <v>43101</v>
      </c>
      <c r="B501" s="640" t="str">
        <f t="shared" ca="1" si="28"/>
        <v>02</v>
      </c>
      <c r="C501" s="1285" t="s">
        <v>37</v>
      </c>
      <c r="D501" s="640" t="str">
        <f t="shared" ca="1" si="29"/>
        <v>03</v>
      </c>
      <c r="E501" s="1285" t="s">
        <v>98</v>
      </c>
      <c r="F501" s="641" t="str">
        <f>IF(G501="","",VLOOKUP(G501,リスト!J$2:K$3,2,FALSE))</f>
        <v>01</v>
      </c>
      <c r="G501" s="1285" t="s">
        <v>841</v>
      </c>
      <c r="H501" s="1284">
        <v>421194</v>
      </c>
      <c r="I501" s="1284">
        <v>0</v>
      </c>
      <c r="J501" s="644">
        <f t="shared" si="30"/>
        <v>421194</v>
      </c>
      <c r="K501" s="1284">
        <v>421194</v>
      </c>
      <c r="L501" s="644">
        <f t="shared" si="31"/>
        <v>0</v>
      </c>
      <c r="M501" s="680">
        <v>0</v>
      </c>
      <c r="N501" s="651">
        <v>0</v>
      </c>
    </row>
    <row r="502" spans="1:14" ht="15.95" customHeight="1" x14ac:dyDescent="0.15">
      <c r="A502" s="1286">
        <v>43101</v>
      </c>
      <c r="B502" s="640" t="str">
        <f t="shared" ca="1" si="28"/>
        <v>02</v>
      </c>
      <c r="C502" s="1285" t="s">
        <v>37</v>
      </c>
      <c r="D502" s="640" t="str">
        <f t="shared" ca="1" si="29"/>
        <v>02</v>
      </c>
      <c r="E502" s="1285" t="s">
        <v>84</v>
      </c>
      <c r="F502" s="641" t="str">
        <f>IF(G502="","",VLOOKUP(G502,リスト!J$2:K$3,2,FALSE))</f>
        <v>01</v>
      </c>
      <c r="G502" s="1285" t="s">
        <v>841</v>
      </c>
      <c r="H502" s="1284">
        <v>947767</v>
      </c>
      <c r="I502" s="1284">
        <v>-82913</v>
      </c>
      <c r="J502" s="644">
        <f t="shared" si="30"/>
        <v>864854</v>
      </c>
      <c r="K502" s="1284">
        <v>864854</v>
      </c>
      <c r="L502" s="644">
        <f t="shared" si="31"/>
        <v>0</v>
      </c>
      <c r="M502" s="680">
        <v>0</v>
      </c>
      <c r="N502" s="651">
        <v>195922</v>
      </c>
    </row>
    <row r="503" spans="1:14" ht="15.95" customHeight="1" x14ac:dyDescent="0.15">
      <c r="A503" s="1286">
        <v>43101</v>
      </c>
      <c r="B503" s="640" t="str">
        <f t="shared" ca="1" si="28"/>
        <v>02</v>
      </c>
      <c r="C503" s="1285" t="s">
        <v>37</v>
      </c>
      <c r="D503" s="640" t="str">
        <f t="shared" ca="1" si="29"/>
        <v>01</v>
      </c>
      <c r="E503" s="1285" t="s">
        <v>83</v>
      </c>
      <c r="F503" s="641" t="str">
        <f>IF(G503="","",VLOOKUP(G503,リスト!J$2:K$3,2,FALSE))</f>
        <v>01</v>
      </c>
      <c r="G503" s="1285" t="s">
        <v>841</v>
      </c>
      <c r="H503" s="1284">
        <v>4021205</v>
      </c>
      <c r="I503" s="1284">
        <v>-152543</v>
      </c>
      <c r="J503" s="644">
        <f t="shared" si="30"/>
        <v>3868662</v>
      </c>
      <c r="K503" s="1284">
        <v>3868662</v>
      </c>
      <c r="L503" s="644">
        <f t="shared" si="31"/>
        <v>0</v>
      </c>
      <c r="M503" s="680">
        <v>19989</v>
      </c>
      <c r="N503" s="651">
        <v>421938</v>
      </c>
    </row>
    <row r="504" spans="1:14" ht="15.95" customHeight="1" x14ac:dyDescent="0.15">
      <c r="A504" s="1286">
        <v>43101</v>
      </c>
      <c r="B504" s="640" t="str">
        <f t="shared" ca="1" si="28"/>
        <v>03</v>
      </c>
      <c r="C504" s="1285" t="s">
        <v>66</v>
      </c>
      <c r="D504" s="640" t="str">
        <f t="shared" ca="1" si="29"/>
        <v>02</v>
      </c>
      <c r="E504" s="1285" t="s">
        <v>84</v>
      </c>
      <c r="F504" s="641" t="str">
        <f>IF(G504="","",VLOOKUP(G504,リスト!J$2:K$3,2,FALSE))</f>
        <v>02</v>
      </c>
      <c r="G504" s="1285" t="s">
        <v>842</v>
      </c>
      <c r="H504" s="1284">
        <v>428558</v>
      </c>
      <c r="I504" s="1284">
        <v>-53053</v>
      </c>
      <c r="J504" s="644">
        <f t="shared" si="30"/>
        <v>375505</v>
      </c>
      <c r="K504" s="1284">
        <v>375505</v>
      </c>
      <c r="L504" s="644">
        <f t="shared" si="31"/>
        <v>0</v>
      </c>
      <c r="M504" s="680">
        <v>0</v>
      </c>
      <c r="N504" s="651">
        <v>0</v>
      </c>
    </row>
    <row r="505" spans="1:14" ht="15.95" customHeight="1" x14ac:dyDescent="0.15">
      <c r="A505" s="1286">
        <v>43101</v>
      </c>
      <c r="B505" s="640" t="str">
        <f t="shared" ca="1" si="28"/>
        <v>03</v>
      </c>
      <c r="C505" s="1285" t="s">
        <v>66</v>
      </c>
      <c r="D505" s="640" t="str">
        <f t="shared" ca="1" si="29"/>
        <v>01</v>
      </c>
      <c r="E505" s="1285" t="s">
        <v>83</v>
      </c>
      <c r="F505" s="641" t="str">
        <f>IF(G505="","",VLOOKUP(G505,リスト!J$2:K$3,2,FALSE))</f>
        <v>02</v>
      </c>
      <c r="G505" s="1285" t="s">
        <v>842</v>
      </c>
      <c r="H505" s="1284">
        <v>159771</v>
      </c>
      <c r="I505" s="1284">
        <v>0</v>
      </c>
      <c r="J505" s="644">
        <f t="shared" si="30"/>
        <v>159771</v>
      </c>
      <c r="K505" s="1284">
        <v>159771</v>
      </c>
      <c r="L505" s="644">
        <f t="shared" si="31"/>
        <v>0</v>
      </c>
      <c r="M505" s="680">
        <v>0</v>
      </c>
      <c r="N505" s="651">
        <v>0</v>
      </c>
    </row>
    <row r="506" spans="1:14" ht="15.95" customHeight="1" x14ac:dyDescent="0.15">
      <c r="A506" s="1286">
        <v>43101</v>
      </c>
      <c r="B506" s="640" t="str">
        <f t="shared" ca="1" si="28"/>
        <v>03</v>
      </c>
      <c r="C506" s="1285" t="s">
        <v>66</v>
      </c>
      <c r="D506" s="640" t="str">
        <f t="shared" ca="1" si="29"/>
        <v>02</v>
      </c>
      <c r="E506" s="1285" t="s">
        <v>84</v>
      </c>
      <c r="F506" s="641" t="str">
        <f>IF(G506="","",VLOOKUP(G506,リスト!J$2:K$3,2,FALSE))</f>
        <v>01</v>
      </c>
      <c r="G506" s="1285" t="s">
        <v>841</v>
      </c>
      <c r="H506" s="1284">
        <v>1904318</v>
      </c>
      <c r="I506" s="1284">
        <v>0</v>
      </c>
      <c r="J506" s="644">
        <f t="shared" si="30"/>
        <v>1904318</v>
      </c>
      <c r="K506" s="1284">
        <v>1904318</v>
      </c>
      <c r="L506" s="644">
        <f t="shared" si="31"/>
        <v>0</v>
      </c>
      <c r="M506" s="680">
        <v>0</v>
      </c>
      <c r="N506" s="651">
        <v>524588</v>
      </c>
    </row>
    <row r="507" spans="1:14" ht="15.95" customHeight="1" x14ac:dyDescent="0.15">
      <c r="A507" s="1286">
        <v>43101</v>
      </c>
      <c r="B507" s="640" t="str">
        <f t="shared" ca="1" si="28"/>
        <v>03</v>
      </c>
      <c r="C507" s="1285" t="s">
        <v>66</v>
      </c>
      <c r="D507" s="640" t="str">
        <f t="shared" ca="1" si="29"/>
        <v>01</v>
      </c>
      <c r="E507" s="1285" t="s">
        <v>83</v>
      </c>
      <c r="F507" s="641" t="str">
        <f>IF(G507="","",VLOOKUP(G507,リスト!J$2:K$3,2,FALSE))</f>
        <v>01</v>
      </c>
      <c r="G507" s="1285" t="s">
        <v>841</v>
      </c>
      <c r="H507" s="1284">
        <v>3526471</v>
      </c>
      <c r="I507" s="1284">
        <v>-39403</v>
      </c>
      <c r="J507" s="644">
        <f t="shared" si="30"/>
        <v>3487068</v>
      </c>
      <c r="K507" s="1284">
        <v>3487068</v>
      </c>
      <c r="L507" s="644">
        <f t="shared" si="31"/>
        <v>0</v>
      </c>
      <c r="M507" s="680">
        <v>29138</v>
      </c>
      <c r="N507" s="651">
        <v>379228</v>
      </c>
    </row>
    <row r="508" spans="1:14" ht="15.95" customHeight="1" x14ac:dyDescent="0.15">
      <c r="A508" s="1286">
        <v>43101</v>
      </c>
      <c r="B508" s="640" t="str">
        <f t="shared" ca="1" si="28"/>
        <v>04</v>
      </c>
      <c r="C508" s="1285" t="s">
        <v>358</v>
      </c>
      <c r="D508" s="640" t="str">
        <f t="shared" ca="1" si="29"/>
        <v>04</v>
      </c>
      <c r="E508" s="1285" t="s">
        <v>542</v>
      </c>
      <c r="F508" s="641" t="str">
        <f>IF(G508="","",VLOOKUP(G508,リスト!J$2:K$3,2,FALSE))</f>
        <v>02</v>
      </c>
      <c r="G508" s="1285" t="s">
        <v>842</v>
      </c>
      <c r="H508" s="1284">
        <v>0</v>
      </c>
      <c r="I508" s="1284">
        <v>0</v>
      </c>
      <c r="J508" s="644">
        <f t="shared" si="30"/>
        <v>0</v>
      </c>
      <c r="K508" s="1284">
        <v>0</v>
      </c>
      <c r="L508" s="644">
        <f t="shared" si="31"/>
        <v>0</v>
      </c>
      <c r="M508" s="680">
        <v>0</v>
      </c>
      <c r="N508" s="651">
        <v>0</v>
      </c>
    </row>
    <row r="509" spans="1:14" ht="15.95" customHeight="1" x14ac:dyDescent="0.15">
      <c r="A509" s="1286">
        <v>43101</v>
      </c>
      <c r="B509" s="640" t="str">
        <f t="shared" ca="1" si="28"/>
        <v>04</v>
      </c>
      <c r="C509" s="1285" t="s">
        <v>358</v>
      </c>
      <c r="D509" s="640" t="str">
        <f t="shared" ca="1" si="29"/>
        <v>04</v>
      </c>
      <c r="E509" s="1285" t="s">
        <v>542</v>
      </c>
      <c r="F509" s="641" t="str">
        <f>IF(G509="","",VLOOKUP(G509,リスト!J$2:K$3,2,FALSE))</f>
        <v>01</v>
      </c>
      <c r="G509" s="1285" t="s">
        <v>841</v>
      </c>
      <c r="H509" s="1284">
        <v>3148868</v>
      </c>
      <c r="I509" s="1284">
        <v>-14702</v>
      </c>
      <c r="J509" s="644">
        <f t="shared" si="30"/>
        <v>3134166</v>
      </c>
      <c r="K509" s="1284">
        <v>3134166</v>
      </c>
      <c r="L509" s="644">
        <f t="shared" si="31"/>
        <v>0</v>
      </c>
      <c r="M509" s="680">
        <v>11902</v>
      </c>
      <c r="N509" s="651">
        <v>174710</v>
      </c>
    </row>
    <row r="510" spans="1:14" ht="15.95" customHeight="1" x14ac:dyDescent="0.15">
      <c r="A510" s="1286">
        <v>43101</v>
      </c>
      <c r="B510" s="640" t="str">
        <f t="shared" ca="1" si="28"/>
        <v>05</v>
      </c>
      <c r="C510" s="1285" t="s">
        <v>38</v>
      </c>
      <c r="D510" s="640" t="str">
        <f t="shared" ca="1" si="29"/>
        <v>01</v>
      </c>
      <c r="E510" s="1285" t="s">
        <v>83</v>
      </c>
      <c r="F510" s="641" t="str">
        <f>IF(G510="","",VLOOKUP(G510,リスト!J$2:K$3,2,FALSE))</f>
        <v>02</v>
      </c>
      <c r="G510" s="1285" t="s">
        <v>842</v>
      </c>
      <c r="H510" s="1284">
        <v>0</v>
      </c>
      <c r="I510" s="1284">
        <v>0</v>
      </c>
      <c r="J510" s="644">
        <f t="shared" si="30"/>
        <v>0</v>
      </c>
      <c r="K510" s="1284">
        <v>0</v>
      </c>
      <c r="L510" s="644">
        <f t="shared" si="31"/>
        <v>0</v>
      </c>
      <c r="M510" s="680">
        <v>0</v>
      </c>
      <c r="N510" s="651">
        <v>0</v>
      </c>
    </row>
    <row r="511" spans="1:14" ht="15.95" customHeight="1" x14ac:dyDescent="0.15">
      <c r="A511" s="1286">
        <v>43101</v>
      </c>
      <c r="B511" s="640" t="str">
        <f t="shared" ca="1" si="28"/>
        <v>05</v>
      </c>
      <c r="C511" s="1285" t="s">
        <v>38</v>
      </c>
      <c r="D511" s="640" t="str">
        <f t="shared" ca="1" si="29"/>
        <v>01</v>
      </c>
      <c r="E511" s="1285" t="s">
        <v>83</v>
      </c>
      <c r="F511" s="641" t="str">
        <f>IF(G511="","",VLOOKUP(G511,リスト!J$2:K$3,2,FALSE))</f>
        <v>01</v>
      </c>
      <c r="G511" s="1285" t="s">
        <v>841</v>
      </c>
      <c r="H511" s="1284">
        <v>2007541</v>
      </c>
      <c r="I511" s="1284">
        <v>0</v>
      </c>
      <c r="J511" s="644">
        <f t="shared" si="30"/>
        <v>2007541</v>
      </c>
      <c r="K511" s="1284">
        <v>2007541</v>
      </c>
      <c r="L511" s="644">
        <f t="shared" si="31"/>
        <v>0</v>
      </c>
      <c r="M511" s="680">
        <v>0</v>
      </c>
      <c r="N511" s="651">
        <v>0</v>
      </c>
    </row>
    <row r="512" spans="1:14" ht="15.95" customHeight="1" x14ac:dyDescent="0.15">
      <c r="A512" s="1286">
        <v>43101</v>
      </c>
      <c r="B512" s="640" t="str">
        <f t="shared" ca="1" si="28"/>
        <v>07</v>
      </c>
      <c r="C512" s="1285" t="s">
        <v>119</v>
      </c>
      <c r="D512" s="640" t="str">
        <f t="shared" ca="1" si="29"/>
        <v>05</v>
      </c>
      <c r="E512" s="1285" t="s">
        <v>543</v>
      </c>
      <c r="F512" s="641" t="str">
        <f>IF(G512="","",VLOOKUP(G512,リスト!J$2:K$3,2,FALSE))</f>
        <v>02</v>
      </c>
      <c r="G512" s="1285" t="s">
        <v>842</v>
      </c>
      <c r="H512" s="1284">
        <v>0</v>
      </c>
      <c r="I512" s="1284">
        <v>0</v>
      </c>
      <c r="J512" s="644">
        <f t="shared" si="30"/>
        <v>0</v>
      </c>
      <c r="K512" s="1284">
        <v>0</v>
      </c>
      <c r="L512" s="644">
        <f t="shared" si="31"/>
        <v>0</v>
      </c>
      <c r="M512" s="680">
        <v>0</v>
      </c>
      <c r="N512" s="651">
        <v>0</v>
      </c>
    </row>
    <row r="513" spans="1:14" ht="15.95" customHeight="1" x14ac:dyDescent="0.15">
      <c r="A513" s="1286">
        <v>43101</v>
      </c>
      <c r="B513" s="640" t="str">
        <f t="shared" ca="1" si="28"/>
        <v>07</v>
      </c>
      <c r="C513" s="1285" t="s">
        <v>119</v>
      </c>
      <c r="D513" s="640" t="str">
        <f t="shared" ca="1" si="29"/>
        <v>05</v>
      </c>
      <c r="E513" s="1285" t="s">
        <v>543</v>
      </c>
      <c r="F513" s="641" t="str">
        <f>IF(G513="","",VLOOKUP(G513,リスト!J$2:K$3,2,FALSE))</f>
        <v>01</v>
      </c>
      <c r="G513" s="1285" t="s">
        <v>841</v>
      </c>
      <c r="H513" s="1284">
        <v>778040</v>
      </c>
      <c r="I513" s="1284">
        <v>0</v>
      </c>
      <c r="J513" s="644">
        <f t="shared" si="30"/>
        <v>778040</v>
      </c>
      <c r="K513" s="1284">
        <v>778040</v>
      </c>
      <c r="L513" s="644">
        <f t="shared" si="31"/>
        <v>0</v>
      </c>
      <c r="M513" s="680">
        <v>0</v>
      </c>
      <c r="N513" s="651">
        <v>271654</v>
      </c>
    </row>
    <row r="514" spans="1:14" ht="15.95" customHeight="1" x14ac:dyDescent="0.15">
      <c r="A514" s="1286">
        <v>43101</v>
      </c>
      <c r="B514" s="640" t="str">
        <f t="shared" ref="B514:B577" ca="1" si="32">IF(C514="","",VLOOKUP(C514,事業所コード2,2,FALSE))</f>
        <v>08</v>
      </c>
      <c r="C514" s="1285" t="s">
        <v>189</v>
      </c>
      <c r="D514" s="640" t="str">
        <f t="shared" ref="D514:D577" ca="1" si="33">IF(E514="","",VLOOKUP(E514,事業区分コード2,2,FALSE))</f>
        <v>05</v>
      </c>
      <c r="E514" s="1285" t="s">
        <v>543</v>
      </c>
      <c r="F514" s="641" t="str">
        <f>IF(G514="","",VLOOKUP(G514,リスト!J$2:K$3,2,FALSE))</f>
        <v>02</v>
      </c>
      <c r="G514" s="1285" t="s">
        <v>842</v>
      </c>
      <c r="H514" s="1284">
        <v>0</v>
      </c>
      <c r="I514" s="1284">
        <v>0</v>
      </c>
      <c r="J514" s="644">
        <f t="shared" ref="J514:J577" si="34">IF(A514="","",H514+I514)</f>
        <v>0</v>
      </c>
      <c r="K514" s="1284">
        <v>0</v>
      </c>
      <c r="L514" s="644">
        <f t="shared" ref="L514:L577" si="35">IF(A514="","",J514-K514)</f>
        <v>0</v>
      </c>
      <c r="M514" s="680">
        <v>0</v>
      </c>
      <c r="N514" s="651">
        <v>0</v>
      </c>
    </row>
    <row r="515" spans="1:14" ht="15.95" customHeight="1" x14ac:dyDescent="0.15">
      <c r="A515" s="1286">
        <v>43101</v>
      </c>
      <c r="B515" s="640" t="str">
        <f t="shared" ca="1" si="32"/>
        <v>08</v>
      </c>
      <c r="C515" s="1285" t="s">
        <v>189</v>
      </c>
      <c r="D515" s="640" t="str">
        <f t="shared" ca="1" si="33"/>
        <v>05</v>
      </c>
      <c r="E515" s="1285" t="s">
        <v>543</v>
      </c>
      <c r="F515" s="641" t="str">
        <f>IF(G515="","",VLOOKUP(G515,リスト!J$2:K$3,2,FALSE))</f>
        <v>01</v>
      </c>
      <c r="G515" s="1285" t="s">
        <v>841</v>
      </c>
      <c r="H515" s="1284">
        <v>938092</v>
      </c>
      <c r="I515" s="1284">
        <v>0</v>
      </c>
      <c r="J515" s="644">
        <f t="shared" si="34"/>
        <v>938092</v>
      </c>
      <c r="K515" s="1284">
        <v>938092</v>
      </c>
      <c r="L515" s="644">
        <f t="shared" si="35"/>
        <v>0</v>
      </c>
      <c r="M515" s="680">
        <v>0</v>
      </c>
      <c r="N515" s="651">
        <v>0</v>
      </c>
    </row>
    <row r="516" spans="1:14" ht="15.95" customHeight="1" x14ac:dyDescent="0.15">
      <c r="A516" s="1286">
        <v>43101</v>
      </c>
      <c r="B516" s="640" t="str">
        <f t="shared" ca="1" si="32"/>
        <v>09</v>
      </c>
      <c r="C516" s="1285" t="s">
        <v>329</v>
      </c>
      <c r="D516" s="640" t="str">
        <f t="shared" ca="1" si="33"/>
        <v>05</v>
      </c>
      <c r="E516" s="1285" t="s">
        <v>543</v>
      </c>
      <c r="F516" s="641" t="str">
        <f>IF(G516="","",VLOOKUP(G516,リスト!J$2:K$3,2,FALSE))</f>
        <v>02</v>
      </c>
      <c r="G516" s="1285" t="s">
        <v>842</v>
      </c>
      <c r="H516" s="1284">
        <v>0</v>
      </c>
      <c r="I516" s="1284">
        <v>0</v>
      </c>
      <c r="J516" s="644">
        <f t="shared" si="34"/>
        <v>0</v>
      </c>
      <c r="K516" s="1284">
        <v>0</v>
      </c>
      <c r="L516" s="644">
        <f t="shared" si="35"/>
        <v>0</v>
      </c>
      <c r="M516" s="680">
        <v>0</v>
      </c>
      <c r="N516" s="651">
        <v>0</v>
      </c>
    </row>
    <row r="517" spans="1:14" ht="15.95" customHeight="1" x14ac:dyDescent="0.15">
      <c r="A517" s="1286">
        <v>43101</v>
      </c>
      <c r="B517" s="640" t="str">
        <f t="shared" ca="1" si="32"/>
        <v>09</v>
      </c>
      <c r="C517" s="1285" t="s">
        <v>329</v>
      </c>
      <c r="D517" s="640" t="str">
        <f t="shared" ca="1" si="33"/>
        <v>05</v>
      </c>
      <c r="E517" s="1285" t="s">
        <v>543</v>
      </c>
      <c r="F517" s="641" t="str">
        <f>IF(G517="","",VLOOKUP(G517,リスト!J$2:K$3,2,FALSE))</f>
        <v>01</v>
      </c>
      <c r="G517" s="1285" t="s">
        <v>841</v>
      </c>
      <c r="H517" s="1284">
        <v>2396635</v>
      </c>
      <c r="I517" s="1284">
        <v>0</v>
      </c>
      <c r="J517" s="644">
        <f t="shared" si="34"/>
        <v>2396635</v>
      </c>
      <c r="K517" s="1284">
        <v>2396635</v>
      </c>
      <c r="L517" s="644">
        <f t="shared" si="35"/>
        <v>0</v>
      </c>
      <c r="M517" s="680">
        <v>0</v>
      </c>
      <c r="N517" s="651">
        <v>0</v>
      </c>
    </row>
    <row r="518" spans="1:14" ht="15.95" customHeight="1" x14ac:dyDescent="0.15">
      <c r="A518" s="1286">
        <v>43101</v>
      </c>
      <c r="B518" s="640" t="str">
        <f t="shared" ca="1" si="32"/>
        <v>10</v>
      </c>
      <c r="C518" s="1285" t="s">
        <v>336</v>
      </c>
      <c r="D518" s="640" t="str">
        <f t="shared" ca="1" si="33"/>
        <v>02</v>
      </c>
      <c r="E518" s="1285" t="s">
        <v>84</v>
      </c>
      <c r="F518" s="641" t="str">
        <f>IF(G518="","",VLOOKUP(G518,リスト!J$2:K$3,2,FALSE))</f>
        <v>02</v>
      </c>
      <c r="G518" s="1285" t="s">
        <v>842</v>
      </c>
      <c r="H518" s="1284">
        <v>0</v>
      </c>
      <c r="I518" s="1284">
        <v>0</v>
      </c>
      <c r="J518" s="644">
        <f t="shared" si="34"/>
        <v>0</v>
      </c>
      <c r="K518" s="1284">
        <v>0</v>
      </c>
      <c r="L518" s="644">
        <f t="shared" si="35"/>
        <v>0</v>
      </c>
      <c r="M518" s="680">
        <v>0</v>
      </c>
      <c r="N518" s="651">
        <v>0</v>
      </c>
    </row>
    <row r="519" spans="1:14" ht="15.95" customHeight="1" x14ac:dyDescent="0.15">
      <c r="A519" s="1286">
        <v>43101</v>
      </c>
      <c r="B519" s="640" t="str">
        <f t="shared" ca="1" si="32"/>
        <v>10</v>
      </c>
      <c r="C519" s="1285" t="s">
        <v>336</v>
      </c>
      <c r="D519" s="640" t="str">
        <f t="shared" ca="1" si="33"/>
        <v>01</v>
      </c>
      <c r="E519" s="1285" t="s">
        <v>83</v>
      </c>
      <c r="F519" s="641" t="str">
        <f>IF(G519="","",VLOOKUP(G519,リスト!J$2:K$3,2,FALSE))</f>
        <v>02</v>
      </c>
      <c r="G519" s="1285" t="s">
        <v>842</v>
      </c>
      <c r="H519" s="1284">
        <v>11759</v>
      </c>
      <c r="I519" s="1284">
        <v>-13471</v>
      </c>
      <c r="J519" s="644">
        <f t="shared" si="34"/>
        <v>-1712</v>
      </c>
      <c r="K519" s="1284">
        <v>-1712</v>
      </c>
      <c r="L519" s="644">
        <f t="shared" si="35"/>
        <v>0</v>
      </c>
      <c r="M519" s="680">
        <v>0</v>
      </c>
      <c r="N519" s="651">
        <v>0</v>
      </c>
    </row>
    <row r="520" spans="1:14" ht="15.95" customHeight="1" x14ac:dyDescent="0.15">
      <c r="A520" s="1286">
        <v>43101</v>
      </c>
      <c r="B520" s="640" t="str">
        <f t="shared" ca="1" si="32"/>
        <v>10</v>
      </c>
      <c r="C520" s="1285" t="s">
        <v>336</v>
      </c>
      <c r="D520" s="640" t="str">
        <f t="shared" ca="1" si="33"/>
        <v>02</v>
      </c>
      <c r="E520" s="1285" t="s">
        <v>84</v>
      </c>
      <c r="F520" s="641" t="str">
        <f>IF(G520="","",VLOOKUP(G520,リスト!J$2:K$3,2,FALSE))</f>
        <v>01</v>
      </c>
      <c r="G520" s="1285" t="s">
        <v>841</v>
      </c>
      <c r="H520" s="1284">
        <v>23400</v>
      </c>
      <c r="I520" s="1284">
        <v>0</v>
      </c>
      <c r="J520" s="644">
        <f t="shared" si="34"/>
        <v>23400</v>
      </c>
      <c r="K520" s="1284">
        <v>23400</v>
      </c>
      <c r="L520" s="644">
        <f t="shared" si="35"/>
        <v>0</v>
      </c>
      <c r="M520" s="680">
        <v>0</v>
      </c>
      <c r="N520" s="651">
        <v>0</v>
      </c>
    </row>
    <row r="521" spans="1:14" ht="15.95" customHeight="1" x14ac:dyDescent="0.15">
      <c r="A521" s="1286">
        <v>43101</v>
      </c>
      <c r="B521" s="640" t="str">
        <f t="shared" ca="1" si="32"/>
        <v>10</v>
      </c>
      <c r="C521" s="1285" t="s">
        <v>336</v>
      </c>
      <c r="D521" s="640" t="str">
        <f t="shared" ca="1" si="33"/>
        <v>01</v>
      </c>
      <c r="E521" s="1285" t="s">
        <v>83</v>
      </c>
      <c r="F521" s="641" t="str">
        <f>IF(G521="","",VLOOKUP(G521,リスト!J$2:K$3,2,FALSE))</f>
        <v>01</v>
      </c>
      <c r="G521" s="1285" t="s">
        <v>841</v>
      </c>
      <c r="H521" s="1284">
        <v>935055</v>
      </c>
      <c r="I521" s="1284">
        <v>-9116</v>
      </c>
      <c r="J521" s="644">
        <f t="shared" si="34"/>
        <v>925939</v>
      </c>
      <c r="K521" s="1284">
        <v>925939</v>
      </c>
      <c r="L521" s="644">
        <f t="shared" si="35"/>
        <v>0</v>
      </c>
      <c r="M521" s="680">
        <v>18104</v>
      </c>
      <c r="N521" s="651">
        <v>0</v>
      </c>
    </row>
    <row r="522" spans="1:14" ht="15.95" customHeight="1" x14ac:dyDescent="0.15">
      <c r="A522" s="1286">
        <v>43132</v>
      </c>
      <c r="B522" s="640" t="str">
        <f t="shared" ca="1" si="32"/>
        <v>01</v>
      </c>
      <c r="C522" s="1285" t="s">
        <v>34</v>
      </c>
      <c r="D522" s="640" t="str">
        <f t="shared" ca="1" si="33"/>
        <v>03</v>
      </c>
      <c r="E522" s="1285" t="s">
        <v>98</v>
      </c>
      <c r="F522" s="641" t="str">
        <f>IF(G522="","",VLOOKUP(G522,リスト!J$2:K$3,2,FALSE))</f>
        <v>02</v>
      </c>
      <c r="G522" s="1285" t="s">
        <v>842</v>
      </c>
      <c r="H522" s="1284">
        <v>14359</v>
      </c>
      <c r="I522" s="1284">
        <v>0</v>
      </c>
      <c r="J522" s="644">
        <f t="shared" si="34"/>
        <v>14359</v>
      </c>
      <c r="K522" s="1284">
        <v>14359</v>
      </c>
      <c r="L522" s="644">
        <f t="shared" si="35"/>
        <v>0</v>
      </c>
      <c r="M522" s="680">
        <v>0</v>
      </c>
      <c r="N522" s="651">
        <v>0</v>
      </c>
    </row>
    <row r="523" spans="1:14" ht="15.95" customHeight="1" x14ac:dyDescent="0.15">
      <c r="A523" s="1286">
        <v>43132</v>
      </c>
      <c r="B523" s="640" t="str">
        <f t="shared" ca="1" si="32"/>
        <v>01</v>
      </c>
      <c r="C523" s="1285" t="s">
        <v>34</v>
      </c>
      <c r="D523" s="640" t="str">
        <f t="shared" ca="1" si="33"/>
        <v>02</v>
      </c>
      <c r="E523" s="1285" t="s">
        <v>84</v>
      </c>
      <c r="F523" s="641" t="str">
        <f>IF(G523="","",VLOOKUP(G523,リスト!J$2:K$3,2,FALSE))</f>
        <v>02</v>
      </c>
      <c r="G523" s="1285" t="s">
        <v>842</v>
      </c>
      <c r="H523" s="1284">
        <v>0</v>
      </c>
      <c r="I523" s="1284">
        <v>0</v>
      </c>
      <c r="J523" s="644">
        <f t="shared" si="34"/>
        <v>0</v>
      </c>
      <c r="K523" s="1284">
        <v>0</v>
      </c>
      <c r="L523" s="644">
        <f t="shared" si="35"/>
        <v>0</v>
      </c>
      <c r="M523" s="680">
        <v>0</v>
      </c>
      <c r="N523" s="651">
        <v>0</v>
      </c>
    </row>
    <row r="524" spans="1:14" ht="15.95" customHeight="1" x14ac:dyDescent="0.15">
      <c r="A524" s="1286">
        <v>43132</v>
      </c>
      <c r="B524" s="640" t="str">
        <f t="shared" ca="1" si="32"/>
        <v>01</v>
      </c>
      <c r="C524" s="1285" t="s">
        <v>34</v>
      </c>
      <c r="D524" s="640" t="str">
        <f t="shared" ca="1" si="33"/>
        <v>01</v>
      </c>
      <c r="E524" s="1285" t="s">
        <v>83</v>
      </c>
      <c r="F524" s="641" t="str">
        <f>IF(G524="","",VLOOKUP(G524,リスト!J$2:K$3,2,FALSE))</f>
        <v>02</v>
      </c>
      <c r="G524" s="1285" t="s">
        <v>842</v>
      </c>
      <c r="H524" s="1284">
        <v>475291</v>
      </c>
      <c r="I524" s="1284">
        <v>0</v>
      </c>
      <c r="J524" s="644">
        <f t="shared" si="34"/>
        <v>475291</v>
      </c>
      <c r="K524" s="1284">
        <v>475291</v>
      </c>
      <c r="L524" s="644">
        <f t="shared" si="35"/>
        <v>0</v>
      </c>
      <c r="M524" s="680">
        <v>0</v>
      </c>
      <c r="N524" s="651">
        <v>0</v>
      </c>
    </row>
    <row r="525" spans="1:14" ht="15.95" customHeight="1" x14ac:dyDescent="0.15">
      <c r="A525" s="1286">
        <v>43132</v>
      </c>
      <c r="B525" s="640" t="str">
        <f t="shared" ca="1" si="32"/>
        <v>01</v>
      </c>
      <c r="C525" s="1285" t="s">
        <v>34</v>
      </c>
      <c r="D525" s="640" t="str">
        <f t="shared" ca="1" si="33"/>
        <v>03</v>
      </c>
      <c r="E525" s="1285" t="s">
        <v>98</v>
      </c>
      <c r="F525" s="641" t="str">
        <f>IF(G525="","",VLOOKUP(G525,リスト!J$2:K$3,2,FALSE))</f>
        <v>01</v>
      </c>
      <c r="G525" s="1285" t="s">
        <v>841</v>
      </c>
      <c r="H525" s="1284">
        <v>759371</v>
      </c>
      <c r="I525" s="1284">
        <v>-11149</v>
      </c>
      <c r="J525" s="644">
        <f t="shared" si="34"/>
        <v>748222</v>
      </c>
      <c r="K525" s="1284">
        <v>748222</v>
      </c>
      <c r="L525" s="644">
        <f t="shared" si="35"/>
        <v>0</v>
      </c>
      <c r="M525" s="680">
        <v>0</v>
      </c>
      <c r="N525" s="651">
        <v>0</v>
      </c>
    </row>
    <row r="526" spans="1:14" ht="15.95" customHeight="1" x14ac:dyDescent="0.15">
      <c r="A526" s="1286">
        <v>43132</v>
      </c>
      <c r="B526" s="640" t="str">
        <f t="shared" ca="1" si="32"/>
        <v>01</v>
      </c>
      <c r="C526" s="1285" t="s">
        <v>34</v>
      </c>
      <c r="D526" s="640" t="str">
        <f t="shared" ca="1" si="33"/>
        <v>02</v>
      </c>
      <c r="E526" s="1285" t="s">
        <v>84</v>
      </c>
      <c r="F526" s="641" t="str">
        <f>IF(G526="","",VLOOKUP(G526,リスト!J$2:K$3,2,FALSE))</f>
        <v>01</v>
      </c>
      <c r="G526" s="1285" t="s">
        <v>841</v>
      </c>
      <c r="H526" s="1284">
        <v>1260742</v>
      </c>
      <c r="I526" s="1284">
        <v>0</v>
      </c>
      <c r="J526" s="644">
        <f t="shared" si="34"/>
        <v>1260742</v>
      </c>
      <c r="K526" s="1284">
        <v>1260742</v>
      </c>
      <c r="L526" s="644">
        <f t="shared" si="35"/>
        <v>0</v>
      </c>
      <c r="M526" s="680">
        <v>0</v>
      </c>
      <c r="N526" s="651">
        <v>261542</v>
      </c>
    </row>
    <row r="527" spans="1:14" ht="15.95" customHeight="1" x14ac:dyDescent="0.15">
      <c r="A527" s="1286">
        <v>43132</v>
      </c>
      <c r="B527" s="640" t="str">
        <f t="shared" ca="1" si="32"/>
        <v>01</v>
      </c>
      <c r="C527" s="1285" t="s">
        <v>34</v>
      </c>
      <c r="D527" s="640" t="str">
        <f t="shared" ca="1" si="33"/>
        <v>01</v>
      </c>
      <c r="E527" s="1285" t="s">
        <v>83</v>
      </c>
      <c r="F527" s="641" t="str">
        <f>IF(G527="","",VLOOKUP(G527,リスト!J$2:K$3,2,FALSE))</f>
        <v>01</v>
      </c>
      <c r="G527" s="1285" t="s">
        <v>841</v>
      </c>
      <c r="H527" s="1284">
        <v>6811919</v>
      </c>
      <c r="I527" s="1284">
        <v>0</v>
      </c>
      <c r="J527" s="644">
        <f t="shared" si="34"/>
        <v>6811919</v>
      </c>
      <c r="K527" s="1284">
        <v>6811919</v>
      </c>
      <c r="L527" s="644">
        <f t="shared" si="35"/>
        <v>0</v>
      </c>
      <c r="M527" s="680">
        <v>139955</v>
      </c>
      <c r="N527" s="651">
        <v>1254602</v>
      </c>
    </row>
    <row r="528" spans="1:14" ht="15.95" customHeight="1" x14ac:dyDescent="0.15">
      <c r="A528" s="1286">
        <v>43132</v>
      </c>
      <c r="B528" s="640" t="str">
        <f t="shared" ca="1" si="32"/>
        <v>02</v>
      </c>
      <c r="C528" s="1285" t="s">
        <v>37</v>
      </c>
      <c r="D528" s="640" t="str">
        <f t="shared" ca="1" si="33"/>
        <v>03</v>
      </c>
      <c r="E528" s="1285" t="s">
        <v>98</v>
      </c>
      <c r="F528" s="641" t="str">
        <f>IF(G528="","",VLOOKUP(G528,リスト!J$2:K$3,2,FALSE))</f>
        <v>02</v>
      </c>
      <c r="G528" s="1285" t="s">
        <v>842</v>
      </c>
      <c r="H528" s="1284">
        <v>0</v>
      </c>
      <c r="I528" s="1284">
        <v>0</v>
      </c>
      <c r="J528" s="644">
        <f t="shared" si="34"/>
        <v>0</v>
      </c>
      <c r="K528" s="1284">
        <v>0</v>
      </c>
      <c r="L528" s="644">
        <f t="shared" si="35"/>
        <v>0</v>
      </c>
      <c r="M528" s="680">
        <v>0</v>
      </c>
      <c r="N528" s="651">
        <v>0</v>
      </c>
    </row>
    <row r="529" spans="1:14" ht="15.95" customHeight="1" x14ac:dyDescent="0.15">
      <c r="A529" s="1286">
        <v>43132</v>
      </c>
      <c r="B529" s="640" t="str">
        <f t="shared" ca="1" si="32"/>
        <v>02</v>
      </c>
      <c r="C529" s="1285" t="s">
        <v>37</v>
      </c>
      <c r="D529" s="640" t="str">
        <f t="shared" ca="1" si="33"/>
        <v>02</v>
      </c>
      <c r="E529" s="1285" t="s">
        <v>84</v>
      </c>
      <c r="F529" s="641" t="str">
        <f>IF(G529="","",VLOOKUP(G529,リスト!J$2:K$3,2,FALSE))</f>
        <v>02</v>
      </c>
      <c r="G529" s="1285" t="s">
        <v>842</v>
      </c>
      <c r="H529" s="1284">
        <v>127125</v>
      </c>
      <c r="I529" s="1284">
        <v>-127125</v>
      </c>
      <c r="J529" s="644">
        <f t="shared" si="34"/>
        <v>0</v>
      </c>
      <c r="K529" s="1284">
        <v>0</v>
      </c>
      <c r="L529" s="644">
        <f t="shared" si="35"/>
        <v>0</v>
      </c>
      <c r="M529" s="680">
        <v>0</v>
      </c>
      <c r="N529" s="651">
        <v>0</v>
      </c>
    </row>
    <row r="530" spans="1:14" ht="15.95" customHeight="1" x14ac:dyDescent="0.15">
      <c r="A530" s="1286">
        <v>43132</v>
      </c>
      <c r="B530" s="640" t="str">
        <f t="shared" ca="1" si="32"/>
        <v>02</v>
      </c>
      <c r="C530" s="1285" t="s">
        <v>37</v>
      </c>
      <c r="D530" s="640" t="str">
        <f t="shared" ca="1" si="33"/>
        <v>01</v>
      </c>
      <c r="E530" s="1285" t="s">
        <v>83</v>
      </c>
      <c r="F530" s="641" t="str">
        <f>IF(G530="","",VLOOKUP(G530,リスト!J$2:K$3,2,FALSE))</f>
        <v>02</v>
      </c>
      <c r="G530" s="1285" t="s">
        <v>842</v>
      </c>
      <c r="H530" s="1284">
        <v>30287</v>
      </c>
      <c r="I530" s="1284">
        <v>42918</v>
      </c>
      <c r="J530" s="644">
        <f t="shared" si="34"/>
        <v>73205</v>
      </c>
      <c r="K530" s="1284">
        <v>73205</v>
      </c>
      <c r="L530" s="644">
        <f t="shared" si="35"/>
        <v>0</v>
      </c>
      <c r="M530" s="680">
        <v>0</v>
      </c>
      <c r="N530" s="651">
        <v>0</v>
      </c>
    </row>
    <row r="531" spans="1:14" ht="15.95" customHeight="1" x14ac:dyDescent="0.15">
      <c r="A531" s="1286">
        <v>43132</v>
      </c>
      <c r="B531" s="640" t="str">
        <f t="shared" ca="1" si="32"/>
        <v>02</v>
      </c>
      <c r="C531" s="1285" t="s">
        <v>37</v>
      </c>
      <c r="D531" s="640" t="str">
        <f t="shared" ca="1" si="33"/>
        <v>03</v>
      </c>
      <c r="E531" s="1285" t="s">
        <v>98</v>
      </c>
      <c r="F531" s="641" t="str">
        <f>IF(G531="","",VLOOKUP(G531,リスト!J$2:K$3,2,FALSE))</f>
        <v>01</v>
      </c>
      <c r="G531" s="1285" t="s">
        <v>841</v>
      </c>
      <c r="H531" s="1284">
        <v>444863</v>
      </c>
      <c r="I531" s="1284">
        <v>0</v>
      </c>
      <c r="J531" s="644">
        <f t="shared" si="34"/>
        <v>444863</v>
      </c>
      <c r="K531" s="1284">
        <v>444863</v>
      </c>
      <c r="L531" s="644">
        <f t="shared" si="35"/>
        <v>0</v>
      </c>
      <c r="M531" s="680">
        <v>0</v>
      </c>
      <c r="N531" s="651">
        <v>0</v>
      </c>
    </row>
    <row r="532" spans="1:14" ht="15.95" customHeight="1" x14ac:dyDescent="0.15">
      <c r="A532" s="1286">
        <v>43132</v>
      </c>
      <c r="B532" s="640" t="str">
        <f t="shared" ca="1" si="32"/>
        <v>02</v>
      </c>
      <c r="C532" s="1285" t="s">
        <v>37</v>
      </c>
      <c r="D532" s="640" t="str">
        <f t="shared" ca="1" si="33"/>
        <v>02</v>
      </c>
      <c r="E532" s="1285" t="s">
        <v>84</v>
      </c>
      <c r="F532" s="641" t="str">
        <f>IF(G532="","",VLOOKUP(G532,リスト!J$2:K$3,2,FALSE))</f>
        <v>01</v>
      </c>
      <c r="G532" s="1285" t="s">
        <v>841</v>
      </c>
      <c r="H532" s="1284">
        <v>838386</v>
      </c>
      <c r="I532" s="1284">
        <v>0</v>
      </c>
      <c r="J532" s="644">
        <f t="shared" si="34"/>
        <v>838386</v>
      </c>
      <c r="K532" s="1284">
        <v>838386</v>
      </c>
      <c r="L532" s="644">
        <f t="shared" si="35"/>
        <v>0</v>
      </c>
      <c r="M532" s="680">
        <v>0</v>
      </c>
      <c r="N532" s="651">
        <v>192839</v>
      </c>
    </row>
    <row r="533" spans="1:14" ht="15.95" customHeight="1" x14ac:dyDescent="0.15">
      <c r="A533" s="1286">
        <v>43132</v>
      </c>
      <c r="B533" s="640" t="str">
        <f t="shared" ca="1" si="32"/>
        <v>02</v>
      </c>
      <c r="C533" s="1285" t="s">
        <v>37</v>
      </c>
      <c r="D533" s="640" t="str">
        <f t="shared" ca="1" si="33"/>
        <v>01</v>
      </c>
      <c r="E533" s="1285" t="s">
        <v>83</v>
      </c>
      <c r="F533" s="641" t="str">
        <f>IF(G533="","",VLOOKUP(G533,リスト!J$2:K$3,2,FALSE))</f>
        <v>01</v>
      </c>
      <c r="G533" s="1285" t="s">
        <v>841</v>
      </c>
      <c r="H533" s="1284">
        <v>3838746</v>
      </c>
      <c r="I533" s="1284">
        <v>-170180</v>
      </c>
      <c r="J533" s="644">
        <f t="shared" si="34"/>
        <v>3668566</v>
      </c>
      <c r="K533" s="1284">
        <v>3668566</v>
      </c>
      <c r="L533" s="644">
        <f t="shared" si="35"/>
        <v>0</v>
      </c>
      <c r="M533" s="680">
        <v>314016</v>
      </c>
      <c r="N533" s="651">
        <v>402033</v>
      </c>
    </row>
    <row r="534" spans="1:14" ht="15.95" customHeight="1" x14ac:dyDescent="0.15">
      <c r="A534" s="1286">
        <v>43132</v>
      </c>
      <c r="B534" s="640" t="str">
        <f t="shared" ca="1" si="32"/>
        <v>03</v>
      </c>
      <c r="C534" s="1285" t="s">
        <v>66</v>
      </c>
      <c r="D534" s="640" t="str">
        <f t="shared" ca="1" si="33"/>
        <v>02</v>
      </c>
      <c r="E534" s="1285" t="s">
        <v>84</v>
      </c>
      <c r="F534" s="641" t="str">
        <f>IF(G534="","",VLOOKUP(G534,リスト!J$2:K$3,2,FALSE))</f>
        <v>02</v>
      </c>
      <c r="G534" s="1285" t="s">
        <v>842</v>
      </c>
      <c r="H534" s="1284">
        <v>0</v>
      </c>
      <c r="I534" s="1284">
        <v>0</v>
      </c>
      <c r="J534" s="644">
        <f t="shared" si="34"/>
        <v>0</v>
      </c>
      <c r="K534" s="1284">
        <v>0</v>
      </c>
      <c r="L534" s="644">
        <f t="shared" si="35"/>
        <v>0</v>
      </c>
      <c r="M534" s="680">
        <v>0</v>
      </c>
      <c r="N534" s="651">
        <v>0</v>
      </c>
    </row>
    <row r="535" spans="1:14" ht="15.95" customHeight="1" x14ac:dyDescent="0.15">
      <c r="A535" s="1286">
        <v>43132</v>
      </c>
      <c r="B535" s="640" t="str">
        <f t="shared" ca="1" si="32"/>
        <v>03</v>
      </c>
      <c r="C535" s="1285" t="s">
        <v>66</v>
      </c>
      <c r="D535" s="640" t="str">
        <f t="shared" ca="1" si="33"/>
        <v>01</v>
      </c>
      <c r="E535" s="1285" t="s">
        <v>83</v>
      </c>
      <c r="F535" s="641" t="str">
        <f>IF(G535="","",VLOOKUP(G535,リスト!J$2:K$3,2,FALSE))</f>
        <v>02</v>
      </c>
      <c r="G535" s="1285" t="s">
        <v>842</v>
      </c>
      <c r="H535" s="1284">
        <v>29138</v>
      </c>
      <c r="I535" s="1284">
        <v>189539</v>
      </c>
      <c r="J535" s="644">
        <f t="shared" si="34"/>
        <v>218677</v>
      </c>
      <c r="K535" s="1284">
        <v>218677</v>
      </c>
      <c r="L535" s="644">
        <f t="shared" si="35"/>
        <v>0</v>
      </c>
      <c r="M535" s="680">
        <v>0</v>
      </c>
      <c r="N535" s="651">
        <v>0</v>
      </c>
    </row>
    <row r="536" spans="1:14" ht="15.95" customHeight="1" x14ac:dyDescent="0.15">
      <c r="A536" s="1286">
        <v>43132</v>
      </c>
      <c r="B536" s="640" t="str">
        <f t="shared" ca="1" si="32"/>
        <v>03</v>
      </c>
      <c r="C536" s="1285" t="s">
        <v>66</v>
      </c>
      <c r="D536" s="640" t="str">
        <f t="shared" ca="1" si="33"/>
        <v>02</v>
      </c>
      <c r="E536" s="1285" t="s">
        <v>84</v>
      </c>
      <c r="F536" s="641" t="str">
        <f>IF(G536="","",VLOOKUP(G536,リスト!J$2:K$3,2,FALSE))</f>
        <v>01</v>
      </c>
      <c r="G536" s="1285" t="s">
        <v>841</v>
      </c>
      <c r="H536" s="1284">
        <v>1771705</v>
      </c>
      <c r="I536" s="1284">
        <v>0</v>
      </c>
      <c r="J536" s="644">
        <f t="shared" si="34"/>
        <v>1771705</v>
      </c>
      <c r="K536" s="1284">
        <v>1771705</v>
      </c>
      <c r="L536" s="644">
        <f t="shared" si="35"/>
        <v>0</v>
      </c>
      <c r="M536" s="680">
        <v>0</v>
      </c>
      <c r="N536" s="651">
        <v>409072</v>
      </c>
    </row>
    <row r="537" spans="1:14" ht="15.95" customHeight="1" x14ac:dyDescent="0.15">
      <c r="A537" s="1286">
        <v>43132</v>
      </c>
      <c r="B537" s="640" t="str">
        <f t="shared" ca="1" si="32"/>
        <v>03</v>
      </c>
      <c r="C537" s="1285" t="s">
        <v>66</v>
      </c>
      <c r="D537" s="640" t="str">
        <f t="shared" ca="1" si="33"/>
        <v>01</v>
      </c>
      <c r="E537" s="1285" t="s">
        <v>83</v>
      </c>
      <c r="F537" s="641" t="str">
        <f>IF(G537="","",VLOOKUP(G537,リスト!J$2:K$3,2,FALSE))</f>
        <v>01</v>
      </c>
      <c r="G537" s="1285" t="s">
        <v>841</v>
      </c>
      <c r="H537" s="1284">
        <v>3509891</v>
      </c>
      <c r="I537" s="1284">
        <v>-54034</v>
      </c>
      <c r="J537" s="644">
        <f t="shared" si="34"/>
        <v>3455857</v>
      </c>
      <c r="K537" s="1284">
        <v>3455857</v>
      </c>
      <c r="L537" s="644">
        <f t="shared" si="35"/>
        <v>0</v>
      </c>
      <c r="M537" s="680">
        <v>122401</v>
      </c>
      <c r="N537" s="651">
        <v>388251</v>
      </c>
    </row>
    <row r="538" spans="1:14" ht="15.95" customHeight="1" x14ac:dyDescent="0.15">
      <c r="A538" s="1286">
        <v>43132</v>
      </c>
      <c r="B538" s="640" t="str">
        <f t="shared" ca="1" si="32"/>
        <v>04</v>
      </c>
      <c r="C538" s="1285" t="s">
        <v>358</v>
      </c>
      <c r="D538" s="640" t="str">
        <f t="shared" ca="1" si="33"/>
        <v>04</v>
      </c>
      <c r="E538" s="1285" t="s">
        <v>542</v>
      </c>
      <c r="F538" s="641" t="str">
        <f>IF(G538="","",VLOOKUP(G538,リスト!J$2:K$3,2,FALSE))</f>
        <v>02</v>
      </c>
      <c r="G538" s="1285" t="s">
        <v>842</v>
      </c>
      <c r="H538" s="1284">
        <v>144167</v>
      </c>
      <c r="I538" s="1284">
        <v>-60819</v>
      </c>
      <c r="J538" s="644">
        <f t="shared" si="34"/>
        <v>83348</v>
      </c>
      <c r="K538" s="1284">
        <v>83348</v>
      </c>
      <c r="L538" s="644">
        <f t="shared" si="35"/>
        <v>0</v>
      </c>
      <c r="M538" s="680">
        <v>0</v>
      </c>
      <c r="N538" s="651">
        <v>0</v>
      </c>
    </row>
    <row r="539" spans="1:14" ht="15.95" customHeight="1" x14ac:dyDescent="0.15">
      <c r="A539" s="1286">
        <v>43132</v>
      </c>
      <c r="B539" s="640" t="str">
        <f t="shared" ca="1" si="32"/>
        <v>04</v>
      </c>
      <c r="C539" s="1285" t="s">
        <v>358</v>
      </c>
      <c r="D539" s="640" t="str">
        <f t="shared" ca="1" si="33"/>
        <v>04</v>
      </c>
      <c r="E539" s="1285" t="s">
        <v>542</v>
      </c>
      <c r="F539" s="641" t="str">
        <f>IF(G539="","",VLOOKUP(G539,リスト!J$2:K$3,2,FALSE))</f>
        <v>01</v>
      </c>
      <c r="G539" s="1285" t="s">
        <v>841</v>
      </c>
      <c r="H539" s="1284">
        <v>3235791</v>
      </c>
      <c r="I539" s="1284">
        <v>0</v>
      </c>
      <c r="J539" s="644">
        <f t="shared" si="34"/>
        <v>3235791</v>
      </c>
      <c r="K539" s="1284">
        <v>3235791</v>
      </c>
      <c r="L539" s="644">
        <f t="shared" si="35"/>
        <v>0</v>
      </c>
      <c r="M539" s="680">
        <v>0</v>
      </c>
      <c r="N539" s="651">
        <v>184869</v>
      </c>
    </row>
    <row r="540" spans="1:14" ht="15.95" customHeight="1" x14ac:dyDescent="0.15">
      <c r="A540" s="1286">
        <v>43132</v>
      </c>
      <c r="B540" s="640" t="str">
        <f t="shared" ca="1" si="32"/>
        <v>05</v>
      </c>
      <c r="C540" s="1285" t="s">
        <v>38</v>
      </c>
      <c r="D540" s="640" t="str">
        <f t="shared" ca="1" si="33"/>
        <v>01</v>
      </c>
      <c r="E540" s="1285" t="s">
        <v>83</v>
      </c>
      <c r="F540" s="641" t="str">
        <f>IF(G540="","",VLOOKUP(G540,リスト!J$2:K$3,2,FALSE))</f>
        <v>02</v>
      </c>
      <c r="G540" s="1285" t="s">
        <v>842</v>
      </c>
      <c r="H540" s="1284">
        <v>0</v>
      </c>
      <c r="I540" s="1284">
        <v>0</v>
      </c>
      <c r="J540" s="644">
        <f t="shared" si="34"/>
        <v>0</v>
      </c>
      <c r="K540" s="1284">
        <v>0</v>
      </c>
      <c r="L540" s="644">
        <f t="shared" si="35"/>
        <v>0</v>
      </c>
      <c r="M540" s="680">
        <v>0</v>
      </c>
      <c r="N540" s="651">
        <v>0</v>
      </c>
    </row>
    <row r="541" spans="1:14" ht="15.95" customHeight="1" x14ac:dyDescent="0.15">
      <c r="A541" s="1286">
        <v>43132</v>
      </c>
      <c r="B541" s="640" t="str">
        <f t="shared" ca="1" si="32"/>
        <v>05</v>
      </c>
      <c r="C541" s="1285" t="s">
        <v>38</v>
      </c>
      <c r="D541" s="640" t="str">
        <f t="shared" ca="1" si="33"/>
        <v>01</v>
      </c>
      <c r="E541" s="1285" t="s">
        <v>83</v>
      </c>
      <c r="F541" s="641" t="str">
        <f>IF(G541="","",VLOOKUP(G541,リスト!J$2:K$3,2,FALSE))</f>
        <v>01</v>
      </c>
      <c r="G541" s="1285" t="s">
        <v>841</v>
      </c>
      <c r="H541" s="1284">
        <v>2306499</v>
      </c>
      <c r="I541" s="1284">
        <v>0</v>
      </c>
      <c r="J541" s="644">
        <f t="shared" si="34"/>
        <v>2306499</v>
      </c>
      <c r="K541" s="1284">
        <v>2306499</v>
      </c>
      <c r="L541" s="644">
        <f t="shared" si="35"/>
        <v>0</v>
      </c>
      <c r="M541" s="680">
        <v>0</v>
      </c>
      <c r="N541" s="651">
        <v>0</v>
      </c>
    </row>
    <row r="542" spans="1:14" ht="15.95" customHeight="1" x14ac:dyDescent="0.15">
      <c r="A542" s="1286">
        <v>43132</v>
      </c>
      <c r="B542" s="640" t="str">
        <f t="shared" ca="1" si="32"/>
        <v>07</v>
      </c>
      <c r="C542" s="1285" t="s">
        <v>119</v>
      </c>
      <c r="D542" s="640" t="str">
        <f t="shared" ca="1" si="33"/>
        <v>05</v>
      </c>
      <c r="E542" s="1285" t="s">
        <v>543</v>
      </c>
      <c r="F542" s="641" t="str">
        <f>IF(G542="","",VLOOKUP(G542,リスト!J$2:K$3,2,FALSE))</f>
        <v>02</v>
      </c>
      <c r="G542" s="1285" t="s">
        <v>842</v>
      </c>
      <c r="H542" s="1284">
        <v>0</v>
      </c>
      <c r="I542" s="1284">
        <v>0</v>
      </c>
      <c r="J542" s="644">
        <f t="shared" si="34"/>
        <v>0</v>
      </c>
      <c r="K542" s="1284">
        <v>0</v>
      </c>
      <c r="L542" s="644">
        <f t="shared" si="35"/>
        <v>0</v>
      </c>
      <c r="M542" s="680">
        <v>0</v>
      </c>
      <c r="N542" s="651">
        <v>0</v>
      </c>
    </row>
    <row r="543" spans="1:14" ht="15.95" customHeight="1" x14ac:dyDescent="0.15">
      <c r="A543" s="1286">
        <v>43132</v>
      </c>
      <c r="B543" s="640" t="str">
        <f ca="1">IF(C543="","",VLOOKUP(C543,事業所コード2,2,FALSE))</f>
        <v>07</v>
      </c>
      <c r="C543" s="1285" t="s">
        <v>119</v>
      </c>
      <c r="D543" s="640" t="str">
        <f t="shared" ca="1" si="33"/>
        <v>05</v>
      </c>
      <c r="E543" s="1285" t="s">
        <v>543</v>
      </c>
      <c r="F543" s="641" t="str">
        <f>IF(G543="","",VLOOKUP(G543,リスト!J$2:K$3,2,FALSE))</f>
        <v>01</v>
      </c>
      <c r="G543" s="1285" t="s">
        <v>841</v>
      </c>
      <c r="H543" s="1284">
        <v>710413</v>
      </c>
      <c r="I543" s="1284">
        <v>0</v>
      </c>
      <c r="J543" s="644">
        <f t="shared" si="34"/>
        <v>710413</v>
      </c>
      <c r="K543" s="1284">
        <v>710413</v>
      </c>
      <c r="L543" s="644">
        <f t="shared" si="35"/>
        <v>0</v>
      </c>
      <c r="M543" s="680">
        <v>0</v>
      </c>
      <c r="N543" s="651">
        <v>248202</v>
      </c>
    </row>
    <row r="544" spans="1:14" ht="15.95" customHeight="1" x14ac:dyDescent="0.15">
      <c r="A544" s="1286">
        <v>43132</v>
      </c>
      <c r="B544" s="640" t="str">
        <f t="shared" ca="1" si="32"/>
        <v>08</v>
      </c>
      <c r="C544" s="1285" t="s">
        <v>189</v>
      </c>
      <c r="D544" s="640" t="str">
        <f t="shared" ca="1" si="33"/>
        <v>05</v>
      </c>
      <c r="E544" s="1285" t="s">
        <v>543</v>
      </c>
      <c r="F544" s="641" t="str">
        <f>IF(G544="","",VLOOKUP(G544,リスト!J$2:K$3,2,FALSE))</f>
        <v>02</v>
      </c>
      <c r="G544" s="1285" t="s">
        <v>842</v>
      </c>
      <c r="H544" s="1284">
        <v>0</v>
      </c>
      <c r="I544" s="1284">
        <v>0</v>
      </c>
      <c r="J544" s="644">
        <f t="shared" si="34"/>
        <v>0</v>
      </c>
      <c r="K544" s="1284">
        <v>0</v>
      </c>
      <c r="L544" s="644">
        <f t="shared" si="35"/>
        <v>0</v>
      </c>
      <c r="M544" s="680">
        <v>0</v>
      </c>
      <c r="N544" s="651">
        <v>0</v>
      </c>
    </row>
    <row r="545" spans="1:14" ht="15.95" customHeight="1" x14ac:dyDescent="0.15">
      <c r="A545" s="1286">
        <v>43132</v>
      </c>
      <c r="B545" s="640" t="str">
        <f t="shared" ca="1" si="32"/>
        <v>08</v>
      </c>
      <c r="C545" s="1285" t="s">
        <v>189</v>
      </c>
      <c r="D545" s="640" t="str">
        <f t="shared" ca="1" si="33"/>
        <v>05</v>
      </c>
      <c r="E545" s="1285" t="s">
        <v>543</v>
      </c>
      <c r="F545" s="641" t="str">
        <f>IF(G545="","",VLOOKUP(G545,リスト!J$2:K$3,2,FALSE))</f>
        <v>01</v>
      </c>
      <c r="G545" s="1285" t="s">
        <v>841</v>
      </c>
      <c r="H545" s="1284">
        <v>861922</v>
      </c>
      <c r="I545" s="1284">
        <v>0</v>
      </c>
      <c r="J545" s="644">
        <f t="shared" si="34"/>
        <v>861922</v>
      </c>
      <c r="K545" s="1284">
        <v>861922</v>
      </c>
      <c r="L545" s="644">
        <f t="shared" si="35"/>
        <v>0</v>
      </c>
      <c r="M545" s="680">
        <v>0</v>
      </c>
      <c r="N545" s="651">
        <v>0</v>
      </c>
    </row>
    <row r="546" spans="1:14" ht="15.95" customHeight="1" x14ac:dyDescent="0.15">
      <c r="A546" s="1286">
        <v>43132</v>
      </c>
      <c r="B546" s="640" t="str">
        <f t="shared" ca="1" si="32"/>
        <v>09</v>
      </c>
      <c r="C546" s="1285" t="s">
        <v>329</v>
      </c>
      <c r="D546" s="640" t="str">
        <f t="shared" ca="1" si="33"/>
        <v>05</v>
      </c>
      <c r="E546" s="1285" t="s">
        <v>543</v>
      </c>
      <c r="F546" s="641" t="str">
        <f>IF(G546="","",VLOOKUP(G546,リスト!J$2:K$3,2,FALSE))</f>
        <v>02</v>
      </c>
      <c r="G546" s="1285" t="s">
        <v>842</v>
      </c>
      <c r="H546" s="1284">
        <v>0</v>
      </c>
      <c r="I546" s="1284">
        <v>0</v>
      </c>
      <c r="J546" s="644">
        <f t="shared" si="34"/>
        <v>0</v>
      </c>
      <c r="K546" s="1284">
        <v>0</v>
      </c>
      <c r="L546" s="644">
        <f t="shared" si="35"/>
        <v>0</v>
      </c>
      <c r="M546" s="680">
        <v>0</v>
      </c>
      <c r="N546" s="651">
        <v>0</v>
      </c>
    </row>
    <row r="547" spans="1:14" ht="15.95" customHeight="1" x14ac:dyDescent="0.15">
      <c r="A547" s="1286">
        <v>43132</v>
      </c>
      <c r="B547" s="640" t="str">
        <f t="shared" ca="1" si="32"/>
        <v>09</v>
      </c>
      <c r="C547" s="1285" t="s">
        <v>329</v>
      </c>
      <c r="D547" s="640" t="str">
        <f t="shared" ca="1" si="33"/>
        <v>05</v>
      </c>
      <c r="E547" s="1285" t="s">
        <v>543</v>
      </c>
      <c r="F547" s="641" t="str">
        <f>IF(G547="","",VLOOKUP(G547,リスト!J$2:K$3,2,FALSE))</f>
        <v>01</v>
      </c>
      <c r="G547" s="1285" t="s">
        <v>841</v>
      </c>
      <c r="H547" s="1284">
        <v>2200178</v>
      </c>
      <c r="I547" s="1284">
        <v>0</v>
      </c>
      <c r="J547" s="644">
        <f t="shared" si="34"/>
        <v>2200178</v>
      </c>
      <c r="K547" s="1284">
        <v>2200178</v>
      </c>
      <c r="L547" s="644">
        <f t="shared" si="35"/>
        <v>0</v>
      </c>
      <c r="M547" s="680">
        <v>0</v>
      </c>
      <c r="N547" s="651">
        <v>0</v>
      </c>
    </row>
    <row r="548" spans="1:14" ht="15.95" customHeight="1" x14ac:dyDescent="0.15">
      <c r="A548" s="1286">
        <v>43132</v>
      </c>
      <c r="B548" s="640" t="str">
        <f t="shared" ca="1" si="32"/>
        <v>10</v>
      </c>
      <c r="C548" s="1285" t="s">
        <v>336</v>
      </c>
      <c r="D548" s="640" t="str">
        <f t="shared" ca="1" si="33"/>
        <v>02</v>
      </c>
      <c r="E548" s="1285" t="s">
        <v>84</v>
      </c>
      <c r="F548" s="641" t="str">
        <f>IF(G548="","",VLOOKUP(G548,リスト!J$2:K$3,2,FALSE))</f>
        <v>02</v>
      </c>
      <c r="G548" s="1285" t="s">
        <v>842</v>
      </c>
      <c r="H548" s="1284">
        <v>0</v>
      </c>
      <c r="I548" s="1284">
        <v>0</v>
      </c>
      <c r="J548" s="644">
        <f t="shared" si="34"/>
        <v>0</v>
      </c>
      <c r="K548" s="1284">
        <v>0</v>
      </c>
      <c r="L548" s="644">
        <f t="shared" si="35"/>
        <v>0</v>
      </c>
      <c r="M548" s="680">
        <v>0</v>
      </c>
      <c r="N548" s="651">
        <v>0</v>
      </c>
    </row>
    <row r="549" spans="1:14" ht="15.95" customHeight="1" x14ac:dyDescent="0.15">
      <c r="A549" s="1286">
        <v>43132</v>
      </c>
      <c r="B549" s="640" t="str">
        <f t="shared" ca="1" si="32"/>
        <v>10</v>
      </c>
      <c r="C549" s="1285" t="s">
        <v>336</v>
      </c>
      <c r="D549" s="640" t="str">
        <f t="shared" ca="1" si="33"/>
        <v>01</v>
      </c>
      <c r="E549" s="1285" t="s">
        <v>83</v>
      </c>
      <c r="F549" s="641" t="str">
        <f>IF(G549="","",VLOOKUP(G549,リスト!J$2:K$3,2,FALSE))</f>
        <v>02</v>
      </c>
      <c r="G549" s="1285" t="s">
        <v>842</v>
      </c>
      <c r="H549" s="1284">
        <v>25487</v>
      </c>
      <c r="I549" s="1284">
        <v>5254</v>
      </c>
      <c r="J549" s="644">
        <f t="shared" si="34"/>
        <v>30741</v>
      </c>
      <c r="K549" s="1284">
        <v>30741</v>
      </c>
      <c r="L549" s="644">
        <f t="shared" si="35"/>
        <v>0</v>
      </c>
      <c r="M549" s="680">
        <v>0</v>
      </c>
      <c r="N549" s="651">
        <v>0</v>
      </c>
    </row>
    <row r="550" spans="1:14" ht="15.95" customHeight="1" x14ac:dyDescent="0.15">
      <c r="A550" s="1286">
        <v>43132</v>
      </c>
      <c r="B550" s="640" t="str">
        <f t="shared" ca="1" si="32"/>
        <v>10</v>
      </c>
      <c r="C550" s="1285" t="s">
        <v>336</v>
      </c>
      <c r="D550" s="640" t="str">
        <f t="shared" ca="1" si="33"/>
        <v>02</v>
      </c>
      <c r="E550" s="1285" t="s">
        <v>84</v>
      </c>
      <c r="F550" s="641" t="str">
        <f>IF(G550="","",VLOOKUP(G550,リスト!J$2:K$3,2,FALSE))</f>
        <v>01</v>
      </c>
      <c r="G550" s="1285" t="s">
        <v>841</v>
      </c>
      <c r="H550" s="1284">
        <v>0</v>
      </c>
      <c r="I550" s="1284">
        <v>0</v>
      </c>
      <c r="J550" s="644">
        <f t="shared" si="34"/>
        <v>0</v>
      </c>
      <c r="K550" s="1284">
        <v>0</v>
      </c>
      <c r="L550" s="644">
        <f t="shared" si="35"/>
        <v>0</v>
      </c>
      <c r="M550" s="680">
        <v>0</v>
      </c>
      <c r="N550" s="651">
        <v>0</v>
      </c>
    </row>
    <row r="551" spans="1:14" ht="15.95" customHeight="1" x14ac:dyDescent="0.15">
      <c r="A551" s="1286">
        <v>43132</v>
      </c>
      <c r="B551" s="640" t="str">
        <f t="shared" ca="1" si="32"/>
        <v>10</v>
      </c>
      <c r="C551" s="1285" t="s">
        <v>336</v>
      </c>
      <c r="D551" s="640" t="str">
        <f t="shared" ca="1" si="33"/>
        <v>01</v>
      </c>
      <c r="E551" s="1285" t="s">
        <v>83</v>
      </c>
      <c r="F551" s="641" t="str">
        <f>IF(G551="","",VLOOKUP(G551,リスト!J$2:K$3,2,FALSE))</f>
        <v>01</v>
      </c>
      <c r="G551" s="1285" t="s">
        <v>841</v>
      </c>
      <c r="H551" s="1284">
        <v>795848</v>
      </c>
      <c r="I551" s="1284">
        <v>-1616</v>
      </c>
      <c r="J551" s="644">
        <f t="shared" si="34"/>
        <v>794232</v>
      </c>
      <c r="K551" s="1284">
        <v>794232</v>
      </c>
      <c r="L551" s="644">
        <f t="shared" si="35"/>
        <v>0</v>
      </c>
      <c r="M551" s="680">
        <v>0</v>
      </c>
      <c r="N551" s="651">
        <v>0</v>
      </c>
    </row>
    <row r="552" spans="1:14" ht="15.95" customHeight="1" x14ac:dyDescent="0.15">
      <c r="A552" s="1286">
        <v>43160</v>
      </c>
      <c r="B552" s="640" t="str">
        <f t="shared" ca="1" si="32"/>
        <v>01</v>
      </c>
      <c r="C552" s="1285" t="s">
        <v>34</v>
      </c>
      <c r="D552" s="640" t="str">
        <f t="shared" ca="1" si="33"/>
        <v>03</v>
      </c>
      <c r="E552" s="1285" t="s">
        <v>98</v>
      </c>
      <c r="F552" s="641" t="str">
        <f>IF(G552="","",VLOOKUP(G552,リスト!J$2:K$3,2,FALSE))</f>
        <v>02</v>
      </c>
      <c r="G552" s="1285" t="s">
        <v>842</v>
      </c>
      <c r="H552" s="1284">
        <v>25626</v>
      </c>
      <c r="I552" s="1284">
        <v>0</v>
      </c>
      <c r="J552" s="644">
        <f t="shared" si="34"/>
        <v>25626</v>
      </c>
      <c r="K552" s="1284">
        <v>25626</v>
      </c>
      <c r="L552" s="644">
        <f t="shared" si="35"/>
        <v>0</v>
      </c>
      <c r="M552" s="680"/>
      <c r="N552" s="651">
        <v>0</v>
      </c>
    </row>
    <row r="553" spans="1:14" ht="15.95" customHeight="1" x14ac:dyDescent="0.15">
      <c r="A553" s="1286">
        <v>43160</v>
      </c>
      <c r="B553" s="640" t="str">
        <f t="shared" ca="1" si="32"/>
        <v>01</v>
      </c>
      <c r="C553" s="1285" t="s">
        <v>34</v>
      </c>
      <c r="D553" s="640" t="str">
        <f t="shared" ca="1" si="33"/>
        <v>02</v>
      </c>
      <c r="E553" s="1285" t="s">
        <v>84</v>
      </c>
      <c r="F553" s="641" t="str">
        <f>IF(G553="","",VLOOKUP(G553,リスト!J$2:K$3,2,FALSE))</f>
        <v>02</v>
      </c>
      <c r="G553" s="1285" t="s">
        <v>842</v>
      </c>
      <c r="H553" s="1284">
        <v>0</v>
      </c>
      <c r="I553" s="1284">
        <v>0</v>
      </c>
      <c r="J553" s="644">
        <f t="shared" si="34"/>
        <v>0</v>
      </c>
      <c r="K553" s="1284">
        <v>0</v>
      </c>
      <c r="L553" s="644">
        <f t="shared" si="35"/>
        <v>0</v>
      </c>
      <c r="M553" s="680"/>
      <c r="N553" s="651">
        <v>0</v>
      </c>
    </row>
    <row r="554" spans="1:14" ht="15.95" customHeight="1" x14ac:dyDescent="0.15">
      <c r="A554" s="1286">
        <v>43160</v>
      </c>
      <c r="B554" s="640" t="str">
        <f t="shared" ca="1" si="32"/>
        <v>01</v>
      </c>
      <c r="C554" s="1285" t="s">
        <v>34</v>
      </c>
      <c r="D554" s="640" t="str">
        <f t="shared" ca="1" si="33"/>
        <v>01</v>
      </c>
      <c r="E554" s="1285" t="s">
        <v>83</v>
      </c>
      <c r="F554" s="641" t="str">
        <f>IF(G554="","",VLOOKUP(G554,リスト!J$2:K$3,2,FALSE))</f>
        <v>02</v>
      </c>
      <c r="G554" s="1285" t="s">
        <v>842</v>
      </c>
      <c r="H554" s="1284">
        <v>139955</v>
      </c>
      <c r="I554" s="1284">
        <v>0</v>
      </c>
      <c r="J554" s="644">
        <f t="shared" si="34"/>
        <v>139955</v>
      </c>
      <c r="K554" s="1284">
        <v>139955</v>
      </c>
      <c r="L554" s="644">
        <f t="shared" si="35"/>
        <v>0</v>
      </c>
      <c r="M554" s="680">
        <v>0</v>
      </c>
      <c r="N554" s="651">
        <v>0</v>
      </c>
    </row>
    <row r="555" spans="1:14" ht="15.95" customHeight="1" x14ac:dyDescent="0.15">
      <c r="A555" s="1286">
        <v>43160</v>
      </c>
      <c r="B555" s="640" t="str">
        <f t="shared" ca="1" si="32"/>
        <v>01</v>
      </c>
      <c r="C555" s="1285" t="s">
        <v>34</v>
      </c>
      <c r="D555" s="640" t="str">
        <f t="shared" ca="1" si="33"/>
        <v>03</v>
      </c>
      <c r="E555" s="1285" t="s">
        <v>98</v>
      </c>
      <c r="F555" s="641" t="str">
        <f>IF(G555="","",VLOOKUP(G555,リスト!J$2:K$3,2,FALSE))</f>
        <v>01</v>
      </c>
      <c r="G555" s="1285" t="s">
        <v>841</v>
      </c>
      <c r="H555" s="1284">
        <v>730653</v>
      </c>
      <c r="I555" s="1284">
        <v>-14477</v>
      </c>
      <c r="J555" s="644">
        <f t="shared" si="34"/>
        <v>716176</v>
      </c>
      <c r="K555" s="1284">
        <v>716176</v>
      </c>
      <c r="L555" s="644">
        <f t="shared" si="35"/>
        <v>0</v>
      </c>
      <c r="M555" s="680">
        <v>14477</v>
      </c>
      <c r="N555" s="651">
        <v>0</v>
      </c>
    </row>
    <row r="556" spans="1:14" ht="15.95" customHeight="1" x14ac:dyDescent="0.15">
      <c r="A556" s="1286">
        <v>43160</v>
      </c>
      <c r="B556" s="640" t="str">
        <f t="shared" ca="1" si="32"/>
        <v>01</v>
      </c>
      <c r="C556" s="1285" t="s">
        <v>34</v>
      </c>
      <c r="D556" s="640" t="str">
        <f t="shared" ca="1" si="33"/>
        <v>02</v>
      </c>
      <c r="E556" s="1285" t="s">
        <v>84</v>
      </c>
      <c r="F556" s="641" t="str">
        <f>IF(G556="","",VLOOKUP(G556,リスト!J$2:K$3,2,FALSE))</f>
        <v>01</v>
      </c>
      <c r="G556" s="1285" t="s">
        <v>841</v>
      </c>
      <c r="H556" s="1284">
        <v>1269395</v>
      </c>
      <c r="I556" s="1284">
        <v>0</v>
      </c>
      <c r="J556" s="644">
        <f t="shared" si="34"/>
        <v>1269395</v>
      </c>
      <c r="K556" s="1284">
        <v>1269395</v>
      </c>
      <c r="L556" s="644">
        <f t="shared" si="35"/>
        <v>0</v>
      </c>
      <c r="M556" s="680">
        <v>23433</v>
      </c>
      <c r="N556" s="651">
        <v>269529</v>
      </c>
    </row>
    <row r="557" spans="1:14" ht="15.95" customHeight="1" x14ac:dyDescent="0.15">
      <c r="A557" s="1286">
        <v>43160</v>
      </c>
      <c r="B557" s="640" t="str">
        <f t="shared" ca="1" si="32"/>
        <v>01</v>
      </c>
      <c r="C557" s="1285" t="s">
        <v>34</v>
      </c>
      <c r="D557" s="640" t="str">
        <f t="shared" ca="1" si="33"/>
        <v>01</v>
      </c>
      <c r="E557" s="1285" t="s">
        <v>83</v>
      </c>
      <c r="F557" s="641" t="str">
        <f>IF(G557="","",VLOOKUP(G557,リスト!J$2:K$3,2,FALSE))</f>
        <v>01</v>
      </c>
      <c r="G557" s="1285" t="s">
        <v>841</v>
      </c>
      <c r="H557" s="1284">
        <v>7878756</v>
      </c>
      <c r="I557" s="1284">
        <v>-279001</v>
      </c>
      <c r="J557" s="644">
        <f t="shared" si="34"/>
        <v>7599755</v>
      </c>
      <c r="K557" s="1284">
        <v>7599755</v>
      </c>
      <c r="L557" s="644">
        <f t="shared" si="35"/>
        <v>0</v>
      </c>
      <c r="M557" s="680">
        <v>125896</v>
      </c>
      <c r="N557" s="651">
        <v>1292025</v>
      </c>
    </row>
    <row r="558" spans="1:14" ht="15.95" customHeight="1" x14ac:dyDescent="0.15">
      <c r="A558" s="1286">
        <v>43160</v>
      </c>
      <c r="B558" s="640" t="str">
        <f t="shared" ca="1" si="32"/>
        <v>02</v>
      </c>
      <c r="C558" s="1285" t="s">
        <v>37</v>
      </c>
      <c r="D558" s="640" t="str">
        <f t="shared" ca="1" si="33"/>
        <v>03</v>
      </c>
      <c r="E558" s="1285" t="s">
        <v>98</v>
      </c>
      <c r="F558" s="641" t="str">
        <f>IF(G558="","",VLOOKUP(G558,リスト!J$2:K$3,2,FALSE))</f>
        <v>02</v>
      </c>
      <c r="G558" s="1285" t="s">
        <v>842</v>
      </c>
      <c r="H558" s="1284">
        <v>29900</v>
      </c>
      <c r="I558" s="1284">
        <v>0</v>
      </c>
      <c r="J558" s="644">
        <f t="shared" si="34"/>
        <v>29900</v>
      </c>
      <c r="K558" s="1284">
        <v>29900</v>
      </c>
      <c r="L558" s="644">
        <f t="shared" si="35"/>
        <v>0</v>
      </c>
      <c r="M558" s="680">
        <v>0</v>
      </c>
      <c r="N558" s="651">
        <v>0</v>
      </c>
    </row>
    <row r="559" spans="1:14" ht="15.95" customHeight="1" x14ac:dyDescent="0.15">
      <c r="A559" s="1286">
        <v>43160</v>
      </c>
      <c r="B559" s="640" t="str">
        <f t="shared" ca="1" si="32"/>
        <v>02</v>
      </c>
      <c r="C559" s="1285" t="s">
        <v>37</v>
      </c>
      <c r="D559" s="640" t="str">
        <f t="shared" ca="1" si="33"/>
        <v>02</v>
      </c>
      <c r="E559" s="1285" t="s">
        <v>84</v>
      </c>
      <c r="F559" s="641" t="str">
        <f>IF(G559="","",VLOOKUP(G559,リスト!J$2:K$3,2,FALSE))</f>
        <v>02</v>
      </c>
      <c r="G559" s="1285" t="s">
        <v>842</v>
      </c>
      <c r="H559" s="1284">
        <v>21252</v>
      </c>
      <c r="I559" s="1284">
        <v>-13960</v>
      </c>
      <c r="J559" s="644">
        <f t="shared" si="34"/>
        <v>7292</v>
      </c>
      <c r="K559" s="1284">
        <v>7292</v>
      </c>
      <c r="L559" s="644">
        <f t="shared" si="35"/>
        <v>0</v>
      </c>
      <c r="M559" s="680">
        <v>0</v>
      </c>
      <c r="N559" s="651">
        <v>0</v>
      </c>
    </row>
    <row r="560" spans="1:14" ht="15.95" customHeight="1" x14ac:dyDescent="0.15">
      <c r="A560" s="1286">
        <v>43160</v>
      </c>
      <c r="B560" s="640" t="str">
        <f t="shared" ca="1" si="32"/>
        <v>02</v>
      </c>
      <c r="C560" s="1285" t="s">
        <v>37</v>
      </c>
      <c r="D560" s="640" t="str">
        <f t="shared" ca="1" si="33"/>
        <v>01</v>
      </c>
      <c r="E560" s="1285" t="s">
        <v>83</v>
      </c>
      <c r="F560" s="641" t="str">
        <f>IF(G560="","",VLOOKUP(G560,リスト!J$2:K$3,2,FALSE))</f>
        <v>02</v>
      </c>
      <c r="G560" s="1285" t="s">
        <v>842</v>
      </c>
      <c r="H560" s="1284">
        <v>314769</v>
      </c>
      <c r="I560" s="1284">
        <v>-1172410</v>
      </c>
      <c r="J560" s="644">
        <f t="shared" si="34"/>
        <v>-857641</v>
      </c>
      <c r="K560" s="1284">
        <v>-857641</v>
      </c>
      <c r="L560" s="644">
        <f t="shared" si="35"/>
        <v>0</v>
      </c>
      <c r="M560" s="680">
        <v>0</v>
      </c>
      <c r="N560" s="651">
        <v>0</v>
      </c>
    </row>
    <row r="561" spans="1:14" ht="15.95" customHeight="1" x14ac:dyDescent="0.15">
      <c r="A561" s="1286">
        <v>43160</v>
      </c>
      <c r="B561" s="640" t="str">
        <f t="shared" ca="1" si="32"/>
        <v>02</v>
      </c>
      <c r="C561" s="1285" t="s">
        <v>37</v>
      </c>
      <c r="D561" s="640" t="str">
        <f t="shared" ca="1" si="33"/>
        <v>03</v>
      </c>
      <c r="E561" s="1285" t="s">
        <v>98</v>
      </c>
      <c r="F561" s="641" t="str">
        <f>IF(G561="","",VLOOKUP(G561,リスト!J$2:K$3,2,FALSE))</f>
        <v>01</v>
      </c>
      <c r="G561" s="1285" t="s">
        <v>841</v>
      </c>
      <c r="H561" s="1284">
        <v>453304</v>
      </c>
      <c r="I561" s="1284">
        <v>0</v>
      </c>
      <c r="J561" s="644">
        <f t="shared" si="34"/>
        <v>453304</v>
      </c>
      <c r="K561" s="1284">
        <v>453304</v>
      </c>
      <c r="L561" s="644">
        <f t="shared" si="35"/>
        <v>0</v>
      </c>
      <c r="M561" s="680">
        <v>0</v>
      </c>
      <c r="N561" s="651">
        <v>0</v>
      </c>
    </row>
    <row r="562" spans="1:14" ht="15.95" customHeight="1" x14ac:dyDescent="0.15">
      <c r="A562" s="1286">
        <v>43160</v>
      </c>
      <c r="B562" s="640" t="str">
        <f t="shared" ca="1" si="32"/>
        <v>02</v>
      </c>
      <c r="C562" s="1285" t="s">
        <v>37</v>
      </c>
      <c r="D562" s="640" t="str">
        <f t="shared" ca="1" si="33"/>
        <v>02</v>
      </c>
      <c r="E562" s="1285" t="s">
        <v>84</v>
      </c>
      <c r="F562" s="641" t="str">
        <f>IF(G562="","",VLOOKUP(G562,リスト!J$2:K$3,2,FALSE))</f>
        <v>01</v>
      </c>
      <c r="G562" s="1285" t="s">
        <v>841</v>
      </c>
      <c r="H562" s="1284">
        <v>908370</v>
      </c>
      <c r="I562" s="1284">
        <v>-14893</v>
      </c>
      <c r="J562" s="644">
        <f t="shared" si="34"/>
        <v>893477</v>
      </c>
      <c r="K562" s="1284">
        <v>893477</v>
      </c>
      <c r="L562" s="644">
        <f t="shared" si="35"/>
        <v>0</v>
      </c>
      <c r="M562" s="680">
        <v>0</v>
      </c>
      <c r="N562" s="651">
        <v>208652</v>
      </c>
    </row>
    <row r="563" spans="1:14" ht="15.95" customHeight="1" x14ac:dyDescent="0.15">
      <c r="A563" s="1286">
        <v>43160</v>
      </c>
      <c r="B563" s="640" t="str">
        <f t="shared" ca="1" si="32"/>
        <v>02</v>
      </c>
      <c r="C563" s="1285" t="s">
        <v>37</v>
      </c>
      <c r="D563" s="640" t="str">
        <f t="shared" ca="1" si="33"/>
        <v>01</v>
      </c>
      <c r="E563" s="1285" t="s">
        <v>83</v>
      </c>
      <c r="F563" s="641" t="str">
        <f>IF(G563="","",VLOOKUP(G563,リスト!J$2:K$3,2,FALSE))</f>
        <v>01</v>
      </c>
      <c r="G563" s="1285" t="s">
        <v>841</v>
      </c>
      <c r="H563" s="1284">
        <v>4773750</v>
      </c>
      <c r="I563" s="1284">
        <v>-370184</v>
      </c>
      <c r="J563" s="644">
        <f t="shared" si="34"/>
        <v>4403566</v>
      </c>
      <c r="K563" s="1284">
        <v>4403566</v>
      </c>
      <c r="L563" s="644">
        <f t="shared" si="35"/>
        <v>0</v>
      </c>
      <c r="M563" s="680">
        <v>20066</v>
      </c>
      <c r="N563" s="651">
        <v>520816</v>
      </c>
    </row>
    <row r="564" spans="1:14" ht="15.95" customHeight="1" x14ac:dyDescent="0.15">
      <c r="A564" s="1286">
        <v>43160</v>
      </c>
      <c r="B564" s="640" t="str">
        <f t="shared" ca="1" si="32"/>
        <v>03</v>
      </c>
      <c r="C564" s="1285" t="s">
        <v>66</v>
      </c>
      <c r="D564" s="640" t="str">
        <f t="shared" ca="1" si="33"/>
        <v>02</v>
      </c>
      <c r="E564" s="1285" t="s">
        <v>84</v>
      </c>
      <c r="F564" s="641" t="str">
        <f>IF(G564="","",VLOOKUP(G564,リスト!J$2:K$3,2,FALSE))</f>
        <v>02</v>
      </c>
      <c r="G564" s="1285" t="s">
        <v>842</v>
      </c>
      <c r="H564" s="1284">
        <v>0</v>
      </c>
      <c r="I564" s="1284">
        <v>0</v>
      </c>
      <c r="J564" s="644">
        <f t="shared" si="34"/>
        <v>0</v>
      </c>
      <c r="K564" s="1284">
        <v>0</v>
      </c>
      <c r="L564" s="644">
        <f t="shared" si="35"/>
        <v>0</v>
      </c>
      <c r="M564" s="680">
        <v>0</v>
      </c>
      <c r="N564" s="651">
        <v>3</v>
      </c>
    </row>
    <row r="565" spans="1:14" ht="15.95" customHeight="1" x14ac:dyDescent="0.15">
      <c r="A565" s="1286">
        <v>43160</v>
      </c>
      <c r="B565" s="640" t="str">
        <f t="shared" ca="1" si="32"/>
        <v>03</v>
      </c>
      <c r="C565" s="1285" t="s">
        <v>66</v>
      </c>
      <c r="D565" s="640" t="str">
        <f t="shared" ca="1" si="33"/>
        <v>01</v>
      </c>
      <c r="E565" s="1285" t="s">
        <v>83</v>
      </c>
      <c r="F565" s="641" t="str">
        <f>IF(G565="","",VLOOKUP(G565,リスト!J$2:K$3,2,FALSE))</f>
        <v>02</v>
      </c>
      <c r="G565" s="1285" t="s">
        <v>842</v>
      </c>
      <c r="H565" s="1284">
        <v>87846</v>
      </c>
      <c r="I565" s="1284">
        <v>-287573</v>
      </c>
      <c r="J565" s="644">
        <f t="shared" si="34"/>
        <v>-199727</v>
      </c>
      <c r="K565" s="1284">
        <v>-199727</v>
      </c>
      <c r="L565" s="644">
        <f t="shared" si="35"/>
        <v>0</v>
      </c>
      <c r="M565" s="680">
        <v>0</v>
      </c>
      <c r="N565" s="651">
        <v>0</v>
      </c>
    </row>
    <row r="566" spans="1:14" ht="15.95" customHeight="1" x14ac:dyDescent="0.15">
      <c r="A566" s="1286">
        <v>43160</v>
      </c>
      <c r="B566" s="640" t="str">
        <f t="shared" ca="1" si="32"/>
        <v>03</v>
      </c>
      <c r="C566" s="1285" t="s">
        <v>66</v>
      </c>
      <c r="D566" s="640" t="str">
        <f t="shared" ca="1" si="33"/>
        <v>02</v>
      </c>
      <c r="E566" s="1285" t="s">
        <v>84</v>
      </c>
      <c r="F566" s="641" t="str">
        <f>IF(G566="","",VLOOKUP(G566,リスト!J$2:K$3,2,FALSE))</f>
        <v>01</v>
      </c>
      <c r="G566" s="1285" t="s">
        <v>841</v>
      </c>
      <c r="H566" s="1284">
        <v>1866278</v>
      </c>
      <c r="I566" s="1284">
        <v>-242124</v>
      </c>
      <c r="J566" s="644">
        <f t="shared" si="34"/>
        <v>1624154</v>
      </c>
      <c r="K566" s="1284">
        <v>1624154</v>
      </c>
      <c r="L566" s="644">
        <f t="shared" si="35"/>
        <v>0</v>
      </c>
      <c r="M566" s="680">
        <v>0</v>
      </c>
      <c r="N566" s="651">
        <v>377692</v>
      </c>
    </row>
    <row r="567" spans="1:14" ht="15.95" customHeight="1" x14ac:dyDescent="0.15">
      <c r="A567" s="1286">
        <v>43160</v>
      </c>
      <c r="B567" s="640" t="str">
        <f t="shared" ca="1" si="32"/>
        <v>03</v>
      </c>
      <c r="C567" s="1285" t="s">
        <v>66</v>
      </c>
      <c r="D567" s="640" t="str">
        <f t="shared" ca="1" si="33"/>
        <v>01</v>
      </c>
      <c r="E567" s="1285" t="s">
        <v>83</v>
      </c>
      <c r="F567" s="641" t="str">
        <f>IF(G567="","",VLOOKUP(G567,リスト!J$2:K$3,2,FALSE))</f>
        <v>01</v>
      </c>
      <c r="G567" s="1285" t="s">
        <v>841</v>
      </c>
      <c r="H567" s="1284">
        <v>4129249</v>
      </c>
      <c r="I567" s="1284">
        <v>-13569</v>
      </c>
      <c r="J567" s="644">
        <f t="shared" si="34"/>
        <v>4115680</v>
      </c>
      <c r="K567" s="1284">
        <v>4115680</v>
      </c>
      <c r="L567" s="644">
        <f t="shared" si="35"/>
        <v>0</v>
      </c>
      <c r="M567" s="680">
        <v>232399</v>
      </c>
      <c r="N567" s="651">
        <v>404767</v>
      </c>
    </row>
    <row r="568" spans="1:14" ht="15.95" customHeight="1" x14ac:dyDescent="0.15">
      <c r="A568" s="1286">
        <v>43160</v>
      </c>
      <c r="B568" s="640" t="str">
        <f t="shared" ca="1" si="32"/>
        <v>04</v>
      </c>
      <c r="C568" s="1285" t="s">
        <v>358</v>
      </c>
      <c r="D568" s="640" t="str">
        <f t="shared" ca="1" si="33"/>
        <v>04</v>
      </c>
      <c r="E568" s="1285" t="s">
        <v>542</v>
      </c>
      <c r="F568" s="641" t="str">
        <f>IF(G568="","",VLOOKUP(G568,リスト!J$2:K$3,2,FALSE))</f>
        <v>02</v>
      </c>
      <c r="G568" s="1285" t="s">
        <v>842</v>
      </c>
      <c r="H568" s="1284">
        <v>96286</v>
      </c>
      <c r="I568" s="1284">
        <v>-430470</v>
      </c>
      <c r="J568" s="644">
        <f t="shared" si="34"/>
        <v>-334184</v>
      </c>
      <c r="K568" s="1284">
        <v>-334184</v>
      </c>
      <c r="L568" s="644">
        <f t="shared" si="35"/>
        <v>0</v>
      </c>
      <c r="M568" s="680">
        <v>0</v>
      </c>
      <c r="N568" s="651">
        <v>0</v>
      </c>
    </row>
    <row r="569" spans="1:14" ht="15.95" customHeight="1" x14ac:dyDescent="0.15">
      <c r="A569" s="1286">
        <v>43160</v>
      </c>
      <c r="B569" s="640" t="str">
        <f t="shared" ca="1" si="32"/>
        <v>04</v>
      </c>
      <c r="C569" s="1285" t="s">
        <v>358</v>
      </c>
      <c r="D569" s="640" t="str">
        <f t="shared" ca="1" si="33"/>
        <v>04</v>
      </c>
      <c r="E569" s="1285" t="s">
        <v>542</v>
      </c>
      <c r="F569" s="641" t="str">
        <f>IF(G569="","",VLOOKUP(G569,リスト!J$2:K$3,2,FALSE))</f>
        <v>01</v>
      </c>
      <c r="G569" s="1285" t="s">
        <v>841</v>
      </c>
      <c r="H569" s="1284">
        <v>3678425</v>
      </c>
      <c r="I569" s="1284">
        <v>-98971</v>
      </c>
      <c r="J569" s="644">
        <f t="shared" si="34"/>
        <v>3579454</v>
      </c>
      <c r="K569" s="1284">
        <v>3579454</v>
      </c>
      <c r="L569" s="644">
        <f t="shared" si="35"/>
        <v>0</v>
      </c>
      <c r="M569" s="680">
        <v>0</v>
      </c>
      <c r="N569" s="651">
        <v>186659</v>
      </c>
    </row>
    <row r="570" spans="1:14" ht="15.95" customHeight="1" x14ac:dyDescent="0.15">
      <c r="A570" s="1286">
        <v>43160</v>
      </c>
      <c r="B570" s="640" t="str">
        <f t="shared" ca="1" si="32"/>
        <v>05</v>
      </c>
      <c r="C570" s="1285" t="s">
        <v>38</v>
      </c>
      <c r="D570" s="640" t="str">
        <f t="shared" ca="1" si="33"/>
        <v>01</v>
      </c>
      <c r="E570" s="1285" t="s">
        <v>83</v>
      </c>
      <c r="F570" s="641" t="str">
        <f>IF(G570="","",VLOOKUP(G570,リスト!J$2:K$3,2,FALSE))</f>
        <v>02</v>
      </c>
      <c r="G570" s="1285" t="s">
        <v>842</v>
      </c>
      <c r="H570" s="1284">
        <v>0</v>
      </c>
      <c r="I570" s="1284">
        <v>0</v>
      </c>
      <c r="J570" s="644">
        <f t="shared" si="34"/>
        <v>0</v>
      </c>
      <c r="K570" s="1284">
        <v>0</v>
      </c>
      <c r="L570" s="644">
        <f t="shared" si="35"/>
        <v>0</v>
      </c>
      <c r="M570" s="680">
        <v>0</v>
      </c>
      <c r="N570" s="651">
        <v>0</v>
      </c>
    </row>
    <row r="571" spans="1:14" ht="15.95" customHeight="1" x14ac:dyDescent="0.15">
      <c r="A571" s="1286">
        <v>43160</v>
      </c>
      <c r="B571" s="640" t="str">
        <f t="shared" ca="1" si="32"/>
        <v>05</v>
      </c>
      <c r="C571" s="1285" t="s">
        <v>38</v>
      </c>
      <c r="D571" s="640" t="str">
        <f t="shared" ca="1" si="33"/>
        <v>01</v>
      </c>
      <c r="E571" s="1285" t="s">
        <v>83</v>
      </c>
      <c r="F571" s="641" t="str">
        <f>IF(G571="","",VLOOKUP(G571,リスト!J$2:K$3,2,FALSE))</f>
        <v>01</v>
      </c>
      <c r="G571" s="1285" t="s">
        <v>841</v>
      </c>
      <c r="H571" s="1284">
        <v>2198815</v>
      </c>
      <c r="I571" s="1284">
        <v>0</v>
      </c>
      <c r="J571" s="644">
        <f t="shared" si="34"/>
        <v>2198815</v>
      </c>
      <c r="K571" s="1284">
        <v>2198815</v>
      </c>
      <c r="L571" s="644">
        <f t="shared" si="35"/>
        <v>0</v>
      </c>
      <c r="M571" s="680">
        <v>98472</v>
      </c>
      <c r="N571" s="651">
        <v>0</v>
      </c>
    </row>
    <row r="572" spans="1:14" ht="15.95" customHeight="1" x14ac:dyDescent="0.15">
      <c r="A572" s="1286">
        <v>43160</v>
      </c>
      <c r="B572" s="640" t="str">
        <f t="shared" ca="1" si="32"/>
        <v>07</v>
      </c>
      <c r="C572" s="1285" t="s">
        <v>119</v>
      </c>
      <c r="D572" s="640" t="str">
        <f t="shared" ca="1" si="33"/>
        <v>05</v>
      </c>
      <c r="E572" s="1285" t="s">
        <v>543</v>
      </c>
      <c r="F572" s="641" t="str">
        <f>IF(G572="","",VLOOKUP(G572,リスト!J$2:K$3,2,FALSE))</f>
        <v>02</v>
      </c>
      <c r="G572" s="1285" t="s">
        <v>842</v>
      </c>
      <c r="H572" s="1284">
        <v>0</v>
      </c>
      <c r="I572" s="1284">
        <v>0</v>
      </c>
      <c r="J572" s="644">
        <f t="shared" si="34"/>
        <v>0</v>
      </c>
      <c r="K572" s="1284">
        <v>0</v>
      </c>
      <c r="L572" s="644">
        <f t="shared" si="35"/>
        <v>0</v>
      </c>
      <c r="M572" s="680">
        <v>0</v>
      </c>
      <c r="N572" s="651">
        <v>0</v>
      </c>
    </row>
    <row r="573" spans="1:14" ht="15.95" customHeight="1" x14ac:dyDescent="0.15">
      <c r="A573" s="1286">
        <v>43160</v>
      </c>
      <c r="B573" s="640" t="str">
        <f t="shared" ca="1" si="32"/>
        <v>07</v>
      </c>
      <c r="C573" s="1285" t="s">
        <v>119</v>
      </c>
      <c r="D573" s="640" t="str">
        <f t="shared" ca="1" si="33"/>
        <v>05</v>
      </c>
      <c r="E573" s="1285" t="s">
        <v>543</v>
      </c>
      <c r="F573" s="641" t="str">
        <f>IF(G573="","",VLOOKUP(G573,リスト!J$2:K$3,2,FALSE))</f>
        <v>01</v>
      </c>
      <c r="G573" s="1285" t="s">
        <v>841</v>
      </c>
      <c r="H573" s="1284">
        <v>789390</v>
      </c>
      <c r="I573" s="1284">
        <v>0</v>
      </c>
      <c r="J573" s="644">
        <f t="shared" si="34"/>
        <v>789390</v>
      </c>
      <c r="K573" s="1284">
        <v>789390</v>
      </c>
      <c r="L573" s="644">
        <f t="shared" si="35"/>
        <v>0</v>
      </c>
      <c r="M573" s="680">
        <v>0</v>
      </c>
      <c r="N573" s="651">
        <v>268227</v>
      </c>
    </row>
    <row r="574" spans="1:14" ht="15.95" customHeight="1" x14ac:dyDescent="0.15">
      <c r="A574" s="1286">
        <v>43160</v>
      </c>
      <c r="B574" s="640" t="str">
        <f t="shared" ca="1" si="32"/>
        <v>08</v>
      </c>
      <c r="C574" s="1285" t="s">
        <v>189</v>
      </c>
      <c r="D574" s="640" t="str">
        <f t="shared" ca="1" si="33"/>
        <v>05</v>
      </c>
      <c r="E574" s="1285" t="s">
        <v>543</v>
      </c>
      <c r="F574" s="641" t="str">
        <f>IF(G574="","",VLOOKUP(G574,リスト!J$2:K$3,2,FALSE))</f>
        <v>02</v>
      </c>
      <c r="G574" s="1285" t="s">
        <v>842</v>
      </c>
      <c r="H574" s="1284">
        <v>0</v>
      </c>
      <c r="I574" s="1284">
        <v>0</v>
      </c>
      <c r="J574" s="644">
        <f t="shared" si="34"/>
        <v>0</v>
      </c>
      <c r="K574" s="1284">
        <v>0</v>
      </c>
      <c r="L574" s="644">
        <f t="shared" si="35"/>
        <v>0</v>
      </c>
      <c r="M574" s="680">
        <v>0</v>
      </c>
      <c r="N574" s="651">
        <v>0</v>
      </c>
    </row>
    <row r="575" spans="1:14" ht="15.95" customHeight="1" x14ac:dyDescent="0.15">
      <c r="A575" s="1286">
        <v>43160</v>
      </c>
      <c r="B575" s="640" t="str">
        <f t="shared" ca="1" si="32"/>
        <v>08</v>
      </c>
      <c r="C575" s="1285" t="s">
        <v>189</v>
      </c>
      <c r="D575" s="640" t="str">
        <f t="shared" ca="1" si="33"/>
        <v>05</v>
      </c>
      <c r="E575" s="1285" t="s">
        <v>543</v>
      </c>
      <c r="F575" s="641" t="str">
        <f>IF(G575="","",VLOOKUP(G575,リスト!J$2:K$3,2,FALSE))</f>
        <v>01</v>
      </c>
      <c r="G575" s="1285" t="s">
        <v>841</v>
      </c>
      <c r="H575" s="1284">
        <v>847336</v>
      </c>
      <c r="I575" s="1284">
        <v>0</v>
      </c>
      <c r="J575" s="644">
        <f t="shared" si="34"/>
        <v>847336</v>
      </c>
      <c r="K575" s="1284">
        <v>847336</v>
      </c>
      <c r="L575" s="644">
        <f t="shared" si="35"/>
        <v>0</v>
      </c>
      <c r="M575" s="680">
        <v>0</v>
      </c>
      <c r="N575" s="651">
        <v>0</v>
      </c>
    </row>
    <row r="576" spans="1:14" ht="15.95" customHeight="1" x14ac:dyDescent="0.15">
      <c r="A576" s="1286">
        <v>43160</v>
      </c>
      <c r="B576" s="640" t="str">
        <f t="shared" ca="1" si="32"/>
        <v>09</v>
      </c>
      <c r="C576" s="1285" t="s">
        <v>329</v>
      </c>
      <c r="D576" s="640" t="str">
        <f t="shared" ca="1" si="33"/>
        <v>05</v>
      </c>
      <c r="E576" s="1285" t="s">
        <v>543</v>
      </c>
      <c r="F576" s="641" t="str">
        <f>IF(G576="","",VLOOKUP(G576,リスト!J$2:K$3,2,FALSE))</f>
        <v>02</v>
      </c>
      <c r="G576" s="1285" t="s">
        <v>842</v>
      </c>
      <c r="H576" s="1284">
        <v>0</v>
      </c>
      <c r="I576" s="1284">
        <v>0</v>
      </c>
      <c r="J576" s="644">
        <f t="shared" si="34"/>
        <v>0</v>
      </c>
      <c r="K576" s="1284">
        <v>0</v>
      </c>
      <c r="L576" s="644">
        <f t="shared" si="35"/>
        <v>0</v>
      </c>
      <c r="M576" s="680">
        <v>0</v>
      </c>
      <c r="N576" s="651">
        <v>0</v>
      </c>
    </row>
    <row r="577" spans="1:14" ht="15.95" customHeight="1" x14ac:dyDescent="0.15">
      <c r="A577" s="1286">
        <v>43160</v>
      </c>
      <c r="B577" s="640" t="str">
        <f t="shared" ca="1" si="32"/>
        <v>09</v>
      </c>
      <c r="C577" s="1285" t="s">
        <v>329</v>
      </c>
      <c r="D577" s="640" t="str">
        <f t="shared" ca="1" si="33"/>
        <v>05</v>
      </c>
      <c r="E577" s="1285" t="s">
        <v>543</v>
      </c>
      <c r="F577" s="641" t="str">
        <f>IF(G577="","",VLOOKUP(G577,リスト!J$2:K$3,2,FALSE))</f>
        <v>01</v>
      </c>
      <c r="G577" s="1285" t="s">
        <v>841</v>
      </c>
      <c r="H577" s="1284">
        <v>2426031</v>
      </c>
      <c r="I577" s="1284">
        <v>0</v>
      </c>
      <c r="J577" s="644">
        <f t="shared" si="34"/>
        <v>2426031</v>
      </c>
      <c r="K577" s="1284">
        <v>2426031</v>
      </c>
      <c r="L577" s="644">
        <f t="shared" si="35"/>
        <v>0</v>
      </c>
      <c r="M577" s="680">
        <v>0</v>
      </c>
      <c r="N577" s="651">
        <v>0</v>
      </c>
    </row>
    <row r="578" spans="1:14" ht="15.95" customHeight="1" x14ac:dyDescent="0.15">
      <c r="A578" s="1286">
        <v>43160</v>
      </c>
      <c r="B578" s="640" t="str">
        <f t="shared" ref="B578:B641" ca="1" si="36">IF(C578="","",VLOOKUP(C578,事業所コード2,2,FALSE))</f>
        <v>10</v>
      </c>
      <c r="C578" s="1285" t="s">
        <v>336</v>
      </c>
      <c r="D578" s="640" t="str">
        <f t="shared" ref="D578:D641" ca="1" si="37">IF(E578="","",VLOOKUP(E578,事業区分コード2,2,FALSE))</f>
        <v>02</v>
      </c>
      <c r="E578" s="1285" t="s">
        <v>84</v>
      </c>
      <c r="F578" s="641" t="str">
        <f>IF(G578="","",VLOOKUP(G578,リスト!J$2:K$3,2,FALSE))</f>
        <v>02</v>
      </c>
      <c r="G578" s="1285" t="s">
        <v>842</v>
      </c>
      <c r="H578" s="1284">
        <v>0</v>
      </c>
      <c r="I578" s="1284">
        <v>0</v>
      </c>
      <c r="J578" s="644">
        <f t="shared" ref="J578:J641" si="38">IF(A578="","",H578+I578)</f>
        <v>0</v>
      </c>
      <c r="K578" s="1284">
        <v>0</v>
      </c>
      <c r="L578" s="644">
        <f t="shared" ref="L578:L641" si="39">IF(A578="","",J578-K578)</f>
        <v>0</v>
      </c>
      <c r="M578" s="680">
        <v>0</v>
      </c>
      <c r="N578" s="651">
        <v>0</v>
      </c>
    </row>
    <row r="579" spans="1:14" ht="15.95" customHeight="1" x14ac:dyDescent="0.15">
      <c r="A579" s="1286">
        <v>43160</v>
      </c>
      <c r="B579" s="640" t="str">
        <f t="shared" ca="1" si="36"/>
        <v>10</v>
      </c>
      <c r="C579" s="1285" t="s">
        <v>336</v>
      </c>
      <c r="D579" s="640" t="str">
        <f t="shared" ca="1" si="37"/>
        <v>01</v>
      </c>
      <c r="E579" s="1285" t="s">
        <v>83</v>
      </c>
      <c r="F579" s="641" t="str">
        <f>IF(G579="","",VLOOKUP(G579,リスト!J$2:K$3,2,FALSE))</f>
        <v>02</v>
      </c>
      <c r="G579" s="1285" t="s">
        <v>842</v>
      </c>
      <c r="H579" s="1284">
        <v>2600</v>
      </c>
      <c r="I579" s="1284">
        <v>1616</v>
      </c>
      <c r="J579" s="644">
        <f t="shared" si="38"/>
        <v>4216</v>
      </c>
      <c r="K579" s="1284">
        <v>4216</v>
      </c>
      <c r="L579" s="644">
        <f t="shared" si="39"/>
        <v>0</v>
      </c>
      <c r="M579" s="680">
        <v>0</v>
      </c>
      <c r="N579" s="651">
        <v>0</v>
      </c>
    </row>
    <row r="580" spans="1:14" ht="15.95" customHeight="1" x14ac:dyDescent="0.15">
      <c r="A580" s="1286">
        <v>43160</v>
      </c>
      <c r="B580" s="640" t="str">
        <f t="shared" ca="1" si="36"/>
        <v>10</v>
      </c>
      <c r="C580" s="1285" t="s">
        <v>336</v>
      </c>
      <c r="D580" s="640" t="str">
        <f t="shared" ca="1" si="37"/>
        <v>02</v>
      </c>
      <c r="E580" s="1285" t="s">
        <v>84</v>
      </c>
      <c r="F580" s="641" t="str">
        <f>IF(G580="","",VLOOKUP(G580,リスト!J$2:K$3,2,FALSE))</f>
        <v>01</v>
      </c>
      <c r="G580" s="1285" t="s">
        <v>841</v>
      </c>
      <c r="H580" s="1284">
        <v>41560</v>
      </c>
      <c r="I580" s="1284">
        <v>0</v>
      </c>
      <c r="J580" s="644">
        <f t="shared" si="38"/>
        <v>41560</v>
      </c>
      <c r="K580" s="1284">
        <v>41560</v>
      </c>
      <c r="L580" s="644">
        <f t="shared" si="39"/>
        <v>0</v>
      </c>
      <c r="M580" s="680">
        <v>0</v>
      </c>
      <c r="N580" s="651">
        <v>0</v>
      </c>
    </row>
    <row r="581" spans="1:14" ht="15.95" customHeight="1" x14ac:dyDescent="0.15">
      <c r="A581" s="1286">
        <v>43160</v>
      </c>
      <c r="B581" s="640" t="str">
        <f t="shared" ca="1" si="36"/>
        <v>10</v>
      </c>
      <c r="C581" s="1285" t="s">
        <v>336</v>
      </c>
      <c r="D581" s="640" t="str">
        <f t="shared" ca="1" si="37"/>
        <v>01</v>
      </c>
      <c r="E581" s="1285" t="s">
        <v>83</v>
      </c>
      <c r="F581" s="641" t="str">
        <f>IF(G581="","",VLOOKUP(G581,リスト!J$2:K$3,2,FALSE))</f>
        <v>01</v>
      </c>
      <c r="G581" s="1285" t="s">
        <v>841</v>
      </c>
      <c r="H581" s="1284">
        <v>782647</v>
      </c>
      <c r="I581" s="1284">
        <v>-2023</v>
      </c>
      <c r="J581" s="644">
        <f t="shared" si="38"/>
        <v>780624</v>
      </c>
      <c r="K581" s="1284">
        <v>780624</v>
      </c>
      <c r="L581" s="644">
        <f t="shared" si="39"/>
        <v>0</v>
      </c>
      <c r="M581" s="680">
        <v>0</v>
      </c>
      <c r="N581" s="651">
        <v>0</v>
      </c>
    </row>
    <row r="582" spans="1:14" ht="15.95" customHeight="1" x14ac:dyDescent="0.15">
      <c r="A582" s="1286">
        <v>43191</v>
      </c>
      <c r="B582" s="640" t="str">
        <f t="shared" ca="1" si="36"/>
        <v>01</v>
      </c>
      <c r="C582" s="1285" t="s">
        <v>34</v>
      </c>
      <c r="D582" s="640" t="str">
        <f t="shared" ca="1" si="37"/>
        <v>01</v>
      </c>
      <c r="E582" s="1285" t="s">
        <v>83</v>
      </c>
      <c r="F582" s="641" t="str">
        <f>IF(G582="","",VLOOKUP(G582,リスト!J$2:K$3,2,FALSE))</f>
        <v>01</v>
      </c>
      <c r="G582" s="1285" t="s">
        <v>841</v>
      </c>
      <c r="H582" s="1284">
        <v>7973312</v>
      </c>
      <c r="I582" s="1284">
        <v>-39247</v>
      </c>
      <c r="J582" s="644">
        <f t="shared" si="38"/>
        <v>7934065</v>
      </c>
      <c r="K582" s="1284">
        <v>7934065</v>
      </c>
      <c r="L582" s="644">
        <f t="shared" si="39"/>
        <v>0</v>
      </c>
      <c r="M582" s="680">
        <v>111322</v>
      </c>
      <c r="N582" s="651">
        <v>1369946</v>
      </c>
    </row>
    <row r="583" spans="1:14" ht="15.95" customHeight="1" x14ac:dyDescent="0.15">
      <c r="A583" s="1286">
        <v>43191</v>
      </c>
      <c r="B583" s="640" t="str">
        <f t="shared" ca="1" si="36"/>
        <v>01</v>
      </c>
      <c r="C583" s="1285" t="s">
        <v>34</v>
      </c>
      <c r="D583" s="640" t="str">
        <f t="shared" ca="1" si="37"/>
        <v>03</v>
      </c>
      <c r="E583" s="1285" t="s">
        <v>98</v>
      </c>
      <c r="F583" s="641" t="str">
        <f>IF(G583="","",VLOOKUP(G583,リスト!J$2:K$3,2,FALSE))</f>
        <v>01</v>
      </c>
      <c r="G583" s="1285" t="s">
        <v>841</v>
      </c>
      <c r="H583" s="1284">
        <v>670235</v>
      </c>
      <c r="I583" s="1284">
        <v>0</v>
      </c>
      <c r="J583" s="644">
        <f t="shared" si="38"/>
        <v>670235</v>
      </c>
      <c r="K583" s="1284">
        <v>670235</v>
      </c>
      <c r="L583" s="644">
        <f t="shared" si="39"/>
        <v>0</v>
      </c>
      <c r="M583" s="680">
        <v>0</v>
      </c>
      <c r="N583" s="651">
        <v>0</v>
      </c>
    </row>
    <row r="584" spans="1:14" ht="15.95" customHeight="1" x14ac:dyDescent="0.15">
      <c r="A584" s="1286">
        <v>43191</v>
      </c>
      <c r="B584" s="640" t="str">
        <f t="shared" ca="1" si="36"/>
        <v>01</v>
      </c>
      <c r="C584" s="1285" t="s">
        <v>34</v>
      </c>
      <c r="D584" s="640" t="str">
        <f t="shared" ca="1" si="37"/>
        <v>02</v>
      </c>
      <c r="E584" s="1285" t="s">
        <v>84</v>
      </c>
      <c r="F584" s="641" t="str">
        <f>IF(G584="","",VLOOKUP(G584,リスト!J$2:K$3,2,FALSE))</f>
        <v>01</v>
      </c>
      <c r="G584" s="1285" t="s">
        <v>841</v>
      </c>
      <c r="H584" s="1284">
        <v>1148121</v>
      </c>
      <c r="I584" s="1284">
        <v>-99693</v>
      </c>
      <c r="J584" s="644">
        <f t="shared" si="38"/>
        <v>1048428</v>
      </c>
      <c r="K584" s="1284">
        <v>1048428</v>
      </c>
      <c r="L584" s="644">
        <f t="shared" si="39"/>
        <v>0</v>
      </c>
      <c r="M584" s="680">
        <v>0</v>
      </c>
      <c r="N584" s="651">
        <v>231734</v>
      </c>
    </row>
    <row r="585" spans="1:14" ht="15.95" customHeight="1" x14ac:dyDescent="0.15">
      <c r="A585" s="1286">
        <v>43191</v>
      </c>
      <c r="B585" s="640" t="str">
        <f t="shared" ca="1" si="36"/>
        <v>01</v>
      </c>
      <c r="C585" s="1285" t="s">
        <v>34</v>
      </c>
      <c r="D585" s="640" t="str">
        <f t="shared" ca="1" si="37"/>
        <v>01</v>
      </c>
      <c r="E585" s="1285" t="s">
        <v>83</v>
      </c>
      <c r="F585" s="641" t="str">
        <f>IF(G585="","",VLOOKUP(G585,リスト!J$2:K$3,2,FALSE))</f>
        <v>02</v>
      </c>
      <c r="G585" s="1285" t="s">
        <v>842</v>
      </c>
      <c r="H585" s="1284">
        <v>125896</v>
      </c>
      <c r="I585" s="1284">
        <v>78344</v>
      </c>
      <c r="J585" s="644">
        <f t="shared" si="38"/>
        <v>204240</v>
      </c>
      <c r="K585" s="1284">
        <v>204240</v>
      </c>
      <c r="L585" s="644">
        <f t="shared" si="39"/>
        <v>0</v>
      </c>
      <c r="M585" s="680">
        <v>0</v>
      </c>
      <c r="N585" s="651">
        <v>0</v>
      </c>
    </row>
    <row r="586" spans="1:14" ht="15.95" customHeight="1" x14ac:dyDescent="0.15">
      <c r="A586" s="1286">
        <v>43191</v>
      </c>
      <c r="B586" s="640" t="str">
        <f t="shared" ca="1" si="36"/>
        <v>01</v>
      </c>
      <c r="C586" s="1285" t="s">
        <v>34</v>
      </c>
      <c r="D586" s="640" t="str">
        <f t="shared" ca="1" si="37"/>
        <v>03</v>
      </c>
      <c r="E586" s="1285" t="s">
        <v>98</v>
      </c>
      <c r="F586" s="641" t="str">
        <f>IF(G586="","",VLOOKUP(G586,リスト!J$2:K$3,2,FALSE))</f>
        <v>02</v>
      </c>
      <c r="G586" s="1285" t="s">
        <v>842</v>
      </c>
      <c r="H586" s="1284">
        <v>32164</v>
      </c>
      <c r="I586" s="1284">
        <v>-17687</v>
      </c>
      <c r="J586" s="644">
        <f t="shared" si="38"/>
        <v>14477</v>
      </c>
      <c r="K586" s="1284">
        <v>14477</v>
      </c>
      <c r="L586" s="644">
        <f t="shared" si="39"/>
        <v>0</v>
      </c>
      <c r="M586" s="680">
        <v>0</v>
      </c>
      <c r="N586" s="651">
        <v>0</v>
      </c>
    </row>
    <row r="587" spans="1:14" ht="15.95" customHeight="1" x14ac:dyDescent="0.15">
      <c r="A587" s="1286">
        <v>43191</v>
      </c>
      <c r="B587" s="640" t="str">
        <f t="shared" ca="1" si="36"/>
        <v>01</v>
      </c>
      <c r="C587" s="1285" t="s">
        <v>34</v>
      </c>
      <c r="D587" s="640" t="str">
        <f t="shared" ca="1" si="37"/>
        <v>02</v>
      </c>
      <c r="E587" s="1285" t="s">
        <v>84</v>
      </c>
      <c r="F587" s="641" t="str">
        <f>IF(G587="","",VLOOKUP(G587,リスト!J$2:K$3,2,FALSE))</f>
        <v>02</v>
      </c>
      <c r="G587" s="1285" t="s">
        <v>842</v>
      </c>
      <c r="H587" s="1284">
        <v>0</v>
      </c>
      <c r="I587" s="1284">
        <v>0</v>
      </c>
      <c r="J587" s="644">
        <f t="shared" si="38"/>
        <v>0</v>
      </c>
      <c r="K587" s="1284">
        <v>0</v>
      </c>
      <c r="L587" s="644">
        <f t="shared" si="39"/>
        <v>0</v>
      </c>
      <c r="M587" s="680">
        <v>0</v>
      </c>
      <c r="N587" s="651">
        <v>0</v>
      </c>
    </row>
    <row r="588" spans="1:14" ht="15.95" customHeight="1" x14ac:dyDescent="0.15">
      <c r="A588" s="1286">
        <v>43191</v>
      </c>
      <c r="B588" s="640" t="str">
        <f t="shared" ca="1" si="36"/>
        <v>02</v>
      </c>
      <c r="C588" s="1285" t="s">
        <v>37</v>
      </c>
      <c r="D588" s="640" t="str">
        <f t="shared" ca="1" si="37"/>
        <v>01</v>
      </c>
      <c r="E588" s="1285" t="s">
        <v>83</v>
      </c>
      <c r="F588" s="641" t="str">
        <f>IF(G588="","",VLOOKUP(G588,リスト!J$2:K$3,2,FALSE))</f>
        <v>01</v>
      </c>
      <c r="G588" s="1285" t="s">
        <v>841</v>
      </c>
      <c r="H588" s="1284">
        <v>4702059</v>
      </c>
      <c r="I588" s="1284">
        <v>-113492</v>
      </c>
      <c r="J588" s="644">
        <f t="shared" si="38"/>
        <v>4588567</v>
      </c>
      <c r="K588" s="1284">
        <v>4588567</v>
      </c>
      <c r="L588" s="644">
        <f t="shared" si="39"/>
        <v>0</v>
      </c>
      <c r="M588" s="680">
        <v>0</v>
      </c>
      <c r="N588" s="651">
        <v>580162</v>
      </c>
    </row>
    <row r="589" spans="1:14" ht="15.95" customHeight="1" x14ac:dyDescent="0.15">
      <c r="A589" s="1286">
        <v>43191</v>
      </c>
      <c r="B589" s="640" t="str">
        <f t="shared" ca="1" si="36"/>
        <v>02</v>
      </c>
      <c r="C589" s="1285" t="s">
        <v>37</v>
      </c>
      <c r="D589" s="640" t="str">
        <f t="shared" ca="1" si="37"/>
        <v>03</v>
      </c>
      <c r="E589" s="1285" t="s">
        <v>98</v>
      </c>
      <c r="F589" s="641" t="str">
        <f>IF(G589="","",VLOOKUP(G589,リスト!J$2:K$3,2,FALSE))</f>
        <v>01</v>
      </c>
      <c r="G589" s="1285" t="s">
        <v>841</v>
      </c>
      <c r="H589" s="1284">
        <v>429208</v>
      </c>
      <c r="I589" s="1284">
        <v>0</v>
      </c>
      <c r="J589" s="644">
        <f t="shared" si="38"/>
        <v>429208</v>
      </c>
      <c r="K589" s="1284">
        <v>429208</v>
      </c>
      <c r="L589" s="644">
        <f t="shared" si="39"/>
        <v>0</v>
      </c>
      <c r="M589" s="680">
        <v>0</v>
      </c>
      <c r="N589" s="651">
        <v>0</v>
      </c>
    </row>
    <row r="590" spans="1:14" ht="15.95" customHeight="1" x14ac:dyDescent="0.15">
      <c r="A590" s="1286">
        <v>43191</v>
      </c>
      <c r="B590" s="640" t="str">
        <f t="shared" ca="1" si="36"/>
        <v>02</v>
      </c>
      <c r="C590" s="1285" t="s">
        <v>37</v>
      </c>
      <c r="D590" s="640" t="str">
        <f t="shared" ca="1" si="37"/>
        <v>02</v>
      </c>
      <c r="E590" s="1285" t="s">
        <v>84</v>
      </c>
      <c r="F590" s="641" t="str">
        <f>IF(G590="","",VLOOKUP(G590,リスト!J$2:K$3,2,FALSE))</f>
        <v>01</v>
      </c>
      <c r="G590" s="1285" t="s">
        <v>841</v>
      </c>
      <c r="H590" s="1284">
        <v>913269</v>
      </c>
      <c r="I590" s="1284">
        <v>-55677</v>
      </c>
      <c r="J590" s="644">
        <f t="shared" si="38"/>
        <v>857592</v>
      </c>
      <c r="K590" s="1284">
        <v>857592</v>
      </c>
      <c r="L590" s="644">
        <f t="shared" si="39"/>
        <v>0</v>
      </c>
      <c r="M590" s="680">
        <v>0</v>
      </c>
      <c r="N590" s="651">
        <v>205308</v>
      </c>
    </row>
    <row r="591" spans="1:14" ht="15.95" customHeight="1" x14ac:dyDescent="0.15">
      <c r="A591" s="1286">
        <v>43191</v>
      </c>
      <c r="B591" s="640" t="str">
        <f t="shared" ca="1" si="36"/>
        <v>02</v>
      </c>
      <c r="C591" s="1285" t="s">
        <v>37</v>
      </c>
      <c r="D591" s="640" t="str">
        <f t="shared" ca="1" si="37"/>
        <v>01</v>
      </c>
      <c r="E591" s="1285" t="s">
        <v>83</v>
      </c>
      <c r="F591" s="641" t="str">
        <f>IF(G591="","",VLOOKUP(G591,リスト!J$2:K$3,2,FALSE))</f>
        <v>02</v>
      </c>
      <c r="G591" s="1285" t="s">
        <v>842</v>
      </c>
      <c r="H591" s="1284">
        <v>1388220</v>
      </c>
      <c r="I591" s="1284">
        <v>-71670</v>
      </c>
      <c r="J591" s="644">
        <f t="shared" si="38"/>
        <v>1316550</v>
      </c>
      <c r="K591" s="1284">
        <v>1316550</v>
      </c>
      <c r="L591" s="644">
        <f t="shared" si="39"/>
        <v>0</v>
      </c>
      <c r="M591" s="680">
        <v>0</v>
      </c>
      <c r="N591" s="651">
        <v>0</v>
      </c>
    </row>
    <row r="592" spans="1:14" ht="15.95" customHeight="1" x14ac:dyDescent="0.15">
      <c r="A592" s="1286">
        <v>43191</v>
      </c>
      <c r="B592" s="640" t="str">
        <f t="shared" ca="1" si="36"/>
        <v>02</v>
      </c>
      <c r="C592" s="1285" t="s">
        <v>37</v>
      </c>
      <c r="D592" s="640" t="str">
        <f t="shared" ca="1" si="37"/>
        <v>03</v>
      </c>
      <c r="E592" s="1285" t="s">
        <v>98</v>
      </c>
      <c r="F592" s="641" t="str">
        <f>IF(G592="","",VLOOKUP(G592,リスト!J$2:K$3,2,FALSE))</f>
        <v>02</v>
      </c>
      <c r="G592" s="1285" t="s">
        <v>842</v>
      </c>
      <c r="H592" s="1284">
        <v>11514</v>
      </c>
      <c r="I592" s="1284">
        <v>0</v>
      </c>
      <c r="J592" s="644">
        <f t="shared" si="38"/>
        <v>11514</v>
      </c>
      <c r="K592" s="1284">
        <v>11514</v>
      </c>
      <c r="L592" s="644">
        <f t="shared" si="39"/>
        <v>0</v>
      </c>
      <c r="M592" s="680">
        <v>0</v>
      </c>
      <c r="N592" s="651">
        <v>0</v>
      </c>
    </row>
    <row r="593" spans="1:14" ht="15.95" customHeight="1" x14ac:dyDescent="0.15">
      <c r="A593" s="1286">
        <v>43191</v>
      </c>
      <c r="B593" s="640" t="str">
        <f t="shared" ca="1" si="36"/>
        <v>02</v>
      </c>
      <c r="C593" s="1285" t="s">
        <v>37</v>
      </c>
      <c r="D593" s="640" t="str">
        <f t="shared" ca="1" si="37"/>
        <v>02</v>
      </c>
      <c r="E593" s="1285" t="s">
        <v>84</v>
      </c>
      <c r="F593" s="641" t="str">
        <f>IF(G593="","",VLOOKUP(G593,リスト!J$2:K$3,2,FALSE))</f>
        <v>02</v>
      </c>
      <c r="G593" s="1285" t="s">
        <v>842</v>
      </c>
      <c r="H593" s="1284">
        <v>28853</v>
      </c>
      <c r="I593" s="1284">
        <v>0</v>
      </c>
      <c r="J593" s="644">
        <f t="shared" si="38"/>
        <v>28853</v>
      </c>
      <c r="K593" s="1284">
        <v>28853</v>
      </c>
      <c r="L593" s="644">
        <f t="shared" si="39"/>
        <v>0</v>
      </c>
      <c r="M593" s="680">
        <v>0</v>
      </c>
      <c r="N593" s="651">
        <v>0</v>
      </c>
    </row>
    <row r="594" spans="1:14" ht="15.95" customHeight="1" x14ac:dyDescent="0.15">
      <c r="A594" s="1286">
        <v>43191</v>
      </c>
      <c r="B594" s="640" t="str">
        <f t="shared" ca="1" si="36"/>
        <v>03</v>
      </c>
      <c r="C594" s="1285" t="s">
        <v>66</v>
      </c>
      <c r="D594" s="640" t="str">
        <f t="shared" ca="1" si="37"/>
        <v>01</v>
      </c>
      <c r="E594" s="1285" t="s">
        <v>83</v>
      </c>
      <c r="F594" s="641" t="str">
        <f>IF(G594="","",VLOOKUP(G594,リスト!J$2:K$3,2,FALSE))</f>
        <v>01</v>
      </c>
      <c r="G594" s="1285" t="s">
        <v>841</v>
      </c>
      <c r="H594" s="1284">
        <v>4183861</v>
      </c>
      <c r="I594" s="1284">
        <v>-105403</v>
      </c>
      <c r="J594" s="644">
        <f t="shared" si="38"/>
        <v>4078458</v>
      </c>
      <c r="K594" s="1284">
        <v>4078458</v>
      </c>
      <c r="L594" s="644">
        <f t="shared" si="39"/>
        <v>0</v>
      </c>
      <c r="M594" s="680">
        <v>266062</v>
      </c>
      <c r="N594" s="651">
        <v>494085</v>
      </c>
    </row>
    <row r="595" spans="1:14" ht="15.95" customHeight="1" x14ac:dyDescent="0.15">
      <c r="A595" s="1286">
        <v>43191</v>
      </c>
      <c r="B595" s="640" t="str">
        <f t="shared" ca="1" si="36"/>
        <v>03</v>
      </c>
      <c r="C595" s="1285" t="s">
        <v>66</v>
      </c>
      <c r="D595" s="640" t="str">
        <f t="shared" ca="1" si="37"/>
        <v>02</v>
      </c>
      <c r="E595" s="1285" t="s">
        <v>84</v>
      </c>
      <c r="F595" s="641" t="str">
        <f>IF(G595="","",VLOOKUP(G595,リスト!J$2:K$3,2,FALSE))</f>
        <v>01</v>
      </c>
      <c r="G595" s="1285" t="s">
        <v>841</v>
      </c>
      <c r="H595" s="1284">
        <v>1598647</v>
      </c>
      <c r="I595" s="1284">
        <v>0</v>
      </c>
      <c r="J595" s="644">
        <f t="shared" si="38"/>
        <v>1598647</v>
      </c>
      <c r="K595" s="1284">
        <v>1598647</v>
      </c>
      <c r="L595" s="644">
        <f t="shared" si="39"/>
        <v>0</v>
      </c>
      <c r="M595" s="680">
        <v>0</v>
      </c>
      <c r="N595" s="651">
        <v>428061</v>
      </c>
    </row>
    <row r="596" spans="1:14" ht="15.95" customHeight="1" x14ac:dyDescent="0.15">
      <c r="A596" s="1286">
        <v>43191</v>
      </c>
      <c r="B596" s="640" t="str">
        <f t="shared" ca="1" si="36"/>
        <v>03</v>
      </c>
      <c r="C596" s="1285" t="s">
        <v>66</v>
      </c>
      <c r="D596" s="640" t="str">
        <f t="shared" ca="1" si="37"/>
        <v>01</v>
      </c>
      <c r="E596" s="1285" t="s">
        <v>83</v>
      </c>
      <c r="F596" s="641" t="str">
        <f>IF(G596="","",VLOOKUP(G596,リスト!J$2:K$3,2,FALSE))</f>
        <v>02</v>
      </c>
      <c r="G596" s="1285" t="s">
        <v>842</v>
      </c>
      <c r="H596" s="1284">
        <v>484146</v>
      </c>
      <c r="I596" s="1284">
        <v>28232</v>
      </c>
      <c r="J596" s="644">
        <f t="shared" si="38"/>
        <v>512378</v>
      </c>
      <c r="K596" s="1284">
        <v>512378</v>
      </c>
      <c r="L596" s="644">
        <f t="shared" si="39"/>
        <v>0</v>
      </c>
      <c r="M596" s="680">
        <v>0</v>
      </c>
      <c r="N596" s="651">
        <v>0</v>
      </c>
    </row>
    <row r="597" spans="1:14" ht="15.95" customHeight="1" x14ac:dyDescent="0.15">
      <c r="A597" s="1286">
        <v>43191</v>
      </c>
      <c r="B597" s="640" t="str">
        <f t="shared" ca="1" si="36"/>
        <v>03</v>
      </c>
      <c r="C597" s="1285" t="s">
        <v>66</v>
      </c>
      <c r="D597" s="640" t="str">
        <f t="shared" ca="1" si="37"/>
        <v>02</v>
      </c>
      <c r="E597" s="1285" t="s">
        <v>84</v>
      </c>
      <c r="F597" s="641" t="str">
        <f>IF(G597="","",VLOOKUP(G597,リスト!J$2:K$3,2,FALSE))</f>
        <v>02</v>
      </c>
      <c r="G597" s="1285" t="s">
        <v>842</v>
      </c>
      <c r="H597" s="1284">
        <v>242124</v>
      </c>
      <c r="I597" s="1284">
        <v>0</v>
      </c>
      <c r="J597" s="644">
        <f t="shared" si="38"/>
        <v>242124</v>
      </c>
      <c r="K597" s="1284">
        <v>242124</v>
      </c>
      <c r="L597" s="644">
        <f t="shared" si="39"/>
        <v>0</v>
      </c>
      <c r="M597" s="680">
        <v>0</v>
      </c>
      <c r="N597" s="651">
        <v>0</v>
      </c>
    </row>
    <row r="598" spans="1:14" ht="15.95" customHeight="1" x14ac:dyDescent="0.15">
      <c r="A598" s="1286">
        <v>43191</v>
      </c>
      <c r="B598" s="640" t="str">
        <f t="shared" ca="1" si="36"/>
        <v>04</v>
      </c>
      <c r="C598" s="1285" t="s">
        <v>358</v>
      </c>
      <c r="D598" s="640" t="str">
        <f t="shared" ca="1" si="37"/>
        <v>04</v>
      </c>
      <c r="E598" s="1285" t="s">
        <v>542</v>
      </c>
      <c r="F598" s="641" t="str">
        <f>IF(G598="","",VLOOKUP(G598,リスト!J$2:K$3,2,FALSE))</f>
        <v>01</v>
      </c>
      <c r="G598" s="1285" t="s">
        <v>841</v>
      </c>
      <c r="H598" s="1284">
        <v>4198450</v>
      </c>
      <c r="I598" s="1284">
        <v>-2592</v>
      </c>
      <c r="J598" s="644">
        <f t="shared" si="38"/>
        <v>4195858</v>
      </c>
      <c r="K598" s="1284">
        <v>4195858</v>
      </c>
      <c r="L598" s="644">
        <f t="shared" si="39"/>
        <v>0</v>
      </c>
      <c r="M598" s="680">
        <v>0</v>
      </c>
      <c r="N598" s="651">
        <v>247531</v>
      </c>
    </row>
    <row r="599" spans="1:14" ht="15.95" customHeight="1" x14ac:dyDescent="0.15">
      <c r="A599" s="1286">
        <v>43191</v>
      </c>
      <c r="B599" s="640" t="str">
        <f t="shared" ca="1" si="36"/>
        <v>04</v>
      </c>
      <c r="C599" s="1285" t="s">
        <v>358</v>
      </c>
      <c r="D599" s="640" t="str">
        <f t="shared" ca="1" si="37"/>
        <v>04</v>
      </c>
      <c r="E599" s="1285" t="s">
        <v>542</v>
      </c>
      <c r="F599" s="641" t="str">
        <f>IF(G599="","",VLOOKUP(G599,リスト!J$2:K$3,2,FALSE))</f>
        <v>02</v>
      </c>
      <c r="G599" s="1285" t="s">
        <v>842</v>
      </c>
      <c r="H599" s="1284">
        <v>213633</v>
      </c>
      <c r="I599" s="1284">
        <v>61174</v>
      </c>
      <c r="J599" s="644">
        <f t="shared" si="38"/>
        <v>274807</v>
      </c>
      <c r="K599" s="1284">
        <v>274807</v>
      </c>
      <c r="L599" s="644">
        <f t="shared" si="39"/>
        <v>0</v>
      </c>
      <c r="M599" s="680">
        <v>0</v>
      </c>
      <c r="N599" s="651">
        <v>0</v>
      </c>
    </row>
    <row r="600" spans="1:14" ht="15.95" customHeight="1" x14ac:dyDescent="0.15">
      <c r="A600" s="1286">
        <v>43191</v>
      </c>
      <c r="B600" s="640" t="str">
        <f t="shared" ca="1" si="36"/>
        <v>05</v>
      </c>
      <c r="C600" s="1285" t="s">
        <v>38</v>
      </c>
      <c r="D600" s="640" t="str">
        <f t="shared" ca="1" si="37"/>
        <v>01</v>
      </c>
      <c r="E600" s="1285" t="s">
        <v>83</v>
      </c>
      <c r="F600" s="641" t="str">
        <f>IF(G600="","",VLOOKUP(G600,リスト!J$2:K$3,2,FALSE))</f>
        <v>01</v>
      </c>
      <c r="G600" s="1285" t="s">
        <v>841</v>
      </c>
      <c r="H600" s="1284">
        <v>2291722</v>
      </c>
      <c r="I600" s="1284">
        <v>0</v>
      </c>
      <c r="J600" s="644">
        <f t="shared" si="38"/>
        <v>2291722</v>
      </c>
      <c r="K600" s="1284">
        <v>2291722</v>
      </c>
      <c r="L600" s="644">
        <f t="shared" si="39"/>
        <v>0</v>
      </c>
      <c r="M600" s="680">
        <v>0</v>
      </c>
      <c r="N600" s="651">
        <v>0</v>
      </c>
    </row>
    <row r="601" spans="1:14" ht="15.95" customHeight="1" x14ac:dyDescent="0.15">
      <c r="A601" s="1286">
        <v>43191</v>
      </c>
      <c r="B601" s="640" t="str">
        <f t="shared" ca="1" si="36"/>
        <v>05</v>
      </c>
      <c r="C601" s="1285" t="s">
        <v>38</v>
      </c>
      <c r="D601" s="640" t="str">
        <f t="shared" ca="1" si="37"/>
        <v>01</v>
      </c>
      <c r="E601" s="1285" t="s">
        <v>83</v>
      </c>
      <c r="F601" s="641" t="str">
        <f>IF(G601="","",VLOOKUP(G601,リスト!J$2:K$3,2,FALSE))</f>
        <v>02</v>
      </c>
      <c r="G601" s="1285" t="s">
        <v>842</v>
      </c>
      <c r="H601" s="1284">
        <v>98472</v>
      </c>
      <c r="I601" s="1284">
        <v>0</v>
      </c>
      <c r="J601" s="644">
        <f t="shared" si="38"/>
        <v>98472</v>
      </c>
      <c r="K601" s="1284">
        <v>98472</v>
      </c>
      <c r="L601" s="644">
        <f t="shared" si="39"/>
        <v>0</v>
      </c>
      <c r="M601" s="680">
        <v>0</v>
      </c>
      <c r="N601" s="651">
        <v>0</v>
      </c>
    </row>
    <row r="602" spans="1:14" ht="15.95" customHeight="1" x14ac:dyDescent="0.15">
      <c r="A602" s="1286">
        <v>43191</v>
      </c>
      <c r="B602" s="640" t="str">
        <f t="shared" ca="1" si="36"/>
        <v>07</v>
      </c>
      <c r="C602" s="1285" t="s">
        <v>119</v>
      </c>
      <c r="D602" s="640" t="str">
        <f t="shared" ca="1" si="37"/>
        <v>05</v>
      </c>
      <c r="E602" s="1285" t="s">
        <v>543</v>
      </c>
      <c r="F602" s="641" t="str">
        <f>IF(G602="","",VLOOKUP(G602,リスト!J$2:K$3,2,FALSE))</f>
        <v>01</v>
      </c>
      <c r="G602" s="1285" t="s">
        <v>841</v>
      </c>
      <c r="H602" s="1284">
        <v>777456</v>
      </c>
      <c r="I602" s="1284">
        <v>0</v>
      </c>
      <c r="J602" s="644">
        <f t="shared" si="38"/>
        <v>777456</v>
      </c>
      <c r="K602" s="1284">
        <v>777456</v>
      </c>
      <c r="L602" s="644">
        <f t="shared" si="39"/>
        <v>0</v>
      </c>
      <c r="M602" s="680">
        <v>0</v>
      </c>
      <c r="N602" s="651">
        <v>273762</v>
      </c>
    </row>
    <row r="603" spans="1:14" ht="15.95" customHeight="1" x14ac:dyDescent="0.15">
      <c r="A603" s="1286">
        <v>43191</v>
      </c>
      <c r="B603" s="640" t="str">
        <f t="shared" ca="1" si="36"/>
        <v>07</v>
      </c>
      <c r="C603" s="1285" t="s">
        <v>119</v>
      </c>
      <c r="D603" s="640" t="str">
        <f t="shared" ca="1" si="37"/>
        <v>05</v>
      </c>
      <c r="E603" s="1285" t="s">
        <v>543</v>
      </c>
      <c r="F603" s="641" t="str">
        <f>IF(G603="","",VLOOKUP(G603,リスト!J$2:K$3,2,FALSE))</f>
        <v>02</v>
      </c>
      <c r="G603" s="1285" t="s">
        <v>842</v>
      </c>
      <c r="H603" s="1284">
        <v>0</v>
      </c>
      <c r="I603" s="1284">
        <v>0</v>
      </c>
      <c r="J603" s="644">
        <f t="shared" si="38"/>
        <v>0</v>
      </c>
      <c r="K603" s="1284">
        <v>0</v>
      </c>
      <c r="L603" s="644">
        <f t="shared" si="39"/>
        <v>0</v>
      </c>
      <c r="M603" s="680">
        <v>0</v>
      </c>
      <c r="N603" s="651">
        <v>0</v>
      </c>
    </row>
    <row r="604" spans="1:14" ht="15.95" customHeight="1" x14ac:dyDescent="0.15">
      <c r="A604" s="1286">
        <v>43191</v>
      </c>
      <c r="B604" s="640" t="str">
        <f t="shared" ca="1" si="36"/>
        <v>08</v>
      </c>
      <c r="C604" s="1285" t="s">
        <v>189</v>
      </c>
      <c r="D604" s="640" t="str">
        <f t="shared" ca="1" si="37"/>
        <v>05</v>
      </c>
      <c r="E604" s="1285" t="s">
        <v>543</v>
      </c>
      <c r="F604" s="641" t="str">
        <f>IF(G604="","",VLOOKUP(G604,リスト!J$2:K$3,2,FALSE))</f>
        <v>01</v>
      </c>
      <c r="G604" s="1285" t="s">
        <v>841</v>
      </c>
      <c r="H604" s="1284">
        <v>960460</v>
      </c>
      <c r="I604" s="1284">
        <v>0</v>
      </c>
      <c r="J604" s="644">
        <f t="shared" si="38"/>
        <v>960460</v>
      </c>
      <c r="K604" s="1284">
        <v>960460</v>
      </c>
      <c r="L604" s="644">
        <f t="shared" si="39"/>
        <v>0</v>
      </c>
      <c r="M604" s="680">
        <v>0</v>
      </c>
      <c r="N604" s="651">
        <v>0</v>
      </c>
    </row>
    <row r="605" spans="1:14" ht="15.95" customHeight="1" x14ac:dyDescent="0.15">
      <c r="A605" s="1286">
        <v>43191</v>
      </c>
      <c r="B605" s="640" t="str">
        <f t="shared" ca="1" si="36"/>
        <v>08</v>
      </c>
      <c r="C605" s="1285" t="s">
        <v>189</v>
      </c>
      <c r="D605" s="640" t="str">
        <f t="shared" ca="1" si="37"/>
        <v>05</v>
      </c>
      <c r="E605" s="1285" t="s">
        <v>543</v>
      </c>
      <c r="F605" s="641" t="str">
        <f>IF(G605="","",VLOOKUP(G605,リスト!J$2:K$3,2,FALSE))</f>
        <v>02</v>
      </c>
      <c r="G605" s="1285" t="s">
        <v>842</v>
      </c>
      <c r="H605" s="1284">
        <v>0</v>
      </c>
      <c r="I605" s="1284">
        <v>0</v>
      </c>
      <c r="J605" s="644">
        <f t="shared" si="38"/>
        <v>0</v>
      </c>
      <c r="K605" s="1284">
        <v>0</v>
      </c>
      <c r="L605" s="644">
        <f t="shared" si="39"/>
        <v>0</v>
      </c>
      <c r="M605" s="680">
        <v>0</v>
      </c>
      <c r="N605" s="651">
        <v>0</v>
      </c>
    </row>
    <row r="606" spans="1:14" ht="15.95" customHeight="1" x14ac:dyDescent="0.15">
      <c r="A606" s="1286">
        <v>43191</v>
      </c>
      <c r="B606" s="640" t="str">
        <f t="shared" ca="1" si="36"/>
        <v>09</v>
      </c>
      <c r="C606" s="1285" t="s">
        <v>329</v>
      </c>
      <c r="D606" s="640" t="str">
        <f t="shared" ca="1" si="37"/>
        <v>05</v>
      </c>
      <c r="E606" s="1285" t="s">
        <v>543</v>
      </c>
      <c r="F606" s="641" t="str">
        <f>IF(G606="","",VLOOKUP(G606,リスト!J$2:K$3,2,FALSE))</f>
        <v>01</v>
      </c>
      <c r="G606" s="1285" t="s">
        <v>841</v>
      </c>
      <c r="H606" s="1284">
        <v>2405342</v>
      </c>
      <c r="I606" s="1284">
        <v>0</v>
      </c>
      <c r="J606" s="644">
        <f t="shared" si="38"/>
        <v>2405342</v>
      </c>
      <c r="K606" s="1284">
        <v>2405342</v>
      </c>
      <c r="L606" s="644">
        <f t="shared" si="39"/>
        <v>0</v>
      </c>
      <c r="M606" s="680">
        <v>0</v>
      </c>
      <c r="N606" s="651">
        <v>0</v>
      </c>
    </row>
    <row r="607" spans="1:14" ht="15.95" customHeight="1" x14ac:dyDescent="0.15">
      <c r="A607" s="1286">
        <v>43191</v>
      </c>
      <c r="B607" s="640" t="str">
        <f t="shared" ca="1" si="36"/>
        <v>09</v>
      </c>
      <c r="C607" s="1285" t="s">
        <v>329</v>
      </c>
      <c r="D607" s="640" t="str">
        <f t="shared" ca="1" si="37"/>
        <v>05</v>
      </c>
      <c r="E607" s="1285" t="s">
        <v>543</v>
      </c>
      <c r="F607" s="641" t="str">
        <f>IF(G607="","",VLOOKUP(G607,リスト!J$2:K$3,2,FALSE))</f>
        <v>02</v>
      </c>
      <c r="G607" s="1285" t="s">
        <v>842</v>
      </c>
      <c r="H607" s="1284">
        <v>0</v>
      </c>
      <c r="I607" s="1284">
        <v>0</v>
      </c>
      <c r="J607" s="644">
        <f t="shared" si="38"/>
        <v>0</v>
      </c>
      <c r="K607" s="1284">
        <v>0</v>
      </c>
      <c r="L607" s="644">
        <f t="shared" si="39"/>
        <v>0</v>
      </c>
      <c r="M607" s="680">
        <v>0</v>
      </c>
      <c r="N607" s="651">
        <v>0</v>
      </c>
    </row>
    <row r="608" spans="1:14" ht="15.95" customHeight="1" x14ac:dyDescent="0.15">
      <c r="A608" s="1286">
        <v>43191</v>
      </c>
      <c r="B608" s="640" t="str">
        <f t="shared" ca="1" si="36"/>
        <v>10</v>
      </c>
      <c r="C608" s="1285" t="s">
        <v>336</v>
      </c>
      <c r="D608" s="640" t="str">
        <f t="shared" ca="1" si="37"/>
        <v>01</v>
      </c>
      <c r="E608" s="1285" t="s">
        <v>83</v>
      </c>
      <c r="F608" s="641" t="str">
        <f>IF(G608="","",VLOOKUP(G608,リスト!J$2:K$3,2,FALSE))</f>
        <v>01</v>
      </c>
      <c r="G608" s="1285" t="s">
        <v>841</v>
      </c>
      <c r="H608" s="1284">
        <v>823704</v>
      </c>
      <c r="I608" s="1284">
        <v>0</v>
      </c>
      <c r="J608" s="644">
        <f t="shared" si="38"/>
        <v>823704</v>
      </c>
      <c r="K608" s="1284">
        <v>823704</v>
      </c>
      <c r="L608" s="644">
        <f t="shared" si="39"/>
        <v>0</v>
      </c>
      <c r="M608" s="680">
        <v>0</v>
      </c>
      <c r="N608" s="651">
        <v>0</v>
      </c>
    </row>
    <row r="609" spans="1:14" ht="15.95" customHeight="1" x14ac:dyDescent="0.15">
      <c r="A609" s="1286">
        <v>43191</v>
      </c>
      <c r="B609" s="640" t="str">
        <f t="shared" ca="1" si="36"/>
        <v>10</v>
      </c>
      <c r="C609" s="1285" t="s">
        <v>336</v>
      </c>
      <c r="D609" s="640" t="str">
        <f t="shared" ca="1" si="37"/>
        <v>02</v>
      </c>
      <c r="E609" s="1285" t="s">
        <v>84</v>
      </c>
      <c r="F609" s="641" t="str">
        <f>IF(G609="","",VLOOKUP(G609,リスト!J$2:K$3,2,FALSE))</f>
        <v>01</v>
      </c>
      <c r="G609" s="1285" t="s">
        <v>841</v>
      </c>
      <c r="H609" s="1284">
        <v>60400</v>
      </c>
      <c r="I609" s="1284">
        <v>0</v>
      </c>
      <c r="J609" s="644">
        <f t="shared" si="38"/>
        <v>60400</v>
      </c>
      <c r="K609" s="1284">
        <v>60400</v>
      </c>
      <c r="L609" s="644">
        <f t="shared" si="39"/>
        <v>0</v>
      </c>
      <c r="M609" s="680">
        <v>0</v>
      </c>
      <c r="N609" s="651">
        <v>0</v>
      </c>
    </row>
    <row r="610" spans="1:14" ht="15.95" customHeight="1" x14ac:dyDescent="0.15">
      <c r="A610" s="1286">
        <v>43191</v>
      </c>
      <c r="B610" s="640" t="str">
        <f t="shared" ca="1" si="36"/>
        <v>10</v>
      </c>
      <c r="C610" s="1285" t="s">
        <v>336</v>
      </c>
      <c r="D610" s="640" t="str">
        <f t="shared" ca="1" si="37"/>
        <v>01</v>
      </c>
      <c r="E610" s="1285" t="s">
        <v>83</v>
      </c>
      <c r="F610" s="641" t="str">
        <f>IF(G610="","",VLOOKUP(G610,リスト!J$2:K$3,2,FALSE))</f>
        <v>02</v>
      </c>
      <c r="G610" s="1285" t="s">
        <v>842</v>
      </c>
      <c r="H610" s="1284">
        <v>0</v>
      </c>
      <c r="I610" s="1284">
        <v>0</v>
      </c>
      <c r="J610" s="644">
        <f t="shared" si="38"/>
        <v>0</v>
      </c>
      <c r="K610" s="1284">
        <v>0</v>
      </c>
      <c r="L610" s="644">
        <f>IF(A610="","",J610-K610)</f>
        <v>0</v>
      </c>
      <c r="M610" s="680">
        <v>0</v>
      </c>
      <c r="N610" s="651">
        <v>0</v>
      </c>
    </row>
    <row r="611" spans="1:14" ht="15.95" customHeight="1" x14ac:dyDescent="0.15">
      <c r="A611" s="1286">
        <v>43191</v>
      </c>
      <c r="B611" s="640" t="str">
        <f t="shared" ca="1" si="36"/>
        <v>10</v>
      </c>
      <c r="C611" s="1285" t="s">
        <v>336</v>
      </c>
      <c r="D611" s="640" t="str">
        <f t="shared" ca="1" si="37"/>
        <v>02</v>
      </c>
      <c r="E611" s="1285" t="s">
        <v>84</v>
      </c>
      <c r="F611" s="641" t="str">
        <f>IF(G611="","",VLOOKUP(G611,リスト!J$2:K$3,2,FALSE))</f>
        <v>02</v>
      </c>
      <c r="G611" s="1285" t="s">
        <v>842</v>
      </c>
      <c r="H611" s="1284">
        <v>28635</v>
      </c>
      <c r="I611" s="1284">
        <v>0</v>
      </c>
      <c r="J611" s="644">
        <f t="shared" si="38"/>
        <v>28635</v>
      </c>
      <c r="K611" s="1284">
        <v>28635</v>
      </c>
      <c r="L611" s="644">
        <f t="shared" si="39"/>
        <v>0</v>
      </c>
      <c r="M611" s="680">
        <v>0</v>
      </c>
      <c r="N611" s="651">
        <v>0</v>
      </c>
    </row>
    <row r="612" spans="1:14" ht="15.95" customHeight="1" x14ac:dyDescent="0.15">
      <c r="A612" s="1286">
        <v>43221</v>
      </c>
      <c r="B612" s="640" t="str">
        <f t="shared" ca="1" si="36"/>
        <v>01</v>
      </c>
      <c r="C612" s="1285" t="s">
        <v>34</v>
      </c>
      <c r="D612" s="640" t="str">
        <f t="shared" ca="1" si="37"/>
        <v>01</v>
      </c>
      <c r="E612" s="1285" t="s">
        <v>83</v>
      </c>
      <c r="F612" s="641" t="str">
        <f>IF(G612="","",VLOOKUP(G612,リスト!J$2:K$3,2,FALSE))</f>
        <v>01</v>
      </c>
      <c r="G612" s="1285" t="s">
        <v>841</v>
      </c>
      <c r="H612" s="1284">
        <v>8193772</v>
      </c>
      <c r="I612" s="1284">
        <v>-16841</v>
      </c>
      <c r="J612" s="644">
        <f t="shared" si="38"/>
        <v>8176931</v>
      </c>
      <c r="K612" s="1284">
        <v>8176931</v>
      </c>
      <c r="L612" s="644">
        <f t="shared" si="39"/>
        <v>0</v>
      </c>
      <c r="M612" s="680">
        <v>194017</v>
      </c>
      <c r="N612" s="651">
        <v>1381326</v>
      </c>
    </row>
    <row r="613" spans="1:14" ht="15.95" customHeight="1" x14ac:dyDescent="0.15">
      <c r="A613" s="1286">
        <v>43221</v>
      </c>
      <c r="B613" s="640" t="str">
        <f t="shared" ca="1" si="36"/>
        <v>01</v>
      </c>
      <c r="C613" s="1285" t="s">
        <v>34</v>
      </c>
      <c r="D613" s="640" t="str">
        <f t="shared" ca="1" si="37"/>
        <v>03</v>
      </c>
      <c r="E613" s="1285" t="s">
        <v>98</v>
      </c>
      <c r="F613" s="641" t="str">
        <f>IF(G613="","",VLOOKUP(G613,リスト!J$2:K$3,2,FALSE))</f>
        <v>01</v>
      </c>
      <c r="G613" s="1285" t="s">
        <v>841</v>
      </c>
      <c r="H613" s="1284">
        <v>644331</v>
      </c>
      <c r="I613" s="1284">
        <v>0</v>
      </c>
      <c r="J613" s="644">
        <f t="shared" si="38"/>
        <v>644331</v>
      </c>
      <c r="K613" s="1284">
        <v>644331</v>
      </c>
      <c r="L613" s="644">
        <f t="shared" si="39"/>
        <v>0</v>
      </c>
      <c r="M613" s="680">
        <v>11267</v>
      </c>
      <c r="N613" s="651">
        <v>0</v>
      </c>
    </row>
    <row r="614" spans="1:14" ht="15.95" customHeight="1" x14ac:dyDescent="0.15">
      <c r="A614" s="1286">
        <v>43221</v>
      </c>
      <c r="B614" s="640" t="str">
        <f t="shared" ca="1" si="36"/>
        <v>01</v>
      </c>
      <c r="C614" s="1285" t="s">
        <v>34</v>
      </c>
      <c r="D614" s="640" t="str">
        <f t="shared" ca="1" si="37"/>
        <v>02</v>
      </c>
      <c r="E614" s="1285" t="s">
        <v>84</v>
      </c>
      <c r="F614" s="641" t="str">
        <f>IF(G614="","",VLOOKUP(G614,リスト!J$2:K$3,2,FALSE))</f>
        <v>01</v>
      </c>
      <c r="G614" s="1285" t="s">
        <v>841</v>
      </c>
      <c r="H614" s="1284">
        <v>1249320</v>
      </c>
      <c r="I614" s="1284">
        <v>0</v>
      </c>
      <c r="J614" s="644">
        <f t="shared" si="38"/>
        <v>1249320</v>
      </c>
      <c r="K614" s="1284">
        <v>1249320</v>
      </c>
      <c r="L614" s="644">
        <f t="shared" si="39"/>
        <v>0</v>
      </c>
      <c r="M614" s="680">
        <v>0</v>
      </c>
      <c r="N614" s="651">
        <v>295743</v>
      </c>
    </row>
    <row r="615" spans="1:14" ht="15.95" customHeight="1" x14ac:dyDescent="0.15">
      <c r="A615" s="1286">
        <v>43221</v>
      </c>
      <c r="B615" s="640" t="str">
        <f t="shared" ca="1" si="36"/>
        <v>01</v>
      </c>
      <c r="C615" s="1285" t="s">
        <v>34</v>
      </c>
      <c r="D615" s="640" t="str">
        <f t="shared" ca="1" si="37"/>
        <v>01</v>
      </c>
      <c r="E615" s="1285" t="s">
        <v>83</v>
      </c>
      <c r="F615" s="641" t="str">
        <f>IF(G615="","",VLOOKUP(G615,リスト!J$2:K$3,2,FALSE))</f>
        <v>02</v>
      </c>
      <c r="G615" s="1285" t="s">
        <v>842</v>
      </c>
      <c r="H615" s="1284">
        <v>128099</v>
      </c>
      <c r="I615" s="1284">
        <v>15504</v>
      </c>
      <c r="J615" s="644">
        <f t="shared" si="38"/>
        <v>143603</v>
      </c>
      <c r="K615" s="1284">
        <v>143603</v>
      </c>
      <c r="L615" s="644">
        <f t="shared" si="39"/>
        <v>0</v>
      </c>
      <c r="M615" s="680">
        <v>0</v>
      </c>
      <c r="N615" s="651">
        <v>0</v>
      </c>
    </row>
    <row r="616" spans="1:14" ht="15.95" customHeight="1" x14ac:dyDescent="0.15">
      <c r="A616" s="1286">
        <v>43221</v>
      </c>
      <c r="B616" s="640" t="str">
        <f t="shared" ca="1" si="36"/>
        <v>01</v>
      </c>
      <c r="C616" s="1285" t="s">
        <v>34</v>
      </c>
      <c r="D616" s="640" t="str">
        <f t="shared" ca="1" si="37"/>
        <v>03</v>
      </c>
      <c r="E616" s="1285" t="s">
        <v>98</v>
      </c>
      <c r="F616" s="641" t="str">
        <f>IF(G616="","",VLOOKUP(G616,リスト!J$2:K$3,2,FALSE))</f>
        <v>02</v>
      </c>
      <c r="G616" s="1285" t="s">
        <v>842</v>
      </c>
      <c r="H616" s="1284">
        <v>17687</v>
      </c>
      <c r="I616" s="1284">
        <v>0</v>
      </c>
      <c r="J616" s="644">
        <f t="shared" si="38"/>
        <v>17687</v>
      </c>
      <c r="K616" s="1284">
        <v>17687</v>
      </c>
      <c r="L616" s="644">
        <f t="shared" si="39"/>
        <v>0</v>
      </c>
      <c r="M616" s="680">
        <v>0</v>
      </c>
      <c r="N616" s="651">
        <v>0</v>
      </c>
    </row>
    <row r="617" spans="1:14" ht="15.95" customHeight="1" x14ac:dyDescent="0.15">
      <c r="A617" s="1286">
        <v>43221</v>
      </c>
      <c r="B617" s="640" t="str">
        <f t="shared" ca="1" si="36"/>
        <v>01</v>
      </c>
      <c r="C617" s="1285" t="s">
        <v>34</v>
      </c>
      <c r="D617" s="640" t="str">
        <f t="shared" ca="1" si="37"/>
        <v>02</v>
      </c>
      <c r="E617" s="1285" t="s">
        <v>84</v>
      </c>
      <c r="F617" s="641" t="str">
        <f>IF(G617="","",VLOOKUP(G617,リスト!J$2:K$3,2,FALSE))</f>
        <v>02</v>
      </c>
      <c r="G617" s="1285" t="s">
        <v>842</v>
      </c>
      <c r="H617" s="1284">
        <v>114882</v>
      </c>
      <c r="I617" s="1284">
        <v>0</v>
      </c>
      <c r="J617" s="644">
        <f t="shared" si="38"/>
        <v>114882</v>
      </c>
      <c r="K617" s="1284">
        <v>114882</v>
      </c>
      <c r="L617" s="644">
        <f t="shared" si="39"/>
        <v>0</v>
      </c>
      <c r="M617" s="680">
        <v>0</v>
      </c>
      <c r="N617" s="651">
        <v>0</v>
      </c>
    </row>
    <row r="618" spans="1:14" ht="15.95" customHeight="1" x14ac:dyDescent="0.15">
      <c r="A618" s="1286">
        <v>43221</v>
      </c>
      <c r="B618" s="640" t="str">
        <f t="shared" ca="1" si="36"/>
        <v>02</v>
      </c>
      <c r="C618" s="1285" t="s">
        <v>37</v>
      </c>
      <c r="D618" s="640" t="str">
        <f t="shared" ca="1" si="37"/>
        <v>01</v>
      </c>
      <c r="E618" s="1285" t="s">
        <v>83</v>
      </c>
      <c r="F618" s="641" t="str">
        <f>IF(G618="","",VLOOKUP(G618,リスト!J$2:K$3,2,FALSE))</f>
        <v>01</v>
      </c>
      <c r="G618" s="1285" t="s">
        <v>841</v>
      </c>
      <c r="H618" s="1284">
        <v>4790167</v>
      </c>
      <c r="I618" s="1284">
        <v>-72422</v>
      </c>
      <c r="J618" s="644">
        <f t="shared" si="38"/>
        <v>4717745</v>
      </c>
      <c r="K618" s="1284">
        <v>4717745</v>
      </c>
      <c r="L618" s="644">
        <f t="shared" si="39"/>
        <v>0</v>
      </c>
      <c r="M618" s="680">
        <v>0</v>
      </c>
      <c r="N618" s="651">
        <v>518576</v>
      </c>
    </row>
    <row r="619" spans="1:14" ht="15.95" customHeight="1" x14ac:dyDescent="0.15">
      <c r="A619" s="1286">
        <v>43221</v>
      </c>
      <c r="B619" s="640" t="str">
        <f t="shared" ca="1" si="36"/>
        <v>02</v>
      </c>
      <c r="C619" s="1285" t="s">
        <v>37</v>
      </c>
      <c r="D619" s="640" t="str">
        <f t="shared" ca="1" si="37"/>
        <v>03</v>
      </c>
      <c r="E619" s="1285" t="s">
        <v>98</v>
      </c>
      <c r="F619" s="641" t="str">
        <f>IF(G619="","",VLOOKUP(G619,リスト!J$2:K$3,2,FALSE))</f>
        <v>01</v>
      </c>
      <c r="G619" s="1285" t="s">
        <v>841</v>
      </c>
      <c r="H619" s="1284">
        <v>465738</v>
      </c>
      <c r="I619" s="1284">
        <v>-18431</v>
      </c>
      <c r="J619" s="644">
        <f t="shared" si="38"/>
        <v>447307</v>
      </c>
      <c r="K619" s="1284">
        <v>447307</v>
      </c>
      <c r="L619" s="644">
        <f t="shared" si="39"/>
        <v>0</v>
      </c>
      <c r="M619" s="680">
        <v>0</v>
      </c>
      <c r="N619" s="651">
        <v>0</v>
      </c>
    </row>
    <row r="620" spans="1:14" ht="15.95" customHeight="1" x14ac:dyDescent="0.15">
      <c r="A620" s="1286">
        <v>43221</v>
      </c>
      <c r="B620" s="640" t="str">
        <f t="shared" ca="1" si="36"/>
        <v>02</v>
      </c>
      <c r="C620" s="1285" t="s">
        <v>37</v>
      </c>
      <c r="D620" s="640" t="str">
        <f t="shared" ca="1" si="37"/>
        <v>02</v>
      </c>
      <c r="E620" s="1285" t="s">
        <v>84</v>
      </c>
      <c r="F620" s="641" t="str">
        <f>IF(G620="","",VLOOKUP(G620,リスト!J$2:K$3,2,FALSE))</f>
        <v>01</v>
      </c>
      <c r="G620" s="1285" t="s">
        <v>841</v>
      </c>
      <c r="H620" s="1284">
        <v>972966</v>
      </c>
      <c r="I620" s="1284">
        <v>-19511</v>
      </c>
      <c r="J620" s="644">
        <f t="shared" si="38"/>
        <v>953455</v>
      </c>
      <c r="K620" s="1284">
        <v>953455</v>
      </c>
      <c r="L620" s="644">
        <f t="shared" si="39"/>
        <v>0</v>
      </c>
      <c r="M620" s="680">
        <v>0</v>
      </c>
      <c r="N620" s="651">
        <v>233805</v>
      </c>
    </row>
    <row r="621" spans="1:14" ht="15.95" customHeight="1" x14ac:dyDescent="0.15">
      <c r="A621" s="1286">
        <v>43221</v>
      </c>
      <c r="B621" s="640" t="str">
        <f t="shared" ca="1" si="36"/>
        <v>02</v>
      </c>
      <c r="C621" s="1285" t="s">
        <v>37</v>
      </c>
      <c r="D621" s="640" t="str">
        <f t="shared" ca="1" si="37"/>
        <v>01</v>
      </c>
      <c r="E621" s="1285" t="s">
        <v>83</v>
      </c>
      <c r="F621" s="641" t="str">
        <f>IF(G621="","",VLOOKUP(G621,リスト!J$2:K$3,2,FALSE))</f>
        <v>02</v>
      </c>
      <c r="G621" s="1285" t="s">
        <v>842</v>
      </c>
      <c r="H621" s="1284">
        <v>56785</v>
      </c>
      <c r="I621" s="1284">
        <v>0</v>
      </c>
      <c r="J621" s="644">
        <f t="shared" si="38"/>
        <v>56785</v>
      </c>
      <c r="K621" s="1284">
        <v>56785</v>
      </c>
      <c r="L621" s="644">
        <f t="shared" si="39"/>
        <v>0</v>
      </c>
      <c r="M621" s="680">
        <v>0</v>
      </c>
      <c r="N621" s="651">
        <v>0</v>
      </c>
    </row>
    <row r="622" spans="1:14" ht="15.95" customHeight="1" x14ac:dyDescent="0.15">
      <c r="A622" s="1286">
        <v>43221</v>
      </c>
      <c r="B622" s="640" t="str">
        <f t="shared" ca="1" si="36"/>
        <v>02</v>
      </c>
      <c r="C622" s="1285" t="s">
        <v>37</v>
      </c>
      <c r="D622" s="640" t="str">
        <f t="shared" ca="1" si="37"/>
        <v>03</v>
      </c>
      <c r="E622" s="1285" t="s">
        <v>98</v>
      </c>
      <c r="F622" s="641" t="str">
        <f>IF(G622="","",VLOOKUP(G622,リスト!J$2:K$3,2,FALSE))</f>
        <v>02</v>
      </c>
      <c r="G622" s="1285" t="s">
        <v>842</v>
      </c>
      <c r="H622" s="1284">
        <v>0</v>
      </c>
      <c r="I622" s="1284">
        <v>0</v>
      </c>
      <c r="J622" s="644">
        <f t="shared" si="38"/>
        <v>0</v>
      </c>
      <c r="K622" s="1284">
        <v>0</v>
      </c>
      <c r="L622" s="644">
        <f t="shared" si="39"/>
        <v>0</v>
      </c>
      <c r="M622" s="680">
        <v>0</v>
      </c>
      <c r="N622" s="651">
        <v>0</v>
      </c>
    </row>
    <row r="623" spans="1:14" ht="15.95" customHeight="1" x14ac:dyDescent="0.15">
      <c r="A623" s="1286">
        <v>43221</v>
      </c>
      <c r="B623" s="640" t="str">
        <f t="shared" ca="1" si="36"/>
        <v>02</v>
      </c>
      <c r="C623" s="1285" t="s">
        <v>37</v>
      </c>
      <c r="D623" s="640" t="str">
        <f t="shared" ca="1" si="37"/>
        <v>02</v>
      </c>
      <c r="E623" s="1285" t="s">
        <v>84</v>
      </c>
      <c r="F623" s="641" t="str">
        <f>IF(G623="","",VLOOKUP(G623,リスト!J$2:K$3,2,FALSE))</f>
        <v>02</v>
      </c>
      <c r="G623" s="1285" t="s">
        <v>842</v>
      </c>
      <c r="H623" s="1284">
        <v>55677</v>
      </c>
      <c r="I623" s="1284">
        <v>0</v>
      </c>
      <c r="J623" s="644">
        <f t="shared" si="38"/>
        <v>55677</v>
      </c>
      <c r="K623" s="1284">
        <v>55677</v>
      </c>
      <c r="L623" s="644">
        <f t="shared" si="39"/>
        <v>0</v>
      </c>
      <c r="M623" s="680">
        <v>0</v>
      </c>
      <c r="N623" s="651">
        <v>0</v>
      </c>
    </row>
    <row r="624" spans="1:14" ht="15.95" customHeight="1" x14ac:dyDescent="0.15">
      <c r="A624" s="1286">
        <v>43221</v>
      </c>
      <c r="B624" s="640" t="str">
        <f t="shared" ca="1" si="36"/>
        <v>03</v>
      </c>
      <c r="C624" s="1285" t="s">
        <v>66</v>
      </c>
      <c r="D624" s="640" t="str">
        <f t="shared" ca="1" si="37"/>
        <v>01</v>
      </c>
      <c r="E624" s="1285" t="s">
        <v>83</v>
      </c>
      <c r="F624" s="641" t="str">
        <f>IF(G624="","",VLOOKUP(G624,リスト!J$2:K$3,2,FALSE))</f>
        <v>01</v>
      </c>
      <c r="G624" s="1285" t="s">
        <v>841</v>
      </c>
      <c r="H624" s="1284">
        <v>4299495</v>
      </c>
      <c r="I624" s="1284">
        <v>-142589</v>
      </c>
      <c r="J624" s="644">
        <f t="shared" si="38"/>
        <v>4156906</v>
      </c>
      <c r="K624" s="1284">
        <v>4156906</v>
      </c>
      <c r="L624" s="644">
        <f t="shared" si="39"/>
        <v>0</v>
      </c>
      <c r="M624" s="680">
        <v>8133</v>
      </c>
      <c r="N624" s="651">
        <v>468481</v>
      </c>
    </row>
    <row r="625" spans="1:14" ht="15.95" customHeight="1" x14ac:dyDescent="0.15">
      <c r="A625" s="1286">
        <v>43221</v>
      </c>
      <c r="B625" s="640" t="str">
        <f t="shared" ca="1" si="36"/>
        <v>03</v>
      </c>
      <c r="C625" s="1285" t="s">
        <v>66</v>
      </c>
      <c r="D625" s="640" t="str">
        <f t="shared" ca="1" si="37"/>
        <v>02</v>
      </c>
      <c r="E625" s="1285" t="s">
        <v>84</v>
      </c>
      <c r="F625" s="641" t="str">
        <f>IF(G625="","",VLOOKUP(G625,リスト!J$2:K$3,2,FALSE))</f>
        <v>01</v>
      </c>
      <c r="G625" s="1285" t="s">
        <v>841</v>
      </c>
      <c r="H625" s="1284">
        <v>1488856</v>
      </c>
      <c r="I625" s="1284">
        <v>-20862</v>
      </c>
      <c r="J625" s="644">
        <f t="shared" si="38"/>
        <v>1467994</v>
      </c>
      <c r="K625" s="1284">
        <v>1467994</v>
      </c>
      <c r="L625" s="644">
        <f t="shared" si="39"/>
        <v>0</v>
      </c>
      <c r="M625" s="680">
        <v>0</v>
      </c>
      <c r="N625" s="651">
        <v>341347</v>
      </c>
    </row>
    <row r="626" spans="1:14" ht="15.95" customHeight="1" x14ac:dyDescent="0.15">
      <c r="A626" s="1286">
        <v>43221</v>
      </c>
      <c r="B626" s="640" t="str">
        <f t="shared" ca="1" si="36"/>
        <v>03</v>
      </c>
      <c r="C626" s="1285" t="s">
        <v>66</v>
      </c>
      <c r="D626" s="640" t="str">
        <f t="shared" ca="1" si="37"/>
        <v>01</v>
      </c>
      <c r="E626" s="1285" t="s">
        <v>83</v>
      </c>
      <c r="F626" s="641" t="str">
        <f>IF(G626="","",VLOOKUP(G626,リスト!J$2:K$3,2,FALSE))</f>
        <v>02</v>
      </c>
      <c r="G626" s="1285" t="s">
        <v>842</v>
      </c>
      <c r="H626" s="1284">
        <v>363033</v>
      </c>
      <c r="I626" s="1284">
        <v>72939</v>
      </c>
      <c r="J626" s="644">
        <f t="shared" si="38"/>
        <v>435972</v>
      </c>
      <c r="K626" s="1284">
        <v>435972</v>
      </c>
      <c r="L626" s="644">
        <f t="shared" si="39"/>
        <v>0</v>
      </c>
      <c r="M626" s="680">
        <v>0</v>
      </c>
      <c r="N626" s="651">
        <v>0</v>
      </c>
    </row>
    <row r="627" spans="1:14" ht="15.95" customHeight="1" x14ac:dyDescent="0.15">
      <c r="A627" s="1286">
        <v>43221</v>
      </c>
      <c r="B627" s="640" t="str">
        <f t="shared" ca="1" si="36"/>
        <v>03</v>
      </c>
      <c r="C627" s="1285" t="s">
        <v>66</v>
      </c>
      <c r="D627" s="640" t="str">
        <f t="shared" ca="1" si="37"/>
        <v>02</v>
      </c>
      <c r="E627" s="1285" t="s">
        <v>84</v>
      </c>
      <c r="F627" s="641" t="str">
        <f>IF(G627="","",VLOOKUP(G627,リスト!J$2:K$3,2,FALSE))</f>
        <v>02</v>
      </c>
      <c r="G627" s="1285" t="s">
        <v>842</v>
      </c>
      <c r="H627" s="1284">
        <v>0</v>
      </c>
      <c r="I627" s="1284">
        <v>0</v>
      </c>
      <c r="J627" s="644">
        <f t="shared" si="38"/>
        <v>0</v>
      </c>
      <c r="K627" s="1284">
        <v>0</v>
      </c>
      <c r="L627" s="644">
        <f t="shared" si="39"/>
        <v>0</v>
      </c>
      <c r="M627" s="680">
        <v>0</v>
      </c>
      <c r="N627" s="651">
        <v>0</v>
      </c>
    </row>
    <row r="628" spans="1:14" ht="15.95" customHeight="1" x14ac:dyDescent="0.15">
      <c r="A628" s="1286">
        <v>43221</v>
      </c>
      <c r="B628" s="640" t="str">
        <f t="shared" ca="1" si="36"/>
        <v>04</v>
      </c>
      <c r="C628" s="1285" t="s">
        <v>358</v>
      </c>
      <c r="D628" s="640" t="str">
        <f t="shared" ca="1" si="37"/>
        <v>04</v>
      </c>
      <c r="E628" s="1285" t="s">
        <v>542</v>
      </c>
      <c r="F628" s="641" t="str">
        <f>IF(G628="","",VLOOKUP(G628,リスト!J$2:K$3,2,FALSE))</f>
        <v>01</v>
      </c>
      <c r="G628" s="1285" t="s">
        <v>841</v>
      </c>
      <c r="H628" s="1284">
        <v>4098308</v>
      </c>
      <c r="I628" s="1284">
        <v>0</v>
      </c>
      <c r="J628" s="644">
        <f t="shared" si="38"/>
        <v>4098308</v>
      </c>
      <c r="K628" s="1284">
        <v>4098308</v>
      </c>
      <c r="L628" s="644">
        <f t="shared" si="39"/>
        <v>0</v>
      </c>
      <c r="M628" s="680">
        <v>0</v>
      </c>
      <c r="N628" s="651">
        <v>231845</v>
      </c>
    </row>
    <row r="629" spans="1:14" ht="15.95" customHeight="1" x14ac:dyDescent="0.15">
      <c r="A629" s="1286">
        <v>43221</v>
      </c>
      <c r="B629" s="640" t="str">
        <f t="shared" ca="1" si="36"/>
        <v>04</v>
      </c>
      <c r="C629" s="1285" t="s">
        <v>358</v>
      </c>
      <c r="D629" s="640" t="str">
        <f t="shared" ca="1" si="37"/>
        <v>04</v>
      </c>
      <c r="E629" s="1285" t="s">
        <v>542</v>
      </c>
      <c r="F629" s="641" t="str">
        <f>IF(G629="","",VLOOKUP(G629,リスト!J$2:K$3,2,FALSE))</f>
        <v>02</v>
      </c>
      <c r="G629" s="1285" t="s">
        <v>842</v>
      </c>
      <c r="H629" s="1284">
        <v>92580</v>
      </c>
      <c r="I629" s="1284">
        <v>0</v>
      </c>
      <c r="J629" s="644">
        <f t="shared" si="38"/>
        <v>92580</v>
      </c>
      <c r="K629" s="1284">
        <v>92580</v>
      </c>
      <c r="L629" s="644">
        <f t="shared" si="39"/>
        <v>0</v>
      </c>
      <c r="M629" s="680">
        <v>0</v>
      </c>
      <c r="N629" s="651">
        <v>0</v>
      </c>
    </row>
    <row r="630" spans="1:14" ht="15.95" customHeight="1" x14ac:dyDescent="0.15">
      <c r="A630" s="1286">
        <v>43221</v>
      </c>
      <c r="B630" s="640" t="str">
        <f t="shared" ca="1" si="36"/>
        <v>05</v>
      </c>
      <c r="C630" s="1285" t="s">
        <v>38</v>
      </c>
      <c r="D630" s="640" t="str">
        <f t="shared" ca="1" si="37"/>
        <v>01</v>
      </c>
      <c r="E630" s="1285" t="s">
        <v>83</v>
      </c>
      <c r="F630" s="641" t="str">
        <f>IF(G630="","",VLOOKUP(G630,リスト!J$2:K$3,2,FALSE))</f>
        <v>01</v>
      </c>
      <c r="G630" s="1285" t="s">
        <v>841</v>
      </c>
      <c r="H630" s="1284">
        <v>2293370</v>
      </c>
      <c r="I630" s="1284">
        <v>0</v>
      </c>
      <c r="J630" s="644">
        <f t="shared" si="38"/>
        <v>2293370</v>
      </c>
      <c r="K630" s="1284">
        <v>2293370</v>
      </c>
      <c r="L630" s="644">
        <f t="shared" si="39"/>
        <v>0</v>
      </c>
      <c r="M630" s="680">
        <v>0</v>
      </c>
      <c r="N630" s="651">
        <v>0</v>
      </c>
    </row>
    <row r="631" spans="1:14" ht="15.95" customHeight="1" x14ac:dyDescent="0.15">
      <c r="A631" s="1286">
        <v>43221</v>
      </c>
      <c r="B631" s="640" t="str">
        <f t="shared" ca="1" si="36"/>
        <v>05</v>
      </c>
      <c r="C631" s="1285" t="s">
        <v>38</v>
      </c>
      <c r="D631" s="640" t="str">
        <f t="shared" ca="1" si="37"/>
        <v>01</v>
      </c>
      <c r="E631" s="1285" t="s">
        <v>83</v>
      </c>
      <c r="F631" s="641" t="str">
        <f>IF(G631="","",VLOOKUP(G631,リスト!J$2:K$3,2,FALSE))</f>
        <v>02</v>
      </c>
      <c r="G631" s="1285" t="s">
        <v>842</v>
      </c>
      <c r="H631" s="1284">
        <v>0</v>
      </c>
      <c r="I631" s="1284">
        <v>0</v>
      </c>
      <c r="J631" s="644">
        <f t="shared" si="38"/>
        <v>0</v>
      </c>
      <c r="K631" s="1284">
        <v>0</v>
      </c>
      <c r="L631" s="644">
        <f t="shared" si="39"/>
        <v>0</v>
      </c>
      <c r="M631" s="680">
        <v>0</v>
      </c>
      <c r="N631" s="651">
        <v>0</v>
      </c>
    </row>
    <row r="632" spans="1:14" ht="15.95" customHeight="1" x14ac:dyDescent="0.15">
      <c r="A632" s="1286">
        <v>43221</v>
      </c>
      <c r="B632" s="640" t="str">
        <f t="shared" ca="1" si="36"/>
        <v>07</v>
      </c>
      <c r="C632" s="1285" t="s">
        <v>119</v>
      </c>
      <c r="D632" s="640" t="str">
        <f t="shared" ca="1" si="37"/>
        <v>05</v>
      </c>
      <c r="E632" s="1285" t="s">
        <v>543</v>
      </c>
      <c r="F632" s="641" t="str">
        <f>IF(G632="","",VLOOKUP(G632,リスト!J$2:K$3,2,FALSE))</f>
        <v>01</v>
      </c>
      <c r="G632" s="1285" t="s">
        <v>841</v>
      </c>
      <c r="H632" s="1284">
        <v>802372</v>
      </c>
      <c r="I632" s="1284">
        <v>0</v>
      </c>
      <c r="J632" s="644">
        <f t="shared" si="38"/>
        <v>802372</v>
      </c>
      <c r="K632" s="1284">
        <v>802372</v>
      </c>
      <c r="L632" s="644">
        <f t="shared" si="39"/>
        <v>0</v>
      </c>
      <c r="M632" s="680">
        <v>0</v>
      </c>
      <c r="N632" s="651">
        <v>283493</v>
      </c>
    </row>
    <row r="633" spans="1:14" ht="15.95" customHeight="1" x14ac:dyDescent="0.15">
      <c r="A633" s="1286">
        <v>43221</v>
      </c>
      <c r="B633" s="640" t="str">
        <f t="shared" ca="1" si="36"/>
        <v>07</v>
      </c>
      <c r="C633" s="1285" t="s">
        <v>119</v>
      </c>
      <c r="D633" s="640" t="str">
        <f t="shared" ca="1" si="37"/>
        <v>05</v>
      </c>
      <c r="E633" s="1285" t="s">
        <v>543</v>
      </c>
      <c r="F633" s="641" t="str">
        <f>IF(G633="","",VLOOKUP(G633,リスト!J$2:K$3,2,FALSE))</f>
        <v>02</v>
      </c>
      <c r="G633" s="1285" t="s">
        <v>842</v>
      </c>
      <c r="H633" s="1284">
        <v>0</v>
      </c>
      <c r="I633" s="1284">
        <v>0</v>
      </c>
      <c r="J633" s="644">
        <f t="shared" si="38"/>
        <v>0</v>
      </c>
      <c r="K633" s="1284">
        <v>0</v>
      </c>
      <c r="L633" s="644">
        <f t="shared" si="39"/>
        <v>0</v>
      </c>
      <c r="M633" s="680">
        <v>0</v>
      </c>
      <c r="N633" s="651">
        <v>0</v>
      </c>
    </row>
    <row r="634" spans="1:14" ht="15.95" customHeight="1" x14ac:dyDescent="0.15">
      <c r="A634" s="1286">
        <v>43221</v>
      </c>
      <c r="B634" s="640" t="str">
        <f t="shared" ca="1" si="36"/>
        <v>08</v>
      </c>
      <c r="C634" s="1285" t="s">
        <v>189</v>
      </c>
      <c r="D634" s="640" t="str">
        <f t="shared" ca="1" si="37"/>
        <v>05</v>
      </c>
      <c r="E634" s="1285" t="s">
        <v>543</v>
      </c>
      <c r="F634" s="641" t="str">
        <f>IF(G634="","",VLOOKUP(G634,リスト!J$2:K$3,2,FALSE))</f>
        <v>01</v>
      </c>
      <c r="G634" s="1285" t="s">
        <v>841</v>
      </c>
      <c r="H634" s="1284">
        <v>1007268</v>
      </c>
      <c r="I634" s="1284">
        <v>0</v>
      </c>
      <c r="J634" s="644">
        <f t="shared" si="38"/>
        <v>1007268</v>
      </c>
      <c r="K634" s="1284">
        <v>1007268</v>
      </c>
      <c r="L634" s="644">
        <f t="shared" si="39"/>
        <v>0</v>
      </c>
      <c r="M634" s="680">
        <v>0</v>
      </c>
      <c r="N634" s="651">
        <v>0</v>
      </c>
    </row>
    <row r="635" spans="1:14" ht="15.95" customHeight="1" x14ac:dyDescent="0.15">
      <c r="A635" s="1286">
        <v>43221</v>
      </c>
      <c r="B635" s="640" t="str">
        <f t="shared" ca="1" si="36"/>
        <v>08</v>
      </c>
      <c r="C635" s="1285" t="s">
        <v>189</v>
      </c>
      <c r="D635" s="640" t="str">
        <f t="shared" ca="1" si="37"/>
        <v>05</v>
      </c>
      <c r="E635" s="1285" t="s">
        <v>543</v>
      </c>
      <c r="F635" s="641" t="str">
        <f>IF(G635="","",VLOOKUP(G635,リスト!J$2:K$3,2,FALSE))</f>
        <v>02</v>
      </c>
      <c r="G635" s="1285" t="s">
        <v>842</v>
      </c>
      <c r="H635" s="1284">
        <v>0</v>
      </c>
      <c r="I635" s="1284">
        <v>0</v>
      </c>
      <c r="J635" s="644">
        <f t="shared" si="38"/>
        <v>0</v>
      </c>
      <c r="K635" s="1284">
        <v>0</v>
      </c>
      <c r="L635" s="644">
        <f t="shared" si="39"/>
        <v>0</v>
      </c>
      <c r="M635" s="680">
        <v>0</v>
      </c>
      <c r="N635" s="651">
        <v>0</v>
      </c>
    </row>
    <row r="636" spans="1:14" ht="15.95" customHeight="1" x14ac:dyDescent="0.15">
      <c r="A636" s="1286">
        <v>43221</v>
      </c>
      <c r="B636" s="640" t="str">
        <f t="shared" ca="1" si="36"/>
        <v>09</v>
      </c>
      <c r="C636" s="1285" t="s">
        <v>329</v>
      </c>
      <c r="D636" s="640" t="str">
        <f t="shared" ca="1" si="37"/>
        <v>05</v>
      </c>
      <c r="E636" s="1285" t="s">
        <v>543</v>
      </c>
      <c r="F636" s="641" t="str">
        <f>IF(G636="","",VLOOKUP(G636,リスト!J$2:K$3,2,FALSE))</f>
        <v>01</v>
      </c>
      <c r="G636" s="1285" t="s">
        <v>841</v>
      </c>
      <c r="H636" s="1284">
        <v>2474409</v>
      </c>
      <c r="I636" s="1284">
        <v>0</v>
      </c>
      <c r="J636" s="644">
        <f t="shared" si="38"/>
        <v>2474409</v>
      </c>
      <c r="K636" s="1284">
        <v>2474409</v>
      </c>
      <c r="L636" s="644">
        <f t="shared" si="39"/>
        <v>0</v>
      </c>
      <c r="M636" s="680">
        <v>0</v>
      </c>
      <c r="N636" s="651">
        <v>0</v>
      </c>
    </row>
    <row r="637" spans="1:14" ht="15.95" customHeight="1" x14ac:dyDescent="0.15">
      <c r="A637" s="1286">
        <v>43221</v>
      </c>
      <c r="B637" s="640" t="str">
        <f t="shared" ca="1" si="36"/>
        <v>09</v>
      </c>
      <c r="C637" s="1285" t="s">
        <v>329</v>
      </c>
      <c r="D637" s="640" t="str">
        <f t="shared" ca="1" si="37"/>
        <v>05</v>
      </c>
      <c r="E637" s="1285" t="s">
        <v>543</v>
      </c>
      <c r="F637" s="641" t="str">
        <f>IF(G637="","",VLOOKUP(G637,リスト!J$2:K$3,2,FALSE))</f>
        <v>02</v>
      </c>
      <c r="G637" s="1285" t="s">
        <v>842</v>
      </c>
      <c r="H637" s="1284">
        <v>0</v>
      </c>
      <c r="I637" s="1284">
        <v>0</v>
      </c>
      <c r="J637" s="644">
        <f t="shared" si="38"/>
        <v>0</v>
      </c>
      <c r="K637" s="1284">
        <v>0</v>
      </c>
      <c r="L637" s="644">
        <f t="shared" si="39"/>
        <v>0</v>
      </c>
      <c r="M637" s="680">
        <v>0</v>
      </c>
      <c r="N637" s="651">
        <v>0</v>
      </c>
    </row>
    <row r="638" spans="1:14" ht="15.95" customHeight="1" x14ac:dyDescent="0.15">
      <c r="A638" s="1286">
        <v>43221</v>
      </c>
      <c r="B638" s="640" t="str">
        <f t="shared" ca="1" si="36"/>
        <v>10</v>
      </c>
      <c r="C638" s="1285" t="s">
        <v>336</v>
      </c>
      <c r="D638" s="640" t="str">
        <f t="shared" ca="1" si="37"/>
        <v>01</v>
      </c>
      <c r="E638" s="1285" t="s">
        <v>83</v>
      </c>
      <c r="F638" s="641" t="str">
        <f>IF(G638="","",VLOOKUP(G638,リスト!J$2:K$3,2,FALSE))</f>
        <v>01</v>
      </c>
      <c r="G638" s="1285" t="s">
        <v>841</v>
      </c>
      <c r="H638" s="1284">
        <v>864418</v>
      </c>
      <c r="I638" s="1284">
        <v>0</v>
      </c>
      <c r="J638" s="644">
        <f t="shared" si="38"/>
        <v>864418</v>
      </c>
      <c r="K638" s="1284">
        <v>864418</v>
      </c>
      <c r="L638" s="644">
        <f t="shared" si="39"/>
        <v>0</v>
      </c>
      <c r="M638" s="680">
        <v>26209</v>
      </c>
      <c r="N638" s="651">
        <v>0</v>
      </c>
    </row>
    <row r="639" spans="1:14" ht="15.95" customHeight="1" x14ac:dyDescent="0.15">
      <c r="A639" s="1286">
        <v>43221</v>
      </c>
      <c r="B639" s="640" t="str">
        <f t="shared" ca="1" si="36"/>
        <v>10</v>
      </c>
      <c r="C639" s="1285" t="s">
        <v>336</v>
      </c>
      <c r="D639" s="640" t="str">
        <f t="shared" ca="1" si="37"/>
        <v>02</v>
      </c>
      <c r="E639" s="1285" t="s">
        <v>84</v>
      </c>
      <c r="F639" s="641" t="str">
        <f>IF(G639="","",VLOOKUP(G639,リスト!J$2:K$3,2,FALSE))</f>
        <v>01</v>
      </c>
      <c r="G639" s="1285" t="s">
        <v>841</v>
      </c>
      <c r="H639" s="1284">
        <v>50890</v>
      </c>
      <c r="I639" s="1284">
        <v>0</v>
      </c>
      <c r="J639" s="644">
        <f t="shared" si="38"/>
        <v>50890</v>
      </c>
      <c r="K639" s="1284">
        <v>50890</v>
      </c>
      <c r="L639" s="644">
        <f t="shared" si="39"/>
        <v>0</v>
      </c>
      <c r="M639" s="680">
        <v>0</v>
      </c>
      <c r="N639" s="651">
        <v>0</v>
      </c>
    </row>
    <row r="640" spans="1:14" ht="15.95" customHeight="1" x14ac:dyDescent="0.15">
      <c r="A640" s="1286">
        <v>43221</v>
      </c>
      <c r="B640" s="640" t="str">
        <f t="shared" ca="1" si="36"/>
        <v>10</v>
      </c>
      <c r="C640" s="1285" t="s">
        <v>336</v>
      </c>
      <c r="D640" s="640" t="str">
        <f t="shared" ca="1" si="37"/>
        <v>01</v>
      </c>
      <c r="E640" s="1285" t="s">
        <v>83</v>
      </c>
      <c r="F640" s="641" t="str">
        <f>IF(G640="","",VLOOKUP(G640,リスト!J$2:K$3,2,FALSE))</f>
        <v>02</v>
      </c>
      <c r="G640" s="1285" t="s">
        <v>842</v>
      </c>
      <c r="H640" s="1284">
        <v>1305</v>
      </c>
      <c r="I640" s="1284">
        <v>0</v>
      </c>
      <c r="J640" s="644">
        <f t="shared" si="38"/>
        <v>1305</v>
      </c>
      <c r="K640" s="1284">
        <v>1305</v>
      </c>
      <c r="L640" s="644">
        <f>IF(A640="","",J640-K640)</f>
        <v>0</v>
      </c>
      <c r="M640" s="680">
        <v>0</v>
      </c>
      <c r="N640" s="651">
        <v>0</v>
      </c>
    </row>
    <row r="641" spans="1:14" ht="15.95" customHeight="1" x14ac:dyDescent="0.15">
      <c r="A641" s="1286">
        <v>43221</v>
      </c>
      <c r="B641" s="640" t="str">
        <f t="shared" ca="1" si="36"/>
        <v>10</v>
      </c>
      <c r="C641" s="1285" t="s">
        <v>336</v>
      </c>
      <c r="D641" s="640" t="str">
        <f t="shared" ca="1" si="37"/>
        <v>02</v>
      </c>
      <c r="E641" s="1285" t="s">
        <v>84</v>
      </c>
      <c r="F641" s="641" t="str">
        <f>IF(G641="","",VLOOKUP(G641,リスト!J$2:K$3,2,FALSE))</f>
        <v>02</v>
      </c>
      <c r="G641" s="1285" t="s">
        <v>842</v>
      </c>
      <c r="H641" s="1284">
        <v>0</v>
      </c>
      <c r="I641" s="1284">
        <v>0</v>
      </c>
      <c r="J641" s="644">
        <f t="shared" si="38"/>
        <v>0</v>
      </c>
      <c r="K641" s="1284">
        <v>0</v>
      </c>
      <c r="L641" s="644">
        <f t="shared" si="39"/>
        <v>0</v>
      </c>
      <c r="M641" s="680">
        <v>0</v>
      </c>
      <c r="N641" s="651">
        <v>0</v>
      </c>
    </row>
    <row r="642" spans="1:14" ht="15.95" customHeight="1" x14ac:dyDescent="0.15">
      <c r="A642" s="1286">
        <v>43252</v>
      </c>
      <c r="B642" s="640" t="str">
        <f t="shared" ref="B642:B705" ca="1" si="40">IF(C642="","",VLOOKUP(C642,事業所コード2,2,FALSE))</f>
        <v>01</v>
      </c>
      <c r="C642" s="1285" t="s">
        <v>34</v>
      </c>
      <c r="D642" s="640" t="str">
        <f t="shared" ref="D642:D705" ca="1" si="41">IF(E642="","",VLOOKUP(E642,事業区分コード2,2,FALSE))</f>
        <v>01</v>
      </c>
      <c r="E642" s="1285" t="s">
        <v>83</v>
      </c>
      <c r="F642" s="641" t="str">
        <f>IF(G642="","",VLOOKUP(G642,リスト!J$2:K$3,2,FALSE))</f>
        <v>01</v>
      </c>
      <c r="G642" s="1285" t="s">
        <v>841</v>
      </c>
      <c r="H642" s="1284">
        <v>7562429</v>
      </c>
      <c r="I642" s="1284">
        <v>-30827</v>
      </c>
      <c r="J642" s="644">
        <f t="shared" ref="J642:J705" si="42">IF(A642="","",H642+I642)</f>
        <v>7531602</v>
      </c>
      <c r="K642" s="1284">
        <v>7531602</v>
      </c>
      <c r="L642" s="644">
        <f t="shared" ref="L642:L705" si="43">IF(A642="","",J642-K642)</f>
        <v>0</v>
      </c>
      <c r="M642" s="680">
        <v>0</v>
      </c>
      <c r="N642" s="651">
        <v>1264475</v>
      </c>
    </row>
    <row r="643" spans="1:14" ht="15.95" customHeight="1" x14ac:dyDescent="0.15">
      <c r="A643" s="1286">
        <v>43252</v>
      </c>
      <c r="B643" s="640" t="str">
        <f t="shared" ca="1" si="40"/>
        <v>01</v>
      </c>
      <c r="C643" s="1285" t="s">
        <v>34</v>
      </c>
      <c r="D643" s="640" t="str">
        <f t="shared" ca="1" si="41"/>
        <v>03</v>
      </c>
      <c r="E643" s="1285" t="s">
        <v>98</v>
      </c>
      <c r="F643" s="641" t="str">
        <f>IF(G643="","",VLOOKUP(G643,リスト!J$2:K$3,2,FALSE))</f>
        <v>01</v>
      </c>
      <c r="G643" s="1285" t="s">
        <v>841</v>
      </c>
      <c r="H643" s="1284">
        <v>684712</v>
      </c>
      <c r="I643" s="1284">
        <v>0</v>
      </c>
      <c r="J643" s="644">
        <f t="shared" si="42"/>
        <v>684712</v>
      </c>
      <c r="K643" s="1284">
        <v>684712</v>
      </c>
      <c r="L643" s="644">
        <f t="shared" si="43"/>
        <v>0</v>
      </c>
      <c r="M643" s="680">
        <v>0</v>
      </c>
      <c r="N643" s="651">
        <v>0</v>
      </c>
    </row>
    <row r="644" spans="1:14" ht="15.95" customHeight="1" x14ac:dyDescent="0.15">
      <c r="A644" s="1286">
        <v>43252</v>
      </c>
      <c r="B644" s="640" t="str">
        <f t="shared" ca="1" si="40"/>
        <v>01</v>
      </c>
      <c r="C644" s="1285" t="s">
        <v>34</v>
      </c>
      <c r="D644" s="640" t="str">
        <f t="shared" ca="1" si="41"/>
        <v>02</v>
      </c>
      <c r="E644" s="1285" t="s">
        <v>84</v>
      </c>
      <c r="F644" s="641" t="str">
        <f>IF(G644="","",VLOOKUP(G644,リスト!J$2:K$3,2,FALSE))</f>
        <v>01</v>
      </c>
      <c r="G644" s="1285" t="s">
        <v>841</v>
      </c>
      <c r="H644" s="1284">
        <v>1288468</v>
      </c>
      <c r="I644" s="1284">
        <v>0</v>
      </c>
      <c r="J644" s="644">
        <f t="shared" si="42"/>
        <v>1288468</v>
      </c>
      <c r="K644" s="1284">
        <v>1288468</v>
      </c>
      <c r="L644" s="644">
        <f t="shared" si="43"/>
        <v>0</v>
      </c>
      <c r="M644" s="680">
        <v>0</v>
      </c>
      <c r="N644" s="651">
        <v>270557</v>
      </c>
    </row>
    <row r="645" spans="1:14" ht="15.95" customHeight="1" x14ac:dyDescent="0.15">
      <c r="A645" s="1286">
        <v>43252</v>
      </c>
      <c r="B645" s="640" t="str">
        <f t="shared" ca="1" si="40"/>
        <v>01</v>
      </c>
      <c r="C645" s="1285" t="s">
        <v>34</v>
      </c>
      <c r="D645" s="640" t="str">
        <f t="shared" ca="1" si="41"/>
        <v>01</v>
      </c>
      <c r="E645" s="1285" t="s">
        <v>83</v>
      </c>
      <c r="F645" s="641" t="str">
        <f>IF(G645="","",VLOOKUP(G645,リスト!J$2:K$3,2,FALSE))</f>
        <v>02</v>
      </c>
      <c r="G645" s="1285" t="s">
        <v>842</v>
      </c>
      <c r="H645" s="1284">
        <v>0</v>
      </c>
      <c r="I645" s="1284">
        <v>14209</v>
      </c>
      <c r="J645" s="644">
        <f t="shared" si="42"/>
        <v>14209</v>
      </c>
      <c r="K645" s="1284">
        <v>14209</v>
      </c>
      <c r="L645" s="644">
        <f t="shared" si="43"/>
        <v>0</v>
      </c>
      <c r="M645" s="680">
        <v>0</v>
      </c>
      <c r="N645" s="651">
        <v>0</v>
      </c>
    </row>
    <row r="646" spans="1:14" ht="15.95" customHeight="1" x14ac:dyDescent="0.15">
      <c r="A646" s="1286">
        <v>43252</v>
      </c>
      <c r="B646" s="640" t="str">
        <f t="shared" ca="1" si="40"/>
        <v>01</v>
      </c>
      <c r="C646" s="1285" t="s">
        <v>34</v>
      </c>
      <c r="D646" s="640" t="str">
        <f t="shared" ca="1" si="41"/>
        <v>03</v>
      </c>
      <c r="E646" s="1285" t="s">
        <v>98</v>
      </c>
      <c r="F646" s="641" t="str">
        <f>IF(G646="","",VLOOKUP(G646,リスト!J$2:K$3,2,FALSE))</f>
        <v>02</v>
      </c>
      <c r="G646" s="1285" t="s">
        <v>842</v>
      </c>
      <c r="H646" s="1284">
        <v>46801</v>
      </c>
      <c r="I646" s="1284">
        <v>-17687</v>
      </c>
      <c r="J646" s="644">
        <f t="shared" si="42"/>
        <v>29114</v>
      </c>
      <c r="K646" s="1284">
        <v>29114</v>
      </c>
      <c r="L646" s="644">
        <f t="shared" si="43"/>
        <v>0</v>
      </c>
      <c r="M646" s="680">
        <v>0</v>
      </c>
      <c r="N646" s="651">
        <v>0</v>
      </c>
    </row>
    <row r="647" spans="1:14" ht="15.95" customHeight="1" x14ac:dyDescent="0.15">
      <c r="A647" s="1286">
        <v>43252</v>
      </c>
      <c r="B647" s="640" t="str">
        <f t="shared" ca="1" si="40"/>
        <v>01</v>
      </c>
      <c r="C647" s="1285" t="s">
        <v>34</v>
      </c>
      <c r="D647" s="640" t="str">
        <f t="shared" ca="1" si="41"/>
        <v>02</v>
      </c>
      <c r="E647" s="1285" t="s">
        <v>84</v>
      </c>
      <c r="F647" s="641" t="str">
        <f>IF(G647="","",VLOOKUP(G647,リスト!J$2:K$3,2,FALSE))</f>
        <v>02</v>
      </c>
      <c r="G647" s="1285" t="s">
        <v>842</v>
      </c>
      <c r="H647" s="1284">
        <v>0</v>
      </c>
      <c r="I647" s="1284">
        <v>0</v>
      </c>
      <c r="J647" s="644">
        <f t="shared" si="42"/>
        <v>0</v>
      </c>
      <c r="K647" s="1284">
        <v>0</v>
      </c>
      <c r="L647" s="644">
        <f t="shared" si="43"/>
        <v>0</v>
      </c>
      <c r="M647" s="680">
        <v>0</v>
      </c>
      <c r="N647" s="651">
        <v>0</v>
      </c>
    </row>
    <row r="648" spans="1:14" ht="15.95" customHeight="1" x14ac:dyDescent="0.15">
      <c r="A648" s="1286">
        <v>43252</v>
      </c>
      <c r="B648" s="640" t="str">
        <f t="shared" ca="1" si="40"/>
        <v>02</v>
      </c>
      <c r="C648" s="1285" t="s">
        <v>37</v>
      </c>
      <c r="D648" s="640" t="str">
        <f t="shared" ca="1" si="41"/>
        <v>01</v>
      </c>
      <c r="E648" s="1285" t="s">
        <v>83</v>
      </c>
      <c r="F648" s="641" t="str">
        <f>IF(G648="","",VLOOKUP(G648,リスト!J$2:K$3,2,FALSE))</f>
        <v>01</v>
      </c>
      <c r="G648" s="1285" t="s">
        <v>841</v>
      </c>
      <c r="H648" s="1284">
        <v>4235406</v>
      </c>
      <c r="I648" s="1284">
        <v>-105669</v>
      </c>
      <c r="J648" s="644">
        <f t="shared" si="42"/>
        <v>4129737</v>
      </c>
      <c r="K648" s="1284">
        <v>4129737</v>
      </c>
      <c r="L648" s="644">
        <f t="shared" si="43"/>
        <v>0</v>
      </c>
      <c r="M648" s="680">
        <v>15083</v>
      </c>
      <c r="N648" s="651">
        <v>516297</v>
      </c>
    </row>
    <row r="649" spans="1:14" ht="15.95" customHeight="1" x14ac:dyDescent="0.15">
      <c r="A649" s="1286">
        <v>43252</v>
      </c>
      <c r="B649" s="640" t="str">
        <f t="shared" ca="1" si="40"/>
        <v>02</v>
      </c>
      <c r="C649" s="1285" t="s">
        <v>37</v>
      </c>
      <c r="D649" s="640" t="str">
        <f t="shared" ca="1" si="41"/>
        <v>03</v>
      </c>
      <c r="E649" s="1285" t="s">
        <v>98</v>
      </c>
      <c r="F649" s="641" t="str">
        <f>IF(G649="","",VLOOKUP(G649,リスト!J$2:K$3,2,FALSE))</f>
        <v>01</v>
      </c>
      <c r="G649" s="1285" t="s">
        <v>841</v>
      </c>
      <c r="H649" s="1284">
        <v>479063</v>
      </c>
      <c r="I649" s="1284">
        <v>-15116</v>
      </c>
      <c r="J649" s="644">
        <f t="shared" si="42"/>
        <v>463947</v>
      </c>
      <c r="K649" s="1284">
        <v>463947</v>
      </c>
      <c r="L649" s="644">
        <f t="shared" si="43"/>
        <v>0</v>
      </c>
      <c r="M649" s="680">
        <v>0</v>
      </c>
      <c r="N649" s="651">
        <v>0</v>
      </c>
    </row>
    <row r="650" spans="1:14" ht="15.95" customHeight="1" x14ac:dyDescent="0.15">
      <c r="A650" s="1286">
        <v>43252</v>
      </c>
      <c r="B650" s="640" t="str">
        <f t="shared" ca="1" si="40"/>
        <v>02</v>
      </c>
      <c r="C650" s="1285" t="s">
        <v>37</v>
      </c>
      <c r="D650" s="640" t="str">
        <f t="shared" ca="1" si="41"/>
        <v>02</v>
      </c>
      <c r="E650" s="1285" t="s">
        <v>84</v>
      </c>
      <c r="F650" s="641" t="str">
        <f>IF(G650="","",VLOOKUP(G650,リスト!J$2:K$3,2,FALSE))</f>
        <v>01</v>
      </c>
      <c r="G650" s="1285" t="s">
        <v>841</v>
      </c>
      <c r="H650" s="1284">
        <v>978164</v>
      </c>
      <c r="I650" s="1284">
        <v>-115343</v>
      </c>
      <c r="J650" s="644">
        <f t="shared" si="42"/>
        <v>862821</v>
      </c>
      <c r="K650" s="1284">
        <v>862821</v>
      </c>
      <c r="L650" s="644">
        <f t="shared" si="43"/>
        <v>0</v>
      </c>
      <c r="M650" s="680">
        <v>146456</v>
      </c>
      <c r="N650" s="651">
        <v>199219</v>
      </c>
    </row>
    <row r="651" spans="1:14" ht="15.95" customHeight="1" x14ac:dyDescent="0.15">
      <c r="A651" s="1286">
        <v>43252</v>
      </c>
      <c r="B651" s="640" t="str">
        <f t="shared" ca="1" si="40"/>
        <v>02</v>
      </c>
      <c r="C651" s="1285" t="s">
        <v>37</v>
      </c>
      <c r="D651" s="640" t="str">
        <f t="shared" ca="1" si="41"/>
        <v>01</v>
      </c>
      <c r="E651" s="1285" t="s">
        <v>83</v>
      </c>
      <c r="F651" s="641" t="str">
        <f>IF(G651="","",VLOOKUP(G651,リスト!J$2:K$3,2,FALSE))</f>
        <v>02</v>
      </c>
      <c r="G651" s="1285" t="s">
        <v>842</v>
      </c>
      <c r="H651" s="1284">
        <v>596695</v>
      </c>
      <c r="I651" s="1284">
        <v>1172</v>
      </c>
      <c r="J651" s="644">
        <f t="shared" si="42"/>
        <v>597867</v>
      </c>
      <c r="K651" s="1284">
        <v>597867</v>
      </c>
      <c r="L651" s="644">
        <f t="shared" si="43"/>
        <v>0</v>
      </c>
      <c r="M651" s="680">
        <v>0</v>
      </c>
      <c r="N651" s="651">
        <v>0</v>
      </c>
    </row>
    <row r="652" spans="1:14" ht="15.95" customHeight="1" x14ac:dyDescent="0.15">
      <c r="A652" s="1286">
        <v>43252</v>
      </c>
      <c r="B652" s="640" t="str">
        <f t="shared" ca="1" si="40"/>
        <v>02</v>
      </c>
      <c r="C652" s="1285" t="s">
        <v>37</v>
      </c>
      <c r="D652" s="640" t="str">
        <f t="shared" ca="1" si="41"/>
        <v>03</v>
      </c>
      <c r="E652" s="1285" t="s">
        <v>98</v>
      </c>
      <c r="F652" s="641" t="str">
        <f>IF(G652="","",VLOOKUP(G652,リスト!J$2:K$3,2,FALSE))</f>
        <v>02</v>
      </c>
      <c r="G652" s="1285" t="s">
        <v>842</v>
      </c>
      <c r="H652" s="1284">
        <v>14950</v>
      </c>
      <c r="I652" s="1284">
        <v>0</v>
      </c>
      <c r="J652" s="644">
        <f t="shared" si="42"/>
        <v>14950</v>
      </c>
      <c r="K652" s="1284">
        <v>14950</v>
      </c>
      <c r="L652" s="644">
        <f t="shared" si="43"/>
        <v>0</v>
      </c>
      <c r="M652" s="680">
        <v>0</v>
      </c>
      <c r="N652" s="651">
        <v>0</v>
      </c>
    </row>
    <row r="653" spans="1:14" ht="15.95" customHeight="1" x14ac:dyDescent="0.15">
      <c r="A653" s="1286">
        <v>43252</v>
      </c>
      <c r="B653" s="640" t="str">
        <f t="shared" ca="1" si="40"/>
        <v>02</v>
      </c>
      <c r="C653" s="1285" t="s">
        <v>37</v>
      </c>
      <c r="D653" s="640" t="str">
        <f t="shared" ca="1" si="41"/>
        <v>02</v>
      </c>
      <c r="E653" s="1285" t="s">
        <v>84</v>
      </c>
      <c r="F653" s="641" t="str">
        <f>IF(G653="","",VLOOKUP(G653,リスト!J$2:K$3,2,FALSE))</f>
        <v>02</v>
      </c>
      <c r="G653" s="1285" t="s">
        <v>842</v>
      </c>
      <c r="H653" s="1284">
        <v>0</v>
      </c>
      <c r="I653" s="1284">
        <v>0</v>
      </c>
      <c r="J653" s="644">
        <f t="shared" si="42"/>
        <v>0</v>
      </c>
      <c r="K653" s="1284">
        <v>0</v>
      </c>
      <c r="L653" s="644">
        <f t="shared" si="43"/>
        <v>0</v>
      </c>
      <c r="M653" s="680">
        <v>0</v>
      </c>
      <c r="N653" s="651">
        <v>0</v>
      </c>
    </row>
    <row r="654" spans="1:14" ht="15.95" customHeight="1" x14ac:dyDescent="0.15">
      <c r="A654" s="1286">
        <v>43252</v>
      </c>
      <c r="B654" s="640" t="str">
        <f t="shared" ca="1" si="40"/>
        <v>03</v>
      </c>
      <c r="C654" s="1285" t="s">
        <v>66</v>
      </c>
      <c r="D654" s="640" t="str">
        <f t="shared" ca="1" si="41"/>
        <v>01</v>
      </c>
      <c r="E654" s="1285" t="s">
        <v>83</v>
      </c>
      <c r="F654" s="641" t="str">
        <f>IF(G654="","",VLOOKUP(G654,リスト!J$2:K$3,2,FALSE))</f>
        <v>01</v>
      </c>
      <c r="G654" s="1285" t="s">
        <v>841</v>
      </c>
      <c r="H654" s="1284">
        <v>4566124</v>
      </c>
      <c r="I654" s="1284">
        <v>-243</v>
      </c>
      <c r="J654" s="644">
        <f t="shared" si="42"/>
        <v>4565881</v>
      </c>
      <c r="K654" s="1284">
        <v>4565881</v>
      </c>
      <c r="L654" s="644">
        <f t="shared" si="43"/>
        <v>0</v>
      </c>
      <c r="M654" s="680">
        <v>10210</v>
      </c>
      <c r="N654" s="651">
        <v>494657</v>
      </c>
    </row>
    <row r="655" spans="1:14" ht="15.95" customHeight="1" x14ac:dyDescent="0.15">
      <c r="A655" s="1286">
        <v>43252</v>
      </c>
      <c r="B655" s="640" t="str">
        <f t="shared" ca="1" si="40"/>
        <v>03</v>
      </c>
      <c r="C655" s="1285" t="s">
        <v>66</v>
      </c>
      <c r="D655" s="640" t="str">
        <f t="shared" ca="1" si="41"/>
        <v>02</v>
      </c>
      <c r="E655" s="1285" t="s">
        <v>84</v>
      </c>
      <c r="F655" s="641" t="str">
        <f>IF(G655="","",VLOOKUP(G655,リスト!J$2:K$3,2,FALSE))</f>
        <v>01</v>
      </c>
      <c r="G655" s="1285" t="s">
        <v>841</v>
      </c>
      <c r="H655" s="1284">
        <v>1762102</v>
      </c>
      <c r="I655" s="1284">
        <v>0</v>
      </c>
      <c r="J655" s="644">
        <f t="shared" si="42"/>
        <v>1762102</v>
      </c>
      <c r="K655" s="1284">
        <v>1762102</v>
      </c>
      <c r="L655" s="644">
        <f t="shared" si="43"/>
        <v>0</v>
      </c>
      <c r="M655" s="680">
        <v>0</v>
      </c>
      <c r="N655" s="651">
        <v>414592</v>
      </c>
    </row>
    <row r="656" spans="1:14" ht="15.95" customHeight="1" x14ac:dyDescent="0.15">
      <c r="A656" s="1286">
        <v>43252</v>
      </c>
      <c r="B656" s="640" t="str">
        <f t="shared" ca="1" si="40"/>
        <v>03</v>
      </c>
      <c r="C656" s="1285" t="s">
        <v>66</v>
      </c>
      <c r="D656" s="640" t="str">
        <f t="shared" ca="1" si="41"/>
        <v>01</v>
      </c>
      <c r="E656" s="1285" t="s">
        <v>83</v>
      </c>
      <c r="F656" s="641" t="str">
        <f>IF(G656="","",VLOOKUP(G656,リスト!J$2:K$3,2,FALSE))</f>
        <v>02</v>
      </c>
      <c r="G656" s="1285" t="s">
        <v>842</v>
      </c>
      <c r="H656" s="1284">
        <v>19347</v>
      </c>
      <c r="I656" s="1284">
        <v>145109</v>
      </c>
      <c r="J656" s="644">
        <f t="shared" si="42"/>
        <v>164456</v>
      </c>
      <c r="K656" s="1284">
        <v>164456</v>
      </c>
      <c r="L656" s="644">
        <f t="shared" si="43"/>
        <v>0</v>
      </c>
      <c r="M656" s="680">
        <v>0</v>
      </c>
      <c r="N656" s="651">
        <v>0</v>
      </c>
    </row>
    <row r="657" spans="1:14" ht="15.95" customHeight="1" x14ac:dyDescent="0.15">
      <c r="A657" s="1286">
        <v>43252</v>
      </c>
      <c r="B657" s="640" t="str">
        <f t="shared" ca="1" si="40"/>
        <v>03</v>
      </c>
      <c r="C657" s="1285" t="s">
        <v>66</v>
      </c>
      <c r="D657" s="640" t="str">
        <f t="shared" ca="1" si="41"/>
        <v>02</v>
      </c>
      <c r="E657" s="1285" t="s">
        <v>84</v>
      </c>
      <c r="F657" s="641" t="str">
        <f>IF(G657="","",VLOOKUP(G657,リスト!J$2:K$3,2,FALSE))</f>
        <v>02</v>
      </c>
      <c r="G657" s="1285" t="s">
        <v>842</v>
      </c>
      <c r="H657" s="1284">
        <v>20862</v>
      </c>
      <c r="I657" s="1284">
        <v>0</v>
      </c>
      <c r="J657" s="644">
        <f t="shared" si="42"/>
        <v>20862</v>
      </c>
      <c r="K657" s="1284">
        <v>20862</v>
      </c>
      <c r="L657" s="644">
        <f t="shared" si="43"/>
        <v>0</v>
      </c>
      <c r="M657" s="680">
        <v>0</v>
      </c>
      <c r="N657" s="651">
        <v>0</v>
      </c>
    </row>
    <row r="658" spans="1:14" ht="15.95" customHeight="1" x14ac:dyDescent="0.15">
      <c r="A658" s="1286">
        <v>43252</v>
      </c>
      <c r="B658" s="640" t="str">
        <f t="shared" ca="1" si="40"/>
        <v>11</v>
      </c>
      <c r="C658" s="1285" t="s">
        <v>967</v>
      </c>
      <c r="D658" s="640" t="str">
        <f t="shared" ca="1" si="41"/>
        <v>01</v>
      </c>
      <c r="E658" s="1285" t="s">
        <v>83</v>
      </c>
      <c r="F658" s="641" t="str">
        <f>IF(G658="","",VLOOKUP(G658,リスト!J$2:K$3,2,FALSE))</f>
        <v>01</v>
      </c>
      <c r="G658" s="1285" t="s">
        <v>841</v>
      </c>
      <c r="H658" s="1284">
        <v>264787</v>
      </c>
      <c r="I658" s="1284">
        <v>-264787</v>
      </c>
      <c r="J658" s="644">
        <f t="shared" si="42"/>
        <v>0</v>
      </c>
      <c r="K658" s="1284">
        <v>0</v>
      </c>
      <c r="L658" s="644">
        <f t="shared" si="43"/>
        <v>0</v>
      </c>
      <c r="M658" s="680">
        <v>0</v>
      </c>
      <c r="N658" s="651">
        <v>0</v>
      </c>
    </row>
    <row r="659" spans="1:14" ht="15.95" customHeight="1" x14ac:dyDescent="0.15">
      <c r="A659" s="1286">
        <v>43252</v>
      </c>
      <c r="B659" s="640" t="str">
        <f t="shared" ca="1" si="40"/>
        <v>11</v>
      </c>
      <c r="C659" s="1285" t="s">
        <v>967</v>
      </c>
      <c r="D659" s="640" t="str">
        <f t="shared" ca="1" si="41"/>
        <v>02</v>
      </c>
      <c r="E659" s="1285" t="s">
        <v>84</v>
      </c>
      <c r="F659" s="641" t="str">
        <f>IF(G659="","",VLOOKUP(G659,リスト!J$2:K$3,2,FALSE))</f>
        <v>01</v>
      </c>
      <c r="G659" s="1285" t="s">
        <v>841</v>
      </c>
      <c r="H659" s="1284">
        <v>97685</v>
      </c>
      <c r="I659" s="1284">
        <v>0</v>
      </c>
      <c r="J659" s="644">
        <f t="shared" si="42"/>
        <v>97685</v>
      </c>
      <c r="K659" s="1284">
        <v>97685</v>
      </c>
      <c r="L659" s="644">
        <f t="shared" si="43"/>
        <v>0</v>
      </c>
      <c r="M659" s="680">
        <v>0</v>
      </c>
      <c r="N659" s="651">
        <v>22715</v>
      </c>
    </row>
    <row r="660" spans="1:14" ht="15.95" customHeight="1" x14ac:dyDescent="0.15">
      <c r="A660" s="1286">
        <v>43252</v>
      </c>
      <c r="B660" s="640" t="str">
        <f t="shared" ca="1" si="40"/>
        <v>11</v>
      </c>
      <c r="C660" s="1285" t="s">
        <v>967</v>
      </c>
      <c r="D660" s="640" t="str">
        <f t="shared" ca="1" si="41"/>
        <v>01</v>
      </c>
      <c r="E660" s="1285" t="s">
        <v>83</v>
      </c>
      <c r="F660" s="641" t="str">
        <f>IF(G660="","",VLOOKUP(G660,リスト!J$2:K$3,2,FALSE))</f>
        <v>02</v>
      </c>
      <c r="G660" s="1285" t="s">
        <v>842</v>
      </c>
      <c r="H660" s="1284">
        <v>0</v>
      </c>
      <c r="I660" s="1284">
        <v>0</v>
      </c>
      <c r="J660" s="644">
        <f t="shared" si="42"/>
        <v>0</v>
      </c>
      <c r="K660" s="1284">
        <v>0</v>
      </c>
      <c r="L660" s="644">
        <f t="shared" si="43"/>
        <v>0</v>
      </c>
      <c r="M660" s="680">
        <v>0</v>
      </c>
      <c r="N660" s="651">
        <v>0</v>
      </c>
    </row>
    <row r="661" spans="1:14" ht="15.95" customHeight="1" x14ac:dyDescent="0.15">
      <c r="A661" s="1286">
        <v>43252</v>
      </c>
      <c r="B661" s="640" t="str">
        <f t="shared" ca="1" si="40"/>
        <v>11</v>
      </c>
      <c r="C661" s="1285" t="s">
        <v>967</v>
      </c>
      <c r="D661" s="640" t="str">
        <f t="shared" ca="1" si="41"/>
        <v>02</v>
      </c>
      <c r="E661" s="1285" t="s">
        <v>84</v>
      </c>
      <c r="F661" s="641" t="str">
        <f>IF(G661="","",VLOOKUP(G661,リスト!J$2:K$3,2,FALSE))</f>
        <v>02</v>
      </c>
      <c r="G661" s="1285" t="s">
        <v>842</v>
      </c>
      <c r="H661" s="1284">
        <v>0</v>
      </c>
      <c r="I661" s="1284">
        <v>0</v>
      </c>
      <c r="J661" s="644">
        <f t="shared" si="42"/>
        <v>0</v>
      </c>
      <c r="K661" s="1284">
        <v>0</v>
      </c>
      <c r="L661" s="644">
        <f t="shared" si="43"/>
        <v>0</v>
      </c>
      <c r="M661" s="680">
        <v>0</v>
      </c>
      <c r="N661" s="651">
        <v>0</v>
      </c>
    </row>
    <row r="662" spans="1:14" ht="15.95" customHeight="1" x14ac:dyDescent="0.15">
      <c r="A662" s="1286">
        <v>43252</v>
      </c>
      <c r="B662" s="640" t="str">
        <f t="shared" ca="1" si="40"/>
        <v>04</v>
      </c>
      <c r="C662" s="1285" t="s">
        <v>358</v>
      </c>
      <c r="D662" s="640" t="str">
        <f t="shared" ca="1" si="41"/>
        <v>04</v>
      </c>
      <c r="E662" s="1285" t="s">
        <v>542</v>
      </c>
      <c r="F662" s="641" t="str">
        <f>IF(G662="","",VLOOKUP(G662,リスト!J$2:K$3,2,FALSE))</f>
        <v>01</v>
      </c>
      <c r="G662" s="1285" t="s">
        <v>841</v>
      </c>
      <c r="H662" s="1284">
        <v>3928452</v>
      </c>
      <c r="I662" s="1284">
        <v>-8433</v>
      </c>
      <c r="J662" s="644">
        <f t="shared" si="42"/>
        <v>3920019</v>
      </c>
      <c r="K662" s="1284">
        <v>3920019</v>
      </c>
      <c r="L662" s="644">
        <f t="shared" si="43"/>
        <v>0</v>
      </c>
      <c r="M662" s="680">
        <v>0</v>
      </c>
      <c r="N662" s="651">
        <v>218824</v>
      </c>
    </row>
    <row r="663" spans="1:14" ht="15.95" customHeight="1" x14ac:dyDescent="0.15">
      <c r="A663" s="1286">
        <v>43252</v>
      </c>
      <c r="B663" s="640" t="str">
        <f t="shared" ca="1" si="40"/>
        <v>04</v>
      </c>
      <c r="C663" s="1285" t="s">
        <v>358</v>
      </c>
      <c r="D663" s="640" t="str">
        <f t="shared" ca="1" si="41"/>
        <v>04</v>
      </c>
      <c r="E663" s="1285" t="s">
        <v>542</v>
      </c>
      <c r="F663" s="641" t="str">
        <f>IF(G663="","",VLOOKUP(G663,リスト!J$2:K$3,2,FALSE))</f>
        <v>02</v>
      </c>
      <c r="G663" s="1285" t="s">
        <v>842</v>
      </c>
      <c r="H663" s="1284">
        <v>0</v>
      </c>
      <c r="I663" s="1284">
        <v>0</v>
      </c>
      <c r="J663" s="644">
        <f t="shared" si="42"/>
        <v>0</v>
      </c>
      <c r="K663" s="1284">
        <v>0</v>
      </c>
      <c r="L663" s="644">
        <f t="shared" si="43"/>
        <v>0</v>
      </c>
      <c r="M663" s="680">
        <v>0</v>
      </c>
      <c r="N663" s="651">
        <v>0</v>
      </c>
    </row>
    <row r="664" spans="1:14" ht="15.95" customHeight="1" x14ac:dyDescent="0.15">
      <c r="A664" s="1286">
        <v>43252</v>
      </c>
      <c r="B664" s="640" t="str">
        <f t="shared" ca="1" si="40"/>
        <v>05</v>
      </c>
      <c r="C664" s="1285" t="s">
        <v>38</v>
      </c>
      <c r="D664" s="640" t="str">
        <f t="shared" ca="1" si="41"/>
        <v>01</v>
      </c>
      <c r="E664" s="1285" t="s">
        <v>83</v>
      </c>
      <c r="F664" s="641" t="str">
        <f>IF(G664="","",VLOOKUP(G664,リスト!J$2:K$3,2,FALSE))</f>
        <v>01</v>
      </c>
      <c r="G664" s="1285" t="s">
        <v>841</v>
      </c>
      <c r="H664" s="1284">
        <v>2039297</v>
      </c>
      <c r="I664" s="1284">
        <v>0</v>
      </c>
      <c r="J664" s="644">
        <f t="shared" si="42"/>
        <v>2039297</v>
      </c>
      <c r="K664" s="1284">
        <v>2039297</v>
      </c>
      <c r="L664" s="644">
        <f t="shared" si="43"/>
        <v>0</v>
      </c>
      <c r="M664" s="680">
        <v>0</v>
      </c>
      <c r="N664" s="651">
        <v>0</v>
      </c>
    </row>
    <row r="665" spans="1:14" ht="15.95" customHeight="1" x14ac:dyDescent="0.15">
      <c r="A665" s="1286">
        <v>43252</v>
      </c>
      <c r="B665" s="640" t="str">
        <f t="shared" ca="1" si="40"/>
        <v>05</v>
      </c>
      <c r="C665" s="1285" t="s">
        <v>38</v>
      </c>
      <c r="D665" s="640" t="str">
        <f t="shared" ca="1" si="41"/>
        <v>01</v>
      </c>
      <c r="E665" s="1285" t="s">
        <v>83</v>
      </c>
      <c r="F665" s="641" t="str">
        <f>IF(G665="","",VLOOKUP(G665,リスト!J$2:K$3,2,FALSE))</f>
        <v>02</v>
      </c>
      <c r="G665" s="1285" t="s">
        <v>842</v>
      </c>
      <c r="H665" s="1284">
        <v>0</v>
      </c>
      <c r="I665" s="1284">
        <v>0</v>
      </c>
      <c r="J665" s="644">
        <f t="shared" si="42"/>
        <v>0</v>
      </c>
      <c r="K665" s="1284">
        <v>0</v>
      </c>
      <c r="L665" s="644">
        <f t="shared" si="43"/>
        <v>0</v>
      </c>
      <c r="M665" s="680">
        <v>0</v>
      </c>
      <c r="N665" s="651">
        <v>0</v>
      </c>
    </row>
    <row r="666" spans="1:14" ht="15.95" customHeight="1" x14ac:dyDescent="0.15">
      <c r="A666" s="1286">
        <v>43252</v>
      </c>
      <c r="B666" s="640" t="str">
        <f t="shared" ca="1" si="40"/>
        <v>07</v>
      </c>
      <c r="C666" s="1285" t="s">
        <v>119</v>
      </c>
      <c r="D666" s="640" t="str">
        <f t="shared" ca="1" si="41"/>
        <v>05</v>
      </c>
      <c r="E666" s="1285" t="s">
        <v>543</v>
      </c>
      <c r="F666" s="641" t="str">
        <f>IF(G666="","",VLOOKUP(G666,リスト!J$2:K$3,2,FALSE))</f>
        <v>01</v>
      </c>
      <c r="G666" s="1285" t="s">
        <v>841</v>
      </c>
      <c r="H666" s="1284">
        <v>777456</v>
      </c>
      <c r="I666" s="1284">
        <v>-259501</v>
      </c>
      <c r="J666" s="644">
        <f t="shared" si="42"/>
        <v>517955</v>
      </c>
      <c r="K666" s="1284">
        <v>517955</v>
      </c>
      <c r="L666" s="644">
        <f t="shared" si="43"/>
        <v>0</v>
      </c>
      <c r="M666" s="680">
        <v>0</v>
      </c>
      <c r="N666" s="651">
        <v>242054</v>
      </c>
    </row>
    <row r="667" spans="1:14" ht="15.95" customHeight="1" x14ac:dyDescent="0.15">
      <c r="A667" s="1286">
        <v>43252</v>
      </c>
      <c r="B667" s="640" t="str">
        <f t="shared" ca="1" si="40"/>
        <v>07</v>
      </c>
      <c r="C667" s="1285" t="s">
        <v>119</v>
      </c>
      <c r="D667" s="640" t="str">
        <f t="shared" ca="1" si="41"/>
        <v>05</v>
      </c>
      <c r="E667" s="1285" t="s">
        <v>543</v>
      </c>
      <c r="F667" s="641" t="str">
        <f>IF(G667="","",VLOOKUP(G667,リスト!J$2:K$3,2,FALSE))</f>
        <v>02</v>
      </c>
      <c r="G667" s="1285" t="s">
        <v>842</v>
      </c>
      <c r="H667" s="1284">
        <v>0</v>
      </c>
      <c r="I667" s="1284">
        <v>0</v>
      </c>
      <c r="J667" s="644">
        <f t="shared" si="42"/>
        <v>0</v>
      </c>
      <c r="K667" s="1284">
        <v>0</v>
      </c>
      <c r="L667" s="644">
        <f t="shared" si="43"/>
        <v>0</v>
      </c>
      <c r="M667" s="680">
        <v>0</v>
      </c>
      <c r="N667" s="651">
        <v>0</v>
      </c>
    </row>
    <row r="668" spans="1:14" ht="15.95" customHeight="1" x14ac:dyDescent="0.15">
      <c r="A668" s="1286">
        <v>43252</v>
      </c>
      <c r="B668" s="640" t="str">
        <f t="shared" ca="1" si="40"/>
        <v>08</v>
      </c>
      <c r="C668" s="1285" t="s">
        <v>189</v>
      </c>
      <c r="D668" s="640" t="str">
        <f t="shared" ca="1" si="41"/>
        <v>05</v>
      </c>
      <c r="E668" s="1285" t="s">
        <v>543</v>
      </c>
      <c r="F668" s="641" t="str">
        <f>IF(G668="","",VLOOKUP(G668,リスト!J$2:K$3,2,FALSE))</f>
        <v>01</v>
      </c>
      <c r="G668" s="1285" t="s">
        <v>841</v>
      </c>
      <c r="H668" s="1284">
        <v>976056</v>
      </c>
      <c r="I668" s="1284">
        <v>0</v>
      </c>
      <c r="J668" s="644">
        <f t="shared" si="42"/>
        <v>976056</v>
      </c>
      <c r="K668" s="1284">
        <v>976056</v>
      </c>
      <c r="L668" s="644">
        <f t="shared" si="43"/>
        <v>0</v>
      </c>
      <c r="M668" s="680">
        <v>0</v>
      </c>
      <c r="N668" s="651">
        <v>0</v>
      </c>
    </row>
    <row r="669" spans="1:14" ht="15.95" customHeight="1" x14ac:dyDescent="0.15">
      <c r="A669" s="1286">
        <v>43252</v>
      </c>
      <c r="B669" s="640" t="str">
        <f t="shared" ca="1" si="40"/>
        <v>08</v>
      </c>
      <c r="C669" s="1285" t="s">
        <v>189</v>
      </c>
      <c r="D669" s="640" t="str">
        <f t="shared" ca="1" si="41"/>
        <v>05</v>
      </c>
      <c r="E669" s="1285" t="s">
        <v>543</v>
      </c>
      <c r="F669" s="641" t="str">
        <f>IF(G669="","",VLOOKUP(G669,リスト!J$2:K$3,2,FALSE))</f>
        <v>02</v>
      </c>
      <c r="G669" s="1285" t="s">
        <v>842</v>
      </c>
      <c r="H669" s="1284">
        <v>0</v>
      </c>
      <c r="I669" s="1284">
        <v>0</v>
      </c>
      <c r="J669" s="644">
        <f t="shared" si="42"/>
        <v>0</v>
      </c>
      <c r="K669" s="1284">
        <v>0</v>
      </c>
      <c r="L669" s="644">
        <f t="shared" si="43"/>
        <v>0</v>
      </c>
      <c r="M669" s="680">
        <v>0</v>
      </c>
      <c r="N669" s="651">
        <v>0</v>
      </c>
    </row>
    <row r="670" spans="1:14" ht="15.95" customHeight="1" x14ac:dyDescent="0.15">
      <c r="A670" s="1286">
        <v>43252</v>
      </c>
      <c r="B670" s="640" t="str">
        <f t="shared" ca="1" si="40"/>
        <v>09</v>
      </c>
      <c r="C670" s="1285" t="s">
        <v>329</v>
      </c>
      <c r="D670" s="640" t="str">
        <f t="shared" ca="1" si="41"/>
        <v>05</v>
      </c>
      <c r="E670" s="1285" t="s">
        <v>543</v>
      </c>
      <c r="F670" s="641" t="str">
        <f>IF(G670="","",VLOOKUP(G670,リスト!J$2:K$3,2,FALSE))</f>
        <v>01</v>
      </c>
      <c r="G670" s="1285" t="s">
        <v>841</v>
      </c>
      <c r="H670" s="1284">
        <v>2397545</v>
      </c>
      <c r="I670" s="1284">
        <v>-228527</v>
      </c>
      <c r="J670" s="644">
        <f t="shared" si="42"/>
        <v>2169018</v>
      </c>
      <c r="K670" s="1284">
        <v>2169018</v>
      </c>
      <c r="L670" s="644">
        <f t="shared" si="43"/>
        <v>0</v>
      </c>
      <c r="M670" s="680">
        <v>0</v>
      </c>
      <c r="N670" s="651">
        <v>0</v>
      </c>
    </row>
    <row r="671" spans="1:14" ht="15.95" customHeight="1" x14ac:dyDescent="0.15">
      <c r="A671" s="1286">
        <v>43252</v>
      </c>
      <c r="B671" s="640" t="str">
        <f t="shared" ca="1" si="40"/>
        <v>09</v>
      </c>
      <c r="C671" s="1285" t="s">
        <v>329</v>
      </c>
      <c r="D671" s="640" t="str">
        <f t="shared" ca="1" si="41"/>
        <v>05</v>
      </c>
      <c r="E671" s="1285" t="s">
        <v>543</v>
      </c>
      <c r="F671" s="641" t="str">
        <f>IF(G671="","",VLOOKUP(G671,リスト!J$2:K$3,2,FALSE))</f>
        <v>02</v>
      </c>
      <c r="G671" s="1285" t="s">
        <v>842</v>
      </c>
      <c r="H671" s="1284">
        <v>0</v>
      </c>
      <c r="I671" s="1284">
        <v>0</v>
      </c>
      <c r="J671" s="644">
        <f t="shared" si="42"/>
        <v>0</v>
      </c>
      <c r="K671" s="1284">
        <v>0</v>
      </c>
      <c r="L671" s="644">
        <f t="shared" si="43"/>
        <v>0</v>
      </c>
      <c r="M671" s="680">
        <v>0</v>
      </c>
      <c r="N671" s="651">
        <v>0</v>
      </c>
    </row>
    <row r="672" spans="1:14" ht="15.95" customHeight="1" x14ac:dyDescent="0.15">
      <c r="A672" s="1286">
        <v>43252</v>
      </c>
      <c r="B672" s="640" t="str">
        <f t="shared" ca="1" si="40"/>
        <v>10</v>
      </c>
      <c r="C672" s="1285" t="s">
        <v>336</v>
      </c>
      <c r="D672" s="640" t="str">
        <f t="shared" ca="1" si="41"/>
        <v>01</v>
      </c>
      <c r="E672" s="1285" t="s">
        <v>83</v>
      </c>
      <c r="F672" s="641" t="str">
        <f>IF(G672="","",VLOOKUP(G672,リスト!J$2:K$3,2,FALSE))</f>
        <v>01</v>
      </c>
      <c r="G672" s="1285" t="s">
        <v>841</v>
      </c>
      <c r="H672" s="1284">
        <v>887407</v>
      </c>
      <c r="I672" s="1284">
        <v>0</v>
      </c>
      <c r="J672" s="644">
        <f t="shared" si="42"/>
        <v>887407</v>
      </c>
      <c r="K672" s="1284">
        <v>887407</v>
      </c>
      <c r="L672" s="644">
        <f t="shared" si="43"/>
        <v>0</v>
      </c>
      <c r="M672" s="680">
        <v>0</v>
      </c>
      <c r="N672" s="651">
        <v>0</v>
      </c>
    </row>
    <row r="673" spans="1:14" ht="15.95" customHeight="1" x14ac:dyDescent="0.15">
      <c r="A673" s="1286">
        <v>43252</v>
      </c>
      <c r="B673" s="640" t="str">
        <f t="shared" ca="1" si="40"/>
        <v>10</v>
      </c>
      <c r="C673" s="1285" t="s">
        <v>336</v>
      </c>
      <c r="D673" s="640" t="str">
        <f t="shared" ca="1" si="41"/>
        <v>02</v>
      </c>
      <c r="E673" s="1285" t="s">
        <v>84</v>
      </c>
      <c r="F673" s="641" t="str">
        <f>IF(G673="","",VLOOKUP(G673,リスト!J$2:K$3,2,FALSE))</f>
        <v>01</v>
      </c>
      <c r="G673" s="1285" t="s">
        <v>841</v>
      </c>
      <c r="H673" s="1284">
        <v>26796</v>
      </c>
      <c r="I673" s="1284">
        <v>0</v>
      </c>
      <c r="J673" s="644">
        <f t="shared" si="42"/>
        <v>26796</v>
      </c>
      <c r="K673" s="1284">
        <v>26796</v>
      </c>
      <c r="L673" s="644">
        <f t="shared" si="43"/>
        <v>0</v>
      </c>
      <c r="M673" s="680">
        <v>0</v>
      </c>
      <c r="N673" s="651">
        <v>0</v>
      </c>
    </row>
    <row r="674" spans="1:14" ht="15.95" customHeight="1" x14ac:dyDescent="0.15">
      <c r="A674" s="1286">
        <v>43252</v>
      </c>
      <c r="B674" s="640" t="str">
        <f t="shared" ca="1" si="40"/>
        <v>10</v>
      </c>
      <c r="C674" s="1285" t="s">
        <v>336</v>
      </c>
      <c r="D674" s="640" t="str">
        <f t="shared" ca="1" si="41"/>
        <v>01</v>
      </c>
      <c r="E674" s="1285" t="s">
        <v>83</v>
      </c>
      <c r="F674" s="641" t="str">
        <f>IF(G674="","",VLOOKUP(G674,リスト!J$2:K$3,2,FALSE))</f>
        <v>02</v>
      </c>
      <c r="G674" s="1285" t="s">
        <v>842</v>
      </c>
      <c r="H674" s="1284">
        <v>19709</v>
      </c>
      <c r="I674" s="1284">
        <v>0</v>
      </c>
      <c r="J674" s="644">
        <f t="shared" si="42"/>
        <v>19709</v>
      </c>
      <c r="K674" s="1284">
        <v>19709</v>
      </c>
      <c r="L674" s="644">
        <f t="shared" si="43"/>
        <v>0</v>
      </c>
      <c r="M674" s="680">
        <v>0</v>
      </c>
      <c r="N674" s="651">
        <v>0</v>
      </c>
    </row>
    <row r="675" spans="1:14" ht="15.95" customHeight="1" x14ac:dyDescent="0.15">
      <c r="A675" s="1286">
        <v>43252</v>
      </c>
      <c r="B675" s="640" t="str">
        <f t="shared" ca="1" si="40"/>
        <v>10</v>
      </c>
      <c r="C675" s="1285" t="s">
        <v>336</v>
      </c>
      <c r="D675" s="640" t="str">
        <f t="shared" ca="1" si="41"/>
        <v>02</v>
      </c>
      <c r="E675" s="1285" t="s">
        <v>84</v>
      </c>
      <c r="F675" s="641" t="str">
        <f>IF(G675="","",VLOOKUP(G675,リスト!J$2:K$3,2,FALSE))</f>
        <v>02</v>
      </c>
      <c r="G675" s="1285" t="s">
        <v>842</v>
      </c>
      <c r="H675" s="1284">
        <v>0</v>
      </c>
      <c r="I675" s="1284">
        <v>0</v>
      </c>
      <c r="J675" s="644">
        <f t="shared" si="42"/>
        <v>0</v>
      </c>
      <c r="K675" s="1284">
        <v>0</v>
      </c>
      <c r="L675" s="644">
        <f t="shared" si="43"/>
        <v>0</v>
      </c>
      <c r="M675" s="680">
        <v>0</v>
      </c>
      <c r="N675" s="651">
        <v>0</v>
      </c>
    </row>
    <row r="676" spans="1:14" ht="15.95" customHeight="1" x14ac:dyDescent="0.15">
      <c r="A676" s="1286">
        <v>43282</v>
      </c>
      <c r="B676" s="640" t="str">
        <f t="shared" ca="1" si="40"/>
        <v>01</v>
      </c>
      <c r="C676" s="1285" t="s">
        <v>34</v>
      </c>
      <c r="D676" s="640" t="str">
        <f t="shared" ca="1" si="41"/>
        <v>01</v>
      </c>
      <c r="E676" s="1285" t="s">
        <v>83</v>
      </c>
      <c r="F676" s="641" t="str">
        <f>IF(G676="","",VLOOKUP(G676,リスト!J$2:K$3,2,FALSE))</f>
        <v>01</v>
      </c>
      <c r="G676" s="1285" t="s">
        <v>841</v>
      </c>
      <c r="H676" s="1284">
        <v>8342757</v>
      </c>
      <c r="I676" s="1284">
        <v>-143155</v>
      </c>
      <c r="J676" s="644">
        <f t="shared" si="42"/>
        <v>8199602</v>
      </c>
      <c r="K676" s="1284">
        <v>8199602</v>
      </c>
      <c r="L676" s="644">
        <f t="shared" si="43"/>
        <v>0</v>
      </c>
      <c r="M676" s="680">
        <v>0</v>
      </c>
      <c r="N676" s="651">
        <v>1329824</v>
      </c>
    </row>
    <row r="677" spans="1:14" ht="15.95" customHeight="1" x14ac:dyDescent="0.15">
      <c r="A677" s="1286">
        <v>43282</v>
      </c>
      <c r="B677" s="640" t="str">
        <f t="shared" ca="1" si="40"/>
        <v>01</v>
      </c>
      <c r="C677" s="1285" t="s">
        <v>34</v>
      </c>
      <c r="D677" s="640" t="str">
        <f t="shared" ca="1" si="41"/>
        <v>03</v>
      </c>
      <c r="E677" s="1285" t="s">
        <v>98</v>
      </c>
      <c r="F677" s="641" t="str">
        <f>IF(G677="","",VLOOKUP(G677,リスト!J$2:K$3,2,FALSE))</f>
        <v>01</v>
      </c>
      <c r="G677" s="1285" t="s">
        <v>841</v>
      </c>
      <c r="H677" s="1284">
        <v>690972</v>
      </c>
      <c r="I677" s="1284">
        <v>0</v>
      </c>
      <c r="J677" s="644">
        <f t="shared" si="42"/>
        <v>690972</v>
      </c>
      <c r="K677" s="1284">
        <v>690972</v>
      </c>
      <c r="L677" s="644">
        <f t="shared" si="43"/>
        <v>0</v>
      </c>
      <c r="M677" s="680">
        <v>0</v>
      </c>
      <c r="N677" s="651">
        <v>0</v>
      </c>
    </row>
    <row r="678" spans="1:14" ht="15.95" customHeight="1" x14ac:dyDescent="0.15">
      <c r="A678" s="1286">
        <v>43282</v>
      </c>
      <c r="B678" s="640" t="str">
        <f t="shared" ca="1" si="40"/>
        <v>01</v>
      </c>
      <c r="C678" s="1285" t="s">
        <v>34</v>
      </c>
      <c r="D678" s="640" t="str">
        <f t="shared" ca="1" si="41"/>
        <v>02</v>
      </c>
      <c r="E678" s="1285" t="s">
        <v>84</v>
      </c>
      <c r="F678" s="641" t="str">
        <f>IF(G678="","",VLOOKUP(G678,リスト!J$2:K$3,2,FALSE))</f>
        <v>01</v>
      </c>
      <c r="G678" s="1285" t="s">
        <v>841</v>
      </c>
      <c r="H678" s="1284">
        <v>1395600</v>
      </c>
      <c r="I678" s="1284">
        <v>-84704</v>
      </c>
      <c r="J678" s="644">
        <f t="shared" si="42"/>
        <v>1310896</v>
      </c>
      <c r="K678" s="1284">
        <v>1310896</v>
      </c>
      <c r="L678" s="644">
        <f t="shared" si="43"/>
        <v>0</v>
      </c>
      <c r="M678" s="680">
        <v>0</v>
      </c>
      <c r="N678" s="651">
        <v>275953</v>
      </c>
    </row>
    <row r="679" spans="1:14" ht="15.95" customHeight="1" x14ac:dyDescent="0.15">
      <c r="A679" s="1286">
        <v>43282</v>
      </c>
      <c r="B679" s="640" t="str">
        <f t="shared" ca="1" si="40"/>
        <v>01</v>
      </c>
      <c r="C679" s="1285" t="s">
        <v>34</v>
      </c>
      <c r="D679" s="640" t="str">
        <f t="shared" ca="1" si="41"/>
        <v>01</v>
      </c>
      <c r="E679" s="1285" t="s">
        <v>83</v>
      </c>
      <c r="F679" s="641" t="str">
        <f>IF(G679="","",VLOOKUP(G679,リスト!J$2:K$3,2,FALSE))</f>
        <v>02</v>
      </c>
      <c r="G679" s="1285" t="s">
        <v>842</v>
      </c>
      <c r="H679" s="1284">
        <v>444510</v>
      </c>
      <c r="I679" s="1284">
        <v>2419</v>
      </c>
      <c r="J679" s="644">
        <f t="shared" si="42"/>
        <v>446929</v>
      </c>
      <c r="K679" s="1284">
        <v>446929</v>
      </c>
      <c r="L679" s="644">
        <f t="shared" si="43"/>
        <v>0</v>
      </c>
      <c r="M679" s="680">
        <v>0</v>
      </c>
      <c r="N679" s="651">
        <v>0</v>
      </c>
    </row>
    <row r="680" spans="1:14" ht="15.95" customHeight="1" x14ac:dyDescent="0.15">
      <c r="A680" s="1286">
        <v>43282</v>
      </c>
      <c r="B680" s="640" t="str">
        <f t="shared" ca="1" si="40"/>
        <v>01</v>
      </c>
      <c r="C680" s="1285" t="s">
        <v>34</v>
      </c>
      <c r="D680" s="640" t="str">
        <f t="shared" ca="1" si="41"/>
        <v>03</v>
      </c>
      <c r="E680" s="1285" t="s">
        <v>98</v>
      </c>
      <c r="F680" s="641" t="str">
        <f>IF(G680="","",VLOOKUP(G680,リスト!J$2:K$3,2,FALSE))</f>
        <v>02</v>
      </c>
      <c r="G680" s="1285" t="s">
        <v>842</v>
      </c>
      <c r="H680" s="1284">
        <v>29114</v>
      </c>
      <c r="I680" s="1284">
        <v>0</v>
      </c>
      <c r="J680" s="644">
        <f t="shared" si="42"/>
        <v>29114</v>
      </c>
      <c r="K680" s="1284">
        <v>29114</v>
      </c>
      <c r="L680" s="644">
        <f t="shared" si="43"/>
        <v>0</v>
      </c>
      <c r="M680" s="680">
        <v>0</v>
      </c>
      <c r="N680" s="651">
        <v>0</v>
      </c>
    </row>
    <row r="681" spans="1:14" ht="15.95" customHeight="1" x14ac:dyDescent="0.15">
      <c r="A681" s="1286">
        <v>43282</v>
      </c>
      <c r="B681" s="640" t="str">
        <f t="shared" ca="1" si="40"/>
        <v>01</v>
      </c>
      <c r="C681" s="1285" t="s">
        <v>34</v>
      </c>
      <c r="D681" s="640" t="str">
        <f t="shared" ca="1" si="41"/>
        <v>02</v>
      </c>
      <c r="E681" s="1285" t="s">
        <v>84</v>
      </c>
      <c r="F681" s="641" t="str">
        <f>IF(G681="","",VLOOKUP(G681,リスト!J$2:K$3,2,FALSE))</f>
        <v>02</v>
      </c>
      <c r="G681" s="1285" t="s">
        <v>842</v>
      </c>
      <c r="H681" s="1284">
        <v>0</v>
      </c>
      <c r="I681" s="1284">
        <v>0</v>
      </c>
      <c r="J681" s="644">
        <f t="shared" si="42"/>
        <v>0</v>
      </c>
      <c r="K681" s="1284">
        <v>0</v>
      </c>
      <c r="L681" s="644">
        <f t="shared" si="43"/>
        <v>0</v>
      </c>
      <c r="M681" s="680">
        <v>0</v>
      </c>
      <c r="N681" s="651">
        <v>0</v>
      </c>
    </row>
    <row r="682" spans="1:14" ht="15.95" customHeight="1" x14ac:dyDescent="0.15">
      <c r="A682" s="1286">
        <v>43282</v>
      </c>
      <c r="B682" s="640" t="str">
        <f t="shared" ca="1" si="40"/>
        <v>02</v>
      </c>
      <c r="C682" s="1285" t="s">
        <v>37</v>
      </c>
      <c r="D682" s="640" t="str">
        <f t="shared" ca="1" si="41"/>
        <v>01</v>
      </c>
      <c r="E682" s="1285" t="s">
        <v>83</v>
      </c>
      <c r="F682" s="641" t="str">
        <f>IF(G682="","",VLOOKUP(G682,リスト!J$2:K$3,2,FALSE))</f>
        <v>01</v>
      </c>
      <c r="G682" s="1285" t="s">
        <v>841</v>
      </c>
      <c r="H682" s="1284">
        <v>4138802</v>
      </c>
      <c r="I682" s="1284">
        <v>-76785</v>
      </c>
      <c r="J682" s="644">
        <f t="shared" si="42"/>
        <v>4062017</v>
      </c>
      <c r="K682" s="1284">
        <v>4062017</v>
      </c>
      <c r="L682" s="644">
        <f t="shared" si="43"/>
        <v>0</v>
      </c>
      <c r="M682" s="680">
        <v>349270</v>
      </c>
      <c r="N682" s="651">
        <v>448243</v>
      </c>
    </row>
    <row r="683" spans="1:14" ht="15.95" customHeight="1" x14ac:dyDescent="0.15">
      <c r="A683" s="1286">
        <v>43282</v>
      </c>
      <c r="B683" s="640" t="str">
        <f t="shared" ca="1" si="40"/>
        <v>02</v>
      </c>
      <c r="C683" s="1285" t="s">
        <v>37</v>
      </c>
      <c r="D683" s="640" t="str">
        <f t="shared" ca="1" si="41"/>
        <v>03</v>
      </c>
      <c r="E683" s="1285" t="s">
        <v>98</v>
      </c>
      <c r="F683" s="641" t="str">
        <f>IF(G683="","",VLOOKUP(G683,リスト!J$2:K$3,2,FALSE))</f>
        <v>01</v>
      </c>
      <c r="G683" s="1285" t="s">
        <v>841</v>
      </c>
      <c r="H683" s="1284">
        <v>507858</v>
      </c>
      <c r="I683" s="1284">
        <v>0</v>
      </c>
      <c r="J683" s="644">
        <f t="shared" si="42"/>
        <v>507858</v>
      </c>
      <c r="K683" s="1284">
        <v>507858</v>
      </c>
      <c r="L683" s="644">
        <f t="shared" si="43"/>
        <v>0</v>
      </c>
      <c r="M683" s="680">
        <v>10829</v>
      </c>
      <c r="N683" s="651">
        <v>0</v>
      </c>
    </row>
    <row r="684" spans="1:14" ht="15.95" customHeight="1" x14ac:dyDescent="0.15">
      <c r="A684" s="1286">
        <v>43282</v>
      </c>
      <c r="B684" s="640" t="str">
        <f t="shared" ca="1" si="40"/>
        <v>02</v>
      </c>
      <c r="C684" s="1285" t="s">
        <v>37</v>
      </c>
      <c r="D684" s="640" t="str">
        <f t="shared" ca="1" si="41"/>
        <v>02</v>
      </c>
      <c r="E684" s="1285" t="s">
        <v>84</v>
      </c>
      <c r="F684" s="641" t="str">
        <f>IF(G684="","",VLOOKUP(G684,リスト!J$2:K$3,2,FALSE))</f>
        <v>01</v>
      </c>
      <c r="G684" s="1285" t="s">
        <v>841</v>
      </c>
      <c r="H684" s="1284">
        <v>949172</v>
      </c>
      <c r="I684" s="1284">
        <v>0</v>
      </c>
      <c r="J684" s="644">
        <f t="shared" si="42"/>
        <v>949172</v>
      </c>
      <c r="K684" s="1284">
        <v>949172</v>
      </c>
      <c r="L684" s="644">
        <f t="shared" si="43"/>
        <v>0</v>
      </c>
      <c r="M684" s="680">
        <v>0</v>
      </c>
      <c r="N684" s="651">
        <v>223199</v>
      </c>
    </row>
    <row r="685" spans="1:14" ht="15.95" customHeight="1" x14ac:dyDescent="0.15">
      <c r="A685" s="1286">
        <v>43282</v>
      </c>
      <c r="B685" s="640" t="str">
        <f t="shared" ca="1" si="40"/>
        <v>02</v>
      </c>
      <c r="C685" s="1285" t="s">
        <v>37</v>
      </c>
      <c r="D685" s="640" t="str">
        <f t="shared" ca="1" si="41"/>
        <v>01</v>
      </c>
      <c r="E685" s="1285" t="s">
        <v>83</v>
      </c>
      <c r="F685" s="641" t="str">
        <f>IF(G685="","",VLOOKUP(G685,リスト!J$2:K$3,2,FALSE))</f>
        <v>02</v>
      </c>
      <c r="G685" s="1285" t="s">
        <v>842</v>
      </c>
      <c r="H685" s="1284">
        <v>116188</v>
      </c>
      <c r="I685" s="1284">
        <v>-133977</v>
      </c>
      <c r="J685" s="644">
        <f t="shared" si="42"/>
        <v>-17789</v>
      </c>
      <c r="K685" s="1284">
        <v>-17789</v>
      </c>
      <c r="L685" s="644">
        <f t="shared" si="43"/>
        <v>0</v>
      </c>
      <c r="M685" s="680">
        <v>0</v>
      </c>
      <c r="N685" s="651">
        <v>0</v>
      </c>
    </row>
    <row r="686" spans="1:14" ht="15.95" customHeight="1" x14ac:dyDescent="0.15">
      <c r="A686" s="1286">
        <v>43282</v>
      </c>
      <c r="B686" s="640" t="str">
        <f t="shared" ca="1" si="40"/>
        <v>02</v>
      </c>
      <c r="C686" s="1285" t="s">
        <v>37</v>
      </c>
      <c r="D686" s="640" t="str">
        <f t="shared" ca="1" si="41"/>
        <v>03</v>
      </c>
      <c r="E686" s="1285" t="s">
        <v>98</v>
      </c>
      <c r="F686" s="641" t="str">
        <f>IF(G686="","",VLOOKUP(G686,リスト!J$2:K$3,2,FALSE))</f>
        <v>02</v>
      </c>
      <c r="G686" s="1285" t="s">
        <v>842</v>
      </c>
      <c r="H686" s="1284">
        <v>45182</v>
      </c>
      <c r="I686" s="1284">
        <v>0</v>
      </c>
      <c r="J686" s="644">
        <f t="shared" si="42"/>
        <v>45182</v>
      </c>
      <c r="K686" s="1284">
        <v>45182</v>
      </c>
      <c r="L686" s="644">
        <f t="shared" si="43"/>
        <v>0</v>
      </c>
      <c r="M686" s="680">
        <v>0</v>
      </c>
      <c r="N686" s="651">
        <v>0</v>
      </c>
    </row>
    <row r="687" spans="1:14" ht="15.95" customHeight="1" x14ac:dyDescent="0.15">
      <c r="A687" s="1286">
        <v>43282</v>
      </c>
      <c r="B687" s="640" t="str">
        <f t="shared" ca="1" si="40"/>
        <v>02</v>
      </c>
      <c r="C687" s="1285" t="s">
        <v>37</v>
      </c>
      <c r="D687" s="640" t="str">
        <f t="shared" ca="1" si="41"/>
        <v>02</v>
      </c>
      <c r="E687" s="1285" t="s">
        <v>84</v>
      </c>
      <c r="F687" s="641" t="str">
        <f>IF(G687="","",VLOOKUP(G687,リスト!J$2:K$3,2,FALSE))</f>
        <v>02</v>
      </c>
      <c r="G687" s="1285" t="s">
        <v>842</v>
      </c>
      <c r="H687" s="1284">
        <v>90807</v>
      </c>
      <c r="I687" s="1284">
        <v>-75351</v>
      </c>
      <c r="J687" s="644">
        <f t="shared" si="42"/>
        <v>15456</v>
      </c>
      <c r="K687" s="1284">
        <v>15456</v>
      </c>
      <c r="L687" s="644">
        <f t="shared" si="43"/>
        <v>0</v>
      </c>
      <c r="M687" s="680">
        <v>0</v>
      </c>
      <c r="N687" s="651">
        <v>0</v>
      </c>
    </row>
    <row r="688" spans="1:14" ht="15.95" customHeight="1" x14ac:dyDescent="0.15">
      <c r="A688" s="1286">
        <v>43282</v>
      </c>
      <c r="B688" s="640" t="str">
        <f t="shared" ca="1" si="40"/>
        <v>03</v>
      </c>
      <c r="C688" s="1285" t="s">
        <v>66</v>
      </c>
      <c r="D688" s="640" t="str">
        <f t="shared" ca="1" si="41"/>
        <v>01</v>
      </c>
      <c r="E688" s="1285" t="s">
        <v>83</v>
      </c>
      <c r="F688" s="641" t="str">
        <f>IF(G688="","",VLOOKUP(G688,リスト!J$2:K$3,2,FALSE))</f>
        <v>01</v>
      </c>
      <c r="G688" s="1285" t="s">
        <v>841</v>
      </c>
      <c r="H688" s="1284">
        <v>4842637</v>
      </c>
      <c r="I688" s="1284">
        <v>-41934</v>
      </c>
      <c r="J688" s="644">
        <f t="shared" si="42"/>
        <v>4800703</v>
      </c>
      <c r="K688" s="1284">
        <v>4800703</v>
      </c>
      <c r="L688" s="644">
        <f t="shared" si="43"/>
        <v>0</v>
      </c>
      <c r="M688" s="680">
        <v>60145</v>
      </c>
      <c r="N688" s="651">
        <v>501273</v>
      </c>
    </row>
    <row r="689" spans="1:14" ht="15.95" customHeight="1" x14ac:dyDescent="0.15">
      <c r="A689" s="1286">
        <v>43282</v>
      </c>
      <c r="B689" s="640" t="str">
        <f t="shared" ca="1" si="40"/>
        <v>03</v>
      </c>
      <c r="C689" s="1285" t="s">
        <v>66</v>
      </c>
      <c r="D689" s="640" t="str">
        <f t="shared" ca="1" si="41"/>
        <v>02</v>
      </c>
      <c r="E689" s="1285" t="s">
        <v>84</v>
      </c>
      <c r="F689" s="641" t="str">
        <f>IF(G689="","",VLOOKUP(G689,リスト!J$2:K$3,2,FALSE))</f>
        <v>01</v>
      </c>
      <c r="G689" s="1285" t="s">
        <v>841</v>
      </c>
      <c r="H689" s="1284">
        <v>1836690</v>
      </c>
      <c r="I689" s="1284">
        <v>0</v>
      </c>
      <c r="J689" s="644">
        <f t="shared" si="42"/>
        <v>1836690</v>
      </c>
      <c r="K689" s="1284">
        <v>1836690</v>
      </c>
      <c r="L689" s="644">
        <f t="shared" si="43"/>
        <v>0</v>
      </c>
      <c r="M689" s="680">
        <v>0</v>
      </c>
      <c r="N689" s="651">
        <v>427104</v>
      </c>
    </row>
    <row r="690" spans="1:14" ht="15.95" customHeight="1" x14ac:dyDescent="0.15">
      <c r="A690" s="1286">
        <v>43282</v>
      </c>
      <c r="B690" s="640" t="str">
        <f t="shared" ca="1" si="40"/>
        <v>03</v>
      </c>
      <c r="C690" s="1285" t="s">
        <v>66</v>
      </c>
      <c r="D690" s="640" t="str">
        <f t="shared" ca="1" si="41"/>
        <v>01</v>
      </c>
      <c r="E690" s="1285" t="s">
        <v>83</v>
      </c>
      <c r="F690" s="641" t="str">
        <f>IF(G690="","",VLOOKUP(G690,リスト!J$2:K$3,2,FALSE))</f>
        <v>02</v>
      </c>
      <c r="G690" s="1285" t="s">
        <v>842</v>
      </c>
      <c r="H690" s="1284">
        <v>11613</v>
      </c>
      <c r="I690" s="1284">
        <v>0</v>
      </c>
      <c r="J690" s="644">
        <f t="shared" si="42"/>
        <v>11613</v>
      </c>
      <c r="K690" s="1284">
        <v>11613</v>
      </c>
      <c r="L690" s="644">
        <f t="shared" si="43"/>
        <v>0</v>
      </c>
      <c r="M690" s="680">
        <v>0</v>
      </c>
      <c r="N690" s="651">
        <v>0</v>
      </c>
    </row>
    <row r="691" spans="1:14" ht="15.95" customHeight="1" x14ac:dyDescent="0.15">
      <c r="A691" s="1286">
        <v>43282</v>
      </c>
      <c r="B691" s="640" t="str">
        <f t="shared" ca="1" si="40"/>
        <v>03</v>
      </c>
      <c r="C691" s="1285" t="s">
        <v>66</v>
      </c>
      <c r="D691" s="640" t="str">
        <f t="shared" ca="1" si="41"/>
        <v>02</v>
      </c>
      <c r="E691" s="1285" t="s">
        <v>84</v>
      </c>
      <c r="F691" s="641" t="str">
        <f>IF(G691="","",VLOOKUP(G691,リスト!J$2:K$3,2,FALSE))</f>
        <v>02</v>
      </c>
      <c r="G691" s="1285" t="s">
        <v>842</v>
      </c>
      <c r="H691" s="1284">
        <v>0</v>
      </c>
      <c r="I691" s="1284">
        <v>0</v>
      </c>
      <c r="J691" s="644">
        <f t="shared" si="42"/>
        <v>0</v>
      </c>
      <c r="K691" s="1284">
        <v>0</v>
      </c>
      <c r="L691" s="644">
        <f t="shared" si="43"/>
        <v>0</v>
      </c>
      <c r="M691" s="680">
        <v>0</v>
      </c>
      <c r="N691" s="651">
        <v>0</v>
      </c>
    </row>
    <row r="692" spans="1:14" ht="15.95" customHeight="1" x14ac:dyDescent="0.15">
      <c r="A692" s="1286">
        <v>43282</v>
      </c>
      <c r="B692" s="640" t="str">
        <f t="shared" ca="1" si="40"/>
        <v>11</v>
      </c>
      <c r="C692" s="1285" t="s">
        <v>967</v>
      </c>
      <c r="D692" s="640" t="str">
        <f t="shared" ca="1" si="41"/>
        <v>01</v>
      </c>
      <c r="E692" s="1285" t="s">
        <v>83</v>
      </c>
      <c r="F692" s="641" t="str">
        <f>IF(G692="","",VLOOKUP(G692,リスト!J$2:K$3,2,FALSE))</f>
        <v>01</v>
      </c>
      <c r="G692" s="1285" t="s">
        <v>841</v>
      </c>
      <c r="H692" s="1284">
        <v>252446</v>
      </c>
      <c r="I692" s="1284">
        <v>0</v>
      </c>
      <c r="J692" s="644">
        <f t="shared" si="42"/>
        <v>252446</v>
      </c>
      <c r="K692" s="1284">
        <v>252446</v>
      </c>
      <c r="L692" s="644">
        <f t="shared" si="43"/>
        <v>0</v>
      </c>
      <c r="M692" s="680">
        <v>0</v>
      </c>
      <c r="N692" s="651">
        <v>48263</v>
      </c>
    </row>
    <row r="693" spans="1:14" ht="15.95" customHeight="1" x14ac:dyDescent="0.15">
      <c r="A693" s="1286">
        <v>43282</v>
      </c>
      <c r="B693" s="640" t="str">
        <f t="shared" ca="1" si="40"/>
        <v>11</v>
      </c>
      <c r="C693" s="1285" t="s">
        <v>967</v>
      </c>
      <c r="D693" s="640" t="str">
        <f t="shared" ca="1" si="41"/>
        <v>02</v>
      </c>
      <c r="E693" s="1285" t="s">
        <v>84</v>
      </c>
      <c r="F693" s="641" t="str">
        <f>IF(G693="","",VLOOKUP(G693,リスト!J$2:K$3,2,FALSE))</f>
        <v>01</v>
      </c>
      <c r="G693" s="1285" t="s">
        <v>841</v>
      </c>
      <c r="H693" s="1284">
        <v>168666</v>
      </c>
      <c r="I693" s="1284">
        <v>0</v>
      </c>
      <c r="J693" s="644">
        <f t="shared" si="42"/>
        <v>168666</v>
      </c>
      <c r="K693" s="1284">
        <v>168666</v>
      </c>
      <c r="L693" s="644">
        <f t="shared" si="43"/>
        <v>0</v>
      </c>
      <c r="M693" s="680">
        <v>0</v>
      </c>
      <c r="N693" s="651">
        <v>39217</v>
      </c>
    </row>
    <row r="694" spans="1:14" ht="15.95" customHeight="1" x14ac:dyDescent="0.15">
      <c r="A694" s="1286">
        <v>43282</v>
      </c>
      <c r="B694" s="640" t="str">
        <f t="shared" ca="1" si="40"/>
        <v>11</v>
      </c>
      <c r="C694" s="1285" t="s">
        <v>967</v>
      </c>
      <c r="D694" s="640" t="str">
        <f t="shared" ca="1" si="41"/>
        <v>01</v>
      </c>
      <c r="E694" s="1285" t="s">
        <v>83</v>
      </c>
      <c r="F694" s="641" t="str">
        <f>IF(G694="","",VLOOKUP(G694,リスト!J$2:K$3,2,FALSE))</f>
        <v>02</v>
      </c>
      <c r="G694" s="1285" t="s">
        <v>842</v>
      </c>
      <c r="H694" s="1284">
        <v>241538</v>
      </c>
      <c r="I694" s="1284">
        <v>0</v>
      </c>
      <c r="J694" s="644">
        <f t="shared" si="42"/>
        <v>241538</v>
      </c>
      <c r="K694" s="1284">
        <v>241538</v>
      </c>
      <c r="L694" s="644">
        <f t="shared" si="43"/>
        <v>0</v>
      </c>
      <c r="M694" s="680">
        <v>0</v>
      </c>
      <c r="N694" s="651">
        <v>0</v>
      </c>
    </row>
    <row r="695" spans="1:14" ht="15.95" customHeight="1" x14ac:dyDescent="0.15">
      <c r="A695" s="1286">
        <v>43282</v>
      </c>
      <c r="B695" s="640" t="str">
        <f t="shared" ca="1" si="40"/>
        <v>11</v>
      </c>
      <c r="C695" s="1285" t="s">
        <v>967</v>
      </c>
      <c r="D695" s="640" t="str">
        <f t="shared" ca="1" si="41"/>
        <v>02</v>
      </c>
      <c r="E695" s="1285" t="s">
        <v>84</v>
      </c>
      <c r="F695" s="641" t="str">
        <f>IF(G695="","",VLOOKUP(G695,リスト!J$2:K$3,2,FALSE))</f>
        <v>02</v>
      </c>
      <c r="G695" s="1285" t="s">
        <v>842</v>
      </c>
      <c r="H695" s="1284">
        <v>0</v>
      </c>
      <c r="I695" s="1284">
        <v>0</v>
      </c>
      <c r="J695" s="644">
        <f t="shared" si="42"/>
        <v>0</v>
      </c>
      <c r="K695" s="1284">
        <v>0</v>
      </c>
      <c r="L695" s="644">
        <f t="shared" si="43"/>
        <v>0</v>
      </c>
      <c r="M695" s="680">
        <v>0</v>
      </c>
      <c r="N695" s="651">
        <v>0</v>
      </c>
    </row>
    <row r="696" spans="1:14" ht="15.95" customHeight="1" x14ac:dyDescent="0.15">
      <c r="A696" s="1286">
        <v>43282</v>
      </c>
      <c r="B696" s="640" t="str">
        <f t="shared" ca="1" si="40"/>
        <v>04</v>
      </c>
      <c r="C696" s="1285" t="s">
        <v>358</v>
      </c>
      <c r="D696" s="640" t="str">
        <f t="shared" ca="1" si="41"/>
        <v>04</v>
      </c>
      <c r="E696" s="1285" t="s">
        <v>542</v>
      </c>
      <c r="F696" s="641" t="str">
        <f>IF(G696="","",VLOOKUP(G696,リスト!J$2:K$3,2,FALSE))</f>
        <v>01</v>
      </c>
      <c r="G696" s="1285" t="s">
        <v>841</v>
      </c>
      <c r="H696" s="1284">
        <v>4234658</v>
      </c>
      <c r="I696" s="1284">
        <v>-20157</v>
      </c>
      <c r="J696" s="644">
        <f t="shared" si="42"/>
        <v>4214501</v>
      </c>
      <c r="K696" s="1284">
        <v>4214501</v>
      </c>
      <c r="L696" s="644">
        <f t="shared" si="43"/>
        <v>0</v>
      </c>
      <c r="M696" s="745">
        <v>0</v>
      </c>
      <c r="N696" s="651">
        <v>234931</v>
      </c>
    </row>
    <row r="697" spans="1:14" ht="15.95" customHeight="1" x14ac:dyDescent="0.15">
      <c r="A697" s="1286">
        <v>43282</v>
      </c>
      <c r="B697" s="640" t="str">
        <f t="shared" ca="1" si="40"/>
        <v>04</v>
      </c>
      <c r="C697" s="1285" t="s">
        <v>358</v>
      </c>
      <c r="D697" s="640" t="str">
        <f t="shared" ca="1" si="41"/>
        <v>04</v>
      </c>
      <c r="E697" s="1285" t="s">
        <v>542</v>
      </c>
      <c r="F697" s="641" t="str">
        <f>IF(G697="","",VLOOKUP(G697,リスト!J$2:K$3,2,FALSE))</f>
        <v>02</v>
      </c>
      <c r="G697" s="1285" t="s">
        <v>842</v>
      </c>
      <c r="H697" s="1284">
        <v>0</v>
      </c>
      <c r="I697" s="1284">
        <v>0</v>
      </c>
      <c r="J697" s="644">
        <f t="shared" si="42"/>
        <v>0</v>
      </c>
      <c r="K697" s="1284">
        <v>0</v>
      </c>
      <c r="L697" s="644">
        <f t="shared" si="43"/>
        <v>0</v>
      </c>
      <c r="M697" s="680">
        <v>0</v>
      </c>
      <c r="N697" s="651">
        <v>0</v>
      </c>
    </row>
    <row r="698" spans="1:14" ht="15.95" customHeight="1" x14ac:dyDescent="0.15">
      <c r="A698" s="1286">
        <v>43282</v>
      </c>
      <c r="B698" s="640" t="str">
        <f t="shared" ca="1" si="40"/>
        <v>05</v>
      </c>
      <c r="C698" s="1285" t="s">
        <v>38</v>
      </c>
      <c r="D698" s="640" t="str">
        <f t="shared" ca="1" si="41"/>
        <v>01</v>
      </c>
      <c r="E698" s="1285" t="s">
        <v>83</v>
      </c>
      <c r="F698" s="641" t="str">
        <f>IF(G698="","",VLOOKUP(G698,リスト!J$2:K$3,2,FALSE))</f>
        <v>01</v>
      </c>
      <c r="G698" s="1285" t="s">
        <v>841</v>
      </c>
      <c r="H698" s="1284">
        <v>1697883</v>
      </c>
      <c r="I698" s="1284">
        <v>-57255</v>
      </c>
      <c r="J698" s="644">
        <f t="shared" si="42"/>
        <v>1640628</v>
      </c>
      <c r="K698" s="1284">
        <v>1640628</v>
      </c>
      <c r="L698" s="644">
        <f t="shared" si="43"/>
        <v>0</v>
      </c>
      <c r="M698" s="680">
        <v>0</v>
      </c>
      <c r="N698" s="651">
        <v>0</v>
      </c>
    </row>
    <row r="699" spans="1:14" ht="15.95" customHeight="1" x14ac:dyDescent="0.15">
      <c r="A699" s="1286">
        <v>43282</v>
      </c>
      <c r="B699" s="640" t="str">
        <f t="shared" ca="1" si="40"/>
        <v>05</v>
      </c>
      <c r="C699" s="1285" t="s">
        <v>38</v>
      </c>
      <c r="D699" s="640" t="str">
        <f t="shared" ca="1" si="41"/>
        <v>01</v>
      </c>
      <c r="E699" s="1285" t="s">
        <v>83</v>
      </c>
      <c r="F699" s="641" t="str">
        <f>IF(G699="","",VLOOKUP(G699,リスト!J$2:K$3,2,FALSE))</f>
        <v>02</v>
      </c>
      <c r="G699" s="1285" t="s">
        <v>842</v>
      </c>
      <c r="H699" s="1284">
        <v>0</v>
      </c>
      <c r="I699" s="1284">
        <v>0</v>
      </c>
      <c r="J699" s="644">
        <f t="shared" si="42"/>
        <v>0</v>
      </c>
      <c r="K699" s="1284">
        <v>0</v>
      </c>
      <c r="L699" s="644">
        <f t="shared" si="43"/>
        <v>0</v>
      </c>
      <c r="M699" s="680">
        <v>0</v>
      </c>
      <c r="N699" s="651">
        <v>0</v>
      </c>
    </row>
    <row r="700" spans="1:14" ht="15.95" customHeight="1" x14ac:dyDescent="0.15">
      <c r="A700" s="1286">
        <v>43282</v>
      </c>
      <c r="B700" s="640" t="str">
        <f t="shared" ca="1" si="40"/>
        <v>07</v>
      </c>
      <c r="C700" s="1285" t="s">
        <v>119</v>
      </c>
      <c r="D700" s="640" t="str">
        <f t="shared" ca="1" si="41"/>
        <v>05</v>
      </c>
      <c r="E700" s="1285" t="s">
        <v>543</v>
      </c>
      <c r="F700" s="641" t="str">
        <f>IF(G700="","",VLOOKUP(G700,リスト!J$2:K$3,2,FALSE))</f>
        <v>01</v>
      </c>
      <c r="G700" s="1285" t="s">
        <v>841</v>
      </c>
      <c r="H700" s="1284">
        <v>839546</v>
      </c>
      <c r="I700" s="1284">
        <v>0</v>
      </c>
      <c r="J700" s="644">
        <f t="shared" si="42"/>
        <v>839546</v>
      </c>
      <c r="K700" s="1284">
        <v>839546</v>
      </c>
      <c r="L700" s="644">
        <f t="shared" si="43"/>
        <v>0</v>
      </c>
      <c r="M700" s="680">
        <v>0</v>
      </c>
      <c r="N700" s="651">
        <v>318645</v>
      </c>
    </row>
    <row r="701" spans="1:14" ht="15.95" customHeight="1" x14ac:dyDescent="0.15">
      <c r="A701" s="1286">
        <v>43282</v>
      </c>
      <c r="B701" s="640" t="str">
        <f t="shared" ca="1" si="40"/>
        <v>07</v>
      </c>
      <c r="C701" s="1285" t="s">
        <v>119</v>
      </c>
      <c r="D701" s="640" t="str">
        <f t="shared" ca="1" si="41"/>
        <v>05</v>
      </c>
      <c r="E701" s="1285" t="s">
        <v>543</v>
      </c>
      <c r="F701" s="641" t="str">
        <f>IF(G701="","",VLOOKUP(G701,リスト!J$2:K$3,2,FALSE))</f>
        <v>02</v>
      </c>
      <c r="G701" s="1285" t="s">
        <v>842</v>
      </c>
      <c r="H701" s="1284">
        <v>289428</v>
      </c>
      <c r="I701" s="1284">
        <v>0</v>
      </c>
      <c r="J701" s="644">
        <f t="shared" si="42"/>
        <v>289428</v>
      </c>
      <c r="K701" s="1284">
        <v>289428</v>
      </c>
      <c r="L701" s="644">
        <f t="shared" si="43"/>
        <v>0</v>
      </c>
      <c r="M701" s="680">
        <v>0</v>
      </c>
      <c r="N701" s="651">
        <v>0</v>
      </c>
    </row>
    <row r="702" spans="1:14" ht="15.95" customHeight="1" x14ac:dyDescent="0.15">
      <c r="A702" s="1286">
        <v>43282</v>
      </c>
      <c r="B702" s="640" t="str">
        <f t="shared" ca="1" si="40"/>
        <v>08</v>
      </c>
      <c r="C702" s="1285" t="s">
        <v>189</v>
      </c>
      <c r="D702" s="640" t="str">
        <f t="shared" ca="1" si="41"/>
        <v>05</v>
      </c>
      <c r="E702" s="1285" t="s">
        <v>543</v>
      </c>
      <c r="F702" s="641" t="str">
        <f>IF(G702="","",VLOOKUP(G702,リスト!J$2:K$3,2,FALSE))</f>
        <v>01</v>
      </c>
      <c r="G702" s="1285" t="s">
        <v>841</v>
      </c>
      <c r="H702" s="1284">
        <v>1007268</v>
      </c>
      <c r="I702" s="1284">
        <v>0</v>
      </c>
      <c r="J702" s="644">
        <f t="shared" si="42"/>
        <v>1007268</v>
      </c>
      <c r="K702" s="1284">
        <v>1007268</v>
      </c>
      <c r="L702" s="644">
        <f t="shared" si="43"/>
        <v>0</v>
      </c>
      <c r="M702" s="680">
        <v>0</v>
      </c>
      <c r="N702" s="651">
        <v>0</v>
      </c>
    </row>
    <row r="703" spans="1:14" ht="15.95" customHeight="1" x14ac:dyDescent="0.15">
      <c r="A703" s="1286">
        <v>43282</v>
      </c>
      <c r="B703" s="640" t="str">
        <f t="shared" ca="1" si="40"/>
        <v>08</v>
      </c>
      <c r="C703" s="1285" t="s">
        <v>189</v>
      </c>
      <c r="D703" s="640" t="str">
        <f t="shared" ca="1" si="41"/>
        <v>05</v>
      </c>
      <c r="E703" s="1285" t="s">
        <v>543</v>
      </c>
      <c r="F703" s="641" t="str">
        <f>IF(G703="","",VLOOKUP(G703,リスト!J$2:K$3,2,FALSE))</f>
        <v>02</v>
      </c>
      <c r="G703" s="1285" t="s">
        <v>842</v>
      </c>
      <c r="H703" s="1284">
        <v>0</v>
      </c>
      <c r="I703" s="1284">
        <v>0</v>
      </c>
      <c r="J703" s="644">
        <f t="shared" si="42"/>
        <v>0</v>
      </c>
      <c r="K703" s="1284">
        <v>0</v>
      </c>
      <c r="L703" s="644">
        <f t="shared" si="43"/>
        <v>0</v>
      </c>
      <c r="M703" s="680">
        <v>0</v>
      </c>
      <c r="N703" s="651">
        <v>0</v>
      </c>
    </row>
    <row r="704" spans="1:14" ht="15.95" customHeight="1" x14ac:dyDescent="0.15">
      <c r="A704" s="1286">
        <v>43282</v>
      </c>
      <c r="B704" s="640" t="str">
        <f t="shared" ca="1" si="40"/>
        <v>09</v>
      </c>
      <c r="C704" s="1285" t="s">
        <v>329</v>
      </c>
      <c r="D704" s="640" t="str">
        <f t="shared" ca="1" si="41"/>
        <v>05</v>
      </c>
      <c r="E704" s="1285" t="s">
        <v>543</v>
      </c>
      <c r="F704" s="641" t="str">
        <f>IF(G704="","",VLOOKUP(G704,リスト!J$2:K$3,2,FALSE))</f>
        <v>01</v>
      </c>
      <c r="G704" s="1285" t="s">
        <v>841</v>
      </c>
      <c r="H704" s="1284">
        <v>2449461</v>
      </c>
      <c r="I704" s="1284">
        <v>0</v>
      </c>
      <c r="J704" s="644">
        <f t="shared" si="42"/>
        <v>2449461</v>
      </c>
      <c r="K704" s="1284">
        <v>2449461</v>
      </c>
      <c r="L704" s="644">
        <f t="shared" si="43"/>
        <v>0</v>
      </c>
      <c r="M704" s="680">
        <v>0</v>
      </c>
      <c r="N704" s="651">
        <v>0</v>
      </c>
    </row>
    <row r="705" spans="1:14" ht="15.95" customHeight="1" x14ac:dyDescent="0.15">
      <c r="A705" s="1286">
        <v>43282</v>
      </c>
      <c r="B705" s="640" t="str">
        <f t="shared" ca="1" si="40"/>
        <v>09</v>
      </c>
      <c r="C705" s="1285" t="s">
        <v>329</v>
      </c>
      <c r="D705" s="640" t="str">
        <f t="shared" ca="1" si="41"/>
        <v>05</v>
      </c>
      <c r="E705" s="1285" t="s">
        <v>543</v>
      </c>
      <c r="F705" s="641" t="str">
        <f>IF(G705="","",VLOOKUP(G705,リスト!J$2:K$3,2,FALSE))</f>
        <v>02</v>
      </c>
      <c r="G705" s="1285" t="s">
        <v>842</v>
      </c>
      <c r="H705" s="1284">
        <v>228527</v>
      </c>
      <c r="I705" s="1284">
        <v>0</v>
      </c>
      <c r="J705" s="644">
        <f t="shared" si="42"/>
        <v>228527</v>
      </c>
      <c r="K705" s="1284">
        <v>228527</v>
      </c>
      <c r="L705" s="644">
        <f t="shared" si="43"/>
        <v>0</v>
      </c>
      <c r="M705" s="680">
        <v>0</v>
      </c>
      <c r="N705" s="651">
        <v>0</v>
      </c>
    </row>
    <row r="706" spans="1:14" ht="15.95" customHeight="1" x14ac:dyDescent="0.15">
      <c r="A706" s="1286">
        <v>43282</v>
      </c>
      <c r="B706" s="640" t="str">
        <f t="shared" ref="B706:B769" ca="1" si="44">IF(C706="","",VLOOKUP(C706,事業所コード2,2,FALSE))</f>
        <v>10</v>
      </c>
      <c r="C706" s="1285" t="s">
        <v>336</v>
      </c>
      <c r="D706" s="640" t="str">
        <f t="shared" ref="D706:D769" ca="1" si="45">IF(E706="","",VLOOKUP(E706,事業区分コード2,2,FALSE))</f>
        <v>01</v>
      </c>
      <c r="E706" s="1285" t="s">
        <v>83</v>
      </c>
      <c r="F706" s="641" t="str">
        <f>IF(G706="","",VLOOKUP(G706,リスト!J$2:K$3,2,FALSE))</f>
        <v>01</v>
      </c>
      <c r="G706" s="1285" t="s">
        <v>841</v>
      </c>
      <c r="H706" s="1284">
        <v>745508</v>
      </c>
      <c r="I706" s="1284">
        <v>0</v>
      </c>
      <c r="J706" s="644">
        <f t="shared" ref="J706:J769" si="46">IF(A706="","",H706+I706)</f>
        <v>745508</v>
      </c>
      <c r="K706" s="1284">
        <v>745508</v>
      </c>
      <c r="L706" s="644">
        <f t="shared" ref="L706:L769" si="47">IF(A706="","",J706-K706)</f>
        <v>0</v>
      </c>
      <c r="M706" s="680">
        <v>0</v>
      </c>
      <c r="N706" s="651">
        <v>0</v>
      </c>
    </row>
    <row r="707" spans="1:14" ht="15.95" customHeight="1" x14ac:dyDescent="0.15">
      <c r="A707" s="1286">
        <v>43282</v>
      </c>
      <c r="B707" s="640" t="str">
        <f t="shared" ca="1" si="44"/>
        <v>10</v>
      </c>
      <c r="C707" s="1285" t="s">
        <v>336</v>
      </c>
      <c r="D707" s="640" t="str">
        <f t="shared" ca="1" si="45"/>
        <v>02</v>
      </c>
      <c r="E707" s="1285" t="s">
        <v>84</v>
      </c>
      <c r="F707" s="641" t="str">
        <f>IF(G707="","",VLOOKUP(G707,リスト!J$2:K$3,2,FALSE))</f>
        <v>01</v>
      </c>
      <c r="G707" s="1285" t="s">
        <v>841</v>
      </c>
      <c r="H707" s="1284">
        <v>19440</v>
      </c>
      <c r="I707" s="1284">
        <v>0</v>
      </c>
      <c r="J707" s="644">
        <f t="shared" si="46"/>
        <v>19440</v>
      </c>
      <c r="K707" s="1284">
        <v>19440</v>
      </c>
      <c r="L707" s="644">
        <f t="shared" si="47"/>
        <v>0</v>
      </c>
      <c r="M707" s="680">
        <v>0</v>
      </c>
      <c r="N707" s="651">
        <v>0</v>
      </c>
    </row>
    <row r="708" spans="1:14" ht="15.95" customHeight="1" x14ac:dyDescent="0.15">
      <c r="A708" s="1286">
        <v>43282</v>
      </c>
      <c r="B708" s="640" t="str">
        <f t="shared" ca="1" si="44"/>
        <v>10</v>
      </c>
      <c r="C708" s="1285" t="s">
        <v>336</v>
      </c>
      <c r="D708" s="640" t="str">
        <f t="shared" ca="1" si="45"/>
        <v>01</v>
      </c>
      <c r="E708" s="1285" t="s">
        <v>83</v>
      </c>
      <c r="F708" s="641" t="str">
        <f>IF(G708="","",VLOOKUP(G708,リスト!J$2:K$3,2,FALSE))</f>
        <v>02</v>
      </c>
      <c r="G708" s="1285" t="s">
        <v>842</v>
      </c>
      <c r="H708" s="1284">
        <v>0</v>
      </c>
      <c r="I708" s="1284">
        <v>0</v>
      </c>
      <c r="J708" s="644">
        <f t="shared" si="46"/>
        <v>0</v>
      </c>
      <c r="K708" s="1284">
        <v>0</v>
      </c>
      <c r="L708" s="644">
        <f t="shared" si="47"/>
        <v>0</v>
      </c>
      <c r="M708" s="680">
        <v>0</v>
      </c>
      <c r="N708" s="651">
        <v>0</v>
      </c>
    </row>
    <row r="709" spans="1:14" ht="15.95" customHeight="1" x14ac:dyDescent="0.15">
      <c r="A709" s="1286">
        <v>43282</v>
      </c>
      <c r="B709" s="640" t="str">
        <f t="shared" ca="1" si="44"/>
        <v>10</v>
      </c>
      <c r="C709" s="1285" t="s">
        <v>336</v>
      </c>
      <c r="D709" s="640" t="str">
        <f t="shared" ca="1" si="45"/>
        <v>02</v>
      </c>
      <c r="E709" s="1285" t="s">
        <v>84</v>
      </c>
      <c r="F709" s="641" t="str">
        <f>IF(G709="","",VLOOKUP(G709,リスト!J$2:K$3,2,FALSE))</f>
        <v>02</v>
      </c>
      <c r="G709" s="1285" t="s">
        <v>842</v>
      </c>
      <c r="H709" s="1284">
        <v>0</v>
      </c>
      <c r="I709" s="1284">
        <v>0</v>
      </c>
      <c r="J709" s="644">
        <f t="shared" si="46"/>
        <v>0</v>
      </c>
      <c r="K709" s="1284">
        <v>0</v>
      </c>
      <c r="L709" s="644">
        <f t="shared" si="47"/>
        <v>0</v>
      </c>
      <c r="M709" s="680">
        <v>0</v>
      </c>
      <c r="N709" s="651">
        <v>0</v>
      </c>
    </row>
    <row r="710" spans="1:14" ht="15.95" customHeight="1" x14ac:dyDescent="0.15">
      <c r="A710" s="1286">
        <v>43313</v>
      </c>
      <c r="B710" s="640" t="str">
        <f t="shared" ca="1" si="44"/>
        <v>01</v>
      </c>
      <c r="C710" s="1285" t="s">
        <v>34</v>
      </c>
      <c r="D710" s="640" t="str">
        <f t="shared" ca="1" si="45"/>
        <v>01</v>
      </c>
      <c r="E710" s="1285" t="s">
        <v>83</v>
      </c>
      <c r="F710" s="641" t="str">
        <f>IF(G710="","",VLOOKUP(G710,リスト!J$2:K$3,2,FALSE))</f>
        <v>01</v>
      </c>
      <c r="G710" s="1285" t="s">
        <v>841</v>
      </c>
      <c r="H710" s="1284">
        <v>7730030</v>
      </c>
      <c r="I710" s="1284">
        <v>-191155</v>
      </c>
      <c r="J710" s="644">
        <f t="shared" si="46"/>
        <v>7538875</v>
      </c>
      <c r="K710" s="1284">
        <v>7538875</v>
      </c>
      <c r="L710" s="644">
        <f t="shared" si="47"/>
        <v>0</v>
      </c>
      <c r="M710" s="680">
        <v>97380</v>
      </c>
      <c r="N710" s="651">
        <v>1186196</v>
      </c>
    </row>
    <row r="711" spans="1:14" ht="15.95" customHeight="1" x14ac:dyDescent="0.15">
      <c r="A711" s="1286">
        <v>43313</v>
      </c>
      <c r="B711" s="640" t="str">
        <f t="shared" ca="1" si="44"/>
        <v>01</v>
      </c>
      <c r="C711" s="1285" t="s">
        <v>34</v>
      </c>
      <c r="D711" s="640" t="str">
        <f t="shared" ca="1" si="45"/>
        <v>03</v>
      </c>
      <c r="E711" s="1285" t="s">
        <v>98</v>
      </c>
      <c r="F711" s="641" t="str">
        <f>IF(G711="","",VLOOKUP(G711,リスト!J$2:K$3,2,FALSE))</f>
        <v>01</v>
      </c>
      <c r="G711" s="1285" t="s">
        <v>841</v>
      </c>
      <c r="H711" s="1284">
        <v>668845</v>
      </c>
      <c r="I711" s="1284">
        <v>0</v>
      </c>
      <c r="J711" s="644">
        <f t="shared" si="46"/>
        <v>668845</v>
      </c>
      <c r="K711" s="1284">
        <v>668845</v>
      </c>
      <c r="L711" s="644">
        <f t="shared" si="47"/>
        <v>0</v>
      </c>
      <c r="M711" s="680">
        <v>0</v>
      </c>
      <c r="N711" s="651">
        <v>0</v>
      </c>
    </row>
    <row r="712" spans="1:14" ht="15.95" customHeight="1" x14ac:dyDescent="0.15">
      <c r="A712" s="1286">
        <v>43313</v>
      </c>
      <c r="B712" s="640" t="str">
        <f t="shared" ca="1" si="44"/>
        <v>01</v>
      </c>
      <c r="C712" s="1285" t="s">
        <v>34</v>
      </c>
      <c r="D712" s="640" t="str">
        <f t="shared" ca="1" si="45"/>
        <v>02</v>
      </c>
      <c r="E712" s="1285" t="s">
        <v>84</v>
      </c>
      <c r="F712" s="641" t="str">
        <f>IF(G712="","",VLOOKUP(G712,リスト!J$2:K$3,2,FALSE))</f>
        <v>01</v>
      </c>
      <c r="G712" s="1285" t="s">
        <v>841</v>
      </c>
      <c r="H712" s="1284">
        <v>1515977</v>
      </c>
      <c r="I712" s="1284">
        <v>-482819</v>
      </c>
      <c r="J712" s="644">
        <f t="shared" si="46"/>
        <v>1033158</v>
      </c>
      <c r="K712" s="1284">
        <v>1033158</v>
      </c>
      <c r="L712" s="644">
        <f t="shared" si="47"/>
        <v>0</v>
      </c>
      <c r="M712" s="680">
        <v>0</v>
      </c>
      <c r="N712" s="651">
        <v>250906</v>
      </c>
    </row>
    <row r="713" spans="1:14" ht="15.95" customHeight="1" x14ac:dyDescent="0.15">
      <c r="A713" s="1286">
        <v>43313</v>
      </c>
      <c r="B713" s="640" t="str">
        <f t="shared" ca="1" si="44"/>
        <v>01</v>
      </c>
      <c r="C713" s="1285" t="s">
        <v>34</v>
      </c>
      <c r="D713" s="640" t="str">
        <f t="shared" ca="1" si="45"/>
        <v>01</v>
      </c>
      <c r="E713" s="1285" t="s">
        <v>83</v>
      </c>
      <c r="F713" s="641" t="str">
        <f>IF(G713="","",VLOOKUP(G713,リスト!J$2:K$3,2,FALSE))</f>
        <v>02</v>
      </c>
      <c r="G713" s="1285" t="s">
        <v>842</v>
      </c>
      <c r="H713" s="1284">
        <v>206274</v>
      </c>
      <c r="I713" s="1284">
        <v>21036</v>
      </c>
      <c r="J713" s="644">
        <f t="shared" si="46"/>
        <v>227310</v>
      </c>
      <c r="K713" s="1284">
        <v>227310</v>
      </c>
      <c r="L713" s="644">
        <f t="shared" si="47"/>
        <v>0</v>
      </c>
      <c r="M713" s="680">
        <v>0</v>
      </c>
      <c r="N713" s="651">
        <v>0</v>
      </c>
    </row>
    <row r="714" spans="1:14" ht="15.95" customHeight="1" x14ac:dyDescent="0.15">
      <c r="A714" s="1286">
        <v>43313</v>
      </c>
      <c r="B714" s="640" t="str">
        <f t="shared" ca="1" si="44"/>
        <v>01</v>
      </c>
      <c r="C714" s="1285" t="s">
        <v>34</v>
      </c>
      <c r="D714" s="640" t="str">
        <f t="shared" ca="1" si="45"/>
        <v>03</v>
      </c>
      <c r="E714" s="1285" t="s">
        <v>98</v>
      </c>
      <c r="F714" s="641" t="str">
        <f>IF(G714="","",VLOOKUP(G714,リスト!J$2:K$3,2,FALSE))</f>
        <v>02</v>
      </c>
      <c r="G714" s="1285" t="s">
        <v>842</v>
      </c>
      <c r="H714" s="1284">
        <v>17687</v>
      </c>
      <c r="I714" s="1284">
        <v>-17687</v>
      </c>
      <c r="J714" s="644">
        <f t="shared" si="46"/>
        <v>0</v>
      </c>
      <c r="K714" s="1284">
        <v>0</v>
      </c>
      <c r="L714" s="644">
        <f t="shared" si="47"/>
        <v>0</v>
      </c>
      <c r="M714" s="680">
        <v>0</v>
      </c>
      <c r="N714" s="651">
        <v>0</v>
      </c>
    </row>
    <row r="715" spans="1:14" ht="15.95" customHeight="1" x14ac:dyDescent="0.15">
      <c r="A715" s="1286">
        <v>43313</v>
      </c>
      <c r="B715" s="640" t="str">
        <f t="shared" ca="1" si="44"/>
        <v>01</v>
      </c>
      <c r="C715" s="1285" t="s">
        <v>34</v>
      </c>
      <c r="D715" s="640" t="str">
        <f t="shared" ca="1" si="45"/>
        <v>02</v>
      </c>
      <c r="E715" s="1285" t="s">
        <v>84</v>
      </c>
      <c r="F715" s="641" t="str">
        <f>IF(G715="","",VLOOKUP(G715,リスト!J$2:K$3,2,FALSE))</f>
        <v>02</v>
      </c>
      <c r="G715" s="1285" t="s">
        <v>842</v>
      </c>
      <c r="H715" s="1284">
        <v>36644</v>
      </c>
      <c r="I715" s="1284">
        <v>0</v>
      </c>
      <c r="J715" s="644">
        <f t="shared" si="46"/>
        <v>36644</v>
      </c>
      <c r="K715" s="1284">
        <v>36644</v>
      </c>
      <c r="L715" s="644">
        <f t="shared" si="47"/>
        <v>0</v>
      </c>
      <c r="M715" s="680">
        <v>0</v>
      </c>
      <c r="N715" s="651">
        <v>0</v>
      </c>
    </row>
    <row r="716" spans="1:14" ht="15.95" customHeight="1" x14ac:dyDescent="0.15">
      <c r="A716" s="1286">
        <v>43313</v>
      </c>
      <c r="B716" s="640" t="str">
        <f t="shared" ca="1" si="44"/>
        <v>02</v>
      </c>
      <c r="C716" s="1285" t="s">
        <v>37</v>
      </c>
      <c r="D716" s="640" t="str">
        <f t="shared" ca="1" si="45"/>
        <v>01</v>
      </c>
      <c r="E716" s="1285" t="s">
        <v>83</v>
      </c>
      <c r="F716" s="641" t="str">
        <f>IF(G716="","",VLOOKUP(G716,リスト!J$2:K$3,2,FALSE))</f>
        <v>01</v>
      </c>
      <c r="G716" s="1285" t="s">
        <v>841</v>
      </c>
      <c r="H716" s="1284">
        <v>4428564</v>
      </c>
      <c r="I716" s="1284">
        <v>-256247</v>
      </c>
      <c r="J716" s="644">
        <f t="shared" si="46"/>
        <v>4172317</v>
      </c>
      <c r="K716" s="1284">
        <v>4172317</v>
      </c>
      <c r="L716" s="644">
        <f t="shared" si="47"/>
        <v>0</v>
      </c>
      <c r="M716" s="680">
        <v>18951</v>
      </c>
      <c r="N716" s="651">
        <v>460193</v>
      </c>
    </row>
    <row r="717" spans="1:14" ht="15.95" customHeight="1" x14ac:dyDescent="0.15">
      <c r="A717" s="1286">
        <v>43313</v>
      </c>
      <c r="B717" s="640" t="str">
        <f t="shared" ca="1" si="44"/>
        <v>02</v>
      </c>
      <c r="C717" s="1285" t="s">
        <v>37</v>
      </c>
      <c r="D717" s="640" t="str">
        <f t="shared" ca="1" si="45"/>
        <v>03</v>
      </c>
      <c r="E717" s="1285" t="s">
        <v>98</v>
      </c>
      <c r="F717" s="641" t="str">
        <f>IF(G717="","",VLOOKUP(G717,リスト!J$2:K$3,2,FALSE))</f>
        <v>01</v>
      </c>
      <c r="G717" s="1285" t="s">
        <v>841</v>
      </c>
      <c r="H717" s="1284">
        <v>510532</v>
      </c>
      <c r="I717" s="1284">
        <v>0</v>
      </c>
      <c r="J717" s="644">
        <f t="shared" si="46"/>
        <v>510532</v>
      </c>
      <c r="K717" s="1284">
        <v>510532</v>
      </c>
      <c r="L717" s="644">
        <f t="shared" si="47"/>
        <v>0</v>
      </c>
      <c r="M717" s="680">
        <v>0</v>
      </c>
      <c r="N717" s="651">
        <v>0</v>
      </c>
    </row>
    <row r="718" spans="1:14" ht="15.95" customHeight="1" x14ac:dyDescent="0.15">
      <c r="A718" s="1286">
        <v>43313</v>
      </c>
      <c r="B718" s="640" t="str">
        <f t="shared" ca="1" si="44"/>
        <v>02</v>
      </c>
      <c r="C718" s="1285" t="s">
        <v>37</v>
      </c>
      <c r="D718" s="640" t="str">
        <f t="shared" ca="1" si="45"/>
        <v>02</v>
      </c>
      <c r="E718" s="1285" t="s">
        <v>84</v>
      </c>
      <c r="F718" s="641" t="str">
        <f>IF(G718="","",VLOOKUP(G718,リスト!J$2:K$3,2,FALSE))</f>
        <v>01</v>
      </c>
      <c r="G718" s="1285" t="s">
        <v>841</v>
      </c>
      <c r="H718" s="1284">
        <v>930784</v>
      </c>
      <c r="I718" s="1284">
        <v>-137634</v>
      </c>
      <c r="J718" s="644">
        <f t="shared" si="46"/>
        <v>793150</v>
      </c>
      <c r="K718" s="1284">
        <v>793150</v>
      </c>
      <c r="L718" s="644">
        <f t="shared" si="47"/>
        <v>0</v>
      </c>
      <c r="M718" s="680">
        <v>24416</v>
      </c>
      <c r="N718" s="651">
        <v>202922</v>
      </c>
    </row>
    <row r="719" spans="1:14" ht="15.95" customHeight="1" x14ac:dyDescent="0.15">
      <c r="A719" s="1286">
        <v>43313</v>
      </c>
      <c r="B719" s="640" t="str">
        <f t="shared" ca="1" si="44"/>
        <v>02</v>
      </c>
      <c r="C719" s="1285" t="s">
        <v>37</v>
      </c>
      <c r="D719" s="640" t="str">
        <f t="shared" ca="1" si="45"/>
        <v>01</v>
      </c>
      <c r="E719" s="1285" t="s">
        <v>83</v>
      </c>
      <c r="F719" s="641" t="str">
        <f>IF(G719="","",VLOOKUP(G719,リスト!J$2:K$3,2,FALSE))</f>
        <v>02</v>
      </c>
      <c r="G719" s="1285" t="s">
        <v>842</v>
      </c>
      <c r="H719" s="1284">
        <v>247858</v>
      </c>
      <c r="I719" s="1284">
        <v>15967</v>
      </c>
      <c r="J719" s="644">
        <f t="shared" si="46"/>
        <v>263825</v>
      </c>
      <c r="K719" s="1284">
        <v>263825</v>
      </c>
      <c r="L719" s="644">
        <f t="shared" si="47"/>
        <v>0</v>
      </c>
      <c r="M719" s="680">
        <v>0</v>
      </c>
      <c r="N719" s="651">
        <v>0</v>
      </c>
    </row>
    <row r="720" spans="1:14" ht="15.95" customHeight="1" x14ac:dyDescent="0.15">
      <c r="A720" s="1286">
        <v>43313</v>
      </c>
      <c r="B720" s="640" t="str">
        <f t="shared" ca="1" si="44"/>
        <v>02</v>
      </c>
      <c r="C720" s="1285" t="s">
        <v>37</v>
      </c>
      <c r="D720" s="640" t="str">
        <f t="shared" ca="1" si="45"/>
        <v>03</v>
      </c>
      <c r="E720" s="1285" t="s">
        <v>98</v>
      </c>
      <c r="F720" s="641" t="str">
        <f>IF(G720="","",VLOOKUP(G720,リスト!J$2:K$3,2,FALSE))</f>
        <v>02</v>
      </c>
      <c r="G720" s="1285" t="s">
        <v>842</v>
      </c>
      <c r="H720" s="1284">
        <v>15116</v>
      </c>
      <c r="I720" s="1284">
        <v>-11635</v>
      </c>
      <c r="J720" s="644">
        <f t="shared" si="46"/>
        <v>3481</v>
      </c>
      <c r="K720" s="1284">
        <v>3481</v>
      </c>
      <c r="L720" s="644">
        <f t="shared" si="47"/>
        <v>0</v>
      </c>
      <c r="M720" s="680">
        <v>0</v>
      </c>
      <c r="N720" s="651">
        <v>0</v>
      </c>
    </row>
    <row r="721" spans="1:14" ht="15.95" customHeight="1" x14ac:dyDescent="0.15">
      <c r="A721" s="1286">
        <v>43313</v>
      </c>
      <c r="B721" s="640" t="str">
        <f t="shared" ca="1" si="44"/>
        <v>02</v>
      </c>
      <c r="C721" s="1285" t="s">
        <v>37</v>
      </c>
      <c r="D721" s="640" t="str">
        <f t="shared" ca="1" si="45"/>
        <v>02</v>
      </c>
      <c r="E721" s="1285" t="s">
        <v>84</v>
      </c>
      <c r="F721" s="641" t="str">
        <f>IF(G721="","",VLOOKUP(G721,リスト!J$2:K$3,2,FALSE))</f>
        <v>02</v>
      </c>
      <c r="G721" s="1285" t="s">
        <v>842</v>
      </c>
      <c r="H721" s="1284">
        <v>198400</v>
      </c>
      <c r="I721" s="1284">
        <v>-115343</v>
      </c>
      <c r="J721" s="644">
        <f t="shared" si="46"/>
        <v>83057</v>
      </c>
      <c r="K721" s="1284">
        <v>83057</v>
      </c>
      <c r="L721" s="644">
        <f t="shared" si="47"/>
        <v>0</v>
      </c>
      <c r="M721" s="680">
        <v>0</v>
      </c>
      <c r="N721" s="651">
        <v>0</v>
      </c>
    </row>
    <row r="722" spans="1:14" ht="15.95" customHeight="1" x14ac:dyDescent="0.15">
      <c r="A722" s="1286">
        <v>43313</v>
      </c>
      <c r="B722" s="640" t="str">
        <f t="shared" ca="1" si="44"/>
        <v>03</v>
      </c>
      <c r="C722" s="1285" t="s">
        <v>66</v>
      </c>
      <c r="D722" s="640" t="str">
        <f t="shared" ca="1" si="45"/>
        <v>01</v>
      </c>
      <c r="E722" s="1285" t="s">
        <v>83</v>
      </c>
      <c r="F722" s="641" t="str">
        <f>IF(G722="","",VLOOKUP(G722,リスト!J$2:K$3,2,FALSE))</f>
        <v>01</v>
      </c>
      <c r="G722" s="1285" t="s">
        <v>841</v>
      </c>
      <c r="H722" s="1284">
        <v>5397626</v>
      </c>
      <c r="I722" s="1284">
        <v>-5878</v>
      </c>
      <c r="J722" s="644">
        <f t="shared" si="46"/>
        <v>5391748</v>
      </c>
      <c r="K722" s="1284">
        <v>5391748</v>
      </c>
      <c r="L722" s="644">
        <f t="shared" si="47"/>
        <v>0</v>
      </c>
      <c r="M722" s="680">
        <v>18409</v>
      </c>
      <c r="N722" s="651">
        <v>580102</v>
      </c>
    </row>
    <row r="723" spans="1:14" ht="15.95" customHeight="1" x14ac:dyDescent="0.15">
      <c r="A723" s="1286">
        <v>43313</v>
      </c>
      <c r="B723" s="640" t="str">
        <f t="shared" ca="1" si="44"/>
        <v>03</v>
      </c>
      <c r="C723" s="1285" t="s">
        <v>66</v>
      </c>
      <c r="D723" s="640" t="str">
        <f t="shared" ca="1" si="45"/>
        <v>02</v>
      </c>
      <c r="E723" s="1285" t="s">
        <v>84</v>
      </c>
      <c r="F723" s="641" t="str">
        <f>IF(G723="","",VLOOKUP(G723,リスト!J$2:K$3,2,FALSE))</f>
        <v>01</v>
      </c>
      <c r="G723" s="1285" t="s">
        <v>841</v>
      </c>
      <c r="H723" s="1284">
        <v>1787227</v>
      </c>
      <c r="I723" s="1284">
        <v>0</v>
      </c>
      <c r="J723" s="644">
        <f t="shared" si="46"/>
        <v>1787227</v>
      </c>
      <c r="K723" s="1284">
        <v>1787227</v>
      </c>
      <c r="L723" s="644">
        <f t="shared" si="47"/>
        <v>0</v>
      </c>
      <c r="M723" s="680">
        <v>0</v>
      </c>
      <c r="N723" s="651">
        <v>415616</v>
      </c>
    </row>
    <row r="724" spans="1:14" ht="15.95" customHeight="1" x14ac:dyDescent="0.15">
      <c r="A724" s="1286">
        <v>43313</v>
      </c>
      <c r="B724" s="640" t="str">
        <f t="shared" ca="1" si="44"/>
        <v>03</v>
      </c>
      <c r="C724" s="1285" t="s">
        <v>66</v>
      </c>
      <c r="D724" s="640" t="str">
        <f t="shared" ca="1" si="45"/>
        <v>01</v>
      </c>
      <c r="E724" s="1285" t="s">
        <v>83</v>
      </c>
      <c r="F724" s="641" t="str">
        <f>IF(G724="","",VLOOKUP(G724,リスト!J$2:K$3,2,FALSE))</f>
        <v>02</v>
      </c>
      <c r="G724" s="1285" t="s">
        <v>842</v>
      </c>
      <c r="H724" s="1284">
        <v>68388</v>
      </c>
      <c r="I724" s="1284">
        <v>-6111</v>
      </c>
      <c r="J724" s="644">
        <f t="shared" si="46"/>
        <v>62277</v>
      </c>
      <c r="K724" s="1284">
        <v>62277</v>
      </c>
      <c r="L724" s="644">
        <f t="shared" si="47"/>
        <v>0</v>
      </c>
      <c r="M724" s="680">
        <v>0</v>
      </c>
      <c r="N724" s="651">
        <v>0</v>
      </c>
    </row>
    <row r="725" spans="1:14" ht="15.95" customHeight="1" x14ac:dyDescent="0.15">
      <c r="A725" s="1286">
        <v>43313</v>
      </c>
      <c r="B725" s="640" t="str">
        <f t="shared" ca="1" si="44"/>
        <v>03</v>
      </c>
      <c r="C725" s="1285" t="s">
        <v>66</v>
      </c>
      <c r="D725" s="640" t="str">
        <f t="shared" ca="1" si="45"/>
        <v>02</v>
      </c>
      <c r="E725" s="1285" t="s">
        <v>84</v>
      </c>
      <c r="F725" s="641" t="str">
        <f>IF(G725="","",VLOOKUP(G725,リスト!J$2:K$3,2,FALSE))</f>
        <v>02</v>
      </c>
      <c r="G725" s="1285" t="s">
        <v>842</v>
      </c>
      <c r="H725" s="1284">
        <v>0</v>
      </c>
      <c r="I725" s="1284">
        <v>0</v>
      </c>
      <c r="J725" s="644">
        <f t="shared" si="46"/>
        <v>0</v>
      </c>
      <c r="K725" s="1284">
        <v>0</v>
      </c>
      <c r="L725" s="644">
        <f t="shared" si="47"/>
        <v>0</v>
      </c>
      <c r="M725" s="680">
        <v>0</v>
      </c>
      <c r="N725" s="651">
        <v>0</v>
      </c>
    </row>
    <row r="726" spans="1:14" ht="15.95" customHeight="1" x14ac:dyDescent="0.15">
      <c r="A726" s="1286">
        <v>43313</v>
      </c>
      <c r="B726" s="640" t="str">
        <f t="shared" ca="1" si="44"/>
        <v>11</v>
      </c>
      <c r="C726" s="1285" t="s">
        <v>967</v>
      </c>
      <c r="D726" s="640" t="str">
        <f t="shared" ca="1" si="45"/>
        <v>01</v>
      </c>
      <c r="E726" s="1285" t="s">
        <v>83</v>
      </c>
      <c r="F726" s="641" t="str">
        <f>IF(G726="","",VLOOKUP(G726,リスト!J$2:K$3,2,FALSE))</f>
        <v>01</v>
      </c>
      <c r="G726" s="1285" t="s">
        <v>841</v>
      </c>
      <c r="H726" s="1284">
        <v>791579</v>
      </c>
      <c r="I726" s="1284">
        <v>-201562</v>
      </c>
      <c r="J726" s="644">
        <f t="shared" si="46"/>
        <v>590017</v>
      </c>
      <c r="K726" s="1284">
        <v>590017</v>
      </c>
      <c r="L726" s="644">
        <f t="shared" si="47"/>
        <v>0</v>
      </c>
      <c r="M726" s="680">
        <v>192619</v>
      </c>
      <c r="N726" s="651">
        <v>50020</v>
      </c>
    </row>
    <row r="727" spans="1:14" ht="15.95" customHeight="1" x14ac:dyDescent="0.15">
      <c r="A727" s="1286">
        <v>43313</v>
      </c>
      <c r="B727" s="640" t="str">
        <f t="shared" ca="1" si="44"/>
        <v>11</v>
      </c>
      <c r="C727" s="1285" t="s">
        <v>967</v>
      </c>
      <c r="D727" s="640" t="str">
        <f t="shared" ca="1" si="45"/>
        <v>02</v>
      </c>
      <c r="E727" s="1285" t="s">
        <v>84</v>
      </c>
      <c r="F727" s="641" t="str">
        <f>IF(G727="","",VLOOKUP(G727,リスト!J$2:K$3,2,FALSE))</f>
        <v>01</v>
      </c>
      <c r="G727" s="1285" t="s">
        <v>841</v>
      </c>
      <c r="H727" s="1284">
        <v>129186</v>
      </c>
      <c r="I727" s="1284">
        <v>0</v>
      </c>
      <c r="J727" s="644">
        <f t="shared" si="46"/>
        <v>129186</v>
      </c>
      <c r="K727" s="1284">
        <v>129186</v>
      </c>
      <c r="L727" s="644">
        <f t="shared" si="47"/>
        <v>0</v>
      </c>
      <c r="M727" s="680">
        <v>19198</v>
      </c>
      <c r="N727" s="651">
        <v>5777</v>
      </c>
    </row>
    <row r="728" spans="1:14" ht="15.95" customHeight="1" x14ac:dyDescent="0.15">
      <c r="A728" s="1286">
        <v>43313</v>
      </c>
      <c r="B728" s="640" t="str">
        <f t="shared" ca="1" si="44"/>
        <v>11</v>
      </c>
      <c r="C728" s="1285" t="s">
        <v>967</v>
      </c>
      <c r="D728" s="640" t="str">
        <f t="shared" ca="1" si="45"/>
        <v>01</v>
      </c>
      <c r="E728" s="1285" t="s">
        <v>83</v>
      </c>
      <c r="F728" s="641" t="str">
        <f>IF(G728="","",VLOOKUP(G728,リスト!J$2:K$3,2,FALSE))</f>
        <v>02</v>
      </c>
      <c r="G728" s="1285" t="s">
        <v>842</v>
      </c>
      <c r="H728" s="1284">
        <v>0</v>
      </c>
      <c r="I728" s="1284">
        <v>-104334</v>
      </c>
      <c r="J728" s="644">
        <f t="shared" si="46"/>
        <v>-104334</v>
      </c>
      <c r="K728" s="1284">
        <v>-104334</v>
      </c>
      <c r="L728" s="644">
        <f t="shared" si="47"/>
        <v>0</v>
      </c>
      <c r="M728" s="680">
        <v>0</v>
      </c>
      <c r="N728" s="651">
        <v>0</v>
      </c>
    </row>
    <row r="729" spans="1:14" ht="15.95" customHeight="1" x14ac:dyDescent="0.15">
      <c r="A729" s="1286">
        <v>43313</v>
      </c>
      <c r="B729" s="640" t="str">
        <f t="shared" ca="1" si="44"/>
        <v>11</v>
      </c>
      <c r="C729" s="1285" t="s">
        <v>967</v>
      </c>
      <c r="D729" s="640" t="str">
        <f t="shared" ca="1" si="45"/>
        <v>02</v>
      </c>
      <c r="E729" s="1285" t="s">
        <v>84</v>
      </c>
      <c r="F729" s="641" t="str">
        <f>IF(G729="","",VLOOKUP(G729,リスト!J$2:K$3,2,FALSE))</f>
        <v>02</v>
      </c>
      <c r="G729" s="1285" t="s">
        <v>842</v>
      </c>
      <c r="H729" s="1284">
        <v>0</v>
      </c>
      <c r="I729" s="1284">
        <v>0</v>
      </c>
      <c r="J729" s="644">
        <f t="shared" si="46"/>
        <v>0</v>
      </c>
      <c r="K729" s="1284">
        <v>0</v>
      </c>
      <c r="L729" s="644">
        <f t="shared" si="47"/>
        <v>0</v>
      </c>
      <c r="M729" s="680">
        <v>0</v>
      </c>
      <c r="N729" s="651">
        <v>0</v>
      </c>
    </row>
    <row r="730" spans="1:14" ht="15.95" customHeight="1" x14ac:dyDescent="0.15">
      <c r="A730" s="1286">
        <v>43313</v>
      </c>
      <c r="B730" s="640" t="str">
        <f t="shared" ca="1" si="44"/>
        <v>04</v>
      </c>
      <c r="C730" s="1285" t="s">
        <v>358</v>
      </c>
      <c r="D730" s="640" t="str">
        <f t="shared" ca="1" si="45"/>
        <v>04</v>
      </c>
      <c r="E730" s="1285" t="s">
        <v>542</v>
      </c>
      <c r="F730" s="641" t="str">
        <f>IF(G730="","",VLOOKUP(G730,リスト!J$2:K$3,2,FALSE))</f>
        <v>01</v>
      </c>
      <c r="G730" s="1285" t="s">
        <v>841</v>
      </c>
      <c r="H730" s="1284">
        <v>4173142</v>
      </c>
      <c r="I730" s="1284">
        <v>0</v>
      </c>
      <c r="J730" s="644">
        <f t="shared" si="46"/>
        <v>4173142</v>
      </c>
      <c r="K730" s="1284">
        <v>4173142</v>
      </c>
      <c r="L730" s="644">
        <f t="shared" si="47"/>
        <v>0</v>
      </c>
      <c r="M730" s="680">
        <v>0</v>
      </c>
      <c r="N730" s="651">
        <v>235524</v>
      </c>
    </row>
    <row r="731" spans="1:14" ht="15.95" customHeight="1" x14ac:dyDescent="0.15">
      <c r="A731" s="1286">
        <v>43313</v>
      </c>
      <c r="B731" s="640" t="str">
        <f t="shared" ca="1" si="44"/>
        <v>04</v>
      </c>
      <c r="C731" s="1285" t="s">
        <v>358</v>
      </c>
      <c r="D731" s="640" t="str">
        <f t="shared" ca="1" si="45"/>
        <v>04</v>
      </c>
      <c r="E731" s="1285" t="s">
        <v>542</v>
      </c>
      <c r="F731" s="641" t="str">
        <f>IF(G731="","",VLOOKUP(G731,リスト!J$2:K$3,2,FALSE))</f>
        <v>02</v>
      </c>
      <c r="G731" s="1285" t="s">
        <v>842</v>
      </c>
      <c r="H731" s="1284">
        <v>105439</v>
      </c>
      <c r="I731" s="1284">
        <v>-49846</v>
      </c>
      <c r="J731" s="644">
        <f t="shared" si="46"/>
        <v>55593</v>
      </c>
      <c r="K731" s="1284">
        <v>55593</v>
      </c>
      <c r="L731" s="644">
        <f t="shared" si="47"/>
        <v>0</v>
      </c>
      <c r="M731" s="680">
        <v>0</v>
      </c>
      <c r="N731" s="651">
        <v>0</v>
      </c>
    </row>
    <row r="732" spans="1:14" ht="15.95" customHeight="1" x14ac:dyDescent="0.15">
      <c r="A732" s="1286">
        <v>43313</v>
      </c>
      <c r="B732" s="640" t="str">
        <f t="shared" ca="1" si="44"/>
        <v>05</v>
      </c>
      <c r="C732" s="1285" t="s">
        <v>38</v>
      </c>
      <c r="D732" s="640" t="str">
        <f t="shared" ca="1" si="45"/>
        <v>01</v>
      </c>
      <c r="E732" s="1285" t="s">
        <v>83</v>
      </c>
      <c r="F732" s="641" t="str">
        <f>IF(G732="","",VLOOKUP(G732,リスト!J$2:K$3,2,FALSE))</f>
        <v>01</v>
      </c>
      <c r="G732" s="1285" t="s">
        <v>841</v>
      </c>
      <c r="H732" s="1284">
        <v>1573689</v>
      </c>
      <c r="I732" s="1284">
        <v>0</v>
      </c>
      <c r="J732" s="644">
        <f t="shared" si="46"/>
        <v>1573689</v>
      </c>
      <c r="K732" s="1284">
        <v>1573689</v>
      </c>
      <c r="L732" s="644">
        <f t="shared" si="47"/>
        <v>0</v>
      </c>
      <c r="M732" s="680">
        <v>186693</v>
      </c>
      <c r="N732" s="651">
        <v>0</v>
      </c>
    </row>
    <row r="733" spans="1:14" ht="15.95" customHeight="1" x14ac:dyDescent="0.15">
      <c r="A733" s="1286">
        <v>43313</v>
      </c>
      <c r="B733" s="640" t="str">
        <f t="shared" ca="1" si="44"/>
        <v>05</v>
      </c>
      <c r="C733" s="1285" t="s">
        <v>38</v>
      </c>
      <c r="D733" s="640" t="str">
        <f t="shared" ca="1" si="45"/>
        <v>01</v>
      </c>
      <c r="E733" s="1285" t="s">
        <v>83</v>
      </c>
      <c r="F733" s="641" t="str">
        <f>IF(G733="","",VLOOKUP(G733,リスト!J$2:K$3,2,FALSE))</f>
        <v>02</v>
      </c>
      <c r="G733" s="1285" t="s">
        <v>842</v>
      </c>
      <c r="H733" s="1284">
        <v>0</v>
      </c>
      <c r="I733" s="1284">
        <v>0</v>
      </c>
      <c r="J733" s="644">
        <f t="shared" si="46"/>
        <v>0</v>
      </c>
      <c r="K733" s="1284">
        <v>0</v>
      </c>
      <c r="L733" s="644">
        <f t="shared" si="47"/>
        <v>0</v>
      </c>
      <c r="M733" s="680">
        <v>0</v>
      </c>
      <c r="N733" s="651">
        <v>0</v>
      </c>
    </row>
    <row r="734" spans="1:14" ht="15.95" customHeight="1" x14ac:dyDescent="0.15">
      <c r="A734" s="1286">
        <v>43313</v>
      </c>
      <c r="B734" s="640" t="str">
        <f t="shared" ca="1" si="44"/>
        <v>07</v>
      </c>
      <c r="C734" s="1285" t="s">
        <v>119</v>
      </c>
      <c r="D734" s="640" t="str">
        <f t="shared" ca="1" si="45"/>
        <v>05</v>
      </c>
      <c r="E734" s="1285" t="s">
        <v>543</v>
      </c>
      <c r="F734" s="641" t="str">
        <f>IF(G734="","",VLOOKUP(G734,リスト!J$2:K$3,2,FALSE))</f>
        <v>01</v>
      </c>
      <c r="G734" s="1285" t="s">
        <v>841</v>
      </c>
      <c r="H734" s="1284">
        <v>839546</v>
      </c>
      <c r="I734" s="1284">
        <v>0</v>
      </c>
      <c r="J734" s="644">
        <f t="shared" si="46"/>
        <v>839546</v>
      </c>
      <c r="K734" s="1284">
        <v>839546</v>
      </c>
      <c r="L734" s="644">
        <f t="shared" si="47"/>
        <v>0</v>
      </c>
      <c r="M734" s="680">
        <v>0</v>
      </c>
      <c r="N734" s="651">
        <v>255357</v>
      </c>
    </row>
    <row r="735" spans="1:14" ht="15.95" customHeight="1" x14ac:dyDescent="0.15">
      <c r="A735" s="1286">
        <v>43313</v>
      </c>
      <c r="B735" s="640" t="str">
        <f t="shared" ca="1" si="44"/>
        <v>07</v>
      </c>
      <c r="C735" s="1285" t="s">
        <v>119</v>
      </c>
      <c r="D735" s="640" t="str">
        <f t="shared" ca="1" si="45"/>
        <v>05</v>
      </c>
      <c r="E735" s="1285" t="s">
        <v>543</v>
      </c>
      <c r="F735" s="641" t="str">
        <f>IF(G735="","",VLOOKUP(G735,リスト!J$2:K$3,2,FALSE))</f>
        <v>02</v>
      </c>
      <c r="G735" s="1285" t="s">
        <v>842</v>
      </c>
      <c r="H735" s="1284">
        <v>0</v>
      </c>
      <c r="I735" s="1284">
        <v>0</v>
      </c>
      <c r="J735" s="644">
        <f t="shared" si="46"/>
        <v>0</v>
      </c>
      <c r="K735" s="1284">
        <v>0</v>
      </c>
      <c r="L735" s="644">
        <f t="shared" si="47"/>
        <v>0</v>
      </c>
      <c r="M735" s="680">
        <v>0</v>
      </c>
      <c r="N735" s="651">
        <v>0</v>
      </c>
    </row>
    <row r="736" spans="1:14" ht="15.95" customHeight="1" x14ac:dyDescent="0.15">
      <c r="A736" s="1286">
        <v>43313</v>
      </c>
      <c r="B736" s="640" t="str">
        <f t="shared" ca="1" si="44"/>
        <v>08</v>
      </c>
      <c r="C736" s="1285" t="s">
        <v>189</v>
      </c>
      <c r="D736" s="640" t="str">
        <f t="shared" ca="1" si="45"/>
        <v>05</v>
      </c>
      <c r="E736" s="1285" t="s">
        <v>543</v>
      </c>
      <c r="F736" s="641" t="str">
        <f>IF(G736="","",VLOOKUP(G736,リスト!J$2:K$3,2,FALSE))</f>
        <v>01</v>
      </c>
      <c r="G736" s="1285" t="s">
        <v>841</v>
      </c>
      <c r="H736" s="1284">
        <v>827999</v>
      </c>
      <c r="I736" s="1284">
        <v>0</v>
      </c>
      <c r="J736" s="644">
        <f t="shared" si="46"/>
        <v>827999</v>
      </c>
      <c r="K736" s="1284">
        <v>827999</v>
      </c>
      <c r="L736" s="644">
        <f t="shared" si="47"/>
        <v>0</v>
      </c>
      <c r="M736" s="680">
        <v>0</v>
      </c>
      <c r="N736" s="651">
        <v>0</v>
      </c>
    </row>
    <row r="737" spans="1:14" ht="15.95" customHeight="1" x14ac:dyDescent="0.15">
      <c r="A737" s="1286">
        <v>43313</v>
      </c>
      <c r="B737" s="640" t="str">
        <f t="shared" ca="1" si="44"/>
        <v>08</v>
      </c>
      <c r="C737" s="1285" t="s">
        <v>189</v>
      </c>
      <c r="D737" s="640" t="str">
        <f t="shared" ca="1" si="45"/>
        <v>05</v>
      </c>
      <c r="E737" s="1285" t="s">
        <v>543</v>
      </c>
      <c r="F737" s="641" t="str">
        <f>IF(G737="","",VLOOKUP(G737,リスト!J$2:K$3,2,FALSE))</f>
        <v>02</v>
      </c>
      <c r="G737" s="1285" t="s">
        <v>842</v>
      </c>
      <c r="H737" s="1284">
        <v>0</v>
      </c>
      <c r="I737" s="1284">
        <v>0</v>
      </c>
      <c r="J737" s="644">
        <f t="shared" si="46"/>
        <v>0</v>
      </c>
      <c r="K737" s="1284">
        <v>0</v>
      </c>
      <c r="L737" s="644">
        <f t="shared" si="47"/>
        <v>0</v>
      </c>
      <c r="M737" s="680">
        <v>0</v>
      </c>
      <c r="N737" s="651">
        <v>0</v>
      </c>
    </row>
    <row r="738" spans="1:14" ht="15.95" customHeight="1" x14ac:dyDescent="0.15">
      <c r="A738" s="1286">
        <v>43313</v>
      </c>
      <c r="B738" s="640" t="str">
        <f t="shared" ca="1" si="44"/>
        <v>09</v>
      </c>
      <c r="C738" s="1285" t="s">
        <v>329</v>
      </c>
      <c r="D738" s="640" t="str">
        <f t="shared" ca="1" si="45"/>
        <v>05</v>
      </c>
      <c r="E738" s="1285" t="s">
        <v>543</v>
      </c>
      <c r="F738" s="641" t="str">
        <f>IF(G738="","",VLOOKUP(G738,リスト!J$2:K$3,2,FALSE))</f>
        <v>01</v>
      </c>
      <c r="G738" s="1285" t="s">
        <v>841</v>
      </c>
      <c r="H738" s="1284">
        <v>2198275</v>
      </c>
      <c r="I738" s="1284">
        <v>0</v>
      </c>
      <c r="J738" s="644">
        <f t="shared" si="46"/>
        <v>2198275</v>
      </c>
      <c r="K738" s="1284">
        <v>2198275</v>
      </c>
      <c r="L738" s="644">
        <f t="shared" si="47"/>
        <v>0</v>
      </c>
      <c r="M738" s="680">
        <v>0</v>
      </c>
      <c r="N738" s="651">
        <v>0</v>
      </c>
    </row>
    <row r="739" spans="1:14" ht="15.95" customHeight="1" x14ac:dyDescent="0.15">
      <c r="A739" s="1286">
        <v>43313</v>
      </c>
      <c r="B739" s="640" t="str">
        <f t="shared" ca="1" si="44"/>
        <v>09</v>
      </c>
      <c r="C739" s="1285" t="s">
        <v>329</v>
      </c>
      <c r="D739" s="640" t="str">
        <f t="shared" ca="1" si="45"/>
        <v>05</v>
      </c>
      <c r="E739" s="1285" t="s">
        <v>543</v>
      </c>
      <c r="F739" s="641" t="str">
        <f>IF(G739="","",VLOOKUP(G739,リスト!J$2:K$3,2,FALSE))</f>
        <v>02</v>
      </c>
      <c r="G739" s="1285" t="s">
        <v>842</v>
      </c>
      <c r="H739" s="1284">
        <v>0</v>
      </c>
      <c r="I739" s="1284">
        <v>0</v>
      </c>
      <c r="J739" s="644">
        <f t="shared" si="46"/>
        <v>0</v>
      </c>
      <c r="K739" s="1284">
        <v>0</v>
      </c>
      <c r="L739" s="644">
        <f t="shared" si="47"/>
        <v>0</v>
      </c>
      <c r="M739" s="680">
        <v>0</v>
      </c>
      <c r="N739" s="651">
        <v>0</v>
      </c>
    </row>
    <row r="740" spans="1:14" ht="15.95" customHeight="1" x14ac:dyDescent="0.15">
      <c r="A740" s="1286">
        <v>43313</v>
      </c>
      <c r="B740" s="640" t="str">
        <f t="shared" ca="1" si="44"/>
        <v>10</v>
      </c>
      <c r="C740" s="1285" t="s">
        <v>336</v>
      </c>
      <c r="D740" s="640" t="str">
        <f t="shared" ca="1" si="45"/>
        <v>01</v>
      </c>
      <c r="E740" s="1285" t="s">
        <v>83</v>
      </c>
      <c r="F740" s="641" t="str">
        <f>IF(G740="","",VLOOKUP(G740,リスト!J$2:K$3,2,FALSE))</f>
        <v>01</v>
      </c>
      <c r="G740" s="1285" t="s">
        <v>841</v>
      </c>
      <c r="H740" s="1284">
        <v>512163</v>
      </c>
      <c r="I740" s="1284">
        <v>0</v>
      </c>
      <c r="J740" s="644">
        <f t="shared" si="46"/>
        <v>512163</v>
      </c>
      <c r="K740" s="1284">
        <v>512163</v>
      </c>
      <c r="L740" s="644">
        <f t="shared" si="47"/>
        <v>0</v>
      </c>
      <c r="M740" s="680">
        <v>0</v>
      </c>
      <c r="N740" s="651">
        <v>0</v>
      </c>
    </row>
    <row r="741" spans="1:14" ht="15.95" customHeight="1" x14ac:dyDescent="0.15">
      <c r="A741" s="1286">
        <v>43313</v>
      </c>
      <c r="B741" s="640" t="str">
        <f t="shared" ca="1" si="44"/>
        <v>10</v>
      </c>
      <c r="C741" s="1285" t="s">
        <v>336</v>
      </c>
      <c r="D741" s="640" t="str">
        <f t="shared" ca="1" si="45"/>
        <v>02</v>
      </c>
      <c r="E741" s="1285" t="s">
        <v>84</v>
      </c>
      <c r="F741" s="641" t="str">
        <f>IF(G741="","",VLOOKUP(G741,リスト!J$2:K$3,2,FALSE))</f>
        <v>01</v>
      </c>
      <c r="G741" s="1285" t="s">
        <v>841</v>
      </c>
      <c r="H741" s="1284">
        <v>52190</v>
      </c>
      <c r="I741" s="1284">
        <v>0</v>
      </c>
      <c r="J741" s="644">
        <f t="shared" si="46"/>
        <v>52190</v>
      </c>
      <c r="K741" s="1284">
        <v>52190</v>
      </c>
      <c r="L741" s="644">
        <f t="shared" si="47"/>
        <v>0</v>
      </c>
      <c r="M741" s="680">
        <v>0</v>
      </c>
      <c r="N741" s="651">
        <v>0</v>
      </c>
    </row>
    <row r="742" spans="1:14" ht="15.95" customHeight="1" x14ac:dyDescent="0.15">
      <c r="A742" s="1286">
        <v>43313</v>
      </c>
      <c r="B742" s="640" t="str">
        <f t="shared" ca="1" si="44"/>
        <v>10</v>
      </c>
      <c r="C742" s="1285" t="s">
        <v>336</v>
      </c>
      <c r="D742" s="640" t="str">
        <f t="shared" ca="1" si="45"/>
        <v>01</v>
      </c>
      <c r="E742" s="1285" t="s">
        <v>83</v>
      </c>
      <c r="F742" s="641" t="str">
        <f>IF(G742="","",VLOOKUP(G742,リスト!J$2:K$3,2,FALSE))</f>
        <v>02</v>
      </c>
      <c r="G742" s="1285" t="s">
        <v>842</v>
      </c>
      <c r="H742" s="1284">
        <v>0</v>
      </c>
      <c r="I742" s="1284">
        <v>0</v>
      </c>
      <c r="J742" s="644">
        <f t="shared" si="46"/>
        <v>0</v>
      </c>
      <c r="K742" s="1284">
        <v>0</v>
      </c>
      <c r="L742" s="644">
        <f t="shared" si="47"/>
        <v>0</v>
      </c>
      <c r="M742" s="680">
        <v>0</v>
      </c>
      <c r="N742" s="651">
        <v>0</v>
      </c>
    </row>
    <row r="743" spans="1:14" ht="15.95" customHeight="1" x14ac:dyDescent="0.15">
      <c r="A743" s="1286">
        <v>43313</v>
      </c>
      <c r="B743" s="640" t="str">
        <f t="shared" ca="1" si="44"/>
        <v>10</v>
      </c>
      <c r="C743" s="1285" t="s">
        <v>336</v>
      </c>
      <c r="D743" s="640" t="str">
        <f t="shared" ca="1" si="45"/>
        <v>02</v>
      </c>
      <c r="E743" s="1285" t="s">
        <v>84</v>
      </c>
      <c r="F743" s="641" t="str">
        <f>IF(G743="","",VLOOKUP(G743,リスト!J$2:K$3,2,FALSE))</f>
        <v>02</v>
      </c>
      <c r="G743" s="1285" t="s">
        <v>842</v>
      </c>
      <c r="H743" s="1284">
        <v>0</v>
      </c>
      <c r="I743" s="1284">
        <v>0</v>
      </c>
      <c r="J743" s="644">
        <f t="shared" si="46"/>
        <v>0</v>
      </c>
      <c r="K743" s="1284">
        <v>0</v>
      </c>
      <c r="L743" s="644">
        <f t="shared" si="47"/>
        <v>0</v>
      </c>
      <c r="M743" s="680">
        <v>0</v>
      </c>
      <c r="N743" s="651">
        <v>0</v>
      </c>
    </row>
    <row r="744" spans="1:14" ht="15.95" customHeight="1" x14ac:dyDescent="0.15">
      <c r="A744" s="1286">
        <v>43344</v>
      </c>
      <c r="B744" s="640" t="str">
        <f t="shared" ca="1" si="44"/>
        <v>01</v>
      </c>
      <c r="C744" s="1285" t="s">
        <v>34</v>
      </c>
      <c r="D744" s="640" t="str">
        <f t="shared" ca="1" si="45"/>
        <v>01</v>
      </c>
      <c r="E744" s="1285" t="s">
        <v>83</v>
      </c>
      <c r="F744" s="641" t="str">
        <f>IF(G744="","",VLOOKUP(G744,リスト!J$2:K$3,2,FALSE))</f>
        <v>01</v>
      </c>
      <c r="G744" s="1285" t="s">
        <v>841</v>
      </c>
      <c r="H744" s="1284">
        <v>8266776</v>
      </c>
      <c r="I744" s="1284">
        <v>-49540</v>
      </c>
      <c r="J744" s="644">
        <f t="shared" si="46"/>
        <v>8217236</v>
      </c>
      <c r="K744" s="1284">
        <v>8217236</v>
      </c>
      <c r="L744" s="644">
        <f t="shared" si="47"/>
        <v>0</v>
      </c>
      <c r="M744" s="680">
        <v>64937</v>
      </c>
      <c r="N744" s="651">
        <v>1222108</v>
      </c>
    </row>
    <row r="745" spans="1:14" ht="15.95" customHeight="1" x14ac:dyDescent="0.15">
      <c r="A745" s="1286">
        <v>43344</v>
      </c>
      <c r="B745" s="640" t="str">
        <f t="shared" ca="1" si="44"/>
        <v>01</v>
      </c>
      <c r="C745" s="1285" t="s">
        <v>34</v>
      </c>
      <c r="D745" s="640" t="str">
        <f t="shared" ca="1" si="45"/>
        <v>03</v>
      </c>
      <c r="E745" s="1285" t="s">
        <v>98</v>
      </c>
      <c r="F745" s="641" t="str">
        <f>IF(G745="","",VLOOKUP(G745,リスト!J$2:K$3,2,FALSE))</f>
        <v>01</v>
      </c>
      <c r="G745" s="1285" t="s">
        <v>841</v>
      </c>
      <c r="H745" s="1284">
        <v>671232</v>
      </c>
      <c r="I745" s="1284">
        <v>0</v>
      </c>
      <c r="J745" s="644">
        <f t="shared" si="46"/>
        <v>671232</v>
      </c>
      <c r="K745" s="1284">
        <v>671232</v>
      </c>
      <c r="L745" s="644">
        <f t="shared" si="47"/>
        <v>0</v>
      </c>
      <c r="M745" s="680">
        <v>11267</v>
      </c>
      <c r="N745" s="651">
        <v>0</v>
      </c>
    </row>
    <row r="746" spans="1:14" ht="15.95" customHeight="1" x14ac:dyDescent="0.15">
      <c r="A746" s="1286">
        <v>43344</v>
      </c>
      <c r="B746" s="640" t="str">
        <f t="shared" ca="1" si="44"/>
        <v>01</v>
      </c>
      <c r="C746" s="1285" t="s">
        <v>34</v>
      </c>
      <c r="D746" s="640" t="str">
        <f t="shared" ca="1" si="45"/>
        <v>02</v>
      </c>
      <c r="E746" s="1285" t="s">
        <v>84</v>
      </c>
      <c r="F746" s="641" t="str">
        <f>IF(G746="","",VLOOKUP(G746,リスト!J$2:K$3,2,FALSE))</f>
        <v>01</v>
      </c>
      <c r="G746" s="1285" t="s">
        <v>841</v>
      </c>
      <c r="H746" s="1284">
        <v>1668411</v>
      </c>
      <c r="I746" s="1284">
        <v>-325451</v>
      </c>
      <c r="J746" s="644">
        <f t="shared" si="46"/>
        <v>1342960</v>
      </c>
      <c r="K746" s="1284">
        <v>1342960</v>
      </c>
      <c r="L746" s="644">
        <f t="shared" si="47"/>
        <v>0</v>
      </c>
      <c r="M746" s="680">
        <v>0</v>
      </c>
      <c r="N746" s="651">
        <v>353946</v>
      </c>
    </row>
    <row r="747" spans="1:14" ht="15.95" customHeight="1" x14ac:dyDescent="0.15">
      <c r="A747" s="1286">
        <v>43344</v>
      </c>
      <c r="B747" s="640" t="str">
        <f t="shared" ca="1" si="44"/>
        <v>01</v>
      </c>
      <c r="C747" s="1285" t="s">
        <v>34</v>
      </c>
      <c r="D747" s="640" t="str">
        <f t="shared" ca="1" si="45"/>
        <v>01</v>
      </c>
      <c r="E747" s="1285" t="s">
        <v>83</v>
      </c>
      <c r="F747" s="641" t="str">
        <f>IF(G747="","",VLOOKUP(G747,リスト!J$2:K$3,2,FALSE))</f>
        <v>02</v>
      </c>
      <c r="G747" s="1285" t="s">
        <v>842</v>
      </c>
      <c r="H747" s="1284">
        <v>382246</v>
      </c>
      <c r="I747" s="1284">
        <v>-170278</v>
      </c>
      <c r="J747" s="644">
        <f t="shared" si="46"/>
        <v>211968</v>
      </c>
      <c r="K747" s="1284">
        <v>211968</v>
      </c>
      <c r="L747" s="644">
        <f t="shared" si="47"/>
        <v>0</v>
      </c>
      <c r="M747" s="680">
        <v>0</v>
      </c>
      <c r="N747" s="651">
        <v>0</v>
      </c>
    </row>
    <row r="748" spans="1:14" ht="15.95" customHeight="1" x14ac:dyDescent="0.15">
      <c r="A748" s="1286">
        <v>43344</v>
      </c>
      <c r="B748" s="640" t="str">
        <f t="shared" ca="1" si="44"/>
        <v>01</v>
      </c>
      <c r="C748" s="1285" t="s">
        <v>34</v>
      </c>
      <c r="D748" s="640" t="str">
        <f t="shared" ca="1" si="45"/>
        <v>03</v>
      </c>
      <c r="E748" s="1285" t="s">
        <v>98</v>
      </c>
      <c r="F748" s="641" t="str">
        <f>IF(G748="","",VLOOKUP(G748,リスト!J$2:K$3,2,FALSE))</f>
        <v>02</v>
      </c>
      <c r="G748" s="1285" t="s">
        <v>842</v>
      </c>
      <c r="H748" s="1284">
        <v>43431</v>
      </c>
      <c r="I748" s="1284">
        <v>-14477</v>
      </c>
      <c r="J748" s="644">
        <f t="shared" si="46"/>
        <v>28954</v>
      </c>
      <c r="K748" s="1284">
        <v>28954</v>
      </c>
      <c r="L748" s="644">
        <f t="shared" si="47"/>
        <v>0</v>
      </c>
      <c r="M748" s="680">
        <v>0</v>
      </c>
      <c r="N748" s="651">
        <v>0</v>
      </c>
    </row>
    <row r="749" spans="1:14" ht="15.95" customHeight="1" x14ac:dyDescent="0.15">
      <c r="A749" s="1286">
        <v>43344</v>
      </c>
      <c r="B749" s="640" t="str">
        <f t="shared" ca="1" si="44"/>
        <v>01</v>
      </c>
      <c r="C749" s="1285" t="s">
        <v>34</v>
      </c>
      <c r="D749" s="640" t="str">
        <f t="shared" ca="1" si="45"/>
        <v>02</v>
      </c>
      <c r="E749" s="1285" t="s">
        <v>84</v>
      </c>
      <c r="F749" s="641" t="str">
        <f>IF(G749="","",VLOOKUP(G749,リスト!J$2:K$3,2,FALSE))</f>
        <v>02</v>
      </c>
      <c r="G749" s="1285" t="s">
        <v>842</v>
      </c>
      <c r="H749" s="1284">
        <v>432416</v>
      </c>
      <c r="I749" s="1284">
        <v>0</v>
      </c>
      <c r="J749" s="644">
        <f t="shared" si="46"/>
        <v>432416</v>
      </c>
      <c r="K749" s="1284">
        <v>432416</v>
      </c>
      <c r="L749" s="644">
        <f t="shared" si="47"/>
        <v>0</v>
      </c>
      <c r="M749" s="680">
        <v>0</v>
      </c>
      <c r="N749" s="651">
        <v>0</v>
      </c>
    </row>
    <row r="750" spans="1:14" ht="15.95" customHeight="1" x14ac:dyDescent="0.15">
      <c r="A750" s="1286">
        <v>43344</v>
      </c>
      <c r="B750" s="640" t="str">
        <f t="shared" ca="1" si="44"/>
        <v>02</v>
      </c>
      <c r="C750" s="1285" t="s">
        <v>37</v>
      </c>
      <c r="D750" s="640" t="str">
        <f t="shared" ca="1" si="45"/>
        <v>01</v>
      </c>
      <c r="E750" s="1285" t="s">
        <v>83</v>
      </c>
      <c r="F750" s="641" t="str">
        <f>IF(G750="","",VLOOKUP(G750,リスト!J$2:K$3,2,FALSE))</f>
        <v>01</v>
      </c>
      <c r="G750" s="1285" t="s">
        <v>841</v>
      </c>
      <c r="H750" s="1284">
        <v>4489345</v>
      </c>
      <c r="I750" s="1284">
        <v>-316425</v>
      </c>
      <c r="J750" s="644">
        <f t="shared" si="46"/>
        <v>4172920</v>
      </c>
      <c r="K750" s="1284">
        <v>4172920</v>
      </c>
      <c r="L750" s="644">
        <f t="shared" si="47"/>
        <v>0</v>
      </c>
      <c r="M750" s="680">
        <v>111008</v>
      </c>
      <c r="N750" s="651">
        <v>480619</v>
      </c>
    </row>
    <row r="751" spans="1:14" ht="15.95" customHeight="1" x14ac:dyDescent="0.15">
      <c r="A751" s="1286">
        <v>43344</v>
      </c>
      <c r="B751" s="640" t="str">
        <f t="shared" ca="1" si="44"/>
        <v>02</v>
      </c>
      <c r="C751" s="1285" t="s">
        <v>37</v>
      </c>
      <c r="D751" s="640" t="str">
        <f t="shared" ca="1" si="45"/>
        <v>03</v>
      </c>
      <c r="E751" s="1285" t="s">
        <v>98</v>
      </c>
      <c r="F751" s="641" t="str">
        <f>IF(G751="","",VLOOKUP(G751,リスト!J$2:K$3,2,FALSE))</f>
        <v>01</v>
      </c>
      <c r="G751" s="1285" t="s">
        <v>841</v>
      </c>
      <c r="H751" s="1284">
        <v>490864</v>
      </c>
      <c r="I751" s="1284">
        <v>0</v>
      </c>
      <c r="J751" s="644">
        <f t="shared" si="46"/>
        <v>490864</v>
      </c>
      <c r="K751" s="1284">
        <v>490864</v>
      </c>
      <c r="L751" s="644">
        <f t="shared" si="47"/>
        <v>0</v>
      </c>
      <c r="M751" s="680">
        <v>0</v>
      </c>
      <c r="N751" s="651">
        <v>0</v>
      </c>
    </row>
    <row r="752" spans="1:14" ht="15.95" customHeight="1" x14ac:dyDescent="0.15">
      <c r="A752" s="1286">
        <v>43344</v>
      </c>
      <c r="B752" s="640" t="str">
        <f t="shared" ca="1" si="44"/>
        <v>02</v>
      </c>
      <c r="C752" s="1285" t="s">
        <v>37</v>
      </c>
      <c r="D752" s="640" t="str">
        <f t="shared" ca="1" si="45"/>
        <v>02</v>
      </c>
      <c r="E752" s="1285" t="s">
        <v>84</v>
      </c>
      <c r="F752" s="641" t="str">
        <f>IF(G752="","",VLOOKUP(G752,リスト!J$2:K$3,2,FALSE))</f>
        <v>01</v>
      </c>
      <c r="G752" s="1285" t="s">
        <v>841</v>
      </c>
      <c r="H752" s="1284">
        <v>1104301</v>
      </c>
      <c r="I752" s="1284">
        <v>-250557</v>
      </c>
      <c r="J752" s="644">
        <f t="shared" si="46"/>
        <v>853744</v>
      </c>
      <c r="K752" s="1284">
        <v>853744</v>
      </c>
      <c r="L752" s="644">
        <f t="shared" si="47"/>
        <v>0</v>
      </c>
      <c r="M752" s="680">
        <v>0</v>
      </c>
      <c r="N752" s="651">
        <v>206934</v>
      </c>
    </row>
    <row r="753" spans="1:14" ht="15.95" customHeight="1" x14ac:dyDescent="0.15">
      <c r="A753" s="1286">
        <v>43344</v>
      </c>
      <c r="B753" s="640" t="str">
        <f t="shared" ca="1" si="44"/>
        <v>02</v>
      </c>
      <c r="C753" s="1285" t="s">
        <v>37</v>
      </c>
      <c r="D753" s="640" t="str">
        <f t="shared" ca="1" si="45"/>
        <v>01</v>
      </c>
      <c r="E753" s="1285" t="s">
        <v>83</v>
      </c>
      <c r="F753" s="641" t="str">
        <f>IF(G753="","",VLOOKUP(G753,リスト!J$2:K$3,2,FALSE))</f>
        <v>02</v>
      </c>
      <c r="G753" s="1285" t="s">
        <v>842</v>
      </c>
      <c r="H753" s="1284">
        <v>300026</v>
      </c>
      <c r="I753" s="1284">
        <v>-78718</v>
      </c>
      <c r="J753" s="644">
        <f t="shared" si="46"/>
        <v>221308</v>
      </c>
      <c r="K753" s="1284">
        <v>221308</v>
      </c>
      <c r="L753" s="644">
        <f t="shared" si="47"/>
        <v>0</v>
      </c>
      <c r="M753" s="680">
        <v>0</v>
      </c>
      <c r="N753" s="651">
        <v>0</v>
      </c>
    </row>
    <row r="754" spans="1:14" ht="15.95" customHeight="1" x14ac:dyDescent="0.15">
      <c r="A754" s="1286">
        <v>43344</v>
      </c>
      <c r="B754" s="640" t="str">
        <f t="shared" ca="1" si="44"/>
        <v>02</v>
      </c>
      <c r="C754" s="1285" t="s">
        <v>37</v>
      </c>
      <c r="D754" s="640" t="str">
        <f t="shared" ca="1" si="45"/>
        <v>03</v>
      </c>
      <c r="E754" s="1285" t="s">
        <v>98</v>
      </c>
      <c r="F754" s="641" t="str">
        <f>IF(G754="","",VLOOKUP(G754,リスト!J$2:K$3,2,FALSE))</f>
        <v>02</v>
      </c>
      <c r="G754" s="1285" t="s">
        <v>842</v>
      </c>
      <c r="H754" s="1284">
        <v>14950</v>
      </c>
      <c r="I754" s="1284">
        <v>0</v>
      </c>
      <c r="J754" s="644">
        <f t="shared" si="46"/>
        <v>14950</v>
      </c>
      <c r="K754" s="1284">
        <v>14950</v>
      </c>
      <c r="L754" s="644">
        <f t="shared" si="47"/>
        <v>0</v>
      </c>
      <c r="M754" s="680">
        <v>0</v>
      </c>
      <c r="N754" s="651">
        <v>0</v>
      </c>
    </row>
    <row r="755" spans="1:14" ht="15.95" customHeight="1" x14ac:dyDescent="0.15">
      <c r="A755" s="1286">
        <v>43344</v>
      </c>
      <c r="B755" s="640" t="str">
        <f t="shared" ca="1" si="44"/>
        <v>02</v>
      </c>
      <c r="C755" s="1285" t="s">
        <v>37</v>
      </c>
      <c r="D755" s="640" t="str">
        <f t="shared" ca="1" si="45"/>
        <v>02</v>
      </c>
      <c r="E755" s="1285" t="s">
        <v>84</v>
      </c>
      <c r="F755" s="641" t="str">
        <f>IF(G755="","",VLOOKUP(G755,リスト!J$2:K$3,2,FALSE))</f>
        <v>02</v>
      </c>
      <c r="G755" s="1285" t="s">
        <v>842</v>
      </c>
      <c r="H755" s="1284">
        <v>39740</v>
      </c>
      <c r="I755" s="1284">
        <v>0</v>
      </c>
      <c r="J755" s="644">
        <f t="shared" si="46"/>
        <v>39740</v>
      </c>
      <c r="K755" s="1284">
        <v>39740</v>
      </c>
      <c r="L755" s="644">
        <f t="shared" si="47"/>
        <v>0</v>
      </c>
      <c r="M755" s="680">
        <v>0</v>
      </c>
      <c r="N755" s="651">
        <v>0</v>
      </c>
    </row>
    <row r="756" spans="1:14" ht="15.95" customHeight="1" x14ac:dyDescent="0.15">
      <c r="A756" s="1286">
        <v>43344</v>
      </c>
      <c r="B756" s="640" t="str">
        <f t="shared" ca="1" si="44"/>
        <v>03</v>
      </c>
      <c r="C756" s="1285" t="s">
        <v>66</v>
      </c>
      <c r="D756" s="640" t="str">
        <f t="shared" ca="1" si="45"/>
        <v>01</v>
      </c>
      <c r="E756" s="1285" t="s">
        <v>83</v>
      </c>
      <c r="F756" s="641" t="str">
        <f>IF(G756="","",VLOOKUP(G756,リスト!J$2:K$3,2,FALSE))</f>
        <v>01</v>
      </c>
      <c r="G756" s="1285" t="s">
        <v>841</v>
      </c>
      <c r="H756" s="1284">
        <v>4825674</v>
      </c>
      <c r="I756" s="1284">
        <v>-108255</v>
      </c>
      <c r="J756" s="644">
        <f t="shared" si="46"/>
        <v>4717419</v>
      </c>
      <c r="K756" s="1284">
        <v>4717419</v>
      </c>
      <c r="L756" s="644">
        <f t="shared" si="47"/>
        <v>0</v>
      </c>
      <c r="M756" s="680">
        <v>84533</v>
      </c>
      <c r="N756" s="651">
        <v>517769</v>
      </c>
    </row>
    <row r="757" spans="1:14" ht="15.95" customHeight="1" x14ac:dyDescent="0.15">
      <c r="A757" s="1286">
        <v>43344</v>
      </c>
      <c r="B757" s="640" t="str">
        <f t="shared" ca="1" si="44"/>
        <v>03</v>
      </c>
      <c r="C757" s="1285" t="s">
        <v>66</v>
      </c>
      <c r="D757" s="640" t="str">
        <f t="shared" ca="1" si="45"/>
        <v>02</v>
      </c>
      <c r="E757" s="1285" t="s">
        <v>84</v>
      </c>
      <c r="F757" s="641" t="str">
        <f>IF(G757="","",VLOOKUP(G757,リスト!J$2:K$3,2,FALSE))</f>
        <v>01</v>
      </c>
      <c r="G757" s="1285" t="s">
        <v>841</v>
      </c>
      <c r="H757" s="1284">
        <v>1715822</v>
      </c>
      <c r="I757" s="1284">
        <v>5878</v>
      </c>
      <c r="J757" s="644">
        <f t="shared" si="46"/>
        <v>1721700</v>
      </c>
      <c r="K757" s="1284">
        <v>1721700</v>
      </c>
      <c r="L757" s="644">
        <f t="shared" si="47"/>
        <v>0</v>
      </c>
      <c r="M757" s="680">
        <v>0</v>
      </c>
      <c r="N757" s="651">
        <v>399005</v>
      </c>
    </row>
    <row r="758" spans="1:14" ht="15.95" customHeight="1" x14ac:dyDescent="0.15">
      <c r="A758" s="1286">
        <v>43344</v>
      </c>
      <c r="B758" s="640" t="str">
        <f t="shared" ca="1" si="44"/>
        <v>03</v>
      </c>
      <c r="C758" s="1285" t="s">
        <v>66</v>
      </c>
      <c r="D758" s="640" t="str">
        <f t="shared" ca="1" si="45"/>
        <v>01</v>
      </c>
      <c r="E758" s="1285" t="s">
        <v>83</v>
      </c>
      <c r="F758" s="641" t="str">
        <f>IF(G758="","",VLOOKUP(G758,リスト!J$2:K$3,2,FALSE))</f>
        <v>02</v>
      </c>
      <c r="G758" s="1285" t="s">
        <v>842</v>
      </c>
      <c r="H758" s="1284">
        <v>24376</v>
      </c>
      <c r="I758" s="1284">
        <v>0</v>
      </c>
      <c r="J758" s="644">
        <f t="shared" si="46"/>
        <v>24376</v>
      </c>
      <c r="K758" s="1284">
        <v>24376</v>
      </c>
      <c r="L758" s="644">
        <f t="shared" si="47"/>
        <v>0</v>
      </c>
      <c r="M758" s="680">
        <v>0</v>
      </c>
      <c r="N758" s="651">
        <v>0</v>
      </c>
    </row>
    <row r="759" spans="1:14" ht="15.95" customHeight="1" x14ac:dyDescent="0.15">
      <c r="A759" s="1286">
        <v>43344</v>
      </c>
      <c r="B759" s="640" t="str">
        <f t="shared" ca="1" si="44"/>
        <v>03</v>
      </c>
      <c r="C759" s="1285" t="s">
        <v>66</v>
      </c>
      <c r="D759" s="640" t="str">
        <f t="shared" ca="1" si="45"/>
        <v>02</v>
      </c>
      <c r="E759" s="1285" t="s">
        <v>84</v>
      </c>
      <c r="F759" s="641" t="str">
        <f>IF(G759="","",VLOOKUP(G759,リスト!J$2:K$3,2,FALSE))</f>
        <v>02</v>
      </c>
      <c r="G759" s="1285" t="s">
        <v>842</v>
      </c>
      <c r="H759" s="1284">
        <v>0</v>
      </c>
      <c r="I759" s="1284">
        <v>0</v>
      </c>
      <c r="J759" s="644">
        <f t="shared" si="46"/>
        <v>0</v>
      </c>
      <c r="K759" s="1284">
        <v>0</v>
      </c>
      <c r="L759" s="644">
        <f t="shared" si="47"/>
        <v>0</v>
      </c>
      <c r="M759" s="680">
        <v>0</v>
      </c>
      <c r="N759" s="651">
        <v>0</v>
      </c>
    </row>
    <row r="760" spans="1:14" ht="15.95" customHeight="1" x14ac:dyDescent="0.15">
      <c r="A760" s="1286">
        <v>43344</v>
      </c>
      <c r="B760" s="640" t="str">
        <f t="shared" ca="1" si="44"/>
        <v>11</v>
      </c>
      <c r="C760" s="1285" t="s">
        <v>967</v>
      </c>
      <c r="D760" s="640" t="str">
        <f t="shared" ca="1" si="45"/>
        <v>01</v>
      </c>
      <c r="E760" s="1285" t="s">
        <v>83</v>
      </c>
      <c r="F760" s="641" t="str">
        <f>IF(G760="","",VLOOKUP(G760,リスト!J$2:K$3,2,FALSE))</f>
        <v>01</v>
      </c>
      <c r="G760" s="1285" t="s">
        <v>841</v>
      </c>
      <c r="H760" s="1284">
        <v>970747</v>
      </c>
      <c r="I760" s="1284">
        <v>-47568</v>
      </c>
      <c r="J760" s="644">
        <f t="shared" si="46"/>
        <v>923179</v>
      </c>
      <c r="K760" s="1284">
        <v>923179</v>
      </c>
      <c r="L760" s="644">
        <f t="shared" si="47"/>
        <v>0</v>
      </c>
      <c r="M760" s="680">
        <v>578401</v>
      </c>
      <c r="N760" s="651">
        <v>78006</v>
      </c>
    </row>
    <row r="761" spans="1:14" ht="15.95" customHeight="1" x14ac:dyDescent="0.15">
      <c r="A761" s="1286">
        <v>43344</v>
      </c>
      <c r="B761" s="640" t="str">
        <f t="shared" ca="1" si="44"/>
        <v>11</v>
      </c>
      <c r="C761" s="1285" t="s">
        <v>967</v>
      </c>
      <c r="D761" s="640" t="str">
        <f t="shared" ca="1" si="45"/>
        <v>02</v>
      </c>
      <c r="E761" s="1285" t="s">
        <v>84</v>
      </c>
      <c r="F761" s="641" t="str">
        <f>IF(G761="","",VLOOKUP(G761,リスト!J$2:K$3,2,FALSE))</f>
        <v>01</v>
      </c>
      <c r="G761" s="1285" t="s">
        <v>841</v>
      </c>
      <c r="H761" s="1284">
        <v>166920</v>
      </c>
      <c r="I761" s="1284">
        <v>0</v>
      </c>
      <c r="J761" s="644">
        <f t="shared" si="46"/>
        <v>166920</v>
      </c>
      <c r="K761" s="1284">
        <v>166920</v>
      </c>
      <c r="L761" s="644">
        <f t="shared" si="47"/>
        <v>0</v>
      </c>
      <c r="M761" s="680">
        <v>0</v>
      </c>
      <c r="N761" s="651">
        <v>61451</v>
      </c>
    </row>
    <row r="762" spans="1:14" ht="15.95" customHeight="1" x14ac:dyDescent="0.15">
      <c r="A762" s="1286">
        <v>43344</v>
      </c>
      <c r="B762" s="640" t="str">
        <f t="shared" ca="1" si="44"/>
        <v>11</v>
      </c>
      <c r="C762" s="1285" t="s">
        <v>967</v>
      </c>
      <c r="D762" s="640" t="str">
        <f t="shared" ca="1" si="45"/>
        <v>01</v>
      </c>
      <c r="E762" s="1285" t="s">
        <v>83</v>
      </c>
      <c r="F762" s="641" t="str">
        <f>IF(G762="","",VLOOKUP(G762,リスト!J$2:K$3,2,FALSE))</f>
        <v>02</v>
      </c>
      <c r="G762" s="1285" t="s">
        <v>842</v>
      </c>
      <c r="H762" s="1284">
        <v>0</v>
      </c>
      <c r="I762" s="1284">
        <v>2210</v>
      </c>
      <c r="J762" s="644">
        <f t="shared" si="46"/>
        <v>2210</v>
      </c>
      <c r="K762" s="1284">
        <v>2210</v>
      </c>
      <c r="L762" s="644">
        <f t="shared" si="47"/>
        <v>0</v>
      </c>
      <c r="M762" s="680">
        <v>0</v>
      </c>
      <c r="N762" s="651">
        <v>0</v>
      </c>
    </row>
    <row r="763" spans="1:14" ht="15.95" customHeight="1" x14ac:dyDescent="0.15">
      <c r="A763" s="1286">
        <v>43344</v>
      </c>
      <c r="B763" s="640" t="str">
        <f t="shared" ca="1" si="44"/>
        <v>11</v>
      </c>
      <c r="C763" s="1285" t="s">
        <v>967</v>
      </c>
      <c r="D763" s="640" t="str">
        <f t="shared" ca="1" si="45"/>
        <v>02</v>
      </c>
      <c r="E763" s="1285" t="s">
        <v>84</v>
      </c>
      <c r="F763" s="641" t="str">
        <f>IF(G763="","",VLOOKUP(G763,リスト!J$2:K$3,2,FALSE))</f>
        <v>02</v>
      </c>
      <c r="G763" s="1285" t="s">
        <v>842</v>
      </c>
      <c r="H763" s="1284">
        <v>97369</v>
      </c>
      <c r="I763" s="1284">
        <v>0</v>
      </c>
      <c r="J763" s="644">
        <f t="shared" si="46"/>
        <v>97369</v>
      </c>
      <c r="K763" s="1284">
        <v>97369</v>
      </c>
      <c r="L763" s="644">
        <f t="shared" si="47"/>
        <v>0</v>
      </c>
      <c r="M763" s="680">
        <v>0</v>
      </c>
      <c r="N763" s="651">
        <v>0</v>
      </c>
    </row>
    <row r="764" spans="1:14" ht="15.95" customHeight="1" x14ac:dyDescent="0.15">
      <c r="A764" s="1286">
        <v>43344</v>
      </c>
      <c r="B764" s="640" t="str">
        <f t="shared" ca="1" si="44"/>
        <v>04</v>
      </c>
      <c r="C764" s="1285" t="s">
        <v>358</v>
      </c>
      <c r="D764" s="640" t="str">
        <f t="shared" ca="1" si="45"/>
        <v>04</v>
      </c>
      <c r="E764" s="1285" t="s">
        <v>542</v>
      </c>
      <c r="F764" s="641" t="str">
        <f>IF(G764="","",VLOOKUP(G764,リスト!J$2:K$3,2,FALSE))</f>
        <v>01</v>
      </c>
      <c r="G764" s="1285" t="s">
        <v>841</v>
      </c>
      <c r="H764" s="1284">
        <v>3905307</v>
      </c>
      <c r="I764" s="1284">
        <v>-36627</v>
      </c>
      <c r="J764" s="644">
        <f t="shared" si="46"/>
        <v>3868680</v>
      </c>
      <c r="K764" s="1284">
        <v>3868680</v>
      </c>
      <c r="L764" s="644">
        <f t="shared" si="47"/>
        <v>0</v>
      </c>
      <c r="M764" s="680">
        <f>147688+118367</f>
        <v>266055</v>
      </c>
      <c r="N764" s="651">
        <v>233085</v>
      </c>
    </row>
    <row r="765" spans="1:14" ht="15.95" customHeight="1" x14ac:dyDescent="0.15">
      <c r="A765" s="1286">
        <v>43344</v>
      </c>
      <c r="B765" s="640" t="str">
        <f t="shared" ca="1" si="44"/>
        <v>04</v>
      </c>
      <c r="C765" s="1285" t="s">
        <v>358</v>
      </c>
      <c r="D765" s="640" t="str">
        <f t="shared" ca="1" si="45"/>
        <v>04</v>
      </c>
      <c r="E765" s="1285" t="s">
        <v>542</v>
      </c>
      <c r="F765" s="641" t="str">
        <f>IF(G765="","",VLOOKUP(G765,リスト!J$2:K$3,2,FALSE))</f>
        <v>02</v>
      </c>
      <c r="G765" s="1285" t="s">
        <v>842</v>
      </c>
      <c r="H765" s="1284">
        <v>266075</v>
      </c>
      <c r="I765" s="1284">
        <v>49846</v>
      </c>
      <c r="J765" s="644">
        <f t="shared" si="46"/>
        <v>315921</v>
      </c>
      <c r="K765" s="1284">
        <v>315921</v>
      </c>
      <c r="L765" s="644">
        <f t="shared" si="47"/>
        <v>0</v>
      </c>
      <c r="M765" s="680">
        <v>0</v>
      </c>
      <c r="N765" s="651">
        <v>0</v>
      </c>
    </row>
    <row r="766" spans="1:14" ht="15.95" customHeight="1" x14ac:dyDescent="0.15">
      <c r="A766" s="1286">
        <v>43344</v>
      </c>
      <c r="B766" s="640" t="str">
        <f t="shared" ca="1" si="44"/>
        <v>05</v>
      </c>
      <c r="C766" s="1285" t="s">
        <v>38</v>
      </c>
      <c r="D766" s="640" t="str">
        <f t="shared" ca="1" si="45"/>
        <v>01</v>
      </c>
      <c r="E766" s="1285" t="s">
        <v>83</v>
      </c>
      <c r="F766" s="641" t="str">
        <f>IF(G766="","",VLOOKUP(G766,リスト!J$2:K$3,2,FALSE))</f>
        <v>01</v>
      </c>
      <c r="G766" s="1285" t="s">
        <v>841</v>
      </c>
      <c r="H766" s="1284">
        <v>1331333</v>
      </c>
      <c r="I766" s="1284">
        <v>0</v>
      </c>
      <c r="J766" s="644">
        <f t="shared" si="46"/>
        <v>1331333</v>
      </c>
      <c r="K766" s="1284">
        <v>1331333</v>
      </c>
      <c r="L766" s="644">
        <f t="shared" si="47"/>
        <v>0</v>
      </c>
      <c r="M766" s="680">
        <v>441502</v>
      </c>
      <c r="N766" s="651">
        <v>0</v>
      </c>
    </row>
    <row r="767" spans="1:14" ht="15.95" customHeight="1" x14ac:dyDescent="0.15">
      <c r="A767" s="1286">
        <v>43344</v>
      </c>
      <c r="B767" s="640" t="str">
        <f t="shared" ca="1" si="44"/>
        <v>05</v>
      </c>
      <c r="C767" s="1285" t="s">
        <v>38</v>
      </c>
      <c r="D767" s="640" t="str">
        <f t="shared" ca="1" si="45"/>
        <v>01</v>
      </c>
      <c r="E767" s="1285" t="s">
        <v>83</v>
      </c>
      <c r="F767" s="641" t="str">
        <f>IF(G767="","",VLOOKUP(G767,リスト!J$2:K$3,2,FALSE))</f>
        <v>02</v>
      </c>
      <c r="G767" s="1285" t="s">
        <v>842</v>
      </c>
      <c r="H767" s="1284">
        <v>0</v>
      </c>
      <c r="I767" s="1284">
        <v>0</v>
      </c>
      <c r="J767" s="644">
        <f t="shared" si="46"/>
        <v>0</v>
      </c>
      <c r="K767" s="1284">
        <v>0</v>
      </c>
      <c r="L767" s="644">
        <f t="shared" si="47"/>
        <v>0</v>
      </c>
      <c r="M767" s="680">
        <v>0</v>
      </c>
      <c r="N767" s="651">
        <v>0</v>
      </c>
    </row>
    <row r="768" spans="1:14" ht="15.95" customHeight="1" x14ac:dyDescent="0.15">
      <c r="A768" s="1286">
        <v>43344</v>
      </c>
      <c r="B768" s="640" t="str">
        <f t="shared" ca="1" si="44"/>
        <v>07</v>
      </c>
      <c r="C768" s="1285" t="s">
        <v>119</v>
      </c>
      <c r="D768" s="640" t="str">
        <f t="shared" ca="1" si="45"/>
        <v>05</v>
      </c>
      <c r="E768" s="1285" t="s">
        <v>543</v>
      </c>
      <c r="F768" s="641" t="str">
        <f>IF(G768="","",VLOOKUP(G768,リスト!J$2:K$3,2,FALSE))</f>
        <v>01</v>
      </c>
      <c r="G768" s="1285" t="s">
        <v>841</v>
      </c>
      <c r="H768" s="1284">
        <v>813636</v>
      </c>
      <c r="I768" s="1284">
        <v>0</v>
      </c>
      <c r="J768" s="644">
        <f t="shared" si="46"/>
        <v>813636</v>
      </c>
      <c r="K768" s="1284">
        <v>813636</v>
      </c>
      <c r="L768" s="644">
        <f t="shared" si="47"/>
        <v>0</v>
      </c>
      <c r="M768" s="680">
        <v>0</v>
      </c>
      <c r="N768" s="651">
        <v>272142</v>
      </c>
    </row>
    <row r="769" spans="1:14" ht="15.95" customHeight="1" x14ac:dyDescent="0.15">
      <c r="A769" s="1286">
        <v>43344</v>
      </c>
      <c r="B769" s="640" t="str">
        <f t="shared" ca="1" si="44"/>
        <v>07</v>
      </c>
      <c r="C769" s="1285" t="s">
        <v>119</v>
      </c>
      <c r="D769" s="640" t="str">
        <f t="shared" ca="1" si="45"/>
        <v>05</v>
      </c>
      <c r="E769" s="1285" t="s">
        <v>543</v>
      </c>
      <c r="F769" s="641" t="str">
        <f>IF(G769="","",VLOOKUP(G769,リスト!J$2:K$3,2,FALSE))</f>
        <v>02</v>
      </c>
      <c r="G769" s="1285" t="s">
        <v>842</v>
      </c>
      <c r="H769" s="1284">
        <v>0</v>
      </c>
      <c r="I769" s="1284">
        <v>0</v>
      </c>
      <c r="J769" s="644">
        <f t="shared" si="46"/>
        <v>0</v>
      </c>
      <c r="K769" s="1284">
        <v>0</v>
      </c>
      <c r="L769" s="644">
        <f t="shared" si="47"/>
        <v>0</v>
      </c>
      <c r="M769" s="680">
        <v>0</v>
      </c>
      <c r="N769" s="651">
        <v>0</v>
      </c>
    </row>
    <row r="770" spans="1:14" ht="15.95" customHeight="1" x14ac:dyDescent="0.15">
      <c r="A770" s="1286">
        <v>43344</v>
      </c>
      <c r="B770" s="640" t="str">
        <f t="shared" ref="B770:B833" ca="1" si="48">IF(C770="","",VLOOKUP(C770,事業所コード2,2,FALSE))</f>
        <v>08</v>
      </c>
      <c r="C770" s="1285" t="s">
        <v>189</v>
      </c>
      <c r="D770" s="640" t="str">
        <f t="shared" ref="D770:D833" ca="1" si="49">IF(E770="","",VLOOKUP(E770,事業区分コード2,2,FALSE))</f>
        <v>05</v>
      </c>
      <c r="E770" s="1285" t="s">
        <v>543</v>
      </c>
      <c r="F770" s="641" t="str">
        <f>IF(G770="","",VLOOKUP(G770,リスト!J$2:K$3,2,FALSE))</f>
        <v>01</v>
      </c>
      <c r="G770" s="1285" t="s">
        <v>841</v>
      </c>
      <c r="H770" s="1284">
        <v>1003585</v>
      </c>
      <c r="I770" s="1284">
        <v>0</v>
      </c>
      <c r="J770" s="644">
        <f t="shared" ref="J770:J833" si="50">IF(A770="","",H770+I770)</f>
        <v>1003585</v>
      </c>
      <c r="K770" s="1284">
        <v>1003585</v>
      </c>
      <c r="L770" s="644">
        <f t="shared" ref="L770:L833" si="51">IF(A770="","",J770-K770)</f>
        <v>0</v>
      </c>
      <c r="M770" s="680">
        <v>0</v>
      </c>
      <c r="N770" s="651">
        <v>0</v>
      </c>
    </row>
    <row r="771" spans="1:14" ht="15.95" customHeight="1" x14ac:dyDescent="0.15">
      <c r="A771" s="1286">
        <v>43344</v>
      </c>
      <c r="B771" s="640" t="str">
        <f t="shared" ca="1" si="48"/>
        <v>08</v>
      </c>
      <c r="C771" s="1285" t="s">
        <v>189</v>
      </c>
      <c r="D771" s="640" t="str">
        <f t="shared" ca="1" si="49"/>
        <v>05</v>
      </c>
      <c r="E771" s="1285" t="s">
        <v>543</v>
      </c>
      <c r="F771" s="641" t="str">
        <f>IF(G771="","",VLOOKUP(G771,リスト!J$2:K$3,2,FALSE))</f>
        <v>02</v>
      </c>
      <c r="G771" s="1285" t="s">
        <v>842</v>
      </c>
      <c r="H771" s="1284">
        <v>0</v>
      </c>
      <c r="I771" s="1284">
        <v>0</v>
      </c>
      <c r="J771" s="644">
        <f t="shared" si="50"/>
        <v>0</v>
      </c>
      <c r="K771" s="1284">
        <v>0</v>
      </c>
      <c r="L771" s="644">
        <f t="shared" si="51"/>
        <v>0</v>
      </c>
      <c r="M771" s="680">
        <v>0</v>
      </c>
      <c r="N771" s="651">
        <v>0</v>
      </c>
    </row>
    <row r="772" spans="1:14" ht="15.95" customHeight="1" x14ac:dyDescent="0.15">
      <c r="A772" s="1286">
        <v>43344</v>
      </c>
      <c r="B772" s="640" t="str">
        <f t="shared" ca="1" si="48"/>
        <v>09</v>
      </c>
      <c r="C772" s="1285" t="s">
        <v>329</v>
      </c>
      <c r="D772" s="640" t="str">
        <f t="shared" ca="1" si="49"/>
        <v>05</v>
      </c>
      <c r="E772" s="1285" t="s">
        <v>543</v>
      </c>
      <c r="F772" s="641" t="str">
        <f>IF(G772="","",VLOOKUP(G772,リスト!J$2:K$3,2,FALSE))</f>
        <v>01</v>
      </c>
      <c r="G772" s="1285" t="s">
        <v>841</v>
      </c>
      <c r="H772" s="1284">
        <v>2292635</v>
      </c>
      <c r="I772" s="1284">
        <v>0</v>
      </c>
      <c r="J772" s="644">
        <f t="shared" si="50"/>
        <v>2292635</v>
      </c>
      <c r="K772" s="1284">
        <v>2292635</v>
      </c>
      <c r="L772" s="644">
        <f t="shared" si="51"/>
        <v>0</v>
      </c>
      <c r="M772" s="680">
        <v>0</v>
      </c>
      <c r="N772" s="651">
        <v>0</v>
      </c>
    </row>
    <row r="773" spans="1:14" ht="15.95" customHeight="1" x14ac:dyDescent="0.15">
      <c r="A773" s="1286">
        <v>43344</v>
      </c>
      <c r="B773" s="640" t="str">
        <f t="shared" ca="1" si="48"/>
        <v>09</v>
      </c>
      <c r="C773" s="1285" t="s">
        <v>329</v>
      </c>
      <c r="D773" s="640" t="str">
        <f t="shared" ca="1" si="49"/>
        <v>05</v>
      </c>
      <c r="E773" s="1285" t="s">
        <v>543</v>
      </c>
      <c r="F773" s="641" t="str">
        <f>IF(G773="","",VLOOKUP(G773,リスト!J$2:K$3,2,FALSE))</f>
        <v>02</v>
      </c>
      <c r="G773" s="1285" t="s">
        <v>842</v>
      </c>
      <c r="H773" s="1284">
        <v>0</v>
      </c>
      <c r="I773" s="1284">
        <v>0</v>
      </c>
      <c r="J773" s="644">
        <f t="shared" si="50"/>
        <v>0</v>
      </c>
      <c r="K773" s="1284">
        <v>0</v>
      </c>
      <c r="L773" s="644">
        <f t="shared" si="51"/>
        <v>0</v>
      </c>
      <c r="M773" s="680">
        <v>0</v>
      </c>
      <c r="N773" s="651">
        <v>0</v>
      </c>
    </row>
    <row r="774" spans="1:14" ht="15.95" customHeight="1" x14ac:dyDescent="0.15">
      <c r="A774" s="1286">
        <v>43344</v>
      </c>
      <c r="B774" s="640" t="str">
        <f t="shared" ca="1" si="48"/>
        <v>10</v>
      </c>
      <c r="C774" s="1285" t="s">
        <v>336</v>
      </c>
      <c r="D774" s="640" t="str">
        <f t="shared" ca="1" si="49"/>
        <v>01</v>
      </c>
      <c r="E774" s="1285" t="s">
        <v>83</v>
      </c>
      <c r="F774" s="641" t="str">
        <f>IF(G774="","",VLOOKUP(G774,リスト!J$2:K$3,2,FALSE))</f>
        <v>01</v>
      </c>
      <c r="G774" s="1285" t="s">
        <v>841</v>
      </c>
      <c r="H774" s="1284">
        <v>379821</v>
      </c>
      <c r="I774" s="1284">
        <v>0</v>
      </c>
      <c r="J774" s="644">
        <f t="shared" si="50"/>
        <v>379821</v>
      </c>
      <c r="K774" s="1284">
        <v>379821</v>
      </c>
      <c r="L774" s="644">
        <f t="shared" si="51"/>
        <v>0</v>
      </c>
      <c r="M774" s="680">
        <v>0</v>
      </c>
      <c r="N774" s="651">
        <v>0</v>
      </c>
    </row>
    <row r="775" spans="1:14" ht="15.95" customHeight="1" x14ac:dyDescent="0.15">
      <c r="A775" s="1286">
        <v>43344</v>
      </c>
      <c r="B775" s="640" t="str">
        <f t="shared" ca="1" si="48"/>
        <v>10</v>
      </c>
      <c r="C775" s="1285" t="s">
        <v>336</v>
      </c>
      <c r="D775" s="640" t="str">
        <f t="shared" ca="1" si="49"/>
        <v>02</v>
      </c>
      <c r="E775" s="1285" t="s">
        <v>84</v>
      </c>
      <c r="F775" s="641" t="str">
        <f>IF(G775="","",VLOOKUP(G775,リスト!J$2:K$3,2,FALSE))</f>
        <v>01</v>
      </c>
      <c r="G775" s="1285" t="s">
        <v>841</v>
      </c>
      <c r="H775" s="1284">
        <v>19400</v>
      </c>
      <c r="I775" s="1284">
        <v>0</v>
      </c>
      <c r="J775" s="644">
        <f t="shared" si="50"/>
        <v>19400</v>
      </c>
      <c r="K775" s="1284">
        <v>19400</v>
      </c>
      <c r="L775" s="644">
        <f t="shared" si="51"/>
        <v>0</v>
      </c>
      <c r="M775" s="680">
        <v>0</v>
      </c>
      <c r="N775" s="651">
        <v>0</v>
      </c>
    </row>
    <row r="776" spans="1:14" ht="15.95" customHeight="1" x14ac:dyDescent="0.15">
      <c r="A776" s="1286">
        <v>43344</v>
      </c>
      <c r="B776" s="640" t="str">
        <f t="shared" ca="1" si="48"/>
        <v>10</v>
      </c>
      <c r="C776" s="1285" t="s">
        <v>336</v>
      </c>
      <c r="D776" s="640" t="str">
        <f t="shared" ca="1" si="49"/>
        <v>01</v>
      </c>
      <c r="E776" s="1285" t="s">
        <v>83</v>
      </c>
      <c r="F776" s="641" t="str">
        <f>IF(G776="","",VLOOKUP(G776,リスト!J$2:K$3,2,FALSE))</f>
        <v>02</v>
      </c>
      <c r="G776" s="1285" t="s">
        <v>842</v>
      </c>
      <c r="H776" s="1284">
        <v>0</v>
      </c>
      <c r="I776" s="1284">
        <v>0</v>
      </c>
      <c r="J776" s="644">
        <f t="shared" si="50"/>
        <v>0</v>
      </c>
      <c r="K776" s="1284">
        <v>0</v>
      </c>
      <c r="L776" s="644">
        <f t="shared" si="51"/>
        <v>0</v>
      </c>
      <c r="M776" s="680">
        <v>0</v>
      </c>
      <c r="N776" s="651">
        <v>0</v>
      </c>
    </row>
    <row r="777" spans="1:14" ht="15.95" customHeight="1" x14ac:dyDescent="0.15">
      <c r="A777" s="1286">
        <v>43344</v>
      </c>
      <c r="B777" s="640" t="str">
        <f t="shared" ca="1" si="48"/>
        <v>10</v>
      </c>
      <c r="C777" s="1285" t="s">
        <v>336</v>
      </c>
      <c r="D777" s="640" t="str">
        <f t="shared" ca="1" si="49"/>
        <v>02</v>
      </c>
      <c r="E777" s="1285" t="s">
        <v>84</v>
      </c>
      <c r="F777" s="641" t="str">
        <f>IF(G777="","",VLOOKUP(G777,リスト!J$2:K$3,2,FALSE))</f>
        <v>02</v>
      </c>
      <c r="G777" s="1285" t="s">
        <v>842</v>
      </c>
      <c r="H777" s="1284">
        <v>0</v>
      </c>
      <c r="I777" s="1284">
        <v>0</v>
      </c>
      <c r="J777" s="644">
        <f t="shared" si="50"/>
        <v>0</v>
      </c>
      <c r="K777" s="1284">
        <v>0</v>
      </c>
      <c r="L777" s="644">
        <f t="shared" si="51"/>
        <v>0</v>
      </c>
      <c r="M777" s="680">
        <v>0</v>
      </c>
      <c r="N777" s="651">
        <v>0</v>
      </c>
    </row>
    <row r="778" spans="1:14" ht="15.95" customHeight="1" x14ac:dyDescent="0.15">
      <c r="A778" s="1286">
        <v>43374</v>
      </c>
      <c r="B778" s="640" t="str">
        <f t="shared" ca="1" si="48"/>
        <v>01</v>
      </c>
      <c r="C778" s="1285" t="s">
        <v>34</v>
      </c>
      <c r="D778" s="640" t="str">
        <f t="shared" ca="1" si="49"/>
        <v>01</v>
      </c>
      <c r="E778" s="1285" t="s">
        <v>83</v>
      </c>
      <c r="F778" s="641" t="str">
        <f>IF(G778="","",VLOOKUP(G778,リスト!J$2:K$3,2,FALSE))</f>
        <v>01</v>
      </c>
      <c r="G778" s="1285" t="s">
        <v>841</v>
      </c>
      <c r="H778" s="1284">
        <v>8979289</v>
      </c>
      <c r="I778" s="1284">
        <v>0</v>
      </c>
      <c r="J778" s="644">
        <f t="shared" si="50"/>
        <v>8979289</v>
      </c>
      <c r="K778" s="1284">
        <v>8979289</v>
      </c>
      <c r="L778" s="644">
        <f t="shared" si="51"/>
        <v>0</v>
      </c>
      <c r="M778" s="680">
        <v>333697</v>
      </c>
      <c r="N778" s="651">
        <v>1303050</v>
      </c>
    </row>
    <row r="779" spans="1:14" ht="15.95" customHeight="1" x14ac:dyDescent="0.15">
      <c r="A779" s="1286">
        <v>43374</v>
      </c>
      <c r="B779" s="640" t="str">
        <f t="shared" ca="1" si="48"/>
        <v>01</v>
      </c>
      <c r="C779" s="1285" t="s">
        <v>34</v>
      </c>
      <c r="D779" s="640" t="str">
        <f t="shared" ca="1" si="49"/>
        <v>03</v>
      </c>
      <c r="E779" s="1285" t="s">
        <v>98</v>
      </c>
      <c r="F779" s="641" t="str">
        <f>IF(G779="","",VLOOKUP(G779,リスト!J$2:K$3,2,FALSE))</f>
        <v>01</v>
      </c>
      <c r="G779" s="1285" t="s">
        <v>841</v>
      </c>
      <c r="H779" s="1284">
        <v>687762</v>
      </c>
      <c r="I779" s="1284">
        <v>0</v>
      </c>
      <c r="J779" s="644">
        <f t="shared" si="50"/>
        <v>687762</v>
      </c>
      <c r="K779" s="1284">
        <v>687762</v>
      </c>
      <c r="L779" s="644">
        <f t="shared" si="51"/>
        <v>0</v>
      </c>
      <c r="M779" s="680">
        <v>0</v>
      </c>
      <c r="N779" s="651">
        <v>0</v>
      </c>
    </row>
    <row r="780" spans="1:14" ht="15.95" customHeight="1" x14ac:dyDescent="0.15">
      <c r="A780" s="1286">
        <v>43374</v>
      </c>
      <c r="B780" s="640" t="str">
        <f t="shared" ca="1" si="48"/>
        <v>01</v>
      </c>
      <c r="C780" s="1285" t="s">
        <v>34</v>
      </c>
      <c r="D780" s="640" t="str">
        <f t="shared" ca="1" si="49"/>
        <v>02</v>
      </c>
      <c r="E780" s="1285" t="s">
        <v>84</v>
      </c>
      <c r="F780" s="641" t="str">
        <f>IF(G780="","",VLOOKUP(G780,リスト!J$2:K$3,2,FALSE))</f>
        <v>01</v>
      </c>
      <c r="G780" s="1285" t="s">
        <v>841</v>
      </c>
      <c r="H780" s="1284">
        <v>1856180</v>
      </c>
      <c r="I780" s="1284">
        <v>-536942</v>
      </c>
      <c r="J780" s="644">
        <f t="shared" si="50"/>
        <v>1319238</v>
      </c>
      <c r="K780" s="1284">
        <v>1319238</v>
      </c>
      <c r="L780" s="644">
        <f t="shared" si="51"/>
        <v>0</v>
      </c>
      <c r="M780" s="680">
        <v>42442</v>
      </c>
      <c r="N780" s="651">
        <v>360476</v>
      </c>
    </row>
    <row r="781" spans="1:14" ht="15.95" customHeight="1" x14ac:dyDescent="0.15">
      <c r="A781" s="1286">
        <v>43374</v>
      </c>
      <c r="B781" s="640" t="str">
        <f t="shared" ca="1" si="48"/>
        <v>01</v>
      </c>
      <c r="C781" s="1285" t="s">
        <v>34</v>
      </c>
      <c r="D781" s="640" t="str">
        <f t="shared" ca="1" si="49"/>
        <v>01</v>
      </c>
      <c r="E781" s="1285" t="s">
        <v>83</v>
      </c>
      <c r="F781" s="641" t="str">
        <f>IF(G781="","",VLOOKUP(G781,リスト!J$2:K$3,2,FALSE))</f>
        <v>02</v>
      </c>
      <c r="G781" s="1285" t="s">
        <v>842</v>
      </c>
      <c r="H781" s="1284">
        <v>170278</v>
      </c>
      <c r="I781" s="1284">
        <v>49540</v>
      </c>
      <c r="J781" s="644">
        <f t="shared" si="50"/>
        <v>219818</v>
      </c>
      <c r="K781" s="1284">
        <v>219818</v>
      </c>
      <c r="L781" s="644">
        <f t="shared" si="51"/>
        <v>0</v>
      </c>
      <c r="M781" s="680">
        <v>0</v>
      </c>
      <c r="N781" s="651">
        <v>0</v>
      </c>
    </row>
    <row r="782" spans="1:14" ht="15.95" customHeight="1" x14ac:dyDescent="0.15">
      <c r="A782" s="1286">
        <v>43374</v>
      </c>
      <c r="B782" s="640" t="str">
        <f t="shared" ca="1" si="48"/>
        <v>01</v>
      </c>
      <c r="C782" s="1285" t="s">
        <v>34</v>
      </c>
      <c r="D782" s="640" t="str">
        <f t="shared" ca="1" si="49"/>
        <v>03</v>
      </c>
      <c r="E782" s="1285" t="s">
        <v>98</v>
      </c>
      <c r="F782" s="641" t="str">
        <f>IF(G782="","",VLOOKUP(G782,リスト!J$2:K$3,2,FALSE))</f>
        <v>02</v>
      </c>
      <c r="G782" s="1285" t="s">
        <v>842</v>
      </c>
      <c r="H782" s="1284">
        <v>27349</v>
      </c>
      <c r="I782" s="1284">
        <v>0</v>
      </c>
      <c r="J782" s="644">
        <f t="shared" si="50"/>
        <v>27349</v>
      </c>
      <c r="K782" s="1284">
        <v>27349</v>
      </c>
      <c r="L782" s="644">
        <f t="shared" si="51"/>
        <v>0</v>
      </c>
      <c r="M782" s="680">
        <v>0</v>
      </c>
      <c r="N782" s="651">
        <v>0</v>
      </c>
    </row>
    <row r="783" spans="1:14" ht="15.95" customHeight="1" x14ac:dyDescent="0.15">
      <c r="A783" s="1286">
        <v>43374</v>
      </c>
      <c r="B783" s="640" t="str">
        <f t="shared" ca="1" si="48"/>
        <v>01</v>
      </c>
      <c r="C783" s="1285" t="s">
        <v>34</v>
      </c>
      <c r="D783" s="640" t="str">
        <f t="shared" ca="1" si="49"/>
        <v>02</v>
      </c>
      <c r="E783" s="1285" t="s">
        <v>84</v>
      </c>
      <c r="F783" s="641" t="str">
        <f>IF(G783="","",VLOOKUP(G783,リスト!J$2:K$3,2,FALSE))</f>
        <v>02</v>
      </c>
      <c r="G783" s="1285" t="s">
        <v>842</v>
      </c>
      <c r="H783" s="1284">
        <v>328938</v>
      </c>
      <c r="I783" s="1284">
        <v>0</v>
      </c>
      <c r="J783" s="644">
        <f t="shared" si="50"/>
        <v>328938</v>
      </c>
      <c r="K783" s="1284">
        <v>328938</v>
      </c>
      <c r="L783" s="644">
        <f t="shared" si="51"/>
        <v>0</v>
      </c>
      <c r="M783" s="680">
        <v>0</v>
      </c>
      <c r="N783" s="651">
        <v>0</v>
      </c>
    </row>
    <row r="784" spans="1:14" ht="15.95" customHeight="1" x14ac:dyDescent="0.15">
      <c r="A784" s="1286">
        <v>43374</v>
      </c>
      <c r="B784" s="640" t="str">
        <f t="shared" ca="1" si="48"/>
        <v>02</v>
      </c>
      <c r="C784" s="1285" t="s">
        <v>37</v>
      </c>
      <c r="D784" s="640" t="str">
        <f t="shared" ca="1" si="49"/>
        <v>01</v>
      </c>
      <c r="E784" s="1285" t="s">
        <v>83</v>
      </c>
      <c r="F784" s="641" t="str">
        <f>IF(G784="","",VLOOKUP(G784,リスト!J$2:K$3,2,FALSE))</f>
        <v>01</v>
      </c>
      <c r="G784" s="1285" t="s">
        <v>841</v>
      </c>
      <c r="H784" s="1284">
        <v>4920936</v>
      </c>
      <c r="I784" s="1284">
        <v>-28497</v>
      </c>
      <c r="J784" s="644">
        <f t="shared" si="50"/>
        <v>4892439</v>
      </c>
      <c r="K784" s="1284">
        <v>4892439</v>
      </c>
      <c r="L784" s="644">
        <f t="shared" si="51"/>
        <v>0</v>
      </c>
      <c r="M784" s="680">
        <v>0</v>
      </c>
      <c r="N784" s="651">
        <v>567983</v>
      </c>
    </row>
    <row r="785" spans="1:14" ht="15.95" customHeight="1" x14ac:dyDescent="0.15">
      <c r="A785" s="1286">
        <v>43374</v>
      </c>
      <c r="B785" s="640" t="str">
        <f t="shared" ca="1" si="48"/>
        <v>02</v>
      </c>
      <c r="C785" s="1285" t="s">
        <v>37</v>
      </c>
      <c r="D785" s="640" t="str">
        <f t="shared" ca="1" si="49"/>
        <v>03</v>
      </c>
      <c r="E785" s="1285" t="s">
        <v>98</v>
      </c>
      <c r="F785" s="641" t="str">
        <f>IF(G785="","",VLOOKUP(G785,リスト!J$2:K$3,2,FALSE))</f>
        <v>01</v>
      </c>
      <c r="G785" s="1285" t="s">
        <v>841</v>
      </c>
      <c r="H785" s="1284">
        <v>530963</v>
      </c>
      <c r="I785" s="1284">
        <v>0</v>
      </c>
      <c r="J785" s="644">
        <f t="shared" si="50"/>
        <v>530963</v>
      </c>
      <c r="K785" s="1284">
        <v>530963</v>
      </c>
      <c r="L785" s="644">
        <f t="shared" si="51"/>
        <v>0</v>
      </c>
      <c r="M785" s="680">
        <v>0</v>
      </c>
      <c r="N785" s="651">
        <v>0</v>
      </c>
    </row>
    <row r="786" spans="1:14" ht="15.95" customHeight="1" x14ac:dyDescent="0.15">
      <c r="A786" s="1286">
        <v>43374</v>
      </c>
      <c r="B786" s="640" t="str">
        <f t="shared" ca="1" si="48"/>
        <v>02</v>
      </c>
      <c r="C786" s="1285" t="s">
        <v>37</v>
      </c>
      <c r="D786" s="640" t="str">
        <f t="shared" ca="1" si="49"/>
        <v>02</v>
      </c>
      <c r="E786" s="1285" t="s">
        <v>84</v>
      </c>
      <c r="F786" s="641" t="str">
        <f>IF(G786="","",VLOOKUP(G786,リスト!J$2:K$3,2,FALSE))</f>
        <v>01</v>
      </c>
      <c r="G786" s="1285" t="s">
        <v>841</v>
      </c>
      <c r="H786" s="1284">
        <v>1525581</v>
      </c>
      <c r="I786" s="1284">
        <v>-371613</v>
      </c>
      <c r="J786" s="644">
        <f t="shared" si="50"/>
        <v>1153968</v>
      </c>
      <c r="K786" s="1284">
        <v>1153968</v>
      </c>
      <c r="L786" s="644">
        <f t="shared" si="51"/>
        <v>0</v>
      </c>
      <c r="M786" s="680">
        <v>55307</v>
      </c>
      <c r="N786" s="651">
        <v>323954</v>
      </c>
    </row>
    <row r="787" spans="1:14" ht="15.95" customHeight="1" x14ac:dyDescent="0.15">
      <c r="A787" s="1286">
        <v>43374</v>
      </c>
      <c r="B787" s="640" t="str">
        <f t="shared" ca="1" si="48"/>
        <v>02</v>
      </c>
      <c r="C787" s="1285" t="s">
        <v>37</v>
      </c>
      <c r="D787" s="640" t="str">
        <f t="shared" ca="1" si="49"/>
        <v>01</v>
      </c>
      <c r="E787" s="1285" t="s">
        <v>83</v>
      </c>
      <c r="F787" s="641" t="str">
        <f>IF(G787="","",VLOOKUP(G787,リスト!J$2:K$3,2,FALSE))</f>
        <v>02</v>
      </c>
      <c r="G787" s="1285" t="s">
        <v>842</v>
      </c>
      <c r="H787" s="1284">
        <v>377717</v>
      </c>
      <c r="I787" s="1284">
        <v>-43746</v>
      </c>
      <c r="J787" s="644">
        <f t="shared" si="50"/>
        <v>333971</v>
      </c>
      <c r="K787" s="1284">
        <v>333971</v>
      </c>
      <c r="L787" s="644">
        <f t="shared" si="51"/>
        <v>0</v>
      </c>
      <c r="M787" s="680">
        <v>0</v>
      </c>
      <c r="N787" s="651">
        <v>0</v>
      </c>
    </row>
    <row r="788" spans="1:14" ht="15.95" customHeight="1" x14ac:dyDescent="0.15">
      <c r="A788" s="1286">
        <v>43374</v>
      </c>
      <c r="B788" s="640" t="str">
        <f t="shared" ca="1" si="48"/>
        <v>02</v>
      </c>
      <c r="C788" s="1285" t="s">
        <v>37</v>
      </c>
      <c r="D788" s="640" t="str">
        <f t="shared" ca="1" si="49"/>
        <v>03</v>
      </c>
      <c r="E788" s="1285" t="s">
        <v>98</v>
      </c>
      <c r="F788" s="641" t="str">
        <f>IF(G788="","",VLOOKUP(G788,リスト!J$2:K$3,2,FALSE))</f>
        <v>02</v>
      </c>
      <c r="G788" s="1285" t="s">
        <v>842</v>
      </c>
      <c r="H788" s="1284">
        <v>0</v>
      </c>
      <c r="I788" s="1284">
        <v>0</v>
      </c>
      <c r="J788" s="644">
        <f t="shared" si="50"/>
        <v>0</v>
      </c>
      <c r="K788" s="1284">
        <v>0</v>
      </c>
      <c r="L788" s="644">
        <f t="shared" si="51"/>
        <v>0</v>
      </c>
      <c r="M788" s="680">
        <v>0</v>
      </c>
      <c r="N788" s="651">
        <v>0</v>
      </c>
    </row>
    <row r="789" spans="1:14" ht="15.95" customHeight="1" x14ac:dyDescent="0.15">
      <c r="A789" s="1286">
        <v>43374</v>
      </c>
      <c r="B789" s="640" t="str">
        <f t="shared" ca="1" si="48"/>
        <v>02</v>
      </c>
      <c r="C789" s="1285" t="s">
        <v>37</v>
      </c>
      <c r="D789" s="640" t="str">
        <f t="shared" ca="1" si="49"/>
        <v>02</v>
      </c>
      <c r="E789" s="1285" t="s">
        <v>84</v>
      </c>
      <c r="F789" s="641" t="str">
        <f>IF(G789="","",VLOOKUP(G789,リスト!J$2:K$3,2,FALSE))</f>
        <v>02</v>
      </c>
      <c r="G789" s="1285" t="s">
        <v>842</v>
      </c>
      <c r="H789" s="1284">
        <v>422701</v>
      </c>
      <c r="I789" s="1284">
        <v>-176340</v>
      </c>
      <c r="J789" s="644">
        <f t="shared" si="50"/>
        <v>246361</v>
      </c>
      <c r="K789" s="1284">
        <v>246361</v>
      </c>
      <c r="L789" s="644">
        <f t="shared" si="51"/>
        <v>0</v>
      </c>
      <c r="M789" s="680">
        <v>0</v>
      </c>
      <c r="N789" s="651">
        <v>0</v>
      </c>
    </row>
    <row r="790" spans="1:14" ht="15.95" customHeight="1" x14ac:dyDescent="0.15">
      <c r="A790" s="1286">
        <v>43374</v>
      </c>
      <c r="B790" s="640" t="str">
        <f t="shared" ca="1" si="48"/>
        <v>03</v>
      </c>
      <c r="C790" s="1285" t="s">
        <v>66</v>
      </c>
      <c r="D790" s="640" t="str">
        <f t="shared" ca="1" si="49"/>
        <v>01</v>
      </c>
      <c r="E790" s="1285" t="s">
        <v>83</v>
      </c>
      <c r="F790" s="641" t="str">
        <f>IF(G790="","",VLOOKUP(G790,リスト!J$2:K$3,2,FALSE))</f>
        <v>01</v>
      </c>
      <c r="G790" s="1285" t="s">
        <v>841</v>
      </c>
      <c r="H790" s="1284">
        <v>4963639</v>
      </c>
      <c r="I790" s="1284">
        <v>0</v>
      </c>
      <c r="J790" s="644">
        <f t="shared" si="50"/>
        <v>4963639</v>
      </c>
      <c r="K790" s="1284">
        <v>4963639</v>
      </c>
      <c r="L790" s="644">
        <f t="shared" si="51"/>
        <v>0</v>
      </c>
      <c r="M790" s="680">
        <v>425856</v>
      </c>
      <c r="N790" s="651">
        <v>520929</v>
      </c>
    </row>
    <row r="791" spans="1:14" ht="15.95" customHeight="1" x14ac:dyDescent="0.15">
      <c r="A791" s="1286">
        <v>43374</v>
      </c>
      <c r="B791" s="640" t="str">
        <f t="shared" ca="1" si="48"/>
        <v>03</v>
      </c>
      <c r="C791" s="1285" t="s">
        <v>66</v>
      </c>
      <c r="D791" s="640" t="str">
        <f t="shared" ca="1" si="49"/>
        <v>02</v>
      </c>
      <c r="E791" s="1285" t="s">
        <v>84</v>
      </c>
      <c r="F791" s="641" t="str">
        <f>IF(G791="","",VLOOKUP(G791,リスト!J$2:K$3,2,FALSE))</f>
        <v>01</v>
      </c>
      <c r="G791" s="1285" t="s">
        <v>841</v>
      </c>
      <c r="H791" s="1284">
        <v>1992855</v>
      </c>
      <c r="I791" s="1284">
        <v>-115768</v>
      </c>
      <c r="J791" s="644">
        <f t="shared" si="50"/>
        <v>1877087</v>
      </c>
      <c r="K791" s="1284">
        <v>1877087</v>
      </c>
      <c r="L791" s="644">
        <f t="shared" si="51"/>
        <v>0</v>
      </c>
      <c r="M791" s="680">
        <v>0</v>
      </c>
      <c r="N791" s="651">
        <v>436467</v>
      </c>
    </row>
    <row r="792" spans="1:14" ht="15.95" customHeight="1" x14ac:dyDescent="0.15">
      <c r="A792" s="1286">
        <v>43374</v>
      </c>
      <c r="B792" s="640" t="str">
        <f t="shared" ca="1" si="48"/>
        <v>03</v>
      </c>
      <c r="C792" s="1285" t="s">
        <v>66</v>
      </c>
      <c r="D792" s="640" t="str">
        <f t="shared" ca="1" si="49"/>
        <v>01</v>
      </c>
      <c r="E792" s="1285" t="s">
        <v>83</v>
      </c>
      <c r="F792" s="641" t="str">
        <f>IF(G792="","",VLOOKUP(G792,リスト!J$2:K$3,2,FALSE))</f>
        <v>02</v>
      </c>
      <c r="G792" s="1285" t="s">
        <v>842</v>
      </c>
      <c r="H792" s="1284">
        <v>60343</v>
      </c>
      <c r="I792" s="1284">
        <v>108255</v>
      </c>
      <c r="J792" s="644">
        <f t="shared" si="50"/>
        <v>168598</v>
      </c>
      <c r="K792" s="1284">
        <v>168598</v>
      </c>
      <c r="L792" s="644">
        <f t="shared" si="51"/>
        <v>0</v>
      </c>
      <c r="M792" s="680">
        <v>0</v>
      </c>
      <c r="N792" s="651">
        <v>0</v>
      </c>
    </row>
    <row r="793" spans="1:14" ht="15.95" customHeight="1" x14ac:dyDescent="0.15">
      <c r="A793" s="1286">
        <v>43374</v>
      </c>
      <c r="B793" s="640" t="str">
        <f t="shared" ca="1" si="48"/>
        <v>03</v>
      </c>
      <c r="C793" s="1285" t="s">
        <v>66</v>
      </c>
      <c r="D793" s="640" t="str">
        <f t="shared" ca="1" si="49"/>
        <v>02</v>
      </c>
      <c r="E793" s="1285" t="s">
        <v>84</v>
      </c>
      <c r="F793" s="641" t="str">
        <f>IF(G793="","",VLOOKUP(G793,リスト!J$2:K$3,2,FALSE))</f>
        <v>02</v>
      </c>
      <c r="G793" s="1285" t="s">
        <v>842</v>
      </c>
      <c r="H793" s="1284">
        <v>270799</v>
      </c>
      <c r="I793" s="1284">
        <v>-270799</v>
      </c>
      <c r="J793" s="644">
        <f t="shared" si="50"/>
        <v>0</v>
      </c>
      <c r="K793" s="1284">
        <v>0</v>
      </c>
      <c r="L793" s="644">
        <f t="shared" si="51"/>
        <v>0</v>
      </c>
      <c r="M793" s="680">
        <v>0</v>
      </c>
      <c r="N793" s="651">
        <v>0</v>
      </c>
    </row>
    <row r="794" spans="1:14" ht="15.95" customHeight="1" x14ac:dyDescent="0.15">
      <c r="A794" s="1286">
        <v>43374</v>
      </c>
      <c r="B794" s="640" t="str">
        <f t="shared" ca="1" si="48"/>
        <v>11</v>
      </c>
      <c r="C794" s="1285" t="s">
        <v>967</v>
      </c>
      <c r="D794" s="640" t="str">
        <f t="shared" ca="1" si="49"/>
        <v>01</v>
      </c>
      <c r="E794" s="1285" t="s">
        <v>83</v>
      </c>
      <c r="F794" s="641" t="str">
        <f>IF(G794="","",VLOOKUP(G794,リスト!J$2:K$3,2,FALSE))</f>
        <v>01</v>
      </c>
      <c r="G794" s="1285" t="s">
        <v>841</v>
      </c>
      <c r="H794" s="1284">
        <v>1450129</v>
      </c>
      <c r="I794" s="1284">
        <v>-268636</v>
      </c>
      <c r="J794" s="644">
        <f t="shared" si="50"/>
        <v>1181493</v>
      </c>
      <c r="K794" s="1284">
        <v>1181493</v>
      </c>
      <c r="L794" s="644">
        <f t="shared" si="51"/>
        <v>0</v>
      </c>
      <c r="M794" s="680">
        <v>23350</v>
      </c>
      <c r="N794" s="651">
        <v>0</v>
      </c>
    </row>
    <row r="795" spans="1:14" ht="15.95" customHeight="1" x14ac:dyDescent="0.15">
      <c r="A795" s="1286">
        <v>43374</v>
      </c>
      <c r="B795" s="640" t="str">
        <f t="shared" ca="1" si="48"/>
        <v>11</v>
      </c>
      <c r="C795" s="1285" t="s">
        <v>967</v>
      </c>
      <c r="D795" s="640" t="str">
        <f t="shared" ca="1" si="49"/>
        <v>02</v>
      </c>
      <c r="E795" s="1285" t="s">
        <v>84</v>
      </c>
      <c r="F795" s="641" t="str">
        <f>IF(G795="","",VLOOKUP(G795,リスト!J$2:K$3,2,FALSE))</f>
        <v>01</v>
      </c>
      <c r="G795" s="1285" t="s">
        <v>841</v>
      </c>
      <c r="H795" s="1284">
        <v>208231</v>
      </c>
      <c r="I795" s="1284">
        <v>-102731</v>
      </c>
      <c r="J795" s="644">
        <f t="shared" si="50"/>
        <v>105500</v>
      </c>
      <c r="K795" s="1284">
        <v>105500</v>
      </c>
      <c r="L795" s="644">
        <f t="shared" si="51"/>
        <v>0</v>
      </c>
      <c r="M795" s="680">
        <v>0</v>
      </c>
      <c r="N795" s="651">
        <v>21396</v>
      </c>
    </row>
    <row r="796" spans="1:14" ht="15.95" customHeight="1" x14ac:dyDescent="0.15">
      <c r="A796" s="1286">
        <v>43374</v>
      </c>
      <c r="B796" s="640" t="str">
        <f t="shared" ca="1" si="48"/>
        <v>11</v>
      </c>
      <c r="C796" s="1285" t="s">
        <v>967</v>
      </c>
      <c r="D796" s="640" t="str">
        <f t="shared" ca="1" si="49"/>
        <v>01</v>
      </c>
      <c r="E796" s="1285" t="s">
        <v>83</v>
      </c>
      <c r="F796" s="641" t="str">
        <f>IF(G796="","",VLOOKUP(G796,リスト!J$2:K$3,2,FALSE))</f>
        <v>02</v>
      </c>
      <c r="G796" s="1285" t="s">
        <v>842</v>
      </c>
      <c r="H796" s="1284">
        <v>416868</v>
      </c>
      <c r="I796" s="1284">
        <v>-77415</v>
      </c>
      <c r="J796" s="644">
        <f t="shared" si="50"/>
        <v>339453</v>
      </c>
      <c r="K796" s="1284">
        <v>339453</v>
      </c>
      <c r="L796" s="644">
        <f t="shared" si="51"/>
        <v>0</v>
      </c>
      <c r="M796" s="680">
        <v>0</v>
      </c>
      <c r="N796" s="651">
        <v>0</v>
      </c>
    </row>
    <row r="797" spans="1:14" ht="15.95" customHeight="1" x14ac:dyDescent="0.15">
      <c r="A797" s="1286">
        <v>43374</v>
      </c>
      <c r="B797" s="640" t="str">
        <f t="shared" ca="1" si="48"/>
        <v>11</v>
      </c>
      <c r="C797" s="1285" t="s">
        <v>967</v>
      </c>
      <c r="D797" s="640" t="str">
        <f t="shared" ca="1" si="49"/>
        <v>02</v>
      </c>
      <c r="E797" s="1285" t="s">
        <v>84</v>
      </c>
      <c r="F797" s="641" t="str">
        <f>IF(G797="","",VLOOKUP(G797,リスト!J$2:K$3,2,FALSE))</f>
        <v>02</v>
      </c>
      <c r="G797" s="1285" t="s">
        <v>842</v>
      </c>
      <c r="H797" s="1284">
        <v>0</v>
      </c>
      <c r="I797" s="1284">
        <v>0</v>
      </c>
      <c r="J797" s="644">
        <f t="shared" si="50"/>
        <v>0</v>
      </c>
      <c r="K797" s="1284">
        <v>0</v>
      </c>
      <c r="L797" s="644">
        <f t="shared" si="51"/>
        <v>0</v>
      </c>
      <c r="M797" s="680">
        <v>0</v>
      </c>
      <c r="N797" s="651">
        <v>0</v>
      </c>
    </row>
    <row r="798" spans="1:14" ht="15.95" customHeight="1" x14ac:dyDescent="0.15">
      <c r="A798" s="1286">
        <v>43374</v>
      </c>
      <c r="B798" s="640" t="str">
        <f t="shared" ca="1" si="48"/>
        <v>12</v>
      </c>
      <c r="C798" s="1285" t="s">
        <v>1143</v>
      </c>
      <c r="D798" s="640" t="str">
        <f t="shared" ca="1" si="49"/>
        <v>01</v>
      </c>
      <c r="E798" s="1285" t="s">
        <v>83</v>
      </c>
      <c r="F798" s="641" t="str">
        <f>IF(G798="","",VLOOKUP(G798,リスト!J$2:K$3,2,FALSE))</f>
        <v>01</v>
      </c>
      <c r="G798" s="1285" t="s">
        <v>841</v>
      </c>
      <c r="H798" s="1284">
        <v>219733</v>
      </c>
      <c r="I798" s="1284">
        <v>-44906</v>
      </c>
      <c r="J798" s="644">
        <f t="shared" si="50"/>
        <v>174827</v>
      </c>
      <c r="K798" s="1284">
        <v>174827</v>
      </c>
      <c r="L798" s="644">
        <f t="shared" si="51"/>
        <v>0</v>
      </c>
      <c r="M798" s="680">
        <v>0</v>
      </c>
      <c r="N798" s="651">
        <v>13766</v>
      </c>
    </row>
    <row r="799" spans="1:14" ht="15.95" customHeight="1" x14ac:dyDescent="0.15">
      <c r="A799" s="1286">
        <v>43374</v>
      </c>
      <c r="B799" s="640" t="str">
        <f t="shared" ca="1" si="48"/>
        <v>12</v>
      </c>
      <c r="C799" s="1285" t="s">
        <v>1143</v>
      </c>
      <c r="D799" s="640" t="str">
        <f t="shared" ca="1" si="49"/>
        <v>02</v>
      </c>
      <c r="E799" s="1285" t="s">
        <v>84</v>
      </c>
      <c r="F799" s="641" t="str">
        <f>IF(G799="","",VLOOKUP(G799,リスト!J$2:K$3,2,FALSE))</f>
        <v>01</v>
      </c>
      <c r="G799" s="1285" t="s">
        <v>841</v>
      </c>
      <c r="H799" s="1284">
        <v>59457</v>
      </c>
      <c r="I799" s="1284">
        <v>0</v>
      </c>
      <c r="J799" s="644">
        <f t="shared" si="50"/>
        <v>59457</v>
      </c>
      <c r="K799" s="1284">
        <v>59457</v>
      </c>
      <c r="L799" s="644">
        <f t="shared" si="51"/>
        <v>0</v>
      </c>
      <c r="M799" s="680">
        <v>0</v>
      </c>
      <c r="N799" s="651">
        <v>13820</v>
      </c>
    </row>
    <row r="800" spans="1:14" ht="15.95" customHeight="1" x14ac:dyDescent="0.15">
      <c r="A800" s="1286">
        <v>43374</v>
      </c>
      <c r="B800" s="640" t="str">
        <f t="shared" ca="1" si="48"/>
        <v>12</v>
      </c>
      <c r="C800" s="1285" t="s">
        <v>1143</v>
      </c>
      <c r="D800" s="640" t="str">
        <f t="shared" ca="1" si="49"/>
        <v>01</v>
      </c>
      <c r="E800" s="1285" t="s">
        <v>83</v>
      </c>
      <c r="F800" s="641" t="str">
        <f>IF(G800="","",VLOOKUP(G800,リスト!J$2:K$3,2,FALSE))</f>
        <v>02</v>
      </c>
      <c r="G800" s="1285" t="s">
        <v>842</v>
      </c>
      <c r="H800" s="1284">
        <v>0</v>
      </c>
      <c r="I800" s="1284">
        <v>0</v>
      </c>
      <c r="J800" s="644">
        <f t="shared" si="50"/>
        <v>0</v>
      </c>
      <c r="K800" s="1284">
        <v>0</v>
      </c>
      <c r="L800" s="644">
        <f t="shared" si="51"/>
        <v>0</v>
      </c>
      <c r="M800" s="680">
        <v>0</v>
      </c>
      <c r="N800" s="651">
        <v>0</v>
      </c>
    </row>
    <row r="801" spans="1:14" ht="15.95" customHeight="1" x14ac:dyDescent="0.15">
      <c r="A801" s="1286">
        <v>43374</v>
      </c>
      <c r="B801" s="640" t="str">
        <f t="shared" ca="1" si="48"/>
        <v>12</v>
      </c>
      <c r="C801" s="1285" t="s">
        <v>1143</v>
      </c>
      <c r="D801" s="640" t="str">
        <f t="shared" ca="1" si="49"/>
        <v>02</v>
      </c>
      <c r="E801" s="1285" t="s">
        <v>84</v>
      </c>
      <c r="F801" s="641" t="str">
        <f>IF(G801="","",VLOOKUP(G801,リスト!J$2:K$3,2,FALSE))</f>
        <v>02</v>
      </c>
      <c r="G801" s="1285" t="s">
        <v>842</v>
      </c>
      <c r="H801" s="1284">
        <v>0</v>
      </c>
      <c r="I801" s="1284">
        <v>0</v>
      </c>
      <c r="J801" s="644">
        <f t="shared" si="50"/>
        <v>0</v>
      </c>
      <c r="K801" s="1284">
        <v>0</v>
      </c>
      <c r="L801" s="644">
        <f t="shared" si="51"/>
        <v>0</v>
      </c>
      <c r="M801" s="680">
        <v>0</v>
      </c>
      <c r="N801" s="651">
        <v>0</v>
      </c>
    </row>
    <row r="802" spans="1:14" ht="15.95" customHeight="1" x14ac:dyDescent="0.15">
      <c r="A802" s="1286">
        <v>43374</v>
      </c>
      <c r="B802" s="640" t="str">
        <f t="shared" ca="1" si="48"/>
        <v>04</v>
      </c>
      <c r="C802" s="1285" t="s">
        <v>358</v>
      </c>
      <c r="D802" s="640" t="str">
        <f t="shared" ca="1" si="49"/>
        <v>04</v>
      </c>
      <c r="E802" s="1285" t="s">
        <v>542</v>
      </c>
      <c r="F802" s="641" t="str">
        <f>IF(G802="","",VLOOKUP(G802,リスト!J$2:K$3,2,FALSE))</f>
        <v>01</v>
      </c>
      <c r="G802" s="1285" t="s">
        <v>841</v>
      </c>
      <c r="H802" s="1284">
        <v>4207155</v>
      </c>
      <c r="I802" s="1284">
        <v>-132809</v>
      </c>
      <c r="J802" s="644">
        <f t="shared" si="50"/>
        <v>4074346</v>
      </c>
      <c r="K802" s="1284">
        <v>4074346</v>
      </c>
      <c r="L802" s="644">
        <f t="shared" si="51"/>
        <v>0</v>
      </c>
      <c r="M802" s="680">
        <v>0</v>
      </c>
      <c r="N802" s="651">
        <v>234125</v>
      </c>
    </row>
    <row r="803" spans="1:14" ht="15.95" customHeight="1" x14ac:dyDescent="0.15">
      <c r="A803" s="1286">
        <v>43374</v>
      </c>
      <c r="B803" s="640" t="str">
        <f t="shared" ca="1" si="48"/>
        <v>04</v>
      </c>
      <c r="C803" s="1285" t="s">
        <v>358</v>
      </c>
      <c r="D803" s="640" t="str">
        <f t="shared" ca="1" si="49"/>
        <v>04</v>
      </c>
      <c r="E803" s="1285" t="s">
        <v>542</v>
      </c>
      <c r="F803" s="641" t="str">
        <f>IF(G803="","",VLOOKUP(G803,リスト!J$2:K$3,2,FALSE))</f>
        <v>02</v>
      </c>
      <c r="G803" s="1285" t="s">
        <v>842</v>
      </c>
      <c r="H803" s="1284">
        <v>312371</v>
      </c>
      <c r="I803" s="1284">
        <v>-184317</v>
      </c>
      <c r="J803" s="644">
        <f t="shared" si="50"/>
        <v>128054</v>
      </c>
      <c r="K803" s="1284">
        <v>128054</v>
      </c>
      <c r="L803" s="644">
        <f t="shared" si="51"/>
        <v>0</v>
      </c>
      <c r="M803" s="680">
        <v>0</v>
      </c>
      <c r="N803" s="651">
        <v>0</v>
      </c>
    </row>
    <row r="804" spans="1:14" ht="15.95" customHeight="1" x14ac:dyDescent="0.15">
      <c r="A804" s="1286">
        <v>43374</v>
      </c>
      <c r="B804" s="640" t="str">
        <f t="shared" ca="1" si="48"/>
        <v>05</v>
      </c>
      <c r="C804" s="1285" t="s">
        <v>38</v>
      </c>
      <c r="D804" s="640" t="str">
        <f t="shared" ca="1" si="49"/>
        <v>01</v>
      </c>
      <c r="E804" s="1285" t="s">
        <v>83</v>
      </c>
      <c r="F804" s="641" t="str">
        <f>IF(G804="","",VLOOKUP(G804,リスト!J$2:K$3,2,FALSE))</f>
        <v>01</v>
      </c>
      <c r="G804" s="1285" t="s">
        <v>841</v>
      </c>
      <c r="H804" s="1284">
        <v>1489051</v>
      </c>
      <c r="I804" s="1284">
        <v>0</v>
      </c>
      <c r="J804" s="644">
        <f t="shared" si="50"/>
        <v>1489051</v>
      </c>
      <c r="K804" s="1284">
        <v>1489051</v>
      </c>
      <c r="L804" s="644">
        <f t="shared" si="51"/>
        <v>0</v>
      </c>
      <c r="M804" s="680">
        <v>190845</v>
      </c>
      <c r="N804" s="651">
        <v>0</v>
      </c>
    </row>
    <row r="805" spans="1:14" ht="15.95" customHeight="1" x14ac:dyDescent="0.15">
      <c r="A805" s="1286">
        <v>43374</v>
      </c>
      <c r="B805" s="640" t="str">
        <f t="shared" ca="1" si="48"/>
        <v>05</v>
      </c>
      <c r="C805" s="1285" t="s">
        <v>38</v>
      </c>
      <c r="D805" s="640" t="str">
        <f t="shared" ca="1" si="49"/>
        <v>01</v>
      </c>
      <c r="E805" s="1285" t="s">
        <v>83</v>
      </c>
      <c r="F805" s="641" t="str">
        <f>IF(G805="","",VLOOKUP(G805,リスト!J$2:K$3,2,FALSE))</f>
        <v>02</v>
      </c>
      <c r="G805" s="1285" t="s">
        <v>842</v>
      </c>
      <c r="H805" s="1284">
        <v>129534</v>
      </c>
      <c r="I805" s="1284">
        <v>0</v>
      </c>
      <c r="J805" s="644">
        <f t="shared" si="50"/>
        <v>129534</v>
      </c>
      <c r="K805" s="1284">
        <v>129534</v>
      </c>
      <c r="L805" s="644">
        <f t="shared" si="51"/>
        <v>0</v>
      </c>
      <c r="M805" s="680">
        <v>0</v>
      </c>
      <c r="N805" s="651">
        <v>0</v>
      </c>
    </row>
    <row r="806" spans="1:14" ht="15.95" customHeight="1" x14ac:dyDescent="0.15">
      <c r="A806" s="1286">
        <v>43374</v>
      </c>
      <c r="B806" s="640" t="str">
        <f t="shared" ca="1" si="48"/>
        <v>07</v>
      </c>
      <c r="C806" s="1285" t="s">
        <v>119</v>
      </c>
      <c r="D806" s="640" t="str">
        <f t="shared" ca="1" si="49"/>
        <v>05</v>
      </c>
      <c r="E806" s="1285" t="s">
        <v>543</v>
      </c>
      <c r="F806" s="641" t="str">
        <f>IF(G806="","",VLOOKUP(G806,リスト!J$2:K$3,2,FALSE))</f>
        <v>01</v>
      </c>
      <c r="G806" s="1285" t="s">
        <v>841</v>
      </c>
      <c r="H806" s="1284">
        <v>1101110</v>
      </c>
      <c r="I806" s="1284">
        <v>0</v>
      </c>
      <c r="J806" s="644">
        <f t="shared" si="50"/>
        <v>1101110</v>
      </c>
      <c r="K806" s="1284">
        <v>1101110</v>
      </c>
      <c r="L806" s="644">
        <f t="shared" si="51"/>
        <v>0</v>
      </c>
      <c r="M806" s="680">
        <v>0</v>
      </c>
      <c r="N806" s="651">
        <v>306754</v>
      </c>
    </row>
    <row r="807" spans="1:14" ht="15.95" customHeight="1" x14ac:dyDescent="0.15">
      <c r="A807" s="1286">
        <v>43374</v>
      </c>
      <c r="B807" s="640" t="str">
        <f t="shared" ca="1" si="48"/>
        <v>07</v>
      </c>
      <c r="C807" s="1285" t="s">
        <v>119</v>
      </c>
      <c r="D807" s="640" t="str">
        <f t="shared" ca="1" si="49"/>
        <v>05</v>
      </c>
      <c r="E807" s="1285" t="s">
        <v>543</v>
      </c>
      <c r="F807" s="641" t="str">
        <f>IF(G807="","",VLOOKUP(G807,リスト!J$2:K$3,2,FALSE))</f>
        <v>02</v>
      </c>
      <c r="G807" s="1285" t="s">
        <v>842</v>
      </c>
      <c r="H807" s="1284">
        <v>0</v>
      </c>
      <c r="I807" s="1284">
        <v>0</v>
      </c>
      <c r="J807" s="644">
        <f t="shared" si="50"/>
        <v>0</v>
      </c>
      <c r="K807" s="1284">
        <v>0</v>
      </c>
      <c r="L807" s="644">
        <f t="shared" si="51"/>
        <v>0</v>
      </c>
      <c r="M807" s="680">
        <v>0</v>
      </c>
      <c r="N807" s="651">
        <v>0</v>
      </c>
    </row>
    <row r="808" spans="1:14" ht="15.95" customHeight="1" x14ac:dyDescent="0.15">
      <c r="A808" s="1286">
        <v>43374</v>
      </c>
      <c r="B808" s="640" t="str">
        <f t="shared" ca="1" si="48"/>
        <v>08</v>
      </c>
      <c r="C808" s="1285" t="s">
        <v>189</v>
      </c>
      <c r="D808" s="640" t="str">
        <f t="shared" ca="1" si="49"/>
        <v>05</v>
      </c>
      <c r="E808" s="1285" t="s">
        <v>543</v>
      </c>
      <c r="F808" s="641" t="str">
        <f>IF(G808="","",VLOOKUP(G808,リスト!J$2:K$3,2,FALSE))</f>
        <v>01</v>
      </c>
      <c r="G808" s="1285" t="s">
        <v>841</v>
      </c>
      <c r="H808" s="1284">
        <v>1019657</v>
      </c>
      <c r="I808" s="1284">
        <v>0</v>
      </c>
      <c r="J808" s="644">
        <f t="shared" si="50"/>
        <v>1019657</v>
      </c>
      <c r="K808" s="1284">
        <v>1019657</v>
      </c>
      <c r="L808" s="644">
        <f t="shared" si="51"/>
        <v>0</v>
      </c>
      <c r="M808" s="680">
        <v>0</v>
      </c>
      <c r="N808" s="651">
        <v>0</v>
      </c>
    </row>
    <row r="809" spans="1:14" ht="15.95" customHeight="1" x14ac:dyDescent="0.15">
      <c r="A809" s="1286">
        <v>43374</v>
      </c>
      <c r="B809" s="640" t="str">
        <f t="shared" ca="1" si="48"/>
        <v>08</v>
      </c>
      <c r="C809" s="1285" t="s">
        <v>189</v>
      </c>
      <c r="D809" s="640" t="str">
        <f t="shared" ca="1" si="49"/>
        <v>05</v>
      </c>
      <c r="E809" s="1285" t="s">
        <v>543</v>
      </c>
      <c r="F809" s="641" t="str">
        <f>IF(G809="","",VLOOKUP(G809,リスト!J$2:K$3,2,FALSE))</f>
        <v>02</v>
      </c>
      <c r="G809" s="1285" t="s">
        <v>842</v>
      </c>
      <c r="H809" s="1284">
        <v>0</v>
      </c>
      <c r="I809" s="1284">
        <v>0</v>
      </c>
      <c r="J809" s="644">
        <f t="shared" si="50"/>
        <v>0</v>
      </c>
      <c r="K809" s="1284">
        <v>0</v>
      </c>
      <c r="L809" s="644">
        <f t="shared" si="51"/>
        <v>0</v>
      </c>
      <c r="M809" s="680">
        <v>0</v>
      </c>
      <c r="N809" s="651">
        <v>0</v>
      </c>
    </row>
    <row r="810" spans="1:14" ht="15.95" customHeight="1" x14ac:dyDescent="0.15">
      <c r="A810" s="1286">
        <v>43374</v>
      </c>
      <c r="B810" s="640" t="str">
        <f t="shared" ca="1" si="48"/>
        <v>09</v>
      </c>
      <c r="C810" s="1285" t="s">
        <v>329</v>
      </c>
      <c r="D810" s="640" t="str">
        <f t="shared" ca="1" si="49"/>
        <v>05</v>
      </c>
      <c r="E810" s="1285" t="s">
        <v>543</v>
      </c>
      <c r="F810" s="641" t="str">
        <f>IF(G810="","",VLOOKUP(G810,リスト!J$2:K$3,2,FALSE))</f>
        <v>01</v>
      </c>
      <c r="G810" s="1285" t="s">
        <v>841</v>
      </c>
      <c r="H810" s="1284">
        <v>2500912</v>
      </c>
      <c r="I810" s="1284">
        <v>0</v>
      </c>
      <c r="J810" s="644">
        <f t="shared" si="50"/>
        <v>2500912</v>
      </c>
      <c r="K810" s="1284">
        <v>2500912</v>
      </c>
      <c r="L810" s="644">
        <f t="shared" si="51"/>
        <v>0</v>
      </c>
      <c r="M810" s="680">
        <v>0</v>
      </c>
      <c r="N810" s="651">
        <v>0</v>
      </c>
    </row>
    <row r="811" spans="1:14" ht="15.95" customHeight="1" x14ac:dyDescent="0.15">
      <c r="A811" s="1286">
        <v>43374</v>
      </c>
      <c r="B811" s="640" t="str">
        <f t="shared" ca="1" si="48"/>
        <v>09</v>
      </c>
      <c r="C811" s="1285" t="s">
        <v>329</v>
      </c>
      <c r="D811" s="640" t="str">
        <f t="shared" ca="1" si="49"/>
        <v>05</v>
      </c>
      <c r="E811" s="1285" t="s">
        <v>543</v>
      </c>
      <c r="F811" s="641" t="str">
        <f>IF(G811="","",VLOOKUP(G811,リスト!J$2:K$3,2,FALSE))</f>
        <v>02</v>
      </c>
      <c r="G811" s="1285" t="s">
        <v>842</v>
      </c>
      <c r="H811" s="1284">
        <v>0</v>
      </c>
      <c r="I811" s="1284">
        <v>0</v>
      </c>
      <c r="J811" s="644">
        <f t="shared" si="50"/>
        <v>0</v>
      </c>
      <c r="K811" s="1284">
        <v>0</v>
      </c>
      <c r="L811" s="644">
        <f t="shared" si="51"/>
        <v>0</v>
      </c>
      <c r="M811" s="680">
        <v>0</v>
      </c>
      <c r="N811" s="651">
        <v>0</v>
      </c>
    </row>
    <row r="812" spans="1:14" ht="15.95" customHeight="1" x14ac:dyDescent="0.15">
      <c r="A812" s="1286">
        <v>43405</v>
      </c>
      <c r="B812" s="640" t="str">
        <f t="shared" ca="1" si="48"/>
        <v>01</v>
      </c>
      <c r="C812" s="1285" t="s">
        <v>34</v>
      </c>
      <c r="D812" s="640" t="str">
        <f t="shared" ca="1" si="49"/>
        <v>01</v>
      </c>
      <c r="E812" s="1285" t="s">
        <v>83</v>
      </c>
      <c r="F812" s="641" t="str">
        <f>IF(G812="","",VLOOKUP(G812,リスト!J$2:K$3,2,FALSE))</f>
        <v>01</v>
      </c>
      <c r="G812" s="1285" t="s">
        <v>841</v>
      </c>
      <c r="H812" s="1284">
        <v>8903706</v>
      </c>
      <c r="I812" s="1284">
        <v>-10753</v>
      </c>
      <c r="J812" s="644">
        <f t="shared" si="50"/>
        <v>8892953</v>
      </c>
      <c r="K812" s="1284">
        <v>8892953</v>
      </c>
      <c r="L812" s="644">
        <f t="shared" si="51"/>
        <v>0</v>
      </c>
      <c r="M812" s="680">
        <v>50700</v>
      </c>
      <c r="N812" s="651">
        <v>1441337</v>
      </c>
    </row>
    <row r="813" spans="1:14" ht="15.95" customHeight="1" x14ac:dyDescent="0.15">
      <c r="A813" s="1286">
        <v>43405</v>
      </c>
      <c r="B813" s="640" t="str">
        <f t="shared" ca="1" si="48"/>
        <v>01</v>
      </c>
      <c r="C813" s="1285" t="s">
        <v>34</v>
      </c>
      <c r="D813" s="640" t="str">
        <f t="shared" ca="1" si="49"/>
        <v>03</v>
      </c>
      <c r="E813" s="1285" t="s">
        <v>98</v>
      </c>
      <c r="F813" s="641" t="str">
        <f>IF(G813="","",VLOOKUP(G813,リスト!J$2:K$3,2,FALSE))</f>
        <v>01</v>
      </c>
      <c r="G813" s="1285" t="s">
        <v>841</v>
      </c>
      <c r="H813" s="1284">
        <v>707246</v>
      </c>
      <c r="I813" s="1284">
        <v>-14477</v>
      </c>
      <c r="J813" s="644">
        <f t="shared" si="50"/>
        <v>692769</v>
      </c>
      <c r="K813" s="1284">
        <v>692769</v>
      </c>
      <c r="L813" s="644">
        <f t="shared" si="51"/>
        <v>0</v>
      </c>
      <c r="M813" s="680">
        <v>0</v>
      </c>
      <c r="N813" s="651">
        <v>0</v>
      </c>
    </row>
    <row r="814" spans="1:14" ht="15.95" customHeight="1" x14ac:dyDescent="0.15">
      <c r="A814" s="1286">
        <v>43405</v>
      </c>
      <c r="B814" s="640" t="str">
        <f t="shared" ca="1" si="48"/>
        <v>01</v>
      </c>
      <c r="C814" s="1285" t="s">
        <v>34</v>
      </c>
      <c r="D814" s="640" t="str">
        <f t="shared" ca="1" si="49"/>
        <v>02</v>
      </c>
      <c r="E814" s="1285" t="s">
        <v>84</v>
      </c>
      <c r="F814" s="641" t="str">
        <f>IF(G814="","",VLOOKUP(G814,リスト!J$2:K$3,2,FALSE))</f>
        <v>01</v>
      </c>
      <c r="G814" s="1285" t="s">
        <v>841</v>
      </c>
      <c r="H814" s="1284">
        <v>2032310</v>
      </c>
      <c r="I814" s="1284">
        <v>-561163</v>
      </c>
      <c r="J814" s="644">
        <f t="shared" si="50"/>
        <v>1471147</v>
      </c>
      <c r="K814" s="1284">
        <v>1471147</v>
      </c>
      <c r="L814" s="644">
        <f t="shared" si="51"/>
        <v>0</v>
      </c>
      <c r="M814" s="680">
        <v>92442</v>
      </c>
      <c r="N814" s="651">
        <v>403228</v>
      </c>
    </row>
    <row r="815" spans="1:14" ht="15.95" customHeight="1" x14ac:dyDescent="0.15">
      <c r="A815" s="1286">
        <v>43405</v>
      </c>
      <c r="B815" s="640" t="str">
        <f t="shared" ca="1" si="48"/>
        <v>01</v>
      </c>
      <c r="C815" s="1285" t="s">
        <v>34</v>
      </c>
      <c r="D815" s="640" t="str">
        <f t="shared" ca="1" si="49"/>
        <v>01</v>
      </c>
      <c r="E815" s="1285" t="s">
        <v>83</v>
      </c>
      <c r="F815" s="641" t="str">
        <f>IF(G815="","",VLOOKUP(G815,リスト!J$2:K$3,2,FALSE))</f>
        <v>02</v>
      </c>
      <c r="G815" s="1285" t="s">
        <v>842</v>
      </c>
      <c r="H815" s="1284">
        <v>334180</v>
      </c>
      <c r="I815" s="1284">
        <v>-3317</v>
      </c>
      <c r="J815" s="644">
        <f t="shared" si="50"/>
        <v>330863</v>
      </c>
      <c r="K815" s="1284">
        <v>330863</v>
      </c>
      <c r="L815" s="644">
        <f t="shared" si="51"/>
        <v>0</v>
      </c>
      <c r="M815" s="680">
        <v>0</v>
      </c>
      <c r="N815" s="651">
        <v>0</v>
      </c>
    </row>
    <row r="816" spans="1:14" ht="15.95" customHeight="1" x14ac:dyDescent="0.15">
      <c r="A816" s="1286">
        <v>43405</v>
      </c>
      <c r="B816" s="640" t="str">
        <f t="shared" ca="1" si="48"/>
        <v>01</v>
      </c>
      <c r="C816" s="1285" t="s">
        <v>34</v>
      </c>
      <c r="D816" s="640" t="str">
        <f t="shared" ca="1" si="49"/>
        <v>03</v>
      </c>
      <c r="E816" s="1285" t="s">
        <v>98</v>
      </c>
      <c r="F816" s="641" t="str">
        <f>IF(G816="","",VLOOKUP(G816,リスト!J$2:K$3,2,FALSE))</f>
        <v>02</v>
      </c>
      <c r="G816" s="1285" t="s">
        <v>842</v>
      </c>
      <c r="H816" s="1284">
        <v>28954</v>
      </c>
      <c r="I816" s="1284">
        <v>-14477</v>
      </c>
      <c r="J816" s="644">
        <f t="shared" si="50"/>
        <v>14477</v>
      </c>
      <c r="K816" s="1284">
        <v>14477</v>
      </c>
      <c r="L816" s="644">
        <f t="shared" si="51"/>
        <v>0</v>
      </c>
      <c r="M816" s="680">
        <v>0</v>
      </c>
      <c r="N816" s="651">
        <v>0</v>
      </c>
    </row>
    <row r="817" spans="1:14" ht="15.95" customHeight="1" x14ac:dyDescent="0.15">
      <c r="A817" s="1286">
        <v>43405</v>
      </c>
      <c r="B817" s="640" t="str">
        <f t="shared" ca="1" si="48"/>
        <v>01</v>
      </c>
      <c r="C817" s="1285" t="s">
        <v>34</v>
      </c>
      <c r="D817" s="640" t="str">
        <f t="shared" ca="1" si="49"/>
        <v>02</v>
      </c>
      <c r="E817" s="1285" t="s">
        <v>84</v>
      </c>
      <c r="F817" s="641" t="str">
        <f>IF(G817="","",VLOOKUP(G817,リスト!J$2:K$3,2,FALSE))</f>
        <v>02</v>
      </c>
      <c r="G817" s="1285" t="s">
        <v>842</v>
      </c>
      <c r="H817" s="1284">
        <v>553563</v>
      </c>
      <c r="I817" s="1284">
        <v>0</v>
      </c>
      <c r="J817" s="644">
        <f t="shared" si="50"/>
        <v>553563</v>
      </c>
      <c r="K817" s="1284">
        <v>553563</v>
      </c>
      <c r="L817" s="644">
        <f t="shared" si="51"/>
        <v>0</v>
      </c>
      <c r="M817" s="680">
        <v>0</v>
      </c>
      <c r="N817" s="651">
        <v>0</v>
      </c>
    </row>
    <row r="818" spans="1:14" ht="15.95" customHeight="1" x14ac:dyDescent="0.15">
      <c r="A818" s="1286">
        <v>43405</v>
      </c>
      <c r="B818" s="640" t="str">
        <f t="shared" ca="1" si="48"/>
        <v>02</v>
      </c>
      <c r="C818" s="1285" t="s">
        <v>37</v>
      </c>
      <c r="D818" s="640" t="str">
        <f t="shared" ca="1" si="49"/>
        <v>01</v>
      </c>
      <c r="E818" s="1285" t="s">
        <v>83</v>
      </c>
      <c r="F818" s="641" t="str">
        <f>IF(G818="","",VLOOKUP(G818,リスト!J$2:K$3,2,FALSE))</f>
        <v>01</v>
      </c>
      <c r="G818" s="1285" t="s">
        <v>841</v>
      </c>
      <c r="H818" s="1284">
        <v>4733216</v>
      </c>
      <c r="I818" s="1284">
        <v>-14939</v>
      </c>
      <c r="J818" s="644">
        <f t="shared" si="50"/>
        <v>4718277</v>
      </c>
      <c r="K818" s="1284">
        <v>4718277</v>
      </c>
      <c r="L818" s="644">
        <f t="shared" si="51"/>
        <v>0</v>
      </c>
      <c r="M818" s="680">
        <v>55977</v>
      </c>
      <c r="N818" s="651">
        <v>511579</v>
      </c>
    </row>
    <row r="819" spans="1:14" ht="15.95" customHeight="1" x14ac:dyDescent="0.15">
      <c r="A819" s="1286">
        <v>43405</v>
      </c>
      <c r="B819" s="640" t="str">
        <f t="shared" ca="1" si="48"/>
        <v>02</v>
      </c>
      <c r="C819" s="1285" t="s">
        <v>37</v>
      </c>
      <c r="D819" s="640" t="str">
        <f t="shared" ca="1" si="49"/>
        <v>03</v>
      </c>
      <c r="E819" s="1285" t="s">
        <v>98</v>
      </c>
      <c r="F819" s="641" t="str">
        <f>IF(G819="","",VLOOKUP(G819,リスト!J$2:K$3,2,FALSE))</f>
        <v>01</v>
      </c>
      <c r="G819" s="1285" t="s">
        <v>841</v>
      </c>
      <c r="H819" s="1284">
        <v>562631</v>
      </c>
      <c r="I819" s="1284">
        <v>0</v>
      </c>
      <c r="J819" s="644">
        <f t="shared" si="50"/>
        <v>562631</v>
      </c>
      <c r="K819" s="1284">
        <v>562631</v>
      </c>
      <c r="L819" s="644">
        <f t="shared" si="51"/>
        <v>0</v>
      </c>
      <c r="M819" s="680">
        <v>31846</v>
      </c>
      <c r="N819" s="651">
        <v>0</v>
      </c>
    </row>
    <row r="820" spans="1:14" ht="15.95" customHeight="1" x14ac:dyDescent="0.15">
      <c r="A820" s="1286">
        <v>43405</v>
      </c>
      <c r="B820" s="640" t="str">
        <f t="shared" ca="1" si="48"/>
        <v>02</v>
      </c>
      <c r="C820" s="1285" t="s">
        <v>37</v>
      </c>
      <c r="D820" s="640" t="str">
        <f t="shared" ca="1" si="49"/>
        <v>02</v>
      </c>
      <c r="E820" s="1285" t="s">
        <v>84</v>
      </c>
      <c r="F820" s="641" t="str">
        <f>IF(G820="","",VLOOKUP(G820,リスト!J$2:K$3,2,FALSE))</f>
        <v>01</v>
      </c>
      <c r="G820" s="1285" t="s">
        <v>841</v>
      </c>
      <c r="H820" s="1284">
        <v>1408921</v>
      </c>
      <c r="I820" s="1284">
        <v>-205060</v>
      </c>
      <c r="J820" s="644">
        <f t="shared" si="50"/>
        <v>1203861</v>
      </c>
      <c r="K820" s="1284">
        <v>1203861</v>
      </c>
      <c r="L820" s="644">
        <f t="shared" si="51"/>
        <v>0</v>
      </c>
      <c r="M820" s="680">
        <v>0</v>
      </c>
      <c r="N820" s="651">
        <v>360429</v>
      </c>
    </row>
    <row r="821" spans="1:14" ht="15.95" customHeight="1" x14ac:dyDescent="0.15">
      <c r="A821" s="1286">
        <v>43405</v>
      </c>
      <c r="B821" s="640" t="str">
        <f t="shared" ca="1" si="48"/>
        <v>02</v>
      </c>
      <c r="C821" s="1285" t="s">
        <v>37</v>
      </c>
      <c r="D821" s="640" t="str">
        <f t="shared" ca="1" si="49"/>
        <v>01</v>
      </c>
      <c r="E821" s="1285" t="s">
        <v>83</v>
      </c>
      <c r="F821" s="641" t="str">
        <f>IF(G821="","",VLOOKUP(G821,リスト!J$2:K$3,2,FALSE))</f>
        <v>02</v>
      </c>
      <c r="G821" s="1285" t="s">
        <v>842</v>
      </c>
      <c r="H821" s="1284">
        <v>0</v>
      </c>
      <c r="I821" s="1284">
        <v>397</v>
      </c>
      <c r="J821" s="644">
        <f t="shared" si="50"/>
        <v>397</v>
      </c>
      <c r="K821" s="1284">
        <v>397</v>
      </c>
      <c r="L821" s="644">
        <f t="shared" si="51"/>
        <v>0</v>
      </c>
      <c r="M821" s="680">
        <v>0</v>
      </c>
      <c r="N821" s="651">
        <v>0</v>
      </c>
    </row>
    <row r="822" spans="1:14" ht="15.95" customHeight="1" x14ac:dyDescent="0.15">
      <c r="A822" s="1286">
        <v>43405</v>
      </c>
      <c r="B822" s="640" t="str">
        <f t="shared" ca="1" si="48"/>
        <v>02</v>
      </c>
      <c r="C822" s="1285" t="s">
        <v>37</v>
      </c>
      <c r="D822" s="640" t="str">
        <f t="shared" ca="1" si="49"/>
        <v>03</v>
      </c>
      <c r="E822" s="1285" t="s">
        <v>98</v>
      </c>
      <c r="F822" s="641" t="str">
        <f>IF(G822="","",VLOOKUP(G822,リスト!J$2:K$3,2,FALSE))</f>
        <v>02</v>
      </c>
      <c r="G822" s="1285" t="s">
        <v>842</v>
      </c>
      <c r="H822" s="1284">
        <v>60298</v>
      </c>
      <c r="I822" s="1284">
        <v>0</v>
      </c>
      <c r="J822" s="644">
        <f t="shared" si="50"/>
        <v>60298</v>
      </c>
      <c r="K822" s="1284">
        <v>60298</v>
      </c>
      <c r="L822" s="644">
        <f t="shared" si="51"/>
        <v>0</v>
      </c>
      <c r="M822" s="680">
        <v>0</v>
      </c>
      <c r="N822" s="651">
        <v>0</v>
      </c>
    </row>
    <row r="823" spans="1:14" ht="15.95" customHeight="1" x14ac:dyDescent="0.15">
      <c r="A823" s="1286">
        <v>43405</v>
      </c>
      <c r="B823" s="640" t="str">
        <f t="shared" ca="1" si="48"/>
        <v>02</v>
      </c>
      <c r="C823" s="1285" t="s">
        <v>37</v>
      </c>
      <c r="D823" s="640" t="str">
        <f t="shared" ca="1" si="49"/>
        <v>02</v>
      </c>
      <c r="E823" s="1285" t="s">
        <v>84</v>
      </c>
      <c r="F823" s="641" t="str">
        <f>IF(G823="","",VLOOKUP(G823,リスト!J$2:K$3,2,FALSE))</f>
        <v>02</v>
      </c>
      <c r="G823" s="1285" t="s">
        <v>842</v>
      </c>
      <c r="H823" s="1284">
        <v>547953</v>
      </c>
      <c r="I823" s="1284">
        <v>-196962</v>
      </c>
      <c r="J823" s="644">
        <f t="shared" si="50"/>
        <v>350991</v>
      </c>
      <c r="K823" s="1284">
        <v>350991</v>
      </c>
      <c r="L823" s="644">
        <f t="shared" si="51"/>
        <v>0</v>
      </c>
      <c r="M823" s="680">
        <v>0</v>
      </c>
      <c r="N823" s="651">
        <v>0</v>
      </c>
    </row>
    <row r="824" spans="1:14" ht="15.95" customHeight="1" x14ac:dyDescent="0.15">
      <c r="A824" s="1286">
        <v>43405</v>
      </c>
      <c r="B824" s="640" t="str">
        <f t="shared" ca="1" si="48"/>
        <v>03</v>
      </c>
      <c r="C824" s="1285" t="s">
        <v>66</v>
      </c>
      <c r="D824" s="640" t="str">
        <f t="shared" ca="1" si="49"/>
        <v>01</v>
      </c>
      <c r="E824" s="1285" t="s">
        <v>83</v>
      </c>
      <c r="F824" s="641" t="str">
        <f>IF(G824="","",VLOOKUP(G824,リスト!J$2:K$3,2,FALSE))</f>
        <v>01</v>
      </c>
      <c r="G824" s="1285" t="s">
        <v>841</v>
      </c>
      <c r="H824" s="1284">
        <v>4496022</v>
      </c>
      <c r="I824" s="1284">
        <v>0</v>
      </c>
      <c r="J824" s="644">
        <f t="shared" si="50"/>
        <v>4496022</v>
      </c>
      <c r="K824" s="1284">
        <v>4496022</v>
      </c>
      <c r="L824" s="644">
        <f t="shared" si="51"/>
        <v>0</v>
      </c>
      <c r="M824" s="680">
        <v>26133</v>
      </c>
      <c r="N824" s="651">
        <v>525065</v>
      </c>
    </row>
    <row r="825" spans="1:14" ht="15.95" customHeight="1" x14ac:dyDescent="0.15">
      <c r="A825" s="1286">
        <v>43405</v>
      </c>
      <c r="B825" s="640" t="str">
        <f t="shared" ca="1" si="48"/>
        <v>03</v>
      </c>
      <c r="C825" s="1285" t="s">
        <v>66</v>
      </c>
      <c r="D825" s="640" t="str">
        <f t="shared" ca="1" si="49"/>
        <v>02</v>
      </c>
      <c r="E825" s="1285" t="s">
        <v>84</v>
      </c>
      <c r="F825" s="641" t="str">
        <f>IF(G825="","",VLOOKUP(G825,リスト!J$2:K$3,2,FALSE))</f>
        <v>01</v>
      </c>
      <c r="G825" s="1285" t="s">
        <v>841</v>
      </c>
      <c r="H825" s="1284">
        <v>1912543</v>
      </c>
      <c r="I825" s="1284">
        <v>-283388</v>
      </c>
      <c r="J825" s="644">
        <f t="shared" si="50"/>
        <v>1629155</v>
      </c>
      <c r="K825" s="1284">
        <v>1629155</v>
      </c>
      <c r="L825" s="644">
        <f t="shared" si="51"/>
        <v>0</v>
      </c>
      <c r="M825" s="680">
        <v>0</v>
      </c>
      <c r="N825" s="651">
        <v>405773</v>
      </c>
    </row>
    <row r="826" spans="1:14" ht="15.95" customHeight="1" x14ac:dyDescent="0.15">
      <c r="A826" s="1286">
        <v>43405</v>
      </c>
      <c r="B826" s="640" t="str">
        <f t="shared" ca="1" si="48"/>
        <v>03</v>
      </c>
      <c r="C826" s="1285" t="s">
        <v>66</v>
      </c>
      <c r="D826" s="640" t="str">
        <f t="shared" ca="1" si="49"/>
        <v>01</v>
      </c>
      <c r="E826" s="1285" t="s">
        <v>83</v>
      </c>
      <c r="F826" s="641" t="str">
        <f>IF(G826="","",VLOOKUP(G826,リスト!J$2:K$3,2,FALSE))</f>
        <v>02</v>
      </c>
      <c r="G826" s="1285" t="s">
        <v>842</v>
      </c>
      <c r="H826" s="1284">
        <v>496066</v>
      </c>
      <c r="I826" s="1284">
        <v>0</v>
      </c>
      <c r="J826" s="644">
        <f t="shared" si="50"/>
        <v>496066</v>
      </c>
      <c r="K826" s="1284">
        <v>496066</v>
      </c>
      <c r="L826" s="644">
        <f t="shared" si="51"/>
        <v>0</v>
      </c>
      <c r="M826" s="680">
        <v>0</v>
      </c>
      <c r="N826" s="651">
        <v>0</v>
      </c>
    </row>
    <row r="827" spans="1:14" ht="15.95" customHeight="1" x14ac:dyDescent="0.15">
      <c r="A827" s="1286">
        <v>43405</v>
      </c>
      <c r="B827" s="640" t="str">
        <f t="shared" ca="1" si="48"/>
        <v>03</v>
      </c>
      <c r="C827" s="1285" t="s">
        <v>66</v>
      </c>
      <c r="D827" s="640" t="str">
        <f t="shared" ca="1" si="49"/>
        <v>02</v>
      </c>
      <c r="E827" s="1285" t="s">
        <v>84</v>
      </c>
      <c r="F827" s="641" t="str">
        <f>IF(G827="","",VLOOKUP(G827,リスト!J$2:K$3,2,FALSE))</f>
        <v>02</v>
      </c>
      <c r="G827" s="1285" t="s">
        <v>842</v>
      </c>
      <c r="H827" s="1284">
        <v>115768</v>
      </c>
      <c r="I827" s="1284">
        <v>0</v>
      </c>
      <c r="J827" s="644">
        <f t="shared" si="50"/>
        <v>115768</v>
      </c>
      <c r="K827" s="1284">
        <v>115768</v>
      </c>
      <c r="L827" s="644">
        <f t="shared" si="51"/>
        <v>0</v>
      </c>
      <c r="M827" s="680">
        <v>0</v>
      </c>
      <c r="N827" s="651">
        <v>0</v>
      </c>
    </row>
    <row r="828" spans="1:14" ht="15.95" customHeight="1" x14ac:dyDescent="0.15">
      <c r="A828" s="1286">
        <v>43405</v>
      </c>
      <c r="B828" s="640" t="str">
        <f t="shared" ca="1" si="48"/>
        <v>11</v>
      </c>
      <c r="C828" s="1285" t="s">
        <v>967</v>
      </c>
      <c r="D828" s="640" t="str">
        <f t="shared" ca="1" si="49"/>
        <v>01</v>
      </c>
      <c r="E828" s="1285" t="s">
        <v>83</v>
      </c>
      <c r="F828" s="641" t="str">
        <f>IF(G828="","",VLOOKUP(G828,リスト!J$2:K$3,2,FALSE))</f>
        <v>01</v>
      </c>
      <c r="G828" s="1285" t="s">
        <v>841</v>
      </c>
      <c r="H828" s="1284">
        <v>1178265</v>
      </c>
      <c r="I828" s="1284">
        <v>-69349</v>
      </c>
      <c r="J828" s="644">
        <f t="shared" si="50"/>
        <v>1108916</v>
      </c>
      <c r="K828" s="1284">
        <v>1108916</v>
      </c>
      <c r="L828" s="644">
        <f t="shared" si="51"/>
        <v>0</v>
      </c>
      <c r="M828" s="680">
        <v>0</v>
      </c>
      <c r="N828" s="651">
        <v>104897</v>
      </c>
    </row>
    <row r="829" spans="1:14" ht="15.95" customHeight="1" x14ac:dyDescent="0.15">
      <c r="A829" s="1286">
        <v>43405</v>
      </c>
      <c r="B829" s="640" t="str">
        <f t="shared" ca="1" si="48"/>
        <v>11</v>
      </c>
      <c r="C829" s="1285" t="s">
        <v>967</v>
      </c>
      <c r="D829" s="640" t="str">
        <f t="shared" ca="1" si="49"/>
        <v>02</v>
      </c>
      <c r="E829" s="1285" t="s">
        <v>84</v>
      </c>
      <c r="F829" s="641" t="str">
        <f>IF(G829="","",VLOOKUP(G829,リスト!J$2:K$3,2,FALSE))</f>
        <v>01</v>
      </c>
      <c r="G829" s="1285" t="s">
        <v>841</v>
      </c>
      <c r="H829" s="1284">
        <v>108944</v>
      </c>
      <c r="I829" s="1284">
        <v>0</v>
      </c>
      <c r="J829" s="644">
        <f t="shared" si="50"/>
        <v>108944</v>
      </c>
      <c r="K829" s="1284">
        <v>108944</v>
      </c>
      <c r="L829" s="644">
        <f t="shared" si="51"/>
        <v>0</v>
      </c>
      <c r="M829" s="680">
        <v>0</v>
      </c>
      <c r="N829" s="651">
        <v>18551</v>
      </c>
    </row>
    <row r="830" spans="1:14" ht="15.95" customHeight="1" x14ac:dyDescent="0.15">
      <c r="A830" s="1286">
        <v>43405</v>
      </c>
      <c r="B830" s="640" t="str">
        <f t="shared" ca="1" si="48"/>
        <v>11</v>
      </c>
      <c r="C830" s="1285" t="s">
        <v>967</v>
      </c>
      <c r="D830" s="640" t="str">
        <f t="shared" ca="1" si="49"/>
        <v>01</v>
      </c>
      <c r="E830" s="1285" t="s">
        <v>83</v>
      </c>
      <c r="F830" s="641" t="str">
        <f>IF(G830="","",VLOOKUP(G830,リスト!J$2:K$3,2,FALSE))</f>
        <v>02</v>
      </c>
      <c r="G830" s="1285" t="s">
        <v>842</v>
      </c>
      <c r="H830" s="1284">
        <v>245618</v>
      </c>
      <c r="I830" s="1284">
        <v>-172932</v>
      </c>
      <c r="J830" s="644">
        <f t="shared" si="50"/>
        <v>72686</v>
      </c>
      <c r="K830" s="1284">
        <v>72686</v>
      </c>
      <c r="L830" s="644">
        <f t="shared" si="51"/>
        <v>0</v>
      </c>
      <c r="M830" s="680">
        <v>0</v>
      </c>
      <c r="N830" s="651">
        <v>0</v>
      </c>
    </row>
    <row r="831" spans="1:14" ht="15.95" customHeight="1" x14ac:dyDescent="0.15">
      <c r="A831" s="1286">
        <v>43405</v>
      </c>
      <c r="B831" s="640" t="str">
        <f t="shared" ca="1" si="48"/>
        <v>11</v>
      </c>
      <c r="C831" s="1285" t="s">
        <v>967</v>
      </c>
      <c r="D831" s="640" t="str">
        <f t="shared" ca="1" si="49"/>
        <v>02</v>
      </c>
      <c r="E831" s="1285" t="s">
        <v>84</v>
      </c>
      <c r="F831" s="641" t="str">
        <f>IF(G831="","",VLOOKUP(G831,リスト!J$2:K$3,2,FALSE))</f>
        <v>02</v>
      </c>
      <c r="G831" s="1285" t="s">
        <v>842</v>
      </c>
      <c r="H831" s="1284">
        <v>102731</v>
      </c>
      <c r="I831" s="1284">
        <v>-119213</v>
      </c>
      <c r="J831" s="644">
        <f t="shared" si="50"/>
        <v>-16482</v>
      </c>
      <c r="K831" s="1284">
        <v>-16482</v>
      </c>
      <c r="L831" s="644">
        <f t="shared" si="51"/>
        <v>0</v>
      </c>
      <c r="M831" s="680">
        <v>0</v>
      </c>
      <c r="N831" s="651">
        <v>0</v>
      </c>
    </row>
    <row r="832" spans="1:14" ht="15.95" customHeight="1" x14ac:dyDescent="0.15">
      <c r="A832" s="1286">
        <v>43405</v>
      </c>
      <c r="B832" s="640" t="str">
        <f t="shared" ca="1" si="48"/>
        <v>12</v>
      </c>
      <c r="C832" s="1285" t="s">
        <v>1143</v>
      </c>
      <c r="D832" s="640" t="str">
        <f t="shared" ca="1" si="49"/>
        <v>01</v>
      </c>
      <c r="E832" s="1285" t="s">
        <v>83</v>
      </c>
      <c r="F832" s="641" t="str">
        <f>IF(G832="","",VLOOKUP(G832,リスト!J$2:K$3,2,FALSE))</f>
        <v>01</v>
      </c>
      <c r="G832" s="1285" t="s">
        <v>841</v>
      </c>
      <c r="H832" s="1284">
        <v>336011</v>
      </c>
      <c r="I832" s="1284">
        <v>-96663</v>
      </c>
      <c r="J832" s="644">
        <f t="shared" si="50"/>
        <v>239348</v>
      </c>
      <c r="K832" s="1284">
        <v>239348</v>
      </c>
      <c r="L832" s="644">
        <f t="shared" si="51"/>
        <v>0</v>
      </c>
      <c r="M832" s="680">
        <v>23249</v>
      </c>
      <c r="N832" s="651">
        <v>24627</v>
      </c>
    </row>
    <row r="833" spans="1:14" ht="15.95" customHeight="1" x14ac:dyDescent="0.15">
      <c r="A833" s="1286">
        <v>43405</v>
      </c>
      <c r="B833" s="640" t="str">
        <f t="shared" ca="1" si="48"/>
        <v>12</v>
      </c>
      <c r="C833" s="1285" t="s">
        <v>1143</v>
      </c>
      <c r="D833" s="640" t="str">
        <f t="shared" ca="1" si="49"/>
        <v>02</v>
      </c>
      <c r="E833" s="1285" t="s">
        <v>84</v>
      </c>
      <c r="F833" s="641" t="str">
        <f>IF(G833="","",VLOOKUP(G833,リスト!J$2:K$3,2,FALSE))</f>
        <v>01</v>
      </c>
      <c r="G833" s="1285" t="s">
        <v>841</v>
      </c>
      <c r="H833" s="1284">
        <v>107015</v>
      </c>
      <c r="I833" s="1284">
        <v>0</v>
      </c>
      <c r="J833" s="644">
        <f t="shared" si="50"/>
        <v>107015</v>
      </c>
      <c r="K833" s="1284">
        <v>107015</v>
      </c>
      <c r="L833" s="644">
        <f t="shared" si="51"/>
        <v>0</v>
      </c>
      <c r="M833" s="680">
        <v>0</v>
      </c>
      <c r="N833" s="651">
        <v>24883</v>
      </c>
    </row>
    <row r="834" spans="1:14" ht="15.95" customHeight="1" x14ac:dyDescent="0.15">
      <c r="A834" s="1286">
        <v>43405</v>
      </c>
      <c r="B834" s="640" t="str">
        <f t="shared" ref="B834:B897" ca="1" si="52">IF(C834="","",VLOOKUP(C834,事業所コード2,2,FALSE))</f>
        <v>12</v>
      </c>
      <c r="C834" s="1285" t="s">
        <v>1143</v>
      </c>
      <c r="D834" s="640" t="str">
        <f t="shared" ref="D834:D897" ca="1" si="53">IF(E834="","",VLOOKUP(E834,事業区分コード2,2,FALSE))</f>
        <v>01</v>
      </c>
      <c r="E834" s="1285" t="s">
        <v>83</v>
      </c>
      <c r="F834" s="641" t="str">
        <f>IF(G834="","",VLOOKUP(G834,リスト!J$2:K$3,2,FALSE))</f>
        <v>02</v>
      </c>
      <c r="G834" s="1285" t="s">
        <v>842</v>
      </c>
      <c r="H834" s="1284">
        <v>86265</v>
      </c>
      <c r="I834" s="1284">
        <v>0</v>
      </c>
      <c r="J834" s="644">
        <f t="shared" ref="J834:J897" si="54">IF(A834="","",H834+I834)</f>
        <v>86265</v>
      </c>
      <c r="K834" s="1284">
        <v>86265</v>
      </c>
      <c r="L834" s="644">
        <f t="shared" ref="L834:L897" si="55">IF(A834="","",J834-K834)</f>
        <v>0</v>
      </c>
      <c r="M834" s="680">
        <v>0</v>
      </c>
      <c r="N834" s="651">
        <v>0</v>
      </c>
    </row>
    <row r="835" spans="1:14" ht="15.95" customHeight="1" x14ac:dyDescent="0.15">
      <c r="A835" s="1286">
        <v>43405</v>
      </c>
      <c r="B835" s="640" t="str">
        <f t="shared" ca="1" si="52"/>
        <v>12</v>
      </c>
      <c r="C835" s="1285" t="s">
        <v>1143</v>
      </c>
      <c r="D835" s="640" t="str">
        <f t="shared" ca="1" si="53"/>
        <v>02</v>
      </c>
      <c r="E835" s="1285" t="s">
        <v>84</v>
      </c>
      <c r="F835" s="641" t="str">
        <f>IF(G835="","",VLOOKUP(G835,リスト!J$2:K$3,2,FALSE))</f>
        <v>02</v>
      </c>
      <c r="G835" s="1285" t="s">
        <v>842</v>
      </c>
      <c r="H835" s="1284">
        <v>0</v>
      </c>
      <c r="I835" s="1284">
        <v>0</v>
      </c>
      <c r="J835" s="644">
        <f t="shared" si="54"/>
        <v>0</v>
      </c>
      <c r="K835" s="1284">
        <v>0</v>
      </c>
      <c r="L835" s="644">
        <f t="shared" si="55"/>
        <v>0</v>
      </c>
      <c r="M835" s="680">
        <v>0</v>
      </c>
      <c r="N835" s="651">
        <v>0</v>
      </c>
    </row>
    <row r="836" spans="1:14" ht="15.95" customHeight="1" x14ac:dyDescent="0.15">
      <c r="A836" s="1286">
        <v>43405</v>
      </c>
      <c r="B836" s="640" t="str">
        <f t="shared" ca="1" si="52"/>
        <v>04</v>
      </c>
      <c r="C836" s="1285" t="s">
        <v>358</v>
      </c>
      <c r="D836" s="640" t="str">
        <f t="shared" ca="1" si="53"/>
        <v>04</v>
      </c>
      <c r="E836" s="1285" t="s">
        <v>542</v>
      </c>
      <c r="F836" s="641" t="str">
        <f>IF(G836="","",VLOOKUP(G836,リスト!J$2:K$3,2,FALSE))</f>
        <v>01</v>
      </c>
      <c r="G836" s="1285" t="s">
        <v>841</v>
      </c>
      <c r="H836" s="1284">
        <v>4195626</v>
      </c>
      <c r="I836" s="1284">
        <v>0</v>
      </c>
      <c r="J836" s="644">
        <f t="shared" si="54"/>
        <v>4195626</v>
      </c>
      <c r="K836" s="1284">
        <v>4195626</v>
      </c>
      <c r="L836" s="644">
        <f t="shared" si="55"/>
        <v>0</v>
      </c>
      <c r="M836" s="680">
        <v>0</v>
      </c>
      <c r="N836" s="651">
        <v>255681</v>
      </c>
    </row>
    <row r="837" spans="1:14" ht="15.95" customHeight="1" x14ac:dyDescent="0.15">
      <c r="A837" s="1286">
        <v>43405</v>
      </c>
      <c r="B837" s="640" t="str">
        <f t="shared" ca="1" si="52"/>
        <v>04</v>
      </c>
      <c r="C837" s="1285" t="s">
        <v>358</v>
      </c>
      <c r="D837" s="640" t="str">
        <f t="shared" ca="1" si="53"/>
        <v>04</v>
      </c>
      <c r="E837" s="1285" t="s">
        <v>542</v>
      </c>
      <c r="F837" s="641" t="str">
        <f>IF(G837="","",VLOOKUP(G837,リスト!J$2:K$3,2,FALSE))</f>
        <v>02</v>
      </c>
      <c r="G837" s="1285" t="s">
        <v>842</v>
      </c>
      <c r="H837" s="1284">
        <v>23815</v>
      </c>
      <c r="I837" s="1284">
        <v>370890</v>
      </c>
      <c r="J837" s="644">
        <f t="shared" si="54"/>
        <v>394705</v>
      </c>
      <c r="K837" s="1284">
        <v>394705</v>
      </c>
      <c r="L837" s="644">
        <f t="shared" si="55"/>
        <v>0</v>
      </c>
      <c r="M837" s="680">
        <v>0</v>
      </c>
      <c r="N837" s="651">
        <v>0</v>
      </c>
    </row>
    <row r="838" spans="1:14" ht="15.95" customHeight="1" x14ac:dyDescent="0.15">
      <c r="A838" s="1286">
        <v>43405</v>
      </c>
      <c r="B838" s="640" t="str">
        <f t="shared" ca="1" si="52"/>
        <v>05</v>
      </c>
      <c r="C838" s="1285" t="s">
        <v>38</v>
      </c>
      <c r="D838" s="640" t="str">
        <f t="shared" ca="1" si="53"/>
        <v>01</v>
      </c>
      <c r="E838" s="1285" t="s">
        <v>83</v>
      </c>
      <c r="F838" s="641" t="str">
        <f>IF(G838="","",VLOOKUP(G838,リスト!J$2:K$3,2,FALSE))</f>
        <v>01</v>
      </c>
      <c r="G838" s="1285" t="s">
        <v>841</v>
      </c>
      <c r="H838" s="1284">
        <v>1819338</v>
      </c>
      <c r="I838" s="1284">
        <v>0</v>
      </c>
      <c r="J838" s="644">
        <f t="shared" si="54"/>
        <v>1819338</v>
      </c>
      <c r="K838" s="1284">
        <v>1819338</v>
      </c>
      <c r="L838" s="644">
        <f t="shared" si="55"/>
        <v>0</v>
      </c>
      <c r="M838" s="680">
        <v>0</v>
      </c>
      <c r="N838" s="651">
        <v>0</v>
      </c>
    </row>
    <row r="839" spans="1:14" ht="15.95" customHeight="1" x14ac:dyDescent="0.15">
      <c r="A839" s="1286">
        <v>43405</v>
      </c>
      <c r="B839" s="640" t="str">
        <f t="shared" ca="1" si="52"/>
        <v>05</v>
      </c>
      <c r="C839" s="1285" t="s">
        <v>38</v>
      </c>
      <c r="D839" s="640" t="str">
        <f t="shared" ca="1" si="53"/>
        <v>01</v>
      </c>
      <c r="E839" s="1285" t="s">
        <v>83</v>
      </c>
      <c r="F839" s="641" t="str">
        <f>IF(G839="","",VLOOKUP(G839,リスト!J$2:K$3,2,FALSE))</f>
        <v>02</v>
      </c>
      <c r="G839" s="1285" t="s">
        <v>842</v>
      </c>
      <c r="H839" s="1284">
        <v>858824</v>
      </c>
      <c r="I839" s="1284">
        <v>57255</v>
      </c>
      <c r="J839" s="644">
        <f t="shared" si="54"/>
        <v>916079</v>
      </c>
      <c r="K839" s="1284">
        <v>916079</v>
      </c>
      <c r="L839" s="644">
        <f t="shared" si="55"/>
        <v>0</v>
      </c>
      <c r="M839" s="680">
        <v>0</v>
      </c>
      <c r="N839" s="651">
        <v>0</v>
      </c>
    </row>
    <row r="840" spans="1:14" ht="15.95" customHeight="1" x14ac:dyDescent="0.15">
      <c r="A840" s="1286">
        <v>43405</v>
      </c>
      <c r="B840" s="640" t="str">
        <f t="shared" ca="1" si="52"/>
        <v>07</v>
      </c>
      <c r="C840" s="1285" t="s">
        <v>119</v>
      </c>
      <c r="D840" s="640" t="str">
        <f t="shared" ca="1" si="53"/>
        <v>05</v>
      </c>
      <c r="E840" s="1285" t="s">
        <v>543</v>
      </c>
      <c r="F840" s="641" t="str">
        <f>IF(G840="","",VLOOKUP(G840,リスト!J$2:K$3,2,FALSE))</f>
        <v>01</v>
      </c>
      <c r="G840" s="1285" t="s">
        <v>841</v>
      </c>
      <c r="H840" s="1284">
        <v>1073137</v>
      </c>
      <c r="I840" s="1284">
        <v>0</v>
      </c>
      <c r="J840" s="644">
        <f t="shared" si="54"/>
        <v>1073137</v>
      </c>
      <c r="K840" s="1284">
        <v>1073137</v>
      </c>
      <c r="L840" s="644">
        <f t="shared" si="55"/>
        <v>0</v>
      </c>
      <c r="M840" s="680">
        <v>0</v>
      </c>
      <c r="N840" s="651">
        <v>299671</v>
      </c>
    </row>
    <row r="841" spans="1:14" ht="15.95" customHeight="1" x14ac:dyDescent="0.15">
      <c r="A841" s="1286">
        <v>43405</v>
      </c>
      <c r="B841" s="640" t="str">
        <f t="shared" ca="1" si="52"/>
        <v>07</v>
      </c>
      <c r="C841" s="1285" t="s">
        <v>119</v>
      </c>
      <c r="D841" s="640" t="str">
        <f t="shared" ca="1" si="53"/>
        <v>05</v>
      </c>
      <c r="E841" s="1285" t="s">
        <v>543</v>
      </c>
      <c r="F841" s="641" t="str">
        <f>IF(G841="","",VLOOKUP(G841,リスト!J$2:K$3,2,FALSE))</f>
        <v>02</v>
      </c>
      <c r="G841" s="1285" t="s">
        <v>842</v>
      </c>
      <c r="H841" s="1284">
        <v>0</v>
      </c>
      <c r="I841" s="1284">
        <v>0</v>
      </c>
      <c r="J841" s="644">
        <f t="shared" si="54"/>
        <v>0</v>
      </c>
      <c r="K841" s="1284">
        <v>0</v>
      </c>
      <c r="L841" s="644">
        <f t="shared" si="55"/>
        <v>0</v>
      </c>
      <c r="M841" s="680">
        <v>0</v>
      </c>
      <c r="N841" s="651">
        <v>0</v>
      </c>
    </row>
    <row r="842" spans="1:14" ht="15.95" customHeight="1" x14ac:dyDescent="0.15">
      <c r="A842" s="1286">
        <v>43405</v>
      </c>
      <c r="B842" s="640" t="str">
        <f t="shared" ca="1" si="52"/>
        <v>08</v>
      </c>
      <c r="C842" s="1285" t="s">
        <v>189</v>
      </c>
      <c r="D842" s="640" t="str">
        <f t="shared" ca="1" si="53"/>
        <v>05</v>
      </c>
      <c r="E842" s="1285" t="s">
        <v>543</v>
      </c>
      <c r="F842" s="641" t="str">
        <f>IF(G842="","",VLOOKUP(G842,リスト!J$2:K$3,2,FALSE))</f>
        <v>01</v>
      </c>
      <c r="G842" s="1285" t="s">
        <v>841</v>
      </c>
      <c r="H842" s="1284">
        <v>1012236</v>
      </c>
      <c r="I842" s="1284">
        <v>0</v>
      </c>
      <c r="J842" s="644">
        <f t="shared" si="54"/>
        <v>1012236</v>
      </c>
      <c r="K842" s="1284">
        <v>1012236</v>
      </c>
      <c r="L842" s="644">
        <f t="shared" si="55"/>
        <v>0</v>
      </c>
      <c r="M842" s="680">
        <v>0</v>
      </c>
      <c r="N842" s="651">
        <v>0</v>
      </c>
    </row>
    <row r="843" spans="1:14" ht="15.95" customHeight="1" x14ac:dyDescent="0.15">
      <c r="A843" s="1286">
        <v>43405</v>
      </c>
      <c r="B843" s="640" t="str">
        <f t="shared" ca="1" si="52"/>
        <v>08</v>
      </c>
      <c r="C843" s="1285" t="s">
        <v>189</v>
      </c>
      <c r="D843" s="640" t="str">
        <f t="shared" ca="1" si="53"/>
        <v>05</v>
      </c>
      <c r="E843" s="1285" t="s">
        <v>543</v>
      </c>
      <c r="F843" s="641" t="str">
        <f>IF(G843="","",VLOOKUP(G843,リスト!J$2:K$3,2,FALSE))</f>
        <v>02</v>
      </c>
      <c r="G843" s="1285" t="s">
        <v>842</v>
      </c>
      <c r="H843" s="1284">
        <v>0</v>
      </c>
      <c r="I843" s="1284">
        <v>0</v>
      </c>
      <c r="J843" s="644">
        <f t="shared" si="54"/>
        <v>0</v>
      </c>
      <c r="K843" s="1284">
        <v>0</v>
      </c>
      <c r="L843" s="644">
        <f t="shared" si="55"/>
        <v>0</v>
      </c>
      <c r="M843" s="680">
        <v>0</v>
      </c>
      <c r="N843" s="651">
        <v>0</v>
      </c>
    </row>
    <row r="844" spans="1:14" ht="15.95" customHeight="1" x14ac:dyDescent="0.15">
      <c r="A844" s="1286">
        <v>43405</v>
      </c>
      <c r="B844" s="640" t="str">
        <f t="shared" ca="1" si="52"/>
        <v>09</v>
      </c>
      <c r="C844" s="1285" t="s">
        <v>329</v>
      </c>
      <c r="D844" s="640" t="str">
        <f t="shared" ca="1" si="53"/>
        <v>05</v>
      </c>
      <c r="E844" s="1285" t="s">
        <v>543</v>
      </c>
      <c r="F844" s="641" t="str">
        <f>IF(G844="","",VLOOKUP(G844,リスト!J$2:K$3,2,FALSE))</f>
        <v>01</v>
      </c>
      <c r="G844" s="1285" t="s">
        <v>841</v>
      </c>
      <c r="H844" s="1284">
        <v>2443866</v>
      </c>
      <c r="I844" s="1284">
        <v>0</v>
      </c>
      <c r="J844" s="644">
        <f t="shared" si="54"/>
        <v>2443866</v>
      </c>
      <c r="K844" s="1284">
        <v>2443866</v>
      </c>
      <c r="L844" s="644">
        <f t="shared" si="55"/>
        <v>0</v>
      </c>
      <c r="M844" s="680">
        <v>0</v>
      </c>
      <c r="N844" s="651">
        <v>0</v>
      </c>
    </row>
    <row r="845" spans="1:14" ht="15.95" customHeight="1" x14ac:dyDescent="0.15">
      <c r="A845" s="1286">
        <v>43405</v>
      </c>
      <c r="B845" s="640" t="str">
        <f t="shared" ca="1" si="52"/>
        <v>09</v>
      </c>
      <c r="C845" s="1285" t="s">
        <v>329</v>
      </c>
      <c r="D845" s="640" t="str">
        <f t="shared" ca="1" si="53"/>
        <v>05</v>
      </c>
      <c r="E845" s="1285" t="s">
        <v>543</v>
      </c>
      <c r="F845" s="641" t="str">
        <f>IF(G845="","",VLOOKUP(G845,リスト!J$2:K$3,2,FALSE))</f>
        <v>02</v>
      </c>
      <c r="G845" s="1285" t="s">
        <v>842</v>
      </c>
      <c r="H845" s="1284">
        <v>0</v>
      </c>
      <c r="I845" s="1284">
        <v>0</v>
      </c>
      <c r="J845" s="644">
        <f t="shared" si="54"/>
        <v>0</v>
      </c>
      <c r="K845" s="1284">
        <v>0</v>
      </c>
      <c r="L845" s="644">
        <f t="shared" si="55"/>
        <v>0</v>
      </c>
      <c r="M845" s="680">
        <v>0</v>
      </c>
      <c r="N845" s="651">
        <v>0</v>
      </c>
    </row>
    <row r="846" spans="1:14" ht="15.95" customHeight="1" x14ac:dyDescent="0.15">
      <c r="A846" s="1286">
        <v>43435</v>
      </c>
      <c r="B846" s="640" t="str">
        <f t="shared" ca="1" si="52"/>
        <v>01</v>
      </c>
      <c r="C846" s="1285" t="s">
        <v>34</v>
      </c>
      <c r="D846" s="640" t="str">
        <f t="shared" ca="1" si="53"/>
        <v>01</v>
      </c>
      <c r="E846" s="1285" t="s">
        <v>83</v>
      </c>
      <c r="F846" s="641" t="str">
        <f>IF(G846="","",VLOOKUP(G846,リスト!J$2:K$3,2,FALSE))</f>
        <v>01</v>
      </c>
      <c r="G846" s="1285" t="s">
        <v>841</v>
      </c>
      <c r="H846" s="1284">
        <v>8797209</v>
      </c>
      <c r="I846" s="1284">
        <v>-136658</v>
      </c>
      <c r="J846" s="644">
        <f t="shared" si="54"/>
        <v>8660551</v>
      </c>
      <c r="K846" s="1284">
        <v>8660551</v>
      </c>
      <c r="L846" s="644">
        <f t="shared" si="55"/>
        <v>0</v>
      </c>
      <c r="M846" s="680">
        <v>45057</v>
      </c>
      <c r="N846" s="651">
        <v>1264810</v>
      </c>
    </row>
    <row r="847" spans="1:14" ht="15.95" customHeight="1" x14ac:dyDescent="0.15">
      <c r="A847" s="1286">
        <v>43435</v>
      </c>
      <c r="B847" s="640" t="str">
        <f t="shared" ca="1" si="52"/>
        <v>01</v>
      </c>
      <c r="C847" s="1285" t="s">
        <v>34</v>
      </c>
      <c r="D847" s="640" t="str">
        <f t="shared" ca="1" si="53"/>
        <v>03</v>
      </c>
      <c r="E847" s="1285" t="s">
        <v>98</v>
      </c>
      <c r="F847" s="641" t="str">
        <f>IF(G847="","",VLOOKUP(G847,リスト!J$2:K$3,2,FALSE))</f>
        <v>01</v>
      </c>
      <c r="G847" s="1285" t="s">
        <v>841</v>
      </c>
      <c r="H847" s="1284">
        <v>732990</v>
      </c>
      <c r="I847" s="1284">
        <v>0</v>
      </c>
      <c r="J847" s="644">
        <f t="shared" si="54"/>
        <v>732990</v>
      </c>
      <c r="K847" s="1284">
        <v>732990</v>
      </c>
      <c r="L847" s="644">
        <f t="shared" si="55"/>
        <v>0</v>
      </c>
      <c r="M847" s="680">
        <v>0</v>
      </c>
      <c r="N847" s="651">
        <v>0</v>
      </c>
    </row>
    <row r="848" spans="1:14" ht="15.95" customHeight="1" x14ac:dyDescent="0.15">
      <c r="A848" s="1286">
        <v>43435</v>
      </c>
      <c r="B848" s="640" t="str">
        <f t="shared" ca="1" si="52"/>
        <v>01</v>
      </c>
      <c r="C848" s="1285" t="s">
        <v>34</v>
      </c>
      <c r="D848" s="640" t="str">
        <f t="shared" ca="1" si="53"/>
        <v>02</v>
      </c>
      <c r="E848" s="1285" t="s">
        <v>84</v>
      </c>
      <c r="F848" s="641" t="str">
        <f>IF(G848="","",VLOOKUP(G848,リスト!J$2:K$3,2,FALSE))</f>
        <v>01</v>
      </c>
      <c r="G848" s="1285" t="s">
        <v>841</v>
      </c>
      <c r="H848" s="1284">
        <v>1671762</v>
      </c>
      <c r="I848" s="1284">
        <v>0</v>
      </c>
      <c r="J848" s="644">
        <f t="shared" si="54"/>
        <v>1671762</v>
      </c>
      <c r="K848" s="1284">
        <v>1671762</v>
      </c>
      <c r="L848" s="644">
        <f t="shared" si="55"/>
        <v>0</v>
      </c>
      <c r="M848" s="680">
        <v>42442</v>
      </c>
      <c r="N848" s="651">
        <v>441769</v>
      </c>
    </row>
    <row r="849" spans="1:14" ht="15.95" customHeight="1" x14ac:dyDescent="0.15">
      <c r="A849" s="1286">
        <v>43435</v>
      </c>
      <c r="B849" s="640" t="str">
        <f t="shared" ca="1" si="52"/>
        <v>01</v>
      </c>
      <c r="C849" s="1285" t="s">
        <v>34</v>
      </c>
      <c r="D849" s="640" t="str">
        <f t="shared" ca="1" si="53"/>
        <v>01</v>
      </c>
      <c r="E849" s="1285" t="s">
        <v>83</v>
      </c>
      <c r="F849" s="641" t="str">
        <f>IF(G849="","",VLOOKUP(G849,リスト!J$2:K$3,2,FALSE))</f>
        <v>02</v>
      </c>
      <c r="G849" s="1285" t="s">
        <v>842</v>
      </c>
      <c r="H849" s="1284">
        <v>33254</v>
      </c>
      <c r="I849" s="1284">
        <v>-23293</v>
      </c>
      <c r="J849" s="644">
        <f t="shared" si="54"/>
        <v>9961</v>
      </c>
      <c r="K849" s="1284">
        <v>9961</v>
      </c>
      <c r="L849" s="644">
        <f t="shared" si="55"/>
        <v>0</v>
      </c>
      <c r="M849" s="680">
        <v>0</v>
      </c>
      <c r="N849" s="651">
        <v>0</v>
      </c>
    </row>
    <row r="850" spans="1:14" ht="15.95" customHeight="1" x14ac:dyDescent="0.15">
      <c r="A850" s="1286">
        <v>43435</v>
      </c>
      <c r="B850" s="640" t="str">
        <f t="shared" ca="1" si="52"/>
        <v>01</v>
      </c>
      <c r="C850" s="1285" t="s">
        <v>34</v>
      </c>
      <c r="D850" s="640" t="str">
        <f t="shared" ca="1" si="53"/>
        <v>03</v>
      </c>
      <c r="E850" s="1285" t="s">
        <v>98</v>
      </c>
      <c r="F850" s="641" t="str">
        <f>IF(G850="","",VLOOKUP(G850,リスト!J$2:K$3,2,FALSE))</f>
        <v>02</v>
      </c>
      <c r="G850" s="1285" t="s">
        <v>842</v>
      </c>
      <c r="H850" s="1284">
        <v>28954</v>
      </c>
      <c r="I850" s="1284">
        <v>-14477</v>
      </c>
      <c r="J850" s="644">
        <f t="shared" si="54"/>
        <v>14477</v>
      </c>
      <c r="K850" s="1284">
        <v>14477</v>
      </c>
      <c r="L850" s="644">
        <f t="shared" si="55"/>
        <v>0</v>
      </c>
      <c r="M850" s="680">
        <v>0</v>
      </c>
      <c r="N850" s="651">
        <v>0</v>
      </c>
    </row>
    <row r="851" spans="1:14" ht="15.95" customHeight="1" x14ac:dyDescent="0.15">
      <c r="A851" s="1286">
        <v>43435</v>
      </c>
      <c r="B851" s="640" t="str">
        <f t="shared" ca="1" si="52"/>
        <v>01</v>
      </c>
      <c r="C851" s="1285" t="s">
        <v>34</v>
      </c>
      <c r="D851" s="640" t="str">
        <f t="shared" ca="1" si="53"/>
        <v>02</v>
      </c>
      <c r="E851" s="1285" t="s">
        <v>84</v>
      </c>
      <c r="F851" s="641" t="str">
        <f>IF(G851="","",VLOOKUP(G851,リスト!J$2:K$3,2,FALSE))</f>
        <v>02</v>
      </c>
      <c r="G851" s="1285" t="s">
        <v>842</v>
      </c>
      <c r="H851" s="1284">
        <v>374021</v>
      </c>
      <c r="I851" s="1284">
        <v>0</v>
      </c>
      <c r="J851" s="644">
        <f t="shared" si="54"/>
        <v>374021</v>
      </c>
      <c r="K851" s="1284">
        <v>374021</v>
      </c>
      <c r="L851" s="644">
        <f t="shared" si="55"/>
        <v>0</v>
      </c>
      <c r="M851" s="680">
        <v>0</v>
      </c>
      <c r="N851" s="651">
        <v>0</v>
      </c>
    </row>
    <row r="852" spans="1:14" ht="15.95" customHeight="1" x14ac:dyDescent="0.15">
      <c r="A852" s="1286">
        <v>43435</v>
      </c>
      <c r="B852" s="640" t="str">
        <f t="shared" ca="1" si="52"/>
        <v>02</v>
      </c>
      <c r="C852" s="1285" t="s">
        <v>37</v>
      </c>
      <c r="D852" s="640" t="str">
        <f t="shared" ca="1" si="53"/>
        <v>01</v>
      </c>
      <c r="E852" s="1285" t="s">
        <v>83</v>
      </c>
      <c r="F852" s="641" t="str">
        <f>IF(G852="","",VLOOKUP(G852,リスト!J$2:K$3,2,FALSE))</f>
        <v>01</v>
      </c>
      <c r="G852" s="1285" t="s">
        <v>841</v>
      </c>
      <c r="H852" s="1284">
        <v>4624537</v>
      </c>
      <c r="I852" s="1284">
        <v>-132521</v>
      </c>
      <c r="J852" s="644">
        <f t="shared" si="54"/>
        <v>4492016</v>
      </c>
      <c r="K852" s="1284">
        <v>4492016</v>
      </c>
      <c r="L852" s="644">
        <f t="shared" si="55"/>
        <v>0</v>
      </c>
      <c r="M852" s="680">
        <v>106323</v>
      </c>
      <c r="N852" s="651">
        <v>487200</v>
      </c>
    </row>
    <row r="853" spans="1:14" ht="15.95" customHeight="1" x14ac:dyDescent="0.15">
      <c r="A853" s="1286">
        <v>43435</v>
      </c>
      <c r="B853" s="640" t="str">
        <f t="shared" ca="1" si="52"/>
        <v>02</v>
      </c>
      <c r="C853" s="1285" t="s">
        <v>37</v>
      </c>
      <c r="D853" s="640" t="str">
        <f t="shared" ca="1" si="53"/>
        <v>03</v>
      </c>
      <c r="E853" s="1285" t="s">
        <v>98</v>
      </c>
      <c r="F853" s="641" t="str">
        <f>IF(G853="","",VLOOKUP(G853,リスト!J$2:K$3,2,FALSE))</f>
        <v>01</v>
      </c>
      <c r="G853" s="1285" t="s">
        <v>841</v>
      </c>
      <c r="H853" s="1284">
        <v>509461</v>
      </c>
      <c r="I853" s="1284">
        <v>0</v>
      </c>
      <c r="J853" s="644">
        <f t="shared" si="54"/>
        <v>509461</v>
      </c>
      <c r="K853" s="1284">
        <v>509461</v>
      </c>
      <c r="L853" s="644">
        <f t="shared" si="55"/>
        <v>0</v>
      </c>
      <c r="M853" s="680">
        <v>11636</v>
      </c>
      <c r="N853" s="651">
        <v>0</v>
      </c>
    </row>
    <row r="854" spans="1:14" ht="15.95" customHeight="1" x14ac:dyDescent="0.15">
      <c r="A854" s="1286">
        <v>43435</v>
      </c>
      <c r="B854" s="640" t="str">
        <f t="shared" ca="1" si="52"/>
        <v>02</v>
      </c>
      <c r="C854" s="1285" t="s">
        <v>37</v>
      </c>
      <c r="D854" s="640" t="str">
        <f t="shared" ca="1" si="53"/>
        <v>02</v>
      </c>
      <c r="E854" s="1285" t="s">
        <v>84</v>
      </c>
      <c r="F854" s="641" t="str">
        <f>IF(G854="","",VLOOKUP(G854,リスト!J$2:K$3,2,FALSE))</f>
        <v>01</v>
      </c>
      <c r="G854" s="1285" t="s">
        <v>841</v>
      </c>
      <c r="H854" s="1284">
        <v>1227707</v>
      </c>
      <c r="I854" s="1284">
        <v>-81390</v>
      </c>
      <c r="J854" s="644">
        <f t="shared" si="54"/>
        <v>1146317</v>
      </c>
      <c r="K854" s="1284">
        <v>1146317</v>
      </c>
      <c r="L854" s="644">
        <f t="shared" si="55"/>
        <v>0</v>
      </c>
      <c r="M854" s="680">
        <v>7100</v>
      </c>
      <c r="N854" s="651">
        <v>296398</v>
      </c>
    </row>
    <row r="855" spans="1:14" ht="15.95" customHeight="1" x14ac:dyDescent="0.15">
      <c r="A855" s="1286">
        <v>43435</v>
      </c>
      <c r="B855" s="640" t="str">
        <f t="shared" ca="1" si="52"/>
        <v>02</v>
      </c>
      <c r="C855" s="1285" t="s">
        <v>37</v>
      </c>
      <c r="D855" s="640" t="str">
        <f t="shared" ca="1" si="53"/>
        <v>01</v>
      </c>
      <c r="E855" s="1285" t="s">
        <v>83</v>
      </c>
      <c r="F855" s="641" t="str">
        <f>IF(G855="","",VLOOKUP(G855,リスト!J$2:K$3,2,FALSE))</f>
        <v>02</v>
      </c>
      <c r="G855" s="1285" t="s">
        <v>842</v>
      </c>
      <c r="H855" s="1284">
        <v>99227</v>
      </c>
      <c r="I855" s="1284">
        <v>-107240</v>
      </c>
      <c r="J855" s="644">
        <f t="shared" si="54"/>
        <v>-8013</v>
      </c>
      <c r="K855" s="1284">
        <v>-8013</v>
      </c>
      <c r="L855" s="644">
        <f t="shared" si="55"/>
        <v>0</v>
      </c>
      <c r="M855" s="680">
        <v>0</v>
      </c>
      <c r="N855" s="651">
        <v>0</v>
      </c>
    </row>
    <row r="856" spans="1:14" ht="15.95" customHeight="1" x14ac:dyDescent="0.15">
      <c r="A856" s="1286">
        <v>43435</v>
      </c>
      <c r="B856" s="640" t="str">
        <f t="shared" ca="1" si="52"/>
        <v>02</v>
      </c>
      <c r="C856" s="1285" t="s">
        <v>37</v>
      </c>
      <c r="D856" s="640" t="str">
        <f t="shared" ca="1" si="53"/>
        <v>03</v>
      </c>
      <c r="E856" s="1285" t="s">
        <v>98</v>
      </c>
      <c r="F856" s="641" t="str">
        <f>IF(G856="","",VLOOKUP(G856,リスト!J$2:K$3,2,FALSE))</f>
        <v>02</v>
      </c>
      <c r="G856" s="1285" t="s">
        <v>842</v>
      </c>
      <c r="H856" s="1284">
        <v>14950</v>
      </c>
      <c r="I856" s="1284">
        <v>-5823</v>
      </c>
      <c r="J856" s="644">
        <f t="shared" si="54"/>
        <v>9127</v>
      </c>
      <c r="K856" s="1284">
        <v>9127</v>
      </c>
      <c r="L856" s="644">
        <f t="shared" si="55"/>
        <v>0</v>
      </c>
      <c r="M856" s="680">
        <v>0</v>
      </c>
      <c r="N856" s="651">
        <v>0</v>
      </c>
    </row>
    <row r="857" spans="1:14" ht="15.95" customHeight="1" x14ac:dyDescent="0.15">
      <c r="A857" s="1286">
        <v>43435</v>
      </c>
      <c r="B857" s="640" t="str">
        <f t="shared" ca="1" si="52"/>
        <v>02</v>
      </c>
      <c r="C857" s="1285" t="s">
        <v>37</v>
      </c>
      <c r="D857" s="640" t="str">
        <f t="shared" ca="1" si="53"/>
        <v>02</v>
      </c>
      <c r="E857" s="1285" t="s">
        <v>84</v>
      </c>
      <c r="F857" s="641" t="str">
        <f>IF(G857="","",VLOOKUP(G857,リスト!J$2:K$3,2,FALSE))</f>
        <v>02</v>
      </c>
      <c r="G857" s="1285" t="s">
        <v>842</v>
      </c>
      <c r="H857" s="1284">
        <v>177069</v>
      </c>
      <c r="I857" s="1284">
        <v>0</v>
      </c>
      <c r="J857" s="644">
        <f t="shared" si="54"/>
        <v>177069</v>
      </c>
      <c r="K857" s="1284">
        <v>177069</v>
      </c>
      <c r="L857" s="644">
        <f t="shared" si="55"/>
        <v>0</v>
      </c>
      <c r="M857" s="680">
        <v>0</v>
      </c>
      <c r="N857" s="651">
        <v>0</v>
      </c>
    </row>
    <row r="858" spans="1:14" ht="15.95" customHeight="1" x14ac:dyDescent="0.15">
      <c r="A858" s="1286">
        <v>43435</v>
      </c>
      <c r="B858" s="640" t="str">
        <f t="shared" ca="1" si="52"/>
        <v>03</v>
      </c>
      <c r="C858" s="1285" t="s">
        <v>66</v>
      </c>
      <c r="D858" s="640" t="str">
        <f t="shared" ca="1" si="53"/>
        <v>01</v>
      </c>
      <c r="E858" s="1285" t="s">
        <v>83</v>
      </c>
      <c r="F858" s="641" t="str">
        <f>IF(G858="","",VLOOKUP(G858,リスト!J$2:K$3,2,FALSE))</f>
        <v>01</v>
      </c>
      <c r="G858" s="1285" t="s">
        <v>841</v>
      </c>
      <c r="H858" s="1284">
        <v>4412058</v>
      </c>
      <c r="I858" s="1284">
        <v>-7469</v>
      </c>
      <c r="J858" s="644">
        <f t="shared" si="54"/>
        <v>4404589</v>
      </c>
      <c r="K858" s="1284">
        <v>4404589</v>
      </c>
      <c r="L858" s="644">
        <f t="shared" si="55"/>
        <v>0</v>
      </c>
      <c r="M858" s="680">
        <v>222242</v>
      </c>
      <c r="N858" s="651">
        <v>461604</v>
      </c>
    </row>
    <row r="859" spans="1:14" ht="15.95" customHeight="1" x14ac:dyDescent="0.15">
      <c r="A859" s="1286">
        <v>43435</v>
      </c>
      <c r="B859" s="640" t="str">
        <f t="shared" ca="1" si="52"/>
        <v>03</v>
      </c>
      <c r="C859" s="1285" t="s">
        <v>66</v>
      </c>
      <c r="D859" s="640" t="str">
        <f t="shared" ca="1" si="53"/>
        <v>02</v>
      </c>
      <c r="E859" s="1285" t="s">
        <v>84</v>
      </c>
      <c r="F859" s="641" t="str">
        <f>IF(G859="","",VLOOKUP(G859,リスト!J$2:K$3,2,FALSE))</f>
        <v>01</v>
      </c>
      <c r="G859" s="1285" t="s">
        <v>841</v>
      </c>
      <c r="H859" s="1284">
        <v>1876364</v>
      </c>
      <c r="I859" s="1284">
        <v>0</v>
      </c>
      <c r="J859" s="644">
        <f t="shared" si="54"/>
        <v>1876364</v>
      </c>
      <c r="K859" s="1284">
        <v>1876364</v>
      </c>
      <c r="L859" s="644">
        <f t="shared" si="55"/>
        <v>0</v>
      </c>
      <c r="M859" s="680">
        <v>0</v>
      </c>
      <c r="N859" s="651">
        <v>502225</v>
      </c>
    </row>
    <row r="860" spans="1:14" ht="15.95" customHeight="1" x14ac:dyDescent="0.15">
      <c r="A860" s="1286">
        <v>43435</v>
      </c>
      <c r="B860" s="640" t="str">
        <f t="shared" ca="1" si="52"/>
        <v>03</v>
      </c>
      <c r="C860" s="1285" t="s">
        <v>66</v>
      </c>
      <c r="D860" s="640" t="str">
        <f t="shared" ca="1" si="53"/>
        <v>01</v>
      </c>
      <c r="E860" s="1285" t="s">
        <v>83</v>
      </c>
      <c r="F860" s="641" t="str">
        <f>IF(G860="","",VLOOKUP(G860,リスト!J$2:K$3,2,FALSE))</f>
        <v>02</v>
      </c>
      <c r="G860" s="1285" t="s">
        <v>842</v>
      </c>
      <c r="H860" s="1284">
        <v>29713</v>
      </c>
      <c r="I860" s="1284">
        <v>0</v>
      </c>
      <c r="J860" s="644">
        <f t="shared" si="54"/>
        <v>29713</v>
      </c>
      <c r="K860" s="1284">
        <v>29713</v>
      </c>
      <c r="L860" s="644">
        <f t="shared" si="55"/>
        <v>0</v>
      </c>
      <c r="M860" s="680">
        <v>0</v>
      </c>
      <c r="N860" s="651">
        <v>0</v>
      </c>
    </row>
    <row r="861" spans="1:14" ht="15.95" customHeight="1" x14ac:dyDescent="0.15">
      <c r="A861" s="1286">
        <v>43435</v>
      </c>
      <c r="B861" s="640" t="str">
        <f t="shared" ca="1" si="52"/>
        <v>03</v>
      </c>
      <c r="C861" s="1285" t="s">
        <v>66</v>
      </c>
      <c r="D861" s="640" t="str">
        <f t="shared" ca="1" si="53"/>
        <v>02</v>
      </c>
      <c r="E861" s="1285" t="s">
        <v>84</v>
      </c>
      <c r="F861" s="641" t="str">
        <f>IF(G861="","",VLOOKUP(G861,リスト!J$2:K$3,2,FALSE))</f>
        <v>02</v>
      </c>
      <c r="G861" s="1285" t="s">
        <v>842</v>
      </c>
      <c r="H861" s="1284">
        <v>283388</v>
      </c>
      <c r="I861" s="1284">
        <v>0</v>
      </c>
      <c r="J861" s="644">
        <f t="shared" si="54"/>
        <v>283388</v>
      </c>
      <c r="K861" s="1284">
        <v>283388</v>
      </c>
      <c r="L861" s="644">
        <f t="shared" si="55"/>
        <v>0</v>
      </c>
      <c r="M861" s="680">
        <v>0</v>
      </c>
      <c r="N861" s="651">
        <v>0</v>
      </c>
    </row>
    <row r="862" spans="1:14" ht="15.95" customHeight="1" x14ac:dyDescent="0.15">
      <c r="A862" s="1286">
        <v>43435</v>
      </c>
      <c r="B862" s="640" t="str">
        <f t="shared" ca="1" si="52"/>
        <v>11</v>
      </c>
      <c r="C862" s="1285" t="s">
        <v>967</v>
      </c>
      <c r="D862" s="640" t="str">
        <f t="shared" ca="1" si="53"/>
        <v>01</v>
      </c>
      <c r="E862" s="1285" t="s">
        <v>83</v>
      </c>
      <c r="F862" s="641" t="str">
        <f>IF(G862="","",VLOOKUP(G862,リスト!J$2:K$3,2,FALSE))</f>
        <v>01</v>
      </c>
      <c r="G862" s="1285" t="s">
        <v>841</v>
      </c>
      <c r="H862" s="1284">
        <v>928913</v>
      </c>
      <c r="I862" s="1284">
        <v>0</v>
      </c>
      <c r="J862" s="644">
        <f t="shared" si="54"/>
        <v>928913</v>
      </c>
      <c r="K862" s="1284">
        <v>928913</v>
      </c>
      <c r="L862" s="644">
        <f t="shared" si="55"/>
        <v>0</v>
      </c>
      <c r="M862" s="680">
        <v>0</v>
      </c>
      <c r="N862" s="651">
        <v>119784</v>
      </c>
    </row>
    <row r="863" spans="1:14" ht="15.95" customHeight="1" x14ac:dyDescent="0.15">
      <c r="A863" s="1286">
        <v>43435</v>
      </c>
      <c r="B863" s="640" t="str">
        <f t="shared" ca="1" si="52"/>
        <v>11</v>
      </c>
      <c r="C863" s="1285" t="s">
        <v>967</v>
      </c>
      <c r="D863" s="640" t="str">
        <f t="shared" ca="1" si="53"/>
        <v>02</v>
      </c>
      <c r="E863" s="1285" t="s">
        <v>84</v>
      </c>
      <c r="F863" s="641" t="str">
        <f>IF(G863="","",VLOOKUP(G863,リスト!J$2:K$3,2,FALSE))</f>
        <v>01</v>
      </c>
      <c r="G863" s="1285" t="s">
        <v>841</v>
      </c>
      <c r="H863" s="1284">
        <v>137240</v>
      </c>
      <c r="I863" s="1284">
        <v>0</v>
      </c>
      <c r="J863" s="644">
        <f t="shared" si="54"/>
        <v>137240</v>
      </c>
      <c r="K863" s="1284">
        <v>137240</v>
      </c>
      <c r="L863" s="644">
        <f t="shared" si="55"/>
        <v>0</v>
      </c>
      <c r="M863" s="680">
        <v>0</v>
      </c>
      <c r="N863" s="651">
        <v>36611</v>
      </c>
    </row>
    <row r="864" spans="1:14" ht="15.95" customHeight="1" x14ac:dyDescent="0.15">
      <c r="A864" s="1286">
        <v>43435</v>
      </c>
      <c r="B864" s="640" t="str">
        <f t="shared" ca="1" si="52"/>
        <v>11</v>
      </c>
      <c r="C864" s="1285" t="s">
        <v>967</v>
      </c>
      <c r="D864" s="640" t="str">
        <f t="shared" ca="1" si="53"/>
        <v>01</v>
      </c>
      <c r="E864" s="1285" t="s">
        <v>83</v>
      </c>
      <c r="F864" s="641" t="str">
        <f>IF(G864="","",VLOOKUP(G864,リスト!J$2:K$3,2,FALSE))</f>
        <v>02</v>
      </c>
      <c r="G864" s="1285" t="s">
        <v>842</v>
      </c>
      <c r="H864" s="1284">
        <v>396992</v>
      </c>
      <c r="I864" s="1284">
        <v>0</v>
      </c>
      <c r="J864" s="644">
        <f t="shared" si="54"/>
        <v>396992</v>
      </c>
      <c r="K864" s="1284">
        <v>396992</v>
      </c>
      <c r="L864" s="644">
        <f t="shared" si="55"/>
        <v>0</v>
      </c>
      <c r="M864" s="680">
        <v>0</v>
      </c>
      <c r="N864" s="651">
        <v>0</v>
      </c>
    </row>
    <row r="865" spans="1:14" ht="15.95" customHeight="1" x14ac:dyDescent="0.15">
      <c r="A865" s="1286">
        <v>43435</v>
      </c>
      <c r="B865" s="640" t="str">
        <f t="shared" ca="1" si="52"/>
        <v>11</v>
      </c>
      <c r="C865" s="1285" t="s">
        <v>967</v>
      </c>
      <c r="D865" s="640" t="str">
        <f t="shared" ca="1" si="53"/>
        <v>02</v>
      </c>
      <c r="E865" s="1285" t="s">
        <v>84</v>
      </c>
      <c r="F865" s="641" t="str">
        <f>IF(G865="","",VLOOKUP(G865,リスト!J$2:K$3,2,FALSE))</f>
        <v>02</v>
      </c>
      <c r="G865" s="1285" t="s">
        <v>842</v>
      </c>
      <c r="H865" s="1284">
        <v>32918</v>
      </c>
      <c r="I865" s="1284">
        <v>0</v>
      </c>
      <c r="J865" s="644">
        <f t="shared" si="54"/>
        <v>32918</v>
      </c>
      <c r="K865" s="1284">
        <v>32918</v>
      </c>
      <c r="L865" s="644">
        <f t="shared" si="55"/>
        <v>0</v>
      </c>
      <c r="M865" s="680">
        <v>0</v>
      </c>
      <c r="N865" s="651">
        <v>0</v>
      </c>
    </row>
    <row r="866" spans="1:14" ht="15.95" customHeight="1" x14ac:dyDescent="0.15">
      <c r="A866" s="1286">
        <v>43435</v>
      </c>
      <c r="B866" s="640" t="str">
        <f t="shared" ca="1" si="52"/>
        <v>12</v>
      </c>
      <c r="C866" s="1285" t="s">
        <v>1143</v>
      </c>
      <c r="D866" s="640" t="str">
        <f t="shared" ca="1" si="53"/>
        <v>01</v>
      </c>
      <c r="E866" s="1285" t="s">
        <v>83</v>
      </c>
      <c r="F866" s="641" t="str">
        <f>IF(G866="","",VLOOKUP(G866,リスト!J$2:K$3,2,FALSE))</f>
        <v>01</v>
      </c>
      <c r="G866" s="1285" t="s">
        <v>841</v>
      </c>
      <c r="H866" s="1284">
        <v>398584</v>
      </c>
      <c r="I866" s="1284">
        <v>-18508</v>
      </c>
      <c r="J866" s="644">
        <f t="shared" si="54"/>
        <v>380076</v>
      </c>
      <c r="K866" s="1284">
        <v>380076</v>
      </c>
      <c r="L866" s="644">
        <f t="shared" si="55"/>
        <v>0</v>
      </c>
      <c r="M866" s="680">
        <v>30133</v>
      </c>
      <c r="N866" s="651">
        <v>45753</v>
      </c>
    </row>
    <row r="867" spans="1:14" ht="15.95" customHeight="1" x14ac:dyDescent="0.15">
      <c r="A867" s="1286">
        <v>43435</v>
      </c>
      <c r="B867" s="640" t="str">
        <f t="shared" ca="1" si="52"/>
        <v>12</v>
      </c>
      <c r="C867" s="1285" t="s">
        <v>1143</v>
      </c>
      <c r="D867" s="640" t="str">
        <f t="shared" ca="1" si="53"/>
        <v>02</v>
      </c>
      <c r="E867" s="1285" t="s">
        <v>84</v>
      </c>
      <c r="F867" s="641" t="str">
        <f>IF(G867="","",VLOOKUP(G867,リスト!J$2:K$3,2,FALSE))</f>
        <v>01</v>
      </c>
      <c r="G867" s="1285" t="s">
        <v>841</v>
      </c>
      <c r="H867" s="1284">
        <v>157949</v>
      </c>
      <c r="I867" s="1284">
        <v>0</v>
      </c>
      <c r="J867" s="644">
        <f t="shared" si="54"/>
        <v>157949</v>
      </c>
      <c r="K867" s="1284">
        <v>157949</v>
      </c>
      <c r="L867" s="644">
        <f t="shared" si="55"/>
        <v>0</v>
      </c>
      <c r="M867" s="680">
        <v>0</v>
      </c>
      <c r="N867" s="651">
        <v>36720</v>
      </c>
    </row>
    <row r="868" spans="1:14" ht="15.95" customHeight="1" x14ac:dyDescent="0.15">
      <c r="A868" s="1286">
        <v>43435</v>
      </c>
      <c r="B868" s="640" t="str">
        <f t="shared" ca="1" si="52"/>
        <v>12</v>
      </c>
      <c r="C868" s="1285" t="s">
        <v>1143</v>
      </c>
      <c r="D868" s="640" t="str">
        <f t="shared" ca="1" si="53"/>
        <v>01</v>
      </c>
      <c r="E868" s="1285" t="s">
        <v>83</v>
      </c>
      <c r="F868" s="641" t="str">
        <f>IF(G868="","",VLOOKUP(G868,リスト!J$2:K$3,2,FALSE))</f>
        <v>02</v>
      </c>
      <c r="G868" s="1285" t="s">
        <v>842</v>
      </c>
      <c r="H868" s="1284">
        <v>130741</v>
      </c>
      <c r="I868" s="1284">
        <v>0</v>
      </c>
      <c r="J868" s="644">
        <f t="shared" si="54"/>
        <v>130741</v>
      </c>
      <c r="K868" s="1284">
        <v>130741</v>
      </c>
      <c r="L868" s="644">
        <f t="shared" si="55"/>
        <v>0</v>
      </c>
      <c r="M868" s="680">
        <v>0</v>
      </c>
      <c r="N868" s="651">
        <v>0</v>
      </c>
    </row>
    <row r="869" spans="1:14" ht="15.95" customHeight="1" x14ac:dyDescent="0.15">
      <c r="A869" s="1286">
        <v>43435</v>
      </c>
      <c r="B869" s="640" t="str">
        <f t="shared" ca="1" si="52"/>
        <v>12</v>
      </c>
      <c r="C869" s="1285" t="s">
        <v>1143</v>
      </c>
      <c r="D869" s="640" t="str">
        <f t="shared" ca="1" si="53"/>
        <v>02</v>
      </c>
      <c r="E869" s="1285" t="s">
        <v>84</v>
      </c>
      <c r="F869" s="641" t="str">
        <f>IF(G869="","",VLOOKUP(G869,リスト!J$2:K$3,2,FALSE))</f>
        <v>02</v>
      </c>
      <c r="G869" s="1285" t="s">
        <v>842</v>
      </c>
      <c r="H869" s="1284">
        <v>0</v>
      </c>
      <c r="I869" s="1284">
        <v>0</v>
      </c>
      <c r="J869" s="644">
        <f t="shared" si="54"/>
        <v>0</v>
      </c>
      <c r="K869" s="1284">
        <v>0</v>
      </c>
      <c r="L869" s="644">
        <f t="shared" si="55"/>
        <v>0</v>
      </c>
      <c r="M869" s="680">
        <v>0</v>
      </c>
      <c r="N869" s="651">
        <v>0</v>
      </c>
    </row>
    <row r="870" spans="1:14" ht="15.95" customHeight="1" x14ac:dyDescent="0.15">
      <c r="A870" s="1286">
        <v>43435</v>
      </c>
      <c r="B870" s="640" t="str">
        <f t="shared" ca="1" si="52"/>
        <v>04</v>
      </c>
      <c r="C870" s="1285" t="s">
        <v>358</v>
      </c>
      <c r="D870" s="640" t="str">
        <f t="shared" ca="1" si="53"/>
        <v>04</v>
      </c>
      <c r="E870" s="1285" t="s">
        <v>542</v>
      </c>
      <c r="F870" s="641" t="str">
        <f>IF(G870="","",VLOOKUP(G870,リスト!J$2:K$3,2,FALSE))</f>
        <v>01</v>
      </c>
      <c r="G870" s="1285" t="s">
        <v>841</v>
      </c>
      <c r="H870" s="1284">
        <v>4236747</v>
      </c>
      <c r="I870" s="1284">
        <v>-101594</v>
      </c>
      <c r="J870" s="644">
        <f t="shared" si="54"/>
        <v>4135153</v>
      </c>
      <c r="K870" s="1284">
        <v>4135153</v>
      </c>
      <c r="L870" s="644">
        <f t="shared" si="55"/>
        <v>0</v>
      </c>
      <c r="M870" s="680">
        <v>0</v>
      </c>
      <c r="N870" s="651">
        <v>228390</v>
      </c>
    </row>
    <row r="871" spans="1:14" ht="15.95" customHeight="1" x14ac:dyDescent="0.15">
      <c r="A871" s="1286">
        <v>43435</v>
      </c>
      <c r="B871" s="640" t="str">
        <f t="shared" ca="1" si="52"/>
        <v>04</v>
      </c>
      <c r="C871" s="1285" t="s">
        <v>358</v>
      </c>
      <c r="D871" s="640" t="str">
        <f t="shared" ca="1" si="53"/>
        <v>04</v>
      </c>
      <c r="E871" s="1285" t="s">
        <v>542</v>
      </c>
      <c r="F871" s="641" t="str">
        <f>IF(G871="","",VLOOKUP(G871,リスト!J$2:K$3,2,FALSE))</f>
        <v>02</v>
      </c>
      <c r="G871" s="1285" t="s">
        <v>842</v>
      </c>
      <c r="H871" s="1284">
        <v>60954</v>
      </c>
      <c r="I871" s="1284">
        <v>-96013</v>
      </c>
      <c r="J871" s="644">
        <f t="shared" si="54"/>
        <v>-35059</v>
      </c>
      <c r="K871" s="1284">
        <v>-35059</v>
      </c>
      <c r="L871" s="644">
        <f t="shared" si="55"/>
        <v>0</v>
      </c>
      <c r="M871" s="680">
        <v>0</v>
      </c>
      <c r="N871" s="651">
        <v>0</v>
      </c>
    </row>
    <row r="872" spans="1:14" ht="15.95" customHeight="1" x14ac:dyDescent="0.15">
      <c r="A872" s="1286">
        <v>43435</v>
      </c>
      <c r="B872" s="640" t="str">
        <f t="shared" ca="1" si="52"/>
        <v>05</v>
      </c>
      <c r="C872" s="1285" t="s">
        <v>38</v>
      </c>
      <c r="D872" s="640" t="str">
        <f t="shared" ca="1" si="53"/>
        <v>01</v>
      </c>
      <c r="E872" s="1285" t="s">
        <v>83</v>
      </c>
      <c r="F872" s="641" t="str">
        <f>IF(G872="","",VLOOKUP(G872,リスト!J$2:K$3,2,FALSE))</f>
        <v>01</v>
      </c>
      <c r="G872" s="1285" t="s">
        <v>841</v>
      </c>
      <c r="H872" s="1284">
        <v>1826775</v>
      </c>
      <c r="I872" s="1284">
        <v>0</v>
      </c>
      <c r="J872" s="644">
        <f t="shared" si="54"/>
        <v>1826775</v>
      </c>
      <c r="K872" s="1284">
        <v>1826775</v>
      </c>
      <c r="L872" s="644">
        <f t="shared" si="55"/>
        <v>0</v>
      </c>
      <c r="M872" s="680">
        <v>0</v>
      </c>
      <c r="N872" s="651">
        <v>0</v>
      </c>
    </row>
    <row r="873" spans="1:14" ht="15.95" customHeight="1" x14ac:dyDescent="0.15">
      <c r="A873" s="1286">
        <v>43435</v>
      </c>
      <c r="B873" s="640" t="str">
        <f t="shared" ca="1" si="52"/>
        <v>05</v>
      </c>
      <c r="C873" s="1285" t="s">
        <v>38</v>
      </c>
      <c r="D873" s="640" t="str">
        <f t="shared" ca="1" si="53"/>
        <v>01</v>
      </c>
      <c r="E873" s="1285" t="s">
        <v>83</v>
      </c>
      <c r="F873" s="641" t="str">
        <f>IF(G873="","",VLOOKUP(G873,リスト!J$2:K$3,2,FALSE))</f>
        <v>02</v>
      </c>
      <c r="G873" s="1285" t="s">
        <v>842</v>
      </c>
      <c r="H873" s="1284">
        <v>0</v>
      </c>
      <c r="I873" s="1284">
        <v>0</v>
      </c>
      <c r="J873" s="644">
        <f t="shared" si="54"/>
        <v>0</v>
      </c>
      <c r="K873" s="1284">
        <v>0</v>
      </c>
      <c r="L873" s="644">
        <f t="shared" si="55"/>
        <v>0</v>
      </c>
      <c r="M873" s="680">
        <v>0</v>
      </c>
      <c r="N873" s="651">
        <v>0</v>
      </c>
    </row>
    <row r="874" spans="1:14" ht="15.95" customHeight="1" x14ac:dyDescent="0.15">
      <c r="A874" s="1286">
        <v>43435</v>
      </c>
      <c r="B874" s="640" t="str">
        <f t="shared" ca="1" si="52"/>
        <v>07</v>
      </c>
      <c r="C874" s="1285" t="s">
        <v>119</v>
      </c>
      <c r="D874" s="640" t="str">
        <f t="shared" ca="1" si="53"/>
        <v>05</v>
      </c>
      <c r="E874" s="1285" t="s">
        <v>543</v>
      </c>
      <c r="F874" s="641" t="str">
        <f>IF(G874="","",VLOOKUP(G874,リスト!J$2:K$3,2,FALSE))</f>
        <v>01</v>
      </c>
      <c r="G874" s="1285" t="s">
        <v>841</v>
      </c>
      <c r="H874" s="1284">
        <v>1107363</v>
      </c>
      <c r="I874" s="1284">
        <v>0</v>
      </c>
      <c r="J874" s="644">
        <f t="shared" si="54"/>
        <v>1107363</v>
      </c>
      <c r="K874" s="1284">
        <v>1107363</v>
      </c>
      <c r="L874" s="644">
        <f t="shared" si="55"/>
        <v>0</v>
      </c>
      <c r="M874" s="680">
        <v>0</v>
      </c>
      <c r="N874" s="651">
        <v>308666</v>
      </c>
    </row>
    <row r="875" spans="1:14" ht="15.95" customHeight="1" x14ac:dyDescent="0.15">
      <c r="A875" s="1286">
        <v>43435</v>
      </c>
      <c r="B875" s="640" t="str">
        <f t="shared" ca="1" si="52"/>
        <v>07</v>
      </c>
      <c r="C875" s="1285" t="s">
        <v>119</v>
      </c>
      <c r="D875" s="640" t="str">
        <f t="shared" ca="1" si="53"/>
        <v>05</v>
      </c>
      <c r="E875" s="1285" t="s">
        <v>543</v>
      </c>
      <c r="F875" s="641" t="str">
        <f>IF(G875="","",VLOOKUP(G875,リスト!J$2:K$3,2,FALSE))</f>
        <v>02</v>
      </c>
      <c r="G875" s="1285" t="s">
        <v>842</v>
      </c>
      <c r="H875" s="1284">
        <v>0</v>
      </c>
      <c r="I875" s="1284">
        <v>0</v>
      </c>
      <c r="J875" s="644">
        <f t="shared" si="54"/>
        <v>0</v>
      </c>
      <c r="K875" s="1284">
        <v>0</v>
      </c>
      <c r="L875" s="644">
        <f t="shared" si="55"/>
        <v>0</v>
      </c>
      <c r="M875" s="680">
        <v>0</v>
      </c>
      <c r="N875" s="651">
        <v>0</v>
      </c>
    </row>
    <row r="876" spans="1:14" ht="15.95" customHeight="1" x14ac:dyDescent="0.15">
      <c r="A876" s="1286">
        <v>43435</v>
      </c>
      <c r="B876" s="640" t="str">
        <f t="shared" ca="1" si="52"/>
        <v>08</v>
      </c>
      <c r="C876" s="1285" t="s">
        <v>189</v>
      </c>
      <c r="D876" s="640" t="str">
        <f t="shared" ca="1" si="53"/>
        <v>05</v>
      </c>
      <c r="E876" s="1285" t="s">
        <v>543</v>
      </c>
      <c r="F876" s="641" t="str">
        <f>IF(G876="","",VLOOKUP(G876,リスト!J$2:K$3,2,FALSE))</f>
        <v>01</v>
      </c>
      <c r="G876" s="1285" t="s">
        <v>841</v>
      </c>
      <c r="H876" s="1284">
        <v>1044442</v>
      </c>
      <c r="I876" s="1284">
        <v>0</v>
      </c>
      <c r="J876" s="644">
        <f t="shared" si="54"/>
        <v>1044442</v>
      </c>
      <c r="K876" s="1284">
        <v>1044442</v>
      </c>
      <c r="L876" s="644">
        <f t="shared" si="55"/>
        <v>0</v>
      </c>
      <c r="M876" s="680">
        <v>0</v>
      </c>
      <c r="N876" s="651">
        <v>0</v>
      </c>
    </row>
    <row r="877" spans="1:14" ht="15.95" customHeight="1" x14ac:dyDescent="0.15">
      <c r="A877" s="1286">
        <v>43435</v>
      </c>
      <c r="B877" s="640" t="str">
        <f t="shared" ca="1" si="52"/>
        <v>08</v>
      </c>
      <c r="C877" s="1285" t="s">
        <v>189</v>
      </c>
      <c r="D877" s="640" t="str">
        <f t="shared" ca="1" si="53"/>
        <v>05</v>
      </c>
      <c r="E877" s="1285" t="s">
        <v>543</v>
      </c>
      <c r="F877" s="641" t="str">
        <f>IF(G877="","",VLOOKUP(G877,リスト!J$2:K$3,2,FALSE))</f>
        <v>02</v>
      </c>
      <c r="G877" s="1285" t="s">
        <v>842</v>
      </c>
      <c r="H877" s="1284">
        <v>0</v>
      </c>
      <c r="I877" s="1284">
        <v>0</v>
      </c>
      <c r="J877" s="644">
        <f t="shared" si="54"/>
        <v>0</v>
      </c>
      <c r="K877" s="1284">
        <v>0</v>
      </c>
      <c r="L877" s="644">
        <f t="shared" si="55"/>
        <v>0</v>
      </c>
      <c r="M877" s="680">
        <v>0</v>
      </c>
      <c r="N877" s="651">
        <v>0</v>
      </c>
    </row>
    <row r="878" spans="1:14" ht="15.95" customHeight="1" x14ac:dyDescent="0.15">
      <c r="A878" s="1286">
        <v>43435</v>
      </c>
      <c r="B878" s="640" t="str">
        <f t="shared" ca="1" si="52"/>
        <v>09</v>
      </c>
      <c r="C878" s="1285" t="s">
        <v>329</v>
      </c>
      <c r="D878" s="640" t="str">
        <f t="shared" ca="1" si="53"/>
        <v>05</v>
      </c>
      <c r="E878" s="1285" t="s">
        <v>543</v>
      </c>
      <c r="F878" s="641" t="str">
        <f>IF(G878="","",VLOOKUP(G878,リスト!J$2:K$3,2,FALSE))</f>
        <v>01</v>
      </c>
      <c r="G878" s="1285" t="s">
        <v>841</v>
      </c>
      <c r="H878" s="1284">
        <v>2507684</v>
      </c>
      <c r="I878" s="1284">
        <v>0</v>
      </c>
      <c r="J878" s="644">
        <f t="shared" si="54"/>
        <v>2507684</v>
      </c>
      <c r="K878" s="1284">
        <v>2507684</v>
      </c>
      <c r="L878" s="644">
        <f t="shared" si="55"/>
        <v>0</v>
      </c>
      <c r="M878" s="680">
        <v>0</v>
      </c>
      <c r="N878" s="651">
        <v>0</v>
      </c>
    </row>
    <row r="879" spans="1:14" ht="15.95" customHeight="1" x14ac:dyDescent="0.15">
      <c r="A879" s="1286">
        <v>43435</v>
      </c>
      <c r="B879" s="640" t="str">
        <f t="shared" ca="1" si="52"/>
        <v>09</v>
      </c>
      <c r="C879" s="1285" t="s">
        <v>329</v>
      </c>
      <c r="D879" s="640" t="str">
        <f t="shared" ca="1" si="53"/>
        <v>05</v>
      </c>
      <c r="E879" s="1285" t="s">
        <v>543</v>
      </c>
      <c r="F879" s="641" t="str">
        <f>IF(G879="","",VLOOKUP(G879,リスト!J$2:K$3,2,FALSE))</f>
        <v>02</v>
      </c>
      <c r="G879" s="1285" t="s">
        <v>842</v>
      </c>
      <c r="H879" s="1284">
        <v>0</v>
      </c>
      <c r="I879" s="1284">
        <v>0</v>
      </c>
      <c r="J879" s="644">
        <f t="shared" si="54"/>
        <v>0</v>
      </c>
      <c r="K879" s="1284">
        <v>0</v>
      </c>
      <c r="L879" s="644">
        <f t="shared" si="55"/>
        <v>0</v>
      </c>
      <c r="M879" s="680">
        <v>0</v>
      </c>
      <c r="N879" s="651">
        <v>0</v>
      </c>
    </row>
    <row r="880" spans="1:14" ht="15.95" customHeight="1" x14ac:dyDescent="0.15">
      <c r="A880" s="1286">
        <v>43466</v>
      </c>
      <c r="B880" s="640" t="str">
        <f t="shared" ca="1" si="52"/>
        <v>01</v>
      </c>
      <c r="C880" s="1285" t="s">
        <v>34</v>
      </c>
      <c r="D880" s="640" t="str">
        <f t="shared" ca="1" si="53"/>
        <v>01</v>
      </c>
      <c r="E880" s="1285" t="s">
        <v>83</v>
      </c>
      <c r="F880" s="641" t="str">
        <f>IF(G880="","",VLOOKUP(G880,リスト!J$2:K$3,2,FALSE))</f>
        <v>01</v>
      </c>
      <c r="G880" s="1285" t="s">
        <v>841</v>
      </c>
      <c r="H880" s="1284">
        <v>8676544</v>
      </c>
      <c r="I880" s="1284">
        <v>-6634</v>
      </c>
      <c r="J880" s="644">
        <f t="shared" si="54"/>
        <v>8669910</v>
      </c>
      <c r="K880" s="1284">
        <v>8669910</v>
      </c>
      <c r="L880" s="644">
        <f t="shared" si="55"/>
        <v>0</v>
      </c>
      <c r="M880" s="680">
        <v>158772</v>
      </c>
      <c r="N880" s="651">
        <v>1297597</v>
      </c>
    </row>
    <row r="881" spans="1:14" ht="15.95" customHeight="1" x14ac:dyDescent="0.15">
      <c r="A881" s="1286">
        <v>43466</v>
      </c>
      <c r="B881" s="640" t="str">
        <f t="shared" ca="1" si="52"/>
        <v>01</v>
      </c>
      <c r="C881" s="1285" t="s">
        <v>34</v>
      </c>
      <c r="D881" s="640" t="str">
        <f t="shared" ca="1" si="53"/>
        <v>03</v>
      </c>
      <c r="E881" s="1285" t="s">
        <v>98</v>
      </c>
      <c r="F881" s="641" t="str">
        <f>IF(G881="","",VLOOKUP(G881,リスト!J$2:K$3,2,FALSE))</f>
        <v>01</v>
      </c>
      <c r="G881" s="1285" t="s">
        <v>841</v>
      </c>
      <c r="H881" s="1284">
        <v>721723</v>
      </c>
      <c r="I881" s="1284">
        <v>0</v>
      </c>
      <c r="J881" s="644">
        <f t="shared" si="54"/>
        <v>721723</v>
      </c>
      <c r="K881" s="1284">
        <v>721723</v>
      </c>
      <c r="L881" s="644">
        <f t="shared" si="55"/>
        <v>0</v>
      </c>
      <c r="M881" s="680">
        <v>0</v>
      </c>
      <c r="N881" s="651">
        <v>0</v>
      </c>
    </row>
    <row r="882" spans="1:14" ht="15.95" customHeight="1" x14ac:dyDescent="0.15">
      <c r="A882" s="1286">
        <v>43466</v>
      </c>
      <c r="B882" s="640" t="str">
        <f t="shared" ca="1" si="52"/>
        <v>01</v>
      </c>
      <c r="C882" s="1285" t="s">
        <v>34</v>
      </c>
      <c r="D882" s="640" t="str">
        <f t="shared" ca="1" si="53"/>
        <v>02</v>
      </c>
      <c r="E882" s="1285" t="s">
        <v>84</v>
      </c>
      <c r="F882" s="641" t="str">
        <f>IF(G882="","",VLOOKUP(G882,リスト!J$2:K$3,2,FALSE))</f>
        <v>01</v>
      </c>
      <c r="G882" s="1285" t="s">
        <v>841</v>
      </c>
      <c r="H882" s="1284">
        <v>2016231</v>
      </c>
      <c r="I882" s="1284">
        <v>-79415</v>
      </c>
      <c r="J882" s="644">
        <f t="shared" si="54"/>
        <v>1936816</v>
      </c>
      <c r="K882" s="1284">
        <v>1936816</v>
      </c>
      <c r="L882" s="644">
        <f t="shared" si="55"/>
        <v>0</v>
      </c>
      <c r="M882" s="680">
        <v>0</v>
      </c>
      <c r="N882" s="651">
        <v>502389</v>
      </c>
    </row>
    <row r="883" spans="1:14" ht="15.95" customHeight="1" x14ac:dyDescent="0.15">
      <c r="A883" s="1286">
        <v>43466</v>
      </c>
      <c r="B883" s="640" t="str">
        <f t="shared" ca="1" si="52"/>
        <v>01</v>
      </c>
      <c r="C883" s="1285" t="s">
        <v>34</v>
      </c>
      <c r="D883" s="640" t="str">
        <f t="shared" ca="1" si="53"/>
        <v>01</v>
      </c>
      <c r="E883" s="1285" t="s">
        <v>83</v>
      </c>
      <c r="F883" s="641" t="str">
        <f>IF(G883="","",VLOOKUP(G883,リスト!J$2:K$3,2,FALSE))</f>
        <v>02</v>
      </c>
      <c r="G883" s="1285" t="s">
        <v>842</v>
      </c>
      <c r="H883" s="1284">
        <v>206795</v>
      </c>
      <c r="I883" s="1284">
        <v>36048</v>
      </c>
      <c r="J883" s="644">
        <f t="shared" si="54"/>
        <v>242843</v>
      </c>
      <c r="K883" s="1284">
        <v>242843</v>
      </c>
      <c r="L883" s="644">
        <f t="shared" si="55"/>
        <v>0</v>
      </c>
      <c r="M883" s="680">
        <v>0</v>
      </c>
      <c r="N883" s="651">
        <v>0</v>
      </c>
    </row>
    <row r="884" spans="1:14" ht="15.95" customHeight="1" x14ac:dyDescent="0.15">
      <c r="A884" s="1286">
        <v>43466</v>
      </c>
      <c r="B884" s="640" t="str">
        <f t="shared" ca="1" si="52"/>
        <v>01</v>
      </c>
      <c r="C884" s="1285" t="s">
        <v>34</v>
      </c>
      <c r="D884" s="640" t="str">
        <f t="shared" ca="1" si="53"/>
        <v>03</v>
      </c>
      <c r="E884" s="1285" t="s">
        <v>98</v>
      </c>
      <c r="F884" s="641" t="str">
        <f>IF(G884="","",VLOOKUP(G884,リスト!J$2:K$3,2,FALSE))</f>
        <v>02</v>
      </c>
      <c r="G884" s="1285" t="s">
        <v>842</v>
      </c>
      <c r="H884" s="1284">
        <v>14477</v>
      </c>
      <c r="I884" s="1284">
        <v>0</v>
      </c>
      <c r="J884" s="644">
        <f t="shared" si="54"/>
        <v>14477</v>
      </c>
      <c r="K884" s="1284">
        <v>14477</v>
      </c>
      <c r="L884" s="644">
        <f t="shared" si="55"/>
        <v>0</v>
      </c>
      <c r="M884" s="680">
        <v>0</v>
      </c>
      <c r="N884" s="651">
        <v>0</v>
      </c>
    </row>
    <row r="885" spans="1:14" ht="15.95" customHeight="1" x14ac:dyDescent="0.15">
      <c r="A885" s="1286">
        <v>43466</v>
      </c>
      <c r="B885" s="640" t="str">
        <f t="shared" ca="1" si="52"/>
        <v>01</v>
      </c>
      <c r="C885" s="1285" t="s">
        <v>34</v>
      </c>
      <c r="D885" s="640" t="str">
        <f t="shared" ca="1" si="53"/>
        <v>02</v>
      </c>
      <c r="E885" s="1285" t="s">
        <v>84</v>
      </c>
      <c r="F885" s="641" t="str">
        <f>IF(G885="","",VLOOKUP(G885,リスト!J$2:K$3,2,FALSE))</f>
        <v>02</v>
      </c>
      <c r="G885" s="1285" t="s">
        <v>842</v>
      </c>
      <c r="H885" s="1284">
        <v>379308</v>
      </c>
      <c r="I885" s="1284">
        <v>0</v>
      </c>
      <c r="J885" s="644">
        <f t="shared" si="54"/>
        <v>379308</v>
      </c>
      <c r="K885" s="1284">
        <v>379308</v>
      </c>
      <c r="L885" s="644">
        <f t="shared" si="55"/>
        <v>0</v>
      </c>
      <c r="M885" s="680">
        <v>0</v>
      </c>
      <c r="N885" s="651">
        <v>0</v>
      </c>
    </row>
    <row r="886" spans="1:14" ht="15.95" customHeight="1" x14ac:dyDescent="0.15">
      <c r="A886" s="1286">
        <v>43466</v>
      </c>
      <c r="B886" s="640" t="str">
        <f t="shared" ca="1" si="52"/>
        <v>02</v>
      </c>
      <c r="C886" s="1285" t="s">
        <v>37</v>
      </c>
      <c r="D886" s="640" t="str">
        <f t="shared" ca="1" si="53"/>
        <v>01</v>
      </c>
      <c r="E886" s="1285" t="s">
        <v>83</v>
      </c>
      <c r="F886" s="641" t="str">
        <f>IF(G886="","",VLOOKUP(G886,リスト!J$2:K$3,2,FALSE))</f>
        <v>01</v>
      </c>
      <c r="G886" s="1285" t="s">
        <v>841</v>
      </c>
      <c r="H886" s="1284">
        <v>4380525</v>
      </c>
      <c r="I886" s="1284">
        <v>-14939</v>
      </c>
      <c r="J886" s="644">
        <f t="shared" si="54"/>
        <v>4365586</v>
      </c>
      <c r="K886" s="1284">
        <v>4365586</v>
      </c>
      <c r="L886" s="644">
        <f t="shared" si="55"/>
        <v>0</v>
      </c>
      <c r="M886" s="680">
        <v>8710</v>
      </c>
      <c r="N886" s="651">
        <v>442601</v>
      </c>
    </row>
    <row r="887" spans="1:14" ht="15.95" customHeight="1" x14ac:dyDescent="0.15">
      <c r="A887" s="1286">
        <v>43466</v>
      </c>
      <c r="B887" s="640" t="str">
        <f t="shared" ca="1" si="52"/>
        <v>02</v>
      </c>
      <c r="C887" s="1285" t="s">
        <v>37</v>
      </c>
      <c r="D887" s="640" t="str">
        <f t="shared" ca="1" si="53"/>
        <v>03</v>
      </c>
      <c r="E887" s="1285" t="s">
        <v>98</v>
      </c>
      <c r="F887" s="641" t="str">
        <f>IF(G887="","",VLOOKUP(G887,リスト!J$2:K$3,2,FALSE))</f>
        <v>01</v>
      </c>
      <c r="G887" s="1285" t="s">
        <v>841</v>
      </c>
      <c r="H887" s="1284">
        <v>497826</v>
      </c>
      <c r="I887" s="1284">
        <v>0</v>
      </c>
      <c r="J887" s="644">
        <f t="shared" si="54"/>
        <v>497826</v>
      </c>
      <c r="K887" s="1284">
        <v>497826</v>
      </c>
      <c r="L887" s="644">
        <f t="shared" si="55"/>
        <v>0</v>
      </c>
      <c r="M887" s="680">
        <v>0</v>
      </c>
      <c r="N887" s="651">
        <v>0</v>
      </c>
    </row>
    <row r="888" spans="1:14" ht="15.95" customHeight="1" x14ac:dyDescent="0.15">
      <c r="A888" s="1286">
        <v>43466</v>
      </c>
      <c r="B888" s="640" t="str">
        <f t="shared" ca="1" si="52"/>
        <v>02</v>
      </c>
      <c r="C888" s="1285" t="s">
        <v>37</v>
      </c>
      <c r="D888" s="640" t="str">
        <f t="shared" ca="1" si="53"/>
        <v>02</v>
      </c>
      <c r="E888" s="1285" t="s">
        <v>84</v>
      </c>
      <c r="F888" s="641" t="str">
        <f>IF(G888="","",VLOOKUP(G888,リスト!J$2:K$3,2,FALSE))</f>
        <v>01</v>
      </c>
      <c r="G888" s="1285" t="s">
        <v>841</v>
      </c>
      <c r="H888" s="1284">
        <v>1100923</v>
      </c>
      <c r="I888" s="1284">
        <v>-160480</v>
      </c>
      <c r="J888" s="644">
        <f t="shared" si="54"/>
        <v>940443</v>
      </c>
      <c r="K888" s="1284">
        <v>940443</v>
      </c>
      <c r="L888" s="644">
        <f t="shared" si="55"/>
        <v>0</v>
      </c>
      <c r="M888" s="680">
        <v>0</v>
      </c>
      <c r="N888" s="651">
        <v>233751</v>
      </c>
    </row>
    <row r="889" spans="1:14" ht="15.95" customHeight="1" x14ac:dyDescent="0.15">
      <c r="A889" s="1286">
        <v>43466</v>
      </c>
      <c r="B889" s="640" t="str">
        <f t="shared" ca="1" si="52"/>
        <v>02</v>
      </c>
      <c r="C889" s="1285" t="s">
        <v>37</v>
      </c>
      <c r="D889" s="640" t="str">
        <f t="shared" ca="1" si="53"/>
        <v>01</v>
      </c>
      <c r="E889" s="1285" t="s">
        <v>83</v>
      </c>
      <c r="F889" s="641" t="str">
        <f>IF(G889="","",VLOOKUP(G889,リスト!J$2:K$3,2,FALSE))</f>
        <v>02</v>
      </c>
      <c r="G889" s="1285" t="s">
        <v>842</v>
      </c>
      <c r="H889" s="1284">
        <v>111881</v>
      </c>
      <c r="I889" s="1284">
        <v>-383080</v>
      </c>
      <c r="J889" s="644">
        <f t="shared" si="54"/>
        <v>-271199</v>
      </c>
      <c r="K889" s="1284">
        <v>-271199</v>
      </c>
      <c r="L889" s="644">
        <f t="shared" si="55"/>
        <v>0</v>
      </c>
      <c r="M889" s="680">
        <v>0</v>
      </c>
      <c r="N889" s="651">
        <v>0</v>
      </c>
    </row>
    <row r="890" spans="1:14" ht="15.95" customHeight="1" x14ac:dyDescent="0.15">
      <c r="A890" s="1286">
        <v>43466</v>
      </c>
      <c r="B890" s="640" t="str">
        <f t="shared" ca="1" si="52"/>
        <v>02</v>
      </c>
      <c r="C890" s="1285" t="s">
        <v>37</v>
      </c>
      <c r="D890" s="640" t="str">
        <f t="shared" ca="1" si="53"/>
        <v>03</v>
      </c>
      <c r="E890" s="1285" t="s">
        <v>98</v>
      </c>
      <c r="F890" s="641" t="str">
        <f>IF(G890="","",VLOOKUP(G890,リスト!J$2:K$3,2,FALSE))</f>
        <v>02</v>
      </c>
      <c r="G890" s="1285" t="s">
        <v>842</v>
      </c>
      <c r="H890" s="1284">
        <v>32574</v>
      </c>
      <c r="I890" s="1284">
        <v>0</v>
      </c>
      <c r="J890" s="644">
        <f t="shared" si="54"/>
        <v>32574</v>
      </c>
      <c r="K890" s="1284">
        <v>32574</v>
      </c>
      <c r="L890" s="644">
        <f t="shared" si="55"/>
        <v>0</v>
      </c>
      <c r="M890" s="680">
        <v>0</v>
      </c>
      <c r="N890" s="651">
        <v>0</v>
      </c>
    </row>
    <row r="891" spans="1:14" ht="15.95" customHeight="1" x14ac:dyDescent="0.15">
      <c r="A891" s="1286">
        <v>43466</v>
      </c>
      <c r="B891" s="640" t="str">
        <f t="shared" ca="1" si="52"/>
        <v>02</v>
      </c>
      <c r="C891" s="1285" t="s">
        <v>37</v>
      </c>
      <c r="D891" s="640" t="str">
        <f t="shared" ca="1" si="53"/>
        <v>02</v>
      </c>
      <c r="E891" s="1285" t="s">
        <v>84</v>
      </c>
      <c r="F891" s="641" t="str">
        <f>IF(G891="","",VLOOKUP(G891,リスト!J$2:K$3,2,FALSE))</f>
        <v>02</v>
      </c>
      <c r="G891" s="1285" t="s">
        <v>842</v>
      </c>
      <c r="H891" s="1284">
        <v>209464</v>
      </c>
      <c r="I891" s="1284">
        <v>-144697</v>
      </c>
      <c r="J891" s="644">
        <f t="shared" si="54"/>
        <v>64767</v>
      </c>
      <c r="K891" s="1284">
        <v>64767</v>
      </c>
      <c r="L891" s="644">
        <f t="shared" si="55"/>
        <v>0</v>
      </c>
      <c r="M891" s="680">
        <v>0</v>
      </c>
      <c r="N891" s="651">
        <v>0</v>
      </c>
    </row>
    <row r="892" spans="1:14" ht="15.95" customHeight="1" x14ac:dyDescent="0.15">
      <c r="A892" s="1286">
        <v>43466</v>
      </c>
      <c r="B892" s="640" t="str">
        <f t="shared" ca="1" si="52"/>
        <v>03</v>
      </c>
      <c r="C892" s="1285" t="s">
        <v>66</v>
      </c>
      <c r="D892" s="640" t="str">
        <f t="shared" ca="1" si="53"/>
        <v>01</v>
      </c>
      <c r="E892" s="1285" t="s">
        <v>83</v>
      </c>
      <c r="F892" s="641" t="str">
        <f>IF(G892="","",VLOOKUP(G892,リスト!J$2:K$3,2,FALSE))</f>
        <v>01</v>
      </c>
      <c r="G892" s="1285" t="s">
        <v>841</v>
      </c>
      <c r="H892" s="1284">
        <v>4735561</v>
      </c>
      <c r="I892" s="1284">
        <v>-2630</v>
      </c>
      <c r="J892" s="644">
        <f t="shared" si="54"/>
        <v>4732931</v>
      </c>
      <c r="K892" s="1284">
        <v>4732931</v>
      </c>
      <c r="L892" s="644">
        <f t="shared" si="55"/>
        <v>0</v>
      </c>
      <c r="M892" s="680">
        <v>0</v>
      </c>
      <c r="N892" s="651">
        <v>520648</v>
      </c>
    </row>
    <row r="893" spans="1:14" ht="15.95" customHeight="1" x14ac:dyDescent="0.15">
      <c r="A893" s="1286">
        <v>43466</v>
      </c>
      <c r="B893" s="640" t="str">
        <f t="shared" ca="1" si="52"/>
        <v>03</v>
      </c>
      <c r="C893" s="1285" t="s">
        <v>66</v>
      </c>
      <c r="D893" s="640" t="str">
        <f t="shared" ca="1" si="53"/>
        <v>02</v>
      </c>
      <c r="E893" s="1285" t="s">
        <v>84</v>
      </c>
      <c r="F893" s="641" t="str">
        <f>IF(G893="","",VLOOKUP(G893,リスト!J$2:K$3,2,FALSE))</f>
        <v>01</v>
      </c>
      <c r="G893" s="1285" t="s">
        <v>841</v>
      </c>
      <c r="H893" s="1284">
        <v>1738382</v>
      </c>
      <c r="I893" s="1284">
        <v>0</v>
      </c>
      <c r="J893" s="644">
        <f t="shared" si="54"/>
        <v>1738382</v>
      </c>
      <c r="K893" s="1284">
        <v>1738382</v>
      </c>
      <c r="L893" s="644">
        <f t="shared" si="55"/>
        <v>0</v>
      </c>
      <c r="M893" s="680">
        <v>0</v>
      </c>
      <c r="N893" s="651">
        <v>404246</v>
      </c>
    </row>
    <row r="894" spans="1:14" ht="15.95" customHeight="1" x14ac:dyDescent="0.15">
      <c r="A894" s="1286">
        <v>43466</v>
      </c>
      <c r="B894" s="640" t="str">
        <f t="shared" ca="1" si="52"/>
        <v>03</v>
      </c>
      <c r="C894" s="1285" t="s">
        <v>66</v>
      </c>
      <c r="D894" s="640" t="str">
        <f t="shared" ca="1" si="53"/>
        <v>01</v>
      </c>
      <c r="E894" s="1285" t="s">
        <v>83</v>
      </c>
      <c r="F894" s="641" t="str">
        <f>IF(G894="","",VLOOKUP(G894,リスト!J$2:K$3,2,FALSE))</f>
        <v>02</v>
      </c>
      <c r="G894" s="1285" t="s">
        <v>842</v>
      </c>
      <c r="H894" s="1284">
        <v>232124</v>
      </c>
      <c r="I894" s="1284">
        <v>7469</v>
      </c>
      <c r="J894" s="644">
        <f t="shared" si="54"/>
        <v>239593</v>
      </c>
      <c r="K894" s="1284">
        <v>239593</v>
      </c>
      <c r="L894" s="644">
        <f t="shared" si="55"/>
        <v>0</v>
      </c>
      <c r="M894" s="680">
        <v>0</v>
      </c>
      <c r="N894" s="651">
        <v>0</v>
      </c>
    </row>
    <row r="895" spans="1:14" ht="15.95" customHeight="1" x14ac:dyDescent="0.15">
      <c r="A895" s="1286">
        <v>43466</v>
      </c>
      <c r="B895" s="640" t="str">
        <f t="shared" ca="1" si="52"/>
        <v>03</v>
      </c>
      <c r="C895" s="1285" t="s">
        <v>66</v>
      </c>
      <c r="D895" s="640" t="str">
        <f t="shared" ca="1" si="53"/>
        <v>02</v>
      </c>
      <c r="E895" s="1285" t="s">
        <v>84</v>
      </c>
      <c r="F895" s="641" t="str">
        <f>IF(G895="","",VLOOKUP(G895,リスト!J$2:K$3,2,FALSE))</f>
        <v>02</v>
      </c>
      <c r="G895" s="1285" t="s">
        <v>842</v>
      </c>
      <c r="H895" s="1284">
        <v>0</v>
      </c>
      <c r="I895" s="1284">
        <v>0</v>
      </c>
      <c r="J895" s="644">
        <f t="shared" si="54"/>
        <v>0</v>
      </c>
      <c r="K895" s="1284">
        <v>0</v>
      </c>
      <c r="L895" s="644">
        <f t="shared" si="55"/>
        <v>0</v>
      </c>
      <c r="M895" s="680">
        <v>0</v>
      </c>
      <c r="N895" s="651">
        <v>0</v>
      </c>
    </row>
    <row r="896" spans="1:14" ht="15.95" customHeight="1" x14ac:dyDescent="0.15">
      <c r="A896" s="1286">
        <v>43466</v>
      </c>
      <c r="B896" s="640" t="str">
        <f t="shared" ca="1" si="52"/>
        <v>11</v>
      </c>
      <c r="C896" s="1285" t="s">
        <v>967</v>
      </c>
      <c r="D896" s="640" t="str">
        <f t="shared" ca="1" si="53"/>
        <v>01</v>
      </c>
      <c r="E896" s="1285" t="s">
        <v>83</v>
      </c>
      <c r="F896" s="641" t="str">
        <f>IF(G896="","",VLOOKUP(G896,リスト!J$2:K$3,2,FALSE))</f>
        <v>01</v>
      </c>
      <c r="G896" s="1285" t="s">
        <v>841</v>
      </c>
      <c r="H896" s="1284">
        <v>1000605</v>
      </c>
      <c r="I896" s="1284">
        <v>-13148</v>
      </c>
      <c r="J896" s="644">
        <f t="shared" si="54"/>
        <v>987457</v>
      </c>
      <c r="K896" s="1284">
        <v>987457</v>
      </c>
      <c r="L896" s="644">
        <f t="shared" si="55"/>
        <v>0</v>
      </c>
      <c r="M896" s="680">
        <v>0</v>
      </c>
      <c r="N896" s="651">
        <v>86703</v>
      </c>
    </row>
    <row r="897" spans="1:14" ht="15.95" customHeight="1" x14ac:dyDescent="0.15">
      <c r="A897" s="1286">
        <v>43466</v>
      </c>
      <c r="B897" s="640" t="str">
        <f t="shared" ca="1" si="52"/>
        <v>11</v>
      </c>
      <c r="C897" s="1285" t="s">
        <v>967</v>
      </c>
      <c r="D897" s="640" t="str">
        <f t="shared" ca="1" si="53"/>
        <v>02</v>
      </c>
      <c r="E897" s="1285" t="s">
        <v>84</v>
      </c>
      <c r="F897" s="641" t="str">
        <f>IF(G897="","",VLOOKUP(G897,リスト!J$2:K$3,2,FALSE))</f>
        <v>01</v>
      </c>
      <c r="G897" s="1285" t="s">
        <v>841</v>
      </c>
      <c r="H897" s="1284">
        <v>133567</v>
      </c>
      <c r="I897" s="1284">
        <v>0</v>
      </c>
      <c r="J897" s="644">
        <f t="shared" si="54"/>
        <v>133567</v>
      </c>
      <c r="K897" s="1284">
        <v>133567</v>
      </c>
      <c r="L897" s="644">
        <f t="shared" si="55"/>
        <v>0</v>
      </c>
      <c r="M897" s="680">
        <v>0</v>
      </c>
      <c r="N897" s="651">
        <v>28110</v>
      </c>
    </row>
    <row r="898" spans="1:14" ht="15.95" customHeight="1" x14ac:dyDescent="0.15">
      <c r="A898" s="1286">
        <v>43466</v>
      </c>
      <c r="B898" s="640" t="str">
        <f t="shared" ref="B898:B961" ca="1" si="56">IF(C898="","",VLOOKUP(C898,事業所コード2,2,FALSE))</f>
        <v>11</v>
      </c>
      <c r="C898" s="1285" t="s">
        <v>967</v>
      </c>
      <c r="D898" s="640" t="str">
        <f t="shared" ref="D898:D961" ca="1" si="57">IF(E898="","",VLOOKUP(E898,事業区分コード2,2,FALSE))</f>
        <v>01</v>
      </c>
      <c r="E898" s="1285" t="s">
        <v>83</v>
      </c>
      <c r="F898" s="641" t="str">
        <f>IF(G898="","",VLOOKUP(G898,リスト!J$2:K$3,2,FALSE))</f>
        <v>02</v>
      </c>
      <c r="G898" s="1285" t="s">
        <v>842</v>
      </c>
      <c r="H898" s="1284">
        <v>0</v>
      </c>
      <c r="I898" s="1284">
        <v>0</v>
      </c>
      <c r="J898" s="644">
        <f t="shared" ref="J898:J961" si="58">IF(A898="","",H898+I898)</f>
        <v>0</v>
      </c>
      <c r="K898" s="1284">
        <v>0</v>
      </c>
      <c r="L898" s="644">
        <f t="shared" ref="L898:L961" si="59">IF(A898="","",J898-K898)</f>
        <v>0</v>
      </c>
      <c r="M898" s="680">
        <v>0</v>
      </c>
      <c r="N898" s="651">
        <v>0</v>
      </c>
    </row>
    <row r="899" spans="1:14" ht="15.95" customHeight="1" x14ac:dyDescent="0.15">
      <c r="A899" s="1286">
        <v>43466</v>
      </c>
      <c r="B899" s="640" t="str">
        <f t="shared" ca="1" si="56"/>
        <v>11</v>
      </c>
      <c r="C899" s="1285" t="s">
        <v>967</v>
      </c>
      <c r="D899" s="640" t="str">
        <f t="shared" ca="1" si="57"/>
        <v>02</v>
      </c>
      <c r="E899" s="1285" t="s">
        <v>84</v>
      </c>
      <c r="F899" s="641" t="str">
        <f>IF(G899="","",VLOOKUP(G899,リスト!J$2:K$3,2,FALSE))</f>
        <v>02</v>
      </c>
      <c r="G899" s="1285" t="s">
        <v>842</v>
      </c>
      <c r="H899" s="1284">
        <v>0</v>
      </c>
      <c r="I899" s="1284">
        <v>0</v>
      </c>
      <c r="J899" s="644">
        <f t="shared" si="58"/>
        <v>0</v>
      </c>
      <c r="K899" s="1284">
        <v>0</v>
      </c>
      <c r="L899" s="644">
        <f t="shared" si="59"/>
        <v>0</v>
      </c>
      <c r="M899" s="680">
        <v>0</v>
      </c>
      <c r="N899" s="651">
        <v>0</v>
      </c>
    </row>
    <row r="900" spans="1:14" ht="15.95" customHeight="1" x14ac:dyDescent="0.15">
      <c r="A900" s="1286">
        <v>43466</v>
      </c>
      <c r="B900" s="640" t="str">
        <f t="shared" ca="1" si="56"/>
        <v>12</v>
      </c>
      <c r="C900" s="1285" t="s">
        <v>1143</v>
      </c>
      <c r="D900" s="640" t="str">
        <f t="shared" ca="1" si="57"/>
        <v>01</v>
      </c>
      <c r="E900" s="1285" t="s">
        <v>83</v>
      </c>
      <c r="F900" s="641" t="str">
        <f>IF(G900="","",VLOOKUP(G900,リスト!J$2:K$3,2,FALSE))</f>
        <v>01</v>
      </c>
      <c r="G900" s="1285" t="s">
        <v>841</v>
      </c>
      <c r="H900" s="1284">
        <v>551172</v>
      </c>
      <c r="I900" s="1284">
        <v>-57923</v>
      </c>
      <c r="J900" s="644">
        <f t="shared" si="58"/>
        <v>493249</v>
      </c>
      <c r="K900" s="1284">
        <v>493249</v>
      </c>
      <c r="L900" s="644">
        <f t="shared" si="59"/>
        <v>0</v>
      </c>
      <c r="M900" s="680">
        <v>0</v>
      </c>
      <c r="N900" s="651">
        <v>39332</v>
      </c>
    </row>
    <row r="901" spans="1:14" ht="15.95" customHeight="1" x14ac:dyDescent="0.15">
      <c r="A901" s="1286">
        <v>43466</v>
      </c>
      <c r="B901" s="640" t="str">
        <f t="shared" ca="1" si="56"/>
        <v>12</v>
      </c>
      <c r="C901" s="1285" t="s">
        <v>1143</v>
      </c>
      <c r="D901" s="640" t="str">
        <f t="shared" ca="1" si="57"/>
        <v>02</v>
      </c>
      <c r="E901" s="1285" t="s">
        <v>84</v>
      </c>
      <c r="F901" s="641" t="str">
        <f>IF(G901="","",VLOOKUP(G901,リスト!J$2:K$3,2,FALSE))</f>
        <v>01</v>
      </c>
      <c r="G901" s="1285" t="s">
        <v>841</v>
      </c>
      <c r="H901" s="1284">
        <v>242326</v>
      </c>
      <c r="I901" s="1284">
        <v>0</v>
      </c>
      <c r="J901" s="644">
        <f t="shared" si="58"/>
        <v>242326</v>
      </c>
      <c r="K901" s="1284">
        <v>242326</v>
      </c>
      <c r="L901" s="644">
        <f t="shared" si="59"/>
        <v>0</v>
      </c>
      <c r="M901" s="680">
        <v>0</v>
      </c>
      <c r="N901" s="651">
        <v>56338</v>
      </c>
    </row>
    <row r="902" spans="1:14" ht="15.95" customHeight="1" x14ac:dyDescent="0.15">
      <c r="A902" s="1286">
        <v>43466</v>
      </c>
      <c r="B902" s="640" t="str">
        <f t="shared" ca="1" si="56"/>
        <v>12</v>
      </c>
      <c r="C902" s="1285" t="s">
        <v>1143</v>
      </c>
      <c r="D902" s="640" t="str">
        <f t="shared" ca="1" si="57"/>
        <v>01</v>
      </c>
      <c r="E902" s="1285" t="s">
        <v>83</v>
      </c>
      <c r="F902" s="641" t="str">
        <f>IF(G902="","",VLOOKUP(G902,リスト!J$2:K$3,2,FALSE))</f>
        <v>02</v>
      </c>
      <c r="G902" s="1285" t="s">
        <v>842</v>
      </c>
      <c r="H902" s="1284">
        <v>48641</v>
      </c>
      <c r="I902" s="1284">
        <v>-32653</v>
      </c>
      <c r="J902" s="644">
        <f t="shared" si="58"/>
        <v>15988</v>
      </c>
      <c r="K902" s="1284">
        <v>15988</v>
      </c>
      <c r="L902" s="644">
        <f t="shared" si="59"/>
        <v>0</v>
      </c>
      <c r="M902" s="680">
        <v>0</v>
      </c>
      <c r="N902" s="651">
        <v>0</v>
      </c>
    </row>
    <row r="903" spans="1:14" ht="15.95" customHeight="1" x14ac:dyDescent="0.15">
      <c r="A903" s="1286">
        <v>43466</v>
      </c>
      <c r="B903" s="640" t="str">
        <f t="shared" ca="1" si="56"/>
        <v>12</v>
      </c>
      <c r="C903" s="1285" t="s">
        <v>1143</v>
      </c>
      <c r="D903" s="640" t="str">
        <f t="shared" ca="1" si="57"/>
        <v>02</v>
      </c>
      <c r="E903" s="1285" t="s">
        <v>84</v>
      </c>
      <c r="F903" s="641" t="str">
        <f>IF(G903="","",VLOOKUP(G903,リスト!J$2:K$3,2,FALSE))</f>
        <v>02</v>
      </c>
      <c r="G903" s="1285" t="s">
        <v>842</v>
      </c>
      <c r="H903" s="1284">
        <v>0</v>
      </c>
      <c r="I903" s="1284">
        <v>0</v>
      </c>
      <c r="J903" s="644">
        <f t="shared" si="58"/>
        <v>0</v>
      </c>
      <c r="K903" s="1284">
        <v>0</v>
      </c>
      <c r="L903" s="644">
        <f t="shared" si="59"/>
        <v>0</v>
      </c>
      <c r="M903" s="680">
        <v>0</v>
      </c>
      <c r="N903" s="651">
        <v>0</v>
      </c>
    </row>
    <row r="904" spans="1:14" ht="15.95" customHeight="1" x14ac:dyDescent="0.15">
      <c r="A904" s="1286">
        <v>43466</v>
      </c>
      <c r="B904" s="640" t="str">
        <f t="shared" ca="1" si="56"/>
        <v>04</v>
      </c>
      <c r="C904" s="1285" t="s">
        <v>358</v>
      </c>
      <c r="D904" s="640" t="str">
        <f t="shared" ca="1" si="57"/>
        <v>04</v>
      </c>
      <c r="E904" s="1285" t="s">
        <v>542</v>
      </c>
      <c r="F904" s="641" t="str">
        <f>IF(G904="","",VLOOKUP(G904,リスト!J$2:K$3,2,FALSE))</f>
        <v>01</v>
      </c>
      <c r="G904" s="1285" t="s">
        <v>841</v>
      </c>
      <c r="H904" s="1284">
        <v>3824966</v>
      </c>
      <c r="I904" s="1284">
        <v>-13208</v>
      </c>
      <c r="J904" s="644">
        <f t="shared" si="58"/>
        <v>3811758</v>
      </c>
      <c r="K904" s="1284">
        <v>3811758</v>
      </c>
      <c r="L904" s="644">
        <f t="shared" si="59"/>
        <v>0</v>
      </c>
      <c r="M904" s="680">
        <v>0</v>
      </c>
      <c r="N904" s="651">
        <v>214247</v>
      </c>
    </row>
    <row r="905" spans="1:14" ht="15.95" customHeight="1" x14ac:dyDescent="0.15">
      <c r="A905" s="1286">
        <v>43466</v>
      </c>
      <c r="B905" s="640" t="str">
        <f t="shared" ca="1" si="56"/>
        <v>04</v>
      </c>
      <c r="C905" s="1285" t="s">
        <v>358</v>
      </c>
      <c r="D905" s="640" t="str">
        <f t="shared" ca="1" si="57"/>
        <v>04</v>
      </c>
      <c r="E905" s="1285" t="s">
        <v>542</v>
      </c>
      <c r="F905" s="641" t="str">
        <f>IF(G905="","",VLOOKUP(G905,リスト!J$2:K$3,2,FALSE))</f>
        <v>02</v>
      </c>
      <c r="G905" s="1285" t="s">
        <v>842</v>
      </c>
      <c r="H905" s="1284">
        <v>35059</v>
      </c>
      <c r="I905" s="1284">
        <v>0</v>
      </c>
      <c r="J905" s="644">
        <f t="shared" si="58"/>
        <v>35059</v>
      </c>
      <c r="K905" s="1284">
        <v>35059</v>
      </c>
      <c r="L905" s="644">
        <f t="shared" si="59"/>
        <v>0</v>
      </c>
      <c r="M905" s="680">
        <v>0</v>
      </c>
      <c r="N905" s="651">
        <v>0</v>
      </c>
    </row>
    <row r="906" spans="1:14" ht="15.95" customHeight="1" x14ac:dyDescent="0.15">
      <c r="A906" s="1286">
        <v>43466</v>
      </c>
      <c r="B906" s="640" t="str">
        <f t="shared" ca="1" si="56"/>
        <v>05</v>
      </c>
      <c r="C906" s="1285" t="s">
        <v>38</v>
      </c>
      <c r="D906" s="640" t="str">
        <f t="shared" ca="1" si="57"/>
        <v>01</v>
      </c>
      <c r="E906" s="1285" t="s">
        <v>83</v>
      </c>
      <c r="F906" s="641" t="str">
        <f>IF(G906="","",VLOOKUP(G906,リスト!J$2:K$3,2,FALSE))</f>
        <v>01</v>
      </c>
      <c r="G906" s="1285" t="s">
        <v>841</v>
      </c>
      <c r="H906" s="1284">
        <v>1845029</v>
      </c>
      <c r="I906" s="1284">
        <v>0</v>
      </c>
      <c r="J906" s="644">
        <f t="shared" si="58"/>
        <v>1845029</v>
      </c>
      <c r="K906" s="1284">
        <v>1845029</v>
      </c>
      <c r="L906" s="644">
        <f t="shared" si="59"/>
        <v>0</v>
      </c>
      <c r="M906" s="680">
        <v>0</v>
      </c>
      <c r="N906" s="651">
        <v>0</v>
      </c>
    </row>
    <row r="907" spans="1:14" ht="15.95" customHeight="1" x14ac:dyDescent="0.15">
      <c r="A907" s="1286">
        <v>43466</v>
      </c>
      <c r="B907" s="640" t="str">
        <f t="shared" ca="1" si="56"/>
        <v>05</v>
      </c>
      <c r="C907" s="1285" t="s">
        <v>38</v>
      </c>
      <c r="D907" s="640" t="str">
        <f t="shared" ca="1" si="57"/>
        <v>01</v>
      </c>
      <c r="E907" s="1285" t="s">
        <v>83</v>
      </c>
      <c r="F907" s="641" t="str">
        <f>IF(G907="","",VLOOKUP(G907,リスト!J$2:K$3,2,FALSE))</f>
        <v>02</v>
      </c>
      <c r="G907" s="1285" t="s">
        <v>842</v>
      </c>
      <c r="H907" s="1284">
        <v>0</v>
      </c>
      <c r="I907" s="1284">
        <v>0</v>
      </c>
      <c r="J907" s="644">
        <f t="shared" si="58"/>
        <v>0</v>
      </c>
      <c r="K907" s="1284">
        <v>0</v>
      </c>
      <c r="L907" s="644">
        <f t="shared" si="59"/>
        <v>0</v>
      </c>
      <c r="M907" s="680">
        <v>0</v>
      </c>
      <c r="N907" s="651">
        <v>0</v>
      </c>
    </row>
    <row r="908" spans="1:14" ht="15.95" customHeight="1" x14ac:dyDescent="0.15">
      <c r="A908" s="1286">
        <v>43466</v>
      </c>
      <c r="B908" s="640" t="str">
        <f t="shared" ca="1" si="56"/>
        <v>07</v>
      </c>
      <c r="C908" s="1285" t="s">
        <v>119</v>
      </c>
      <c r="D908" s="640" t="str">
        <f t="shared" ca="1" si="57"/>
        <v>05</v>
      </c>
      <c r="E908" s="1285" t="s">
        <v>543</v>
      </c>
      <c r="F908" s="641" t="str">
        <f>IF(G908="","",VLOOKUP(G908,リスト!J$2:K$3,2,FALSE))</f>
        <v>01</v>
      </c>
      <c r="G908" s="1285" t="s">
        <v>841</v>
      </c>
      <c r="H908" s="1284">
        <v>1107363</v>
      </c>
      <c r="I908" s="1284">
        <v>0</v>
      </c>
      <c r="J908" s="644">
        <f t="shared" si="58"/>
        <v>1107363</v>
      </c>
      <c r="K908" s="1284">
        <v>1107363</v>
      </c>
      <c r="L908" s="644">
        <f t="shared" si="59"/>
        <v>0</v>
      </c>
      <c r="M908" s="680">
        <v>0</v>
      </c>
      <c r="N908" s="651">
        <v>309206</v>
      </c>
    </row>
    <row r="909" spans="1:14" ht="15.95" customHeight="1" x14ac:dyDescent="0.15">
      <c r="A909" s="1286">
        <v>43466</v>
      </c>
      <c r="B909" s="640" t="str">
        <f t="shared" ca="1" si="56"/>
        <v>07</v>
      </c>
      <c r="C909" s="1285" t="s">
        <v>119</v>
      </c>
      <c r="D909" s="640" t="str">
        <f t="shared" ca="1" si="57"/>
        <v>05</v>
      </c>
      <c r="E909" s="1285" t="s">
        <v>543</v>
      </c>
      <c r="F909" s="641" t="str">
        <f>IF(G909="","",VLOOKUP(G909,リスト!J$2:K$3,2,FALSE))</f>
        <v>02</v>
      </c>
      <c r="G909" s="1285" t="s">
        <v>842</v>
      </c>
      <c r="H909" s="1284">
        <v>0</v>
      </c>
      <c r="I909" s="1284">
        <v>0</v>
      </c>
      <c r="J909" s="644">
        <f t="shared" si="58"/>
        <v>0</v>
      </c>
      <c r="K909" s="1284">
        <v>0</v>
      </c>
      <c r="L909" s="644">
        <f t="shared" si="59"/>
        <v>0</v>
      </c>
      <c r="M909" s="680">
        <v>0</v>
      </c>
      <c r="N909" s="651">
        <v>0</v>
      </c>
    </row>
    <row r="910" spans="1:14" ht="15.95" customHeight="1" x14ac:dyDescent="0.15">
      <c r="A910" s="1286">
        <v>43466</v>
      </c>
      <c r="B910" s="640" t="str">
        <f t="shared" ca="1" si="56"/>
        <v>08</v>
      </c>
      <c r="C910" s="1285" t="s">
        <v>189</v>
      </c>
      <c r="D910" s="640" t="str">
        <f t="shared" ca="1" si="57"/>
        <v>05</v>
      </c>
      <c r="E910" s="1285" t="s">
        <v>543</v>
      </c>
      <c r="F910" s="641" t="str">
        <f>IF(G910="","",VLOOKUP(G910,リスト!J$2:K$3,2,FALSE))</f>
        <v>01</v>
      </c>
      <c r="G910" s="1285" t="s">
        <v>841</v>
      </c>
      <c r="H910" s="1284">
        <v>1044442</v>
      </c>
      <c r="I910" s="1284">
        <v>0</v>
      </c>
      <c r="J910" s="644">
        <f t="shared" si="58"/>
        <v>1044442</v>
      </c>
      <c r="K910" s="1284">
        <v>1044442</v>
      </c>
      <c r="L910" s="644">
        <f t="shared" si="59"/>
        <v>0</v>
      </c>
      <c r="M910" s="680">
        <v>0</v>
      </c>
      <c r="N910" s="651">
        <v>0</v>
      </c>
    </row>
    <row r="911" spans="1:14" ht="15.95" customHeight="1" x14ac:dyDescent="0.15">
      <c r="A911" s="1286">
        <v>43466</v>
      </c>
      <c r="B911" s="640" t="str">
        <f t="shared" ca="1" si="56"/>
        <v>08</v>
      </c>
      <c r="C911" s="1285" t="s">
        <v>189</v>
      </c>
      <c r="D911" s="640" t="str">
        <f t="shared" ca="1" si="57"/>
        <v>05</v>
      </c>
      <c r="E911" s="1285" t="s">
        <v>543</v>
      </c>
      <c r="F911" s="641" t="str">
        <f>IF(G911="","",VLOOKUP(G911,リスト!J$2:K$3,2,FALSE))</f>
        <v>02</v>
      </c>
      <c r="G911" s="1285" t="s">
        <v>842</v>
      </c>
      <c r="H911" s="1284">
        <v>0</v>
      </c>
      <c r="I911" s="1284">
        <v>0</v>
      </c>
      <c r="J911" s="644">
        <f t="shared" si="58"/>
        <v>0</v>
      </c>
      <c r="K911" s="1284">
        <v>0</v>
      </c>
      <c r="L911" s="644">
        <f t="shared" si="59"/>
        <v>0</v>
      </c>
      <c r="M911" s="680">
        <v>0</v>
      </c>
      <c r="N911" s="651">
        <v>0</v>
      </c>
    </row>
    <row r="912" spans="1:14" ht="15.95" customHeight="1" x14ac:dyDescent="0.15">
      <c r="A912" s="1286">
        <v>43466</v>
      </c>
      <c r="B912" s="640" t="str">
        <f t="shared" ca="1" si="56"/>
        <v>09</v>
      </c>
      <c r="C912" s="1285" t="s">
        <v>329</v>
      </c>
      <c r="D912" s="640" t="str">
        <f t="shared" ca="1" si="57"/>
        <v>05</v>
      </c>
      <c r="E912" s="1285" t="s">
        <v>543</v>
      </c>
      <c r="F912" s="641" t="str">
        <f>IF(G912="","",VLOOKUP(G912,リスト!J$2:K$3,2,FALSE))</f>
        <v>01</v>
      </c>
      <c r="G912" s="1285" t="s">
        <v>841</v>
      </c>
      <c r="H912" s="1284">
        <v>2515481</v>
      </c>
      <c r="I912" s="1284">
        <v>0</v>
      </c>
      <c r="J912" s="644">
        <f t="shared" si="58"/>
        <v>2515481</v>
      </c>
      <c r="K912" s="1284">
        <v>2515481</v>
      </c>
      <c r="L912" s="644">
        <f t="shared" si="59"/>
        <v>0</v>
      </c>
      <c r="M912" s="680">
        <v>0</v>
      </c>
      <c r="N912" s="651">
        <v>0</v>
      </c>
    </row>
    <row r="913" spans="1:14" ht="15.95" customHeight="1" x14ac:dyDescent="0.15">
      <c r="A913" s="1286">
        <v>43466</v>
      </c>
      <c r="B913" s="640" t="str">
        <f t="shared" ca="1" si="56"/>
        <v>09</v>
      </c>
      <c r="C913" s="1285" t="s">
        <v>329</v>
      </c>
      <c r="D913" s="640" t="str">
        <f t="shared" ca="1" si="57"/>
        <v>05</v>
      </c>
      <c r="E913" s="1285" t="s">
        <v>543</v>
      </c>
      <c r="F913" s="641" t="str">
        <f>IF(G913="","",VLOOKUP(G913,リスト!J$2:K$3,2,FALSE))</f>
        <v>02</v>
      </c>
      <c r="G913" s="1285" t="s">
        <v>842</v>
      </c>
      <c r="H913" s="1284">
        <v>0</v>
      </c>
      <c r="I913" s="1284">
        <v>0</v>
      </c>
      <c r="J913" s="644">
        <f t="shared" si="58"/>
        <v>0</v>
      </c>
      <c r="K913" s="1284">
        <v>0</v>
      </c>
      <c r="L913" s="644">
        <f t="shared" si="59"/>
        <v>0</v>
      </c>
      <c r="M913" s="680">
        <v>0</v>
      </c>
      <c r="N913" s="651">
        <v>0</v>
      </c>
    </row>
    <row r="914" spans="1:14" ht="15.95" customHeight="1" x14ac:dyDescent="0.15">
      <c r="A914" s="1286">
        <v>43497</v>
      </c>
      <c r="B914" s="640" t="str">
        <f t="shared" ca="1" si="56"/>
        <v>01</v>
      </c>
      <c r="C914" s="1285" t="s">
        <v>34</v>
      </c>
      <c r="D914" s="640" t="str">
        <f t="shared" ca="1" si="57"/>
        <v>01</v>
      </c>
      <c r="E914" s="1285" t="s">
        <v>83</v>
      </c>
      <c r="F914" s="641" t="str">
        <f>IF(G914="","",VLOOKUP(G914,リスト!J$2:K$3,2,FALSE))</f>
        <v>01</v>
      </c>
      <c r="G914" s="1285" t="s">
        <v>841</v>
      </c>
      <c r="H914" s="1284">
        <v>8231230</v>
      </c>
      <c r="I914" s="1284">
        <v>-293863</v>
      </c>
      <c r="J914" s="644">
        <f t="shared" si="58"/>
        <v>7937367</v>
      </c>
      <c r="K914" s="1284">
        <v>7937367</v>
      </c>
      <c r="L914" s="644">
        <f t="shared" si="59"/>
        <v>0</v>
      </c>
      <c r="M914" s="680">
        <v>102654</v>
      </c>
      <c r="N914" s="651">
        <v>1181981</v>
      </c>
    </row>
    <row r="915" spans="1:14" ht="15.95" customHeight="1" x14ac:dyDescent="0.15">
      <c r="A915" s="1286">
        <v>43497</v>
      </c>
      <c r="B915" s="640" t="str">
        <f t="shared" ca="1" si="56"/>
        <v>01</v>
      </c>
      <c r="C915" s="1285" t="s">
        <v>34</v>
      </c>
      <c r="D915" s="640" t="str">
        <f t="shared" ca="1" si="57"/>
        <v>03</v>
      </c>
      <c r="E915" s="1285" t="s">
        <v>98</v>
      </c>
      <c r="F915" s="641" t="str">
        <f>IF(G915="","",VLOOKUP(G915,リスト!J$2:K$3,2,FALSE))</f>
        <v>01</v>
      </c>
      <c r="G915" s="1285" t="s">
        <v>841</v>
      </c>
      <c r="H915" s="1284">
        <v>724023</v>
      </c>
      <c r="I915" s="1284">
        <v>0</v>
      </c>
      <c r="J915" s="644">
        <f t="shared" si="58"/>
        <v>724023</v>
      </c>
      <c r="K915" s="1284">
        <v>724023</v>
      </c>
      <c r="L915" s="644">
        <f t="shared" si="59"/>
        <v>0</v>
      </c>
      <c r="M915" s="680">
        <v>0</v>
      </c>
      <c r="N915" s="651">
        <v>0</v>
      </c>
    </row>
    <row r="916" spans="1:14" ht="15.95" customHeight="1" x14ac:dyDescent="0.15">
      <c r="A916" s="1286">
        <v>43497</v>
      </c>
      <c r="B916" s="640" t="str">
        <f t="shared" ca="1" si="56"/>
        <v>01</v>
      </c>
      <c r="C916" s="1285" t="s">
        <v>34</v>
      </c>
      <c r="D916" s="640" t="str">
        <f t="shared" ca="1" si="57"/>
        <v>02</v>
      </c>
      <c r="E916" s="1285" t="s">
        <v>84</v>
      </c>
      <c r="F916" s="641" t="str">
        <f>IF(G916="","",VLOOKUP(G916,リスト!J$2:K$3,2,FALSE))</f>
        <v>01</v>
      </c>
      <c r="G916" s="1285" t="s">
        <v>841</v>
      </c>
      <c r="H916" s="1284">
        <v>1783931</v>
      </c>
      <c r="I916" s="1284">
        <v>-10016</v>
      </c>
      <c r="J916" s="644">
        <f t="shared" si="58"/>
        <v>1773915</v>
      </c>
      <c r="K916" s="1284">
        <v>1773915</v>
      </c>
      <c r="L916" s="644">
        <f t="shared" si="59"/>
        <v>0</v>
      </c>
      <c r="M916" s="680">
        <v>0</v>
      </c>
      <c r="N916" s="651">
        <v>390453</v>
      </c>
    </row>
    <row r="917" spans="1:14" ht="15.95" customHeight="1" x14ac:dyDescent="0.15">
      <c r="A917" s="1286">
        <v>43497</v>
      </c>
      <c r="B917" s="640" t="str">
        <f t="shared" ca="1" si="56"/>
        <v>01</v>
      </c>
      <c r="C917" s="1285" t="s">
        <v>34</v>
      </c>
      <c r="D917" s="640" t="str">
        <f t="shared" ca="1" si="57"/>
        <v>01</v>
      </c>
      <c r="E917" s="1285" t="s">
        <v>83</v>
      </c>
      <c r="F917" s="641" t="str">
        <f>IF(G917="","",VLOOKUP(G917,リスト!J$2:K$3,2,FALSE))</f>
        <v>02</v>
      </c>
      <c r="G917" s="1285" t="s">
        <v>842</v>
      </c>
      <c r="H917" s="1284">
        <v>165731</v>
      </c>
      <c r="I917" s="1284">
        <v>-8602</v>
      </c>
      <c r="J917" s="644">
        <f t="shared" si="58"/>
        <v>157129</v>
      </c>
      <c r="K917" s="1284">
        <v>157129</v>
      </c>
      <c r="L917" s="644">
        <f t="shared" si="59"/>
        <v>0</v>
      </c>
      <c r="M917" s="680">
        <v>0</v>
      </c>
      <c r="N917" s="651">
        <v>0</v>
      </c>
    </row>
    <row r="918" spans="1:14" ht="15.95" customHeight="1" x14ac:dyDescent="0.15">
      <c r="A918" s="1286">
        <v>43497</v>
      </c>
      <c r="B918" s="640" t="str">
        <f t="shared" ca="1" si="56"/>
        <v>01</v>
      </c>
      <c r="C918" s="1285" t="s">
        <v>34</v>
      </c>
      <c r="D918" s="640" t="str">
        <f t="shared" ca="1" si="57"/>
        <v>03</v>
      </c>
      <c r="E918" s="1285" t="s">
        <v>98</v>
      </c>
      <c r="F918" s="641" t="str">
        <f>IF(G918="","",VLOOKUP(G918,リスト!J$2:K$3,2,FALSE))</f>
        <v>02</v>
      </c>
      <c r="G918" s="1285" t="s">
        <v>842</v>
      </c>
      <c r="H918" s="1284">
        <v>32324</v>
      </c>
      <c r="I918" s="1284">
        <v>0</v>
      </c>
      <c r="J918" s="644">
        <f t="shared" si="58"/>
        <v>32324</v>
      </c>
      <c r="K918" s="1284">
        <v>32324</v>
      </c>
      <c r="L918" s="644">
        <f t="shared" si="59"/>
        <v>0</v>
      </c>
      <c r="M918" s="680">
        <v>0</v>
      </c>
      <c r="N918" s="651">
        <v>0</v>
      </c>
    </row>
    <row r="919" spans="1:14" ht="15.95" customHeight="1" x14ac:dyDescent="0.15">
      <c r="A919" s="1286">
        <v>43497</v>
      </c>
      <c r="B919" s="640" t="str">
        <f t="shared" ca="1" si="56"/>
        <v>01</v>
      </c>
      <c r="C919" s="1285" t="s">
        <v>34</v>
      </c>
      <c r="D919" s="640" t="str">
        <f t="shared" ca="1" si="57"/>
        <v>02</v>
      </c>
      <c r="E919" s="1285" t="s">
        <v>84</v>
      </c>
      <c r="F919" s="641" t="str">
        <f>IF(G919="","",VLOOKUP(G919,リスト!J$2:K$3,2,FALSE))</f>
        <v>02</v>
      </c>
      <c r="G919" s="1285" t="s">
        <v>842</v>
      </c>
      <c r="H919" s="1284">
        <v>80061</v>
      </c>
      <c r="I919" s="1284">
        <v>0</v>
      </c>
      <c r="J919" s="644">
        <f t="shared" si="58"/>
        <v>80061</v>
      </c>
      <c r="K919" s="1284">
        <v>80061</v>
      </c>
      <c r="L919" s="644">
        <f t="shared" si="59"/>
        <v>0</v>
      </c>
      <c r="M919" s="680">
        <v>0</v>
      </c>
      <c r="N919" s="651">
        <v>0</v>
      </c>
    </row>
    <row r="920" spans="1:14" ht="15.95" customHeight="1" x14ac:dyDescent="0.15">
      <c r="A920" s="1286">
        <v>43497</v>
      </c>
      <c r="B920" s="640" t="str">
        <f t="shared" ca="1" si="56"/>
        <v>02</v>
      </c>
      <c r="C920" s="1285" t="s">
        <v>37</v>
      </c>
      <c r="D920" s="640" t="str">
        <f t="shared" ca="1" si="57"/>
        <v>01</v>
      </c>
      <c r="E920" s="1285" t="s">
        <v>83</v>
      </c>
      <c r="F920" s="641" t="str">
        <f>IF(G920="","",VLOOKUP(G920,リスト!J$2:K$3,2,FALSE))</f>
        <v>01</v>
      </c>
      <c r="G920" s="1285" t="s">
        <v>841</v>
      </c>
      <c r="H920" s="1284">
        <v>4010362</v>
      </c>
      <c r="I920" s="1284">
        <v>-29050</v>
      </c>
      <c r="J920" s="644">
        <f t="shared" si="58"/>
        <v>3981312</v>
      </c>
      <c r="K920" s="1284">
        <v>3981312</v>
      </c>
      <c r="L920" s="644">
        <f t="shared" si="59"/>
        <v>0</v>
      </c>
      <c r="M920" s="680">
        <v>0</v>
      </c>
      <c r="N920" s="651">
        <v>488244</v>
      </c>
    </row>
    <row r="921" spans="1:14" ht="15.95" customHeight="1" x14ac:dyDescent="0.15">
      <c r="A921" s="1286">
        <v>43497</v>
      </c>
      <c r="B921" s="640" t="str">
        <f t="shared" ca="1" si="56"/>
        <v>02</v>
      </c>
      <c r="C921" s="1285" t="s">
        <v>37</v>
      </c>
      <c r="D921" s="640" t="str">
        <f t="shared" ca="1" si="57"/>
        <v>03</v>
      </c>
      <c r="E921" s="1285" t="s">
        <v>98</v>
      </c>
      <c r="F921" s="641" t="str">
        <f>IF(G921="","",VLOOKUP(G921,リスト!J$2:K$3,2,FALSE))</f>
        <v>01</v>
      </c>
      <c r="G921" s="1285" t="s">
        <v>841</v>
      </c>
      <c r="H921" s="1284">
        <v>496555</v>
      </c>
      <c r="I921" s="1284">
        <v>0</v>
      </c>
      <c r="J921" s="644">
        <f t="shared" si="58"/>
        <v>496555</v>
      </c>
      <c r="K921" s="1284">
        <v>496555</v>
      </c>
      <c r="L921" s="644">
        <f t="shared" si="59"/>
        <v>0</v>
      </c>
      <c r="M921" s="680">
        <v>0</v>
      </c>
      <c r="N921" s="651">
        <v>0</v>
      </c>
    </row>
    <row r="922" spans="1:14" ht="15.95" customHeight="1" x14ac:dyDescent="0.15">
      <c r="A922" s="1286">
        <v>43497</v>
      </c>
      <c r="B922" s="640" t="str">
        <f t="shared" ca="1" si="56"/>
        <v>02</v>
      </c>
      <c r="C922" s="1285" t="s">
        <v>37</v>
      </c>
      <c r="D922" s="640" t="str">
        <f t="shared" ca="1" si="57"/>
        <v>02</v>
      </c>
      <c r="E922" s="1285" t="s">
        <v>84</v>
      </c>
      <c r="F922" s="641" t="str">
        <f>IF(G922="","",VLOOKUP(G922,リスト!J$2:K$3,2,FALSE))</f>
        <v>01</v>
      </c>
      <c r="G922" s="1285" t="s">
        <v>841</v>
      </c>
      <c r="H922" s="1284">
        <v>950774</v>
      </c>
      <c r="I922" s="1284">
        <v>-134167</v>
      </c>
      <c r="J922" s="644">
        <f t="shared" si="58"/>
        <v>816607</v>
      </c>
      <c r="K922" s="1284">
        <v>816607</v>
      </c>
      <c r="L922" s="644">
        <f t="shared" si="59"/>
        <v>0</v>
      </c>
      <c r="M922" s="680">
        <v>23402.3</v>
      </c>
      <c r="N922" s="651">
        <v>208923</v>
      </c>
    </row>
    <row r="923" spans="1:14" ht="15.95" customHeight="1" x14ac:dyDescent="0.15">
      <c r="A923" s="1286">
        <v>43497</v>
      </c>
      <c r="B923" s="640" t="str">
        <f t="shared" ca="1" si="56"/>
        <v>02</v>
      </c>
      <c r="C923" s="1285" t="s">
        <v>37</v>
      </c>
      <c r="D923" s="640" t="str">
        <f t="shared" ca="1" si="57"/>
        <v>01</v>
      </c>
      <c r="E923" s="1285" t="s">
        <v>83</v>
      </c>
      <c r="F923" s="641" t="str">
        <f>IF(G923="","",VLOOKUP(G923,リスト!J$2:K$3,2,FALSE))</f>
        <v>02</v>
      </c>
      <c r="G923" s="1285" t="s">
        <v>842</v>
      </c>
      <c r="H923" s="1284">
        <v>368085</v>
      </c>
      <c r="I923" s="1284">
        <v>201204</v>
      </c>
      <c r="J923" s="644">
        <f t="shared" si="58"/>
        <v>569289</v>
      </c>
      <c r="K923" s="1284">
        <v>569289</v>
      </c>
      <c r="L923" s="644">
        <f t="shared" si="59"/>
        <v>0</v>
      </c>
      <c r="M923" s="680">
        <v>0</v>
      </c>
      <c r="N923" s="651">
        <v>0</v>
      </c>
    </row>
    <row r="924" spans="1:14" ht="15.95" customHeight="1" x14ac:dyDescent="0.15">
      <c r="A924" s="1286">
        <v>43497</v>
      </c>
      <c r="B924" s="640" t="str">
        <f t="shared" ca="1" si="56"/>
        <v>02</v>
      </c>
      <c r="C924" s="1285" t="s">
        <v>37</v>
      </c>
      <c r="D924" s="640" t="str">
        <f t="shared" ca="1" si="57"/>
        <v>03</v>
      </c>
      <c r="E924" s="1285" t="s">
        <v>98</v>
      </c>
      <c r="F924" s="641" t="str">
        <f>IF(G924="","",VLOOKUP(G924,リスト!J$2:K$3,2,FALSE))</f>
        <v>02</v>
      </c>
      <c r="G924" s="1285" t="s">
        <v>842</v>
      </c>
      <c r="H924" s="1284">
        <v>33381</v>
      </c>
      <c r="I924" s="1284">
        <v>0</v>
      </c>
      <c r="J924" s="644">
        <f t="shared" si="58"/>
        <v>33381</v>
      </c>
      <c r="K924" s="1284">
        <v>33381</v>
      </c>
      <c r="L924" s="644">
        <f t="shared" si="59"/>
        <v>0</v>
      </c>
      <c r="M924" s="680">
        <v>0</v>
      </c>
      <c r="N924" s="651">
        <v>0</v>
      </c>
    </row>
    <row r="925" spans="1:14" ht="15.95" customHeight="1" x14ac:dyDescent="0.15">
      <c r="A925" s="1286">
        <v>43497</v>
      </c>
      <c r="B925" s="640" t="str">
        <f t="shared" ca="1" si="56"/>
        <v>02</v>
      </c>
      <c r="C925" s="1285" t="s">
        <v>37</v>
      </c>
      <c r="D925" s="640" t="str">
        <f t="shared" ca="1" si="57"/>
        <v>02</v>
      </c>
      <c r="E925" s="1285" t="s">
        <v>84</v>
      </c>
      <c r="F925" s="641" t="str">
        <f>IF(G925="","",VLOOKUP(G925,リスト!J$2:K$3,2,FALSE))</f>
        <v>02</v>
      </c>
      <c r="G925" s="1285" t="s">
        <v>842</v>
      </c>
      <c r="H925" s="1284">
        <v>81891</v>
      </c>
      <c r="I925" s="1284">
        <v>0</v>
      </c>
      <c r="J925" s="644">
        <f t="shared" si="58"/>
        <v>81891</v>
      </c>
      <c r="K925" s="1284">
        <v>81891</v>
      </c>
      <c r="L925" s="644">
        <f t="shared" si="59"/>
        <v>0</v>
      </c>
      <c r="M925" s="680">
        <v>0</v>
      </c>
      <c r="N925" s="651">
        <v>0</v>
      </c>
    </row>
    <row r="926" spans="1:14" ht="15.95" customHeight="1" x14ac:dyDescent="0.15">
      <c r="A926" s="1286">
        <v>43497</v>
      </c>
      <c r="B926" s="640" t="str">
        <f t="shared" ca="1" si="56"/>
        <v>03</v>
      </c>
      <c r="C926" s="1285" t="s">
        <v>66</v>
      </c>
      <c r="D926" s="640" t="str">
        <f t="shared" ca="1" si="57"/>
        <v>01</v>
      </c>
      <c r="E926" s="1285" t="s">
        <v>83</v>
      </c>
      <c r="F926" s="641" t="str">
        <f>IF(G926="","",VLOOKUP(G926,リスト!J$2:K$3,2,FALSE))</f>
        <v>01</v>
      </c>
      <c r="G926" s="1285" t="s">
        <v>841</v>
      </c>
      <c r="H926" s="1284">
        <v>4377283</v>
      </c>
      <c r="I926" s="1284">
        <v>0</v>
      </c>
      <c r="J926" s="644">
        <f t="shared" si="58"/>
        <v>4377283</v>
      </c>
      <c r="K926" s="1284">
        <v>4377283</v>
      </c>
      <c r="L926" s="644">
        <f t="shared" si="59"/>
        <v>0</v>
      </c>
      <c r="M926" s="680">
        <v>72996</v>
      </c>
      <c r="N926" s="651">
        <v>448766</v>
      </c>
    </row>
    <row r="927" spans="1:14" ht="15.95" customHeight="1" x14ac:dyDescent="0.15">
      <c r="A927" s="1286">
        <v>43497</v>
      </c>
      <c r="B927" s="640" t="str">
        <f t="shared" ca="1" si="56"/>
        <v>03</v>
      </c>
      <c r="C927" s="1285" t="s">
        <v>66</v>
      </c>
      <c r="D927" s="640" t="str">
        <f t="shared" ca="1" si="57"/>
        <v>02</v>
      </c>
      <c r="E927" s="1285" t="s">
        <v>84</v>
      </c>
      <c r="F927" s="641" t="str">
        <f>IF(G927="","",VLOOKUP(G927,リスト!J$2:K$3,2,FALSE))</f>
        <v>01</v>
      </c>
      <c r="G927" s="1285" t="s">
        <v>841</v>
      </c>
      <c r="H927" s="1284">
        <v>1701433</v>
      </c>
      <c r="I927" s="1284">
        <v>0</v>
      </c>
      <c r="J927" s="644">
        <f t="shared" si="58"/>
        <v>1701433</v>
      </c>
      <c r="K927" s="1284">
        <v>1701433</v>
      </c>
      <c r="L927" s="644">
        <f t="shared" si="59"/>
        <v>0</v>
      </c>
      <c r="M927" s="680">
        <v>0</v>
      </c>
      <c r="N927" s="651">
        <v>395654</v>
      </c>
    </row>
    <row r="928" spans="1:14" ht="15.95" customHeight="1" x14ac:dyDescent="0.15">
      <c r="A928" s="1286">
        <v>43497</v>
      </c>
      <c r="B928" s="640" t="str">
        <f t="shared" ca="1" si="56"/>
        <v>03</v>
      </c>
      <c r="C928" s="1285" t="s">
        <v>66</v>
      </c>
      <c r="D928" s="640" t="str">
        <f t="shared" ca="1" si="57"/>
        <v>01</v>
      </c>
      <c r="E928" s="1285" t="s">
        <v>83</v>
      </c>
      <c r="F928" s="641" t="str">
        <f>IF(G928="","",VLOOKUP(G928,リスト!J$2:K$3,2,FALSE))</f>
        <v>02</v>
      </c>
      <c r="G928" s="1285" t="s">
        <v>842</v>
      </c>
      <c r="H928" s="1284">
        <v>0</v>
      </c>
      <c r="I928" s="1284">
        <v>2630</v>
      </c>
      <c r="J928" s="644">
        <f t="shared" si="58"/>
        <v>2630</v>
      </c>
      <c r="K928" s="1284">
        <v>2630</v>
      </c>
      <c r="L928" s="644">
        <f t="shared" si="59"/>
        <v>0</v>
      </c>
      <c r="M928" s="680">
        <v>0</v>
      </c>
      <c r="N928" s="651">
        <v>0</v>
      </c>
    </row>
    <row r="929" spans="1:14" ht="15.95" customHeight="1" x14ac:dyDescent="0.15">
      <c r="A929" s="1286">
        <v>43497</v>
      </c>
      <c r="B929" s="640" t="str">
        <f t="shared" ca="1" si="56"/>
        <v>03</v>
      </c>
      <c r="C929" s="1285" t="s">
        <v>66</v>
      </c>
      <c r="D929" s="640" t="str">
        <f t="shared" ca="1" si="57"/>
        <v>02</v>
      </c>
      <c r="E929" s="1285" t="s">
        <v>84</v>
      </c>
      <c r="F929" s="641" t="str">
        <f>IF(G929="","",VLOOKUP(G929,リスト!J$2:K$3,2,FALSE))</f>
        <v>02</v>
      </c>
      <c r="G929" s="1285" t="s">
        <v>842</v>
      </c>
      <c r="H929" s="1284">
        <v>0</v>
      </c>
      <c r="I929" s="1284">
        <v>0</v>
      </c>
      <c r="J929" s="644">
        <f t="shared" si="58"/>
        <v>0</v>
      </c>
      <c r="K929" s="1284">
        <v>0</v>
      </c>
      <c r="L929" s="644">
        <f t="shared" si="59"/>
        <v>0</v>
      </c>
      <c r="M929" s="680">
        <v>0</v>
      </c>
      <c r="N929" s="651">
        <v>0</v>
      </c>
    </row>
    <row r="930" spans="1:14" ht="15.95" customHeight="1" x14ac:dyDescent="0.15">
      <c r="A930" s="1286">
        <v>43497</v>
      </c>
      <c r="B930" s="640" t="str">
        <f t="shared" ca="1" si="56"/>
        <v>11</v>
      </c>
      <c r="C930" s="1285" t="s">
        <v>967</v>
      </c>
      <c r="D930" s="640" t="str">
        <f t="shared" ca="1" si="57"/>
        <v>01</v>
      </c>
      <c r="E930" s="1285" t="s">
        <v>83</v>
      </c>
      <c r="F930" s="641" t="str">
        <f>IF(G930="","",VLOOKUP(G930,リスト!J$2:K$3,2,FALSE))</f>
        <v>01</v>
      </c>
      <c r="G930" s="1285" t="s">
        <v>841</v>
      </c>
      <c r="H930" s="1284">
        <v>779167</v>
      </c>
      <c r="I930" s="1284">
        <v>-8409</v>
      </c>
      <c r="J930" s="644">
        <f t="shared" si="58"/>
        <v>770758</v>
      </c>
      <c r="K930" s="1284">
        <v>770758</v>
      </c>
      <c r="L930" s="644">
        <f t="shared" si="59"/>
        <v>0</v>
      </c>
      <c r="M930" s="680">
        <v>0</v>
      </c>
      <c r="N930" s="651">
        <v>60595</v>
      </c>
    </row>
    <row r="931" spans="1:14" ht="15.95" customHeight="1" x14ac:dyDescent="0.15">
      <c r="A931" s="1286">
        <v>43497</v>
      </c>
      <c r="B931" s="640" t="str">
        <f t="shared" ca="1" si="56"/>
        <v>11</v>
      </c>
      <c r="C931" s="1285" t="s">
        <v>967</v>
      </c>
      <c r="D931" s="640" t="str">
        <f t="shared" ca="1" si="57"/>
        <v>02</v>
      </c>
      <c r="E931" s="1285" t="s">
        <v>84</v>
      </c>
      <c r="F931" s="641" t="str">
        <f>IF(G931="","",VLOOKUP(G931,リスト!J$2:K$3,2,FALSE))</f>
        <v>01</v>
      </c>
      <c r="G931" s="1285" t="s">
        <v>841</v>
      </c>
      <c r="H931" s="1284">
        <v>113402</v>
      </c>
      <c r="I931" s="1284">
        <v>0</v>
      </c>
      <c r="J931" s="644">
        <f t="shared" si="58"/>
        <v>113402</v>
      </c>
      <c r="K931" s="1284">
        <v>113402</v>
      </c>
      <c r="L931" s="644">
        <f t="shared" si="59"/>
        <v>0</v>
      </c>
      <c r="M931" s="680">
        <v>0</v>
      </c>
      <c r="N931" s="651">
        <v>24153</v>
      </c>
    </row>
    <row r="932" spans="1:14" ht="15.95" customHeight="1" x14ac:dyDescent="0.15">
      <c r="A932" s="1286">
        <v>43497</v>
      </c>
      <c r="B932" s="640" t="str">
        <f t="shared" ca="1" si="56"/>
        <v>11</v>
      </c>
      <c r="C932" s="1285" t="s">
        <v>967</v>
      </c>
      <c r="D932" s="640" t="str">
        <f t="shared" ca="1" si="57"/>
        <v>01</v>
      </c>
      <c r="E932" s="1285" t="s">
        <v>83</v>
      </c>
      <c r="F932" s="641" t="str">
        <f>IF(G932="","",VLOOKUP(G932,リスト!J$2:K$3,2,FALSE))</f>
        <v>02</v>
      </c>
      <c r="G932" s="1285" t="s">
        <v>842</v>
      </c>
      <c r="H932" s="1284">
        <v>7889</v>
      </c>
      <c r="I932" s="1284">
        <v>0</v>
      </c>
      <c r="J932" s="644">
        <f t="shared" si="58"/>
        <v>7889</v>
      </c>
      <c r="K932" s="1284">
        <v>7889</v>
      </c>
      <c r="L932" s="644">
        <f t="shared" si="59"/>
        <v>0</v>
      </c>
      <c r="M932" s="680">
        <v>0</v>
      </c>
      <c r="N932" s="651">
        <v>0</v>
      </c>
    </row>
    <row r="933" spans="1:14" ht="15.95" customHeight="1" x14ac:dyDescent="0.15">
      <c r="A933" s="1286">
        <v>43497</v>
      </c>
      <c r="B933" s="640" t="str">
        <f t="shared" ca="1" si="56"/>
        <v>11</v>
      </c>
      <c r="C933" s="1285" t="s">
        <v>967</v>
      </c>
      <c r="D933" s="640" t="str">
        <f t="shared" ca="1" si="57"/>
        <v>02</v>
      </c>
      <c r="E933" s="1285" t="s">
        <v>84</v>
      </c>
      <c r="F933" s="641" t="str">
        <f>IF(G933="","",VLOOKUP(G933,リスト!J$2:K$3,2,FALSE))</f>
        <v>02</v>
      </c>
      <c r="G933" s="1285" t="s">
        <v>842</v>
      </c>
      <c r="H933" s="1284">
        <v>0</v>
      </c>
      <c r="I933" s="1284">
        <v>0</v>
      </c>
      <c r="J933" s="644">
        <f t="shared" si="58"/>
        <v>0</v>
      </c>
      <c r="K933" s="1284">
        <v>0</v>
      </c>
      <c r="L933" s="644">
        <f t="shared" si="59"/>
        <v>0</v>
      </c>
      <c r="M933" s="680">
        <v>0</v>
      </c>
      <c r="N933" s="651">
        <v>0</v>
      </c>
    </row>
    <row r="934" spans="1:14" ht="15.95" customHeight="1" x14ac:dyDescent="0.15">
      <c r="A934" s="1286">
        <v>43497</v>
      </c>
      <c r="B934" s="640" t="str">
        <f t="shared" ca="1" si="56"/>
        <v>12</v>
      </c>
      <c r="C934" s="1285" t="s">
        <v>1143</v>
      </c>
      <c r="D934" s="640" t="str">
        <f t="shared" ca="1" si="57"/>
        <v>01</v>
      </c>
      <c r="E934" s="1285" t="s">
        <v>83</v>
      </c>
      <c r="F934" s="641" t="str">
        <f>IF(G934="","",VLOOKUP(G934,リスト!J$2:K$3,2,FALSE))</f>
        <v>01</v>
      </c>
      <c r="G934" s="1285" t="s">
        <v>841</v>
      </c>
      <c r="H934" s="1284">
        <v>702011</v>
      </c>
      <c r="I934" s="1284">
        <v>-9094</v>
      </c>
      <c r="J934" s="644">
        <f t="shared" si="58"/>
        <v>692917</v>
      </c>
      <c r="K934" s="1284">
        <v>692917</v>
      </c>
      <c r="L934" s="644">
        <f t="shared" si="59"/>
        <v>0</v>
      </c>
      <c r="M934" s="680">
        <v>0</v>
      </c>
      <c r="N934" s="651">
        <v>65862</v>
      </c>
    </row>
    <row r="935" spans="1:14" ht="15.95" customHeight="1" x14ac:dyDescent="0.15">
      <c r="A935" s="1286">
        <v>43497</v>
      </c>
      <c r="B935" s="640" t="str">
        <f t="shared" ca="1" si="56"/>
        <v>12</v>
      </c>
      <c r="C935" s="1285" t="s">
        <v>1143</v>
      </c>
      <c r="D935" s="640" t="str">
        <f t="shared" ca="1" si="57"/>
        <v>02</v>
      </c>
      <c r="E935" s="1285" t="s">
        <v>84</v>
      </c>
      <c r="F935" s="641" t="str">
        <f>IF(G935="","",VLOOKUP(G935,リスト!J$2:K$3,2,FALSE))</f>
        <v>01</v>
      </c>
      <c r="G935" s="1285" t="s">
        <v>841</v>
      </c>
      <c r="H935" s="1284">
        <v>272801</v>
      </c>
      <c r="I935" s="1284">
        <v>0</v>
      </c>
      <c r="J935" s="644">
        <f t="shared" si="58"/>
        <v>272801</v>
      </c>
      <c r="K935" s="1284">
        <v>272801</v>
      </c>
      <c r="L935" s="644">
        <f t="shared" si="59"/>
        <v>0</v>
      </c>
      <c r="M935" s="680">
        <v>0</v>
      </c>
      <c r="N935" s="651">
        <v>63423</v>
      </c>
    </row>
    <row r="936" spans="1:14" ht="15.95" customHeight="1" x14ac:dyDescent="0.15">
      <c r="A936" s="1286">
        <v>43497</v>
      </c>
      <c r="B936" s="640" t="str">
        <f t="shared" ca="1" si="56"/>
        <v>12</v>
      </c>
      <c r="C936" s="1285" t="s">
        <v>1143</v>
      </c>
      <c r="D936" s="640" t="str">
        <f t="shared" ca="1" si="57"/>
        <v>01</v>
      </c>
      <c r="E936" s="1285" t="s">
        <v>83</v>
      </c>
      <c r="F936" s="641" t="str">
        <f>IF(G936="","",VLOOKUP(G936,リスト!J$2:K$3,2,FALSE))</f>
        <v>02</v>
      </c>
      <c r="G936" s="1285" t="s">
        <v>842</v>
      </c>
      <c r="H936" s="1284">
        <v>83514</v>
      </c>
      <c r="I936" s="1284">
        <v>2520</v>
      </c>
      <c r="J936" s="644">
        <f t="shared" si="58"/>
        <v>86034</v>
      </c>
      <c r="K936" s="1284">
        <v>86034</v>
      </c>
      <c r="L936" s="644">
        <f t="shared" si="59"/>
        <v>0</v>
      </c>
      <c r="M936" s="680">
        <v>0</v>
      </c>
      <c r="N936" s="651">
        <v>0</v>
      </c>
    </row>
    <row r="937" spans="1:14" ht="15.95" customHeight="1" x14ac:dyDescent="0.15">
      <c r="A937" s="1286">
        <v>43497</v>
      </c>
      <c r="B937" s="640" t="str">
        <f t="shared" ca="1" si="56"/>
        <v>12</v>
      </c>
      <c r="C937" s="1285" t="s">
        <v>1143</v>
      </c>
      <c r="D937" s="640" t="str">
        <f t="shared" ca="1" si="57"/>
        <v>02</v>
      </c>
      <c r="E937" s="1285" t="s">
        <v>84</v>
      </c>
      <c r="F937" s="641" t="str">
        <f>IF(G937="","",VLOOKUP(G937,リスト!J$2:K$3,2,FALSE))</f>
        <v>02</v>
      </c>
      <c r="G937" s="1285" t="s">
        <v>842</v>
      </c>
      <c r="H937" s="1284">
        <v>0</v>
      </c>
      <c r="I937" s="1284">
        <v>0</v>
      </c>
      <c r="J937" s="644">
        <f t="shared" si="58"/>
        <v>0</v>
      </c>
      <c r="K937" s="1284">
        <v>0</v>
      </c>
      <c r="L937" s="644">
        <f t="shared" si="59"/>
        <v>0</v>
      </c>
      <c r="M937" s="680">
        <v>0</v>
      </c>
      <c r="N937" s="651">
        <v>0</v>
      </c>
    </row>
    <row r="938" spans="1:14" ht="15.95" customHeight="1" x14ac:dyDescent="0.15">
      <c r="A938" s="1286">
        <v>43497</v>
      </c>
      <c r="B938" s="640" t="str">
        <f t="shared" ca="1" si="56"/>
        <v>04</v>
      </c>
      <c r="C938" s="1285" t="s">
        <v>358</v>
      </c>
      <c r="D938" s="640" t="str">
        <f t="shared" ca="1" si="57"/>
        <v>04</v>
      </c>
      <c r="E938" s="1285" t="s">
        <v>542</v>
      </c>
      <c r="F938" s="641" t="str">
        <f>IF(G938="","",VLOOKUP(G938,リスト!J$2:K$3,2,FALSE))</f>
        <v>01</v>
      </c>
      <c r="G938" s="1285" t="s">
        <v>841</v>
      </c>
      <c r="H938" s="1284">
        <v>4029418</v>
      </c>
      <c r="I938" s="1284">
        <v>-59481</v>
      </c>
      <c r="J938" s="644">
        <f t="shared" si="58"/>
        <v>3969937</v>
      </c>
      <c r="K938" s="1284">
        <v>3969937</v>
      </c>
      <c r="L938" s="644">
        <f t="shared" si="59"/>
        <v>0</v>
      </c>
      <c r="M938" s="680">
        <v>0</v>
      </c>
      <c r="N938" s="651">
        <v>230959</v>
      </c>
    </row>
    <row r="939" spans="1:14" ht="15.95" customHeight="1" x14ac:dyDescent="0.15">
      <c r="A939" s="1286">
        <v>43497</v>
      </c>
      <c r="B939" s="640" t="str">
        <f t="shared" ca="1" si="56"/>
        <v>04</v>
      </c>
      <c r="C939" s="1285" t="s">
        <v>358</v>
      </c>
      <c r="D939" s="640" t="str">
        <f t="shared" ca="1" si="57"/>
        <v>04</v>
      </c>
      <c r="E939" s="1285" t="s">
        <v>542</v>
      </c>
      <c r="F939" s="641" t="str">
        <f>IF(G939="","",VLOOKUP(G939,リスト!J$2:K$3,2,FALSE))</f>
        <v>02</v>
      </c>
      <c r="G939" s="1285" t="s">
        <v>842</v>
      </c>
      <c r="H939" s="1284">
        <v>162548</v>
      </c>
      <c r="I939" s="1284">
        <v>13208</v>
      </c>
      <c r="J939" s="644">
        <f t="shared" si="58"/>
        <v>175756</v>
      </c>
      <c r="K939" s="1284">
        <v>175756</v>
      </c>
      <c r="L939" s="644">
        <f t="shared" si="59"/>
        <v>0</v>
      </c>
      <c r="M939" s="680">
        <v>0</v>
      </c>
      <c r="N939" s="651">
        <v>0</v>
      </c>
    </row>
    <row r="940" spans="1:14" ht="15.95" customHeight="1" x14ac:dyDescent="0.15">
      <c r="A940" s="1286">
        <v>43497</v>
      </c>
      <c r="B940" s="640" t="str">
        <f t="shared" ca="1" si="56"/>
        <v>05</v>
      </c>
      <c r="C940" s="1285" t="s">
        <v>38</v>
      </c>
      <c r="D940" s="640" t="str">
        <f t="shared" ca="1" si="57"/>
        <v>01</v>
      </c>
      <c r="E940" s="1285" t="s">
        <v>83</v>
      </c>
      <c r="F940" s="641" t="str">
        <f>IF(G940="","",VLOOKUP(G940,リスト!J$2:K$3,2,FALSE))</f>
        <v>01</v>
      </c>
      <c r="G940" s="1285" t="s">
        <v>841</v>
      </c>
      <c r="H940" s="1284">
        <v>1715603</v>
      </c>
      <c r="I940" s="1284">
        <v>0</v>
      </c>
      <c r="J940" s="644">
        <f t="shared" si="58"/>
        <v>1715603</v>
      </c>
      <c r="K940" s="1284">
        <v>1715603</v>
      </c>
      <c r="L940" s="644">
        <f t="shared" si="59"/>
        <v>0</v>
      </c>
      <c r="M940" s="680">
        <v>0</v>
      </c>
      <c r="N940" s="651">
        <v>0</v>
      </c>
    </row>
    <row r="941" spans="1:14" ht="15.95" customHeight="1" x14ac:dyDescent="0.15">
      <c r="A941" s="1286">
        <v>43497</v>
      </c>
      <c r="B941" s="640" t="str">
        <f t="shared" ca="1" si="56"/>
        <v>05</v>
      </c>
      <c r="C941" s="1285" t="s">
        <v>38</v>
      </c>
      <c r="D941" s="640" t="str">
        <f t="shared" ca="1" si="57"/>
        <v>01</v>
      </c>
      <c r="E941" s="1285" t="s">
        <v>83</v>
      </c>
      <c r="F941" s="641" t="str">
        <f>IF(G941="","",VLOOKUP(G941,リスト!J$2:K$3,2,FALSE))</f>
        <v>02</v>
      </c>
      <c r="G941" s="1285" t="s">
        <v>842</v>
      </c>
      <c r="H941" s="1284">
        <v>0</v>
      </c>
      <c r="I941" s="1284">
        <v>0</v>
      </c>
      <c r="J941" s="644">
        <f t="shared" si="58"/>
        <v>0</v>
      </c>
      <c r="K941" s="1284">
        <v>0</v>
      </c>
      <c r="L941" s="644">
        <f t="shared" si="59"/>
        <v>0</v>
      </c>
      <c r="M941" s="680">
        <v>0</v>
      </c>
      <c r="N941" s="651">
        <v>0</v>
      </c>
    </row>
    <row r="942" spans="1:14" ht="15.95" customHeight="1" x14ac:dyDescent="0.15">
      <c r="A942" s="1286">
        <v>43497</v>
      </c>
      <c r="B942" s="640" t="str">
        <f t="shared" ca="1" si="56"/>
        <v>07</v>
      </c>
      <c r="C942" s="1285" t="s">
        <v>119</v>
      </c>
      <c r="D942" s="640" t="str">
        <f t="shared" ca="1" si="57"/>
        <v>05</v>
      </c>
      <c r="E942" s="1285" t="s">
        <v>543</v>
      </c>
      <c r="F942" s="641" t="str">
        <f>IF(G942="","",VLOOKUP(G942,リスト!J$2:K$3,2,FALSE))</f>
        <v>01</v>
      </c>
      <c r="G942" s="1285" t="s">
        <v>841</v>
      </c>
      <c r="H942" s="1284">
        <v>998423</v>
      </c>
      <c r="I942" s="1284">
        <v>0</v>
      </c>
      <c r="J942" s="644">
        <f t="shared" si="58"/>
        <v>998423</v>
      </c>
      <c r="K942" s="1284">
        <v>998423</v>
      </c>
      <c r="L942" s="644">
        <f t="shared" si="59"/>
        <v>0</v>
      </c>
      <c r="M942" s="680">
        <v>0</v>
      </c>
      <c r="N942" s="651">
        <v>328167</v>
      </c>
    </row>
    <row r="943" spans="1:14" ht="15.95" customHeight="1" x14ac:dyDescent="0.15">
      <c r="A943" s="1286">
        <v>43497</v>
      </c>
      <c r="B943" s="640" t="str">
        <f t="shared" ca="1" si="56"/>
        <v>07</v>
      </c>
      <c r="C943" s="1285" t="s">
        <v>119</v>
      </c>
      <c r="D943" s="640" t="str">
        <f t="shared" ca="1" si="57"/>
        <v>05</v>
      </c>
      <c r="E943" s="1285" t="s">
        <v>543</v>
      </c>
      <c r="F943" s="641" t="str">
        <f>IF(G943="","",VLOOKUP(G943,リスト!J$2:K$3,2,FALSE))</f>
        <v>02</v>
      </c>
      <c r="G943" s="1285" t="s">
        <v>842</v>
      </c>
      <c r="H943" s="1284">
        <v>0</v>
      </c>
      <c r="I943" s="1284">
        <v>0</v>
      </c>
      <c r="J943" s="644">
        <f t="shared" si="58"/>
        <v>0</v>
      </c>
      <c r="K943" s="1284">
        <v>0</v>
      </c>
      <c r="L943" s="644">
        <f t="shared" si="59"/>
        <v>0</v>
      </c>
      <c r="M943" s="680">
        <v>0</v>
      </c>
      <c r="N943" s="651">
        <v>0</v>
      </c>
    </row>
    <row r="944" spans="1:14" ht="15.95" customHeight="1" x14ac:dyDescent="0.15">
      <c r="A944" s="1286">
        <v>43497</v>
      </c>
      <c r="B944" s="640" t="str">
        <f t="shared" ca="1" si="56"/>
        <v>08</v>
      </c>
      <c r="C944" s="1285" t="s">
        <v>189</v>
      </c>
      <c r="D944" s="640" t="str">
        <f t="shared" ca="1" si="57"/>
        <v>05</v>
      </c>
      <c r="E944" s="1285" t="s">
        <v>543</v>
      </c>
      <c r="F944" s="641" t="str">
        <f>IF(G944="","",VLOOKUP(G944,リスト!J$2:K$3,2,FALSE))</f>
        <v>01</v>
      </c>
      <c r="G944" s="1285" t="s">
        <v>841</v>
      </c>
      <c r="H944" s="1284">
        <v>937836</v>
      </c>
      <c r="I944" s="1284">
        <v>0</v>
      </c>
      <c r="J944" s="644">
        <f t="shared" si="58"/>
        <v>937836</v>
      </c>
      <c r="K944" s="1284">
        <v>937836</v>
      </c>
      <c r="L944" s="644">
        <f t="shared" si="59"/>
        <v>0</v>
      </c>
      <c r="M944" s="680">
        <v>0</v>
      </c>
      <c r="N944" s="651">
        <v>0</v>
      </c>
    </row>
    <row r="945" spans="1:14" ht="15.95" customHeight="1" x14ac:dyDescent="0.15">
      <c r="A945" s="1286">
        <v>43497</v>
      </c>
      <c r="B945" s="640" t="str">
        <f t="shared" ca="1" si="56"/>
        <v>08</v>
      </c>
      <c r="C945" s="1285" t="s">
        <v>189</v>
      </c>
      <c r="D945" s="640" t="str">
        <f t="shared" ca="1" si="57"/>
        <v>05</v>
      </c>
      <c r="E945" s="1285" t="s">
        <v>543</v>
      </c>
      <c r="F945" s="641" t="str">
        <f>IF(G945="","",VLOOKUP(G945,リスト!J$2:K$3,2,FALSE))</f>
        <v>02</v>
      </c>
      <c r="G945" s="1285" t="s">
        <v>842</v>
      </c>
      <c r="H945" s="1284">
        <v>0</v>
      </c>
      <c r="I945" s="1284">
        <v>0</v>
      </c>
      <c r="J945" s="644">
        <f t="shared" si="58"/>
        <v>0</v>
      </c>
      <c r="K945" s="1284">
        <v>0</v>
      </c>
      <c r="L945" s="644">
        <f t="shared" si="59"/>
        <v>0</v>
      </c>
      <c r="M945" s="680">
        <v>0</v>
      </c>
      <c r="N945" s="651">
        <v>0</v>
      </c>
    </row>
    <row r="946" spans="1:14" ht="15.95" customHeight="1" x14ac:dyDescent="0.15">
      <c r="A946" s="1286">
        <v>43497</v>
      </c>
      <c r="B946" s="640" t="str">
        <f t="shared" ca="1" si="56"/>
        <v>09</v>
      </c>
      <c r="C946" s="1285" t="s">
        <v>329</v>
      </c>
      <c r="D946" s="640" t="str">
        <f t="shared" ca="1" si="57"/>
        <v>05</v>
      </c>
      <c r="E946" s="1285" t="s">
        <v>543</v>
      </c>
      <c r="F946" s="641" t="str">
        <f>IF(G946="","",VLOOKUP(G946,リスト!J$2:K$3,2,FALSE))</f>
        <v>01</v>
      </c>
      <c r="G946" s="1285" t="s">
        <v>841</v>
      </c>
      <c r="H946" s="1284">
        <v>1944130</v>
      </c>
      <c r="I946" s="1284">
        <v>-213958</v>
      </c>
      <c r="J946" s="644">
        <f t="shared" si="58"/>
        <v>1730172</v>
      </c>
      <c r="K946" s="1284">
        <v>1730172</v>
      </c>
      <c r="L946" s="644">
        <f t="shared" si="59"/>
        <v>0</v>
      </c>
      <c r="M946" s="680">
        <v>0</v>
      </c>
      <c r="N946" s="651">
        <v>0</v>
      </c>
    </row>
    <row r="947" spans="1:14" ht="15.95" customHeight="1" x14ac:dyDescent="0.15">
      <c r="A947" s="1286">
        <v>43497</v>
      </c>
      <c r="B947" s="640" t="str">
        <f t="shared" ca="1" si="56"/>
        <v>09</v>
      </c>
      <c r="C947" s="1285" t="s">
        <v>329</v>
      </c>
      <c r="D947" s="640" t="str">
        <f t="shared" ca="1" si="57"/>
        <v>05</v>
      </c>
      <c r="E947" s="1285" t="s">
        <v>543</v>
      </c>
      <c r="F947" s="641" t="str">
        <f>IF(G947="","",VLOOKUP(G947,リスト!J$2:K$3,2,FALSE))</f>
        <v>02</v>
      </c>
      <c r="G947" s="1285" t="s">
        <v>842</v>
      </c>
      <c r="H947" s="1284">
        <v>0</v>
      </c>
      <c r="I947" s="1284">
        <v>0</v>
      </c>
      <c r="J947" s="644">
        <f t="shared" si="58"/>
        <v>0</v>
      </c>
      <c r="K947" s="1284">
        <v>0</v>
      </c>
      <c r="L947" s="644">
        <f t="shared" si="59"/>
        <v>0</v>
      </c>
      <c r="M947" s="680">
        <v>0</v>
      </c>
      <c r="N947" s="651">
        <v>0</v>
      </c>
    </row>
    <row r="948" spans="1:14" ht="15.95" customHeight="1" x14ac:dyDescent="0.15">
      <c r="A948" s="1286">
        <v>43497</v>
      </c>
      <c r="B948" s="640" t="str">
        <f t="shared" ca="1" si="56"/>
        <v>13</v>
      </c>
      <c r="C948" s="1285" t="s">
        <v>1223</v>
      </c>
      <c r="D948" s="640" t="str">
        <f t="shared" ca="1" si="57"/>
        <v>05</v>
      </c>
      <c r="E948" s="1285" t="s">
        <v>543</v>
      </c>
      <c r="F948" s="641" t="str">
        <f>IF(G948="","",VLOOKUP(G948,リスト!J$2:K$3,2,FALSE))</f>
        <v>01</v>
      </c>
      <c r="G948" s="1285" t="s">
        <v>841</v>
      </c>
      <c r="H948" s="1284">
        <v>1493913</v>
      </c>
      <c r="I948" s="1284">
        <v>-197725</v>
      </c>
      <c r="J948" s="644">
        <f t="shared" si="58"/>
        <v>1296188</v>
      </c>
      <c r="K948" s="1284">
        <v>1296188</v>
      </c>
      <c r="L948" s="644">
        <f t="shared" si="59"/>
        <v>0</v>
      </c>
      <c r="M948" s="680">
        <v>0</v>
      </c>
      <c r="N948" s="651">
        <v>0</v>
      </c>
    </row>
    <row r="949" spans="1:14" ht="15.95" customHeight="1" x14ac:dyDescent="0.15">
      <c r="A949" s="1286">
        <v>43497</v>
      </c>
      <c r="B949" s="640" t="str">
        <f t="shared" ca="1" si="56"/>
        <v>13</v>
      </c>
      <c r="C949" s="1285" t="s">
        <v>1223</v>
      </c>
      <c r="D949" s="640" t="str">
        <f t="shared" ca="1" si="57"/>
        <v>05</v>
      </c>
      <c r="E949" s="1285" t="s">
        <v>543</v>
      </c>
      <c r="F949" s="641" t="str">
        <f>IF(G949="","",VLOOKUP(G949,リスト!J$2:K$3,2,FALSE))</f>
        <v>02</v>
      </c>
      <c r="G949" s="1285" t="s">
        <v>842</v>
      </c>
      <c r="H949" s="1284">
        <v>0</v>
      </c>
      <c r="I949" s="1284">
        <v>0</v>
      </c>
      <c r="J949" s="644">
        <f t="shared" si="58"/>
        <v>0</v>
      </c>
      <c r="K949" s="1284">
        <v>0</v>
      </c>
      <c r="L949" s="644">
        <f t="shared" si="59"/>
        <v>0</v>
      </c>
      <c r="M949" s="680">
        <v>0</v>
      </c>
      <c r="N949" s="651">
        <v>0</v>
      </c>
    </row>
    <row r="950" spans="1:14" ht="15.95" customHeight="1" x14ac:dyDescent="0.15">
      <c r="A950" s="1286">
        <v>43525</v>
      </c>
      <c r="B950" s="640" t="str">
        <f t="shared" ca="1" si="56"/>
        <v>01</v>
      </c>
      <c r="C950" s="1285" t="s">
        <v>34</v>
      </c>
      <c r="D950" s="640" t="str">
        <f t="shared" ca="1" si="57"/>
        <v>01</v>
      </c>
      <c r="E950" s="1285" t="s">
        <v>83</v>
      </c>
      <c r="F950" s="641" t="str">
        <f>IF(G950="","",VLOOKUP(G950,リスト!J$2:K$3,2,FALSE))</f>
        <v>01</v>
      </c>
      <c r="G950" s="1285" t="s">
        <v>841</v>
      </c>
      <c r="H950" s="1284">
        <v>8995720</v>
      </c>
      <c r="I950" s="1284">
        <v>-127383</v>
      </c>
      <c r="J950" s="644">
        <f t="shared" si="58"/>
        <v>8868337</v>
      </c>
      <c r="K950" s="1284">
        <v>8868337</v>
      </c>
      <c r="L950" s="644">
        <f t="shared" si="59"/>
        <v>0</v>
      </c>
      <c r="M950" s="680">
        <v>152121</v>
      </c>
      <c r="N950" s="651">
        <v>1328201</v>
      </c>
    </row>
    <row r="951" spans="1:14" ht="15.95" customHeight="1" x14ac:dyDescent="0.15">
      <c r="A951" s="1286">
        <v>43525</v>
      </c>
      <c r="B951" s="640" t="str">
        <f t="shared" ca="1" si="56"/>
        <v>01</v>
      </c>
      <c r="C951" s="1285" t="s">
        <v>34</v>
      </c>
      <c r="D951" s="640" t="str">
        <f t="shared" ca="1" si="57"/>
        <v>03</v>
      </c>
      <c r="E951" s="1285" t="s">
        <v>98</v>
      </c>
      <c r="F951" s="641" t="str">
        <f>IF(G951="","",VLOOKUP(G951,リスト!J$2:K$3,2,FALSE))</f>
        <v>01</v>
      </c>
      <c r="G951" s="1285" t="s">
        <v>841</v>
      </c>
      <c r="H951" s="1284">
        <v>807053</v>
      </c>
      <c r="I951" s="1284">
        <v>0</v>
      </c>
      <c r="J951" s="644">
        <f t="shared" si="58"/>
        <v>807053</v>
      </c>
      <c r="K951" s="1284">
        <v>807053</v>
      </c>
      <c r="L951" s="644">
        <f t="shared" si="59"/>
        <v>0</v>
      </c>
      <c r="M951" s="680">
        <v>0</v>
      </c>
      <c r="N951" s="651">
        <v>0</v>
      </c>
    </row>
    <row r="952" spans="1:14" ht="15.95" customHeight="1" x14ac:dyDescent="0.15">
      <c r="A952" s="1286">
        <v>43525</v>
      </c>
      <c r="B952" s="640" t="str">
        <f t="shared" ca="1" si="56"/>
        <v>01</v>
      </c>
      <c r="C952" s="1285" t="s">
        <v>34</v>
      </c>
      <c r="D952" s="640" t="str">
        <f t="shared" ca="1" si="57"/>
        <v>02</v>
      </c>
      <c r="E952" s="1285" t="s">
        <v>84</v>
      </c>
      <c r="F952" s="641" t="str">
        <f>IF(G952="","",VLOOKUP(G952,リスト!J$2:K$3,2,FALSE))</f>
        <v>01</v>
      </c>
      <c r="G952" s="1285" t="s">
        <v>841</v>
      </c>
      <c r="H952" s="1284">
        <v>2039432</v>
      </c>
      <c r="I952" s="1284">
        <v>-50413</v>
      </c>
      <c r="J952" s="644">
        <f t="shared" si="58"/>
        <v>1989019</v>
      </c>
      <c r="K952" s="1284">
        <v>1989019</v>
      </c>
      <c r="L952" s="644">
        <f t="shared" si="59"/>
        <v>0</v>
      </c>
      <c r="M952" s="680">
        <v>0</v>
      </c>
      <c r="N952" s="651">
        <v>424882</v>
      </c>
    </row>
    <row r="953" spans="1:14" ht="15.95" customHeight="1" x14ac:dyDescent="0.15">
      <c r="A953" s="1286">
        <v>43525</v>
      </c>
      <c r="B953" s="640" t="str">
        <f t="shared" ca="1" si="56"/>
        <v>01</v>
      </c>
      <c r="C953" s="1285" t="s">
        <v>34</v>
      </c>
      <c r="D953" s="640" t="str">
        <f t="shared" ca="1" si="57"/>
        <v>01</v>
      </c>
      <c r="E953" s="1285" t="s">
        <v>83</v>
      </c>
      <c r="F953" s="641" t="str">
        <f>IF(G953="","",VLOOKUP(G953,リスト!J$2:K$3,2,FALSE))</f>
        <v>02</v>
      </c>
      <c r="G953" s="1285" t="s">
        <v>842</v>
      </c>
      <c r="H953" s="1284">
        <v>306337</v>
      </c>
      <c r="I953" s="1284">
        <v>133717</v>
      </c>
      <c r="J953" s="644">
        <f t="shared" si="58"/>
        <v>440054</v>
      </c>
      <c r="K953" s="1284">
        <v>440054</v>
      </c>
      <c r="L953" s="644">
        <f t="shared" si="59"/>
        <v>0</v>
      </c>
      <c r="M953" s="680">
        <v>0</v>
      </c>
      <c r="N953" s="651">
        <v>0</v>
      </c>
    </row>
    <row r="954" spans="1:14" ht="15.95" customHeight="1" x14ac:dyDescent="0.15">
      <c r="A954" s="1286">
        <v>43525</v>
      </c>
      <c r="B954" s="640" t="str">
        <f t="shared" ca="1" si="56"/>
        <v>01</v>
      </c>
      <c r="C954" s="1285" t="s">
        <v>34</v>
      </c>
      <c r="D954" s="640" t="str">
        <f t="shared" ca="1" si="57"/>
        <v>03</v>
      </c>
      <c r="E954" s="1285" t="s">
        <v>98</v>
      </c>
      <c r="F954" s="641" t="str">
        <f>IF(G954="","",VLOOKUP(G954,リスト!J$2:K$3,2,FALSE))</f>
        <v>02</v>
      </c>
      <c r="G954" s="1285" t="s">
        <v>842</v>
      </c>
      <c r="H954" s="1284">
        <v>32324</v>
      </c>
      <c r="I954" s="1284">
        <v>0</v>
      </c>
      <c r="J954" s="644">
        <f t="shared" si="58"/>
        <v>32324</v>
      </c>
      <c r="K954" s="1284">
        <v>32324</v>
      </c>
      <c r="L954" s="644">
        <f t="shared" si="59"/>
        <v>0</v>
      </c>
      <c r="M954" s="680">
        <v>0</v>
      </c>
      <c r="N954" s="651">
        <v>0</v>
      </c>
    </row>
    <row r="955" spans="1:14" ht="15.95" customHeight="1" x14ac:dyDescent="0.15">
      <c r="A955" s="1286">
        <v>43525</v>
      </c>
      <c r="B955" s="640" t="str">
        <f t="shared" ca="1" si="56"/>
        <v>01</v>
      </c>
      <c r="C955" s="1285" t="s">
        <v>34</v>
      </c>
      <c r="D955" s="640" t="str">
        <f t="shared" ca="1" si="57"/>
        <v>02</v>
      </c>
      <c r="E955" s="1285" t="s">
        <v>84</v>
      </c>
      <c r="F955" s="641" t="str">
        <f>IF(G955="","",VLOOKUP(G955,リスト!J$2:K$3,2,FALSE))</f>
        <v>02</v>
      </c>
      <c r="G955" s="1285" t="s">
        <v>842</v>
      </c>
      <c r="H955" s="1284">
        <v>14617</v>
      </c>
      <c r="I955" s="1284">
        <v>0</v>
      </c>
      <c r="J955" s="644">
        <f t="shared" si="58"/>
        <v>14617</v>
      </c>
      <c r="K955" s="1284">
        <v>14617</v>
      </c>
      <c r="L955" s="644">
        <f t="shared" si="59"/>
        <v>0</v>
      </c>
      <c r="M955" s="680">
        <v>0</v>
      </c>
      <c r="N955" s="651">
        <v>0</v>
      </c>
    </row>
    <row r="956" spans="1:14" ht="15.95" customHeight="1" x14ac:dyDescent="0.15">
      <c r="A956" s="1286">
        <v>43525</v>
      </c>
      <c r="B956" s="640" t="str">
        <f t="shared" ca="1" si="56"/>
        <v>02</v>
      </c>
      <c r="C956" s="1285" t="s">
        <v>37</v>
      </c>
      <c r="D956" s="640" t="str">
        <f t="shared" ca="1" si="57"/>
        <v>01</v>
      </c>
      <c r="E956" s="1285" t="s">
        <v>83</v>
      </c>
      <c r="F956" s="641" t="str">
        <f>IF(G956="","",VLOOKUP(G956,リスト!J$2:K$3,2,FALSE))</f>
        <v>01</v>
      </c>
      <c r="G956" s="1285" t="s">
        <v>841</v>
      </c>
      <c r="H956" s="1284">
        <v>3999456</v>
      </c>
      <c r="I956" s="1284">
        <v>-5436</v>
      </c>
      <c r="J956" s="644">
        <f t="shared" si="58"/>
        <v>3994020</v>
      </c>
      <c r="K956" s="1284">
        <v>3994020</v>
      </c>
      <c r="L956" s="644">
        <f t="shared" si="59"/>
        <v>0</v>
      </c>
      <c r="M956" s="680">
        <v>336938</v>
      </c>
      <c r="N956" s="651">
        <v>373732</v>
      </c>
    </row>
    <row r="957" spans="1:14" ht="15.95" customHeight="1" x14ac:dyDescent="0.15">
      <c r="A957" s="1286">
        <v>43525</v>
      </c>
      <c r="B957" s="640" t="str">
        <f t="shared" ca="1" si="56"/>
        <v>02</v>
      </c>
      <c r="C957" s="1285" t="s">
        <v>37</v>
      </c>
      <c r="D957" s="640" t="str">
        <f t="shared" ca="1" si="57"/>
        <v>03</v>
      </c>
      <c r="E957" s="1285" t="s">
        <v>98</v>
      </c>
      <c r="F957" s="641" t="str">
        <f>IF(G957="","",VLOOKUP(G957,リスト!J$2:K$3,2,FALSE))</f>
        <v>01</v>
      </c>
      <c r="G957" s="1285" t="s">
        <v>841</v>
      </c>
      <c r="H957" s="1284">
        <v>481439</v>
      </c>
      <c r="I957" s="1284">
        <v>0</v>
      </c>
      <c r="J957" s="644">
        <f t="shared" si="58"/>
        <v>481439</v>
      </c>
      <c r="K957" s="1284">
        <v>481439</v>
      </c>
      <c r="L957" s="644">
        <f t="shared" si="59"/>
        <v>0</v>
      </c>
      <c r="M957" s="680">
        <v>11636</v>
      </c>
      <c r="N957" s="651">
        <v>0</v>
      </c>
    </row>
    <row r="958" spans="1:14" ht="15.95" customHeight="1" x14ac:dyDescent="0.15">
      <c r="A958" s="1286">
        <v>43525</v>
      </c>
      <c r="B958" s="640" t="str">
        <f t="shared" ca="1" si="56"/>
        <v>02</v>
      </c>
      <c r="C958" s="1285" t="s">
        <v>37</v>
      </c>
      <c r="D958" s="640" t="str">
        <f t="shared" ca="1" si="57"/>
        <v>02</v>
      </c>
      <c r="E958" s="1285" t="s">
        <v>84</v>
      </c>
      <c r="F958" s="641" t="str">
        <f>IF(G958="","",VLOOKUP(G958,リスト!J$2:K$3,2,FALSE))</f>
        <v>01</v>
      </c>
      <c r="G958" s="1285" t="s">
        <v>841</v>
      </c>
      <c r="H958" s="1284">
        <v>877364</v>
      </c>
      <c r="I958" s="1284">
        <v>-72920</v>
      </c>
      <c r="J958" s="644">
        <f t="shared" si="58"/>
        <v>804444</v>
      </c>
      <c r="K958" s="1284">
        <v>804444</v>
      </c>
      <c r="L958" s="644">
        <f t="shared" si="59"/>
        <v>0</v>
      </c>
      <c r="M958" s="680">
        <v>105294</v>
      </c>
      <c r="N958" s="651">
        <v>223423</v>
      </c>
    </row>
    <row r="959" spans="1:14" ht="15.95" customHeight="1" x14ac:dyDescent="0.15">
      <c r="A959" s="1286">
        <v>43525</v>
      </c>
      <c r="B959" s="640" t="str">
        <f t="shared" ca="1" si="56"/>
        <v>02</v>
      </c>
      <c r="C959" s="1285" t="s">
        <v>37</v>
      </c>
      <c r="D959" s="640" t="str">
        <f t="shared" ca="1" si="57"/>
        <v>01</v>
      </c>
      <c r="E959" s="1285" t="s">
        <v>83</v>
      </c>
      <c r="F959" s="641" t="str">
        <f>IF(G959="","",VLOOKUP(G959,リスト!J$2:K$3,2,FALSE))</f>
        <v>02</v>
      </c>
      <c r="G959" s="1285" t="s">
        <v>842</v>
      </c>
      <c r="H959" s="1284">
        <v>26055</v>
      </c>
      <c r="I959" s="1284">
        <v>-371810</v>
      </c>
      <c r="J959" s="644">
        <f t="shared" si="58"/>
        <v>-345755</v>
      </c>
      <c r="K959" s="1284">
        <v>-345755</v>
      </c>
      <c r="L959" s="644">
        <f t="shared" si="59"/>
        <v>0</v>
      </c>
      <c r="M959" s="680">
        <v>0</v>
      </c>
      <c r="N959" s="651">
        <v>0</v>
      </c>
    </row>
    <row r="960" spans="1:14" ht="15.95" customHeight="1" x14ac:dyDescent="0.15">
      <c r="A960" s="1286">
        <v>43525</v>
      </c>
      <c r="B960" s="640" t="str">
        <f t="shared" ca="1" si="56"/>
        <v>02</v>
      </c>
      <c r="C960" s="1285" t="s">
        <v>37</v>
      </c>
      <c r="D960" s="640" t="str">
        <f t="shared" ca="1" si="57"/>
        <v>03</v>
      </c>
      <c r="E960" s="1285" t="s">
        <v>98</v>
      </c>
      <c r="F960" s="641" t="str">
        <f>IF(G960="","",VLOOKUP(G960,リスト!J$2:K$3,2,FALSE))</f>
        <v>02</v>
      </c>
      <c r="G960" s="1285" t="s">
        <v>842</v>
      </c>
      <c r="H960" s="1284">
        <v>0</v>
      </c>
      <c r="I960" s="1284">
        <v>0</v>
      </c>
      <c r="J960" s="644">
        <f t="shared" si="58"/>
        <v>0</v>
      </c>
      <c r="K960" s="1284">
        <v>0</v>
      </c>
      <c r="L960" s="644">
        <f t="shared" si="59"/>
        <v>0</v>
      </c>
      <c r="M960" s="680">
        <v>0</v>
      </c>
      <c r="N960" s="651">
        <v>0</v>
      </c>
    </row>
    <row r="961" spans="1:14" ht="15.95" customHeight="1" x14ac:dyDescent="0.15">
      <c r="A961" s="1286">
        <v>43525</v>
      </c>
      <c r="B961" s="640" t="str">
        <f t="shared" ca="1" si="56"/>
        <v>02</v>
      </c>
      <c r="C961" s="1285" t="s">
        <v>37</v>
      </c>
      <c r="D961" s="640" t="str">
        <f t="shared" ca="1" si="57"/>
        <v>02</v>
      </c>
      <c r="E961" s="1285" t="s">
        <v>84</v>
      </c>
      <c r="F961" s="641" t="str">
        <f>IF(G961="","",VLOOKUP(G961,リスト!J$2:K$3,2,FALSE))</f>
        <v>02</v>
      </c>
      <c r="G961" s="1285" t="s">
        <v>842</v>
      </c>
      <c r="H961" s="1284">
        <v>229986</v>
      </c>
      <c r="I961" s="1284">
        <v>-73520</v>
      </c>
      <c r="J961" s="644">
        <f t="shared" si="58"/>
        <v>156466</v>
      </c>
      <c r="K961" s="1284">
        <v>156466</v>
      </c>
      <c r="L961" s="644">
        <f t="shared" si="59"/>
        <v>0</v>
      </c>
      <c r="M961" s="680">
        <v>0</v>
      </c>
      <c r="N961" s="651">
        <v>0</v>
      </c>
    </row>
    <row r="962" spans="1:14" ht="15.95" customHeight="1" x14ac:dyDescent="0.15">
      <c r="A962" s="1286">
        <v>43525</v>
      </c>
      <c r="B962" s="640" t="str">
        <f t="shared" ref="B962:B988" ca="1" si="60">IF(C962="","",VLOOKUP(C962,事業所コード2,2,FALSE))</f>
        <v>03</v>
      </c>
      <c r="C962" s="1285" t="s">
        <v>66</v>
      </c>
      <c r="D962" s="640" t="str">
        <f t="shared" ref="D962:D988" ca="1" si="61">IF(E962="","",VLOOKUP(E962,事業区分コード2,2,FALSE))</f>
        <v>01</v>
      </c>
      <c r="E962" s="1285" t="s">
        <v>83</v>
      </c>
      <c r="F962" s="641" t="str">
        <f>IF(G962="","",VLOOKUP(G962,リスト!J$2:K$3,2,FALSE))</f>
        <v>01</v>
      </c>
      <c r="G962" s="1285" t="s">
        <v>841</v>
      </c>
      <c r="H962" s="1284">
        <v>4953746</v>
      </c>
      <c r="I962" s="1284">
        <v>0</v>
      </c>
      <c r="J962" s="644">
        <f t="shared" ref="J962:J988" si="62">IF(A962="","",H962+I962)</f>
        <v>4953746</v>
      </c>
      <c r="K962" s="1284">
        <v>4953746</v>
      </c>
      <c r="L962" s="644">
        <f t="shared" ref="L962:L988" si="63">IF(A962="","",J962-K962)</f>
        <v>0</v>
      </c>
      <c r="M962" s="680">
        <v>144180</v>
      </c>
      <c r="N962" s="651">
        <v>511438</v>
      </c>
    </row>
    <row r="963" spans="1:14" ht="15.95" customHeight="1" x14ac:dyDescent="0.15">
      <c r="A963" s="1286">
        <v>43525</v>
      </c>
      <c r="B963" s="640" t="str">
        <f t="shared" ca="1" si="60"/>
        <v>03</v>
      </c>
      <c r="C963" s="1285" t="s">
        <v>66</v>
      </c>
      <c r="D963" s="640" t="str">
        <f t="shared" ca="1" si="61"/>
        <v>02</v>
      </c>
      <c r="E963" s="1285" t="s">
        <v>84</v>
      </c>
      <c r="F963" s="641" t="str">
        <f>IF(G963="","",VLOOKUP(G963,リスト!J$2:K$3,2,FALSE))</f>
        <v>01</v>
      </c>
      <c r="G963" s="1285" t="s">
        <v>841</v>
      </c>
      <c r="H963" s="1284">
        <v>1808198</v>
      </c>
      <c r="I963" s="1284">
        <v>-140162</v>
      </c>
      <c r="J963" s="644">
        <f t="shared" si="62"/>
        <v>1668036</v>
      </c>
      <c r="K963" s="1284">
        <v>1668036</v>
      </c>
      <c r="L963" s="644">
        <f t="shared" si="63"/>
        <v>0</v>
      </c>
      <c r="M963" s="680">
        <v>0</v>
      </c>
      <c r="N963" s="651">
        <v>387896</v>
      </c>
    </row>
    <row r="964" spans="1:14" ht="15.95" customHeight="1" x14ac:dyDescent="0.15">
      <c r="A964" s="1286">
        <v>43525</v>
      </c>
      <c r="B964" s="640" t="str">
        <f t="shared" ca="1" si="60"/>
        <v>03</v>
      </c>
      <c r="C964" s="1285" t="s">
        <v>66</v>
      </c>
      <c r="D964" s="640" t="str">
        <f t="shared" ca="1" si="61"/>
        <v>01</v>
      </c>
      <c r="E964" s="1285" t="s">
        <v>83</v>
      </c>
      <c r="F964" s="641" t="str">
        <f>IF(G964="","",VLOOKUP(G964,リスト!J$2:K$3,2,FALSE))</f>
        <v>02</v>
      </c>
      <c r="G964" s="1285" t="s">
        <v>842</v>
      </c>
      <c r="H964" s="1284">
        <v>82996</v>
      </c>
      <c r="I964" s="1284">
        <v>0</v>
      </c>
      <c r="J964" s="644">
        <f t="shared" si="62"/>
        <v>82996</v>
      </c>
      <c r="K964" s="1284">
        <v>82996</v>
      </c>
      <c r="L964" s="644">
        <f t="shared" si="63"/>
        <v>0</v>
      </c>
      <c r="M964" s="680">
        <v>0</v>
      </c>
      <c r="N964" s="651">
        <v>0</v>
      </c>
    </row>
    <row r="965" spans="1:14" ht="15.95" customHeight="1" x14ac:dyDescent="0.15">
      <c r="A965" s="1286">
        <v>43525</v>
      </c>
      <c r="B965" s="640" t="str">
        <f t="shared" ca="1" si="60"/>
        <v>03</v>
      </c>
      <c r="C965" s="1285" t="s">
        <v>66</v>
      </c>
      <c r="D965" s="640" t="str">
        <f t="shared" ca="1" si="61"/>
        <v>02</v>
      </c>
      <c r="E965" s="1285" t="s">
        <v>84</v>
      </c>
      <c r="F965" s="641" t="str">
        <f>IF(G965="","",VLOOKUP(G965,リスト!J$2:K$3,2,FALSE))</f>
        <v>02</v>
      </c>
      <c r="G965" s="1285" t="s">
        <v>842</v>
      </c>
      <c r="H965" s="1284">
        <v>0</v>
      </c>
      <c r="I965" s="1284">
        <v>0</v>
      </c>
      <c r="J965" s="644">
        <f t="shared" si="62"/>
        <v>0</v>
      </c>
      <c r="K965" s="1284">
        <v>0</v>
      </c>
      <c r="L965" s="644">
        <f t="shared" si="63"/>
        <v>0</v>
      </c>
      <c r="M965" s="680">
        <v>0</v>
      </c>
      <c r="N965" s="651">
        <v>0</v>
      </c>
    </row>
    <row r="966" spans="1:14" ht="15.95" customHeight="1" x14ac:dyDescent="0.15">
      <c r="A966" s="1286">
        <v>43525</v>
      </c>
      <c r="B966" s="640" t="str">
        <f t="shared" ca="1" si="60"/>
        <v>12</v>
      </c>
      <c r="C966" s="1285" t="s">
        <v>1143</v>
      </c>
      <c r="D966" s="640" t="str">
        <f t="shared" ca="1" si="61"/>
        <v>01</v>
      </c>
      <c r="E966" s="1285" t="s">
        <v>83</v>
      </c>
      <c r="F966" s="641" t="str">
        <f>IF(G966="","",VLOOKUP(G966,リスト!J$2:K$3,2,FALSE))</f>
        <v>01</v>
      </c>
      <c r="G966" s="1285" t="s">
        <v>841</v>
      </c>
      <c r="H966" s="1284">
        <v>1003858</v>
      </c>
      <c r="I966" s="1284">
        <v>-43017</v>
      </c>
      <c r="J966" s="644">
        <f t="shared" si="62"/>
        <v>960841</v>
      </c>
      <c r="K966" s="1284">
        <v>960841</v>
      </c>
      <c r="L966" s="644">
        <f t="shared" si="63"/>
        <v>0</v>
      </c>
      <c r="M966" s="680">
        <v>0</v>
      </c>
      <c r="N966" s="651">
        <v>74624</v>
      </c>
    </row>
    <row r="967" spans="1:14" ht="15.95" customHeight="1" x14ac:dyDescent="0.15">
      <c r="A967" s="1286">
        <v>43525</v>
      </c>
      <c r="B967" s="640" t="str">
        <f t="shared" ca="1" si="60"/>
        <v>12</v>
      </c>
      <c r="C967" s="1285" t="s">
        <v>1143</v>
      </c>
      <c r="D967" s="640" t="str">
        <f t="shared" ca="1" si="61"/>
        <v>02</v>
      </c>
      <c r="E967" s="1285" t="s">
        <v>84</v>
      </c>
      <c r="F967" s="641" t="str">
        <f>IF(G967="","",VLOOKUP(G967,リスト!J$2:K$3,2,FALSE))</f>
        <v>01</v>
      </c>
      <c r="G967" s="1285" t="s">
        <v>841</v>
      </c>
      <c r="H967" s="1284">
        <v>408589</v>
      </c>
      <c r="I967" s="1284">
        <v>0</v>
      </c>
      <c r="J967" s="644">
        <f t="shared" si="62"/>
        <v>408589</v>
      </c>
      <c r="K967" s="1284">
        <v>408589</v>
      </c>
      <c r="L967" s="644">
        <f t="shared" si="63"/>
        <v>0</v>
      </c>
      <c r="M967" s="680">
        <v>0</v>
      </c>
      <c r="N967" s="651">
        <v>95009</v>
      </c>
    </row>
    <row r="968" spans="1:14" ht="15.95" customHeight="1" x14ac:dyDescent="0.15">
      <c r="A968" s="1286">
        <v>43525</v>
      </c>
      <c r="B968" s="640" t="str">
        <f t="shared" ca="1" si="60"/>
        <v>12</v>
      </c>
      <c r="C968" s="1285" t="s">
        <v>1143</v>
      </c>
      <c r="D968" s="640" t="str">
        <f t="shared" ca="1" si="61"/>
        <v>01</v>
      </c>
      <c r="E968" s="1285" t="s">
        <v>83</v>
      </c>
      <c r="F968" s="641" t="str">
        <f>IF(G968="","",VLOOKUP(G968,リスト!J$2:K$3,2,FALSE))</f>
        <v>02</v>
      </c>
      <c r="G968" s="1285" t="s">
        <v>842</v>
      </c>
      <c r="H968" s="1284">
        <v>0</v>
      </c>
      <c r="I968" s="1284">
        <v>4542</v>
      </c>
      <c r="J968" s="644">
        <f t="shared" si="62"/>
        <v>4542</v>
      </c>
      <c r="K968" s="1284">
        <v>4542</v>
      </c>
      <c r="L968" s="644">
        <f t="shared" si="63"/>
        <v>0</v>
      </c>
      <c r="M968" s="680">
        <v>0</v>
      </c>
      <c r="N968" s="651">
        <v>0</v>
      </c>
    </row>
    <row r="969" spans="1:14" ht="15.95" customHeight="1" x14ac:dyDescent="0.15">
      <c r="A969" s="1286">
        <v>43525</v>
      </c>
      <c r="B969" s="640" t="str">
        <f t="shared" ca="1" si="60"/>
        <v>12</v>
      </c>
      <c r="C969" s="1285" t="s">
        <v>1143</v>
      </c>
      <c r="D969" s="640" t="str">
        <f t="shared" ca="1" si="61"/>
        <v>02</v>
      </c>
      <c r="E969" s="1285" t="s">
        <v>84</v>
      </c>
      <c r="F969" s="641" t="str">
        <f>IF(G969="","",VLOOKUP(G969,リスト!J$2:K$3,2,FALSE))</f>
        <v>02</v>
      </c>
      <c r="G969" s="1285" t="s">
        <v>842</v>
      </c>
      <c r="H969" s="1284">
        <v>0</v>
      </c>
      <c r="I969" s="1284">
        <v>0</v>
      </c>
      <c r="J969" s="644">
        <f t="shared" si="62"/>
        <v>0</v>
      </c>
      <c r="K969" s="1284">
        <v>0</v>
      </c>
      <c r="L969" s="644">
        <f t="shared" si="63"/>
        <v>0</v>
      </c>
      <c r="M969" s="680">
        <v>0</v>
      </c>
      <c r="N969" s="651">
        <v>0</v>
      </c>
    </row>
    <row r="970" spans="1:14" ht="15.95" customHeight="1" x14ac:dyDescent="0.15">
      <c r="A970" s="1286">
        <v>43525</v>
      </c>
      <c r="B970" s="640" t="str">
        <f t="shared" ca="1" si="60"/>
        <v>04</v>
      </c>
      <c r="C970" s="1285" t="s">
        <v>358</v>
      </c>
      <c r="D970" s="640" t="str">
        <f t="shared" ca="1" si="61"/>
        <v>04</v>
      </c>
      <c r="E970" s="1285" t="s">
        <v>542</v>
      </c>
      <c r="F970" s="641" t="str">
        <f>IF(G970="","",VLOOKUP(G970,リスト!J$2:K$3,2,FALSE))</f>
        <v>01</v>
      </c>
      <c r="G970" s="1285" t="s">
        <v>841</v>
      </c>
      <c r="H970" s="1284">
        <v>4596566</v>
      </c>
      <c r="I970" s="1284">
        <v>-66064</v>
      </c>
      <c r="J970" s="644">
        <f t="shared" si="62"/>
        <v>4530502</v>
      </c>
      <c r="K970" s="1284">
        <v>4530502</v>
      </c>
      <c r="L970" s="644">
        <f t="shared" si="63"/>
        <v>0</v>
      </c>
      <c r="M970" s="680">
        <v>0</v>
      </c>
      <c r="N970" s="651">
        <v>255703</v>
      </c>
    </row>
    <row r="971" spans="1:14" ht="15.95" customHeight="1" x14ac:dyDescent="0.15">
      <c r="A971" s="1286">
        <v>43525</v>
      </c>
      <c r="B971" s="640" t="str">
        <f t="shared" ca="1" si="60"/>
        <v>04</v>
      </c>
      <c r="C971" s="1285" t="s">
        <v>358</v>
      </c>
      <c r="D971" s="640" t="str">
        <f t="shared" ca="1" si="61"/>
        <v>04</v>
      </c>
      <c r="E971" s="1285" t="s">
        <v>542</v>
      </c>
      <c r="F971" s="641" t="str">
        <f>IF(G971="","",VLOOKUP(G971,リスト!J$2:K$3,2,FALSE))</f>
        <v>02</v>
      </c>
      <c r="G971" s="1285" t="s">
        <v>842</v>
      </c>
      <c r="H971" s="1284">
        <v>0</v>
      </c>
      <c r="I971" s="1284">
        <v>59481</v>
      </c>
      <c r="J971" s="644">
        <f t="shared" si="62"/>
        <v>59481</v>
      </c>
      <c r="K971" s="1284">
        <v>59481</v>
      </c>
      <c r="L971" s="644">
        <f t="shared" si="63"/>
        <v>0</v>
      </c>
      <c r="M971" s="680">
        <v>0</v>
      </c>
      <c r="N971" s="651">
        <v>0</v>
      </c>
    </row>
    <row r="972" spans="1:14" ht="15.95" customHeight="1" x14ac:dyDescent="0.15">
      <c r="A972" s="1286">
        <v>43525</v>
      </c>
      <c r="B972" s="640" t="str">
        <f t="shared" ca="1" si="60"/>
        <v>05</v>
      </c>
      <c r="C972" s="1285" t="s">
        <v>38</v>
      </c>
      <c r="D972" s="640" t="str">
        <f t="shared" ca="1" si="61"/>
        <v>01</v>
      </c>
      <c r="E972" s="1285" t="s">
        <v>83</v>
      </c>
      <c r="F972" s="641" t="str">
        <f>IF(G972="","",VLOOKUP(G972,リスト!J$2:K$3,2,FALSE))</f>
        <v>01</v>
      </c>
      <c r="G972" s="1285" t="s">
        <v>841</v>
      </c>
      <c r="H972" s="1284">
        <v>1715602</v>
      </c>
      <c r="I972" s="1284">
        <v>0</v>
      </c>
      <c r="J972" s="644">
        <f t="shared" si="62"/>
        <v>1715602</v>
      </c>
      <c r="K972" s="1284">
        <v>1715602</v>
      </c>
      <c r="L972" s="644">
        <f t="shared" si="63"/>
        <v>0</v>
      </c>
      <c r="M972" s="680">
        <v>0</v>
      </c>
      <c r="N972" s="651">
        <v>0</v>
      </c>
    </row>
    <row r="973" spans="1:14" ht="15.95" customHeight="1" x14ac:dyDescent="0.15">
      <c r="A973" s="1286">
        <v>43525</v>
      </c>
      <c r="B973" s="640" t="str">
        <f t="shared" ca="1" si="60"/>
        <v>05</v>
      </c>
      <c r="C973" s="1285" t="s">
        <v>38</v>
      </c>
      <c r="D973" s="640" t="str">
        <f t="shared" ca="1" si="61"/>
        <v>01</v>
      </c>
      <c r="E973" s="1285" t="s">
        <v>83</v>
      </c>
      <c r="F973" s="641" t="str">
        <f>IF(G973="","",VLOOKUP(G973,リスト!J$2:K$3,2,FALSE))</f>
        <v>02</v>
      </c>
      <c r="G973" s="1285" t="s">
        <v>842</v>
      </c>
      <c r="H973" s="1284">
        <v>0</v>
      </c>
      <c r="I973" s="1284">
        <v>0</v>
      </c>
      <c r="J973" s="644">
        <f t="shared" si="62"/>
        <v>0</v>
      </c>
      <c r="K973" s="1284">
        <v>0</v>
      </c>
      <c r="L973" s="644">
        <f t="shared" si="63"/>
        <v>0</v>
      </c>
      <c r="M973" s="680">
        <v>0</v>
      </c>
      <c r="N973" s="651">
        <v>0</v>
      </c>
    </row>
    <row r="974" spans="1:14" ht="15.95" customHeight="1" x14ac:dyDescent="0.15">
      <c r="A974" s="1286">
        <v>43525</v>
      </c>
      <c r="B974" s="640" t="str">
        <f t="shared" ca="1" si="60"/>
        <v>07</v>
      </c>
      <c r="C974" s="1285" t="s">
        <v>119</v>
      </c>
      <c r="D974" s="640" t="str">
        <f t="shared" ca="1" si="61"/>
        <v>05</v>
      </c>
      <c r="E974" s="1285" t="s">
        <v>543</v>
      </c>
      <c r="F974" s="641" t="str">
        <f>IF(G974="","",VLOOKUP(G974,リスト!J$2:K$3,2,FALSE))</f>
        <v>01</v>
      </c>
      <c r="G974" s="1285" t="s">
        <v>841</v>
      </c>
      <c r="H974" s="1284">
        <v>982644</v>
      </c>
      <c r="I974" s="1284">
        <v>0</v>
      </c>
      <c r="J974" s="644">
        <f t="shared" si="62"/>
        <v>982644</v>
      </c>
      <c r="K974" s="1284">
        <v>982644</v>
      </c>
      <c r="L974" s="644">
        <f t="shared" si="63"/>
        <v>0</v>
      </c>
      <c r="M974" s="680">
        <v>0</v>
      </c>
      <c r="N974" s="651">
        <v>342112</v>
      </c>
    </row>
    <row r="975" spans="1:14" ht="15.95" customHeight="1" x14ac:dyDescent="0.15">
      <c r="A975" s="1286">
        <v>43525</v>
      </c>
      <c r="B975" s="640" t="str">
        <f t="shared" ca="1" si="60"/>
        <v>07</v>
      </c>
      <c r="C975" s="1285" t="s">
        <v>119</v>
      </c>
      <c r="D975" s="640" t="str">
        <f t="shared" ca="1" si="61"/>
        <v>05</v>
      </c>
      <c r="E975" s="1285" t="s">
        <v>543</v>
      </c>
      <c r="F975" s="641" t="str">
        <f>IF(G975="","",VLOOKUP(G975,リスト!J$2:K$3,2,FALSE))</f>
        <v>02</v>
      </c>
      <c r="G975" s="1285" t="s">
        <v>842</v>
      </c>
      <c r="H975" s="1284">
        <v>0</v>
      </c>
      <c r="I975" s="1284">
        <v>0</v>
      </c>
      <c r="J975" s="644">
        <f t="shared" si="62"/>
        <v>0</v>
      </c>
      <c r="K975" s="1284">
        <v>0</v>
      </c>
      <c r="L975" s="644">
        <f t="shared" si="63"/>
        <v>0</v>
      </c>
      <c r="M975" s="680">
        <v>0</v>
      </c>
      <c r="N975" s="651">
        <v>0</v>
      </c>
    </row>
    <row r="976" spans="1:14" ht="15.95" customHeight="1" x14ac:dyDescent="0.15">
      <c r="A976" s="1286">
        <v>43525</v>
      </c>
      <c r="B976" s="640" t="str">
        <f t="shared" ca="1" si="60"/>
        <v>08</v>
      </c>
      <c r="C976" s="1285" t="s">
        <v>189</v>
      </c>
      <c r="D976" s="640" t="str">
        <f t="shared" ca="1" si="61"/>
        <v>05</v>
      </c>
      <c r="E976" s="1285" t="s">
        <v>543</v>
      </c>
      <c r="F976" s="641" t="str">
        <f>IF(G976="","",VLOOKUP(G976,リスト!J$2:K$3,2,FALSE))</f>
        <v>01</v>
      </c>
      <c r="G976" s="1285" t="s">
        <v>841</v>
      </c>
      <c r="H976" s="1284">
        <v>915793</v>
      </c>
      <c r="I976" s="1284">
        <v>0</v>
      </c>
      <c r="J976" s="644">
        <f t="shared" si="62"/>
        <v>915793</v>
      </c>
      <c r="K976" s="1284">
        <v>915793</v>
      </c>
      <c r="L976" s="644">
        <f t="shared" si="63"/>
        <v>0</v>
      </c>
      <c r="M976" s="680">
        <v>0</v>
      </c>
      <c r="N976" s="651">
        <v>0</v>
      </c>
    </row>
    <row r="977" spans="1:14" ht="15.95" customHeight="1" x14ac:dyDescent="0.15">
      <c r="A977" s="1286">
        <v>43525</v>
      </c>
      <c r="B977" s="640" t="str">
        <f t="shared" ca="1" si="60"/>
        <v>08</v>
      </c>
      <c r="C977" s="1285" t="s">
        <v>189</v>
      </c>
      <c r="D977" s="640" t="str">
        <f t="shared" ca="1" si="61"/>
        <v>05</v>
      </c>
      <c r="E977" s="1285" t="s">
        <v>543</v>
      </c>
      <c r="F977" s="641" t="str">
        <f>IF(G977="","",VLOOKUP(G977,リスト!J$2:K$3,2,FALSE))</f>
        <v>02</v>
      </c>
      <c r="G977" s="1285" t="s">
        <v>842</v>
      </c>
      <c r="H977" s="1284">
        <v>0</v>
      </c>
      <c r="I977" s="1284">
        <v>0</v>
      </c>
      <c r="J977" s="644">
        <f t="shared" si="62"/>
        <v>0</v>
      </c>
      <c r="K977" s="1284">
        <v>0</v>
      </c>
      <c r="L977" s="644">
        <f t="shared" si="63"/>
        <v>0</v>
      </c>
      <c r="M977" s="680">
        <v>0</v>
      </c>
      <c r="N977" s="651">
        <v>0</v>
      </c>
    </row>
    <row r="978" spans="1:14" ht="15.95" customHeight="1" x14ac:dyDescent="0.15">
      <c r="A978" s="1286">
        <v>43525</v>
      </c>
      <c r="B978" s="640" t="str">
        <f t="shared" ca="1" si="60"/>
        <v>09</v>
      </c>
      <c r="C978" s="1285" t="s">
        <v>329</v>
      </c>
      <c r="D978" s="640" t="str">
        <f t="shared" ca="1" si="61"/>
        <v>05</v>
      </c>
      <c r="E978" s="1285" t="s">
        <v>543</v>
      </c>
      <c r="F978" s="641" t="str">
        <f>IF(G978="","",VLOOKUP(G978,リスト!J$2:K$3,2,FALSE))</f>
        <v>01</v>
      </c>
      <c r="G978" s="1285" t="s">
        <v>841</v>
      </c>
      <c r="H978" s="1284">
        <v>1927185</v>
      </c>
      <c r="I978" s="1284">
        <v>-235817</v>
      </c>
      <c r="J978" s="644">
        <f t="shared" si="62"/>
        <v>1691368</v>
      </c>
      <c r="K978" s="1284">
        <v>1691368</v>
      </c>
      <c r="L978" s="644">
        <f t="shared" si="63"/>
        <v>0</v>
      </c>
      <c r="M978" s="680">
        <v>0</v>
      </c>
      <c r="N978" s="651">
        <v>0</v>
      </c>
    </row>
    <row r="979" spans="1:14" ht="15.95" customHeight="1" x14ac:dyDescent="0.15">
      <c r="A979" s="1286">
        <v>43525</v>
      </c>
      <c r="B979" s="640" t="str">
        <f t="shared" ca="1" si="60"/>
        <v>09</v>
      </c>
      <c r="C979" s="1285" t="s">
        <v>329</v>
      </c>
      <c r="D979" s="640" t="str">
        <f t="shared" ca="1" si="61"/>
        <v>05</v>
      </c>
      <c r="E979" s="1285" t="s">
        <v>543</v>
      </c>
      <c r="F979" s="641" t="str">
        <f>IF(G979="","",VLOOKUP(G979,リスト!J$2:K$3,2,FALSE))</f>
        <v>02</v>
      </c>
      <c r="G979" s="1285" t="s">
        <v>842</v>
      </c>
      <c r="H979" s="1284">
        <v>213958</v>
      </c>
      <c r="I979" s="1284">
        <v>-213958</v>
      </c>
      <c r="J979" s="644">
        <f t="shared" si="62"/>
        <v>0</v>
      </c>
      <c r="K979" s="1284">
        <v>0</v>
      </c>
      <c r="L979" s="644">
        <f t="shared" si="63"/>
        <v>0</v>
      </c>
      <c r="M979" s="680">
        <v>0</v>
      </c>
      <c r="N979" s="651">
        <v>0</v>
      </c>
    </row>
    <row r="980" spans="1:14" ht="15.95" customHeight="1" x14ac:dyDescent="0.15">
      <c r="A980" s="1286">
        <v>43525</v>
      </c>
      <c r="B980" s="640" t="str">
        <f t="shared" ca="1" si="60"/>
        <v>13</v>
      </c>
      <c r="C980" s="1285" t="s">
        <v>1223</v>
      </c>
      <c r="D980" s="640" t="str">
        <f t="shared" ca="1" si="61"/>
        <v>05</v>
      </c>
      <c r="E980" s="1285" t="s">
        <v>543</v>
      </c>
      <c r="F980" s="641" t="str">
        <f>IF(G980="","",VLOOKUP(G980,リスト!J$2:K$3,2,FALSE))</f>
        <v>01</v>
      </c>
      <c r="G980" s="1285" t="s">
        <v>841</v>
      </c>
      <c r="H980" s="1284">
        <v>1605823</v>
      </c>
      <c r="I980" s="1284">
        <v>-235817</v>
      </c>
      <c r="J980" s="644">
        <f t="shared" si="62"/>
        <v>1370006</v>
      </c>
      <c r="K980" s="1284">
        <v>1370006</v>
      </c>
      <c r="L980" s="644">
        <f t="shared" si="63"/>
        <v>0</v>
      </c>
      <c r="M980" s="680">
        <v>0</v>
      </c>
      <c r="N980" s="651">
        <v>0</v>
      </c>
    </row>
    <row r="981" spans="1:14" ht="15.95" customHeight="1" x14ac:dyDescent="0.15">
      <c r="A981" s="1286">
        <v>43525</v>
      </c>
      <c r="B981" s="640" t="str">
        <f t="shared" ca="1" si="60"/>
        <v>13</v>
      </c>
      <c r="C981" s="1285" t="s">
        <v>1223</v>
      </c>
      <c r="D981" s="640" t="str">
        <f t="shared" ca="1" si="61"/>
        <v>05</v>
      </c>
      <c r="E981" s="1285" t="s">
        <v>543</v>
      </c>
      <c r="F981" s="641" t="str">
        <f>IF(G981="","",VLOOKUP(G981,リスト!J$2:K$3,2,FALSE))</f>
        <v>02</v>
      </c>
      <c r="G981" s="1285" t="s">
        <v>842</v>
      </c>
      <c r="H981" s="1284">
        <v>225125</v>
      </c>
      <c r="I981" s="1284">
        <v>0</v>
      </c>
      <c r="J981" s="644">
        <f t="shared" si="62"/>
        <v>225125</v>
      </c>
      <c r="K981" s="1284">
        <v>225125</v>
      </c>
      <c r="L981" s="644">
        <f t="shared" si="63"/>
        <v>0</v>
      </c>
      <c r="M981" s="680">
        <v>0</v>
      </c>
      <c r="N981" s="651">
        <v>0</v>
      </c>
    </row>
    <row r="982" spans="1:14" ht="15.95" customHeight="1" x14ac:dyDescent="0.15">
      <c r="A982" s="1286">
        <v>43556</v>
      </c>
      <c r="B982" s="640" t="str">
        <f t="shared" ca="1" si="60"/>
        <v>01</v>
      </c>
      <c r="C982" s="1285" t="s">
        <v>34</v>
      </c>
      <c r="D982" s="640" t="str">
        <f t="shared" ca="1" si="61"/>
        <v>01</v>
      </c>
      <c r="E982" s="1285" t="s">
        <v>83</v>
      </c>
      <c r="F982" s="641" t="str">
        <f>IF(G982="","",VLOOKUP(G982,リスト!J$2:K$3,2,FALSE))</f>
        <v>01</v>
      </c>
      <c r="G982" s="1285" t="s">
        <v>841</v>
      </c>
      <c r="H982" s="1284">
        <v>9131435</v>
      </c>
      <c r="I982" s="1284">
        <v>0</v>
      </c>
      <c r="J982" s="644">
        <f t="shared" si="62"/>
        <v>9131435</v>
      </c>
      <c r="K982" s="1284">
        <v>0</v>
      </c>
      <c r="L982" s="644">
        <f t="shared" si="63"/>
        <v>9131435</v>
      </c>
      <c r="M982" s="680">
        <v>28408</v>
      </c>
      <c r="N982" s="651">
        <v>0</v>
      </c>
    </row>
    <row r="983" spans="1:14" ht="15.95" customHeight="1" x14ac:dyDescent="0.15">
      <c r="A983" s="1286">
        <v>43556</v>
      </c>
      <c r="B983" s="640" t="str">
        <f t="shared" ca="1" si="60"/>
        <v>01</v>
      </c>
      <c r="C983" s="1285" t="s">
        <v>34</v>
      </c>
      <c r="D983" s="640" t="str">
        <f t="shared" ca="1" si="61"/>
        <v>03</v>
      </c>
      <c r="E983" s="1285" t="s">
        <v>98</v>
      </c>
      <c r="F983" s="641" t="str">
        <f>IF(G983="","",VLOOKUP(G983,リスト!J$2:K$3,2,FALSE))</f>
        <v>01</v>
      </c>
      <c r="G983" s="1285" t="s">
        <v>841</v>
      </c>
      <c r="H983" s="1284">
        <v>816052</v>
      </c>
      <c r="I983" s="1284">
        <v>0</v>
      </c>
      <c r="J983" s="644">
        <f t="shared" si="62"/>
        <v>816052</v>
      </c>
      <c r="K983" s="1284">
        <v>0</v>
      </c>
      <c r="L983" s="644">
        <f t="shared" si="63"/>
        <v>816052</v>
      </c>
      <c r="M983" s="680">
        <v>0</v>
      </c>
      <c r="N983" s="651">
        <v>0</v>
      </c>
    </row>
    <row r="984" spans="1:14" ht="15.95" customHeight="1" x14ac:dyDescent="0.15">
      <c r="A984" s="1286">
        <v>43556</v>
      </c>
      <c r="B984" s="640" t="str">
        <f t="shared" ca="1" si="60"/>
        <v>01</v>
      </c>
      <c r="C984" s="1285" t="s">
        <v>34</v>
      </c>
      <c r="D984" s="640" t="str">
        <f t="shared" ca="1" si="61"/>
        <v>02</v>
      </c>
      <c r="E984" s="1285" t="s">
        <v>84</v>
      </c>
      <c r="F984" s="641" t="str">
        <f>IF(G984="","",VLOOKUP(G984,リスト!J$2:K$3,2,FALSE))</f>
        <v>01</v>
      </c>
      <c r="G984" s="1285" t="s">
        <v>841</v>
      </c>
      <c r="H984" s="1284">
        <v>2127360</v>
      </c>
      <c r="I984" s="1284">
        <v>0</v>
      </c>
      <c r="J984" s="644">
        <f t="shared" si="62"/>
        <v>2127360</v>
      </c>
      <c r="K984" s="1284">
        <v>0</v>
      </c>
      <c r="L984" s="644">
        <f t="shared" si="63"/>
        <v>2127360</v>
      </c>
      <c r="M984" s="680">
        <v>0</v>
      </c>
      <c r="N984" s="651">
        <v>0</v>
      </c>
    </row>
    <row r="985" spans="1:14" ht="15.95" customHeight="1" x14ac:dyDescent="0.15">
      <c r="A985" s="1286">
        <v>43556</v>
      </c>
      <c r="B985" s="640" t="str">
        <f t="shared" ca="1" si="60"/>
        <v>01</v>
      </c>
      <c r="C985" s="1285" t="s">
        <v>34</v>
      </c>
      <c r="D985" s="640" t="str">
        <f t="shared" ca="1" si="61"/>
        <v>01</v>
      </c>
      <c r="E985" s="1285" t="s">
        <v>83</v>
      </c>
      <c r="F985" s="641" t="str">
        <f>IF(G985="","",VLOOKUP(G985,リスト!J$2:K$3,2,FALSE))</f>
        <v>02</v>
      </c>
      <c r="G985" s="1285" t="s">
        <v>842</v>
      </c>
      <c r="H985" s="1284">
        <v>70683</v>
      </c>
      <c r="I985" s="1284">
        <v>0</v>
      </c>
      <c r="J985" s="644">
        <f t="shared" si="62"/>
        <v>70683</v>
      </c>
      <c r="K985" s="1284">
        <v>0</v>
      </c>
      <c r="L985" s="644">
        <f t="shared" si="63"/>
        <v>70683</v>
      </c>
      <c r="M985" s="680">
        <v>0</v>
      </c>
      <c r="N985" s="651">
        <v>0</v>
      </c>
    </row>
    <row r="986" spans="1:14" ht="15.95" customHeight="1" x14ac:dyDescent="0.15">
      <c r="A986" s="1286">
        <v>43556</v>
      </c>
      <c r="B986" s="640" t="str">
        <f t="shared" ca="1" si="60"/>
        <v>01</v>
      </c>
      <c r="C986" s="1285" t="s">
        <v>34</v>
      </c>
      <c r="D986" s="640" t="str">
        <f t="shared" ca="1" si="61"/>
        <v>03</v>
      </c>
      <c r="E986" s="1285" t="s">
        <v>98</v>
      </c>
      <c r="F986" s="641" t="str">
        <f>IF(G986="","",VLOOKUP(G986,リスト!J$2:K$3,2,FALSE))</f>
        <v>02</v>
      </c>
      <c r="G986" s="1285" t="s">
        <v>842</v>
      </c>
      <c r="H986" s="1284">
        <v>48941</v>
      </c>
      <c r="I986" s="1284">
        <v>0</v>
      </c>
      <c r="J986" s="644">
        <f t="shared" si="62"/>
        <v>48941</v>
      </c>
      <c r="K986" s="1284">
        <v>0</v>
      </c>
      <c r="L986" s="644">
        <f t="shared" si="63"/>
        <v>48941</v>
      </c>
      <c r="M986" s="680">
        <v>0</v>
      </c>
      <c r="N986" s="651">
        <v>0</v>
      </c>
    </row>
    <row r="987" spans="1:14" ht="15.95" customHeight="1" x14ac:dyDescent="0.15">
      <c r="A987" s="1286">
        <v>43556</v>
      </c>
      <c r="B987" s="640" t="str">
        <f t="shared" ca="1" si="60"/>
        <v>01</v>
      </c>
      <c r="C987" s="1285" t="s">
        <v>34</v>
      </c>
      <c r="D987" s="640" t="str">
        <f t="shared" ca="1" si="61"/>
        <v>02</v>
      </c>
      <c r="E987" s="1285" t="s">
        <v>84</v>
      </c>
      <c r="F987" s="641" t="str">
        <f>IF(G987="","",VLOOKUP(G987,リスト!J$2:K$3,2,FALSE))</f>
        <v>02</v>
      </c>
      <c r="G987" s="1285" t="s">
        <v>842</v>
      </c>
      <c r="H987" s="1284">
        <v>50413</v>
      </c>
      <c r="I987" s="1284">
        <v>0</v>
      </c>
      <c r="J987" s="644">
        <f t="shared" si="62"/>
        <v>50413</v>
      </c>
      <c r="K987" s="1284">
        <v>0</v>
      </c>
      <c r="L987" s="644">
        <f t="shared" si="63"/>
        <v>50413</v>
      </c>
      <c r="M987" s="680">
        <v>0</v>
      </c>
      <c r="N987" s="651">
        <v>0</v>
      </c>
    </row>
    <row r="988" spans="1:14" ht="15.95" customHeight="1" x14ac:dyDescent="0.15">
      <c r="A988" s="1286">
        <v>43556</v>
      </c>
      <c r="B988" s="640" t="str">
        <f t="shared" ca="1" si="60"/>
        <v>02</v>
      </c>
      <c r="C988" s="1285" t="s">
        <v>37</v>
      </c>
      <c r="D988" s="640" t="str">
        <f t="shared" ca="1" si="61"/>
        <v>01</v>
      </c>
      <c r="E988" s="1285" t="s">
        <v>83</v>
      </c>
      <c r="F988" s="641" t="str">
        <f>IF(G988="","",VLOOKUP(G988,リスト!J$2:K$3,2,FALSE))</f>
        <v>01</v>
      </c>
      <c r="G988" s="1285" t="s">
        <v>841</v>
      </c>
      <c r="H988" s="1284">
        <v>3538699</v>
      </c>
      <c r="I988" s="1284">
        <v>0</v>
      </c>
      <c r="J988" s="644">
        <f t="shared" si="62"/>
        <v>3538699</v>
      </c>
      <c r="K988" s="1284">
        <v>0</v>
      </c>
      <c r="L988" s="644">
        <f t="shared" si="63"/>
        <v>3538699</v>
      </c>
      <c r="M988" s="680">
        <v>40566</v>
      </c>
      <c r="N988" s="651">
        <v>0</v>
      </c>
    </row>
    <row r="989" spans="1:14" ht="15.95" customHeight="1" x14ac:dyDescent="0.15">
      <c r="A989" s="1286">
        <v>43556</v>
      </c>
      <c r="B989" s="640" t="str">
        <f t="shared" ref="B989:B1052" ca="1" si="64">IF(C989="","",VLOOKUP(C989,事業所コード2,2,FALSE))</f>
        <v>02</v>
      </c>
      <c r="C989" s="1285" t="s">
        <v>37</v>
      </c>
      <c r="D989" s="640" t="str">
        <f t="shared" ref="D989:D1052" ca="1" si="65">IF(E989="","",VLOOKUP(E989,事業区分コード2,2,FALSE))</f>
        <v>03</v>
      </c>
      <c r="E989" s="1285" t="s">
        <v>98</v>
      </c>
      <c r="F989" s="641" t="str">
        <f>IF(G989="","",VLOOKUP(G989,リスト!J$2:K$3,2,FALSE))</f>
        <v>01</v>
      </c>
      <c r="G989" s="1285" t="s">
        <v>841</v>
      </c>
      <c r="H989" s="1284">
        <v>534609</v>
      </c>
      <c r="I989" s="1284">
        <v>0</v>
      </c>
      <c r="J989" s="644">
        <f t="shared" ref="J989:J1052" si="66">IF(A989="","",H989+I989)</f>
        <v>534609</v>
      </c>
      <c r="K989" s="1284">
        <v>0</v>
      </c>
      <c r="L989" s="644">
        <f t="shared" ref="L989:L1052" si="67">IF(A989="","",J989-K989)</f>
        <v>534609</v>
      </c>
      <c r="M989" s="680">
        <v>11636</v>
      </c>
      <c r="N989" s="651">
        <v>0</v>
      </c>
    </row>
    <row r="990" spans="1:14" ht="15.95" customHeight="1" x14ac:dyDescent="0.15">
      <c r="A990" s="1286">
        <v>43556</v>
      </c>
      <c r="B990" s="640" t="str">
        <f t="shared" ca="1" si="64"/>
        <v>02</v>
      </c>
      <c r="C990" s="1285" t="s">
        <v>37</v>
      </c>
      <c r="D990" s="640" t="str">
        <f t="shared" ca="1" si="65"/>
        <v>02</v>
      </c>
      <c r="E990" s="1285" t="s">
        <v>84</v>
      </c>
      <c r="F990" s="641" t="str">
        <f>IF(G990="","",VLOOKUP(G990,リスト!J$2:K$3,2,FALSE))</f>
        <v>01</v>
      </c>
      <c r="G990" s="1285" t="s">
        <v>841</v>
      </c>
      <c r="H990" s="1284">
        <v>1103041</v>
      </c>
      <c r="I990" s="1284">
        <v>0</v>
      </c>
      <c r="J990" s="644">
        <f t="shared" si="66"/>
        <v>1103041</v>
      </c>
      <c r="K990" s="1284">
        <v>0</v>
      </c>
      <c r="L990" s="644">
        <f t="shared" si="67"/>
        <v>1103041</v>
      </c>
      <c r="M990" s="680">
        <v>0</v>
      </c>
      <c r="N990" s="651">
        <v>0</v>
      </c>
    </row>
    <row r="991" spans="1:14" ht="15.95" customHeight="1" x14ac:dyDescent="0.15">
      <c r="A991" s="1286">
        <v>43556</v>
      </c>
      <c r="B991" s="640" t="str">
        <f t="shared" ca="1" si="64"/>
        <v>02</v>
      </c>
      <c r="C991" s="1285" t="s">
        <v>37</v>
      </c>
      <c r="D991" s="640" t="str">
        <f t="shared" ca="1" si="65"/>
        <v>01</v>
      </c>
      <c r="E991" s="1285" t="s">
        <v>83</v>
      </c>
      <c r="F991" s="641" t="str">
        <f>IF(G991="","",VLOOKUP(G991,リスト!J$2:K$3,2,FALSE))</f>
        <v>02</v>
      </c>
      <c r="G991" s="1285" t="s">
        <v>842</v>
      </c>
      <c r="H991" s="1284">
        <v>384539</v>
      </c>
      <c r="I991" s="1284">
        <v>0</v>
      </c>
      <c r="J991" s="644">
        <f t="shared" si="66"/>
        <v>384539</v>
      </c>
      <c r="K991" s="1284">
        <v>0</v>
      </c>
      <c r="L991" s="644">
        <f t="shared" si="67"/>
        <v>384539</v>
      </c>
      <c r="M991" s="680">
        <v>0</v>
      </c>
      <c r="N991" s="651">
        <v>0</v>
      </c>
    </row>
    <row r="992" spans="1:14" ht="15.95" customHeight="1" x14ac:dyDescent="0.15">
      <c r="A992" s="1286">
        <v>43556</v>
      </c>
      <c r="B992" s="640" t="str">
        <f t="shared" ca="1" si="64"/>
        <v>02</v>
      </c>
      <c r="C992" s="1285" t="s">
        <v>37</v>
      </c>
      <c r="D992" s="640" t="str">
        <f t="shared" ca="1" si="65"/>
        <v>03</v>
      </c>
      <c r="E992" s="1285" t="s">
        <v>98</v>
      </c>
      <c r="F992" s="641" t="str">
        <f>IF(G992="","",VLOOKUP(G992,リスト!J$2:K$3,2,FALSE))</f>
        <v>02</v>
      </c>
      <c r="G992" s="1285" t="s">
        <v>842</v>
      </c>
      <c r="H992" s="1284">
        <v>14950</v>
      </c>
      <c r="I992" s="1284">
        <v>0</v>
      </c>
      <c r="J992" s="644">
        <f t="shared" si="66"/>
        <v>14950</v>
      </c>
      <c r="K992" s="1284">
        <v>0</v>
      </c>
      <c r="L992" s="644">
        <f t="shared" si="67"/>
        <v>14950</v>
      </c>
      <c r="M992" s="680">
        <v>0</v>
      </c>
      <c r="N992" s="651">
        <v>0</v>
      </c>
    </row>
    <row r="993" spans="1:14" ht="15.95" customHeight="1" x14ac:dyDescent="0.15">
      <c r="A993" s="1286">
        <v>43556</v>
      </c>
      <c r="B993" s="640" t="str">
        <f t="shared" ca="1" si="64"/>
        <v>02</v>
      </c>
      <c r="C993" s="1285" t="s">
        <v>37</v>
      </c>
      <c r="D993" s="640" t="str">
        <f t="shared" ca="1" si="65"/>
        <v>02</v>
      </c>
      <c r="E993" s="1285" t="s">
        <v>84</v>
      </c>
      <c r="F993" s="641" t="str">
        <f>IF(G993="","",VLOOKUP(G993,リスト!J$2:K$3,2,FALSE))</f>
        <v>02</v>
      </c>
      <c r="G993" s="1285" t="s">
        <v>842</v>
      </c>
      <c r="H993" s="1284">
        <v>243950</v>
      </c>
      <c r="I993" s="1284">
        <v>0</v>
      </c>
      <c r="J993" s="644">
        <f t="shared" si="66"/>
        <v>243950</v>
      </c>
      <c r="K993" s="1284">
        <v>0</v>
      </c>
      <c r="L993" s="644">
        <f t="shared" si="67"/>
        <v>243950</v>
      </c>
      <c r="M993" s="680">
        <v>0</v>
      </c>
      <c r="N993" s="651">
        <v>0</v>
      </c>
    </row>
    <row r="994" spans="1:14" ht="15.95" customHeight="1" x14ac:dyDescent="0.15">
      <c r="A994" s="1286">
        <v>43556</v>
      </c>
      <c r="B994" s="640" t="str">
        <f t="shared" ca="1" si="64"/>
        <v>03</v>
      </c>
      <c r="C994" s="1285" t="s">
        <v>66</v>
      </c>
      <c r="D994" s="640" t="str">
        <f t="shared" ca="1" si="65"/>
        <v>01</v>
      </c>
      <c r="E994" s="1285" t="s">
        <v>83</v>
      </c>
      <c r="F994" s="641" t="str">
        <f>IF(G994="","",VLOOKUP(G994,リスト!J$2:K$3,2,FALSE))</f>
        <v>01</v>
      </c>
      <c r="G994" s="1285" t="s">
        <v>841</v>
      </c>
      <c r="H994" s="1284">
        <v>4684876</v>
      </c>
      <c r="I994" s="1284">
        <v>0</v>
      </c>
      <c r="J994" s="644">
        <f t="shared" si="66"/>
        <v>4684876</v>
      </c>
      <c r="K994" s="1284">
        <v>0</v>
      </c>
      <c r="L994" s="644">
        <f t="shared" si="67"/>
        <v>4684876</v>
      </c>
      <c r="M994" s="680">
        <v>164777</v>
      </c>
      <c r="N994" s="651">
        <v>0</v>
      </c>
    </row>
    <row r="995" spans="1:14" ht="15.95" customHeight="1" x14ac:dyDescent="0.15">
      <c r="A995" s="1286">
        <v>43556</v>
      </c>
      <c r="B995" s="640" t="str">
        <f t="shared" ca="1" si="64"/>
        <v>03</v>
      </c>
      <c r="C995" s="1285" t="s">
        <v>66</v>
      </c>
      <c r="D995" s="640" t="str">
        <f t="shared" ca="1" si="65"/>
        <v>02</v>
      </c>
      <c r="E995" s="1285" t="s">
        <v>84</v>
      </c>
      <c r="F995" s="641" t="str">
        <f>IF(G995="","",VLOOKUP(G995,リスト!J$2:K$3,2,FALSE))</f>
        <v>01</v>
      </c>
      <c r="G995" s="1285" t="s">
        <v>841</v>
      </c>
      <c r="H995" s="1284">
        <v>1842826</v>
      </c>
      <c r="I995" s="1284">
        <v>0</v>
      </c>
      <c r="J995" s="644">
        <f t="shared" si="66"/>
        <v>1842826</v>
      </c>
      <c r="K995" s="1284">
        <v>0</v>
      </c>
      <c r="L995" s="644">
        <f t="shared" si="67"/>
        <v>1842826</v>
      </c>
      <c r="M995" s="680">
        <v>0</v>
      </c>
      <c r="N995" s="651">
        <v>0</v>
      </c>
    </row>
    <row r="996" spans="1:14" ht="15.95" customHeight="1" x14ac:dyDescent="0.15">
      <c r="A996" s="1286">
        <v>43556</v>
      </c>
      <c r="B996" s="640" t="str">
        <f t="shared" ca="1" si="64"/>
        <v>03</v>
      </c>
      <c r="C996" s="1285" t="s">
        <v>66</v>
      </c>
      <c r="D996" s="640" t="str">
        <f t="shared" ca="1" si="65"/>
        <v>01</v>
      </c>
      <c r="E996" s="1285" t="s">
        <v>83</v>
      </c>
      <c r="F996" s="641" t="str">
        <f>IF(G996="","",VLOOKUP(G996,リスト!J$2:K$3,2,FALSE))</f>
        <v>02</v>
      </c>
      <c r="G996" s="1285" t="s">
        <v>842</v>
      </c>
      <c r="H996" s="1284">
        <v>84377</v>
      </c>
      <c r="I996" s="1284">
        <v>0</v>
      </c>
      <c r="J996" s="644">
        <f t="shared" si="66"/>
        <v>84377</v>
      </c>
      <c r="K996" s="1284">
        <v>0</v>
      </c>
      <c r="L996" s="644">
        <f t="shared" si="67"/>
        <v>84377</v>
      </c>
      <c r="M996" s="680">
        <v>0</v>
      </c>
      <c r="N996" s="651">
        <v>0</v>
      </c>
    </row>
    <row r="997" spans="1:14" ht="15.95" customHeight="1" x14ac:dyDescent="0.15">
      <c r="A997" s="1286">
        <v>43556</v>
      </c>
      <c r="B997" s="640" t="str">
        <f t="shared" ca="1" si="64"/>
        <v>03</v>
      </c>
      <c r="C997" s="1285" t="s">
        <v>66</v>
      </c>
      <c r="D997" s="640" t="str">
        <f t="shared" ca="1" si="65"/>
        <v>02</v>
      </c>
      <c r="E997" s="1285" t="s">
        <v>84</v>
      </c>
      <c r="F997" s="641" t="str">
        <f>IF(G997="","",VLOOKUP(G997,リスト!J$2:K$3,2,FALSE))</f>
        <v>02</v>
      </c>
      <c r="G997" s="1285" t="s">
        <v>842</v>
      </c>
      <c r="H997" s="1284">
        <v>138036</v>
      </c>
      <c r="I997" s="1284">
        <v>0</v>
      </c>
      <c r="J997" s="644">
        <f t="shared" si="66"/>
        <v>138036</v>
      </c>
      <c r="K997" s="1284">
        <v>0</v>
      </c>
      <c r="L997" s="644">
        <f t="shared" si="67"/>
        <v>138036</v>
      </c>
      <c r="M997" s="680">
        <v>0</v>
      </c>
      <c r="N997" s="651">
        <v>0</v>
      </c>
    </row>
    <row r="998" spans="1:14" ht="15.95" customHeight="1" x14ac:dyDescent="0.15">
      <c r="A998" s="1286">
        <v>43556</v>
      </c>
      <c r="B998" s="640" t="str">
        <f t="shared" ca="1" si="64"/>
        <v>11</v>
      </c>
      <c r="C998" s="1285" t="s">
        <v>967</v>
      </c>
      <c r="D998" s="640" t="str">
        <f t="shared" ca="1" si="65"/>
        <v>01</v>
      </c>
      <c r="E998" s="1285" t="s">
        <v>83</v>
      </c>
      <c r="F998" s="641" t="str">
        <f>IF(G998="","",VLOOKUP(G998,リスト!J$2:K$3,2,FALSE))</f>
        <v>01</v>
      </c>
      <c r="G998" s="1285" t="s">
        <v>841</v>
      </c>
      <c r="H998" s="1284">
        <v>0</v>
      </c>
      <c r="I998" s="1284">
        <v>0</v>
      </c>
      <c r="J998" s="644">
        <f t="shared" si="66"/>
        <v>0</v>
      </c>
      <c r="K998" s="1284">
        <v>0</v>
      </c>
      <c r="L998" s="644">
        <f t="shared" si="67"/>
        <v>0</v>
      </c>
      <c r="M998" s="680">
        <v>0</v>
      </c>
      <c r="N998" s="651">
        <v>0</v>
      </c>
    </row>
    <row r="999" spans="1:14" ht="15.95" customHeight="1" x14ac:dyDescent="0.15">
      <c r="A999" s="1286">
        <v>43556</v>
      </c>
      <c r="B999" s="640" t="str">
        <f t="shared" ca="1" si="64"/>
        <v>11</v>
      </c>
      <c r="C999" s="1285" t="s">
        <v>967</v>
      </c>
      <c r="D999" s="640" t="str">
        <f t="shared" ca="1" si="65"/>
        <v>02</v>
      </c>
      <c r="E999" s="1285" t="s">
        <v>84</v>
      </c>
      <c r="F999" s="641" t="str">
        <f>IF(G999="","",VLOOKUP(G999,リスト!J$2:K$3,2,FALSE))</f>
        <v>01</v>
      </c>
      <c r="G999" s="1285" t="s">
        <v>841</v>
      </c>
      <c r="H999" s="1284">
        <v>0</v>
      </c>
      <c r="I999" s="1284">
        <v>0</v>
      </c>
      <c r="J999" s="644">
        <f t="shared" si="66"/>
        <v>0</v>
      </c>
      <c r="K999" s="1284">
        <v>0</v>
      </c>
      <c r="L999" s="644">
        <f t="shared" si="67"/>
        <v>0</v>
      </c>
      <c r="M999" s="680">
        <v>0</v>
      </c>
      <c r="N999" s="651">
        <v>0</v>
      </c>
    </row>
    <row r="1000" spans="1:14" ht="15.95" customHeight="1" x14ac:dyDescent="0.15">
      <c r="A1000" s="1286">
        <v>43556</v>
      </c>
      <c r="B1000" s="640" t="str">
        <f t="shared" ca="1" si="64"/>
        <v>11</v>
      </c>
      <c r="C1000" s="1285" t="s">
        <v>967</v>
      </c>
      <c r="D1000" s="640" t="str">
        <f t="shared" ca="1" si="65"/>
        <v>01</v>
      </c>
      <c r="E1000" s="1285" t="s">
        <v>83</v>
      </c>
      <c r="F1000" s="641" t="str">
        <f>IF(G1000="","",VLOOKUP(G1000,リスト!J$2:K$3,2,FALSE))</f>
        <v>02</v>
      </c>
      <c r="G1000" s="1285" t="s">
        <v>842</v>
      </c>
      <c r="H1000" s="1284">
        <v>13148</v>
      </c>
      <c r="I1000" s="1284">
        <v>0</v>
      </c>
      <c r="J1000" s="644">
        <f t="shared" si="66"/>
        <v>13148</v>
      </c>
      <c r="K1000" s="1284">
        <v>0</v>
      </c>
      <c r="L1000" s="644">
        <f t="shared" si="67"/>
        <v>13148</v>
      </c>
      <c r="M1000" s="680">
        <v>0</v>
      </c>
      <c r="N1000" s="651">
        <v>0</v>
      </c>
    </row>
    <row r="1001" spans="1:14" ht="15.95" customHeight="1" x14ac:dyDescent="0.15">
      <c r="A1001" s="1286">
        <v>43556</v>
      </c>
      <c r="B1001" s="640" t="str">
        <f t="shared" ca="1" si="64"/>
        <v>11</v>
      </c>
      <c r="C1001" s="1285" t="s">
        <v>967</v>
      </c>
      <c r="D1001" s="640" t="str">
        <f t="shared" ca="1" si="65"/>
        <v>02</v>
      </c>
      <c r="E1001" s="1285" t="s">
        <v>84</v>
      </c>
      <c r="F1001" s="641" t="str">
        <f>IF(G1001="","",VLOOKUP(G1001,リスト!J$2:K$3,2,FALSE))</f>
        <v>02</v>
      </c>
      <c r="G1001" s="1285" t="s">
        <v>842</v>
      </c>
      <c r="H1001" s="1284">
        <v>0</v>
      </c>
      <c r="I1001" s="1284">
        <v>0</v>
      </c>
      <c r="J1001" s="644">
        <f t="shared" si="66"/>
        <v>0</v>
      </c>
      <c r="K1001" s="1284">
        <v>0</v>
      </c>
      <c r="L1001" s="644">
        <f t="shared" si="67"/>
        <v>0</v>
      </c>
      <c r="M1001" s="680">
        <v>0</v>
      </c>
      <c r="N1001" s="651">
        <v>0</v>
      </c>
    </row>
    <row r="1002" spans="1:14" ht="15.95" customHeight="1" x14ac:dyDescent="0.15">
      <c r="A1002" s="1286">
        <v>43556</v>
      </c>
      <c r="B1002" s="640" t="str">
        <f t="shared" ca="1" si="64"/>
        <v>12</v>
      </c>
      <c r="C1002" s="1285" t="s">
        <v>1143</v>
      </c>
      <c r="D1002" s="640" t="str">
        <f t="shared" ca="1" si="65"/>
        <v>01</v>
      </c>
      <c r="E1002" s="1285" t="s">
        <v>83</v>
      </c>
      <c r="F1002" s="641" t="str">
        <f>IF(G1002="","",VLOOKUP(G1002,リスト!J$2:K$3,2,FALSE))</f>
        <v>01</v>
      </c>
      <c r="G1002" s="1285" t="s">
        <v>841</v>
      </c>
      <c r="H1002" s="1284">
        <v>1281841</v>
      </c>
      <c r="I1002" s="1284">
        <v>0</v>
      </c>
      <c r="J1002" s="644">
        <f t="shared" si="66"/>
        <v>1281841</v>
      </c>
      <c r="K1002" s="1284">
        <v>0</v>
      </c>
      <c r="L1002" s="644">
        <f t="shared" si="67"/>
        <v>1281841</v>
      </c>
      <c r="M1002" s="680">
        <v>10519</v>
      </c>
      <c r="N1002" s="651">
        <v>0</v>
      </c>
    </row>
    <row r="1003" spans="1:14" ht="15.95" customHeight="1" x14ac:dyDescent="0.15">
      <c r="A1003" s="1286">
        <v>43556</v>
      </c>
      <c r="B1003" s="640" t="str">
        <f t="shared" ca="1" si="64"/>
        <v>12</v>
      </c>
      <c r="C1003" s="1285" t="s">
        <v>1143</v>
      </c>
      <c r="D1003" s="640" t="str">
        <f t="shared" ca="1" si="65"/>
        <v>02</v>
      </c>
      <c r="E1003" s="1285" t="s">
        <v>84</v>
      </c>
      <c r="F1003" s="641" t="str">
        <f>IF(G1003="","",VLOOKUP(G1003,リスト!J$2:K$3,2,FALSE))</f>
        <v>01</v>
      </c>
      <c r="G1003" s="1285" t="s">
        <v>841</v>
      </c>
      <c r="H1003" s="1284">
        <v>517678</v>
      </c>
      <c r="I1003" s="1284">
        <v>0</v>
      </c>
      <c r="J1003" s="644">
        <f t="shared" si="66"/>
        <v>517678</v>
      </c>
      <c r="K1003" s="1284">
        <v>0</v>
      </c>
      <c r="L1003" s="644">
        <f t="shared" si="67"/>
        <v>517678</v>
      </c>
      <c r="M1003" s="680">
        <v>31021</v>
      </c>
      <c r="N1003" s="651">
        <v>0</v>
      </c>
    </row>
    <row r="1004" spans="1:14" ht="15.95" customHeight="1" x14ac:dyDescent="0.15">
      <c r="A1004" s="1286">
        <v>43556</v>
      </c>
      <c r="B1004" s="640" t="str">
        <f t="shared" ca="1" si="64"/>
        <v>12</v>
      </c>
      <c r="C1004" s="1285" t="s">
        <v>1143</v>
      </c>
      <c r="D1004" s="640" t="str">
        <f t="shared" ca="1" si="65"/>
        <v>01</v>
      </c>
      <c r="E1004" s="1285" t="s">
        <v>83</v>
      </c>
      <c r="F1004" s="641" t="str">
        <f>IF(G1004="","",VLOOKUP(G1004,リスト!J$2:K$3,2,FALSE))</f>
        <v>02</v>
      </c>
      <c r="G1004" s="1285" t="s">
        <v>842</v>
      </c>
      <c r="H1004" s="1284">
        <v>43017</v>
      </c>
      <c r="I1004" s="1284">
        <v>0</v>
      </c>
      <c r="J1004" s="644">
        <f t="shared" si="66"/>
        <v>43017</v>
      </c>
      <c r="K1004" s="1284">
        <v>0</v>
      </c>
      <c r="L1004" s="644">
        <f t="shared" si="67"/>
        <v>43017</v>
      </c>
      <c r="M1004" s="680">
        <v>0</v>
      </c>
      <c r="N1004" s="651">
        <v>0</v>
      </c>
    </row>
    <row r="1005" spans="1:14" ht="15.95" customHeight="1" x14ac:dyDescent="0.15">
      <c r="A1005" s="1286">
        <v>43556</v>
      </c>
      <c r="B1005" s="640" t="str">
        <f t="shared" ca="1" si="64"/>
        <v>12</v>
      </c>
      <c r="C1005" s="1285" t="s">
        <v>1143</v>
      </c>
      <c r="D1005" s="640" t="str">
        <f t="shared" ca="1" si="65"/>
        <v>02</v>
      </c>
      <c r="E1005" s="1285" t="s">
        <v>84</v>
      </c>
      <c r="F1005" s="641" t="str">
        <f>IF(G1005="","",VLOOKUP(G1005,リスト!J$2:K$3,2,FALSE))</f>
        <v>02</v>
      </c>
      <c r="G1005" s="1285" t="s">
        <v>842</v>
      </c>
      <c r="H1005" s="1284">
        <v>0</v>
      </c>
      <c r="I1005" s="1284">
        <v>0</v>
      </c>
      <c r="J1005" s="644">
        <f t="shared" si="66"/>
        <v>0</v>
      </c>
      <c r="K1005" s="1284">
        <v>0</v>
      </c>
      <c r="L1005" s="644">
        <f t="shared" si="67"/>
        <v>0</v>
      </c>
      <c r="M1005" s="680">
        <v>0</v>
      </c>
      <c r="N1005" s="651">
        <v>0</v>
      </c>
    </row>
    <row r="1006" spans="1:14" ht="15.95" customHeight="1" x14ac:dyDescent="0.15">
      <c r="A1006" s="1286">
        <v>43556</v>
      </c>
      <c r="B1006" s="640" t="str">
        <f t="shared" ca="1" si="64"/>
        <v>04</v>
      </c>
      <c r="C1006" s="1285" t="s">
        <v>358</v>
      </c>
      <c r="D1006" s="640" t="str">
        <f t="shared" ca="1" si="65"/>
        <v>04</v>
      </c>
      <c r="E1006" s="1285" t="s">
        <v>542</v>
      </c>
      <c r="F1006" s="641" t="str">
        <f>IF(G1006="","",VLOOKUP(G1006,リスト!J$2:K$3,2,FALSE))</f>
        <v>01</v>
      </c>
      <c r="G1006" s="1285" t="s">
        <v>841</v>
      </c>
      <c r="H1006" s="1284">
        <v>4062911</v>
      </c>
      <c r="I1006" s="1284">
        <v>0</v>
      </c>
      <c r="J1006" s="644">
        <f t="shared" si="66"/>
        <v>4062911</v>
      </c>
      <c r="K1006" s="1284">
        <v>0</v>
      </c>
      <c r="L1006" s="644">
        <f t="shared" si="67"/>
        <v>4062911</v>
      </c>
      <c r="M1006" s="680">
        <v>0</v>
      </c>
      <c r="N1006" s="651">
        <v>0</v>
      </c>
    </row>
    <row r="1007" spans="1:14" ht="15.95" customHeight="1" x14ac:dyDescent="0.15">
      <c r="A1007" s="1286">
        <v>43556</v>
      </c>
      <c r="B1007" s="640" t="str">
        <f t="shared" ca="1" si="64"/>
        <v>04</v>
      </c>
      <c r="C1007" s="1285" t="s">
        <v>358</v>
      </c>
      <c r="D1007" s="640" t="str">
        <f t="shared" ca="1" si="65"/>
        <v>04</v>
      </c>
      <c r="E1007" s="1285" t="s">
        <v>542</v>
      </c>
      <c r="F1007" s="641" t="str">
        <f>IF(G1007="","",VLOOKUP(G1007,リスト!J$2:K$3,2,FALSE))</f>
        <v>02</v>
      </c>
      <c r="G1007" s="1285" t="s">
        <v>842</v>
      </c>
      <c r="H1007" s="1284">
        <v>66064</v>
      </c>
      <c r="I1007" s="1284">
        <v>0</v>
      </c>
      <c r="J1007" s="644">
        <f t="shared" si="66"/>
        <v>66064</v>
      </c>
      <c r="K1007" s="1284">
        <v>0</v>
      </c>
      <c r="L1007" s="644">
        <f t="shared" si="67"/>
        <v>66064</v>
      </c>
      <c r="M1007" s="680">
        <v>0</v>
      </c>
      <c r="N1007" s="651">
        <v>0</v>
      </c>
    </row>
    <row r="1008" spans="1:14" ht="15.95" customHeight="1" x14ac:dyDescent="0.15">
      <c r="A1008" s="1286">
        <v>43556</v>
      </c>
      <c r="B1008" s="640" t="str">
        <f t="shared" ca="1" si="64"/>
        <v>05</v>
      </c>
      <c r="C1008" s="1285" t="s">
        <v>38</v>
      </c>
      <c r="D1008" s="640" t="str">
        <f t="shared" ca="1" si="65"/>
        <v>01</v>
      </c>
      <c r="E1008" s="1285" t="s">
        <v>83</v>
      </c>
      <c r="F1008" s="641" t="str">
        <f>IF(G1008="","",VLOOKUP(G1008,リスト!J$2:K$3,2,FALSE))</f>
        <v>01</v>
      </c>
      <c r="G1008" s="1285" t="s">
        <v>841</v>
      </c>
      <c r="H1008" s="1284">
        <v>1684049</v>
      </c>
      <c r="I1008" s="1284">
        <v>0</v>
      </c>
      <c r="J1008" s="644">
        <f t="shared" si="66"/>
        <v>1684049</v>
      </c>
      <c r="K1008" s="1284">
        <v>0</v>
      </c>
      <c r="L1008" s="644">
        <f t="shared" si="67"/>
        <v>1684049</v>
      </c>
      <c r="M1008" s="680">
        <v>0</v>
      </c>
      <c r="N1008" s="651">
        <v>0</v>
      </c>
    </row>
    <row r="1009" spans="1:14" ht="15.95" customHeight="1" x14ac:dyDescent="0.15">
      <c r="A1009" s="1286">
        <v>43556</v>
      </c>
      <c r="B1009" s="640" t="str">
        <f t="shared" ca="1" si="64"/>
        <v>05</v>
      </c>
      <c r="C1009" s="1285" t="s">
        <v>38</v>
      </c>
      <c r="D1009" s="640" t="str">
        <f t="shared" ca="1" si="65"/>
        <v>01</v>
      </c>
      <c r="E1009" s="1285" t="s">
        <v>83</v>
      </c>
      <c r="F1009" s="641" t="str">
        <f>IF(G1009="","",VLOOKUP(G1009,リスト!J$2:K$3,2,FALSE))</f>
        <v>02</v>
      </c>
      <c r="G1009" s="1285" t="s">
        <v>842</v>
      </c>
      <c r="H1009" s="1284">
        <v>0</v>
      </c>
      <c r="I1009" s="1284">
        <v>0</v>
      </c>
      <c r="J1009" s="644">
        <f t="shared" si="66"/>
        <v>0</v>
      </c>
      <c r="K1009" s="1284">
        <v>0</v>
      </c>
      <c r="L1009" s="644">
        <f t="shared" si="67"/>
        <v>0</v>
      </c>
      <c r="M1009" s="680">
        <v>0</v>
      </c>
      <c r="N1009" s="651">
        <v>0</v>
      </c>
    </row>
    <row r="1010" spans="1:14" ht="15.95" customHeight="1" x14ac:dyDescent="0.15">
      <c r="A1010" s="1286">
        <v>43556</v>
      </c>
      <c r="B1010" s="640" t="str">
        <f t="shared" ca="1" si="64"/>
        <v>07</v>
      </c>
      <c r="C1010" s="1285" t="s">
        <v>119</v>
      </c>
      <c r="D1010" s="640" t="str">
        <f t="shared" ca="1" si="65"/>
        <v>05</v>
      </c>
      <c r="E1010" s="1285" t="s">
        <v>543</v>
      </c>
      <c r="F1010" s="641" t="str">
        <f>IF(G1010="","",VLOOKUP(G1010,リスト!J$2:K$3,2,FALSE))</f>
        <v>01</v>
      </c>
      <c r="G1010" s="1285" t="s">
        <v>841</v>
      </c>
      <c r="H1010" s="1284">
        <v>1025725</v>
      </c>
      <c r="I1010" s="1284">
        <v>0</v>
      </c>
      <c r="J1010" s="644">
        <f t="shared" si="66"/>
        <v>1025725</v>
      </c>
      <c r="K1010" s="1284">
        <v>0</v>
      </c>
      <c r="L1010" s="644">
        <f t="shared" si="67"/>
        <v>1025725</v>
      </c>
      <c r="M1010" s="680">
        <v>0</v>
      </c>
      <c r="N1010" s="651">
        <v>0</v>
      </c>
    </row>
    <row r="1011" spans="1:14" ht="15.95" customHeight="1" x14ac:dyDescent="0.15">
      <c r="A1011" s="1286">
        <v>43556</v>
      </c>
      <c r="B1011" s="640" t="str">
        <f t="shared" ca="1" si="64"/>
        <v>07</v>
      </c>
      <c r="C1011" s="1285" t="s">
        <v>119</v>
      </c>
      <c r="D1011" s="640" t="str">
        <f t="shared" ca="1" si="65"/>
        <v>05</v>
      </c>
      <c r="E1011" s="1285" t="s">
        <v>543</v>
      </c>
      <c r="F1011" s="641" t="str">
        <f>IF(G1011="","",VLOOKUP(G1011,リスト!J$2:K$3,2,FALSE))</f>
        <v>02</v>
      </c>
      <c r="G1011" s="1285" t="s">
        <v>842</v>
      </c>
      <c r="H1011" s="1284">
        <v>0</v>
      </c>
      <c r="I1011" s="1284">
        <v>0</v>
      </c>
      <c r="J1011" s="644">
        <f t="shared" si="66"/>
        <v>0</v>
      </c>
      <c r="K1011" s="1284">
        <v>0</v>
      </c>
      <c r="L1011" s="644">
        <f t="shared" si="67"/>
        <v>0</v>
      </c>
      <c r="M1011" s="680">
        <v>0</v>
      </c>
      <c r="N1011" s="651">
        <v>0</v>
      </c>
    </row>
    <row r="1012" spans="1:14" ht="15.95" customHeight="1" x14ac:dyDescent="0.15">
      <c r="A1012" s="1286">
        <v>43556</v>
      </c>
      <c r="B1012" s="640" t="str">
        <f t="shared" ca="1" si="64"/>
        <v>08</v>
      </c>
      <c r="C1012" s="1285" t="s">
        <v>189</v>
      </c>
      <c r="D1012" s="640" t="str">
        <f t="shared" ca="1" si="65"/>
        <v>05</v>
      </c>
      <c r="E1012" s="1285" t="s">
        <v>543</v>
      </c>
      <c r="F1012" s="641" t="str">
        <f>IF(G1012="","",VLOOKUP(G1012,リスト!J$2:K$3,2,FALSE))</f>
        <v>01</v>
      </c>
      <c r="G1012" s="1285" t="s">
        <v>841</v>
      </c>
      <c r="H1012" s="1284">
        <v>746482</v>
      </c>
      <c r="I1012" s="1284">
        <v>0</v>
      </c>
      <c r="J1012" s="644">
        <f t="shared" si="66"/>
        <v>746482</v>
      </c>
      <c r="K1012" s="1284">
        <v>0</v>
      </c>
      <c r="L1012" s="644">
        <f t="shared" si="67"/>
        <v>746482</v>
      </c>
      <c r="M1012" s="680">
        <v>0</v>
      </c>
      <c r="N1012" s="651">
        <v>0</v>
      </c>
    </row>
    <row r="1013" spans="1:14" ht="15.95" customHeight="1" x14ac:dyDescent="0.15">
      <c r="A1013" s="1286">
        <v>43556</v>
      </c>
      <c r="B1013" s="640" t="str">
        <f t="shared" ca="1" si="64"/>
        <v>08</v>
      </c>
      <c r="C1013" s="1285" t="s">
        <v>189</v>
      </c>
      <c r="D1013" s="640" t="str">
        <f t="shared" ca="1" si="65"/>
        <v>05</v>
      </c>
      <c r="E1013" s="1285" t="s">
        <v>543</v>
      </c>
      <c r="F1013" s="641" t="str">
        <f>IF(G1013="","",VLOOKUP(G1013,リスト!J$2:K$3,2,FALSE))</f>
        <v>02</v>
      </c>
      <c r="G1013" s="1285" t="s">
        <v>842</v>
      </c>
      <c r="H1013" s="1284">
        <v>0</v>
      </c>
      <c r="I1013" s="1284">
        <v>0</v>
      </c>
      <c r="J1013" s="644">
        <f t="shared" si="66"/>
        <v>0</v>
      </c>
      <c r="K1013" s="1284">
        <v>0</v>
      </c>
      <c r="L1013" s="644">
        <f t="shared" si="67"/>
        <v>0</v>
      </c>
      <c r="M1013" s="680">
        <v>0</v>
      </c>
      <c r="N1013" s="651">
        <v>0</v>
      </c>
    </row>
    <row r="1014" spans="1:14" ht="15.95" customHeight="1" x14ac:dyDescent="0.15">
      <c r="A1014" s="1286">
        <v>43556</v>
      </c>
      <c r="B1014" s="640" t="str">
        <f t="shared" ca="1" si="64"/>
        <v>09</v>
      </c>
      <c r="C1014" s="1285" t="s">
        <v>329</v>
      </c>
      <c r="D1014" s="640" t="str">
        <f t="shared" ca="1" si="65"/>
        <v>05</v>
      </c>
      <c r="E1014" s="1285" t="s">
        <v>543</v>
      </c>
      <c r="F1014" s="641" t="str">
        <f>IF(G1014="","",VLOOKUP(G1014,リスト!J$2:K$3,2,FALSE))</f>
        <v>01</v>
      </c>
      <c r="G1014" s="1285" t="s">
        <v>841</v>
      </c>
      <c r="H1014" s="1284">
        <v>2032333</v>
      </c>
      <c r="I1014" s="1284">
        <v>0</v>
      </c>
      <c r="J1014" s="644">
        <f t="shared" si="66"/>
        <v>2032333</v>
      </c>
      <c r="K1014" s="1284">
        <v>0</v>
      </c>
      <c r="L1014" s="644">
        <f t="shared" si="67"/>
        <v>2032333</v>
      </c>
      <c r="M1014" s="680">
        <v>0</v>
      </c>
      <c r="N1014" s="651">
        <v>0</v>
      </c>
    </row>
    <row r="1015" spans="1:14" ht="15.95" customHeight="1" x14ac:dyDescent="0.15">
      <c r="A1015" s="1286">
        <v>43556</v>
      </c>
      <c r="B1015" s="640" t="str">
        <f t="shared" ca="1" si="64"/>
        <v>09</v>
      </c>
      <c r="C1015" s="1285" t="s">
        <v>329</v>
      </c>
      <c r="D1015" s="640" t="str">
        <f t="shared" ca="1" si="65"/>
        <v>05</v>
      </c>
      <c r="E1015" s="1285" t="s">
        <v>543</v>
      </c>
      <c r="F1015" s="641" t="str">
        <f>IF(G1015="","",VLOOKUP(G1015,リスト!J$2:K$3,2,FALSE))</f>
        <v>02</v>
      </c>
      <c r="G1015" s="1285" t="s">
        <v>842</v>
      </c>
      <c r="H1015" s="1284">
        <v>477477</v>
      </c>
      <c r="I1015" s="1284">
        <v>0</v>
      </c>
      <c r="J1015" s="644">
        <f t="shared" si="66"/>
        <v>477477</v>
      </c>
      <c r="K1015" s="1284">
        <v>0</v>
      </c>
      <c r="L1015" s="644">
        <f t="shared" si="67"/>
        <v>477477</v>
      </c>
      <c r="M1015" s="680">
        <v>0</v>
      </c>
      <c r="N1015" s="651">
        <v>0</v>
      </c>
    </row>
    <row r="1016" spans="1:14" ht="15.95" customHeight="1" x14ac:dyDescent="0.15">
      <c r="A1016" s="1286">
        <v>43556</v>
      </c>
      <c r="B1016" s="640" t="str">
        <f t="shared" ca="1" si="64"/>
        <v>13</v>
      </c>
      <c r="C1016" s="1285" t="s">
        <v>1223</v>
      </c>
      <c r="D1016" s="640" t="str">
        <f t="shared" ca="1" si="65"/>
        <v>05</v>
      </c>
      <c r="E1016" s="1285" t="s">
        <v>543</v>
      </c>
      <c r="F1016" s="641" t="str">
        <f>IF(G1016="","",VLOOKUP(G1016,リスト!J$2:K$3,2,FALSE))</f>
        <v>01</v>
      </c>
      <c r="G1016" s="1285" t="s">
        <v>841</v>
      </c>
      <c r="H1016" s="1284">
        <v>1631515</v>
      </c>
      <c r="I1016" s="1284">
        <v>0</v>
      </c>
      <c r="J1016" s="644">
        <f t="shared" si="66"/>
        <v>1631515</v>
      </c>
      <c r="K1016" s="1284">
        <v>0</v>
      </c>
      <c r="L1016" s="644">
        <f t="shared" si="67"/>
        <v>1631515</v>
      </c>
      <c r="M1016" s="680">
        <v>0</v>
      </c>
      <c r="N1016" s="651">
        <v>0</v>
      </c>
    </row>
    <row r="1017" spans="1:14" ht="15.95" customHeight="1" x14ac:dyDescent="0.15">
      <c r="A1017" s="1286">
        <v>43556</v>
      </c>
      <c r="B1017" s="640" t="str">
        <f t="shared" ca="1" si="64"/>
        <v>13</v>
      </c>
      <c r="C1017" s="1285" t="s">
        <v>1223</v>
      </c>
      <c r="D1017" s="640" t="str">
        <f t="shared" ca="1" si="65"/>
        <v>05</v>
      </c>
      <c r="E1017" s="1285" t="s">
        <v>543</v>
      </c>
      <c r="F1017" s="641" t="str">
        <f>IF(G1017="","",VLOOKUP(G1017,リスト!J$2:K$3,2,FALSE))</f>
        <v>02</v>
      </c>
      <c r="G1017" s="1285" t="s">
        <v>842</v>
      </c>
      <c r="H1017" s="1284">
        <v>235817</v>
      </c>
      <c r="I1017" s="1284">
        <v>0</v>
      </c>
      <c r="J1017" s="644">
        <f t="shared" si="66"/>
        <v>235817</v>
      </c>
      <c r="K1017" s="1284">
        <v>0</v>
      </c>
      <c r="L1017" s="644">
        <f t="shared" si="67"/>
        <v>235817</v>
      </c>
      <c r="M1017" s="680">
        <v>0</v>
      </c>
      <c r="N1017" s="651">
        <v>0</v>
      </c>
    </row>
    <row r="1018" spans="1:14" ht="15.95" customHeight="1" x14ac:dyDescent="0.15">
      <c r="A1018" s="1286"/>
      <c r="B1018" s="640" t="str">
        <f t="shared" si="64"/>
        <v/>
      </c>
      <c r="C1018" s="1285"/>
      <c r="D1018" s="640" t="str">
        <f t="shared" si="65"/>
        <v/>
      </c>
      <c r="E1018" s="1285"/>
      <c r="F1018" s="641" t="str">
        <f>IF(G1018="","",VLOOKUP(G1018,リスト!J$2:K$3,2,FALSE))</f>
        <v/>
      </c>
      <c r="G1018" s="1285"/>
      <c r="H1018" s="1284"/>
      <c r="I1018" s="1284"/>
      <c r="J1018" s="644" t="str">
        <f t="shared" si="66"/>
        <v/>
      </c>
      <c r="K1018" s="1284"/>
      <c r="L1018" s="644" t="str">
        <f t="shared" si="67"/>
        <v/>
      </c>
      <c r="M1018" s="680"/>
      <c r="N1018" s="651"/>
    </row>
    <row r="1019" spans="1:14" ht="15.95" customHeight="1" x14ac:dyDescent="0.15">
      <c r="A1019" s="1286"/>
      <c r="B1019" s="640" t="str">
        <f t="shared" si="64"/>
        <v/>
      </c>
      <c r="C1019" s="1285"/>
      <c r="D1019" s="640" t="str">
        <f t="shared" si="65"/>
        <v/>
      </c>
      <c r="E1019" s="1285"/>
      <c r="F1019" s="641" t="str">
        <f>IF(G1019="","",VLOOKUP(G1019,リスト!J$2:K$3,2,FALSE))</f>
        <v/>
      </c>
      <c r="G1019" s="1285"/>
      <c r="H1019" s="1284"/>
      <c r="I1019" s="1284"/>
      <c r="J1019" s="644" t="str">
        <f t="shared" si="66"/>
        <v/>
      </c>
      <c r="K1019" s="1284"/>
      <c r="L1019" s="644" t="str">
        <f t="shared" si="67"/>
        <v/>
      </c>
      <c r="M1019" s="680"/>
      <c r="N1019" s="651"/>
    </row>
    <row r="1020" spans="1:14" ht="15.95" customHeight="1" x14ac:dyDescent="0.15">
      <c r="A1020" s="1286"/>
      <c r="B1020" s="640" t="str">
        <f t="shared" si="64"/>
        <v/>
      </c>
      <c r="C1020" s="1285"/>
      <c r="D1020" s="640" t="str">
        <f t="shared" si="65"/>
        <v/>
      </c>
      <c r="E1020" s="1285"/>
      <c r="F1020" s="641" t="str">
        <f>IF(G1020="","",VLOOKUP(G1020,リスト!J$2:K$3,2,FALSE))</f>
        <v/>
      </c>
      <c r="G1020" s="1285"/>
      <c r="H1020" s="1284"/>
      <c r="I1020" s="1284"/>
      <c r="J1020" s="644" t="str">
        <f t="shared" si="66"/>
        <v/>
      </c>
      <c r="K1020" s="1284"/>
      <c r="L1020" s="644" t="str">
        <f t="shared" si="67"/>
        <v/>
      </c>
      <c r="M1020" s="680"/>
      <c r="N1020" s="651"/>
    </row>
    <row r="1021" spans="1:14" ht="15.95" customHeight="1" x14ac:dyDescent="0.15">
      <c r="A1021" s="1286"/>
      <c r="B1021" s="640" t="str">
        <f t="shared" si="64"/>
        <v/>
      </c>
      <c r="C1021" s="1285"/>
      <c r="D1021" s="640" t="str">
        <f t="shared" si="65"/>
        <v/>
      </c>
      <c r="E1021" s="1285"/>
      <c r="F1021" s="641" t="str">
        <f>IF(G1021="","",VLOOKUP(G1021,リスト!J$2:K$3,2,FALSE))</f>
        <v/>
      </c>
      <c r="G1021" s="1285"/>
      <c r="H1021" s="1284"/>
      <c r="I1021" s="1284"/>
      <c r="J1021" s="644" t="str">
        <f t="shared" si="66"/>
        <v/>
      </c>
      <c r="K1021" s="1284"/>
      <c r="L1021" s="644" t="str">
        <f t="shared" si="67"/>
        <v/>
      </c>
      <c r="M1021" s="680"/>
      <c r="N1021" s="651"/>
    </row>
    <row r="1022" spans="1:14" ht="15.95" customHeight="1" x14ac:dyDescent="0.15">
      <c r="A1022" s="1286"/>
      <c r="B1022" s="640" t="str">
        <f t="shared" si="64"/>
        <v/>
      </c>
      <c r="C1022" s="1285"/>
      <c r="D1022" s="640" t="str">
        <f t="shared" si="65"/>
        <v/>
      </c>
      <c r="E1022" s="1285"/>
      <c r="F1022" s="641" t="str">
        <f>IF(G1022="","",VLOOKUP(G1022,リスト!J$2:K$3,2,FALSE))</f>
        <v/>
      </c>
      <c r="G1022" s="1285"/>
      <c r="H1022" s="1284"/>
      <c r="I1022" s="1284"/>
      <c r="J1022" s="644" t="str">
        <f t="shared" si="66"/>
        <v/>
      </c>
      <c r="K1022" s="1284"/>
      <c r="L1022" s="644" t="str">
        <f t="shared" si="67"/>
        <v/>
      </c>
      <c r="M1022" s="680"/>
      <c r="N1022" s="651"/>
    </row>
    <row r="1023" spans="1:14" ht="15.95" customHeight="1" x14ac:dyDescent="0.15">
      <c r="A1023" s="1286"/>
      <c r="B1023" s="640" t="str">
        <f t="shared" si="64"/>
        <v/>
      </c>
      <c r="C1023" s="1285"/>
      <c r="D1023" s="640" t="str">
        <f t="shared" si="65"/>
        <v/>
      </c>
      <c r="E1023" s="1285"/>
      <c r="F1023" s="641" t="str">
        <f>IF(G1023="","",VLOOKUP(G1023,リスト!J$2:K$3,2,FALSE))</f>
        <v/>
      </c>
      <c r="G1023" s="1285"/>
      <c r="H1023" s="1284"/>
      <c r="I1023" s="1284"/>
      <c r="J1023" s="644" t="str">
        <f t="shared" si="66"/>
        <v/>
      </c>
      <c r="K1023" s="1284"/>
      <c r="L1023" s="644" t="str">
        <f t="shared" si="67"/>
        <v/>
      </c>
      <c r="M1023" s="680"/>
      <c r="N1023" s="651"/>
    </row>
    <row r="1024" spans="1:14" ht="15.95" customHeight="1" x14ac:dyDescent="0.15">
      <c r="A1024" s="1286"/>
      <c r="B1024" s="640" t="str">
        <f t="shared" si="64"/>
        <v/>
      </c>
      <c r="C1024" s="1285"/>
      <c r="D1024" s="640" t="str">
        <f t="shared" si="65"/>
        <v/>
      </c>
      <c r="E1024" s="1285"/>
      <c r="F1024" s="641" t="str">
        <f>IF(G1024="","",VLOOKUP(G1024,リスト!J$2:K$3,2,FALSE))</f>
        <v/>
      </c>
      <c r="G1024" s="1285"/>
      <c r="H1024" s="1284"/>
      <c r="I1024" s="1284"/>
      <c r="J1024" s="644" t="str">
        <f t="shared" si="66"/>
        <v/>
      </c>
      <c r="K1024" s="1284"/>
      <c r="L1024" s="644" t="str">
        <f t="shared" si="67"/>
        <v/>
      </c>
      <c r="M1024" s="680"/>
      <c r="N1024" s="651"/>
    </row>
    <row r="1025" spans="1:14" ht="15.95" customHeight="1" x14ac:dyDescent="0.15">
      <c r="A1025" s="1286"/>
      <c r="B1025" s="640" t="str">
        <f t="shared" si="64"/>
        <v/>
      </c>
      <c r="C1025" s="1285"/>
      <c r="D1025" s="640" t="str">
        <f t="shared" si="65"/>
        <v/>
      </c>
      <c r="E1025" s="1285"/>
      <c r="F1025" s="641" t="str">
        <f>IF(G1025="","",VLOOKUP(G1025,リスト!J$2:K$3,2,FALSE))</f>
        <v/>
      </c>
      <c r="G1025" s="1285"/>
      <c r="H1025" s="1284"/>
      <c r="I1025" s="1284"/>
      <c r="J1025" s="644" t="str">
        <f t="shared" si="66"/>
        <v/>
      </c>
      <c r="K1025" s="1284"/>
      <c r="L1025" s="644" t="str">
        <f t="shared" si="67"/>
        <v/>
      </c>
      <c r="M1025" s="680"/>
      <c r="N1025" s="651"/>
    </row>
    <row r="1026" spans="1:14" ht="15.95" customHeight="1" x14ac:dyDescent="0.15">
      <c r="A1026" s="1286"/>
      <c r="B1026" s="640" t="str">
        <f t="shared" si="64"/>
        <v/>
      </c>
      <c r="C1026" s="1285"/>
      <c r="D1026" s="640" t="str">
        <f t="shared" si="65"/>
        <v/>
      </c>
      <c r="E1026" s="1285"/>
      <c r="F1026" s="641" t="str">
        <f>IF(G1026="","",VLOOKUP(G1026,リスト!J$2:K$3,2,FALSE))</f>
        <v/>
      </c>
      <c r="G1026" s="1285"/>
      <c r="H1026" s="1284"/>
      <c r="I1026" s="1284"/>
      <c r="J1026" s="644" t="str">
        <f t="shared" si="66"/>
        <v/>
      </c>
      <c r="K1026" s="1284"/>
      <c r="L1026" s="644" t="str">
        <f t="shared" si="67"/>
        <v/>
      </c>
      <c r="M1026" s="680"/>
      <c r="N1026" s="651"/>
    </row>
    <row r="1027" spans="1:14" ht="15.95" customHeight="1" x14ac:dyDescent="0.15">
      <c r="A1027" s="1286"/>
      <c r="B1027" s="640" t="str">
        <f t="shared" si="64"/>
        <v/>
      </c>
      <c r="C1027" s="1285"/>
      <c r="D1027" s="640" t="str">
        <f t="shared" si="65"/>
        <v/>
      </c>
      <c r="E1027" s="1285"/>
      <c r="F1027" s="641" t="str">
        <f>IF(G1027="","",VLOOKUP(G1027,リスト!J$2:K$3,2,FALSE))</f>
        <v/>
      </c>
      <c r="G1027" s="1285"/>
      <c r="H1027" s="1284"/>
      <c r="I1027" s="1284"/>
      <c r="J1027" s="644" t="str">
        <f t="shared" si="66"/>
        <v/>
      </c>
      <c r="K1027" s="1284"/>
      <c r="L1027" s="644" t="str">
        <f t="shared" si="67"/>
        <v/>
      </c>
      <c r="M1027" s="680"/>
      <c r="N1027" s="651"/>
    </row>
    <row r="1028" spans="1:14" ht="15.95" customHeight="1" x14ac:dyDescent="0.15">
      <c r="A1028" s="1286"/>
      <c r="B1028" s="640" t="str">
        <f t="shared" si="64"/>
        <v/>
      </c>
      <c r="C1028" s="1285"/>
      <c r="D1028" s="640" t="str">
        <f t="shared" si="65"/>
        <v/>
      </c>
      <c r="E1028" s="1285"/>
      <c r="F1028" s="641" t="str">
        <f>IF(G1028="","",VLOOKUP(G1028,リスト!J$2:K$3,2,FALSE))</f>
        <v/>
      </c>
      <c r="G1028" s="1285"/>
      <c r="H1028" s="1284"/>
      <c r="I1028" s="1284"/>
      <c r="J1028" s="644" t="str">
        <f t="shared" si="66"/>
        <v/>
      </c>
      <c r="K1028" s="1284"/>
      <c r="L1028" s="644" t="str">
        <f t="shared" si="67"/>
        <v/>
      </c>
      <c r="M1028" s="680"/>
      <c r="N1028" s="651"/>
    </row>
    <row r="1029" spans="1:14" ht="15.95" customHeight="1" x14ac:dyDescent="0.15">
      <c r="A1029" s="1286"/>
      <c r="B1029" s="640" t="str">
        <f t="shared" si="64"/>
        <v/>
      </c>
      <c r="C1029" s="1285"/>
      <c r="D1029" s="640" t="str">
        <f t="shared" si="65"/>
        <v/>
      </c>
      <c r="E1029" s="1285"/>
      <c r="F1029" s="641" t="str">
        <f>IF(G1029="","",VLOOKUP(G1029,リスト!J$2:K$3,2,FALSE))</f>
        <v/>
      </c>
      <c r="G1029" s="1285"/>
      <c r="H1029" s="1284"/>
      <c r="I1029" s="1284"/>
      <c r="J1029" s="644" t="str">
        <f t="shared" si="66"/>
        <v/>
      </c>
      <c r="K1029" s="1284"/>
      <c r="L1029" s="644" t="str">
        <f t="shared" si="67"/>
        <v/>
      </c>
      <c r="M1029" s="680"/>
      <c r="N1029" s="651"/>
    </row>
    <row r="1030" spans="1:14" ht="15.95" customHeight="1" x14ac:dyDescent="0.15">
      <c r="A1030" s="1286"/>
      <c r="B1030" s="640" t="str">
        <f t="shared" si="64"/>
        <v/>
      </c>
      <c r="C1030" s="1285"/>
      <c r="D1030" s="640" t="str">
        <f t="shared" si="65"/>
        <v/>
      </c>
      <c r="E1030" s="1285"/>
      <c r="F1030" s="641" t="str">
        <f>IF(G1030="","",VLOOKUP(G1030,リスト!J$2:K$3,2,FALSE))</f>
        <v/>
      </c>
      <c r="G1030" s="1285"/>
      <c r="H1030" s="1284"/>
      <c r="I1030" s="1284"/>
      <c r="J1030" s="644" t="str">
        <f t="shared" si="66"/>
        <v/>
      </c>
      <c r="K1030" s="1284"/>
      <c r="L1030" s="644" t="str">
        <f t="shared" si="67"/>
        <v/>
      </c>
      <c r="M1030" s="680"/>
      <c r="N1030" s="651"/>
    </row>
    <row r="1031" spans="1:14" ht="15.95" customHeight="1" x14ac:dyDescent="0.15">
      <c r="A1031" s="1286"/>
      <c r="B1031" s="640" t="str">
        <f t="shared" si="64"/>
        <v/>
      </c>
      <c r="C1031" s="1285"/>
      <c r="D1031" s="640" t="str">
        <f t="shared" si="65"/>
        <v/>
      </c>
      <c r="E1031" s="1285"/>
      <c r="F1031" s="641" t="str">
        <f>IF(G1031="","",VLOOKUP(G1031,リスト!J$2:K$3,2,FALSE))</f>
        <v/>
      </c>
      <c r="G1031" s="1285"/>
      <c r="H1031" s="1284"/>
      <c r="I1031" s="1284"/>
      <c r="J1031" s="644" t="str">
        <f t="shared" si="66"/>
        <v/>
      </c>
      <c r="K1031" s="1284"/>
      <c r="L1031" s="644" t="str">
        <f t="shared" si="67"/>
        <v/>
      </c>
      <c r="M1031" s="680"/>
      <c r="N1031" s="651"/>
    </row>
    <row r="1032" spans="1:14" ht="15.95" customHeight="1" x14ac:dyDescent="0.15">
      <c r="A1032" s="1286"/>
      <c r="B1032" s="640" t="str">
        <f t="shared" si="64"/>
        <v/>
      </c>
      <c r="C1032" s="1285"/>
      <c r="D1032" s="640" t="str">
        <f t="shared" si="65"/>
        <v/>
      </c>
      <c r="E1032" s="1285"/>
      <c r="F1032" s="641" t="str">
        <f>IF(G1032="","",VLOOKUP(G1032,リスト!J$2:K$3,2,FALSE))</f>
        <v/>
      </c>
      <c r="G1032" s="1285"/>
      <c r="H1032" s="1284"/>
      <c r="I1032" s="1284"/>
      <c r="J1032" s="644" t="str">
        <f t="shared" si="66"/>
        <v/>
      </c>
      <c r="K1032" s="1284"/>
      <c r="L1032" s="644" t="str">
        <f t="shared" si="67"/>
        <v/>
      </c>
      <c r="M1032" s="680"/>
      <c r="N1032" s="651"/>
    </row>
    <row r="1033" spans="1:14" ht="15.95" customHeight="1" x14ac:dyDescent="0.15">
      <c r="A1033" s="1286"/>
      <c r="B1033" s="640" t="str">
        <f t="shared" si="64"/>
        <v/>
      </c>
      <c r="C1033" s="1285"/>
      <c r="D1033" s="640" t="str">
        <f t="shared" si="65"/>
        <v/>
      </c>
      <c r="E1033" s="1285"/>
      <c r="F1033" s="641" t="str">
        <f>IF(G1033="","",VLOOKUP(G1033,リスト!J$2:K$3,2,FALSE))</f>
        <v/>
      </c>
      <c r="G1033" s="1285"/>
      <c r="H1033" s="1284"/>
      <c r="I1033" s="1284"/>
      <c r="J1033" s="644" t="str">
        <f t="shared" si="66"/>
        <v/>
      </c>
      <c r="K1033" s="1284"/>
      <c r="L1033" s="644" t="str">
        <f t="shared" si="67"/>
        <v/>
      </c>
      <c r="M1033" s="680"/>
      <c r="N1033" s="651"/>
    </row>
    <row r="1034" spans="1:14" ht="15.95" customHeight="1" x14ac:dyDescent="0.15">
      <c r="A1034" s="1286"/>
      <c r="B1034" s="640" t="str">
        <f t="shared" si="64"/>
        <v/>
      </c>
      <c r="C1034" s="1285"/>
      <c r="D1034" s="640" t="str">
        <f t="shared" si="65"/>
        <v/>
      </c>
      <c r="E1034" s="1285"/>
      <c r="F1034" s="641" t="str">
        <f>IF(G1034="","",VLOOKUP(G1034,リスト!J$2:K$3,2,FALSE))</f>
        <v/>
      </c>
      <c r="G1034" s="1285"/>
      <c r="H1034" s="1284"/>
      <c r="I1034" s="1284"/>
      <c r="J1034" s="644" t="str">
        <f t="shared" si="66"/>
        <v/>
      </c>
      <c r="K1034" s="1284"/>
      <c r="L1034" s="644" t="str">
        <f t="shared" si="67"/>
        <v/>
      </c>
      <c r="M1034" s="680"/>
      <c r="N1034" s="651"/>
    </row>
    <row r="1035" spans="1:14" ht="15.95" customHeight="1" x14ac:dyDescent="0.15">
      <c r="A1035" s="1286"/>
      <c r="B1035" s="640" t="str">
        <f t="shared" si="64"/>
        <v/>
      </c>
      <c r="C1035" s="1285"/>
      <c r="D1035" s="640" t="str">
        <f t="shared" si="65"/>
        <v/>
      </c>
      <c r="E1035" s="1285"/>
      <c r="F1035" s="641" t="str">
        <f>IF(G1035="","",VLOOKUP(G1035,リスト!J$2:K$3,2,FALSE))</f>
        <v/>
      </c>
      <c r="G1035" s="1285"/>
      <c r="H1035" s="1284"/>
      <c r="I1035" s="1284"/>
      <c r="J1035" s="644" t="str">
        <f t="shared" si="66"/>
        <v/>
      </c>
      <c r="K1035" s="1284"/>
      <c r="L1035" s="644" t="str">
        <f t="shared" si="67"/>
        <v/>
      </c>
      <c r="M1035" s="680"/>
      <c r="N1035" s="651"/>
    </row>
    <row r="1036" spans="1:14" ht="15.95" customHeight="1" x14ac:dyDescent="0.15">
      <c r="A1036" s="1286"/>
      <c r="B1036" s="640" t="str">
        <f t="shared" si="64"/>
        <v/>
      </c>
      <c r="C1036" s="1285"/>
      <c r="D1036" s="640" t="str">
        <f t="shared" si="65"/>
        <v/>
      </c>
      <c r="E1036" s="1285"/>
      <c r="F1036" s="641" t="str">
        <f>IF(G1036="","",VLOOKUP(G1036,リスト!J$2:K$3,2,FALSE))</f>
        <v/>
      </c>
      <c r="G1036" s="1285"/>
      <c r="H1036" s="1284"/>
      <c r="I1036" s="1284"/>
      <c r="J1036" s="644" t="str">
        <f t="shared" si="66"/>
        <v/>
      </c>
      <c r="K1036" s="1284"/>
      <c r="L1036" s="644" t="str">
        <f t="shared" si="67"/>
        <v/>
      </c>
      <c r="M1036" s="680"/>
      <c r="N1036" s="651"/>
    </row>
    <row r="1037" spans="1:14" ht="15.95" customHeight="1" x14ac:dyDescent="0.15">
      <c r="A1037" s="1286"/>
      <c r="B1037" s="640" t="str">
        <f t="shared" si="64"/>
        <v/>
      </c>
      <c r="C1037" s="1285"/>
      <c r="D1037" s="640" t="str">
        <f t="shared" si="65"/>
        <v/>
      </c>
      <c r="E1037" s="1285"/>
      <c r="F1037" s="641" t="str">
        <f>IF(G1037="","",VLOOKUP(G1037,リスト!J$2:K$3,2,FALSE))</f>
        <v/>
      </c>
      <c r="G1037" s="1285"/>
      <c r="H1037" s="1284"/>
      <c r="I1037" s="1284"/>
      <c r="J1037" s="644" t="str">
        <f t="shared" si="66"/>
        <v/>
      </c>
      <c r="K1037" s="1284"/>
      <c r="L1037" s="644" t="str">
        <f t="shared" si="67"/>
        <v/>
      </c>
      <c r="M1037" s="680"/>
      <c r="N1037" s="651"/>
    </row>
    <row r="1038" spans="1:14" ht="15.95" customHeight="1" x14ac:dyDescent="0.15">
      <c r="A1038" s="1286"/>
      <c r="B1038" s="640" t="str">
        <f t="shared" si="64"/>
        <v/>
      </c>
      <c r="C1038" s="1285"/>
      <c r="D1038" s="640" t="str">
        <f t="shared" si="65"/>
        <v/>
      </c>
      <c r="E1038" s="1285"/>
      <c r="F1038" s="641" t="str">
        <f>IF(G1038="","",VLOOKUP(G1038,リスト!J$2:K$3,2,FALSE))</f>
        <v/>
      </c>
      <c r="G1038" s="1285"/>
      <c r="H1038" s="1284"/>
      <c r="I1038" s="1284"/>
      <c r="J1038" s="644" t="str">
        <f t="shared" si="66"/>
        <v/>
      </c>
      <c r="K1038" s="1284"/>
      <c r="L1038" s="644" t="str">
        <f t="shared" si="67"/>
        <v/>
      </c>
      <c r="M1038" s="680"/>
      <c r="N1038" s="651"/>
    </row>
    <row r="1039" spans="1:14" ht="15.95" customHeight="1" x14ac:dyDescent="0.15">
      <c r="A1039" s="1286"/>
      <c r="B1039" s="640" t="str">
        <f t="shared" si="64"/>
        <v/>
      </c>
      <c r="C1039" s="1285"/>
      <c r="D1039" s="640" t="str">
        <f t="shared" si="65"/>
        <v/>
      </c>
      <c r="E1039" s="1285"/>
      <c r="F1039" s="641" t="str">
        <f>IF(G1039="","",VLOOKUP(G1039,リスト!J$2:K$3,2,FALSE))</f>
        <v/>
      </c>
      <c r="G1039" s="1285"/>
      <c r="H1039" s="1284"/>
      <c r="I1039" s="1284"/>
      <c r="J1039" s="644" t="str">
        <f t="shared" si="66"/>
        <v/>
      </c>
      <c r="K1039" s="1284"/>
      <c r="L1039" s="644" t="str">
        <f t="shared" si="67"/>
        <v/>
      </c>
      <c r="M1039" s="680"/>
      <c r="N1039" s="651"/>
    </row>
    <row r="1040" spans="1:14" ht="15.95" customHeight="1" x14ac:dyDescent="0.15">
      <c r="A1040" s="1286"/>
      <c r="B1040" s="640" t="str">
        <f t="shared" si="64"/>
        <v/>
      </c>
      <c r="C1040" s="1285"/>
      <c r="D1040" s="640" t="str">
        <f t="shared" si="65"/>
        <v/>
      </c>
      <c r="E1040" s="1285"/>
      <c r="F1040" s="641" t="str">
        <f>IF(G1040="","",VLOOKUP(G1040,リスト!J$2:K$3,2,FALSE))</f>
        <v/>
      </c>
      <c r="G1040" s="1285"/>
      <c r="H1040" s="1284"/>
      <c r="I1040" s="1284"/>
      <c r="J1040" s="644" t="str">
        <f t="shared" si="66"/>
        <v/>
      </c>
      <c r="K1040" s="1284"/>
      <c r="L1040" s="644" t="str">
        <f t="shared" si="67"/>
        <v/>
      </c>
      <c r="M1040" s="680"/>
      <c r="N1040" s="651"/>
    </row>
    <row r="1041" spans="1:14" ht="15.95" customHeight="1" x14ac:dyDescent="0.15">
      <c r="A1041" s="1286"/>
      <c r="B1041" s="640" t="str">
        <f t="shared" si="64"/>
        <v/>
      </c>
      <c r="C1041" s="1285"/>
      <c r="D1041" s="640" t="str">
        <f t="shared" si="65"/>
        <v/>
      </c>
      <c r="E1041" s="1285"/>
      <c r="F1041" s="641" t="str">
        <f>IF(G1041="","",VLOOKUP(G1041,リスト!J$2:K$3,2,FALSE))</f>
        <v/>
      </c>
      <c r="G1041" s="1285"/>
      <c r="H1041" s="1284"/>
      <c r="I1041" s="1284"/>
      <c r="J1041" s="644" t="str">
        <f t="shared" si="66"/>
        <v/>
      </c>
      <c r="K1041" s="1284"/>
      <c r="L1041" s="644" t="str">
        <f t="shared" si="67"/>
        <v/>
      </c>
      <c r="M1041" s="680"/>
      <c r="N1041" s="651"/>
    </row>
    <row r="1042" spans="1:14" ht="15.95" customHeight="1" x14ac:dyDescent="0.15">
      <c r="A1042" s="1286"/>
      <c r="B1042" s="640" t="str">
        <f t="shared" si="64"/>
        <v/>
      </c>
      <c r="C1042" s="1285"/>
      <c r="D1042" s="640" t="str">
        <f t="shared" si="65"/>
        <v/>
      </c>
      <c r="E1042" s="1285"/>
      <c r="F1042" s="641" t="str">
        <f>IF(G1042="","",VLOOKUP(G1042,リスト!J$2:K$3,2,FALSE))</f>
        <v/>
      </c>
      <c r="G1042" s="1285"/>
      <c r="H1042" s="1284"/>
      <c r="I1042" s="1284"/>
      <c r="J1042" s="644" t="str">
        <f t="shared" si="66"/>
        <v/>
      </c>
      <c r="K1042" s="1284"/>
      <c r="L1042" s="644" t="str">
        <f t="shared" si="67"/>
        <v/>
      </c>
      <c r="M1042" s="680"/>
      <c r="N1042" s="651"/>
    </row>
    <row r="1043" spans="1:14" ht="15.95" customHeight="1" x14ac:dyDescent="0.15">
      <c r="A1043" s="1286"/>
      <c r="B1043" s="640" t="str">
        <f t="shared" si="64"/>
        <v/>
      </c>
      <c r="C1043" s="1285"/>
      <c r="D1043" s="640" t="str">
        <f t="shared" si="65"/>
        <v/>
      </c>
      <c r="E1043" s="1285"/>
      <c r="F1043" s="641" t="str">
        <f>IF(G1043="","",VLOOKUP(G1043,リスト!J$2:K$3,2,FALSE))</f>
        <v/>
      </c>
      <c r="G1043" s="1285"/>
      <c r="H1043" s="1284"/>
      <c r="I1043" s="1284"/>
      <c r="J1043" s="644" t="str">
        <f t="shared" si="66"/>
        <v/>
      </c>
      <c r="K1043" s="1284"/>
      <c r="L1043" s="644" t="str">
        <f t="shared" si="67"/>
        <v/>
      </c>
      <c r="M1043" s="680"/>
      <c r="N1043" s="651"/>
    </row>
    <row r="1044" spans="1:14" ht="15.95" customHeight="1" x14ac:dyDescent="0.15">
      <c r="A1044" s="1286"/>
      <c r="B1044" s="640" t="str">
        <f t="shared" si="64"/>
        <v/>
      </c>
      <c r="C1044" s="1285"/>
      <c r="D1044" s="640" t="str">
        <f t="shared" si="65"/>
        <v/>
      </c>
      <c r="E1044" s="1285"/>
      <c r="F1044" s="641" t="str">
        <f>IF(G1044="","",VLOOKUP(G1044,リスト!J$2:K$3,2,FALSE))</f>
        <v/>
      </c>
      <c r="G1044" s="1285"/>
      <c r="H1044" s="1284"/>
      <c r="I1044" s="1284"/>
      <c r="J1044" s="644" t="str">
        <f t="shared" si="66"/>
        <v/>
      </c>
      <c r="K1044" s="1284"/>
      <c r="L1044" s="644" t="str">
        <f t="shared" si="67"/>
        <v/>
      </c>
      <c r="M1044" s="680"/>
      <c r="N1044" s="651"/>
    </row>
    <row r="1045" spans="1:14" ht="15.95" customHeight="1" x14ac:dyDescent="0.15">
      <c r="A1045" s="1286"/>
      <c r="B1045" s="640" t="str">
        <f t="shared" si="64"/>
        <v/>
      </c>
      <c r="C1045" s="1285"/>
      <c r="D1045" s="640" t="str">
        <f t="shared" si="65"/>
        <v/>
      </c>
      <c r="E1045" s="1285"/>
      <c r="F1045" s="641" t="str">
        <f>IF(G1045="","",VLOOKUP(G1045,リスト!J$2:K$3,2,FALSE))</f>
        <v/>
      </c>
      <c r="G1045" s="1285"/>
      <c r="H1045" s="1284"/>
      <c r="I1045" s="1284"/>
      <c r="J1045" s="644" t="str">
        <f t="shared" si="66"/>
        <v/>
      </c>
      <c r="K1045" s="1284"/>
      <c r="L1045" s="644" t="str">
        <f t="shared" si="67"/>
        <v/>
      </c>
      <c r="M1045" s="680"/>
      <c r="N1045" s="651"/>
    </row>
    <row r="1046" spans="1:14" ht="15.95" customHeight="1" x14ac:dyDescent="0.15">
      <c r="A1046" s="1286"/>
      <c r="B1046" s="640" t="str">
        <f t="shared" si="64"/>
        <v/>
      </c>
      <c r="C1046" s="1285"/>
      <c r="D1046" s="640" t="str">
        <f t="shared" si="65"/>
        <v/>
      </c>
      <c r="E1046" s="1285"/>
      <c r="F1046" s="641" t="str">
        <f>IF(G1046="","",VLOOKUP(G1046,リスト!J$2:K$3,2,FALSE))</f>
        <v/>
      </c>
      <c r="G1046" s="1285"/>
      <c r="H1046" s="1284"/>
      <c r="I1046" s="1284"/>
      <c r="J1046" s="644" t="str">
        <f t="shared" si="66"/>
        <v/>
      </c>
      <c r="K1046" s="1284"/>
      <c r="L1046" s="644" t="str">
        <f t="shared" si="67"/>
        <v/>
      </c>
      <c r="M1046" s="680"/>
      <c r="N1046" s="651"/>
    </row>
    <row r="1047" spans="1:14" ht="15.95" customHeight="1" x14ac:dyDescent="0.15">
      <c r="A1047" s="1286"/>
      <c r="B1047" s="640" t="str">
        <f t="shared" si="64"/>
        <v/>
      </c>
      <c r="C1047" s="1285"/>
      <c r="D1047" s="640" t="str">
        <f t="shared" si="65"/>
        <v/>
      </c>
      <c r="E1047" s="1285"/>
      <c r="F1047" s="641" t="str">
        <f>IF(G1047="","",VLOOKUP(G1047,リスト!J$2:K$3,2,FALSE))</f>
        <v/>
      </c>
      <c r="G1047" s="1285"/>
      <c r="H1047" s="1284"/>
      <c r="I1047" s="1284"/>
      <c r="J1047" s="644" t="str">
        <f t="shared" si="66"/>
        <v/>
      </c>
      <c r="K1047" s="1284"/>
      <c r="L1047" s="644" t="str">
        <f t="shared" si="67"/>
        <v/>
      </c>
      <c r="M1047" s="680"/>
      <c r="N1047" s="651"/>
    </row>
    <row r="1048" spans="1:14" ht="15.95" customHeight="1" x14ac:dyDescent="0.15">
      <c r="A1048" s="1286"/>
      <c r="B1048" s="640" t="str">
        <f t="shared" si="64"/>
        <v/>
      </c>
      <c r="C1048" s="1285"/>
      <c r="D1048" s="640" t="str">
        <f t="shared" si="65"/>
        <v/>
      </c>
      <c r="E1048" s="1285"/>
      <c r="F1048" s="641" t="str">
        <f>IF(G1048="","",VLOOKUP(G1048,リスト!J$2:K$3,2,FALSE))</f>
        <v/>
      </c>
      <c r="G1048" s="1285"/>
      <c r="H1048" s="1284"/>
      <c r="I1048" s="1284"/>
      <c r="J1048" s="644" t="str">
        <f t="shared" si="66"/>
        <v/>
      </c>
      <c r="K1048" s="1284"/>
      <c r="L1048" s="644" t="str">
        <f t="shared" si="67"/>
        <v/>
      </c>
      <c r="M1048" s="680"/>
      <c r="N1048" s="651"/>
    </row>
    <row r="1049" spans="1:14" ht="15.95" customHeight="1" x14ac:dyDescent="0.15">
      <c r="A1049" s="1286"/>
      <c r="B1049" s="640" t="str">
        <f t="shared" si="64"/>
        <v/>
      </c>
      <c r="C1049" s="1285"/>
      <c r="D1049" s="640" t="str">
        <f t="shared" si="65"/>
        <v/>
      </c>
      <c r="E1049" s="1285"/>
      <c r="F1049" s="641" t="str">
        <f>IF(G1049="","",VLOOKUP(G1049,リスト!J$2:K$3,2,FALSE))</f>
        <v/>
      </c>
      <c r="G1049" s="1285"/>
      <c r="H1049" s="1284"/>
      <c r="I1049" s="1284"/>
      <c r="J1049" s="644" t="str">
        <f t="shared" si="66"/>
        <v/>
      </c>
      <c r="K1049" s="1284"/>
      <c r="L1049" s="644" t="str">
        <f t="shared" si="67"/>
        <v/>
      </c>
      <c r="M1049" s="680"/>
      <c r="N1049" s="651"/>
    </row>
    <row r="1050" spans="1:14" ht="15.95" customHeight="1" x14ac:dyDescent="0.15">
      <c r="A1050" s="1286"/>
      <c r="B1050" s="640" t="str">
        <f t="shared" si="64"/>
        <v/>
      </c>
      <c r="C1050" s="1285"/>
      <c r="D1050" s="640" t="str">
        <f t="shared" si="65"/>
        <v/>
      </c>
      <c r="E1050" s="1285"/>
      <c r="F1050" s="641" t="str">
        <f>IF(G1050="","",VLOOKUP(G1050,リスト!J$2:K$3,2,FALSE))</f>
        <v/>
      </c>
      <c r="G1050" s="1285"/>
      <c r="H1050" s="1284"/>
      <c r="I1050" s="1284"/>
      <c r="J1050" s="644" t="str">
        <f t="shared" si="66"/>
        <v/>
      </c>
      <c r="K1050" s="1284"/>
      <c r="L1050" s="644" t="str">
        <f t="shared" si="67"/>
        <v/>
      </c>
      <c r="M1050" s="680"/>
      <c r="N1050" s="651"/>
    </row>
    <row r="1051" spans="1:14" ht="15.95" customHeight="1" x14ac:dyDescent="0.15">
      <c r="A1051" s="1286"/>
      <c r="B1051" s="640" t="str">
        <f t="shared" si="64"/>
        <v/>
      </c>
      <c r="C1051" s="1285"/>
      <c r="D1051" s="640" t="str">
        <f t="shared" si="65"/>
        <v/>
      </c>
      <c r="E1051" s="1285"/>
      <c r="F1051" s="641" t="str">
        <f>IF(G1051="","",VLOOKUP(G1051,リスト!J$2:K$3,2,FALSE))</f>
        <v/>
      </c>
      <c r="G1051" s="1285"/>
      <c r="H1051" s="1284"/>
      <c r="I1051" s="1284"/>
      <c r="J1051" s="644" t="str">
        <f t="shared" si="66"/>
        <v/>
      </c>
      <c r="K1051" s="1284"/>
      <c r="L1051" s="644" t="str">
        <f t="shared" si="67"/>
        <v/>
      </c>
      <c r="M1051" s="680"/>
      <c r="N1051" s="651"/>
    </row>
    <row r="1052" spans="1:14" ht="15.95" customHeight="1" x14ac:dyDescent="0.15">
      <c r="A1052" s="1286"/>
      <c r="B1052" s="640" t="str">
        <f t="shared" si="64"/>
        <v/>
      </c>
      <c r="C1052" s="1285"/>
      <c r="D1052" s="640" t="str">
        <f t="shared" si="65"/>
        <v/>
      </c>
      <c r="E1052" s="1285"/>
      <c r="F1052" s="641" t="str">
        <f>IF(G1052="","",VLOOKUP(G1052,リスト!J$2:K$3,2,FALSE))</f>
        <v/>
      </c>
      <c r="G1052" s="1285"/>
      <c r="H1052" s="1284"/>
      <c r="I1052" s="1284"/>
      <c r="J1052" s="644" t="str">
        <f t="shared" si="66"/>
        <v/>
      </c>
      <c r="K1052" s="1284"/>
      <c r="L1052" s="644" t="str">
        <f t="shared" si="67"/>
        <v/>
      </c>
      <c r="M1052" s="680"/>
      <c r="N1052" s="651"/>
    </row>
    <row r="1053" spans="1:14" ht="15.95" customHeight="1" x14ac:dyDescent="0.15">
      <c r="A1053" s="1286"/>
      <c r="B1053" s="640" t="str">
        <f t="shared" ref="B1053:B1116" si="68">IF(C1053="","",VLOOKUP(C1053,事業所コード2,2,FALSE))</f>
        <v/>
      </c>
      <c r="C1053" s="1285"/>
      <c r="D1053" s="640" t="str">
        <f t="shared" ref="D1053:D1116" si="69">IF(E1053="","",VLOOKUP(E1053,事業区分コード2,2,FALSE))</f>
        <v/>
      </c>
      <c r="E1053" s="1285"/>
      <c r="F1053" s="641" t="str">
        <f>IF(G1053="","",VLOOKUP(G1053,リスト!J$2:K$3,2,FALSE))</f>
        <v/>
      </c>
      <c r="G1053" s="1285"/>
      <c r="H1053" s="1284"/>
      <c r="I1053" s="1284"/>
      <c r="J1053" s="644" t="str">
        <f t="shared" ref="J1053:J1116" si="70">IF(A1053="","",H1053+I1053)</f>
        <v/>
      </c>
      <c r="K1053" s="1284"/>
      <c r="L1053" s="644" t="str">
        <f t="shared" ref="L1053:L1116" si="71">IF(A1053="","",J1053-K1053)</f>
        <v/>
      </c>
      <c r="M1053" s="680"/>
      <c r="N1053" s="651"/>
    </row>
    <row r="1054" spans="1:14" ht="15.95" customHeight="1" x14ac:dyDescent="0.15">
      <c r="A1054" s="1286"/>
      <c r="B1054" s="640" t="str">
        <f t="shared" si="68"/>
        <v/>
      </c>
      <c r="C1054" s="1285"/>
      <c r="D1054" s="640" t="str">
        <f t="shared" si="69"/>
        <v/>
      </c>
      <c r="E1054" s="1285"/>
      <c r="F1054" s="641" t="str">
        <f>IF(G1054="","",VLOOKUP(G1054,リスト!J$2:K$3,2,FALSE))</f>
        <v/>
      </c>
      <c r="G1054" s="1285"/>
      <c r="H1054" s="1284"/>
      <c r="I1054" s="1284"/>
      <c r="J1054" s="644" t="str">
        <f t="shared" si="70"/>
        <v/>
      </c>
      <c r="K1054" s="1284"/>
      <c r="L1054" s="644" t="str">
        <f t="shared" si="71"/>
        <v/>
      </c>
      <c r="M1054" s="680"/>
      <c r="N1054" s="651"/>
    </row>
    <row r="1055" spans="1:14" ht="15.95" customHeight="1" x14ac:dyDescent="0.15">
      <c r="A1055" s="1286"/>
      <c r="B1055" s="640" t="str">
        <f t="shared" si="68"/>
        <v/>
      </c>
      <c r="C1055" s="1285"/>
      <c r="D1055" s="640" t="str">
        <f t="shared" si="69"/>
        <v/>
      </c>
      <c r="E1055" s="1285"/>
      <c r="F1055" s="641" t="str">
        <f>IF(G1055="","",VLOOKUP(G1055,リスト!J$2:K$3,2,FALSE))</f>
        <v/>
      </c>
      <c r="G1055" s="1285"/>
      <c r="H1055" s="1284"/>
      <c r="I1055" s="1284"/>
      <c r="J1055" s="644" t="str">
        <f t="shared" si="70"/>
        <v/>
      </c>
      <c r="K1055" s="1284"/>
      <c r="L1055" s="644" t="str">
        <f t="shared" si="71"/>
        <v/>
      </c>
      <c r="M1055" s="680"/>
      <c r="N1055" s="651"/>
    </row>
    <row r="1056" spans="1:14" ht="15.95" customHeight="1" x14ac:dyDescent="0.15">
      <c r="A1056" s="1286"/>
      <c r="B1056" s="640" t="str">
        <f t="shared" si="68"/>
        <v/>
      </c>
      <c r="C1056" s="1285"/>
      <c r="D1056" s="640" t="str">
        <f t="shared" si="69"/>
        <v/>
      </c>
      <c r="E1056" s="1285"/>
      <c r="F1056" s="641" t="str">
        <f>IF(G1056="","",VLOOKUP(G1056,リスト!J$2:K$3,2,FALSE))</f>
        <v/>
      </c>
      <c r="G1056" s="1285"/>
      <c r="H1056" s="1284"/>
      <c r="I1056" s="1284"/>
      <c r="J1056" s="644" t="str">
        <f t="shared" si="70"/>
        <v/>
      </c>
      <c r="K1056" s="1284"/>
      <c r="L1056" s="644" t="str">
        <f t="shared" si="71"/>
        <v/>
      </c>
      <c r="M1056" s="680"/>
      <c r="N1056" s="651"/>
    </row>
    <row r="1057" spans="1:14" ht="15.95" customHeight="1" x14ac:dyDescent="0.15">
      <c r="A1057" s="1286"/>
      <c r="B1057" s="640" t="str">
        <f t="shared" si="68"/>
        <v/>
      </c>
      <c r="C1057" s="1285"/>
      <c r="D1057" s="640" t="str">
        <f t="shared" si="69"/>
        <v/>
      </c>
      <c r="E1057" s="1285"/>
      <c r="F1057" s="641" t="str">
        <f>IF(G1057="","",VLOOKUP(G1057,リスト!J$2:K$3,2,FALSE))</f>
        <v/>
      </c>
      <c r="G1057" s="1285"/>
      <c r="H1057" s="1284"/>
      <c r="I1057" s="1284"/>
      <c r="J1057" s="644" t="str">
        <f t="shared" si="70"/>
        <v/>
      </c>
      <c r="K1057" s="1284"/>
      <c r="L1057" s="644" t="str">
        <f t="shared" si="71"/>
        <v/>
      </c>
      <c r="M1057" s="680"/>
      <c r="N1057" s="651"/>
    </row>
    <row r="1058" spans="1:14" ht="15.95" customHeight="1" x14ac:dyDescent="0.15">
      <c r="A1058" s="1286"/>
      <c r="B1058" s="640" t="str">
        <f t="shared" si="68"/>
        <v/>
      </c>
      <c r="C1058" s="1285"/>
      <c r="D1058" s="640" t="str">
        <f t="shared" si="69"/>
        <v/>
      </c>
      <c r="E1058" s="1285"/>
      <c r="F1058" s="641" t="str">
        <f>IF(G1058="","",VLOOKUP(G1058,リスト!J$2:K$3,2,FALSE))</f>
        <v/>
      </c>
      <c r="G1058" s="1285"/>
      <c r="H1058" s="1284"/>
      <c r="I1058" s="1284"/>
      <c r="J1058" s="644" t="str">
        <f t="shared" si="70"/>
        <v/>
      </c>
      <c r="K1058" s="1284"/>
      <c r="L1058" s="644" t="str">
        <f t="shared" si="71"/>
        <v/>
      </c>
      <c r="M1058" s="680"/>
      <c r="N1058" s="651"/>
    </row>
    <row r="1059" spans="1:14" ht="15.95" customHeight="1" x14ac:dyDescent="0.15">
      <c r="A1059" s="1286"/>
      <c r="B1059" s="640" t="str">
        <f t="shared" si="68"/>
        <v/>
      </c>
      <c r="C1059" s="1285"/>
      <c r="D1059" s="640" t="str">
        <f t="shared" si="69"/>
        <v/>
      </c>
      <c r="E1059" s="1285"/>
      <c r="F1059" s="641" t="str">
        <f>IF(G1059="","",VLOOKUP(G1059,リスト!J$2:K$3,2,FALSE))</f>
        <v/>
      </c>
      <c r="G1059" s="1285"/>
      <c r="H1059" s="1284"/>
      <c r="I1059" s="1284"/>
      <c r="J1059" s="644" t="str">
        <f t="shared" si="70"/>
        <v/>
      </c>
      <c r="K1059" s="1284"/>
      <c r="L1059" s="644" t="str">
        <f t="shared" si="71"/>
        <v/>
      </c>
      <c r="M1059" s="680"/>
      <c r="N1059" s="651"/>
    </row>
    <row r="1060" spans="1:14" ht="15.95" customHeight="1" x14ac:dyDescent="0.15">
      <c r="A1060" s="1286"/>
      <c r="B1060" s="640" t="str">
        <f t="shared" si="68"/>
        <v/>
      </c>
      <c r="C1060" s="1285"/>
      <c r="D1060" s="640" t="str">
        <f t="shared" si="69"/>
        <v/>
      </c>
      <c r="E1060" s="1285"/>
      <c r="F1060" s="641" t="str">
        <f>IF(G1060="","",VLOOKUP(G1060,リスト!J$2:K$3,2,FALSE))</f>
        <v/>
      </c>
      <c r="G1060" s="1285"/>
      <c r="H1060" s="1284"/>
      <c r="I1060" s="1284"/>
      <c r="J1060" s="644" t="str">
        <f t="shared" si="70"/>
        <v/>
      </c>
      <c r="K1060" s="1284"/>
      <c r="L1060" s="644" t="str">
        <f t="shared" si="71"/>
        <v/>
      </c>
      <c r="M1060" s="680"/>
      <c r="N1060" s="651"/>
    </row>
    <row r="1061" spans="1:14" ht="15.95" customHeight="1" x14ac:dyDescent="0.15">
      <c r="A1061" s="1286"/>
      <c r="B1061" s="640" t="str">
        <f t="shared" si="68"/>
        <v/>
      </c>
      <c r="C1061" s="1285"/>
      <c r="D1061" s="640" t="str">
        <f t="shared" si="69"/>
        <v/>
      </c>
      <c r="E1061" s="1285"/>
      <c r="F1061" s="641" t="str">
        <f>IF(G1061="","",VLOOKUP(G1061,リスト!J$2:K$3,2,FALSE))</f>
        <v/>
      </c>
      <c r="G1061" s="1285"/>
      <c r="H1061" s="1284"/>
      <c r="I1061" s="1284"/>
      <c r="J1061" s="644" t="str">
        <f t="shared" si="70"/>
        <v/>
      </c>
      <c r="K1061" s="1284"/>
      <c r="L1061" s="644" t="str">
        <f t="shared" si="71"/>
        <v/>
      </c>
      <c r="M1061" s="680"/>
      <c r="N1061" s="651"/>
    </row>
    <row r="1062" spans="1:14" ht="15.95" customHeight="1" x14ac:dyDescent="0.15">
      <c r="A1062" s="1286"/>
      <c r="B1062" s="640" t="str">
        <f t="shared" si="68"/>
        <v/>
      </c>
      <c r="C1062" s="1285"/>
      <c r="D1062" s="640" t="str">
        <f t="shared" si="69"/>
        <v/>
      </c>
      <c r="E1062" s="1285"/>
      <c r="F1062" s="641" t="str">
        <f>IF(G1062="","",VLOOKUP(G1062,リスト!J$2:K$3,2,FALSE))</f>
        <v/>
      </c>
      <c r="G1062" s="1285"/>
      <c r="H1062" s="1284"/>
      <c r="I1062" s="1284"/>
      <c r="J1062" s="644" t="str">
        <f t="shared" si="70"/>
        <v/>
      </c>
      <c r="K1062" s="1284"/>
      <c r="L1062" s="644" t="str">
        <f t="shared" si="71"/>
        <v/>
      </c>
      <c r="M1062" s="680"/>
      <c r="N1062" s="651"/>
    </row>
    <row r="1063" spans="1:14" ht="15.95" customHeight="1" x14ac:dyDescent="0.15">
      <c r="A1063" s="1286"/>
      <c r="B1063" s="640" t="str">
        <f t="shared" si="68"/>
        <v/>
      </c>
      <c r="C1063" s="1285"/>
      <c r="D1063" s="640" t="str">
        <f t="shared" si="69"/>
        <v/>
      </c>
      <c r="E1063" s="1285"/>
      <c r="F1063" s="641" t="str">
        <f>IF(G1063="","",VLOOKUP(G1063,リスト!J$2:K$3,2,FALSE))</f>
        <v/>
      </c>
      <c r="G1063" s="1285"/>
      <c r="H1063" s="1284"/>
      <c r="I1063" s="1284"/>
      <c r="J1063" s="644" t="str">
        <f t="shared" si="70"/>
        <v/>
      </c>
      <c r="K1063" s="1284"/>
      <c r="L1063" s="644" t="str">
        <f t="shared" si="71"/>
        <v/>
      </c>
      <c r="M1063" s="680"/>
      <c r="N1063" s="651"/>
    </row>
    <row r="1064" spans="1:14" ht="15.95" customHeight="1" x14ac:dyDescent="0.15">
      <c r="A1064" s="1286"/>
      <c r="B1064" s="640" t="str">
        <f t="shared" si="68"/>
        <v/>
      </c>
      <c r="C1064" s="1285"/>
      <c r="D1064" s="640" t="str">
        <f t="shared" si="69"/>
        <v/>
      </c>
      <c r="E1064" s="1285"/>
      <c r="F1064" s="641" t="str">
        <f>IF(G1064="","",VLOOKUP(G1064,リスト!J$2:K$3,2,FALSE))</f>
        <v/>
      </c>
      <c r="G1064" s="1285"/>
      <c r="H1064" s="1284"/>
      <c r="I1064" s="1284"/>
      <c r="J1064" s="644" t="str">
        <f t="shared" si="70"/>
        <v/>
      </c>
      <c r="K1064" s="1284"/>
      <c r="L1064" s="644" t="str">
        <f t="shared" si="71"/>
        <v/>
      </c>
      <c r="M1064" s="680"/>
      <c r="N1064" s="651"/>
    </row>
    <row r="1065" spans="1:14" ht="15.95" customHeight="1" x14ac:dyDescent="0.15">
      <c r="A1065" s="1286"/>
      <c r="B1065" s="640" t="str">
        <f t="shared" si="68"/>
        <v/>
      </c>
      <c r="C1065" s="1285"/>
      <c r="D1065" s="640" t="str">
        <f t="shared" si="69"/>
        <v/>
      </c>
      <c r="E1065" s="1285"/>
      <c r="F1065" s="641" t="str">
        <f>IF(G1065="","",VLOOKUP(G1065,リスト!J$2:K$3,2,FALSE))</f>
        <v/>
      </c>
      <c r="G1065" s="1285"/>
      <c r="H1065" s="1284"/>
      <c r="I1065" s="1284"/>
      <c r="J1065" s="644" t="str">
        <f t="shared" si="70"/>
        <v/>
      </c>
      <c r="K1065" s="1284"/>
      <c r="L1065" s="644" t="str">
        <f t="shared" si="71"/>
        <v/>
      </c>
      <c r="M1065" s="680"/>
      <c r="N1065" s="651"/>
    </row>
    <row r="1066" spans="1:14" ht="15.95" customHeight="1" x14ac:dyDescent="0.15">
      <c r="A1066" s="1286"/>
      <c r="B1066" s="640" t="str">
        <f t="shared" si="68"/>
        <v/>
      </c>
      <c r="C1066" s="1285"/>
      <c r="D1066" s="640" t="str">
        <f t="shared" si="69"/>
        <v/>
      </c>
      <c r="E1066" s="1285"/>
      <c r="F1066" s="641" t="str">
        <f>IF(G1066="","",VLOOKUP(G1066,リスト!J$2:K$3,2,FALSE))</f>
        <v/>
      </c>
      <c r="G1066" s="1285"/>
      <c r="H1066" s="1284"/>
      <c r="I1066" s="1284"/>
      <c r="J1066" s="644" t="str">
        <f t="shared" si="70"/>
        <v/>
      </c>
      <c r="K1066" s="1284"/>
      <c r="L1066" s="644" t="str">
        <f t="shared" si="71"/>
        <v/>
      </c>
      <c r="M1066" s="680"/>
      <c r="N1066" s="651"/>
    </row>
    <row r="1067" spans="1:14" ht="15.95" customHeight="1" x14ac:dyDescent="0.15">
      <c r="A1067" s="1286"/>
      <c r="B1067" s="640" t="str">
        <f t="shared" si="68"/>
        <v/>
      </c>
      <c r="C1067" s="1285"/>
      <c r="D1067" s="640" t="str">
        <f t="shared" si="69"/>
        <v/>
      </c>
      <c r="E1067" s="1285"/>
      <c r="F1067" s="641" t="str">
        <f>IF(G1067="","",VLOOKUP(G1067,リスト!J$2:K$3,2,FALSE))</f>
        <v/>
      </c>
      <c r="G1067" s="1285"/>
      <c r="H1067" s="1284"/>
      <c r="I1067" s="1284"/>
      <c r="J1067" s="644" t="str">
        <f t="shared" si="70"/>
        <v/>
      </c>
      <c r="K1067" s="1284"/>
      <c r="L1067" s="644" t="str">
        <f t="shared" si="71"/>
        <v/>
      </c>
      <c r="M1067" s="680"/>
      <c r="N1067" s="651"/>
    </row>
    <row r="1068" spans="1:14" ht="15.95" customHeight="1" x14ac:dyDescent="0.15">
      <c r="A1068" s="1286"/>
      <c r="B1068" s="640" t="str">
        <f t="shared" si="68"/>
        <v/>
      </c>
      <c r="C1068" s="1285"/>
      <c r="D1068" s="640" t="str">
        <f t="shared" si="69"/>
        <v/>
      </c>
      <c r="E1068" s="1285"/>
      <c r="F1068" s="641" t="str">
        <f>IF(G1068="","",VLOOKUP(G1068,リスト!J$2:K$3,2,FALSE))</f>
        <v/>
      </c>
      <c r="G1068" s="1285"/>
      <c r="H1068" s="1284"/>
      <c r="I1068" s="1284"/>
      <c r="J1068" s="644" t="str">
        <f t="shared" si="70"/>
        <v/>
      </c>
      <c r="K1068" s="1284"/>
      <c r="L1068" s="644" t="str">
        <f t="shared" si="71"/>
        <v/>
      </c>
      <c r="M1068" s="680"/>
      <c r="N1068" s="651"/>
    </row>
    <row r="1069" spans="1:14" ht="15.95" customHeight="1" x14ac:dyDescent="0.15">
      <c r="A1069" s="1286"/>
      <c r="B1069" s="640" t="str">
        <f t="shared" si="68"/>
        <v/>
      </c>
      <c r="C1069" s="1285"/>
      <c r="D1069" s="640" t="str">
        <f t="shared" si="69"/>
        <v/>
      </c>
      <c r="E1069" s="1285"/>
      <c r="F1069" s="641" t="str">
        <f>IF(G1069="","",VLOOKUP(G1069,リスト!J$2:K$3,2,FALSE))</f>
        <v/>
      </c>
      <c r="G1069" s="1285"/>
      <c r="H1069" s="1284"/>
      <c r="I1069" s="1284"/>
      <c r="J1069" s="644" t="str">
        <f t="shared" si="70"/>
        <v/>
      </c>
      <c r="K1069" s="1284"/>
      <c r="L1069" s="644" t="str">
        <f t="shared" si="71"/>
        <v/>
      </c>
      <c r="M1069" s="680"/>
      <c r="N1069" s="651"/>
    </row>
    <row r="1070" spans="1:14" ht="15.95" customHeight="1" x14ac:dyDescent="0.15">
      <c r="A1070" s="1286"/>
      <c r="B1070" s="640" t="str">
        <f t="shared" si="68"/>
        <v/>
      </c>
      <c r="C1070" s="1285"/>
      <c r="D1070" s="640" t="str">
        <f t="shared" si="69"/>
        <v/>
      </c>
      <c r="E1070" s="1285"/>
      <c r="F1070" s="641" t="str">
        <f>IF(G1070="","",VLOOKUP(G1070,リスト!J$2:K$3,2,FALSE))</f>
        <v/>
      </c>
      <c r="G1070" s="1285"/>
      <c r="H1070" s="1284"/>
      <c r="I1070" s="1284"/>
      <c r="J1070" s="644" t="str">
        <f t="shared" si="70"/>
        <v/>
      </c>
      <c r="K1070" s="1284"/>
      <c r="L1070" s="644" t="str">
        <f t="shared" si="71"/>
        <v/>
      </c>
      <c r="M1070" s="680"/>
      <c r="N1070" s="651"/>
    </row>
    <row r="1071" spans="1:14" ht="15.95" customHeight="1" x14ac:dyDescent="0.15">
      <c r="A1071" s="1286"/>
      <c r="B1071" s="640" t="str">
        <f t="shared" si="68"/>
        <v/>
      </c>
      <c r="C1071" s="1285"/>
      <c r="D1071" s="640" t="str">
        <f t="shared" si="69"/>
        <v/>
      </c>
      <c r="E1071" s="1285"/>
      <c r="F1071" s="641" t="str">
        <f>IF(G1071="","",VLOOKUP(G1071,リスト!J$2:K$3,2,FALSE))</f>
        <v/>
      </c>
      <c r="G1071" s="1285"/>
      <c r="H1071" s="1284"/>
      <c r="I1071" s="1284"/>
      <c r="J1071" s="644" t="str">
        <f t="shared" si="70"/>
        <v/>
      </c>
      <c r="K1071" s="1284"/>
      <c r="L1071" s="644" t="str">
        <f t="shared" si="71"/>
        <v/>
      </c>
      <c r="M1071" s="680"/>
      <c r="N1071" s="651"/>
    </row>
    <row r="1072" spans="1:14" ht="15.95" customHeight="1" x14ac:dyDescent="0.15">
      <c r="A1072" s="1286"/>
      <c r="B1072" s="640" t="str">
        <f t="shared" si="68"/>
        <v/>
      </c>
      <c r="C1072" s="1285"/>
      <c r="D1072" s="640" t="str">
        <f t="shared" si="69"/>
        <v/>
      </c>
      <c r="E1072" s="1285"/>
      <c r="F1072" s="641" t="str">
        <f>IF(G1072="","",VLOOKUP(G1072,リスト!J$2:K$3,2,FALSE))</f>
        <v/>
      </c>
      <c r="G1072" s="1285"/>
      <c r="H1072" s="1284"/>
      <c r="I1072" s="1284"/>
      <c r="J1072" s="644" t="str">
        <f t="shared" si="70"/>
        <v/>
      </c>
      <c r="K1072" s="1284"/>
      <c r="L1072" s="644" t="str">
        <f t="shared" si="71"/>
        <v/>
      </c>
      <c r="M1072" s="680"/>
      <c r="N1072" s="651"/>
    </row>
    <row r="1073" spans="1:14" ht="15.95" customHeight="1" x14ac:dyDescent="0.15">
      <c r="A1073" s="1286"/>
      <c r="B1073" s="640" t="str">
        <f t="shared" si="68"/>
        <v/>
      </c>
      <c r="C1073" s="1285"/>
      <c r="D1073" s="640" t="str">
        <f t="shared" si="69"/>
        <v/>
      </c>
      <c r="E1073" s="1285"/>
      <c r="F1073" s="641" t="str">
        <f>IF(G1073="","",VLOOKUP(G1073,リスト!J$2:K$3,2,FALSE))</f>
        <v/>
      </c>
      <c r="G1073" s="1285"/>
      <c r="H1073" s="1284"/>
      <c r="I1073" s="1284"/>
      <c r="J1073" s="644" t="str">
        <f t="shared" si="70"/>
        <v/>
      </c>
      <c r="K1073" s="1284"/>
      <c r="L1073" s="644" t="str">
        <f t="shared" si="71"/>
        <v/>
      </c>
      <c r="M1073" s="680"/>
      <c r="N1073" s="651"/>
    </row>
    <row r="1074" spans="1:14" ht="15.95" customHeight="1" x14ac:dyDescent="0.15">
      <c r="A1074" s="1286"/>
      <c r="B1074" s="640" t="str">
        <f t="shared" si="68"/>
        <v/>
      </c>
      <c r="C1074" s="1285"/>
      <c r="D1074" s="640" t="str">
        <f t="shared" si="69"/>
        <v/>
      </c>
      <c r="E1074" s="1285"/>
      <c r="F1074" s="641" t="str">
        <f>IF(G1074="","",VLOOKUP(G1074,リスト!J$2:K$3,2,FALSE))</f>
        <v/>
      </c>
      <c r="G1074" s="1285"/>
      <c r="H1074" s="1284"/>
      <c r="I1074" s="1284"/>
      <c r="J1074" s="644" t="str">
        <f t="shared" si="70"/>
        <v/>
      </c>
      <c r="K1074" s="1284"/>
      <c r="L1074" s="644" t="str">
        <f t="shared" si="71"/>
        <v/>
      </c>
      <c r="M1074" s="680"/>
      <c r="N1074" s="651"/>
    </row>
    <row r="1075" spans="1:14" ht="15.95" customHeight="1" x14ac:dyDescent="0.15">
      <c r="A1075" s="1286"/>
      <c r="B1075" s="640" t="str">
        <f t="shared" si="68"/>
        <v/>
      </c>
      <c r="C1075" s="1285"/>
      <c r="D1075" s="640" t="str">
        <f t="shared" si="69"/>
        <v/>
      </c>
      <c r="E1075" s="1285"/>
      <c r="F1075" s="641" t="str">
        <f>IF(G1075="","",VLOOKUP(G1075,リスト!J$2:K$3,2,FALSE))</f>
        <v/>
      </c>
      <c r="G1075" s="1285"/>
      <c r="H1075" s="1284"/>
      <c r="I1075" s="1284"/>
      <c r="J1075" s="644" t="str">
        <f t="shared" si="70"/>
        <v/>
      </c>
      <c r="K1075" s="1284"/>
      <c r="L1075" s="644" t="str">
        <f t="shared" si="71"/>
        <v/>
      </c>
      <c r="M1075" s="680"/>
      <c r="N1075" s="651"/>
    </row>
    <row r="1076" spans="1:14" ht="15.95" customHeight="1" x14ac:dyDescent="0.15">
      <c r="A1076" s="1286"/>
      <c r="B1076" s="640" t="str">
        <f t="shared" si="68"/>
        <v/>
      </c>
      <c r="C1076" s="1285"/>
      <c r="D1076" s="640" t="str">
        <f t="shared" si="69"/>
        <v/>
      </c>
      <c r="E1076" s="1285"/>
      <c r="F1076" s="641" t="str">
        <f>IF(G1076="","",VLOOKUP(G1076,リスト!J$2:K$3,2,FALSE))</f>
        <v/>
      </c>
      <c r="G1076" s="1285"/>
      <c r="H1076" s="1284"/>
      <c r="I1076" s="1284"/>
      <c r="J1076" s="644" t="str">
        <f t="shared" si="70"/>
        <v/>
      </c>
      <c r="K1076" s="1284"/>
      <c r="L1076" s="644" t="str">
        <f t="shared" si="71"/>
        <v/>
      </c>
      <c r="M1076" s="680"/>
      <c r="N1076" s="651"/>
    </row>
    <row r="1077" spans="1:14" ht="15.95" customHeight="1" x14ac:dyDescent="0.15">
      <c r="A1077" s="1286"/>
      <c r="B1077" s="640" t="str">
        <f t="shared" si="68"/>
        <v/>
      </c>
      <c r="C1077" s="1285"/>
      <c r="D1077" s="640" t="str">
        <f t="shared" si="69"/>
        <v/>
      </c>
      <c r="E1077" s="1285"/>
      <c r="F1077" s="641" t="str">
        <f>IF(G1077="","",VLOOKUP(G1077,リスト!J$2:K$3,2,FALSE))</f>
        <v/>
      </c>
      <c r="G1077" s="1285"/>
      <c r="H1077" s="1284"/>
      <c r="I1077" s="1284"/>
      <c r="J1077" s="644" t="str">
        <f t="shared" si="70"/>
        <v/>
      </c>
      <c r="K1077" s="1284"/>
      <c r="L1077" s="644" t="str">
        <f t="shared" si="71"/>
        <v/>
      </c>
      <c r="M1077" s="680"/>
      <c r="N1077" s="651"/>
    </row>
    <row r="1078" spans="1:14" ht="15.95" customHeight="1" x14ac:dyDescent="0.15">
      <c r="A1078" s="1286"/>
      <c r="B1078" s="640" t="str">
        <f t="shared" si="68"/>
        <v/>
      </c>
      <c r="C1078" s="1285"/>
      <c r="D1078" s="640" t="str">
        <f t="shared" si="69"/>
        <v/>
      </c>
      <c r="E1078" s="1285"/>
      <c r="F1078" s="641" t="str">
        <f>IF(G1078="","",VLOOKUP(G1078,リスト!J$2:K$3,2,FALSE))</f>
        <v/>
      </c>
      <c r="G1078" s="1285"/>
      <c r="H1078" s="1284"/>
      <c r="I1078" s="1284"/>
      <c r="J1078" s="644" t="str">
        <f t="shared" si="70"/>
        <v/>
      </c>
      <c r="K1078" s="1284"/>
      <c r="L1078" s="644" t="str">
        <f t="shared" si="71"/>
        <v/>
      </c>
      <c r="M1078" s="680"/>
      <c r="N1078" s="651"/>
    </row>
    <row r="1079" spans="1:14" ht="15.95" customHeight="1" x14ac:dyDescent="0.15">
      <c r="A1079" s="1286"/>
      <c r="B1079" s="640" t="str">
        <f t="shared" si="68"/>
        <v/>
      </c>
      <c r="C1079" s="1285"/>
      <c r="D1079" s="640" t="str">
        <f t="shared" si="69"/>
        <v/>
      </c>
      <c r="E1079" s="1285"/>
      <c r="F1079" s="641" t="str">
        <f>IF(G1079="","",VLOOKUP(G1079,リスト!J$2:K$3,2,FALSE))</f>
        <v/>
      </c>
      <c r="G1079" s="1285"/>
      <c r="H1079" s="1284"/>
      <c r="I1079" s="1284"/>
      <c r="J1079" s="644" t="str">
        <f t="shared" si="70"/>
        <v/>
      </c>
      <c r="K1079" s="1284"/>
      <c r="L1079" s="644" t="str">
        <f t="shared" si="71"/>
        <v/>
      </c>
      <c r="M1079" s="680"/>
      <c r="N1079" s="651"/>
    </row>
    <row r="1080" spans="1:14" ht="15.95" customHeight="1" x14ac:dyDescent="0.15">
      <c r="A1080" s="1286"/>
      <c r="B1080" s="640" t="str">
        <f t="shared" si="68"/>
        <v/>
      </c>
      <c r="C1080" s="1285"/>
      <c r="D1080" s="640" t="str">
        <f t="shared" si="69"/>
        <v/>
      </c>
      <c r="E1080" s="1285"/>
      <c r="F1080" s="641" t="str">
        <f>IF(G1080="","",VLOOKUP(G1080,リスト!J$2:K$3,2,FALSE))</f>
        <v/>
      </c>
      <c r="G1080" s="1285"/>
      <c r="H1080" s="1284"/>
      <c r="I1080" s="1284"/>
      <c r="J1080" s="644" t="str">
        <f t="shared" si="70"/>
        <v/>
      </c>
      <c r="K1080" s="1284"/>
      <c r="L1080" s="644" t="str">
        <f t="shared" si="71"/>
        <v/>
      </c>
      <c r="M1080" s="680"/>
      <c r="N1080" s="651"/>
    </row>
    <row r="1081" spans="1:14" ht="15.95" customHeight="1" x14ac:dyDescent="0.15">
      <c r="A1081" s="1286"/>
      <c r="B1081" s="640" t="str">
        <f t="shared" si="68"/>
        <v/>
      </c>
      <c r="C1081" s="1285"/>
      <c r="D1081" s="640" t="str">
        <f t="shared" si="69"/>
        <v/>
      </c>
      <c r="E1081" s="1285"/>
      <c r="F1081" s="641" t="str">
        <f>IF(G1081="","",VLOOKUP(G1081,リスト!J$2:K$3,2,FALSE))</f>
        <v/>
      </c>
      <c r="G1081" s="1285"/>
      <c r="H1081" s="1284"/>
      <c r="I1081" s="1284"/>
      <c r="J1081" s="644" t="str">
        <f t="shared" si="70"/>
        <v/>
      </c>
      <c r="K1081" s="1284"/>
      <c r="L1081" s="644" t="str">
        <f t="shared" si="71"/>
        <v/>
      </c>
      <c r="M1081" s="680"/>
      <c r="N1081" s="651"/>
    </row>
    <row r="1082" spans="1:14" ht="15.95" customHeight="1" x14ac:dyDescent="0.15">
      <c r="A1082" s="1286"/>
      <c r="B1082" s="640" t="str">
        <f t="shared" si="68"/>
        <v/>
      </c>
      <c r="C1082" s="1285"/>
      <c r="D1082" s="640" t="str">
        <f t="shared" si="69"/>
        <v/>
      </c>
      <c r="E1082" s="1285"/>
      <c r="F1082" s="641" t="str">
        <f>IF(G1082="","",VLOOKUP(G1082,リスト!J$2:K$3,2,FALSE))</f>
        <v/>
      </c>
      <c r="G1082" s="1285"/>
      <c r="H1082" s="1284"/>
      <c r="I1082" s="1284"/>
      <c r="J1082" s="644" t="str">
        <f t="shared" si="70"/>
        <v/>
      </c>
      <c r="K1082" s="1284"/>
      <c r="L1082" s="644" t="str">
        <f t="shared" si="71"/>
        <v/>
      </c>
      <c r="M1082" s="680"/>
      <c r="N1082" s="651"/>
    </row>
    <row r="1083" spans="1:14" ht="15.95" customHeight="1" x14ac:dyDescent="0.15">
      <c r="A1083" s="1286"/>
      <c r="B1083" s="640" t="str">
        <f t="shared" si="68"/>
        <v/>
      </c>
      <c r="C1083" s="1285"/>
      <c r="D1083" s="640" t="str">
        <f t="shared" si="69"/>
        <v/>
      </c>
      <c r="E1083" s="1285"/>
      <c r="F1083" s="641" t="str">
        <f>IF(G1083="","",VLOOKUP(G1083,リスト!J$2:K$3,2,FALSE))</f>
        <v/>
      </c>
      <c r="G1083" s="1285"/>
      <c r="H1083" s="1284"/>
      <c r="I1083" s="1284"/>
      <c r="J1083" s="644" t="str">
        <f t="shared" si="70"/>
        <v/>
      </c>
      <c r="K1083" s="1284"/>
      <c r="L1083" s="644" t="str">
        <f t="shared" si="71"/>
        <v/>
      </c>
      <c r="M1083" s="680"/>
      <c r="N1083" s="651"/>
    </row>
    <row r="1084" spans="1:14" ht="15.95" customHeight="1" x14ac:dyDescent="0.15">
      <c r="A1084" s="1286"/>
      <c r="B1084" s="640" t="str">
        <f t="shared" si="68"/>
        <v/>
      </c>
      <c r="C1084" s="1285"/>
      <c r="D1084" s="640" t="str">
        <f t="shared" si="69"/>
        <v/>
      </c>
      <c r="E1084" s="1285"/>
      <c r="F1084" s="641" t="str">
        <f>IF(G1084="","",VLOOKUP(G1084,リスト!J$2:K$3,2,FALSE))</f>
        <v/>
      </c>
      <c r="G1084" s="1285"/>
      <c r="H1084" s="1284"/>
      <c r="I1084" s="1284"/>
      <c r="J1084" s="644" t="str">
        <f t="shared" si="70"/>
        <v/>
      </c>
      <c r="K1084" s="1284"/>
      <c r="L1084" s="644" t="str">
        <f t="shared" si="71"/>
        <v/>
      </c>
      <c r="M1084" s="680"/>
      <c r="N1084" s="651"/>
    </row>
    <row r="1085" spans="1:14" ht="15.95" customHeight="1" x14ac:dyDescent="0.15">
      <c r="A1085" s="1286"/>
      <c r="B1085" s="640" t="str">
        <f t="shared" si="68"/>
        <v/>
      </c>
      <c r="C1085" s="1285"/>
      <c r="D1085" s="640" t="str">
        <f t="shared" si="69"/>
        <v/>
      </c>
      <c r="E1085" s="1285"/>
      <c r="F1085" s="641" t="str">
        <f>IF(G1085="","",VLOOKUP(G1085,リスト!J$2:K$3,2,FALSE))</f>
        <v/>
      </c>
      <c r="G1085" s="1285"/>
      <c r="H1085" s="1284"/>
      <c r="I1085" s="1284"/>
      <c r="J1085" s="644" t="str">
        <f t="shared" si="70"/>
        <v/>
      </c>
      <c r="K1085" s="1284"/>
      <c r="L1085" s="644" t="str">
        <f t="shared" si="71"/>
        <v/>
      </c>
      <c r="M1085" s="680"/>
      <c r="N1085" s="651"/>
    </row>
    <row r="1086" spans="1:14" ht="15.95" customHeight="1" x14ac:dyDescent="0.15">
      <c r="A1086" s="1286"/>
      <c r="B1086" s="640" t="str">
        <f t="shared" si="68"/>
        <v/>
      </c>
      <c r="C1086" s="1285"/>
      <c r="D1086" s="640" t="str">
        <f t="shared" si="69"/>
        <v/>
      </c>
      <c r="E1086" s="1285"/>
      <c r="F1086" s="641" t="str">
        <f>IF(G1086="","",VLOOKUP(G1086,リスト!J$2:K$3,2,FALSE))</f>
        <v/>
      </c>
      <c r="G1086" s="1285"/>
      <c r="H1086" s="1284"/>
      <c r="I1086" s="1284"/>
      <c r="J1086" s="644" t="str">
        <f t="shared" si="70"/>
        <v/>
      </c>
      <c r="K1086" s="1284"/>
      <c r="L1086" s="644" t="str">
        <f t="shared" si="71"/>
        <v/>
      </c>
      <c r="M1086" s="680"/>
      <c r="N1086" s="651"/>
    </row>
    <row r="1087" spans="1:14" ht="15.95" customHeight="1" x14ac:dyDescent="0.15">
      <c r="A1087" s="1286"/>
      <c r="B1087" s="640" t="str">
        <f t="shared" si="68"/>
        <v/>
      </c>
      <c r="C1087" s="1285"/>
      <c r="D1087" s="640" t="str">
        <f t="shared" si="69"/>
        <v/>
      </c>
      <c r="E1087" s="1285"/>
      <c r="F1087" s="641" t="str">
        <f>IF(G1087="","",VLOOKUP(G1087,リスト!J$2:K$3,2,FALSE))</f>
        <v/>
      </c>
      <c r="G1087" s="1285"/>
      <c r="H1087" s="1284"/>
      <c r="I1087" s="1284"/>
      <c r="J1087" s="644" t="str">
        <f t="shared" si="70"/>
        <v/>
      </c>
      <c r="K1087" s="1284"/>
      <c r="L1087" s="644" t="str">
        <f t="shared" si="71"/>
        <v/>
      </c>
      <c r="M1087" s="680"/>
      <c r="N1087" s="651"/>
    </row>
    <row r="1088" spans="1:14" ht="15.95" customHeight="1" x14ac:dyDescent="0.15">
      <c r="A1088" s="1286"/>
      <c r="B1088" s="640" t="str">
        <f t="shared" si="68"/>
        <v/>
      </c>
      <c r="C1088" s="1285"/>
      <c r="D1088" s="640" t="str">
        <f t="shared" si="69"/>
        <v/>
      </c>
      <c r="E1088" s="1285"/>
      <c r="F1088" s="641" t="str">
        <f>IF(G1088="","",VLOOKUP(G1088,リスト!J$2:K$3,2,FALSE))</f>
        <v/>
      </c>
      <c r="G1088" s="1285"/>
      <c r="H1088" s="1284"/>
      <c r="I1088" s="1284"/>
      <c r="J1088" s="644" t="str">
        <f t="shared" si="70"/>
        <v/>
      </c>
      <c r="K1088" s="1284"/>
      <c r="L1088" s="644" t="str">
        <f t="shared" si="71"/>
        <v/>
      </c>
      <c r="M1088" s="680"/>
      <c r="N1088" s="651"/>
    </row>
    <row r="1089" spans="1:14" ht="15.95" customHeight="1" x14ac:dyDescent="0.15">
      <c r="A1089" s="1286"/>
      <c r="B1089" s="640" t="str">
        <f t="shared" si="68"/>
        <v/>
      </c>
      <c r="C1089" s="1285"/>
      <c r="D1089" s="640" t="str">
        <f t="shared" si="69"/>
        <v/>
      </c>
      <c r="E1089" s="1285"/>
      <c r="F1089" s="641" t="str">
        <f>IF(G1089="","",VLOOKUP(G1089,リスト!J$2:K$3,2,FALSE))</f>
        <v/>
      </c>
      <c r="G1089" s="1285"/>
      <c r="H1089" s="1284"/>
      <c r="I1089" s="1284"/>
      <c r="J1089" s="644" t="str">
        <f t="shared" si="70"/>
        <v/>
      </c>
      <c r="K1089" s="1284"/>
      <c r="L1089" s="644" t="str">
        <f t="shared" si="71"/>
        <v/>
      </c>
      <c r="M1089" s="680"/>
      <c r="N1089" s="651"/>
    </row>
    <row r="1090" spans="1:14" ht="15.95" customHeight="1" x14ac:dyDescent="0.15">
      <c r="A1090" s="1286"/>
      <c r="B1090" s="640" t="str">
        <f t="shared" si="68"/>
        <v/>
      </c>
      <c r="C1090" s="1285"/>
      <c r="D1090" s="640" t="str">
        <f t="shared" si="69"/>
        <v/>
      </c>
      <c r="E1090" s="1285"/>
      <c r="F1090" s="641" t="str">
        <f>IF(G1090="","",VLOOKUP(G1090,リスト!J$2:K$3,2,FALSE))</f>
        <v/>
      </c>
      <c r="G1090" s="1285"/>
      <c r="H1090" s="1284"/>
      <c r="I1090" s="1284"/>
      <c r="J1090" s="644" t="str">
        <f t="shared" si="70"/>
        <v/>
      </c>
      <c r="K1090" s="1284"/>
      <c r="L1090" s="644" t="str">
        <f t="shared" si="71"/>
        <v/>
      </c>
      <c r="M1090" s="680"/>
      <c r="N1090" s="651"/>
    </row>
    <row r="1091" spans="1:14" ht="15.95" customHeight="1" x14ac:dyDescent="0.15">
      <c r="A1091" s="1286"/>
      <c r="B1091" s="640" t="str">
        <f t="shared" si="68"/>
        <v/>
      </c>
      <c r="C1091" s="1285"/>
      <c r="D1091" s="640" t="str">
        <f t="shared" si="69"/>
        <v/>
      </c>
      <c r="E1091" s="1285"/>
      <c r="F1091" s="641" t="str">
        <f>IF(G1091="","",VLOOKUP(G1091,リスト!J$2:K$3,2,FALSE))</f>
        <v/>
      </c>
      <c r="G1091" s="1285"/>
      <c r="H1091" s="1284"/>
      <c r="I1091" s="1284"/>
      <c r="J1091" s="644" t="str">
        <f t="shared" si="70"/>
        <v/>
      </c>
      <c r="K1091" s="1284"/>
      <c r="L1091" s="644" t="str">
        <f t="shared" si="71"/>
        <v/>
      </c>
      <c r="M1091" s="680"/>
      <c r="N1091" s="651"/>
    </row>
    <row r="1092" spans="1:14" ht="15.95" customHeight="1" x14ac:dyDescent="0.15">
      <c r="A1092" s="1286"/>
      <c r="B1092" s="640" t="str">
        <f t="shared" si="68"/>
        <v/>
      </c>
      <c r="C1092" s="1285"/>
      <c r="D1092" s="640" t="str">
        <f t="shared" si="69"/>
        <v/>
      </c>
      <c r="E1092" s="1285"/>
      <c r="F1092" s="641" t="str">
        <f>IF(G1092="","",VLOOKUP(G1092,リスト!J$2:K$3,2,FALSE))</f>
        <v/>
      </c>
      <c r="G1092" s="1285"/>
      <c r="H1092" s="1284"/>
      <c r="I1092" s="1284"/>
      <c r="J1092" s="644" t="str">
        <f t="shared" si="70"/>
        <v/>
      </c>
      <c r="K1092" s="1284"/>
      <c r="L1092" s="644" t="str">
        <f t="shared" si="71"/>
        <v/>
      </c>
      <c r="M1092" s="680"/>
      <c r="N1092" s="651"/>
    </row>
    <row r="1093" spans="1:14" ht="15.95" customHeight="1" x14ac:dyDescent="0.15">
      <c r="A1093" s="1286"/>
      <c r="B1093" s="640" t="str">
        <f t="shared" si="68"/>
        <v/>
      </c>
      <c r="C1093" s="1285"/>
      <c r="D1093" s="640" t="str">
        <f t="shared" si="69"/>
        <v/>
      </c>
      <c r="E1093" s="1285"/>
      <c r="F1093" s="641" t="str">
        <f>IF(G1093="","",VLOOKUP(G1093,リスト!J$2:K$3,2,FALSE))</f>
        <v/>
      </c>
      <c r="G1093" s="1285"/>
      <c r="H1093" s="1284"/>
      <c r="I1093" s="1284"/>
      <c r="J1093" s="644" t="str">
        <f t="shared" si="70"/>
        <v/>
      </c>
      <c r="K1093" s="1284"/>
      <c r="L1093" s="644" t="str">
        <f t="shared" si="71"/>
        <v/>
      </c>
      <c r="M1093" s="680"/>
      <c r="N1093" s="651"/>
    </row>
    <row r="1094" spans="1:14" ht="15.95" customHeight="1" x14ac:dyDescent="0.15">
      <c r="A1094" s="1286"/>
      <c r="B1094" s="640" t="str">
        <f t="shared" si="68"/>
        <v/>
      </c>
      <c r="C1094" s="1285"/>
      <c r="D1094" s="640" t="str">
        <f t="shared" si="69"/>
        <v/>
      </c>
      <c r="E1094" s="1285"/>
      <c r="F1094" s="641" t="str">
        <f>IF(G1094="","",VLOOKUP(G1094,リスト!J$2:K$3,2,FALSE))</f>
        <v/>
      </c>
      <c r="G1094" s="1285"/>
      <c r="H1094" s="1284"/>
      <c r="I1094" s="1284"/>
      <c r="J1094" s="644" t="str">
        <f t="shared" si="70"/>
        <v/>
      </c>
      <c r="K1094" s="1284"/>
      <c r="L1094" s="644" t="str">
        <f t="shared" si="71"/>
        <v/>
      </c>
      <c r="M1094" s="680"/>
      <c r="N1094" s="651"/>
    </row>
    <row r="1095" spans="1:14" ht="15.95" customHeight="1" x14ac:dyDescent="0.15">
      <c r="A1095" s="1286"/>
      <c r="B1095" s="640" t="str">
        <f t="shared" si="68"/>
        <v/>
      </c>
      <c r="C1095" s="1285"/>
      <c r="D1095" s="640" t="str">
        <f t="shared" si="69"/>
        <v/>
      </c>
      <c r="E1095" s="1285"/>
      <c r="F1095" s="641" t="str">
        <f>IF(G1095="","",VLOOKUP(G1095,リスト!J$2:K$3,2,FALSE))</f>
        <v/>
      </c>
      <c r="G1095" s="1285"/>
      <c r="H1095" s="1284"/>
      <c r="I1095" s="1284"/>
      <c r="J1095" s="644" t="str">
        <f t="shared" si="70"/>
        <v/>
      </c>
      <c r="K1095" s="1284"/>
      <c r="L1095" s="644" t="str">
        <f t="shared" si="71"/>
        <v/>
      </c>
      <c r="M1095" s="680"/>
      <c r="N1095" s="651"/>
    </row>
    <row r="1096" spans="1:14" ht="15.95" customHeight="1" x14ac:dyDescent="0.15">
      <c r="A1096" s="1286"/>
      <c r="B1096" s="640" t="str">
        <f t="shared" si="68"/>
        <v/>
      </c>
      <c r="C1096" s="1285"/>
      <c r="D1096" s="640" t="str">
        <f t="shared" si="69"/>
        <v/>
      </c>
      <c r="E1096" s="1285"/>
      <c r="F1096" s="641" t="str">
        <f>IF(G1096="","",VLOOKUP(G1096,リスト!J$2:K$3,2,FALSE))</f>
        <v/>
      </c>
      <c r="G1096" s="1285"/>
      <c r="H1096" s="1284"/>
      <c r="I1096" s="1284"/>
      <c r="J1096" s="644" t="str">
        <f t="shared" si="70"/>
        <v/>
      </c>
      <c r="K1096" s="1284"/>
      <c r="L1096" s="644" t="str">
        <f t="shared" si="71"/>
        <v/>
      </c>
      <c r="M1096" s="680"/>
      <c r="N1096" s="651"/>
    </row>
    <row r="1097" spans="1:14" ht="15.95" customHeight="1" x14ac:dyDescent="0.15">
      <c r="A1097" s="1286"/>
      <c r="B1097" s="640" t="str">
        <f t="shared" si="68"/>
        <v/>
      </c>
      <c r="C1097" s="1285"/>
      <c r="D1097" s="640" t="str">
        <f t="shared" si="69"/>
        <v/>
      </c>
      <c r="E1097" s="1285"/>
      <c r="F1097" s="641" t="str">
        <f>IF(G1097="","",VLOOKUP(G1097,リスト!J$2:K$3,2,FALSE))</f>
        <v/>
      </c>
      <c r="G1097" s="1285"/>
      <c r="H1097" s="1284"/>
      <c r="I1097" s="1284"/>
      <c r="J1097" s="644" t="str">
        <f t="shared" si="70"/>
        <v/>
      </c>
      <c r="K1097" s="1284"/>
      <c r="L1097" s="644" t="str">
        <f t="shared" si="71"/>
        <v/>
      </c>
      <c r="M1097" s="680"/>
      <c r="N1097" s="651"/>
    </row>
    <row r="1098" spans="1:14" ht="15.95" customHeight="1" x14ac:dyDescent="0.15">
      <c r="A1098" s="1286"/>
      <c r="B1098" s="640" t="str">
        <f t="shared" si="68"/>
        <v/>
      </c>
      <c r="C1098" s="1285"/>
      <c r="D1098" s="640" t="str">
        <f t="shared" si="69"/>
        <v/>
      </c>
      <c r="E1098" s="1285"/>
      <c r="F1098" s="641" t="str">
        <f>IF(G1098="","",VLOOKUP(G1098,リスト!J$2:K$3,2,FALSE))</f>
        <v/>
      </c>
      <c r="G1098" s="1285"/>
      <c r="H1098" s="1284"/>
      <c r="I1098" s="1284"/>
      <c r="J1098" s="644" t="str">
        <f t="shared" si="70"/>
        <v/>
      </c>
      <c r="K1098" s="1284"/>
      <c r="L1098" s="644" t="str">
        <f t="shared" si="71"/>
        <v/>
      </c>
      <c r="M1098" s="680"/>
      <c r="N1098" s="651"/>
    </row>
    <row r="1099" spans="1:14" ht="15.95" customHeight="1" x14ac:dyDescent="0.15">
      <c r="A1099" s="1286"/>
      <c r="B1099" s="640" t="str">
        <f t="shared" si="68"/>
        <v/>
      </c>
      <c r="C1099" s="1285"/>
      <c r="D1099" s="640" t="str">
        <f t="shared" si="69"/>
        <v/>
      </c>
      <c r="E1099" s="1285"/>
      <c r="F1099" s="641" t="str">
        <f>IF(G1099="","",VLOOKUP(G1099,リスト!J$2:K$3,2,FALSE))</f>
        <v/>
      </c>
      <c r="G1099" s="1285"/>
      <c r="H1099" s="1284"/>
      <c r="I1099" s="1284"/>
      <c r="J1099" s="644" t="str">
        <f t="shared" si="70"/>
        <v/>
      </c>
      <c r="K1099" s="1284"/>
      <c r="L1099" s="644" t="str">
        <f t="shared" si="71"/>
        <v/>
      </c>
      <c r="M1099" s="680"/>
      <c r="N1099" s="651"/>
    </row>
    <row r="1100" spans="1:14" ht="15.95" customHeight="1" x14ac:dyDescent="0.15">
      <c r="A1100" s="1286"/>
      <c r="B1100" s="640" t="str">
        <f t="shared" si="68"/>
        <v/>
      </c>
      <c r="C1100" s="1285"/>
      <c r="D1100" s="640" t="str">
        <f t="shared" si="69"/>
        <v/>
      </c>
      <c r="E1100" s="1285"/>
      <c r="F1100" s="641" t="str">
        <f>IF(G1100="","",VLOOKUP(G1100,リスト!J$2:K$3,2,FALSE))</f>
        <v/>
      </c>
      <c r="G1100" s="1285"/>
      <c r="H1100" s="1284"/>
      <c r="I1100" s="1284"/>
      <c r="J1100" s="644" t="str">
        <f t="shared" si="70"/>
        <v/>
      </c>
      <c r="K1100" s="1284"/>
      <c r="L1100" s="644" t="str">
        <f t="shared" si="71"/>
        <v/>
      </c>
      <c r="M1100" s="680"/>
      <c r="N1100" s="651"/>
    </row>
    <row r="1101" spans="1:14" ht="15.95" customHeight="1" x14ac:dyDescent="0.15">
      <c r="A1101" s="1286"/>
      <c r="B1101" s="640" t="str">
        <f t="shared" si="68"/>
        <v/>
      </c>
      <c r="C1101" s="1285"/>
      <c r="D1101" s="640" t="str">
        <f t="shared" si="69"/>
        <v/>
      </c>
      <c r="E1101" s="1285"/>
      <c r="F1101" s="641" t="str">
        <f>IF(G1101="","",VLOOKUP(G1101,リスト!J$2:K$3,2,FALSE))</f>
        <v/>
      </c>
      <c r="G1101" s="1285"/>
      <c r="H1101" s="1284"/>
      <c r="I1101" s="1284"/>
      <c r="J1101" s="644" t="str">
        <f t="shared" si="70"/>
        <v/>
      </c>
      <c r="K1101" s="1284"/>
      <c r="L1101" s="644" t="str">
        <f t="shared" si="71"/>
        <v/>
      </c>
      <c r="M1101" s="680"/>
      <c r="N1101" s="651"/>
    </row>
    <row r="1102" spans="1:14" ht="15.95" customHeight="1" x14ac:dyDescent="0.15">
      <c r="A1102" s="1286"/>
      <c r="B1102" s="640" t="str">
        <f t="shared" si="68"/>
        <v/>
      </c>
      <c r="C1102" s="1285"/>
      <c r="D1102" s="640" t="str">
        <f t="shared" si="69"/>
        <v/>
      </c>
      <c r="E1102" s="1285"/>
      <c r="F1102" s="641" t="str">
        <f>IF(G1102="","",VLOOKUP(G1102,リスト!J$2:K$3,2,FALSE))</f>
        <v/>
      </c>
      <c r="G1102" s="1285"/>
      <c r="H1102" s="1284"/>
      <c r="I1102" s="1284"/>
      <c r="J1102" s="644" t="str">
        <f t="shared" si="70"/>
        <v/>
      </c>
      <c r="K1102" s="1284"/>
      <c r="L1102" s="644" t="str">
        <f t="shared" si="71"/>
        <v/>
      </c>
      <c r="M1102" s="680"/>
      <c r="N1102" s="651"/>
    </row>
    <row r="1103" spans="1:14" ht="15.95" customHeight="1" x14ac:dyDescent="0.15">
      <c r="A1103" s="1286"/>
      <c r="B1103" s="640" t="str">
        <f t="shared" si="68"/>
        <v/>
      </c>
      <c r="C1103" s="1285"/>
      <c r="D1103" s="640" t="str">
        <f t="shared" si="69"/>
        <v/>
      </c>
      <c r="E1103" s="1285"/>
      <c r="F1103" s="641" t="str">
        <f>IF(G1103="","",VLOOKUP(G1103,リスト!J$2:K$3,2,FALSE))</f>
        <v/>
      </c>
      <c r="G1103" s="1285"/>
      <c r="H1103" s="1284"/>
      <c r="I1103" s="1284"/>
      <c r="J1103" s="644" t="str">
        <f t="shared" si="70"/>
        <v/>
      </c>
      <c r="K1103" s="1284"/>
      <c r="L1103" s="644" t="str">
        <f t="shared" si="71"/>
        <v/>
      </c>
      <c r="M1103" s="680"/>
      <c r="N1103" s="651"/>
    </row>
    <row r="1104" spans="1:14" ht="15.95" customHeight="1" x14ac:dyDescent="0.15">
      <c r="A1104" s="1286"/>
      <c r="B1104" s="640" t="str">
        <f t="shared" si="68"/>
        <v/>
      </c>
      <c r="C1104" s="1285"/>
      <c r="D1104" s="640" t="str">
        <f t="shared" si="69"/>
        <v/>
      </c>
      <c r="E1104" s="1285"/>
      <c r="F1104" s="641" t="str">
        <f>IF(G1104="","",VLOOKUP(G1104,リスト!J$2:K$3,2,FALSE))</f>
        <v/>
      </c>
      <c r="G1104" s="1285"/>
      <c r="H1104" s="1284"/>
      <c r="I1104" s="1284"/>
      <c r="J1104" s="644" t="str">
        <f t="shared" si="70"/>
        <v/>
      </c>
      <c r="K1104" s="1284"/>
      <c r="L1104" s="644" t="str">
        <f t="shared" si="71"/>
        <v/>
      </c>
      <c r="M1104" s="680"/>
      <c r="N1104" s="651"/>
    </row>
    <row r="1105" spans="1:14" ht="15.95" customHeight="1" x14ac:dyDescent="0.15">
      <c r="A1105" s="1286"/>
      <c r="B1105" s="640" t="str">
        <f t="shared" si="68"/>
        <v/>
      </c>
      <c r="C1105" s="1285"/>
      <c r="D1105" s="640" t="str">
        <f t="shared" si="69"/>
        <v/>
      </c>
      <c r="E1105" s="1285"/>
      <c r="F1105" s="641" t="str">
        <f>IF(G1105="","",VLOOKUP(G1105,リスト!J$2:K$3,2,FALSE))</f>
        <v/>
      </c>
      <c r="G1105" s="1285"/>
      <c r="H1105" s="1284"/>
      <c r="I1105" s="1284"/>
      <c r="J1105" s="644" t="str">
        <f t="shared" si="70"/>
        <v/>
      </c>
      <c r="K1105" s="1284"/>
      <c r="L1105" s="644" t="str">
        <f t="shared" si="71"/>
        <v/>
      </c>
      <c r="M1105" s="680"/>
      <c r="N1105" s="651"/>
    </row>
    <row r="1106" spans="1:14" ht="15.95" customHeight="1" x14ac:dyDescent="0.15">
      <c r="A1106" s="1286"/>
      <c r="B1106" s="640" t="str">
        <f t="shared" si="68"/>
        <v/>
      </c>
      <c r="C1106" s="1285"/>
      <c r="D1106" s="640" t="str">
        <f t="shared" si="69"/>
        <v/>
      </c>
      <c r="E1106" s="1285"/>
      <c r="F1106" s="641" t="str">
        <f>IF(G1106="","",VLOOKUP(G1106,リスト!J$2:K$3,2,FALSE))</f>
        <v/>
      </c>
      <c r="G1106" s="1285"/>
      <c r="H1106" s="1284"/>
      <c r="I1106" s="1284"/>
      <c r="J1106" s="644" t="str">
        <f t="shared" si="70"/>
        <v/>
      </c>
      <c r="K1106" s="1284"/>
      <c r="L1106" s="644" t="str">
        <f t="shared" si="71"/>
        <v/>
      </c>
      <c r="M1106" s="680"/>
      <c r="N1106" s="651"/>
    </row>
    <row r="1107" spans="1:14" ht="15.95" customHeight="1" x14ac:dyDescent="0.15">
      <c r="A1107" s="1286"/>
      <c r="B1107" s="640" t="str">
        <f t="shared" si="68"/>
        <v/>
      </c>
      <c r="C1107" s="1285"/>
      <c r="D1107" s="640" t="str">
        <f t="shared" si="69"/>
        <v/>
      </c>
      <c r="E1107" s="1285"/>
      <c r="F1107" s="641" t="str">
        <f>IF(G1107="","",VLOOKUP(G1107,リスト!J$2:K$3,2,FALSE))</f>
        <v/>
      </c>
      <c r="G1107" s="1285"/>
      <c r="H1107" s="1284"/>
      <c r="I1107" s="1284"/>
      <c r="J1107" s="644" t="str">
        <f t="shared" si="70"/>
        <v/>
      </c>
      <c r="K1107" s="1284"/>
      <c r="L1107" s="644" t="str">
        <f t="shared" si="71"/>
        <v/>
      </c>
      <c r="M1107" s="680"/>
      <c r="N1107" s="651"/>
    </row>
    <row r="1108" spans="1:14" ht="15.95" customHeight="1" x14ac:dyDescent="0.15">
      <c r="A1108" s="1286"/>
      <c r="B1108" s="640" t="str">
        <f t="shared" si="68"/>
        <v/>
      </c>
      <c r="C1108" s="1285"/>
      <c r="D1108" s="640" t="str">
        <f t="shared" si="69"/>
        <v/>
      </c>
      <c r="E1108" s="1285"/>
      <c r="F1108" s="641" t="str">
        <f>IF(G1108="","",VLOOKUP(G1108,リスト!J$2:K$3,2,FALSE))</f>
        <v/>
      </c>
      <c r="G1108" s="1285"/>
      <c r="H1108" s="1284"/>
      <c r="I1108" s="1284"/>
      <c r="J1108" s="644" t="str">
        <f t="shared" si="70"/>
        <v/>
      </c>
      <c r="K1108" s="1284"/>
      <c r="L1108" s="644" t="str">
        <f t="shared" si="71"/>
        <v/>
      </c>
      <c r="M1108" s="680"/>
      <c r="N1108" s="651"/>
    </row>
    <row r="1109" spans="1:14" ht="15.95" customHeight="1" x14ac:dyDescent="0.15">
      <c r="A1109" s="1286"/>
      <c r="B1109" s="640" t="str">
        <f t="shared" si="68"/>
        <v/>
      </c>
      <c r="C1109" s="1285"/>
      <c r="D1109" s="640" t="str">
        <f t="shared" si="69"/>
        <v/>
      </c>
      <c r="E1109" s="1285"/>
      <c r="F1109" s="641" t="str">
        <f>IF(G1109="","",VLOOKUP(G1109,リスト!J$2:K$3,2,FALSE))</f>
        <v/>
      </c>
      <c r="G1109" s="1285"/>
      <c r="H1109" s="1284"/>
      <c r="I1109" s="1284"/>
      <c r="J1109" s="644" t="str">
        <f t="shared" si="70"/>
        <v/>
      </c>
      <c r="K1109" s="1284"/>
      <c r="L1109" s="644" t="str">
        <f t="shared" si="71"/>
        <v/>
      </c>
      <c r="M1109" s="680"/>
      <c r="N1109" s="651"/>
    </row>
    <row r="1110" spans="1:14" ht="15.95" customHeight="1" x14ac:dyDescent="0.15">
      <c r="A1110" s="1286"/>
      <c r="B1110" s="640" t="str">
        <f t="shared" si="68"/>
        <v/>
      </c>
      <c r="C1110" s="1285"/>
      <c r="D1110" s="640" t="str">
        <f t="shared" si="69"/>
        <v/>
      </c>
      <c r="E1110" s="1285"/>
      <c r="F1110" s="641" t="str">
        <f>IF(G1110="","",VLOOKUP(G1110,リスト!J$2:K$3,2,FALSE))</f>
        <v/>
      </c>
      <c r="G1110" s="1285"/>
      <c r="H1110" s="1284"/>
      <c r="I1110" s="1284"/>
      <c r="J1110" s="644" t="str">
        <f t="shared" si="70"/>
        <v/>
      </c>
      <c r="K1110" s="1284"/>
      <c r="L1110" s="644" t="str">
        <f t="shared" si="71"/>
        <v/>
      </c>
      <c r="M1110" s="680"/>
      <c r="N1110" s="651"/>
    </row>
    <row r="1111" spans="1:14" ht="15.95" customHeight="1" x14ac:dyDescent="0.15">
      <c r="A1111" s="1286"/>
      <c r="B1111" s="640" t="str">
        <f t="shared" si="68"/>
        <v/>
      </c>
      <c r="C1111" s="1285"/>
      <c r="D1111" s="640" t="str">
        <f t="shared" si="69"/>
        <v/>
      </c>
      <c r="E1111" s="1285"/>
      <c r="F1111" s="641" t="str">
        <f>IF(G1111="","",VLOOKUP(G1111,リスト!J$2:K$3,2,FALSE))</f>
        <v/>
      </c>
      <c r="G1111" s="1285"/>
      <c r="H1111" s="1284"/>
      <c r="I1111" s="1284"/>
      <c r="J1111" s="644" t="str">
        <f t="shared" si="70"/>
        <v/>
      </c>
      <c r="K1111" s="1284"/>
      <c r="L1111" s="644" t="str">
        <f t="shared" si="71"/>
        <v/>
      </c>
      <c r="M1111" s="680"/>
      <c r="N1111" s="651"/>
    </row>
    <row r="1112" spans="1:14" ht="15.95" customHeight="1" x14ac:dyDescent="0.15">
      <c r="A1112" s="1286"/>
      <c r="B1112" s="640" t="str">
        <f t="shared" si="68"/>
        <v/>
      </c>
      <c r="C1112" s="1285"/>
      <c r="D1112" s="640" t="str">
        <f t="shared" si="69"/>
        <v/>
      </c>
      <c r="E1112" s="1285"/>
      <c r="F1112" s="641" t="str">
        <f>IF(G1112="","",VLOOKUP(G1112,リスト!J$2:K$3,2,FALSE))</f>
        <v/>
      </c>
      <c r="G1112" s="1285"/>
      <c r="H1112" s="1284"/>
      <c r="I1112" s="1284"/>
      <c r="J1112" s="644" t="str">
        <f t="shared" si="70"/>
        <v/>
      </c>
      <c r="K1112" s="1284"/>
      <c r="L1112" s="644" t="str">
        <f t="shared" si="71"/>
        <v/>
      </c>
      <c r="M1112" s="680"/>
      <c r="N1112" s="651"/>
    </row>
    <row r="1113" spans="1:14" ht="15.95" customHeight="1" x14ac:dyDescent="0.15">
      <c r="A1113" s="1286"/>
      <c r="B1113" s="640" t="str">
        <f t="shared" si="68"/>
        <v/>
      </c>
      <c r="C1113" s="1285"/>
      <c r="D1113" s="640" t="str">
        <f t="shared" si="69"/>
        <v/>
      </c>
      <c r="E1113" s="1285"/>
      <c r="F1113" s="641" t="str">
        <f>IF(G1113="","",VLOOKUP(G1113,リスト!J$2:K$3,2,FALSE))</f>
        <v/>
      </c>
      <c r="G1113" s="1285"/>
      <c r="H1113" s="1284"/>
      <c r="I1113" s="1284"/>
      <c r="J1113" s="644" t="str">
        <f t="shared" si="70"/>
        <v/>
      </c>
      <c r="K1113" s="1284"/>
      <c r="L1113" s="644" t="str">
        <f t="shared" si="71"/>
        <v/>
      </c>
      <c r="M1113" s="680"/>
      <c r="N1113" s="651"/>
    </row>
    <row r="1114" spans="1:14" ht="15.95" customHeight="1" x14ac:dyDescent="0.15">
      <c r="A1114" s="1286"/>
      <c r="B1114" s="640" t="str">
        <f t="shared" si="68"/>
        <v/>
      </c>
      <c r="C1114" s="1285"/>
      <c r="D1114" s="640" t="str">
        <f t="shared" si="69"/>
        <v/>
      </c>
      <c r="E1114" s="1285"/>
      <c r="F1114" s="641" t="str">
        <f>IF(G1114="","",VLOOKUP(G1114,リスト!J$2:K$3,2,FALSE))</f>
        <v/>
      </c>
      <c r="G1114" s="1285"/>
      <c r="H1114" s="1284"/>
      <c r="I1114" s="1284"/>
      <c r="J1114" s="644" t="str">
        <f t="shared" si="70"/>
        <v/>
      </c>
      <c r="K1114" s="1284"/>
      <c r="L1114" s="644" t="str">
        <f t="shared" si="71"/>
        <v/>
      </c>
      <c r="M1114" s="680"/>
      <c r="N1114" s="651"/>
    </row>
    <row r="1115" spans="1:14" ht="15.95" customHeight="1" x14ac:dyDescent="0.15">
      <c r="A1115" s="1286"/>
      <c r="B1115" s="640" t="str">
        <f t="shared" si="68"/>
        <v/>
      </c>
      <c r="C1115" s="1285"/>
      <c r="D1115" s="640" t="str">
        <f t="shared" si="69"/>
        <v/>
      </c>
      <c r="E1115" s="1285"/>
      <c r="F1115" s="641" t="str">
        <f>IF(G1115="","",VLOOKUP(G1115,リスト!J$2:K$3,2,FALSE))</f>
        <v/>
      </c>
      <c r="G1115" s="1285"/>
      <c r="H1115" s="1284"/>
      <c r="I1115" s="1284"/>
      <c r="J1115" s="644" t="str">
        <f t="shared" si="70"/>
        <v/>
      </c>
      <c r="K1115" s="1284"/>
      <c r="L1115" s="644" t="str">
        <f t="shared" si="71"/>
        <v/>
      </c>
      <c r="M1115" s="680"/>
      <c r="N1115" s="651"/>
    </row>
    <row r="1116" spans="1:14" ht="15.95" customHeight="1" x14ac:dyDescent="0.15">
      <c r="A1116" s="1286"/>
      <c r="B1116" s="640" t="str">
        <f t="shared" si="68"/>
        <v/>
      </c>
      <c r="C1116" s="1285"/>
      <c r="D1116" s="640" t="str">
        <f t="shared" si="69"/>
        <v/>
      </c>
      <c r="E1116" s="1285"/>
      <c r="F1116" s="641" t="str">
        <f>IF(G1116="","",VLOOKUP(G1116,リスト!J$2:K$3,2,FALSE))</f>
        <v/>
      </c>
      <c r="G1116" s="1285"/>
      <c r="H1116" s="1284"/>
      <c r="I1116" s="1284"/>
      <c r="J1116" s="644" t="str">
        <f t="shared" si="70"/>
        <v/>
      </c>
      <c r="K1116" s="1284"/>
      <c r="L1116" s="644" t="str">
        <f t="shared" si="71"/>
        <v/>
      </c>
      <c r="M1116" s="680"/>
      <c r="N1116" s="651"/>
    </row>
    <row r="1117" spans="1:14" ht="15.95" customHeight="1" x14ac:dyDescent="0.15">
      <c r="A1117" s="1286"/>
      <c r="B1117" s="640" t="str">
        <f t="shared" ref="B1117:B1180" si="72">IF(C1117="","",VLOOKUP(C1117,事業所コード2,2,FALSE))</f>
        <v/>
      </c>
      <c r="C1117" s="1285"/>
      <c r="D1117" s="640" t="str">
        <f t="shared" ref="D1117:D1180" si="73">IF(E1117="","",VLOOKUP(E1117,事業区分コード2,2,FALSE))</f>
        <v/>
      </c>
      <c r="E1117" s="1285"/>
      <c r="F1117" s="641" t="str">
        <f>IF(G1117="","",VLOOKUP(G1117,リスト!J$2:K$3,2,FALSE))</f>
        <v/>
      </c>
      <c r="G1117" s="1285"/>
      <c r="H1117" s="1284"/>
      <c r="I1117" s="1284"/>
      <c r="J1117" s="644" t="str">
        <f t="shared" ref="J1117:J1180" si="74">IF(A1117="","",H1117+I1117)</f>
        <v/>
      </c>
      <c r="K1117" s="1284"/>
      <c r="L1117" s="644" t="str">
        <f t="shared" ref="L1117:L1180" si="75">IF(A1117="","",J1117-K1117)</f>
        <v/>
      </c>
      <c r="M1117" s="680"/>
      <c r="N1117" s="651"/>
    </row>
    <row r="1118" spans="1:14" ht="15.95" customHeight="1" x14ac:dyDescent="0.15">
      <c r="A1118" s="1286"/>
      <c r="B1118" s="640" t="str">
        <f t="shared" si="72"/>
        <v/>
      </c>
      <c r="C1118" s="1285"/>
      <c r="D1118" s="640" t="str">
        <f t="shared" si="73"/>
        <v/>
      </c>
      <c r="E1118" s="1285"/>
      <c r="F1118" s="641" t="str">
        <f>IF(G1118="","",VLOOKUP(G1118,リスト!J$2:K$3,2,FALSE))</f>
        <v/>
      </c>
      <c r="G1118" s="1285"/>
      <c r="H1118" s="1284"/>
      <c r="I1118" s="1284"/>
      <c r="J1118" s="644" t="str">
        <f t="shared" si="74"/>
        <v/>
      </c>
      <c r="K1118" s="1284"/>
      <c r="L1118" s="644" t="str">
        <f t="shared" si="75"/>
        <v/>
      </c>
      <c r="M1118" s="680"/>
      <c r="N1118" s="651"/>
    </row>
    <row r="1119" spans="1:14" ht="15.95" customHeight="1" x14ac:dyDescent="0.15">
      <c r="A1119" s="1286"/>
      <c r="B1119" s="640" t="str">
        <f t="shared" si="72"/>
        <v/>
      </c>
      <c r="C1119" s="1285"/>
      <c r="D1119" s="640" t="str">
        <f t="shared" si="73"/>
        <v/>
      </c>
      <c r="E1119" s="1285"/>
      <c r="F1119" s="641" t="str">
        <f>IF(G1119="","",VLOOKUP(G1119,リスト!J$2:K$3,2,FALSE))</f>
        <v/>
      </c>
      <c r="G1119" s="1285"/>
      <c r="H1119" s="1284"/>
      <c r="I1119" s="1284"/>
      <c r="J1119" s="644" t="str">
        <f t="shared" si="74"/>
        <v/>
      </c>
      <c r="K1119" s="1284"/>
      <c r="L1119" s="644" t="str">
        <f t="shared" si="75"/>
        <v/>
      </c>
      <c r="M1119" s="680"/>
      <c r="N1119" s="651"/>
    </row>
    <row r="1120" spans="1:14" ht="15.95" customHeight="1" x14ac:dyDescent="0.15">
      <c r="A1120" s="1286"/>
      <c r="B1120" s="640" t="str">
        <f t="shared" si="72"/>
        <v/>
      </c>
      <c r="C1120" s="1285"/>
      <c r="D1120" s="640" t="str">
        <f t="shared" si="73"/>
        <v/>
      </c>
      <c r="E1120" s="1285"/>
      <c r="F1120" s="641" t="str">
        <f>IF(G1120="","",VLOOKUP(G1120,リスト!J$2:K$3,2,FALSE))</f>
        <v/>
      </c>
      <c r="G1120" s="1285"/>
      <c r="H1120" s="1284"/>
      <c r="I1120" s="1284"/>
      <c r="J1120" s="644" t="str">
        <f t="shared" si="74"/>
        <v/>
      </c>
      <c r="K1120" s="1284"/>
      <c r="L1120" s="644" t="str">
        <f t="shared" si="75"/>
        <v/>
      </c>
      <c r="M1120" s="680"/>
      <c r="N1120" s="651"/>
    </row>
    <row r="1121" spans="1:14" ht="15.95" customHeight="1" x14ac:dyDescent="0.15">
      <c r="A1121" s="1286"/>
      <c r="B1121" s="640" t="str">
        <f t="shared" si="72"/>
        <v/>
      </c>
      <c r="C1121" s="1285"/>
      <c r="D1121" s="640" t="str">
        <f t="shared" si="73"/>
        <v/>
      </c>
      <c r="E1121" s="1285"/>
      <c r="F1121" s="641" t="str">
        <f>IF(G1121="","",VLOOKUP(G1121,リスト!J$2:K$3,2,FALSE))</f>
        <v/>
      </c>
      <c r="G1121" s="1285"/>
      <c r="H1121" s="1284"/>
      <c r="I1121" s="1284"/>
      <c r="J1121" s="644" t="str">
        <f t="shared" si="74"/>
        <v/>
      </c>
      <c r="K1121" s="1284"/>
      <c r="L1121" s="644" t="str">
        <f t="shared" si="75"/>
        <v/>
      </c>
      <c r="M1121" s="680"/>
      <c r="N1121" s="651"/>
    </row>
    <row r="1122" spans="1:14" ht="15.95" customHeight="1" x14ac:dyDescent="0.15">
      <c r="A1122" s="1286"/>
      <c r="B1122" s="640" t="str">
        <f t="shared" si="72"/>
        <v/>
      </c>
      <c r="C1122" s="1285"/>
      <c r="D1122" s="640" t="str">
        <f t="shared" si="73"/>
        <v/>
      </c>
      <c r="E1122" s="1285"/>
      <c r="F1122" s="641" t="str">
        <f>IF(G1122="","",VLOOKUP(G1122,リスト!J$2:K$3,2,FALSE))</f>
        <v/>
      </c>
      <c r="G1122" s="1285"/>
      <c r="H1122" s="1284"/>
      <c r="I1122" s="1284"/>
      <c r="J1122" s="644" t="str">
        <f t="shared" si="74"/>
        <v/>
      </c>
      <c r="K1122" s="1284"/>
      <c r="L1122" s="644" t="str">
        <f t="shared" si="75"/>
        <v/>
      </c>
      <c r="M1122" s="680"/>
      <c r="N1122" s="651"/>
    </row>
    <row r="1123" spans="1:14" ht="15.95" customHeight="1" x14ac:dyDescent="0.15">
      <c r="A1123" s="1286"/>
      <c r="B1123" s="640" t="str">
        <f t="shared" si="72"/>
        <v/>
      </c>
      <c r="C1123" s="1285"/>
      <c r="D1123" s="640" t="str">
        <f t="shared" si="73"/>
        <v/>
      </c>
      <c r="E1123" s="1285"/>
      <c r="F1123" s="641" t="str">
        <f>IF(G1123="","",VLOOKUP(G1123,リスト!J$2:K$3,2,FALSE))</f>
        <v/>
      </c>
      <c r="G1123" s="1285"/>
      <c r="H1123" s="1284"/>
      <c r="I1123" s="1284"/>
      <c r="J1123" s="644" t="str">
        <f t="shared" si="74"/>
        <v/>
      </c>
      <c r="K1123" s="1284"/>
      <c r="L1123" s="644" t="str">
        <f t="shared" si="75"/>
        <v/>
      </c>
      <c r="M1123" s="680"/>
      <c r="N1123" s="651"/>
    </row>
    <row r="1124" spans="1:14" ht="15.95" customHeight="1" x14ac:dyDescent="0.15">
      <c r="A1124" s="1286"/>
      <c r="B1124" s="640" t="str">
        <f t="shared" si="72"/>
        <v/>
      </c>
      <c r="C1124" s="1285"/>
      <c r="D1124" s="640" t="str">
        <f t="shared" si="73"/>
        <v/>
      </c>
      <c r="E1124" s="1285"/>
      <c r="F1124" s="641" t="str">
        <f>IF(G1124="","",VLOOKUP(G1124,リスト!J$2:K$3,2,FALSE))</f>
        <v/>
      </c>
      <c r="G1124" s="1285"/>
      <c r="H1124" s="1284"/>
      <c r="I1124" s="1284"/>
      <c r="J1124" s="644" t="str">
        <f t="shared" si="74"/>
        <v/>
      </c>
      <c r="K1124" s="1284"/>
      <c r="L1124" s="644" t="str">
        <f t="shared" si="75"/>
        <v/>
      </c>
      <c r="M1124" s="680"/>
      <c r="N1124" s="651"/>
    </row>
    <row r="1125" spans="1:14" ht="15.95" customHeight="1" x14ac:dyDescent="0.15">
      <c r="A1125" s="1286"/>
      <c r="B1125" s="640" t="str">
        <f t="shared" si="72"/>
        <v/>
      </c>
      <c r="C1125" s="1285"/>
      <c r="D1125" s="640" t="str">
        <f t="shared" si="73"/>
        <v/>
      </c>
      <c r="E1125" s="1285"/>
      <c r="F1125" s="641" t="str">
        <f>IF(G1125="","",VLOOKUP(G1125,リスト!J$2:K$3,2,FALSE))</f>
        <v/>
      </c>
      <c r="G1125" s="1285"/>
      <c r="H1125" s="1284"/>
      <c r="I1125" s="1284"/>
      <c r="J1125" s="644" t="str">
        <f t="shared" si="74"/>
        <v/>
      </c>
      <c r="K1125" s="1284"/>
      <c r="L1125" s="644" t="str">
        <f t="shared" si="75"/>
        <v/>
      </c>
      <c r="M1125" s="680"/>
      <c r="N1125" s="651"/>
    </row>
    <row r="1126" spans="1:14" ht="15.95" customHeight="1" x14ac:dyDescent="0.15">
      <c r="A1126" s="1286"/>
      <c r="B1126" s="640" t="str">
        <f t="shared" si="72"/>
        <v/>
      </c>
      <c r="C1126" s="1285"/>
      <c r="D1126" s="640" t="str">
        <f t="shared" si="73"/>
        <v/>
      </c>
      <c r="E1126" s="1285"/>
      <c r="F1126" s="641" t="str">
        <f>IF(G1126="","",VLOOKUP(G1126,リスト!J$2:K$3,2,FALSE))</f>
        <v/>
      </c>
      <c r="G1126" s="1285"/>
      <c r="H1126" s="1284"/>
      <c r="I1126" s="1284"/>
      <c r="J1126" s="644" t="str">
        <f t="shared" si="74"/>
        <v/>
      </c>
      <c r="K1126" s="1284"/>
      <c r="L1126" s="644" t="str">
        <f t="shared" si="75"/>
        <v/>
      </c>
      <c r="M1126" s="680"/>
      <c r="N1126" s="651"/>
    </row>
    <row r="1127" spans="1:14" ht="15.95" customHeight="1" x14ac:dyDescent="0.15">
      <c r="A1127" s="1286"/>
      <c r="B1127" s="640" t="str">
        <f t="shared" si="72"/>
        <v/>
      </c>
      <c r="C1127" s="1285"/>
      <c r="D1127" s="640" t="str">
        <f t="shared" si="73"/>
        <v/>
      </c>
      <c r="E1127" s="1285"/>
      <c r="F1127" s="641" t="str">
        <f>IF(G1127="","",VLOOKUP(G1127,リスト!J$2:K$3,2,FALSE))</f>
        <v/>
      </c>
      <c r="G1127" s="1285"/>
      <c r="H1127" s="1284"/>
      <c r="I1127" s="1284"/>
      <c r="J1127" s="644" t="str">
        <f t="shared" si="74"/>
        <v/>
      </c>
      <c r="K1127" s="1284"/>
      <c r="L1127" s="644" t="str">
        <f t="shared" si="75"/>
        <v/>
      </c>
      <c r="M1127" s="680"/>
      <c r="N1127" s="651"/>
    </row>
    <row r="1128" spans="1:14" ht="15.95" customHeight="1" x14ac:dyDescent="0.15">
      <c r="A1128" s="1286"/>
      <c r="B1128" s="640" t="str">
        <f t="shared" si="72"/>
        <v/>
      </c>
      <c r="C1128" s="1285"/>
      <c r="D1128" s="640" t="str">
        <f t="shared" si="73"/>
        <v/>
      </c>
      <c r="E1128" s="1285"/>
      <c r="F1128" s="641" t="str">
        <f>IF(G1128="","",VLOOKUP(G1128,リスト!J$2:K$3,2,FALSE))</f>
        <v/>
      </c>
      <c r="G1128" s="1285"/>
      <c r="H1128" s="1284"/>
      <c r="I1128" s="1284"/>
      <c r="J1128" s="644" t="str">
        <f t="shared" si="74"/>
        <v/>
      </c>
      <c r="K1128" s="1284"/>
      <c r="L1128" s="644" t="str">
        <f t="shared" si="75"/>
        <v/>
      </c>
      <c r="M1128" s="680"/>
      <c r="N1128" s="651"/>
    </row>
    <row r="1129" spans="1:14" ht="15.95" customHeight="1" x14ac:dyDescent="0.15">
      <c r="A1129" s="1286"/>
      <c r="B1129" s="640" t="str">
        <f t="shared" si="72"/>
        <v/>
      </c>
      <c r="C1129" s="1285"/>
      <c r="D1129" s="640" t="str">
        <f t="shared" si="73"/>
        <v/>
      </c>
      <c r="E1129" s="1285"/>
      <c r="F1129" s="641" t="str">
        <f>IF(G1129="","",VLOOKUP(G1129,リスト!J$2:K$3,2,FALSE))</f>
        <v/>
      </c>
      <c r="G1129" s="1285"/>
      <c r="H1129" s="1284"/>
      <c r="I1129" s="1284"/>
      <c r="J1129" s="644" t="str">
        <f t="shared" si="74"/>
        <v/>
      </c>
      <c r="K1129" s="1284"/>
      <c r="L1129" s="644" t="str">
        <f t="shared" si="75"/>
        <v/>
      </c>
      <c r="M1129" s="680"/>
      <c r="N1129" s="651"/>
    </row>
    <row r="1130" spans="1:14" ht="15.95" customHeight="1" x14ac:dyDescent="0.15">
      <c r="A1130" s="1286"/>
      <c r="B1130" s="640" t="str">
        <f t="shared" si="72"/>
        <v/>
      </c>
      <c r="C1130" s="1285"/>
      <c r="D1130" s="640" t="str">
        <f t="shared" si="73"/>
        <v/>
      </c>
      <c r="E1130" s="1285"/>
      <c r="F1130" s="641" t="str">
        <f>IF(G1130="","",VLOOKUP(G1130,リスト!J$2:K$3,2,FALSE))</f>
        <v/>
      </c>
      <c r="G1130" s="1285"/>
      <c r="H1130" s="1284"/>
      <c r="I1130" s="1284"/>
      <c r="J1130" s="644" t="str">
        <f t="shared" si="74"/>
        <v/>
      </c>
      <c r="K1130" s="1284"/>
      <c r="L1130" s="644" t="str">
        <f t="shared" si="75"/>
        <v/>
      </c>
      <c r="M1130" s="680"/>
      <c r="N1130" s="651"/>
    </row>
    <row r="1131" spans="1:14" ht="15.95" customHeight="1" x14ac:dyDescent="0.15">
      <c r="A1131" s="1286"/>
      <c r="B1131" s="640" t="str">
        <f t="shared" si="72"/>
        <v/>
      </c>
      <c r="C1131" s="1285"/>
      <c r="D1131" s="640" t="str">
        <f t="shared" si="73"/>
        <v/>
      </c>
      <c r="E1131" s="1285"/>
      <c r="F1131" s="641" t="str">
        <f>IF(G1131="","",VLOOKUP(G1131,リスト!J$2:K$3,2,FALSE))</f>
        <v/>
      </c>
      <c r="G1131" s="1285"/>
      <c r="H1131" s="1284"/>
      <c r="I1131" s="1284"/>
      <c r="J1131" s="644" t="str">
        <f t="shared" si="74"/>
        <v/>
      </c>
      <c r="K1131" s="1284"/>
      <c r="L1131" s="644" t="str">
        <f t="shared" si="75"/>
        <v/>
      </c>
      <c r="M1131" s="680"/>
      <c r="N1131" s="651"/>
    </row>
    <row r="1132" spans="1:14" ht="15.95" customHeight="1" x14ac:dyDescent="0.15">
      <c r="A1132" s="1286"/>
      <c r="B1132" s="640" t="str">
        <f t="shared" si="72"/>
        <v/>
      </c>
      <c r="C1132" s="1285"/>
      <c r="D1132" s="640" t="str">
        <f t="shared" si="73"/>
        <v/>
      </c>
      <c r="E1132" s="1285"/>
      <c r="F1132" s="641" t="str">
        <f>IF(G1132="","",VLOOKUP(G1132,リスト!J$2:K$3,2,FALSE))</f>
        <v/>
      </c>
      <c r="G1132" s="1285"/>
      <c r="H1132" s="1284"/>
      <c r="I1132" s="1284"/>
      <c r="J1132" s="644" t="str">
        <f t="shared" si="74"/>
        <v/>
      </c>
      <c r="K1132" s="1284"/>
      <c r="L1132" s="644" t="str">
        <f t="shared" si="75"/>
        <v/>
      </c>
      <c r="M1132" s="680"/>
      <c r="N1132" s="651"/>
    </row>
    <row r="1133" spans="1:14" ht="15.95" customHeight="1" x14ac:dyDescent="0.15">
      <c r="A1133" s="1286"/>
      <c r="B1133" s="640" t="str">
        <f t="shared" si="72"/>
        <v/>
      </c>
      <c r="C1133" s="1285"/>
      <c r="D1133" s="640" t="str">
        <f t="shared" si="73"/>
        <v/>
      </c>
      <c r="E1133" s="1285"/>
      <c r="F1133" s="641" t="str">
        <f>IF(G1133="","",VLOOKUP(G1133,リスト!J$2:K$3,2,FALSE))</f>
        <v/>
      </c>
      <c r="G1133" s="1285"/>
      <c r="H1133" s="1284"/>
      <c r="I1133" s="1284"/>
      <c r="J1133" s="644" t="str">
        <f t="shared" si="74"/>
        <v/>
      </c>
      <c r="K1133" s="1284"/>
      <c r="L1133" s="644" t="str">
        <f t="shared" si="75"/>
        <v/>
      </c>
      <c r="M1133" s="680"/>
      <c r="N1133" s="651"/>
    </row>
    <row r="1134" spans="1:14" ht="15.95" customHeight="1" x14ac:dyDescent="0.15">
      <c r="A1134" s="1286"/>
      <c r="B1134" s="640" t="str">
        <f t="shared" si="72"/>
        <v/>
      </c>
      <c r="C1134" s="1285"/>
      <c r="D1134" s="640" t="str">
        <f t="shared" si="73"/>
        <v/>
      </c>
      <c r="E1134" s="1285"/>
      <c r="F1134" s="641" t="str">
        <f>IF(G1134="","",VLOOKUP(G1134,リスト!J$2:K$3,2,FALSE))</f>
        <v/>
      </c>
      <c r="G1134" s="1285"/>
      <c r="H1134" s="1284"/>
      <c r="I1134" s="1284"/>
      <c r="J1134" s="644" t="str">
        <f t="shared" si="74"/>
        <v/>
      </c>
      <c r="K1134" s="1284"/>
      <c r="L1134" s="644" t="str">
        <f t="shared" si="75"/>
        <v/>
      </c>
      <c r="M1134" s="680"/>
      <c r="N1134" s="651"/>
    </row>
    <row r="1135" spans="1:14" ht="15.95" customHeight="1" x14ac:dyDescent="0.15">
      <c r="A1135" s="1286"/>
      <c r="B1135" s="640" t="str">
        <f t="shared" si="72"/>
        <v/>
      </c>
      <c r="C1135" s="1285"/>
      <c r="D1135" s="640" t="str">
        <f t="shared" si="73"/>
        <v/>
      </c>
      <c r="E1135" s="1285"/>
      <c r="F1135" s="641" t="str">
        <f>IF(G1135="","",VLOOKUP(G1135,リスト!J$2:K$3,2,FALSE))</f>
        <v/>
      </c>
      <c r="G1135" s="1285"/>
      <c r="H1135" s="1284"/>
      <c r="I1135" s="1284"/>
      <c r="J1135" s="644" t="str">
        <f t="shared" si="74"/>
        <v/>
      </c>
      <c r="K1135" s="1284"/>
      <c r="L1135" s="644" t="str">
        <f t="shared" si="75"/>
        <v/>
      </c>
      <c r="M1135" s="680"/>
      <c r="N1135" s="651"/>
    </row>
    <row r="1136" spans="1:14" ht="15.95" customHeight="1" x14ac:dyDescent="0.15">
      <c r="A1136" s="1286"/>
      <c r="B1136" s="640" t="str">
        <f t="shared" si="72"/>
        <v/>
      </c>
      <c r="C1136" s="1285"/>
      <c r="D1136" s="640" t="str">
        <f t="shared" si="73"/>
        <v/>
      </c>
      <c r="E1136" s="1285"/>
      <c r="F1136" s="641" t="str">
        <f>IF(G1136="","",VLOOKUP(G1136,リスト!J$2:K$3,2,FALSE))</f>
        <v/>
      </c>
      <c r="G1136" s="1285"/>
      <c r="H1136" s="1284"/>
      <c r="I1136" s="1284"/>
      <c r="J1136" s="644" t="str">
        <f t="shared" si="74"/>
        <v/>
      </c>
      <c r="K1136" s="1284"/>
      <c r="L1136" s="644" t="str">
        <f t="shared" si="75"/>
        <v/>
      </c>
      <c r="M1136" s="680"/>
      <c r="N1136" s="651"/>
    </row>
    <row r="1137" spans="1:14" ht="15.95" customHeight="1" x14ac:dyDescent="0.15">
      <c r="A1137" s="1286"/>
      <c r="B1137" s="640" t="str">
        <f t="shared" si="72"/>
        <v/>
      </c>
      <c r="C1137" s="1285"/>
      <c r="D1137" s="640" t="str">
        <f t="shared" si="73"/>
        <v/>
      </c>
      <c r="E1137" s="1285"/>
      <c r="F1137" s="641" t="str">
        <f>IF(G1137="","",VLOOKUP(G1137,リスト!J$2:K$3,2,FALSE))</f>
        <v/>
      </c>
      <c r="G1137" s="1285"/>
      <c r="H1137" s="1284"/>
      <c r="I1137" s="1284"/>
      <c r="J1137" s="644" t="str">
        <f t="shared" si="74"/>
        <v/>
      </c>
      <c r="K1137" s="1284"/>
      <c r="L1137" s="644" t="str">
        <f t="shared" si="75"/>
        <v/>
      </c>
      <c r="M1137" s="680"/>
      <c r="N1137" s="651"/>
    </row>
    <row r="1138" spans="1:14" ht="15.95" customHeight="1" x14ac:dyDescent="0.15">
      <c r="A1138" s="1286"/>
      <c r="B1138" s="640" t="str">
        <f t="shared" si="72"/>
        <v/>
      </c>
      <c r="C1138" s="1285"/>
      <c r="D1138" s="640" t="str">
        <f t="shared" si="73"/>
        <v/>
      </c>
      <c r="E1138" s="1285"/>
      <c r="F1138" s="641" t="str">
        <f>IF(G1138="","",VLOOKUP(G1138,リスト!J$2:K$3,2,FALSE))</f>
        <v/>
      </c>
      <c r="G1138" s="1285"/>
      <c r="H1138" s="1284"/>
      <c r="I1138" s="1284"/>
      <c r="J1138" s="644" t="str">
        <f t="shared" si="74"/>
        <v/>
      </c>
      <c r="K1138" s="1284"/>
      <c r="L1138" s="644" t="str">
        <f t="shared" si="75"/>
        <v/>
      </c>
      <c r="M1138" s="680"/>
      <c r="N1138" s="651"/>
    </row>
    <row r="1139" spans="1:14" ht="15.95" customHeight="1" x14ac:dyDescent="0.15">
      <c r="A1139" s="1286"/>
      <c r="B1139" s="640" t="str">
        <f t="shared" si="72"/>
        <v/>
      </c>
      <c r="C1139" s="1285"/>
      <c r="D1139" s="640" t="str">
        <f t="shared" si="73"/>
        <v/>
      </c>
      <c r="E1139" s="1285"/>
      <c r="F1139" s="641" t="str">
        <f>IF(G1139="","",VLOOKUP(G1139,リスト!J$2:K$3,2,FALSE))</f>
        <v/>
      </c>
      <c r="G1139" s="1285"/>
      <c r="H1139" s="1284"/>
      <c r="I1139" s="1284"/>
      <c r="J1139" s="644" t="str">
        <f t="shared" si="74"/>
        <v/>
      </c>
      <c r="K1139" s="1284"/>
      <c r="L1139" s="644" t="str">
        <f t="shared" si="75"/>
        <v/>
      </c>
      <c r="M1139" s="680"/>
      <c r="N1139" s="651"/>
    </row>
    <row r="1140" spans="1:14" ht="15.95" customHeight="1" x14ac:dyDescent="0.15">
      <c r="A1140" s="1286"/>
      <c r="B1140" s="640" t="str">
        <f t="shared" si="72"/>
        <v/>
      </c>
      <c r="C1140" s="1285"/>
      <c r="D1140" s="640" t="str">
        <f t="shared" si="73"/>
        <v/>
      </c>
      <c r="E1140" s="1285"/>
      <c r="F1140" s="641" t="str">
        <f>IF(G1140="","",VLOOKUP(G1140,リスト!J$2:K$3,2,FALSE))</f>
        <v/>
      </c>
      <c r="G1140" s="1285"/>
      <c r="H1140" s="1284"/>
      <c r="I1140" s="1284"/>
      <c r="J1140" s="644" t="str">
        <f t="shared" si="74"/>
        <v/>
      </c>
      <c r="K1140" s="1284"/>
      <c r="L1140" s="644" t="str">
        <f t="shared" si="75"/>
        <v/>
      </c>
      <c r="M1140" s="680"/>
      <c r="N1140" s="651"/>
    </row>
    <row r="1141" spans="1:14" ht="15.95" customHeight="1" x14ac:dyDescent="0.15">
      <c r="A1141" s="1286"/>
      <c r="B1141" s="640" t="str">
        <f t="shared" si="72"/>
        <v/>
      </c>
      <c r="C1141" s="1285"/>
      <c r="D1141" s="640" t="str">
        <f t="shared" si="73"/>
        <v/>
      </c>
      <c r="E1141" s="1285"/>
      <c r="F1141" s="641" t="str">
        <f>IF(G1141="","",VLOOKUP(G1141,リスト!J$2:K$3,2,FALSE))</f>
        <v/>
      </c>
      <c r="G1141" s="1285"/>
      <c r="H1141" s="1284"/>
      <c r="I1141" s="1284"/>
      <c r="J1141" s="644" t="str">
        <f t="shared" si="74"/>
        <v/>
      </c>
      <c r="K1141" s="1284"/>
      <c r="L1141" s="644" t="str">
        <f t="shared" si="75"/>
        <v/>
      </c>
      <c r="M1141" s="680"/>
      <c r="N1141" s="651"/>
    </row>
    <row r="1142" spans="1:14" ht="15.95" customHeight="1" x14ac:dyDescent="0.15">
      <c r="A1142" s="1286"/>
      <c r="B1142" s="640" t="str">
        <f t="shared" si="72"/>
        <v/>
      </c>
      <c r="C1142" s="1285"/>
      <c r="D1142" s="640" t="str">
        <f t="shared" si="73"/>
        <v/>
      </c>
      <c r="E1142" s="1285"/>
      <c r="F1142" s="641" t="str">
        <f>IF(G1142="","",VLOOKUP(G1142,リスト!J$2:K$3,2,FALSE))</f>
        <v/>
      </c>
      <c r="G1142" s="1285"/>
      <c r="H1142" s="1284"/>
      <c r="I1142" s="1284"/>
      <c r="J1142" s="644" t="str">
        <f t="shared" si="74"/>
        <v/>
      </c>
      <c r="K1142" s="1284"/>
      <c r="L1142" s="644" t="str">
        <f t="shared" si="75"/>
        <v/>
      </c>
      <c r="M1142" s="680"/>
      <c r="N1142" s="651"/>
    </row>
    <row r="1143" spans="1:14" ht="15.95" customHeight="1" x14ac:dyDescent="0.15">
      <c r="A1143" s="1286"/>
      <c r="B1143" s="640" t="str">
        <f t="shared" si="72"/>
        <v/>
      </c>
      <c r="C1143" s="1285"/>
      <c r="D1143" s="640" t="str">
        <f t="shared" si="73"/>
        <v/>
      </c>
      <c r="E1143" s="1285"/>
      <c r="F1143" s="641" t="str">
        <f>IF(G1143="","",VLOOKUP(G1143,リスト!J$2:K$3,2,FALSE))</f>
        <v/>
      </c>
      <c r="G1143" s="1285"/>
      <c r="H1143" s="1284"/>
      <c r="I1143" s="1284"/>
      <c r="J1143" s="644" t="str">
        <f t="shared" si="74"/>
        <v/>
      </c>
      <c r="K1143" s="1284"/>
      <c r="L1143" s="644" t="str">
        <f t="shared" si="75"/>
        <v/>
      </c>
      <c r="M1143" s="680"/>
      <c r="N1143" s="651"/>
    </row>
    <row r="1144" spans="1:14" ht="15.95" customHeight="1" x14ac:dyDescent="0.15">
      <c r="A1144" s="1286"/>
      <c r="B1144" s="640" t="str">
        <f t="shared" si="72"/>
        <v/>
      </c>
      <c r="C1144" s="1285"/>
      <c r="D1144" s="640" t="str">
        <f t="shared" si="73"/>
        <v/>
      </c>
      <c r="E1144" s="1285"/>
      <c r="F1144" s="641" t="str">
        <f>IF(G1144="","",VLOOKUP(G1144,リスト!J$2:K$3,2,FALSE))</f>
        <v/>
      </c>
      <c r="G1144" s="1285"/>
      <c r="H1144" s="1284"/>
      <c r="I1144" s="1284"/>
      <c r="J1144" s="644" t="str">
        <f t="shared" si="74"/>
        <v/>
      </c>
      <c r="K1144" s="1284"/>
      <c r="L1144" s="644" t="str">
        <f t="shared" si="75"/>
        <v/>
      </c>
      <c r="M1144" s="680"/>
      <c r="N1144" s="651"/>
    </row>
    <row r="1145" spans="1:14" ht="15.95" customHeight="1" x14ac:dyDescent="0.15">
      <c r="A1145" s="1286"/>
      <c r="B1145" s="640" t="str">
        <f t="shared" si="72"/>
        <v/>
      </c>
      <c r="C1145" s="1285"/>
      <c r="D1145" s="640" t="str">
        <f t="shared" si="73"/>
        <v/>
      </c>
      <c r="E1145" s="1285"/>
      <c r="F1145" s="641" t="str">
        <f>IF(G1145="","",VLOOKUP(G1145,リスト!J$2:K$3,2,FALSE))</f>
        <v/>
      </c>
      <c r="G1145" s="1285"/>
      <c r="H1145" s="1284"/>
      <c r="I1145" s="1284"/>
      <c r="J1145" s="644" t="str">
        <f t="shared" si="74"/>
        <v/>
      </c>
      <c r="K1145" s="1284"/>
      <c r="L1145" s="644" t="str">
        <f t="shared" si="75"/>
        <v/>
      </c>
      <c r="M1145" s="680"/>
      <c r="N1145" s="651"/>
    </row>
    <row r="1146" spans="1:14" ht="15.95" customHeight="1" x14ac:dyDescent="0.15">
      <c r="A1146" s="1286"/>
      <c r="B1146" s="640" t="str">
        <f t="shared" si="72"/>
        <v/>
      </c>
      <c r="C1146" s="1285"/>
      <c r="D1146" s="640" t="str">
        <f t="shared" si="73"/>
        <v/>
      </c>
      <c r="E1146" s="1285"/>
      <c r="F1146" s="641" t="str">
        <f>IF(G1146="","",VLOOKUP(G1146,リスト!J$2:K$3,2,FALSE))</f>
        <v/>
      </c>
      <c r="G1146" s="1285"/>
      <c r="H1146" s="1284"/>
      <c r="I1146" s="1284"/>
      <c r="J1146" s="644" t="str">
        <f t="shared" si="74"/>
        <v/>
      </c>
      <c r="K1146" s="1284"/>
      <c r="L1146" s="644" t="str">
        <f t="shared" si="75"/>
        <v/>
      </c>
      <c r="M1146" s="680"/>
      <c r="N1146" s="651"/>
    </row>
    <row r="1147" spans="1:14" ht="15.95" customHeight="1" x14ac:dyDescent="0.15">
      <c r="A1147" s="1286"/>
      <c r="B1147" s="640" t="str">
        <f t="shared" si="72"/>
        <v/>
      </c>
      <c r="C1147" s="1285"/>
      <c r="D1147" s="640" t="str">
        <f t="shared" si="73"/>
        <v/>
      </c>
      <c r="E1147" s="1285"/>
      <c r="F1147" s="641" t="str">
        <f>IF(G1147="","",VLOOKUP(G1147,リスト!J$2:K$3,2,FALSE))</f>
        <v/>
      </c>
      <c r="G1147" s="1285"/>
      <c r="H1147" s="1284"/>
      <c r="I1147" s="1284"/>
      <c r="J1147" s="644" t="str">
        <f t="shared" si="74"/>
        <v/>
      </c>
      <c r="K1147" s="1284"/>
      <c r="L1147" s="644" t="str">
        <f t="shared" si="75"/>
        <v/>
      </c>
      <c r="M1147" s="680"/>
      <c r="N1147" s="651"/>
    </row>
    <row r="1148" spans="1:14" ht="15.95" customHeight="1" x14ac:dyDescent="0.15">
      <c r="A1148" s="1286"/>
      <c r="B1148" s="640" t="str">
        <f t="shared" si="72"/>
        <v/>
      </c>
      <c r="C1148" s="1285"/>
      <c r="D1148" s="640" t="str">
        <f t="shared" si="73"/>
        <v/>
      </c>
      <c r="E1148" s="1285"/>
      <c r="F1148" s="641" t="str">
        <f>IF(G1148="","",VLOOKUP(G1148,リスト!J$2:K$3,2,FALSE))</f>
        <v/>
      </c>
      <c r="G1148" s="1285"/>
      <c r="H1148" s="1284"/>
      <c r="I1148" s="1284"/>
      <c r="J1148" s="644" t="str">
        <f t="shared" si="74"/>
        <v/>
      </c>
      <c r="K1148" s="1284"/>
      <c r="L1148" s="644" t="str">
        <f t="shared" si="75"/>
        <v/>
      </c>
      <c r="M1148" s="680"/>
      <c r="N1148" s="651"/>
    </row>
    <row r="1149" spans="1:14" ht="15.95" customHeight="1" x14ac:dyDescent="0.15">
      <c r="A1149" s="1286"/>
      <c r="B1149" s="640" t="str">
        <f t="shared" si="72"/>
        <v/>
      </c>
      <c r="C1149" s="1285"/>
      <c r="D1149" s="640" t="str">
        <f t="shared" si="73"/>
        <v/>
      </c>
      <c r="E1149" s="1285"/>
      <c r="F1149" s="641" t="str">
        <f>IF(G1149="","",VLOOKUP(G1149,リスト!J$2:K$3,2,FALSE))</f>
        <v/>
      </c>
      <c r="G1149" s="1285"/>
      <c r="H1149" s="1284"/>
      <c r="I1149" s="1284"/>
      <c r="J1149" s="644" t="str">
        <f t="shared" si="74"/>
        <v/>
      </c>
      <c r="K1149" s="1284"/>
      <c r="L1149" s="644" t="str">
        <f t="shared" si="75"/>
        <v/>
      </c>
      <c r="M1149" s="680"/>
      <c r="N1149" s="651"/>
    </row>
    <row r="1150" spans="1:14" ht="15.95" customHeight="1" x14ac:dyDescent="0.15">
      <c r="A1150" s="1286"/>
      <c r="B1150" s="640" t="str">
        <f t="shared" si="72"/>
        <v/>
      </c>
      <c r="C1150" s="1285"/>
      <c r="D1150" s="640" t="str">
        <f t="shared" si="73"/>
        <v/>
      </c>
      <c r="E1150" s="1285"/>
      <c r="F1150" s="641" t="str">
        <f>IF(G1150="","",VLOOKUP(G1150,リスト!J$2:K$3,2,FALSE))</f>
        <v/>
      </c>
      <c r="G1150" s="1285"/>
      <c r="H1150" s="1284"/>
      <c r="I1150" s="1284"/>
      <c r="J1150" s="644" t="str">
        <f t="shared" si="74"/>
        <v/>
      </c>
      <c r="K1150" s="1284"/>
      <c r="L1150" s="644" t="str">
        <f t="shared" si="75"/>
        <v/>
      </c>
      <c r="M1150" s="680"/>
      <c r="N1150" s="651"/>
    </row>
    <row r="1151" spans="1:14" ht="15.95" customHeight="1" x14ac:dyDescent="0.15">
      <c r="A1151" s="1286"/>
      <c r="B1151" s="640" t="str">
        <f t="shared" si="72"/>
        <v/>
      </c>
      <c r="C1151" s="1285"/>
      <c r="D1151" s="640" t="str">
        <f t="shared" si="73"/>
        <v/>
      </c>
      <c r="E1151" s="1285"/>
      <c r="F1151" s="641" t="str">
        <f>IF(G1151="","",VLOOKUP(G1151,リスト!J$2:K$3,2,FALSE))</f>
        <v/>
      </c>
      <c r="G1151" s="1285"/>
      <c r="H1151" s="1284"/>
      <c r="I1151" s="1284"/>
      <c r="J1151" s="644" t="str">
        <f t="shared" si="74"/>
        <v/>
      </c>
      <c r="K1151" s="1284"/>
      <c r="L1151" s="644" t="str">
        <f t="shared" si="75"/>
        <v/>
      </c>
      <c r="M1151" s="680"/>
      <c r="N1151" s="651"/>
    </row>
    <row r="1152" spans="1:14" ht="15.95" customHeight="1" x14ac:dyDescent="0.15">
      <c r="A1152" s="1286"/>
      <c r="B1152" s="640" t="str">
        <f t="shared" si="72"/>
        <v/>
      </c>
      <c r="C1152" s="1285"/>
      <c r="D1152" s="640" t="str">
        <f t="shared" si="73"/>
        <v/>
      </c>
      <c r="E1152" s="1285"/>
      <c r="F1152" s="641" t="str">
        <f>IF(G1152="","",VLOOKUP(G1152,リスト!J$2:K$3,2,FALSE))</f>
        <v/>
      </c>
      <c r="G1152" s="1285"/>
      <c r="H1152" s="1284"/>
      <c r="I1152" s="1284"/>
      <c r="J1152" s="644" t="str">
        <f t="shared" si="74"/>
        <v/>
      </c>
      <c r="K1152" s="1284"/>
      <c r="L1152" s="644" t="str">
        <f t="shared" si="75"/>
        <v/>
      </c>
      <c r="M1152" s="680"/>
      <c r="N1152" s="651"/>
    </row>
    <row r="1153" spans="1:14" ht="15.95" customHeight="1" x14ac:dyDescent="0.15">
      <c r="A1153" s="1286"/>
      <c r="B1153" s="640" t="str">
        <f t="shared" si="72"/>
        <v/>
      </c>
      <c r="C1153" s="1285"/>
      <c r="D1153" s="640" t="str">
        <f t="shared" si="73"/>
        <v/>
      </c>
      <c r="E1153" s="1285"/>
      <c r="F1153" s="641" t="str">
        <f>IF(G1153="","",VLOOKUP(G1153,リスト!J$2:K$3,2,FALSE))</f>
        <v/>
      </c>
      <c r="G1153" s="1285"/>
      <c r="H1153" s="1284"/>
      <c r="I1153" s="1284"/>
      <c r="J1153" s="644" t="str">
        <f t="shared" si="74"/>
        <v/>
      </c>
      <c r="K1153" s="1284"/>
      <c r="L1153" s="644" t="str">
        <f t="shared" si="75"/>
        <v/>
      </c>
      <c r="M1153" s="680"/>
      <c r="N1153" s="651"/>
    </row>
    <row r="1154" spans="1:14" ht="15.95" customHeight="1" x14ac:dyDescent="0.15">
      <c r="A1154" s="1286"/>
      <c r="B1154" s="640" t="str">
        <f t="shared" si="72"/>
        <v/>
      </c>
      <c r="C1154" s="1285"/>
      <c r="D1154" s="640" t="str">
        <f t="shared" si="73"/>
        <v/>
      </c>
      <c r="E1154" s="1285"/>
      <c r="F1154" s="641" t="str">
        <f>IF(G1154="","",VLOOKUP(G1154,リスト!J$2:K$3,2,FALSE))</f>
        <v/>
      </c>
      <c r="G1154" s="1285"/>
      <c r="H1154" s="1284"/>
      <c r="I1154" s="1284"/>
      <c r="J1154" s="644" t="str">
        <f t="shared" si="74"/>
        <v/>
      </c>
      <c r="K1154" s="1284"/>
      <c r="L1154" s="644" t="str">
        <f t="shared" si="75"/>
        <v/>
      </c>
      <c r="M1154" s="680"/>
      <c r="N1154" s="651"/>
    </row>
    <row r="1155" spans="1:14" ht="15.95" customHeight="1" x14ac:dyDescent="0.15">
      <c r="A1155" s="1286"/>
      <c r="B1155" s="640" t="str">
        <f t="shared" si="72"/>
        <v/>
      </c>
      <c r="C1155" s="1285"/>
      <c r="D1155" s="640" t="str">
        <f t="shared" si="73"/>
        <v/>
      </c>
      <c r="E1155" s="1285"/>
      <c r="F1155" s="641" t="str">
        <f>IF(G1155="","",VLOOKUP(G1155,リスト!J$2:K$3,2,FALSE))</f>
        <v/>
      </c>
      <c r="G1155" s="1285"/>
      <c r="H1155" s="1284"/>
      <c r="I1155" s="1284"/>
      <c r="J1155" s="644" t="str">
        <f t="shared" si="74"/>
        <v/>
      </c>
      <c r="K1155" s="1284"/>
      <c r="L1155" s="644" t="str">
        <f t="shared" si="75"/>
        <v/>
      </c>
      <c r="M1155" s="680"/>
      <c r="N1155" s="651"/>
    </row>
    <row r="1156" spans="1:14" ht="15.95" customHeight="1" x14ac:dyDescent="0.15">
      <c r="A1156" s="1286"/>
      <c r="B1156" s="640" t="str">
        <f t="shared" si="72"/>
        <v/>
      </c>
      <c r="C1156" s="1285"/>
      <c r="D1156" s="640" t="str">
        <f t="shared" si="73"/>
        <v/>
      </c>
      <c r="E1156" s="1285"/>
      <c r="F1156" s="641" t="str">
        <f>IF(G1156="","",VLOOKUP(G1156,リスト!J$2:K$3,2,FALSE))</f>
        <v/>
      </c>
      <c r="G1156" s="1285"/>
      <c r="H1156" s="1284"/>
      <c r="I1156" s="1284"/>
      <c r="J1156" s="644" t="str">
        <f t="shared" si="74"/>
        <v/>
      </c>
      <c r="K1156" s="1284"/>
      <c r="L1156" s="644" t="str">
        <f t="shared" si="75"/>
        <v/>
      </c>
      <c r="M1156" s="680"/>
      <c r="N1156" s="651"/>
    </row>
    <row r="1157" spans="1:14" ht="15.95" customHeight="1" x14ac:dyDescent="0.15">
      <c r="A1157" s="1286"/>
      <c r="B1157" s="640" t="str">
        <f t="shared" si="72"/>
        <v/>
      </c>
      <c r="C1157" s="1285"/>
      <c r="D1157" s="640" t="str">
        <f t="shared" si="73"/>
        <v/>
      </c>
      <c r="E1157" s="1285"/>
      <c r="F1157" s="641" t="str">
        <f>IF(G1157="","",VLOOKUP(G1157,リスト!J$2:K$3,2,FALSE))</f>
        <v/>
      </c>
      <c r="G1157" s="1285"/>
      <c r="H1157" s="1284"/>
      <c r="I1157" s="1284"/>
      <c r="J1157" s="644" t="str">
        <f t="shared" si="74"/>
        <v/>
      </c>
      <c r="K1157" s="1284"/>
      <c r="L1157" s="644" t="str">
        <f t="shared" si="75"/>
        <v/>
      </c>
      <c r="M1157" s="680"/>
      <c r="N1157" s="651"/>
    </row>
    <row r="1158" spans="1:14" ht="15.95" customHeight="1" x14ac:dyDescent="0.15">
      <c r="A1158" s="1286"/>
      <c r="B1158" s="640" t="str">
        <f t="shared" si="72"/>
        <v/>
      </c>
      <c r="C1158" s="1285"/>
      <c r="D1158" s="640" t="str">
        <f t="shared" si="73"/>
        <v/>
      </c>
      <c r="E1158" s="1285"/>
      <c r="F1158" s="641" t="str">
        <f>IF(G1158="","",VLOOKUP(G1158,リスト!J$2:K$3,2,FALSE))</f>
        <v/>
      </c>
      <c r="G1158" s="1285"/>
      <c r="H1158" s="1284"/>
      <c r="I1158" s="1284"/>
      <c r="J1158" s="644" t="str">
        <f t="shared" si="74"/>
        <v/>
      </c>
      <c r="K1158" s="1284"/>
      <c r="L1158" s="644" t="str">
        <f t="shared" si="75"/>
        <v/>
      </c>
      <c r="M1158" s="680"/>
      <c r="N1158" s="651"/>
    </row>
    <row r="1159" spans="1:14" ht="15.95" customHeight="1" x14ac:dyDescent="0.15">
      <c r="A1159" s="1286"/>
      <c r="B1159" s="640" t="str">
        <f t="shared" si="72"/>
        <v/>
      </c>
      <c r="C1159" s="1285"/>
      <c r="D1159" s="640" t="str">
        <f t="shared" si="73"/>
        <v/>
      </c>
      <c r="E1159" s="1285"/>
      <c r="F1159" s="641" t="str">
        <f>IF(G1159="","",VLOOKUP(G1159,リスト!J$2:K$3,2,FALSE))</f>
        <v/>
      </c>
      <c r="G1159" s="1285"/>
      <c r="H1159" s="1284"/>
      <c r="I1159" s="1284"/>
      <c r="J1159" s="644" t="str">
        <f t="shared" si="74"/>
        <v/>
      </c>
      <c r="K1159" s="1284"/>
      <c r="L1159" s="644" t="str">
        <f t="shared" si="75"/>
        <v/>
      </c>
      <c r="M1159" s="680"/>
      <c r="N1159" s="651"/>
    </row>
    <row r="1160" spans="1:14" ht="15.95" customHeight="1" x14ac:dyDescent="0.15">
      <c r="A1160" s="1286"/>
      <c r="B1160" s="640" t="str">
        <f t="shared" si="72"/>
        <v/>
      </c>
      <c r="C1160" s="1285"/>
      <c r="D1160" s="640" t="str">
        <f t="shared" si="73"/>
        <v/>
      </c>
      <c r="E1160" s="1285"/>
      <c r="F1160" s="641" t="str">
        <f>IF(G1160="","",VLOOKUP(G1160,リスト!J$2:K$3,2,FALSE))</f>
        <v/>
      </c>
      <c r="G1160" s="1285"/>
      <c r="H1160" s="1284"/>
      <c r="I1160" s="1284"/>
      <c r="J1160" s="644" t="str">
        <f t="shared" si="74"/>
        <v/>
      </c>
      <c r="K1160" s="1284"/>
      <c r="L1160" s="644" t="str">
        <f t="shared" si="75"/>
        <v/>
      </c>
      <c r="M1160" s="680"/>
      <c r="N1160" s="651"/>
    </row>
    <row r="1161" spans="1:14" ht="15.95" customHeight="1" x14ac:dyDescent="0.15">
      <c r="A1161" s="1286"/>
      <c r="B1161" s="640" t="str">
        <f t="shared" si="72"/>
        <v/>
      </c>
      <c r="C1161" s="1285"/>
      <c r="D1161" s="640" t="str">
        <f t="shared" si="73"/>
        <v/>
      </c>
      <c r="E1161" s="1285"/>
      <c r="F1161" s="641" t="str">
        <f>IF(G1161="","",VLOOKUP(G1161,リスト!J$2:K$3,2,FALSE))</f>
        <v/>
      </c>
      <c r="G1161" s="1285"/>
      <c r="H1161" s="1284"/>
      <c r="I1161" s="1284"/>
      <c r="J1161" s="644" t="str">
        <f t="shared" si="74"/>
        <v/>
      </c>
      <c r="K1161" s="1284"/>
      <c r="L1161" s="644" t="str">
        <f t="shared" si="75"/>
        <v/>
      </c>
      <c r="M1161" s="680"/>
      <c r="N1161" s="651"/>
    </row>
    <row r="1162" spans="1:14" ht="15.95" customHeight="1" x14ac:dyDescent="0.15">
      <c r="A1162" s="1286"/>
      <c r="B1162" s="640" t="str">
        <f t="shared" si="72"/>
        <v/>
      </c>
      <c r="C1162" s="1285"/>
      <c r="D1162" s="640" t="str">
        <f t="shared" si="73"/>
        <v/>
      </c>
      <c r="E1162" s="1285"/>
      <c r="F1162" s="641" t="str">
        <f>IF(G1162="","",VLOOKUP(G1162,リスト!J$2:K$3,2,FALSE))</f>
        <v/>
      </c>
      <c r="G1162" s="1285"/>
      <c r="H1162" s="1284"/>
      <c r="I1162" s="1284"/>
      <c r="J1162" s="644" t="str">
        <f t="shared" si="74"/>
        <v/>
      </c>
      <c r="K1162" s="1284"/>
      <c r="L1162" s="644" t="str">
        <f t="shared" si="75"/>
        <v/>
      </c>
      <c r="M1162" s="680"/>
      <c r="N1162" s="651"/>
    </row>
    <row r="1163" spans="1:14" ht="15.95" customHeight="1" x14ac:dyDescent="0.15">
      <c r="A1163" s="1286"/>
      <c r="B1163" s="640" t="str">
        <f t="shared" si="72"/>
        <v/>
      </c>
      <c r="C1163" s="1285"/>
      <c r="D1163" s="640" t="str">
        <f t="shared" si="73"/>
        <v/>
      </c>
      <c r="E1163" s="1285"/>
      <c r="F1163" s="641" t="str">
        <f>IF(G1163="","",VLOOKUP(G1163,リスト!J$2:K$3,2,FALSE))</f>
        <v/>
      </c>
      <c r="G1163" s="1285"/>
      <c r="H1163" s="1284"/>
      <c r="I1163" s="1284"/>
      <c r="J1163" s="644" t="str">
        <f t="shared" si="74"/>
        <v/>
      </c>
      <c r="K1163" s="1284"/>
      <c r="L1163" s="644" t="str">
        <f t="shared" si="75"/>
        <v/>
      </c>
      <c r="M1163" s="680"/>
      <c r="N1163" s="651"/>
    </row>
    <row r="1164" spans="1:14" ht="15.95" customHeight="1" x14ac:dyDescent="0.15">
      <c r="A1164" s="1286"/>
      <c r="B1164" s="640" t="str">
        <f t="shared" si="72"/>
        <v/>
      </c>
      <c r="C1164" s="1285"/>
      <c r="D1164" s="640" t="str">
        <f t="shared" si="73"/>
        <v/>
      </c>
      <c r="E1164" s="1285"/>
      <c r="F1164" s="641" t="str">
        <f>IF(G1164="","",VLOOKUP(G1164,リスト!J$2:K$3,2,FALSE))</f>
        <v/>
      </c>
      <c r="G1164" s="1285"/>
      <c r="H1164" s="1284"/>
      <c r="I1164" s="1284"/>
      <c r="J1164" s="644" t="str">
        <f t="shared" si="74"/>
        <v/>
      </c>
      <c r="K1164" s="1284"/>
      <c r="L1164" s="644" t="str">
        <f t="shared" si="75"/>
        <v/>
      </c>
      <c r="M1164" s="680"/>
      <c r="N1164" s="651"/>
    </row>
    <row r="1165" spans="1:14" ht="15.95" customHeight="1" x14ac:dyDescent="0.15">
      <c r="A1165" s="1286"/>
      <c r="B1165" s="640" t="str">
        <f t="shared" si="72"/>
        <v/>
      </c>
      <c r="C1165" s="1285"/>
      <c r="D1165" s="640" t="str">
        <f t="shared" si="73"/>
        <v/>
      </c>
      <c r="E1165" s="1285"/>
      <c r="F1165" s="641" t="str">
        <f>IF(G1165="","",VLOOKUP(G1165,リスト!J$2:K$3,2,FALSE))</f>
        <v/>
      </c>
      <c r="G1165" s="1285"/>
      <c r="H1165" s="1284"/>
      <c r="I1165" s="1284"/>
      <c r="J1165" s="644" t="str">
        <f t="shared" si="74"/>
        <v/>
      </c>
      <c r="K1165" s="1284"/>
      <c r="L1165" s="644" t="str">
        <f t="shared" si="75"/>
        <v/>
      </c>
      <c r="M1165" s="680"/>
      <c r="N1165" s="651"/>
    </row>
    <row r="1166" spans="1:14" ht="15.95" customHeight="1" x14ac:dyDescent="0.15">
      <c r="A1166" s="1286"/>
      <c r="B1166" s="640" t="str">
        <f t="shared" si="72"/>
        <v/>
      </c>
      <c r="C1166" s="1285"/>
      <c r="D1166" s="640" t="str">
        <f t="shared" si="73"/>
        <v/>
      </c>
      <c r="E1166" s="1285"/>
      <c r="F1166" s="641" t="str">
        <f>IF(G1166="","",VLOOKUP(G1166,リスト!J$2:K$3,2,FALSE))</f>
        <v/>
      </c>
      <c r="G1166" s="1285"/>
      <c r="H1166" s="1284"/>
      <c r="I1166" s="1284"/>
      <c r="J1166" s="644" t="str">
        <f t="shared" si="74"/>
        <v/>
      </c>
      <c r="K1166" s="1284"/>
      <c r="L1166" s="644" t="str">
        <f t="shared" si="75"/>
        <v/>
      </c>
      <c r="M1166" s="680"/>
      <c r="N1166" s="651"/>
    </row>
    <row r="1167" spans="1:14" ht="15.95" customHeight="1" x14ac:dyDescent="0.15">
      <c r="A1167" s="1286"/>
      <c r="B1167" s="640" t="str">
        <f t="shared" si="72"/>
        <v/>
      </c>
      <c r="C1167" s="1285"/>
      <c r="D1167" s="640" t="str">
        <f t="shared" si="73"/>
        <v/>
      </c>
      <c r="E1167" s="1285"/>
      <c r="F1167" s="641" t="str">
        <f>IF(G1167="","",VLOOKUP(G1167,リスト!J$2:K$3,2,FALSE))</f>
        <v/>
      </c>
      <c r="G1167" s="1285"/>
      <c r="H1167" s="1284"/>
      <c r="I1167" s="1284"/>
      <c r="J1167" s="644" t="str">
        <f t="shared" si="74"/>
        <v/>
      </c>
      <c r="K1167" s="1284"/>
      <c r="L1167" s="644" t="str">
        <f t="shared" si="75"/>
        <v/>
      </c>
      <c r="M1167" s="680"/>
      <c r="N1167" s="651"/>
    </row>
    <row r="1168" spans="1:14" ht="15.95" customHeight="1" x14ac:dyDescent="0.15">
      <c r="A1168" s="1286"/>
      <c r="B1168" s="640" t="str">
        <f t="shared" si="72"/>
        <v/>
      </c>
      <c r="C1168" s="1285"/>
      <c r="D1168" s="640" t="str">
        <f t="shared" si="73"/>
        <v/>
      </c>
      <c r="E1168" s="1285"/>
      <c r="F1168" s="641" t="str">
        <f>IF(G1168="","",VLOOKUP(G1168,リスト!J$2:K$3,2,FALSE))</f>
        <v/>
      </c>
      <c r="G1168" s="1285"/>
      <c r="H1168" s="1284"/>
      <c r="I1168" s="1284"/>
      <c r="J1168" s="644" t="str">
        <f t="shared" si="74"/>
        <v/>
      </c>
      <c r="K1168" s="1284"/>
      <c r="L1168" s="644" t="str">
        <f t="shared" si="75"/>
        <v/>
      </c>
      <c r="M1168" s="680"/>
      <c r="N1168" s="651"/>
    </row>
    <row r="1169" spans="1:14" ht="15.95" customHeight="1" x14ac:dyDescent="0.15">
      <c r="A1169" s="1286"/>
      <c r="B1169" s="640" t="str">
        <f t="shared" si="72"/>
        <v/>
      </c>
      <c r="C1169" s="1285"/>
      <c r="D1169" s="640" t="str">
        <f t="shared" si="73"/>
        <v/>
      </c>
      <c r="E1169" s="1285"/>
      <c r="F1169" s="641" t="str">
        <f>IF(G1169="","",VLOOKUP(G1169,リスト!J$2:K$3,2,FALSE))</f>
        <v/>
      </c>
      <c r="G1169" s="1285"/>
      <c r="H1169" s="1284"/>
      <c r="I1169" s="1284"/>
      <c r="J1169" s="644" t="str">
        <f t="shared" si="74"/>
        <v/>
      </c>
      <c r="K1169" s="1284"/>
      <c r="L1169" s="644" t="str">
        <f t="shared" si="75"/>
        <v/>
      </c>
      <c r="M1169" s="680"/>
      <c r="N1169" s="651"/>
    </row>
    <row r="1170" spans="1:14" ht="15.95" customHeight="1" x14ac:dyDescent="0.15">
      <c r="A1170" s="1286"/>
      <c r="B1170" s="640" t="str">
        <f t="shared" si="72"/>
        <v/>
      </c>
      <c r="C1170" s="1285"/>
      <c r="D1170" s="640" t="str">
        <f t="shared" si="73"/>
        <v/>
      </c>
      <c r="E1170" s="1285"/>
      <c r="F1170" s="641" t="str">
        <f>IF(G1170="","",VLOOKUP(G1170,リスト!J$2:K$3,2,FALSE))</f>
        <v/>
      </c>
      <c r="G1170" s="1285"/>
      <c r="H1170" s="1284"/>
      <c r="I1170" s="1284"/>
      <c r="J1170" s="644" t="str">
        <f t="shared" si="74"/>
        <v/>
      </c>
      <c r="K1170" s="1284"/>
      <c r="L1170" s="644" t="str">
        <f t="shared" si="75"/>
        <v/>
      </c>
      <c r="M1170" s="680"/>
      <c r="N1170" s="651"/>
    </row>
    <row r="1171" spans="1:14" ht="15.95" customHeight="1" x14ac:dyDescent="0.15">
      <c r="A1171" s="1286"/>
      <c r="B1171" s="640" t="str">
        <f t="shared" si="72"/>
        <v/>
      </c>
      <c r="C1171" s="1285"/>
      <c r="D1171" s="640" t="str">
        <f t="shared" si="73"/>
        <v/>
      </c>
      <c r="E1171" s="1285"/>
      <c r="F1171" s="641" t="str">
        <f>IF(G1171="","",VLOOKUP(G1171,リスト!J$2:K$3,2,FALSE))</f>
        <v/>
      </c>
      <c r="G1171" s="1285"/>
      <c r="H1171" s="1284"/>
      <c r="I1171" s="1284"/>
      <c r="J1171" s="644" t="str">
        <f t="shared" si="74"/>
        <v/>
      </c>
      <c r="K1171" s="1284"/>
      <c r="L1171" s="644" t="str">
        <f t="shared" si="75"/>
        <v/>
      </c>
      <c r="M1171" s="680"/>
      <c r="N1171" s="651"/>
    </row>
    <row r="1172" spans="1:14" ht="15.95" customHeight="1" x14ac:dyDescent="0.15">
      <c r="A1172" s="1286"/>
      <c r="B1172" s="640" t="str">
        <f t="shared" si="72"/>
        <v/>
      </c>
      <c r="C1172" s="1285"/>
      <c r="D1172" s="640" t="str">
        <f t="shared" si="73"/>
        <v/>
      </c>
      <c r="E1172" s="1285"/>
      <c r="F1172" s="641" t="str">
        <f>IF(G1172="","",VLOOKUP(G1172,リスト!J$2:K$3,2,FALSE))</f>
        <v/>
      </c>
      <c r="G1172" s="1285"/>
      <c r="H1172" s="1284"/>
      <c r="I1172" s="1284"/>
      <c r="J1172" s="644" t="str">
        <f t="shared" si="74"/>
        <v/>
      </c>
      <c r="K1172" s="1284"/>
      <c r="L1172" s="644" t="str">
        <f t="shared" si="75"/>
        <v/>
      </c>
      <c r="M1172" s="680"/>
      <c r="N1172" s="651"/>
    </row>
    <row r="1173" spans="1:14" ht="15.95" customHeight="1" x14ac:dyDescent="0.15">
      <c r="A1173" s="1286"/>
      <c r="B1173" s="640" t="str">
        <f t="shared" si="72"/>
        <v/>
      </c>
      <c r="C1173" s="1285"/>
      <c r="D1173" s="640" t="str">
        <f t="shared" si="73"/>
        <v/>
      </c>
      <c r="E1173" s="1285"/>
      <c r="F1173" s="641" t="str">
        <f>IF(G1173="","",VLOOKUP(G1173,リスト!J$2:K$3,2,FALSE))</f>
        <v/>
      </c>
      <c r="G1173" s="1285"/>
      <c r="H1173" s="1284"/>
      <c r="I1173" s="1284"/>
      <c r="J1173" s="644" t="str">
        <f t="shared" si="74"/>
        <v/>
      </c>
      <c r="K1173" s="1284"/>
      <c r="L1173" s="644" t="str">
        <f t="shared" si="75"/>
        <v/>
      </c>
      <c r="M1173" s="680"/>
      <c r="N1173" s="651"/>
    </row>
    <row r="1174" spans="1:14" ht="15.95" customHeight="1" x14ac:dyDescent="0.15">
      <c r="A1174" s="1286"/>
      <c r="B1174" s="640" t="str">
        <f t="shared" si="72"/>
        <v/>
      </c>
      <c r="C1174" s="1285"/>
      <c r="D1174" s="640" t="str">
        <f t="shared" si="73"/>
        <v/>
      </c>
      <c r="E1174" s="1285"/>
      <c r="F1174" s="641" t="str">
        <f>IF(G1174="","",VLOOKUP(G1174,リスト!J$2:K$3,2,FALSE))</f>
        <v/>
      </c>
      <c r="G1174" s="1285"/>
      <c r="H1174" s="1284"/>
      <c r="I1174" s="1284"/>
      <c r="J1174" s="644" t="str">
        <f t="shared" si="74"/>
        <v/>
      </c>
      <c r="K1174" s="1284"/>
      <c r="L1174" s="644" t="str">
        <f t="shared" si="75"/>
        <v/>
      </c>
      <c r="M1174" s="680"/>
      <c r="N1174" s="651"/>
    </row>
    <row r="1175" spans="1:14" ht="15.95" customHeight="1" x14ac:dyDescent="0.15">
      <c r="A1175" s="1286"/>
      <c r="B1175" s="640" t="str">
        <f t="shared" si="72"/>
        <v/>
      </c>
      <c r="C1175" s="1285"/>
      <c r="D1175" s="640" t="str">
        <f t="shared" si="73"/>
        <v/>
      </c>
      <c r="E1175" s="1285"/>
      <c r="F1175" s="641" t="str">
        <f>IF(G1175="","",VLOOKUP(G1175,リスト!J$2:K$3,2,FALSE))</f>
        <v/>
      </c>
      <c r="G1175" s="1285"/>
      <c r="H1175" s="1284"/>
      <c r="I1175" s="1284"/>
      <c r="J1175" s="644" t="str">
        <f t="shared" si="74"/>
        <v/>
      </c>
      <c r="K1175" s="1284"/>
      <c r="L1175" s="644" t="str">
        <f t="shared" si="75"/>
        <v/>
      </c>
      <c r="M1175" s="680"/>
      <c r="N1175" s="651"/>
    </row>
    <row r="1176" spans="1:14" ht="15.95" customHeight="1" x14ac:dyDescent="0.15">
      <c r="A1176" s="1286"/>
      <c r="B1176" s="640" t="str">
        <f t="shared" si="72"/>
        <v/>
      </c>
      <c r="C1176" s="1285"/>
      <c r="D1176" s="640" t="str">
        <f t="shared" si="73"/>
        <v/>
      </c>
      <c r="E1176" s="1285"/>
      <c r="F1176" s="641" t="str">
        <f>IF(G1176="","",VLOOKUP(G1176,リスト!J$2:K$3,2,FALSE))</f>
        <v/>
      </c>
      <c r="G1176" s="1285"/>
      <c r="H1176" s="1284"/>
      <c r="I1176" s="1284"/>
      <c r="J1176" s="644" t="str">
        <f t="shared" si="74"/>
        <v/>
      </c>
      <c r="K1176" s="1284"/>
      <c r="L1176" s="644" t="str">
        <f t="shared" si="75"/>
        <v/>
      </c>
      <c r="M1176" s="680"/>
      <c r="N1176" s="651"/>
    </row>
    <row r="1177" spans="1:14" ht="15.95" customHeight="1" x14ac:dyDescent="0.15">
      <c r="A1177" s="1286"/>
      <c r="B1177" s="640" t="str">
        <f t="shared" si="72"/>
        <v/>
      </c>
      <c r="C1177" s="1285"/>
      <c r="D1177" s="640" t="str">
        <f t="shared" si="73"/>
        <v/>
      </c>
      <c r="E1177" s="1285"/>
      <c r="F1177" s="641" t="str">
        <f>IF(G1177="","",VLOOKUP(G1177,リスト!J$2:K$3,2,FALSE))</f>
        <v/>
      </c>
      <c r="G1177" s="1285"/>
      <c r="H1177" s="1284"/>
      <c r="I1177" s="1284"/>
      <c r="J1177" s="644" t="str">
        <f t="shared" si="74"/>
        <v/>
      </c>
      <c r="K1177" s="1284"/>
      <c r="L1177" s="644" t="str">
        <f t="shared" si="75"/>
        <v/>
      </c>
      <c r="M1177" s="680"/>
      <c r="N1177" s="651"/>
    </row>
    <row r="1178" spans="1:14" ht="15.95" customHeight="1" x14ac:dyDescent="0.15">
      <c r="A1178" s="1286"/>
      <c r="B1178" s="640" t="str">
        <f t="shared" si="72"/>
        <v/>
      </c>
      <c r="C1178" s="1285"/>
      <c r="D1178" s="640" t="str">
        <f t="shared" si="73"/>
        <v/>
      </c>
      <c r="E1178" s="1285"/>
      <c r="F1178" s="641" t="str">
        <f>IF(G1178="","",VLOOKUP(G1178,リスト!J$2:K$3,2,FALSE))</f>
        <v/>
      </c>
      <c r="G1178" s="1285"/>
      <c r="H1178" s="1284"/>
      <c r="I1178" s="1284"/>
      <c r="J1178" s="644" t="str">
        <f t="shared" si="74"/>
        <v/>
      </c>
      <c r="K1178" s="1284"/>
      <c r="L1178" s="644" t="str">
        <f t="shared" si="75"/>
        <v/>
      </c>
      <c r="M1178" s="680"/>
      <c r="N1178" s="651"/>
    </row>
    <row r="1179" spans="1:14" ht="15.95" customHeight="1" x14ac:dyDescent="0.15">
      <c r="A1179" s="1286"/>
      <c r="B1179" s="640" t="str">
        <f t="shared" si="72"/>
        <v/>
      </c>
      <c r="C1179" s="1285"/>
      <c r="D1179" s="640" t="str">
        <f t="shared" si="73"/>
        <v/>
      </c>
      <c r="E1179" s="1285"/>
      <c r="F1179" s="641" t="str">
        <f>IF(G1179="","",VLOOKUP(G1179,リスト!J$2:K$3,2,FALSE))</f>
        <v/>
      </c>
      <c r="G1179" s="1285"/>
      <c r="H1179" s="1284"/>
      <c r="I1179" s="1284"/>
      <c r="J1179" s="644" t="str">
        <f t="shared" si="74"/>
        <v/>
      </c>
      <c r="K1179" s="1284"/>
      <c r="L1179" s="644" t="str">
        <f t="shared" si="75"/>
        <v/>
      </c>
      <c r="M1179" s="680"/>
      <c r="N1179" s="651"/>
    </row>
    <row r="1180" spans="1:14" ht="15.95" customHeight="1" x14ac:dyDescent="0.15">
      <c r="A1180" s="1286"/>
      <c r="B1180" s="640" t="str">
        <f t="shared" si="72"/>
        <v/>
      </c>
      <c r="C1180" s="1285"/>
      <c r="D1180" s="640" t="str">
        <f t="shared" si="73"/>
        <v/>
      </c>
      <c r="E1180" s="1285"/>
      <c r="F1180" s="641" t="str">
        <f>IF(G1180="","",VLOOKUP(G1180,リスト!J$2:K$3,2,FALSE))</f>
        <v/>
      </c>
      <c r="G1180" s="1285"/>
      <c r="H1180" s="1284"/>
      <c r="I1180" s="1284"/>
      <c r="J1180" s="644" t="str">
        <f t="shared" si="74"/>
        <v/>
      </c>
      <c r="K1180" s="1284"/>
      <c r="L1180" s="644" t="str">
        <f t="shared" si="75"/>
        <v/>
      </c>
      <c r="M1180" s="680"/>
      <c r="N1180" s="651"/>
    </row>
    <row r="1181" spans="1:14" ht="15.95" customHeight="1" x14ac:dyDescent="0.15">
      <c r="A1181" s="1286"/>
      <c r="B1181" s="640" t="str">
        <f t="shared" ref="B1181:B1244" si="76">IF(C1181="","",VLOOKUP(C1181,事業所コード2,2,FALSE))</f>
        <v/>
      </c>
      <c r="C1181" s="1285"/>
      <c r="D1181" s="640" t="str">
        <f t="shared" ref="D1181:D1244" si="77">IF(E1181="","",VLOOKUP(E1181,事業区分コード2,2,FALSE))</f>
        <v/>
      </c>
      <c r="E1181" s="1285"/>
      <c r="F1181" s="641" t="str">
        <f>IF(G1181="","",VLOOKUP(G1181,リスト!J$2:K$3,2,FALSE))</f>
        <v/>
      </c>
      <c r="G1181" s="1285"/>
      <c r="H1181" s="1284"/>
      <c r="I1181" s="1284"/>
      <c r="J1181" s="644" t="str">
        <f t="shared" ref="J1181:J1244" si="78">IF(A1181="","",H1181+I1181)</f>
        <v/>
      </c>
      <c r="K1181" s="1284"/>
      <c r="L1181" s="644" t="str">
        <f t="shared" ref="L1181:L1244" si="79">IF(A1181="","",J1181-K1181)</f>
        <v/>
      </c>
      <c r="M1181" s="680"/>
      <c r="N1181" s="651"/>
    </row>
    <row r="1182" spans="1:14" ht="15.95" customHeight="1" x14ac:dyDescent="0.15">
      <c r="A1182" s="1286"/>
      <c r="B1182" s="640" t="str">
        <f t="shared" si="76"/>
        <v/>
      </c>
      <c r="C1182" s="1285"/>
      <c r="D1182" s="640" t="str">
        <f t="shared" si="77"/>
        <v/>
      </c>
      <c r="E1182" s="1285"/>
      <c r="F1182" s="641" t="str">
        <f>IF(G1182="","",VLOOKUP(G1182,リスト!J$2:K$3,2,FALSE))</f>
        <v/>
      </c>
      <c r="G1182" s="1285"/>
      <c r="H1182" s="1284"/>
      <c r="I1182" s="1284"/>
      <c r="J1182" s="644" t="str">
        <f t="shared" si="78"/>
        <v/>
      </c>
      <c r="K1182" s="1284"/>
      <c r="L1182" s="644" t="str">
        <f t="shared" si="79"/>
        <v/>
      </c>
      <c r="M1182" s="680"/>
      <c r="N1182" s="651"/>
    </row>
    <row r="1183" spans="1:14" ht="15.95" customHeight="1" x14ac:dyDescent="0.15">
      <c r="A1183" s="1286"/>
      <c r="B1183" s="640" t="str">
        <f t="shared" si="76"/>
        <v/>
      </c>
      <c r="C1183" s="1285"/>
      <c r="D1183" s="640" t="str">
        <f t="shared" si="77"/>
        <v/>
      </c>
      <c r="E1183" s="1285"/>
      <c r="F1183" s="641" t="str">
        <f>IF(G1183="","",VLOOKUP(G1183,リスト!J$2:K$3,2,FALSE))</f>
        <v/>
      </c>
      <c r="G1183" s="1285"/>
      <c r="H1183" s="1284"/>
      <c r="I1183" s="1284"/>
      <c r="J1183" s="644" t="str">
        <f t="shared" si="78"/>
        <v/>
      </c>
      <c r="K1183" s="1284"/>
      <c r="L1183" s="644" t="str">
        <f t="shared" si="79"/>
        <v/>
      </c>
      <c r="M1183" s="680"/>
      <c r="N1183" s="651"/>
    </row>
    <row r="1184" spans="1:14" ht="15.95" customHeight="1" x14ac:dyDescent="0.15">
      <c r="A1184" s="1286"/>
      <c r="B1184" s="640" t="str">
        <f t="shared" si="76"/>
        <v/>
      </c>
      <c r="C1184" s="1285"/>
      <c r="D1184" s="640" t="str">
        <f t="shared" si="77"/>
        <v/>
      </c>
      <c r="E1184" s="1285"/>
      <c r="F1184" s="641" t="str">
        <f>IF(G1184="","",VLOOKUP(G1184,リスト!J$2:K$3,2,FALSE))</f>
        <v/>
      </c>
      <c r="G1184" s="1285"/>
      <c r="H1184" s="1284"/>
      <c r="I1184" s="1284"/>
      <c r="J1184" s="644" t="str">
        <f t="shared" si="78"/>
        <v/>
      </c>
      <c r="K1184" s="1284"/>
      <c r="L1184" s="644" t="str">
        <f t="shared" si="79"/>
        <v/>
      </c>
      <c r="M1184" s="680"/>
      <c r="N1184" s="651"/>
    </row>
    <row r="1185" spans="1:14" ht="15.95" customHeight="1" x14ac:dyDescent="0.15">
      <c r="A1185" s="1286"/>
      <c r="B1185" s="640" t="str">
        <f t="shared" si="76"/>
        <v/>
      </c>
      <c r="C1185" s="1285"/>
      <c r="D1185" s="640" t="str">
        <f t="shared" si="77"/>
        <v/>
      </c>
      <c r="E1185" s="1285"/>
      <c r="F1185" s="641" t="str">
        <f>IF(G1185="","",VLOOKUP(G1185,リスト!J$2:K$3,2,FALSE))</f>
        <v/>
      </c>
      <c r="G1185" s="1285"/>
      <c r="H1185" s="1284"/>
      <c r="I1185" s="1284"/>
      <c r="J1185" s="644" t="str">
        <f t="shared" si="78"/>
        <v/>
      </c>
      <c r="K1185" s="1284"/>
      <c r="L1185" s="644" t="str">
        <f t="shared" si="79"/>
        <v/>
      </c>
      <c r="M1185" s="680"/>
      <c r="N1185" s="651"/>
    </row>
    <row r="1186" spans="1:14" ht="15.95" customHeight="1" x14ac:dyDescent="0.15">
      <c r="A1186" s="1286"/>
      <c r="B1186" s="640" t="str">
        <f t="shared" si="76"/>
        <v/>
      </c>
      <c r="C1186" s="1285"/>
      <c r="D1186" s="640" t="str">
        <f t="shared" si="77"/>
        <v/>
      </c>
      <c r="E1186" s="1285"/>
      <c r="F1186" s="641" t="str">
        <f>IF(G1186="","",VLOOKUP(G1186,リスト!J$2:K$3,2,FALSE))</f>
        <v/>
      </c>
      <c r="G1186" s="1285"/>
      <c r="H1186" s="1284"/>
      <c r="I1186" s="1284"/>
      <c r="J1186" s="644" t="str">
        <f t="shared" si="78"/>
        <v/>
      </c>
      <c r="K1186" s="1284"/>
      <c r="L1186" s="644" t="str">
        <f t="shared" si="79"/>
        <v/>
      </c>
      <c r="M1186" s="680"/>
      <c r="N1186" s="651"/>
    </row>
    <row r="1187" spans="1:14" ht="15.95" customHeight="1" x14ac:dyDescent="0.15">
      <c r="A1187" s="1286"/>
      <c r="B1187" s="640" t="str">
        <f t="shared" si="76"/>
        <v/>
      </c>
      <c r="C1187" s="1285"/>
      <c r="D1187" s="640" t="str">
        <f t="shared" si="77"/>
        <v/>
      </c>
      <c r="E1187" s="1285"/>
      <c r="F1187" s="641" t="str">
        <f>IF(G1187="","",VLOOKUP(G1187,リスト!J$2:K$3,2,FALSE))</f>
        <v/>
      </c>
      <c r="G1187" s="1285"/>
      <c r="H1187" s="1284"/>
      <c r="I1187" s="1284"/>
      <c r="J1187" s="644" t="str">
        <f t="shared" si="78"/>
        <v/>
      </c>
      <c r="K1187" s="1284"/>
      <c r="L1187" s="644" t="str">
        <f t="shared" si="79"/>
        <v/>
      </c>
      <c r="M1187" s="680"/>
      <c r="N1187" s="651"/>
    </row>
    <row r="1188" spans="1:14" ht="15.95" customHeight="1" x14ac:dyDescent="0.15">
      <c r="A1188" s="1286"/>
      <c r="B1188" s="640" t="str">
        <f t="shared" si="76"/>
        <v/>
      </c>
      <c r="C1188" s="1285"/>
      <c r="D1188" s="640" t="str">
        <f t="shared" si="77"/>
        <v/>
      </c>
      <c r="E1188" s="1285"/>
      <c r="F1188" s="641" t="str">
        <f>IF(G1188="","",VLOOKUP(G1188,リスト!J$2:K$3,2,FALSE))</f>
        <v/>
      </c>
      <c r="G1188" s="1285"/>
      <c r="H1188" s="1284"/>
      <c r="I1188" s="1284"/>
      <c r="J1188" s="644" t="str">
        <f t="shared" si="78"/>
        <v/>
      </c>
      <c r="K1188" s="1284"/>
      <c r="L1188" s="644" t="str">
        <f t="shared" si="79"/>
        <v/>
      </c>
      <c r="M1188" s="680"/>
      <c r="N1188" s="651"/>
    </row>
    <row r="1189" spans="1:14" ht="15.95" customHeight="1" x14ac:dyDescent="0.15">
      <c r="A1189" s="1286"/>
      <c r="B1189" s="640" t="str">
        <f t="shared" si="76"/>
        <v/>
      </c>
      <c r="C1189" s="1285"/>
      <c r="D1189" s="640" t="str">
        <f t="shared" si="77"/>
        <v/>
      </c>
      <c r="E1189" s="1285"/>
      <c r="F1189" s="641" t="str">
        <f>IF(G1189="","",VLOOKUP(G1189,リスト!J$2:K$3,2,FALSE))</f>
        <v/>
      </c>
      <c r="G1189" s="1285"/>
      <c r="H1189" s="1284"/>
      <c r="I1189" s="1284"/>
      <c r="J1189" s="644" t="str">
        <f t="shared" si="78"/>
        <v/>
      </c>
      <c r="K1189" s="1284"/>
      <c r="L1189" s="644" t="str">
        <f t="shared" si="79"/>
        <v/>
      </c>
      <c r="M1189" s="680"/>
      <c r="N1189" s="651"/>
    </row>
    <row r="1190" spans="1:14" ht="15.95" customHeight="1" x14ac:dyDescent="0.15">
      <c r="A1190" s="1286"/>
      <c r="B1190" s="640" t="str">
        <f t="shared" si="76"/>
        <v/>
      </c>
      <c r="C1190" s="1285"/>
      <c r="D1190" s="640" t="str">
        <f t="shared" si="77"/>
        <v/>
      </c>
      <c r="E1190" s="1285"/>
      <c r="F1190" s="641" t="str">
        <f>IF(G1190="","",VLOOKUP(G1190,リスト!J$2:K$3,2,FALSE))</f>
        <v/>
      </c>
      <c r="G1190" s="1285"/>
      <c r="H1190" s="1284"/>
      <c r="I1190" s="1284"/>
      <c r="J1190" s="644" t="str">
        <f t="shared" si="78"/>
        <v/>
      </c>
      <c r="K1190" s="1284"/>
      <c r="L1190" s="644" t="str">
        <f t="shared" si="79"/>
        <v/>
      </c>
      <c r="M1190" s="680"/>
      <c r="N1190" s="651"/>
    </row>
    <row r="1191" spans="1:14" ht="15.95" customHeight="1" x14ac:dyDescent="0.15">
      <c r="A1191" s="1286"/>
      <c r="B1191" s="640" t="str">
        <f t="shared" si="76"/>
        <v/>
      </c>
      <c r="C1191" s="1285"/>
      <c r="D1191" s="640" t="str">
        <f t="shared" si="77"/>
        <v/>
      </c>
      <c r="E1191" s="1285"/>
      <c r="F1191" s="641" t="str">
        <f>IF(G1191="","",VLOOKUP(G1191,リスト!J$2:K$3,2,FALSE))</f>
        <v/>
      </c>
      <c r="G1191" s="1285"/>
      <c r="H1191" s="1284"/>
      <c r="I1191" s="1284"/>
      <c r="J1191" s="644" t="str">
        <f t="shared" si="78"/>
        <v/>
      </c>
      <c r="K1191" s="1284"/>
      <c r="L1191" s="644" t="str">
        <f t="shared" si="79"/>
        <v/>
      </c>
      <c r="M1191" s="680"/>
      <c r="N1191" s="651"/>
    </row>
    <row r="1192" spans="1:14" ht="15.95" customHeight="1" x14ac:dyDescent="0.15">
      <c r="A1192" s="1286"/>
      <c r="B1192" s="640" t="str">
        <f t="shared" si="76"/>
        <v/>
      </c>
      <c r="C1192" s="1285"/>
      <c r="D1192" s="640" t="str">
        <f t="shared" si="77"/>
        <v/>
      </c>
      <c r="E1192" s="1285"/>
      <c r="F1192" s="641" t="str">
        <f>IF(G1192="","",VLOOKUP(G1192,リスト!J$2:K$3,2,FALSE))</f>
        <v/>
      </c>
      <c r="G1192" s="1285"/>
      <c r="H1192" s="1284"/>
      <c r="I1192" s="1284"/>
      <c r="J1192" s="644" t="str">
        <f t="shared" si="78"/>
        <v/>
      </c>
      <c r="K1192" s="1284"/>
      <c r="L1192" s="644" t="str">
        <f t="shared" si="79"/>
        <v/>
      </c>
      <c r="M1192" s="680"/>
      <c r="N1192" s="651"/>
    </row>
    <row r="1193" spans="1:14" ht="15.95" customHeight="1" x14ac:dyDescent="0.15">
      <c r="A1193" s="1286"/>
      <c r="B1193" s="640" t="str">
        <f t="shared" si="76"/>
        <v/>
      </c>
      <c r="C1193" s="1285"/>
      <c r="D1193" s="640" t="str">
        <f t="shared" si="77"/>
        <v/>
      </c>
      <c r="E1193" s="1285"/>
      <c r="F1193" s="641" t="str">
        <f>IF(G1193="","",VLOOKUP(G1193,リスト!J$2:K$3,2,FALSE))</f>
        <v/>
      </c>
      <c r="G1193" s="1285"/>
      <c r="H1193" s="1284"/>
      <c r="I1193" s="1284"/>
      <c r="J1193" s="644" t="str">
        <f t="shared" si="78"/>
        <v/>
      </c>
      <c r="K1193" s="1284"/>
      <c r="L1193" s="644" t="str">
        <f t="shared" si="79"/>
        <v/>
      </c>
      <c r="M1193" s="680"/>
      <c r="N1193" s="651"/>
    </row>
    <row r="1194" spans="1:14" ht="15.95" customHeight="1" x14ac:dyDescent="0.15">
      <c r="A1194" s="1286"/>
      <c r="B1194" s="640" t="str">
        <f t="shared" si="76"/>
        <v/>
      </c>
      <c r="C1194" s="1285"/>
      <c r="D1194" s="640" t="str">
        <f t="shared" si="77"/>
        <v/>
      </c>
      <c r="E1194" s="1285"/>
      <c r="F1194" s="641" t="str">
        <f>IF(G1194="","",VLOOKUP(G1194,リスト!J$2:K$3,2,FALSE))</f>
        <v/>
      </c>
      <c r="G1194" s="1285"/>
      <c r="H1194" s="1284"/>
      <c r="I1194" s="1284"/>
      <c r="J1194" s="644" t="str">
        <f t="shared" si="78"/>
        <v/>
      </c>
      <c r="K1194" s="1284"/>
      <c r="L1194" s="644" t="str">
        <f t="shared" si="79"/>
        <v/>
      </c>
      <c r="M1194" s="680"/>
      <c r="N1194" s="651"/>
    </row>
    <row r="1195" spans="1:14" ht="15.95" customHeight="1" x14ac:dyDescent="0.15">
      <c r="A1195" s="1286"/>
      <c r="B1195" s="640" t="str">
        <f t="shared" si="76"/>
        <v/>
      </c>
      <c r="C1195" s="1285"/>
      <c r="D1195" s="640" t="str">
        <f t="shared" si="77"/>
        <v/>
      </c>
      <c r="E1195" s="1285"/>
      <c r="F1195" s="641" t="str">
        <f>IF(G1195="","",VLOOKUP(G1195,リスト!J$2:K$3,2,FALSE))</f>
        <v/>
      </c>
      <c r="G1195" s="1285"/>
      <c r="H1195" s="1284"/>
      <c r="I1195" s="1284"/>
      <c r="J1195" s="644" t="str">
        <f t="shared" si="78"/>
        <v/>
      </c>
      <c r="K1195" s="1284"/>
      <c r="L1195" s="644" t="str">
        <f t="shared" si="79"/>
        <v/>
      </c>
      <c r="M1195" s="680"/>
      <c r="N1195" s="651"/>
    </row>
    <row r="1196" spans="1:14" ht="15.95" customHeight="1" x14ac:dyDescent="0.15">
      <c r="A1196" s="1286"/>
      <c r="B1196" s="640" t="str">
        <f t="shared" si="76"/>
        <v/>
      </c>
      <c r="C1196" s="1285"/>
      <c r="D1196" s="640" t="str">
        <f t="shared" si="77"/>
        <v/>
      </c>
      <c r="E1196" s="1285"/>
      <c r="F1196" s="641" t="str">
        <f>IF(G1196="","",VLOOKUP(G1196,リスト!J$2:K$3,2,FALSE))</f>
        <v/>
      </c>
      <c r="G1196" s="1285"/>
      <c r="H1196" s="1284"/>
      <c r="I1196" s="1284"/>
      <c r="J1196" s="644" t="str">
        <f t="shared" si="78"/>
        <v/>
      </c>
      <c r="K1196" s="1284"/>
      <c r="L1196" s="644" t="str">
        <f t="shared" si="79"/>
        <v/>
      </c>
      <c r="M1196" s="680"/>
      <c r="N1196" s="651"/>
    </row>
    <row r="1197" spans="1:14" ht="15.95" customHeight="1" x14ac:dyDescent="0.15">
      <c r="A1197" s="1286"/>
      <c r="B1197" s="640" t="str">
        <f t="shared" si="76"/>
        <v/>
      </c>
      <c r="C1197" s="1285"/>
      <c r="D1197" s="640" t="str">
        <f t="shared" si="77"/>
        <v/>
      </c>
      <c r="E1197" s="1285"/>
      <c r="F1197" s="641" t="str">
        <f>IF(G1197="","",VLOOKUP(G1197,リスト!J$2:K$3,2,FALSE))</f>
        <v/>
      </c>
      <c r="G1197" s="1285"/>
      <c r="H1197" s="1284"/>
      <c r="I1197" s="1284"/>
      <c r="J1197" s="644" t="str">
        <f t="shared" si="78"/>
        <v/>
      </c>
      <c r="K1197" s="1284"/>
      <c r="L1197" s="644" t="str">
        <f t="shared" si="79"/>
        <v/>
      </c>
      <c r="M1197" s="680"/>
      <c r="N1197" s="651"/>
    </row>
    <row r="1198" spans="1:14" ht="15.95" customHeight="1" x14ac:dyDescent="0.15">
      <c r="A1198" s="1286"/>
      <c r="B1198" s="640" t="str">
        <f t="shared" si="76"/>
        <v/>
      </c>
      <c r="C1198" s="1285"/>
      <c r="D1198" s="640" t="str">
        <f t="shared" si="77"/>
        <v/>
      </c>
      <c r="E1198" s="1285"/>
      <c r="F1198" s="641" t="str">
        <f>IF(G1198="","",VLOOKUP(G1198,リスト!J$2:K$3,2,FALSE))</f>
        <v/>
      </c>
      <c r="G1198" s="1285"/>
      <c r="H1198" s="1284"/>
      <c r="I1198" s="1284"/>
      <c r="J1198" s="644" t="str">
        <f t="shared" si="78"/>
        <v/>
      </c>
      <c r="K1198" s="1284"/>
      <c r="L1198" s="644" t="str">
        <f t="shared" si="79"/>
        <v/>
      </c>
      <c r="M1198" s="680"/>
      <c r="N1198" s="651"/>
    </row>
    <row r="1199" spans="1:14" ht="15.95" customHeight="1" x14ac:dyDescent="0.15">
      <c r="A1199" s="1286"/>
      <c r="B1199" s="640" t="str">
        <f t="shared" si="76"/>
        <v/>
      </c>
      <c r="C1199" s="1285"/>
      <c r="D1199" s="640" t="str">
        <f t="shared" si="77"/>
        <v/>
      </c>
      <c r="E1199" s="1285"/>
      <c r="F1199" s="641" t="str">
        <f>IF(G1199="","",VLOOKUP(G1199,リスト!J$2:K$3,2,FALSE))</f>
        <v/>
      </c>
      <c r="G1199" s="1285"/>
      <c r="H1199" s="1284"/>
      <c r="I1199" s="1284"/>
      <c r="J1199" s="644" t="str">
        <f t="shared" si="78"/>
        <v/>
      </c>
      <c r="K1199" s="1284"/>
      <c r="L1199" s="644" t="str">
        <f t="shared" si="79"/>
        <v/>
      </c>
      <c r="M1199" s="680"/>
      <c r="N1199" s="651"/>
    </row>
    <row r="1200" spans="1:14" ht="15.95" customHeight="1" x14ac:dyDescent="0.15">
      <c r="A1200" s="1286"/>
      <c r="B1200" s="640" t="str">
        <f t="shared" si="76"/>
        <v/>
      </c>
      <c r="C1200" s="1285"/>
      <c r="D1200" s="640" t="str">
        <f t="shared" si="77"/>
        <v/>
      </c>
      <c r="E1200" s="1285"/>
      <c r="F1200" s="641" t="str">
        <f>IF(G1200="","",VLOOKUP(G1200,リスト!J$2:K$3,2,FALSE))</f>
        <v/>
      </c>
      <c r="G1200" s="1285"/>
      <c r="H1200" s="1284"/>
      <c r="I1200" s="1284"/>
      <c r="J1200" s="644" t="str">
        <f t="shared" si="78"/>
        <v/>
      </c>
      <c r="K1200" s="1284"/>
      <c r="L1200" s="644" t="str">
        <f t="shared" si="79"/>
        <v/>
      </c>
      <c r="M1200" s="680"/>
      <c r="N1200" s="651"/>
    </row>
    <row r="1201" spans="1:14" ht="15.95" customHeight="1" x14ac:dyDescent="0.15">
      <c r="A1201" s="1286"/>
      <c r="B1201" s="640" t="str">
        <f t="shared" si="76"/>
        <v/>
      </c>
      <c r="C1201" s="1285"/>
      <c r="D1201" s="640" t="str">
        <f t="shared" si="77"/>
        <v/>
      </c>
      <c r="E1201" s="1285"/>
      <c r="F1201" s="641" t="str">
        <f>IF(G1201="","",VLOOKUP(G1201,リスト!J$2:K$3,2,FALSE))</f>
        <v/>
      </c>
      <c r="G1201" s="1285"/>
      <c r="H1201" s="1284"/>
      <c r="I1201" s="1284"/>
      <c r="J1201" s="644" t="str">
        <f t="shared" si="78"/>
        <v/>
      </c>
      <c r="K1201" s="1284"/>
      <c r="L1201" s="644" t="str">
        <f t="shared" si="79"/>
        <v/>
      </c>
      <c r="M1201" s="680"/>
      <c r="N1201" s="651"/>
    </row>
    <row r="1202" spans="1:14" ht="15.95" customHeight="1" x14ac:dyDescent="0.15">
      <c r="A1202" s="1286"/>
      <c r="B1202" s="640" t="str">
        <f t="shared" si="76"/>
        <v/>
      </c>
      <c r="C1202" s="1285"/>
      <c r="D1202" s="640" t="str">
        <f t="shared" si="77"/>
        <v/>
      </c>
      <c r="E1202" s="1285"/>
      <c r="F1202" s="641" t="str">
        <f>IF(G1202="","",VLOOKUP(G1202,リスト!J$2:K$3,2,FALSE))</f>
        <v/>
      </c>
      <c r="G1202" s="1285"/>
      <c r="H1202" s="1284"/>
      <c r="I1202" s="1284"/>
      <c r="J1202" s="644" t="str">
        <f t="shared" si="78"/>
        <v/>
      </c>
      <c r="K1202" s="1284"/>
      <c r="L1202" s="644" t="str">
        <f t="shared" si="79"/>
        <v/>
      </c>
      <c r="M1202" s="680"/>
      <c r="N1202" s="651"/>
    </row>
    <row r="1203" spans="1:14" ht="15.95" customHeight="1" x14ac:dyDescent="0.15">
      <c r="A1203" s="1286"/>
      <c r="B1203" s="640" t="str">
        <f t="shared" si="76"/>
        <v/>
      </c>
      <c r="C1203" s="1285"/>
      <c r="D1203" s="640" t="str">
        <f t="shared" si="77"/>
        <v/>
      </c>
      <c r="E1203" s="1285"/>
      <c r="F1203" s="641" t="str">
        <f>IF(G1203="","",VLOOKUP(G1203,リスト!J$2:K$3,2,FALSE))</f>
        <v/>
      </c>
      <c r="G1203" s="1285"/>
      <c r="H1203" s="1284"/>
      <c r="I1203" s="1284"/>
      <c r="J1203" s="644" t="str">
        <f t="shared" si="78"/>
        <v/>
      </c>
      <c r="K1203" s="1284"/>
      <c r="L1203" s="644" t="str">
        <f t="shared" si="79"/>
        <v/>
      </c>
      <c r="M1203" s="680"/>
      <c r="N1203" s="651"/>
    </row>
    <row r="1204" spans="1:14" ht="15.95" customHeight="1" x14ac:dyDescent="0.15">
      <c r="A1204" s="1286"/>
      <c r="B1204" s="640" t="str">
        <f t="shared" si="76"/>
        <v/>
      </c>
      <c r="C1204" s="1285"/>
      <c r="D1204" s="640" t="str">
        <f t="shared" si="77"/>
        <v/>
      </c>
      <c r="E1204" s="1285"/>
      <c r="F1204" s="641" t="str">
        <f>IF(G1204="","",VLOOKUP(G1204,リスト!J$2:K$3,2,FALSE))</f>
        <v/>
      </c>
      <c r="G1204" s="1285"/>
      <c r="H1204" s="1284"/>
      <c r="I1204" s="1284"/>
      <c r="J1204" s="644" t="str">
        <f t="shared" si="78"/>
        <v/>
      </c>
      <c r="K1204" s="1284"/>
      <c r="L1204" s="644" t="str">
        <f t="shared" si="79"/>
        <v/>
      </c>
      <c r="M1204" s="680"/>
      <c r="N1204" s="651"/>
    </row>
    <row r="1205" spans="1:14" ht="15.95" customHeight="1" x14ac:dyDescent="0.15">
      <c r="A1205" s="1286"/>
      <c r="B1205" s="640" t="str">
        <f t="shared" si="76"/>
        <v/>
      </c>
      <c r="C1205" s="1285"/>
      <c r="D1205" s="640" t="str">
        <f t="shared" si="77"/>
        <v/>
      </c>
      <c r="E1205" s="1285"/>
      <c r="F1205" s="641" t="str">
        <f>IF(G1205="","",VLOOKUP(G1205,リスト!J$2:K$3,2,FALSE))</f>
        <v/>
      </c>
      <c r="G1205" s="1285"/>
      <c r="H1205" s="1284"/>
      <c r="I1205" s="1284"/>
      <c r="J1205" s="644" t="str">
        <f t="shared" si="78"/>
        <v/>
      </c>
      <c r="K1205" s="1284"/>
      <c r="L1205" s="644" t="str">
        <f t="shared" si="79"/>
        <v/>
      </c>
      <c r="M1205" s="680"/>
      <c r="N1205" s="651"/>
    </row>
    <row r="1206" spans="1:14" ht="15.95" customHeight="1" x14ac:dyDescent="0.15">
      <c r="A1206" s="1286"/>
      <c r="B1206" s="640" t="str">
        <f t="shared" si="76"/>
        <v/>
      </c>
      <c r="C1206" s="1285"/>
      <c r="D1206" s="640" t="str">
        <f t="shared" si="77"/>
        <v/>
      </c>
      <c r="E1206" s="1285"/>
      <c r="F1206" s="641" t="str">
        <f>IF(G1206="","",VLOOKUP(G1206,リスト!J$2:K$3,2,FALSE))</f>
        <v/>
      </c>
      <c r="G1206" s="1285"/>
      <c r="H1206" s="1284"/>
      <c r="I1206" s="1284"/>
      <c r="J1206" s="644" t="str">
        <f t="shared" si="78"/>
        <v/>
      </c>
      <c r="K1206" s="1284"/>
      <c r="L1206" s="644" t="str">
        <f t="shared" si="79"/>
        <v/>
      </c>
      <c r="M1206" s="680"/>
      <c r="N1206" s="651"/>
    </row>
    <row r="1207" spans="1:14" ht="15.95" customHeight="1" x14ac:dyDescent="0.15">
      <c r="A1207" s="1286"/>
      <c r="B1207" s="640" t="str">
        <f t="shared" si="76"/>
        <v/>
      </c>
      <c r="C1207" s="1285"/>
      <c r="D1207" s="640" t="str">
        <f t="shared" si="77"/>
        <v/>
      </c>
      <c r="E1207" s="1285"/>
      <c r="F1207" s="641" t="str">
        <f>IF(G1207="","",VLOOKUP(G1207,リスト!J$2:K$3,2,FALSE))</f>
        <v/>
      </c>
      <c r="G1207" s="1285"/>
      <c r="H1207" s="1284"/>
      <c r="I1207" s="1284"/>
      <c r="J1207" s="644" t="str">
        <f t="shared" si="78"/>
        <v/>
      </c>
      <c r="K1207" s="1284"/>
      <c r="L1207" s="644" t="str">
        <f t="shared" si="79"/>
        <v/>
      </c>
      <c r="M1207" s="680"/>
      <c r="N1207" s="651"/>
    </row>
    <row r="1208" spans="1:14" ht="15.95" customHeight="1" x14ac:dyDescent="0.15">
      <c r="A1208" s="1286"/>
      <c r="B1208" s="640" t="str">
        <f t="shared" si="76"/>
        <v/>
      </c>
      <c r="C1208" s="1285"/>
      <c r="D1208" s="640" t="str">
        <f t="shared" si="77"/>
        <v/>
      </c>
      <c r="E1208" s="1285"/>
      <c r="F1208" s="641" t="str">
        <f>IF(G1208="","",VLOOKUP(G1208,リスト!J$2:K$3,2,FALSE))</f>
        <v/>
      </c>
      <c r="G1208" s="1285"/>
      <c r="H1208" s="1284"/>
      <c r="I1208" s="1284"/>
      <c r="J1208" s="644" t="str">
        <f t="shared" si="78"/>
        <v/>
      </c>
      <c r="K1208" s="1284"/>
      <c r="L1208" s="644" t="str">
        <f t="shared" si="79"/>
        <v/>
      </c>
      <c r="M1208" s="680"/>
      <c r="N1208" s="651"/>
    </row>
    <row r="1209" spans="1:14" ht="15.95" customHeight="1" x14ac:dyDescent="0.15">
      <c r="A1209" s="1286"/>
      <c r="B1209" s="640" t="str">
        <f t="shared" si="76"/>
        <v/>
      </c>
      <c r="C1209" s="1285"/>
      <c r="D1209" s="640" t="str">
        <f t="shared" si="77"/>
        <v/>
      </c>
      <c r="E1209" s="1285"/>
      <c r="F1209" s="641" t="str">
        <f>IF(G1209="","",VLOOKUP(G1209,リスト!J$2:K$3,2,FALSE))</f>
        <v/>
      </c>
      <c r="G1209" s="1285"/>
      <c r="H1209" s="1284"/>
      <c r="I1209" s="1284"/>
      <c r="J1209" s="644" t="str">
        <f t="shared" si="78"/>
        <v/>
      </c>
      <c r="K1209" s="1284"/>
      <c r="L1209" s="644" t="str">
        <f t="shared" si="79"/>
        <v/>
      </c>
      <c r="M1209" s="680"/>
      <c r="N1209" s="651"/>
    </row>
    <row r="1210" spans="1:14" ht="15.95" customHeight="1" x14ac:dyDescent="0.15">
      <c r="A1210" s="1286"/>
      <c r="B1210" s="640" t="str">
        <f t="shared" si="76"/>
        <v/>
      </c>
      <c r="C1210" s="1285"/>
      <c r="D1210" s="640" t="str">
        <f t="shared" si="77"/>
        <v/>
      </c>
      <c r="E1210" s="1285"/>
      <c r="F1210" s="641" t="str">
        <f>IF(G1210="","",VLOOKUP(G1210,リスト!J$2:K$3,2,FALSE))</f>
        <v/>
      </c>
      <c r="G1210" s="1285"/>
      <c r="H1210" s="1284"/>
      <c r="I1210" s="1284"/>
      <c r="J1210" s="644" t="str">
        <f t="shared" si="78"/>
        <v/>
      </c>
      <c r="K1210" s="1284"/>
      <c r="L1210" s="644" t="str">
        <f t="shared" si="79"/>
        <v/>
      </c>
      <c r="M1210" s="680"/>
      <c r="N1210" s="651"/>
    </row>
    <row r="1211" spans="1:14" ht="15.95" customHeight="1" x14ac:dyDescent="0.15">
      <c r="A1211" s="1286"/>
      <c r="B1211" s="640" t="str">
        <f t="shared" si="76"/>
        <v/>
      </c>
      <c r="C1211" s="1285"/>
      <c r="D1211" s="640" t="str">
        <f t="shared" si="77"/>
        <v/>
      </c>
      <c r="E1211" s="1285"/>
      <c r="F1211" s="641" t="str">
        <f>IF(G1211="","",VLOOKUP(G1211,リスト!J$2:K$3,2,FALSE))</f>
        <v/>
      </c>
      <c r="G1211" s="1285"/>
      <c r="H1211" s="1284"/>
      <c r="I1211" s="1284"/>
      <c r="J1211" s="644" t="str">
        <f t="shared" si="78"/>
        <v/>
      </c>
      <c r="K1211" s="1284"/>
      <c r="L1211" s="644" t="str">
        <f t="shared" si="79"/>
        <v/>
      </c>
      <c r="M1211" s="680"/>
      <c r="N1211" s="651"/>
    </row>
    <row r="1212" spans="1:14" ht="15.95" customHeight="1" x14ac:dyDescent="0.15">
      <c r="A1212" s="1286"/>
      <c r="B1212" s="640" t="str">
        <f t="shared" si="76"/>
        <v/>
      </c>
      <c r="C1212" s="1285"/>
      <c r="D1212" s="640" t="str">
        <f t="shared" si="77"/>
        <v/>
      </c>
      <c r="E1212" s="1285"/>
      <c r="F1212" s="641" t="str">
        <f>IF(G1212="","",VLOOKUP(G1212,リスト!J$2:K$3,2,FALSE))</f>
        <v/>
      </c>
      <c r="G1212" s="1285"/>
      <c r="H1212" s="1284"/>
      <c r="I1212" s="1284"/>
      <c r="J1212" s="644" t="str">
        <f t="shared" si="78"/>
        <v/>
      </c>
      <c r="K1212" s="1284"/>
      <c r="L1212" s="644" t="str">
        <f t="shared" si="79"/>
        <v/>
      </c>
      <c r="M1212" s="680"/>
      <c r="N1212" s="651"/>
    </row>
    <row r="1213" spans="1:14" ht="15.95" customHeight="1" x14ac:dyDescent="0.15">
      <c r="A1213" s="1286"/>
      <c r="B1213" s="640" t="str">
        <f t="shared" si="76"/>
        <v/>
      </c>
      <c r="C1213" s="1285"/>
      <c r="D1213" s="640" t="str">
        <f t="shared" si="77"/>
        <v/>
      </c>
      <c r="E1213" s="1285"/>
      <c r="F1213" s="641" t="str">
        <f>IF(G1213="","",VLOOKUP(G1213,リスト!J$2:K$3,2,FALSE))</f>
        <v/>
      </c>
      <c r="G1213" s="1285"/>
      <c r="H1213" s="1284"/>
      <c r="I1213" s="1284"/>
      <c r="J1213" s="644" t="str">
        <f t="shared" si="78"/>
        <v/>
      </c>
      <c r="K1213" s="1284"/>
      <c r="L1213" s="644" t="str">
        <f t="shared" si="79"/>
        <v/>
      </c>
      <c r="M1213" s="680"/>
      <c r="N1213" s="651"/>
    </row>
    <row r="1214" spans="1:14" ht="15.95" customHeight="1" x14ac:dyDescent="0.15">
      <c r="A1214" s="1286"/>
      <c r="B1214" s="640" t="str">
        <f t="shared" si="76"/>
        <v/>
      </c>
      <c r="C1214" s="1285"/>
      <c r="D1214" s="640" t="str">
        <f t="shared" si="77"/>
        <v/>
      </c>
      <c r="E1214" s="1285"/>
      <c r="F1214" s="641" t="str">
        <f>IF(G1214="","",VLOOKUP(G1214,リスト!J$2:K$3,2,FALSE))</f>
        <v/>
      </c>
      <c r="G1214" s="1285"/>
      <c r="H1214" s="1284"/>
      <c r="I1214" s="1284"/>
      <c r="J1214" s="644" t="str">
        <f t="shared" si="78"/>
        <v/>
      </c>
      <c r="K1214" s="1284"/>
      <c r="L1214" s="644" t="str">
        <f t="shared" si="79"/>
        <v/>
      </c>
      <c r="M1214" s="680"/>
      <c r="N1214" s="651"/>
    </row>
    <row r="1215" spans="1:14" ht="15.95" customHeight="1" x14ac:dyDescent="0.15">
      <c r="A1215" s="1286"/>
      <c r="B1215" s="640" t="str">
        <f t="shared" si="76"/>
        <v/>
      </c>
      <c r="C1215" s="1285"/>
      <c r="D1215" s="640" t="str">
        <f t="shared" si="77"/>
        <v/>
      </c>
      <c r="E1215" s="1285"/>
      <c r="F1215" s="641" t="str">
        <f>IF(G1215="","",VLOOKUP(G1215,リスト!J$2:K$3,2,FALSE))</f>
        <v/>
      </c>
      <c r="G1215" s="1285"/>
      <c r="H1215" s="1284"/>
      <c r="I1215" s="1284"/>
      <c r="J1215" s="644" t="str">
        <f t="shared" si="78"/>
        <v/>
      </c>
      <c r="K1215" s="1284"/>
      <c r="L1215" s="644" t="str">
        <f t="shared" si="79"/>
        <v/>
      </c>
      <c r="M1215" s="680"/>
      <c r="N1215" s="651"/>
    </row>
    <row r="1216" spans="1:14" ht="15.95" customHeight="1" x14ac:dyDescent="0.15">
      <c r="A1216" s="1286"/>
      <c r="B1216" s="640" t="str">
        <f t="shared" si="76"/>
        <v/>
      </c>
      <c r="C1216" s="1285"/>
      <c r="D1216" s="640" t="str">
        <f t="shared" si="77"/>
        <v/>
      </c>
      <c r="E1216" s="1285"/>
      <c r="F1216" s="641" t="str">
        <f>IF(G1216="","",VLOOKUP(G1216,リスト!J$2:K$3,2,FALSE))</f>
        <v/>
      </c>
      <c r="G1216" s="1285"/>
      <c r="H1216" s="1284"/>
      <c r="I1216" s="1284"/>
      <c r="J1216" s="644" t="str">
        <f t="shared" si="78"/>
        <v/>
      </c>
      <c r="K1216" s="1284"/>
      <c r="L1216" s="644" t="str">
        <f t="shared" si="79"/>
        <v/>
      </c>
      <c r="M1216" s="680"/>
      <c r="N1216" s="651"/>
    </row>
    <row r="1217" spans="1:14" ht="15.95" customHeight="1" x14ac:dyDescent="0.15">
      <c r="A1217" s="1286"/>
      <c r="B1217" s="640" t="str">
        <f t="shared" si="76"/>
        <v/>
      </c>
      <c r="C1217" s="1285"/>
      <c r="D1217" s="640" t="str">
        <f t="shared" si="77"/>
        <v/>
      </c>
      <c r="E1217" s="1285"/>
      <c r="F1217" s="641" t="str">
        <f>IF(G1217="","",VLOOKUP(G1217,リスト!J$2:K$3,2,FALSE))</f>
        <v/>
      </c>
      <c r="G1217" s="1285"/>
      <c r="H1217" s="1284"/>
      <c r="I1217" s="1284"/>
      <c r="J1217" s="644" t="str">
        <f t="shared" si="78"/>
        <v/>
      </c>
      <c r="K1217" s="1284"/>
      <c r="L1217" s="644" t="str">
        <f t="shared" si="79"/>
        <v/>
      </c>
      <c r="M1217" s="680"/>
      <c r="N1217" s="651"/>
    </row>
    <row r="1218" spans="1:14" ht="15.95" customHeight="1" x14ac:dyDescent="0.15">
      <c r="A1218" s="1286"/>
      <c r="B1218" s="640" t="str">
        <f t="shared" si="76"/>
        <v/>
      </c>
      <c r="C1218" s="1285"/>
      <c r="D1218" s="640" t="str">
        <f t="shared" si="77"/>
        <v/>
      </c>
      <c r="E1218" s="1285"/>
      <c r="F1218" s="641" t="str">
        <f>IF(G1218="","",VLOOKUP(G1218,リスト!J$2:K$3,2,FALSE))</f>
        <v/>
      </c>
      <c r="G1218" s="1285"/>
      <c r="H1218" s="1284"/>
      <c r="I1218" s="1284"/>
      <c r="J1218" s="644" t="str">
        <f t="shared" si="78"/>
        <v/>
      </c>
      <c r="K1218" s="1284"/>
      <c r="L1218" s="644" t="str">
        <f t="shared" si="79"/>
        <v/>
      </c>
      <c r="M1218" s="680"/>
      <c r="N1218" s="651"/>
    </row>
    <row r="1219" spans="1:14" ht="15.95" customHeight="1" x14ac:dyDescent="0.15">
      <c r="A1219" s="1286"/>
      <c r="B1219" s="640" t="str">
        <f t="shared" si="76"/>
        <v/>
      </c>
      <c r="C1219" s="1285"/>
      <c r="D1219" s="640" t="str">
        <f t="shared" si="77"/>
        <v/>
      </c>
      <c r="E1219" s="1285"/>
      <c r="F1219" s="641" t="str">
        <f>IF(G1219="","",VLOOKUP(G1219,リスト!J$2:K$3,2,FALSE))</f>
        <v/>
      </c>
      <c r="G1219" s="1285"/>
      <c r="H1219" s="1284"/>
      <c r="I1219" s="1284"/>
      <c r="J1219" s="644" t="str">
        <f t="shared" si="78"/>
        <v/>
      </c>
      <c r="K1219" s="1284"/>
      <c r="L1219" s="644" t="str">
        <f t="shared" si="79"/>
        <v/>
      </c>
      <c r="M1219" s="680"/>
      <c r="N1219" s="651"/>
    </row>
    <row r="1220" spans="1:14" ht="15.95" customHeight="1" x14ac:dyDescent="0.15">
      <c r="A1220" s="1286"/>
      <c r="B1220" s="640" t="str">
        <f t="shared" si="76"/>
        <v/>
      </c>
      <c r="C1220" s="1285"/>
      <c r="D1220" s="640" t="str">
        <f t="shared" si="77"/>
        <v/>
      </c>
      <c r="E1220" s="1285"/>
      <c r="F1220" s="641" t="str">
        <f>IF(G1220="","",VLOOKUP(G1220,リスト!J$2:K$3,2,FALSE))</f>
        <v/>
      </c>
      <c r="G1220" s="1285"/>
      <c r="H1220" s="1284"/>
      <c r="I1220" s="1284"/>
      <c r="J1220" s="644" t="str">
        <f t="shared" si="78"/>
        <v/>
      </c>
      <c r="K1220" s="1284"/>
      <c r="L1220" s="644" t="str">
        <f t="shared" si="79"/>
        <v/>
      </c>
      <c r="M1220" s="680"/>
      <c r="N1220" s="651"/>
    </row>
    <row r="1221" spans="1:14" ht="15.95" customHeight="1" x14ac:dyDescent="0.15">
      <c r="A1221" s="1286"/>
      <c r="B1221" s="640" t="str">
        <f t="shared" si="76"/>
        <v/>
      </c>
      <c r="C1221" s="1285"/>
      <c r="D1221" s="640" t="str">
        <f t="shared" si="77"/>
        <v/>
      </c>
      <c r="E1221" s="1285"/>
      <c r="F1221" s="641" t="str">
        <f>IF(G1221="","",VLOOKUP(G1221,リスト!J$2:K$3,2,FALSE))</f>
        <v/>
      </c>
      <c r="G1221" s="1285"/>
      <c r="H1221" s="1284"/>
      <c r="I1221" s="1284"/>
      <c r="J1221" s="644" t="str">
        <f t="shared" si="78"/>
        <v/>
      </c>
      <c r="K1221" s="1284"/>
      <c r="L1221" s="644" t="str">
        <f t="shared" si="79"/>
        <v/>
      </c>
      <c r="M1221" s="680"/>
      <c r="N1221" s="651"/>
    </row>
    <row r="1222" spans="1:14" ht="15.95" customHeight="1" x14ac:dyDescent="0.15">
      <c r="A1222" s="1286"/>
      <c r="B1222" s="640" t="str">
        <f t="shared" si="76"/>
        <v/>
      </c>
      <c r="C1222" s="1285"/>
      <c r="D1222" s="640" t="str">
        <f t="shared" si="77"/>
        <v/>
      </c>
      <c r="E1222" s="1285"/>
      <c r="F1222" s="641" t="str">
        <f>IF(G1222="","",VLOOKUP(G1222,リスト!J$2:K$3,2,FALSE))</f>
        <v/>
      </c>
      <c r="G1222" s="1285"/>
      <c r="H1222" s="1284"/>
      <c r="I1222" s="1284"/>
      <c r="J1222" s="644" t="str">
        <f t="shared" si="78"/>
        <v/>
      </c>
      <c r="K1222" s="1284"/>
      <c r="L1222" s="644" t="str">
        <f t="shared" si="79"/>
        <v/>
      </c>
      <c r="M1222" s="680"/>
      <c r="N1222" s="651"/>
    </row>
    <row r="1223" spans="1:14" ht="15.95" customHeight="1" x14ac:dyDescent="0.15">
      <c r="A1223" s="1286"/>
      <c r="B1223" s="640" t="str">
        <f t="shared" si="76"/>
        <v/>
      </c>
      <c r="C1223" s="1285"/>
      <c r="D1223" s="640" t="str">
        <f t="shared" si="77"/>
        <v/>
      </c>
      <c r="E1223" s="1285"/>
      <c r="F1223" s="641" t="str">
        <f>IF(G1223="","",VLOOKUP(G1223,リスト!J$2:K$3,2,FALSE))</f>
        <v/>
      </c>
      <c r="G1223" s="1285"/>
      <c r="H1223" s="1284"/>
      <c r="I1223" s="1284"/>
      <c r="J1223" s="644" t="str">
        <f t="shared" si="78"/>
        <v/>
      </c>
      <c r="K1223" s="1284"/>
      <c r="L1223" s="644" t="str">
        <f t="shared" si="79"/>
        <v/>
      </c>
      <c r="M1223" s="680"/>
      <c r="N1223" s="651"/>
    </row>
    <row r="1224" spans="1:14" ht="15.95" customHeight="1" x14ac:dyDescent="0.15">
      <c r="A1224" s="1286"/>
      <c r="B1224" s="640" t="str">
        <f t="shared" si="76"/>
        <v/>
      </c>
      <c r="C1224" s="1285"/>
      <c r="D1224" s="640" t="str">
        <f t="shared" si="77"/>
        <v/>
      </c>
      <c r="E1224" s="1285"/>
      <c r="F1224" s="641" t="str">
        <f>IF(G1224="","",VLOOKUP(G1224,リスト!J$2:K$3,2,FALSE))</f>
        <v/>
      </c>
      <c r="G1224" s="1285"/>
      <c r="H1224" s="1284"/>
      <c r="I1224" s="1284"/>
      <c r="J1224" s="644" t="str">
        <f t="shared" si="78"/>
        <v/>
      </c>
      <c r="K1224" s="1284"/>
      <c r="L1224" s="644" t="str">
        <f t="shared" si="79"/>
        <v/>
      </c>
      <c r="M1224" s="680"/>
      <c r="N1224" s="651"/>
    </row>
    <row r="1225" spans="1:14" ht="15.95" customHeight="1" x14ac:dyDescent="0.15">
      <c r="A1225" s="1286"/>
      <c r="B1225" s="640" t="str">
        <f t="shared" si="76"/>
        <v/>
      </c>
      <c r="C1225" s="1285"/>
      <c r="D1225" s="640" t="str">
        <f t="shared" si="77"/>
        <v/>
      </c>
      <c r="E1225" s="1285"/>
      <c r="F1225" s="641" t="str">
        <f>IF(G1225="","",VLOOKUP(G1225,リスト!J$2:K$3,2,FALSE))</f>
        <v/>
      </c>
      <c r="G1225" s="1285"/>
      <c r="H1225" s="1284"/>
      <c r="I1225" s="1284"/>
      <c r="J1225" s="644" t="str">
        <f t="shared" si="78"/>
        <v/>
      </c>
      <c r="K1225" s="1284"/>
      <c r="L1225" s="644" t="str">
        <f t="shared" si="79"/>
        <v/>
      </c>
      <c r="M1225" s="680"/>
      <c r="N1225" s="651"/>
    </row>
    <row r="1226" spans="1:14" ht="15.95" customHeight="1" x14ac:dyDescent="0.15">
      <c r="A1226" s="1286"/>
      <c r="B1226" s="640" t="str">
        <f t="shared" si="76"/>
        <v/>
      </c>
      <c r="C1226" s="1285"/>
      <c r="D1226" s="640" t="str">
        <f t="shared" si="77"/>
        <v/>
      </c>
      <c r="E1226" s="1285"/>
      <c r="F1226" s="641" t="str">
        <f>IF(G1226="","",VLOOKUP(G1226,リスト!J$2:K$3,2,FALSE))</f>
        <v/>
      </c>
      <c r="G1226" s="1285"/>
      <c r="H1226" s="1284"/>
      <c r="I1226" s="1284"/>
      <c r="J1226" s="644" t="str">
        <f t="shared" si="78"/>
        <v/>
      </c>
      <c r="K1226" s="1284"/>
      <c r="L1226" s="644" t="str">
        <f t="shared" si="79"/>
        <v/>
      </c>
      <c r="M1226" s="680"/>
      <c r="N1226" s="651"/>
    </row>
    <row r="1227" spans="1:14" ht="15.95" customHeight="1" x14ac:dyDescent="0.15">
      <c r="A1227" s="1286"/>
      <c r="B1227" s="640" t="str">
        <f t="shared" si="76"/>
        <v/>
      </c>
      <c r="C1227" s="1285"/>
      <c r="D1227" s="640" t="str">
        <f t="shared" si="77"/>
        <v/>
      </c>
      <c r="E1227" s="1285"/>
      <c r="F1227" s="641" t="str">
        <f>IF(G1227="","",VLOOKUP(G1227,リスト!J$2:K$3,2,FALSE))</f>
        <v/>
      </c>
      <c r="G1227" s="1285"/>
      <c r="H1227" s="1284"/>
      <c r="I1227" s="1284"/>
      <c r="J1227" s="644" t="str">
        <f t="shared" si="78"/>
        <v/>
      </c>
      <c r="K1227" s="1284"/>
      <c r="L1227" s="644" t="str">
        <f t="shared" si="79"/>
        <v/>
      </c>
      <c r="M1227" s="680"/>
      <c r="N1227" s="651"/>
    </row>
    <row r="1228" spans="1:14" ht="15.95" customHeight="1" x14ac:dyDescent="0.15">
      <c r="A1228" s="1286"/>
      <c r="B1228" s="640" t="str">
        <f t="shared" si="76"/>
        <v/>
      </c>
      <c r="C1228" s="1285"/>
      <c r="D1228" s="640" t="str">
        <f t="shared" si="77"/>
        <v/>
      </c>
      <c r="E1228" s="1285"/>
      <c r="F1228" s="641" t="str">
        <f>IF(G1228="","",VLOOKUP(G1228,リスト!J$2:K$3,2,FALSE))</f>
        <v/>
      </c>
      <c r="G1228" s="1285"/>
      <c r="H1228" s="1284"/>
      <c r="I1228" s="1284"/>
      <c r="J1228" s="644" t="str">
        <f t="shared" si="78"/>
        <v/>
      </c>
      <c r="K1228" s="1284"/>
      <c r="L1228" s="644" t="str">
        <f t="shared" si="79"/>
        <v/>
      </c>
      <c r="M1228" s="680"/>
      <c r="N1228" s="651"/>
    </row>
    <row r="1229" spans="1:14" ht="15.95" customHeight="1" x14ac:dyDescent="0.15">
      <c r="A1229" s="1286"/>
      <c r="B1229" s="640" t="str">
        <f t="shared" si="76"/>
        <v/>
      </c>
      <c r="C1229" s="1285"/>
      <c r="D1229" s="640" t="str">
        <f t="shared" si="77"/>
        <v/>
      </c>
      <c r="E1229" s="1285"/>
      <c r="F1229" s="641" t="str">
        <f>IF(G1229="","",VLOOKUP(G1229,リスト!J$2:K$3,2,FALSE))</f>
        <v/>
      </c>
      <c r="G1229" s="1285"/>
      <c r="H1229" s="1284"/>
      <c r="I1229" s="1284"/>
      <c r="J1229" s="644" t="str">
        <f t="shared" si="78"/>
        <v/>
      </c>
      <c r="K1229" s="1284"/>
      <c r="L1229" s="644" t="str">
        <f t="shared" si="79"/>
        <v/>
      </c>
      <c r="M1229" s="680"/>
      <c r="N1229" s="651"/>
    </row>
    <row r="1230" spans="1:14" ht="15.95" customHeight="1" x14ac:dyDescent="0.15">
      <c r="A1230" s="1286"/>
      <c r="B1230" s="640" t="str">
        <f t="shared" si="76"/>
        <v/>
      </c>
      <c r="C1230" s="1285"/>
      <c r="D1230" s="640" t="str">
        <f t="shared" si="77"/>
        <v/>
      </c>
      <c r="E1230" s="1285"/>
      <c r="F1230" s="641" t="str">
        <f>IF(G1230="","",VLOOKUP(G1230,リスト!J$2:K$3,2,FALSE))</f>
        <v/>
      </c>
      <c r="G1230" s="1285"/>
      <c r="H1230" s="1284"/>
      <c r="I1230" s="1284"/>
      <c r="J1230" s="644" t="str">
        <f t="shared" si="78"/>
        <v/>
      </c>
      <c r="K1230" s="1284"/>
      <c r="L1230" s="644" t="str">
        <f t="shared" si="79"/>
        <v/>
      </c>
      <c r="M1230" s="680"/>
      <c r="N1230" s="651"/>
    </row>
    <row r="1231" spans="1:14" ht="15.95" customHeight="1" x14ac:dyDescent="0.15">
      <c r="A1231" s="1286"/>
      <c r="B1231" s="640" t="str">
        <f t="shared" si="76"/>
        <v/>
      </c>
      <c r="C1231" s="1285"/>
      <c r="D1231" s="640" t="str">
        <f t="shared" si="77"/>
        <v/>
      </c>
      <c r="E1231" s="1285"/>
      <c r="F1231" s="641" t="str">
        <f>IF(G1231="","",VLOOKUP(G1231,リスト!J$2:K$3,2,FALSE))</f>
        <v/>
      </c>
      <c r="G1231" s="1285"/>
      <c r="H1231" s="1284"/>
      <c r="I1231" s="1284"/>
      <c r="J1231" s="644" t="str">
        <f t="shared" si="78"/>
        <v/>
      </c>
      <c r="K1231" s="1284"/>
      <c r="L1231" s="644" t="str">
        <f t="shared" si="79"/>
        <v/>
      </c>
      <c r="M1231" s="680"/>
      <c r="N1231" s="651"/>
    </row>
    <row r="1232" spans="1:14" ht="15.95" customHeight="1" x14ac:dyDescent="0.15">
      <c r="A1232" s="1286"/>
      <c r="B1232" s="640" t="str">
        <f t="shared" si="76"/>
        <v/>
      </c>
      <c r="C1232" s="1285"/>
      <c r="D1232" s="640" t="str">
        <f t="shared" si="77"/>
        <v/>
      </c>
      <c r="E1232" s="1285"/>
      <c r="F1232" s="641" t="str">
        <f>IF(G1232="","",VLOOKUP(G1232,リスト!J$2:K$3,2,FALSE))</f>
        <v/>
      </c>
      <c r="G1232" s="1285"/>
      <c r="H1232" s="1284"/>
      <c r="I1232" s="1284"/>
      <c r="J1232" s="644" t="str">
        <f t="shared" si="78"/>
        <v/>
      </c>
      <c r="K1232" s="1284"/>
      <c r="L1232" s="644" t="str">
        <f t="shared" si="79"/>
        <v/>
      </c>
      <c r="M1232" s="680"/>
      <c r="N1232" s="651"/>
    </row>
    <row r="1233" spans="1:14" ht="15.95" customHeight="1" x14ac:dyDescent="0.15">
      <c r="A1233" s="1286"/>
      <c r="B1233" s="640" t="str">
        <f t="shared" si="76"/>
        <v/>
      </c>
      <c r="C1233" s="1285"/>
      <c r="D1233" s="640" t="str">
        <f t="shared" si="77"/>
        <v/>
      </c>
      <c r="E1233" s="1285"/>
      <c r="F1233" s="641" t="str">
        <f>IF(G1233="","",VLOOKUP(G1233,リスト!J$2:K$3,2,FALSE))</f>
        <v/>
      </c>
      <c r="G1233" s="1285"/>
      <c r="H1233" s="1284"/>
      <c r="I1233" s="1284"/>
      <c r="J1233" s="644" t="str">
        <f t="shared" si="78"/>
        <v/>
      </c>
      <c r="K1233" s="1284"/>
      <c r="L1233" s="644" t="str">
        <f t="shared" si="79"/>
        <v/>
      </c>
      <c r="M1233" s="680"/>
      <c r="N1233" s="651"/>
    </row>
    <row r="1234" spans="1:14" ht="15.95" customHeight="1" x14ac:dyDescent="0.15">
      <c r="A1234" s="1286"/>
      <c r="B1234" s="640" t="str">
        <f t="shared" si="76"/>
        <v/>
      </c>
      <c r="C1234" s="1285"/>
      <c r="D1234" s="640" t="str">
        <f t="shared" si="77"/>
        <v/>
      </c>
      <c r="E1234" s="1285"/>
      <c r="F1234" s="641" t="str">
        <f>IF(G1234="","",VLOOKUP(G1234,リスト!J$2:K$3,2,FALSE))</f>
        <v/>
      </c>
      <c r="G1234" s="1285"/>
      <c r="H1234" s="1284"/>
      <c r="I1234" s="1284"/>
      <c r="J1234" s="644" t="str">
        <f t="shared" si="78"/>
        <v/>
      </c>
      <c r="K1234" s="1284"/>
      <c r="L1234" s="644" t="str">
        <f t="shared" si="79"/>
        <v/>
      </c>
      <c r="M1234" s="680"/>
      <c r="N1234" s="651"/>
    </row>
    <row r="1235" spans="1:14" ht="15.95" customHeight="1" x14ac:dyDescent="0.15">
      <c r="A1235" s="1286"/>
      <c r="B1235" s="640" t="str">
        <f t="shared" si="76"/>
        <v/>
      </c>
      <c r="C1235" s="1285"/>
      <c r="D1235" s="640" t="str">
        <f t="shared" si="77"/>
        <v/>
      </c>
      <c r="E1235" s="1285"/>
      <c r="F1235" s="641" t="str">
        <f>IF(G1235="","",VLOOKUP(G1235,リスト!J$2:K$3,2,FALSE))</f>
        <v/>
      </c>
      <c r="G1235" s="1285"/>
      <c r="H1235" s="1284"/>
      <c r="I1235" s="1284"/>
      <c r="J1235" s="644" t="str">
        <f t="shared" si="78"/>
        <v/>
      </c>
      <c r="K1235" s="1284"/>
      <c r="L1235" s="644" t="str">
        <f t="shared" si="79"/>
        <v/>
      </c>
      <c r="M1235" s="680"/>
      <c r="N1235" s="651"/>
    </row>
    <row r="1236" spans="1:14" ht="15.95" customHeight="1" x14ac:dyDescent="0.15">
      <c r="A1236" s="1286"/>
      <c r="B1236" s="640" t="str">
        <f t="shared" si="76"/>
        <v/>
      </c>
      <c r="C1236" s="1285"/>
      <c r="D1236" s="640" t="str">
        <f t="shared" si="77"/>
        <v/>
      </c>
      <c r="E1236" s="1285"/>
      <c r="F1236" s="641" t="str">
        <f>IF(G1236="","",VLOOKUP(G1236,リスト!J$2:K$3,2,FALSE))</f>
        <v/>
      </c>
      <c r="G1236" s="1285"/>
      <c r="H1236" s="1284"/>
      <c r="I1236" s="1284"/>
      <c r="J1236" s="644" t="str">
        <f t="shared" si="78"/>
        <v/>
      </c>
      <c r="K1236" s="1284"/>
      <c r="L1236" s="644" t="str">
        <f t="shared" si="79"/>
        <v/>
      </c>
      <c r="M1236" s="680"/>
      <c r="N1236" s="651"/>
    </row>
    <row r="1237" spans="1:14" ht="15.95" customHeight="1" x14ac:dyDescent="0.15">
      <c r="A1237" s="1286"/>
      <c r="B1237" s="640" t="str">
        <f t="shared" si="76"/>
        <v/>
      </c>
      <c r="C1237" s="1285"/>
      <c r="D1237" s="640" t="str">
        <f t="shared" si="77"/>
        <v/>
      </c>
      <c r="E1237" s="1285"/>
      <c r="F1237" s="641" t="str">
        <f>IF(G1237="","",VLOOKUP(G1237,リスト!J$2:K$3,2,FALSE))</f>
        <v/>
      </c>
      <c r="G1237" s="1285"/>
      <c r="H1237" s="1284"/>
      <c r="I1237" s="1284"/>
      <c r="J1237" s="644" t="str">
        <f t="shared" si="78"/>
        <v/>
      </c>
      <c r="K1237" s="1284"/>
      <c r="L1237" s="644" t="str">
        <f t="shared" si="79"/>
        <v/>
      </c>
      <c r="M1237" s="680"/>
      <c r="N1237" s="651"/>
    </row>
    <row r="1238" spans="1:14" ht="15.95" customHeight="1" x14ac:dyDescent="0.15">
      <c r="A1238" s="1286"/>
      <c r="B1238" s="640" t="str">
        <f t="shared" si="76"/>
        <v/>
      </c>
      <c r="C1238" s="1285"/>
      <c r="D1238" s="640" t="str">
        <f t="shared" si="77"/>
        <v/>
      </c>
      <c r="E1238" s="1285"/>
      <c r="F1238" s="641" t="str">
        <f>IF(G1238="","",VLOOKUP(G1238,リスト!J$2:K$3,2,FALSE))</f>
        <v/>
      </c>
      <c r="G1238" s="1285"/>
      <c r="H1238" s="1284"/>
      <c r="I1238" s="1284"/>
      <c r="J1238" s="644" t="str">
        <f t="shared" si="78"/>
        <v/>
      </c>
      <c r="K1238" s="1284"/>
      <c r="L1238" s="644" t="str">
        <f t="shared" si="79"/>
        <v/>
      </c>
      <c r="M1238" s="680"/>
      <c r="N1238" s="651"/>
    </row>
    <row r="1239" spans="1:14" ht="15.95" customHeight="1" x14ac:dyDescent="0.15">
      <c r="A1239" s="1286"/>
      <c r="B1239" s="640" t="str">
        <f t="shared" si="76"/>
        <v/>
      </c>
      <c r="C1239" s="1285"/>
      <c r="D1239" s="640" t="str">
        <f t="shared" si="77"/>
        <v/>
      </c>
      <c r="E1239" s="1285"/>
      <c r="F1239" s="641" t="str">
        <f>IF(G1239="","",VLOOKUP(G1239,リスト!J$2:K$3,2,FALSE))</f>
        <v/>
      </c>
      <c r="G1239" s="1285"/>
      <c r="H1239" s="1284"/>
      <c r="I1239" s="1284"/>
      <c r="J1239" s="644" t="str">
        <f t="shared" si="78"/>
        <v/>
      </c>
      <c r="K1239" s="1284"/>
      <c r="L1239" s="644" t="str">
        <f t="shared" si="79"/>
        <v/>
      </c>
      <c r="M1239" s="680"/>
      <c r="N1239" s="651"/>
    </row>
    <row r="1240" spans="1:14" ht="15.95" customHeight="1" x14ac:dyDescent="0.15">
      <c r="A1240" s="1286"/>
      <c r="B1240" s="640" t="str">
        <f t="shared" si="76"/>
        <v/>
      </c>
      <c r="C1240" s="1285"/>
      <c r="D1240" s="640" t="str">
        <f t="shared" si="77"/>
        <v/>
      </c>
      <c r="E1240" s="1285"/>
      <c r="F1240" s="641" t="str">
        <f>IF(G1240="","",VLOOKUP(G1240,リスト!J$2:K$3,2,FALSE))</f>
        <v/>
      </c>
      <c r="G1240" s="1285"/>
      <c r="H1240" s="1284"/>
      <c r="I1240" s="1284"/>
      <c r="J1240" s="644" t="str">
        <f t="shared" si="78"/>
        <v/>
      </c>
      <c r="K1240" s="1284"/>
      <c r="L1240" s="644" t="str">
        <f t="shared" si="79"/>
        <v/>
      </c>
      <c r="M1240" s="680"/>
      <c r="N1240" s="651"/>
    </row>
    <row r="1241" spans="1:14" ht="15.95" customHeight="1" x14ac:dyDescent="0.15">
      <c r="A1241" s="1286"/>
      <c r="B1241" s="640" t="str">
        <f t="shared" si="76"/>
        <v/>
      </c>
      <c r="C1241" s="1285"/>
      <c r="D1241" s="640" t="str">
        <f t="shared" si="77"/>
        <v/>
      </c>
      <c r="E1241" s="1285"/>
      <c r="F1241" s="641" t="str">
        <f>IF(G1241="","",VLOOKUP(G1241,リスト!J$2:K$3,2,FALSE))</f>
        <v/>
      </c>
      <c r="G1241" s="1285"/>
      <c r="H1241" s="1284"/>
      <c r="I1241" s="1284"/>
      <c r="J1241" s="644" t="str">
        <f t="shared" si="78"/>
        <v/>
      </c>
      <c r="K1241" s="1284"/>
      <c r="L1241" s="644" t="str">
        <f t="shared" si="79"/>
        <v/>
      </c>
      <c r="M1241" s="680"/>
      <c r="N1241" s="651"/>
    </row>
    <row r="1242" spans="1:14" ht="15.95" customHeight="1" x14ac:dyDescent="0.15">
      <c r="A1242" s="1286"/>
      <c r="B1242" s="640" t="str">
        <f t="shared" si="76"/>
        <v/>
      </c>
      <c r="C1242" s="1285"/>
      <c r="D1242" s="640" t="str">
        <f t="shared" si="77"/>
        <v/>
      </c>
      <c r="E1242" s="1285"/>
      <c r="F1242" s="641" t="str">
        <f>IF(G1242="","",VLOOKUP(G1242,リスト!J$2:K$3,2,FALSE))</f>
        <v/>
      </c>
      <c r="G1242" s="1285"/>
      <c r="H1242" s="1284"/>
      <c r="I1242" s="1284"/>
      <c r="J1242" s="644" t="str">
        <f t="shared" si="78"/>
        <v/>
      </c>
      <c r="K1242" s="1284"/>
      <c r="L1242" s="644" t="str">
        <f t="shared" si="79"/>
        <v/>
      </c>
      <c r="M1242" s="680"/>
      <c r="N1242" s="651"/>
    </row>
    <row r="1243" spans="1:14" ht="15.95" customHeight="1" x14ac:dyDescent="0.15">
      <c r="A1243" s="1286"/>
      <c r="B1243" s="640" t="str">
        <f t="shared" si="76"/>
        <v/>
      </c>
      <c r="C1243" s="1285"/>
      <c r="D1243" s="640" t="str">
        <f t="shared" si="77"/>
        <v/>
      </c>
      <c r="E1243" s="1285"/>
      <c r="F1243" s="641" t="str">
        <f>IF(G1243="","",VLOOKUP(G1243,リスト!J$2:K$3,2,FALSE))</f>
        <v/>
      </c>
      <c r="G1243" s="1285"/>
      <c r="H1243" s="1284"/>
      <c r="I1243" s="1284"/>
      <c r="J1243" s="644" t="str">
        <f t="shared" si="78"/>
        <v/>
      </c>
      <c r="K1243" s="1284"/>
      <c r="L1243" s="644" t="str">
        <f t="shared" si="79"/>
        <v/>
      </c>
      <c r="M1243" s="680"/>
      <c r="N1243" s="651"/>
    </row>
    <row r="1244" spans="1:14" ht="15.95" customHeight="1" x14ac:dyDescent="0.15">
      <c r="A1244" s="1286"/>
      <c r="B1244" s="640" t="str">
        <f t="shared" si="76"/>
        <v/>
      </c>
      <c r="C1244" s="1285"/>
      <c r="D1244" s="640" t="str">
        <f t="shared" si="77"/>
        <v/>
      </c>
      <c r="E1244" s="1285"/>
      <c r="F1244" s="641" t="str">
        <f>IF(G1244="","",VLOOKUP(G1244,リスト!J$2:K$3,2,FALSE))</f>
        <v/>
      </c>
      <c r="G1244" s="1285"/>
      <c r="H1244" s="1284"/>
      <c r="I1244" s="1284"/>
      <c r="J1244" s="644" t="str">
        <f t="shared" si="78"/>
        <v/>
      </c>
      <c r="K1244" s="1284"/>
      <c r="L1244" s="644" t="str">
        <f t="shared" si="79"/>
        <v/>
      </c>
      <c r="M1244" s="680"/>
      <c r="N1244" s="651"/>
    </row>
    <row r="1245" spans="1:14" ht="15.95" customHeight="1" x14ac:dyDescent="0.15">
      <c r="A1245" s="1286"/>
      <c r="B1245" s="640" t="str">
        <f t="shared" ref="B1245:B1308" si="80">IF(C1245="","",VLOOKUP(C1245,事業所コード2,2,FALSE))</f>
        <v/>
      </c>
      <c r="C1245" s="1285"/>
      <c r="D1245" s="640" t="str">
        <f t="shared" ref="D1245:D1308" si="81">IF(E1245="","",VLOOKUP(E1245,事業区分コード2,2,FALSE))</f>
        <v/>
      </c>
      <c r="E1245" s="1285"/>
      <c r="F1245" s="641" t="str">
        <f>IF(G1245="","",VLOOKUP(G1245,リスト!J$2:K$3,2,FALSE))</f>
        <v/>
      </c>
      <c r="G1245" s="1285"/>
      <c r="H1245" s="1284"/>
      <c r="I1245" s="1284"/>
      <c r="J1245" s="644" t="str">
        <f t="shared" ref="J1245:J1308" si="82">IF(A1245="","",H1245+I1245)</f>
        <v/>
      </c>
      <c r="K1245" s="1284"/>
      <c r="L1245" s="644" t="str">
        <f t="shared" ref="L1245:L1308" si="83">IF(A1245="","",J1245-K1245)</f>
        <v/>
      </c>
      <c r="M1245" s="680"/>
      <c r="N1245" s="651"/>
    </row>
    <row r="1246" spans="1:14" ht="15.95" customHeight="1" x14ac:dyDescent="0.15">
      <c r="A1246" s="1286"/>
      <c r="B1246" s="640" t="str">
        <f t="shared" si="80"/>
        <v/>
      </c>
      <c r="C1246" s="1285"/>
      <c r="D1246" s="640" t="str">
        <f t="shared" si="81"/>
        <v/>
      </c>
      <c r="E1246" s="1285"/>
      <c r="F1246" s="641" t="str">
        <f>IF(G1246="","",VLOOKUP(G1246,リスト!J$2:K$3,2,FALSE))</f>
        <v/>
      </c>
      <c r="G1246" s="1285"/>
      <c r="H1246" s="1284"/>
      <c r="I1246" s="1284"/>
      <c r="J1246" s="644" t="str">
        <f t="shared" si="82"/>
        <v/>
      </c>
      <c r="K1246" s="1284"/>
      <c r="L1246" s="644" t="str">
        <f t="shared" si="83"/>
        <v/>
      </c>
      <c r="M1246" s="680"/>
      <c r="N1246" s="651"/>
    </row>
    <row r="1247" spans="1:14" ht="15.95" customHeight="1" x14ac:dyDescent="0.15">
      <c r="A1247" s="1286"/>
      <c r="B1247" s="640" t="str">
        <f t="shared" si="80"/>
        <v/>
      </c>
      <c r="C1247" s="1285"/>
      <c r="D1247" s="640" t="str">
        <f t="shared" si="81"/>
        <v/>
      </c>
      <c r="E1247" s="1285"/>
      <c r="F1247" s="641" t="str">
        <f>IF(G1247="","",VLOOKUP(G1247,リスト!J$2:K$3,2,FALSE))</f>
        <v/>
      </c>
      <c r="G1247" s="1285"/>
      <c r="H1247" s="1284"/>
      <c r="I1247" s="1284"/>
      <c r="J1247" s="644" t="str">
        <f t="shared" si="82"/>
        <v/>
      </c>
      <c r="K1247" s="1284"/>
      <c r="L1247" s="644" t="str">
        <f t="shared" si="83"/>
        <v/>
      </c>
      <c r="M1247" s="680"/>
      <c r="N1247" s="651"/>
    </row>
    <row r="1248" spans="1:14" ht="15.95" customHeight="1" x14ac:dyDescent="0.15">
      <c r="A1248" s="1286"/>
      <c r="B1248" s="640" t="str">
        <f t="shared" si="80"/>
        <v/>
      </c>
      <c r="C1248" s="1285"/>
      <c r="D1248" s="640" t="str">
        <f t="shared" si="81"/>
        <v/>
      </c>
      <c r="E1248" s="1285"/>
      <c r="F1248" s="641" t="str">
        <f>IF(G1248="","",VLOOKUP(G1248,リスト!J$2:K$3,2,FALSE))</f>
        <v/>
      </c>
      <c r="G1248" s="1285"/>
      <c r="H1248" s="1284"/>
      <c r="I1248" s="1284"/>
      <c r="J1248" s="644" t="str">
        <f t="shared" si="82"/>
        <v/>
      </c>
      <c r="K1248" s="1284"/>
      <c r="L1248" s="644" t="str">
        <f t="shared" si="83"/>
        <v/>
      </c>
      <c r="M1248" s="680"/>
      <c r="N1248" s="651"/>
    </row>
    <row r="1249" spans="1:14" ht="15.95" customHeight="1" x14ac:dyDescent="0.15">
      <c r="A1249" s="1286"/>
      <c r="B1249" s="640" t="str">
        <f t="shared" si="80"/>
        <v/>
      </c>
      <c r="C1249" s="1285"/>
      <c r="D1249" s="640" t="str">
        <f t="shared" si="81"/>
        <v/>
      </c>
      <c r="E1249" s="1285"/>
      <c r="F1249" s="641" t="str">
        <f>IF(G1249="","",VLOOKUP(G1249,リスト!J$2:K$3,2,FALSE))</f>
        <v/>
      </c>
      <c r="G1249" s="1285"/>
      <c r="H1249" s="1284"/>
      <c r="I1249" s="1284"/>
      <c r="J1249" s="644" t="str">
        <f t="shared" si="82"/>
        <v/>
      </c>
      <c r="K1249" s="1284"/>
      <c r="L1249" s="644" t="str">
        <f t="shared" si="83"/>
        <v/>
      </c>
      <c r="M1249" s="680"/>
      <c r="N1249" s="651"/>
    </row>
    <row r="1250" spans="1:14" ht="15.95" customHeight="1" x14ac:dyDescent="0.15">
      <c r="A1250" s="1286"/>
      <c r="B1250" s="640" t="str">
        <f t="shared" si="80"/>
        <v/>
      </c>
      <c r="C1250" s="1285"/>
      <c r="D1250" s="640" t="str">
        <f t="shared" si="81"/>
        <v/>
      </c>
      <c r="E1250" s="1285"/>
      <c r="F1250" s="641" t="str">
        <f>IF(G1250="","",VLOOKUP(G1250,リスト!J$2:K$3,2,FALSE))</f>
        <v/>
      </c>
      <c r="G1250" s="1285"/>
      <c r="H1250" s="1284"/>
      <c r="I1250" s="1284"/>
      <c r="J1250" s="644" t="str">
        <f t="shared" si="82"/>
        <v/>
      </c>
      <c r="K1250" s="1284"/>
      <c r="L1250" s="644" t="str">
        <f t="shared" si="83"/>
        <v/>
      </c>
      <c r="M1250" s="680"/>
      <c r="N1250" s="651"/>
    </row>
    <row r="1251" spans="1:14" ht="15.95" customHeight="1" x14ac:dyDescent="0.15">
      <c r="A1251" s="1286"/>
      <c r="B1251" s="640" t="str">
        <f t="shared" si="80"/>
        <v/>
      </c>
      <c r="C1251" s="1285"/>
      <c r="D1251" s="640" t="str">
        <f t="shared" si="81"/>
        <v/>
      </c>
      <c r="E1251" s="1285"/>
      <c r="F1251" s="641" t="str">
        <f>IF(G1251="","",VLOOKUP(G1251,リスト!J$2:K$3,2,FALSE))</f>
        <v/>
      </c>
      <c r="G1251" s="1285"/>
      <c r="H1251" s="1284"/>
      <c r="I1251" s="1284"/>
      <c r="J1251" s="644" t="str">
        <f t="shared" si="82"/>
        <v/>
      </c>
      <c r="K1251" s="1284"/>
      <c r="L1251" s="644" t="str">
        <f t="shared" si="83"/>
        <v/>
      </c>
      <c r="M1251" s="680"/>
      <c r="N1251" s="651"/>
    </row>
    <row r="1252" spans="1:14" ht="15.95" customHeight="1" x14ac:dyDescent="0.15">
      <c r="A1252" s="1286"/>
      <c r="B1252" s="640" t="str">
        <f t="shared" si="80"/>
        <v/>
      </c>
      <c r="C1252" s="1285"/>
      <c r="D1252" s="640" t="str">
        <f t="shared" si="81"/>
        <v/>
      </c>
      <c r="E1252" s="1285"/>
      <c r="F1252" s="641" t="str">
        <f>IF(G1252="","",VLOOKUP(G1252,リスト!J$2:K$3,2,FALSE))</f>
        <v/>
      </c>
      <c r="G1252" s="1285"/>
      <c r="H1252" s="1284"/>
      <c r="I1252" s="1284"/>
      <c r="J1252" s="644" t="str">
        <f t="shared" si="82"/>
        <v/>
      </c>
      <c r="K1252" s="1284"/>
      <c r="L1252" s="644" t="str">
        <f t="shared" si="83"/>
        <v/>
      </c>
      <c r="M1252" s="680"/>
      <c r="N1252" s="651"/>
    </row>
    <row r="1253" spans="1:14" ht="15.95" customHeight="1" x14ac:dyDescent="0.15">
      <c r="A1253" s="1286"/>
      <c r="B1253" s="640" t="str">
        <f t="shared" si="80"/>
        <v/>
      </c>
      <c r="C1253" s="1285"/>
      <c r="D1253" s="640" t="str">
        <f t="shared" si="81"/>
        <v/>
      </c>
      <c r="E1253" s="1285"/>
      <c r="F1253" s="641" t="str">
        <f>IF(G1253="","",VLOOKUP(G1253,リスト!J$2:K$3,2,FALSE))</f>
        <v/>
      </c>
      <c r="G1253" s="1285"/>
      <c r="H1253" s="1284"/>
      <c r="I1253" s="1284"/>
      <c r="J1253" s="644" t="str">
        <f t="shared" si="82"/>
        <v/>
      </c>
      <c r="K1253" s="1284"/>
      <c r="L1253" s="644" t="str">
        <f t="shared" si="83"/>
        <v/>
      </c>
      <c r="M1253" s="680"/>
      <c r="N1253" s="651"/>
    </row>
    <row r="1254" spans="1:14" ht="15.95" customHeight="1" x14ac:dyDescent="0.15">
      <c r="A1254" s="1286"/>
      <c r="B1254" s="640" t="str">
        <f t="shared" si="80"/>
        <v/>
      </c>
      <c r="C1254" s="1285"/>
      <c r="D1254" s="640" t="str">
        <f t="shared" si="81"/>
        <v/>
      </c>
      <c r="E1254" s="1285"/>
      <c r="F1254" s="641" t="str">
        <f>IF(G1254="","",VLOOKUP(G1254,リスト!J$2:K$3,2,FALSE))</f>
        <v/>
      </c>
      <c r="G1254" s="1285"/>
      <c r="H1254" s="1284"/>
      <c r="I1254" s="1284"/>
      <c r="J1254" s="644" t="str">
        <f t="shared" si="82"/>
        <v/>
      </c>
      <c r="K1254" s="1284"/>
      <c r="L1254" s="644" t="str">
        <f t="shared" si="83"/>
        <v/>
      </c>
      <c r="M1254" s="680"/>
      <c r="N1254" s="651"/>
    </row>
    <row r="1255" spans="1:14" ht="15.95" customHeight="1" x14ac:dyDescent="0.15">
      <c r="A1255" s="1286"/>
      <c r="B1255" s="640" t="str">
        <f t="shared" si="80"/>
        <v/>
      </c>
      <c r="C1255" s="1285"/>
      <c r="D1255" s="640" t="str">
        <f t="shared" si="81"/>
        <v/>
      </c>
      <c r="E1255" s="1285"/>
      <c r="F1255" s="641" t="str">
        <f>IF(G1255="","",VLOOKUP(G1255,リスト!J$2:K$3,2,FALSE))</f>
        <v/>
      </c>
      <c r="G1255" s="1285"/>
      <c r="H1255" s="1284"/>
      <c r="I1255" s="1284"/>
      <c r="J1255" s="644" t="str">
        <f t="shared" si="82"/>
        <v/>
      </c>
      <c r="K1255" s="1284"/>
      <c r="L1255" s="644" t="str">
        <f t="shared" si="83"/>
        <v/>
      </c>
      <c r="M1255" s="680"/>
      <c r="N1255" s="651"/>
    </row>
    <row r="1256" spans="1:14" ht="15.95" customHeight="1" x14ac:dyDescent="0.15">
      <c r="A1256" s="1286"/>
      <c r="B1256" s="640" t="str">
        <f t="shared" si="80"/>
        <v/>
      </c>
      <c r="C1256" s="1285"/>
      <c r="D1256" s="640" t="str">
        <f t="shared" si="81"/>
        <v/>
      </c>
      <c r="E1256" s="1285"/>
      <c r="F1256" s="641" t="str">
        <f>IF(G1256="","",VLOOKUP(G1256,リスト!J$2:K$3,2,FALSE))</f>
        <v/>
      </c>
      <c r="G1256" s="1285"/>
      <c r="H1256" s="1284"/>
      <c r="I1256" s="1284"/>
      <c r="J1256" s="644" t="str">
        <f t="shared" si="82"/>
        <v/>
      </c>
      <c r="K1256" s="1284"/>
      <c r="L1256" s="644" t="str">
        <f t="shared" si="83"/>
        <v/>
      </c>
      <c r="M1256" s="680"/>
      <c r="N1256" s="651"/>
    </row>
    <row r="1257" spans="1:14" ht="15.95" customHeight="1" x14ac:dyDescent="0.15">
      <c r="A1257" s="1286"/>
      <c r="B1257" s="640" t="str">
        <f t="shared" si="80"/>
        <v/>
      </c>
      <c r="C1257" s="1285"/>
      <c r="D1257" s="640" t="str">
        <f t="shared" si="81"/>
        <v/>
      </c>
      <c r="E1257" s="1285"/>
      <c r="F1257" s="641" t="str">
        <f>IF(G1257="","",VLOOKUP(G1257,リスト!J$2:K$3,2,FALSE))</f>
        <v/>
      </c>
      <c r="G1257" s="1285"/>
      <c r="H1257" s="1284"/>
      <c r="I1257" s="1284"/>
      <c r="J1257" s="644" t="str">
        <f t="shared" si="82"/>
        <v/>
      </c>
      <c r="K1257" s="1284"/>
      <c r="L1257" s="644" t="str">
        <f t="shared" si="83"/>
        <v/>
      </c>
      <c r="M1257" s="680"/>
      <c r="N1257" s="651"/>
    </row>
    <row r="1258" spans="1:14" ht="15.95" customHeight="1" x14ac:dyDescent="0.15">
      <c r="A1258" s="1286"/>
      <c r="B1258" s="640" t="str">
        <f t="shared" si="80"/>
        <v/>
      </c>
      <c r="C1258" s="1285"/>
      <c r="D1258" s="640" t="str">
        <f t="shared" si="81"/>
        <v/>
      </c>
      <c r="E1258" s="1285"/>
      <c r="F1258" s="641" t="str">
        <f>IF(G1258="","",VLOOKUP(G1258,リスト!J$2:K$3,2,FALSE))</f>
        <v/>
      </c>
      <c r="G1258" s="1285"/>
      <c r="H1258" s="1284"/>
      <c r="I1258" s="1284"/>
      <c r="J1258" s="644" t="str">
        <f t="shared" si="82"/>
        <v/>
      </c>
      <c r="K1258" s="1284"/>
      <c r="L1258" s="644" t="str">
        <f t="shared" si="83"/>
        <v/>
      </c>
      <c r="M1258" s="680"/>
      <c r="N1258" s="651"/>
    </row>
    <row r="1259" spans="1:14" ht="15.95" customHeight="1" x14ac:dyDescent="0.15">
      <c r="A1259" s="1286"/>
      <c r="B1259" s="640" t="str">
        <f t="shared" si="80"/>
        <v/>
      </c>
      <c r="C1259" s="1285"/>
      <c r="D1259" s="640" t="str">
        <f t="shared" si="81"/>
        <v/>
      </c>
      <c r="E1259" s="1285"/>
      <c r="F1259" s="641" t="str">
        <f>IF(G1259="","",VLOOKUP(G1259,リスト!J$2:K$3,2,FALSE))</f>
        <v/>
      </c>
      <c r="G1259" s="1285"/>
      <c r="H1259" s="1284"/>
      <c r="I1259" s="1284"/>
      <c r="J1259" s="644" t="str">
        <f t="shared" si="82"/>
        <v/>
      </c>
      <c r="K1259" s="1284"/>
      <c r="L1259" s="644" t="str">
        <f t="shared" si="83"/>
        <v/>
      </c>
      <c r="M1259" s="680"/>
      <c r="N1259" s="651"/>
    </row>
    <row r="1260" spans="1:14" ht="15.95" customHeight="1" x14ac:dyDescent="0.15">
      <c r="A1260" s="1286"/>
      <c r="B1260" s="640" t="str">
        <f t="shared" si="80"/>
        <v/>
      </c>
      <c r="C1260" s="1285"/>
      <c r="D1260" s="640" t="str">
        <f t="shared" si="81"/>
        <v/>
      </c>
      <c r="E1260" s="1285"/>
      <c r="F1260" s="641" t="str">
        <f>IF(G1260="","",VLOOKUP(G1260,リスト!J$2:K$3,2,FALSE))</f>
        <v/>
      </c>
      <c r="G1260" s="1285"/>
      <c r="H1260" s="1284"/>
      <c r="I1260" s="1284"/>
      <c r="J1260" s="644" t="str">
        <f t="shared" si="82"/>
        <v/>
      </c>
      <c r="K1260" s="1284"/>
      <c r="L1260" s="644" t="str">
        <f t="shared" si="83"/>
        <v/>
      </c>
      <c r="M1260" s="680"/>
      <c r="N1260" s="651"/>
    </row>
    <row r="1261" spans="1:14" ht="15.95" customHeight="1" x14ac:dyDescent="0.15">
      <c r="A1261" s="1286"/>
      <c r="B1261" s="640" t="str">
        <f t="shared" si="80"/>
        <v/>
      </c>
      <c r="C1261" s="1285"/>
      <c r="D1261" s="640" t="str">
        <f t="shared" si="81"/>
        <v/>
      </c>
      <c r="E1261" s="1285"/>
      <c r="F1261" s="641" t="str">
        <f>IF(G1261="","",VLOOKUP(G1261,リスト!J$2:K$3,2,FALSE))</f>
        <v/>
      </c>
      <c r="G1261" s="1285"/>
      <c r="H1261" s="1284"/>
      <c r="I1261" s="1284"/>
      <c r="J1261" s="644" t="str">
        <f t="shared" si="82"/>
        <v/>
      </c>
      <c r="K1261" s="1284"/>
      <c r="L1261" s="644" t="str">
        <f t="shared" si="83"/>
        <v/>
      </c>
      <c r="M1261" s="680"/>
      <c r="N1261" s="651"/>
    </row>
    <row r="1262" spans="1:14" ht="15.95" customHeight="1" x14ac:dyDescent="0.15">
      <c r="A1262" s="1286"/>
      <c r="B1262" s="640" t="str">
        <f t="shared" si="80"/>
        <v/>
      </c>
      <c r="C1262" s="1285"/>
      <c r="D1262" s="640" t="str">
        <f t="shared" si="81"/>
        <v/>
      </c>
      <c r="E1262" s="1285"/>
      <c r="F1262" s="641" t="str">
        <f>IF(G1262="","",VLOOKUP(G1262,リスト!J$2:K$3,2,FALSE))</f>
        <v/>
      </c>
      <c r="G1262" s="1285"/>
      <c r="H1262" s="1284"/>
      <c r="I1262" s="1284"/>
      <c r="J1262" s="644" t="str">
        <f t="shared" si="82"/>
        <v/>
      </c>
      <c r="K1262" s="1284"/>
      <c r="L1262" s="644" t="str">
        <f t="shared" si="83"/>
        <v/>
      </c>
      <c r="M1262" s="680"/>
      <c r="N1262" s="651"/>
    </row>
    <row r="1263" spans="1:14" ht="15.95" customHeight="1" x14ac:dyDescent="0.15">
      <c r="A1263" s="1286"/>
      <c r="B1263" s="640" t="str">
        <f t="shared" si="80"/>
        <v/>
      </c>
      <c r="C1263" s="1285"/>
      <c r="D1263" s="640" t="str">
        <f t="shared" si="81"/>
        <v/>
      </c>
      <c r="E1263" s="1285"/>
      <c r="F1263" s="641" t="str">
        <f>IF(G1263="","",VLOOKUP(G1263,リスト!J$2:K$3,2,FALSE))</f>
        <v/>
      </c>
      <c r="G1263" s="1285"/>
      <c r="H1263" s="1284"/>
      <c r="I1263" s="1284"/>
      <c r="J1263" s="644" t="str">
        <f t="shared" si="82"/>
        <v/>
      </c>
      <c r="K1263" s="1284"/>
      <c r="L1263" s="644" t="str">
        <f t="shared" si="83"/>
        <v/>
      </c>
      <c r="M1263" s="680"/>
      <c r="N1263" s="651"/>
    </row>
    <row r="1264" spans="1:14" ht="15.95" customHeight="1" x14ac:dyDescent="0.15">
      <c r="A1264" s="1286"/>
      <c r="B1264" s="640" t="str">
        <f t="shared" si="80"/>
        <v/>
      </c>
      <c r="C1264" s="1285"/>
      <c r="D1264" s="640" t="str">
        <f t="shared" si="81"/>
        <v/>
      </c>
      <c r="E1264" s="1285"/>
      <c r="F1264" s="641" t="str">
        <f>IF(G1264="","",VLOOKUP(G1264,リスト!J$2:K$3,2,FALSE))</f>
        <v/>
      </c>
      <c r="G1264" s="1285"/>
      <c r="H1264" s="1284"/>
      <c r="I1264" s="1284"/>
      <c r="J1264" s="644" t="str">
        <f t="shared" si="82"/>
        <v/>
      </c>
      <c r="K1264" s="1284"/>
      <c r="L1264" s="644" t="str">
        <f t="shared" si="83"/>
        <v/>
      </c>
      <c r="M1264" s="680"/>
      <c r="N1264" s="651"/>
    </row>
    <row r="1265" spans="1:14" ht="15.95" customHeight="1" x14ac:dyDescent="0.15">
      <c r="A1265" s="1286"/>
      <c r="B1265" s="640" t="str">
        <f t="shared" si="80"/>
        <v/>
      </c>
      <c r="C1265" s="1285"/>
      <c r="D1265" s="640" t="str">
        <f t="shared" si="81"/>
        <v/>
      </c>
      <c r="E1265" s="1285"/>
      <c r="F1265" s="641" t="str">
        <f>IF(G1265="","",VLOOKUP(G1265,リスト!J$2:K$3,2,FALSE))</f>
        <v/>
      </c>
      <c r="G1265" s="1285"/>
      <c r="H1265" s="1284"/>
      <c r="I1265" s="1284"/>
      <c r="J1265" s="644" t="str">
        <f t="shared" si="82"/>
        <v/>
      </c>
      <c r="K1265" s="1284"/>
      <c r="L1265" s="644" t="str">
        <f t="shared" si="83"/>
        <v/>
      </c>
      <c r="M1265" s="680"/>
      <c r="N1265" s="651"/>
    </row>
    <row r="1266" spans="1:14" ht="15.95" customHeight="1" x14ac:dyDescent="0.15">
      <c r="A1266" s="1286"/>
      <c r="B1266" s="640" t="str">
        <f t="shared" si="80"/>
        <v/>
      </c>
      <c r="C1266" s="1285"/>
      <c r="D1266" s="640" t="str">
        <f t="shared" si="81"/>
        <v/>
      </c>
      <c r="E1266" s="1285"/>
      <c r="F1266" s="641" t="str">
        <f>IF(G1266="","",VLOOKUP(G1266,リスト!J$2:K$3,2,FALSE))</f>
        <v/>
      </c>
      <c r="G1266" s="1285"/>
      <c r="H1266" s="1284"/>
      <c r="I1266" s="1284"/>
      <c r="J1266" s="644" t="str">
        <f t="shared" si="82"/>
        <v/>
      </c>
      <c r="K1266" s="1284"/>
      <c r="L1266" s="644" t="str">
        <f t="shared" si="83"/>
        <v/>
      </c>
      <c r="M1266" s="680"/>
      <c r="N1266" s="651"/>
    </row>
    <row r="1267" spans="1:14" ht="15.95" customHeight="1" x14ac:dyDescent="0.15">
      <c r="A1267" s="1286"/>
      <c r="B1267" s="640" t="str">
        <f t="shared" si="80"/>
        <v/>
      </c>
      <c r="C1267" s="1285"/>
      <c r="D1267" s="640" t="str">
        <f t="shared" si="81"/>
        <v/>
      </c>
      <c r="E1267" s="1285"/>
      <c r="F1267" s="641" t="str">
        <f>IF(G1267="","",VLOOKUP(G1267,リスト!J$2:K$3,2,FALSE))</f>
        <v/>
      </c>
      <c r="G1267" s="1285"/>
      <c r="H1267" s="1284"/>
      <c r="I1267" s="1284"/>
      <c r="J1267" s="644" t="str">
        <f t="shared" si="82"/>
        <v/>
      </c>
      <c r="K1267" s="1284"/>
      <c r="L1267" s="644" t="str">
        <f t="shared" si="83"/>
        <v/>
      </c>
      <c r="M1267" s="680"/>
      <c r="N1267" s="651"/>
    </row>
    <row r="1268" spans="1:14" ht="15.95" customHeight="1" x14ac:dyDescent="0.15">
      <c r="A1268" s="1286"/>
      <c r="B1268" s="640" t="str">
        <f t="shared" si="80"/>
        <v/>
      </c>
      <c r="C1268" s="1285"/>
      <c r="D1268" s="640" t="str">
        <f t="shared" si="81"/>
        <v/>
      </c>
      <c r="E1268" s="1285"/>
      <c r="F1268" s="641" t="str">
        <f>IF(G1268="","",VLOOKUP(G1268,リスト!J$2:K$3,2,FALSE))</f>
        <v/>
      </c>
      <c r="G1268" s="1285"/>
      <c r="H1268" s="1284"/>
      <c r="I1268" s="1284"/>
      <c r="J1268" s="644" t="str">
        <f t="shared" si="82"/>
        <v/>
      </c>
      <c r="K1268" s="1284"/>
      <c r="L1268" s="644" t="str">
        <f t="shared" si="83"/>
        <v/>
      </c>
      <c r="M1268" s="680"/>
      <c r="N1268" s="651"/>
    </row>
    <row r="1269" spans="1:14" ht="15.95" customHeight="1" x14ac:dyDescent="0.15">
      <c r="A1269" s="1286"/>
      <c r="B1269" s="640" t="str">
        <f t="shared" si="80"/>
        <v/>
      </c>
      <c r="C1269" s="1285"/>
      <c r="D1269" s="640" t="str">
        <f t="shared" si="81"/>
        <v/>
      </c>
      <c r="E1269" s="1285"/>
      <c r="F1269" s="641" t="str">
        <f>IF(G1269="","",VLOOKUP(G1269,リスト!J$2:K$3,2,FALSE))</f>
        <v/>
      </c>
      <c r="G1269" s="1285"/>
      <c r="H1269" s="1284"/>
      <c r="I1269" s="1284"/>
      <c r="J1269" s="644" t="str">
        <f t="shared" si="82"/>
        <v/>
      </c>
      <c r="K1269" s="1284"/>
      <c r="L1269" s="644" t="str">
        <f t="shared" si="83"/>
        <v/>
      </c>
      <c r="M1269" s="680"/>
      <c r="N1269" s="651"/>
    </row>
    <row r="1270" spans="1:14" ht="15.95" customHeight="1" x14ac:dyDescent="0.15">
      <c r="A1270" s="1286"/>
      <c r="B1270" s="640" t="str">
        <f t="shared" si="80"/>
        <v/>
      </c>
      <c r="C1270" s="1285"/>
      <c r="D1270" s="640" t="str">
        <f t="shared" si="81"/>
        <v/>
      </c>
      <c r="E1270" s="1285"/>
      <c r="F1270" s="641" t="str">
        <f>IF(G1270="","",VLOOKUP(G1270,リスト!J$2:K$3,2,FALSE))</f>
        <v/>
      </c>
      <c r="G1270" s="1285"/>
      <c r="H1270" s="1284"/>
      <c r="I1270" s="1284"/>
      <c r="J1270" s="644" t="str">
        <f t="shared" si="82"/>
        <v/>
      </c>
      <c r="K1270" s="1284"/>
      <c r="L1270" s="644" t="str">
        <f t="shared" si="83"/>
        <v/>
      </c>
      <c r="M1270" s="680"/>
      <c r="N1270" s="651"/>
    </row>
    <row r="1271" spans="1:14" ht="15.95" customHeight="1" x14ac:dyDescent="0.15">
      <c r="A1271" s="1286"/>
      <c r="B1271" s="640" t="str">
        <f t="shared" si="80"/>
        <v/>
      </c>
      <c r="C1271" s="1285"/>
      <c r="D1271" s="640" t="str">
        <f t="shared" si="81"/>
        <v/>
      </c>
      <c r="E1271" s="1285"/>
      <c r="F1271" s="641" t="str">
        <f>IF(G1271="","",VLOOKUP(G1271,リスト!J$2:K$3,2,FALSE))</f>
        <v/>
      </c>
      <c r="G1271" s="1285"/>
      <c r="H1271" s="1284"/>
      <c r="I1271" s="1284"/>
      <c r="J1271" s="644" t="str">
        <f t="shared" si="82"/>
        <v/>
      </c>
      <c r="K1271" s="1284"/>
      <c r="L1271" s="644" t="str">
        <f t="shared" si="83"/>
        <v/>
      </c>
      <c r="M1271" s="680"/>
      <c r="N1271" s="651"/>
    </row>
    <row r="1272" spans="1:14" ht="15.95" customHeight="1" x14ac:dyDescent="0.15">
      <c r="A1272" s="1286"/>
      <c r="B1272" s="640" t="str">
        <f t="shared" si="80"/>
        <v/>
      </c>
      <c r="C1272" s="1285"/>
      <c r="D1272" s="640" t="str">
        <f t="shared" si="81"/>
        <v/>
      </c>
      <c r="E1272" s="1285"/>
      <c r="F1272" s="641" t="str">
        <f>IF(G1272="","",VLOOKUP(G1272,リスト!J$2:K$3,2,FALSE))</f>
        <v/>
      </c>
      <c r="G1272" s="1285"/>
      <c r="H1272" s="1284"/>
      <c r="I1272" s="1284"/>
      <c r="J1272" s="644" t="str">
        <f t="shared" si="82"/>
        <v/>
      </c>
      <c r="K1272" s="1284"/>
      <c r="L1272" s="644" t="str">
        <f t="shared" si="83"/>
        <v/>
      </c>
      <c r="M1272" s="680"/>
      <c r="N1272" s="651"/>
    </row>
    <row r="1273" spans="1:14" ht="15.95" customHeight="1" x14ac:dyDescent="0.15">
      <c r="A1273" s="1286"/>
      <c r="B1273" s="640" t="str">
        <f t="shared" si="80"/>
        <v/>
      </c>
      <c r="C1273" s="1285"/>
      <c r="D1273" s="640" t="str">
        <f t="shared" si="81"/>
        <v/>
      </c>
      <c r="E1273" s="1285"/>
      <c r="F1273" s="641" t="str">
        <f>IF(G1273="","",VLOOKUP(G1273,リスト!J$2:K$3,2,FALSE))</f>
        <v/>
      </c>
      <c r="G1273" s="1285"/>
      <c r="H1273" s="1284"/>
      <c r="I1273" s="1284"/>
      <c r="J1273" s="644" t="str">
        <f t="shared" si="82"/>
        <v/>
      </c>
      <c r="K1273" s="1284"/>
      <c r="L1273" s="644" t="str">
        <f t="shared" si="83"/>
        <v/>
      </c>
      <c r="M1273" s="680"/>
      <c r="N1273" s="651"/>
    </row>
    <row r="1274" spans="1:14" ht="15.95" customHeight="1" x14ac:dyDescent="0.15">
      <c r="A1274" s="1286"/>
      <c r="B1274" s="640" t="str">
        <f t="shared" si="80"/>
        <v/>
      </c>
      <c r="C1274" s="1285"/>
      <c r="D1274" s="640" t="str">
        <f t="shared" si="81"/>
        <v/>
      </c>
      <c r="E1274" s="1285"/>
      <c r="F1274" s="641" t="str">
        <f>IF(G1274="","",VLOOKUP(G1274,リスト!J$2:K$3,2,FALSE))</f>
        <v/>
      </c>
      <c r="G1274" s="1285"/>
      <c r="H1274" s="1284"/>
      <c r="I1274" s="1284"/>
      <c r="J1274" s="644" t="str">
        <f t="shared" si="82"/>
        <v/>
      </c>
      <c r="K1274" s="1284"/>
      <c r="L1274" s="644" t="str">
        <f t="shared" si="83"/>
        <v/>
      </c>
      <c r="M1274" s="680"/>
      <c r="N1274" s="651"/>
    </row>
    <row r="1275" spans="1:14" ht="15.95" customHeight="1" x14ac:dyDescent="0.15">
      <c r="A1275" s="1286"/>
      <c r="B1275" s="640" t="str">
        <f t="shared" si="80"/>
        <v/>
      </c>
      <c r="C1275" s="1285"/>
      <c r="D1275" s="640" t="str">
        <f t="shared" si="81"/>
        <v/>
      </c>
      <c r="E1275" s="1285"/>
      <c r="F1275" s="641" t="str">
        <f>IF(G1275="","",VLOOKUP(G1275,リスト!J$2:K$3,2,FALSE))</f>
        <v/>
      </c>
      <c r="G1275" s="1285"/>
      <c r="H1275" s="1284"/>
      <c r="I1275" s="1284"/>
      <c r="J1275" s="644" t="str">
        <f t="shared" si="82"/>
        <v/>
      </c>
      <c r="K1275" s="1284"/>
      <c r="L1275" s="644" t="str">
        <f t="shared" si="83"/>
        <v/>
      </c>
      <c r="M1275" s="680"/>
      <c r="N1275" s="651"/>
    </row>
    <row r="1276" spans="1:14" ht="15.95" customHeight="1" x14ac:dyDescent="0.15">
      <c r="A1276" s="1286"/>
      <c r="B1276" s="640" t="str">
        <f t="shared" si="80"/>
        <v/>
      </c>
      <c r="C1276" s="1285"/>
      <c r="D1276" s="640" t="str">
        <f t="shared" si="81"/>
        <v/>
      </c>
      <c r="E1276" s="1285"/>
      <c r="F1276" s="641" t="str">
        <f>IF(G1276="","",VLOOKUP(G1276,リスト!J$2:K$3,2,FALSE))</f>
        <v/>
      </c>
      <c r="G1276" s="1285"/>
      <c r="H1276" s="1284"/>
      <c r="I1276" s="1284"/>
      <c r="J1276" s="644" t="str">
        <f t="shared" si="82"/>
        <v/>
      </c>
      <c r="K1276" s="1284"/>
      <c r="L1276" s="644" t="str">
        <f t="shared" si="83"/>
        <v/>
      </c>
      <c r="M1276" s="680"/>
      <c r="N1276" s="651"/>
    </row>
    <row r="1277" spans="1:14" ht="15.95" customHeight="1" x14ac:dyDescent="0.15">
      <c r="A1277" s="1286"/>
      <c r="B1277" s="640" t="str">
        <f t="shared" si="80"/>
        <v/>
      </c>
      <c r="C1277" s="1285"/>
      <c r="D1277" s="640" t="str">
        <f t="shared" si="81"/>
        <v/>
      </c>
      <c r="E1277" s="1285"/>
      <c r="F1277" s="641" t="str">
        <f>IF(G1277="","",VLOOKUP(G1277,リスト!J$2:K$3,2,FALSE))</f>
        <v/>
      </c>
      <c r="G1277" s="1285"/>
      <c r="H1277" s="1284"/>
      <c r="I1277" s="1284"/>
      <c r="J1277" s="644" t="str">
        <f t="shared" si="82"/>
        <v/>
      </c>
      <c r="K1277" s="1284"/>
      <c r="L1277" s="644" t="str">
        <f t="shared" si="83"/>
        <v/>
      </c>
      <c r="M1277" s="680"/>
      <c r="N1277" s="651"/>
    </row>
    <row r="1278" spans="1:14" ht="15.95" customHeight="1" x14ac:dyDescent="0.15">
      <c r="A1278" s="1286"/>
      <c r="B1278" s="640" t="str">
        <f t="shared" si="80"/>
        <v/>
      </c>
      <c r="C1278" s="1285"/>
      <c r="D1278" s="640" t="str">
        <f t="shared" si="81"/>
        <v/>
      </c>
      <c r="E1278" s="1285"/>
      <c r="F1278" s="641" t="str">
        <f>IF(G1278="","",VLOOKUP(G1278,リスト!J$2:K$3,2,FALSE))</f>
        <v/>
      </c>
      <c r="G1278" s="1285"/>
      <c r="H1278" s="1284"/>
      <c r="I1278" s="1284"/>
      <c r="J1278" s="644" t="str">
        <f t="shared" si="82"/>
        <v/>
      </c>
      <c r="K1278" s="1284"/>
      <c r="L1278" s="644" t="str">
        <f t="shared" si="83"/>
        <v/>
      </c>
      <c r="M1278" s="680"/>
      <c r="N1278" s="651"/>
    </row>
    <row r="1279" spans="1:14" ht="15.95" customHeight="1" x14ac:dyDescent="0.15">
      <c r="A1279" s="1286"/>
      <c r="B1279" s="640" t="str">
        <f t="shared" si="80"/>
        <v/>
      </c>
      <c r="C1279" s="1285"/>
      <c r="D1279" s="640" t="str">
        <f t="shared" si="81"/>
        <v/>
      </c>
      <c r="E1279" s="1285"/>
      <c r="F1279" s="641" t="str">
        <f>IF(G1279="","",VLOOKUP(G1279,リスト!J$2:K$3,2,FALSE))</f>
        <v/>
      </c>
      <c r="G1279" s="1285"/>
      <c r="H1279" s="1284"/>
      <c r="I1279" s="1284"/>
      <c r="J1279" s="644" t="str">
        <f t="shared" si="82"/>
        <v/>
      </c>
      <c r="K1279" s="1284"/>
      <c r="L1279" s="644" t="str">
        <f t="shared" si="83"/>
        <v/>
      </c>
      <c r="M1279" s="680"/>
      <c r="N1279" s="651"/>
    </row>
    <row r="1280" spans="1:14" ht="15.95" customHeight="1" x14ac:dyDescent="0.15">
      <c r="A1280" s="1286"/>
      <c r="B1280" s="640" t="str">
        <f t="shared" si="80"/>
        <v/>
      </c>
      <c r="C1280" s="1285"/>
      <c r="D1280" s="640" t="str">
        <f t="shared" si="81"/>
        <v/>
      </c>
      <c r="E1280" s="1285"/>
      <c r="F1280" s="641" t="str">
        <f>IF(G1280="","",VLOOKUP(G1280,リスト!J$2:K$3,2,FALSE))</f>
        <v/>
      </c>
      <c r="G1280" s="1285"/>
      <c r="H1280" s="1284"/>
      <c r="I1280" s="1284"/>
      <c r="J1280" s="644" t="str">
        <f t="shared" si="82"/>
        <v/>
      </c>
      <c r="K1280" s="1284"/>
      <c r="L1280" s="644" t="str">
        <f t="shared" si="83"/>
        <v/>
      </c>
      <c r="M1280" s="680"/>
      <c r="N1280" s="651"/>
    </row>
    <row r="1281" spans="1:14" ht="15.95" customHeight="1" x14ac:dyDescent="0.15">
      <c r="A1281" s="1286"/>
      <c r="B1281" s="640" t="str">
        <f t="shared" si="80"/>
        <v/>
      </c>
      <c r="C1281" s="1285"/>
      <c r="D1281" s="640" t="str">
        <f t="shared" si="81"/>
        <v/>
      </c>
      <c r="E1281" s="1285"/>
      <c r="F1281" s="641" t="str">
        <f>IF(G1281="","",VLOOKUP(G1281,リスト!J$2:K$3,2,FALSE))</f>
        <v/>
      </c>
      <c r="G1281" s="1285"/>
      <c r="H1281" s="1284"/>
      <c r="I1281" s="1284"/>
      <c r="J1281" s="644" t="str">
        <f t="shared" si="82"/>
        <v/>
      </c>
      <c r="K1281" s="1284"/>
      <c r="L1281" s="644" t="str">
        <f t="shared" si="83"/>
        <v/>
      </c>
      <c r="M1281" s="680"/>
      <c r="N1281" s="651"/>
    </row>
    <row r="1282" spans="1:14" ht="15.95" customHeight="1" x14ac:dyDescent="0.15">
      <c r="A1282" s="1286"/>
      <c r="B1282" s="640" t="str">
        <f t="shared" si="80"/>
        <v/>
      </c>
      <c r="C1282" s="1285"/>
      <c r="D1282" s="640" t="str">
        <f t="shared" si="81"/>
        <v/>
      </c>
      <c r="E1282" s="1285"/>
      <c r="F1282" s="641" t="str">
        <f>IF(G1282="","",VLOOKUP(G1282,リスト!J$2:K$3,2,FALSE))</f>
        <v/>
      </c>
      <c r="G1282" s="1285"/>
      <c r="H1282" s="1284"/>
      <c r="I1282" s="1284"/>
      <c r="J1282" s="644" t="str">
        <f t="shared" si="82"/>
        <v/>
      </c>
      <c r="K1282" s="1284"/>
      <c r="L1282" s="644" t="str">
        <f t="shared" si="83"/>
        <v/>
      </c>
      <c r="M1282" s="680"/>
      <c r="N1282" s="651"/>
    </row>
    <row r="1283" spans="1:14" ht="15.95" customHeight="1" x14ac:dyDescent="0.15">
      <c r="A1283" s="1286"/>
      <c r="B1283" s="640" t="str">
        <f t="shared" si="80"/>
        <v/>
      </c>
      <c r="C1283" s="1285"/>
      <c r="D1283" s="640" t="str">
        <f t="shared" si="81"/>
        <v/>
      </c>
      <c r="E1283" s="1285"/>
      <c r="F1283" s="641" t="str">
        <f>IF(G1283="","",VLOOKUP(G1283,リスト!J$2:K$3,2,FALSE))</f>
        <v/>
      </c>
      <c r="G1283" s="1285"/>
      <c r="H1283" s="1284"/>
      <c r="I1283" s="1284"/>
      <c r="J1283" s="644" t="str">
        <f t="shared" si="82"/>
        <v/>
      </c>
      <c r="K1283" s="1284"/>
      <c r="L1283" s="644" t="str">
        <f t="shared" si="83"/>
        <v/>
      </c>
      <c r="M1283" s="680"/>
      <c r="N1283" s="651"/>
    </row>
    <row r="1284" spans="1:14" ht="15.95" customHeight="1" x14ac:dyDescent="0.15">
      <c r="A1284" s="1286"/>
      <c r="B1284" s="640" t="str">
        <f t="shared" si="80"/>
        <v/>
      </c>
      <c r="C1284" s="1285"/>
      <c r="D1284" s="640" t="str">
        <f t="shared" si="81"/>
        <v/>
      </c>
      <c r="E1284" s="1285"/>
      <c r="F1284" s="641" t="str">
        <f>IF(G1284="","",VLOOKUP(G1284,リスト!J$2:K$3,2,FALSE))</f>
        <v/>
      </c>
      <c r="G1284" s="1285"/>
      <c r="H1284" s="1284"/>
      <c r="I1284" s="1284"/>
      <c r="J1284" s="644" t="str">
        <f t="shared" si="82"/>
        <v/>
      </c>
      <c r="K1284" s="1284"/>
      <c r="L1284" s="644" t="str">
        <f t="shared" si="83"/>
        <v/>
      </c>
      <c r="M1284" s="680"/>
      <c r="N1284" s="651"/>
    </row>
    <row r="1285" spans="1:14" ht="15.95" customHeight="1" x14ac:dyDescent="0.15">
      <c r="A1285" s="1286"/>
      <c r="B1285" s="640" t="str">
        <f t="shared" si="80"/>
        <v/>
      </c>
      <c r="C1285" s="1285"/>
      <c r="D1285" s="640" t="str">
        <f t="shared" si="81"/>
        <v/>
      </c>
      <c r="E1285" s="1285"/>
      <c r="F1285" s="641" t="str">
        <f>IF(G1285="","",VLOOKUP(G1285,リスト!J$2:K$3,2,FALSE))</f>
        <v/>
      </c>
      <c r="G1285" s="1285"/>
      <c r="H1285" s="1284"/>
      <c r="I1285" s="1284"/>
      <c r="J1285" s="644" t="str">
        <f t="shared" si="82"/>
        <v/>
      </c>
      <c r="K1285" s="1284"/>
      <c r="L1285" s="644" t="str">
        <f t="shared" si="83"/>
        <v/>
      </c>
      <c r="M1285" s="680"/>
      <c r="N1285" s="651"/>
    </row>
    <row r="1286" spans="1:14" ht="15.95" customHeight="1" x14ac:dyDescent="0.15">
      <c r="A1286" s="1286"/>
      <c r="B1286" s="640" t="str">
        <f t="shared" si="80"/>
        <v/>
      </c>
      <c r="C1286" s="1285"/>
      <c r="D1286" s="640" t="str">
        <f t="shared" si="81"/>
        <v/>
      </c>
      <c r="E1286" s="1285"/>
      <c r="F1286" s="641" t="str">
        <f>IF(G1286="","",VLOOKUP(G1286,リスト!J$2:K$3,2,FALSE))</f>
        <v/>
      </c>
      <c r="G1286" s="1285"/>
      <c r="H1286" s="1284"/>
      <c r="I1286" s="1284"/>
      <c r="J1286" s="644" t="str">
        <f t="shared" si="82"/>
        <v/>
      </c>
      <c r="K1286" s="1284"/>
      <c r="L1286" s="644" t="str">
        <f t="shared" si="83"/>
        <v/>
      </c>
      <c r="M1286" s="680"/>
      <c r="N1286" s="651"/>
    </row>
    <row r="1287" spans="1:14" ht="15.95" customHeight="1" x14ac:dyDescent="0.15">
      <c r="A1287" s="1286"/>
      <c r="B1287" s="640" t="str">
        <f t="shared" si="80"/>
        <v/>
      </c>
      <c r="C1287" s="1285"/>
      <c r="D1287" s="640" t="str">
        <f t="shared" si="81"/>
        <v/>
      </c>
      <c r="E1287" s="1285"/>
      <c r="F1287" s="641" t="str">
        <f>IF(G1287="","",VLOOKUP(G1287,リスト!J$2:K$3,2,FALSE))</f>
        <v/>
      </c>
      <c r="G1287" s="1285"/>
      <c r="H1287" s="1284"/>
      <c r="I1287" s="1284"/>
      <c r="J1287" s="644" t="str">
        <f t="shared" si="82"/>
        <v/>
      </c>
      <c r="K1287" s="1284"/>
      <c r="L1287" s="644" t="str">
        <f t="shared" si="83"/>
        <v/>
      </c>
      <c r="M1287" s="680"/>
      <c r="N1287" s="651"/>
    </row>
    <row r="1288" spans="1:14" ht="15.95" customHeight="1" x14ac:dyDescent="0.15">
      <c r="A1288" s="1286"/>
      <c r="B1288" s="640" t="str">
        <f t="shared" si="80"/>
        <v/>
      </c>
      <c r="C1288" s="1285"/>
      <c r="D1288" s="640" t="str">
        <f t="shared" si="81"/>
        <v/>
      </c>
      <c r="E1288" s="1285"/>
      <c r="F1288" s="641" t="str">
        <f>IF(G1288="","",VLOOKUP(G1288,リスト!J$2:K$3,2,FALSE))</f>
        <v/>
      </c>
      <c r="G1288" s="1285"/>
      <c r="H1288" s="1284"/>
      <c r="I1288" s="1284"/>
      <c r="J1288" s="644" t="str">
        <f t="shared" si="82"/>
        <v/>
      </c>
      <c r="K1288" s="1284"/>
      <c r="L1288" s="644" t="str">
        <f t="shared" si="83"/>
        <v/>
      </c>
      <c r="M1288" s="680"/>
      <c r="N1288" s="651"/>
    </row>
    <row r="1289" spans="1:14" ht="15.95" customHeight="1" x14ac:dyDescent="0.15">
      <c r="A1289" s="1286"/>
      <c r="B1289" s="640" t="str">
        <f t="shared" si="80"/>
        <v/>
      </c>
      <c r="C1289" s="1285"/>
      <c r="D1289" s="640" t="str">
        <f t="shared" si="81"/>
        <v/>
      </c>
      <c r="E1289" s="1285"/>
      <c r="F1289" s="641" t="str">
        <f>IF(G1289="","",VLOOKUP(G1289,リスト!J$2:K$3,2,FALSE))</f>
        <v/>
      </c>
      <c r="G1289" s="1285"/>
      <c r="H1289" s="1284"/>
      <c r="I1289" s="1284"/>
      <c r="J1289" s="644" t="str">
        <f t="shared" si="82"/>
        <v/>
      </c>
      <c r="K1289" s="1284"/>
      <c r="L1289" s="644" t="str">
        <f t="shared" si="83"/>
        <v/>
      </c>
      <c r="M1289" s="680"/>
      <c r="N1289" s="651"/>
    </row>
    <row r="1290" spans="1:14" ht="15.95" customHeight="1" x14ac:dyDescent="0.15">
      <c r="A1290" s="1286"/>
      <c r="B1290" s="640" t="str">
        <f t="shared" si="80"/>
        <v/>
      </c>
      <c r="C1290" s="1285"/>
      <c r="D1290" s="640" t="str">
        <f t="shared" si="81"/>
        <v/>
      </c>
      <c r="E1290" s="1285"/>
      <c r="F1290" s="641" t="str">
        <f>IF(G1290="","",VLOOKUP(G1290,リスト!J$2:K$3,2,FALSE))</f>
        <v/>
      </c>
      <c r="G1290" s="1285"/>
      <c r="H1290" s="1284"/>
      <c r="I1290" s="1284"/>
      <c r="J1290" s="644" t="str">
        <f t="shared" si="82"/>
        <v/>
      </c>
      <c r="K1290" s="1284"/>
      <c r="L1290" s="644" t="str">
        <f t="shared" si="83"/>
        <v/>
      </c>
      <c r="M1290" s="680"/>
      <c r="N1290" s="651"/>
    </row>
    <row r="1291" spans="1:14" ht="15.95" customHeight="1" x14ac:dyDescent="0.15">
      <c r="A1291" s="1286"/>
      <c r="B1291" s="640" t="str">
        <f t="shared" si="80"/>
        <v/>
      </c>
      <c r="C1291" s="1285"/>
      <c r="D1291" s="640" t="str">
        <f t="shared" si="81"/>
        <v/>
      </c>
      <c r="E1291" s="1285"/>
      <c r="F1291" s="641" t="str">
        <f>IF(G1291="","",VLOOKUP(G1291,リスト!J$2:K$3,2,FALSE))</f>
        <v/>
      </c>
      <c r="G1291" s="1285"/>
      <c r="H1291" s="1284"/>
      <c r="I1291" s="1284"/>
      <c r="J1291" s="644" t="str">
        <f t="shared" si="82"/>
        <v/>
      </c>
      <c r="K1291" s="1284"/>
      <c r="L1291" s="644" t="str">
        <f t="shared" si="83"/>
        <v/>
      </c>
      <c r="M1291" s="680"/>
      <c r="N1291" s="651"/>
    </row>
    <row r="1292" spans="1:14" ht="15.95" customHeight="1" x14ac:dyDescent="0.15">
      <c r="A1292" s="1286"/>
      <c r="B1292" s="640" t="str">
        <f t="shared" si="80"/>
        <v/>
      </c>
      <c r="C1292" s="1285"/>
      <c r="D1292" s="640" t="str">
        <f t="shared" si="81"/>
        <v/>
      </c>
      <c r="E1292" s="1285"/>
      <c r="F1292" s="641" t="str">
        <f>IF(G1292="","",VLOOKUP(G1292,リスト!J$2:K$3,2,FALSE))</f>
        <v/>
      </c>
      <c r="G1292" s="1285"/>
      <c r="H1292" s="1284"/>
      <c r="I1292" s="1284"/>
      <c r="J1292" s="644" t="str">
        <f t="shared" si="82"/>
        <v/>
      </c>
      <c r="K1292" s="1284"/>
      <c r="L1292" s="644" t="str">
        <f t="shared" si="83"/>
        <v/>
      </c>
      <c r="M1292" s="680"/>
      <c r="N1292" s="651"/>
    </row>
    <row r="1293" spans="1:14" ht="15.95" customHeight="1" x14ac:dyDescent="0.15">
      <c r="A1293" s="1286"/>
      <c r="B1293" s="640" t="str">
        <f t="shared" si="80"/>
        <v/>
      </c>
      <c r="C1293" s="1285"/>
      <c r="D1293" s="640" t="str">
        <f t="shared" si="81"/>
        <v/>
      </c>
      <c r="E1293" s="1285"/>
      <c r="F1293" s="641" t="str">
        <f>IF(G1293="","",VLOOKUP(G1293,リスト!J$2:K$3,2,FALSE))</f>
        <v/>
      </c>
      <c r="G1293" s="1285"/>
      <c r="H1293" s="1284"/>
      <c r="I1293" s="1284"/>
      <c r="J1293" s="644" t="str">
        <f t="shared" si="82"/>
        <v/>
      </c>
      <c r="K1293" s="1284"/>
      <c r="L1293" s="644" t="str">
        <f t="shared" si="83"/>
        <v/>
      </c>
      <c r="M1293" s="680"/>
      <c r="N1293" s="651"/>
    </row>
    <row r="1294" spans="1:14" ht="15.95" customHeight="1" x14ac:dyDescent="0.15">
      <c r="A1294" s="1286"/>
      <c r="B1294" s="640" t="str">
        <f t="shared" si="80"/>
        <v/>
      </c>
      <c r="C1294" s="1285"/>
      <c r="D1294" s="640" t="str">
        <f t="shared" si="81"/>
        <v/>
      </c>
      <c r="E1294" s="1285"/>
      <c r="F1294" s="641" t="str">
        <f>IF(G1294="","",VLOOKUP(G1294,リスト!J$2:K$3,2,FALSE))</f>
        <v/>
      </c>
      <c r="G1294" s="1285"/>
      <c r="H1294" s="1284"/>
      <c r="I1294" s="1284"/>
      <c r="J1294" s="644" t="str">
        <f t="shared" si="82"/>
        <v/>
      </c>
      <c r="K1294" s="1284"/>
      <c r="L1294" s="644" t="str">
        <f t="shared" si="83"/>
        <v/>
      </c>
      <c r="M1294" s="680"/>
      <c r="N1294" s="651"/>
    </row>
    <row r="1295" spans="1:14" ht="15.95" customHeight="1" x14ac:dyDescent="0.15">
      <c r="A1295" s="1286"/>
      <c r="B1295" s="640" t="str">
        <f t="shared" si="80"/>
        <v/>
      </c>
      <c r="C1295" s="1285"/>
      <c r="D1295" s="640" t="str">
        <f t="shared" si="81"/>
        <v/>
      </c>
      <c r="E1295" s="1285"/>
      <c r="F1295" s="641" t="str">
        <f>IF(G1295="","",VLOOKUP(G1295,リスト!J$2:K$3,2,FALSE))</f>
        <v/>
      </c>
      <c r="G1295" s="1285"/>
      <c r="H1295" s="1284"/>
      <c r="I1295" s="1284"/>
      <c r="J1295" s="644" t="str">
        <f t="shared" si="82"/>
        <v/>
      </c>
      <c r="K1295" s="1284"/>
      <c r="L1295" s="644" t="str">
        <f t="shared" si="83"/>
        <v/>
      </c>
      <c r="M1295" s="680"/>
      <c r="N1295" s="651"/>
    </row>
    <row r="1296" spans="1:14" ht="15.95" customHeight="1" x14ac:dyDescent="0.15">
      <c r="A1296" s="1286"/>
      <c r="B1296" s="640" t="str">
        <f t="shared" si="80"/>
        <v/>
      </c>
      <c r="C1296" s="1285"/>
      <c r="D1296" s="640" t="str">
        <f t="shared" si="81"/>
        <v/>
      </c>
      <c r="E1296" s="1285"/>
      <c r="F1296" s="641" t="str">
        <f>IF(G1296="","",VLOOKUP(G1296,リスト!J$2:K$3,2,FALSE))</f>
        <v/>
      </c>
      <c r="G1296" s="1285"/>
      <c r="H1296" s="1284"/>
      <c r="I1296" s="1284"/>
      <c r="J1296" s="644" t="str">
        <f t="shared" si="82"/>
        <v/>
      </c>
      <c r="K1296" s="1284"/>
      <c r="L1296" s="644" t="str">
        <f t="shared" si="83"/>
        <v/>
      </c>
      <c r="M1296" s="680"/>
      <c r="N1296" s="651"/>
    </row>
    <row r="1297" spans="1:14" ht="15.95" customHeight="1" x14ac:dyDescent="0.15">
      <c r="A1297" s="1286"/>
      <c r="B1297" s="640" t="str">
        <f t="shared" si="80"/>
        <v/>
      </c>
      <c r="C1297" s="1285"/>
      <c r="D1297" s="640" t="str">
        <f t="shared" si="81"/>
        <v/>
      </c>
      <c r="E1297" s="1285"/>
      <c r="F1297" s="641" t="str">
        <f>IF(G1297="","",VLOOKUP(G1297,リスト!J$2:K$3,2,FALSE))</f>
        <v/>
      </c>
      <c r="G1297" s="1285"/>
      <c r="H1297" s="1284"/>
      <c r="I1297" s="1284"/>
      <c r="J1297" s="644" t="str">
        <f t="shared" si="82"/>
        <v/>
      </c>
      <c r="K1297" s="1284"/>
      <c r="L1297" s="644" t="str">
        <f t="shared" si="83"/>
        <v/>
      </c>
      <c r="M1297" s="680"/>
      <c r="N1297" s="651"/>
    </row>
    <row r="1298" spans="1:14" ht="15.95" customHeight="1" x14ac:dyDescent="0.15">
      <c r="A1298" s="1286"/>
      <c r="B1298" s="640" t="str">
        <f t="shared" si="80"/>
        <v/>
      </c>
      <c r="C1298" s="1285"/>
      <c r="D1298" s="640" t="str">
        <f t="shared" si="81"/>
        <v/>
      </c>
      <c r="E1298" s="1285"/>
      <c r="F1298" s="641" t="str">
        <f>IF(G1298="","",VLOOKUP(G1298,リスト!J$2:K$3,2,FALSE))</f>
        <v/>
      </c>
      <c r="G1298" s="1285"/>
      <c r="H1298" s="1284"/>
      <c r="I1298" s="1284"/>
      <c r="J1298" s="644" t="str">
        <f t="shared" si="82"/>
        <v/>
      </c>
      <c r="K1298" s="1284"/>
      <c r="L1298" s="644" t="str">
        <f t="shared" si="83"/>
        <v/>
      </c>
      <c r="M1298" s="680"/>
      <c r="N1298" s="651"/>
    </row>
    <row r="1299" spans="1:14" ht="15.95" customHeight="1" x14ac:dyDescent="0.15">
      <c r="A1299" s="1286"/>
      <c r="B1299" s="640" t="str">
        <f t="shared" si="80"/>
        <v/>
      </c>
      <c r="C1299" s="1285"/>
      <c r="D1299" s="640" t="str">
        <f t="shared" si="81"/>
        <v/>
      </c>
      <c r="E1299" s="1285"/>
      <c r="F1299" s="641" t="str">
        <f>IF(G1299="","",VLOOKUP(G1299,リスト!J$2:K$3,2,FALSE))</f>
        <v/>
      </c>
      <c r="G1299" s="1285"/>
      <c r="H1299" s="1284"/>
      <c r="I1299" s="1284"/>
      <c r="J1299" s="644" t="str">
        <f t="shared" si="82"/>
        <v/>
      </c>
      <c r="K1299" s="1284"/>
      <c r="L1299" s="644" t="str">
        <f t="shared" si="83"/>
        <v/>
      </c>
      <c r="M1299" s="680"/>
      <c r="N1299" s="651"/>
    </row>
    <row r="1300" spans="1:14" ht="15.95" customHeight="1" x14ac:dyDescent="0.15">
      <c r="A1300" s="1286"/>
      <c r="B1300" s="640" t="str">
        <f t="shared" si="80"/>
        <v/>
      </c>
      <c r="C1300" s="1285"/>
      <c r="D1300" s="640" t="str">
        <f t="shared" si="81"/>
        <v/>
      </c>
      <c r="E1300" s="1285"/>
      <c r="F1300" s="641" t="str">
        <f>IF(G1300="","",VLOOKUP(G1300,リスト!J$2:K$3,2,FALSE))</f>
        <v/>
      </c>
      <c r="G1300" s="1285"/>
      <c r="H1300" s="1284"/>
      <c r="I1300" s="1284"/>
      <c r="J1300" s="644" t="str">
        <f t="shared" si="82"/>
        <v/>
      </c>
      <c r="K1300" s="1284"/>
      <c r="L1300" s="644" t="str">
        <f t="shared" si="83"/>
        <v/>
      </c>
      <c r="M1300" s="680"/>
      <c r="N1300" s="651"/>
    </row>
    <row r="1301" spans="1:14" ht="15.95" customHeight="1" x14ac:dyDescent="0.15">
      <c r="A1301" s="1286"/>
      <c r="B1301" s="640" t="str">
        <f t="shared" si="80"/>
        <v/>
      </c>
      <c r="C1301" s="1285"/>
      <c r="D1301" s="640" t="str">
        <f t="shared" si="81"/>
        <v/>
      </c>
      <c r="E1301" s="1285"/>
      <c r="F1301" s="641" t="str">
        <f>IF(G1301="","",VLOOKUP(G1301,リスト!J$2:K$3,2,FALSE))</f>
        <v/>
      </c>
      <c r="G1301" s="1285"/>
      <c r="H1301" s="1284"/>
      <c r="I1301" s="1284"/>
      <c r="J1301" s="644" t="str">
        <f t="shared" si="82"/>
        <v/>
      </c>
      <c r="K1301" s="1284"/>
      <c r="L1301" s="644" t="str">
        <f t="shared" si="83"/>
        <v/>
      </c>
      <c r="M1301" s="680"/>
      <c r="N1301" s="651"/>
    </row>
    <row r="1302" spans="1:14" ht="15.95" customHeight="1" x14ac:dyDescent="0.15">
      <c r="A1302" s="1286"/>
      <c r="B1302" s="640" t="str">
        <f t="shared" si="80"/>
        <v/>
      </c>
      <c r="C1302" s="1285"/>
      <c r="D1302" s="640" t="str">
        <f t="shared" si="81"/>
        <v/>
      </c>
      <c r="E1302" s="1285"/>
      <c r="F1302" s="641" t="str">
        <f>IF(G1302="","",VLOOKUP(G1302,リスト!J$2:K$3,2,FALSE))</f>
        <v/>
      </c>
      <c r="G1302" s="1285"/>
      <c r="H1302" s="1284"/>
      <c r="I1302" s="1284"/>
      <c r="J1302" s="644" t="str">
        <f t="shared" si="82"/>
        <v/>
      </c>
      <c r="K1302" s="1284"/>
      <c r="L1302" s="644" t="str">
        <f t="shared" si="83"/>
        <v/>
      </c>
      <c r="M1302" s="680"/>
      <c r="N1302" s="651"/>
    </row>
    <row r="1303" spans="1:14" ht="15.95" customHeight="1" x14ac:dyDescent="0.15">
      <c r="A1303" s="1286"/>
      <c r="B1303" s="640" t="str">
        <f t="shared" si="80"/>
        <v/>
      </c>
      <c r="C1303" s="1285"/>
      <c r="D1303" s="640" t="str">
        <f t="shared" si="81"/>
        <v/>
      </c>
      <c r="E1303" s="1285"/>
      <c r="F1303" s="641" t="str">
        <f>IF(G1303="","",VLOOKUP(G1303,リスト!J$2:K$3,2,FALSE))</f>
        <v/>
      </c>
      <c r="G1303" s="1285"/>
      <c r="H1303" s="1284"/>
      <c r="I1303" s="1284"/>
      <c r="J1303" s="644" t="str">
        <f t="shared" si="82"/>
        <v/>
      </c>
      <c r="K1303" s="1284"/>
      <c r="L1303" s="644" t="str">
        <f t="shared" si="83"/>
        <v/>
      </c>
      <c r="M1303" s="680"/>
      <c r="N1303" s="651"/>
    </row>
    <row r="1304" spans="1:14" ht="15.95" customHeight="1" x14ac:dyDescent="0.15">
      <c r="A1304" s="1286"/>
      <c r="B1304" s="640" t="str">
        <f t="shared" si="80"/>
        <v/>
      </c>
      <c r="C1304" s="1285"/>
      <c r="D1304" s="640" t="str">
        <f t="shared" si="81"/>
        <v/>
      </c>
      <c r="E1304" s="1285"/>
      <c r="F1304" s="641" t="str">
        <f>IF(G1304="","",VLOOKUP(G1304,リスト!J$2:K$3,2,FALSE))</f>
        <v/>
      </c>
      <c r="G1304" s="1285"/>
      <c r="H1304" s="1284"/>
      <c r="I1304" s="1284"/>
      <c r="J1304" s="644" t="str">
        <f t="shared" si="82"/>
        <v/>
      </c>
      <c r="K1304" s="1284"/>
      <c r="L1304" s="644" t="str">
        <f t="shared" si="83"/>
        <v/>
      </c>
      <c r="M1304" s="680"/>
      <c r="N1304" s="651"/>
    </row>
    <row r="1305" spans="1:14" ht="15.95" customHeight="1" x14ac:dyDescent="0.15">
      <c r="A1305" s="1286"/>
      <c r="B1305" s="640" t="str">
        <f t="shared" si="80"/>
        <v/>
      </c>
      <c r="C1305" s="1285"/>
      <c r="D1305" s="640" t="str">
        <f t="shared" si="81"/>
        <v/>
      </c>
      <c r="E1305" s="1285"/>
      <c r="F1305" s="641" t="str">
        <f>IF(G1305="","",VLOOKUP(G1305,リスト!J$2:K$3,2,FALSE))</f>
        <v/>
      </c>
      <c r="G1305" s="1285"/>
      <c r="H1305" s="1284"/>
      <c r="I1305" s="1284"/>
      <c r="J1305" s="644" t="str">
        <f t="shared" si="82"/>
        <v/>
      </c>
      <c r="K1305" s="1284"/>
      <c r="L1305" s="644" t="str">
        <f t="shared" si="83"/>
        <v/>
      </c>
      <c r="M1305" s="680"/>
      <c r="N1305" s="651"/>
    </row>
    <row r="1306" spans="1:14" ht="15.95" customHeight="1" x14ac:dyDescent="0.15">
      <c r="A1306" s="1286"/>
      <c r="B1306" s="640" t="str">
        <f t="shared" si="80"/>
        <v/>
      </c>
      <c r="C1306" s="1285"/>
      <c r="D1306" s="640" t="str">
        <f t="shared" si="81"/>
        <v/>
      </c>
      <c r="E1306" s="1285"/>
      <c r="F1306" s="641" t="str">
        <f>IF(G1306="","",VLOOKUP(G1306,リスト!J$2:K$3,2,FALSE))</f>
        <v/>
      </c>
      <c r="G1306" s="1285"/>
      <c r="H1306" s="1284"/>
      <c r="I1306" s="1284"/>
      <c r="J1306" s="644" t="str">
        <f t="shared" si="82"/>
        <v/>
      </c>
      <c r="K1306" s="1284"/>
      <c r="L1306" s="644" t="str">
        <f t="shared" si="83"/>
        <v/>
      </c>
      <c r="M1306" s="680"/>
      <c r="N1306" s="651"/>
    </row>
    <row r="1307" spans="1:14" ht="15.95" customHeight="1" x14ac:dyDescent="0.15">
      <c r="A1307" s="1286"/>
      <c r="B1307" s="640" t="str">
        <f t="shared" si="80"/>
        <v/>
      </c>
      <c r="C1307" s="1285"/>
      <c r="D1307" s="640" t="str">
        <f t="shared" si="81"/>
        <v/>
      </c>
      <c r="E1307" s="1285"/>
      <c r="F1307" s="641" t="str">
        <f>IF(G1307="","",VLOOKUP(G1307,リスト!J$2:K$3,2,FALSE))</f>
        <v/>
      </c>
      <c r="G1307" s="1285"/>
      <c r="H1307" s="1284"/>
      <c r="I1307" s="1284"/>
      <c r="J1307" s="644" t="str">
        <f t="shared" si="82"/>
        <v/>
      </c>
      <c r="K1307" s="1284"/>
      <c r="L1307" s="644" t="str">
        <f t="shared" si="83"/>
        <v/>
      </c>
      <c r="M1307" s="680"/>
      <c r="N1307" s="651"/>
    </row>
    <row r="1308" spans="1:14" ht="15.95" customHeight="1" x14ac:dyDescent="0.15">
      <c r="A1308" s="1286"/>
      <c r="B1308" s="640" t="str">
        <f t="shared" si="80"/>
        <v/>
      </c>
      <c r="C1308" s="1285"/>
      <c r="D1308" s="640" t="str">
        <f t="shared" si="81"/>
        <v/>
      </c>
      <c r="E1308" s="1285"/>
      <c r="F1308" s="641" t="str">
        <f>IF(G1308="","",VLOOKUP(G1308,リスト!J$2:K$3,2,FALSE))</f>
        <v/>
      </c>
      <c r="G1308" s="1285"/>
      <c r="H1308" s="1284"/>
      <c r="I1308" s="1284"/>
      <c r="J1308" s="644" t="str">
        <f t="shared" si="82"/>
        <v/>
      </c>
      <c r="K1308" s="1284"/>
      <c r="L1308" s="644" t="str">
        <f t="shared" si="83"/>
        <v/>
      </c>
      <c r="M1308" s="680"/>
      <c r="N1308" s="651"/>
    </row>
    <row r="1309" spans="1:14" ht="15.95" customHeight="1" x14ac:dyDescent="0.15">
      <c r="A1309" s="1286"/>
      <c r="B1309" s="640" t="str">
        <f t="shared" ref="B1309:B1372" si="84">IF(C1309="","",VLOOKUP(C1309,事業所コード2,2,FALSE))</f>
        <v/>
      </c>
      <c r="C1309" s="1285"/>
      <c r="D1309" s="640" t="str">
        <f t="shared" ref="D1309:D1372" si="85">IF(E1309="","",VLOOKUP(E1309,事業区分コード2,2,FALSE))</f>
        <v/>
      </c>
      <c r="E1309" s="1285"/>
      <c r="F1309" s="641" t="str">
        <f>IF(G1309="","",VLOOKUP(G1309,リスト!J$2:K$3,2,FALSE))</f>
        <v/>
      </c>
      <c r="G1309" s="1285"/>
      <c r="H1309" s="1284"/>
      <c r="I1309" s="1284"/>
      <c r="J1309" s="644" t="str">
        <f t="shared" ref="J1309:J1372" si="86">IF(A1309="","",H1309+I1309)</f>
        <v/>
      </c>
      <c r="K1309" s="1284"/>
      <c r="L1309" s="644" t="str">
        <f t="shared" ref="L1309:L1372" si="87">IF(A1309="","",J1309-K1309)</f>
        <v/>
      </c>
      <c r="M1309" s="680"/>
      <c r="N1309" s="651"/>
    </row>
    <row r="1310" spans="1:14" ht="15.95" customHeight="1" x14ac:dyDescent="0.15">
      <c r="A1310" s="1286"/>
      <c r="B1310" s="640" t="str">
        <f t="shared" si="84"/>
        <v/>
      </c>
      <c r="C1310" s="1285"/>
      <c r="D1310" s="640" t="str">
        <f t="shared" si="85"/>
        <v/>
      </c>
      <c r="E1310" s="1285"/>
      <c r="F1310" s="641" t="str">
        <f>IF(G1310="","",VLOOKUP(G1310,リスト!J$2:K$3,2,FALSE))</f>
        <v/>
      </c>
      <c r="G1310" s="1285"/>
      <c r="H1310" s="1284"/>
      <c r="I1310" s="1284"/>
      <c r="J1310" s="644" t="str">
        <f t="shared" si="86"/>
        <v/>
      </c>
      <c r="K1310" s="1284"/>
      <c r="L1310" s="644" t="str">
        <f t="shared" si="87"/>
        <v/>
      </c>
      <c r="M1310" s="680"/>
      <c r="N1310" s="651"/>
    </row>
    <row r="1311" spans="1:14" ht="15.95" customHeight="1" x14ac:dyDescent="0.15">
      <c r="A1311" s="1286"/>
      <c r="B1311" s="640" t="str">
        <f t="shared" si="84"/>
        <v/>
      </c>
      <c r="C1311" s="1285"/>
      <c r="D1311" s="640" t="str">
        <f t="shared" si="85"/>
        <v/>
      </c>
      <c r="E1311" s="1285"/>
      <c r="F1311" s="641" t="str">
        <f>IF(G1311="","",VLOOKUP(G1311,リスト!J$2:K$3,2,FALSE))</f>
        <v/>
      </c>
      <c r="G1311" s="1285"/>
      <c r="H1311" s="1284"/>
      <c r="I1311" s="1284"/>
      <c r="J1311" s="644" t="str">
        <f t="shared" si="86"/>
        <v/>
      </c>
      <c r="K1311" s="1284"/>
      <c r="L1311" s="644" t="str">
        <f t="shared" si="87"/>
        <v/>
      </c>
      <c r="M1311" s="680"/>
      <c r="N1311" s="651"/>
    </row>
    <row r="1312" spans="1:14" ht="15.95" customHeight="1" x14ac:dyDescent="0.15">
      <c r="A1312" s="1286"/>
      <c r="B1312" s="640" t="str">
        <f t="shared" si="84"/>
        <v/>
      </c>
      <c r="C1312" s="1285"/>
      <c r="D1312" s="640" t="str">
        <f t="shared" si="85"/>
        <v/>
      </c>
      <c r="E1312" s="1285"/>
      <c r="F1312" s="641" t="str">
        <f>IF(G1312="","",VLOOKUP(G1312,リスト!J$2:K$3,2,FALSE))</f>
        <v/>
      </c>
      <c r="G1312" s="1285"/>
      <c r="H1312" s="1284"/>
      <c r="I1312" s="1284"/>
      <c r="J1312" s="644" t="str">
        <f t="shared" si="86"/>
        <v/>
      </c>
      <c r="K1312" s="1284"/>
      <c r="L1312" s="644" t="str">
        <f t="shared" si="87"/>
        <v/>
      </c>
      <c r="M1312" s="680"/>
      <c r="N1312" s="651"/>
    </row>
    <row r="1313" spans="1:14" ht="15.95" customHeight="1" x14ac:dyDescent="0.15">
      <c r="A1313" s="1286"/>
      <c r="B1313" s="640" t="str">
        <f t="shared" si="84"/>
        <v/>
      </c>
      <c r="C1313" s="1285"/>
      <c r="D1313" s="640" t="str">
        <f t="shared" si="85"/>
        <v/>
      </c>
      <c r="E1313" s="1285"/>
      <c r="F1313" s="641" t="str">
        <f>IF(G1313="","",VLOOKUP(G1313,リスト!J$2:K$3,2,FALSE))</f>
        <v/>
      </c>
      <c r="G1313" s="1285"/>
      <c r="H1313" s="1284"/>
      <c r="I1313" s="1284"/>
      <c r="J1313" s="644" t="str">
        <f t="shared" si="86"/>
        <v/>
      </c>
      <c r="K1313" s="1284"/>
      <c r="L1313" s="644" t="str">
        <f t="shared" si="87"/>
        <v/>
      </c>
      <c r="M1313" s="680"/>
      <c r="N1313" s="651"/>
    </row>
    <row r="1314" spans="1:14" ht="15.95" customHeight="1" x14ac:dyDescent="0.15">
      <c r="A1314" s="1286"/>
      <c r="B1314" s="640" t="str">
        <f t="shared" si="84"/>
        <v/>
      </c>
      <c r="C1314" s="1285"/>
      <c r="D1314" s="640" t="str">
        <f t="shared" si="85"/>
        <v/>
      </c>
      <c r="E1314" s="1285"/>
      <c r="F1314" s="641" t="str">
        <f>IF(G1314="","",VLOOKUP(G1314,リスト!J$2:K$3,2,FALSE))</f>
        <v/>
      </c>
      <c r="G1314" s="1285"/>
      <c r="H1314" s="1284"/>
      <c r="I1314" s="1284"/>
      <c r="J1314" s="644" t="str">
        <f t="shared" si="86"/>
        <v/>
      </c>
      <c r="K1314" s="1284"/>
      <c r="L1314" s="644" t="str">
        <f t="shared" si="87"/>
        <v/>
      </c>
      <c r="M1314" s="680"/>
      <c r="N1314" s="651"/>
    </row>
    <row r="1315" spans="1:14" ht="15.95" customHeight="1" x14ac:dyDescent="0.15">
      <c r="A1315" s="1286"/>
      <c r="B1315" s="640" t="str">
        <f t="shared" si="84"/>
        <v/>
      </c>
      <c r="C1315" s="1285"/>
      <c r="D1315" s="640" t="str">
        <f t="shared" si="85"/>
        <v/>
      </c>
      <c r="E1315" s="1285"/>
      <c r="F1315" s="641" t="str">
        <f>IF(G1315="","",VLOOKUP(G1315,リスト!J$2:K$3,2,FALSE))</f>
        <v/>
      </c>
      <c r="G1315" s="1285"/>
      <c r="H1315" s="1284"/>
      <c r="I1315" s="1284"/>
      <c r="J1315" s="644" t="str">
        <f t="shared" si="86"/>
        <v/>
      </c>
      <c r="K1315" s="1284"/>
      <c r="L1315" s="644" t="str">
        <f t="shared" si="87"/>
        <v/>
      </c>
      <c r="M1315" s="680"/>
      <c r="N1315" s="651"/>
    </row>
    <row r="1316" spans="1:14" ht="15.95" customHeight="1" x14ac:dyDescent="0.15">
      <c r="A1316" s="1286"/>
      <c r="B1316" s="640" t="str">
        <f t="shared" si="84"/>
        <v/>
      </c>
      <c r="C1316" s="1285"/>
      <c r="D1316" s="640" t="str">
        <f t="shared" si="85"/>
        <v/>
      </c>
      <c r="E1316" s="1285"/>
      <c r="F1316" s="641" t="str">
        <f>IF(G1316="","",VLOOKUP(G1316,リスト!J$2:K$3,2,FALSE))</f>
        <v/>
      </c>
      <c r="G1316" s="1285"/>
      <c r="H1316" s="1284"/>
      <c r="I1316" s="1284"/>
      <c r="J1316" s="644" t="str">
        <f t="shared" si="86"/>
        <v/>
      </c>
      <c r="K1316" s="1284"/>
      <c r="L1316" s="644" t="str">
        <f t="shared" si="87"/>
        <v/>
      </c>
      <c r="M1316" s="680"/>
      <c r="N1316" s="651"/>
    </row>
    <row r="1317" spans="1:14" ht="15.95" customHeight="1" x14ac:dyDescent="0.15">
      <c r="A1317" s="1286"/>
      <c r="B1317" s="640" t="str">
        <f t="shared" si="84"/>
        <v/>
      </c>
      <c r="C1317" s="1285"/>
      <c r="D1317" s="640" t="str">
        <f t="shared" si="85"/>
        <v/>
      </c>
      <c r="E1317" s="1285"/>
      <c r="F1317" s="641" t="str">
        <f>IF(G1317="","",VLOOKUP(G1317,リスト!J$2:K$3,2,FALSE))</f>
        <v/>
      </c>
      <c r="G1317" s="1285"/>
      <c r="H1317" s="1284"/>
      <c r="I1317" s="1284"/>
      <c r="J1317" s="644" t="str">
        <f t="shared" si="86"/>
        <v/>
      </c>
      <c r="K1317" s="1284"/>
      <c r="L1317" s="644" t="str">
        <f t="shared" si="87"/>
        <v/>
      </c>
      <c r="M1317" s="680"/>
      <c r="N1317" s="651"/>
    </row>
    <row r="1318" spans="1:14" ht="15.95" customHeight="1" x14ac:dyDescent="0.15">
      <c r="A1318" s="1286"/>
      <c r="B1318" s="640" t="str">
        <f t="shared" si="84"/>
        <v/>
      </c>
      <c r="C1318" s="1285"/>
      <c r="D1318" s="640" t="str">
        <f t="shared" si="85"/>
        <v/>
      </c>
      <c r="E1318" s="1285"/>
      <c r="F1318" s="641" t="str">
        <f>IF(G1318="","",VLOOKUP(G1318,リスト!J$2:K$3,2,FALSE))</f>
        <v/>
      </c>
      <c r="G1318" s="1285"/>
      <c r="H1318" s="1284"/>
      <c r="I1318" s="1284"/>
      <c r="J1318" s="644" t="str">
        <f t="shared" si="86"/>
        <v/>
      </c>
      <c r="K1318" s="1284"/>
      <c r="L1318" s="644" t="str">
        <f t="shared" si="87"/>
        <v/>
      </c>
      <c r="M1318" s="680"/>
      <c r="N1318" s="651"/>
    </row>
    <row r="1319" spans="1:14" ht="15.95" customHeight="1" x14ac:dyDescent="0.15">
      <c r="A1319" s="1286"/>
      <c r="B1319" s="640" t="str">
        <f t="shared" si="84"/>
        <v/>
      </c>
      <c r="C1319" s="1285"/>
      <c r="D1319" s="640" t="str">
        <f t="shared" si="85"/>
        <v/>
      </c>
      <c r="E1319" s="1285"/>
      <c r="F1319" s="641" t="str">
        <f>IF(G1319="","",VLOOKUP(G1319,リスト!J$2:K$3,2,FALSE))</f>
        <v/>
      </c>
      <c r="G1319" s="1285"/>
      <c r="H1319" s="1284"/>
      <c r="I1319" s="1284"/>
      <c r="J1319" s="644" t="str">
        <f t="shared" si="86"/>
        <v/>
      </c>
      <c r="K1319" s="1284"/>
      <c r="L1319" s="644" t="str">
        <f t="shared" si="87"/>
        <v/>
      </c>
      <c r="M1319" s="680"/>
      <c r="N1319" s="651"/>
    </row>
    <row r="1320" spans="1:14" ht="15.95" customHeight="1" x14ac:dyDescent="0.15">
      <c r="A1320" s="1286"/>
      <c r="B1320" s="640" t="str">
        <f t="shared" si="84"/>
        <v/>
      </c>
      <c r="C1320" s="1285"/>
      <c r="D1320" s="640" t="str">
        <f t="shared" si="85"/>
        <v/>
      </c>
      <c r="E1320" s="1285"/>
      <c r="F1320" s="641" t="str">
        <f>IF(G1320="","",VLOOKUP(G1320,リスト!J$2:K$3,2,FALSE))</f>
        <v/>
      </c>
      <c r="G1320" s="1285"/>
      <c r="H1320" s="1284"/>
      <c r="I1320" s="1284"/>
      <c r="J1320" s="644" t="str">
        <f t="shared" si="86"/>
        <v/>
      </c>
      <c r="K1320" s="1284"/>
      <c r="L1320" s="644" t="str">
        <f t="shared" si="87"/>
        <v/>
      </c>
      <c r="M1320" s="680"/>
      <c r="N1320" s="651"/>
    </row>
    <row r="1321" spans="1:14" ht="15.95" customHeight="1" x14ac:dyDescent="0.15">
      <c r="A1321" s="1286"/>
      <c r="B1321" s="640" t="str">
        <f t="shared" si="84"/>
        <v/>
      </c>
      <c r="C1321" s="1285"/>
      <c r="D1321" s="640" t="str">
        <f t="shared" si="85"/>
        <v/>
      </c>
      <c r="E1321" s="1285"/>
      <c r="F1321" s="641" t="str">
        <f>IF(G1321="","",VLOOKUP(G1321,リスト!J$2:K$3,2,FALSE))</f>
        <v/>
      </c>
      <c r="G1321" s="1285"/>
      <c r="H1321" s="1284"/>
      <c r="I1321" s="1284"/>
      <c r="J1321" s="644" t="str">
        <f t="shared" si="86"/>
        <v/>
      </c>
      <c r="K1321" s="1284"/>
      <c r="L1321" s="644" t="str">
        <f t="shared" si="87"/>
        <v/>
      </c>
      <c r="M1321" s="680"/>
      <c r="N1321" s="651"/>
    </row>
    <row r="1322" spans="1:14" ht="15.95" customHeight="1" x14ac:dyDescent="0.15">
      <c r="A1322" s="1286"/>
      <c r="B1322" s="640" t="str">
        <f t="shared" si="84"/>
        <v/>
      </c>
      <c r="C1322" s="1285"/>
      <c r="D1322" s="640" t="str">
        <f t="shared" si="85"/>
        <v/>
      </c>
      <c r="E1322" s="1285"/>
      <c r="F1322" s="641" t="str">
        <f>IF(G1322="","",VLOOKUP(G1322,リスト!J$2:K$3,2,FALSE))</f>
        <v/>
      </c>
      <c r="G1322" s="1285"/>
      <c r="H1322" s="1284"/>
      <c r="I1322" s="1284"/>
      <c r="J1322" s="644" t="str">
        <f t="shared" si="86"/>
        <v/>
      </c>
      <c r="K1322" s="1284"/>
      <c r="L1322" s="644" t="str">
        <f t="shared" si="87"/>
        <v/>
      </c>
      <c r="M1322" s="680"/>
      <c r="N1322" s="651"/>
    </row>
    <row r="1323" spans="1:14" ht="15.95" customHeight="1" x14ac:dyDescent="0.15">
      <c r="A1323" s="1286"/>
      <c r="B1323" s="640" t="str">
        <f t="shared" si="84"/>
        <v/>
      </c>
      <c r="C1323" s="1285"/>
      <c r="D1323" s="640" t="str">
        <f t="shared" si="85"/>
        <v/>
      </c>
      <c r="E1323" s="1285"/>
      <c r="F1323" s="641" t="str">
        <f>IF(G1323="","",VLOOKUP(G1323,リスト!J$2:K$3,2,FALSE))</f>
        <v/>
      </c>
      <c r="G1323" s="1285"/>
      <c r="H1323" s="1284"/>
      <c r="I1323" s="1284"/>
      <c r="J1323" s="644" t="str">
        <f t="shared" si="86"/>
        <v/>
      </c>
      <c r="K1323" s="1284"/>
      <c r="L1323" s="644" t="str">
        <f t="shared" si="87"/>
        <v/>
      </c>
      <c r="M1323" s="680"/>
      <c r="N1323" s="651"/>
    </row>
    <row r="1324" spans="1:14" ht="15.95" customHeight="1" x14ac:dyDescent="0.15">
      <c r="A1324" s="1286"/>
      <c r="B1324" s="640" t="str">
        <f t="shared" si="84"/>
        <v/>
      </c>
      <c r="C1324" s="1285"/>
      <c r="D1324" s="640" t="str">
        <f t="shared" si="85"/>
        <v/>
      </c>
      <c r="E1324" s="1285"/>
      <c r="F1324" s="641" t="str">
        <f>IF(G1324="","",VLOOKUP(G1324,リスト!J$2:K$3,2,FALSE))</f>
        <v/>
      </c>
      <c r="G1324" s="1285"/>
      <c r="H1324" s="1284"/>
      <c r="I1324" s="1284"/>
      <c r="J1324" s="644" t="str">
        <f t="shared" si="86"/>
        <v/>
      </c>
      <c r="K1324" s="1284"/>
      <c r="L1324" s="644" t="str">
        <f t="shared" si="87"/>
        <v/>
      </c>
      <c r="M1324" s="680"/>
      <c r="N1324" s="651"/>
    </row>
    <row r="1325" spans="1:14" ht="15.95" customHeight="1" x14ac:dyDescent="0.15">
      <c r="A1325" s="1286"/>
      <c r="B1325" s="640" t="str">
        <f t="shared" si="84"/>
        <v/>
      </c>
      <c r="C1325" s="1285"/>
      <c r="D1325" s="640" t="str">
        <f t="shared" si="85"/>
        <v/>
      </c>
      <c r="E1325" s="1285"/>
      <c r="F1325" s="641" t="str">
        <f>IF(G1325="","",VLOOKUP(G1325,リスト!J$2:K$3,2,FALSE))</f>
        <v/>
      </c>
      <c r="G1325" s="1285"/>
      <c r="H1325" s="1284"/>
      <c r="I1325" s="1284"/>
      <c r="J1325" s="644" t="str">
        <f t="shared" si="86"/>
        <v/>
      </c>
      <c r="K1325" s="1284"/>
      <c r="L1325" s="644" t="str">
        <f t="shared" si="87"/>
        <v/>
      </c>
      <c r="M1325" s="680"/>
      <c r="N1325" s="651"/>
    </row>
    <row r="1326" spans="1:14" ht="15.95" customHeight="1" x14ac:dyDescent="0.15">
      <c r="A1326" s="1286"/>
      <c r="B1326" s="640" t="str">
        <f t="shared" si="84"/>
        <v/>
      </c>
      <c r="C1326" s="1285"/>
      <c r="D1326" s="640" t="str">
        <f t="shared" si="85"/>
        <v/>
      </c>
      <c r="E1326" s="1285"/>
      <c r="F1326" s="641" t="str">
        <f>IF(G1326="","",VLOOKUP(G1326,リスト!J$2:K$3,2,FALSE))</f>
        <v/>
      </c>
      <c r="G1326" s="1285"/>
      <c r="H1326" s="1284"/>
      <c r="I1326" s="1284"/>
      <c r="J1326" s="644" t="str">
        <f t="shared" si="86"/>
        <v/>
      </c>
      <c r="K1326" s="1284"/>
      <c r="L1326" s="644" t="str">
        <f t="shared" si="87"/>
        <v/>
      </c>
      <c r="M1326" s="680"/>
      <c r="N1326" s="651"/>
    </row>
    <row r="1327" spans="1:14" ht="15.95" customHeight="1" x14ac:dyDescent="0.15">
      <c r="A1327" s="1286"/>
      <c r="B1327" s="640" t="str">
        <f t="shared" si="84"/>
        <v/>
      </c>
      <c r="C1327" s="1285"/>
      <c r="D1327" s="640" t="str">
        <f t="shared" si="85"/>
        <v/>
      </c>
      <c r="E1327" s="1285"/>
      <c r="F1327" s="641" t="str">
        <f>IF(G1327="","",VLOOKUP(G1327,リスト!J$2:K$3,2,FALSE))</f>
        <v/>
      </c>
      <c r="G1327" s="1285"/>
      <c r="H1327" s="1284"/>
      <c r="I1327" s="1284"/>
      <c r="J1327" s="644" t="str">
        <f t="shared" si="86"/>
        <v/>
      </c>
      <c r="K1327" s="1284"/>
      <c r="L1327" s="644" t="str">
        <f t="shared" si="87"/>
        <v/>
      </c>
      <c r="M1327" s="680"/>
      <c r="N1327" s="651"/>
    </row>
    <row r="1328" spans="1:14" ht="15.95" customHeight="1" x14ac:dyDescent="0.15">
      <c r="A1328" s="1286"/>
      <c r="B1328" s="640" t="str">
        <f t="shared" si="84"/>
        <v/>
      </c>
      <c r="C1328" s="1285"/>
      <c r="D1328" s="640" t="str">
        <f t="shared" si="85"/>
        <v/>
      </c>
      <c r="E1328" s="1285"/>
      <c r="F1328" s="641" t="str">
        <f>IF(G1328="","",VLOOKUP(G1328,リスト!J$2:K$3,2,FALSE))</f>
        <v/>
      </c>
      <c r="G1328" s="1285"/>
      <c r="H1328" s="1284"/>
      <c r="I1328" s="1284"/>
      <c r="J1328" s="644" t="str">
        <f t="shared" si="86"/>
        <v/>
      </c>
      <c r="K1328" s="1284"/>
      <c r="L1328" s="644" t="str">
        <f t="shared" si="87"/>
        <v/>
      </c>
      <c r="M1328" s="680"/>
      <c r="N1328" s="651"/>
    </row>
    <row r="1329" spans="1:14" ht="15.95" customHeight="1" x14ac:dyDescent="0.15">
      <c r="A1329" s="1286"/>
      <c r="B1329" s="640" t="str">
        <f t="shared" si="84"/>
        <v/>
      </c>
      <c r="C1329" s="1285"/>
      <c r="D1329" s="640" t="str">
        <f t="shared" si="85"/>
        <v/>
      </c>
      <c r="E1329" s="1285"/>
      <c r="F1329" s="641" t="str">
        <f>IF(G1329="","",VLOOKUP(G1329,リスト!J$2:K$3,2,FALSE))</f>
        <v/>
      </c>
      <c r="G1329" s="1285"/>
      <c r="H1329" s="1284"/>
      <c r="I1329" s="1284"/>
      <c r="J1329" s="644" t="str">
        <f t="shared" si="86"/>
        <v/>
      </c>
      <c r="K1329" s="1284"/>
      <c r="L1329" s="644" t="str">
        <f t="shared" si="87"/>
        <v/>
      </c>
      <c r="M1329" s="680"/>
      <c r="N1329" s="651"/>
    </row>
    <row r="1330" spans="1:14" ht="15.95" customHeight="1" x14ac:dyDescent="0.15">
      <c r="A1330" s="1286"/>
      <c r="B1330" s="640" t="str">
        <f t="shared" si="84"/>
        <v/>
      </c>
      <c r="C1330" s="1285"/>
      <c r="D1330" s="640" t="str">
        <f t="shared" si="85"/>
        <v/>
      </c>
      <c r="E1330" s="1285"/>
      <c r="F1330" s="641" t="str">
        <f>IF(G1330="","",VLOOKUP(G1330,リスト!J$2:K$3,2,FALSE))</f>
        <v/>
      </c>
      <c r="G1330" s="1285"/>
      <c r="H1330" s="1284"/>
      <c r="I1330" s="1284"/>
      <c r="J1330" s="644" t="str">
        <f t="shared" si="86"/>
        <v/>
      </c>
      <c r="K1330" s="1284"/>
      <c r="L1330" s="644" t="str">
        <f t="shared" si="87"/>
        <v/>
      </c>
      <c r="M1330" s="680"/>
      <c r="N1330" s="651"/>
    </row>
    <row r="1331" spans="1:14" ht="15.95" customHeight="1" x14ac:dyDescent="0.15">
      <c r="A1331" s="1286"/>
      <c r="B1331" s="640" t="str">
        <f t="shared" si="84"/>
        <v/>
      </c>
      <c r="C1331" s="1285"/>
      <c r="D1331" s="640" t="str">
        <f t="shared" si="85"/>
        <v/>
      </c>
      <c r="E1331" s="1285"/>
      <c r="F1331" s="641" t="str">
        <f>IF(G1331="","",VLOOKUP(G1331,リスト!J$2:K$3,2,FALSE))</f>
        <v/>
      </c>
      <c r="G1331" s="1285"/>
      <c r="H1331" s="1284"/>
      <c r="I1331" s="1284"/>
      <c r="J1331" s="644" t="str">
        <f t="shared" si="86"/>
        <v/>
      </c>
      <c r="K1331" s="1284"/>
      <c r="L1331" s="644" t="str">
        <f t="shared" si="87"/>
        <v/>
      </c>
      <c r="M1331" s="680"/>
      <c r="N1331" s="651"/>
    </row>
    <row r="1332" spans="1:14" ht="15.95" customHeight="1" x14ac:dyDescent="0.15">
      <c r="A1332" s="1286"/>
      <c r="B1332" s="640" t="str">
        <f t="shared" si="84"/>
        <v/>
      </c>
      <c r="C1332" s="1285"/>
      <c r="D1332" s="640" t="str">
        <f t="shared" si="85"/>
        <v/>
      </c>
      <c r="E1332" s="1285"/>
      <c r="F1332" s="641" t="str">
        <f>IF(G1332="","",VLOOKUP(G1332,リスト!J$2:K$3,2,FALSE))</f>
        <v/>
      </c>
      <c r="G1332" s="1285"/>
      <c r="H1332" s="1284"/>
      <c r="I1332" s="1284"/>
      <c r="J1332" s="644" t="str">
        <f t="shared" si="86"/>
        <v/>
      </c>
      <c r="K1332" s="1284"/>
      <c r="L1332" s="644" t="str">
        <f t="shared" si="87"/>
        <v/>
      </c>
      <c r="M1332" s="680"/>
      <c r="N1332" s="651"/>
    </row>
    <row r="1333" spans="1:14" ht="15.95" customHeight="1" x14ac:dyDescent="0.15">
      <c r="A1333" s="1286"/>
      <c r="B1333" s="640" t="str">
        <f t="shared" si="84"/>
        <v/>
      </c>
      <c r="C1333" s="1285"/>
      <c r="D1333" s="640" t="str">
        <f t="shared" si="85"/>
        <v/>
      </c>
      <c r="E1333" s="1285"/>
      <c r="F1333" s="641" t="str">
        <f>IF(G1333="","",VLOOKUP(G1333,リスト!J$2:K$3,2,FALSE))</f>
        <v/>
      </c>
      <c r="G1333" s="1285"/>
      <c r="H1333" s="1284"/>
      <c r="I1333" s="1284"/>
      <c r="J1333" s="644" t="str">
        <f t="shared" si="86"/>
        <v/>
      </c>
      <c r="K1333" s="1284"/>
      <c r="L1333" s="644" t="str">
        <f t="shared" si="87"/>
        <v/>
      </c>
      <c r="M1333" s="680"/>
      <c r="N1333" s="651"/>
    </row>
    <row r="1334" spans="1:14" ht="15.95" customHeight="1" x14ac:dyDescent="0.15">
      <c r="A1334" s="1286"/>
      <c r="B1334" s="640" t="str">
        <f t="shared" si="84"/>
        <v/>
      </c>
      <c r="C1334" s="1285"/>
      <c r="D1334" s="640" t="str">
        <f t="shared" si="85"/>
        <v/>
      </c>
      <c r="E1334" s="1285"/>
      <c r="F1334" s="641" t="str">
        <f>IF(G1334="","",VLOOKUP(G1334,リスト!J$2:K$3,2,FALSE))</f>
        <v/>
      </c>
      <c r="G1334" s="1285"/>
      <c r="H1334" s="1284"/>
      <c r="I1334" s="1284"/>
      <c r="J1334" s="644" t="str">
        <f t="shared" si="86"/>
        <v/>
      </c>
      <c r="K1334" s="1284"/>
      <c r="L1334" s="644" t="str">
        <f t="shared" si="87"/>
        <v/>
      </c>
      <c r="M1334" s="680"/>
      <c r="N1334" s="651"/>
    </row>
    <row r="1335" spans="1:14" ht="15.95" customHeight="1" x14ac:dyDescent="0.15">
      <c r="A1335" s="1286"/>
      <c r="B1335" s="640" t="str">
        <f t="shared" si="84"/>
        <v/>
      </c>
      <c r="C1335" s="1285"/>
      <c r="D1335" s="640" t="str">
        <f t="shared" si="85"/>
        <v/>
      </c>
      <c r="E1335" s="1285"/>
      <c r="F1335" s="641" t="str">
        <f>IF(G1335="","",VLOOKUP(G1335,リスト!J$2:K$3,2,FALSE))</f>
        <v/>
      </c>
      <c r="G1335" s="1285"/>
      <c r="H1335" s="1284"/>
      <c r="I1335" s="1284"/>
      <c r="J1335" s="644" t="str">
        <f t="shared" si="86"/>
        <v/>
      </c>
      <c r="K1335" s="1284"/>
      <c r="L1335" s="644" t="str">
        <f t="shared" si="87"/>
        <v/>
      </c>
      <c r="M1335" s="680"/>
      <c r="N1335" s="651"/>
    </row>
    <row r="1336" spans="1:14" ht="15.95" customHeight="1" x14ac:dyDescent="0.15">
      <c r="A1336" s="1286"/>
      <c r="B1336" s="640" t="str">
        <f t="shared" si="84"/>
        <v/>
      </c>
      <c r="C1336" s="1285"/>
      <c r="D1336" s="640" t="str">
        <f t="shared" si="85"/>
        <v/>
      </c>
      <c r="E1336" s="1285"/>
      <c r="F1336" s="641" t="str">
        <f>IF(G1336="","",VLOOKUP(G1336,リスト!J$2:K$3,2,FALSE))</f>
        <v/>
      </c>
      <c r="G1336" s="1285"/>
      <c r="H1336" s="1284"/>
      <c r="I1336" s="1284"/>
      <c r="J1336" s="644" t="str">
        <f t="shared" si="86"/>
        <v/>
      </c>
      <c r="K1336" s="1284"/>
      <c r="L1336" s="644" t="str">
        <f t="shared" si="87"/>
        <v/>
      </c>
      <c r="M1336" s="680"/>
      <c r="N1336" s="651"/>
    </row>
    <row r="1337" spans="1:14" ht="15.95" customHeight="1" x14ac:dyDescent="0.15">
      <c r="A1337" s="1286"/>
      <c r="B1337" s="640" t="str">
        <f t="shared" si="84"/>
        <v/>
      </c>
      <c r="C1337" s="1285"/>
      <c r="D1337" s="640" t="str">
        <f t="shared" si="85"/>
        <v/>
      </c>
      <c r="E1337" s="1285"/>
      <c r="F1337" s="641" t="str">
        <f>IF(G1337="","",VLOOKUP(G1337,リスト!J$2:K$3,2,FALSE))</f>
        <v/>
      </c>
      <c r="G1337" s="1285"/>
      <c r="H1337" s="1284"/>
      <c r="I1337" s="1284"/>
      <c r="J1337" s="644" t="str">
        <f t="shared" si="86"/>
        <v/>
      </c>
      <c r="K1337" s="1284"/>
      <c r="L1337" s="644" t="str">
        <f t="shared" si="87"/>
        <v/>
      </c>
      <c r="M1337" s="680"/>
      <c r="N1337" s="651"/>
    </row>
    <row r="1338" spans="1:14" ht="15.95" customHeight="1" x14ac:dyDescent="0.15">
      <c r="A1338" s="1286"/>
      <c r="B1338" s="640" t="str">
        <f t="shared" si="84"/>
        <v/>
      </c>
      <c r="C1338" s="1285"/>
      <c r="D1338" s="640" t="str">
        <f t="shared" si="85"/>
        <v/>
      </c>
      <c r="E1338" s="1285"/>
      <c r="F1338" s="641" t="str">
        <f>IF(G1338="","",VLOOKUP(G1338,リスト!J$2:K$3,2,FALSE))</f>
        <v/>
      </c>
      <c r="G1338" s="1285"/>
      <c r="H1338" s="1284"/>
      <c r="I1338" s="1284"/>
      <c r="J1338" s="644" t="str">
        <f t="shared" si="86"/>
        <v/>
      </c>
      <c r="K1338" s="1284"/>
      <c r="L1338" s="644" t="str">
        <f t="shared" si="87"/>
        <v/>
      </c>
      <c r="M1338" s="680"/>
      <c r="N1338" s="651"/>
    </row>
    <row r="1339" spans="1:14" ht="15.95" customHeight="1" x14ac:dyDescent="0.15">
      <c r="A1339" s="1286"/>
      <c r="B1339" s="640" t="str">
        <f t="shared" si="84"/>
        <v/>
      </c>
      <c r="C1339" s="1285"/>
      <c r="D1339" s="640" t="str">
        <f t="shared" si="85"/>
        <v/>
      </c>
      <c r="E1339" s="1285"/>
      <c r="F1339" s="641" t="str">
        <f>IF(G1339="","",VLOOKUP(G1339,リスト!J$2:K$3,2,FALSE))</f>
        <v/>
      </c>
      <c r="G1339" s="1285"/>
      <c r="H1339" s="1284"/>
      <c r="I1339" s="1284"/>
      <c r="J1339" s="644" t="str">
        <f t="shared" si="86"/>
        <v/>
      </c>
      <c r="K1339" s="1284"/>
      <c r="L1339" s="644" t="str">
        <f t="shared" si="87"/>
        <v/>
      </c>
      <c r="M1339" s="680"/>
      <c r="N1339" s="651"/>
    </row>
    <row r="1340" spans="1:14" ht="15.95" customHeight="1" x14ac:dyDescent="0.15">
      <c r="A1340" s="1286"/>
      <c r="B1340" s="640" t="str">
        <f t="shared" si="84"/>
        <v/>
      </c>
      <c r="C1340" s="1285"/>
      <c r="D1340" s="640" t="str">
        <f t="shared" si="85"/>
        <v/>
      </c>
      <c r="E1340" s="1285"/>
      <c r="F1340" s="641" t="str">
        <f>IF(G1340="","",VLOOKUP(G1340,リスト!J$2:K$3,2,FALSE))</f>
        <v/>
      </c>
      <c r="G1340" s="1285"/>
      <c r="H1340" s="1284"/>
      <c r="I1340" s="1284"/>
      <c r="J1340" s="644" t="str">
        <f t="shared" si="86"/>
        <v/>
      </c>
      <c r="K1340" s="1284"/>
      <c r="L1340" s="644" t="str">
        <f t="shared" si="87"/>
        <v/>
      </c>
      <c r="M1340" s="680"/>
      <c r="N1340" s="651"/>
    </row>
    <row r="1341" spans="1:14" ht="15.95" customHeight="1" x14ac:dyDescent="0.15">
      <c r="A1341" s="1286"/>
      <c r="B1341" s="640" t="str">
        <f t="shared" si="84"/>
        <v/>
      </c>
      <c r="C1341" s="1285"/>
      <c r="D1341" s="640" t="str">
        <f t="shared" si="85"/>
        <v/>
      </c>
      <c r="E1341" s="1285"/>
      <c r="F1341" s="641" t="str">
        <f>IF(G1341="","",VLOOKUP(G1341,リスト!J$2:K$3,2,FALSE))</f>
        <v/>
      </c>
      <c r="G1341" s="1285"/>
      <c r="H1341" s="1284"/>
      <c r="I1341" s="1284"/>
      <c r="J1341" s="644" t="str">
        <f t="shared" si="86"/>
        <v/>
      </c>
      <c r="K1341" s="1284"/>
      <c r="L1341" s="644" t="str">
        <f t="shared" si="87"/>
        <v/>
      </c>
      <c r="M1341" s="680"/>
      <c r="N1341" s="651"/>
    </row>
    <row r="1342" spans="1:14" ht="15.95" customHeight="1" x14ac:dyDescent="0.15">
      <c r="A1342" s="1286"/>
      <c r="B1342" s="640" t="str">
        <f t="shared" si="84"/>
        <v/>
      </c>
      <c r="C1342" s="1285"/>
      <c r="D1342" s="640" t="str">
        <f t="shared" si="85"/>
        <v/>
      </c>
      <c r="E1342" s="1285"/>
      <c r="F1342" s="641" t="str">
        <f>IF(G1342="","",VLOOKUP(G1342,リスト!J$2:K$3,2,FALSE))</f>
        <v/>
      </c>
      <c r="G1342" s="1285"/>
      <c r="H1342" s="1284"/>
      <c r="I1342" s="1284"/>
      <c r="J1342" s="644" t="str">
        <f t="shared" si="86"/>
        <v/>
      </c>
      <c r="K1342" s="1284"/>
      <c r="L1342" s="644" t="str">
        <f t="shared" si="87"/>
        <v/>
      </c>
      <c r="M1342" s="680"/>
      <c r="N1342" s="651"/>
    </row>
    <row r="1343" spans="1:14" ht="15.95" customHeight="1" x14ac:dyDescent="0.15">
      <c r="A1343" s="1286"/>
      <c r="B1343" s="640" t="str">
        <f t="shared" si="84"/>
        <v/>
      </c>
      <c r="C1343" s="1285"/>
      <c r="D1343" s="640" t="str">
        <f t="shared" si="85"/>
        <v/>
      </c>
      <c r="E1343" s="1285"/>
      <c r="F1343" s="641" t="str">
        <f>IF(G1343="","",VLOOKUP(G1343,リスト!J$2:K$3,2,FALSE))</f>
        <v/>
      </c>
      <c r="G1343" s="1285"/>
      <c r="H1343" s="1284"/>
      <c r="I1343" s="1284"/>
      <c r="J1343" s="644" t="str">
        <f t="shared" si="86"/>
        <v/>
      </c>
      <c r="K1343" s="1284"/>
      <c r="L1343" s="644" t="str">
        <f t="shared" si="87"/>
        <v/>
      </c>
      <c r="M1343" s="680"/>
      <c r="N1343" s="651"/>
    </row>
    <row r="1344" spans="1:14" ht="15.95" customHeight="1" x14ac:dyDescent="0.15">
      <c r="A1344" s="1286"/>
      <c r="B1344" s="640" t="str">
        <f t="shared" si="84"/>
        <v/>
      </c>
      <c r="C1344" s="1285"/>
      <c r="D1344" s="640" t="str">
        <f t="shared" si="85"/>
        <v/>
      </c>
      <c r="E1344" s="1285"/>
      <c r="F1344" s="641" t="str">
        <f>IF(G1344="","",VLOOKUP(G1344,リスト!J$2:K$3,2,FALSE))</f>
        <v/>
      </c>
      <c r="G1344" s="1285"/>
      <c r="H1344" s="1284"/>
      <c r="I1344" s="1284"/>
      <c r="J1344" s="644" t="str">
        <f t="shared" si="86"/>
        <v/>
      </c>
      <c r="K1344" s="1284"/>
      <c r="L1344" s="644" t="str">
        <f t="shared" si="87"/>
        <v/>
      </c>
      <c r="M1344" s="680"/>
      <c r="N1344" s="651"/>
    </row>
    <row r="1345" spans="1:14" ht="15.95" customHeight="1" x14ac:dyDescent="0.15">
      <c r="A1345" s="1286"/>
      <c r="B1345" s="640" t="str">
        <f t="shared" si="84"/>
        <v/>
      </c>
      <c r="C1345" s="1285"/>
      <c r="D1345" s="640" t="str">
        <f t="shared" si="85"/>
        <v/>
      </c>
      <c r="E1345" s="1285"/>
      <c r="F1345" s="641" t="str">
        <f>IF(G1345="","",VLOOKUP(G1345,リスト!J$2:K$3,2,FALSE))</f>
        <v/>
      </c>
      <c r="G1345" s="1285"/>
      <c r="H1345" s="1284"/>
      <c r="I1345" s="1284"/>
      <c r="J1345" s="644" t="str">
        <f t="shared" si="86"/>
        <v/>
      </c>
      <c r="K1345" s="1284"/>
      <c r="L1345" s="644" t="str">
        <f t="shared" si="87"/>
        <v/>
      </c>
      <c r="M1345" s="680"/>
      <c r="N1345" s="651"/>
    </row>
    <row r="1346" spans="1:14" ht="15.95" customHeight="1" x14ac:dyDescent="0.15">
      <c r="A1346" s="1286"/>
      <c r="B1346" s="640" t="str">
        <f t="shared" si="84"/>
        <v/>
      </c>
      <c r="C1346" s="1285"/>
      <c r="D1346" s="640" t="str">
        <f t="shared" si="85"/>
        <v/>
      </c>
      <c r="E1346" s="1285"/>
      <c r="F1346" s="641" t="str">
        <f>IF(G1346="","",VLOOKUP(G1346,リスト!J$2:K$3,2,FALSE))</f>
        <v/>
      </c>
      <c r="G1346" s="1285"/>
      <c r="H1346" s="1284"/>
      <c r="I1346" s="1284"/>
      <c r="J1346" s="644" t="str">
        <f t="shared" si="86"/>
        <v/>
      </c>
      <c r="K1346" s="1284"/>
      <c r="L1346" s="644" t="str">
        <f t="shared" si="87"/>
        <v/>
      </c>
      <c r="M1346" s="680"/>
      <c r="N1346" s="651"/>
    </row>
    <row r="1347" spans="1:14" ht="15.95" customHeight="1" x14ac:dyDescent="0.15">
      <c r="A1347" s="1286"/>
      <c r="B1347" s="640" t="str">
        <f t="shared" si="84"/>
        <v/>
      </c>
      <c r="C1347" s="1285"/>
      <c r="D1347" s="640" t="str">
        <f t="shared" si="85"/>
        <v/>
      </c>
      <c r="E1347" s="1285"/>
      <c r="F1347" s="641" t="str">
        <f>IF(G1347="","",VLOOKUP(G1347,リスト!J$2:K$3,2,FALSE))</f>
        <v/>
      </c>
      <c r="G1347" s="1285"/>
      <c r="H1347" s="1284"/>
      <c r="I1347" s="1284"/>
      <c r="J1347" s="644" t="str">
        <f t="shared" si="86"/>
        <v/>
      </c>
      <c r="K1347" s="1284"/>
      <c r="L1347" s="644" t="str">
        <f t="shared" si="87"/>
        <v/>
      </c>
      <c r="M1347" s="680"/>
      <c r="N1347" s="651"/>
    </row>
    <row r="1348" spans="1:14" ht="15.95" customHeight="1" x14ac:dyDescent="0.15">
      <c r="A1348" s="1286"/>
      <c r="B1348" s="640" t="str">
        <f t="shared" si="84"/>
        <v/>
      </c>
      <c r="C1348" s="1285"/>
      <c r="D1348" s="640" t="str">
        <f t="shared" si="85"/>
        <v/>
      </c>
      <c r="E1348" s="1285"/>
      <c r="F1348" s="641" t="str">
        <f>IF(G1348="","",VLOOKUP(G1348,リスト!J$2:K$3,2,FALSE))</f>
        <v/>
      </c>
      <c r="G1348" s="1285"/>
      <c r="H1348" s="1284"/>
      <c r="I1348" s="1284"/>
      <c r="J1348" s="644" t="str">
        <f t="shared" si="86"/>
        <v/>
      </c>
      <c r="K1348" s="1284"/>
      <c r="L1348" s="644" t="str">
        <f t="shared" si="87"/>
        <v/>
      </c>
      <c r="M1348" s="680"/>
      <c r="N1348" s="651"/>
    </row>
    <row r="1349" spans="1:14" ht="15.95" customHeight="1" x14ac:dyDescent="0.15">
      <c r="A1349" s="1286"/>
      <c r="B1349" s="640" t="str">
        <f t="shared" si="84"/>
        <v/>
      </c>
      <c r="C1349" s="1285"/>
      <c r="D1349" s="640" t="str">
        <f t="shared" si="85"/>
        <v/>
      </c>
      <c r="E1349" s="1285"/>
      <c r="F1349" s="641" t="str">
        <f>IF(G1349="","",VLOOKUP(G1349,リスト!J$2:K$3,2,FALSE))</f>
        <v/>
      </c>
      <c r="G1349" s="1285"/>
      <c r="H1349" s="1284"/>
      <c r="I1349" s="1284"/>
      <c r="J1349" s="644" t="str">
        <f t="shared" si="86"/>
        <v/>
      </c>
      <c r="K1349" s="1284"/>
      <c r="L1349" s="644" t="str">
        <f t="shared" si="87"/>
        <v/>
      </c>
      <c r="M1349" s="680"/>
      <c r="N1349" s="651"/>
    </row>
    <row r="1350" spans="1:14" ht="15.95" customHeight="1" x14ac:dyDescent="0.15">
      <c r="A1350" s="1286"/>
      <c r="B1350" s="640" t="str">
        <f t="shared" si="84"/>
        <v/>
      </c>
      <c r="C1350" s="1285"/>
      <c r="D1350" s="640" t="str">
        <f t="shared" si="85"/>
        <v/>
      </c>
      <c r="E1350" s="1285"/>
      <c r="F1350" s="641" t="str">
        <f>IF(G1350="","",VLOOKUP(G1350,リスト!J$2:K$3,2,FALSE))</f>
        <v/>
      </c>
      <c r="G1350" s="1285"/>
      <c r="H1350" s="1284"/>
      <c r="I1350" s="1284"/>
      <c r="J1350" s="644" t="str">
        <f t="shared" si="86"/>
        <v/>
      </c>
      <c r="K1350" s="1284"/>
      <c r="L1350" s="644" t="str">
        <f t="shared" si="87"/>
        <v/>
      </c>
      <c r="M1350" s="680"/>
      <c r="N1350" s="651"/>
    </row>
    <row r="1351" spans="1:14" ht="15.95" customHeight="1" x14ac:dyDescent="0.15">
      <c r="A1351" s="1286"/>
      <c r="B1351" s="640" t="str">
        <f t="shared" si="84"/>
        <v/>
      </c>
      <c r="C1351" s="1285"/>
      <c r="D1351" s="640" t="str">
        <f t="shared" si="85"/>
        <v/>
      </c>
      <c r="E1351" s="1285"/>
      <c r="F1351" s="641" t="str">
        <f>IF(G1351="","",VLOOKUP(G1351,リスト!J$2:K$3,2,FALSE))</f>
        <v/>
      </c>
      <c r="G1351" s="1285"/>
      <c r="H1351" s="1284"/>
      <c r="I1351" s="1284"/>
      <c r="J1351" s="644" t="str">
        <f t="shared" si="86"/>
        <v/>
      </c>
      <c r="K1351" s="1284"/>
      <c r="L1351" s="644" t="str">
        <f t="shared" si="87"/>
        <v/>
      </c>
      <c r="M1351" s="680"/>
      <c r="N1351" s="651"/>
    </row>
    <row r="1352" spans="1:14" ht="15.95" customHeight="1" x14ac:dyDescent="0.15">
      <c r="A1352" s="1286"/>
      <c r="B1352" s="640" t="str">
        <f t="shared" si="84"/>
        <v/>
      </c>
      <c r="C1352" s="1285"/>
      <c r="D1352" s="640" t="str">
        <f t="shared" si="85"/>
        <v/>
      </c>
      <c r="E1352" s="1285"/>
      <c r="F1352" s="641" t="str">
        <f>IF(G1352="","",VLOOKUP(G1352,リスト!J$2:K$3,2,FALSE))</f>
        <v/>
      </c>
      <c r="G1352" s="1285"/>
      <c r="H1352" s="1284"/>
      <c r="I1352" s="1284"/>
      <c r="J1352" s="644" t="str">
        <f t="shared" si="86"/>
        <v/>
      </c>
      <c r="K1352" s="1284"/>
      <c r="L1352" s="644" t="str">
        <f t="shared" si="87"/>
        <v/>
      </c>
      <c r="M1352" s="680"/>
      <c r="N1352" s="651"/>
    </row>
    <row r="1353" spans="1:14" ht="15.95" customHeight="1" x14ac:dyDescent="0.15">
      <c r="A1353" s="1286"/>
      <c r="B1353" s="640" t="str">
        <f t="shared" si="84"/>
        <v/>
      </c>
      <c r="C1353" s="1285"/>
      <c r="D1353" s="640" t="str">
        <f t="shared" si="85"/>
        <v/>
      </c>
      <c r="E1353" s="1285"/>
      <c r="F1353" s="641" t="str">
        <f>IF(G1353="","",VLOOKUP(G1353,リスト!J$2:K$3,2,FALSE))</f>
        <v/>
      </c>
      <c r="G1353" s="1285"/>
      <c r="H1353" s="1284"/>
      <c r="I1353" s="1284"/>
      <c r="J1353" s="644" t="str">
        <f t="shared" si="86"/>
        <v/>
      </c>
      <c r="K1353" s="1284"/>
      <c r="L1353" s="644" t="str">
        <f t="shared" si="87"/>
        <v/>
      </c>
      <c r="M1353" s="680"/>
      <c r="N1353" s="651"/>
    </row>
    <row r="1354" spans="1:14" ht="15.95" customHeight="1" x14ac:dyDescent="0.15">
      <c r="A1354" s="1286"/>
      <c r="B1354" s="640" t="str">
        <f t="shared" si="84"/>
        <v/>
      </c>
      <c r="C1354" s="1285"/>
      <c r="D1354" s="640" t="str">
        <f t="shared" si="85"/>
        <v/>
      </c>
      <c r="E1354" s="1285"/>
      <c r="F1354" s="641" t="str">
        <f>IF(G1354="","",VLOOKUP(G1354,リスト!J$2:K$3,2,FALSE))</f>
        <v/>
      </c>
      <c r="G1354" s="1285"/>
      <c r="H1354" s="1284"/>
      <c r="I1354" s="1284"/>
      <c r="J1354" s="644" t="str">
        <f t="shared" si="86"/>
        <v/>
      </c>
      <c r="K1354" s="1284"/>
      <c r="L1354" s="644" t="str">
        <f t="shared" si="87"/>
        <v/>
      </c>
      <c r="M1354" s="680"/>
      <c r="N1354" s="651"/>
    </row>
    <row r="1355" spans="1:14" ht="15.95" customHeight="1" x14ac:dyDescent="0.15">
      <c r="A1355" s="1286"/>
      <c r="B1355" s="640" t="str">
        <f t="shared" si="84"/>
        <v/>
      </c>
      <c r="C1355" s="1285"/>
      <c r="D1355" s="640" t="str">
        <f t="shared" si="85"/>
        <v/>
      </c>
      <c r="E1355" s="1285"/>
      <c r="F1355" s="641" t="str">
        <f>IF(G1355="","",VLOOKUP(G1355,リスト!J$2:K$3,2,FALSE))</f>
        <v/>
      </c>
      <c r="G1355" s="1285"/>
      <c r="H1355" s="1284"/>
      <c r="I1355" s="1284"/>
      <c r="J1355" s="644" t="str">
        <f t="shared" si="86"/>
        <v/>
      </c>
      <c r="K1355" s="1284"/>
      <c r="L1355" s="644" t="str">
        <f t="shared" si="87"/>
        <v/>
      </c>
      <c r="M1355" s="680"/>
      <c r="N1355" s="651"/>
    </row>
    <row r="1356" spans="1:14" ht="15.95" customHeight="1" x14ac:dyDescent="0.15">
      <c r="A1356" s="1286"/>
      <c r="B1356" s="640" t="str">
        <f t="shared" si="84"/>
        <v/>
      </c>
      <c r="C1356" s="1285"/>
      <c r="D1356" s="640" t="str">
        <f t="shared" si="85"/>
        <v/>
      </c>
      <c r="E1356" s="1285"/>
      <c r="F1356" s="641" t="str">
        <f>IF(G1356="","",VLOOKUP(G1356,リスト!J$2:K$3,2,FALSE))</f>
        <v/>
      </c>
      <c r="G1356" s="1285"/>
      <c r="H1356" s="1284"/>
      <c r="I1356" s="1284"/>
      <c r="J1356" s="644" t="str">
        <f t="shared" si="86"/>
        <v/>
      </c>
      <c r="K1356" s="1284"/>
      <c r="L1356" s="644" t="str">
        <f t="shared" si="87"/>
        <v/>
      </c>
      <c r="M1356" s="680"/>
      <c r="N1356" s="651"/>
    </row>
    <row r="1357" spans="1:14" ht="15.95" customHeight="1" x14ac:dyDescent="0.15">
      <c r="A1357" s="1286"/>
      <c r="B1357" s="640" t="str">
        <f t="shared" si="84"/>
        <v/>
      </c>
      <c r="C1357" s="1285"/>
      <c r="D1357" s="640" t="str">
        <f t="shared" si="85"/>
        <v/>
      </c>
      <c r="E1357" s="1285"/>
      <c r="F1357" s="641" t="str">
        <f>IF(G1357="","",VLOOKUP(G1357,リスト!J$2:K$3,2,FALSE))</f>
        <v/>
      </c>
      <c r="G1357" s="1285"/>
      <c r="H1357" s="1284"/>
      <c r="I1357" s="1284"/>
      <c r="J1357" s="644" t="str">
        <f t="shared" si="86"/>
        <v/>
      </c>
      <c r="K1357" s="1284"/>
      <c r="L1357" s="644" t="str">
        <f t="shared" si="87"/>
        <v/>
      </c>
      <c r="M1357" s="680"/>
      <c r="N1357" s="651"/>
    </row>
    <row r="1358" spans="1:14" ht="15.95" customHeight="1" x14ac:dyDescent="0.15">
      <c r="A1358" s="1286"/>
      <c r="B1358" s="640" t="str">
        <f t="shared" si="84"/>
        <v/>
      </c>
      <c r="C1358" s="1285"/>
      <c r="D1358" s="640" t="str">
        <f t="shared" si="85"/>
        <v/>
      </c>
      <c r="E1358" s="1285"/>
      <c r="F1358" s="641" t="str">
        <f>IF(G1358="","",VLOOKUP(G1358,リスト!J$2:K$3,2,FALSE))</f>
        <v/>
      </c>
      <c r="G1358" s="1285"/>
      <c r="H1358" s="1284"/>
      <c r="I1358" s="1284"/>
      <c r="J1358" s="644" t="str">
        <f t="shared" si="86"/>
        <v/>
      </c>
      <c r="K1358" s="1284"/>
      <c r="L1358" s="644" t="str">
        <f t="shared" si="87"/>
        <v/>
      </c>
      <c r="M1358" s="680"/>
      <c r="N1358" s="651"/>
    </row>
    <row r="1359" spans="1:14" ht="15.95" customHeight="1" x14ac:dyDescent="0.15">
      <c r="A1359" s="1286"/>
      <c r="B1359" s="640" t="str">
        <f t="shared" si="84"/>
        <v/>
      </c>
      <c r="C1359" s="1285"/>
      <c r="D1359" s="640" t="str">
        <f t="shared" si="85"/>
        <v/>
      </c>
      <c r="E1359" s="1285"/>
      <c r="F1359" s="641" t="str">
        <f>IF(G1359="","",VLOOKUP(G1359,リスト!J$2:K$3,2,FALSE))</f>
        <v/>
      </c>
      <c r="G1359" s="1285"/>
      <c r="H1359" s="1284"/>
      <c r="I1359" s="1284"/>
      <c r="J1359" s="644" t="str">
        <f t="shared" si="86"/>
        <v/>
      </c>
      <c r="K1359" s="1284"/>
      <c r="L1359" s="644" t="str">
        <f t="shared" si="87"/>
        <v/>
      </c>
      <c r="M1359" s="680"/>
      <c r="N1359" s="651"/>
    </row>
    <row r="1360" spans="1:14" ht="15.95" customHeight="1" x14ac:dyDescent="0.15">
      <c r="A1360" s="1286"/>
      <c r="B1360" s="640" t="str">
        <f t="shared" si="84"/>
        <v/>
      </c>
      <c r="C1360" s="1285"/>
      <c r="D1360" s="640" t="str">
        <f t="shared" si="85"/>
        <v/>
      </c>
      <c r="E1360" s="1285"/>
      <c r="F1360" s="641" t="str">
        <f>IF(G1360="","",VLOOKUP(G1360,リスト!J$2:K$3,2,FALSE))</f>
        <v/>
      </c>
      <c r="G1360" s="1285"/>
      <c r="H1360" s="1284"/>
      <c r="I1360" s="1284"/>
      <c r="J1360" s="644" t="str">
        <f t="shared" si="86"/>
        <v/>
      </c>
      <c r="K1360" s="1284"/>
      <c r="L1360" s="644" t="str">
        <f t="shared" si="87"/>
        <v/>
      </c>
      <c r="M1360" s="680"/>
      <c r="N1360" s="651"/>
    </row>
    <row r="1361" spans="1:14" ht="15.95" customHeight="1" x14ac:dyDescent="0.15">
      <c r="A1361" s="1286"/>
      <c r="B1361" s="640" t="str">
        <f t="shared" si="84"/>
        <v/>
      </c>
      <c r="C1361" s="1285"/>
      <c r="D1361" s="640" t="str">
        <f t="shared" si="85"/>
        <v/>
      </c>
      <c r="E1361" s="1285"/>
      <c r="F1361" s="641" t="str">
        <f>IF(G1361="","",VLOOKUP(G1361,リスト!J$2:K$3,2,FALSE))</f>
        <v/>
      </c>
      <c r="G1361" s="1285"/>
      <c r="H1361" s="1284"/>
      <c r="I1361" s="1284"/>
      <c r="J1361" s="644" t="str">
        <f t="shared" si="86"/>
        <v/>
      </c>
      <c r="K1361" s="1284"/>
      <c r="L1361" s="644" t="str">
        <f t="shared" si="87"/>
        <v/>
      </c>
      <c r="M1361" s="680"/>
      <c r="N1361" s="651"/>
    </row>
    <row r="1362" spans="1:14" ht="15.95" customHeight="1" x14ac:dyDescent="0.15">
      <c r="A1362" s="1286"/>
      <c r="B1362" s="640" t="str">
        <f t="shared" si="84"/>
        <v/>
      </c>
      <c r="C1362" s="1285"/>
      <c r="D1362" s="640" t="str">
        <f t="shared" si="85"/>
        <v/>
      </c>
      <c r="E1362" s="1285"/>
      <c r="F1362" s="641" t="str">
        <f>IF(G1362="","",VLOOKUP(G1362,リスト!J$2:K$3,2,FALSE))</f>
        <v/>
      </c>
      <c r="G1362" s="1285"/>
      <c r="H1362" s="1284"/>
      <c r="I1362" s="1284"/>
      <c r="J1362" s="644" t="str">
        <f t="shared" si="86"/>
        <v/>
      </c>
      <c r="K1362" s="1284"/>
      <c r="L1362" s="644" t="str">
        <f t="shared" si="87"/>
        <v/>
      </c>
      <c r="M1362" s="680"/>
      <c r="N1362" s="651"/>
    </row>
    <row r="1363" spans="1:14" ht="15.95" customHeight="1" x14ac:dyDescent="0.15">
      <c r="A1363" s="1286"/>
      <c r="B1363" s="640" t="str">
        <f t="shared" si="84"/>
        <v/>
      </c>
      <c r="C1363" s="1285"/>
      <c r="D1363" s="640" t="str">
        <f t="shared" si="85"/>
        <v/>
      </c>
      <c r="E1363" s="1285"/>
      <c r="F1363" s="641" t="str">
        <f>IF(G1363="","",VLOOKUP(G1363,リスト!J$2:K$3,2,FALSE))</f>
        <v/>
      </c>
      <c r="G1363" s="1285"/>
      <c r="H1363" s="1284"/>
      <c r="I1363" s="1284"/>
      <c r="J1363" s="644" t="str">
        <f t="shared" si="86"/>
        <v/>
      </c>
      <c r="K1363" s="1284"/>
      <c r="L1363" s="644" t="str">
        <f t="shared" si="87"/>
        <v/>
      </c>
      <c r="M1363" s="680"/>
      <c r="N1363" s="651"/>
    </row>
    <row r="1364" spans="1:14" ht="15.95" customHeight="1" x14ac:dyDescent="0.15">
      <c r="A1364" s="1286"/>
      <c r="B1364" s="640" t="str">
        <f t="shared" si="84"/>
        <v/>
      </c>
      <c r="C1364" s="1285"/>
      <c r="D1364" s="640" t="str">
        <f t="shared" si="85"/>
        <v/>
      </c>
      <c r="E1364" s="1285"/>
      <c r="F1364" s="641" t="str">
        <f>IF(G1364="","",VLOOKUP(G1364,リスト!J$2:K$3,2,FALSE))</f>
        <v/>
      </c>
      <c r="G1364" s="1285"/>
      <c r="H1364" s="1284"/>
      <c r="I1364" s="1284"/>
      <c r="J1364" s="644" t="str">
        <f t="shared" si="86"/>
        <v/>
      </c>
      <c r="K1364" s="1284"/>
      <c r="L1364" s="644" t="str">
        <f t="shared" si="87"/>
        <v/>
      </c>
      <c r="M1364" s="680"/>
      <c r="N1364" s="651"/>
    </row>
    <row r="1365" spans="1:14" ht="15.95" customHeight="1" x14ac:dyDescent="0.15">
      <c r="A1365" s="1286"/>
      <c r="B1365" s="640" t="str">
        <f t="shared" si="84"/>
        <v/>
      </c>
      <c r="C1365" s="1285"/>
      <c r="D1365" s="640" t="str">
        <f t="shared" si="85"/>
        <v/>
      </c>
      <c r="E1365" s="1285"/>
      <c r="F1365" s="641" t="str">
        <f>IF(G1365="","",VLOOKUP(G1365,リスト!J$2:K$3,2,FALSE))</f>
        <v/>
      </c>
      <c r="G1365" s="1285"/>
      <c r="H1365" s="1284"/>
      <c r="I1365" s="1284"/>
      <c r="J1365" s="644" t="str">
        <f t="shared" si="86"/>
        <v/>
      </c>
      <c r="K1365" s="1284"/>
      <c r="L1365" s="644" t="str">
        <f t="shared" si="87"/>
        <v/>
      </c>
      <c r="M1365" s="680"/>
      <c r="N1365" s="651"/>
    </row>
    <row r="1366" spans="1:14" ht="15.95" customHeight="1" x14ac:dyDescent="0.15">
      <c r="A1366" s="1286"/>
      <c r="B1366" s="640" t="str">
        <f t="shared" si="84"/>
        <v/>
      </c>
      <c r="C1366" s="1285"/>
      <c r="D1366" s="640" t="str">
        <f t="shared" si="85"/>
        <v/>
      </c>
      <c r="E1366" s="1285"/>
      <c r="F1366" s="641" t="str">
        <f>IF(G1366="","",VLOOKUP(G1366,リスト!J$2:K$3,2,FALSE))</f>
        <v/>
      </c>
      <c r="G1366" s="1285"/>
      <c r="H1366" s="1284"/>
      <c r="I1366" s="1284"/>
      <c r="J1366" s="644" t="str">
        <f t="shared" si="86"/>
        <v/>
      </c>
      <c r="K1366" s="1284"/>
      <c r="L1366" s="644" t="str">
        <f t="shared" si="87"/>
        <v/>
      </c>
      <c r="M1366" s="680"/>
      <c r="N1366" s="651"/>
    </row>
    <row r="1367" spans="1:14" ht="15.95" customHeight="1" x14ac:dyDescent="0.15">
      <c r="A1367" s="1286"/>
      <c r="B1367" s="640" t="str">
        <f t="shared" si="84"/>
        <v/>
      </c>
      <c r="C1367" s="1285"/>
      <c r="D1367" s="640" t="str">
        <f t="shared" si="85"/>
        <v/>
      </c>
      <c r="E1367" s="1285"/>
      <c r="F1367" s="641" t="str">
        <f>IF(G1367="","",VLOOKUP(G1367,リスト!J$2:K$3,2,FALSE))</f>
        <v/>
      </c>
      <c r="G1367" s="1285"/>
      <c r="H1367" s="1284"/>
      <c r="I1367" s="1284"/>
      <c r="J1367" s="644" t="str">
        <f t="shared" si="86"/>
        <v/>
      </c>
      <c r="K1367" s="1284"/>
      <c r="L1367" s="644" t="str">
        <f t="shared" si="87"/>
        <v/>
      </c>
      <c r="M1367" s="680"/>
      <c r="N1367" s="651"/>
    </row>
    <row r="1368" spans="1:14" ht="15.95" customHeight="1" x14ac:dyDescent="0.15">
      <c r="A1368" s="1286"/>
      <c r="B1368" s="640" t="str">
        <f t="shared" si="84"/>
        <v/>
      </c>
      <c r="C1368" s="1285"/>
      <c r="D1368" s="640" t="str">
        <f t="shared" si="85"/>
        <v/>
      </c>
      <c r="E1368" s="1285"/>
      <c r="F1368" s="641" t="str">
        <f>IF(G1368="","",VLOOKUP(G1368,リスト!J$2:K$3,2,FALSE))</f>
        <v/>
      </c>
      <c r="G1368" s="1285"/>
      <c r="H1368" s="1284"/>
      <c r="I1368" s="1284"/>
      <c r="J1368" s="644" t="str">
        <f t="shared" si="86"/>
        <v/>
      </c>
      <c r="K1368" s="1284"/>
      <c r="L1368" s="644" t="str">
        <f t="shared" si="87"/>
        <v/>
      </c>
      <c r="M1368" s="680"/>
      <c r="N1368" s="651"/>
    </row>
    <row r="1369" spans="1:14" ht="15.95" customHeight="1" x14ac:dyDescent="0.15">
      <c r="A1369" s="1286"/>
      <c r="B1369" s="640" t="str">
        <f t="shared" si="84"/>
        <v/>
      </c>
      <c r="C1369" s="1285"/>
      <c r="D1369" s="640" t="str">
        <f t="shared" si="85"/>
        <v/>
      </c>
      <c r="E1369" s="1285"/>
      <c r="F1369" s="641" t="str">
        <f>IF(G1369="","",VLOOKUP(G1369,リスト!J$2:K$3,2,FALSE))</f>
        <v/>
      </c>
      <c r="G1369" s="1285"/>
      <c r="H1369" s="1284"/>
      <c r="I1369" s="1284"/>
      <c r="J1369" s="644" t="str">
        <f t="shared" si="86"/>
        <v/>
      </c>
      <c r="K1369" s="1284"/>
      <c r="L1369" s="644" t="str">
        <f t="shared" si="87"/>
        <v/>
      </c>
      <c r="M1369" s="680"/>
      <c r="N1369" s="651"/>
    </row>
    <row r="1370" spans="1:14" ht="15.95" customHeight="1" x14ac:dyDescent="0.15">
      <c r="A1370" s="1286"/>
      <c r="B1370" s="640" t="str">
        <f t="shared" si="84"/>
        <v/>
      </c>
      <c r="C1370" s="1285"/>
      <c r="D1370" s="640" t="str">
        <f t="shared" si="85"/>
        <v/>
      </c>
      <c r="E1370" s="1285"/>
      <c r="F1370" s="641" t="str">
        <f>IF(G1370="","",VLOOKUP(G1370,リスト!J$2:K$3,2,FALSE))</f>
        <v/>
      </c>
      <c r="G1370" s="1285"/>
      <c r="H1370" s="1284"/>
      <c r="I1370" s="1284"/>
      <c r="J1370" s="644" t="str">
        <f t="shared" si="86"/>
        <v/>
      </c>
      <c r="K1370" s="1284"/>
      <c r="L1370" s="644" t="str">
        <f t="shared" si="87"/>
        <v/>
      </c>
      <c r="M1370" s="680"/>
      <c r="N1370" s="651"/>
    </row>
    <row r="1371" spans="1:14" ht="15.95" customHeight="1" x14ac:dyDescent="0.15">
      <c r="A1371" s="1286"/>
      <c r="B1371" s="640" t="str">
        <f t="shared" si="84"/>
        <v/>
      </c>
      <c r="C1371" s="1285"/>
      <c r="D1371" s="640" t="str">
        <f t="shared" si="85"/>
        <v/>
      </c>
      <c r="E1371" s="1285"/>
      <c r="F1371" s="641" t="str">
        <f>IF(G1371="","",VLOOKUP(G1371,リスト!J$2:K$3,2,FALSE))</f>
        <v/>
      </c>
      <c r="G1371" s="1285"/>
      <c r="H1371" s="1284"/>
      <c r="I1371" s="1284"/>
      <c r="J1371" s="644" t="str">
        <f t="shared" si="86"/>
        <v/>
      </c>
      <c r="K1371" s="1284"/>
      <c r="L1371" s="644" t="str">
        <f t="shared" si="87"/>
        <v/>
      </c>
      <c r="M1371" s="680"/>
      <c r="N1371" s="651"/>
    </row>
    <row r="1372" spans="1:14" ht="15.95" customHeight="1" x14ac:dyDescent="0.15">
      <c r="A1372" s="1286"/>
      <c r="B1372" s="640" t="str">
        <f t="shared" si="84"/>
        <v/>
      </c>
      <c r="C1372" s="1285"/>
      <c r="D1372" s="640" t="str">
        <f t="shared" si="85"/>
        <v/>
      </c>
      <c r="E1372" s="1285"/>
      <c r="F1372" s="641" t="str">
        <f>IF(G1372="","",VLOOKUP(G1372,リスト!J$2:K$3,2,FALSE))</f>
        <v/>
      </c>
      <c r="G1372" s="1285"/>
      <c r="H1372" s="1284"/>
      <c r="I1372" s="1284"/>
      <c r="J1372" s="644" t="str">
        <f t="shared" si="86"/>
        <v/>
      </c>
      <c r="K1372" s="1284"/>
      <c r="L1372" s="644" t="str">
        <f t="shared" si="87"/>
        <v/>
      </c>
      <c r="M1372" s="680"/>
      <c r="N1372" s="651"/>
    </row>
    <row r="1373" spans="1:14" ht="15.95" customHeight="1" x14ac:dyDescent="0.15">
      <c r="A1373" s="1286"/>
      <c r="B1373" s="640" t="str">
        <f t="shared" ref="B1373:B1436" si="88">IF(C1373="","",VLOOKUP(C1373,事業所コード2,2,FALSE))</f>
        <v/>
      </c>
      <c r="C1373" s="1285"/>
      <c r="D1373" s="640" t="str">
        <f t="shared" ref="D1373:D1436" si="89">IF(E1373="","",VLOOKUP(E1373,事業区分コード2,2,FALSE))</f>
        <v/>
      </c>
      <c r="E1373" s="1285"/>
      <c r="F1373" s="641" t="str">
        <f>IF(G1373="","",VLOOKUP(G1373,リスト!J$2:K$3,2,FALSE))</f>
        <v/>
      </c>
      <c r="G1373" s="1285"/>
      <c r="H1373" s="1284"/>
      <c r="I1373" s="1284"/>
      <c r="J1373" s="644" t="str">
        <f t="shared" ref="J1373:J1436" si="90">IF(A1373="","",H1373+I1373)</f>
        <v/>
      </c>
      <c r="K1373" s="1284"/>
      <c r="L1373" s="644" t="str">
        <f t="shared" ref="L1373:L1436" si="91">IF(A1373="","",J1373-K1373)</f>
        <v/>
      </c>
      <c r="M1373" s="680"/>
      <c r="N1373" s="651"/>
    </row>
    <row r="1374" spans="1:14" ht="15.95" customHeight="1" x14ac:dyDescent="0.15">
      <c r="A1374" s="1286"/>
      <c r="B1374" s="640" t="str">
        <f t="shared" si="88"/>
        <v/>
      </c>
      <c r="C1374" s="1285"/>
      <c r="D1374" s="640" t="str">
        <f t="shared" si="89"/>
        <v/>
      </c>
      <c r="E1374" s="1285"/>
      <c r="F1374" s="641" t="str">
        <f>IF(G1374="","",VLOOKUP(G1374,リスト!J$2:K$3,2,FALSE))</f>
        <v/>
      </c>
      <c r="G1374" s="1285"/>
      <c r="H1374" s="1284"/>
      <c r="I1374" s="1284"/>
      <c r="J1374" s="644" t="str">
        <f t="shared" si="90"/>
        <v/>
      </c>
      <c r="K1374" s="1284"/>
      <c r="L1374" s="644" t="str">
        <f t="shared" si="91"/>
        <v/>
      </c>
      <c r="M1374" s="680"/>
      <c r="N1374" s="651"/>
    </row>
    <row r="1375" spans="1:14" ht="15.95" customHeight="1" x14ac:dyDescent="0.15">
      <c r="A1375" s="1286"/>
      <c r="B1375" s="640" t="str">
        <f t="shared" si="88"/>
        <v/>
      </c>
      <c r="C1375" s="1285"/>
      <c r="D1375" s="640" t="str">
        <f t="shared" si="89"/>
        <v/>
      </c>
      <c r="E1375" s="1285"/>
      <c r="F1375" s="641" t="str">
        <f>IF(G1375="","",VLOOKUP(G1375,リスト!J$2:K$3,2,FALSE))</f>
        <v/>
      </c>
      <c r="G1375" s="1285"/>
      <c r="H1375" s="1284"/>
      <c r="I1375" s="1284"/>
      <c r="J1375" s="644" t="str">
        <f t="shared" si="90"/>
        <v/>
      </c>
      <c r="K1375" s="1284"/>
      <c r="L1375" s="644" t="str">
        <f t="shared" si="91"/>
        <v/>
      </c>
      <c r="M1375" s="680"/>
      <c r="N1375" s="651"/>
    </row>
    <row r="1376" spans="1:14" ht="15.95" customHeight="1" x14ac:dyDescent="0.15">
      <c r="A1376" s="1286"/>
      <c r="B1376" s="640" t="str">
        <f t="shared" si="88"/>
        <v/>
      </c>
      <c r="C1376" s="1285"/>
      <c r="D1376" s="640" t="str">
        <f t="shared" si="89"/>
        <v/>
      </c>
      <c r="E1376" s="1285"/>
      <c r="F1376" s="641" t="str">
        <f>IF(G1376="","",VLOOKUP(G1376,リスト!J$2:K$3,2,FALSE))</f>
        <v/>
      </c>
      <c r="G1376" s="1285"/>
      <c r="H1376" s="1284"/>
      <c r="I1376" s="1284"/>
      <c r="J1376" s="644" t="str">
        <f t="shared" si="90"/>
        <v/>
      </c>
      <c r="K1376" s="1284"/>
      <c r="L1376" s="644" t="str">
        <f t="shared" si="91"/>
        <v/>
      </c>
      <c r="M1376" s="680"/>
      <c r="N1376" s="651"/>
    </row>
    <row r="1377" spans="1:14" ht="15.95" customHeight="1" x14ac:dyDescent="0.15">
      <c r="A1377" s="1286"/>
      <c r="B1377" s="640" t="str">
        <f t="shared" si="88"/>
        <v/>
      </c>
      <c r="C1377" s="1285"/>
      <c r="D1377" s="640" t="str">
        <f t="shared" si="89"/>
        <v/>
      </c>
      <c r="E1377" s="1285"/>
      <c r="F1377" s="641" t="str">
        <f>IF(G1377="","",VLOOKUP(G1377,リスト!J$2:K$3,2,FALSE))</f>
        <v/>
      </c>
      <c r="G1377" s="1285"/>
      <c r="H1377" s="1284"/>
      <c r="I1377" s="1284"/>
      <c r="J1377" s="644" t="str">
        <f t="shared" si="90"/>
        <v/>
      </c>
      <c r="K1377" s="1284"/>
      <c r="L1377" s="644" t="str">
        <f t="shared" si="91"/>
        <v/>
      </c>
      <c r="M1377" s="680"/>
      <c r="N1377" s="651"/>
    </row>
    <row r="1378" spans="1:14" ht="15.95" customHeight="1" x14ac:dyDescent="0.15">
      <c r="A1378" s="1286"/>
      <c r="B1378" s="640" t="str">
        <f t="shared" si="88"/>
        <v/>
      </c>
      <c r="C1378" s="1285"/>
      <c r="D1378" s="640" t="str">
        <f t="shared" si="89"/>
        <v/>
      </c>
      <c r="E1378" s="1285"/>
      <c r="F1378" s="641" t="str">
        <f>IF(G1378="","",VLOOKUP(G1378,リスト!J$2:K$3,2,FALSE))</f>
        <v/>
      </c>
      <c r="G1378" s="1285"/>
      <c r="H1378" s="1284"/>
      <c r="I1378" s="1284"/>
      <c r="J1378" s="644" t="str">
        <f t="shared" si="90"/>
        <v/>
      </c>
      <c r="K1378" s="1284"/>
      <c r="L1378" s="644" t="str">
        <f t="shared" si="91"/>
        <v/>
      </c>
      <c r="M1378" s="680"/>
      <c r="N1378" s="651"/>
    </row>
    <row r="1379" spans="1:14" ht="15.95" customHeight="1" x14ac:dyDescent="0.15">
      <c r="A1379" s="1286"/>
      <c r="B1379" s="640" t="str">
        <f t="shared" si="88"/>
        <v/>
      </c>
      <c r="C1379" s="1285"/>
      <c r="D1379" s="640" t="str">
        <f t="shared" si="89"/>
        <v/>
      </c>
      <c r="E1379" s="1285"/>
      <c r="F1379" s="641" t="str">
        <f>IF(G1379="","",VLOOKUP(G1379,リスト!J$2:K$3,2,FALSE))</f>
        <v/>
      </c>
      <c r="G1379" s="1285"/>
      <c r="H1379" s="1284"/>
      <c r="I1379" s="1284"/>
      <c r="J1379" s="644" t="str">
        <f t="shared" si="90"/>
        <v/>
      </c>
      <c r="K1379" s="1284"/>
      <c r="L1379" s="644" t="str">
        <f t="shared" si="91"/>
        <v/>
      </c>
      <c r="M1379" s="680"/>
      <c r="N1379" s="651"/>
    </row>
    <row r="1380" spans="1:14" ht="15.95" customHeight="1" x14ac:dyDescent="0.15">
      <c r="A1380" s="1286"/>
      <c r="B1380" s="640" t="str">
        <f t="shared" si="88"/>
        <v/>
      </c>
      <c r="C1380" s="1285"/>
      <c r="D1380" s="640" t="str">
        <f t="shared" si="89"/>
        <v/>
      </c>
      <c r="E1380" s="1285"/>
      <c r="F1380" s="641" t="str">
        <f>IF(G1380="","",VLOOKUP(G1380,リスト!J$2:K$3,2,FALSE))</f>
        <v/>
      </c>
      <c r="G1380" s="1285"/>
      <c r="H1380" s="1284"/>
      <c r="I1380" s="1284"/>
      <c r="J1380" s="644" t="str">
        <f t="shared" si="90"/>
        <v/>
      </c>
      <c r="K1380" s="1284"/>
      <c r="L1380" s="644" t="str">
        <f t="shared" si="91"/>
        <v/>
      </c>
      <c r="M1380" s="680"/>
      <c r="N1380" s="651"/>
    </row>
    <row r="1381" spans="1:14" ht="15.95" customHeight="1" x14ac:dyDescent="0.15">
      <c r="A1381" s="1286"/>
      <c r="B1381" s="640" t="str">
        <f t="shared" si="88"/>
        <v/>
      </c>
      <c r="C1381" s="1285"/>
      <c r="D1381" s="640" t="str">
        <f t="shared" si="89"/>
        <v/>
      </c>
      <c r="E1381" s="1285"/>
      <c r="F1381" s="641" t="str">
        <f>IF(G1381="","",VLOOKUP(G1381,リスト!J$2:K$3,2,FALSE))</f>
        <v/>
      </c>
      <c r="G1381" s="1285"/>
      <c r="H1381" s="1284"/>
      <c r="I1381" s="1284"/>
      <c r="J1381" s="644" t="str">
        <f t="shared" si="90"/>
        <v/>
      </c>
      <c r="K1381" s="1284"/>
      <c r="L1381" s="644" t="str">
        <f t="shared" si="91"/>
        <v/>
      </c>
      <c r="M1381" s="680"/>
      <c r="N1381" s="651"/>
    </row>
    <row r="1382" spans="1:14" ht="15.95" customHeight="1" x14ac:dyDescent="0.15">
      <c r="A1382" s="1286"/>
      <c r="B1382" s="640" t="str">
        <f t="shared" si="88"/>
        <v/>
      </c>
      <c r="C1382" s="1285"/>
      <c r="D1382" s="640" t="str">
        <f t="shared" si="89"/>
        <v/>
      </c>
      <c r="E1382" s="1285"/>
      <c r="F1382" s="641" t="str">
        <f>IF(G1382="","",VLOOKUP(G1382,リスト!J$2:K$3,2,FALSE))</f>
        <v/>
      </c>
      <c r="G1382" s="1285"/>
      <c r="H1382" s="1284"/>
      <c r="I1382" s="1284"/>
      <c r="J1382" s="644" t="str">
        <f t="shared" si="90"/>
        <v/>
      </c>
      <c r="K1382" s="1284"/>
      <c r="L1382" s="644" t="str">
        <f t="shared" si="91"/>
        <v/>
      </c>
      <c r="M1382" s="680"/>
      <c r="N1382" s="651"/>
    </row>
    <row r="1383" spans="1:14" ht="15.95" customHeight="1" x14ac:dyDescent="0.15">
      <c r="A1383" s="1286"/>
      <c r="B1383" s="640" t="str">
        <f t="shared" si="88"/>
        <v/>
      </c>
      <c r="C1383" s="1285"/>
      <c r="D1383" s="640" t="str">
        <f t="shared" si="89"/>
        <v/>
      </c>
      <c r="E1383" s="1285"/>
      <c r="F1383" s="641" t="str">
        <f>IF(G1383="","",VLOOKUP(G1383,リスト!J$2:K$3,2,FALSE))</f>
        <v/>
      </c>
      <c r="G1383" s="1285"/>
      <c r="H1383" s="1284"/>
      <c r="I1383" s="1284"/>
      <c r="J1383" s="644" t="str">
        <f t="shared" si="90"/>
        <v/>
      </c>
      <c r="K1383" s="1284"/>
      <c r="L1383" s="644" t="str">
        <f t="shared" si="91"/>
        <v/>
      </c>
      <c r="M1383" s="680"/>
      <c r="N1383" s="651"/>
    </row>
    <row r="1384" spans="1:14" ht="15.95" customHeight="1" x14ac:dyDescent="0.15">
      <c r="A1384" s="1286"/>
      <c r="B1384" s="640" t="str">
        <f t="shared" si="88"/>
        <v/>
      </c>
      <c r="C1384" s="1285"/>
      <c r="D1384" s="640" t="str">
        <f t="shared" si="89"/>
        <v/>
      </c>
      <c r="E1384" s="1285"/>
      <c r="F1384" s="641" t="str">
        <f>IF(G1384="","",VLOOKUP(G1384,リスト!J$2:K$3,2,FALSE))</f>
        <v/>
      </c>
      <c r="G1384" s="1285"/>
      <c r="H1384" s="1284"/>
      <c r="I1384" s="1284"/>
      <c r="J1384" s="644" t="str">
        <f t="shared" si="90"/>
        <v/>
      </c>
      <c r="K1384" s="1284"/>
      <c r="L1384" s="644" t="str">
        <f t="shared" si="91"/>
        <v/>
      </c>
      <c r="M1384" s="680"/>
      <c r="N1384" s="651"/>
    </row>
    <row r="1385" spans="1:14" ht="15.95" customHeight="1" x14ac:dyDescent="0.15">
      <c r="A1385" s="1286"/>
      <c r="B1385" s="640" t="str">
        <f t="shared" si="88"/>
        <v/>
      </c>
      <c r="C1385" s="1285"/>
      <c r="D1385" s="640" t="str">
        <f t="shared" si="89"/>
        <v/>
      </c>
      <c r="E1385" s="1285"/>
      <c r="F1385" s="641" t="str">
        <f>IF(G1385="","",VLOOKUP(G1385,リスト!J$2:K$3,2,FALSE))</f>
        <v/>
      </c>
      <c r="G1385" s="1285"/>
      <c r="H1385" s="1284"/>
      <c r="I1385" s="1284"/>
      <c r="J1385" s="644" t="str">
        <f t="shared" si="90"/>
        <v/>
      </c>
      <c r="K1385" s="1284"/>
      <c r="L1385" s="644" t="str">
        <f t="shared" si="91"/>
        <v/>
      </c>
      <c r="M1385" s="680"/>
      <c r="N1385" s="651"/>
    </row>
    <row r="1386" spans="1:14" ht="15.95" customHeight="1" x14ac:dyDescent="0.15">
      <c r="A1386" s="1286"/>
      <c r="B1386" s="640" t="str">
        <f t="shared" si="88"/>
        <v/>
      </c>
      <c r="C1386" s="1285"/>
      <c r="D1386" s="640" t="str">
        <f t="shared" si="89"/>
        <v/>
      </c>
      <c r="E1386" s="1285"/>
      <c r="F1386" s="641" t="str">
        <f>IF(G1386="","",VLOOKUP(G1386,リスト!J$2:K$3,2,FALSE))</f>
        <v/>
      </c>
      <c r="G1386" s="1285"/>
      <c r="H1386" s="1284"/>
      <c r="I1386" s="1284"/>
      <c r="J1386" s="644" t="str">
        <f t="shared" si="90"/>
        <v/>
      </c>
      <c r="K1386" s="1284"/>
      <c r="L1386" s="644" t="str">
        <f t="shared" si="91"/>
        <v/>
      </c>
      <c r="M1386" s="680"/>
      <c r="N1386" s="651"/>
    </row>
    <row r="1387" spans="1:14" ht="15.95" customHeight="1" x14ac:dyDescent="0.15">
      <c r="A1387" s="1286"/>
      <c r="B1387" s="640" t="str">
        <f t="shared" si="88"/>
        <v/>
      </c>
      <c r="C1387" s="1285"/>
      <c r="D1387" s="640" t="str">
        <f t="shared" si="89"/>
        <v/>
      </c>
      <c r="E1387" s="1285"/>
      <c r="F1387" s="641" t="str">
        <f>IF(G1387="","",VLOOKUP(G1387,リスト!J$2:K$3,2,FALSE))</f>
        <v/>
      </c>
      <c r="G1387" s="1285"/>
      <c r="H1387" s="1284"/>
      <c r="I1387" s="1284"/>
      <c r="J1387" s="644" t="str">
        <f t="shared" si="90"/>
        <v/>
      </c>
      <c r="K1387" s="1284"/>
      <c r="L1387" s="644" t="str">
        <f t="shared" si="91"/>
        <v/>
      </c>
      <c r="M1387" s="680"/>
      <c r="N1387" s="651"/>
    </row>
    <row r="1388" spans="1:14" ht="15.95" customHeight="1" x14ac:dyDescent="0.15">
      <c r="A1388" s="1286"/>
      <c r="B1388" s="640" t="str">
        <f t="shared" si="88"/>
        <v/>
      </c>
      <c r="C1388" s="1285"/>
      <c r="D1388" s="640" t="str">
        <f t="shared" si="89"/>
        <v/>
      </c>
      <c r="E1388" s="1285"/>
      <c r="F1388" s="641" t="str">
        <f>IF(G1388="","",VLOOKUP(G1388,リスト!J$2:K$3,2,FALSE))</f>
        <v/>
      </c>
      <c r="G1388" s="1285"/>
      <c r="H1388" s="1284"/>
      <c r="I1388" s="1284"/>
      <c r="J1388" s="644" t="str">
        <f t="shared" si="90"/>
        <v/>
      </c>
      <c r="K1388" s="1284"/>
      <c r="L1388" s="644" t="str">
        <f t="shared" si="91"/>
        <v/>
      </c>
      <c r="M1388" s="680"/>
      <c r="N1388" s="651"/>
    </row>
    <row r="1389" spans="1:14" ht="15.95" customHeight="1" x14ac:dyDescent="0.15">
      <c r="A1389" s="1286"/>
      <c r="B1389" s="640" t="str">
        <f t="shared" si="88"/>
        <v/>
      </c>
      <c r="C1389" s="1285"/>
      <c r="D1389" s="640" t="str">
        <f t="shared" si="89"/>
        <v/>
      </c>
      <c r="E1389" s="1285"/>
      <c r="F1389" s="641" t="str">
        <f>IF(G1389="","",VLOOKUP(G1389,リスト!J$2:K$3,2,FALSE))</f>
        <v/>
      </c>
      <c r="G1389" s="1285"/>
      <c r="H1389" s="1284"/>
      <c r="I1389" s="1284"/>
      <c r="J1389" s="644" t="str">
        <f t="shared" si="90"/>
        <v/>
      </c>
      <c r="K1389" s="1284"/>
      <c r="L1389" s="644" t="str">
        <f t="shared" si="91"/>
        <v/>
      </c>
      <c r="M1389" s="680"/>
      <c r="N1389" s="651"/>
    </row>
    <row r="1390" spans="1:14" ht="15.95" customHeight="1" x14ac:dyDescent="0.15">
      <c r="A1390" s="1286"/>
      <c r="B1390" s="640" t="str">
        <f t="shared" si="88"/>
        <v/>
      </c>
      <c r="C1390" s="1285"/>
      <c r="D1390" s="640" t="str">
        <f t="shared" si="89"/>
        <v/>
      </c>
      <c r="E1390" s="1285"/>
      <c r="F1390" s="641" t="str">
        <f>IF(G1390="","",VLOOKUP(G1390,リスト!J$2:K$3,2,FALSE))</f>
        <v/>
      </c>
      <c r="G1390" s="1285"/>
      <c r="H1390" s="1284"/>
      <c r="I1390" s="1284"/>
      <c r="J1390" s="644" t="str">
        <f t="shared" si="90"/>
        <v/>
      </c>
      <c r="K1390" s="1284"/>
      <c r="L1390" s="644" t="str">
        <f t="shared" si="91"/>
        <v/>
      </c>
      <c r="M1390" s="680"/>
      <c r="N1390" s="651"/>
    </row>
    <row r="1391" spans="1:14" ht="15.95" customHeight="1" x14ac:dyDescent="0.15">
      <c r="A1391" s="1286"/>
      <c r="B1391" s="640" t="str">
        <f t="shared" si="88"/>
        <v/>
      </c>
      <c r="C1391" s="1285"/>
      <c r="D1391" s="640" t="str">
        <f t="shared" si="89"/>
        <v/>
      </c>
      <c r="E1391" s="1285"/>
      <c r="F1391" s="641" t="str">
        <f>IF(G1391="","",VLOOKUP(G1391,リスト!J$2:K$3,2,FALSE))</f>
        <v/>
      </c>
      <c r="G1391" s="1285"/>
      <c r="H1391" s="1284"/>
      <c r="I1391" s="1284"/>
      <c r="J1391" s="644" t="str">
        <f t="shared" si="90"/>
        <v/>
      </c>
      <c r="K1391" s="1284"/>
      <c r="L1391" s="644" t="str">
        <f t="shared" si="91"/>
        <v/>
      </c>
      <c r="M1391" s="680"/>
      <c r="N1391" s="651"/>
    </row>
    <row r="1392" spans="1:14" ht="15.95" customHeight="1" x14ac:dyDescent="0.15">
      <c r="A1392" s="1286"/>
      <c r="B1392" s="640" t="str">
        <f t="shared" si="88"/>
        <v/>
      </c>
      <c r="C1392" s="1285"/>
      <c r="D1392" s="640" t="str">
        <f t="shared" si="89"/>
        <v/>
      </c>
      <c r="E1392" s="1285"/>
      <c r="F1392" s="641" t="str">
        <f>IF(G1392="","",VLOOKUP(G1392,リスト!J$2:K$3,2,FALSE))</f>
        <v/>
      </c>
      <c r="G1392" s="1285"/>
      <c r="H1392" s="1284"/>
      <c r="I1392" s="1284"/>
      <c r="J1392" s="644" t="str">
        <f t="shared" si="90"/>
        <v/>
      </c>
      <c r="K1392" s="1284"/>
      <c r="L1392" s="644" t="str">
        <f t="shared" si="91"/>
        <v/>
      </c>
      <c r="M1392" s="680"/>
      <c r="N1392" s="651"/>
    </row>
    <row r="1393" spans="1:14" ht="15.95" customHeight="1" x14ac:dyDescent="0.15">
      <c r="A1393" s="1286"/>
      <c r="B1393" s="640" t="str">
        <f t="shared" si="88"/>
        <v/>
      </c>
      <c r="C1393" s="1285"/>
      <c r="D1393" s="640" t="str">
        <f t="shared" si="89"/>
        <v/>
      </c>
      <c r="E1393" s="1285"/>
      <c r="F1393" s="641" t="str">
        <f>IF(G1393="","",VLOOKUP(G1393,リスト!J$2:K$3,2,FALSE))</f>
        <v/>
      </c>
      <c r="G1393" s="1285"/>
      <c r="H1393" s="1284"/>
      <c r="I1393" s="1284"/>
      <c r="J1393" s="644" t="str">
        <f t="shared" si="90"/>
        <v/>
      </c>
      <c r="K1393" s="1284"/>
      <c r="L1393" s="644" t="str">
        <f t="shared" si="91"/>
        <v/>
      </c>
      <c r="M1393" s="680"/>
      <c r="N1393" s="651"/>
    </row>
    <row r="1394" spans="1:14" ht="15.95" customHeight="1" x14ac:dyDescent="0.15">
      <c r="A1394" s="1286"/>
      <c r="B1394" s="640" t="str">
        <f t="shared" si="88"/>
        <v/>
      </c>
      <c r="C1394" s="1285"/>
      <c r="D1394" s="640" t="str">
        <f t="shared" si="89"/>
        <v/>
      </c>
      <c r="E1394" s="1285"/>
      <c r="F1394" s="641" t="str">
        <f>IF(G1394="","",VLOOKUP(G1394,リスト!J$2:K$3,2,FALSE))</f>
        <v/>
      </c>
      <c r="G1394" s="1285"/>
      <c r="H1394" s="1284"/>
      <c r="I1394" s="1284"/>
      <c r="J1394" s="644" t="str">
        <f t="shared" si="90"/>
        <v/>
      </c>
      <c r="K1394" s="1284"/>
      <c r="L1394" s="644" t="str">
        <f t="shared" si="91"/>
        <v/>
      </c>
      <c r="M1394" s="680"/>
      <c r="N1394" s="651"/>
    </row>
    <row r="1395" spans="1:14" ht="15.95" customHeight="1" x14ac:dyDescent="0.15">
      <c r="A1395" s="1286"/>
      <c r="B1395" s="640" t="str">
        <f t="shared" si="88"/>
        <v/>
      </c>
      <c r="C1395" s="1285"/>
      <c r="D1395" s="640" t="str">
        <f t="shared" si="89"/>
        <v/>
      </c>
      <c r="E1395" s="1285"/>
      <c r="F1395" s="641" t="str">
        <f>IF(G1395="","",VLOOKUP(G1395,リスト!J$2:K$3,2,FALSE))</f>
        <v/>
      </c>
      <c r="G1395" s="1285"/>
      <c r="H1395" s="1284"/>
      <c r="I1395" s="1284"/>
      <c r="J1395" s="644" t="str">
        <f t="shared" si="90"/>
        <v/>
      </c>
      <c r="K1395" s="1284"/>
      <c r="L1395" s="644" t="str">
        <f t="shared" si="91"/>
        <v/>
      </c>
      <c r="M1395" s="680"/>
      <c r="N1395" s="651"/>
    </row>
    <row r="1396" spans="1:14" ht="15.95" customHeight="1" x14ac:dyDescent="0.15">
      <c r="A1396" s="1286"/>
      <c r="B1396" s="640" t="str">
        <f t="shared" si="88"/>
        <v/>
      </c>
      <c r="C1396" s="1285"/>
      <c r="D1396" s="640" t="str">
        <f t="shared" si="89"/>
        <v/>
      </c>
      <c r="E1396" s="1285"/>
      <c r="F1396" s="641" t="str">
        <f>IF(G1396="","",VLOOKUP(G1396,リスト!J$2:K$3,2,FALSE))</f>
        <v/>
      </c>
      <c r="G1396" s="1285"/>
      <c r="H1396" s="1284"/>
      <c r="I1396" s="1284"/>
      <c r="J1396" s="644" t="str">
        <f t="shared" si="90"/>
        <v/>
      </c>
      <c r="K1396" s="1284"/>
      <c r="L1396" s="644" t="str">
        <f t="shared" si="91"/>
        <v/>
      </c>
      <c r="M1396" s="680"/>
      <c r="N1396" s="651"/>
    </row>
    <row r="1397" spans="1:14" ht="15.95" customHeight="1" x14ac:dyDescent="0.15">
      <c r="A1397" s="1286"/>
      <c r="B1397" s="640" t="str">
        <f t="shared" si="88"/>
        <v/>
      </c>
      <c r="C1397" s="1285"/>
      <c r="D1397" s="640" t="str">
        <f t="shared" si="89"/>
        <v/>
      </c>
      <c r="E1397" s="1285"/>
      <c r="F1397" s="641" t="str">
        <f>IF(G1397="","",VLOOKUP(G1397,リスト!J$2:K$3,2,FALSE))</f>
        <v/>
      </c>
      <c r="G1397" s="1285"/>
      <c r="H1397" s="1284"/>
      <c r="I1397" s="1284"/>
      <c r="J1397" s="644" t="str">
        <f t="shared" si="90"/>
        <v/>
      </c>
      <c r="K1397" s="1284"/>
      <c r="L1397" s="644" t="str">
        <f t="shared" si="91"/>
        <v/>
      </c>
      <c r="M1397" s="680"/>
      <c r="N1397" s="651"/>
    </row>
    <row r="1398" spans="1:14" ht="15.95" customHeight="1" x14ac:dyDescent="0.15">
      <c r="A1398" s="1286"/>
      <c r="B1398" s="640" t="str">
        <f t="shared" si="88"/>
        <v/>
      </c>
      <c r="C1398" s="1285"/>
      <c r="D1398" s="640" t="str">
        <f t="shared" si="89"/>
        <v/>
      </c>
      <c r="E1398" s="1285"/>
      <c r="F1398" s="641" t="str">
        <f>IF(G1398="","",VLOOKUP(G1398,リスト!J$2:K$3,2,FALSE))</f>
        <v/>
      </c>
      <c r="G1398" s="1285"/>
      <c r="H1398" s="1284"/>
      <c r="I1398" s="1284"/>
      <c r="J1398" s="644" t="str">
        <f t="shared" si="90"/>
        <v/>
      </c>
      <c r="K1398" s="1284"/>
      <c r="L1398" s="644" t="str">
        <f t="shared" si="91"/>
        <v/>
      </c>
      <c r="M1398" s="680"/>
      <c r="N1398" s="651"/>
    </row>
    <row r="1399" spans="1:14" ht="15.95" customHeight="1" x14ac:dyDescent="0.15">
      <c r="A1399" s="1286"/>
      <c r="B1399" s="640" t="str">
        <f t="shared" si="88"/>
        <v/>
      </c>
      <c r="C1399" s="1285"/>
      <c r="D1399" s="640" t="str">
        <f t="shared" si="89"/>
        <v/>
      </c>
      <c r="E1399" s="1285"/>
      <c r="F1399" s="641" t="str">
        <f>IF(G1399="","",VLOOKUP(G1399,リスト!J$2:K$3,2,FALSE))</f>
        <v/>
      </c>
      <c r="G1399" s="1285"/>
      <c r="H1399" s="1284"/>
      <c r="I1399" s="1284"/>
      <c r="J1399" s="644" t="str">
        <f t="shared" si="90"/>
        <v/>
      </c>
      <c r="K1399" s="1284"/>
      <c r="L1399" s="644" t="str">
        <f t="shared" si="91"/>
        <v/>
      </c>
      <c r="M1399" s="680"/>
      <c r="N1399" s="651"/>
    </row>
    <row r="1400" spans="1:14" ht="15.95" customHeight="1" x14ac:dyDescent="0.15">
      <c r="A1400" s="1286"/>
      <c r="B1400" s="640" t="str">
        <f t="shared" si="88"/>
        <v/>
      </c>
      <c r="C1400" s="1285"/>
      <c r="D1400" s="640" t="str">
        <f t="shared" si="89"/>
        <v/>
      </c>
      <c r="E1400" s="1285"/>
      <c r="F1400" s="641" t="str">
        <f>IF(G1400="","",VLOOKUP(G1400,リスト!J$2:K$3,2,FALSE))</f>
        <v/>
      </c>
      <c r="G1400" s="1285"/>
      <c r="H1400" s="1284"/>
      <c r="I1400" s="1284"/>
      <c r="J1400" s="644" t="str">
        <f t="shared" si="90"/>
        <v/>
      </c>
      <c r="K1400" s="1284"/>
      <c r="L1400" s="644" t="str">
        <f t="shared" si="91"/>
        <v/>
      </c>
      <c r="M1400" s="680"/>
      <c r="N1400" s="651"/>
    </row>
    <row r="1401" spans="1:14" ht="15.95" customHeight="1" x14ac:dyDescent="0.15">
      <c r="A1401" s="1286"/>
      <c r="B1401" s="640" t="str">
        <f t="shared" si="88"/>
        <v/>
      </c>
      <c r="C1401" s="1285"/>
      <c r="D1401" s="640" t="str">
        <f t="shared" si="89"/>
        <v/>
      </c>
      <c r="E1401" s="1285"/>
      <c r="F1401" s="641" t="str">
        <f>IF(G1401="","",VLOOKUP(G1401,リスト!J$2:K$3,2,FALSE))</f>
        <v/>
      </c>
      <c r="G1401" s="1285"/>
      <c r="H1401" s="1284"/>
      <c r="I1401" s="1284"/>
      <c r="J1401" s="644" t="str">
        <f t="shared" si="90"/>
        <v/>
      </c>
      <c r="K1401" s="1284"/>
      <c r="L1401" s="644" t="str">
        <f t="shared" si="91"/>
        <v/>
      </c>
      <c r="M1401" s="680"/>
      <c r="N1401" s="651"/>
    </row>
    <row r="1402" spans="1:14" ht="15.95" customHeight="1" x14ac:dyDescent="0.15">
      <c r="A1402" s="1286"/>
      <c r="B1402" s="640" t="str">
        <f t="shared" si="88"/>
        <v/>
      </c>
      <c r="C1402" s="1285"/>
      <c r="D1402" s="640" t="str">
        <f t="shared" si="89"/>
        <v/>
      </c>
      <c r="E1402" s="1285"/>
      <c r="F1402" s="641" t="str">
        <f>IF(G1402="","",VLOOKUP(G1402,リスト!J$2:K$3,2,FALSE))</f>
        <v/>
      </c>
      <c r="G1402" s="1285"/>
      <c r="H1402" s="1284"/>
      <c r="I1402" s="1284"/>
      <c r="J1402" s="644" t="str">
        <f t="shared" si="90"/>
        <v/>
      </c>
      <c r="K1402" s="1284"/>
      <c r="L1402" s="644" t="str">
        <f t="shared" si="91"/>
        <v/>
      </c>
      <c r="M1402" s="680"/>
      <c r="N1402" s="651"/>
    </row>
    <row r="1403" spans="1:14" ht="15.95" customHeight="1" x14ac:dyDescent="0.15">
      <c r="A1403" s="1286"/>
      <c r="B1403" s="640" t="str">
        <f t="shared" si="88"/>
        <v/>
      </c>
      <c r="C1403" s="1285"/>
      <c r="D1403" s="640" t="str">
        <f t="shared" si="89"/>
        <v/>
      </c>
      <c r="E1403" s="1285"/>
      <c r="F1403" s="641" t="str">
        <f>IF(G1403="","",VLOOKUP(G1403,リスト!J$2:K$3,2,FALSE))</f>
        <v/>
      </c>
      <c r="G1403" s="1285"/>
      <c r="H1403" s="1284"/>
      <c r="I1403" s="1284"/>
      <c r="J1403" s="644" t="str">
        <f t="shared" si="90"/>
        <v/>
      </c>
      <c r="K1403" s="1284"/>
      <c r="L1403" s="644" t="str">
        <f t="shared" si="91"/>
        <v/>
      </c>
      <c r="M1403" s="680"/>
      <c r="N1403" s="651"/>
    </row>
    <row r="1404" spans="1:14" ht="15.95" customHeight="1" x14ac:dyDescent="0.15">
      <c r="A1404" s="1286"/>
      <c r="B1404" s="640" t="str">
        <f t="shared" si="88"/>
        <v/>
      </c>
      <c r="C1404" s="1285"/>
      <c r="D1404" s="640" t="str">
        <f t="shared" si="89"/>
        <v/>
      </c>
      <c r="E1404" s="1285"/>
      <c r="F1404" s="641" t="str">
        <f>IF(G1404="","",VLOOKUP(G1404,リスト!J$2:K$3,2,FALSE))</f>
        <v/>
      </c>
      <c r="G1404" s="1285"/>
      <c r="H1404" s="1284"/>
      <c r="I1404" s="1284"/>
      <c r="J1404" s="644" t="str">
        <f t="shared" si="90"/>
        <v/>
      </c>
      <c r="K1404" s="1284"/>
      <c r="L1404" s="644" t="str">
        <f t="shared" si="91"/>
        <v/>
      </c>
      <c r="M1404" s="680"/>
      <c r="N1404" s="651"/>
    </row>
    <row r="1405" spans="1:14" ht="15.95" customHeight="1" x14ac:dyDescent="0.15">
      <c r="A1405" s="1286"/>
      <c r="B1405" s="640" t="str">
        <f t="shared" si="88"/>
        <v/>
      </c>
      <c r="C1405" s="1285"/>
      <c r="D1405" s="640" t="str">
        <f t="shared" si="89"/>
        <v/>
      </c>
      <c r="E1405" s="1285"/>
      <c r="F1405" s="641" t="str">
        <f>IF(G1405="","",VLOOKUP(G1405,リスト!J$2:K$3,2,FALSE))</f>
        <v/>
      </c>
      <c r="G1405" s="1285"/>
      <c r="H1405" s="1284"/>
      <c r="I1405" s="1284"/>
      <c r="J1405" s="644" t="str">
        <f t="shared" si="90"/>
        <v/>
      </c>
      <c r="K1405" s="1284"/>
      <c r="L1405" s="644" t="str">
        <f t="shared" si="91"/>
        <v/>
      </c>
      <c r="M1405" s="680"/>
      <c r="N1405" s="651"/>
    </row>
    <row r="1406" spans="1:14" ht="15.95" customHeight="1" x14ac:dyDescent="0.15">
      <c r="A1406" s="1286"/>
      <c r="B1406" s="640" t="str">
        <f t="shared" si="88"/>
        <v/>
      </c>
      <c r="C1406" s="1285"/>
      <c r="D1406" s="640" t="str">
        <f t="shared" si="89"/>
        <v/>
      </c>
      <c r="E1406" s="1285"/>
      <c r="F1406" s="641" t="str">
        <f>IF(G1406="","",VLOOKUP(G1406,リスト!J$2:K$3,2,FALSE))</f>
        <v/>
      </c>
      <c r="G1406" s="1285"/>
      <c r="H1406" s="1284"/>
      <c r="I1406" s="1284"/>
      <c r="J1406" s="644" t="str">
        <f t="shared" si="90"/>
        <v/>
      </c>
      <c r="K1406" s="1284"/>
      <c r="L1406" s="644" t="str">
        <f t="shared" si="91"/>
        <v/>
      </c>
      <c r="M1406" s="680"/>
      <c r="N1406" s="651"/>
    </row>
    <row r="1407" spans="1:14" ht="15.95" customHeight="1" x14ac:dyDescent="0.15">
      <c r="A1407" s="1286"/>
      <c r="B1407" s="640" t="str">
        <f t="shared" si="88"/>
        <v/>
      </c>
      <c r="C1407" s="1285"/>
      <c r="D1407" s="640" t="str">
        <f t="shared" si="89"/>
        <v/>
      </c>
      <c r="E1407" s="1285"/>
      <c r="F1407" s="641" t="str">
        <f>IF(G1407="","",VLOOKUP(G1407,リスト!J$2:K$3,2,FALSE))</f>
        <v/>
      </c>
      <c r="G1407" s="1285"/>
      <c r="H1407" s="1284"/>
      <c r="I1407" s="1284"/>
      <c r="J1407" s="644" t="str">
        <f t="shared" si="90"/>
        <v/>
      </c>
      <c r="K1407" s="1284"/>
      <c r="L1407" s="644" t="str">
        <f t="shared" si="91"/>
        <v/>
      </c>
      <c r="M1407" s="680"/>
      <c r="N1407" s="651"/>
    </row>
    <row r="1408" spans="1:14" ht="15.95" customHeight="1" x14ac:dyDescent="0.15">
      <c r="A1408" s="1286"/>
      <c r="B1408" s="640" t="str">
        <f t="shared" si="88"/>
        <v/>
      </c>
      <c r="C1408" s="1285"/>
      <c r="D1408" s="640" t="str">
        <f t="shared" si="89"/>
        <v/>
      </c>
      <c r="E1408" s="1285"/>
      <c r="F1408" s="641" t="str">
        <f>IF(G1408="","",VLOOKUP(G1408,リスト!J$2:K$3,2,FALSE))</f>
        <v/>
      </c>
      <c r="G1408" s="1285"/>
      <c r="H1408" s="1284"/>
      <c r="I1408" s="1284"/>
      <c r="J1408" s="644" t="str">
        <f t="shared" si="90"/>
        <v/>
      </c>
      <c r="K1408" s="1284"/>
      <c r="L1408" s="644" t="str">
        <f t="shared" si="91"/>
        <v/>
      </c>
      <c r="M1408" s="680"/>
      <c r="N1408" s="651"/>
    </row>
    <row r="1409" spans="1:14" ht="15.95" customHeight="1" x14ac:dyDescent="0.15">
      <c r="A1409" s="1286"/>
      <c r="B1409" s="640" t="str">
        <f t="shared" si="88"/>
        <v/>
      </c>
      <c r="C1409" s="1285"/>
      <c r="D1409" s="640" t="str">
        <f t="shared" si="89"/>
        <v/>
      </c>
      <c r="E1409" s="1285"/>
      <c r="F1409" s="641" t="str">
        <f>IF(G1409="","",VLOOKUP(G1409,リスト!J$2:K$3,2,FALSE))</f>
        <v/>
      </c>
      <c r="G1409" s="1285"/>
      <c r="H1409" s="1284"/>
      <c r="I1409" s="1284"/>
      <c r="J1409" s="644" t="str">
        <f t="shared" si="90"/>
        <v/>
      </c>
      <c r="K1409" s="1284"/>
      <c r="L1409" s="644" t="str">
        <f t="shared" si="91"/>
        <v/>
      </c>
      <c r="M1409" s="680"/>
      <c r="N1409" s="651"/>
    </row>
    <row r="1410" spans="1:14" ht="15.95" customHeight="1" x14ac:dyDescent="0.15">
      <c r="A1410" s="1286"/>
      <c r="B1410" s="640" t="str">
        <f t="shared" si="88"/>
        <v/>
      </c>
      <c r="C1410" s="1285"/>
      <c r="D1410" s="640" t="str">
        <f t="shared" si="89"/>
        <v/>
      </c>
      <c r="E1410" s="1285"/>
      <c r="F1410" s="641" t="str">
        <f>IF(G1410="","",VLOOKUP(G1410,リスト!J$2:K$3,2,FALSE))</f>
        <v/>
      </c>
      <c r="G1410" s="1285"/>
      <c r="H1410" s="1284"/>
      <c r="I1410" s="1284"/>
      <c r="J1410" s="644" t="str">
        <f t="shared" si="90"/>
        <v/>
      </c>
      <c r="K1410" s="1284"/>
      <c r="L1410" s="644" t="str">
        <f t="shared" si="91"/>
        <v/>
      </c>
      <c r="M1410" s="680"/>
      <c r="N1410" s="651"/>
    </row>
    <row r="1411" spans="1:14" ht="15.95" customHeight="1" x14ac:dyDescent="0.15">
      <c r="A1411" s="1286"/>
      <c r="B1411" s="640" t="str">
        <f t="shared" si="88"/>
        <v/>
      </c>
      <c r="C1411" s="1285"/>
      <c r="D1411" s="640" t="str">
        <f t="shared" si="89"/>
        <v/>
      </c>
      <c r="E1411" s="1285"/>
      <c r="F1411" s="641" t="str">
        <f>IF(G1411="","",VLOOKUP(G1411,リスト!J$2:K$3,2,FALSE))</f>
        <v/>
      </c>
      <c r="G1411" s="1285"/>
      <c r="H1411" s="1284"/>
      <c r="I1411" s="1284"/>
      <c r="J1411" s="644" t="str">
        <f t="shared" si="90"/>
        <v/>
      </c>
      <c r="K1411" s="1284"/>
      <c r="L1411" s="644" t="str">
        <f t="shared" si="91"/>
        <v/>
      </c>
      <c r="M1411" s="680"/>
      <c r="N1411" s="651"/>
    </row>
    <row r="1412" spans="1:14" ht="15.95" customHeight="1" x14ac:dyDescent="0.15">
      <c r="A1412" s="1286"/>
      <c r="B1412" s="640" t="str">
        <f t="shared" si="88"/>
        <v/>
      </c>
      <c r="C1412" s="1285"/>
      <c r="D1412" s="640" t="str">
        <f t="shared" si="89"/>
        <v/>
      </c>
      <c r="E1412" s="1285"/>
      <c r="F1412" s="641" t="str">
        <f>IF(G1412="","",VLOOKUP(G1412,リスト!J$2:K$3,2,FALSE))</f>
        <v/>
      </c>
      <c r="G1412" s="1285"/>
      <c r="H1412" s="1284"/>
      <c r="I1412" s="1284"/>
      <c r="J1412" s="644" t="str">
        <f t="shared" si="90"/>
        <v/>
      </c>
      <c r="K1412" s="1284"/>
      <c r="L1412" s="644" t="str">
        <f t="shared" si="91"/>
        <v/>
      </c>
      <c r="M1412" s="680"/>
      <c r="N1412" s="651"/>
    </row>
    <row r="1413" spans="1:14" ht="15.95" customHeight="1" x14ac:dyDescent="0.15">
      <c r="A1413" s="1286"/>
      <c r="B1413" s="640" t="str">
        <f t="shared" si="88"/>
        <v/>
      </c>
      <c r="C1413" s="1285"/>
      <c r="D1413" s="640" t="str">
        <f t="shared" si="89"/>
        <v/>
      </c>
      <c r="E1413" s="1285"/>
      <c r="F1413" s="641" t="str">
        <f>IF(G1413="","",VLOOKUP(G1413,リスト!J$2:K$3,2,FALSE))</f>
        <v/>
      </c>
      <c r="G1413" s="1285"/>
      <c r="H1413" s="1284"/>
      <c r="I1413" s="1284"/>
      <c r="J1413" s="644" t="str">
        <f t="shared" si="90"/>
        <v/>
      </c>
      <c r="K1413" s="1284"/>
      <c r="L1413" s="644" t="str">
        <f t="shared" si="91"/>
        <v/>
      </c>
      <c r="M1413" s="680"/>
      <c r="N1413" s="651"/>
    </row>
    <row r="1414" spans="1:14" ht="15.95" customHeight="1" x14ac:dyDescent="0.15">
      <c r="A1414" s="1286"/>
      <c r="B1414" s="640" t="str">
        <f t="shared" si="88"/>
        <v/>
      </c>
      <c r="C1414" s="1285"/>
      <c r="D1414" s="640" t="str">
        <f t="shared" si="89"/>
        <v/>
      </c>
      <c r="E1414" s="1285"/>
      <c r="F1414" s="641" t="str">
        <f>IF(G1414="","",VLOOKUP(G1414,リスト!J$2:K$3,2,FALSE))</f>
        <v/>
      </c>
      <c r="G1414" s="1285"/>
      <c r="H1414" s="1284"/>
      <c r="I1414" s="1284"/>
      <c r="J1414" s="644" t="str">
        <f t="shared" si="90"/>
        <v/>
      </c>
      <c r="K1414" s="1284"/>
      <c r="L1414" s="644" t="str">
        <f t="shared" si="91"/>
        <v/>
      </c>
      <c r="M1414" s="680"/>
      <c r="N1414" s="651"/>
    </row>
    <row r="1415" spans="1:14" ht="15.95" customHeight="1" x14ac:dyDescent="0.15">
      <c r="A1415" s="1286"/>
      <c r="B1415" s="640" t="str">
        <f t="shared" si="88"/>
        <v/>
      </c>
      <c r="C1415" s="1285"/>
      <c r="D1415" s="640" t="str">
        <f t="shared" si="89"/>
        <v/>
      </c>
      <c r="E1415" s="1285"/>
      <c r="F1415" s="641" t="str">
        <f>IF(G1415="","",VLOOKUP(G1415,リスト!J$2:K$3,2,FALSE))</f>
        <v/>
      </c>
      <c r="G1415" s="1285"/>
      <c r="H1415" s="1284"/>
      <c r="I1415" s="1284"/>
      <c r="J1415" s="644" t="str">
        <f t="shared" si="90"/>
        <v/>
      </c>
      <c r="K1415" s="1284"/>
      <c r="L1415" s="644" t="str">
        <f t="shared" si="91"/>
        <v/>
      </c>
      <c r="M1415" s="680"/>
      <c r="N1415" s="651"/>
    </row>
    <row r="1416" spans="1:14" ht="15.95" customHeight="1" x14ac:dyDescent="0.15">
      <c r="A1416" s="1286"/>
      <c r="B1416" s="640" t="str">
        <f t="shared" si="88"/>
        <v/>
      </c>
      <c r="C1416" s="1285"/>
      <c r="D1416" s="640" t="str">
        <f t="shared" si="89"/>
        <v/>
      </c>
      <c r="E1416" s="1285"/>
      <c r="F1416" s="641" t="str">
        <f>IF(G1416="","",VLOOKUP(G1416,リスト!J$2:K$3,2,FALSE))</f>
        <v/>
      </c>
      <c r="G1416" s="1285"/>
      <c r="H1416" s="1284"/>
      <c r="I1416" s="1284"/>
      <c r="J1416" s="644" t="str">
        <f t="shared" si="90"/>
        <v/>
      </c>
      <c r="K1416" s="1284"/>
      <c r="L1416" s="644" t="str">
        <f t="shared" si="91"/>
        <v/>
      </c>
      <c r="M1416" s="680"/>
      <c r="N1416" s="651"/>
    </row>
    <row r="1417" spans="1:14" ht="15.95" customHeight="1" x14ac:dyDescent="0.15">
      <c r="A1417" s="1286"/>
      <c r="B1417" s="640" t="str">
        <f t="shared" si="88"/>
        <v/>
      </c>
      <c r="C1417" s="1285"/>
      <c r="D1417" s="640" t="str">
        <f t="shared" si="89"/>
        <v/>
      </c>
      <c r="E1417" s="1285"/>
      <c r="F1417" s="641" t="str">
        <f>IF(G1417="","",VLOOKUP(G1417,リスト!J$2:K$3,2,FALSE))</f>
        <v/>
      </c>
      <c r="G1417" s="1285"/>
      <c r="H1417" s="1284"/>
      <c r="I1417" s="1284"/>
      <c r="J1417" s="644" t="str">
        <f t="shared" si="90"/>
        <v/>
      </c>
      <c r="K1417" s="1284"/>
      <c r="L1417" s="644" t="str">
        <f t="shared" si="91"/>
        <v/>
      </c>
      <c r="M1417" s="680"/>
      <c r="N1417" s="651"/>
    </row>
    <row r="1418" spans="1:14" ht="15.95" customHeight="1" x14ac:dyDescent="0.15">
      <c r="A1418" s="1286"/>
      <c r="B1418" s="640" t="str">
        <f t="shared" si="88"/>
        <v/>
      </c>
      <c r="C1418" s="1285"/>
      <c r="D1418" s="640" t="str">
        <f t="shared" si="89"/>
        <v/>
      </c>
      <c r="E1418" s="1285"/>
      <c r="F1418" s="641" t="str">
        <f>IF(G1418="","",VLOOKUP(G1418,リスト!J$2:K$3,2,FALSE))</f>
        <v/>
      </c>
      <c r="G1418" s="1285"/>
      <c r="H1418" s="1284"/>
      <c r="I1418" s="1284"/>
      <c r="J1418" s="644" t="str">
        <f t="shared" si="90"/>
        <v/>
      </c>
      <c r="K1418" s="1284"/>
      <c r="L1418" s="644" t="str">
        <f t="shared" si="91"/>
        <v/>
      </c>
      <c r="M1418" s="680"/>
      <c r="N1418" s="651"/>
    </row>
    <row r="1419" spans="1:14" ht="15.95" customHeight="1" x14ac:dyDescent="0.15">
      <c r="A1419" s="1286"/>
      <c r="B1419" s="640" t="str">
        <f t="shared" si="88"/>
        <v/>
      </c>
      <c r="C1419" s="1285"/>
      <c r="D1419" s="640" t="str">
        <f t="shared" si="89"/>
        <v/>
      </c>
      <c r="E1419" s="1285"/>
      <c r="F1419" s="641" t="str">
        <f>IF(G1419="","",VLOOKUP(G1419,リスト!J$2:K$3,2,FALSE))</f>
        <v/>
      </c>
      <c r="G1419" s="1285"/>
      <c r="H1419" s="1284"/>
      <c r="I1419" s="1284"/>
      <c r="J1419" s="644" t="str">
        <f t="shared" si="90"/>
        <v/>
      </c>
      <c r="K1419" s="1284"/>
      <c r="L1419" s="644" t="str">
        <f t="shared" si="91"/>
        <v/>
      </c>
      <c r="M1419" s="680"/>
      <c r="N1419" s="651"/>
    </row>
    <row r="1420" spans="1:14" ht="15.95" customHeight="1" x14ac:dyDescent="0.15">
      <c r="A1420" s="1286"/>
      <c r="B1420" s="640" t="str">
        <f t="shared" si="88"/>
        <v/>
      </c>
      <c r="C1420" s="1285"/>
      <c r="D1420" s="640" t="str">
        <f t="shared" si="89"/>
        <v/>
      </c>
      <c r="E1420" s="1285"/>
      <c r="F1420" s="641" t="str">
        <f>IF(G1420="","",VLOOKUP(G1420,リスト!J$2:K$3,2,FALSE))</f>
        <v/>
      </c>
      <c r="G1420" s="1285"/>
      <c r="H1420" s="1284"/>
      <c r="I1420" s="1284"/>
      <c r="J1420" s="644" t="str">
        <f t="shared" si="90"/>
        <v/>
      </c>
      <c r="K1420" s="1284"/>
      <c r="L1420" s="644" t="str">
        <f t="shared" si="91"/>
        <v/>
      </c>
      <c r="M1420" s="680"/>
      <c r="N1420" s="651"/>
    </row>
    <row r="1421" spans="1:14" ht="15.95" customHeight="1" x14ac:dyDescent="0.15">
      <c r="A1421" s="1286"/>
      <c r="B1421" s="640" t="str">
        <f t="shared" si="88"/>
        <v/>
      </c>
      <c r="C1421" s="1285"/>
      <c r="D1421" s="640" t="str">
        <f t="shared" si="89"/>
        <v/>
      </c>
      <c r="E1421" s="1285"/>
      <c r="F1421" s="641" t="str">
        <f>IF(G1421="","",VLOOKUP(G1421,リスト!J$2:K$3,2,FALSE))</f>
        <v/>
      </c>
      <c r="G1421" s="1285"/>
      <c r="H1421" s="1284"/>
      <c r="I1421" s="1284"/>
      <c r="J1421" s="644" t="str">
        <f t="shared" si="90"/>
        <v/>
      </c>
      <c r="K1421" s="1284"/>
      <c r="L1421" s="644" t="str">
        <f t="shared" si="91"/>
        <v/>
      </c>
      <c r="M1421" s="680"/>
      <c r="N1421" s="651"/>
    </row>
    <row r="1422" spans="1:14" ht="15.95" customHeight="1" x14ac:dyDescent="0.15">
      <c r="A1422" s="1286"/>
      <c r="B1422" s="640" t="str">
        <f t="shared" si="88"/>
        <v/>
      </c>
      <c r="C1422" s="1285"/>
      <c r="D1422" s="640" t="str">
        <f t="shared" si="89"/>
        <v/>
      </c>
      <c r="E1422" s="1285"/>
      <c r="F1422" s="641" t="str">
        <f>IF(G1422="","",VLOOKUP(G1422,リスト!J$2:K$3,2,FALSE))</f>
        <v/>
      </c>
      <c r="G1422" s="1285"/>
      <c r="H1422" s="1284"/>
      <c r="I1422" s="1284"/>
      <c r="J1422" s="644" t="str">
        <f t="shared" si="90"/>
        <v/>
      </c>
      <c r="K1422" s="1284"/>
      <c r="L1422" s="644" t="str">
        <f t="shared" si="91"/>
        <v/>
      </c>
      <c r="M1422" s="680"/>
      <c r="N1422" s="651"/>
    </row>
    <row r="1423" spans="1:14" ht="15.95" customHeight="1" x14ac:dyDescent="0.15">
      <c r="A1423" s="1286"/>
      <c r="B1423" s="640" t="str">
        <f t="shared" si="88"/>
        <v/>
      </c>
      <c r="C1423" s="1285"/>
      <c r="D1423" s="640" t="str">
        <f t="shared" si="89"/>
        <v/>
      </c>
      <c r="E1423" s="1285"/>
      <c r="F1423" s="641" t="str">
        <f>IF(G1423="","",VLOOKUP(G1423,リスト!J$2:K$3,2,FALSE))</f>
        <v/>
      </c>
      <c r="G1423" s="1285"/>
      <c r="H1423" s="1284"/>
      <c r="I1423" s="1284"/>
      <c r="J1423" s="644" t="str">
        <f t="shared" si="90"/>
        <v/>
      </c>
      <c r="K1423" s="1284"/>
      <c r="L1423" s="644" t="str">
        <f t="shared" si="91"/>
        <v/>
      </c>
      <c r="M1423" s="680"/>
      <c r="N1423" s="651"/>
    </row>
    <row r="1424" spans="1:14" ht="15.95" customHeight="1" x14ac:dyDescent="0.15">
      <c r="A1424" s="1286"/>
      <c r="B1424" s="640" t="str">
        <f t="shared" si="88"/>
        <v/>
      </c>
      <c r="C1424" s="1285"/>
      <c r="D1424" s="640" t="str">
        <f t="shared" si="89"/>
        <v/>
      </c>
      <c r="E1424" s="1285"/>
      <c r="F1424" s="641" t="str">
        <f>IF(G1424="","",VLOOKUP(G1424,リスト!J$2:K$3,2,FALSE))</f>
        <v/>
      </c>
      <c r="G1424" s="1285"/>
      <c r="H1424" s="1284"/>
      <c r="I1424" s="1284"/>
      <c r="J1424" s="644" t="str">
        <f t="shared" si="90"/>
        <v/>
      </c>
      <c r="K1424" s="1284"/>
      <c r="L1424" s="644" t="str">
        <f t="shared" si="91"/>
        <v/>
      </c>
      <c r="M1424" s="680"/>
      <c r="N1424" s="651"/>
    </row>
    <row r="1425" spans="1:14" ht="15.95" customHeight="1" x14ac:dyDescent="0.15">
      <c r="A1425" s="1286"/>
      <c r="B1425" s="640" t="str">
        <f t="shared" si="88"/>
        <v/>
      </c>
      <c r="C1425" s="1285"/>
      <c r="D1425" s="640" t="str">
        <f t="shared" si="89"/>
        <v/>
      </c>
      <c r="E1425" s="1285"/>
      <c r="F1425" s="641" t="str">
        <f>IF(G1425="","",VLOOKUP(G1425,リスト!J$2:K$3,2,FALSE))</f>
        <v/>
      </c>
      <c r="G1425" s="1285"/>
      <c r="H1425" s="1284"/>
      <c r="I1425" s="1284"/>
      <c r="J1425" s="644" t="str">
        <f t="shared" si="90"/>
        <v/>
      </c>
      <c r="K1425" s="1284"/>
      <c r="L1425" s="644" t="str">
        <f t="shared" si="91"/>
        <v/>
      </c>
      <c r="M1425" s="680"/>
      <c r="N1425" s="651"/>
    </row>
    <row r="1426" spans="1:14" ht="15.95" customHeight="1" x14ac:dyDescent="0.15">
      <c r="A1426" s="1286"/>
      <c r="B1426" s="640" t="str">
        <f t="shared" si="88"/>
        <v/>
      </c>
      <c r="C1426" s="1285"/>
      <c r="D1426" s="640" t="str">
        <f t="shared" si="89"/>
        <v/>
      </c>
      <c r="E1426" s="1285"/>
      <c r="F1426" s="641" t="str">
        <f>IF(G1426="","",VLOOKUP(G1426,リスト!J$2:K$3,2,FALSE))</f>
        <v/>
      </c>
      <c r="G1426" s="1285"/>
      <c r="H1426" s="1284"/>
      <c r="I1426" s="1284"/>
      <c r="J1426" s="644" t="str">
        <f t="shared" si="90"/>
        <v/>
      </c>
      <c r="K1426" s="1284"/>
      <c r="L1426" s="644" t="str">
        <f t="shared" si="91"/>
        <v/>
      </c>
      <c r="M1426" s="680"/>
      <c r="N1426" s="651"/>
    </row>
    <row r="1427" spans="1:14" ht="15.95" customHeight="1" x14ac:dyDescent="0.15">
      <c r="A1427" s="1286"/>
      <c r="B1427" s="640" t="str">
        <f t="shared" si="88"/>
        <v/>
      </c>
      <c r="C1427" s="1285"/>
      <c r="D1427" s="640" t="str">
        <f t="shared" si="89"/>
        <v/>
      </c>
      <c r="E1427" s="1285"/>
      <c r="F1427" s="641" t="str">
        <f>IF(G1427="","",VLOOKUP(G1427,リスト!J$2:K$3,2,FALSE))</f>
        <v/>
      </c>
      <c r="G1427" s="1285"/>
      <c r="H1427" s="1284"/>
      <c r="I1427" s="1284"/>
      <c r="J1427" s="644" t="str">
        <f t="shared" si="90"/>
        <v/>
      </c>
      <c r="K1427" s="1284"/>
      <c r="L1427" s="644" t="str">
        <f t="shared" si="91"/>
        <v/>
      </c>
      <c r="M1427" s="680"/>
      <c r="N1427" s="651"/>
    </row>
    <row r="1428" spans="1:14" ht="15.95" customHeight="1" x14ac:dyDescent="0.15">
      <c r="A1428" s="1286"/>
      <c r="B1428" s="640" t="str">
        <f t="shared" si="88"/>
        <v/>
      </c>
      <c r="C1428" s="1285"/>
      <c r="D1428" s="640" t="str">
        <f t="shared" si="89"/>
        <v/>
      </c>
      <c r="E1428" s="1285"/>
      <c r="F1428" s="641" t="str">
        <f>IF(G1428="","",VLOOKUP(G1428,リスト!J$2:K$3,2,FALSE))</f>
        <v/>
      </c>
      <c r="G1428" s="1285"/>
      <c r="H1428" s="1284"/>
      <c r="I1428" s="1284"/>
      <c r="J1428" s="644" t="str">
        <f t="shared" si="90"/>
        <v/>
      </c>
      <c r="K1428" s="1284"/>
      <c r="L1428" s="644" t="str">
        <f t="shared" si="91"/>
        <v/>
      </c>
      <c r="M1428" s="680"/>
      <c r="N1428" s="651"/>
    </row>
    <row r="1429" spans="1:14" ht="15.95" customHeight="1" x14ac:dyDescent="0.15">
      <c r="A1429" s="1286"/>
      <c r="B1429" s="640" t="str">
        <f t="shared" si="88"/>
        <v/>
      </c>
      <c r="C1429" s="1285"/>
      <c r="D1429" s="640" t="str">
        <f t="shared" si="89"/>
        <v/>
      </c>
      <c r="E1429" s="1285"/>
      <c r="F1429" s="641" t="str">
        <f>IF(G1429="","",VLOOKUP(G1429,リスト!J$2:K$3,2,FALSE))</f>
        <v/>
      </c>
      <c r="G1429" s="1285"/>
      <c r="H1429" s="1284"/>
      <c r="I1429" s="1284"/>
      <c r="J1429" s="644" t="str">
        <f t="shared" si="90"/>
        <v/>
      </c>
      <c r="K1429" s="1284"/>
      <c r="L1429" s="644" t="str">
        <f t="shared" si="91"/>
        <v/>
      </c>
      <c r="M1429" s="680"/>
      <c r="N1429" s="651"/>
    </row>
    <row r="1430" spans="1:14" ht="15.95" customHeight="1" x14ac:dyDescent="0.15">
      <c r="A1430" s="1286"/>
      <c r="B1430" s="640" t="str">
        <f t="shared" si="88"/>
        <v/>
      </c>
      <c r="C1430" s="1285"/>
      <c r="D1430" s="640" t="str">
        <f t="shared" si="89"/>
        <v/>
      </c>
      <c r="E1430" s="1285"/>
      <c r="F1430" s="641" t="str">
        <f>IF(G1430="","",VLOOKUP(G1430,リスト!J$2:K$3,2,FALSE))</f>
        <v/>
      </c>
      <c r="G1430" s="1285"/>
      <c r="H1430" s="1284"/>
      <c r="I1430" s="1284"/>
      <c r="J1430" s="644" t="str">
        <f t="shared" si="90"/>
        <v/>
      </c>
      <c r="K1430" s="1284"/>
      <c r="L1430" s="644" t="str">
        <f t="shared" si="91"/>
        <v/>
      </c>
      <c r="M1430" s="680"/>
      <c r="N1430" s="651"/>
    </row>
    <row r="1431" spans="1:14" ht="15.95" customHeight="1" x14ac:dyDescent="0.15">
      <c r="A1431" s="1286"/>
      <c r="B1431" s="640" t="str">
        <f t="shared" si="88"/>
        <v/>
      </c>
      <c r="C1431" s="1285"/>
      <c r="D1431" s="640" t="str">
        <f t="shared" si="89"/>
        <v/>
      </c>
      <c r="E1431" s="1285"/>
      <c r="F1431" s="641" t="str">
        <f>IF(G1431="","",VLOOKUP(G1431,リスト!J$2:K$3,2,FALSE))</f>
        <v/>
      </c>
      <c r="G1431" s="1285"/>
      <c r="H1431" s="1284"/>
      <c r="I1431" s="1284"/>
      <c r="J1431" s="644" t="str">
        <f t="shared" si="90"/>
        <v/>
      </c>
      <c r="K1431" s="1284"/>
      <c r="L1431" s="644" t="str">
        <f t="shared" si="91"/>
        <v/>
      </c>
      <c r="M1431" s="680"/>
      <c r="N1431" s="651"/>
    </row>
    <row r="1432" spans="1:14" ht="15.95" customHeight="1" x14ac:dyDescent="0.15">
      <c r="A1432" s="1286"/>
      <c r="B1432" s="640" t="str">
        <f t="shared" si="88"/>
        <v/>
      </c>
      <c r="C1432" s="1285"/>
      <c r="D1432" s="640" t="str">
        <f t="shared" si="89"/>
        <v/>
      </c>
      <c r="E1432" s="1285"/>
      <c r="F1432" s="641" t="str">
        <f>IF(G1432="","",VLOOKUP(G1432,リスト!J$2:K$3,2,FALSE))</f>
        <v/>
      </c>
      <c r="G1432" s="1285"/>
      <c r="H1432" s="1284"/>
      <c r="I1432" s="1284"/>
      <c r="J1432" s="644" t="str">
        <f t="shared" si="90"/>
        <v/>
      </c>
      <c r="K1432" s="1284"/>
      <c r="L1432" s="644" t="str">
        <f t="shared" si="91"/>
        <v/>
      </c>
      <c r="M1432" s="680"/>
      <c r="N1432" s="651"/>
    </row>
    <row r="1433" spans="1:14" ht="15.95" customHeight="1" x14ac:dyDescent="0.15">
      <c r="A1433" s="1286"/>
      <c r="B1433" s="640" t="str">
        <f t="shared" si="88"/>
        <v/>
      </c>
      <c r="C1433" s="1285"/>
      <c r="D1433" s="640" t="str">
        <f t="shared" si="89"/>
        <v/>
      </c>
      <c r="E1433" s="1285"/>
      <c r="F1433" s="641" t="str">
        <f>IF(G1433="","",VLOOKUP(G1433,リスト!J$2:K$3,2,FALSE))</f>
        <v/>
      </c>
      <c r="G1433" s="1285"/>
      <c r="H1433" s="1284"/>
      <c r="I1433" s="1284"/>
      <c r="J1433" s="644" t="str">
        <f t="shared" si="90"/>
        <v/>
      </c>
      <c r="K1433" s="1284"/>
      <c r="L1433" s="644" t="str">
        <f t="shared" si="91"/>
        <v/>
      </c>
      <c r="M1433" s="680"/>
      <c r="N1433" s="651"/>
    </row>
    <row r="1434" spans="1:14" ht="15.95" customHeight="1" x14ac:dyDescent="0.15">
      <c r="A1434" s="1286"/>
      <c r="B1434" s="640" t="str">
        <f t="shared" si="88"/>
        <v/>
      </c>
      <c r="C1434" s="1285"/>
      <c r="D1434" s="640" t="str">
        <f t="shared" si="89"/>
        <v/>
      </c>
      <c r="E1434" s="1285"/>
      <c r="F1434" s="641" t="str">
        <f>IF(G1434="","",VLOOKUP(G1434,リスト!J$2:K$3,2,FALSE))</f>
        <v/>
      </c>
      <c r="G1434" s="1285"/>
      <c r="H1434" s="1284"/>
      <c r="I1434" s="1284"/>
      <c r="J1434" s="644" t="str">
        <f t="shared" si="90"/>
        <v/>
      </c>
      <c r="K1434" s="1284"/>
      <c r="L1434" s="644" t="str">
        <f t="shared" si="91"/>
        <v/>
      </c>
      <c r="M1434" s="680"/>
      <c r="N1434" s="651"/>
    </row>
    <row r="1435" spans="1:14" ht="15.95" customHeight="1" x14ac:dyDescent="0.15">
      <c r="A1435" s="1286"/>
      <c r="B1435" s="640" t="str">
        <f t="shared" si="88"/>
        <v/>
      </c>
      <c r="C1435" s="1285"/>
      <c r="D1435" s="640" t="str">
        <f t="shared" si="89"/>
        <v/>
      </c>
      <c r="E1435" s="1285"/>
      <c r="F1435" s="641" t="str">
        <f>IF(G1435="","",VLOOKUP(G1435,リスト!J$2:K$3,2,FALSE))</f>
        <v/>
      </c>
      <c r="G1435" s="1285"/>
      <c r="H1435" s="1284"/>
      <c r="I1435" s="1284"/>
      <c r="J1435" s="644" t="str">
        <f t="shared" si="90"/>
        <v/>
      </c>
      <c r="K1435" s="1284"/>
      <c r="L1435" s="644" t="str">
        <f t="shared" si="91"/>
        <v/>
      </c>
      <c r="M1435" s="680"/>
      <c r="N1435" s="651"/>
    </row>
    <row r="1436" spans="1:14" ht="15.95" customHeight="1" x14ac:dyDescent="0.15">
      <c r="A1436" s="1286"/>
      <c r="B1436" s="640" t="str">
        <f t="shared" si="88"/>
        <v/>
      </c>
      <c r="C1436" s="1285"/>
      <c r="D1436" s="640" t="str">
        <f t="shared" si="89"/>
        <v/>
      </c>
      <c r="E1436" s="1285"/>
      <c r="F1436" s="641" t="str">
        <f>IF(G1436="","",VLOOKUP(G1436,リスト!J$2:K$3,2,FALSE))</f>
        <v/>
      </c>
      <c r="G1436" s="1285"/>
      <c r="H1436" s="1284"/>
      <c r="I1436" s="1284"/>
      <c r="J1436" s="644" t="str">
        <f t="shared" si="90"/>
        <v/>
      </c>
      <c r="K1436" s="1284"/>
      <c r="L1436" s="644" t="str">
        <f t="shared" si="91"/>
        <v/>
      </c>
      <c r="M1436" s="680"/>
      <c r="N1436" s="651"/>
    </row>
    <row r="1437" spans="1:14" ht="15.95" customHeight="1" x14ac:dyDescent="0.15">
      <c r="A1437" s="1286"/>
      <c r="B1437" s="640" t="str">
        <f t="shared" ref="B1437:B1500" si="92">IF(C1437="","",VLOOKUP(C1437,事業所コード2,2,FALSE))</f>
        <v/>
      </c>
      <c r="C1437" s="1285"/>
      <c r="D1437" s="640" t="str">
        <f t="shared" ref="D1437:D1500" si="93">IF(E1437="","",VLOOKUP(E1437,事業区分コード2,2,FALSE))</f>
        <v/>
      </c>
      <c r="E1437" s="1285"/>
      <c r="F1437" s="641" t="str">
        <f>IF(G1437="","",VLOOKUP(G1437,リスト!J$2:K$3,2,FALSE))</f>
        <v/>
      </c>
      <c r="G1437" s="1285"/>
      <c r="H1437" s="1284"/>
      <c r="I1437" s="1284"/>
      <c r="J1437" s="644" t="str">
        <f t="shared" ref="J1437:J1500" si="94">IF(A1437="","",H1437+I1437)</f>
        <v/>
      </c>
      <c r="K1437" s="1284"/>
      <c r="L1437" s="644" t="str">
        <f t="shared" ref="L1437:L1500" si="95">IF(A1437="","",J1437-K1437)</f>
        <v/>
      </c>
      <c r="M1437" s="680"/>
      <c r="N1437" s="651"/>
    </row>
    <row r="1438" spans="1:14" ht="15.95" customHeight="1" x14ac:dyDescent="0.15">
      <c r="A1438" s="1286"/>
      <c r="B1438" s="640" t="str">
        <f t="shared" si="92"/>
        <v/>
      </c>
      <c r="C1438" s="1285"/>
      <c r="D1438" s="640" t="str">
        <f t="shared" si="93"/>
        <v/>
      </c>
      <c r="E1438" s="1285"/>
      <c r="F1438" s="641" t="str">
        <f>IF(G1438="","",VLOOKUP(G1438,リスト!J$2:K$3,2,FALSE))</f>
        <v/>
      </c>
      <c r="G1438" s="1285"/>
      <c r="H1438" s="1284"/>
      <c r="I1438" s="1284"/>
      <c r="J1438" s="644" t="str">
        <f t="shared" si="94"/>
        <v/>
      </c>
      <c r="K1438" s="1284"/>
      <c r="L1438" s="644" t="str">
        <f t="shared" si="95"/>
        <v/>
      </c>
      <c r="M1438" s="680"/>
      <c r="N1438" s="651"/>
    </row>
    <row r="1439" spans="1:14" ht="15.95" customHeight="1" x14ac:dyDescent="0.15">
      <c r="A1439" s="1286"/>
      <c r="B1439" s="640" t="str">
        <f t="shared" si="92"/>
        <v/>
      </c>
      <c r="C1439" s="1285"/>
      <c r="D1439" s="640" t="str">
        <f t="shared" si="93"/>
        <v/>
      </c>
      <c r="E1439" s="1285"/>
      <c r="F1439" s="641" t="str">
        <f>IF(G1439="","",VLOOKUP(G1439,リスト!J$2:K$3,2,FALSE))</f>
        <v/>
      </c>
      <c r="G1439" s="1285"/>
      <c r="H1439" s="1284"/>
      <c r="I1439" s="1284"/>
      <c r="J1439" s="644" t="str">
        <f t="shared" si="94"/>
        <v/>
      </c>
      <c r="K1439" s="1284"/>
      <c r="L1439" s="644" t="str">
        <f t="shared" si="95"/>
        <v/>
      </c>
      <c r="M1439" s="680"/>
      <c r="N1439" s="651"/>
    </row>
    <row r="1440" spans="1:14" ht="15.95" customHeight="1" x14ac:dyDescent="0.15">
      <c r="A1440" s="1286"/>
      <c r="B1440" s="640" t="str">
        <f t="shared" si="92"/>
        <v/>
      </c>
      <c r="C1440" s="1285"/>
      <c r="D1440" s="640" t="str">
        <f t="shared" si="93"/>
        <v/>
      </c>
      <c r="E1440" s="1285"/>
      <c r="F1440" s="641" t="str">
        <f>IF(G1440="","",VLOOKUP(G1440,リスト!J$2:K$3,2,FALSE))</f>
        <v/>
      </c>
      <c r="G1440" s="1285"/>
      <c r="H1440" s="1284"/>
      <c r="I1440" s="1284"/>
      <c r="J1440" s="644" t="str">
        <f t="shared" si="94"/>
        <v/>
      </c>
      <c r="K1440" s="1284"/>
      <c r="L1440" s="644" t="str">
        <f t="shared" si="95"/>
        <v/>
      </c>
      <c r="M1440" s="680"/>
      <c r="N1440" s="651"/>
    </row>
    <row r="1441" spans="1:14" ht="15.95" customHeight="1" x14ac:dyDescent="0.15">
      <c r="A1441" s="1286"/>
      <c r="B1441" s="640" t="str">
        <f t="shared" si="92"/>
        <v/>
      </c>
      <c r="C1441" s="1285"/>
      <c r="D1441" s="640" t="str">
        <f t="shared" si="93"/>
        <v/>
      </c>
      <c r="E1441" s="1285"/>
      <c r="F1441" s="641" t="str">
        <f>IF(G1441="","",VLOOKUP(G1441,リスト!J$2:K$3,2,FALSE))</f>
        <v/>
      </c>
      <c r="G1441" s="1285"/>
      <c r="H1441" s="1284"/>
      <c r="I1441" s="1284"/>
      <c r="J1441" s="644" t="str">
        <f t="shared" si="94"/>
        <v/>
      </c>
      <c r="K1441" s="1284"/>
      <c r="L1441" s="644" t="str">
        <f t="shared" si="95"/>
        <v/>
      </c>
      <c r="M1441" s="680"/>
      <c r="N1441" s="651"/>
    </row>
    <row r="1442" spans="1:14" ht="15.95" customHeight="1" x14ac:dyDescent="0.15">
      <c r="A1442" s="1286"/>
      <c r="B1442" s="640" t="str">
        <f t="shared" si="92"/>
        <v/>
      </c>
      <c r="C1442" s="1285"/>
      <c r="D1442" s="640" t="str">
        <f t="shared" si="93"/>
        <v/>
      </c>
      <c r="E1442" s="1285"/>
      <c r="F1442" s="641" t="str">
        <f>IF(G1442="","",VLOOKUP(G1442,リスト!J$2:K$3,2,FALSE))</f>
        <v/>
      </c>
      <c r="G1442" s="1285"/>
      <c r="H1442" s="1284"/>
      <c r="I1442" s="1284"/>
      <c r="J1442" s="644" t="str">
        <f t="shared" si="94"/>
        <v/>
      </c>
      <c r="K1442" s="1284"/>
      <c r="L1442" s="644" t="str">
        <f t="shared" si="95"/>
        <v/>
      </c>
      <c r="M1442" s="680"/>
      <c r="N1442" s="651"/>
    </row>
    <row r="1443" spans="1:14" ht="15.95" customHeight="1" x14ac:dyDescent="0.15">
      <c r="A1443" s="1286"/>
      <c r="B1443" s="640" t="str">
        <f t="shared" si="92"/>
        <v/>
      </c>
      <c r="C1443" s="1285"/>
      <c r="D1443" s="640" t="str">
        <f t="shared" si="93"/>
        <v/>
      </c>
      <c r="E1443" s="1285"/>
      <c r="F1443" s="641" t="str">
        <f>IF(G1443="","",VLOOKUP(G1443,リスト!J$2:K$3,2,FALSE))</f>
        <v/>
      </c>
      <c r="G1443" s="1285"/>
      <c r="H1443" s="1284"/>
      <c r="I1443" s="1284"/>
      <c r="J1443" s="644" t="str">
        <f t="shared" si="94"/>
        <v/>
      </c>
      <c r="K1443" s="1284"/>
      <c r="L1443" s="644" t="str">
        <f t="shared" si="95"/>
        <v/>
      </c>
      <c r="M1443" s="680"/>
      <c r="N1443" s="651"/>
    </row>
    <row r="1444" spans="1:14" ht="15.95" customHeight="1" x14ac:dyDescent="0.15">
      <c r="A1444" s="1286"/>
      <c r="B1444" s="640" t="str">
        <f t="shared" si="92"/>
        <v/>
      </c>
      <c r="C1444" s="1285"/>
      <c r="D1444" s="640" t="str">
        <f t="shared" si="93"/>
        <v/>
      </c>
      <c r="E1444" s="1285"/>
      <c r="F1444" s="641" t="str">
        <f>IF(G1444="","",VLOOKUP(G1444,リスト!J$2:K$3,2,FALSE))</f>
        <v/>
      </c>
      <c r="G1444" s="1285"/>
      <c r="H1444" s="1284"/>
      <c r="I1444" s="1284"/>
      <c r="J1444" s="644" t="str">
        <f t="shared" si="94"/>
        <v/>
      </c>
      <c r="K1444" s="1284"/>
      <c r="L1444" s="644" t="str">
        <f t="shared" si="95"/>
        <v/>
      </c>
      <c r="M1444" s="680"/>
      <c r="N1444" s="651"/>
    </row>
    <row r="1445" spans="1:14" ht="15.95" customHeight="1" x14ac:dyDescent="0.15">
      <c r="A1445" s="1286"/>
      <c r="B1445" s="640" t="str">
        <f t="shared" si="92"/>
        <v/>
      </c>
      <c r="C1445" s="1285"/>
      <c r="D1445" s="640" t="str">
        <f t="shared" si="93"/>
        <v/>
      </c>
      <c r="E1445" s="1285"/>
      <c r="F1445" s="641" t="str">
        <f>IF(G1445="","",VLOOKUP(G1445,リスト!J$2:K$3,2,FALSE))</f>
        <v/>
      </c>
      <c r="G1445" s="1285"/>
      <c r="H1445" s="1284"/>
      <c r="I1445" s="1284"/>
      <c r="J1445" s="644" t="str">
        <f t="shared" si="94"/>
        <v/>
      </c>
      <c r="K1445" s="1284"/>
      <c r="L1445" s="644" t="str">
        <f t="shared" si="95"/>
        <v/>
      </c>
      <c r="M1445" s="680"/>
      <c r="N1445" s="651"/>
    </row>
    <row r="1446" spans="1:14" ht="15.95" customHeight="1" x14ac:dyDescent="0.15">
      <c r="A1446" s="1286"/>
      <c r="B1446" s="640" t="str">
        <f t="shared" si="92"/>
        <v/>
      </c>
      <c r="C1446" s="1285"/>
      <c r="D1446" s="640" t="str">
        <f t="shared" si="93"/>
        <v/>
      </c>
      <c r="E1446" s="1285"/>
      <c r="F1446" s="641" t="str">
        <f>IF(G1446="","",VLOOKUP(G1446,リスト!J$2:K$3,2,FALSE))</f>
        <v/>
      </c>
      <c r="G1446" s="1285"/>
      <c r="H1446" s="1284"/>
      <c r="I1446" s="1284"/>
      <c r="J1446" s="644" t="str">
        <f t="shared" si="94"/>
        <v/>
      </c>
      <c r="K1446" s="1284"/>
      <c r="L1446" s="644" t="str">
        <f t="shared" si="95"/>
        <v/>
      </c>
      <c r="M1446" s="680"/>
      <c r="N1446" s="651"/>
    </row>
    <row r="1447" spans="1:14" ht="15.95" customHeight="1" x14ac:dyDescent="0.15">
      <c r="A1447" s="1286"/>
      <c r="B1447" s="640" t="str">
        <f t="shared" si="92"/>
        <v/>
      </c>
      <c r="C1447" s="1285"/>
      <c r="D1447" s="640" t="str">
        <f t="shared" si="93"/>
        <v/>
      </c>
      <c r="E1447" s="1285"/>
      <c r="F1447" s="641" t="str">
        <f>IF(G1447="","",VLOOKUP(G1447,リスト!J$2:K$3,2,FALSE))</f>
        <v/>
      </c>
      <c r="G1447" s="1285"/>
      <c r="H1447" s="1284"/>
      <c r="I1447" s="1284"/>
      <c r="J1447" s="644" t="str">
        <f t="shared" si="94"/>
        <v/>
      </c>
      <c r="K1447" s="1284"/>
      <c r="L1447" s="644" t="str">
        <f t="shared" si="95"/>
        <v/>
      </c>
      <c r="M1447" s="680"/>
      <c r="N1447" s="651"/>
    </row>
    <row r="1448" spans="1:14" ht="15.95" customHeight="1" x14ac:dyDescent="0.15">
      <c r="A1448" s="1286"/>
      <c r="B1448" s="640" t="str">
        <f t="shared" si="92"/>
        <v/>
      </c>
      <c r="C1448" s="1285"/>
      <c r="D1448" s="640" t="str">
        <f t="shared" si="93"/>
        <v/>
      </c>
      <c r="E1448" s="1285"/>
      <c r="F1448" s="641" t="str">
        <f>IF(G1448="","",VLOOKUP(G1448,リスト!J$2:K$3,2,FALSE))</f>
        <v/>
      </c>
      <c r="G1448" s="1285"/>
      <c r="H1448" s="1284"/>
      <c r="I1448" s="1284"/>
      <c r="J1448" s="644" t="str">
        <f t="shared" si="94"/>
        <v/>
      </c>
      <c r="K1448" s="1284"/>
      <c r="L1448" s="644" t="str">
        <f t="shared" si="95"/>
        <v/>
      </c>
      <c r="M1448" s="680"/>
      <c r="N1448" s="651"/>
    </row>
    <row r="1449" spans="1:14" ht="15.95" customHeight="1" x14ac:dyDescent="0.15">
      <c r="A1449" s="1286"/>
      <c r="B1449" s="640" t="str">
        <f t="shared" si="92"/>
        <v/>
      </c>
      <c r="C1449" s="1285"/>
      <c r="D1449" s="640" t="str">
        <f t="shared" si="93"/>
        <v/>
      </c>
      <c r="E1449" s="1285"/>
      <c r="F1449" s="641" t="str">
        <f>IF(G1449="","",VLOOKUP(G1449,リスト!J$2:K$3,2,FALSE))</f>
        <v/>
      </c>
      <c r="G1449" s="1285"/>
      <c r="H1449" s="1284"/>
      <c r="I1449" s="1284"/>
      <c r="J1449" s="644" t="str">
        <f t="shared" si="94"/>
        <v/>
      </c>
      <c r="K1449" s="1284"/>
      <c r="L1449" s="644" t="str">
        <f t="shared" si="95"/>
        <v/>
      </c>
      <c r="M1449" s="680"/>
      <c r="N1449" s="651"/>
    </row>
    <row r="1450" spans="1:14" ht="15.95" customHeight="1" x14ac:dyDescent="0.15">
      <c r="A1450" s="1286"/>
      <c r="B1450" s="640" t="str">
        <f t="shared" si="92"/>
        <v/>
      </c>
      <c r="C1450" s="1285"/>
      <c r="D1450" s="640" t="str">
        <f t="shared" si="93"/>
        <v/>
      </c>
      <c r="E1450" s="1285"/>
      <c r="F1450" s="641" t="str">
        <f>IF(G1450="","",VLOOKUP(G1450,リスト!J$2:K$3,2,FALSE))</f>
        <v/>
      </c>
      <c r="G1450" s="1285"/>
      <c r="H1450" s="1284"/>
      <c r="I1450" s="1284"/>
      <c r="J1450" s="644" t="str">
        <f t="shared" si="94"/>
        <v/>
      </c>
      <c r="K1450" s="1284"/>
      <c r="L1450" s="644" t="str">
        <f t="shared" si="95"/>
        <v/>
      </c>
      <c r="M1450" s="680"/>
      <c r="N1450" s="651"/>
    </row>
    <row r="1451" spans="1:14" ht="15.95" customHeight="1" x14ac:dyDescent="0.15">
      <c r="A1451" s="1286"/>
      <c r="B1451" s="640" t="str">
        <f t="shared" si="92"/>
        <v/>
      </c>
      <c r="C1451" s="1285"/>
      <c r="D1451" s="640" t="str">
        <f t="shared" si="93"/>
        <v/>
      </c>
      <c r="E1451" s="1285"/>
      <c r="F1451" s="641" t="str">
        <f>IF(G1451="","",VLOOKUP(G1451,リスト!J$2:K$3,2,FALSE))</f>
        <v/>
      </c>
      <c r="G1451" s="1285"/>
      <c r="H1451" s="1284"/>
      <c r="I1451" s="1284"/>
      <c r="J1451" s="644" t="str">
        <f t="shared" si="94"/>
        <v/>
      </c>
      <c r="K1451" s="1284"/>
      <c r="L1451" s="644" t="str">
        <f t="shared" si="95"/>
        <v/>
      </c>
      <c r="M1451" s="680"/>
      <c r="N1451" s="651"/>
    </row>
    <row r="1452" spans="1:14" ht="15.95" customHeight="1" x14ac:dyDescent="0.15">
      <c r="A1452" s="1286"/>
      <c r="B1452" s="640" t="str">
        <f t="shared" si="92"/>
        <v/>
      </c>
      <c r="C1452" s="1285"/>
      <c r="D1452" s="640" t="str">
        <f t="shared" si="93"/>
        <v/>
      </c>
      <c r="E1452" s="1285"/>
      <c r="F1452" s="641" t="str">
        <f>IF(G1452="","",VLOOKUP(G1452,リスト!J$2:K$3,2,FALSE))</f>
        <v/>
      </c>
      <c r="G1452" s="1285"/>
      <c r="H1452" s="1284"/>
      <c r="I1452" s="1284"/>
      <c r="J1452" s="644" t="str">
        <f t="shared" si="94"/>
        <v/>
      </c>
      <c r="K1452" s="1284"/>
      <c r="L1452" s="644" t="str">
        <f t="shared" si="95"/>
        <v/>
      </c>
      <c r="M1452" s="680"/>
      <c r="N1452" s="651"/>
    </row>
    <row r="1453" spans="1:14" ht="15.95" customHeight="1" x14ac:dyDescent="0.15">
      <c r="A1453" s="1286"/>
      <c r="B1453" s="640" t="str">
        <f t="shared" si="92"/>
        <v/>
      </c>
      <c r="C1453" s="1285"/>
      <c r="D1453" s="640" t="str">
        <f t="shared" si="93"/>
        <v/>
      </c>
      <c r="E1453" s="1285"/>
      <c r="F1453" s="641" t="str">
        <f>IF(G1453="","",VLOOKUP(G1453,リスト!J$2:K$3,2,FALSE))</f>
        <v/>
      </c>
      <c r="G1453" s="1285"/>
      <c r="H1453" s="1284"/>
      <c r="I1453" s="1284"/>
      <c r="J1453" s="644" t="str">
        <f t="shared" si="94"/>
        <v/>
      </c>
      <c r="K1453" s="1284"/>
      <c r="L1453" s="644" t="str">
        <f t="shared" si="95"/>
        <v/>
      </c>
      <c r="M1453" s="680"/>
      <c r="N1453" s="651"/>
    </row>
    <row r="1454" spans="1:14" ht="15.95" customHeight="1" x14ac:dyDescent="0.15">
      <c r="A1454" s="1286"/>
      <c r="B1454" s="640" t="str">
        <f t="shared" si="92"/>
        <v/>
      </c>
      <c r="C1454" s="1285"/>
      <c r="D1454" s="640" t="str">
        <f t="shared" si="93"/>
        <v/>
      </c>
      <c r="E1454" s="1285"/>
      <c r="F1454" s="641" t="str">
        <f>IF(G1454="","",VLOOKUP(G1454,リスト!J$2:K$3,2,FALSE))</f>
        <v/>
      </c>
      <c r="G1454" s="1285"/>
      <c r="H1454" s="1284"/>
      <c r="I1454" s="1284"/>
      <c r="J1454" s="644" t="str">
        <f t="shared" si="94"/>
        <v/>
      </c>
      <c r="K1454" s="1284"/>
      <c r="L1454" s="644" t="str">
        <f t="shared" si="95"/>
        <v/>
      </c>
      <c r="M1454" s="680"/>
      <c r="N1454" s="651"/>
    </row>
    <row r="1455" spans="1:14" ht="15.95" customHeight="1" x14ac:dyDescent="0.15">
      <c r="A1455" s="1286"/>
      <c r="B1455" s="640" t="str">
        <f t="shared" si="92"/>
        <v/>
      </c>
      <c r="C1455" s="1285"/>
      <c r="D1455" s="640" t="str">
        <f t="shared" si="93"/>
        <v/>
      </c>
      <c r="E1455" s="1285"/>
      <c r="F1455" s="641" t="str">
        <f>IF(G1455="","",VLOOKUP(G1455,リスト!J$2:K$3,2,FALSE))</f>
        <v/>
      </c>
      <c r="G1455" s="1285"/>
      <c r="H1455" s="1284"/>
      <c r="I1455" s="1284"/>
      <c r="J1455" s="644" t="str">
        <f t="shared" si="94"/>
        <v/>
      </c>
      <c r="K1455" s="1284"/>
      <c r="L1455" s="644" t="str">
        <f t="shared" si="95"/>
        <v/>
      </c>
      <c r="M1455" s="680"/>
      <c r="N1455" s="651"/>
    </row>
    <row r="1456" spans="1:14" ht="15.95" customHeight="1" x14ac:dyDescent="0.15">
      <c r="A1456" s="1286"/>
      <c r="B1456" s="640" t="str">
        <f t="shared" si="92"/>
        <v/>
      </c>
      <c r="C1456" s="1285"/>
      <c r="D1456" s="640" t="str">
        <f t="shared" si="93"/>
        <v/>
      </c>
      <c r="E1456" s="1285"/>
      <c r="F1456" s="641" t="str">
        <f>IF(G1456="","",VLOOKUP(G1456,リスト!J$2:K$3,2,FALSE))</f>
        <v/>
      </c>
      <c r="G1456" s="1285"/>
      <c r="H1456" s="1284"/>
      <c r="I1456" s="1284"/>
      <c r="J1456" s="644" t="str">
        <f t="shared" si="94"/>
        <v/>
      </c>
      <c r="K1456" s="1284"/>
      <c r="L1456" s="644" t="str">
        <f t="shared" si="95"/>
        <v/>
      </c>
      <c r="M1456" s="680"/>
      <c r="N1456" s="651"/>
    </row>
    <row r="1457" spans="1:14" ht="15.95" customHeight="1" x14ac:dyDescent="0.15">
      <c r="A1457" s="1286"/>
      <c r="B1457" s="640" t="str">
        <f t="shared" si="92"/>
        <v/>
      </c>
      <c r="C1457" s="1285"/>
      <c r="D1457" s="640" t="str">
        <f t="shared" si="93"/>
        <v/>
      </c>
      <c r="E1457" s="1285"/>
      <c r="F1457" s="641" t="str">
        <f>IF(G1457="","",VLOOKUP(G1457,リスト!J$2:K$3,2,FALSE))</f>
        <v/>
      </c>
      <c r="G1457" s="1285"/>
      <c r="H1457" s="1284"/>
      <c r="I1457" s="1284"/>
      <c r="J1457" s="644" t="str">
        <f t="shared" si="94"/>
        <v/>
      </c>
      <c r="K1457" s="1284"/>
      <c r="L1457" s="644" t="str">
        <f t="shared" si="95"/>
        <v/>
      </c>
      <c r="M1457" s="680"/>
      <c r="N1457" s="651"/>
    </row>
    <row r="1458" spans="1:14" ht="15.95" customHeight="1" x14ac:dyDescent="0.15">
      <c r="A1458" s="1286"/>
      <c r="B1458" s="640" t="str">
        <f t="shared" si="92"/>
        <v/>
      </c>
      <c r="C1458" s="1285"/>
      <c r="D1458" s="640" t="str">
        <f t="shared" si="93"/>
        <v/>
      </c>
      <c r="E1458" s="1285"/>
      <c r="F1458" s="641" t="str">
        <f>IF(G1458="","",VLOOKUP(G1458,リスト!J$2:K$3,2,FALSE))</f>
        <v/>
      </c>
      <c r="G1458" s="1285"/>
      <c r="H1458" s="1284"/>
      <c r="I1458" s="1284"/>
      <c r="J1458" s="644" t="str">
        <f t="shared" si="94"/>
        <v/>
      </c>
      <c r="K1458" s="1284"/>
      <c r="L1458" s="644" t="str">
        <f t="shared" si="95"/>
        <v/>
      </c>
      <c r="M1458" s="680"/>
      <c r="N1458" s="651"/>
    </row>
    <row r="1459" spans="1:14" ht="15.95" customHeight="1" x14ac:dyDescent="0.15">
      <c r="A1459" s="1286"/>
      <c r="B1459" s="640" t="str">
        <f t="shared" si="92"/>
        <v/>
      </c>
      <c r="C1459" s="1285"/>
      <c r="D1459" s="640" t="str">
        <f t="shared" si="93"/>
        <v/>
      </c>
      <c r="E1459" s="1285"/>
      <c r="F1459" s="641" t="str">
        <f>IF(G1459="","",VLOOKUP(G1459,リスト!J$2:K$3,2,FALSE))</f>
        <v/>
      </c>
      <c r="G1459" s="1285"/>
      <c r="H1459" s="1284"/>
      <c r="I1459" s="1284"/>
      <c r="J1459" s="644" t="str">
        <f t="shared" si="94"/>
        <v/>
      </c>
      <c r="K1459" s="1284"/>
      <c r="L1459" s="644" t="str">
        <f t="shared" si="95"/>
        <v/>
      </c>
      <c r="M1459" s="680"/>
      <c r="N1459" s="651"/>
    </row>
    <row r="1460" spans="1:14" ht="15.95" customHeight="1" x14ac:dyDescent="0.15">
      <c r="A1460" s="1286"/>
      <c r="B1460" s="640" t="str">
        <f t="shared" si="92"/>
        <v/>
      </c>
      <c r="C1460" s="1285"/>
      <c r="D1460" s="640" t="str">
        <f t="shared" si="93"/>
        <v/>
      </c>
      <c r="E1460" s="1285"/>
      <c r="F1460" s="641" t="str">
        <f>IF(G1460="","",VLOOKUP(G1460,リスト!J$2:K$3,2,FALSE))</f>
        <v/>
      </c>
      <c r="G1460" s="1285"/>
      <c r="H1460" s="1284"/>
      <c r="I1460" s="1284"/>
      <c r="J1460" s="644" t="str">
        <f t="shared" si="94"/>
        <v/>
      </c>
      <c r="K1460" s="1284"/>
      <c r="L1460" s="644" t="str">
        <f t="shared" si="95"/>
        <v/>
      </c>
      <c r="M1460" s="680"/>
      <c r="N1460" s="651"/>
    </row>
    <row r="1461" spans="1:14" ht="15.95" customHeight="1" x14ac:dyDescent="0.15">
      <c r="A1461" s="1286"/>
      <c r="B1461" s="640" t="str">
        <f t="shared" si="92"/>
        <v/>
      </c>
      <c r="C1461" s="1285"/>
      <c r="D1461" s="640" t="str">
        <f t="shared" si="93"/>
        <v/>
      </c>
      <c r="E1461" s="1285"/>
      <c r="F1461" s="641" t="str">
        <f>IF(G1461="","",VLOOKUP(G1461,リスト!J$2:K$3,2,FALSE))</f>
        <v/>
      </c>
      <c r="G1461" s="1285"/>
      <c r="H1461" s="1284"/>
      <c r="I1461" s="1284"/>
      <c r="J1461" s="644" t="str">
        <f t="shared" si="94"/>
        <v/>
      </c>
      <c r="K1461" s="1284"/>
      <c r="L1461" s="644" t="str">
        <f t="shared" si="95"/>
        <v/>
      </c>
      <c r="M1461" s="680"/>
      <c r="N1461" s="651"/>
    </row>
    <row r="1462" spans="1:14" ht="15.95" customHeight="1" x14ac:dyDescent="0.15">
      <c r="A1462" s="1286"/>
      <c r="B1462" s="640" t="str">
        <f t="shared" si="92"/>
        <v/>
      </c>
      <c r="C1462" s="1285"/>
      <c r="D1462" s="640" t="str">
        <f t="shared" si="93"/>
        <v/>
      </c>
      <c r="E1462" s="1285"/>
      <c r="F1462" s="641" t="str">
        <f>IF(G1462="","",VLOOKUP(G1462,リスト!J$2:K$3,2,FALSE))</f>
        <v/>
      </c>
      <c r="G1462" s="1285"/>
      <c r="H1462" s="1284"/>
      <c r="I1462" s="1284"/>
      <c r="J1462" s="644" t="str">
        <f t="shared" si="94"/>
        <v/>
      </c>
      <c r="K1462" s="1284"/>
      <c r="L1462" s="644" t="str">
        <f t="shared" si="95"/>
        <v/>
      </c>
      <c r="M1462" s="680"/>
      <c r="N1462" s="651"/>
    </row>
    <row r="1463" spans="1:14" ht="15.95" customHeight="1" x14ac:dyDescent="0.15">
      <c r="A1463" s="1286"/>
      <c r="B1463" s="640" t="str">
        <f t="shared" si="92"/>
        <v/>
      </c>
      <c r="C1463" s="1285"/>
      <c r="D1463" s="640" t="str">
        <f t="shared" si="93"/>
        <v/>
      </c>
      <c r="E1463" s="1285"/>
      <c r="F1463" s="641" t="str">
        <f>IF(G1463="","",VLOOKUP(G1463,リスト!J$2:K$3,2,FALSE))</f>
        <v/>
      </c>
      <c r="G1463" s="1285"/>
      <c r="H1463" s="1284"/>
      <c r="I1463" s="1284"/>
      <c r="J1463" s="644" t="str">
        <f t="shared" si="94"/>
        <v/>
      </c>
      <c r="K1463" s="1284"/>
      <c r="L1463" s="644" t="str">
        <f t="shared" si="95"/>
        <v/>
      </c>
      <c r="M1463" s="680"/>
      <c r="N1463" s="651"/>
    </row>
    <row r="1464" spans="1:14" ht="15.95" customHeight="1" x14ac:dyDescent="0.15">
      <c r="A1464" s="1286"/>
      <c r="B1464" s="640" t="str">
        <f t="shared" si="92"/>
        <v/>
      </c>
      <c r="C1464" s="1285"/>
      <c r="D1464" s="640" t="str">
        <f t="shared" si="93"/>
        <v/>
      </c>
      <c r="E1464" s="1285"/>
      <c r="F1464" s="641" t="str">
        <f>IF(G1464="","",VLOOKUP(G1464,リスト!J$2:K$3,2,FALSE))</f>
        <v/>
      </c>
      <c r="G1464" s="1285"/>
      <c r="H1464" s="1284"/>
      <c r="I1464" s="1284"/>
      <c r="J1464" s="644" t="str">
        <f t="shared" si="94"/>
        <v/>
      </c>
      <c r="K1464" s="1284"/>
      <c r="L1464" s="644" t="str">
        <f t="shared" si="95"/>
        <v/>
      </c>
      <c r="M1464" s="680"/>
      <c r="N1464" s="651"/>
    </row>
    <row r="1465" spans="1:14" ht="15.95" customHeight="1" x14ac:dyDescent="0.15">
      <c r="A1465" s="1286"/>
      <c r="B1465" s="640" t="str">
        <f t="shared" si="92"/>
        <v/>
      </c>
      <c r="C1465" s="1285"/>
      <c r="D1465" s="640" t="str">
        <f t="shared" si="93"/>
        <v/>
      </c>
      <c r="E1465" s="1285"/>
      <c r="F1465" s="641" t="str">
        <f>IF(G1465="","",VLOOKUP(G1465,リスト!J$2:K$3,2,FALSE))</f>
        <v/>
      </c>
      <c r="G1465" s="1285"/>
      <c r="H1465" s="1284"/>
      <c r="I1465" s="1284"/>
      <c r="J1465" s="644" t="str">
        <f t="shared" si="94"/>
        <v/>
      </c>
      <c r="K1465" s="1284"/>
      <c r="L1465" s="644" t="str">
        <f t="shared" si="95"/>
        <v/>
      </c>
      <c r="M1465" s="680"/>
      <c r="N1465" s="651"/>
    </row>
    <row r="1466" spans="1:14" ht="15.95" customHeight="1" x14ac:dyDescent="0.15">
      <c r="A1466" s="1286"/>
      <c r="B1466" s="640" t="str">
        <f t="shared" si="92"/>
        <v/>
      </c>
      <c r="C1466" s="1285"/>
      <c r="D1466" s="640" t="str">
        <f t="shared" si="93"/>
        <v/>
      </c>
      <c r="E1466" s="1285"/>
      <c r="F1466" s="641" t="str">
        <f>IF(G1466="","",VLOOKUP(G1466,リスト!J$2:K$3,2,FALSE))</f>
        <v/>
      </c>
      <c r="G1466" s="1285"/>
      <c r="H1466" s="1284"/>
      <c r="I1466" s="1284"/>
      <c r="J1466" s="644" t="str">
        <f t="shared" si="94"/>
        <v/>
      </c>
      <c r="K1466" s="1284"/>
      <c r="L1466" s="644" t="str">
        <f t="shared" si="95"/>
        <v/>
      </c>
      <c r="M1466" s="680"/>
      <c r="N1466" s="651"/>
    </row>
    <row r="1467" spans="1:14" ht="15.95" customHeight="1" x14ac:dyDescent="0.15">
      <c r="A1467" s="1286"/>
      <c r="B1467" s="640" t="str">
        <f t="shared" si="92"/>
        <v/>
      </c>
      <c r="C1467" s="1285"/>
      <c r="D1467" s="640" t="str">
        <f t="shared" si="93"/>
        <v/>
      </c>
      <c r="E1467" s="1285"/>
      <c r="F1467" s="641" t="str">
        <f>IF(G1467="","",VLOOKUP(G1467,リスト!J$2:K$3,2,FALSE))</f>
        <v/>
      </c>
      <c r="G1467" s="1285"/>
      <c r="H1467" s="1284"/>
      <c r="I1467" s="1284"/>
      <c r="J1467" s="644" t="str">
        <f t="shared" si="94"/>
        <v/>
      </c>
      <c r="K1467" s="1284"/>
      <c r="L1467" s="644" t="str">
        <f t="shared" si="95"/>
        <v/>
      </c>
      <c r="M1467" s="680"/>
      <c r="N1467" s="651"/>
    </row>
    <row r="1468" spans="1:14" ht="15.95" customHeight="1" x14ac:dyDescent="0.15">
      <c r="A1468" s="1286"/>
      <c r="B1468" s="640" t="str">
        <f t="shared" si="92"/>
        <v/>
      </c>
      <c r="C1468" s="1285"/>
      <c r="D1468" s="640" t="str">
        <f t="shared" si="93"/>
        <v/>
      </c>
      <c r="E1468" s="1285"/>
      <c r="F1468" s="641" t="str">
        <f>IF(G1468="","",VLOOKUP(G1468,リスト!J$2:K$3,2,FALSE))</f>
        <v/>
      </c>
      <c r="G1468" s="1285"/>
      <c r="H1468" s="1284"/>
      <c r="I1468" s="1284"/>
      <c r="J1468" s="644" t="str">
        <f t="shared" si="94"/>
        <v/>
      </c>
      <c r="K1468" s="1284"/>
      <c r="L1468" s="644" t="str">
        <f t="shared" si="95"/>
        <v/>
      </c>
      <c r="M1468" s="680"/>
      <c r="N1468" s="651"/>
    </row>
    <row r="1469" spans="1:14" ht="15.95" customHeight="1" x14ac:dyDescent="0.15">
      <c r="A1469" s="1286"/>
      <c r="B1469" s="640" t="str">
        <f t="shared" si="92"/>
        <v/>
      </c>
      <c r="C1469" s="1285"/>
      <c r="D1469" s="640" t="str">
        <f t="shared" si="93"/>
        <v/>
      </c>
      <c r="E1469" s="1285"/>
      <c r="F1469" s="641" t="str">
        <f>IF(G1469="","",VLOOKUP(G1469,リスト!J$2:K$3,2,FALSE))</f>
        <v/>
      </c>
      <c r="G1469" s="1285"/>
      <c r="H1469" s="1284"/>
      <c r="I1469" s="1284"/>
      <c r="J1469" s="644" t="str">
        <f t="shared" si="94"/>
        <v/>
      </c>
      <c r="K1469" s="1284"/>
      <c r="L1469" s="644" t="str">
        <f t="shared" si="95"/>
        <v/>
      </c>
      <c r="M1469" s="680"/>
      <c r="N1469" s="651"/>
    </row>
    <row r="1470" spans="1:14" ht="15.95" customHeight="1" x14ac:dyDescent="0.15">
      <c r="A1470" s="1286"/>
      <c r="B1470" s="640" t="str">
        <f t="shared" si="92"/>
        <v/>
      </c>
      <c r="C1470" s="1285"/>
      <c r="D1470" s="640" t="str">
        <f t="shared" si="93"/>
        <v/>
      </c>
      <c r="E1470" s="1285"/>
      <c r="F1470" s="641" t="str">
        <f>IF(G1470="","",VLOOKUP(G1470,リスト!J$2:K$3,2,FALSE))</f>
        <v/>
      </c>
      <c r="G1470" s="1285"/>
      <c r="H1470" s="1284"/>
      <c r="I1470" s="1284"/>
      <c r="J1470" s="644" t="str">
        <f t="shared" si="94"/>
        <v/>
      </c>
      <c r="K1470" s="1284"/>
      <c r="L1470" s="644" t="str">
        <f t="shared" si="95"/>
        <v/>
      </c>
      <c r="M1470" s="680"/>
      <c r="N1470" s="651"/>
    </row>
    <row r="1471" spans="1:14" ht="15.95" customHeight="1" x14ac:dyDescent="0.15">
      <c r="A1471" s="1286"/>
      <c r="B1471" s="640" t="str">
        <f t="shared" si="92"/>
        <v/>
      </c>
      <c r="C1471" s="1285"/>
      <c r="D1471" s="640" t="str">
        <f t="shared" si="93"/>
        <v/>
      </c>
      <c r="E1471" s="1285"/>
      <c r="F1471" s="641" t="str">
        <f>IF(G1471="","",VLOOKUP(G1471,リスト!J$2:K$3,2,FALSE))</f>
        <v/>
      </c>
      <c r="G1471" s="1285"/>
      <c r="H1471" s="1284"/>
      <c r="I1471" s="1284"/>
      <c r="J1471" s="644" t="str">
        <f t="shared" si="94"/>
        <v/>
      </c>
      <c r="K1471" s="1284"/>
      <c r="L1471" s="644" t="str">
        <f t="shared" si="95"/>
        <v/>
      </c>
      <c r="M1471" s="680"/>
      <c r="N1471" s="651"/>
    </row>
    <row r="1472" spans="1:14" ht="15.95" customHeight="1" x14ac:dyDescent="0.15">
      <c r="A1472" s="1286"/>
      <c r="B1472" s="640" t="str">
        <f t="shared" si="92"/>
        <v/>
      </c>
      <c r="C1472" s="1285"/>
      <c r="D1472" s="640" t="str">
        <f t="shared" si="93"/>
        <v/>
      </c>
      <c r="E1472" s="1285"/>
      <c r="F1472" s="641" t="str">
        <f>IF(G1472="","",VLOOKUP(G1472,リスト!J$2:K$3,2,FALSE))</f>
        <v/>
      </c>
      <c r="G1472" s="1285"/>
      <c r="H1472" s="1284"/>
      <c r="I1472" s="1284"/>
      <c r="J1472" s="644" t="str">
        <f t="shared" si="94"/>
        <v/>
      </c>
      <c r="K1472" s="1284"/>
      <c r="L1472" s="644" t="str">
        <f t="shared" si="95"/>
        <v/>
      </c>
      <c r="M1472" s="680"/>
      <c r="N1472" s="651"/>
    </row>
    <row r="1473" spans="1:14" ht="15.95" customHeight="1" x14ac:dyDescent="0.15">
      <c r="A1473" s="1286"/>
      <c r="B1473" s="640" t="str">
        <f t="shared" si="92"/>
        <v/>
      </c>
      <c r="C1473" s="1285"/>
      <c r="D1473" s="640" t="str">
        <f t="shared" si="93"/>
        <v/>
      </c>
      <c r="E1473" s="1285"/>
      <c r="F1473" s="641" t="str">
        <f>IF(G1473="","",VLOOKUP(G1473,リスト!J$2:K$3,2,FALSE))</f>
        <v/>
      </c>
      <c r="G1473" s="1285"/>
      <c r="H1473" s="1284"/>
      <c r="I1473" s="1284"/>
      <c r="J1473" s="644" t="str">
        <f t="shared" si="94"/>
        <v/>
      </c>
      <c r="K1473" s="1284"/>
      <c r="L1473" s="644" t="str">
        <f t="shared" si="95"/>
        <v/>
      </c>
      <c r="M1473" s="680"/>
      <c r="N1473" s="651"/>
    </row>
    <row r="1474" spans="1:14" ht="15.95" customHeight="1" x14ac:dyDescent="0.15">
      <c r="A1474" s="1286"/>
      <c r="B1474" s="640" t="str">
        <f t="shared" si="92"/>
        <v/>
      </c>
      <c r="C1474" s="1285"/>
      <c r="D1474" s="640" t="str">
        <f t="shared" si="93"/>
        <v/>
      </c>
      <c r="E1474" s="1285"/>
      <c r="F1474" s="641" t="str">
        <f>IF(G1474="","",VLOOKUP(G1474,リスト!J$2:K$3,2,FALSE))</f>
        <v/>
      </c>
      <c r="G1474" s="1285"/>
      <c r="H1474" s="1284"/>
      <c r="I1474" s="1284"/>
      <c r="J1474" s="644" t="str">
        <f t="shared" si="94"/>
        <v/>
      </c>
      <c r="K1474" s="1284"/>
      <c r="L1474" s="644" t="str">
        <f t="shared" si="95"/>
        <v/>
      </c>
      <c r="M1474" s="680"/>
      <c r="N1474" s="651"/>
    </row>
    <row r="1475" spans="1:14" ht="15.95" customHeight="1" x14ac:dyDescent="0.15">
      <c r="A1475" s="1286"/>
      <c r="B1475" s="640" t="str">
        <f t="shared" si="92"/>
        <v/>
      </c>
      <c r="C1475" s="1285"/>
      <c r="D1475" s="640" t="str">
        <f t="shared" si="93"/>
        <v/>
      </c>
      <c r="E1475" s="1285"/>
      <c r="F1475" s="641" t="str">
        <f>IF(G1475="","",VLOOKUP(G1475,リスト!J$2:K$3,2,FALSE))</f>
        <v/>
      </c>
      <c r="G1475" s="1285"/>
      <c r="H1475" s="1284"/>
      <c r="I1475" s="1284"/>
      <c r="J1475" s="644" t="str">
        <f t="shared" si="94"/>
        <v/>
      </c>
      <c r="K1475" s="1284"/>
      <c r="L1475" s="644" t="str">
        <f t="shared" si="95"/>
        <v/>
      </c>
      <c r="M1475" s="680"/>
      <c r="N1475" s="651"/>
    </row>
    <row r="1476" spans="1:14" ht="15.95" customHeight="1" x14ac:dyDescent="0.15">
      <c r="A1476" s="1286"/>
      <c r="B1476" s="640" t="str">
        <f t="shared" si="92"/>
        <v/>
      </c>
      <c r="C1476" s="1285"/>
      <c r="D1476" s="640" t="str">
        <f t="shared" si="93"/>
        <v/>
      </c>
      <c r="E1476" s="1285"/>
      <c r="F1476" s="641" t="str">
        <f>IF(G1476="","",VLOOKUP(G1476,リスト!J$2:K$3,2,FALSE))</f>
        <v/>
      </c>
      <c r="G1476" s="1285"/>
      <c r="H1476" s="1284"/>
      <c r="I1476" s="1284"/>
      <c r="J1476" s="644" t="str">
        <f t="shared" si="94"/>
        <v/>
      </c>
      <c r="K1476" s="1284"/>
      <c r="L1476" s="644" t="str">
        <f t="shared" si="95"/>
        <v/>
      </c>
      <c r="M1476" s="680"/>
      <c r="N1476" s="651"/>
    </row>
    <row r="1477" spans="1:14" ht="15.95" customHeight="1" x14ac:dyDescent="0.15">
      <c r="A1477" s="1286"/>
      <c r="B1477" s="640" t="str">
        <f t="shared" si="92"/>
        <v/>
      </c>
      <c r="C1477" s="1285"/>
      <c r="D1477" s="640" t="str">
        <f t="shared" si="93"/>
        <v/>
      </c>
      <c r="E1477" s="1285"/>
      <c r="F1477" s="641" t="str">
        <f>IF(G1477="","",VLOOKUP(G1477,リスト!J$2:K$3,2,FALSE))</f>
        <v/>
      </c>
      <c r="G1477" s="1285"/>
      <c r="H1477" s="1284"/>
      <c r="I1477" s="1284"/>
      <c r="J1477" s="644" t="str">
        <f t="shared" si="94"/>
        <v/>
      </c>
      <c r="K1477" s="1284"/>
      <c r="L1477" s="644" t="str">
        <f t="shared" si="95"/>
        <v/>
      </c>
      <c r="M1477" s="680"/>
      <c r="N1477" s="651"/>
    </row>
    <row r="1478" spans="1:14" ht="15.95" customHeight="1" x14ac:dyDescent="0.15">
      <c r="A1478" s="1286"/>
      <c r="B1478" s="640" t="str">
        <f t="shared" si="92"/>
        <v/>
      </c>
      <c r="C1478" s="1285"/>
      <c r="D1478" s="640" t="str">
        <f t="shared" si="93"/>
        <v/>
      </c>
      <c r="E1478" s="1285"/>
      <c r="F1478" s="641" t="str">
        <f>IF(G1478="","",VLOOKUP(G1478,リスト!J$2:K$3,2,FALSE))</f>
        <v/>
      </c>
      <c r="G1478" s="1285"/>
      <c r="H1478" s="1284"/>
      <c r="I1478" s="1284"/>
      <c r="J1478" s="644" t="str">
        <f t="shared" si="94"/>
        <v/>
      </c>
      <c r="K1478" s="1284"/>
      <c r="L1478" s="644" t="str">
        <f t="shared" si="95"/>
        <v/>
      </c>
      <c r="M1478" s="680"/>
      <c r="N1478" s="651"/>
    </row>
    <row r="1479" spans="1:14" ht="15.95" customHeight="1" x14ac:dyDescent="0.15">
      <c r="A1479" s="1286"/>
      <c r="B1479" s="640" t="str">
        <f t="shared" si="92"/>
        <v/>
      </c>
      <c r="C1479" s="1285"/>
      <c r="D1479" s="640" t="str">
        <f t="shared" si="93"/>
        <v/>
      </c>
      <c r="E1479" s="1285"/>
      <c r="F1479" s="641" t="str">
        <f>IF(G1479="","",VLOOKUP(G1479,リスト!J$2:K$3,2,FALSE))</f>
        <v/>
      </c>
      <c r="G1479" s="1285"/>
      <c r="H1479" s="1284"/>
      <c r="I1479" s="1284"/>
      <c r="J1479" s="644" t="str">
        <f t="shared" si="94"/>
        <v/>
      </c>
      <c r="K1479" s="1284"/>
      <c r="L1479" s="644" t="str">
        <f t="shared" si="95"/>
        <v/>
      </c>
      <c r="M1479" s="680"/>
      <c r="N1479" s="651"/>
    </row>
    <row r="1480" spans="1:14" ht="15.95" customHeight="1" x14ac:dyDescent="0.15">
      <c r="A1480" s="1286"/>
      <c r="B1480" s="640" t="str">
        <f t="shared" si="92"/>
        <v/>
      </c>
      <c r="C1480" s="1285"/>
      <c r="D1480" s="640" t="str">
        <f t="shared" si="93"/>
        <v/>
      </c>
      <c r="E1480" s="1285"/>
      <c r="F1480" s="641" t="str">
        <f>IF(G1480="","",VLOOKUP(G1480,リスト!J$2:K$3,2,FALSE))</f>
        <v/>
      </c>
      <c r="G1480" s="1285"/>
      <c r="H1480" s="1284"/>
      <c r="I1480" s="1284"/>
      <c r="J1480" s="644" t="str">
        <f t="shared" si="94"/>
        <v/>
      </c>
      <c r="K1480" s="1284"/>
      <c r="L1480" s="644" t="str">
        <f t="shared" si="95"/>
        <v/>
      </c>
      <c r="M1480" s="680"/>
      <c r="N1480" s="651"/>
    </row>
    <row r="1481" spans="1:14" ht="15.95" customHeight="1" x14ac:dyDescent="0.15">
      <c r="A1481" s="1286"/>
      <c r="B1481" s="640" t="str">
        <f t="shared" si="92"/>
        <v/>
      </c>
      <c r="C1481" s="1285"/>
      <c r="D1481" s="640" t="str">
        <f t="shared" si="93"/>
        <v/>
      </c>
      <c r="E1481" s="1285"/>
      <c r="F1481" s="641" t="str">
        <f>IF(G1481="","",VLOOKUP(G1481,リスト!J$2:K$3,2,FALSE))</f>
        <v/>
      </c>
      <c r="G1481" s="1285"/>
      <c r="H1481" s="1284"/>
      <c r="I1481" s="1284"/>
      <c r="J1481" s="644" t="str">
        <f t="shared" si="94"/>
        <v/>
      </c>
      <c r="K1481" s="1284"/>
      <c r="L1481" s="644" t="str">
        <f t="shared" si="95"/>
        <v/>
      </c>
      <c r="M1481" s="680"/>
      <c r="N1481" s="651"/>
    </row>
    <row r="1482" spans="1:14" ht="15.95" customHeight="1" x14ac:dyDescent="0.15">
      <c r="A1482" s="1286"/>
      <c r="B1482" s="640" t="str">
        <f t="shared" si="92"/>
        <v/>
      </c>
      <c r="C1482" s="1285"/>
      <c r="D1482" s="640" t="str">
        <f t="shared" si="93"/>
        <v/>
      </c>
      <c r="E1482" s="1285"/>
      <c r="F1482" s="641" t="str">
        <f>IF(G1482="","",VLOOKUP(G1482,リスト!J$2:K$3,2,FALSE))</f>
        <v/>
      </c>
      <c r="G1482" s="1285"/>
      <c r="H1482" s="1284"/>
      <c r="I1482" s="1284"/>
      <c r="J1482" s="644" t="str">
        <f t="shared" si="94"/>
        <v/>
      </c>
      <c r="K1482" s="1284"/>
      <c r="L1482" s="644" t="str">
        <f t="shared" si="95"/>
        <v/>
      </c>
      <c r="M1482" s="680"/>
      <c r="N1482" s="651"/>
    </row>
    <row r="1483" spans="1:14" ht="15.95" customHeight="1" x14ac:dyDescent="0.15">
      <c r="A1483" s="1286"/>
      <c r="B1483" s="640" t="str">
        <f t="shared" si="92"/>
        <v/>
      </c>
      <c r="C1483" s="1285"/>
      <c r="D1483" s="640" t="str">
        <f t="shared" si="93"/>
        <v/>
      </c>
      <c r="E1483" s="1285"/>
      <c r="F1483" s="641" t="str">
        <f>IF(G1483="","",VLOOKUP(G1483,リスト!J$2:K$3,2,FALSE))</f>
        <v/>
      </c>
      <c r="G1483" s="1285"/>
      <c r="H1483" s="1284"/>
      <c r="I1483" s="1284"/>
      <c r="J1483" s="644" t="str">
        <f t="shared" si="94"/>
        <v/>
      </c>
      <c r="K1483" s="1284"/>
      <c r="L1483" s="644" t="str">
        <f t="shared" si="95"/>
        <v/>
      </c>
      <c r="M1483" s="680"/>
      <c r="N1483" s="651"/>
    </row>
    <row r="1484" spans="1:14" ht="15.95" customHeight="1" x14ac:dyDescent="0.15">
      <c r="A1484" s="1286"/>
      <c r="B1484" s="640" t="str">
        <f t="shared" si="92"/>
        <v/>
      </c>
      <c r="C1484" s="1285"/>
      <c r="D1484" s="640" t="str">
        <f t="shared" si="93"/>
        <v/>
      </c>
      <c r="E1484" s="1285"/>
      <c r="F1484" s="641" t="str">
        <f>IF(G1484="","",VLOOKUP(G1484,リスト!J$2:K$3,2,FALSE))</f>
        <v/>
      </c>
      <c r="G1484" s="1285"/>
      <c r="H1484" s="1284"/>
      <c r="I1484" s="1284"/>
      <c r="J1484" s="644" t="str">
        <f t="shared" si="94"/>
        <v/>
      </c>
      <c r="K1484" s="1284"/>
      <c r="L1484" s="644" t="str">
        <f t="shared" si="95"/>
        <v/>
      </c>
      <c r="M1484" s="680"/>
      <c r="N1484" s="651"/>
    </row>
    <row r="1485" spans="1:14" ht="15.95" customHeight="1" x14ac:dyDescent="0.15">
      <c r="A1485" s="1286"/>
      <c r="B1485" s="640" t="str">
        <f t="shared" si="92"/>
        <v/>
      </c>
      <c r="C1485" s="1285"/>
      <c r="D1485" s="640" t="str">
        <f t="shared" si="93"/>
        <v/>
      </c>
      <c r="E1485" s="1285"/>
      <c r="F1485" s="641" t="str">
        <f>IF(G1485="","",VLOOKUP(G1485,リスト!J$2:K$3,2,FALSE))</f>
        <v/>
      </c>
      <c r="G1485" s="1285"/>
      <c r="H1485" s="1284"/>
      <c r="I1485" s="1284"/>
      <c r="J1485" s="644" t="str">
        <f t="shared" si="94"/>
        <v/>
      </c>
      <c r="K1485" s="1284"/>
      <c r="L1485" s="644" t="str">
        <f t="shared" si="95"/>
        <v/>
      </c>
      <c r="M1485" s="680"/>
      <c r="N1485" s="651"/>
    </row>
    <row r="1486" spans="1:14" ht="15.95" customHeight="1" x14ac:dyDescent="0.15">
      <c r="A1486" s="1286"/>
      <c r="B1486" s="640" t="str">
        <f t="shared" si="92"/>
        <v/>
      </c>
      <c r="C1486" s="1285"/>
      <c r="D1486" s="640" t="str">
        <f t="shared" si="93"/>
        <v/>
      </c>
      <c r="E1486" s="1285"/>
      <c r="F1486" s="641" t="str">
        <f>IF(G1486="","",VLOOKUP(G1486,リスト!J$2:K$3,2,FALSE))</f>
        <v/>
      </c>
      <c r="G1486" s="1285"/>
      <c r="H1486" s="1284"/>
      <c r="I1486" s="1284"/>
      <c r="J1486" s="644" t="str">
        <f t="shared" si="94"/>
        <v/>
      </c>
      <c r="K1486" s="1284"/>
      <c r="L1486" s="644" t="str">
        <f t="shared" si="95"/>
        <v/>
      </c>
      <c r="M1486" s="680"/>
      <c r="N1486" s="651"/>
    </row>
    <row r="1487" spans="1:14" ht="15.95" customHeight="1" x14ac:dyDescent="0.15">
      <c r="A1487" s="1286"/>
      <c r="B1487" s="640" t="str">
        <f t="shared" si="92"/>
        <v/>
      </c>
      <c r="C1487" s="1285"/>
      <c r="D1487" s="640" t="str">
        <f t="shared" si="93"/>
        <v/>
      </c>
      <c r="E1487" s="1285"/>
      <c r="F1487" s="641" t="str">
        <f>IF(G1487="","",VLOOKUP(G1487,リスト!J$2:K$3,2,FALSE))</f>
        <v/>
      </c>
      <c r="G1487" s="1285"/>
      <c r="H1487" s="1284"/>
      <c r="I1487" s="1284"/>
      <c r="J1487" s="644" t="str">
        <f t="shared" si="94"/>
        <v/>
      </c>
      <c r="K1487" s="1284"/>
      <c r="L1487" s="644" t="str">
        <f t="shared" si="95"/>
        <v/>
      </c>
      <c r="M1487" s="680"/>
      <c r="N1487" s="651"/>
    </row>
    <row r="1488" spans="1:14" ht="15.95" customHeight="1" x14ac:dyDescent="0.15">
      <c r="A1488" s="1286"/>
      <c r="B1488" s="640" t="str">
        <f t="shared" si="92"/>
        <v/>
      </c>
      <c r="C1488" s="1285"/>
      <c r="D1488" s="640" t="str">
        <f t="shared" si="93"/>
        <v/>
      </c>
      <c r="E1488" s="1285"/>
      <c r="F1488" s="641" t="str">
        <f>IF(G1488="","",VLOOKUP(G1488,リスト!J$2:K$3,2,FALSE))</f>
        <v/>
      </c>
      <c r="G1488" s="1285"/>
      <c r="H1488" s="1284"/>
      <c r="I1488" s="1284"/>
      <c r="J1488" s="644" t="str">
        <f t="shared" si="94"/>
        <v/>
      </c>
      <c r="K1488" s="1284"/>
      <c r="L1488" s="644" t="str">
        <f t="shared" si="95"/>
        <v/>
      </c>
      <c r="M1488" s="680"/>
      <c r="N1488" s="651"/>
    </row>
    <row r="1489" spans="1:14" ht="15.95" customHeight="1" x14ac:dyDescent="0.15">
      <c r="A1489" s="1286"/>
      <c r="B1489" s="640" t="str">
        <f t="shared" si="92"/>
        <v/>
      </c>
      <c r="C1489" s="1285"/>
      <c r="D1489" s="640" t="str">
        <f t="shared" si="93"/>
        <v/>
      </c>
      <c r="E1489" s="1285"/>
      <c r="F1489" s="641" t="str">
        <f>IF(G1489="","",VLOOKUP(G1489,リスト!J$2:K$3,2,FALSE))</f>
        <v/>
      </c>
      <c r="G1489" s="1285"/>
      <c r="H1489" s="1284"/>
      <c r="I1489" s="1284"/>
      <c r="J1489" s="644" t="str">
        <f t="shared" si="94"/>
        <v/>
      </c>
      <c r="K1489" s="1284"/>
      <c r="L1489" s="644" t="str">
        <f t="shared" si="95"/>
        <v/>
      </c>
      <c r="M1489" s="680"/>
      <c r="N1489" s="651"/>
    </row>
    <row r="1490" spans="1:14" ht="15.95" customHeight="1" x14ac:dyDescent="0.15">
      <c r="A1490" s="1286"/>
      <c r="B1490" s="640" t="str">
        <f t="shared" si="92"/>
        <v/>
      </c>
      <c r="C1490" s="1285"/>
      <c r="D1490" s="640" t="str">
        <f t="shared" si="93"/>
        <v/>
      </c>
      <c r="E1490" s="1285"/>
      <c r="F1490" s="641" t="str">
        <f>IF(G1490="","",VLOOKUP(G1490,リスト!J$2:K$3,2,FALSE))</f>
        <v/>
      </c>
      <c r="G1490" s="1285"/>
      <c r="H1490" s="1284"/>
      <c r="I1490" s="1284"/>
      <c r="J1490" s="644" t="str">
        <f t="shared" si="94"/>
        <v/>
      </c>
      <c r="K1490" s="1284"/>
      <c r="L1490" s="644" t="str">
        <f t="shared" si="95"/>
        <v/>
      </c>
      <c r="M1490" s="680"/>
      <c r="N1490" s="651"/>
    </row>
    <row r="1491" spans="1:14" ht="15.95" customHeight="1" x14ac:dyDescent="0.15">
      <c r="A1491" s="1286"/>
      <c r="B1491" s="640" t="str">
        <f t="shared" si="92"/>
        <v/>
      </c>
      <c r="C1491" s="1285"/>
      <c r="D1491" s="640" t="str">
        <f t="shared" si="93"/>
        <v/>
      </c>
      <c r="E1491" s="1285"/>
      <c r="F1491" s="641" t="str">
        <f>IF(G1491="","",VLOOKUP(G1491,リスト!J$2:K$3,2,FALSE))</f>
        <v/>
      </c>
      <c r="G1491" s="1285"/>
      <c r="H1491" s="1284"/>
      <c r="I1491" s="1284"/>
      <c r="J1491" s="644" t="str">
        <f t="shared" si="94"/>
        <v/>
      </c>
      <c r="K1491" s="1284"/>
      <c r="L1491" s="644" t="str">
        <f t="shared" si="95"/>
        <v/>
      </c>
      <c r="M1491" s="680"/>
      <c r="N1491" s="651"/>
    </row>
    <row r="1492" spans="1:14" ht="15.95" customHeight="1" x14ac:dyDescent="0.15">
      <c r="A1492" s="1286"/>
      <c r="B1492" s="640" t="str">
        <f t="shared" si="92"/>
        <v/>
      </c>
      <c r="C1492" s="1285"/>
      <c r="D1492" s="640" t="str">
        <f t="shared" si="93"/>
        <v/>
      </c>
      <c r="E1492" s="1285"/>
      <c r="F1492" s="641" t="str">
        <f>IF(G1492="","",VLOOKUP(G1492,リスト!J$2:K$3,2,FALSE))</f>
        <v/>
      </c>
      <c r="G1492" s="1285"/>
      <c r="H1492" s="1284"/>
      <c r="I1492" s="1284"/>
      <c r="J1492" s="644" t="str">
        <f t="shared" si="94"/>
        <v/>
      </c>
      <c r="K1492" s="1284"/>
      <c r="L1492" s="644" t="str">
        <f t="shared" si="95"/>
        <v/>
      </c>
      <c r="M1492" s="680"/>
      <c r="N1492" s="651"/>
    </row>
    <row r="1493" spans="1:14" ht="15.95" customHeight="1" x14ac:dyDescent="0.15">
      <c r="A1493" s="1286"/>
      <c r="B1493" s="640" t="str">
        <f t="shared" si="92"/>
        <v/>
      </c>
      <c r="C1493" s="1285"/>
      <c r="D1493" s="640" t="str">
        <f t="shared" si="93"/>
        <v/>
      </c>
      <c r="E1493" s="1285"/>
      <c r="F1493" s="641" t="str">
        <f>IF(G1493="","",VLOOKUP(G1493,リスト!J$2:K$3,2,FALSE))</f>
        <v/>
      </c>
      <c r="G1493" s="1285"/>
      <c r="H1493" s="1284"/>
      <c r="I1493" s="1284"/>
      <c r="J1493" s="644" t="str">
        <f t="shared" si="94"/>
        <v/>
      </c>
      <c r="K1493" s="1284"/>
      <c r="L1493" s="644" t="str">
        <f t="shared" si="95"/>
        <v/>
      </c>
      <c r="M1493" s="680"/>
      <c r="N1493" s="651"/>
    </row>
    <row r="1494" spans="1:14" ht="15.95" customHeight="1" x14ac:dyDescent="0.15">
      <c r="A1494" s="1286"/>
      <c r="B1494" s="640" t="str">
        <f t="shared" si="92"/>
        <v/>
      </c>
      <c r="C1494" s="1285"/>
      <c r="D1494" s="640" t="str">
        <f t="shared" si="93"/>
        <v/>
      </c>
      <c r="E1494" s="1285"/>
      <c r="F1494" s="641" t="str">
        <f>IF(G1494="","",VLOOKUP(G1494,リスト!J$2:K$3,2,FALSE))</f>
        <v/>
      </c>
      <c r="G1494" s="1285"/>
      <c r="H1494" s="1284"/>
      <c r="I1494" s="1284"/>
      <c r="J1494" s="644" t="str">
        <f t="shared" si="94"/>
        <v/>
      </c>
      <c r="K1494" s="1284"/>
      <c r="L1494" s="644" t="str">
        <f t="shared" si="95"/>
        <v/>
      </c>
      <c r="M1494" s="680"/>
      <c r="N1494" s="651"/>
    </row>
    <row r="1495" spans="1:14" ht="15.95" customHeight="1" x14ac:dyDescent="0.15">
      <c r="A1495" s="1286"/>
      <c r="B1495" s="640" t="str">
        <f t="shared" si="92"/>
        <v/>
      </c>
      <c r="C1495" s="1285"/>
      <c r="D1495" s="640" t="str">
        <f t="shared" si="93"/>
        <v/>
      </c>
      <c r="E1495" s="1285"/>
      <c r="F1495" s="641" t="str">
        <f>IF(G1495="","",VLOOKUP(G1495,リスト!J$2:K$3,2,FALSE))</f>
        <v/>
      </c>
      <c r="G1495" s="1285"/>
      <c r="H1495" s="1284"/>
      <c r="I1495" s="1284"/>
      <c r="J1495" s="644" t="str">
        <f t="shared" si="94"/>
        <v/>
      </c>
      <c r="K1495" s="1284"/>
      <c r="L1495" s="644" t="str">
        <f t="shared" si="95"/>
        <v/>
      </c>
      <c r="M1495" s="680"/>
      <c r="N1495" s="651"/>
    </row>
    <row r="1496" spans="1:14" ht="15.95" customHeight="1" x14ac:dyDescent="0.15">
      <c r="A1496" s="1286"/>
      <c r="B1496" s="640" t="str">
        <f t="shared" si="92"/>
        <v/>
      </c>
      <c r="C1496" s="1285"/>
      <c r="D1496" s="640" t="str">
        <f t="shared" si="93"/>
        <v/>
      </c>
      <c r="E1496" s="1285"/>
      <c r="F1496" s="641" t="str">
        <f>IF(G1496="","",VLOOKUP(G1496,リスト!J$2:K$3,2,FALSE))</f>
        <v/>
      </c>
      <c r="G1496" s="1285"/>
      <c r="H1496" s="1284"/>
      <c r="I1496" s="1284"/>
      <c r="J1496" s="644" t="str">
        <f t="shared" si="94"/>
        <v/>
      </c>
      <c r="K1496" s="1284"/>
      <c r="L1496" s="644" t="str">
        <f t="shared" si="95"/>
        <v/>
      </c>
      <c r="M1496" s="680"/>
      <c r="N1496" s="651"/>
    </row>
    <row r="1497" spans="1:14" ht="15.95" customHeight="1" x14ac:dyDescent="0.15">
      <c r="A1497" s="1286"/>
      <c r="B1497" s="640" t="str">
        <f t="shared" si="92"/>
        <v/>
      </c>
      <c r="C1497" s="1285"/>
      <c r="D1497" s="640" t="str">
        <f t="shared" si="93"/>
        <v/>
      </c>
      <c r="E1497" s="1285"/>
      <c r="F1497" s="641" t="str">
        <f>IF(G1497="","",VLOOKUP(G1497,リスト!J$2:K$3,2,FALSE))</f>
        <v/>
      </c>
      <c r="G1497" s="1285"/>
      <c r="H1497" s="1284"/>
      <c r="I1497" s="1284"/>
      <c r="J1497" s="644" t="str">
        <f t="shared" si="94"/>
        <v/>
      </c>
      <c r="K1497" s="1284"/>
      <c r="L1497" s="644" t="str">
        <f t="shared" si="95"/>
        <v/>
      </c>
      <c r="M1497" s="680"/>
      <c r="N1497" s="651"/>
    </row>
    <row r="1498" spans="1:14" ht="15.95" customHeight="1" x14ac:dyDescent="0.15">
      <c r="A1498" s="1286"/>
      <c r="B1498" s="640" t="str">
        <f t="shared" si="92"/>
        <v/>
      </c>
      <c r="C1498" s="1285"/>
      <c r="D1498" s="640" t="str">
        <f t="shared" si="93"/>
        <v/>
      </c>
      <c r="E1498" s="1285"/>
      <c r="F1498" s="641" t="str">
        <f>IF(G1498="","",VLOOKUP(G1498,リスト!J$2:K$3,2,FALSE))</f>
        <v/>
      </c>
      <c r="G1498" s="1285"/>
      <c r="H1498" s="1284"/>
      <c r="I1498" s="1284"/>
      <c r="J1498" s="644" t="str">
        <f t="shared" si="94"/>
        <v/>
      </c>
      <c r="K1498" s="1284"/>
      <c r="L1498" s="644" t="str">
        <f t="shared" si="95"/>
        <v/>
      </c>
      <c r="M1498" s="680"/>
      <c r="N1498" s="651"/>
    </row>
    <row r="1499" spans="1:14" ht="15.95" customHeight="1" x14ac:dyDescent="0.15">
      <c r="A1499" s="1286"/>
      <c r="B1499" s="640" t="str">
        <f t="shared" si="92"/>
        <v/>
      </c>
      <c r="C1499" s="1285"/>
      <c r="D1499" s="640" t="str">
        <f t="shared" si="93"/>
        <v/>
      </c>
      <c r="E1499" s="1285"/>
      <c r="F1499" s="641" t="str">
        <f>IF(G1499="","",VLOOKUP(G1499,リスト!J$2:K$3,2,FALSE))</f>
        <v/>
      </c>
      <c r="G1499" s="1285"/>
      <c r="H1499" s="1284"/>
      <c r="I1499" s="1284"/>
      <c r="J1499" s="644" t="str">
        <f t="shared" si="94"/>
        <v/>
      </c>
      <c r="K1499" s="1284"/>
      <c r="L1499" s="644" t="str">
        <f t="shared" si="95"/>
        <v/>
      </c>
      <c r="M1499" s="680"/>
      <c r="N1499" s="651"/>
    </row>
    <row r="1500" spans="1:14" ht="15.95" customHeight="1" x14ac:dyDescent="0.15">
      <c r="A1500" s="1286"/>
      <c r="B1500" s="640" t="str">
        <f t="shared" si="92"/>
        <v/>
      </c>
      <c r="C1500" s="1285"/>
      <c r="D1500" s="640" t="str">
        <f t="shared" si="93"/>
        <v/>
      </c>
      <c r="E1500" s="1285"/>
      <c r="F1500" s="641" t="str">
        <f>IF(G1500="","",VLOOKUP(G1500,リスト!J$2:K$3,2,FALSE))</f>
        <v/>
      </c>
      <c r="G1500" s="1285"/>
      <c r="H1500" s="1284"/>
      <c r="I1500" s="1284"/>
      <c r="J1500" s="644" t="str">
        <f t="shared" si="94"/>
        <v/>
      </c>
      <c r="K1500" s="1284"/>
      <c r="L1500" s="644" t="str">
        <f t="shared" si="95"/>
        <v/>
      </c>
      <c r="M1500" s="680"/>
      <c r="N1500" s="651"/>
    </row>
    <row r="1501" spans="1:14" ht="15.95" customHeight="1" x14ac:dyDescent="0.15">
      <c r="A1501" s="1286"/>
      <c r="B1501" s="640" t="str">
        <f t="shared" ref="B1501" si="96">IF(C1501="","",VLOOKUP(C1501,事業所コード2,2,FALSE))</f>
        <v/>
      </c>
      <c r="C1501" s="1285"/>
      <c r="D1501" s="640" t="str">
        <f t="shared" ref="D1501" si="97">IF(E1501="","",VLOOKUP(E1501,事業区分コード2,2,FALSE))</f>
        <v/>
      </c>
      <c r="E1501" s="1285"/>
      <c r="F1501" s="641" t="str">
        <f>IF(G1501="","",VLOOKUP(G1501,リスト!J$2:K$3,2,FALSE))</f>
        <v/>
      </c>
      <c r="G1501" s="1285"/>
      <c r="H1501" s="1284"/>
      <c r="I1501" s="1284"/>
      <c r="J1501" s="644" t="str">
        <f t="shared" ref="J1501" si="98">IF(A1501="","",H1501+I1501)</f>
        <v/>
      </c>
      <c r="K1501" s="1284"/>
      <c r="L1501" s="644" t="str">
        <f t="shared" ref="L1501" si="99">IF(A1501="","",J1501-K1501)</f>
        <v/>
      </c>
      <c r="M1501" s="680"/>
      <c r="N1501" s="651"/>
    </row>
  </sheetData>
  <autoFilter ref="A1:N1501">
    <sortState ref="A2:N1000">
      <sortCondition ref="A1"/>
    </sortState>
  </autoFilter>
  <phoneticPr fontId="40"/>
  <conditionalFormatting sqref="M2:M1501">
    <cfRule type="expression" dxfId="387" priority="8">
      <formula>AND($A2&lt;&gt;"",$F2="02")</formula>
    </cfRule>
  </conditionalFormatting>
  <conditionalFormatting sqref="N2:N1501">
    <cfRule type="expression" dxfId="386" priority="6">
      <formula>OR($B2="05",$B2="06",$B2="08",$B2="09",$B2="10",$B2="13",$B2="14",$B2="00")</formula>
    </cfRule>
    <cfRule type="expression" dxfId="385" priority="7">
      <formula>$F2="02"</formula>
    </cfRule>
    <cfRule type="expression" dxfId="384" priority="9">
      <formula>$N2&gt;0</formula>
    </cfRule>
    <cfRule type="expression" dxfId="383" priority="10">
      <formula>OR($D2="03",$D2="06")</formula>
    </cfRule>
    <cfRule type="expression" dxfId="382" priority="13">
      <formula>$N2&gt;0</formula>
    </cfRule>
    <cfRule type="expression" dxfId="381" priority="14">
      <formula>OR($D2="03",$D2="06")</formula>
    </cfRule>
  </conditionalFormatting>
  <conditionalFormatting sqref="K1:K1048576 C1:C1048576 A1:A1048576 E1:E1048576 G1:I1048576">
    <cfRule type="expression" dxfId="380" priority="3">
      <formula>OR($L1=0,$L1="")</formula>
    </cfRule>
  </conditionalFormatting>
  <conditionalFormatting sqref="A2:N1501">
    <cfRule type="expression" dxfId="379" priority="1">
      <formula>AND($A2&lt;&gt;"",MONTH($A2)&lt;&gt;MONTH($A1))</formula>
    </cfRule>
  </conditionalFormatting>
  <dataValidations count="2">
    <dataValidation type="list" allowBlank="1" showInputMessage="1" showErrorMessage="1" sqref="C2:C1501">
      <formula1>事業所コード</formula1>
    </dataValidation>
    <dataValidation type="list" allowBlank="1" showInputMessage="1" showErrorMessage="1" sqref="E2:E1501">
      <formula1>事業区分コード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リスト!$J$2:$J$3</xm:f>
          </x14:formula1>
          <xm:sqref>G2:G1501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tabColor rgb="FF00FF99"/>
  </sheetPr>
  <dimension ref="A3:Y489"/>
  <sheetViews>
    <sheetView workbookViewId="0">
      <pane xSplit="3" ySplit="4" topLeftCell="O389" activePane="bottomRight" state="frozen"/>
      <selection activeCell="Y291" sqref="Y291"/>
      <selection pane="topRight" activeCell="Y291" sqref="Y291"/>
      <selection pane="bottomLeft" activeCell="Y291" sqref="Y291"/>
      <selection pane="bottomRight" activeCell="Y291" sqref="Y291"/>
    </sheetView>
  </sheetViews>
  <sheetFormatPr defaultRowHeight="13.5" x14ac:dyDescent="0.15"/>
  <cols>
    <col min="1" max="1" width="14.75" bestFit="1" customWidth="1"/>
    <col min="2" max="2" width="15" style="648" bestFit="1" customWidth="1"/>
    <col min="3" max="3" width="11.625" customWidth="1"/>
    <col min="4" max="4" width="13.25" customWidth="1"/>
    <col min="5" max="5" width="18.375" customWidth="1"/>
    <col min="6" max="6" width="17" customWidth="1"/>
    <col min="7" max="7" width="12.625" customWidth="1"/>
    <col min="8" max="8" width="17" customWidth="1"/>
    <col min="9" max="10" width="19.25" customWidth="1"/>
    <col min="11" max="11" width="14.875" customWidth="1"/>
    <col min="12" max="13" width="19.25" customWidth="1"/>
    <col min="14" max="14" width="21.5" customWidth="1"/>
    <col min="15" max="15" width="17" customWidth="1"/>
    <col min="16" max="16" width="19.25" customWidth="1"/>
    <col min="17" max="17" width="14.875" customWidth="1"/>
    <col min="18" max="18" width="24" customWidth="1"/>
    <col min="19" max="19" width="26.25" customWidth="1"/>
    <col min="20" max="20" width="24" customWidth="1"/>
    <col min="21" max="21" width="17" customWidth="1"/>
    <col min="22" max="23" width="19.25" customWidth="1"/>
    <col min="24" max="24" width="17" customWidth="1"/>
    <col min="25" max="25" width="23.125" customWidth="1"/>
  </cols>
  <sheetData>
    <row r="3" spans="1:25" x14ac:dyDescent="0.15">
      <c r="B3"/>
      <c r="D3" s="652" t="s">
        <v>603</v>
      </c>
    </row>
    <row r="4" spans="1:25" x14ac:dyDescent="0.15">
      <c r="A4" s="652" t="s">
        <v>591</v>
      </c>
      <c r="B4" s="655" t="s">
        <v>624</v>
      </c>
      <c r="C4" s="652" t="s">
        <v>593</v>
      </c>
      <c r="D4" t="s">
        <v>660</v>
      </c>
      <c r="E4" t="s">
        <v>661</v>
      </c>
      <c r="F4" t="s">
        <v>662</v>
      </c>
      <c r="G4" t="s">
        <v>663</v>
      </c>
      <c r="H4" t="s">
        <v>664</v>
      </c>
      <c r="I4" t="s">
        <v>665</v>
      </c>
      <c r="J4" t="s">
        <v>666</v>
      </c>
      <c r="K4" t="s">
        <v>667</v>
      </c>
      <c r="L4" t="s">
        <v>1342</v>
      </c>
      <c r="M4" t="s">
        <v>1343</v>
      </c>
      <c r="N4" t="s">
        <v>1229</v>
      </c>
      <c r="O4" t="s">
        <v>804</v>
      </c>
      <c r="P4" t="s">
        <v>1506</v>
      </c>
      <c r="Q4" t="s">
        <v>764</v>
      </c>
      <c r="R4" t="s">
        <v>1337</v>
      </c>
      <c r="S4" t="s">
        <v>1338</v>
      </c>
      <c r="T4" t="s">
        <v>1339</v>
      </c>
      <c r="U4" t="s">
        <v>763</v>
      </c>
      <c r="V4" t="s">
        <v>757</v>
      </c>
      <c r="W4" t="s">
        <v>758</v>
      </c>
      <c r="X4" t="s">
        <v>759</v>
      </c>
      <c r="Y4" t="s">
        <v>760</v>
      </c>
    </row>
    <row r="5" spans="1:25" x14ac:dyDescent="0.15">
      <c r="A5" s="653">
        <v>41275</v>
      </c>
      <c r="B5" t="s">
        <v>669</v>
      </c>
      <c r="C5" t="s">
        <v>659</v>
      </c>
      <c r="D5" s="654">
        <v>20850909</v>
      </c>
      <c r="E5" s="654">
        <v>6242835.75</v>
      </c>
      <c r="F5" s="654">
        <v>6477670</v>
      </c>
      <c r="G5" s="654">
        <v>0</v>
      </c>
      <c r="H5" s="654">
        <v>1450000</v>
      </c>
      <c r="I5" s="654">
        <v>1773850</v>
      </c>
      <c r="J5" s="654">
        <v>259000</v>
      </c>
      <c r="K5" s="654">
        <v>16203355.75</v>
      </c>
      <c r="L5" s="654">
        <v>4142805</v>
      </c>
      <c r="M5" s="654">
        <v>0</v>
      </c>
      <c r="N5" s="654">
        <v>4142805</v>
      </c>
      <c r="O5" s="654">
        <v>0</v>
      </c>
      <c r="P5" s="654">
        <v>0</v>
      </c>
      <c r="Q5" s="654">
        <v>0</v>
      </c>
      <c r="R5" s="654">
        <v>0</v>
      </c>
      <c r="S5" s="654">
        <v>0</v>
      </c>
      <c r="T5" s="654">
        <v>0</v>
      </c>
      <c r="U5" s="654">
        <v>0</v>
      </c>
      <c r="V5" s="654">
        <v>20603</v>
      </c>
      <c r="W5" s="654">
        <v>120027</v>
      </c>
      <c r="X5" s="654">
        <v>0</v>
      </c>
      <c r="Y5" s="654">
        <v>0</v>
      </c>
    </row>
    <row r="6" spans="1:25" x14ac:dyDescent="0.15">
      <c r="A6" s="653" t="s">
        <v>689</v>
      </c>
      <c r="B6"/>
      <c r="D6" s="654">
        <v>20850909</v>
      </c>
      <c r="E6" s="654">
        <v>6242835.75</v>
      </c>
      <c r="F6" s="654">
        <v>6477670</v>
      </c>
      <c r="G6" s="654">
        <v>0</v>
      </c>
      <c r="H6" s="654">
        <v>1450000</v>
      </c>
      <c r="I6" s="654">
        <v>1773850</v>
      </c>
      <c r="J6" s="654">
        <v>259000</v>
      </c>
      <c r="K6" s="654">
        <v>16203355.75</v>
      </c>
      <c r="L6" s="654">
        <v>4142805</v>
      </c>
      <c r="M6" s="654">
        <v>0</v>
      </c>
      <c r="N6" s="654">
        <v>4142805</v>
      </c>
      <c r="O6" s="654">
        <v>0</v>
      </c>
      <c r="P6" s="654">
        <v>0</v>
      </c>
      <c r="Q6" s="654">
        <v>0</v>
      </c>
      <c r="R6" s="654">
        <v>0</v>
      </c>
      <c r="S6" s="654">
        <v>0</v>
      </c>
      <c r="T6" s="654">
        <v>0</v>
      </c>
      <c r="U6" s="654">
        <v>0</v>
      </c>
      <c r="V6" s="654">
        <v>20603</v>
      </c>
      <c r="W6" s="654">
        <v>120027</v>
      </c>
      <c r="X6" s="654">
        <v>0</v>
      </c>
      <c r="Y6" s="654">
        <v>0</v>
      </c>
    </row>
    <row r="7" spans="1:25" x14ac:dyDescent="0.15">
      <c r="A7" s="653">
        <v>41306</v>
      </c>
      <c r="B7" t="s">
        <v>669</v>
      </c>
      <c r="C7" t="s">
        <v>659</v>
      </c>
      <c r="D7" s="654">
        <v>23850202</v>
      </c>
      <c r="E7" s="654">
        <v>6245692</v>
      </c>
      <c r="F7" s="654">
        <v>6628474</v>
      </c>
      <c r="G7" s="654">
        <v>0</v>
      </c>
      <c r="H7" s="654">
        <v>1450000</v>
      </c>
      <c r="I7" s="654">
        <v>1002190</v>
      </c>
      <c r="J7" s="654">
        <v>89000</v>
      </c>
      <c r="K7" s="654">
        <v>15415356</v>
      </c>
      <c r="L7" s="654">
        <v>5754517</v>
      </c>
      <c r="M7" s="654">
        <v>0</v>
      </c>
      <c r="N7" s="654">
        <v>5754517</v>
      </c>
      <c r="O7" s="654">
        <v>0</v>
      </c>
      <c r="P7" s="654">
        <v>0</v>
      </c>
      <c r="Q7" s="654">
        <v>0</v>
      </c>
      <c r="R7" s="654">
        <v>0</v>
      </c>
      <c r="S7" s="654">
        <v>0</v>
      </c>
      <c r="T7" s="654">
        <v>0</v>
      </c>
      <c r="U7" s="654">
        <v>0</v>
      </c>
      <c r="V7" s="654">
        <v>0</v>
      </c>
      <c r="W7" s="654">
        <v>130000</v>
      </c>
      <c r="X7" s="654">
        <v>0</v>
      </c>
      <c r="Y7" s="654">
        <v>0</v>
      </c>
    </row>
    <row r="8" spans="1:25" x14ac:dyDescent="0.15">
      <c r="A8" s="653" t="s">
        <v>690</v>
      </c>
      <c r="B8"/>
      <c r="D8" s="654">
        <v>23850202</v>
      </c>
      <c r="E8" s="654">
        <v>6245692</v>
      </c>
      <c r="F8" s="654">
        <v>6628474</v>
      </c>
      <c r="G8" s="654">
        <v>0</v>
      </c>
      <c r="H8" s="654">
        <v>1450000</v>
      </c>
      <c r="I8" s="654">
        <v>1002190</v>
      </c>
      <c r="J8" s="654">
        <v>89000</v>
      </c>
      <c r="K8" s="654">
        <v>15415356</v>
      </c>
      <c r="L8" s="654">
        <v>5754517</v>
      </c>
      <c r="M8" s="654">
        <v>0</v>
      </c>
      <c r="N8" s="654">
        <v>5754517</v>
      </c>
      <c r="O8" s="654">
        <v>0</v>
      </c>
      <c r="P8" s="654">
        <v>0</v>
      </c>
      <c r="Q8" s="654">
        <v>0</v>
      </c>
      <c r="R8" s="654">
        <v>0</v>
      </c>
      <c r="S8" s="654">
        <v>0</v>
      </c>
      <c r="T8" s="654">
        <v>0</v>
      </c>
      <c r="U8" s="654">
        <v>0</v>
      </c>
      <c r="V8" s="654">
        <v>0</v>
      </c>
      <c r="W8" s="654">
        <v>130000</v>
      </c>
      <c r="X8" s="654">
        <v>0</v>
      </c>
      <c r="Y8" s="654">
        <v>0</v>
      </c>
    </row>
    <row r="9" spans="1:25" x14ac:dyDescent="0.15">
      <c r="A9" s="653">
        <v>41334</v>
      </c>
      <c r="B9" t="s">
        <v>669</v>
      </c>
      <c r="C9" t="s">
        <v>659</v>
      </c>
      <c r="D9" s="654">
        <v>24110559</v>
      </c>
      <c r="E9" s="654">
        <v>6719726</v>
      </c>
      <c r="F9" s="654">
        <v>6581415</v>
      </c>
      <c r="G9" s="654">
        <v>0</v>
      </c>
      <c r="H9" s="654">
        <v>1450000</v>
      </c>
      <c r="I9" s="654">
        <v>1041144</v>
      </c>
      <c r="J9" s="654">
        <v>29000</v>
      </c>
      <c r="K9" s="654">
        <v>15821285</v>
      </c>
      <c r="L9" s="654">
        <v>5134961</v>
      </c>
      <c r="M9" s="654">
        <v>0</v>
      </c>
      <c r="N9" s="654">
        <v>5134961</v>
      </c>
      <c r="O9" s="654">
        <v>0</v>
      </c>
      <c r="P9" s="654">
        <v>0</v>
      </c>
      <c r="Q9" s="654">
        <v>0</v>
      </c>
      <c r="R9" s="654">
        <v>0</v>
      </c>
      <c r="S9" s="654">
        <v>0</v>
      </c>
      <c r="T9" s="654">
        <v>0</v>
      </c>
      <c r="U9" s="654">
        <v>0</v>
      </c>
      <c r="V9" s="654">
        <v>312139</v>
      </c>
      <c r="W9" s="654">
        <v>260412</v>
      </c>
      <c r="X9" s="654">
        <v>0</v>
      </c>
      <c r="Y9" s="654">
        <v>0</v>
      </c>
    </row>
    <row r="10" spans="1:25" x14ac:dyDescent="0.15">
      <c r="A10" s="653" t="s">
        <v>691</v>
      </c>
      <c r="B10"/>
      <c r="D10" s="654">
        <v>24110559</v>
      </c>
      <c r="E10" s="654">
        <v>6719726</v>
      </c>
      <c r="F10" s="654">
        <v>6581415</v>
      </c>
      <c r="G10" s="654">
        <v>0</v>
      </c>
      <c r="H10" s="654">
        <v>1450000</v>
      </c>
      <c r="I10" s="654">
        <v>1041144</v>
      </c>
      <c r="J10" s="654">
        <v>29000</v>
      </c>
      <c r="K10" s="654">
        <v>15821285</v>
      </c>
      <c r="L10" s="654">
        <v>5134961</v>
      </c>
      <c r="M10" s="654">
        <v>0</v>
      </c>
      <c r="N10" s="654">
        <v>5134961</v>
      </c>
      <c r="O10" s="654">
        <v>0</v>
      </c>
      <c r="P10" s="654">
        <v>0</v>
      </c>
      <c r="Q10" s="654">
        <v>0</v>
      </c>
      <c r="R10" s="654">
        <v>0</v>
      </c>
      <c r="S10" s="654">
        <v>0</v>
      </c>
      <c r="T10" s="654">
        <v>0</v>
      </c>
      <c r="U10" s="654">
        <v>0</v>
      </c>
      <c r="V10" s="654">
        <v>312139</v>
      </c>
      <c r="W10" s="654">
        <v>260412</v>
      </c>
      <c r="X10" s="654">
        <v>0</v>
      </c>
      <c r="Y10" s="654">
        <v>0</v>
      </c>
    </row>
    <row r="11" spans="1:25" x14ac:dyDescent="0.15">
      <c r="A11" s="653">
        <v>41365</v>
      </c>
      <c r="B11" t="s">
        <v>669</v>
      </c>
      <c r="C11" t="s">
        <v>659</v>
      </c>
      <c r="D11" s="654">
        <v>22717803</v>
      </c>
      <c r="E11" s="654">
        <v>6664178</v>
      </c>
      <c r="F11" s="654">
        <v>6486233</v>
      </c>
      <c r="G11" s="654">
        <v>0</v>
      </c>
      <c r="H11" s="654">
        <v>1450000</v>
      </c>
      <c r="I11" s="654">
        <v>1069507</v>
      </c>
      <c r="J11" s="654">
        <v>44000</v>
      </c>
      <c r="K11" s="654">
        <v>15713918</v>
      </c>
      <c r="L11" s="654">
        <v>5142786</v>
      </c>
      <c r="M11" s="654">
        <v>0</v>
      </c>
      <c r="N11" s="654">
        <v>5142786</v>
      </c>
      <c r="O11" s="654">
        <v>0</v>
      </c>
      <c r="P11" s="654">
        <v>0</v>
      </c>
      <c r="Q11" s="654">
        <v>0</v>
      </c>
      <c r="R11" s="654">
        <v>0</v>
      </c>
      <c r="S11" s="654">
        <v>0</v>
      </c>
      <c r="T11" s="654">
        <v>0</v>
      </c>
      <c r="U11" s="654">
        <v>0</v>
      </c>
      <c r="V11" s="654">
        <v>11245</v>
      </c>
      <c r="W11" s="654">
        <v>137991</v>
      </c>
      <c r="X11" s="654">
        <v>0</v>
      </c>
      <c r="Y11" s="654">
        <v>0</v>
      </c>
    </row>
    <row r="12" spans="1:25" x14ac:dyDescent="0.15">
      <c r="A12" s="653" t="s">
        <v>692</v>
      </c>
      <c r="B12"/>
      <c r="D12" s="654">
        <v>22717803</v>
      </c>
      <c r="E12" s="654">
        <v>6664178</v>
      </c>
      <c r="F12" s="654">
        <v>6486233</v>
      </c>
      <c r="G12" s="654">
        <v>0</v>
      </c>
      <c r="H12" s="654">
        <v>1450000</v>
      </c>
      <c r="I12" s="654">
        <v>1069507</v>
      </c>
      <c r="J12" s="654">
        <v>44000</v>
      </c>
      <c r="K12" s="654">
        <v>15713918</v>
      </c>
      <c r="L12" s="654">
        <v>5142786</v>
      </c>
      <c r="M12" s="654">
        <v>0</v>
      </c>
      <c r="N12" s="654">
        <v>5142786</v>
      </c>
      <c r="O12" s="654">
        <v>0</v>
      </c>
      <c r="P12" s="654">
        <v>0</v>
      </c>
      <c r="Q12" s="654">
        <v>0</v>
      </c>
      <c r="R12" s="654">
        <v>0</v>
      </c>
      <c r="S12" s="654">
        <v>0</v>
      </c>
      <c r="T12" s="654">
        <v>0</v>
      </c>
      <c r="U12" s="654">
        <v>0</v>
      </c>
      <c r="V12" s="654">
        <v>11245</v>
      </c>
      <c r="W12" s="654">
        <v>137991</v>
      </c>
      <c r="X12" s="654">
        <v>0</v>
      </c>
      <c r="Y12" s="654">
        <v>0</v>
      </c>
    </row>
    <row r="13" spans="1:25" x14ac:dyDescent="0.15">
      <c r="A13" s="653">
        <v>41395</v>
      </c>
      <c r="B13" t="s">
        <v>669</v>
      </c>
      <c r="C13" t="s">
        <v>659</v>
      </c>
      <c r="D13" s="654">
        <v>22647926</v>
      </c>
      <c r="E13" s="654">
        <v>7015709</v>
      </c>
      <c r="F13" s="654">
        <v>6473747</v>
      </c>
      <c r="G13" s="654">
        <v>0</v>
      </c>
      <c r="H13" s="654">
        <v>1450000</v>
      </c>
      <c r="I13" s="654">
        <v>1090702.9999999998</v>
      </c>
      <c r="J13" s="654">
        <v>53000</v>
      </c>
      <c r="K13" s="654">
        <v>16083159</v>
      </c>
      <c r="L13" s="654">
        <v>6880931</v>
      </c>
      <c r="M13" s="654">
        <v>0</v>
      </c>
      <c r="N13" s="654">
        <v>6880931</v>
      </c>
      <c r="O13" s="654">
        <v>0</v>
      </c>
      <c r="P13" s="654">
        <v>0</v>
      </c>
      <c r="Q13" s="654">
        <v>0</v>
      </c>
      <c r="R13" s="654">
        <v>0</v>
      </c>
      <c r="S13" s="654">
        <v>0</v>
      </c>
      <c r="T13" s="654">
        <v>0</v>
      </c>
      <c r="U13" s="654">
        <v>0</v>
      </c>
      <c r="V13" s="654">
        <v>9290</v>
      </c>
      <c r="W13" s="654">
        <v>144149</v>
      </c>
      <c r="X13" s="654">
        <v>0</v>
      </c>
      <c r="Y13" s="654">
        <v>0</v>
      </c>
    </row>
    <row r="14" spans="1:25" x14ac:dyDescent="0.15">
      <c r="A14" s="653" t="s">
        <v>693</v>
      </c>
      <c r="B14"/>
      <c r="D14" s="654">
        <v>22647926</v>
      </c>
      <c r="E14" s="654">
        <v>7015709</v>
      </c>
      <c r="F14" s="654">
        <v>6473747</v>
      </c>
      <c r="G14" s="654">
        <v>0</v>
      </c>
      <c r="H14" s="654">
        <v>1450000</v>
      </c>
      <c r="I14" s="654">
        <v>1090702.9999999998</v>
      </c>
      <c r="J14" s="654">
        <v>53000</v>
      </c>
      <c r="K14" s="654">
        <v>16083159</v>
      </c>
      <c r="L14" s="654">
        <v>6880931</v>
      </c>
      <c r="M14" s="654">
        <v>0</v>
      </c>
      <c r="N14" s="654">
        <v>6880931</v>
      </c>
      <c r="O14" s="654">
        <v>0</v>
      </c>
      <c r="P14" s="654">
        <v>0</v>
      </c>
      <c r="Q14" s="654">
        <v>0</v>
      </c>
      <c r="R14" s="654">
        <v>0</v>
      </c>
      <c r="S14" s="654">
        <v>0</v>
      </c>
      <c r="T14" s="654">
        <v>0</v>
      </c>
      <c r="U14" s="654">
        <v>0</v>
      </c>
      <c r="V14" s="654">
        <v>9290</v>
      </c>
      <c r="W14" s="654">
        <v>144149</v>
      </c>
      <c r="X14" s="654">
        <v>0</v>
      </c>
      <c r="Y14" s="654">
        <v>0</v>
      </c>
    </row>
    <row r="15" spans="1:25" x14ac:dyDescent="0.15">
      <c r="A15" s="653">
        <v>41426</v>
      </c>
      <c r="B15" t="s">
        <v>669</v>
      </c>
      <c r="C15" t="s">
        <v>659</v>
      </c>
      <c r="D15" s="654">
        <v>21703778</v>
      </c>
      <c r="E15" s="654">
        <v>6815323.5</v>
      </c>
      <c r="F15" s="654">
        <v>6156786</v>
      </c>
      <c r="G15" s="654">
        <v>3170000</v>
      </c>
      <c r="H15" s="654">
        <v>1450000</v>
      </c>
      <c r="I15" s="654">
        <v>638758.99999999988</v>
      </c>
      <c r="J15" s="654">
        <v>77000</v>
      </c>
      <c r="K15" s="654">
        <v>18307868.5</v>
      </c>
      <c r="L15" s="654">
        <v>5071386</v>
      </c>
      <c r="M15" s="654">
        <v>0</v>
      </c>
      <c r="N15" s="654">
        <v>5071386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v>0</v>
      </c>
      <c r="U15" s="654">
        <v>0</v>
      </c>
      <c r="V15" s="654">
        <v>17473</v>
      </c>
      <c r="W15" s="654">
        <v>145371</v>
      </c>
      <c r="X15" s="654">
        <v>0</v>
      </c>
      <c r="Y15" s="654">
        <v>0</v>
      </c>
    </row>
    <row r="16" spans="1:25" x14ac:dyDescent="0.15">
      <c r="A16" s="653" t="s">
        <v>694</v>
      </c>
      <c r="B16"/>
      <c r="D16" s="654">
        <v>21703778</v>
      </c>
      <c r="E16" s="654">
        <v>6815323.5</v>
      </c>
      <c r="F16" s="654">
        <v>6156786</v>
      </c>
      <c r="G16" s="654">
        <v>3170000</v>
      </c>
      <c r="H16" s="654">
        <v>1450000</v>
      </c>
      <c r="I16" s="654">
        <v>638758.99999999988</v>
      </c>
      <c r="J16" s="654">
        <v>77000</v>
      </c>
      <c r="K16" s="654">
        <v>18307868.5</v>
      </c>
      <c r="L16" s="654">
        <v>5071386</v>
      </c>
      <c r="M16" s="654">
        <v>0</v>
      </c>
      <c r="N16" s="654">
        <v>5071386</v>
      </c>
      <c r="O16" s="654">
        <v>0</v>
      </c>
      <c r="P16" s="654">
        <v>0</v>
      </c>
      <c r="Q16" s="654">
        <v>0</v>
      </c>
      <c r="R16" s="654">
        <v>0</v>
      </c>
      <c r="S16" s="654">
        <v>0</v>
      </c>
      <c r="T16" s="654">
        <v>0</v>
      </c>
      <c r="U16" s="654">
        <v>0</v>
      </c>
      <c r="V16" s="654">
        <v>17473</v>
      </c>
      <c r="W16" s="654">
        <v>145371</v>
      </c>
      <c r="X16" s="654">
        <v>0</v>
      </c>
      <c r="Y16" s="654">
        <v>0</v>
      </c>
    </row>
    <row r="17" spans="1:25" x14ac:dyDescent="0.15">
      <c r="A17" s="653">
        <v>41456</v>
      </c>
      <c r="B17" t="s">
        <v>669</v>
      </c>
      <c r="C17" t="s">
        <v>659</v>
      </c>
      <c r="D17" s="654">
        <v>22632729</v>
      </c>
      <c r="E17" s="654">
        <v>6682092.5</v>
      </c>
      <c r="F17" s="654">
        <v>6608156</v>
      </c>
      <c r="G17" s="654">
        <v>400000</v>
      </c>
      <c r="H17" s="654">
        <v>1450000</v>
      </c>
      <c r="I17" s="654">
        <v>1007254.9999999999</v>
      </c>
      <c r="J17" s="654">
        <v>305000</v>
      </c>
      <c r="K17" s="654">
        <v>16452503.5</v>
      </c>
      <c r="L17" s="654">
        <v>5048291</v>
      </c>
      <c r="M17" s="654">
        <v>0</v>
      </c>
      <c r="N17" s="654">
        <v>5048291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v>0</v>
      </c>
      <c r="U17" s="654">
        <v>0</v>
      </c>
      <c r="V17" s="654">
        <v>11788</v>
      </c>
      <c r="W17" s="654">
        <v>144664</v>
      </c>
      <c r="X17" s="654">
        <v>0</v>
      </c>
      <c r="Y17" s="654">
        <v>0</v>
      </c>
    </row>
    <row r="18" spans="1:25" x14ac:dyDescent="0.15">
      <c r="A18" s="653" t="s">
        <v>695</v>
      </c>
      <c r="B18"/>
      <c r="D18" s="654">
        <v>22632729</v>
      </c>
      <c r="E18" s="654">
        <v>6682092.5</v>
      </c>
      <c r="F18" s="654">
        <v>6608156</v>
      </c>
      <c r="G18" s="654">
        <v>400000</v>
      </c>
      <c r="H18" s="654">
        <v>1450000</v>
      </c>
      <c r="I18" s="654">
        <v>1007254.9999999999</v>
      </c>
      <c r="J18" s="654">
        <v>305000</v>
      </c>
      <c r="K18" s="654">
        <v>16452503.5</v>
      </c>
      <c r="L18" s="654">
        <v>5048291</v>
      </c>
      <c r="M18" s="654">
        <v>0</v>
      </c>
      <c r="N18" s="654">
        <v>5048291</v>
      </c>
      <c r="O18" s="654">
        <v>0</v>
      </c>
      <c r="P18" s="654">
        <v>0</v>
      </c>
      <c r="Q18" s="654">
        <v>0</v>
      </c>
      <c r="R18" s="654">
        <v>0</v>
      </c>
      <c r="S18" s="654">
        <v>0</v>
      </c>
      <c r="T18" s="654">
        <v>0</v>
      </c>
      <c r="U18" s="654">
        <v>0</v>
      </c>
      <c r="V18" s="654">
        <v>11788</v>
      </c>
      <c r="W18" s="654">
        <v>144664</v>
      </c>
      <c r="X18" s="654">
        <v>0</v>
      </c>
      <c r="Y18" s="654">
        <v>0</v>
      </c>
    </row>
    <row r="19" spans="1:25" x14ac:dyDescent="0.15">
      <c r="A19" s="653">
        <v>41487</v>
      </c>
      <c r="B19" t="s">
        <v>669</v>
      </c>
      <c r="C19" t="s">
        <v>659</v>
      </c>
      <c r="D19" s="654">
        <v>21599961</v>
      </c>
      <c r="E19" s="654">
        <v>6646631</v>
      </c>
      <c r="F19" s="654">
        <v>7187253</v>
      </c>
      <c r="G19" s="654">
        <v>0</v>
      </c>
      <c r="H19" s="654">
        <v>1450000</v>
      </c>
      <c r="I19" s="654">
        <v>2934172.0000000005</v>
      </c>
      <c r="J19" s="654">
        <v>27000</v>
      </c>
      <c r="K19" s="654">
        <v>18245056</v>
      </c>
      <c r="L19" s="654">
        <v>4530764</v>
      </c>
      <c r="M19" s="654">
        <v>0</v>
      </c>
      <c r="N19" s="654">
        <v>4530764</v>
      </c>
      <c r="O19" s="654">
        <v>0</v>
      </c>
      <c r="P19" s="654">
        <v>0</v>
      </c>
      <c r="Q19" s="654">
        <v>0</v>
      </c>
      <c r="R19" s="654">
        <v>0</v>
      </c>
      <c r="S19" s="654">
        <v>0</v>
      </c>
      <c r="T19" s="654">
        <v>0</v>
      </c>
      <c r="U19" s="654">
        <v>0</v>
      </c>
      <c r="V19" s="654">
        <v>6331</v>
      </c>
      <c r="W19" s="654">
        <v>141805</v>
      </c>
      <c r="X19" s="654">
        <v>0</v>
      </c>
      <c r="Y19" s="654">
        <v>0</v>
      </c>
    </row>
    <row r="20" spans="1:25" x14ac:dyDescent="0.15">
      <c r="A20" s="653" t="s">
        <v>696</v>
      </c>
      <c r="B20"/>
      <c r="D20" s="654">
        <v>21599961</v>
      </c>
      <c r="E20" s="654">
        <v>6646631</v>
      </c>
      <c r="F20" s="654">
        <v>7187253</v>
      </c>
      <c r="G20" s="654">
        <v>0</v>
      </c>
      <c r="H20" s="654">
        <v>1450000</v>
      </c>
      <c r="I20" s="654">
        <v>2934172.0000000005</v>
      </c>
      <c r="J20" s="654">
        <v>27000</v>
      </c>
      <c r="K20" s="654">
        <v>18245056</v>
      </c>
      <c r="L20" s="654">
        <v>4530764</v>
      </c>
      <c r="M20" s="654">
        <v>0</v>
      </c>
      <c r="N20" s="654">
        <v>4530764</v>
      </c>
      <c r="O20" s="654">
        <v>0</v>
      </c>
      <c r="P20" s="654">
        <v>0</v>
      </c>
      <c r="Q20" s="654">
        <v>0</v>
      </c>
      <c r="R20" s="654">
        <v>0</v>
      </c>
      <c r="S20" s="654">
        <v>0</v>
      </c>
      <c r="T20" s="654">
        <v>0</v>
      </c>
      <c r="U20" s="654">
        <v>0</v>
      </c>
      <c r="V20" s="654">
        <v>6331</v>
      </c>
      <c r="W20" s="654">
        <v>141805</v>
      </c>
      <c r="X20" s="654">
        <v>0</v>
      </c>
      <c r="Y20" s="654">
        <v>0</v>
      </c>
    </row>
    <row r="21" spans="1:25" x14ac:dyDescent="0.15">
      <c r="A21" s="653">
        <v>41518</v>
      </c>
      <c r="B21" t="s">
        <v>669</v>
      </c>
      <c r="C21" t="s">
        <v>659</v>
      </c>
      <c r="D21" s="654">
        <v>20926208</v>
      </c>
      <c r="E21" s="654">
        <v>6674381</v>
      </c>
      <c r="F21" s="654">
        <v>7207910</v>
      </c>
      <c r="G21" s="654">
        <v>0</v>
      </c>
      <c r="H21" s="654">
        <v>1450000</v>
      </c>
      <c r="I21" s="654">
        <v>1254030</v>
      </c>
      <c r="J21" s="654">
        <v>40618</v>
      </c>
      <c r="K21" s="654">
        <v>16626939</v>
      </c>
      <c r="L21" s="654">
        <v>4934962</v>
      </c>
      <c r="M21" s="654">
        <v>0</v>
      </c>
      <c r="N21" s="654">
        <v>4934962</v>
      </c>
      <c r="O21" s="654">
        <v>0</v>
      </c>
      <c r="P21" s="654">
        <v>0</v>
      </c>
      <c r="Q21" s="654">
        <v>0</v>
      </c>
      <c r="R21" s="654">
        <v>0</v>
      </c>
      <c r="S21" s="654">
        <v>0</v>
      </c>
      <c r="T21" s="654">
        <v>0</v>
      </c>
      <c r="U21" s="654">
        <v>0</v>
      </c>
      <c r="V21" s="654">
        <v>9863</v>
      </c>
      <c r="W21" s="654">
        <v>141457</v>
      </c>
      <c r="X21" s="654">
        <v>0</v>
      </c>
      <c r="Y21" s="654">
        <v>0</v>
      </c>
    </row>
    <row r="22" spans="1:25" x14ac:dyDescent="0.15">
      <c r="A22" s="653" t="s">
        <v>697</v>
      </c>
      <c r="B22"/>
      <c r="D22" s="654">
        <v>20926208</v>
      </c>
      <c r="E22" s="654">
        <v>6674381</v>
      </c>
      <c r="F22" s="654">
        <v>7207910</v>
      </c>
      <c r="G22" s="654">
        <v>0</v>
      </c>
      <c r="H22" s="654">
        <v>1450000</v>
      </c>
      <c r="I22" s="654">
        <v>1254030</v>
      </c>
      <c r="J22" s="654">
        <v>40618</v>
      </c>
      <c r="K22" s="654">
        <v>16626939</v>
      </c>
      <c r="L22" s="654">
        <v>4934962</v>
      </c>
      <c r="M22" s="654">
        <v>0</v>
      </c>
      <c r="N22" s="654">
        <v>4934962</v>
      </c>
      <c r="O22" s="654">
        <v>0</v>
      </c>
      <c r="P22" s="654">
        <v>0</v>
      </c>
      <c r="Q22" s="654">
        <v>0</v>
      </c>
      <c r="R22" s="654">
        <v>0</v>
      </c>
      <c r="S22" s="654">
        <v>0</v>
      </c>
      <c r="T22" s="654">
        <v>0</v>
      </c>
      <c r="U22" s="654">
        <v>0</v>
      </c>
      <c r="V22" s="654">
        <v>9863</v>
      </c>
      <c r="W22" s="654">
        <v>141457</v>
      </c>
      <c r="X22" s="654">
        <v>0</v>
      </c>
      <c r="Y22" s="654">
        <v>0</v>
      </c>
    </row>
    <row r="23" spans="1:25" x14ac:dyDescent="0.15">
      <c r="A23" s="653">
        <v>41548</v>
      </c>
      <c r="B23" t="s">
        <v>669</v>
      </c>
      <c r="C23" t="s">
        <v>659</v>
      </c>
      <c r="D23" s="654">
        <v>22734148</v>
      </c>
      <c r="E23" s="654">
        <v>6685387.5</v>
      </c>
      <c r="F23" s="654">
        <v>7431631</v>
      </c>
      <c r="G23" s="654">
        <v>0</v>
      </c>
      <c r="H23" s="654">
        <v>950000</v>
      </c>
      <c r="I23" s="654">
        <v>1375334</v>
      </c>
      <c r="J23" s="654">
        <v>59614</v>
      </c>
      <c r="K23" s="654">
        <v>16501966.5</v>
      </c>
      <c r="L23" s="654">
        <v>5667773</v>
      </c>
      <c r="M23" s="654">
        <v>0</v>
      </c>
      <c r="N23" s="654">
        <v>5667773</v>
      </c>
      <c r="O23" s="654">
        <v>0</v>
      </c>
      <c r="P23" s="654">
        <v>0</v>
      </c>
      <c r="Q23" s="654">
        <v>0</v>
      </c>
      <c r="R23" s="654">
        <v>0</v>
      </c>
      <c r="S23" s="654">
        <v>0</v>
      </c>
      <c r="T23" s="654">
        <v>0</v>
      </c>
      <c r="U23" s="654">
        <v>0</v>
      </c>
      <c r="V23" s="654">
        <v>28725</v>
      </c>
      <c r="W23" s="654">
        <v>128236</v>
      </c>
      <c r="X23" s="654">
        <v>0</v>
      </c>
      <c r="Y23" s="654">
        <v>0</v>
      </c>
    </row>
    <row r="24" spans="1:25" x14ac:dyDescent="0.15">
      <c r="A24" s="653" t="s">
        <v>698</v>
      </c>
      <c r="B24"/>
      <c r="D24" s="654">
        <v>22734148</v>
      </c>
      <c r="E24" s="654">
        <v>6685387.5</v>
      </c>
      <c r="F24" s="654">
        <v>7431631</v>
      </c>
      <c r="G24" s="654">
        <v>0</v>
      </c>
      <c r="H24" s="654">
        <v>950000</v>
      </c>
      <c r="I24" s="654">
        <v>1375334</v>
      </c>
      <c r="J24" s="654">
        <v>59614</v>
      </c>
      <c r="K24" s="654">
        <v>16501966.5</v>
      </c>
      <c r="L24" s="654">
        <v>5667773</v>
      </c>
      <c r="M24" s="654">
        <v>0</v>
      </c>
      <c r="N24" s="654">
        <v>5667773</v>
      </c>
      <c r="O24" s="654">
        <v>0</v>
      </c>
      <c r="P24" s="654">
        <v>0</v>
      </c>
      <c r="Q24" s="654">
        <v>0</v>
      </c>
      <c r="R24" s="654">
        <v>0</v>
      </c>
      <c r="S24" s="654">
        <v>0</v>
      </c>
      <c r="T24" s="654">
        <v>0</v>
      </c>
      <c r="U24" s="654">
        <v>0</v>
      </c>
      <c r="V24" s="654">
        <v>28725</v>
      </c>
      <c r="W24" s="654">
        <v>128236</v>
      </c>
      <c r="X24" s="654">
        <v>0</v>
      </c>
      <c r="Y24" s="654">
        <v>0</v>
      </c>
    </row>
    <row r="25" spans="1:25" x14ac:dyDescent="0.15">
      <c r="A25" s="653">
        <v>41579</v>
      </c>
      <c r="B25" t="s">
        <v>669</v>
      </c>
      <c r="C25" t="s">
        <v>659</v>
      </c>
      <c r="D25" s="654">
        <v>24174974</v>
      </c>
      <c r="E25" s="654">
        <v>6736444</v>
      </c>
      <c r="F25" s="654">
        <v>7708049</v>
      </c>
      <c r="G25" s="654">
        <v>0</v>
      </c>
      <c r="H25" s="654">
        <v>855000</v>
      </c>
      <c r="I25" s="654">
        <v>1275853</v>
      </c>
      <c r="J25" s="654">
        <v>8596</v>
      </c>
      <c r="K25" s="654">
        <v>16583942</v>
      </c>
      <c r="L25" s="654">
        <v>5027612</v>
      </c>
      <c r="M25" s="654">
        <v>0</v>
      </c>
      <c r="N25" s="654">
        <v>5027612</v>
      </c>
      <c r="O25" s="654">
        <v>0</v>
      </c>
      <c r="P25" s="654">
        <v>0</v>
      </c>
      <c r="Q25" s="654">
        <v>0</v>
      </c>
      <c r="R25" s="654">
        <v>0</v>
      </c>
      <c r="S25" s="654">
        <v>0</v>
      </c>
      <c r="T25" s="654">
        <v>0</v>
      </c>
      <c r="U25" s="654">
        <v>0</v>
      </c>
      <c r="V25" s="654">
        <v>6704</v>
      </c>
      <c r="W25" s="654">
        <v>143170</v>
      </c>
      <c r="X25" s="654">
        <v>0</v>
      </c>
      <c r="Y25" s="654">
        <v>0</v>
      </c>
    </row>
    <row r="26" spans="1:25" x14ac:dyDescent="0.15">
      <c r="A26" s="653" t="s">
        <v>699</v>
      </c>
      <c r="B26"/>
      <c r="D26" s="654">
        <v>24174974</v>
      </c>
      <c r="E26" s="654">
        <v>6736444</v>
      </c>
      <c r="F26" s="654">
        <v>7708049</v>
      </c>
      <c r="G26" s="654">
        <v>0</v>
      </c>
      <c r="H26" s="654">
        <v>855000</v>
      </c>
      <c r="I26" s="654">
        <v>1275853</v>
      </c>
      <c r="J26" s="654">
        <v>8596</v>
      </c>
      <c r="K26" s="654">
        <v>16583942</v>
      </c>
      <c r="L26" s="654">
        <v>5027612</v>
      </c>
      <c r="M26" s="654">
        <v>0</v>
      </c>
      <c r="N26" s="654">
        <v>5027612</v>
      </c>
      <c r="O26" s="654">
        <v>0</v>
      </c>
      <c r="P26" s="654">
        <v>0</v>
      </c>
      <c r="Q26" s="654">
        <v>0</v>
      </c>
      <c r="R26" s="654">
        <v>0</v>
      </c>
      <c r="S26" s="654">
        <v>0</v>
      </c>
      <c r="T26" s="654">
        <v>0</v>
      </c>
      <c r="U26" s="654">
        <v>0</v>
      </c>
      <c r="V26" s="654">
        <v>6704</v>
      </c>
      <c r="W26" s="654">
        <v>143170</v>
      </c>
      <c r="X26" s="654">
        <v>0</v>
      </c>
      <c r="Y26" s="654">
        <v>0</v>
      </c>
    </row>
    <row r="27" spans="1:25" x14ac:dyDescent="0.15">
      <c r="A27" s="653">
        <v>41609</v>
      </c>
      <c r="B27" t="s">
        <v>669</v>
      </c>
      <c r="C27" t="s">
        <v>659</v>
      </c>
      <c r="D27" s="654">
        <v>23270414</v>
      </c>
      <c r="E27" s="654">
        <v>6895286</v>
      </c>
      <c r="F27" s="654">
        <v>7515773</v>
      </c>
      <c r="G27" s="654">
        <v>2060000</v>
      </c>
      <c r="H27" s="654">
        <v>855000</v>
      </c>
      <c r="I27" s="654">
        <v>984592</v>
      </c>
      <c r="J27" s="654">
        <v>69644</v>
      </c>
      <c r="K27" s="654">
        <v>18380295</v>
      </c>
      <c r="L27" s="654">
        <v>6111667</v>
      </c>
      <c r="M27" s="654">
        <v>0</v>
      </c>
      <c r="N27" s="654">
        <v>6111667</v>
      </c>
      <c r="O27" s="654">
        <v>0</v>
      </c>
      <c r="P27" s="654">
        <v>0</v>
      </c>
      <c r="Q27" s="654">
        <v>0</v>
      </c>
      <c r="R27" s="654">
        <v>0</v>
      </c>
      <c r="S27" s="654">
        <v>0</v>
      </c>
      <c r="T27" s="654">
        <v>0</v>
      </c>
      <c r="U27" s="654">
        <v>0</v>
      </c>
      <c r="V27" s="654">
        <v>5234</v>
      </c>
      <c r="W27" s="654">
        <v>162974</v>
      </c>
      <c r="X27" s="654">
        <v>0</v>
      </c>
      <c r="Y27" s="654">
        <v>0</v>
      </c>
    </row>
    <row r="28" spans="1:25" x14ac:dyDescent="0.15">
      <c r="A28" s="653" t="s">
        <v>700</v>
      </c>
      <c r="B28"/>
      <c r="D28" s="654">
        <v>23270414</v>
      </c>
      <c r="E28" s="654">
        <v>6895286</v>
      </c>
      <c r="F28" s="654">
        <v>7515773</v>
      </c>
      <c r="G28" s="654">
        <v>2060000</v>
      </c>
      <c r="H28" s="654">
        <v>855000</v>
      </c>
      <c r="I28" s="654">
        <v>984592</v>
      </c>
      <c r="J28" s="654">
        <v>69644</v>
      </c>
      <c r="K28" s="654">
        <v>18380295</v>
      </c>
      <c r="L28" s="654">
        <v>6111667</v>
      </c>
      <c r="M28" s="654">
        <v>0</v>
      </c>
      <c r="N28" s="654">
        <v>6111667</v>
      </c>
      <c r="O28" s="654">
        <v>0</v>
      </c>
      <c r="P28" s="654">
        <v>0</v>
      </c>
      <c r="Q28" s="654">
        <v>0</v>
      </c>
      <c r="R28" s="654">
        <v>0</v>
      </c>
      <c r="S28" s="654">
        <v>0</v>
      </c>
      <c r="T28" s="654">
        <v>0</v>
      </c>
      <c r="U28" s="654">
        <v>0</v>
      </c>
      <c r="V28" s="654">
        <v>5234</v>
      </c>
      <c r="W28" s="654">
        <v>162974</v>
      </c>
      <c r="X28" s="654">
        <v>0</v>
      </c>
      <c r="Y28" s="654">
        <v>0</v>
      </c>
    </row>
    <row r="29" spans="1:25" x14ac:dyDescent="0.15">
      <c r="A29" s="653">
        <v>41640</v>
      </c>
      <c r="B29" t="s">
        <v>669</v>
      </c>
      <c r="C29" t="s">
        <v>659</v>
      </c>
      <c r="D29" s="654">
        <v>23008747</v>
      </c>
      <c r="E29" s="654">
        <v>7050233.5</v>
      </c>
      <c r="F29" s="654">
        <v>7504707</v>
      </c>
      <c r="G29" s="654">
        <v>0</v>
      </c>
      <c r="H29" s="654">
        <v>855000</v>
      </c>
      <c r="I29" s="654">
        <v>2736428</v>
      </c>
      <c r="J29" s="654">
        <v>166150</v>
      </c>
      <c r="K29" s="654">
        <v>18312518.5</v>
      </c>
      <c r="L29" s="654">
        <v>6556872</v>
      </c>
      <c r="M29" s="654">
        <v>0</v>
      </c>
      <c r="N29" s="654">
        <v>6556872</v>
      </c>
      <c r="O29" s="654">
        <v>0</v>
      </c>
      <c r="P29" s="654">
        <v>0</v>
      </c>
      <c r="Q29" s="654">
        <v>0</v>
      </c>
      <c r="R29" s="654">
        <v>0</v>
      </c>
      <c r="S29" s="654">
        <v>0</v>
      </c>
      <c r="T29" s="654">
        <v>0</v>
      </c>
      <c r="U29" s="654">
        <v>0</v>
      </c>
      <c r="V29" s="654">
        <v>17428</v>
      </c>
      <c r="W29" s="654">
        <v>151806</v>
      </c>
      <c r="X29" s="654">
        <v>0</v>
      </c>
      <c r="Y29" s="654">
        <v>0</v>
      </c>
    </row>
    <row r="30" spans="1:25" x14ac:dyDescent="0.15">
      <c r="A30" s="653" t="s">
        <v>701</v>
      </c>
      <c r="B30"/>
      <c r="D30" s="654">
        <v>23008747</v>
      </c>
      <c r="E30" s="654">
        <v>7050233.5</v>
      </c>
      <c r="F30" s="654">
        <v>7504707</v>
      </c>
      <c r="G30" s="654">
        <v>0</v>
      </c>
      <c r="H30" s="654">
        <v>855000</v>
      </c>
      <c r="I30" s="654">
        <v>2736428</v>
      </c>
      <c r="J30" s="654">
        <v>166150</v>
      </c>
      <c r="K30" s="654">
        <v>18312518.5</v>
      </c>
      <c r="L30" s="654">
        <v>6556872</v>
      </c>
      <c r="M30" s="654">
        <v>0</v>
      </c>
      <c r="N30" s="654">
        <v>6556872</v>
      </c>
      <c r="O30" s="654">
        <v>0</v>
      </c>
      <c r="P30" s="654">
        <v>0</v>
      </c>
      <c r="Q30" s="654">
        <v>0</v>
      </c>
      <c r="R30" s="654">
        <v>0</v>
      </c>
      <c r="S30" s="654">
        <v>0</v>
      </c>
      <c r="T30" s="654">
        <v>0</v>
      </c>
      <c r="U30" s="654">
        <v>0</v>
      </c>
      <c r="V30" s="654">
        <v>17428</v>
      </c>
      <c r="W30" s="654">
        <v>151806</v>
      </c>
      <c r="X30" s="654">
        <v>0</v>
      </c>
      <c r="Y30" s="654">
        <v>0</v>
      </c>
    </row>
    <row r="31" spans="1:25" x14ac:dyDescent="0.15">
      <c r="A31" s="653">
        <v>41671</v>
      </c>
      <c r="B31" t="s">
        <v>669</v>
      </c>
      <c r="C31" t="s">
        <v>659</v>
      </c>
      <c r="D31" s="654">
        <v>22885912</v>
      </c>
      <c r="E31" s="654">
        <v>6599241.75</v>
      </c>
      <c r="F31" s="654">
        <v>7577709</v>
      </c>
      <c r="G31" s="654">
        <v>0</v>
      </c>
      <c r="H31" s="654">
        <v>855000</v>
      </c>
      <c r="I31" s="654">
        <v>1156048</v>
      </c>
      <c r="J31" s="654">
        <v>358428</v>
      </c>
      <c r="K31" s="654">
        <v>16546426.75</v>
      </c>
      <c r="L31" s="654">
        <v>6126043</v>
      </c>
      <c r="M31" s="654">
        <v>0</v>
      </c>
      <c r="N31" s="654">
        <v>6126043</v>
      </c>
      <c r="O31" s="654">
        <v>0</v>
      </c>
      <c r="P31" s="654">
        <v>0</v>
      </c>
      <c r="Q31" s="654">
        <v>0</v>
      </c>
      <c r="R31" s="654">
        <v>0</v>
      </c>
      <c r="S31" s="654">
        <v>0</v>
      </c>
      <c r="T31" s="654">
        <v>0</v>
      </c>
      <c r="U31" s="654">
        <v>0</v>
      </c>
      <c r="V31" s="654">
        <v>4028</v>
      </c>
      <c r="W31" s="654">
        <v>140412</v>
      </c>
      <c r="X31" s="654">
        <v>0</v>
      </c>
      <c r="Y31" s="654">
        <v>0</v>
      </c>
    </row>
    <row r="32" spans="1:25" x14ac:dyDescent="0.15">
      <c r="A32" s="653" t="s">
        <v>702</v>
      </c>
      <c r="B32"/>
      <c r="D32" s="654">
        <v>22885912</v>
      </c>
      <c r="E32" s="654">
        <v>6599241.75</v>
      </c>
      <c r="F32" s="654">
        <v>7577709</v>
      </c>
      <c r="G32" s="654">
        <v>0</v>
      </c>
      <c r="H32" s="654">
        <v>855000</v>
      </c>
      <c r="I32" s="654">
        <v>1156048</v>
      </c>
      <c r="J32" s="654">
        <v>358428</v>
      </c>
      <c r="K32" s="654">
        <v>16546426.75</v>
      </c>
      <c r="L32" s="654">
        <v>6126043</v>
      </c>
      <c r="M32" s="654">
        <v>0</v>
      </c>
      <c r="N32" s="654">
        <v>6126043</v>
      </c>
      <c r="O32" s="654">
        <v>0</v>
      </c>
      <c r="P32" s="654">
        <v>0</v>
      </c>
      <c r="Q32" s="654">
        <v>0</v>
      </c>
      <c r="R32" s="654">
        <v>0</v>
      </c>
      <c r="S32" s="654">
        <v>0</v>
      </c>
      <c r="T32" s="654">
        <v>0</v>
      </c>
      <c r="U32" s="654">
        <v>0</v>
      </c>
      <c r="V32" s="654">
        <v>4028</v>
      </c>
      <c r="W32" s="654">
        <v>140412</v>
      </c>
      <c r="X32" s="654">
        <v>0</v>
      </c>
      <c r="Y32" s="654">
        <v>0</v>
      </c>
    </row>
    <row r="33" spans="1:25" x14ac:dyDescent="0.15">
      <c r="A33" s="653">
        <v>41699</v>
      </c>
      <c r="B33" t="s">
        <v>669</v>
      </c>
      <c r="C33" t="s">
        <v>659</v>
      </c>
      <c r="D33" s="654">
        <v>25650824</v>
      </c>
      <c r="E33" s="654">
        <v>7511939</v>
      </c>
      <c r="F33" s="654">
        <v>8139429</v>
      </c>
      <c r="G33" s="654">
        <v>0</v>
      </c>
      <c r="H33" s="654">
        <v>855000</v>
      </c>
      <c r="I33" s="654">
        <v>1196374</v>
      </c>
      <c r="J33" s="654">
        <v>43056</v>
      </c>
      <c r="K33" s="654">
        <v>17745798</v>
      </c>
      <c r="L33" s="654">
        <v>7230779</v>
      </c>
      <c r="M33" s="654">
        <v>0</v>
      </c>
      <c r="N33" s="654">
        <v>7230779</v>
      </c>
      <c r="O33" s="654">
        <v>0</v>
      </c>
      <c r="P33" s="654">
        <v>0</v>
      </c>
      <c r="Q33" s="654">
        <v>0</v>
      </c>
      <c r="R33" s="654">
        <v>0</v>
      </c>
      <c r="S33" s="654">
        <v>0</v>
      </c>
      <c r="T33" s="654">
        <v>0</v>
      </c>
      <c r="U33" s="654">
        <v>0</v>
      </c>
      <c r="V33" s="654">
        <v>152976</v>
      </c>
      <c r="W33" s="654">
        <v>211629</v>
      </c>
      <c r="X33" s="654">
        <v>0</v>
      </c>
      <c r="Y33" s="654">
        <v>0</v>
      </c>
    </row>
    <row r="34" spans="1:25" x14ac:dyDescent="0.15">
      <c r="A34" s="653" t="s">
        <v>703</v>
      </c>
      <c r="B34"/>
      <c r="D34" s="654">
        <v>25650824</v>
      </c>
      <c r="E34" s="654">
        <v>7511939</v>
      </c>
      <c r="F34" s="654">
        <v>8139429</v>
      </c>
      <c r="G34" s="654">
        <v>0</v>
      </c>
      <c r="H34" s="654">
        <v>855000</v>
      </c>
      <c r="I34" s="654">
        <v>1196374</v>
      </c>
      <c r="J34" s="654">
        <v>43056</v>
      </c>
      <c r="K34" s="654">
        <v>17745798</v>
      </c>
      <c r="L34" s="654">
        <v>7230779</v>
      </c>
      <c r="M34" s="654">
        <v>0</v>
      </c>
      <c r="N34" s="654">
        <v>7230779</v>
      </c>
      <c r="O34" s="654">
        <v>0</v>
      </c>
      <c r="P34" s="654">
        <v>0</v>
      </c>
      <c r="Q34" s="654">
        <v>0</v>
      </c>
      <c r="R34" s="654">
        <v>0</v>
      </c>
      <c r="S34" s="654">
        <v>0</v>
      </c>
      <c r="T34" s="654">
        <v>0</v>
      </c>
      <c r="U34" s="654">
        <v>0</v>
      </c>
      <c r="V34" s="654">
        <v>152976</v>
      </c>
      <c r="W34" s="654">
        <v>211629</v>
      </c>
      <c r="X34" s="654">
        <v>0</v>
      </c>
      <c r="Y34" s="654">
        <v>0</v>
      </c>
    </row>
    <row r="35" spans="1:25" x14ac:dyDescent="0.15">
      <c r="A35" s="653">
        <v>41730</v>
      </c>
      <c r="B35" t="s">
        <v>669</v>
      </c>
      <c r="C35" t="s">
        <v>659</v>
      </c>
      <c r="D35" s="654">
        <v>20997374</v>
      </c>
      <c r="E35" s="654">
        <v>6633454.5</v>
      </c>
      <c r="F35" s="654">
        <v>7491833</v>
      </c>
      <c r="G35" s="654">
        <v>0</v>
      </c>
      <c r="H35" s="654">
        <v>855000</v>
      </c>
      <c r="I35" s="654">
        <v>1227745</v>
      </c>
      <c r="J35" s="654">
        <v>53595</v>
      </c>
      <c r="K35" s="654">
        <v>16261627.5</v>
      </c>
      <c r="L35" s="654">
        <v>7015346</v>
      </c>
      <c r="M35" s="654">
        <v>0</v>
      </c>
      <c r="N35" s="654">
        <v>7015346</v>
      </c>
      <c r="O35" s="654">
        <v>0</v>
      </c>
      <c r="P35" s="654">
        <v>0</v>
      </c>
      <c r="Q35" s="654">
        <v>0</v>
      </c>
      <c r="R35" s="654">
        <v>0</v>
      </c>
      <c r="S35" s="654">
        <v>0</v>
      </c>
      <c r="T35" s="654">
        <v>0</v>
      </c>
      <c r="U35" s="654">
        <v>0</v>
      </c>
      <c r="V35" s="654">
        <v>4293</v>
      </c>
      <c r="W35" s="654">
        <v>176074</v>
      </c>
      <c r="X35" s="654">
        <v>0</v>
      </c>
      <c r="Y35" s="654">
        <v>0</v>
      </c>
    </row>
    <row r="36" spans="1:25" x14ac:dyDescent="0.15">
      <c r="A36" s="653" t="s">
        <v>704</v>
      </c>
      <c r="B36"/>
      <c r="D36" s="654">
        <v>20997374</v>
      </c>
      <c r="E36" s="654">
        <v>6633454.5</v>
      </c>
      <c r="F36" s="654">
        <v>7491833</v>
      </c>
      <c r="G36" s="654">
        <v>0</v>
      </c>
      <c r="H36" s="654">
        <v>855000</v>
      </c>
      <c r="I36" s="654">
        <v>1227745</v>
      </c>
      <c r="J36" s="654">
        <v>53595</v>
      </c>
      <c r="K36" s="654">
        <v>16261627.5</v>
      </c>
      <c r="L36" s="654">
        <v>7015346</v>
      </c>
      <c r="M36" s="654">
        <v>0</v>
      </c>
      <c r="N36" s="654">
        <v>7015346</v>
      </c>
      <c r="O36" s="654">
        <v>0</v>
      </c>
      <c r="P36" s="654">
        <v>0</v>
      </c>
      <c r="Q36" s="654">
        <v>0</v>
      </c>
      <c r="R36" s="654">
        <v>0</v>
      </c>
      <c r="S36" s="654">
        <v>0</v>
      </c>
      <c r="T36" s="654">
        <v>0</v>
      </c>
      <c r="U36" s="654">
        <v>0</v>
      </c>
      <c r="V36" s="654">
        <v>4293</v>
      </c>
      <c r="W36" s="654">
        <v>176074</v>
      </c>
      <c r="X36" s="654">
        <v>0</v>
      </c>
      <c r="Y36" s="654">
        <v>0</v>
      </c>
    </row>
    <row r="37" spans="1:25" x14ac:dyDescent="0.15">
      <c r="A37" s="653">
        <v>41760</v>
      </c>
      <c r="B37" t="s">
        <v>669</v>
      </c>
      <c r="C37" t="s">
        <v>659</v>
      </c>
      <c r="D37" s="654">
        <v>21720031</v>
      </c>
      <c r="E37" s="654">
        <v>6921646</v>
      </c>
      <c r="F37" s="654">
        <v>7295649</v>
      </c>
      <c r="G37" s="654">
        <v>0</v>
      </c>
      <c r="H37" s="654">
        <v>950000</v>
      </c>
      <c r="I37" s="654">
        <v>1176289</v>
      </c>
      <c r="J37" s="654">
        <v>36725</v>
      </c>
      <c r="K37" s="654">
        <v>16380309</v>
      </c>
      <c r="L37" s="654">
        <v>6360821</v>
      </c>
      <c r="M37" s="654">
        <v>0</v>
      </c>
      <c r="N37" s="654">
        <v>6360821</v>
      </c>
      <c r="O37" s="654">
        <v>0</v>
      </c>
      <c r="P37" s="654">
        <v>0</v>
      </c>
      <c r="Q37" s="654">
        <v>0</v>
      </c>
      <c r="R37" s="654">
        <v>0</v>
      </c>
      <c r="S37" s="654">
        <v>0</v>
      </c>
      <c r="T37" s="654">
        <v>0</v>
      </c>
      <c r="U37" s="654">
        <v>0</v>
      </c>
      <c r="V37" s="654">
        <v>10805</v>
      </c>
      <c r="W37" s="654">
        <v>179638</v>
      </c>
      <c r="X37" s="654">
        <v>0</v>
      </c>
      <c r="Y37" s="654">
        <v>0</v>
      </c>
    </row>
    <row r="38" spans="1:25" x14ac:dyDescent="0.15">
      <c r="A38" s="653" t="s">
        <v>705</v>
      </c>
      <c r="B38"/>
      <c r="D38" s="654">
        <v>21720031</v>
      </c>
      <c r="E38" s="654">
        <v>6921646</v>
      </c>
      <c r="F38" s="654">
        <v>7295649</v>
      </c>
      <c r="G38" s="654">
        <v>0</v>
      </c>
      <c r="H38" s="654">
        <v>950000</v>
      </c>
      <c r="I38" s="654">
        <v>1176289</v>
      </c>
      <c r="J38" s="654">
        <v>36725</v>
      </c>
      <c r="K38" s="654">
        <v>16380309</v>
      </c>
      <c r="L38" s="654">
        <v>6360821</v>
      </c>
      <c r="M38" s="654">
        <v>0</v>
      </c>
      <c r="N38" s="654">
        <v>6360821</v>
      </c>
      <c r="O38" s="654">
        <v>0</v>
      </c>
      <c r="P38" s="654">
        <v>0</v>
      </c>
      <c r="Q38" s="654">
        <v>0</v>
      </c>
      <c r="R38" s="654">
        <v>0</v>
      </c>
      <c r="S38" s="654">
        <v>0</v>
      </c>
      <c r="T38" s="654">
        <v>0</v>
      </c>
      <c r="U38" s="654">
        <v>0</v>
      </c>
      <c r="V38" s="654">
        <v>10805</v>
      </c>
      <c r="W38" s="654">
        <v>179638</v>
      </c>
      <c r="X38" s="654">
        <v>0</v>
      </c>
      <c r="Y38" s="654">
        <v>0</v>
      </c>
    </row>
    <row r="39" spans="1:25" x14ac:dyDescent="0.15">
      <c r="A39" s="653">
        <v>41791</v>
      </c>
      <c r="B39" t="s">
        <v>669</v>
      </c>
      <c r="C39" t="s">
        <v>659</v>
      </c>
      <c r="D39" s="654">
        <v>24686903</v>
      </c>
      <c r="E39" s="654">
        <v>6812061.5</v>
      </c>
      <c r="F39" s="654">
        <v>6422270</v>
      </c>
      <c r="G39" s="654">
        <v>3540000</v>
      </c>
      <c r="H39" s="654">
        <v>950000</v>
      </c>
      <c r="I39" s="654">
        <v>658822</v>
      </c>
      <c r="J39" s="654">
        <v>42981</v>
      </c>
      <c r="K39" s="654">
        <v>18426134.5</v>
      </c>
      <c r="L39" s="654">
        <v>5885914</v>
      </c>
      <c r="M39" s="654">
        <v>0</v>
      </c>
      <c r="N39" s="654">
        <v>5885914</v>
      </c>
      <c r="O39" s="654">
        <v>0</v>
      </c>
      <c r="P39" s="654">
        <v>0</v>
      </c>
      <c r="Q39" s="654">
        <v>0</v>
      </c>
      <c r="R39" s="654">
        <v>0</v>
      </c>
      <c r="S39" s="654">
        <v>0</v>
      </c>
      <c r="T39" s="654">
        <v>0</v>
      </c>
      <c r="U39" s="654">
        <v>0</v>
      </c>
      <c r="V39" s="654">
        <v>6725</v>
      </c>
      <c r="W39" s="654">
        <v>184799</v>
      </c>
      <c r="X39" s="654">
        <v>0</v>
      </c>
      <c r="Y39" s="654">
        <v>0</v>
      </c>
    </row>
    <row r="40" spans="1:25" x14ac:dyDescent="0.15">
      <c r="A40" s="653" t="s">
        <v>706</v>
      </c>
      <c r="B40"/>
      <c r="D40" s="654">
        <v>24686903</v>
      </c>
      <c r="E40" s="654">
        <v>6812061.5</v>
      </c>
      <c r="F40" s="654">
        <v>6422270</v>
      </c>
      <c r="G40" s="654">
        <v>3540000</v>
      </c>
      <c r="H40" s="654">
        <v>950000</v>
      </c>
      <c r="I40" s="654">
        <v>658822</v>
      </c>
      <c r="J40" s="654">
        <v>42981</v>
      </c>
      <c r="K40" s="654">
        <v>18426134.5</v>
      </c>
      <c r="L40" s="654">
        <v>5885914</v>
      </c>
      <c r="M40" s="654">
        <v>0</v>
      </c>
      <c r="N40" s="654">
        <v>5885914</v>
      </c>
      <c r="O40" s="654">
        <v>0</v>
      </c>
      <c r="P40" s="654">
        <v>0</v>
      </c>
      <c r="Q40" s="654">
        <v>0</v>
      </c>
      <c r="R40" s="654">
        <v>0</v>
      </c>
      <c r="S40" s="654">
        <v>0</v>
      </c>
      <c r="T40" s="654">
        <v>0</v>
      </c>
      <c r="U40" s="654">
        <v>0</v>
      </c>
      <c r="V40" s="654">
        <v>6725</v>
      </c>
      <c r="W40" s="654">
        <v>184799</v>
      </c>
      <c r="X40" s="654">
        <v>0</v>
      </c>
      <c r="Y40" s="654">
        <v>0</v>
      </c>
    </row>
    <row r="41" spans="1:25" x14ac:dyDescent="0.15">
      <c r="A41" s="653">
        <v>41821</v>
      </c>
      <c r="B41" t="s">
        <v>669</v>
      </c>
      <c r="C41" t="s">
        <v>659</v>
      </c>
      <c r="D41" s="654">
        <v>21453898</v>
      </c>
      <c r="E41" s="654">
        <v>7280295</v>
      </c>
      <c r="F41" s="654">
        <v>6282143</v>
      </c>
      <c r="G41" s="654">
        <v>0</v>
      </c>
      <c r="H41" s="654">
        <v>950000</v>
      </c>
      <c r="I41" s="654">
        <v>2937839</v>
      </c>
      <c r="J41" s="654">
        <v>285471</v>
      </c>
      <c r="K41" s="654">
        <v>17735748</v>
      </c>
      <c r="L41" s="654">
        <v>5839285</v>
      </c>
      <c r="M41" s="654">
        <v>0</v>
      </c>
      <c r="N41" s="654">
        <v>5839285</v>
      </c>
      <c r="O41" s="654">
        <v>0</v>
      </c>
      <c r="P41" s="654">
        <v>0</v>
      </c>
      <c r="Q41" s="654">
        <v>0</v>
      </c>
      <c r="R41" s="654">
        <v>0</v>
      </c>
      <c r="S41" s="654">
        <v>0</v>
      </c>
      <c r="T41" s="654">
        <v>0</v>
      </c>
      <c r="U41" s="654">
        <v>0</v>
      </c>
      <c r="V41" s="654">
        <v>4989</v>
      </c>
      <c r="W41" s="654">
        <v>165917</v>
      </c>
      <c r="X41" s="654">
        <v>0</v>
      </c>
      <c r="Y41" s="654">
        <v>0</v>
      </c>
    </row>
    <row r="42" spans="1:25" x14ac:dyDescent="0.15">
      <c r="A42" s="653" t="s">
        <v>707</v>
      </c>
      <c r="B42"/>
      <c r="D42" s="654">
        <v>21453898</v>
      </c>
      <c r="E42" s="654">
        <v>7280295</v>
      </c>
      <c r="F42" s="654">
        <v>6282143</v>
      </c>
      <c r="G42" s="654">
        <v>0</v>
      </c>
      <c r="H42" s="654">
        <v>950000</v>
      </c>
      <c r="I42" s="654">
        <v>2937839</v>
      </c>
      <c r="J42" s="654">
        <v>285471</v>
      </c>
      <c r="K42" s="654">
        <v>17735748</v>
      </c>
      <c r="L42" s="654">
        <v>5839285</v>
      </c>
      <c r="M42" s="654">
        <v>0</v>
      </c>
      <c r="N42" s="654">
        <v>5839285</v>
      </c>
      <c r="O42" s="654">
        <v>0</v>
      </c>
      <c r="P42" s="654">
        <v>0</v>
      </c>
      <c r="Q42" s="654">
        <v>0</v>
      </c>
      <c r="R42" s="654">
        <v>0</v>
      </c>
      <c r="S42" s="654">
        <v>0</v>
      </c>
      <c r="T42" s="654">
        <v>0</v>
      </c>
      <c r="U42" s="654">
        <v>0</v>
      </c>
      <c r="V42" s="654">
        <v>4989</v>
      </c>
      <c r="W42" s="654">
        <v>165917</v>
      </c>
      <c r="X42" s="654">
        <v>0</v>
      </c>
      <c r="Y42" s="654">
        <v>0</v>
      </c>
    </row>
    <row r="43" spans="1:25" x14ac:dyDescent="0.15">
      <c r="A43" s="653">
        <v>41852</v>
      </c>
      <c r="B43" t="s">
        <v>669</v>
      </c>
      <c r="C43" t="s">
        <v>659</v>
      </c>
      <c r="D43" s="654">
        <v>22666809</v>
      </c>
      <c r="E43" s="654">
        <v>7084049</v>
      </c>
      <c r="F43" s="654">
        <v>6942709</v>
      </c>
      <c r="G43" s="654">
        <v>0</v>
      </c>
      <c r="H43" s="654">
        <v>950000</v>
      </c>
      <c r="I43" s="654">
        <v>1007674</v>
      </c>
      <c r="J43" s="654">
        <v>14407</v>
      </c>
      <c r="K43" s="654">
        <v>15998839</v>
      </c>
      <c r="L43" s="654">
        <v>5828265</v>
      </c>
      <c r="M43" s="654">
        <v>0</v>
      </c>
      <c r="N43" s="654">
        <v>5828265</v>
      </c>
      <c r="O43" s="654">
        <v>0</v>
      </c>
      <c r="P43" s="654">
        <v>0</v>
      </c>
      <c r="Q43" s="654">
        <v>0</v>
      </c>
      <c r="R43" s="654">
        <v>0</v>
      </c>
      <c r="S43" s="654">
        <v>0</v>
      </c>
      <c r="T43" s="654">
        <v>0</v>
      </c>
      <c r="U43" s="654">
        <v>0</v>
      </c>
      <c r="V43" s="654">
        <v>8538</v>
      </c>
      <c r="W43" s="654">
        <v>206545</v>
      </c>
      <c r="X43" s="654">
        <v>0</v>
      </c>
      <c r="Y43" s="654">
        <v>0</v>
      </c>
    </row>
    <row r="44" spans="1:25" x14ac:dyDescent="0.15">
      <c r="A44" s="653" t="s">
        <v>708</v>
      </c>
      <c r="B44"/>
      <c r="D44" s="654">
        <v>22666809</v>
      </c>
      <c r="E44" s="654">
        <v>7084049</v>
      </c>
      <c r="F44" s="654">
        <v>6942709</v>
      </c>
      <c r="G44" s="654">
        <v>0</v>
      </c>
      <c r="H44" s="654">
        <v>950000</v>
      </c>
      <c r="I44" s="654">
        <v>1007674</v>
      </c>
      <c r="J44" s="654">
        <v>14407</v>
      </c>
      <c r="K44" s="654">
        <v>15998839</v>
      </c>
      <c r="L44" s="654">
        <v>5828265</v>
      </c>
      <c r="M44" s="654">
        <v>0</v>
      </c>
      <c r="N44" s="654">
        <v>5828265</v>
      </c>
      <c r="O44" s="654">
        <v>0</v>
      </c>
      <c r="P44" s="654">
        <v>0</v>
      </c>
      <c r="Q44" s="654">
        <v>0</v>
      </c>
      <c r="R44" s="654">
        <v>0</v>
      </c>
      <c r="S44" s="654">
        <v>0</v>
      </c>
      <c r="T44" s="654">
        <v>0</v>
      </c>
      <c r="U44" s="654">
        <v>0</v>
      </c>
      <c r="V44" s="654">
        <v>8538</v>
      </c>
      <c r="W44" s="654">
        <v>206545</v>
      </c>
      <c r="X44" s="654">
        <v>0</v>
      </c>
      <c r="Y44" s="654">
        <v>0</v>
      </c>
    </row>
    <row r="45" spans="1:25" x14ac:dyDescent="0.15">
      <c r="A45" s="653">
        <v>41883</v>
      </c>
      <c r="B45" t="s">
        <v>669</v>
      </c>
      <c r="C45" t="s">
        <v>659</v>
      </c>
      <c r="D45" s="654">
        <v>21435923</v>
      </c>
      <c r="E45" s="654">
        <v>6573757.5</v>
      </c>
      <c r="F45" s="654">
        <v>7747679</v>
      </c>
      <c r="G45" s="654">
        <v>0</v>
      </c>
      <c r="H45" s="654">
        <v>950000</v>
      </c>
      <c r="I45" s="654">
        <v>1097303</v>
      </c>
      <c r="J45" s="654">
        <v>48639</v>
      </c>
      <c r="K45" s="654">
        <v>16417378.5</v>
      </c>
      <c r="L45" s="654">
        <v>5491669</v>
      </c>
      <c r="M45" s="654">
        <v>0</v>
      </c>
      <c r="N45" s="654">
        <v>5491669</v>
      </c>
      <c r="O45" s="654">
        <v>0</v>
      </c>
      <c r="P45" s="654">
        <v>0</v>
      </c>
      <c r="Q45" s="654">
        <v>0</v>
      </c>
      <c r="R45" s="654">
        <v>0</v>
      </c>
      <c r="S45" s="654">
        <v>0</v>
      </c>
      <c r="T45" s="654">
        <v>0</v>
      </c>
      <c r="U45" s="654">
        <v>0</v>
      </c>
      <c r="V45" s="654">
        <v>11478</v>
      </c>
      <c r="W45" s="654">
        <v>198632</v>
      </c>
      <c r="X45" s="654">
        <v>0</v>
      </c>
      <c r="Y45" s="654">
        <v>0</v>
      </c>
    </row>
    <row r="46" spans="1:25" x14ac:dyDescent="0.15">
      <c r="A46" s="653" t="s">
        <v>709</v>
      </c>
      <c r="B46"/>
      <c r="D46" s="654">
        <v>21435923</v>
      </c>
      <c r="E46" s="654">
        <v>6573757.5</v>
      </c>
      <c r="F46" s="654">
        <v>7747679</v>
      </c>
      <c r="G46" s="654">
        <v>0</v>
      </c>
      <c r="H46" s="654">
        <v>950000</v>
      </c>
      <c r="I46" s="654">
        <v>1097303</v>
      </c>
      <c r="J46" s="654">
        <v>48639</v>
      </c>
      <c r="K46" s="654">
        <v>16417378.5</v>
      </c>
      <c r="L46" s="654">
        <v>5491669</v>
      </c>
      <c r="M46" s="654">
        <v>0</v>
      </c>
      <c r="N46" s="654">
        <v>5491669</v>
      </c>
      <c r="O46" s="654">
        <v>0</v>
      </c>
      <c r="P46" s="654">
        <v>0</v>
      </c>
      <c r="Q46" s="654">
        <v>0</v>
      </c>
      <c r="R46" s="654">
        <v>0</v>
      </c>
      <c r="S46" s="654">
        <v>0</v>
      </c>
      <c r="T46" s="654">
        <v>0</v>
      </c>
      <c r="U46" s="654">
        <v>0</v>
      </c>
      <c r="V46" s="654">
        <v>11478</v>
      </c>
      <c r="W46" s="654">
        <v>198632</v>
      </c>
      <c r="X46" s="654">
        <v>0</v>
      </c>
      <c r="Y46" s="654">
        <v>0</v>
      </c>
    </row>
    <row r="47" spans="1:25" x14ac:dyDescent="0.15">
      <c r="A47" s="653">
        <v>41913</v>
      </c>
      <c r="B47" t="s">
        <v>669</v>
      </c>
      <c r="C47" t="s">
        <v>659</v>
      </c>
      <c r="D47" s="654">
        <v>21930282</v>
      </c>
      <c r="E47" s="654">
        <v>6686957</v>
      </c>
      <c r="F47" s="654">
        <v>7579988</v>
      </c>
      <c r="G47" s="654">
        <v>0</v>
      </c>
      <c r="H47" s="654">
        <v>950000</v>
      </c>
      <c r="I47" s="654">
        <v>1864134.0000000002</v>
      </c>
      <c r="J47" s="654">
        <v>200379</v>
      </c>
      <c r="K47" s="654">
        <v>17281458</v>
      </c>
      <c r="L47" s="654">
        <v>5493239</v>
      </c>
      <c r="M47" s="654">
        <v>0</v>
      </c>
      <c r="N47" s="654">
        <v>5493239</v>
      </c>
      <c r="O47" s="654">
        <v>0</v>
      </c>
      <c r="P47" s="654">
        <v>0</v>
      </c>
      <c r="Q47" s="654">
        <v>0</v>
      </c>
      <c r="R47" s="654">
        <v>0</v>
      </c>
      <c r="S47" s="654">
        <v>0</v>
      </c>
      <c r="T47" s="654">
        <v>0</v>
      </c>
      <c r="U47" s="654">
        <v>0</v>
      </c>
      <c r="V47" s="654">
        <v>4419</v>
      </c>
      <c r="W47" s="654">
        <v>186051</v>
      </c>
      <c r="X47" s="654">
        <v>0</v>
      </c>
      <c r="Y47" s="654">
        <v>0</v>
      </c>
    </row>
    <row r="48" spans="1:25" x14ac:dyDescent="0.15">
      <c r="A48" s="653" t="s">
        <v>710</v>
      </c>
      <c r="B48"/>
      <c r="D48" s="654">
        <v>21930282</v>
      </c>
      <c r="E48" s="654">
        <v>6686957</v>
      </c>
      <c r="F48" s="654">
        <v>7579988</v>
      </c>
      <c r="G48" s="654">
        <v>0</v>
      </c>
      <c r="H48" s="654">
        <v>950000</v>
      </c>
      <c r="I48" s="654">
        <v>1864134.0000000002</v>
      </c>
      <c r="J48" s="654">
        <v>200379</v>
      </c>
      <c r="K48" s="654">
        <v>17281458</v>
      </c>
      <c r="L48" s="654">
        <v>5493239</v>
      </c>
      <c r="M48" s="654">
        <v>0</v>
      </c>
      <c r="N48" s="654">
        <v>5493239</v>
      </c>
      <c r="O48" s="654">
        <v>0</v>
      </c>
      <c r="P48" s="654">
        <v>0</v>
      </c>
      <c r="Q48" s="654">
        <v>0</v>
      </c>
      <c r="R48" s="654">
        <v>0</v>
      </c>
      <c r="S48" s="654">
        <v>0</v>
      </c>
      <c r="T48" s="654">
        <v>0</v>
      </c>
      <c r="U48" s="654">
        <v>0</v>
      </c>
      <c r="V48" s="654">
        <v>4419</v>
      </c>
      <c r="W48" s="654">
        <v>186051</v>
      </c>
      <c r="X48" s="654">
        <v>0</v>
      </c>
      <c r="Y48" s="654">
        <v>0</v>
      </c>
    </row>
    <row r="49" spans="1:25" x14ac:dyDescent="0.15">
      <c r="A49" s="653">
        <v>41944</v>
      </c>
      <c r="B49" t="s">
        <v>669</v>
      </c>
      <c r="C49" t="s">
        <v>659</v>
      </c>
      <c r="D49" s="654">
        <v>23533934</v>
      </c>
      <c r="E49" s="654">
        <v>6372684.5</v>
      </c>
      <c r="F49" s="654">
        <v>7842555</v>
      </c>
      <c r="G49" s="654">
        <v>0</v>
      </c>
      <c r="H49" s="654">
        <v>950000</v>
      </c>
      <c r="I49" s="654">
        <v>1279021</v>
      </c>
      <c r="J49" s="654">
        <v>37826</v>
      </c>
      <c r="K49" s="654">
        <v>16482086.5</v>
      </c>
      <c r="L49" s="654">
        <v>5260921</v>
      </c>
      <c r="M49" s="654">
        <v>0</v>
      </c>
      <c r="N49" s="654">
        <v>5260921</v>
      </c>
      <c r="O49" s="654">
        <v>0</v>
      </c>
      <c r="P49" s="654">
        <v>0</v>
      </c>
      <c r="Q49" s="654">
        <v>0</v>
      </c>
      <c r="R49" s="654">
        <v>0</v>
      </c>
      <c r="S49" s="654">
        <v>0</v>
      </c>
      <c r="T49" s="654">
        <v>0</v>
      </c>
      <c r="U49" s="654">
        <v>0</v>
      </c>
      <c r="V49" s="654">
        <v>5111</v>
      </c>
      <c r="W49" s="654">
        <v>184183</v>
      </c>
      <c r="X49" s="654">
        <v>0</v>
      </c>
      <c r="Y49" s="654">
        <v>0</v>
      </c>
    </row>
    <row r="50" spans="1:25" x14ac:dyDescent="0.15">
      <c r="A50" s="653" t="s">
        <v>711</v>
      </c>
      <c r="B50"/>
      <c r="D50" s="654">
        <v>23533934</v>
      </c>
      <c r="E50" s="654">
        <v>6372684.5</v>
      </c>
      <c r="F50" s="654">
        <v>7842555</v>
      </c>
      <c r="G50" s="654">
        <v>0</v>
      </c>
      <c r="H50" s="654">
        <v>950000</v>
      </c>
      <c r="I50" s="654">
        <v>1279021</v>
      </c>
      <c r="J50" s="654">
        <v>37826</v>
      </c>
      <c r="K50" s="654">
        <v>16482086.5</v>
      </c>
      <c r="L50" s="654">
        <v>5260921</v>
      </c>
      <c r="M50" s="654">
        <v>0</v>
      </c>
      <c r="N50" s="654">
        <v>5260921</v>
      </c>
      <c r="O50" s="654">
        <v>0</v>
      </c>
      <c r="P50" s="654">
        <v>0</v>
      </c>
      <c r="Q50" s="654">
        <v>0</v>
      </c>
      <c r="R50" s="654">
        <v>0</v>
      </c>
      <c r="S50" s="654">
        <v>0</v>
      </c>
      <c r="T50" s="654">
        <v>0</v>
      </c>
      <c r="U50" s="654">
        <v>0</v>
      </c>
      <c r="V50" s="654">
        <v>5111</v>
      </c>
      <c r="W50" s="654">
        <v>184183</v>
      </c>
      <c r="X50" s="654">
        <v>0</v>
      </c>
      <c r="Y50" s="654">
        <v>0</v>
      </c>
    </row>
    <row r="51" spans="1:25" x14ac:dyDescent="0.15">
      <c r="A51" s="653">
        <v>41974</v>
      </c>
      <c r="B51" t="s">
        <v>669</v>
      </c>
      <c r="C51" t="s">
        <v>659</v>
      </c>
      <c r="D51" s="654">
        <v>23584633</v>
      </c>
      <c r="E51" s="654">
        <v>7293219</v>
      </c>
      <c r="F51" s="654">
        <v>7596436</v>
      </c>
      <c r="G51" s="654">
        <v>3555920</v>
      </c>
      <c r="H51" s="654">
        <v>950000</v>
      </c>
      <c r="I51" s="654">
        <v>756748</v>
      </c>
      <c r="J51" s="654">
        <v>57393</v>
      </c>
      <c r="K51" s="654">
        <v>20209716</v>
      </c>
      <c r="L51" s="654">
        <v>6366695</v>
      </c>
      <c r="M51" s="654">
        <v>0</v>
      </c>
      <c r="N51" s="654">
        <v>6366695</v>
      </c>
      <c r="O51" s="654">
        <v>0</v>
      </c>
      <c r="P51" s="654">
        <v>0</v>
      </c>
      <c r="Q51" s="654">
        <v>0</v>
      </c>
      <c r="R51" s="654">
        <v>0</v>
      </c>
      <c r="S51" s="654">
        <v>0</v>
      </c>
      <c r="T51" s="654">
        <v>0</v>
      </c>
      <c r="U51" s="654">
        <v>0</v>
      </c>
      <c r="V51" s="654">
        <v>122898</v>
      </c>
      <c r="W51" s="654">
        <v>185796</v>
      </c>
      <c r="X51" s="654">
        <v>0</v>
      </c>
      <c r="Y51" s="654">
        <v>0</v>
      </c>
    </row>
    <row r="52" spans="1:25" x14ac:dyDescent="0.15">
      <c r="A52" s="653" t="s">
        <v>712</v>
      </c>
      <c r="B52"/>
      <c r="D52" s="654">
        <v>23584633</v>
      </c>
      <c r="E52" s="654">
        <v>7293219</v>
      </c>
      <c r="F52" s="654">
        <v>7596436</v>
      </c>
      <c r="G52" s="654">
        <v>3555920</v>
      </c>
      <c r="H52" s="654">
        <v>950000</v>
      </c>
      <c r="I52" s="654">
        <v>756748</v>
      </c>
      <c r="J52" s="654">
        <v>57393</v>
      </c>
      <c r="K52" s="654">
        <v>20209716</v>
      </c>
      <c r="L52" s="654">
        <v>6366695</v>
      </c>
      <c r="M52" s="654">
        <v>0</v>
      </c>
      <c r="N52" s="654">
        <v>6366695</v>
      </c>
      <c r="O52" s="654">
        <v>0</v>
      </c>
      <c r="P52" s="654">
        <v>0</v>
      </c>
      <c r="Q52" s="654">
        <v>0</v>
      </c>
      <c r="R52" s="654">
        <v>0</v>
      </c>
      <c r="S52" s="654">
        <v>0</v>
      </c>
      <c r="T52" s="654">
        <v>0</v>
      </c>
      <c r="U52" s="654">
        <v>0</v>
      </c>
      <c r="V52" s="654">
        <v>122898</v>
      </c>
      <c r="W52" s="654">
        <v>185796</v>
      </c>
      <c r="X52" s="654">
        <v>0</v>
      </c>
      <c r="Y52" s="654">
        <v>0</v>
      </c>
    </row>
    <row r="53" spans="1:25" x14ac:dyDescent="0.15">
      <c r="A53" s="653">
        <v>42005</v>
      </c>
      <c r="B53" t="s">
        <v>669</v>
      </c>
      <c r="C53" t="s">
        <v>659</v>
      </c>
      <c r="D53" s="654">
        <v>23881357</v>
      </c>
      <c r="E53" s="654">
        <v>6724628.5</v>
      </c>
      <c r="F53" s="654">
        <v>7822814</v>
      </c>
      <c r="G53" s="654">
        <v>0</v>
      </c>
      <c r="H53" s="654">
        <v>950000</v>
      </c>
      <c r="I53" s="654">
        <v>2750005</v>
      </c>
      <c r="J53" s="654">
        <v>379534</v>
      </c>
      <c r="K53" s="654">
        <v>18626981.5</v>
      </c>
      <c r="L53" s="654">
        <v>5240866</v>
      </c>
      <c r="M53" s="654">
        <v>0</v>
      </c>
      <c r="N53" s="654">
        <v>5240866</v>
      </c>
      <c r="O53" s="654">
        <v>0</v>
      </c>
      <c r="P53" s="654">
        <v>0</v>
      </c>
      <c r="Q53" s="654">
        <v>0</v>
      </c>
      <c r="R53" s="654">
        <v>0</v>
      </c>
      <c r="S53" s="654">
        <v>0</v>
      </c>
      <c r="T53" s="654">
        <v>0</v>
      </c>
      <c r="U53" s="654">
        <v>0</v>
      </c>
      <c r="V53" s="654">
        <v>28900</v>
      </c>
      <c r="W53" s="654">
        <v>180381</v>
      </c>
      <c r="X53" s="654">
        <v>0</v>
      </c>
      <c r="Y53" s="654">
        <v>0</v>
      </c>
    </row>
    <row r="54" spans="1:25" x14ac:dyDescent="0.15">
      <c r="A54" s="653" t="s">
        <v>713</v>
      </c>
      <c r="B54"/>
      <c r="D54" s="654">
        <v>23881357</v>
      </c>
      <c r="E54" s="654">
        <v>6724628.5</v>
      </c>
      <c r="F54" s="654">
        <v>7822814</v>
      </c>
      <c r="G54" s="654">
        <v>0</v>
      </c>
      <c r="H54" s="654">
        <v>950000</v>
      </c>
      <c r="I54" s="654">
        <v>2750005</v>
      </c>
      <c r="J54" s="654">
        <v>379534</v>
      </c>
      <c r="K54" s="654">
        <v>18626981.5</v>
      </c>
      <c r="L54" s="654">
        <v>5240866</v>
      </c>
      <c r="M54" s="654">
        <v>0</v>
      </c>
      <c r="N54" s="654">
        <v>5240866</v>
      </c>
      <c r="O54" s="654">
        <v>0</v>
      </c>
      <c r="P54" s="654">
        <v>0</v>
      </c>
      <c r="Q54" s="654">
        <v>0</v>
      </c>
      <c r="R54" s="654">
        <v>0</v>
      </c>
      <c r="S54" s="654">
        <v>0</v>
      </c>
      <c r="T54" s="654">
        <v>0</v>
      </c>
      <c r="U54" s="654">
        <v>0</v>
      </c>
      <c r="V54" s="654">
        <v>28900</v>
      </c>
      <c r="W54" s="654">
        <v>180381</v>
      </c>
      <c r="X54" s="654">
        <v>0</v>
      </c>
      <c r="Y54" s="654">
        <v>0</v>
      </c>
    </row>
    <row r="55" spans="1:25" x14ac:dyDescent="0.15">
      <c r="A55" s="653">
        <v>42036</v>
      </c>
      <c r="B55" t="s">
        <v>669</v>
      </c>
      <c r="C55" t="s">
        <v>659</v>
      </c>
      <c r="D55" s="654">
        <v>21197082</v>
      </c>
      <c r="E55" s="654">
        <v>6280975.5</v>
      </c>
      <c r="F55" s="654">
        <v>7552347</v>
      </c>
      <c r="G55" s="654">
        <v>0</v>
      </c>
      <c r="H55" s="654">
        <v>950000</v>
      </c>
      <c r="I55" s="654">
        <v>1239871</v>
      </c>
      <c r="J55" s="654">
        <v>184391</v>
      </c>
      <c r="K55" s="654">
        <v>16207584.5</v>
      </c>
      <c r="L55" s="654">
        <v>5686606</v>
      </c>
      <c r="M55" s="654">
        <v>0</v>
      </c>
      <c r="N55" s="654">
        <v>5686606</v>
      </c>
      <c r="O55" s="654">
        <v>0</v>
      </c>
      <c r="P55" s="654">
        <v>0</v>
      </c>
      <c r="Q55" s="654">
        <v>0</v>
      </c>
      <c r="R55" s="654">
        <v>0</v>
      </c>
      <c r="S55" s="654">
        <v>0</v>
      </c>
      <c r="T55" s="654">
        <v>0</v>
      </c>
      <c r="U55" s="654">
        <v>0</v>
      </c>
      <c r="V55" s="654">
        <v>6485</v>
      </c>
      <c r="W55" s="654">
        <v>162589</v>
      </c>
      <c r="X55" s="654">
        <v>0</v>
      </c>
      <c r="Y55" s="654">
        <v>0</v>
      </c>
    </row>
    <row r="56" spans="1:25" x14ac:dyDescent="0.15">
      <c r="A56" s="653" t="s">
        <v>714</v>
      </c>
      <c r="B56"/>
      <c r="D56" s="654">
        <v>21197082</v>
      </c>
      <c r="E56" s="654">
        <v>6280975.5</v>
      </c>
      <c r="F56" s="654">
        <v>7552347</v>
      </c>
      <c r="G56" s="654">
        <v>0</v>
      </c>
      <c r="H56" s="654">
        <v>950000</v>
      </c>
      <c r="I56" s="654">
        <v>1239871</v>
      </c>
      <c r="J56" s="654">
        <v>184391</v>
      </c>
      <c r="K56" s="654">
        <v>16207584.5</v>
      </c>
      <c r="L56" s="654">
        <v>5686606</v>
      </c>
      <c r="M56" s="654">
        <v>0</v>
      </c>
      <c r="N56" s="654">
        <v>5686606</v>
      </c>
      <c r="O56" s="654">
        <v>0</v>
      </c>
      <c r="P56" s="654">
        <v>0</v>
      </c>
      <c r="Q56" s="654">
        <v>0</v>
      </c>
      <c r="R56" s="654">
        <v>0</v>
      </c>
      <c r="S56" s="654">
        <v>0</v>
      </c>
      <c r="T56" s="654">
        <v>0</v>
      </c>
      <c r="U56" s="654">
        <v>0</v>
      </c>
      <c r="V56" s="654">
        <v>6485</v>
      </c>
      <c r="W56" s="654">
        <v>162589</v>
      </c>
      <c r="X56" s="654">
        <v>0</v>
      </c>
      <c r="Y56" s="654">
        <v>0</v>
      </c>
    </row>
    <row r="57" spans="1:25" x14ac:dyDescent="0.15">
      <c r="A57" s="653">
        <v>42064</v>
      </c>
      <c r="B57" t="s">
        <v>669</v>
      </c>
      <c r="C57" t="s">
        <v>659</v>
      </c>
      <c r="D57" s="654">
        <v>24839254</v>
      </c>
      <c r="E57" s="654">
        <v>7046907</v>
      </c>
      <c r="F57" s="654">
        <v>7256111</v>
      </c>
      <c r="G57" s="654">
        <v>0</v>
      </c>
      <c r="H57" s="654">
        <v>950000</v>
      </c>
      <c r="I57" s="654">
        <v>1151698</v>
      </c>
      <c r="J57" s="654">
        <v>107816</v>
      </c>
      <c r="K57" s="654">
        <v>16512532</v>
      </c>
      <c r="L57" s="654">
        <v>5776034</v>
      </c>
      <c r="M57" s="654">
        <v>0</v>
      </c>
      <c r="N57" s="654">
        <v>5776034</v>
      </c>
      <c r="O57" s="654">
        <v>0</v>
      </c>
      <c r="P57" s="654">
        <v>0</v>
      </c>
      <c r="Q57" s="654">
        <v>0</v>
      </c>
      <c r="R57" s="654">
        <v>0</v>
      </c>
      <c r="S57" s="654">
        <v>0</v>
      </c>
      <c r="T57" s="654">
        <v>0</v>
      </c>
      <c r="U57" s="654">
        <v>0</v>
      </c>
      <c r="V57" s="654">
        <v>299959</v>
      </c>
      <c r="W57" s="654">
        <v>177242</v>
      </c>
      <c r="X57" s="654">
        <v>0</v>
      </c>
      <c r="Y57" s="654">
        <v>0</v>
      </c>
    </row>
    <row r="58" spans="1:25" x14ac:dyDescent="0.15">
      <c r="A58" s="653" t="s">
        <v>715</v>
      </c>
      <c r="B58"/>
      <c r="D58" s="654">
        <v>24839254</v>
      </c>
      <c r="E58" s="654">
        <v>7046907</v>
      </c>
      <c r="F58" s="654">
        <v>7256111</v>
      </c>
      <c r="G58" s="654">
        <v>0</v>
      </c>
      <c r="H58" s="654">
        <v>950000</v>
      </c>
      <c r="I58" s="654">
        <v>1151698</v>
      </c>
      <c r="J58" s="654">
        <v>107816</v>
      </c>
      <c r="K58" s="654">
        <v>16512532</v>
      </c>
      <c r="L58" s="654">
        <v>5776034</v>
      </c>
      <c r="M58" s="654">
        <v>0</v>
      </c>
      <c r="N58" s="654">
        <v>5776034</v>
      </c>
      <c r="O58" s="654">
        <v>0</v>
      </c>
      <c r="P58" s="654">
        <v>0</v>
      </c>
      <c r="Q58" s="654">
        <v>0</v>
      </c>
      <c r="R58" s="654">
        <v>0</v>
      </c>
      <c r="S58" s="654">
        <v>0</v>
      </c>
      <c r="T58" s="654">
        <v>0</v>
      </c>
      <c r="U58" s="654">
        <v>0</v>
      </c>
      <c r="V58" s="654">
        <v>299959</v>
      </c>
      <c r="W58" s="654">
        <v>177242</v>
      </c>
      <c r="X58" s="654">
        <v>0</v>
      </c>
      <c r="Y58" s="654">
        <v>0</v>
      </c>
    </row>
    <row r="59" spans="1:25" x14ac:dyDescent="0.15">
      <c r="A59" s="653">
        <v>42095</v>
      </c>
      <c r="B59" t="s">
        <v>669</v>
      </c>
      <c r="C59" t="s">
        <v>659</v>
      </c>
      <c r="D59" s="654">
        <v>24624365</v>
      </c>
      <c r="E59" s="654">
        <v>6997702.5</v>
      </c>
      <c r="F59" s="654">
        <v>6880159</v>
      </c>
      <c r="G59" s="654">
        <v>0</v>
      </c>
      <c r="H59" s="654">
        <v>950000</v>
      </c>
      <c r="I59" s="654">
        <v>1128401</v>
      </c>
      <c r="J59" s="654">
        <v>21973</v>
      </c>
      <c r="K59" s="654">
        <v>15978235.5</v>
      </c>
      <c r="L59" s="654">
        <v>5510538</v>
      </c>
      <c r="M59" s="654">
        <v>0</v>
      </c>
      <c r="N59" s="654">
        <v>5510538</v>
      </c>
      <c r="O59" s="654">
        <v>0</v>
      </c>
      <c r="P59" s="654">
        <v>0</v>
      </c>
      <c r="Q59" s="654">
        <v>0</v>
      </c>
      <c r="R59" s="654">
        <v>0</v>
      </c>
      <c r="S59" s="654">
        <v>0</v>
      </c>
      <c r="T59" s="654">
        <v>0</v>
      </c>
      <c r="U59" s="654">
        <v>0</v>
      </c>
      <c r="V59" s="654">
        <v>4562</v>
      </c>
      <c r="W59" s="654">
        <v>179458</v>
      </c>
      <c r="X59" s="654">
        <v>0</v>
      </c>
      <c r="Y59" s="654">
        <v>0</v>
      </c>
    </row>
    <row r="60" spans="1:25" x14ac:dyDescent="0.15">
      <c r="A60" s="653" t="s">
        <v>716</v>
      </c>
      <c r="B60"/>
      <c r="D60" s="654">
        <v>24624365</v>
      </c>
      <c r="E60" s="654">
        <v>6997702.5</v>
      </c>
      <c r="F60" s="654">
        <v>6880159</v>
      </c>
      <c r="G60" s="654">
        <v>0</v>
      </c>
      <c r="H60" s="654">
        <v>950000</v>
      </c>
      <c r="I60" s="654">
        <v>1128401</v>
      </c>
      <c r="J60" s="654">
        <v>21973</v>
      </c>
      <c r="K60" s="654">
        <v>15978235.5</v>
      </c>
      <c r="L60" s="654">
        <v>5510538</v>
      </c>
      <c r="M60" s="654">
        <v>0</v>
      </c>
      <c r="N60" s="654">
        <v>5510538</v>
      </c>
      <c r="O60" s="654">
        <v>0</v>
      </c>
      <c r="P60" s="654">
        <v>0</v>
      </c>
      <c r="Q60" s="654">
        <v>0</v>
      </c>
      <c r="R60" s="654">
        <v>0</v>
      </c>
      <c r="S60" s="654">
        <v>0</v>
      </c>
      <c r="T60" s="654">
        <v>0</v>
      </c>
      <c r="U60" s="654">
        <v>0</v>
      </c>
      <c r="V60" s="654">
        <v>4562</v>
      </c>
      <c r="W60" s="654">
        <v>179458</v>
      </c>
      <c r="X60" s="654">
        <v>0</v>
      </c>
      <c r="Y60" s="654">
        <v>0</v>
      </c>
    </row>
    <row r="61" spans="1:25" x14ac:dyDescent="0.15">
      <c r="A61" s="653">
        <v>42125</v>
      </c>
      <c r="B61" t="s">
        <v>669</v>
      </c>
      <c r="C61" t="s">
        <v>659</v>
      </c>
      <c r="D61" s="654">
        <v>23452608</v>
      </c>
      <c r="E61" s="654">
        <v>7060328</v>
      </c>
      <c r="F61" s="654">
        <v>6280018</v>
      </c>
      <c r="G61" s="654">
        <v>0</v>
      </c>
      <c r="H61" s="654">
        <v>950000</v>
      </c>
      <c r="I61" s="654">
        <v>1088157</v>
      </c>
      <c r="J61" s="654">
        <v>3100</v>
      </c>
      <c r="K61" s="654">
        <v>15381603</v>
      </c>
      <c r="L61" s="654">
        <v>5340410</v>
      </c>
      <c r="M61" s="654">
        <v>0</v>
      </c>
      <c r="N61" s="654">
        <v>5340410</v>
      </c>
      <c r="O61" s="654">
        <v>0</v>
      </c>
      <c r="P61" s="654">
        <v>0</v>
      </c>
      <c r="Q61" s="654">
        <v>0</v>
      </c>
      <c r="R61" s="654">
        <v>0</v>
      </c>
      <c r="S61" s="654">
        <v>0</v>
      </c>
      <c r="T61" s="654">
        <v>0</v>
      </c>
      <c r="U61" s="654">
        <v>0</v>
      </c>
      <c r="V61" s="654">
        <v>3752</v>
      </c>
      <c r="W61" s="654">
        <v>185890</v>
      </c>
      <c r="X61" s="654">
        <v>0</v>
      </c>
      <c r="Y61" s="654">
        <v>0</v>
      </c>
    </row>
    <row r="62" spans="1:25" x14ac:dyDescent="0.15">
      <c r="A62" s="653" t="s">
        <v>717</v>
      </c>
      <c r="B62"/>
      <c r="D62" s="654">
        <v>23452608</v>
      </c>
      <c r="E62" s="654">
        <v>7060328</v>
      </c>
      <c r="F62" s="654">
        <v>6280018</v>
      </c>
      <c r="G62" s="654">
        <v>0</v>
      </c>
      <c r="H62" s="654">
        <v>950000</v>
      </c>
      <c r="I62" s="654">
        <v>1088157</v>
      </c>
      <c r="J62" s="654">
        <v>3100</v>
      </c>
      <c r="K62" s="654">
        <v>15381603</v>
      </c>
      <c r="L62" s="654">
        <v>5340410</v>
      </c>
      <c r="M62" s="654">
        <v>0</v>
      </c>
      <c r="N62" s="654">
        <v>5340410</v>
      </c>
      <c r="O62" s="654">
        <v>0</v>
      </c>
      <c r="P62" s="654">
        <v>0</v>
      </c>
      <c r="Q62" s="654">
        <v>0</v>
      </c>
      <c r="R62" s="654">
        <v>0</v>
      </c>
      <c r="S62" s="654">
        <v>0</v>
      </c>
      <c r="T62" s="654">
        <v>0</v>
      </c>
      <c r="U62" s="654">
        <v>0</v>
      </c>
      <c r="V62" s="654">
        <v>3752</v>
      </c>
      <c r="W62" s="654">
        <v>185890</v>
      </c>
      <c r="X62" s="654">
        <v>0</v>
      </c>
      <c r="Y62" s="654">
        <v>0</v>
      </c>
    </row>
    <row r="63" spans="1:25" x14ac:dyDescent="0.15">
      <c r="A63" s="653">
        <v>42156</v>
      </c>
      <c r="B63" t="s">
        <v>669</v>
      </c>
      <c r="C63" t="s">
        <v>659</v>
      </c>
      <c r="D63" s="654">
        <v>25915317</v>
      </c>
      <c r="E63" s="654">
        <v>7453412.5</v>
      </c>
      <c r="F63" s="654">
        <v>6661581</v>
      </c>
      <c r="G63" s="654">
        <v>4288547</v>
      </c>
      <c r="H63" s="654">
        <v>950000</v>
      </c>
      <c r="I63" s="654">
        <v>2561200</v>
      </c>
      <c r="J63" s="654">
        <v>29571</v>
      </c>
      <c r="K63" s="654">
        <v>21944311.5</v>
      </c>
      <c r="L63" s="654">
        <v>5544030</v>
      </c>
      <c r="M63" s="654">
        <v>0</v>
      </c>
      <c r="N63" s="654">
        <v>5544030</v>
      </c>
      <c r="O63" s="654">
        <v>0</v>
      </c>
      <c r="P63" s="654">
        <v>0</v>
      </c>
      <c r="Q63" s="654">
        <v>0</v>
      </c>
      <c r="R63" s="654">
        <v>0</v>
      </c>
      <c r="S63" s="654">
        <v>0</v>
      </c>
      <c r="T63" s="654">
        <v>0</v>
      </c>
      <c r="U63" s="654">
        <v>0</v>
      </c>
      <c r="V63" s="654">
        <v>6659</v>
      </c>
      <c r="W63" s="654">
        <v>185547</v>
      </c>
      <c r="X63" s="654">
        <v>0</v>
      </c>
      <c r="Y63" s="654">
        <v>0</v>
      </c>
    </row>
    <row r="64" spans="1:25" x14ac:dyDescent="0.15">
      <c r="A64" s="653" t="s">
        <v>718</v>
      </c>
      <c r="B64"/>
      <c r="D64" s="654">
        <v>25915317</v>
      </c>
      <c r="E64" s="654">
        <v>7453412.5</v>
      </c>
      <c r="F64" s="654">
        <v>6661581</v>
      </c>
      <c r="G64" s="654">
        <v>4288547</v>
      </c>
      <c r="H64" s="654">
        <v>950000</v>
      </c>
      <c r="I64" s="654">
        <v>2561200</v>
      </c>
      <c r="J64" s="654">
        <v>29571</v>
      </c>
      <c r="K64" s="654">
        <v>21944311.5</v>
      </c>
      <c r="L64" s="654">
        <v>5544030</v>
      </c>
      <c r="M64" s="654">
        <v>0</v>
      </c>
      <c r="N64" s="654">
        <v>5544030</v>
      </c>
      <c r="O64" s="654">
        <v>0</v>
      </c>
      <c r="P64" s="654">
        <v>0</v>
      </c>
      <c r="Q64" s="654">
        <v>0</v>
      </c>
      <c r="R64" s="654">
        <v>0</v>
      </c>
      <c r="S64" s="654">
        <v>0</v>
      </c>
      <c r="T64" s="654">
        <v>0</v>
      </c>
      <c r="U64" s="654">
        <v>0</v>
      </c>
      <c r="V64" s="654">
        <v>6659</v>
      </c>
      <c r="W64" s="654">
        <v>185547</v>
      </c>
      <c r="X64" s="654">
        <v>0</v>
      </c>
      <c r="Y64" s="654">
        <v>0</v>
      </c>
    </row>
    <row r="65" spans="1:25" x14ac:dyDescent="0.15">
      <c r="A65" s="653">
        <v>42186</v>
      </c>
      <c r="B65" t="s">
        <v>669</v>
      </c>
      <c r="C65" t="s">
        <v>659</v>
      </c>
      <c r="D65" s="654">
        <v>24770526</v>
      </c>
      <c r="E65" s="654">
        <v>7357788</v>
      </c>
      <c r="F65" s="654">
        <v>6855020</v>
      </c>
      <c r="G65" s="654">
        <v>0</v>
      </c>
      <c r="H65" s="654">
        <v>950000</v>
      </c>
      <c r="I65" s="654">
        <v>2712263.0000000005</v>
      </c>
      <c r="J65" s="654">
        <v>95780</v>
      </c>
      <c r="K65" s="654">
        <v>17970851</v>
      </c>
      <c r="L65" s="654">
        <v>5707416</v>
      </c>
      <c r="M65" s="654">
        <v>0</v>
      </c>
      <c r="N65" s="654">
        <v>5707416</v>
      </c>
      <c r="O65" s="654">
        <v>0</v>
      </c>
      <c r="P65" s="654">
        <v>0</v>
      </c>
      <c r="Q65" s="654">
        <v>0</v>
      </c>
      <c r="R65" s="654">
        <v>0</v>
      </c>
      <c r="S65" s="654">
        <v>0</v>
      </c>
      <c r="T65" s="654">
        <v>0</v>
      </c>
      <c r="U65" s="654">
        <v>0</v>
      </c>
      <c r="V65" s="654">
        <v>85300</v>
      </c>
      <c r="W65" s="654">
        <v>172017</v>
      </c>
      <c r="X65" s="654">
        <v>0</v>
      </c>
      <c r="Y65" s="654">
        <v>0</v>
      </c>
    </row>
    <row r="66" spans="1:25" x14ac:dyDescent="0.15">
      <c r="A66" s="653" t="s">
        <v>719</v>
      </c>
      <c r="B66"/>
      <c r="D66" s="654">
        <v>24770526</v>
      </c>
      <c r="E66" s="654">
        <v>7357788</v>
      </c>
      <c r="F66" s="654">
        <v>6855020</v>
      </c>
      <c r="G66" s="654">
        <v>0</v>
      </c>
      <c r="H66" s="654">
        <v>950000</v>
      </c>
      <c r="I66" s="654">
        <v>2712263.0000000005</v>
      </c>
      <c r="J66" s="654">
        <v>95780</v>
      </c>
      <c r="K66" s="654">
        <v>17970851</v>
      </c>
      <c r="L66" s="654">
        <v>5707416</v>
      </c>
      <c r="M66" s="654">
        <v>0</v>
      </c>
      <c r="N66" s="654">
        <v>5707416</v>
      </c>
      <c r="O66" s="654">
        <v>0</v>
      </c>
      <c r="P66" s="654">
        <v>0</v>
      </c>
      <c r="Q66" s="654">
        <v>0</v>
      </c>
      <c r="R66" s="654">
        <v>0</v>
      </c>
      <c r="S66" s="654">
        <v>0</v>
      </c>
      <c r="T66" s="654">
        <v>0</v>
      </c>
      <c r="U66" s="654">
        <v>0</v>
      </c>
      <c r="V66" s="654">
        <v>85300</v>
      </c>
      <c r="W66" s="654">
        <v>172017</v>
      </c>
      <c r="X66" s="654">
        <v>0</v>
      </c>
      <c r="Y66" s="654">
        <v>0</v>
      </c>
    </row>
    <row r="67" spans="1:25" x14ac:dyDescent="0.15">
      <c r="A67" s="653">
        <v>42217</v>
      </c>
      <c r="B67" t="s">
        <v>669</v>
      </c>
      <c r="C67" t="s">
        <v>659</v>
      </c>
      <c r="D67" s="654">
        <v>22736259</v>
      </c>
      <c r="E67" s="654">
        <v>7227508.5</v>
      </c>
      <c r="F67" s="654">
        <v>6975212</v>
      </c>
      <c r="G67" s="654">
        <v>0</v>
      </c>
      <c r="H67" s="654">
        <v>950000</v>
      </c>
      <c r="I67" s="654">
        <v>973676</v>
      </c>
      <c r="J67" s="654">
        <v>136042</v>
      </c>
      <c r="K67" s="654">
        <v>16262438.5</v>
      </c>
      <c r="L67" s="654">
        <v>6110806</v>
      </c>
      <c r="M67" s="654">
        <v>0</v>
      </c>
      <c r="N67" s="654">
        <v>6110806</v>
      </c>
      <c r="O67" s="654">
        <v>0</v>
      </c>
      <c r="P67" s="654">
        <v>0</v>
      </c>
      <c r="Q67" s="654">
        <v>0</v>
      </c>
      <c r="R67" s="654">
        <v>0</v>
      </c>
      <c r="S67" s="654">
        <v>0</v>
      </c>
      <c r="T67" s="654">
        <v>0</v>
      </c>
      <c r="U67" s="654">
        <v>0</v>
      </c>
      <c r="V67" s="654">
        <v>6744</v>
      </c>
      <c r="W67" s="654">
        <v>181841</v>
      </c>
      <c r="X67" s="654">
        <v>0</v>
      </c>
      <c r="Y67" s="654">
        <v>0</v>
      </c>
    </row>
    <row r="68" spans="1:25" x14ac:dyDescent="0.15">
      <c r="A68" s="653" t="s">
        <v>720</v>
      </c>
      <c r="B68"/>
      <c r="D68" s="654">
        <v>22736259</v>
      </c>
      <c r="E68" s="654">
        <v>7227508.5</v>
      </c>
      <c r="F68" s="654">
        <v>6975212</v>
      </c>
      <c r="G68" s="654">
        <v>0</v>
      </c>
      <c r="H68" s="654">
        <v>950000</v>
      </c>
      <c r="I68" s="654">
        <v>973676</v>
      </c>
      <c r="J68" s="654">
        <v>136042</v>
      </c>
      <c r="K68" s="654">
        <v>16262438.5</v>
      </c>
      <c r="L68" s="654">
        <v>6110806</v>
      </c>
      <c r="M68" s="654">
        <v>0</v>
      </c>
      <c r="N68" s="654">
        <v>6110806</v>
      </c>
      <c r="O68" s="654">
        <v>0</v>
      </c>
      <c r="P68" s="654">
        <v>0</v>
      </c>
      <c r="Q68" s="654">
        <v>0</v>
      </c>
      <c r="R68" s="654">
        <v>0</v>
      </c>
      <c r="S68" s="654">
        <v>0</v>
      </c>
      <c r="T68" s="654">
        <v>0</v>
      </c>
      <c r="U68" s="654">
        <v>0</v>
      </c>
      <c r="V68" s="654">
        <v>6744</v>
      </c>
      <c r="W68" s="654">
        <v>181841</v>
      </c>
      <c r="X68" s="654">
        <v>0</v>
      </c>
      <c r="Y68" s="654">
        <v>0</v>
      </c>
    </row>
    <row r="69" spans="1:25" x14ac:dyDescent="0.15">
      <c r="A69" s="653">
        <v>42248</v>
      </c>
      <c r="B69" t="s">
        <v>669</v>
      </c>
      <c r="C69" t="s">
        <v>659</v>
      </c>
      <c r="D69" s="654">
        <v>24183832</v>
      </c>
      <c r="E69" s="654">
        <v>7302559</v>
      </c>
      <c r="F69" s="654">
        <v>5985683</v>
      </c>
      <c r="G69" s="654">
        <v>0</v>
      </c>
      <c r="H69" s="654">
        <v>1600000</v>
      </c>
      <c r="I69" s="654">
        <v>1014210</v>
      </c>
      <c r="J69" s="654">
        <v>18296</v>
      </c>
      <c r="K69" s="654">
        <v>15920748</v>
      </c>
      <c r="L69" s="654">
        <v>5431909</v>
      </c>
      <c r="M69" s="654">
        <v>0</v>
      </c>
      <c r="N69" s="654">
        <v>5431909</v>
      </c>
      <c r="O69" s="654">
        <v>0</v>
      </c>
      <c r="P69" s="654">
        <v>0</v>
      </c>
      <c r="Q69" s="654">
        <v>0</v>
      </c>
      <c r="R69" s="654">
        <v>0</v>
      </c>
      <c r="S69" s="654">
        <v>0</v>
      </c>
      <c r="T69" s="654">
        <v>0</v>
      </c>
      <c r="U69" s="654">
        <v>0</v>
      </c>
      <c r="V69" s="654">
        <v>7034</v>
      </c>
      <c r="W69" s="654">
        <v>160811</v>
      </c>
      <c r="X69" s="654">
        <v>0</v>
      </c>
      <c r="Y69" s="654">
        <v>0</v>
      </c>
    </row>
    <row r="70" spans="1:25" x14ac:dyDescent="0.15">
      <c r="A70" s="653" t="s">
        <v>721</v>
      </c>
      <c r="B70"/>
      <c r="D70" s="654">
        <v>24183832</v>
      </c>
      <c r="E70" s="654">
        <v>7302559</v>
      </c>
      <c r="F70" s="654">
        <v>5985683</v>
      </c>
      <c r="G70" s="654">
        <v>0</v>
      </c>
      <c r="H70" s="654">
        <v>1600000</v>
      </c>
      <c r="I70" s="654">
        <v>1014210</v>
      </c>
      <c r="J70" s="654">
        <v>18296</v>
      </c>
      <c r="K70" s="654">
        <v>15920748</v>
      </c>
      <c r="L70" s="654">
        <v>5431909</v>
      </c>
      <c r="M70" s="654">
        <v>0</v>
      </c>
      <c r="N70" s="654">
        <v>5431909</v>
      </c>
      <c r="O70" s="654">
        <v>0</v>
      </c>
      <c r="P70" s="654">
        <v>0</v>
      </c>
      <c r="Q70" s="654">
        <v>0</v>
      </c>
      <c r="R70" s="654">
        <v>0</v>
      </c>
      <c r="S70" s="654">
        <v>0</v>
      </c>
      <c r="T70" s="654">
        <v>0</v>
      </c>
      <c r="U70" s="654">
        <v>0</v>
      </c>
      <c r="V70" s="654">
        <v>7034</v>
      </c>
      <c r="W70" s="654">
        <v>160811</v>
      </c>
      <c r="X70" s="654">
        <v>0</v>
      </c>
      <c r="Y70" s="654">
        <v>0</v>
      </c>
    </row>
    <row r="71" spans="1:25" x14ac:dyDescent="0.15">
      <c r="A71" s="653">
        <v>42278</v>
      </c>
      <c r="B71" t="s">
        <v>669</v>
      </c>
      <c r="C71" t="s">
        <v>659</v>
      </c>
      <c r="D71" s="654">
        <v>25209324</v>
      </c>
      <c r="E71" s="654">
        <v>7637522</v>
      </c>
      <c r="F71" s="654">
        <v>6282091</v>
      </c>
      <c r="G71" s="654">
        <v>0</v>
      </c>
      <c r="H71" s="654">
        <v>1600000</v>
      </c>
      <c r="I71" s="654">
        <v>1716594</v>
      </c>
      <c r="J71" s="654">
        <v>469676</v>
      </c>
      <c r="K71" s="654">
        <v>17705883</v>
      </c>
      <c r="L71" s="654">
        <v>7207855</v>
      </c>
      <c r="M71" s="654">
        <v>0</v>
      </c>
      <c r="N71" s="654">
        <v>7207855</v>
      </c>
      <c r="O71" s="654">
        <v>0</v>
      </c>
      <c r="P71" s="654">
        <v>0</v>
      </c>
      <c r="Q71" s="654">
        <v>0</v>
      </c>
      <c r="R71" s="654">
        <v>0</v>
      </c>
      <c r="S71" s="654">
        <v>0</v>
      </c>
      <c r="T71" s="654">
        <v>0</v>
      </c>
      <c r="U71" s="654">
        <v>0</v>
      </c>
      <c r="V71" s="654">
        <v>5668</v>
      </c>
      <c r="W71" s="654">
        <v>164158</v>
      </c>
      <c r="X71" s="654">
        <v>0</v>
      </c>
      <c r="Y71" s="654">
        <v>0</v>
      </c>
    </row>
    <row r="72" spans="1:25" x14ac:dyDescent="0.15">
      <c r="A72" s="653" t="s">
        <v>722</v>
      </c>
      <c r="B72"/>
      <c r="D72" s="654">
        <v>25209324</v>
      </c>
      <c r="E72" s="654">
        <v>7637522</v>
      </c>
      <c r="F72" s="654">
        <v>6282091</v>
      </c>
      <c r="G72" s="654">
        <v>0</v>
      </c>
      <c r="H72" s="654">
        <v>1600000</v>
      </c>
      <c r="I72" s="654">
        <v>1716594</v>
      </c>
      <c r="J72" s="654">
        <v>469676</v>
      </c>
      <c r="K72" s="654">
        <v>17705883</v>
      </c>
      <c r="L72" s="654">
        <v>7207855</v>
      </c>
      <c r="M72" s="654">
        <v>0</v>
      </c>
      <c r="N72" s="654">
        <v>7207855</v>
      </c>
      <c r="O72" s="654">
        <v>0</v>
      </c>
      <c r="P72" s="654">
        <v>0</v>
      </c>
      <c r="Q72" s="654">
        <v>0</v>
      </c>
      <c r="R72" s="654">
        <v>0</v>
      </c>
      <c r="S72" s="654">
        <v>0</v>
      </c>
      <c r="T72" s="654">
        <v>0</v>
      </c>
      <c r="U72" s="654">
        <v>0</v>
      </c>
      <c r="V72" s="654">
        <v>5668</v>
      </c>
      <c r="W72" s="654">
        <v>164158</v>
      </c>
      <c r="X72" s="654">
        <v>0</v>
      </c>
      <c r="Y72" s="654">
        <v>0</v>
      </c>
    </row>
    <row r="73" spans="1:25" x14ac:dyDescent="0.15">
      <c r="A73" s="653">
        <v>42309</v>
      </c>
      <c r="B73" t="s">
        <v>669</v>
      </c>
      <c r="C73" t="s">
        <v>659</v>
      </c>
      <c r="D73" s="654">
        <v>24327588</v>
      </c>
      <c r="E73" s="654">
        <v>7459224</v>
      </c>
      <c r="F73" s="654">
        <v>6382566</v>
      </c>
      <c r="G73" s="654">
        <v>0</v>
      </c>
      <c r="H73" s="654">
        <v>2150000</v>
      </c>
      <c r="I73" s="654">
        <v>1100436</v>
      </c>
      <c r="J73" s="654">
        <v>64809</v>
      </c>
      <c r="K73" s="654">
        <v>17157035</v>
      </c>
      <c r="L73" s="654">
        <v>6483122</v>
      </c>
      <c r="M73" s="654">
        <v>0</v>
      </c>
      <c r="N73" s="654">
        <v>6483122</v>
      </c>
      <c r="O73" s="654">
        <v>0</v>
      </c>
      <c r="P73" s="654">
        <v>0</v>
      </c>
      <c r="Q73" s="654">
        <v>0</v>
      </c>
      <c r="R73" s="654">
        <v>0</v>
      </c>
      <c r="S73" s="654">
        <v>0</v>
      </c>
      <c r="T73" s="654">
        <v>0</v>
      </c>
      <c r="U73" s="654">
        <v>0</v>
      </c>
      <c r="V73" s="654">
        <v>6605</v>
      </c>
      <c r="W73" s="654">
        <v>163520</v>
      </c>
      <c r="X73" s="654">
        <v>0</v>
      </c>
      <c r="Y73" s="654">
        <v>0</v>
      </c>
    </row>
    <row r="74" spans="1:25" x14ac:dyDescent="0.15">
      <c r="A74" s="653" t="s">
        <v>723</v>
      </c>
      <c r="B74"/>
      <c r="D74" s="654">
        <v>24327588</v>
      </c>
      <c r="E74" s="654">
        <v>7459224</v>
      </c>
      <c r="F74" s="654">
        <v>6382566</v>
      </c>
      <c r="G74" s="654">
        <v>0</v>
      </c>
      <c r="H74" s="654">
        <v>2150000</v>
      </c>
      <c r="I74" s="654">
        <v>1100436</v>
      </c>
      <c r="J74" s="654">
        <v>64809</v>
      </c>
      <c r="K74" s="654">
        <v>17157035</v>
      </c>
      <c r="L74" s="654">
        <v>6483122</v>
      </c>
      <c r="M74" s="654">
        <v>0</v>
      </c>
      <c r="N74" s="654">
        <v>6483122</v>
      </c>
      <c r="O74" s="654">
        <v>0</v>
      </c>
      <c r="P74" s="654">
        <v>0</v>
      </c>
      <c r="Q74" s="654">
        <v>0</v>
      </c>
      <c r="R74" s="654">
        <v>0</v>
      </c>
      <c r="S74" s="654">
        <v>0</v>
      </c>
      <c r="T74" s="654">
        <v>0</v>
      </c>
      <c r="U74" s="654">
        <v>0</v>
      </c>
      <c r="V74" s="654">
        <v>6605</v>
      </c>
      <c r="W74" s="654">
        <v>163520</v>
      </c>
      <c r="X74" s="654">
        <v>0</v>
      </c>
      <c r="Y74" s="654">
        <v>0</v>
      </c>
    </row>
    <row r="75" spans="1:25" x14ac:dyDescent="0.15">
      <c r="A75" s="653">
        <v>42339</v>
      </c>
      <c r="B75" t="s">
        <v>669</v>
      </c>
      <c r="C75" t="s">
        <v>659</v>
      </c>
      <c r="D75" s="654">
        <v>25066638</v>
      </c>
      <c r="E75" s="654">
        <v>8689429</v>
      </c>
      <c r="F75" s="654">
        <v>7077423</v>
      </c>
      <c r="G75" s="654">
        <v>7159778</v>
      </c>
      <c r="H75" s="654">
        <v>2150000</v>
      </c>
      <c r="I75" s="654">
        <v>136932</v>
      </c>
      <c r="J75" s="654">
        <v>754129</v>
      </c>
      <c r="K75" s="654">
        <v>25967691</v>
      </c>
      <c r="L75" s="654">
        <v>6330094</v>
      </c>
      <c r="M75" s="654">
        <v>0</v>
      </c>
      <c r="N75" s="654">
        <v>6330094</v>
      </c>
      <c r="O75" s="654">
        <v>0</v>
      </c>
      <c r="P75" s="654">
        <v>0</v>
      </c>
      <c r="Q75" s="654">
        <v>0</v>
      </c>
      <c r="R75" s="654">
        <v>0</v>
      </c>
      <c r="S75" s="654">
        <v>0</v>
      </c>
      <c r="T75" s="654">
        <v>0</v>
      </c>
      <c r="U75" s="654">
        <v>0</v>
      </c>
      <c r="V75" s="654">
        <v>4094</v>
      </c>
      <c r="W75" s="654">
        <v>245115</v>
      </c>
      <c r="X75" s="654">
        <v>0</v>
      </c>
      <c r="Y75" s="654">
        <v>0</v>
      </c>
    </row>
    <row r="76" spans="1:25" x14ac:dyDescent="0.15">
      <c r="A76" s="653" t="s">
        <v>724</v>
      </c>
      <c r="B76"/>
      <c r="D76" s="654">
        <v>25066638</v>
      </c>
      <c r="E76" s="654">
        <v>8689429</v>
      </c>
      <c r="F76" s="654">
        <v>7077423</v>
      </c>
      <c r="G76" s="654">
        <v>7159778</v>
      </c>
      <c r="H76" s="654">
        <v>2150000</v>
      </c>
      <c r="I76" s="654">
        <v>136932</v>
      </c>
      <c r="J76" s="654">
        <v>754129</v>
      </c>
      <c r="K76" s="654">
        <v>25967691</v>
      </c>
      <c r="L76" s="654">
        <v>6330094</v>
      </c>
      <c r="M76" s="654">
        <v>0</v>
      </c>
      <c r="N76" s="654">
        <v>6330094</v>
      </c>
      <c r="O76" s="654">
        <v>0</v>
      </c>
      <c r="P76" s="654">
        <v>0</v>
      </c>
      <c r="Q76" s="654">
        <v>0</v>
      </c>
      <c r="R76" s="654">
        <v>0</v>
      </c>
      <c r="S76" s="654">
        <v>0</v>
      </c>
      <c r="T76" s="654">
        <v>0</v>
      </c>
      <c r="U76" s="654">
        <v>0</v>
      </c>
      <c r="V76" s="654">
        <v>4094</v>
      </c>
      <c r="W76" s="654">
        <v>245115</v>
      </c>
      <c r="X76" s="654">
        <v>0</v>
      </c>
      <c r="Y76" s="654">
        <v>0</v>
      </c>
    </row>
    <row r="77" spans="1:25" x14ac:dyDescent="0.15">
      <c r="A77" s="653">
        <v>42370</v>
      </c>
      <c r="B77" t="s">
        <v>669</v>
      </c>
      <c r="C77" t="s">
        <v>659</v>
      </c>
      <c r="D77" s="654">
        <v>24726456</v>
      </c>
      <c r="E77" s="654">
        <v>8181596</v>
      </c>
      <c r="F77" s="654">
        <v>6684531</v>
      </c>
      <c r="G77" s="654">
        <v>0</v>
      </c>
      <c r="H77" s="654">
        <v>2150000</v>
      </c>
      <c r="I77" s="654">
        <v>3791051</v>
      </c>
      <c r="J77" s="654">
        <v>157534</v>
      </c>
      <c r="K77" s="654">
        <v>20964712</v>
      </c>
      <c r="L77" s="654">
        <v>5855995</v>
      </c>
      <c r="M77" s="654">
        <v>0</v>
      </c>
      <c r="N77" s="654">
        <v>5855995</v>
      </c>
      <c r="O77" s="654">
        <v>0</v>
      </c>
      <c r="P77" s="654">
        <v>0</v>
      </c>
      <c r="Q77" s="654">
        <v>0</v>
      </c>
      <c r="R77" s="654">
        <v>0</v>
      </c>
      <c r="S77" s="654">
        <v>0</v>
      </c>
      <c r="T77" s="654">
        <v>0</v>
      </c>
      <c r="U77" s="654">
        <v>0</v>
      </c>
      <c r="V77" s="654">
        <v>24483</v>
      </c>
      <c r="W77" s="654">
        <v>185448</v>
      </c>
      <c r="X77" s="654">
        <v>0</v>
      </c>
      <c r="Y77" s="654">
        <v>0</v>
      </c>
    </row>
    <row r="78" spans="1:25" x14ac:dyDescent="0.15">
      <c r="A78" s="653" t="s">
        <v>725</v>
      </c>
      <c r="B78"/>
      <c r="D78" s="654">
        <v>24726456</v>
      </c>
      <c r="E78" s="654">
        <v>8181596</v>
      </c>
      <c r="F78" s="654">
        <v>6684531</v>
      </c>
      <c r="G78" s="654">
        <v>0</v>
      </c>
      <c r="H78" s="654">
        <v>2150000</v>
      </c>
      <c r="I78" s="654">
        <v>3791051</v>
      </c>
      <c r="J78" s="654">
        <v>157534</v>
      </c>
      <c r="K78" s="654">
        <v>20964712</v>
      </c>
      <c r="L78" s="654">
        <v>5855995</v>
      </c>
      <c r="M78" s="654">
        <v>0</v>
      </c>
      <c r="N78" s="654">
        <v>5855995</v>
      </c>
      <c r="O78" s="654">
        <v>0</v>
      </c>
      <c r="P78" s="654">
        <v>0</v>
      </c>
      <c r="Q78" s="654">
        <v>0</v>
      </c>
      <c r="R78" s="654">
        <v>0</v>
      </c>
      <c r="S78" s="654">
        <v>0</v>
      </c>
      <c r="T78" s="654">
        <v>0</v>
      </c>
      <c r="U78" s="654">
        <v>0</v>
      </c>
      <c r="V78" s="654">
        <v>24483</v>
      </c>
      <c r="W78" s="654">
        <v>185448</v>
      </c>
      <c r="X78" s="654">
        <v>0</v>
      </c>
      <c r="Y78" s="654">
        <v>0</v>
      </c>
    </row>
    <row r="79" spans="1:25" x14ac:dyDescent="0.15">
      <c r="A79" s="653">
        <v>42401</v>
      </c>
      <c r="B79" t="s">
        <v>669</v>
      </c>
      <c r="C79" t="s">
        <v>659</v>
      </c>
      <c r="D79" s="654">
        <v>25728423</v>
      </c>
      <c r="E79" s="654">
        <v>8007802</v>
      </c>
      <c r="F79" s="654">
        <v>6664051</v>
      </c>
      <c r="G79" s="654">
        <v>0</v>
      </c>
      <c r="H79" s="654">
        <v>2150000</v>
      </c>
      <c r="I79" s="654">
        <v>1094134</v>
      </c>
      <c r="J79" s="654">
        <v>229776</v>
      </c>
      <c r="K79" s="654">
        <v>18145763</v>
      </c>
      <c r="L79" s="654">
        <v>6303902</v>
      </c>
      <c r="M79" s="654">
        <v>0</v>
      </c>
      <c r="N79" s="654">
        <v>6303902</v>
      </c>
      <c r="O79" s="654">
        <v>0</v>
      </c>
      <c r="P79" s="654">
        <v>0</v>
      </c>
      <c r="Q79" s="654">
        <v>0</v>
      </c>
      <c r="R79" s="654">
        <v>0</v>
      </c>
      <c r="S79" s="654">
        <v>0</v>
      </c>
      <c r="T79" s="654">
        <v>0</v>
      </c>
      <c r="U79" s="654">
        <v>0</v>
      </c>
      <c r="V79" s="654">
        <v>5406</v>
      </c>
      <c r="W79" s="654">
        <v>177994</v>
      </c>
      <c r="X79" s="654">
        <v>0</v>
      </c>
      <c r="Y79" s="654">
        <v>0</v>
      </c>
    </row>
    <row r="80" spans="1:25" x14ac:dyDescent="0.15">
      <c r="A80" s="653" t="s">
        <v>726</v>
      </c>
      <c r="B80"/>
      <c r="D80" s="654">
        <v>25728423</v>
      </c>
      <c r="E80" s="654">
        <v>8007802</v>
      </c>
      <c r="F80" s="654">
        <v>6664051</v>
      </c>
      <c r="G80" s="654">
        <v>0</v>
      </c>
      <c r="H80" s="654">
        <v>2150000</v>
      </c>
      <c r="I80" s="654">
        <v>1094134</v>
      </c>
      <c r="J80" s="654">
        <v>229776</v>
      </c>
      <c r="K80" s="654">
        <v>18145763</v>
      </c>
      <c r="L80" s="654">
        <v>6303902</v>
      </c>
      <c r="M80" s="654">
        <v>0</v>
      </c>
      <c r="N80" s="654">
        <v>6303902</v>
      </c>
      <c r="O80" s="654">
        <v>0</v>
      </c>
      <c r="P80" s="654">
        <v>0</v>
      </c>
      <c r="Q80" s="654">
        <v>0</v>
      </c>
      <c r="R80" s="654">
        <v>0</v>
      </c>
      <c r="S80" s="654">
        <v>0</v>
      </c>
      <c r="T80" s="654">
        <v>0</v>
      </c>
      <c r="U80" s="654">
        <v>0</v>
      </c>
      <c r="V80" s="654">
        <v>5406</v>
      </c>
      <c r="W80" s="654">
        <v>177994</v>
      </c>
      <c r="X80" s="654">
        <v>0</v>
      </c>
      <c r="Y80" s="654">
        <v>0</v>
      </c>
    </row>
    <row r="81" spans="1:25" x14ac:dyDescent="0.15">
      <c r="A81" s="653">
        <v>42430</v>
      </c>
      <c r="B81" t="s">
        <v>669</v>
      </c>
      <c r="C81" t="s">
        <v>659</v>
      </c>
      <c r="D81" s="654">
        <v>28422503</v>
      </c>
      <c r="E81" s="654">
        <v>8183667</v>
      </c>
      <c r="F81" s="654">
        <v>6680143</v>
      </c>
      <c r="G81" s="654">
        <v>0</v>
      </c>
      <c r="H81" s="654">
        <v>2150000</v>
      </c>
      <c r="I81" s="654">
        <v>1056702</v>
      </c>
      <c r="J81" s="654">
        <v>137383</v>
      </c>
      <c r="K81" s="654">
        <v>18207895</v>
      </c>
      <c r="L81" s="654">
        <v>6930716</v>
      </c>
      <c r="M81" s="654">
        <v>0</v>
      </c>
      <c r="N81" s="654">
        <v>6930716</v>
      </c>
      <c r="O81" s="654">
        <v>0</v>
      </c>
      <c r="P81" s="654">
        <v>0</v>
      </c>
      <c r="Q81" s="654">
        <v>0</v>
      </c>
      <c r="R81" s="654">
        <v>0</v>
      </c>
      <c r="S81" s="654">
        <v>0</v>
      </c>
      <c r="T81" s="654">
        <v>0</v>
      </c>
      <c r="U81" s="654">
        <v>0</v>
      </c>
      <c r="V81" s="654">
        <v>220123</v>
      </c>
      <c r="W81" s="654">
        <v>168038</v>
      </c>
      <c r="X81" s="654">
        <v>0</v>
      </c>
      <c r="Y81" s="654">
        <v>0</v>
      </c>
    </row>
    <row r="82" spans="1:25" x14ac:dyDescent="0.15">
      <c r="A82" s="653" t="s">
        <v>727</v>
      </c>
      <c r="B82"/>
      <c r="D82" s="654">
        <v>28422503</v>
      </c>
      <c r="E82" s="654">
        <v>8183667</v>
      </c>
      <c r="F82" s="654">
        <v>6680143</v>
      </c>
      <c r="G82" s="654">
        <v>0</v>
      </c>
      <c r="H82" s="654">
        <v>2150000</v>
      </c>
      <c r="I82" s="654">
        <v>1056702</v>
      </c>
      <c r="J82" s="654">
        <v>137383</v>
      </c>
      <c r="K82" s="654">
        <v>18207895</v>
      </c>
      <c r="L82" s="654">
        <v>6930716</v>
      </c>
      <c r="M82" s="654">
        <v>0</v>
      </c>
      <c r="N82" s="654">
        <v>6930716</v>
      </c>
      <c r="O82" s="654">
        <v>0</v>
      </c>
      <c r="P82" s="654">
        <v>0</v>
      </c>
      <c r="Q82" s="654">
        <v>0</v>
      </c>
      <c r="R82" s="654">
        <v>0</v>
      </c>
      <c r="S82" s="654">
        <v>0</v>
      </c>
      <c r="T82" s="654">
        <v>0</v>
      </c>
      <c r="U82" s="654">
        <v>0</v>
      </c>
      <c r="V82" s="654">
        <v>220123</v>
      </c>
      <c r="W82" s="654">
        <v>168038</v>
      </c>
      <c r="X82" s="654">
        <v>0</v>
      </c>
      <c r="Y82" s="654">
        <v>0</v>
      </c>
    </row>
    <row r="83" spans="1:25" x14ac:dyDescent="0.15">
      <c r="A83" s="653">
        <v>42461</v>
      </c>
      <c r="B83" t="s">
        <v>669</v>
      </c>
      <c r="C83" t="s">
        <v>659</v>
      </c>
      <c r="D83" s="654">
        <v>27348721</v>
      </c>
      <c r="E83" s="654">
        <v>7818980</v>
      </c>
      <c r="F83" s="654">
        <v>7593208</v>
      </c>
      <c r="G83" s="654">
        <v>0</v>
      </c>
      <c r="H83" s="654">
        <v>2150000</v>
      </c>
      <c r="I83" s="654">
        <v>1076053</v>
      </c>
      <c r="J83" s="654">
        <v>61551</v>
      </c>
      <c r="K83" s="654">
        <v>18699792</v>
      </c>
      <c r="L83" s="654">
        <v>5942711</v>
      </c>
      <c r="M83" s="654">
        <v>0</v>
      </c>
      <c r="N83" s="654">
        <v>5942711</v>
      </c>
      <c r="O83" s="654">
        <v>0</v>
      </c>
      <c r="P83" s="654">
        <v>0</v>
      </c>
      <c r="Q83" s="654">
        <v>0</v>
      </c>
      <c r="R83" s="654">
        <v>0</v>
      </c>
      <c r="S83" s="654">
        <v>0</v>
      </c>
      <c r="T83" s="654">
        <v>0</v>
      </c>
      <c r="U83" s="654">
        <v>0</v>
      </c>
      <c r="V83" s="654">
        <v>3631</v>
      </c>
      <c r="W83" s="654">
        <v>168798</v>
      </c>
      <c r="X83" s="654">
        <v>0</v>
      </c>
      <c r="Y83" s="654">
        <v>0</v>
      </c>
    </row>
    <row r="84" spans="1:25" x14ac:dyDescent="0.15">
      <c r="A84" s="653" t="s">
        <v>728</v>
      </c>
      <c r="B84"/>
      <c r="D84" s="654">
        <v>27348721</v>
      </c>
      <c r="E84" s="654">
        <v>7818980</v>
      </c>
      <c r="F84" s="654">
        <v>7593208</v>
      </c>
      <c r="G84" s="654">
        <v>0</v>
      </c>
      <c r="H84" s="654">
        <v>2150000</v>
      </c>
      <c r="I84" s="654">
        <v>1076053</v>
      </c>
      <c r="J84" s="654">
        <v>61551</v>
      </c>
      <c r="K84" s="654">
        <v>18699792</v>
      </c>
      <c r="L84" s="654">
        <v>5942711</v>
      </c>
      <c r="M84" s="654">
        <v>0</v>
      </c>
      <c r="N84" s="654">
        <v>5942711</v>
      </c>
      <c r="O84" s="654">
        <v>0</v>
      </c>
      <c r="P84" s="654">
        <v>0</v>
      </c>
      <c r="Q84" s="654">
        <v>0</v>
      </c>
      <c r="R84" s="654">
        <v>0</v>
      </c>
      <c r="S84" s="654">
        <v>0</v>
      </c>
      <c r="T84" s="654">
        <v>0</v>
      </c>
      <c r="U84" s="654">
        <v>0</v>
      </c>
      <c r="V84" s="654">
        <v>3631</v>
      </c>
      <c r="W84" s="654">
        <v>168798</v>
      </c>
      <c r="X84" s="654">
        <v>0</v>
      </c>
      <c r="Y84" s="654">
        <v>0</v>
      </c>
    </row>
    <row r="85" spans="1:25" x14ac:dyDescent="0.15">
      <c r="A85" s="653">
        <v>42491</v>
      </c>
      <c r="B85" t="s">
        <v>669</v>
      </c>
      <c r="C85" t="s">
        <v>659</v>
      </c>
      <c r="D85" s="654">
        <v>28544663</v>
      </c>
      <c r="E85" s="654">
        <v>8507615</v>
      </c>
      <c r="F85" s="654">
        <v>7717245</v>
      </c>
      <c r="G85" s="654">
        <v>0</v>
      </c>
      <c r="H85" s="654">
        <v>2150000</v>
      </c>
      <c r="I85" s="654">
        <v>1323246</v>
      </c>
      <c r="J85" s="654">
        <v>54651</v>
      </c>
      <c r="K85" s="654">
        <v>19752757</v>
      </c>
      <c r="L85" s="654">
        <v>6903595</v>
      </c>
      <c r="M85" s="654">
        <v>0</v>
      </c>
      <c r="N85" s="654">
        <v>6903595</v>
      </c>
      <c r="O85" s="654">
        <v>0</v>
      </c>
      <c r="P85" s="654">
        <v>0</v>
      </c>
      <c r="Q85" s="654">
        <v>0</v>
      </c>
      <c r="R85" s="654">
        <v>0</v>
      </c>
      <c r="S85" s="654">
        <v>0</v>
      </c>
      <c r="T85" s="654">
        <v>0</v>
      </c>
      <c r="U85" s="654">
        <v>0</v>
      </c>
      <c r="V85" s="654">
        <v>585595</v>
      </c>
      <c r="W85" s="654">
        <v>172111</v>
      </c>
      <c r="X85" s="654">
        <v>0</v>
      </c>
      <c r="Y85" s="654">
        <v>0</v>
      </c>
    </row>
    <row r="86" spans="1:25" x14ac:dyDescent="0.15">
      <c r="A86" s="653" t="s">
        <v>729</v>
      </c>
      <c r="B86"/>
      <c r="D86" s="654">
        <v>28544663</v>
      </c>
      <c r="E86" s="654">
        <v>8507615</v>
      </c>
      <c r="F86" s="654">
        <v>7717245</v>
      </c>
      <c r="G86" s="654">
        <v>0</v>
      </c>
      <c r="H86" s="654">
        <v>2150000</v>
      </c>
      <c r="I86" s="654">
        <v>1323246</v>
      </c>
      <c r="J86" s="654">
        <v>54651</v>
      </c>
      <c r="K86" s="654">
        <v>19752757</v>
      </c>
      <c r="L86" s="654">
        <v>6903595</v>
      </c>
      <c r="M86" s="654">
        <v>0</v>
      </c>
      <c r="N86" s="654">
        <v>6903595</v>
      </c>
      <c r="O86" s="654">
        <v>0</v>
      </c>
      <c r="P86" s="654">
        <v>0</v>
      </c>
      <c r="Q86" s="654">
        <v>0</v>
      </c>
      <c r="R86" s="654">
        <v>0</v>
      </c>
      <c r="S86" s="654">
        <v>0</v>
      </c>
      <c r="T86" s="654">
        <v>0</v>
      </c>
      <c r="U86" s="654">
        <v>0</v>
      </c>
      <c r="V86" s="654">
        <v>585595</v>
      </c>
      <c r="W86" s="654">
        <v>172111</v>
      </c>
      <c r="X86" s="654">
        <v>0</v>
      </c>
      <c r="Y86" s="654">
        <v>0</v>
      </c>
    </row>
    <row r="87" spans="1:25" x14ac:dyDescent="0.15">
      <c r="A87" s="653">
        <v>42522</v>
      </c>
      <c r="B87" t="s">
        <v>669</v>
      </c>
      <c r="C87" t="s">
        <v>659</v>
      </c>
      <c r="D87" s="654">
        <v>24559188</v>
      </c>
      <c r="E87" s="654">
        <v>8597952</v>
      </c>
      <c r="F87" s="654">
        <v>8092266</v>
      </c>
      <c r="G87" s="654">
        <v>9125386</v>
      </c>
      <c r="H87" s="654">
        <v>2150000</v>
      </c>
      <c r="I87" s="654">
        <v>2535230</v>
      </c>
      <c r="J87" s="654">
        <v>366066</v>
      </c>
      <c r="K87" s="654">
        <v>30866900</v>
      </c>
      <c r="L87" s="654">
        <v>6511699</v>
      </c>
      <c r="M87" s="654">
        <v>0</v>
      </c>
      <c r="N87" s="654">
        <v>6511699</v>
      </c>
      <c r="O87" s="654">
        <v>0</v>
      </c>
      <c r="P87" s="654">
        <v>0</v>
      </c>
      <c r="Q87" s="654">
        <v>0</v>
      </c>
      <c r="R87" s="654">
        <v>0</v>
      </c>
      <c r="S87" s="654">
        <v>0</v>
      </c>
      <c r="T87" s="654">
        <v>0</v>
      </c>
      <c r="U87" s="654">
        <v>0</v>
      </c>
      <c r="V87" s="654">
        <v>16801</v>
      </c>
      <c r="W87" s="654">
        <v>286789</v>
      </c>
      <c r="X87" s="654">
        <v>0</v>
      </c>
      <c r="Y87" s="654">
        <v>0</v>
      </c>
    </row>
    <row r="88" spans="1:25" x14ac:dyDescent="0.15">
      <c r="A88" s="653" t="s">
        <v>730</v>
      </c>
      <c r="B88"/>
      <c r="D88" s="654">
        <v>24559188</v>
      </c>
      <c r="E88" s="654">
        <v>8597952</v>
      </c>
      <c r="F88" s="654">
        <v>8092266</v>
      </c>
      <c r="G88" s="654">
        <v>9125386</v>
      </c>
      <c r="H88" s="654">
        <v>2150000</v>
      </c>
      <c r="I88" s="654">
        <v>2535230</v>
      </c>
      <c r="J88" s="654">
        <v>366066</v>
      </c>
      <c r="K88" s="654">
        <v>30866900</v>
      </c>
      <c r="L88" s="654">
        <v>6511699</v>
      </c>
      <c r="M88" s="654">
        <v>0</v>
      </c>
      <c r="N88" s="654">
        <v>6511699</v>
      </c>
      <c r="O88" s="654">
        <v>0</v>
      </c>
      <c r="P88" s="654">
        <v>0</v>
      </c>
      <c r="Q88" s="654">
        <v>0</v>
      </c>
      <c r="R88" s="654">
        <v>0</v>
      </c>
      <c r="S88" s="654">
        <v>0</v>
      </c>
      <c r="T88" s="654">
        <v>0</v>
      </c>
      <c r="U88" s="654">
        <v>0</v>
      </c>
      <c r="V88" s="654">
        <v>16801</v>
      </c>
      <c r="W88" s="654">
        <v>286789</v>
      </c>
      <c r="X88" s="654">
        <v>0</v>
      </c>
      <c r="Y88" s="654">
        <v>0</v>
      </c>
    </row>
    <row r="89" spans="1:25" x14ac:dyDescent="0.15">
      <c r="A89" s="653">
        <v>42552</v>
      </c>
      <c r="B89" t="s">
        <v>669</v>
      </c>
      <c r="C89" t="s">
        <v>659</v>
      </c>
      <c r="D89" s="654">
        <v>30880551</v>
      </c>
      <c r="E89" s="654">
        <v>8310087</v>
      </c>
      <c r="F89" s="654">
        <v>8279471</v>
      </c>
      <c r="G89" s="654">
        <v>0</v>
      </c>
      <c r="H89" s="654">
        <v>2150000</v>
      </c>
      <c r="I89" s="654">
        <v>1854441</v>
      </c>
      <c r="J89" s="654">
        <v>176235</v>
      </c>
      <c r="K89" s="654">
        <v>20770234</v>
      </c>
      <c r="L89" s="654">
        <v>7199649</v>
      </c>
      <c r="M89" s="654">
        <v>0</v>
      </c>
      <c r="N89" s="654">
        <v>7199649</v>
      </c>
      <c r="O89" s="654">
        <v>0</v>
      </c>
      <c r="P89" s="654">
        <v>0</v>
      </c>
      <c r="Q89" s="654">
        <v>0</v>
      </c>
      <c r="R89" s="654">
        <v>0</v>
      </c>
      <c r="S89" s="654">
        <v>0</v>
      </c>
      <c r="T89" s="654">
        <v>0</v>
      </c>
      <c r="U89" s="654">
        <v>0</v>
      </c>
      <c r="V89" s="654">
        <v>6378</v>
      </c>
      <c r="W89" s="654">
        <v>518722</v>
      </c>
      <c r="X89" s="654">
        <v>0</v>
      </c>
      <c r="Y89" s="654">
        <v>0</v>
      </c>
    </row>
    <row r="90" spans="1:25" x14ac:dyDescent="0.15">
      <c r="A90" s="653" t="s">
        <v>731</v>
      </c>
      <c r="B90"/>
      <c r="D90" s="654">
        <v>30880551</v>
      </c>
      <c r="E90" s="654">
        <v>8310087</v>
      </c>
      <c r="F90" s="654">
        <v>8279471</v>
      </c>
      <c r="G90" s="654">
        <v>0</v>
      </c>
      <c r="H90" s="654">
        <v>2150000</v>
      </c>
      <c r="I90" s="654">
        <v>1854441</v>
      </c>
      <c r="J90" s="654">
        <v>176235</v>
      </c>
      <c r="K90" s="654">
        <v>20770234</v>
      </c>
      <c r="L90" s="654">
        <v>7199649</v>
      </c>
      <c r="M90" s="654">
        <v>0</v>
      </c>
      <c r="N90" s="654">
        <v>7199649</v>
      </c>
      <c r="O90" s="654">
        <v>0</v>
      </c>
      <c r="P90" s="654">
        <v>0</v>
      </c>
      <c r="Q90" s="654">
        <v>0</v>
      </c>
      <c r="R90" s="654">
        <v>0</v>
      </c>
      <c r="S90" s="654">
        <v>0</v>
      </c>
      <c r="T90" s="654">
        <v>0</v>
      </c>
      <c r="U90" s="654">
        <v>0</v>
      </c>
      <c r="V90" s="654">
        <v>6378</v>
      </c>
      <c r="W90" s="654">
        <v>518722</v>
      </c>
      <c r="X90" s="654">
        <v>0</v>
      </c>
      <c r="Y90" s="654">
        <v>0</v>
      </c>
    </row>
    <row r="91" spans="1:25" x14ac:dyDescent="0.15">
      <c r="A91" s="653">
        <v>42583</v>
      </c>
      <c r="B91" t="s">
        <v>669</v>
      </c>
      <c r="C91" t="s">
        <v>659</v>
      </c>
      <c r="D91" s="654">
        <v>26366462</v>
      </c>
      <c r="E91" s="654">
        <v>8395958</v>
      </c>
      <c r="F91" s="654">
        <v>8514142</v>
      </c>
      <c r="G91" s="654">
        <v>0</v>
      </c>
      <c r="H91" s="654">
        <v>2150000</v>
      </c>
      <c r="I91" s="654">
        <v>1388481</v>
      </c>
      <c r="J91" s="654">
        <v>202388</v>
      </c>
      <c r="K91" s="654">
        <v>20650969</v>
      </c>
      <c r="L91" s="654">
        <v>6610405</v>
      </c>
      <c r="M91" s="654">
        <v>0</v>
      </c>
      <c r="N91" s="654">
        <v>6610405</v>
      </c>
      <c r="O91" s="654">
        <v>0</v>
      </c>
      <c r="P91" s="654">
        <v>0</v>
      </c>
      <c r="Q91" s="654">
        <v>0</v>
      </c>
      <c r="R91" s="654">
        <v>0</v>
      </c>
      <c r="S91" s="654">
        <v>0</v>
      </c>
      <c r="T91" s="654">
        <v>0</v>
      </c>
      <c r="U91" s="654">
        <v>0</v>
      </c>
      <c r="V91" s="654">
        <v>6962</v>
      </c>
      <c r="W91" s="654">
        <v>253070</v>
      </c>
      <c r="X91" s="654">
        <v>0</v>
      </c>
      <c r="Y91" s="654">
        <v>0</v>
      </c>
    </row>
    <row r="92" spans="1:25" x14ac:dyDescent="0.15">
      <c r="A92" s="653" t="s">
        <v>732</v>
      </c>
      <c r="B92"/>
      <c r="D92" s="654">
        <v>26366462</v>
      </c>
      <c r="E92" s="654">
        <v>8395958</v>
      </c>
      <c r="F92" s="654">
        <v>8514142</v>
      </c>
      <c r="G92" s="654">
        <v>0</v>
      </c>
      <c r="H92" s="654">
        <v>2150000</v>
      </c>
      <c r="I92" s="654">
        <v>1388481</v>
      </c>
      <c r="J92" s="654">
        <v>202388</v>
      </c>
      <c r="K92" s="654">
        <v>20650969</v>
      </c>
      <c r="L92" s="654">
        <v>6610405</v>
      </c>
      <c r="M92" s="654">
        <v>0</v>
      </c>
      <c r="N92" s="654">
        <v>6610405</v>
      </c>
      <c r="O92" s="654">
        <v>0</v>
      </c>
      <c r="P92" s="654">
        <v>0</v>
      </c>
      <c r="Q92" s="654">
        <v>0</v>
      </c>
      <c r="R92" s="654">
        <v>0</v>
      </c>
      <c r="S92" s="654">
        <v>0</v>
      </c>
      <c r="T92" s="654">
        <v>0</v>
      </c>
      <c r="U92" s="654">
        <v>0</v>
      </c>
      <c r="V92" s="654">
        <v>6962</v>
      </c>
      <c r="W92" s="654">
        <v>253070</v>
      </c>
      <c r="X92" s="654">
        <v>0</v>
      </c>
      <c r="Y92" s="654">
        <v>0</v>
      </c>
    </row>
    <row r="93" spans="1:25" x14ac:dyDescent="0.15">
      <c r="A93" s="653">
        <v>42614</v>
      </c>
      <c r="B93" t="s">
        <v>626</v>
      </c>
      <c r="C93" t="s">
        <v>378</v>
      </c>
      <c r="D93" s="654">
        <v>7909919</v>
      </c>
      <c r="E93" s="654">
        <v>3105095</v>
      </c>
      <c r="F93" s="654">
        <v>2077446</v>
      </c>
      <c r="G93" s="654">
        <v>0</v>
      </c>
      <c r="H93" s="654">
        <v>0</v>
      </c>
      <c r="I93" s="654">
        <v>262874</v>
      </c>
      <c r="J93" s="654">
        <v>304363</v>
      </c>
      <c r="K93" s="654">
        <v>5749778</v>
      </c>
      <c r="L93" s="654">
        <v>787378</v>
      </c>
      <c r="M93" s="654">
        <v>0</v>
      </c>
      <c r="N93" s="654">
        <v>787378</v>
      </c>
      <c r="O93" s="654">
        <v>82200</v>
      </c>
      <c r="P93" s="654">
        <v>0</v>
      </c>
      <c r="Q93" s="654">
        <v>0</v>
      </c>
      <c r="R93" s="654">
        <v>0</v>
      </c>
      <c r="S93" s="654">
        <v>0</v>
      </c>
      <c r="T93" s="654">
        <v>0</v>
      </c>
      <c r="U93" s="654">
        <v>0</v>
      </c>
      <c r="V93" s="654">
        <v>0</v>
      </c>
      <c r="W93" s="654">
        <v>0</v>
      </c>
      <c r="X93" s="654">
        <v>0</v>
      </c>
      <c r="Y93" s="654">
        <v>0</v>
      </c>
    </row>
    <row r="94" spans="1:25" x14ac:dyDescent="0.15">
      <c r="B94" t="s">
        <v>627</v>
      </c>
      <c r="C94" t="s">
        <v>379</v>
      </c>
      <c r="D94" s="654">
        <v>5106712</v>
      </c>
      <c r="E94" s="654">
        <v>1745842</v>
      </c>
      <c r="F94" s="654">
        <v>1500937</v>
      </c>
      <c r="G94" s="654">
        <v>0</v>
      </c>
      <c r="H94" s="654">
        <v>0</v>
      </c>
      <c r="I94" s="654">
        <v>206100</v>
      </c>
      <c r="J94" s="654">
        <v>6804</v>
      </c>
      <c r="K94" s="654">
        <v>3459683</v>
      </c>
      <c r="L94" s="654">
        <v>940043</v>
      </c>
      <c r="M94" s="654">
        <v>0</v>
      </c>
      <c r="N94" s="654">
        <v>940043</v>
      </c>
      <c r="O94" s="654">
        <v>6804</v>
      </c>
      <c r="P94" s="654">
        <v>0</v>
      </c>
      <c r="Q94" s="654">
        <v>0</v>
      </c>
      <c r="R94" s="654">
        <v>0</v>
      </c>
      <c r="S94" s="654">
        <v>0</v>
      </c>
      <c r="T94" s="654">
        <v>0</v>
      </c>
      <c r="U94" s="654">
        <v>0</v>
      </c>
      <c r="V94" s="654">
        <v>0</v>
      </c>
      <c r="W94" s="654">
        <v>0</v>
      </c>
      <c r="X94" s="654">
        <v>0</v>
      </c>
      <c r="Y94" s="654">
        <v>0</v>
      </c>
    </row>
    <row r="95" spans="1:25" x14ac:dyDescent="0.15">
      <c r="B95" t="s">
        <v>628</v>
      </c>
      <c r="C95" t="s">
        <v>380</v>
      </c>
      <c r="D95" s="654">
        <v>3357278</v>
      </c>
      <c r="E95" s="654">
        <v>797842</v>
      </c>
      <c r="F95" s="654">
        <v>1641820</v>
      </c>
      <c r="G95" s="654">
        <v>0</v>
      </c>
      <c r="H95" s="654">
        <v>0</v>
      </c>
      <c r="I95" s="654">
        <v>234228</v>
      </c>
      <c r="J95" s="654">
        <v>83144</v>
      </c>
      <c r="K95" s="654">
        <v>2757034</v>
      </c>
      <c r="L95" s="654">
        <v>684635</v>
      </c>
      <c r="M95" s="654">
        <v>0</v>
      </c>
      <c r="N95" s="654">
        <v>684635</v>
      </c>
      <c r="O95" s="654">
        <v>65340</v>
      </c>
      <c r="P95" s="654">
        <v>0</v>
      </c>
      <c r="Q95" s="654">
        <v>0</v>
      </c>
      <c r="R95" s="654">
        <v>0</v>
      </c>
      <c r="S95" s="654">
        <v>0</v>
      </c>
      <c r="T95" s="654">
        <v>0</v>
      </c>
      <c r="U95" s="654">
        <v>0</v>
      </c>
      <c r="V95" s="654">
        <v>0</v>
      </c>
      <c r="W95" s="654">
        <v>0</v>
      </c>
      <c r="X95" s="654">
        <v>0</v>
      </c>
      <c r="Y95" s="654">
        <v>0</v>
      </c>
    </row>
    <row r="96" spans="1:25" x14ac:dyDescent="0.15">
      <c r="B96" t="s">
        <v>629</v>
      </c>
      <c r="C96" t="s">
        <v>676</v>
      </c>
      <c r="D96" s="654">
        <v>2650334</v>
      </c>
      <c r="E96" s="654">
        <v>554852</v>
      </c>
      <c r="F96" s="654">
        <v>725298</v>
      </c>
      <c r="G96" s="654">
        <v>0</v>
      </c>
      <c r="H96" s="654">
        <v>0</v>
      </c>
      <c r="I96" s="654">
        <v>81413</v>
      </c>
      <c r="J96" s="654">
        <v>92502</v>
      </c>
      <c r="K96" s="654">
        <v>1454065</v>
      </c>
      <c r="L96" s="654">
        <v>1034975</v>
      </c>
      <c r="M96" s="654">
        <v>0</v>
      </c>
      <c r="N96" s="654">
        <v>1034975</v>
      </c>
      <c r="O96" s="654">
        <v>92502</v>
      </c>
      <c r="P96" s="654">
        <v>0</v>
      </c>
      <c r="Q96" s="654">
        <v>0</v>
      </c>
      <c r="R96" s="654">
        <v>0</v>
      </c>
      <c r="S96" s="654">
        <v>0</v>
      </c>
      <c r="T96" s="654">
        <v>0</v>
      </c>
      <c r="U96" s="654">
        <v>0</v>
      </c>
      <c r="V96" s="654">
        <v>0</v>
      </c>
      <c r="W96" s="654">
        <v>0</v>
      </c>
      <c r="X96" s="654">
        <v>0</v>
      </c>
      <c r="Y96" s="654">
        <v>0</v>
      </c>
    </row>
    <row r="97" spans="1:25" x14ac:dyDescent="0.15">
      <c r="B97" t="s">
        <v>631</v>
      </c>
      <c r="C97" t="s">
        <v>381</v>
      </c>
      <c r="D97" s="654">
        <v>2368400</v>
      </c>
      <c r="E97" s="654">
        <v>769854</v>
      </c>
      <c r="F97" s="654">
        <v>255000</v>
      </c>
      <c r="G97" s="654">
        <v>0</v>
      </c>
      <c r="H97" s="654">
        <v>0</v>
      </c>
      <c r="I97" s="654">
        <v>56330</v>
      </c>
      <c r="J97" s="654">
        <v>75168</v>
      </c>
      <c r="K97" s="654">
        <v>1156352</v>
      </c>
      <c r="L97" s="654">
        <v>474868</v>
      </c>
      <c r="M97" s="654">
        <v>0</v>
      </c>
      <c r="N97" s="654">
        <v>474868</v>
      </c>
      <c r="O97" s="654">
        <v>0</v>
      </c>
      <c r="P97" s="654">
        <v>0</v>
      </c>
      <c r="Q97" s="654">
        <v>0</v>
      </c>
      <c r="R97" s="654">
        <v>0</v>
      </c>
      <c r="S97" s="654">
        <v>0</v>
      </c>
      <c r="T97" s="654">
        <v>0</v>
      </c>
      <c r="U97" s="654">
        <v>0</v>
      </c>
      <c r="V97" s="654">
        <v>0</v>
      </c>
      <c r="W97" s="654">
        <v>0</v>
      </c>
      <c r="X97" s="654">
        <v>0</v>
      </c>
      <c r="Y97" s="654">
        <v>0</v>
      </c>
    </row>
    <row r="98" spans="1:25" x14ac:dyDescent="0.15">
      <c r="B98" t="s">
        <v>566</v>
      </c>
      <c r="C98" t="s">
        <v>382</v>
      </c>
      <c r="D98" s="654">
        <v>953864</v>
      </c>
      <c r="E98" s="654">
        <v>437428</v>
      </c>
      <c r="F98" s="654">
        <v>285000</v>
      </c>
      <c r="G98" s="654">
        <v>0</v>
      </c>
      <c r="H98" s="654">
        <v>0</v>
      </c>
      <c r="I98" s="654">
        <v>32631</v>
      </c>
      <c r="J98" s="654">
        <v>49734</v>
      </c>
      <c r="K98" s="654">
        <v>804793</v>
      </c>
      <c r="L98" s="654">
        <v>327145</v>
      </c>
      <c r="M98" s="654">
        <v>0</v>
      </c>
      <c r="N98" s="654">
        <v>327145</v>
      </c>
      <c r="O98" s="654">
        <v>0</v>
      </c>
      <c r="P98" s="654">
        <v>0</v>
      </c>
      <c r="Q98" s="654">
        <v>0</v>
      </c>
      <c r="R98" s="654">
        <v>0</v>
      </c>
      <c r="S98" s="654">
        <v>0</v>
      </c>
      <c r="T98" s="654">
        <v>0</v>
      </c>
      <c r="U98" s="654">
        <v>0</v>
      </c>
      <c r="V98" s="654">
        <v>0</v>
      </c>
      <c r="W98" s="654">
        <v>0</v>
      </c>
      <c r="X98" s="654">
        <v>0</v>
      </c>
      <c r="Y98" s="654">
        <v>0</v>
      </c>
    </row>
    <row r="99" spans="1:25" x14ac:dyDescent="0.15">
      <c r="B99" t="s">
        <v>567</v>
      </c>
      <c r="C99" t="s">
        <v>473</v>
      </c>
      <c r="D99" s="654">
        <v>763437</v>
      </c>
      <c r="E99" s="654">
        <v>347984</v>
      </c>
      <c r="F99" s="654">
        <v>0</v>
      </c>
      <c r="G99" s="654">
        <v>0</v>
      </c>
      <c r="H99" s="654">
        <v>0</v>
      </c>
      <c r="I99" s="654">
        <v>19954</v>
      </c>
      <c r="J99" s="654">
        <v>25434</v>
      </c>
      <c r="K99" s="654">
        <v>393372</v>
      </c>
      <c r="L99" s="654">
        <v>144031</v>
      </c>
      <c r="M99" s="654">
        <v>0</v>
      </c>
      <c r="N99" s="654">
        <v>144031</v>
      </c>
      <c r="O99" s="654">
        <v>0</v>
      </c>
      <c r="P99" s="654">
        <v>0</v>
      </c>
      <c r="Q99" s="654">
        <v>0</v>
      </c>
      <c r="R99" s="654">
        <v>0</v>
      </c>
      <c r="S99" s="654">
        <v>0</v>
      </c>
      <c r="T99" s="654">
        <v>0</v>
      </c>
      <c r="U99" s="654">
        <v>0</v>
      </c>
      <c r="V99" s="654">
        <v>0</v>
      </c>
      <c r="W99" s="654">
        <v>0</v>
      </c>
      <c r="X99" s="654">
        <v>0</v>
      </c>
      <c r="Y99" s="654">
        <v>0</v>
      </c>
    </row>
    <row r="100" spans="1:25" x14ac:dyDescent="0.15">
      <c r="B100" t="s">
        <v>568</v>
      </c>
      <c r="C100" t="s">
        <v>474</v>
      </c>
      <c r="D100" s="654">
        <v>827148</v>
      </c>
      <c r="E100" s="654">
        <v>309118</v>
      </c>
      <c r="F100" s="654">
        <v>0</v>
      </c>
      <c r="G100" s="654">
        <v>0</v>
      </c>
      <c r="H100" s="654">
        <v>0</v>
      </c>
      <c r="I100" s="654">
        <v>0</v>
      </c>
      <c r="J100" s="654">
        <v>24300</v>
      </c>
      <c r="K100" s="654">
        <v>333418</v>
      </c>
      <c r="L100" s="654">
        <v>296175</v>
      </c>
      <c r="M100" s="654">
        <v>0</v>
      </c>
      <c r="N100" s="654">
        <v>296175</v>
      </c>
      <c r="O100" s="654">
        <v>0</v>
      </c>
      <c r="P100" s="654">
        <v>0</v>
      </c>
      <c r="Q100" s="654">
        <v>0</v>
      </c>
      <c r="R100" s="654">
        <v>0</v>
      </c>
      <c r="S100" s="654">
        <v>0</v>
      </c>
      <c r="T100" s="654">
        <v>0</v>
      </c>
      <c r="U100" s="654">
        <v>0</v>
      </c>
      <c r="V100" s="654">
        <v>0</v>
      </c>
      <c r="W100" s="654">
        <v>0</v>
      </c>
      <c r="X100" s="654">
        <v>0</v>
      </c>
      <c r="Y100" s="654">
        <v>0</v>
      </c>
    </row>
    <row r="101" spans="1:25" x14ac:dyDescent="0.15">
      <c r="B101" t="s">
        <v>625</v>
      </c>
      <c r="C101" t="s">
        <v>594</v>
      </c>
      <c r="D101" s="654">
        <v>33378</v>
      </c>
      <c r="E101" s="654">
        <v>53120</v>
      </c>
      <c r="F101" s="654">
        <v>1057500</v>
      </c>
      <c r="G101" s="654">
        <v>0</v>
      </c>
      <c r="H101" s="654">
        <v>2150000</v>
      </c>
      <c r="I101" s="654">
        <v>299261</v>
      </c>
      <c r="J101" s="654">
        <v>61781</v>
      </c>
      <c r="K101" s="654">
        <v>3621662</v>
      </c>
      <c r="L101" s="654">
        <v>1592314</v>
      </c>
      <c r="M101" s="654">
        <v>0</v>
      </c>
      <c r="N101" s="654">
        <v>1592314</v>
      </c>
      <c r="O101" s="654">
        <v>61781</v>
      </c>
      <c r="P101" s="654">
        <v>0</v>
      </c>
      <c r="Q101" s="654">
        <v>0</v>
      </c>
      <c r="R101" s="654">
        <v>0</v>
      </c>
      <c r="S101" s="654">
        <v>0</v>
      </c>
      <c r="T101" s="654">
        <v>0</v>
      </c>
      <c r="U101" s="654">
        <v>0</v>
      </c>
      <c r="V101" s="654">
        <v>31120</v>
      </c>
      <c r="W101" s="654">
        <v>157516</v>
      </c>
      <c r="X101" s="654">
        <v>0</v>
      </c>
      <c r="Y101" s="654">
        <v>0</v>
      </c>
    </row>
    <row r="102" spans="1:25" x14ac:dyDescent="0.15">
      <c r="B102" t="s">
        <v>671</v>
      </c>
      <c r="C102" t="s">
        <v>383</v>
      </c>
      <c r="D102" s="654">
        <v>2593975</v>
      </c>
      <c r="E102" s="654">
        <v>300106</v>
      </c>
      <c r="F102" s="654">
        <v>1008502</v>
      </c>
      <c r="G102" s="654">
        <v>0</v>
      </c>
      <c r="H102" s="654">
        <v>0</v>
      </c>
      <c r="I102" s="654">
        <v>94924</v>
      </c>
      <c r="J102" s="654">
        <v>75581</v>
      </c>
      <c r="K102" s="654">
        <v>1479113</v>
      </c>
      <c r="L102" s="654">
        <v>894653</v>
      </c>
      <c r="M102" s="654">
        <v>0</v>
      </c>
      <c r="N102" s="654">
        <v>894653</v>
      </c>
      <c r="O102" s="654">
        <v>1200</v>
      </c>
      <c r="P102" s="654">
        <v>0</v>
      </c>
      <c r="Q102" s="654">
        <v>0</v>
      </c>
      <c r="R102" s="654">
        <v>0</v>
      </c>
      <c r="S102" s="654">
        <v>0</v>
      </c>
      <c r="T102" s="654">
        <v>0</v>
      </c>
      <c r="U102" s="654">
        <v>0</v>
      </c>
      <c r="V102" s="654">
        <v>0</v>
      </c>
      <c r="W102" s="654">
        <v>0</v>
      </c>
      <c r="X102" s="654">
        <v>0</v>
      </c>
      <c r="Y102" s="654">
        <v>0</v>
      </c>
    </row>
    <row r="103" spans="1:25" x14ac:dyDescent="0.15">
      <c r="A103" s="653" t="s">
        <v>609</v>
      </c>
      <c r="B103"/>
      <c r="D103" s="654">
        <v>26564445</v>
      </c>
      <c r="E103" s="654">
        <v>8421241</v>
      </c>
      <c r="F103" s="654">
        <v>8551503</v>
      </c>
      <c r="G103" s="654">
        <v>0</v>
      </c>
      <c r="H103" s="654">
        <v>2150000</v>
      </c>
      <c r="I103" s="654">
        <v>1287715</v>
      </c>
      <c r="J103" s="654">
        <v>798811</v>
      </c>
      <c r="K103" s="654">
        <v>21209270</v>
      </c>
      <c r="L103" s="654">
        <v>7176217</v>
      </c>
      <c r="M103" s="654">
        <v>0</v>
      </c>
      <c r="N103" s="654">
        <v>7176217</v>
      </c>
      <c r="O103" s="654">
        <v>309827</v>
      </c>
      <c r="P103" s="654">
        <v>0</v>
      </c>
      <c r="Q103" s="654">
        <v>0</v>
      </c>
      <c r="R103" s="654">
        <v>0</v>
      </c>
      <c r="S103" s="654">
        <v>0</v>
      </c>
      <c r="T103" s="654">
        <v>0</v>
      </c>
      <c r="U103" s="654">
        <v>0</v>
      </c>
      <c r="V103" s="654">
        <v>31120</v>
      </c>
      <c r="W103" s="654">
        <v>157516</v>
      </c>
      <c r="X103" s="654">
        <v>0</v>
      </c>
      <c r="Y103" s="654">
        <v>0</v>
      </c>
    </row>
    <row r="104" spans="1:25" x14ac:dyDescent="0.15">
      <c r="A104" s="653">
        <v>42644</v>
      </c>
      <c r="B104" t="s">
        <v>626</v>
      </c>
      <c r="C104" t="s">
        <v>378</v>
      </c>
      <c r="D104" s="654">
        <v>10193208</v>
      </c>
      <c r="E104" s="654">
        <v>2853709</v>
      </c>
      <c r="F104" s="654">
        <v>1886464</v>
      </c>
      <c r="G104" s="654">
        <v>0</v>
      </c>
      <c r="H104" s="654">
        <v>0</v>
      </c>
      <c r="I104" s="654">
        <v>376393</v>
      </c>
      <c r="J104" s="654">
        <v>4510</v>
      </c>
      <c r="K104" s="654">
        <v>5121076</v>
      </c>
      <c r="L104" s="654">
        <v>676912</v>
      </c>
      <c r="M104" s="654">
        <v>0</v>
      </c>
      <c r="N104" s="654">
        <v>676912</v>
      </c>
      <c r="O104" s="654">
        <v>0</v>
      </c>
      <c r="P104" s="654">
        <v>0</v>
      </c>
      <c r="Q104" s="654">
        <v>0</v>
      </c>
      <c r="R104" s="654">
        <v>0</v>
      </c>
      <c r="S104" s="654">
        <v>0</v>
      </c>
      <c r="T104" s="654">
        <v>0</v>
      </c>
      <c r="U104" s="654">
        <v>0</v>
      </c>
      <c r="V104" s="654">
        <v>0</v>
      </c>
      <c r="W104" s="654">
        <v>0</v>
      </c>
      <c r="X104" s="654">
        <v>0</v>
      </c>
      <c r="Y104" s="654">
        <v>0</v>
      </c>
    </row>
    <row r="105" spans="1:25" x14ac:dyDescent="0.15">
      <c r="B105" t="s">
        <v>627</v>
      </c>
      <c r="C105" t="s">
        <v>379</v>
      </c>
      <c r="D105" s="654">
        <v>5296277</v>
      </c>
      <c r="E105" s="654">
        <v>1440239</v>
      </c>
      <c r="F105" s="654">
        <v>1494394</v>
      </c>
      <c r="G105" s="654">
        <v>0</v>
      </c>
      <c r="H105" s="654">
        <v>0</v>
      </c>
      <c r="I105" s="654">
        <v>322841</v>
      </c>
      <c r="J105" s="654">
        <v>118119</v>
      </c>
      <c r="K105" s="654">
        <v>3375593</v>
      </c>
      <c r="L105" s="654">
        <v>726913</v>
      </c>
      <c r="M105" s="654">
        <v>0</v>
      </c>
      <c r="N105" s="654">
        <v>726913</v>
      </c>
      <c r="O105" s="654">
        <v>124923</v>
      </c>
      <c r="P105" s="654">
        <v>0</v>
      </c>
      <c r="Q105" s="654">
        <v>0</v>
      </c>
      <c r="R105" s="654">
        <v>0</v>
      </c>
      <c r="S105" s="654">
        <v>0</v>
      </c>
      <c r="T105" s="654">
        <v>0</v>
      </c>
      <c r="U105" s="654">
        <v>0</v>
      </c>
      <c r="V105" s="654">
        <v>0</v>
      </c>
      <c r="W105" s="654">
        <v>0</v>
      </c>
      <c r="X105" s="654">
        <v>0</v>
      </c>
      <c r="Y105" s="654">
        <v>0</v>
      </c>
    </row>
    <row r="106" spans="1:25" x14ac:dyDescent="0.15">
      <c r="B106" t="s">
        <v>628</v>
      </c>
      <c r="C106" t="s">
        <v>380</v>
      </c>
      <c r="D106" s="654">
        <v>4036005</v>
      </c>
      <c r="E106" s="654">
        <v>887740</v>
      </c>
      <c r="F106" s="654">
        <v>1675109</v>
      </c>
      <c r="G106" s="654">
        <v>0</v>
      </c>
      <c r="H106" s="654">
        <v>0</v>
      </c>
      <c r="I106" s="654">
        <v>367052</v>
      </c>
      <c r="J106" s="654">
        <v>31218</v>
      </c>
      <c r="K106" s="654">
        <v>2961119</v>
      </c>
      <c r="L106" s="654">
        <v>604473</v>
      </c>
      <c r="M106" s="654">
        <v>0</v>
      </c>
      <c r="N106" s="654">
        <v>604473</v>
      </c>
      <c r="O106" s="654">
        <v>0</v>
      </c>
      <c r="P106" s="654">
        <v>0</v>
      </c>
      <c r="Q106" s="654">
        <v>0</v>
      </c>
      <c r="R106" s="654">
        <v>0</v>
      </c>
      <c r="S106" s="654">
        <v>0</v>
      </c>
      <c r="T106" s="654">
        <v>0</v>
      </c>
      <c r="U106" s="654">
        <v>0</v>
      </c>
      <c r="V106" s="654">
        <v>0</v>
      </c>
      <c r="W106" s="654">
        <v>0</v>
      </c>
      <c r="X106" s="654">
        <v>0</v>
      </c>
      <c r="Y106" s="654">
        <v>0</v>
      </c>
    </row>
    <row r="107" spans="1:25" x14ac:dyDescent="0.15">
      <c r="B107" t="s">
        <v>629</v>
      </c>
      <c r="C107" t="s">
        <v>676</v>
      </c>
      <c r="D107" s="654">
        <v>2468490</v>
      </c>
      <c r="E107" s="654">
        <v>556207</v>
      </c>
      <c r="F107" s="654">
        <v>687663</v>
      </c>
      <c r="G107" s="654">
        <v>0</v>
      </c>
      <c r="H107" s="654">
        <v>0</v>
      </c>
      <c r="I107" s="654">
        <v>127323</v>
      </c>
      <c r="J107" s="654">
        <v>3402</v>
      </c>
      <c r="K107" s="654">
        <v>1374595</v>
      </c>
      <c r="L107" s="654">
        <v>829433</v>
      </c>
      <c r="M107" s="654">
        <v>0</v>
      </c>
      <c r="N107" s="654">
        <v>829433</v>
      </c>
      <c r="O107" s="654">
        <v>3402</v>
      </c>
      <c r="P107" s="654">
        <v>0</v>
      </c>
      <c r="Q107" s="654">
        <v>0</v>
      </c>
      <c r="R107" s="654">
        <v>0</v>
      </c>
      <c r="S107" s="654">
        <v>0</v>
      </c>
      <c r="T107" s="654">
        <v>0</v>
      </c>
      <c r="U107" s="654">
        <v>0</v>
      </c>
      <c r="V107" s="654">
        <v>0</v>
      </c>
      <c r="W107" s="654">
        <v>0</v>
      </c>
      <c r="X107" s="654">
        <v>0</v>
      </c>
      <c r="Y107" s="654">
        <v>0</v>
      </c>
    </row>
    <row r="108" spans="1:25" x14ac:dyDescent="0.15">
      <c r="B108" t="s">
        <v>631</v>
      </c>
      <c r="C108" t="s">
        <v>381</v>
      </c>
      <c r="D108" s="654">
        <v>3422738</v>
      </c>
      <c r="E108" s="654">
        <v>864093</v>
      </c>
      <c r="F108" s="654">
        <v>0</v>
      </c>
      <c r="G108" s="654">
        <v>0</v>
      </c>
      <c r="H108" s="654">
        <v>0</v>
      </c>
      <c r="I108" s="654">
        <v>37299</v>
      </c>
      <c r="J108" s="654">
        <v>2268</v>
      </c>
      <c r="K108" s="654">
        <v>903660</v>
      </c>
      <c r="L108" s="654">
        <v>396730</v>
      </c>
      <c r="M108" s="654">
        <v>0</v>
      </c>
      <c r="N108" s="654">
        <v>396730</v>
      </c>
      <c r="O108" s="654">
        <v>51840</v>
      </c>
      <c r="P108" s="654">
        <v>0</v>
      </c>
      <c r="Q108" s="654">
        <v>0</v>
      </c>
      <c r="R108" s="654">
        <v>0</v>
      </c>
      <c r="S108" s="654">
        <v>0</v>
      </c>
      <c r="T108" s="654">
        <v>0</v>
      </c>
      <c r="U108" s="654">
        <v>0</v>
      </c>
      <c r="V108" s="654">
        <v>0</v>
      </c>
      <c r="W108" s="654">
        <v>0</v>
      </c>
      <c r="X108" s="654">
        <v>0</v>
      </c>
      <c r="Y108" s="654">
        <v>0</v>
      </c>
    </row>
    <row r="109" spans="1:25" x14ac:dyDescent="0.15">
      <c r="B109" t="s">
        <v>566</v>
      </c>
      <c r="C109" t="s">
        <v>382</v>
      </c>
      <c r="D109" s="654">
        <v>1293737</v>
      </c>
      <c r="E109" s="654">
        <v>323296</v>
      </c>
      <c r="F109" s="654">
        <v>276020</v>
      </c>
      <c r="G109" s="654">
        <v>0</v>
      </c>
      <c r="H109" s="654">
        <v>0</v>
      </c>
      <c r="I109" s="654">
        <v>51066</v>
      </c>
      <c r="J109" s="654">
        <v>1134</v>
      </c>
      <c r="K109" s="654">
        <v>651516</v>
      </c>
      <c r="L109" s="654">
        <v>420004</v>
      </c>
      <c r="M109" s="654">
        <v>0</v>
      </c>
      <c r="N109" s="654">
        <v>420004</v>
      </c>
      <c r="O109" s="654">
        <v>51840</v>
      </c>
      <c r="P109" s="654">
        <v>0</v>
      </c>
      <c r="Q109" s="654">
        <v>0</v>
      </c>
      <c r="R109" s="654">
        <v>0</v>
      </c>
      <c r="S109" s="654">
        <v>0</v>
      </c>
      <c r="T109" s="654">
        <v>0</v>
      </c>
      <c r="U109" s="654">
        <v>0</v>
      </c>
      <c r="V109" s="654">
        <v>0</v>
      </c>
      <c r="W109" s="654">
        <v>0</v>
      </c>
      <c r="X109" s="654">
        <v>0</v>
      </c>
      <c r="Y109" s="654">
        <v>0</v>
      </c>
    </row>
    <row r="110" spans="1:25" x14ac:dyDescent="0.15">
      <c r="B110" t="s">
        <v>567</v>
      </c>
      <c r="C110" t="s">
        <v>473</v>
      </c>
      <c r="D110" s="654">
        <v>78000</v>
      </c>
      <c r="E110" s="654">
        <v>357673</v>
      </c>
      <c r="F110" s="654">
        <v>0</v>
      </c>
      <c r="G110" s="654">
        <v>0</v>
      </c>
      <c r="H110" s="654">
        <v>0</v>
      </c>
      <c r="I110" s="654">
        <v>31336</v>
      </c>
      <c r="J110" s="654">
        <v>1134</v>
      </c>
      <c r="K110" s="654">
        <v>390143</v>
      </c>
      <c r="L110" s="654">
        <v>159315</v>
      </c>
      <c r="M110" s="654">
        <v>0</v>
      </c>
      <c r="N110" s="654">
        <v>159315</v>
      </c>
      <c r="O110" s="654">
        <v>13500</v>
      </c>
      <c r="P110" s="654">
        <v>0</v>
      </c>
      <c r="Q110" s="654">
        <v>0</v>
      </c>
      <c r="R110" s="654">
        <v>0</v>
      </c>
      <c r="S110" s="654">
        <v>0</v>
      </c>
      <c r="T110" s="654">
        <v>0</v>
      </c>
      <c r="U110" s="654">
        <v>0</v>
      </c>
      <c r="V110" s="654">
        <v>0</v>
      </c>
      <c r="W110" s="654">
        <v>0</v>
      </c>
      <c r="X110" s="654">
        <v>0</v>
      </c>
      <c r="Y110" s="654">
        <v>0</v>
      </c>
    </row>
    <row r="111" spans="1:25" x14ac:dyDescent="0.15">
      <c r="B111" t="s">
        <v>568</v>
      </c>
      <c r="C111" t="s">
        <v>474</v>
      </c>
      <c r="D111" s="654">
        <v>98000</v>
      </c>
      <c r="E111" s="654">
        <v>313783</v>
      </c>
      <c r="F111" s="654">
        <v>0</v>
      </c>
      <c r="G111" s="654">
        <v>0</v>
      </c>
      <c r="H111" s="654">
        <v>0</v>
      </c>
      <c r="I111" s="654">
        <v>0</v>
      </c>
      <c r="J111" s="654">
        <v>0</v>
      </c>
      <c r="K111" s="654">
        <v>313783</v>
      </c>
      <c r="L111" s="654">
        <v>400695</v>
      </c>
      <c r="M111" s="654">
        <v>0</v>
      </c>
      <c r="N111" s="654">
        <v>400695</v>
      </c>
      <c r="O111" s="654">
        <v>13500</v>
      </c>
      <c r="P111" s="654">
        <v>0</v>
      </c>
      <c r="Q111" s="654">
        <v>0</v>
      </c>
      <c r="R111" s="654">
        <v>0</v>
      </c>
      <c r="S111" s="654">
        <v>0</v>
      </c>
      <c r="T111" s="654">
        <v>0</v>
      </c>
      <c r="U111" s="654">
        <v>0</v>
      </c>
      <c r="V111" s="654">
        <v>0</v>
      </c>
      <c r="W111" s="654">
        <v>0</v>
      </c>
      <c r="X111" s="654">
        <v>0</v>
      </c>
      <c r="Y111" s="654">
        <v>0</v>
      </c>
    </row>
    <row r="112" spans="1:25" x14ac:dyDescent="0.15">
      <c r="B112" t="s">
        <v>625</v>
      </c>
      <c r="C112" t="s">
        <v>594</v>
      </c>
      <c r="D112" s="654">
        <v>0</v>
      </c>
      <c r="E112" s="654">
        <v>57800</v>
      </c>
      <c r="F112" s="654">
        <v>1059021</v>
      </c>
      <c r="G112" s="654">
        <v>0</v>
      </c>
      <c r="H112" s="654">
        <v>2000000</v>
      </c>
      <c r="I112" s="654">
        <v>307343</v>
      </c>
      <c r="J112" s="654">
        <v>7920</v>
      </c>
      <c r="K112" s="654">
        <v>3432084</v>
      </c>
      <c r="L112" s="654">
        <v>1773051</v>
      </c>
      <c r="M112" s="654">
        <v>0</v>
      </c>
      <c r="N112" s="654">
        <v>1773051</v>
      </c>
      <c r="O112" s="654">
        <v>7920</v>
      </c>
      <c r="P112" s="654">
        <v>0</v>
      </c>
      <c r="Q112" s="654">
        <v>0</v>
      </c>
      <c r="R112" s="654">
        <v>0</v>
      </c>
      <c r="S112" s="654">
        <v>0</v>
      </c>
      <c r="T112" s="654">
        <v>0</v>
      </c>
      <c r="U112" s="654">
        <v>0</v>
      </c>
      <c r="V112" s="654">
        <v>9910</v>
      </c>
      <c r="W112" s="654">
        <v>181403</v>
      </c>
      <c r="X112" s="654">
        <v>0</v>
      </c>
      <c r="Y112" s="654">
        <v>0</v>
      </c>
    </row>
    <row r="113" spans="1:25" x14ac:dyDescent="0.15">
      <c r="B113" t="s">
        <v>671</v>
      </c>
      <c r="C113" t="s">
        <v>383</v>
      </c>
      <c r="D113" s="654">
        <v>2767562</v>
      </c>
      <c r="E113" s="654">
        <v>345329</v>
      </c>
      <c r="F113" s="654">
        <v>1009205</v>
      </c>
      <c r="G113" s="654">
        <v>0</v>
      </c>
      <c r="H113" s="654">
        <v>0</v>
      </c>
      <c r="I113" s="654">
        <v>183054</v>
      </c>
      <c r="J113" s="654">
        <v>8102</v>
      </c>
      <c r="K113" s="654">
        <v>1545690</v>
      </c>
      <c r="L113" s="654">
        <v>989346</v>
      </c>
      <c r="M113" s="654">
        <v>0</v>
      </c>
      <c r="N113" s="654">
        <v>989346</v>
      </c>
      <c r="O113" s="654">
        <v>0</v>
      </c>
      <c r="P113" s="654">
        <v>0</v>
      </c>
      <c r="Q113" s="654">
        <v>0</v>
      </c>
      <c r="R113" s="654">
        <v>0</v>
      </c>
      <c r="S113" s="654">
        <v>0</v>
      </c>
      <c r="T113" s="654">
        <v>0</v>
      </c>
      <c r="U113" s="654">
        <v>0</v>
      </c>
      <c r="V113" s="654">
        <v>0</v>
      </c>
      <c r="W113" s="654">
        <v>0</v>
      </c>
      <c r="X113" s="654">
        <v>0</v>
      </c>
      <c r="Y113" s="654">
        <v>0</v>
      </c>
    </row>
    <row r="114" spans="1:25" x14ac:dyDescent="0.15">
      <c r="A114" s="653" t="s">
        <v>610</v>
      </c>
      <c r="B114"/>
      <c r="D114" s="654">
        <v>29654017</v>
      </c>
      <c r="E114" s="654">
        <v>7999869</v>
      </c>
      <c r="F114" s="654">
        <v>8087876</v>
      </c>
      <c r="G114" s="654">
        <v>0</v>
      </c>
      <c r="H114" s="654">
        <v>2000000</v>
      </c>
      <c r="I114" s="654">
        <v>1803707</v>
      </c>
      <c r="J114" s="654">
        <v>177807</v>
      </c>
      <c r="K114" s="654">
        <v>20069259</v>
      </c>
      <c r="L114" s="654">
        <v>6976872</v>
      </c>
      <c r="M114" s="654">
        <v>0</v>
      </c>
      <c r="N114" s="654">
        <v>6976872</v>
      </c>
      <c r="O114" s="654">
        <v>266925</v>
      </c>
      <c r="P114" s="654">
        <v>0</v>
      </c>
      <c r="Q114" s="654">
        <v>0</v>
      </c>
      <c r="R114" s="654">
        <v>0</v>
      </c>
      <c r="S114" s="654">
        <v>0</v>
      </c>
      <c r="T114" s="654">
        <v>0</v>
      </c>
      <c r="U114" s="654">
        <v>0</v>
      </c>
      <c r="V114" s="654">
        <v>9910</v>
      </c>
      <c r="W114" s="654">
        <v>181403</v>
      </c>
      <c r="X114" s="654">
        <v>0</v>
      </c>
      <c r="Y114" s="654">
        <v>0</v>
      </c>
    </row>
    <row r="115" spans="1:25" x14ac:dyDescent="0.15">
      <c r="A115" s="653">
        <v>42675</v>
      </c>
      <c r="B115" t="s">
        <v>626</v>
      </c>
      <c r="C115" t="s">
        <v>378</v>
      </c>
      <c r="D115" s="654">
        <v>9231853</v>
      </c>
      <c r="E115" s="654">
        <v>2687115</v>
      </c>
      <c r="F115" s="654">
        <v>1867786</v>
      </c>
      <c r="G115" s="654">
        <v>0</v>
      </c>
      <c r="H115" s="654">
        <v>0</v>
      </c>
      <c r="I115" s="654">
        <v>282124</v>
      </c>
      <c r="J115" s="654">
        <v>25392</v>
      </c>
      <c r="K115" s="654">
        <v>4862417</v>
      </c>
      <c r="L115" s="654">
        <v>576699</v>
      </c>
      <c r="M115" s="654">
        <v>0</v>
      </c>
      <c r="N115" s="654">
        <v>576699</v>
      </c>
      <c r="O115" s="654">
        <v>0</v>
      </c>
      <c r="P115" s="654">
        <v>0</v>
      </c>
      <c r="Q115" s="654">
        <v>0</v>
      </c>
      <c r="R115" s="654">
        <v>0</v>
      </c>
      <c r="S115" s="654">
        <v>0</v>
      </c>
      <c r="T115" s="654">
        <v>0</v>
      </c>
      <c r="U115" s="654">
        <v>0</v>
      </c>
      <c r="V115" s="654">
        <v>0</v>
      </c>
      <c r="W115" s="654">
        <v>0</v>
      </c>
      <c r="X115" s="654">
        <v>0</v>
      </c>
      <c r="Y115" s="654">
        <v>0</v>
      </c>
    </row>
    <row r="116" spans="1:25" x14ac:dyDescent="0.15">
      <c r="B116" t="s">
        <v>627</v>
      </c>
      <c r="C116" t="s">
        <v>379</v>
      </c>
      <c r="D116" s="654">
        <v>4932747</v>
      </c>
      <c r="E116" s="654">
        <v>1544550</v>
      </c>
      <c r="F116" s="654">
        <v>1477225</v>
      </c>
      <c r="G116" s="654">
        <v>0</v>
      </c>
      <c r="H116" s="654">
        <v>0</v>
      </c>
      <c r="I116" s="654">
        <v>241962</v>
      </c>
      <c r="J116" s="654">
        <v>7938</v>
      </c>
      <c r="K116" s="654">
        <v>3271675</v>
      </c>
      <c r="L116" s="654">
        <v>767660</v>
      </c>
      <c r="M116" s="654">
        <v>0</v>
      </c>
      <c r="N116" s="654">
        <v>767660</v>
      </c>
      <c r="O116" s="654">
        <v>7938</v>
      </c>
      <c r="P116" s="654">
        <v>0</v>
      </c>
      <c r="Q116" s="654">
        <v>0</v>
      </c>
      <c r="R116" s="654">
        <v>0</v>
      </c>
      <c r="S116" s="654">
        <v>0</v>
      </c>
      <c r="T116" s="654">
        <v>0</v>
      </c>
      <c r="U116" s="654">
        <v>0</v>
      </c>
      <c r="V116" s="654">
        <v>0</v>
      </c>
      <c r="W116" s="654">
        <v>0</v>
      </c>
      <c r="X116" s="654">
        <v>0</v>
      </c>
      <c r="Y116" s="654">
        <v>0</v>
      </c>
    </row>
    <row r="117" spans="1:25" x14ac:dyDescent="0.15">
      <c r="B117" t="s">
        <v>628</v>
      </c>
      <c r="C117" t="s">
        <v>380</v>
      </c>
      <c r="D117" s="654">
        <v>4145565</v>
      </c>
      <c r="E117" s="654">
        <v>920992</v>
      </c>
      <c r="F117" s="654">
        <v>1548193</v>
      </c>
      <c r="G117" s="654">
        <v>0</v>
      </c>
      <c r="H117" s="654">
        <v>0</v>
      </c>
      <c r="I117" s="654">
        <v>274769</v>
      </c>
      <c r="J117" s="654">
        <v>14634</v>
      </c>
      <c r="K117" s="654">
        <v>2758588</v>
      </c>
      <c r="L117" s="654">
        <v>684727</v>
      </c>
      <c r="M117" s="654">
        <v>0</v>
      </c>
      <c r="N117" s="654">
        <v>684727</v>
      </c>
      <c r="O117" s="654">
        <v>73440</v>
      </c>
      <c r="P117" s="654">
        <v>0</v>
      </c>
      <c r="Q117" s="654">
        <v>0</v>
      </c>
      <c r="R117" s="654">
        <v>0</v>
      </c>
      <c r="S117" s="654">
        <v>0</v>
      </c>
      <c r="T117" s="654">
        <v>0</v>
      </c>
      <c r="U117" s="654">
        <v>0</v>
      </c>
      <c r="V117" s="654">
        <v>0</v>
      </c>
      <c r="W117" s="654">
        <v>0</v>
      </c>
      <c r="X117" s="654">
        <v>0</v>
      </c>
      <c r="Y117" s="654">
        <v>0</v>
      </c>
    </row>
    <row r="118" spans="1:25" x14ac:dyDescent="0.15">
      <c r="B118" t="s">
        <v>629</v>
      </c>
      <c r="C118" t="s">
        <v>676</v>
      </c>
      <c r="D118" s="654">
        <v>2631324</v>
      </c>
      <c r="E118" s="654">
        <v>447748</v>
      </c>
      <c r="F118" s="654">
        <v>685390</v>
      </c>
      <c r="G118" s="654">
        <v>0</v>
      </c>
      <c r="H118" s="654">
        <v>0</v>
      </c>
      <c r="I118" s="654">
        <v>95452</v>
      </c>
      <c r="J118" s="654">
        <v>3402</v>
      </c>
      <c r="K118" s="654">
        <v>1231992</v>
      </c>
      <c r="L118" s="654">
        <v>752673</v>
      </c>
      <c r="M118" s="654">
        <v>0</v>
      </c>
      <c r="N118" s="654">
        <v>752673</v>
      </c>
      <c r="O118" s="654">
        <v>3402</v>
      </c>
      <c r="P118" s="654">
        <v>0</v>
      </c>
      <c r="Q118" s="654">
        <v>0</v>
      </c>
      <c r="R118" s="654">
        <v>0</v>
      </c>
      <c r="S118" s="654">
        <v>0</v>
      </c>
      <c r="T118" s="654">
        <v>0</v>
      </c>
      <c r="U118" s="654">
        <v>0</v>
      </c>
      <c r="V118" s="654">
        <v>0</v>
      </c>
      <c r="W118" s="654">
        <v>0</v>
      </c>
      <c r="X118" s="654">
        <v>0</v>
      </c>
      <c r="Y118" s="654">
        <v>0</v>
      </c>
    </row>
    <row r="119" spans="1:25" x14ac:dyDescent="0.15">
      <c r="B119" t="s">
        <v>631</v>
      </c>
      <c r="C119" t="s">
        <v>381</v>
      </c>
      <c r="D119" s="654">
        <v>2669288</v>
      </c>
      <c r="E119" s="654">
        <v>772161</v>
      </c>
      <c r="F119" s="654">
        <v>0</v>
      </c>
      <c r="G119" s="654">
        <v>0</v>
      </c>
      <c r="H119" s="654">
        <v>0</v>
      </c>
      <c r="I119" s="654">
        <v>27865</v>
      </c>
      <c r="J119" s="654">
        <v>2268</v>
      </c>
      <c r="K119" s="654">
        <v>802294</v>
      </c>
      <c r="L119" s="654">
        <v>295382</v>
      </c>
      <c r="M119" s="654">
        <v>0</v>
      </c>
      <c r="N119" s="654">
        <v>295382</v>
      </c>
      <c r="O119" s="654">
        <v>27000</v>
      </c>
      <c r="P119" s="654">
        <v>0</v>
      </c>
      <c r="Q119" s="654">
        <v>0</v>
      </c>
      <c r="R119" s="654">
        <v>0</v>
      </c>
      <c r="S119" s="654">
        <v>0</v>
      </c>
      <c r="T119" s="654">
        <v>0</v>
      </c>
      <c r="U119" s="654">
        <v>0</v>
      </c>
      <c r="V119" s="654">
        <v>0</v>
      </c>
      <c r="W119" s="654">
        <v>0</v>
      </c>
      <c r="X119" s="654">
        <v>0</v>
      </c>
      <c r="Y119" s="654">
        <v>0</v>
      </c>
    </row>
    <row r="120" spans="1:25" x14ac:dyDescent="0.15">
      <c r="B120" t="s">
        <v>566</v>
      </c>
      <c r="C120" t="s">
        <v>382</v>
      </c>
      <c r="D120" s="654">
        <v>1656277</v>
      </c>
      <c r="E120" s="654">
        <v>441929</v>
      </c>
      <c r="F120" s="654">
        <v>275000</v>
      </c>
      <c r="G120" s="654">
        <v>0</v>
      </c>
      <c r="H120" s="654">
        <v>0</v>
      </c>
      <c r="I120" s="654">
        <v>38281</v>
      </c>
      <c r="J120" s="654">
        <v>1134</v>
      </c>
      <c r="K120" s="654">
        <v>756344</v>
      </c>
      <c r="L120" s="654">
        <v>417365</v>
      </c>
      <c r="M120" s="654">
        <v>0</v>
      </c>
      <c r="N120" s="654">
        <v>417365</v>
      </c>
      <c r="O120" s="654">
        <v>27000</v>
      </c>
      <c r="P120" s="654">
        <v>0</v>
      </c>
      <c r="Q120" s="654">
        <v>0</v>
      </c>
      <c r="R120" s="654">
        <v>0</v>
      </c>
      <c r="S120" s="654">
        <v>0</v>
      </c>
      <c r="T120" s="654">
        <v>0</v>
      </c>
      <c r="U120" s="654">
        <v>0</v>
      </c>
      <c r="V120" s="654">
        <v>0</v>
      </c>
      <c r="W120" s="654">
        <v>0</v>
      </c>
      <c r="X120" s="654">
        <v>0</v>
      </c>
      <c r="Y120" s="654">
        <v>0</v>
      </c>
    </row>
    <row r="121" spans="1:25" x14ac:dyDescent="0.15">
      <c r="B121" t="s">
        <v>567</v>
      </c>
      <c r="C121" t="s">
        <v>473</v>
      </c>
      <c r="D121" s="654">
        <v>799389</v>
      </c>
      <c r="E121" s="654">
        <v>343202</v>
      </c>
      <c r="F121" s="654">
        <v>0</v>
      </c>
      <c r="G121" s="654">
        <v>0</v>
      </c>
      <c r="H121" s="654">
        <v>0</v>
      </c>
      <c r="I121" s="654">
        <v>23414</v>
      </c>
      <c r="J121" s="654">
        <v>1134</v>
      </c>
      <c r="K121" s="654">
        <v>367750</v>
      </c>
      <c r="L121" s="654">
        <v>118111</v>
      </c>
      <c r="M121" s="654">
        <v>0</v>
      </c>
      <c r="N121" s="654">
        <v>118111</v>
      </c>
      <c r="O121" s="654">
        <v>0</v>
      </c>
      <c r="P121" s="654">
        <v>0</v>
      </c>
      <c r="Q121" s="654">
        <v>0</v>
      </c>
      <c r="R121" s="654">
        <v>0</v>
      </c>
      <c r="S121" s="654">
        <v>0</v>
      </c>
      <c r="T121" s="654">
        <v>0</v>
      </c>
      <c r="U121" s="654">
        <v>0</v>
      </c>
      <c r="V121" s="654">
        <v>0</v>
      </c>
      <c r="W121" s="654">
        <v>0</v>
      </c>
      <c r="X121" s="654">
        <v>0</v>
      </c>
      <c r="Y121" s="654">
        <v>0</v>
      </c>
    </row>
    <row r="122" spans="1:25" x14ac:dyDescent="0.15">
      <c r="B122" t="s">
        <v>568</v>
      </c>
      <c r="C122" t="s">
        <v>474</v>
      </c>
      <c r="D122" s="654">
        <v>816019</v>
      </c>
      <c r="E122" s="654">
        <v>284690</v>
      </c>
      <c r="F122" s="654">
        <v>0</v>
      </c>
      <c r="G122" s="654">
        <v>0</v>
      </c>
      <c r="H122" s="654">
        <v>0</v>
      </c>
      <c r="I122" s="654">
        <v>0</v>
      </c>
      <c r="J122" s="654">
        <v>0</v>
      </c>
      <c r="K122" s="654">
        <v>284690</v>
      </c>
      <c r="L122" s="654">
        <v>307439</v>
      </c>
      <c r="M122" s="654">
        <v>0</v>
      </c>
      <c r="N122" s="654">
        <v>307439</v>
      </c>
      <c r="O122" s="654">
        <v>0</v>
      </c>
      <c r="P122" s="654">
        <v>0</v>
      </c>
      <c r="Q122" s="654">
        <v>0</v>
      </c>
      <c r="R122" s="654">
        <v>0</v>
      </c>
      <c r="S122" s="654">
        <v>0</v>
      </c>
      <c r="T122" s="654">
        <v>0</v>
      </c>
      <c r="U122" s="654">
        <v>0</v>
      </c>
      <c r="V122" s="654">
        <v>0</v>
      </c>
      <c r="W122" s="654">
        <v>0</v>
      </c>
      <c r="X122" s="654">
        <v>0</v>
      </c>
      <c r="Y122" s="654">
        <v>0</v>
      </c>
    </row>
    <row r="123" spans="1:25" x14ac:dyDescent="0.15">
      <c r="B123" t="s">
        <v>625</v>
      </c>
      <c r="C123" t="s">
        <v>594</v>
      </c>
      <c r="D123" s="654">
        <v>50067</v>
      </c>
      <c r="E123" s="654">
        <v>54400</v>
      </c>
      <c r="F123" s="654">
        <v>1068231</v>
      </c>
      <c r="G123" s="654">
        <v>0</v>
      </c>
      <c r="H123" s="654">
        <v>2000000</v>
      </c>
      <c r="I123" s="654">
        <v>318961</v>
      </c>
      <c r="J123" s="654">
        <v>11310</v>
      </c>
      <c r="K123" s="654">
        <v>3452902</v>
      </c>
      <c r="L123" s="654">
        <v>1336907</v>
      </c>
      <c r="M123" s="654">
        <v>0</v>
      </c>
      <c r="N123" s="654">
        <v>1336907</v>
      </c>
      <c r="O123" s="654">
        <v>11310</v>
      </c>
      <c r="P123" s="654">
        <v>0</v>
      </c>
      <c r="Q123" s="654">
        <v>0</v>
      </c>
      <c r="R123" s="654">
        <v>0</v>
      </c>
      <c r="S123" s="654">
        <v>0</v>
      </c>
      <c r="T123" s="654">
        <v>0</v>
      </c>
      <c r="U123" s="654">
        <v>0</v>
      </c>
      <c r="V123" s="654">
        <v>7897</v>
      </c>
      <c r="W123" s="654">
        <v>166430</v>
      </c>
      <c r="X123" s="654">
        <v>0</v>
      </c>
      <c r="Y123" s="654">
        <v>0</v>
      </c>
    </row>
    <row r="124" spans="1:25" x14ac:dyDescent="0.15">
      <c r="B124" t="s">
        <v>671</v>
      </c>
      <c r="C124" t="s">
        <v>383</v>
      </c>
      <c r="D124" s="654">
        <v>2918379</v>
      </c>
      <c r="E124" s="654">
        <v>392075</v>
      </c>
      <c r="F124" s="654">
        <v>994780</v>
      </c>
      <c r="G124" s="654">
        <v>0</v>
      </c>
      <c r="H124" s="654">
        <v>0</v>
      </c>
      <c r="I124" s="654">
        <v>137187</v>
      </c>
      <c r="J124" s="654">
        <v>3402</v>
      </c>
      <c r="K124" s="654">
        <v>1527444</v>
      </c>
      <c r="L124" s="654">
        <v>799738</v>
      </c>
      <c r="M124" s="654">
        <v>0</v>
      </c>
      <c r="N124" s="654">
        <v>799738</v>
      </c>
      <c r="O124" s="654">
        <v>0</v>
      </c>
      <c r="P124" s="654">
        <v>0</v>
      </c>
      <c r="Q124" s="654">
        <v>0</v>
      </c>
      <c r="R124" s="654">
        <v>0</v>
      </c>
      <c r="S124" s="654">
        <v>0</v>
      </c>
      <c r="T124" s="654">
        <v>0</v>
      </c>
      <c r="U124" s="654">
        <v>0</v>
      </c>
      <c r="V124" s="654">
        <v>0</v>
      </c>
      <c r="W124" s="654">
        <v>0</v>
      </c>
      <c r="X124" s="654">
        <v>0</v>
      </c>
      <c r="Y124" s="654">
        <v>0</v>
      </c>
    </row>
    <row r="125" spans="1:25" x14ac:dyDescent="0.15">
      <c r="A125" s="653" t="s">
        <v>611</v>
      </c>
      <c r="B125"/>
      <c r="D125" s="654">
        <v>29850908</v>
      </c>
      <c r="E125" s="654">
        <v>7888862</v>
      </c>
      <c r="F125" s="654">
        <v>7916605</v>
      </c>
      <c r="G125" s="654">
        <v>0</v>
      </c>
      <c r="H125" s="654">
        <v>2000000</v>
      </c>
      <c r="I125" s="654">
        <v>1440015</v>
      </c>
      <c r="J125" s="654">
        <v>70614</v>
      </c>
      <c r="K125" s="654">
        <v>19316096</v>
      </c>
      <c r="L125" s="654">
        <v>6056701</v>
      </c>
      <c r="M125" s="654">
        <v>0</v>
      </c>
      <c r="N125" s="654">
        <v>6056701</v>
      </c>
      <c r="O125" s="654">
        <v>150090</v>
      </c>
      <c r="P125" s="654">
        <v>0</v>
      </c>
      <c r="Q125" s="654">
        <v>0</v>
      </c>
      <c r="R125" s="654">
        <v>0</v>
      </c>
      <c r="S125" s="654">
        <v>0</v>
      </c>
      <c r="T125" s="654">
        <v>0</v>
      </c>
      <c r="U125" s="654">
        <v>0</v>
      </c>
      <c r="V125" s="654">
        <v>7897</v>
      </c>
      <c r="W125" s="654">
        <v>166430</v>
      </c>
      <c r="X125" s="654">
        <v>0</v>
      </c>
      <c r="Y125" s="654">
        <v>0</v>
      </c>
    </row>
    <row r="126" spans="1:25" x14ac:dyDescent="0.15">
      <c r="A126" s="653">
        <v>42705</v>
      </c>
      <c r="B126" t="s">
        <v>626</v>
      </c>
      <c r="C126" t="s">
        <v>378</v>
      </c>
      <c r="D126" s="654">
        <v>9429676</v>
      </c>
      <c r="E126" s="654">
        <v>3180091</v>
      </c>
      <c r="F126" s="654">
        <v>1874773</v>
      </c>
      <c r="G126" s="654">
        <v>2350000</v>
      </c>
      <c r="H126" s="654">
        <v>0</v>
      </c>
      <c r="I126" s="654">
        <v>79253</v>
      </c>
      <c r="J126" s="654">
        <v>12480</v>
      </c>
      <c r="K126" s="654">
        <v>7496597</v>
      </c>
      <c r="L126" s="654">
        <v>750550</v>
      </c>
      <c r="M126" s="654">
        <v>0</v>
      </c>
      <c r="N126" s="654">
        <v>750550</v>
      </c>
      <c r="O126" s="654">
        <v>86400</v>
      </c>
      <c r="P126" s="654">
        <v>0</v>
      </c>
      <c r="Q126" s="654">
        <v>0</v>
      </c>
      <c r="R126" s="654">
        <v>0</v>
      </c>
      <c r="S126" s="654">
        <v>0</v>
      </c>
      <c r="T126" s="654">
        <v>0</v>
      </c>
      <c r="U126" s="654">
        <v>0</v>
      </c>
      <c r="V126" s="654">
        <v>0</v>
      </c>
      <c r="W126" s="654">
        <v>0</v>
      </c>
      <c r="X126" s="654">
        <v>0</v>
      </c>
      <c r="Y126" s="654">
        <v>0</v>
      </c>
    </row>
    <row r="127" spans="1:25" x14ac:dyDescent="0.15">
      <c r="B127" t="s">
        <v>627</v>
      </c>
      <c r="C127" t="s">
        <v>379</v>
      </c>
      <c r="D127" s="654">
        <v>5039563</v>
      </c>
      <c r="E127" s="654">
        <v>1456597</v>
      </c>
      <c r="F127" s="654">
        <v>1687063</v>
      </c>
      <c r="G127" s="654">
        <v>1719400</v>
      </c>
      <c r="H127" s="654">
        <v>0</v>
      </c>
      <c r="I127" s="654">
        <v>74219</v>
      </c>
      <c r="J127" s="654">
        <v>8259</v>
      </c>
      <c r="K127" s="654">
        <v>4945538</v>
      </c>
      <c r="L127" s="654">
        <v>962317</v>
      </c>
      <c r="M127" s="654">
        <v>0</v>
      </c>
      <c r="N127" s="654">
        <v>962317</v>
      </c>
      <c r="O127" s="654">
        <v>8259</v>
      </c>
      <c r="P127" s="654">
        <v>0</v>
      </c>
      <c r="Q127" s="654">
        <v>0</v>
      </c>
      <c r="R127" s="654">
        <v>0</v>
      </c>
      <c r="S127" s="654">
        <v>0</v>
      </c>
      <c r="T127" s="654">
        <v>0</v>
      </c>
      <c r="U127" s="654">
        <v>0</v>
      </c>
      <c r="V127" s="654">
        <v>0</v>
      </c>
      <c r="W127" s="654">
        <v>0</v>
      </c>
      <c r="X127" s="654">
        <v>0</v>
      </c>
      <c r="Y127" s="654">
        <v>0</v>
      </c>
    </row>
    <row r="128" spans="1:25" x14ac:dyDescent="0.15">
      <c r="B128" t="s">
        <v>628</v>
      </c>
      <c r="C128" t="s">
        <v>380</v>
      </c>
      <c r="D128" s="654">
        <v>4736224</v>
      </c>
      <c r="E128" s="654">
        <v>1086861</v>
      </c>
      <c r="F128" s="654">
        <v>1484731</v>
      </c>
      <c r="G128" s="654">
        <v>874000</v>
      </c>
      <c r="H128" s="654">
        <v>0</v>
      </c>
      <c r="I128" s="654">
        <v>67236</v>
      </c>
      <c r="J128" s="654">
        <v>14634</v>
      </c>
      <c r="K128" s="654">
        <v>3527462</v>
      </c>
      <c r="L128" s="654">
        <v>682453</v>
      </c>
      <c r="M128" s="654">
        <v>0</v>
      </c>
      <c r="N128" s="654">
        <v>682453</v>
      </c>
      <c r="O128" s="654">
        <v>51840</v>
      </c>
      <c r="P128" s="654">
        <v>0</v>
      </c>
      <c r="Q128" s="654">
        <v>0</v>
      </c>
      <c r="R128" s="654">
        <v>0</v>
      </c>
      <c r="S128" s="654">
        <v>0</v>
      </c>
      <c r="T128" s="654">
        <v>0</v>
      </c>
      <c r="U128" s="654">
        <v>0</v>
      </c>
      <c r="V128" s="654">
        <v>0</v>
      </c>
      <c r="W128" s="654">
        <v>0</v>
      </c>
      <c r="X128" s="654">
        <v>0</v>
      </c>
      <c r="Y128" s="654">
        <v>0</v>
      </c>
    </row>
    <row r="129" spans="1:25" x14ac:dyDescent="0.15">
      <c r="B129" t="s">
        <v>629</v>
      </c>
      <c r="C129" t="s">
        <v>676</v>
      </c>
      <c r="D129" s="654">
        <v>2643734</v>
      </c>
      <c r="E129" s="654">
        <v>766187</v>
      </c>
      <c r="F129" s="654">
        <v>723372</v>
      </c>
      <c r="G129" s="654">
        <v>610000</v>
      </c>
      <c r="H129" s="654">
        <v>0</v>
      </c>
      <c r="I129" s="654">
        <v>26852</v>
      </c>
      <c r="J129" s="654">
        <v>23002</v>
      </c>
      <c r="K129" s="654">
        <v>2149413</v>
      </c>
      <c r="L129" s="654">
        <v>791010</v>
      </c>
      <c r="M129" s="654">
        <v>0</v>
      </c>
      <c r="N129" s="654">
        <v>791010</v>
      </c>
      <c r="O129" s="654">
        <v>23002</v>
      </c>
      <c r="P129" s="654">
        <v>0</v>
      </c>
      <c r="Q129" s="654">
        <v>0</v>
      </c>
      <c r="R129" s="654">
        <v>0</v>
      </c>
      <c r="S129" s="654">
        <v>0</v>
      </c>
      <c r="T129" s="654">
        <v>0</v>
      </c>
      <c r="U129" s="654">
        <v>0</v>
      </c>
      <c r="V129" s="654">
        <v>0</v>
      </c>
      <c r="W129" s="654">
        <v>0</v>
      </c>
      <c r="X129" s="654">
        <v>0</v>
      </c>
      <c r="Y129" s="654">
        <v>0</v>
      </c>
    </row>
    <row r="130" spans="1:25" x14ac:dyDescent="0.15">
      <c r="B130" t="s">
        <v>631</v>
      </c>
      <c r="C130" t="s">
        <v>381</v>
      </c>
      <c r="D130" s="654">
        <v>3007506</v>
      </c>
      <c r="E130" s="654">
        <v>920017</v>
      </c>
      <c r="F130" s="654">
        <v>0</v>
      </c>
      <c r="G130" s="654">
        <v>120000</v>
      </c>
      <c r="H130" s="654">
        <v>0</v>
      </c>
      <c r="I130" s="654">
        <v>7849</v>
      </c>
      <c r="J130" s="654">
        <v>21868</v>
      </c>
      <c r="K130" s="654">
        <v>1069734</v>
      </c>
      <c r="L130" s="654">
        <v>233725</v>
      </c>
      <c r="M130" s="654">
        <v>0</v>
      </c>
      <c r="N130" s="654">
        <v>233725</v>
      </c>
      <c r="O130" s="654">
        <v>16200</v>
      </c>
      <c r="P130" s="654">
        <v>0</v>
      </c>
      <c r="Q130" s="654">
        <v>0</v>
      </c>
      <c r="R130" s="654">
        <v>0</v>
      </c>
      <c r="S130" s="654">
        <v>0</v>
      </c>
      <c r="T130" s="654">
        <v>0</v>
      </c>
      <c r="U130" s="654">
        <v>0</v>
      </c>
      <c r="V130" s="654">
        <v>0</v>
      </c>
      <c r="W130" s="654">
        <v>0</v>
      </c>
      <c r="X130" s="654">
        <v>0</v>
      </c>
      <c r="Y130" s="654">
        <v>0</v>
      </c>
    </row>
    <row r="131" spans="1:25" x14ac:dyDescent="0.15">
      <c r="B131" t="s">
        <v>566</v>
      </c>
      <c r="C131" t="s">
        <v>382</v>
      </c>
      <c r="D131" s="654">
        <v>1205513</v>
      </c>
      <c r="E131" s="654">
        <v>703187</v>
      </c>
      <c r="F131" s="654">
        <v>279000</v>
      </c>
      <c r="G131" s="654">
        <v>198000</v>
      </c>
      <c r="H131" s="654">
        <v>0</v>
      </c>
      <c r="I131" s="654">
        <v>10757</v>
      </c>
      <c r="J131" s="654">
        <v>1134</v>
      </c>
      <c r="K131" s="654">
        <v>1192078</v>
      </c>
      <c r="L131" s="654">
        <v>357981</v>
      </c>
      <c r="M131" s="654">
        <v>0</v>
      </c>
      <c r="N131" s="654">
        <v>357981</v>
      </c>
      <c r="O131" s="654">
        <v>16200</v>
      </c>
      <c r="P131" s="654">
        <v>0</v>
      </c>
      <c r="Q131" s="654">
        <v>0</v>
      </c>
      <c r="R131" s="654">
        <v>0</v>
      </c>
      <c r="S131" s="654">
        <v>0</v>
      </c>
      <c r="T131" s="654">
        <v>0</v>
      </c>
      <c r="U131" s="654">
        <v>0</v>
      </c>
      <c r="V131" s="654">
        <v>0</v>
      </c>
      <c r="W131" s="654">
        <v>0</v>
      </c>
      <c r="X131" s="654">
        <v>0</v>
      </c>
      <c r="Y131" s="654">
        <v>0</v>
      </c>
    </row>
    <row r="132" spans="1:25" x14ac:dyDescent="0.15">
      <c r="B132" t="s">
        <v>567</v>
      </c>
      <c r="C132" t="s">
        <v>473</v>
      </c>
      <c r="D132" s="654">
        <v>1762337</v>
      </c>
      <c r="E132" s="654">
        <v>381890</v>
      </c>
      <c r="F132" s="654">
        <v>0</v>
      </c>
      <c r="G132" s="654">
        <v>30000</v>
      </c>
      <c r="H132" s="654">
        <v>0</v>
      </c>
      <c r="I132" s="654">
        <v>6594</v>
      </c>
      <c r="J132" s="654">
        <v>1134</v>
      </c>
      <c r="K132" s="654">
        <v>419618</v>
      </c>
      <c r="L132" s="654">
        <v>144094</v>
      </c>
      <c r="M132" s="654">
        <v>0</v>
      </c>
      <c r="N132" s="654">
        <v>144094</v>
      </c>
      <c r="O132" s="654">
        <v>0</v>
      </c>
      <c r="P132" s="654">
        <v>0</v>
      </c>
      <c r="Q132" s="654">
        <v>0</v>
      </c>
      <c r="R132" s="654">
        <v>0</v>
      </c>
      <c r="S132" s="654">
        <v>0</v>
      </c>
      <c r="T132" s="654">
        <v>0</v>
      </c>
      <c r="U132" s="654">
        <v>0</v>
      </c>
      <c r="V132" s="654">
        <v>0</v>
      </c>
      <c r="W132" s="654">
        <v>0</v>
      </c>
      <c r="X132" s="654">
        <v>0</v>
      </c>
      <c r="Y132" s="654">
        <v>0</v>
      </c>
    </row>
    <row r="133" spans="1:25" x14ac:dyDescent="0.15">
      <c r="B133" t="s">
        <v>568</v>
      </c>
      <c r="C133" t="s">
        <v>474</v>
      </c>
      <c r="D133" s="654">
        <v>1447077</v>
      </c>
      <c r="E133" s="654">
        <v>213942</v>
      </c>
      <c r="F133" s="654">
        <v>0</v>
      </c>
      <c r="G133" s="654">
        <v>0</v>
      </c>
      <c r="H133" s="654">
        <v>0</v>
      </c>
      <c r="I133" s="654">
        <v>0</v>
      </c>
      <c r="J133" s="654">
        <v>0</v>
      </c>
      <c r="K133" s="654">
        <v>213942</v>
      </c>
      <c r="L133" s="654">
        <v>284222</v>
      </c>
      <c r="M133" s="654">
        <v>0</v>
      </c>
      <c r="N133" s="654">
        <v>284222</v>
      </c>
      <c r="O133" s="654">
        <v>0</v>
      </c>
      <c r="P133" s="654">
        <v>0</v>
      </c>
      <c r="Q133" s="654">
        <v>0</v>
      </c>
      <c r="R133" s="654">
        <v>0</v>
      </c>
      <c r="S133" s="654">
        <v>0</v>
      </c>
      <c r="T133" s="654">
        <v>0</v>
      </c>
      <c r="U133" s="654">
        <v>0</v>
      </c>
      <c r="V133" s="654">
        <v>0</v>
      </c>
      <c r="W133" s="654">
        <v>0</v>
      </c>
      <c r="X133" s="654">
        <v>0</v>
      </c>
      <c r="Y133" s="654">
        <v>0</v>
      </c>
    </row>
    <row r="134" spans="1:25" x14ac:dyDescent="0.15">
      <c r="B134" t="s">
        <v>582</v>
      </c>
      <c r="C134" t="s">
        <v>384</v>
      </c>
      <c r="D134" s="654">
        <v>0</v>
      </c>
      <c r="E134" s="654">
        <v>0</v>
      </c>
      <c r="F134" s="654">
        <v>0</v>
      </c>
      <c r="G134" s="654">
        <v>0</v>
      </c>
      <c r="H134" s="654">
        <v>0</v>
      </c>
      <c r="I134" s="654">
        <v>0</v>
      </c>
      <c r="J134" s="654">
        <v>0</v>
      </c>
      <c r="K134" s="654">
        <v>0</v>
      </c>
      <c r="L134" s="654">
        <v>579376</v>
      </c>
      <c r="M134" s="654">
        <v>0</v>
      </c>
      <c r="N134" s="654">
        <v>579376</v>
      </c>
      <c r="O134" s="654">
        <v>0</v>
      </c>
      <c r="P134" s="654">
        <v>0</v>
      </c>
      <c r="Q134" s="654">
        <v>0</v>
      </c>
      <c r="R134" s="654">
        <v>0</v>
      </c>
      <c r="S134" s="654">
        <v>0</v>
      </c>
      <c r="T134" s="654">
        <v>0</v>
      </c>
      <c r="U134" s="654">
        <v>0</v>
      </c>
      <c r="V134" s="654">
        <v>0</v>
      </c>
      <c r="W134" s="654">
        <v>0</v>
      </c>
      <c r="X134" s="654">
        <v>0</v>
      </c>
      <c r="Y134" s="654">
        <v>0</v>
      </c>
    </row>
    <row r="135" spans="1:25" x14ac:dyDescent="0.15">
      <c r="B135" t="s">
        <v>625</v>
      </c>
      <c r="C135" t="s">
        <v>594</v>
      </c>
      <c r="D135" s="654">
        <v>33378</v>
      </c>
      <c r="E135" s="654">
        <v>57800</v>
      </c>
      <c r="F135" s="654">
        <v>1250822</v>
      </c>
      <c r="G135" s="654">
        <v>721900</v>
      </c>
      <c r="H135" s="654">
        <v>2000000</v>
      </c>
      <c r="I135" s="654">
        <v>99689</v>
      </c>
      <c r="J135" s="654">
        <v>945703</v>
      </c>
      <c r="K135" s="654">
        <v>5075914</v>
      </c>
      <c r="L135" s="654">
        <v>1378088</v>
      </c>
      <c r="M135" s="654">
        <v>0</v>
      </c>
      <c r="N135" s="654">
        <v>1378088</v>
      </c>
      <c r="O135" s="654">
        <v>945703</v>
      </c>
      <c r="P135" s="654">
        <v>0</v>
      </c>
      <c r="Q135" s="654">
        <v>0</v>
      </c>
      <c r="R135" s="654">
        <v>0</v>
      </c>
      <c r="S135" s="654">
        <v>0</v>
      </c>
      <c r="T135" s="654">
        <v>0</v>
      </c>
      <c r="U135" s="654">
        <v>0</v>
      </c>
      <c r="V135" s="654">
        <v>5835</v>
      </c>
      <c r="W135" s="654">
        <v>288359</v>
      </c>
      <c r="X135" s="654">
        <v>0</v>
      </c>
      <c r="Y135" s="654">
        <v>0</v>
      </c>
    </row>
    <row r="136" spans="1:25" x14ac:dyDescent="0.15">
      <c r="B136" t="s">
        <v>671</v>
      </c>
      <c r="C136" t="s">
        <v>383</v>
      </c>
      <c r="D136" s="654">
        <v>3214266</v>
      </c>
      <c r="E136" s="654">
        <v>491288</v>
      </c>
      <c r="F136" s="654">
        <v>1042790</v>
      </c>
      <c r="G136" s="654">
        <v>560000</v>
      </c>
      <c r="H136" s="654">
        <v>0</v>
      </c>
      <c r="I136" s="654">
        <v>38586</v>
      </c>
      <c r="J136" s="654">
        <v>3402</v>
      </c>
      <c r="K136" s="654">
        <v>2136066</v>
      </c>
      <c r="L136" s="654">
        <v>804949</v>
      </c>
      <c r="M136" s="654">
        <v>0</v>
      </c>
      <c r="N136" s="654">
        <v>804949</v>
      </c>
      <c r="O136" s="654">
        <v>0</v>
      </c>
      <c r="P136" s="654">
        <v>0</v>
      </c>
      <c r="Q136" s="654">
        <v>0</v>
      </c>
      <c r="R136" s="654">
        <v>0</v>
      </c>
      <c r="S136" s="654">
        <v>0</v>
      </c>
      <c r="T136" s="654">
        <v>0</v>
      </c>
      <c r="U136" s="654">
        <v>0</v>
      </c>
      <c r="V136" s="654">
        <v>0</v>
      </c>
      <c r="W136" s="654">
        <v>0</v>
      </c>
      <c r="X136" s="654">
        <v>0</v>
      </c>
      <c r="Y136" s="654">
        <v>0</v>
      </c>
    </row>
    <row r="137" spans="1:25" x14ac:dyDescent="0.15">
      <c r="A137" s="653" t="s">
        <v>612</v>
      </c>
      <c r="B137"/>
      <c r="D137" s="654">
        <v>32519274</v>
      </c>
      <c r="E137" s="654">
        <v>9257860</v>
      </c>
      <c r="F137" s="654">
        <v>8342551</v>
      </c>
      <c r="G137" s="654">
        <v>7183300</v>
      </c>
      <c r="H137" s="654">
        <v>2000000</v>
      </c>
      <c r="I137" s="654">
        <v>411035</v>
      </c>
      <c r="J137" s="654">
        <v>1031616</v>
      </c>
      <c r="K137" s="654">
        <v>28226362</v>
      </c>
      <c r="L137" s="654">
        <v>6968765</v>
      </c>
      <c r="M137" s="654">
        <v>0</v>
      </c>
      <c r="N137" s="654">
        <v>6968765</v>
      </c>
      <c r="O137" s="654">
        <v>1147604</v>
      </c>
      <c r="P137" s="654">
        <v>0</v>
      </c>
      <c r="Q137" s="654">
        <v>0</v>
      </c>
      <c r="R137" s="654">
        <v>0</v>
      </c>
      <c r="S137" s="654">
        <v>0</v>
      </c>
      <c r="T137" s="654">
        <v>0</v>
      </c>
      <c r="U137" s="654">
        <v>0</v>
      </c>
      <c r="V137" s="654">
        <v>5835</v>
      </c>
      <c r="W137" s="654">
        <v>288359</v>
      </c>
      <c r="X137" s="654">
        <v>0</v>
      </c>
      <c r="Y137" s="654">
        <v>0</v>
      </c>
    </row>
    <row r="138" spans="1:25" x14ac:dyDescent="0.15">
      <c r="A138" s="653">
        <v>42736</v>
      </c>
      <c r="B138" t="s">
        <v>626</v>
      </c>
      <c r="C138" t="s">
        <v>378</v>
      </c>
      <c r="D138" s="654">
        <v>8999817</v>
      </c>
      <c r="E138" s="654">
        <v>3310378</v>
      </c>
      <c r="F138" s="654">
        <v>1888409</v>
      </c>
      <c r="G138" s="654">
        <v>0</v>
      </c>
      <c r="H138" s="654">
        <v>0</v>
      </c>
      <c r="I138" s="654">
        <v>765679</v>
      </c>
      <c r="J138" s="654">
        <v>16152</v>
      </c>
      <c r="K138" s="654">
        <v>5980618</v>
      </c>
      <c r="L138" s="654">
        <v>927441</v>
      </c>
      <c r="M138" s="654">
        <v>0</v>
      </c>
      <c r="N138" s="654">
        <v>927441</v>
      </c>
      <c r="O138" s="654">
        <v>70200</v>
      </c>
      <c r="P138" s="654">
        <v>0</v>
      </c>
      <c r="Q138" s="654">
        <v>0</v>
      </c>
      <c r="R138" s="654">
        <v>0</v>
      </c>
      <c r="S138" s="654">
        <v>0</v>
      </c>
      <c r="T138" s="654">
        <v>0</v>
      </c>
      <c r="U138" s="654">
        <v>0</v>
      </c>
      <c r="V138" s="654">
        <v>0</v>
      </c>
      <c r="W138" s="654">
        <v>0</v>
      </c>
      <c r="X138" s="654">
        <v>0</v>
      </c>
      <c r="Y138" s="654">
        <v>0</v>
      </c>
    </row>
    <row r="139" spans="1:25" x14ac:dyDescent="0.15">
      <c r="B139" t="s">
        <v>627</v>
      </c>
      <c r="C139" t="s">
        <v>379</v>
      </c>
      <c r="D139" s="654">
        <v>4895576</v>
      </c>
      <c r="E139" s="654">
        <v>1415446</v>
      </c>
      <c r="F139" s="654">
        <v>1739781</v>
      </c>
      <c r="G139" s="654">
        <v>0</v>
      </c>
      <c r="H139" s="654">
        <v>0</v>
      </c>
      <c r="I139" s="654">
        <v>716896</v>
      </c>
      <c r="J139" s="654">
        <v>10018</v>
      </c>
      <c r="K139" s="654">
        <v>3882141</v>
      </c>
      <c r="L139" s="654">
        <v>895928</v>
      </c>
      <c r="M139" s="654">
        <v>0</v>
      </c>
      <c r="N139" s="654">
        <v>895928</v>
      </c>
      <c r="O139" s="654">
        <v>10018</v>
      </c>
      <c r="P139" s="654">
        <v>0</v>
      </c>
      <c r="Q139" s="654">
        <v>0</v>
      </c>
      <c r="R139" s="654">
        <v>0</v>
      </c>
      <c r="S139" s="654">
        <v>0</v>
      </c>
      <c r="T139" s="654">
        <v>0</v>
      </c>
      <c r="U139" s="654">
        <v>0</v>
      </c>
      <c r="V139" s="654">
        <v>0</v>
      </c>
      <c r="W139" s="654">
        <v>0</v>
      </c>
      <c r="X139" s="654">
        <v>0</v>
      </c>
      <c r="Y139" s="654">
        <v>0</v>
      </c>
    </row>
    <row r="140" spans="1:25" x14ac:dyDescent="0.15">
      <c r="B140" t="s">
        <v>628</v>
      </c>
      <c r="C140" t="s">
        <v>380</v>
      </c>
      <c r="D140" s="654">
        <v>4173208</v>
      </c>
      <c r="E140" s="654">
        <v>1221540</v>
      </c>
      <c r="F140" s="654">
        <v>1480650</v>
      </c>
      <c r="G140" s="654">
        <v>0</v>
      </c>
      <c r="H140" s="654">
        <v>0</v>
      </c>
      <c r="I140" s="654">
        <v>713278</v>
      </c>
      <c r="J140" s="654">
        <v>16548</v>
      </c>
      <c r="K140" s="654">
        <v>3432016</v>
      </c>
      <c r="L140" s="654">
        <v>687236</v>
      </c>
      <c r="M140" s="654">
        <v>0</v>
      </c>
      <c r="N140" s="654">
        <v>687236</v>
      </c>
      <c r="O140" s="654">
        <v>51840</v>
      </c>
      <c r="P140" s="654">
        <v>0</v>
      </c>
      <c r="Q140" s="654">
        <v>0</v>
      </c>
      <c r="R140" s="654">
        <v>0</v>
      </c>
      <c r="S140" s="654">
        <v>0</v>
      </c>
      <c r="T140" s="654">
        <v>0</v>
      </c>
      <c r="U140" s="654">
        <v>0</v>
      </c>
      <c r="V140" s="654">
        <v>0</v>
      </c>
      <c r="W140" s="654">
        <v>0</v>
      </c>
      <c r="X140" s="654">
        <v>0</v>
      </c>
      <c r="Y140" s="654">
        <v>0</v>
      </c>
    </row>
    <row r="141" spans="1:25" x14ac:dyDescent="0.15">
      <c r="B141" t="s">
        <v>629</v>
      </c>
      <c r="C141" t="s">
        <v>676</v>
      </c>
      <c r="D141" s="654">
        <v>2455055</v>
      </c>
      <c r="E141" s="654">
        <v>613800</v>
      </c>
      <c r="F141" s="654">
        <v>735342</v>
      </c>
      <c r="G141" s="654">
        <v>0</v>
      </c>
      <c r="H141" s="654">
        <v>0</v>
      </c>
      <c r="I141" s="654">
        <v>259501</v>
      </c>
      <c r="J141" s="654">
        <v>3402</v>
      </c>
      <c r="K141" s="654">
        <v>1612045</v>
      </c>
      <c r="L141" s="654">
        <v>998575</v>
      </c>
      <c r="M141" s="654">
        <v>0</v>
      </c>
      <c r="N141" s="654">
        <v>998575</v>
      </c>
      <c r="O141" s="654">
        <v>0</v>
      </c>
      <c r="P141" s="654">
        <v>0</v>
      </c>
      <c r="Q141" s="654">
        <v>0</v>
      </c>
      <c r="R141" s="654">
        <v>0</v>
      </c>
      <c r="S141" s="654">
        <v>0</v>
      </c>
      <c r="T141" s="654">
        <v>0</v>
      </c>
      <c r="U141" s="654">
        <v>0</v>
      </c>
      <c r="V141" s="654">
        <v>0</v>
      </c>
      <c r="W141" s="654">
        <v>0</v>
      </c>
      <c r="X141" s="654">
        <v>0</v>
      </c>
      <c r="Y141" s="654">
        <v>0</v>
      </c>
    </row>
    <row r="142" spans="1:25" x14ac:dyDescent="0.15">
      <c r="B142" t="s">
        <v>631</v>
      </c>
      <c r="C142" t="s">
        <v>381</v>
      </c>
      <c r="D142" s="654">
        <v>2837215</v>
      </c>
      <c r="E142" s="654">
        <v>810521</v>
      </c>
      <c r="F142" s="654">
        <v>0</v>
      </c>
      <c r="G142" s="654">
        <v>0</v>
      </c>
      <c r="H142" s="654">
        <v>0</v>
      </c>
      <c r="I142" s="654">
        <v>76026</v>
      </c>
      <c r="J142" s="654">
        <v>1134</v>
      </c>
      <c r="K142" s="654">
        <v>887681</v>
      </c>
      <c r="L142" s="654">
        <v>765970</v>
      </c>
      <c r="M142" s="654">
        <v>0</v>
      </c>
      <c r="N142" s="654">
        <v>765970</v>
      </c>
      <c r="O142" s="654">
        <v>16200</v>
      </c>
      <c r="P142" s="654">
        <v>0</v>
      </c>
      <c r="Q142" s="654">
        <v>0</v>
      </c>
      <c r="R142" s="654">
        <v>0</v>
      </c>
      <c r="S142" s="654">
        <v>0</v>
      </c>
      <c r="T142" s="654">
        <v>0</v>
      </c>
      <c r="U142" s="654">
        <v>0</v>
      </c>
      <c r="V142" s="654">
        <v>0</v>
      </c>
      <c r="W142" s="654">
        <v>0</v>
      </c>
      <c r="X142" s="654">
        <v>0</v>
      </c>
      <c r="Y142" s="654">
        <v>0</v>
      </c>
    </row>
    <row r="143" spans="1:25" x14ac:dyDescent="0.15">
      <c r="B143" t="s">
        <v>566</v>
      </c>
      <c r="C143" t="s">
        <v>382</v>
      </c>
      <c r="D143" s="654">
        <v>1018303</v>
      </c>
      <c r="E143" s="654">
        <v>656902</v>
      </c>
      <c r="F143" s="654">
        <v>291000</v>
      </c>
      <c r="G143" s="654">
        <v>0</v>
      </c>
      <c r="H143" s="654">
        <v>0</v>
      </c>
      <c r="I143" s="654">
        <v>104033</v>
      </c>
      <c r="J143" s="654">
        <v>1134</v>
      </c>
      <c r="K143" s="654">
        <v>1053069</v>
      </c>
      <c r="L143" s="654">
        <v>422104</v>
      </c>
      <c r="M143" s="654">
        <v>0</v>
      </c>
      <c r="N143" s="654">
        <v>422104</v>
      </c>
      <c r="O143" s="654">
        <v>16200</v>
      </c>
      <c r="P143" s="654">
        <v>0</v>
      </c>
      <c r="Q143" s="654">
        <v>0</v>
      </c>
      <c r="R143" s="654">
        <v>0</v>
      </c>
      <c r="S143" s="654">
        <v>0</v>
      </c>
      <c r="T143" s="654">
        <v>0</v>
      </c>
      <c r="U143" s="654">
        <v>0</v>
      </c>
      <c r="V143" s="654">
        <v>0</v>
      </c>
      <c r="W143" s="654">
        <v>0</v>
      </c>
      <c r="X143" s="654">
        <v>0</v>
      </c>
      <c r="Y143" s="654">
        <v>0</v>
      </c>
    </row>
    <row r="144" spans="1:25" x14ac:dyDescent="0.15">
      <c r="B144" t="s">
        <v>567</v>
      </c>
      <c r="C144" t="s">
        <v>473</v>
      </c>
      <c r="D144" s="654">
        <v>1251664</v>
      </c>
      <c r="E144" s="654">
        <v>368752</v>
      </c>
      <c r="F144" s="654">
        <v>0</v>
      </c>
      <c r="G144" s="654">
        <v>0</v>
      </c>
      <c r="H144" s="654">
        <v>0</v>
      </c>
      <c r="I144" s="654">
        <v>63466</v>
      </c>
      <c r="J144" s="654">
        <v>1134</v>
      </c>
      <c r="K144" s="654">
        <v>433352</v>
      </c>
      <c r="L144" s="654">
        <v>144334</v>
      </c>
      <c r="M144" s="654">
        <v>0</v>
      </c>
      <c r="N144" s="654">
        <v>144334</v>
      </c>
      <c r="O144" s="654">
        <v>20520</v>
      </c>
      <c r="P144" s="654">
        <v>0</v>
      </c>
      <c r="Q144" s="654">
        <v>0</v>
      </c>
      <c r="R144" s="654">
        <v>0</v>
      </c>
      <c r="S144" s="654">
        <v>0</v>
      </c>
      <c r="T144" s="654">
        <v>0</v>
      </c>
      <c r="U144" s="654">
        <v>0</v>
      </c>
      <c r="V144" s="654">
        <v>0</v>
      </c>
      <c r="W144" s="654">
        <v>0</v>
      </c>
      <c r="X144" s="654">
        <v>0</v>
      </c>
      <c r="Y144" s="654">
        <v>0</v>
      </c>
    </row>
    <row r="145" spans="1:25" x14ac:dyDescent="0.15">
      <c r="B145" t="s">
        <v>568</v>
      </c>
      <c r="C145" t="s">
        <v>474</v>
      </c>
      <c r="D145" s="654">
        <v>609532</v>
      </c>
      <c r="E145" s="654">
        <v>184013</v>
      </c>
      <c r="F145" s="654">
        <v>0</v>
      </c>
      <c r="G145" s="654">
        <v>0</v>
      </c>
      <c r="H145" s="654">
        <v>0</v>
      </c>
      <c r="I145" s="654">
        <v>0</v>
      </c>
      <c r="J145" s="654">
        <v>0</v>
      </c>
      <c r="K145" s="654">
        <v>184013</v>
      </c>
      <c r="L145" s="654">
        <v>312332</v>
      </c>
      <c r="M145" s="654">
        <v>0</v>
      </c>
      <c r="N145" s="654">
        <v>312332</v>
      </c>
      <c r="O145" s="654">
        <v>20520</v>
      </c>
      <c r="P145" s="654">
        <v>0</v>
      </c>
      <c r="Q145" s="654">
        <v>0</v>
      </c>
      <c r="R145" s="654">
        <v>0</v>
      </c>
      <c r="S145" s="654">
        <v>0</v>
      </c>
      <c r="T145" s="654">
        <v>0</v>
      </c>
      <c r="U145" s="654">
        <v>0</v>
      </c>
      <c r="V145" s="654">
        <v>0</v>
      </c>
      <c r="W145" s="654">
        <v>0</v>
      </c>
      <c r="X145" s="654">
        <v>0</v>
      </c>
      <c r="Y145" s="654">
        <v>0</v>
      </c>
    </row>
    <row r="146" spans="1:25" x14ac:dyDescent="0.15">
      <c r="B146" t="s">
        <v>582</v>
      </c>
      <c r="C146" t="s">
        <v>384</v>
      </c>
      <c r="D146" s="654">
        <v>0</v>
      </c>
      <c r="E146" s="654">
        <v>0</v>
      </c>
      <c r="F146" s="654">
        <v>0</v>
      </c>
      <c r="G146" s="654">
        <v>0</v>
      </c>
      <c r="H146" s="654">
        <v>0</v>
      </c>
      <c r="I146" s="654">
        <v>0</v>
      </c>
      <c r="J146" s="654">
        <v>0</v>
      </c>
      <c r="K146" s="654">
        <v>0</v>
      </c>
      <c r="L146" s="654">
        <v>220651</v>
      </c>
      <c r="M146" s="654">
        <v>0</v>
      </c>
      <c r="N146" s="654">
        <v>220651</v>
      </c>
      <c r="O146" s="654">
        <v>0</v>
      </c>
      <c r="P146" s="654">
        <v>0</v>
      </c>
      <c r="Q146" s="654">
        <v>0</v>
      </c>
      <c r="R146" s="654">
        <v>0</v>
      </c>
      <c r="S146" s="654">
        <v>0</v>
      </c>
      <c r="T146" s="654">
        <v>0</v>
      </c>
      <c r="U146" s="654">
        <v>0</v>
      </c>
      <c r="V146" s="654">
        <v>0</v>
      </c>
      <c r="W146" s="654">
        <v>0</v>
      </c>
      <c r="X146" s="654">
        <v>0</v>
      </c>
      <c r="Y146" s="654">
        <v>0</v>
      </c>
    </row>
    <row r="147" spans="1:25" x14ac:dyDescent="0.15">
      <c r="B147" t="s">
        <v>625</v>
      </c>
      <c r="C147" t="s">
        <v>594</v>
      </c>
      <c r="D147" s="654">
        <v>50067</v>
      </c>
      <c r="E147" s="654">
        <v>54400</v>
      </c>
      <c r="F147" s="654">
        <v>1298890</v>
      </c>
      <c r="G147" s="654">
        <v>0</v>
      </c>
      <c r="H147" s="654">
        <v>2000000</v>
      </c>
      <c r="I147" s="654">
        <v>963443</v>
      </c>
      <c r="J147" s="654">
        <v>23333</v>
      </c>
      <c r="K147" s="654">
        <v>4340066</v>
      </c>
      <c r="L147" s="654">
        <v>1693942</v>
      </c>
      <c r="M147" s="654">
        <v>0</v>
      </c>
      <c r="N147" s="654">
        <v>1693942</v>
      </c>
      <c r="O147" s="654">
        <v>359640</v>
      </c>
      <c r="P147" s="654">
        <v>0</v>
      </c>
      <c r="Q147" s="654">
        <v>0</v>
      </c>
      <c r="R147" s="654">
        <v>0</v>
      </c>
      <c r="S147" s="654">
        <v>0</v>
      </c>
      <c r="T147" s="654">
        <v>0</v>
      </c>
      <c r="U147" s="654">
        <v>0</v>
      </c>
      <c r="V147" s="654">
        <v>6823</v>
      </c>
      <c r="W147" s="654">
        <v>718794</v>
      </c>
      <c r="X147" s="654">
        <v>0</v>
      </c>
      <c r="Y147" s="654">
        <v>0</v>
      </c>
    </row>
    <row r="148" spans="1:25" x14ac:dyDescent="0.15">
      <c r="B148" t="s">
        <v>671</v>
      </c>
      <c r="C148" t="s">
        <v>383</v>
      </c>
      <c r="D148" s="654">
        <v>2944280</v>
      </c>
      <c r="E148" s="654">
        <v>662256</v>
      </c>
      <c r="F148" s="654">
        <v>916404</v>
      </c>
      <c r="G148" s="654">
        <v>0</v>
      </c>
      <c r="H148" s="654">
        <v>0</v>
      </c>
      <c r="I148" s="654">
        <v>309249</v>
      </c>
      <c r="J148" s="654">
        <v>13236</v>
      </c>
      <c r="K148" s="654">
        <v>1901145</v>
      </c>
      <c r="L148" s="654">
        <v>910333</v>
      </c>
      <c r="M148" s="654">
        <v>0</v>
      </c>
      <c r="N148" s="654">
        <v>910333</v>
      </c>
      <c r="O148" s="654">
        <v>35100</v>
      </c>
      <c r="P148" s="654">
        <v>0</v>
      </c>
      <c r="Q148" s="654">
        <v>0</v>
      </c>
      <c r="R148" s="654">
        <v>0</v>
      </c>
      <c r="S148" s="654">
        <v>0</v>
      </c>
      <c r="T148" s="654">
        <v>0</v>
      </c>
      <c r="U148" s="654">
        <v>0</v>
      </c>
      <c r="V148" s="654">
        <v>0</v>
      </c>
      <c r="W148" s="654">
        <v>0</v>
      </c>
      <c r="X148" s="654">
        <v>0</v>
      </c>
      <c r="Y148" s="654">
        <v>0</v>
      </c>
    </row>
    <row r="149" spans="1:25" x14ac:dyDescent="0.15">
      <c r="A149" s="653" t="s">
        <v>613</v>
      </c>
      <c r="B149"/>
      <c r="D149" s="654">
        <v>29234717</v>
      </c>
      <c r="E149" s="654">
        <v>9298008</v>
      </c>
      <c r="F149" s="654">
        <v>8350476</v>
      </c>
      <c r="G149" s="654">
        <v>0</v>
      </c>
      <c r="H149" s="654">
        <v>2000000</v>
      </c>
      <c r="I149" s="654">
        <v>3971571</v>
      </c>
      <c r="J149" s="654">
        <v>86091</v>
      </c>
      <c r="K149" s="654">
        <v>23706146</v>
      </c>
      <c r="L149" s="654">
        <v>7978846</v>
      </c>
      <c r="M149" s="654">
        <v>0</v>
      </c>
      <c r="N149" s="654">
        <v>7978846</v>
      </c>
      <c r="O149" s="654">
        <v>600238</v>
      </c>
      <c r="P149" s="654">
        <v>0</v>
      </c>
      <c r="Q149" s="654">
        <v>0</v>
      </c>
      <c r="R149" s="654">
        <v>0</v>
      </c>
      <c r="S149" s="654">
        <v>0</v>
      </c>
      <c r="T149" s="654">
        <v>0</v>
      </c>
      <c r="U149" s="654">
        <v>0</v>
      </c>
      <c r="V149" s="654">
        <v>6823</v>
      </c>
      <c r="W149" s="654">
        <v>718794</v>
      </c>
      <c r="X149" s="654">
        <v>0</v>
      </c>
      <c r="Y149" s="654">
        <v>0</v>
      </c>
    </row>
    <row r="150" spans="1:25" x14ac:dyDescent="0.15">
      <c r="A150" s="653">
        <v>42767</v>
      </c>
      <c r="B150" t="s">
        <v>626</v>
      </c>
      <c r="C150" t="s">
        <v>378</v>
      </c>
      <c r="D150" s="654">
        <v>8785743</v>
      </c>
      <c r="E150" s="654">
        <v>3132119</v>
      </c>
      <c r="F150" s="654">
        <v>1865921</v>
      </c>
      <c r="G150" s="654">
        <v>0</v>
      </c>
      <c r="H150" s="654">
        <v>0</v>
      </c>
      <c r="I150" s="654">
        <v>274142</v>
      </c>
      <c r="J150" s="654">
        <v>84226</v>
      </c>
      <c r="K150" s="654">
        <v>5356408</v>
      </c>
      <c r="L150" s="654">
        <v>649921</v>
      </c>
      <c r="M150" s="654">
        <v>0</v>
      </c>
      <c r="N150" s="654">
        <v>649921</v>
      </c>
      <c r="O150" s="654">
        <v>15552</v>
      </c>
      <c r="P150" s="654">
        <v>0</v>
      </c>
      <c r="Q150" s="654">
        <v>0</v>
      </c>
      <c r="R150" s="654">
        <v>0</v>
      </c>
      <c r="S150" s="654">
        <v>0</v>
      </c>
      <c r="T150" s="654">
        <v>0</v>
      </c>
      <c r="U150" s="654">
        <v>0</v>
      </c>
      <c r="V150" s="654">
        <v>0</v>
      </c>
      <c r="W150" s="654">
        <v>0</v>
      </c>
      <c r="X150" s="654">
        <v>0</v>
      </c>
      <c r="Y150" s="654">
        <v>0</v>
      </c>
    </row>
    <row r="151" spans="1:25" x14ac:dyDescent="0.15">
      <c r="B151" t="s">
        <v>627</v>
      </c>
      <c r="C151" t="s">
        <v>379</v>
      </c>
      <c r="D151" s="654">
        <v>4964922</v>
      </c>
      <c r="E151" s="654">
        <v>1336510</v>
      </c>
      <c r="F151" s="654">
        <v>1643034</v>
      </c>
      <c r="G151" s="654">
        <v>0</v>
      </c>
      <c r="H151" s="654">
        <v>0</v>
      </c>
      <c r="I151" s="654">
        <v>256969</v>
      </c>
      <c r="J151" s="654">
        <v>13138</v>
      </c>
      <c r="K151" s="654">
        <v>3249651</v>
      </c>
      <c r="L151" s="654">
        <v>955436</v>
      </c>
      <c r="M151" s="654">
        <v>0</v>
      </c>
      <c r="N151" s="654">
        <v>955436</v>
      </c>
      <c r="O151" s="654">
        <v>13138</v>
      </c>
      <c r="P151" s="654">
        <v>0</v>
      </c>
      <c r="Q151" s="654">
        <v>0</v>
      </c>
      <c r="R151" s="654">
        <v>0</v>
      </c>
      <c r="S151" s="654">
        <v>0</v>
      </c>
      <c r="T151" s="654">
        <v>0</v>
      </c>
      <c r="U151" s="654">
        <v>0</v>
      </c>
      <c r="V151" s="654">
        <v>0</v>
      </c>
      <c r="W151" s="654">
        <v>0</v>
      </c>
      <c r="X151" s="654">
        <v>0</v>
      </c>
      <c r="Y151" s="654">
        <v>0</v>
      </c>
    </row>
    <row r="152" spans="1:25" x14ac:dyDescent="0.15">
      <c r="B152" t="s">
        <v>628</v>
      </c>
      <c r="C152" t="s">
        <v>380</v>
      </c>
      <c r="D152" s="654">
        <v>4262755</v>
      </c>
      <c r="E152" s="654">
        <v>1144155</v>
      </c>
      <c r="F152" s="654">
        <v>1439667</v>
      </c>
      <c r="G152" s="654">
        <v>0</v>
      </c>
      <c r="H152" s="654">
        <v>0</v>
      </c>
      <c r="I152" s="654">
        <v>255302</v>
      </c>
      <c r="J152" s="654">
        <v>9404</v>
      </c>
      <c r="K152" s="654">
        <v>2848528</v>
      </c>
      <c r="L152" s="654">
        <v>770772</v>
      </c>
      <c r="M152" s="654">
        <v>0</v>
      </c>
      <c r="N152" s="654">
        <v>770772</v>
      </c>
      <c r="O152" s="654">
        <v>68040</v>
      </c>
      <c r="P152" s="654">
        <v>0</v>
      </c>
      <c r="Q152" s="654">
        <v>0</v>
      </c>
      <c r="R152" s="654">
        <v>0</v>
      </c>
      <c r="S152" s="654">
        <v>0</v>
      </c>
      <c r="T152" s="654">
        <v>0</v>
      </c>
      <c r="U152" s="654">
        <v>0</v>
      </c>
      <c r="V152" s="654">
        <v>0</v>
      </c>
      <c r="W152" s="654">
        <v>0</v>
      </c>
      <c r="X152" s="654">
        <v>0</v>
      </c>
      <c r="Y152" s="654">
        <v>0</v>
      </c>
    </row>
    <row r="153" spans="1:25" x14ac:dyDescent="0.15">
      <c r="B153" t="s">
        <v>629</v>
      </c>
      <c r="C153" t="s">
        <v>676</v>
      </c>
      <c r="D153" s="654">
        <v>3054922</v>
      </c>
      <c r="E153" s="654">
        <v>617237</v>
      </c>
      <c r="F153" s="654">
        <v>729413</v>
      </c>
      <c r="G153" s="654">
        <v>0</v>
      </c>
      <c r="H153" s="654">
        <v>0</v>
      </c>
      <c r="I153" s="654">
        <v>92919</v>
      </c>
      <c r="J153" s="654">
        <v>3402</v>
      </c>
      <c r="K153" s="654">
        <v>1442971</v>
      </c>
      <c r="L153" s="654">
        <v>784274</v>
      </c>
      <c r="M153" s="654">
        <v>0</v>
      </c>
      <c r="N153" s="654">
        <v>784274</v>
      </c>
      <c r="O153" s="654">
        <v>0</v>
      </c>
      <c r="P153" s="654">
        <v>0</v>
      </c>
      <c r="Q153" s="654">
        <v>0</v>
      </c>
      <c r="R153" s="654">
        <v>0</v>
      </c>
      <c r="S153" s="654">
        <v>0</v>
      </c>
      <c r="T153" s="654">
        <v>0</v>
      </c>
      <c r="U153" s="654">
        <v>0</v>
      </c>
      <c r="V153" s="654">
        <v>0</v>
      </c>
      <c r="W153" s="654">
        <v>0</v>
      </c>
      <c r="X153" s="654">
        <v>0</v>
      </c>
      <c r="Y153" s="654">
        <v>0</v>
      </c>
    </row>
    <row r="154" spans="1:25" x14ac:dyDescent="0.15">
      <c r="B154" t="s">
        <v>631</v>
      </c>
      <c r="C154" t="s">
        <v>381</v>
      </c>
      <c r="D154" s="654">
        <v>2860800</v>
      </c>
      <c r="E154" s="654">
        <v>746997</v>
      </c>
      <c r="F154" s="654">
        <v>0</v>
      </c>
      <c r="G154" s="654">
        <v>0</v>
      </c>
      <c r="H154" s="654">
        <v>0</v>
      </c>
      <c r="I154" s="654">
        <v>27150</v>
      </c>
      <c r="J154" s="654">
        <v>1134</v>
      </c>
      <c r="K154" s="654">
        <v>775281</v>
      </c>
      <c r="L154" s="654">
        <v>1017278</v>
      </c>
      <c r="M154" s="654">
        <v>0</v>
      </c>
      <c r="N154" s="654">
        <v>1017278</v>
      </c>
      <c r="O154" s="654">
        <v>34992</v>
      </c>
      <c r="P154" s="654">
        <v>0</v>
      </c>
      <c r="Q154" s="654">
        <v>0</v>
      </c>
      <c r="R154" s="654">
        <v>0</v>
      </c>
      <c r="S154" s="654">
        <v>0</v>
      </c>
      <c r="T154" s="654">
        <v>0</v>
      </c>
      <c r="U154" s="654">
        <v>0</v>
      </c>
      <c r="V154" s="654">
        <v>0</v>
      </c>
      <c r="W154" s="654">
        <v>0</v>
      </c>
      <c r="X154" s="654">
        <v>0</v>
      </c>
      <c r="Y154" s="654">
        <v>0</v>
      </c>
    </row>
    <row r="155" spans="1:25" x14ac:dyDescent="0.15">
      <c r="B155" t="s">
        <v>566</v>
      </c>
      <c r="C155" t="s">
        <v>382</v>
      </c>
      <c r="D155" s="654">
        <v>954579</v>
      </c>
      <c r="E155" s="654">
        <v>544207</v>
      </c>
      <c r="F155" s="654">
        <v>275000</v>
      </c>
      <c r="G155" s="654">
        <v>0</v>
      </c>
      <c r="H155" s="654">
        <v>0</v>
      </c>
      <c r="I155" s="654">
        <v>37199</v>
      </c>
      <c r="J155" s="654">
        <v>1134</v>
      </c>
      <c r="K155" s="654">
        <v>857540</v>
      </c>
      <c r="L155" s="654">
        <v>404704</v>
      </c>
      <c r="M155" s="654">
        <v>0</v>
      </c>
      <c r="N155" s="654">
        <v>404704</v>
      </c>
      <c r="O155" s="654">
        <v>34992</v>
      </c>
      <c r="P155" s="654">
        <v>0</v>
      </c>
      <c r="Q155" s="654">
        <v>0</v>
      </c>
      <c r="R155" s="654">
        <v>0</v>
      </c>
      <c r="S155" s="654">
        <v>0</v>
      </c>
      <c r="T155" s="654">
        <v>0</v>
      </c>
      <c r="U155" s="654">
        <v>0</v>
      </c>
      <c r="V155" s="654">
        <v>0</v>
      </c>
      <c r="W155" s="654">
        <v>0</v>
      </c>
      <c r="X155" s="654">
        <v>0</v>
      </c>
      <c r="Y155" s="654">
        <v>0</v>
      </c>
    </row>
    <row r="156" spans="1:25" x14ac:dyDescent="0.15">
      <c r="B156" t="s">
        <v>567</v>
      </c>
      <c r="C156" t="s">
        <v>473</v>
      </c>
      <c r="D156" s="654">
        <v>946853</v>
      </c>
      <c r="E156" s="654">
        <v>332511</v>
      </c>
      <c r="F156" s="654">
        <v>50000</v>
      </c>
      <c r="G156" s="654">
        <v>0</v>
      </c>
      <c r="H156" s="654">
        <v>0</v>
      </c>
      <c r="I156" s="654">
        <v>22766</v>
      </c>
      <c r="J156" s="654">
        <v>1134</v>
      </c>
      <c r="K156" s="654">
        <v>406411</v>
      </c>
      <c r="L156" s="654">
        <v>160354</v>
      </c>
      <c r="M156" s="654">
        <v>0</v>
      </c>
      <c r="N156" s="654">
        <v>160354</v>
      </c>
      <c r="O156" s="654">
        <v>41472</v>
      </c>
      <c r="P156" s="654">
        <v>0</v>
      </c>
      <c r="Q156" s="654">
        <v>0</v>
      </c>
      <c r="R156" s="654">
        <v>0</v>
      </c>
      <c r="S156" s="654">
        <v>0</v>
      </c>
      <c r="T156" s="654">
        <v>0</v>
      </c>
      <c r="U156" s="654">
        <v>0</v>
      </c>
      <c r="V156" s="654">
        <v>0</v>
      </c>
      <c r="W156" s="654">
        <v>0</v>
      </c>
      <c r="X156" s="654">
        <v>0</v>
      </c>
      <c r="Y156" s="654">
        <v>0</v>
      </c>
    </row>
    <row r="157" spans="1:25" x14ac:dyDescent="0.15">
      <c r="B157" t="s">
        <v>568</v>
      </c>
      <c r="C157" t="s">
        <v>474</v>
      </c>
      <c r="D157" s="654">
        <v>554394</v>
      </c>
      <c r="E157" s="654">
        <v>147335</v>
      </c>
      <c r="F157" s="654">
        <v>50000</v>
      </c>
      <c r="G157" s="654">
        <v>0</v>
      </c>
      <c r="H157" s="654">
        <v>0</v>
      </c>
      <c r="I157" s="654">
        <v>0</v>
      </c>
      <c r="J157" s="654">
        <v>0</v>
      </c>
      <c r="K157" s="654">
        <v>197335</v>
      </c>
      <c r="L157" s="654">
        <v>376715</v>
      </c>
      <c r="M157" s="654">
        <v>0</v>
      </c>
      <c r="N157" s="654">
        <v>376715</v>
      </c>
      <c r="O157" s="654">
        <v>41472</v>
      </c>
      <c r="P157" s="654">
        <v>0</v>
      </c>
      <c r="Q157" s="654">
        <v>0</v>
      </c>
      <c r="R157" s="654">
        <v>0</v>
      </c>
      <c r="S157" s="654">
        <v>0</v>
      </c>
      <c r="T157" s="654">
        <v>0</v>
      </c>
      <c r="U157" s="654">
        <v>0</v>
      </c>
      <c r="V157" s="654">
        <v>0</v>
      </c>
      <c r="W157" s="654">
        <v>0</v>
      </c>
      <c r="X157" s="654">
        <v>0</v>
      </c>
      <c r="Y157" s="654">
        <v>0</v>
      </c>
    </row>
    <row r="158" spans="1:25" x14ac:dyDescent="0.15">
      <c r="B158" t="s">
        <v>582</v>
      </c>
      <c r="C158" t="s">
        <v>384</v>
      </c>
      <c r="D158" s="654">
        <v>0</v>
      </c>
      <c r="E158" s="654">
        <v>0</v>
      </c>
      <c r="F158" s="654">
        <v>0</v>
      </c>
      <c r="G158" s="654">
        <v>0</v>
      </c>
      <c r="H158" s="654">
        <v>0</v>
      </c>
      <c r="I158" s="654">
        <v>0</v>
      </c>
      <c r="J158" s="654">
        <v>0</v>
      </c>
      <c r="K158" s="654">
        <v>0</v>
      </c>
      <c r="L158" s="654">
        <v>175912</v>
      </c>
      <c r="M158" s="654">
        <v>0</v>
      </c>
      <c r="N158" s="654">
        <v>175912</v>
      </c>
      <c r="O158" s="654">
        <v>0</v>
      </c>
      <c r="P158" s="654">
        <v>0</v>
      </c>
      <c r="Q158" s="654">
        <v>0</v>
      </c>
      <c r="R158" s="654">
        <v>0</v>
      </c>
      <c r="S158" s="654">
        <v>0</v>
      </c>
      <c r="T158" s="654">
        <v>0</v>
      </c>
      <c r="U158" s="654">
        <v>0</v>
      </c>
      <c r="V158" s="654">
        <v>0</v>
      </c>
      <c r="W158" s="654">
        <v>0</v>
      </c>
      <c r="X158" s="654">
        <v>0</v>
      </c>
      <c r="Y158" s="654">
        <v>0</v>
      </c>
    </row>
    <row r="159" spans="1:25" x14ac:dyDescent="0.15">
      <c r="B159" t="s">
        <v>625</v>
      </c>
      <c r="C159" t="s">
        <v>594</v>
      </c>
      <c r="D159" s="654">
        <v>0</v>
      </c>
      <c r="E159" s="654">
        <v>54400</v>
      </c>
      <c r="F159" s="654">
        <v>1073654</v>
      </c>
      <c r="G159" s="654">
        <v>0</v>
      </c>
      <c r="H159" s="654">
        <v>2000000</v>
      </c>
      <c r="I159" s="654">
        <v>309956</v>
      </c>
      <c r="J159" s="654">
        <v>7938</v>
      </c>
      <c r="K159" s="654">
        <v>3445948</v>
      </c>
      <c r="L159" s="654">
        <v>1382643</v>
      </c>
      <c r="M159" s="654">
        <v>0</v>
      </c>
      <c r="N159" s="654">
        <v>1382643</v>
      </c>
      <c r="O159" s="654">
        <v>4950</v>
      </c>
      <c r="P159" s="654">
        <v>0</v>
      </c>
      <c r="Q159" s="654">
        <v>0</v>
      </c>
      <c r="R159" s="654">
        <v>0</v>
      </c>
      <c r="S159" s="654">
        <v>0</v>
      </c>
      <c r="T159" s="654">
        <v>0</v>
      </c>
      <c r="U159" s="654">
        <v>0</v>
      </c>
      <c r="V159" s="654">
        <v>6434</v>
      </c>
      <c r="W159" s="654">
        <v>173112</v>
      </c>
      <c r="X159" s="654">
        <v>0</v>
      </c>
      <c r="Y159" s="654">
        <v>0</v>
      </c>
    </row>
    <row r="160" spans="1:25" x14ac:dyDescent="0.15">
      <c r="B160" t="s">
        <v>671</v>
      </c>
      <c r="C160" t="s">
        <v>383</v>
      </c>
      <c r="D160" s="654">
        <v>2904610</v>
      </c>
      <c r="E160" s="654">
        <v>526361</v>
      </c>
      <c r="F160" s="654">
        <v>983651</v>
      </c>
      <c r="G160" s="654">
        <v>0</v>
      </c>
      <c r="H160" s="654">
        <v>0</v>
      </c>
      <c r="I160" s="654">
        <v>111011</v>
      </c>
      <c r="J160" s="654">
        <v>9236</v>
      </c>
      <c r="K160" s="654">
        <v>1630259</v>
      </c>
      <c r="L160" s="654">
        <v>894242</v>
      </c>
      <c r="M160" s="654">
        <v>0</v>
      </c>
      <c r="N160" s="654">
        <v>894242</v>
      </c>
      <c r="O160" s="654">
        <v>0</v>
      </c>
      <c r="P160" s="654">
        <v>0</v>
      </c>
      <c r="Q160" s="654">
        <v>0</v>
      </c>
      <c r="R160" s="654">
        <v>0</v>
      </c>
      <c r="S160" s="654">
        <v>0</v>
      </c>
      <c r="T160" s="654">
        <v>0</v>
      </c>
      <c r="U160" s="654">
        <v>0</v>
      </c>
      <c r="V160" s="654">
        <v>0</v>
      </c>
      <c r="W160" s="654">
        <v>0</v>
      </c>
      <c r="X160" s="654">
        <v>0</v>
      </c>
      <c r="Y160" s="654">
        <v>0</v>
      </c>
    </row>
    <row r="161" spans="1:25" x14ac:dyDescent="0.15">
      <c r="A161" s="653" t="s">
        <v>614</v>
      </c>
      <c r="B161"/>
      <c r="D161" s="654">
        <v>29289578</v>
      </c>
      <c r="E161" s="654">
        <v>8581832</v>
      </c>
      <c r="F161" s="654">
        <v>8110340</v>
      </c>
      <c r="G161" s="654">
        <v>0</v>
      </c>
      <c r="H161" s="654">
        <v>2000000</v>
      </c>
      <c r="I161" s="654">
        <v>1387414</v>
      </c>
      <c r="J161" s="654">
        <v>130746</v>
      </c>
      <c r="K161" s="654">
        <v>20210332</v>
      </c>
      <c r="L161" s="654">
        <v>7572251</v>
      </c>
      <c r="M161" s="654">
        <v>0</v>
      </c>
      <c r="N161" s="654">
        <v>7572251</v>
      </c>
      <c r="O161" s="654">
        <v>254608</v>
      </c>
      <c r="P161" s="654">
        <v>0</v>
      </c>
      <c r="Q161" s="654">
        <v>0</v>
      </c>
      <c r="R161" s="654">
        <v>0</v>
      </c>
      <c r="S161" s="654">
        <v>0</v>
      </c>
      <c r="T161" s="654">
        <v>0</v>
      </c>
      <c r="U161" s="654">
        <v>0</v>
      </c>
      <c r="V161" s="654">
        <v>6434</v>
      </c>
      <c r="W161" s="654">
        <v>173112</v>
      </c>
      <c r="X161" s="654">
        <v>0</v>
      </c>
      <c r="Y161" s="654">
        <v>0</v>
      </c>
    </row>
    <row r="162" spans="1:25" x14ac:dyDescent="0.15">
      <c r="A162" s="653">
        <v>42795</v>
      </c>
      <c r="B162" t="s">
        <v>626</v>
      </c>
      <c r="C162" t="s">
        <v>378</v>
      </c>
      <c r="D162" s="654">
        <v>9945843</v>
      </c>
      <c r="E162" s="654">
        <v>3371587</v>
      </c>
      <c r="F162" s="654">
        <v>1990889</v>
      </c>
      <c r="G162" s="654">
        <v>0</v>
      </c>
      <c r="H162" s="654">
        <v>0</v>
      </c>
      <c r="I162" s="654">
        <v>285757</v>
      </c>
      <c r="J162" s="654">
        <v>22410</v>
      </c>
      <c r="K162" s="654">
        <v>5670643</v>
      </c>
      <c r="L162" s="654">
        <v>667865</v>
      </c>
      <c r="M162" s="654">
        <v>0</v>
      </c>
      <c r="N162" s="654">
        <v>667865</v>
      </c>
      <c r="O162" s="654">
        <v>0</v>
      </c>
      <c r="P162" s="654">
        <v>0</v>
      </c>
      <c r="Q162" s="654">
        <v>0</v>
      </c>
      <c r="R162" s="654">
        <v>0</v>
      </c>
      <c r="S162" s="654">
        <v>0</v>
      </c>
      <c r="T162" s="654">
        <v>0</v>
      </c>
      <c r="U162" s="654">
        <v>0</v>
      </c>
      <c r="V162" s="654">
        <v>0</v>
      </c>
      <c r="W162" s="654">
        <v>0</v>
      </c>
      <c r="X162" s="654">
        <v>0</v>
      </c>
      <c r="Y162" s="654">
        <v>0</v>
      </c>
    </row>
    <row r="163" spans="1:25" x14ac:dyDescent="0.15">
      <c r="B163" t="s">
        <v>627</v>
      </c>
      <c r="C163" t="s">
        <v>379</v>
      </c>
      <c r="D163" s="654">
        <v>4868200</v>
      </c>
      <c r="E163" s="654">
        <v>1375628</v>
      </c>
      <c r="F163" s="654">
        <v>1630048</v>
      </c>
      <c r="G163" s="654">
        <v>0</v>
      </c>
      <c r="H163" s="654">
        <v>0</v>
      </c>
      <c r="I163" s="654">
        <v>248149</v>
      </c>
      <c r="J163" s="654">
        <v>9072</v>
      </c>
      <c r="K163" s="654">
        <v>3262897</v>
      </c>
      <c r="L163" s="654">
        <v>1023865</v>
      </c>
      <c r="M163" s="654">
        <v>0</v>
      </c>
      <c r="N163" s="654">
        <v>1023865</v>
      </c>
      <c r="O163" s="654">
        <v>9072</v>
      </c>
      <c r="P163" s="654">
        <v>0</v>
      </c>
      <c r="Q163" s="654">
        <v>0</v>
      </c>
      <c r="R163" s="654">
        <v>0</v>
      </c>
      <c r="S163" s="654">
        <v>0</v>
      </c>
      <c r="T163" s="654">
        <v>0</v>
      </c>
      <c r="U163" s="654">
        <v>0</v>
      </c>
      <c r="V163" s="654">
        <v>0</v>
      </c>
      <c r="W163" s="654">
        <v>0</v>
      </c>
      <c r="X163" s="654">
        <v>0</v>
      </c>
      <c r="Y163" s="654">
        <v>0</v>
      </c>
    </row>
    <row r="164" spans="1:25" x14ac:dyDescent="0.15">
      <c r="B164" t="s">
        <v>628</v>
      </c>
      <c r="C164" t="s">
        <v>380</v>
      </c>
      <c r="D164" s="654">
        <v>4860213</v>
      </c>
      <c r="E164" s="654">
        <v>1294864</v>
      </c>
      <c r="F164" s="654">
        <v>1410877</v>
      </c>
      <c r="G164" s="654">
        <v>0</v>
      </c>
      <c r="H164" s="654">
        <v>0</v>
      </c>
      <c r="I164" s="654">
        <v>246454</v>
      </c>
      <c r="J164" s="654">
        <v>48291</v>
      </c>
      <c r="K164" s="654">
        <v>3000486</v>
      </c>
      <c r="L164" s="654">
        <v>858028</v>
      </c>
      <c r="M164" s="654">
        <v>0</v>
      </c>
      <c r="N164" s="654">
        <v>858028</v>
      </c>
      <c r="O164" s="654">
        <v>0</v>
      </c>
      <c r="P164" s="654">
        <v>0</v>
      </c>
      <c r="Q164" s="654">
        <v>0</v>
      </c>
      <c r="R164" s="654">
        <v>0</v>
      </c>
      <c r="S164" s="654">
        <v>0</v>
      </c>
      <c r="T164" s="654">
        <v>0</v>
      </c>
      <c r="U164" s="654">
        <v>0</v>
      </c>
      <c r="V164" s="654">
        <v>0</v>
      </c>
      <c r="W164" s="654">
        <v>0</v>
      </c>
      <c r="X164" s="654">
        <v>0</v>
      </c>
      <c r="Y164" s="654">
        <v>0</v>
      </c>
    </row>
    <row r="165" spans="1:25" x14ac:dyDescent="0.15">
      <c r="B165" t="s">
        <v>629</v>
      </c>
      <c r="C165" t="s">
        <v>676</v>
      </c>
      <c r="D165" s="654">
        <v>3122033</v>
      </c>
      <c r="E165" s="654">
        <v>806310</v>
      </c>
      <c r="F165" s="654">
        <v>733034</v>
      </c>
      <c r="G165" s="654">
        <v>0</v>
      </c>
      <c r="H165" s="654">
        <v>0</v>
      </c>
      <c r="I165" s="654">
        <v>89776</v>
      </c>
      <c r="J165" s="654">
        <v>3402</v>
      </c>
      <c r="K165" s="654">
        <v>1632522</v>
      </c>
      <c r="L165" s="654">
        <v>912870</v>
      </c>
      <c r="M165" s="654">
        <v>0</v>
      </c>
      <c r="N165" s="654">
        <v>912870</v>
      </c>
      <c r="O165" s="654">
        <v>0</v>
      </c>
      <c r="P165" s="654">
        <v>0</v>
      </c>
      <c r="Q165" s="654">
        <v>0</v>
      </c>
      <c r="R165" s="654">
        <v>0</v>
      </c>
      <c r="S165" s="654">
        <v>0</v>
      </c>
      <c r="T165" s="654">
        <v>0</v>
      </c>
      <c r="U165" s="654">
        <v>0</v>
      </c>
      <c r="V165" s="654">
        <v>0</v>
      </c>
      <c r="W165" s="654">
        <v>0</v>
      </c>
      <c r="X165" s="654">
        <v>0</v>
      </c>
      <c r="Y165" s="654">
        <v>0</v>
      </c>
    </row>
    <row r="166" spans="1:25" x14ac:dyDescent="0.15">
      <c r="B166" t="s">
        <v>631</v>
      </c>
      <c r="C166" t="s">
        <v>381</v>
      </c>
      <c r="D166" s="654">
        <v>3275962</v>
      </c>
      <c r="E166" s="654">
        <v>802271</v>
      </c>
      <c r="F166" s="654">
        <v>354000</v>
      </c>
      <c r="G166" s="654">
        <v>0</v>
      </c>
      <c r="H166" s="654">
        <v>0</v>
      </c>
      <c r="I166" s="654">
        <v>65627</v>
      </c>
      <c r="J166" s="654">
        <v>19234</v>
      </c>
      <c r="K166" s="654">
        <v>1241132</v>
      </c>
      <c r="L166" s="654">
        <v>1232435</v>
      </c>
      <c r="M166" s="654">
        <v>0</v>
      </c>
      <c r="N166" s="654">
        <v>1232435</v>
      </c>
      <c r="O166" s="654">
        <v>0</v>
      </c>
      <c r="P166" s="654">
        <v>0</v>
      </c>
      <c r="Q166" s="654">
        <v>0</v>
      </c>
      <c r="R166" s="654">
        <v>0</v>
      </c>
      <c r="S166" s="654">
        <v>0</v>
      </c>
      <c r="T166" s="654">
        <v>0</v>
      </c>
      <c r="U166" s="654">
        <v>0</v>
      </c>
      <c r="V166" s="654">
        <v>0</v>
      </c>
      <c r="W166" s="654">
        <v>0</v>
      </c>
      <c r="X166" s="654">
        <v>0</v>
      </c>
      <c r="Y166" s="654">
        <v>0</v>
      </c>
    </row>
    <row r="167" spans="1:25" x14ac:dyDescent="0.15">
      <c r="B167" t="s">
        <v>566</v>
      </c>
      <c r="C167" t="s">
        <v>382</v>
      </c>
      <c r="D167" s="654">
        <v>993559</v>
      </c>
      <c r="E167" s="654">
        <v>572059</v>
      </c>
      <c r="F167" s="654">
        <v>275000</v>
      </c>
      <c r="G167" s="654">
        <v>0</v>
      </c>
      <c r="H167" s="654">
        <v>0</v>
      </c>
      <c r="I167" s="654">
        <v>35963</v>
      </c>
      <c r="J167" s="654">
        <v>17334</v>
      </c>
      <c r="K167" s="654">
        <v>900356</v>
      </c>
      <c r="L167" s="654">
        <v>533700</v>
      </c>
      <c r="M167" s="654">
        <v>0</v>
      </c>
      <c r="N167" s="654">
        <v>533700</v>
      </c>
      <c r="O167" s="654">
        <v>0</v>
      </c>
      <c r="P167" s="654">
        <v>0</v>
      </c>
      <c r="Q167" s="654">
        <v>0</v>
      </c>
      <c r="R167" s="654">
        <v>0</v>
      </c>
      <c r="S167" s="654">
        <v>0</v>
      </c>
      <c r="T167" s="654">
        <v>0</v>
      </c>
      <c r="U167" s="654">
        <v>0</v>
      </c>
      <c r="V167" s="654">
        <v>0</v>
      </c>
      <c r="W167" s="654">
        <v>0</v>
      </c>
      <c r="X167" s="654">
        <v>0</v>
      </c>
      <c r="Y167" s="654">
        <v>0</v>
      </c>
    </row>
    <row r="168" spans="1:25" x14ac:dyDescent="0.15">
      <c r="B168" t="s">
        <v>567</v>
      </c>
      <c r="C168" t="s">
        <v>473</v>
      </c>
      <c r="D168" s="654">
        <v>823242</v>
      </c>
      <c r="E168" s="654">
        <v>375855</v>
      </c>
      <c r="F168" s="654">
        <v>50000</v>
      </c>
      <c r="G168" s="654">
        <v>0</v>
      </c>
      <c r="H168" s="654">
        <v>0</v>
      </c>
      <c r="I168" s="654">
        <v>22090</v>
      </c>
      <c r="J168" s="654">
        <v>17334</v>
      </c>
      <c r="K168" s="654">
        <v>465279</v>
      </c>
      <c r="L168" s="654">
        <v>138088</v>
      </c>
      <c r="M168" s="654">
        <v>0</v>
      </c>
      <c r="N168" s="654">
        <v>138088</v>
      </c>
      <c r="O168" s="654">
        <v>0</v>
      </c>
      <c r="P168" s="654">
        <v>0</v>
      </c>
      <c r="Q168" s="654">
        <v>0</v>
      </c>
      <c r="R168" s="654">
        <v>0</v>
      </c>
      <c r="S168" s="654">
        <v>0</v>
      </c>
      <c r="T168" s="654">
        <v>0</v>
      </c>
      <c r="U168" s="654">
        <v>0</v>
      </c>
      <c r="V168" s="654">
        <v>0</v>
      </c>
      <c r="W168" s="654">
        <v>0</v>
      </c>
      <c r="X168" s="654">
        <v>0</v>
      </c>
      <c r="Y168" s="654">
        <v>0</v>
      </c>
    </row>
    <row r="169" spans="1:25" x14ac:dyDescent="0.15">
      <c r="B169" t="s">
        <v>568</v>
      </c>
      <c r="C169" t="s">
        <v>474</v>
      </c>
      <c r="D169" s="654">
        <v>444204</v>
      </c>
      <c r="E169" s="654">
        <v>170300</v>
      </c>
      <c r="F169" s="654">
        <v>50000</v>
      </c>
      <c r="G169" s="654">
        <v>0</v>
      </c>
      <c r="H169" s="654">
        <v>0</v>
      </c>
      <c r="I169" s="654">
        <v>0</v>
      </c>
      <c r="J169" s="654">
        <v>16200</v>
      </c>
      <c r="K169" s="654">
        <v>236500</v>
      </c>
      <c r="L169" s="654">
        <v>362561</v>
      </c>
      <c r="M169" s="654">
        <v>0</v>
      </c>
      <c r="N169" s="654">
        <v>362561</v>
      </c>
      <c r="O169" s="654">
        <v>0</v>
      </c>
      <c r="P169" s="654">
        <v>0</v>
      </c>
      <c r="Q169" s="654">
        <v>0</v>
      </c>
      <c r="R169" s="654">
        <v>0</v>
      </c>
      <c r="S169" s="654">
        <v>0</v>
      </c>
      <c r="T169" s="654">
        <v>0</v>
      </c>
      <c r="U169" s="654">
        <v>0</v>
      </c>
      <c r="V169" s="654">
        <v>0</v>
      </c>
      <c r="W169" s="654">
        <v>0</v>
      </c>
      <c r="X169" s="654">
        <v>0</v>
      </c>
      <c r="Y169" s="654">
        <v>0</v>
      </c>
    </row>
    <row r="170" spans="1:25" x14ac:dyDescent="0.15">
      <c r="B170" t="s">
        <v>582</v>
      </c>
      <c r="C170" t="s">
        <v>384</v>
      </c>
      <c r="D170" s="654">
        <v>0</v>
      </c>
      <c r="E170" s="654">
        <v>0</v>
      </c>
      <c r="F170" s="654">
        <v>0</v>
      </c>
      <c r="G170" s="654">
        <v>0</v>
      </c>
      <c r="H170" s="654">
        <v>0</v>
      </c>
      <c r="I170" s="654">
        <v>0</v>
      </c>
      <c r="J170" s="654">
        <v>0</v>
      </c>
      <c r="K170" s="654">
        <v>0</v>
      </c>
      <c r="L170" s="654">
        <v>175436</v>
      </c>
      <c r="M170" s="654">
        <v>0</v>
      </c>
      <c r="N170" s="654">
        <v>175436</v>
      </c>
      <c r="O170" s="654">
        <v>0</v>
      </c>
      <c r="P170" s="654">
        <v>0</v>
      </c>
      <c r="Q170" s="654">
        <v>0</v>
      </c>
      <c r="R170" s="654">
        <v>0</v>
      </c>
      <c r="S170" s="654">
        <v>0</v>
      </c>
      <c r="T170" s="654">
        <v>0</v>
      </c>
      <c r="U170" s="654">
        <v>0</v>
      </c>
      <c r="V170" s="654">
        <v>0</v>
      </c>
      <c r="W170" s="654">
        <v>0</v>
      </c>
      <c r="X170" s="654">
        <v>0</v>
      </c>
      <c r="Y170" s="654">
        <v>0</v>
      </c>
    </row>
    <row r="171" spans="1:25" x14ac:dyDescent="0.15">
      <c r="B171" t="s">
        <v>625</v>
      </c>
      <c r="C171" t="s">
        <v>594</v>
      </c>
      <c r="D171" s="654">
        <v>0</v>
      </c>
      <c r="E171" s="654">
        <v>51000</v>
      </c>
      <c r="F171" s="654">
        <v>1072116</v>
      </c>
      <c r="G171" s="654">
        <v>0</v>
      </c>
      <c r="H171" s="654">
        <v>2000000</v>
      </c>
      <c r="I171" s="654">
        <v>299581</v>
      </c>
      <c r="J171" s="654">
        <v>37938</v>
      </c>
      <c r="K171" s="654">
        <v>3460635</v>
      </c>
      <c r="L171" s="654">
        <v>1851208</v>
      </c>
      <c r="M171" s="654">
        <v>0</v>
      </c>
      <c r="N171" s="654">
        <v>1851208</v>
      </c>
      <c r="O171" s="654">
        <v>0</v>
      </c>
      <c r="P171" s="654">
        <v>0</v>
      </c>
      <c r="Q171" s="654">
        <v>0</v>
      </c>
      <c r="R171" s="654">
        <v>0</v>
      </c>
      <c r="S171" s="654">
        <v>0</v>
      </c>
      <c r="T171" s="654">
        <v>0</v>
      </c>
      <c r="U171" s="654">
        <v>0</v>
      </c>
      <c r="V171" s="654">
        <v>700432</v>
      </c>
      <c r="W171" s="654">
        <v>146394</v>
      </c>
      <c r="X171" s="654">
        <v>-500912</v>
      </c>
      <c r="Y171" s="654">
        <v>0</v>
      </c>
    </row>
    <row r="172" spans="1:25" x14ac:dyDescent="0.15">
      <c r="B172" t="s">
        <v>671</v>
      </c>
      <c r="C172" t="s">
        <v>383</v>
      </c>
      <c r="D172" s="654">
        <v>2895760</v>
      </c>
      <c r="E172" s="654">
        <v>676763</v>
      </c>
      <c r="F172" s="654">
        <v>995174</v>
      </c>
      <c r="G172" s="654">
        <v>0</v>
      </c>
      <c r="H172" s="654">
        <v>0</v>
      </c>
      <c r="I172" s="654">
        <v>128832</v>
      </c>
      <c r="J172" s="654">
        <v>5670</v>
      </c>
      <c r="K172" s="654">
        <v>1806439</v>
      </c>
      <c r="L172" s="654">
        <v>837453</v>
      </c>
      <c r="M172" s="654">
        <v>0</v>
      </c>
      <c r="N172" s="654">
        <v>837453</v>
      </c>
      <c r="O172" s="654">
        <v>0</v>
      </c>
      <c r="P172" s="654">
        <v>0</v>
      </c>
      <c r="Q172" s="654">
        <v>0</v>
      </c>
      <c r="R172" s="654">
        <v>0</v>
      </c>
      <c r="S172" s="654">
        <v>0</v>
      </c>
      <c r="T172" s="654">
        <v>0</v>
      </c>
      <c r="U172" s="654">
        <v>0</v>
      </c>
      <c r="V172" s="654">
        <v>0</v>
      </c>
      <c r="W172" s="654">
        <v>0</v>
      </c>
      <c r="X172" s="654">
        <v>0</v>
      </c>
      <c r="Y172" s="654">
        <v>0</v>
      </c>
    </row>
    <row r="173" spans="1:25" x14ac:dyDescent="0.15">
      <c r="A173" s="653" t="s">
        <v>615</v>
      </c>
      <c r="B173"/>
      <c r="D173" s="654">
        <v>31229016</v>
      </c>
      <c r="E173" s="654">
        <v>9496637</v>
      </c>
      <c r="F173" s="654">
        <v>8561138</v>
      </c>
      <c r="G173" s="654">
        <v>0</v>
      </c>
      <c r="H173" s="654">
        <v>2000000</v>
      </c>
      <c r="I173" s="654">
        <v>1422229</v>
      </c>
      <c r="J173" s="654">
        <v>196885</v>
      </c>
      <c r="K173" s="654">
        <v>21676889</v>
      </c>
      <c r="L173" s="654">
        <v>8593509</v>
      </c>
      <c r="M173" s="654">
        <v>0</v>
      </c>
      <c r="N173" s="654">
        <v>8593509</v>
      </c>
      <c r="O173" s="654">
        <v>9072</v>
      </c>
      <c r="P173" s="654">
        <v>0</v>
      </c>
      <c r="Q173" s="654">
        <v>0</v>
      </c>
      <c r="R173" s="654">
        <v>0</v>
      </c>
      <c r="S173" s="654">
        <v>0</v>
      </c>
      <c r="T173" s="654">
        <v>0</v>
      </c>
      <c r="U173" s="654">
        <v>0</v>
      </c>
      <c r="V173" s="654">
        <v>700432</v>
      </c>
      <c r="W173" s="654">
        <v>146394</v>
      </c>
      <c r="X173" s="654">
        <v>-500912</v>
      </c>
      <c r="Y173" s="654">
        <v>0</v>
      </c>
    </row>
    <row r="174" spans="1:25" x14ac:dyDescent="0.15">
      <c r="A174" s="653">
        <v>42826</v>
      </c>
      <c r="B174" t="s">
        <v>626</v>
      </c>
      <c r="C174" t="s">
        <v>378</v>
      </c>
      <c r="D174" s="654">
        <v>9928917</v>
      </c>
      <c r="E174" s="654">
        <v>3164348</v>
      </c>
      <c r="F174" s="654">
        <v>1840940</v>
      </c>
      <c r="G174" s="654">
        <v>0</v>
      </c>
      <c r="H174" s="654">
        <v>0</v>
      </c>
      <c r="I174" s="654">
        <v>295208</v>
      </c>
      <c r="J174" s="654">
        <v>21502</v>
      </c>
      <c r="K174" s="654">
        <v>5321998</v>
      </c>
      <c r="L174" s="654">
        <v>726347</v>
      </c>
      <c r="M174" s="654">
        <v>0</v>
      </c>
      <c r="N174" s="654">
        <v>726347</v>
      </c>
      <c r="O174" s="654">
        <v>0</v>
      </c>
      <c r="P174" s="654">
        <v>0</v>
      </c>
      <c r="Q174" s="654">
        <v>0</v>
      </c>
      <c r="R174" s="654">
        <v>0</v>
      </c>
      <c r="S174" s="654">
        <v>0</v>
      </c>
      <c r="T174" s="654">
        <v>0</v>
      </c>
      <c r="U174" s="654">
        <v>0</v>
      </c>
      <c r="V174" s="654">
        <v>0</v>
      </c>
      <c r="W174" s="654">
        <v>0</v>
      </c>
      <c r="X174" s="654">
        <v>0</v>
      </c>
      <c r="Y174" s="654">
        <v>0</v>
      </c>
    </row>
    <row r="175" spans="1:25" x14ac:dyDescent="0.15">
      <c r="B175" t="s">
        <v>627</v>
      </c>
      <c r="C175" t="s">
        <v>379</v>
      </c>
      <c r="D175" s="654">
        <v>4965478</v>
      </c>
      <c r="E175" s="654">
        <v>1196416</v>
      </c>
      <c r="F175" s="654">
        <v>1633778</v>
      </c>
      <c r="G175" s="654">
        <v>0</v>
      </c>
      <c r="H175" s="654">
        <v>0</v>
      </c>
      <c r="I175" s="654">
        <v>256465</v>
      </c>
      <c r="J175" s="654">
        <v>9072</v>
      </c>
      <c r="K175" s="654">
        <v>3095731</v>
      </c>
      <c r="L175" s="654">
        <v>926173</v>
      </c>
      <c r="M175" s="654">
        <v>0</v>
      </c>
      <c r="N175" s="654">
        <v>926173</v>
      </c>
      <c r="O175" s="654">
        <v>9072</v>
      </c>
      <c r="P175" s="654">
        <v>0</v>
      </c>
      <c r="Q175" s="654">
        <v>0</v>
      </c>
      <c r="R175" s="654">
        <v>0</v>
      </c>
      <c r="S175" s="654">
        <v>0</v>
      </c>
      <c r="T175" s="654">
        <v>0</v>
      </c>
      <c r="U175" s="654">
        <v>0</v>
      </c>
      <c r="V175" s="654">
        <v>0</v>
      </c>
      <c r="W175" s="654">
        <v>0</v>
      </c>
      <c r="X175" s="654">
        <v>0</v>
      </c>
      <c r="Y175" s="654">
        <v>0</v>
      </c>
    </row>
    <row r="176" spans="1:25" x14ac:dyDescent="0.15">
      <c r="B176" t="s">
        <v>628</v>
      </c>
      <c r="C176" t="s">
        <v>380</v>
      </c>
      <c r="D176" s="654">
        <v>4975053</v>
      </c>
      <c r="E176" s="654">
        <v>1359846</v>
      </c>
      <c r="F176" s="654">
        <v>1381298</v>
      </c>
      <c r="G176" s="654">
        <v>0</v>
      </c>
      <c r="H176" s="654">
        <v>0</v>
      </c>
      <c r="I176" s="654">
        <v>254688</v>
      </c>
      <c r="J176" s="654">
        <v>14888</v>
      </c>
      <c r="K176" s="654">
        <v>3010720</v>
      </c>
      <c r="L176" s="654">
        <v>717168</v>
      </c>
      <c r="M176" s="654">
        <v>0</v>
      </c>
      <c r="N176" s="654">
        <v>717168</v>
      </c>
      <c r="O176" s="654">
        <v>43200</v>
      </c>
      <c r="P176" s="654">
        <v>0</v>
      </c>
      <c r="Q176" s="654">
        <v>0</v>
      </c>
      <c r="R176" s="654">
        <v>0</v>
      </c>
      <c r="S176" s="654">
        <v>0</v>
      </c>
      <c r="T176" s="654">
        <v>0</v>
      </c>
      <c r="U176" s="654">
        <v>0</v>
      </c>
      <c r="V176" s="654">
        <v>0</v>
      </c>
      <c r="W176" s="654">
        <v>0</v>
      </c>
      <c r="X176" s="654">
        <v>0</v>
      </c>
      <c r="Y176" s="654">
        <v>0</v>
      </c>
    </row>
    <row r="177" spans="1:25" x14ac:dyDescent="0.15">
      <c r="B177" t="s">
        <v>629</v>
      </c>
      <c r="C177" t="s">
        <v>676</v>
      </c>
      <c r="D177" s="654">
        <v>3092046</v>
      </c>
      <c r="E177" s="654">
        <v>832351</v>
      </c>
      <c r="F177" s="654">
        <v>729440</v>
      </c>
      <c r="G177" s="654">
        <v>0</v>
      </c>
      <c r="H177" s="654">
        <v>0</v>
      </c>
      <c r="I177" s="654">
        <v>92779</v>
      </c>
      <c r="J177" s="654">
        <v>3402</v>
      </c>
      <c r="K177" s="654">
        <v>1657972</v>
      </c>
      <c r="L177" s="654">
        <v>819456</v>
      </c>
      <c r="M177" s="654">
        <v>0</v>
      </c>
      <c r="N177" s="654">
        <v>819456</v>
      </c>
      <c r="O177" s="654">
        <v>0</v>
      </c>
      <c r="P177" s="654">
        <v>0</v>
      </c>
      <c r="Q177" s="654">
        <v>0</v>
      </c>
      <c r="R177" s="654">
        <v>0</v>
      </c>
      <c r="S177" s="654">
        <v>0</v>
      </c>
      <c r="T177" s="654">
        <v>0</v>
      </c>
      <c r="U177" s="654">
        <v>0</v>
      </c>
      <c r="V177" s="654">
        <v>0</v>
      </c>
      <c r="W177" s="654">
        <v>0</v>
      </c>
      <c r="X177" s="654">
        <v>0</v>
      </c>
      <c r="Y177" s="654">
        <v>0</v>
      </c>
    </row>
    <row r="178" spans="1:25" x14ac:dyDescent="0.15">
      <c r="B178" t="s">
        <v>631</v>
      </c>
      <c r="C178" t="s">
        <v>381</v>
      </c>
      <c r="D178" s="654">
        <v>2909528</v>
      </c>
      <c r="E178" s="654">
        <v>1041609</v>
      </c>
      <c r="F178" s="654">
        <v>300000</v>
      </c>
      <c r="G178" s="654">
        <v>0</v>
      </c>
      <c r="H178" s="654">
        <v>0</v>
      </c>
      <c r="I178" s="654">
        <v>67680</v>
      </c>
      <c r="J178" s="654">
        <v>1134</v>
      </c>
      <c r="K178" s="654">
        <v>1410423</v>
      </c>
      <c r="L178" s="654">
        <v>752715</v>
      </c>
      <c r="M178" s="654">
        <v>0</v>
      </c>
      <c r="N178" s="654">
        <v>752715</v>
      </c>
      <c r="O178" s="654">
        <v>0</v>
      </c>
      <c r="P178" s="654">
        <v>0</v>
      </c>
      <c r="Q178" s="654">
        <v>0</v>
      </c>
      <c r="R178" s="654">
        <v>0</v>
      </c>
      <c r="S178" s="654">
        <v>0</v>
      </c>
      <c r="T178" s="654">
        <v>0</v>
      </c>
      <c r="U178" s="654">
        <v>0</v>
      </c>
      <c r="V178" s="654">
        <v>0</v>
      </c>
      <c r="W178" s="654">
        <v>0</v>
      </c>
      <c r="X178" s="654">
        <v>0</v>
      </c>
      <c r="Y178" s="654">
        <v>0</v>
      </c>
    </row>
    <row r="179" spans="1:25" x14ac:dyDescent="0.15">
      <c r="B179" t="s">
        <v>566</v>
      </c>
      <c r="C179" t="s">
        <v>382</v>
      </c>
      <c r="D179" s="654">
        <v>787202</v>
      </c>
      <c r="E179" s="654">
        <v>402570</v>
      </c>
      <c r="F179" s="654">
        <v>285000</v>
      </c>
      <c r="G179" s="654">
        <v>0</v>
      </c>
      <c r="H179" s="654">
        <v>0</v>
      </c>
      <c r="I179" s="654">
        <v>37209</v>
      </c>
      <c r="J179" s="654">
        <v>1134</v>
      </c>
      <c r="K179" s="654">
        <v>725913</v>
      </c>
      <c r="L179" s="654">
        <v>336863</v>
      </c>
      <c r="M179" s="654">
        <v>0</v>
      </c>
      <c r="N179" s="654">
        <v>336863</v>
      </c>
      <c r="O179" s="654">
        <v>0</v>
      </c>
      <c r="P179" s="654">
        <v>0</v>
      </c>
      <c r="Q179" s="654">
        <v>0</v>
      </c>
      <c r="R179" s="654">
        <v>0</v>
      </c>
      <c r="S179" s="654">
        <v>0</v>
      </c>
      <c r="T179" s="654">
        <v>0</v>
      </c>
      <c r="U179" s="654">
        <v>0</v>
      </c>
      <c r="V179" s="654">
        <v>0</v>
      </c>
      <c r="W179" s="654">
        <v>0</v>
      </c>
      <c r="X179" s="654">
        <v>0</v>
      </c>
      <c r="Y179" s="654">
        <v>0</v>
      </c>
    </row>
    <row r="180" spans="1:25" x14ac:dyDescent="0.15">
      <c r="B180" t="s">
        <v>567</v>
      </c>
      <c r="C180" t="s">
        <v>473</v>
      </c>
      <c r="D180" s="654">
        <v>99304</v>
      </c>
      <c r="E180" s="654">
        <v>338251</v>
      </c>
      <c r="F180" s="654">
        <v>50000</v>
      </c>
      <c r="G180" s="654">
        <v>0</v>
      </c>
      <c r="H180" s="654">
        <v>0</v>
      </c>
      <c r="I180" s="654">
        <v>22781</v>
      </c>
      <c r="J180" s="654">
        <v>1134</v>
      </c>
      <c r="K180" s="654">
        <v>412166</v>
      </c>
      <c r="L180" s="654">
        <v>117771</v>
      </c>
      <c r="M180" s="654">
        <v>0</v>
      </c>
      <c r="N180" s="654">
        <v>117771</v>
      </c>
      <c r="O180" s="654">
        <v>0</v>
      </c>
      <c r="P180" s="654">
        <v>0</v>
      </c>
      <c r="Q180" s="654">
        <v>0</v>
      </c>
      <c r="R180" s="654">
        <v>0</v>
      </c>
      <c r="S180" s="654">
        <v>0</v>
      </c>
      <c r="T180" s="654">
        <v>0</v>
      </c>
      <c r="U180" s="654">
        <v>0</v>
      </c>
      <c r="V180" s="654">
        <v>0</v>
      </c>
      <c r="W180" s="654">
        <v>0</v>
      </c>
      <c r="X180" s="654">
        <v>0</v>
      </c>
      <c r="Y180" s="654">
        <v>0</v>
      </c>
    </row>
    <row r="181" spans="1:25" x14ac:dyDescent="0.15">
      <c r="B181" t="s">
        <v>568</v>
      </c>
      <c r="C181" t="s">
        <v>474</v>
      </c>
      <c r="D181" s="654">
        <v>71733</v>
      </c>
      <c r="E181" s="654">
        <v>252550</v>
      </c>
      <c r="F181" s="654">
        <v>50000</v>
      </c>
      <c r="G181" s="654">
        <v>0</v>
      </c>
      <c r="H181" s="654">
        <v>0</v>
      </c>
      <c r="I181" s="654">
        <v>0</v>
      </c>
      <c r="J181" s="654">
        <v>0</v>
      </c>
      <c r="K181" s="654">
        <v>302550</v>
      </c>
      <c r="L181" s="654">
        <v>400920</v>
      </c>
      <c r="M181" s="654">
        <v>0</v>
      </c>
      <c r="N181" s="654">
        <v>400920</v>
      </c>
      <c r="O181" s="654">
        <v>0</v>
      </c>
      <c r="P181" s="654">
        <v>0</v>
      </c>
      <c r="Q181" s="654">
        <v>0</v>
      </c>
      <c r="R181" s="654">
        <v>0</v>
      </c>
      <c r="S181" s="654">
        <v>0</v>
      </c>
      <c r="T181" s="654">
        <v>0</v>
      </c>
      <c r="U181" s="654">
        <v>0</v>
      </c>
      <c r="V181" s="654">
        <v>0</v>
      </c>
      <c r="W181" s="654">
        <v>0</v>
      </c>
      <c r="X181" s="654">
        <v>0</v>
      </c>
      <c r="Y181" s="654">
        <v>0</v>
      </c>
    </row>
    <row r="182" spans="1:25" x14ac:dyDescent="0.15">
      <c r="B182" t="s">
        <v>582</v>
      </c>
      <c r="C182" t="s">
        <v>384</v>
      </c>
      <c r="D182" s="654">
        <v>0</v>
      </c>
      <c r="E182" s="654">
        <v>0</v>
      </c>
      <c r="F182" s="654">
        <v>0</v>
      </c>
      <c r="G182" s="654">
        <v>0</v>
      </c>
      <c r="H182" s="654">
        <v>0</v>
      </c>
      <c r="I182" s="654">
        <v>0</v>
      </c>
      <c r="J182" s="654">
        <v>0</v>
      </c>
      <c r="K182" s="654">
        <v>0</v>
      </c>
      <c r="L182" s="654">
        <v>881383</v>
      </c>
      <c r="M182" s="654">
        <v>0</v>
      </c>
      <c r="N182" s="654">
        <v>881383</v>
      </c>
      <c r="O182" s="654">
        <v>0</v>
      </c>
      <c r="P182" s="654">
        <v>0</v>
      </c>
      <c r="Q182" s="654">
        <v>0</v>
      </c>
      <c r="R182" s="654">
        <v>0</v>
      </c>
      <c r="S182" s="654">
        <v>0</v>
      </c>
      <c r="T182" s="654">
        <v>0</v>
      </c>
      <c r="U182" s="654">
        <v>0</v>
      </c>
      <c r="V182" s="654">
        <v>0</v>
      </c>
      <c r="W182" s="654">
        <v>0</v>
      </c>
      <c r="X182" s="654">
        <v>0</v>
      </c>
      <c r="Y182" s="654">
        <v>0</v>
      </c>
    </row>
    <row r="183" spans="1:25" x14ac:dyDescent="0.15">
      <c r="B183" t="s">
        <v>625</v>
      </c>
      <c r="C183" t="s">
        <v>594</v>
      </c>
      <c r="D183" s="654">
        <v>0</v>
      </c>
      <c r="E183" s="654">
        <v>51000</v>
      </c>
      <c r="F183" s="654">
        <v>927654</v>
      </c>
      <c r="G183" s="654">
        <v>0</v>
      </c>
      <c r="H183" s="654">
        <v>2000000</v>
      </c>
      <c r="I183" s="654">
        <v>309593</v>
      </c>
      <c r="J183" s="654">
        <v>8036</v>
      </c>
      <c r="K183" s="654">
        <v>3296283</v>
      </c>
      <c r="L183" s="654">
        <v>2023487</v>
      </c>
      <c r="M183" s="654">
        <v>0</v>
      </c>
      <c r="N183" s="654">
        <v>2023487</v>
      </c>
      <c r="O183" s="654">
        <v>0</v>
      </c>
      <c r="P183" s="654">
        <v>0</v>
      </c>
      <c r="Q183" s="654">
        <v>0</v>
      </c>
      <c r="R183" s="654">
        <v>0</v>
      </c>
      <c r="S183" s="654">
        <v>0</v>
      </c>
      <c r="T183" s="654">
        <v>0</v>
      </c>
      <c r="U183" s="654">
        <v>0</v>
      </c>
      <c r="V183" s="654">
        <v>205117</v>
      </c>
      <c r="W183" s="654">
        <v>135703</v>
      </c>
      <c r="X183" s="654">
        <v>0</v>
      </c>
      <c r="Y183" s="654">
        <v>0</v>
      </c>
    </row>
    <row r="184" spans="1:25" x14ac:dyDescent="0.15">
      <c r="B184" t="s">
        <v>671</v>
      </c>
      <c r="C184" t="s">
        <v>383</v>
      </c>
      <c r="D184" s="654">
        <v>2603687</v>
      </c>
      <c r="E184" s="654">
        <v>523858</v>
      </c>
      <c r="F184" s="654">
        <v>829474</v>
      </c>
      <c r="G184" s="654">
        <v>0</v>
      </c>
      <c r="H184" s="654">
        <v>0</v>
      </c>
      <c r="I184" s="654">
        <v>96398</v>
      </c>
      <c r="J184" s="654">
        <v>9520</v>
      </c>
      <c r="K184" s="654">
        <v>1459250</v>
      </c>
      <c r="L184" s="654">
        <v>907826</v>
      </c>
      <c r="M184" s="654">
        <v>0</v>
      </c>
      <c r="N184" s="654">
        <v>907826</v>
      </c>
      <c r="O184" s="654">
        <v>0</v>
      </c>
      <c r="P184" s="654">
        <v>0</v>
      </c>
      <c r="Q184" s="654">
        <v>0</v>
      </c>
      <c r="R184" s="654">
        <v>0</v>
      </c>
      <c r="S184" s="654">
        <v>0</v>
      </c>
      <c r="T184" s="654">
        <v>0</v>
      </c>
      <c r="U184" s="654">
        <v>0</v>
      </c>
      <c r="V184" s="654">
        <v>0</v>
      </c>
      <c r="W184" s="654">
        <v>0</v>
      </c>
      <c r="X184" s="654">
        <v>0</v>
      </c>
      <c r="Y184" s="654">
        <v>0</v>
      </c>
    </row>
    <row r="185" spans="1:25" x14ac:dyDescent="0.15">
      <c r="A185" s="653" t="s">
        <v>616</v>
      </c>
      <c r="B185"/>
      <c r="D185" s="654">
        <v>29432948</v>
      </c>
      <c r="E185" s="654">
        <v>9162799</v>
      </c>
      <c r="F185" s="654">
        <v>8027584</v>
      </c>
      <c r="G185" s="654">
        <v>0</v>
      </c>
      <c r="H185" s="654">
        <v>2000000</v>
      </c>
      <c r="I185" s="654">
        <v>1432801</v>
      </c>
      <c r="J185" s="654">
        <v>69822</v>
      </c>
      <c r="K185" s="654">
        <v>20693006</v>
      </c>
      <c r="L185" s="654">
        <v>8610109</v>
      </c>
      <c r="M185" s="654">
        <v>0</v>
      </c>
      <c r="N185" s="654">
        <v>8610109</v>
      </c>
      <c r="O185" s="654">
        <v>52272</v>
      </c>
      <c r="P185" s="654">
        <v>0</v>
      </c>
      <c r="Q185" s="654">
        <v>0</v>
      </c>
      <c r="R185" s="654">
        <v>0</v>
      </c>
      <c r="S185" s="654">
        <v>0</v>
      </c>
      <c r="T185" s="654">
        <v>0</v>
      </c>
      <c r="U185" s="654">
        <v>0</v>
      </c>
      <c r="V185" s="654">
        <v>205117</v>
      </c>
      <c r="W185" s="654">
        <v>135703</v>
      </c>
      <c r="X185" s="654">
        <v>0</v>
      </c>
      <c r="Y185" s="654">
        <v>0</v>
      </c>
    </row>
    <row r="186" spans="1:25" x14ac:dyDescent="0.15">
      <c r="A186" s="653">
        <v>42856</v>
      </c>
      <c r="B186" t="s">
        <v>626</v>
      </c>
      <c r="C186" t="s">
        <v>378</v>
      </c>
      <c r="D186" s="654">
        <v>10081728</v>
      </c>
      <c r="E186" s="654">
        <v>3280321</v>
      </c>
      <c r="F186" s="654">
        <v>1843335</v>
      </c>
      <c r="G186" s="654">
        <v>0</v>
      </c>
      <c r="H186" s="654">
        <v>0</v>
      </c>
      <c r="I186" s="654">
        <v>282511</v>
      </c>
      <c r="J186" s="654">
        <v>8111</v>
      </c>
      <c r="K186" s="654">
        <v>5414278</v>
      </c>
      <c r="L186" s="654">
        <v>691271</v>
      </c>
      <c r="M186" s="654">
        <v>0</v>
      </c>
      <c r="N186" s="654">
        <v>691271</v>
      </c>
      <c r="O186" s="654">
        <v>0</v>
      </c>
      <c r="P186" s="654">
        <v>0</v>
      </c>
      <c r="Q186" s="654">
        <v>0</v>
      </c>
      <c r="R186" s="654">
        <v>0</v>
      </c>
      <c r="S186" s="654">
        <v>0</v>
      </c>
      <c r="T186" s="654">
        <v>0</v>
      </c>
      <c r="U186" s="654">
        <v>0</v>
      </c>
      <c r="V186" s="654">
        <v>0</v>
      </c>
      <c r="W186" s="654">
        <v>0</v>
      </c>
      <c r="X186" s="654">
        <v>0</v>
      </c>
      <c r="Y186" s="654">
        <v>0</v>
      </c>
    </row>
    <row r="187" spans="1:25" x14ac:dyDescent="0.15">
      <c r="B187" t="s">
        <v>627</v>
      </c>
      <c r="C187" t="s">
        <v>379</v>
      </c>
      <c r="D187" s="654">
        <v>5342987</v>
      </c>
      <c r="E187" s="654">
        <v>1191288</v>
      </c>
      <c r="F187" s="654">
        <v>1639385</v>
      </c>
      <c r="G187" s="654">
        <v>0</v>
      </c>
      <c r="H187" s="654">
        <v>0</v>
      </c>
      <c r="I187" s="654">
        <v>264633</v>
      </c>
      <c r="J187" s="654">
        <v>9072</v>
      </c>
      <c r="K187" s="654">
        <v>3104378</v>
      </c>
      <c r="L187" s="654">
        <v>866374</v>
      </c>
      <c r="M187" s="654">
        <v>0</v>
      </c>
      <c r="N187" s="654">
        <v>866374</v>
      </c>
      <c r="O187" s="654">
        <v>9072</v>
      </c>
      <c r="P187" s="654">
        <v>0</v>
      </c>
      <c r="Q187" s="654">
        <v>0</v>
      </c>
      <c r="R187" s="654">
        <v>0</v>
      </c>
      <c r="S187" s="654">
        <v>0</v>
      </c>
      <c r="T187" s="654">
        <v>0</v>
      </c>
      <c r="U187" s="654">
        <v>0</v>
      </c>
      <c r="V187" s="654">
        <v>0</v>
      </c>
      <c r="W187" s="654">
        <v>0</v>
      </c>
      <c r="X187" s="654">
        <v>0</v>
      </c>
      <c r="Y187" s="654">
        <v>0</v>
      </c>
    </row>
    <row r="188" spans="1:25" x14ac:dyDescent="0.15">
      <c r="B188" t="s">
        <v>628</v>
      </c>
      <c r="C188" t="s">
        <v>380</v>
      </c>
      <c r="D188" s="654">
        <v>5374919</v>
      </c>
      <c r="E188" s="654">
        <v>1485376</v>
      </c>
      <c r="F188" s="654">
        <v>1431140</v>
      </c>
      <c r="G188" s="654">
        <v>0</v>
      </c>
      <c r="H188" s="654">
        <v>0</v>
      </c>
      <c r="I188" s="654">
        <v>263048</v>
      </c>
      <c r="J188" s="654">
        <v>19454</v>
      </c>
      <c r="K188" s="654">
        <v>3199018</v>
      </c>
      <c r="L188" s="654">
        <v>827102</v>
      </c>
      <c r="M188" s="654">
        <v>0</v>
      </c>
      <c r="N188" s="654">
        <v>827102</v>
      </c>
      <c r="O188" s="654">
        <v>43200</v>
      </c>
      <c r="P188" s="654">
        <v>0</v>
      </c>
      <c r="Q188" s="654">
        <v>0</v>
      </c>
      <c r="R188" s="654">
        <v>0</v>
      </c>
      <c r="S188" s="654">
        <v>0</v>
      </c>
      <c r="T188" s="654">
        <v>0</v>
      </c>
      <c r="U188" s="654">
        <v>0</v>
      </c>
      <c r="V188" s="654">
        <v>0</v>
      </c>
      <c r="W188" s="654">
        <v>0</v>
      </c>
      <c r="X188" s="654">
        <v>0</v>
      </c>
      <c r="Y188" s="654">
        <v>0</v>
      </c>
    </row>
    <row r="189" spans="1:25" x14ac:dyDescent="0.15">
      <c r="B189" t="s">
        <v>629</v>
      </c>
      <c r="C189" t="s">
        <v>676</v>
      </c>
      <c r="D189" s="654">
        <v>3549708</v>
      </c>
      <c r="E189" s="654">
        <v>906208</v>
      </c>
      <c r="F189" s="654">
        <v>741997</v>
      </c>
      <c r="G189" s="654">
        <v>0</v>
      </c>
      <c r="H189" s="654">
        <v>0</v>
      </c>
      <c r="I189" s="654">
        <v>95779</v>
      </c>
      <c r="J189" s="654">
        <v>3402</v>
      </c>
      <c r="K189" s="654">
        <v>1747386</v>
      </c>
      <c r="L189" s="654">
        <v>1001164</v>
      </c>
      <c r="M189" s="654">
        <v>0</v>
      </c>
      <c r="N189" s="654">
        <v>1001164</v>
      </c>
      <c r="O189" s="654">
        <v>0</v>
      </c>
      <c r="P189" s="654">
        <v>0</v>
      </c>
      <c r="Q189" s="654">
        <v>0</v>
      </c>
      <c r="R189" s="654">
        <v>0</v>
      </c>
      <c r="S189" s="654">
        <v>0</v>
      </c>
      <c r="T189" s="654">
        <v>0</v>
      </c>
      <c r="U189" s="654">
        <v>0</v>
      </c>
      <c r="V189" s="654">
        <v>0</v>
      </c>
      <c r="W189" s="654">
        <v>0</v>
      </c>
      <c r="X189" s="654">
        <v>0</v>
      </c>
      <c r="Y189" s="654">
        <v>0</v>
      </c>
    </row>
    <row r="190" spans="1:25" x14ac:dyDescent="0.15">
      <c r="B190" t="s">
        <v>631</v>
      </c>
      <c r="C190" t="s">
        <v>381</v>
      </c>
      <c r="D190" s="654">
        <v>3218370</v>
      </c>
      <c r="E190" s="654">
        <v>1019550</v>
      </c>
      <c r="F190" s="654">
        <v>300000</v>
      </c>
      <c r="G190" s="654">
        <v>0</v>
      </c>
      <c r="H190" s="654">
        <v>0</v>
      </c>
      <c r="I190" s="654">
        <v>69829</v>
      </c>
      <c r="J190" s="654">
        <v>1134</v>
      </c>
      <c r="K190" s="654">
        <v>1390513</v>
      </c>
      <c r="L190" s="654">
        <v>678719</v>
      </c>
      <c r="M190" s="654">
        <v>0</v>
      </c>
      <c r="N190" s="654">
        <v>678719</v>
      </c>
      <c r="O190" s="654">
        <v>0</v>
      </c>
      <c r="P190" s="654">
        <v>0</v>
      </c>
      <c r="Q190" s="654">
        <v>0</v>
      </c>
      <c r="R190" s="654">
        <v>0</v>
      </c>
      <c r="S190" s="654">
        <v>0</v>
      </c>
      <c r="T190" s="654">
        <v>0</v>
      </c>
      <c r="U190" s="654">
        <v>0</v>
      </c>
      <c r="V190" s="654">
        <v>0</v>
      </c>
      <c r="W190" s="654">
        <v>0</v>
      </c>
      <c r="X190" s="654">
        <v>0</v>
      </c>
      <c r="Y190" s="654">
        <v>0</v>
      </c>
    </row>
    <row r="191" spans="1:25" x14ac:dyDescent="0.15">
      <c r="B191" t="s">
        <v>566</v>
      </c>
      <c r="C191" t="s">
        <v>382</v>
      </c>
      <c r="D191" s="654">
        <v>596033</v>
      </c>
      <c r="E191" s="654">
        <v>411617</v>
      </c>
      <c r="F191" s="654">
        <v>295000</v>
      </c>
      <c r="G191" s="654">
        <v>0</v>
      </c>
      <c r="H191" s="654">
        <v>0</v>
      </c>
      <c r="I191" s="654">
        <v>38432</v>
      </c>
      <c r="J191" s="654">
        <v>1134</v>
      </c>
      <c r="K191" s="654">
        <v>746183</v>
      </c>
      <c r="L191" s="654">
        <v>164646</v>
      </c>
      <c r="M191" s="654">
        <v>0</v>
      </c>
      <c r="N191" s="654">
        <v>164646</v>
      </c>
      <c r="O191" s="654">
        <v>0</v>
      </c>
      <c r="P191" s="654">
        <v>0</v>
      </c>
      <c r="Q191" s="654">
        <v>0</v>
      </c>
      <c r="R191" s="654">
        <v>0</v>
      </c>
      <c r="S191" s="654">
        <v>0</v>
      </c>
      <c r="T191" s="654">
        <v>0</v>
      </c>
      <c r="U191" s="654">
        <v>0</v>
      </c>
      <c r="V191" s="654">
        <v>0</v>
      </c>
      <c r="W191" s="654">
        <v>0</v>
      </c>
      <c r="X191" s="654">
        <v>0</v>
      </c>
      <c r="Y191" s="654">
        <v>0</v>
      </c>
    </row>
    <row r="192" spans="1:25" x14ac:dyDescent="0.15">
      <c r="B192" t="s">
        <v>567</v>
      </c>
      <c r="C192" t="s">
        <v>473</v>
      </c>
      <c r="D192" s="654">
        <v>408033</v>
      </c>
      <c r="E192" s="654">
        <v>314683</v>
      </c>
      <c r="F192" s="654">
        <v>50000</v>
      </c>
      <c r="G192" s="654">
        <v>0</v>
      </c>
      <c r="H192" s="654">
        <v>0</v>
      </c>
      <c r="I192" s="654">
        <v>18416</v>
      </c>
      <c r="J192" s="654">
        <v>1134</v>
      </c>
      <c r="K192" s="654">
        <v>384233</v>
      </c>
      <c r="L192" s="654">
        <v>147733</v>
      </c>
      <c r="M192" s="654">
        <v>0</v>
      </c>
      <c r="N192" s="654">
        <v>147733</v>
      </c>
      <c r="O192" s="654">
        <v>29520</v>
      </c>
      <c r="P192" s="654">
        <v>0</v>
      </c>
      <c r="Q192" s="654">
        <v>0</v>
      </c>
      <c r="R192" s="654">
        <v>0</v>
      </c>
      <c r="S192" s="654">
        <v>0</v>
      </c>
      <c r="T192" s="654">
        <v>0</v>
      </c>
      <c r="U192" s="654">
        <v>0</v>
      </c>
      <c r="V192" s="654">
        <v>0</v>
      </c>
      <c r="W192" s="654">
        <v>0</v>
      </c>
      <c r="X192" s="654">
        <v>0</v>
      </c>
      <c r="Y192" s="654">
        <v>0</v>
      </c>
    </row>
    <row r="193" spans="1:25" x14ac:dyDescent="0.15">
      <c r="B193" t="s">
        <v>568</v>
      </c>
      <c r="C193" t="s">
        <v>474</v>
      </c>
      <c r="D193" s="654">
        <v>1119631</v>
      </c>
      <c r="E193" s="654">
        <v>287775</v>
      </c>
      <c r="F193" s="654">
        <v>50000</v>
      </c>
      <c r="G193" s="654">
        <v>0</v>
      </c>
      <c r="H193" s="654">
        <v>0</v>
      </c>
      <c r="I193" s="654">
        <v>0</v>
      </c>
      <c r="J193" s="654">
        <v>0</v>
      </c>
      <c r="K193" s="654">
        <v>337775</v>
      </c>
      <c r="L193" s="654">
        <v>353105</v>
      </c>
      <c r="M193" s="654">
        <v>0</v>
      </c>
      <c r="N193" s="654">
        <v>353105</v>
      </c>
      <c r="O193" s="654">
        <v>29520</v>
      </c>
      <c r="P193" s="654">
        <v>0</v>
      </c>
      <c r="Q193" s="654">
        <v>0</v>
      </c>
      <c r="R193" s="654">
        <v>0</v>
      </c>
      <c r="S193" s="654">
        <v>0</v>
      </c>
      <c r="T193" s="654">
        <v>0</v>
      </c>
      <c r="U193" s="654">
        <v>0</v>
      </c>
      <c r="V193" s="654">
        <v>0</v>
      </c>
      <c r="W193" s="654">
        <v>0</v>
      </c>
      <c r="X193" s="654">
        <v>0</v>
      </c>
      <c r="Y193" s="654">
        <v>0</v>
      </c>
    </row>
    <row r="194" spans="1:25" x14ac:dyDescent="0.15">
      <c r="B194" t="s">
        <v>582</v>
      </c>
      <c r="C194" t="s">
        <v>384</v>
      </c>
      <c r="D194" s="654">
        <v>0</v>
      </c>
      <c r="E194" s="654">
        <v>64405</v>
      </c>
      <c r="F194" s="654">
        <v>0</v>
      </c>
      <c r="G194" s="654">
        <v>0</v>
      </c>
      <c r="H194" s="654">
        <v>0</v>
      </c>
      <c r="I194" s="654">
        <v>0</v>
      </c>
      <c r="J194" s="654">
        <v>0</v>
      </c>
      <c r="K194" s="654">
        <v>64405</v>
      </c>
      <c r="L194" s="654">
        <v>1127827</v>
      </c>
      <c r="M194" s="654">
        <v>0</v>
      </c>
      <c r="N194" s="654">
        <v>1127827</v>
      </c>
      <c r="O194" s="654">
        <v>164520</v>
      </c>
      <c r="P194" s="654">
        <v>0</v>
      </c>
      <c r="Q194" s="654">
        <v>0</v>
      </c>
      <c r="R194" s="654">
        <v>0</v>
      </c>
      <c r="S194" s="654">
        <v>0</v>
      </c>
      <c r="T194" s="654">
        <v>0</v>
      </c>
      <c r="U194" s="654">
        <v>0</v>
      </c>
      <c r="V194" s="654">
        <v>0</v>
      </c>
      <c r="W194" s="654">
        <v>0</v>
      </c>
      <c r="X194" s="654">
        <v>0</v>
      </c>
      <c r="Y194" s="654">
        <v>0</v>
      </c>
    </row>
    <row r="195" spans="1:25" x14ac:dyDescent="0.15">
      <c r="B195" t="s">
        <v>625</v>
      </c>
      <c r="C195" t="s">
        <v>594</v>
      </c>
      <c r="D195" s="654">
        <v>0</v>
      </c>
      <c r="E195" s="654">
        <v>0</v>
      </c>
      <c r="F195" s="654">
        <v>109581</v>
      </c>
      <c r="G195" s="654">
        <v>0</v>
      </c>
      <c r="H195" s="654">
        <v>2000000</v>
      </c>
      <c r="I195" s="654">
        <v>343044</v>
      </c>
      <c r="J195" s="654">
        <v>13327</v>
      </c>
      <c r="K195" s="654">
        <v>2465952</v>
      </c>
      <c r="L195" s="654">
        <v>1537199</v>
      </c>
      <c r="M195" s="654">
        <v>0</v>
      </c>
      <c r="N195" s="654">
        <v>1537199</v>
      </c>
      <c r="O195" s="654">
        <v>0</v>
      </c>
      <c r="P195" s="654">
        <v>0</v>
      </c>
      <c r="Q195" s="654">
        <v>0</v>
      </c>
      <c r="R195" s="654">
        <v>0</v>
      </c>
      <c r="S195" s="654">
        <v>0</v>
      </c>
      <c r="T195" s="654">
        <v>0</v>
      </c>
      <c r="U195" s="654">
        <v>0</v>
      </c>
      <c r="V195" s="654">
        <v>104315</v>
      </c>
      <c r="W195" s="654">
        <v>371587</v>
      </c>
      <c r="X195" s="654">
        <v>0</v>
      </c>
      <c r="Y195" s="654">
        <v>0</v>
      </c>
    </row>
    <row r="196" spans="1:25" x14ac:dyDescent="0.15">
      <c r="B196" t="s">
        <v>671</v>
      </c>
      <c r="C196" t="s">
        <v>383</v>
      </c>
      <c r="D196" s="654">
        <v>3011624</v>
      </c>
      <c r="E196" s="654">
        <v>548720</v>
      </c>
      <c r="F196" s="654">
        <v>938498</v>
      </c>
      <c r="G196" s="654">
        <v>0</v>
      </c>
      <c r="H196" s="654">
        <v>0</v>
      </c>
      <c r="I196" s="654">
        <v>99886</v>
      </c>
      <c r="J196" s="654">
        <v>5757</v>
      </c>
      <c r="K196" s="654">
        <v>1592861</v>
      </c>
      <c r="L196" s="654">
        <v>1119742</v>
      </c>
      <c r="M196" s="654">
        <v>0</v>
      </c>
      <c r="N196" s="654">
        <v>1119742</v>
      </c>
      <c r="O196" s="654">
        <v>3604</v>
      </c>
      <c r="P196" s="654">
        <v>0</v>
      </c>
      <c r="Q196" s="654">
        <v>0</v>
      </c>
      <c r="R196" s="654">
        <v>0</v>
      </c>
      <c r="S196" s="654">
        <v>0</v>
      </c>
      <c r="T196" s="654">
        <v>0</v>
      </c>
      <c r="U196" s="654">
        <v>0</v>
      </c>
      <c r="V196" s="654">
        <v>0</v>
      </c>
      <c r="W196" s="654">
        <v>0</v>
      </c>
      <c r="X196" s="654">
        <v>0</v>
      </c>
      <c r="Y196" s="654">
        <v>0</v>
      </c>
    </row>
    <row r="197" spans="1:25" x14ac:dyDescent="0.15">
      <c r="A197" s="653" t="s">
        <v>617</v>
      </c>
      <c r="B197"/>
      <c r="D197" s="654">
        <v>32703033</v>
      </c>
      <c r="E197" s="654">
        <v>9509943</v>
      </c>
      <c r="F197" s="654">
        <v>7398936</v>
      </c>
      <c r="G197" s="654">
        <v>0</v>
      </c>
      <c r="H197" s="654">
        <v>2000000</v>
      </c>
      <c r="I197" s="654">
        <v>1475578</v>
      </c>
      <c r="J197" s="654">
        <v>62525</v>
      </c>
      <c r="K197" s="654">
        <v>20446982</v>
      </c>
      <c r="L197" s="654">
        <v>8514882</v>
      </c>
      <c r="M197" s="654">
        <v>0</v>
      </c>
      <c r="N197" s="654">
        <v>8514882</v>
      </c>
      <c r="O197" s="654">
        <v>279436</v>
      </c>
      <c r="P197" s="654">
        <v>0</v>
      </c>
      <c r="Q197" s="654">
        <v>0</v>
      </c>
      <c r="R197" s="654">
        <v>0</v>
      </c>
      <c r="S197" s="654">
        <v>0</v>
      </c>
      <c r="T197" s="654">
        <v>0</v>
      </c>
      <c r="U197" s="654">
        <v>0</v>
      </c>
      <c r="V197" s="654">
        <v>104315</v>
      </c>
      <c r="W197" s="654">
        <v>371587</v>
      </c>
      <c r="X197" s="654">
        <v>0</v>
      </c>
      <c r="Y197" s="654">
        <v>0</v>
      </c>
    </row>
    <row r="198" spans="1:25" x14ac:dyDescent="0.15">
      <c r="A198" s="653">
        <v>42887</v>
      </c>
      <c r="B198" t="s">
        <v>626</v>
      </c>
      <c r="C198" t="s">
        <v>378</v>
      </c>
      <c r="D198" s="654">
        <v>9528673</v>
      </c>
      <c r="E198" s="654">
        <v>3117534</v>
      </c>
      <c r="F198" s="654">
        <v>1920952</v>
      </c>
      <c r="G198" s="654">
        <v>3015000</v>
      </c>
      <c r="H198" s="654">
        <v>0</v>
      </c>
      <c r="I198" s="654">
        <v>321780</v>
      </c>
      <c r="J198" s="654">
        <v>14634</v>
      </c>
      <c r="K198" s="654">
        <v>8389900</v>
      </c>
      <c r="L198" s="654">
        <v>687623</v>
      </c>
      <c r="M198" s="654">
        <v>0</v>
      </c>
      <c r="N198" s="654">
        <v>687623</v>
      </c>
      <c r="O198" s="654">
        <v>48600</v>
      </c>
      <c r="P198" s="654">
        <v>0</v>
      </c>
      <c r="Q198" s="654">
        <v>0</v>
      </c>
      <c r="R198" s="654">
        <v>0</v>
      </c>
      <c r="S198" s="654">
        <v>0</v>
      </c>
      <c r="T198" s="654">
        <v>0</v>
      </c>
      <c r="U198" s="654">
        <v>0</v>
      </c>
      <c r="V198" s="654">
        <v>0</v>
      </c>
      <c r="W198" s="654">
        <v>0</v>
      </c>
      <c r="X198" s="654">
        <v>0</v>
      </c>
      <c r="Y198" s="654">
        <v>0</v>
      </c>
    </row>
    <row r="199" spans="1:25" x14ac:dyDescent="0.15">
      <c r="B199" t="s">
        <v>627</v>
      </c>
      <c r="C199" t="s">
        <v>379</v>
      </c>
      <c r="D199" s="654">
        <v>5683733</v>
      </c>
      <c r="E199" s="654">
        <v>1364384</v>
      </c>
      <c r="F199" s="654">
        <v>1861802</v>
      </c>
      <c r="G199" s="654">
        <v>0</v>
      </c>
      <c r="H199" s="654">
        <v>0</v>
      </c>
      <c r="I199" s="654">
        <v>326629</v>
      </c>
      <c r="J199" s="654">
        <v>19356</v>
      </c>
      <c r="K199" s="654">
        <v>3572171</v>
      </c>
      <c r="L199" s="654">
        <v>984939</v>
      </c>
      <c r="M199" s="654">
        <v>0</v>
      </c>
      <c r="N199" s="654">
        <v>984939</v>
      </c>
      <c r="O199" s="654">
        <v>19356</v>
      </c>
      <c r="P199" s="654">
        <v>0</v>
      </c>
      <c r="Q199" s="654">
        <v>0</v>
      </c>
      <c r="R199" s="654">
        <v>0</v>
      </c>
      <c r="S199" s="654">
        <v>0</v>
      </c>
      <c r="T199" s="654">
        <v>0</v>
      </c>
      <c r="U199" s="654">
        <v>0</v>
      </c>
      <c r="V199" s="654">
        <v>0</v>
      </c>
      <c r="W199" s="654">
        <v>0</v>
      </c>
      <c r="X199" s="654">
        <v>0</v>
      </c>
      <c r="Y199" s="654">
        <v>0</v>
      </c>
    </row>
    <row r="200" spans="1:25" x14ac:dyDescent="0.15">
      <c r="B200" t="s">
        <v>628</v>
      </c>
      <c r="C200" t="s">
        <v>380</v>
      </c>
      <c r="D200" s="654">
        <v>5697582</v>
      </c>
      <c r="E200" s="654">
        <v>1523579</v>
      </c>
      <c r="F200" s="654">
        <v>1502072</v>
      </c>
      <c r="G200" s="654">
        <v>986000</v>
      </c>
      <c r="H200" s="654">
        <v>0</v>
      </c>
      <c r="I200" s="654">
        <v>299629</v>
      </c>
      <c r="J200" s="654">
        <v>15892</v>
      </c>
      <c r="K200" s="654">
        <v>4327172</v>
      </c>
      <c r="L200" s="654">
        <v>718514</v>
      </c>
      <c r="M200" s="654">
        <v>0</v>
      </c>
      <c r="N200" s="654">
        <v>718514</v>
      </c>
      <c r="O200" s="654">
        <v>0</v>
      </c>
      <c r="P200" s="654">
        <v>0</v>
      </c>
      <c r="Q200" s="654">
        <v>0</v>
      </c>
      <c r="R200" s="654">
        <v>0</v>
      </c>
      <c r="S200" s="654">
        <v>0</v>
      </c>
      <c r="T200" s="654">
        <v>0</v>
      </c>
      <c r="U200" s="654">
        <v>0</v>
      </c>
      <c r="V200" s="654">
        <v>0</v>
      </c>
      <c r="W200" s="654">
        <v>0</v>
      </c>
      <c r="X200" s="654">
        <v>0</v>
      </c>
      <c r="Y200" s="654">
        <v>0</v>
      </c>
    </row>
    <row r="201" spans="1:25" x14ac:dyDescent="0.15">
      <c r="B201" t="s">
        <v>629</v>
      </c>
      <c r="C201" t="s">
        <v>676</v>
      </c>
      <c r="D201" s="654">
        <v>3597785</v>
      </c>
      <c r="E201" s="654">
        <v>886359</v>
      </c>
      <c r="F201" s="654">
        <v>757744</v>
      </c>
      <c r="G201" s="654">
        <v>30000</v>
      </c>
      <c r="H201" s="654">
        <v>0</v>
      </c>
      <c r="I201" s="654">
        <v>139071</v>
      </c>
      <c r="J201" s="654">
        <v>3402</v>
      </c>
      <c r="K201" s="654">
        <v>1816576</v>
      </c>
      <c r="L201" s="654">
        <v>989607</v>
      </c>
      <c r="M201" s="654">
        <v>0</v>
      </c>
      <c r="N201" s="654">
        <v>989607</v>
      </c>
      <c r="O201" s="654">
        <v>46440</v>
      </c>
      <c r="P201" s="654">
        <v>0</v>
      </c>
      <c r="Q201" s="654">
        <v>0</v>
      </c>
      <c r="R201" s="654">
        <v>0</v>
      </c>
      <c r="S201" s="654">
        <v>0</v>
      </c>
      <c r="T201" s="654">
        <v>0</v>
      </c>
      <c r="U201" s="654">
        <v>0</v>
      </c>
      <c r="V201" s="654">
        <v>0</v>
      </c>
      <c r="W201" s="654">
        <v>0</v>
      </c>
      <c r="X201" s="654">
        <v>0</v>
      </c>
      <c r="Y201" s="654">
        <v>0</v>
      </c>
    </row>
    <row r="202" spans="1:25" x14ac:dyDescent="0.15">
      <c r="B202" t="s">
        <v>631</v>
      </c>
      <c r="C202" t="s">
        <v>381</v>
      </c>
      <c r="D202" s="654">
        <v>2893429</v>
      </c>
      <c r="E202" s="654">
        <v>1179780</v>
      </c>
      <c r="F202" s="654">
        <v>300000</v>
      </c>
      <c r="G202" s="654">
        <v>0</v>
      </c>
      <c r="H202" s="654">
        <v>0</v>
      </c>
      <c r="I202" s="654">
        <v>109516</v>
      </c>
      <c r="J202" s="654">
        <v>1134</v>
      </c>
      <c r="K202" s="654">
        <v>1590430</v>
      </c>
      <c r="L202" s="654">
        <v>716850</v>
      </c>
      <c r="M202" s="654">
        <v>0</v>
      </c>
      <c r="N202" s="654">
        <v>716850</v>
      </c>
      <c r="O202" s="654">
        <v>0</v>
      </c>
      <c r="P202" s="654">
        <v>0</v>
      </c>
      <c r="Q202" s="654">
        <v>0</v>
      </c>
      <c r="R202" s="654">
        <v>0</v>
      </c>
      <c r="S202" s="654">
        <v>0</v>
      </c>
      <c r="T202" s="654">
        <v>0</v>
      </c>
      <c r="U202" s="654">
        <v>0</v>
      </c>
      <c r="V202" s="654">
        <v>0</v>
      </c>
      <c r="W202" s="654">
        <v>0</v>
      </c>
      <c r="X202" s="654">
        <v>0</v>
      </c>
      <c r="Y202" s="654">
        <v>0</v>
      </c>
    </row>
    <row r="203" spans="1:25" x14ac:dyDescent="0.15">
      <c r="B203" t="s">
        <v>566</v>
      </c>
      <c r="C203" t="s">
        <v>382</v>
      </c>
      <c r="D203" s="654">
        <v>0</v>
      </c>
      <c r="E203" s="654">
        <v>0</v>
      </c>
      <c r="F203" s="654">
        <v>0</v>
      </c>
      <c r="G203" s="654">
        <v>0</v>
      </c>
      <c r="H203" s="654">
        <v>0</v>
      </c>
      <c r="I203" s="654">
        <v>0</v>
      </c>
      <c r="J203" s="654">
        <v>0</v>
      </c>
      <c r="K203" s="654">
        <v>0</v>
      </c>
      <c r="L203" s="654">
        <v>54694</v>
      </c>
      <c r="M203" s="654">
        <v>0</v>
      </c>
      <c r="N203" s="654">
        <v>54694</v>
      </c>
      <c r="O203" s="654">
        <v>0</v>
      </c>
      <c r="P203" s="654">
        <v>0</v>
      </c>
      <c r="Q203" s="654">
        <v>0</v>
      </c>
      <c r="R203" s="654">
        <v>0</v>
      </c>
      <c r="S203" s="654">
        <v>0</v>
      </c>
      <c r="T203" s="654">
        <v>0</v>
      </c>
      <c r="U203" s="654">
        <v>0</v>
      </c>
      <c r="V203" s="654">
        <v>0</v>
      </c>
      <c r="W203" s="654">
        <v>0</v>
      </c>
      <c r="X203" s="654">
        <v>0</v>
      </c>
      <c r="Y203" s="654">
        <v>0</v>
      </c>
    </row>
    <row r="204" spans="1:25" x14ac:dyDescent="0.15">
      <c r="B204" t="s">
        <v>567</v>
      </c>
      <c r="C204" t="s">
        <v>473</v>
      </c>
      <c r="D204" s="654">
        <v>2686373</v>
      </c>
      <c r="E204" s="654">
        <v>374853</v>
      </c>
      <c r="F204" s="654">
        <v>50000</v>
      </c>
      <c r="G204" s="654">
        <v>0</v>
      </c>
      <c r="H204" s="654">
        <v>0</v>
      </c>
      <c r="I204" s="654">
        <v>25378</v>
      </c>
      <c r="J204" s="654">
        <v>1134</v>
      </c>
      <c r="K204" s="654">
        <v>451365</v>
      </c>
      <c r="L204" s="654">
        <v>162095</v>
      </c>
      <c r="M204" s="654">
        <v>0</v>
      </c>
      <c r="N204" s="654">
        <v>162095</v>
      </c>
      <c r="O204" s="654">
        <v>0</v>
      </c>
      <c r="P204" s="654">
        <v>0</v>
      </c>
      <c r="Q204" s="654">
        <v>0</v>
      </c>
      <c r="R204" s="654">
        <v>0</v>
      </c>
      <c r="S204" s="654">
        <v>0</v>
      </c>
      <c r="T204" s="654">
        <v>0</v>
      </c>
      <c r="U204" s="654">
        <v>0</v>
      </c>
      <c r="V204" s="654">
        <v>0</v>
      </c>
      <c r="W204" s="654">
        <v>0</v>
      </c>
      <c r="X204" s="654">
        <v>0</v>
      </c>
      <c r="Y204" s="654">
        <v>0</v>
      </c>
    </row>
    <row r="205" spans="1:25" x14ac:dyDescent="0.15">
      <c r="B205" t="s">
        <v>568</v>
      </c>
      <c r="C205" t="s">
        <v>474</v>
      </c>
      <c r="D205" s="654">
        <v>2075072</v>
      </c>
      <c r="E205" s="654">
        <v>302450</v>
      </c>
      <c r="F205" s="654">
        <v>325000</v>
      </c>
      <c r="G205" s="654">
        <v>0</v>
      </c>
      <c r="H205" s="654">
        <v>0</v>
      </c>
      <c r="I205" s="654">
        <v>43640</v>
      </c>
      <c r="J205" s="654">
        <v>1134</v>
      </c>
      <c r="K205" s="654">
        <v>672224</v>
      </c>
      <c r="L205" s="654">
        <v>298938</v>
      </c>
      <c r="M205" s="654">
        <v>0</v>
      </c>
      <c r="N205" s="654">
        <v>298938</v>
      </c>
      <c r="O205" s="654">
        <v>0</v>
      </c>
      <c r="P205" s="654">
        <v>0</v>
      </c>
      <c r="Q205" s="654">
        <v>0</v>
      </c>
      <c r="R205" s="654">
        <v>0</v>
      </c>
      <c r="S205" s="654">
        <v>0</v>
      </c>
      <c r="T205" s="654">
        <v>0</v>
      </c>
      <c r="U205" s="654">
        <v>0</v>
      </c>
      <c r="V205" s="654">
        <v>0</v>
      </c>
      <c r="W205" s="654">
        <v>0</v>
      </c>
      <c r="X205" s="654">
        <v>0</v>
      </c>
      <c r="Y205" s="654">
        <v>0</v>
      </c>
    </row>
    <row r="206" spans="1:25" x14ac:dyDescent="0.15">
      <c r="B206" t="s">
        <v>582</v>
      </c>
      <c r="C206" t="s">
        <v>384</v>
      </c>
      <c r="D206" s="654">
        <v>1940389</v>
      </c>
      <c r="E206" s="654">
        <v>619301</v>
      </c>
      <c r="F206" s="654">
        <v>0</v>
      </c>
      <c r="G206" s="654">
        <v>0</v>
      </c>
      <c r="H206" s="654">
        <v>0</v>
      </c>
      <c r="I206" s="654">
        <v>0</v>
      </c>
      <c r="J206" s="654">
        <v>0</v>
      </c>
      <c r="K206" s="654">
        <v>619301</v>
      </c>
      <c r="L206" s="654">
        <v>693960</v>
      </c>
      <c r="M206" s="654">
        <v>0</v>
      </c>
      <c r="N206" s="654">
        <v>693960</v>
      </c>
      <c r="O206" s="654">
        <v>48600</v>
      </c>
      <c r="P206" s="654">
        <v>0</v>
      </c>
      <c r="Q206" s="654">
        <v>0</v>
      </c>
      <c r="R206" s="654">
        <v>0</v>
      </c>
      <c r="S206" s="654">
        <v>0</v>
      </c>
      <c r="T206" s="654">
        <v>0</v>
      </c>
      <c r="U206" s="654">
        <v>0</v>
      </c>
      <c r="V206" s="654">
        <v>0</v>
      </c>
      <c r="W206" s="654">
        <v>0</v>
      </c>
      <c r="X206" s="654">
        <v>0</v>
      </c>
      <c r="Y206" s="654">
        <v>0</v>
      </c>
    </row>
    <row r="207" spans="1:25" x14ac:dyDescent="0.15">
      <c r="B207" t="s">
        <v>625</v>
      </c>
      <c r="C207" t="s">
        <v>594</v>
      </c>
      <c r="D207" s="654">
        <v>0</v>
      </c>
      <c r="E207" s="654">
        <v>180000</v>
      </c>
      <c r="F207" s="654">
        <v>912879</v>
      </c>
      <c r="G207" s="654">
        <v>0</v>
      </c>
      <c r="H207" s="654">
        <v>2000000</v>
      </c>
      <c r="I207" s="654">
        <v>360134</v>
      </c>
      <c r="J207" s="654">
        <v>121518</v>
      </c>
      <c r="K207" s="654">
        <v>3574531</v>
      </c>
      <c r="L207" s="654">
        <v>1345014</v>
      </c>
      <c r="M207" s="654">
        <v>0</v>
      </c>
      <c r="N207" s="654">
        <v>1345014</v>
      </c>
      <c r="O207" s="654">
        <v>27000</v>
      </c>
      <c r="P207" s="654">
        <v>0</v>
      </c>
      <c r="Q207" s="654">
        <v>0</v>
      </c>
      <c r="R207" s="654">
        <v>0</v>
      </c>
      <c r="S207" s="654">
        <v>0</v>
      </c>
      <c r="T207" s="654">
        <v>0</v>
      </c>
      <c r="U207" s="654">
        <v>0</v>
      </c>
      <c r="V207" s="654">
        <v>11460</v>
      </c>
      <c r="W207" s="654">
        <v>330078</v>
      </c>
      <c r="X207" s="654">
        <v>0</v>
      </c>
      <c r="Y207" s="654">
        <v>0</v>
      </c>
    </row>
    <row r="208" spans="1:25" x14ac:dyDescent="0.15">
      <c r="B208" t="s">
        <v>671</v>
      </c>
      <c r="C208" t="s">
        <v>383</v>
      </c>
      <c r="D208" s="654">
        <v>2812785</v>
      </c>
      <c r="E208" s="654">
        <v>516058</v>
      </c>
      <c r="F208" s="654">
        <v>914269</v>
      </c>
      <c r="G208" s="654">
        <v>0</v>
      </c>
      <c r="H208" s="654">
        <v>0</v>
      </c>
      <c r="I208" s="654">
        <v>113543</v>
      </c>
      <c r="J208" s="654">
        <v>29170</v>
      </c>
      <c r="K208" s="654">
        <v>1573040</v>
      </c>
      <c r="L208" s="654">
        <v>842340</v>
      </c>
      <c r="M208" s="654">
        <v>0</v>
      </c>
      <c r="N208" s="654">
        <v>842340</v>
      </c>
      <c r="O208" s="654">
        <v>0</v>
      </c>
      <c r="P208" s="654">
        <v>0</v>
      </c>
      <c r="Q208" s="654">
        <v>0</v>
      </c>
      <c r="R208" s="654">
        <v>0</v>
      </c>
      <c r="S208" s="654">
        <v>0</v>
      </c>
      <c r="T208" s="654">
        <v>0</v>
      </c>
      <c r="U208" s="654">
        <v>0</v>
      </c>
      <c r="V208" s="654">
        <v>0</v>
      </c>
      <c r="W208" s="654">
        <v>0</v>
      </c>
      <c r="X208" s="654">
        <v>0</v>
      </c>
      <c r="Y208" s="654">
        <v>0</v>
      </c>
    </row>
    <row r="209" spans="1:25" x14ac:dyDescent="0.15">
      <c r="A209" s="653" t="s">
        <v>618</v>
      </c>
      <c r="B209"/>
      <c r="D209" s="654">
        <v>36915821</v>
      </c>
      <c r="E209" s="654">
        <v>10064298</v>
      </c>
      <c r="F209" s="654">
        <v>8544718</v>
      </c>
      <c r="G209" s="654">
        <v>4031000</v>
      </c>
      <c r="H209" s="654">
        <v>2000000</v>
      </c>
      <c r="I209" s="654">
        <v>1739320</v>
      </c>
      <c r="J209" s="654">
        <v>207374</v>
      </c>
      <c r="K209" s="654">
        <v>26586710</v>
      </c>
      <c r="L209" s="654">
        <v>7494574</v>
      </c>
      <c r="M209" s="654">
        <v>0</v>
      </c>
      <c r="N209" s="654">
        <v>7494574</v>
      </c>
      <c r="O209" s="654">
        <v>189996</v>
      </c>
      <c r="P209" s="654">
        <v>0</v>
      </c>
      <c r="Q209" s="654">
        <v>0</v>
      </c>
      <c r="R209" s="654">
        <v>0</v>
      </c>
      <c r="S209" s="654">
        <v>0</v>
      </c>
      <c r="T209" s="654">
        <v>0</v>
      </c>
      <c r="U209" s="654">
        <v>0</v>
      </c>
      <c r="V209" s="654">
        <v>11460</v>
      </c>
      <c r="W209" s="654">
        <v>330078</v>
      </c>
      <c r="X209" s="654">
        <v>0</v>
      </c>
      <c r="Y209" s="654">
        <v>0</v>
      </c>
    </row>
    <row r="210" spans="1:25" x14ac:dyDescent="0.15">
      <c r="A210" s="653">
        <v>42917</v>
      </c>
      <c r="B210" t="s">
        <v>626</v>
      </c>
      <c r="C210" t="s">
        <v>378</v>
      </c>
      <c r="D210" s="654">
        <v>10338554</v>
      </c>
      <c r="E210" s="654">
        <v>3419849</v>
      </c>
      <c r="F210" s="654">
        <v>2024642</v>
      </c>
      <c r="G210" s="654">
        <v>0</v>
      </c>
      <c r="H210" s="654">
        <v>0</v>
      </c>
      <c r="I210" s="654">
        <v>499361</v>
      </c>
      <c r="J210" s="654">
        <v>19599</v>
      </c>
      <c r="K210" s="654">
        <v>5963451</v>
      </c>
      <c r="L210" s="654">
        <v>686383</v>
      </c>
      <c r="M210" s="654">
        <v>0</v>
      </c>
      <c r="N210" s="654">
        <v>686383</v>
      </c>
      <c r="O210" s="654">
        <v>77760</v>
      </c>
      <c r="P210" s="654">
        <v>0</v>
      </c>
      <c r="Q210" s="654">
        <v>0</v>
      </c>
      <c r="R210" s="654">
        <v>0</v>
      </c>
      <c r="S210" s="654">
        <v>0</v>
      </c>
      <c r="T210" s="654">
        <v>0</v>
      </c>
      <c r="U210" s="654">
        <v>0</v>
      </c>
      <c r="V210" s="654">
        <v>0</v>
      </c>
      <c r="W210" s="654">
        <v>0</v>
      </c>
      <c r="X210" s="654">
        <v>0</v>
      </c>
      <c r="Y210" s="654">
        <v>0</v>
      </c>
    </row>
    <row r="211" spans="1:25" x14ac:dyDescent="0.15">
      <c r="B211" t="s">
        <v>627</v>
      </c>
      <c r="C211" t="s">
        <v>379</v>
      </c>
      <c r="D211" s="654">
        <v>5487698</v>
      </c>
      <c r="E211" s="654">
        <v>1356331</v>
      </c>
      <c r="F211" s="654">
        <v>1880316</v>
      </c>
      <c r="G211" s="654">
        <v>0</v>
      </c>
      <c r="H211" s="654">
        <v>0</v>
      </c>
      <c r="I211" s="654">
        <v>506326</v>
      </c>
      <c r="J211" s="654">
        <v>9072</v>
      </c>
      <c r="K211" s="654">
        <v>3752045</v>
      </c>
      <c r="L211" s="654">
        <v>908008</v>
      </c>
      <c r="M211" s="654">
        <v>0</v>
      </c>
      <c r="N211" s="654">
        <v>908008</v>
      </c>
      <c r="O211" s="654">
        <v>9072</v>
      </c>
      <c r="P211" s="654">
        <v>0</v>
      </c>
      <c r="Q211" s="654">
        <v>0</v>
      </c>
      <c r="R211" s="654">
        <v>0</v>
      </c>
      <c r="S211" s="654">
        <v>0</v>
      </c>
      <c r="T211" s="654">
        <v>0</v>
      </c>
      <c r="U211" s="654">
        <v>0</v>
      </c>
      <c r="V211" s="654">
        <v>0</v>
      </c>
      <c r="W211" s="654">
        <v>0</v>
      </c>
      <c r="X211" s="654">
        <v>0</v>
      </c>
      <c r="Y211" s="654">
        <v>0</v>
      </c>
    </row>
    <row r="212" spans="1:25" x14ac:dyDescent="0.15">
      <c r="B212" t="s">
        <v>628</v>
      </c>
      <c r="C212" t="s">
        <v>380</v>
      </c>
      <c r="D212" s="654">
        <v>5897081</v>
      </c>
      <c r="E212" s="654">
        <v>1660664</v>
      </c>
      <c r="F212" s="654">
        <v>1529773</v>
      </c>
      <c r="G212" s="654">
        <v>0</v>
      </c>
      <c r="H212" s="654">
        <v>0</v>
      </c>
      <c r="I212" s="654">
        <v>464646</v>
      </c>
      <c r="J212" s="654">
        <v>14981</v>
      </c>
      <c r="K212" s="654">
        <v>3670064</v>
      </c>
      <c r="L212" s="654">
        <v>729566</v>
      </c>
      <c r="M212" s="654">
        <v>0</v>
      </c>
      <c r="N212" s="654">
        <v>729566</v>
      </c>
      <c r="O212" s="654">
        <v>67500</v>
      </c>
      <c r="P212" s="654">
        <v>0</v>
      </c>
      <c r="Q212" s="654">
        <v>0</v>
      </c>
      <c r="R212" s="654">
        <v>0</v>
      </c>
      <c r="S212" s="654">
        <v>0</v>
      </c>
      <c r="T212" s="654">
        <v>0</v>
      </c>
      <c r="U212" s="654">
        <v>0</v>
      </c>
      <c r="V212" s="654">
        <v>0</v>
      </c>
      <c r="W212" s="654">
        <v>0</v>
      </c>
      <c r="X212" s="654">
        <v>0</v>
      </c>
      <c r="Y212" s="654">
        <v>0</v>
      </c>
    </row>
    <row r="213" spans="1:25" x14ac:dyDescent="0.15">
      <c r="B213" t="s">
        <v>629</v>
      </c>
      <c r="C213" t="s">
        <v>676</v>
      </c>
      <c r="D213" s="654">
        <v>3616139</v>
      </c>
      <c r="E213" s="654">
        <v>961704</v>
      </c>
      <c r="F213" s="654">
        <v>749000</v>
      </c>
      <c r="G213" s="654">
        <v>0</v>
      </c>
      <c r="H213" s="654">
        <v>0</v>
      </c>
      <c r="I213" s="654">
        <v>215498</v>
      </c>
      <c r="J213" s="654">
        <v>3402</v>
      </c>
      <c r="K213" s="654">
        <v>1929604</v>
      </c>
      <c r="L213" s="654">
        <v>897734</v>
      </c>
      <c r="M213" s="654">
        <v>0</v>
      </c>
      <c r="N213" s="654">
        <v>897734</v>
      </c>
      <c r="O213" s="654">
        <v>46440</v>
      </c>
      <c r="P213" s="654">
        <v>0</v>
      </c>
      <c r="Q213" s="654">
        <v>0</v>
      </c>
      <c r="R213" s="654">
        <v>0</v>
      </c>
      <c r="S213" s="654">
        <v>0</v>
      </c>
      <c r="T213" s="654">
        <v>0</v>
      </c>
      <c r="U213" s="654">
        <v>0</v>
      </c>
      <c r="V213" s="654">
        <v>0</v>
      </c>
      <c r="W213" s="654">
        <v>0</v>
      </c>
      <c r="X213" s="654">
        <v>0</v>
      </c>
      <c r="Y213" s="654">
        <v>0</v>
      </c>
    </row>
    <row r="214" spans="1:25" x14ac:dyDescent="0.15">
      <c r="B214" t="s">
        <v>631</v>
      </c>
      <c r="C214" t="s">
        <v>381</v>
      </c>
      <c r="D214" s="654">
        <v>3184472</v>
      </c>
      <c r="E214" s="654">
        <v>1210715</v>
      </c>
      <c r="F214" s="654">
        <v>320000</v>
      </c>
      <c r="G214" s="654">
        <v>0</v>
      </c>
      <c r="H214" s="654">
        <v>0</v>
      </c>
      <c r="I214" s="654">
        <v>169842</v>
      </c>
      <c r="J214" s="654">
        <v>1134</v>
      </c>
      <c r="K214" s="654">
        <v>1701691</v>
      </c>
      <c r="L214" s="654">
        <v>312799</v>
      </c>
      <c r="M214" s="654">
        <v>0</v>
      </c>
      <c r="N214" s="654">
        <v>312799</v>
      </c>
      <c r="O214" s="654">
        <v>0</v>
      </c>
      <c r="P214" s="654">
        <v>0</v>
      </c>
      <c r="Q214" s="654">
        <v>0</v>
      </c>
      <c r="R214" s="654">
        <v>0</v>
      </c>
      <c r="S214" s="654">
        <v>0</v>
      </c>
      <c r="T214" s="654">
        <v>0</v>
      </c>
      <c r="U214" s="654">
        <v>0</v>
      </c>
      <c r="V214" s="654">
        <v>0</v>
      </c>
      <c r="W214" s="654">
        <v>0</v>
      </c>
      <c r="X214" s="654">
        <v>0</v>
      </c>
      <c r="Y214" s="654">
        <v>0</v>
      </c>
    </row>
    <row r="215" spans="1:25" x14ac:dyDescent="0.15">
      <c r="B215" t="s">
        <v>566</v>
      </c>
      <c r="C215" t="s">
        <v>382</v>
      </c>
      <c r="D215" s="654">
        <v>0</v>
      </c>
      <c r="E215" s="654">
        <v>0</v>
      </c>
      <c r="F215" s="654">
        <v>0</v>
      </c>
      <c r="G215" s="654">
        <v>0</v>
      </c>
      <c r="H215" s="654">
        <v>0</v>
      </c>
      <c r="I215" s="654">
        <v>0</v>
      </c>
      <c r="J215" s="654">
        <v>0</v>
      </c>
      <c r="K215" s="654">
        <v>0</v>
      </c>
      <c r="L215" s="654">
        <v>5420</v>
      </c>
      <c r="M215" s="654">
        <v>0</v>
      </c>
      <c r="N215" s="654">
        <v>5420</v>
      </c>
      <c r="O215" s="654">
        <v>0</v>
      </c>
      <c r="P215" s="654">
        <v>0</v>
      </c>
      <c r="Q215" s="654">
        <v>0</v>
      </c>
      <c r="R215" s="654">
        <v>0</v>
      </c>
      <c r="S215" s="654">
        <v>0</v>
      </c>
      <c r="T215" s="654">
        <v>0</v>
      </c>
      <c r="U215" s="654">
        <v>0</v>
      </c>
      <c r="V215" s="654">
        <v>0</v>
      </c>
      <c r="W215" s="654">
        <v>0</v>
      </c>
      <c r="X215" s="654">
        <v>0</v>
      </c>
      <c r="Y215" s="654">
        <v>0</v>
      </c>
    </row>
    <row r="216" spans="1:25" x14ac:dyDescent="0.15">
      <c r="B216" t="s">
        <v>567</v>
      </c>
      <c r="C216" t="s">
        <v>473</v>
      </c>
      <c r="D216" s="654">
        <v>1273066</v>
      </c>
      <c r="E216" s="654">
        <v>366733</v>
      </c>
      <c r="F216" s="654">
        <v>50000</v>
      </c>
      <c r="G216" s="654">
        <v>0</v>
      </c>
      <c r="H216" s="654">
        <v>0</v>
      </c>
      <c r="I216" s="654">
        <v>39238</v>
      </c>
      <c r="J216" s="654">
        <v>1134</v>
      </c>
      <c r="K216" s="654">
        <v>457105</v>
      </c>
      <c r="L216" s="654">
        <v>117007</v>
      </c>
      <c r="M216" s="654">
        <v>0</v>
      </c>
      <c r="N216" s="654">
        <v>117007</v>
      </c>
      <c r="O216" s="654">
        <v>0</v>
      </c>
      <c r="P216" s="654">
        <v>0</v>
      </c>
      <c r="Q216" s="654">
        <v>0</v>
      </c>
      <c r="R216" s="654">
        <v>0</v>
      </c>
      <c r="S216" s="654">
        <v>0</v>
      </c>
      <c r="T216" s="654">
        <v>0</v>
      </c>
      <c r="U216" s="654">
        <v>0</v>
      </c>
      <c r="V216" s="654">
        <v>0</v>
      </c>
      <c r="W216" s="654">
        <v>0</v>
      </c>
      <c r="X216" s="654">
        <v>0</v>
      </c>
      <c r="Y216" s="654">
        <v>0</v>
      </c>
    </row>
    <row r="217" spans="1:25" x14ac:dyDescent="0.15">
      <c r="B217" t="s">
        <v>568</v>
      </c>
      <c r="C217" t="s">
        <v>474</v>
      </c>
      <c r="D217" s="654">
        <v>1101492</v>
      </c>
      <c r="E217" s="654">
        <v>314200</v>
      </c>
      <c r="F217" s="654">
        <v>186500</v>
      </c>
      <c r="G217" s="654">
        <v>0</v>
      </c>
      <c r="H217" s="654">
        <v>0</v>
      </c>
      <c r="I217" s="654">
        <v>66684</v>
      </c>
      <c r="J217" s="654">
        <v>1134</v>
      </c>
      <c r="K217" s="654">
        <v>568518</v>
      </c>
      <c r="L217" s="654">
        <v>307050</v>
      </c>
      <c r="M217" s="654">
        <v>0</v>
      </c>
      <c r="N217" s="654">
        <v>307050</v>
      </c>
      <c r="O217" s="654">
        <v>0</v>
      </c>
      <c r="P217" s="654">
        <v>0</v>
      </c>
      <c r="Q217" s="654">
        <v>0</v>
      </c>
      <c r="R217" s="654">
        <v>0</v>
      </c>
      <c r="S217" s="654">
        <v>0</v>
      </c>
      <c r="T217" s="654">
        <v>0</v>
      </c>
      <c r="U217" s="654">
        <v>0</v>
      </c>
      <c r="V217" s="654">
        <v>0</v>
      </c>
      <c r="W217" s="654">
        <v>0</v>
      </c>
      <c r="X217" s="654">
        <v>0</v>
      </c>
      <c r="Y217" s="654">
        <v>0</v>
      </c>
    </row>
    <row r="218" spans="1:25" x14ac:dyDescent="0.15">
      <c r="B218" t="s">
        <v>582</v>
      </c>
      <c r="C218" t="s">
        <v>384</v>
      </c>
      <c r="D218" s="654">
        <v>1965328</v>
      </c>
      <c r="E218" s="654">
        <v>742925</v>
      </c>
      <c r="F218" s="654">
        <v>0</v>
      </c>
      <c r="G218" s="654">
        <v>0</v>
      </c>
      <c r="H218" s="654">
        <v>0</v>
      </c>
      <c r="I218" s="654">
        <v>46916</v>
      </c>
      <c r="J218" s="654">
        <v>0</v>
      </c>
      <c r="K218" s="654">
        <v>789841</v>
      </c>
      <c r="L218" s="654">
        <v>519521</v>
      </c>
      <c r="M218" s="654">
        <v>0</v>
      </c>
      <c r="N218" s="654">
        <v>519521</v>
      </c>
      <c r="O218" s="654">
        <v>0</v>
      </c>
      <c r="P218" s="654">
        <v>0</v>
      </c>
      <c r="Q218" s="654">
        <v>0</v>
      </c>
      <c r="R218" s="654">
        <v>0</v>
      </c>
      <c r="S218" s="654">
        <v>0</v>
      </c>
      <c r="T218" s="654">
        <v>0</v>
      </c>
      <c r="U218" s="654">
        <v>0</v>
      </c>
      <c r="V218" s="654">
        <v>0</v>
      </c>
      <c r="W218" s="654">
        <v>0</v>
      </c>
      <c r="X218" s="654">
        <v>0</v>
      </c>
      <c r="Y218" s="654">
        <v>0</v>
      </c>
    </row>
    <row r="219" spans="1:25" x14ac:dyDescent="0.15">
      <c r="B219" t="s">
        <v>625</v>
      </c>
      <c r="C219" t="s">
        <v>594</v>
      </c>
      <c r="D219" s="654">
        <v>0</v>
      </c>
      <c r="E219" s="654">
        <v>61200</v>
      </c>
      <c r="F219" s="654">
        <v>912654</v>
      </c>
      <c r="G219" s="654">
        <v>0</v>
      </c>
      <c r="H219" s="654">
        <v>2000000</v>
      </c>
      <c r="I219" s="654">
        <v>558085</v>
      </c>
      <c r="J219" s="654">
        <v>344110</v>
      </c>
      <c r="K219" s="654">
        <v>3876049</v>
      </c>
      <c r="L219" s="654">
        <v>1234610</v>
      </c>
      <c r="M219" s="654">
        <v>0</v>
      </c>
      <c r="N219" s="654">
        <v>1234610</v>
      </c>
      <c r="O219" s="654">
        <v>0</v>
      </c>
      <c r="P219" s="654">
        <v>0</v>
      </c>
      <c r="Q219" s="654">
        <v>0</v>
      </c>
      <c r="R219" s="654">
        <v>0</v>
      </c>
      <c r="S219" s="654">
        <v>0</v>
      </c>
      <c r="T219" s="654">
        <v>0</v>
      </c>
      <c r="U219" s="654">
        <v>0</v>
      </c>
      <c r="V219" s="654">
        <v>215737</v>
      </c>
      <c r="W219" s="654">
        <v>246683</v>
      </c>
      <c r="X219" s="654">
        <v>0</v>
      </c>
      <c r="Y219" s="654">
        <v>0</v>
      </c>
    </row>
    <row r="220" spans="1:25" x14ac:dyDescent="0.15">
      <c r="B220" t="s">
        <v>671</v>
      </c>
      <c r="C220" t="s">
        <v>383</v>
      </c>
      <c r="D220" s="654">
        <v>3216466</v>
      </c>
      <c r="E220" s="654">
        <v>659538</v>
      </c>
      <c r="F220" s="654">
        <v>926258</v>
      </c>
      <c r="G220" s="654">
        <v>0</v>
      </c>
      <c r="H220" s="654">
        <v>0</v>
      </c>
      <c r="I220" s="654">
        <v>176134</v>
      </c>
      <c r="J220" s="654">
        <v>5670</v>
      </c>
      <c r="K220" s="654">
        <v>1767600</v>
      </c>
      <c r="L220" s="654">
        <v>840179</v>
      </c>
      <c r="M220" s="654">
        <v>0</v>
      </c>
      <c r="N220" s="654">
        <v>840179</v>
      </c>
      <c r="O220" s="654">
        <v>5112</v>
      </c>
      <c r="P220" s="654">
        <v>0</v>
      </c>
      <c r="Q220" s="654">
        <v>0</v>
      </c>
      <c r="R220" s="654">
        <v>0</v>
      </c>
      <c r="S220" s="654">
        <v>0</v>
      </c>
      <c r="T220" s="654">
        <v>0</v>
      </c>
      <c r="U220" s="654">
        <v>0</v>
      </c>
      <c r="V220" s="654">
        <v>0</v>
      </c>
      <c r="W220" s="654">
        <v>0</v>
      </c>
      <c r="X220" s="654">
        <v>0</v>
      </c>
      <c r="Y220" s="654">
        <v>0</v>
      </c>
    </row>
    <row r="221" spans="1:25" x14ac:dyDescent="0.15">
      <c r="A221" s="653" t="s">
        <v>619</v>
      </c>
      <c r="B221"/>
      <c r="D221" s="654">
        <v>36080296</v>
      </c>
      <c r="E221" s="654">
        <v>10753859</v>
      </c>
      <c r="F221" s="654">
        <v>8579143</v>
      </c>
      <c r="G221" s="654">
        <v>0</v>
      </c>
      <c r="H221" s="654">
        <v>2000000</v>
      </c>
      <c r="I221" s="654">
        <v>2742730</v>
      </c>
      <c r="J221" s="654">
        <v>400236</v>
      </c>
      <c r="K221" s="654">
        <v>24475968</v>
      </c>
      <c r="L221" s="654">
        <v>6558277</v>
      </c>
      <c r="M221" s="654">
        <v>0</v>
      </c>
      <c r="N221" s="654">
        <v>6558277</v>
      </c>
      <c r="O221" s="654">
        <v>205884</v>
      </c>
      <c r="P221" s="654">
        <v>0</v>
      </c>
      <c r="Q221" s="654">
        <v>0</v>
      </c>
      <c r="R221" s="654">
        <v>0</v>
      </c>
      <c r="S221" s="654">
        <v>0</v>
      </c>
      <c r="T221" s="654">
        <v>0</v>
      </c>
      <c r="U221" s="654">
        <v>0</v>
      </c>
      <c r="V221" s="654">
        <v>215737</v>
      </c>
      <c r="W221" s="654">
        <v>246683</v>
      </c>
      <c r="X221" s="654">
        <v>0</v>
      </c>
      <c r="Y221" s="654">
        <v>0</v>
      </c>
    </row>
    <row r="222" spans="1:25" x14ac:dyDescent="0.15">
      <c r="A222" s="653">
        <v>42948</v>
      </c>
      <c r="B222" t="s">
        <v>626</v>
      </c>
      <c r="C222" t="s">
        <v>378</v>
      </c>
      <c r="D222" s="654">
        <v>10004240</v>
      </c>
      <c r="E222" s="654">
        <v>3491027</v>
      </c>
      <c r="F222" s="654">
        <v>2014985</v>
      </c>
      <c r="G222" s="654">
        <v>180000</v>
      </c>
      <c r="H222" s="654">
        <v>0</v>
      </c>
      <c r="I222" s="654">
        <v>245348</v>
      </c>
      <c r="J222" s="654">
        <v>13744</v>
      </c>
      <c r="K222" s="654">
        <v>5945104</v>
      </c>
      <c r="L222" s="654">
        <v>815869</v>
      </c>
      <c r="M222" s="654">
        <v>0</v>
      </c>
      <c r="N222" s="654">
        <v>815869</v>
      </c>
      <c r="O222" s="654">
        <v>174960</v>
      </c>
      <c r="P222" s="654">
        <v>0</v>
      </c>
      <c r="Q222" s="654">
        <v>0</v>
      </c>
      <c r="R222" s="654">
        <v>0</v>
      </c>
      <c r="S222" s="654">
        <v>0</v>
      </c>
      <c r="T222" s="654">
        <v>0</v>
      </c>
      <c r="U222" s="654">
        <v>0</v>
      </c>
      <c r="V222" s="654">
        <v>0</v>
      </c>
      <c r="W222" s="654">
        <v>0</v>
      </c>
      <c r="X222" s="654">
        <v>0</v>
      </c>
      <c r="Y222" s="654">
        <v>0</v>
      </c>
    </row>
    <row r="223" spans="1:25" x14ac:dyDescent="0.15">
      <c r="B223" t="s">
        <v>627</v>
      </c>
      <c r="C223" t="s">
        <v>379</v>
      </c>
      <c r="D223" s="654">
        <v>5643961</v>
      </c>
      <c r="E223" s="654">
        <v>1351010</v>
      </c>
      <c r="F223" s="654">
        <v>1913410</v>
      </c>
      <c r="G223" s="654">
        <v>210000</v>
      </c>
      <c r="H223" s="654">
        <v>0</v>
      </c>
      <c r="I223" s="654">
        <v>266490</v>
      </c>
      <c r="J223" s="654">
        <v>0</v>
      </c>
      <c r="K223" s="654">
        <v>3740910</v>
      </c>
      <c r="L223" s="654">
        <v>1109072</v>
      </c>
      <c r="M223" s="654">
        <v>0</v>
      </c>
      <c r="N223" s="654">
        <v>1109072</v>
      </c>
      <c r="O223" s="654">
        <v>0</v>
      </c>
      <c r="P223" s="654">
        <v>0</v>
      </c>
      <c r="Q223" s="654">
        <v>0</v>
      </c>
      <c r="R223" s="654">
        <v>0</v>
      </c>
      <c r="S223" s="654">
        <v>0</v>
      </c>
      <c r="T223" s="654">
        <v>0</v>
      </c>
      <c r="U223" s="654">
        <v>0</v>
      </c>
      <c r="V223" s="654">
        <v>0</v>
      </c>
      <c r="W223" s="654">
        <v>0</v>
      </c>
      <c r="X223" s="654">
        <v>0</v>
      </c>
      <c r="Y223" s="654">
        <v>0</v>
      </c>
    </row>
    <row r="224" spans="1:25" x14ac:dyDescent="0.15">
      <c r="B224" t="s">
        <v>628</v>
      </c>
      <c r="C224" t="s">
        <v>380</v>
      </c>
      <c r="D224" s="654">
        <v>5788645</v>
      </c>
      <c r="E224" s="654">
        <v>1591278</v>
      </c>
      <c r="F224" s="654">
        <v>1551514</v>
      </c>
      <c r="G224" s="654">
        <v>150000</v>
      </c>
      <c r="H224" s="654">
        <v>0</v>
      </c>
      <c r="I224" s="654">
        <v>233753</v>
      </c>
      <c r="J224" s="654">
        <v>7658</v>
      </c>
      <c r="K224" s="654">
        <v>3534203</v>
      </c>
      <c r="L224" s="654">
        <v>846397</v>
      </c>
      <c r="M224" s="654">
        <v>0</v>
      </c>
      <c r="N224" s="654">
        <v>846397</v>
      </c>
      <c r="O224" s="654">
        <v>102406</v>
      </c>
      <c r="P224" s="654">
        <v>0</v>
      </c>
      <c r="Q224" s="654">
        <v>0</v>
      </c>
      <c r="R224" s="654">
        <v>0</v>
      </c>
      <c r="S224" s="654">
        <v>0</v>
      </c>
      <c r="T224" s="654">
        <v>0</v>
      </c>
      <c r="U224" s="654">
        <v>0</v>
      </c>
      <c r="V224" s="654">
        <v>0</v>
      </c>
      <c r="W224" s="654">
        <v>0</v>
      </c>
      <c r="X224" s="654">
        <v>0</v>
      </c>
      <c r="Y224" s="654">
        <v>0</v>
      </c>
    </row>
    <row r="225" spans="1:25" x14ac:dyDescent="0.15">
      <c r="B225" t="s">
        <v>629</v>
      </c>
      <c r="C225" t="s">
        <v>676</v>
      </c>
      <c r="D225" s="654">
        <v>3174804</v>
      </c>
      <c r="E225" s="654">
        <v>976079</v>
      </c>
      <c r="F225" s="654">
        <v>751983</v>
      </c>
      <c r="G225" s="654">
        <v>120000</v>
      </c>
      <c r="H225" s="654">
        <v>0</v>
      </c>
      <c r="I225" s="654">
        <v>118550</v>
      </c>
      <c r="J225" s="654">
        <v>4536</v>
      </c>
      <c r="K225" s="654">
        <v>1971148</v>
      </c>
      <c r="L225" s="654">
        <v>1167584</v>
      </c>
      <c r="M225" s="654">
        <v>0</v>
      </c>
      <c r="N225" s="654">
        <v>1167584</v>
      </c>
      <c r="O225" s="654">
        <v>46440</v>
      </c>
      <c r="P225" s="654">
        <v>0</v>
      </c>
      <c r="Q225" s="654">
        <v>0</v>
      </c>
      <c r="R225" s="654">
        <v>0</v>
      </c>
      <c r="S225" s="654">
        <v>0</v>
      </c>
      <c r="T225" s="654">
        <v>0</v>
      </c>
      <c r="U225" s="654">
        <v>0</v>
      </c>
      <c r="V225" s="654">
        <v>0</v>
      </c>
      <c r="W225" s="654">
        <v>0</v>
      </c>
      <c r="X225" s="654">
        <v>0</v>
      </c>
      <c r="Y225" s="654">
        <v>0</v>
      </c>
    </row>
    <row r="226" spans="1:25" x14ac:dyDescent="0.15">
      <c r="B226" t="s">
        <v>631</v>
      </c>
      <c r="C226" t="s">
        <v>381</v>
      </c>
      <c r="D226" s="654">
        <v>3124894</v>
      </c>
      <c r="E226" s="654">
        <v>1280878</v>
      </c>
      <c r="F226" s="654">
        <v>354000</v>
      </c>
      <c r="G226" s="654">
        <v>30000</v>
      </c>
      <c r="H226" s="654">
        <v>0</v>
      </c>
      <c r="I226" s="654">
        <v>85037</v>
      </c>
      <c r="J226" s="654">
        <v>0</v>
      </c>
      <c r="K226" s="654">
        <v>1749915</v>
      </c>
      <c r="L226" s="654">
        <v>340117</v>
      </c>
      <c r="M226" s="654">
        <v>0</v>
      </c>
      <c r="N226" s="654">
        <v>340117</v>
      </c>
      <c r="O226" s="654">
        <v>24300</v>
      </c>
      <c r="P226" s="654">
        <v>0</v>
      </c>
      <c r="Q226" s="654">
        <v>0</v>
      </c>
      <c r="R226" s="654">
        <v>0</v>
      </c>
      <c r="S226" s="654">
        <v>0</v>
      </c>
      <c r="T226" s="654">
        <v>0</v>
      </c>
      <c r="U226" s="654">
        <v>0</v>
      </c>
      <c r="V226" s="654">
        <v>0</v>
      </c>
      <c r="W226" s="654">
        <v>0</v>
      </c>
      <c r="X226" s="654">
        <v>0</v>
      </c>
      <c r="Y226" s="654">
        <v>0</v>
      </c>
    </row>
    <row r="227" spans="1:25" x14ac:dyDescent="0.15">
      <c r="B227" t="s">
        <v>566</v>
      </c>
      <c r="C227" t="s">
        <v>382</v>
      </c>
      <c r="D227" s="654">
        <v>0</v>
      </c>
      <c r="E227" s="654">
        <v>0</v>
      </c>
      <c r="F227" s="654">
        <v>0</v>
      </c>
      <c r="G227" s="654">
        <v>0</v>
      </c>
      <c r="H227" s="654">
        <v>0</v>
      </c>
      <c r="I227" s="654">
        <v>0</v>
      </c>
      <c r="J227" s="654">
        <v>0</v>
      </c>
      <c r="K227" s="654">
        <v>0</v>
      </c>
      <c r="L227" s="654">
        <v>2842</v>
      </c>
      <c r="M227" s="654">
        <v>0</v>
      </c>
      <c r="N227" s="654">
        <v>2842</v>
      </c>
      <c r="O227" s="654">
        <v>0</v>
      </c>
      <c r="P227" s="654">
        <v>0</v>
      </c>
      <c r="Q227" s="654">
        <v>0</v>
      </c>
      <c r="R227" s="654">
        <v>0</v>
      </c>
      <c r="S227" s="654">
        <v>0</v>
      </c>
      <c r="T227" s="654">
        <v>0</v>
      </c>
      <c r="U227" s="654">
        <v>0</v>
      </c>
      <c r="V227" s="654">
        <v>0</v>
      </c>
      <c r="W227" s="654">
        <v>0</v>
      </c>
      <c r="X227" s="654">
        <v>0</v>
      </c>
      <c r="Y227" s="654">
        <v>0</v>
      </c>
    </row>
    <row r="228" spans="1:25" x14ac:dyDescent="0.15">
      <c r="B228" t="s">
        <v>567</v>
      </c>
      <c r="C228" t="s">
        <v>473</v>
      </c>
      <c r="D228" s="654">
        <v>1036363</v>
      </c>
      <c r="E228" s="654">
        <v>343140</v>
      </c>
      <c r="F228" s="654">
        <v>50000</v>
      </c>
      <c r="G228" s="654">
        <v>0</v>
      </c>
      <c r="H228" s="654">
        <v>0</v>
      </c>
      <c r="I228" s="654">
        <v>18042</v>
      </c>
      <c r="J228" s="654">
        <v>0</v>
      </c>
      <c r="K228" s="654">
        <v>411182</v>
      </c>
      <c r="L228" s="654">
        <v>122447</v>
      </c>
      <c r="M228" s="654">
        <v>0</v>
      </c>
      <c r="N228" s="654">
        <v>122447</v>
      </c>
      <c r="O228" s="654">
        <v>0</v>
      </c>
      <c r="P228" s="654">
        <v>0</v>
      </c>
      <c r="Q228" s="654">
        <v>0</v>
      </c>
      <c r="R228" s="654">
        <v>0</v>
      </c>
      <c r="S228" s="654">
        <v>0</v>
      </c>
      <c r="T228" s="654">
        <v>0</v>
      </c>
      <c r="U228" s="654">
        <v>0</v>
      </c>
      <c r="V228" s="654">
        <v>0</v>
      </c>
      <c r="W228" s="654">
        <v>0</v>
      </c>
      <c r="X228" s="654">
        <v>0</v>
      </c>
      <c r="Y228" s="654">
        <v>0</v>
      </c>
    </row>
    <row r="229" spans="1:25" x14ac:dyDescent="0.15">
      <c r="B229" t="s">
        <v>568</v>
      </c>
      <c r="C229" t="s">
        <v>474</v>
      </c>
      <c r="D229" s="654">
        <v>1001492</v>
      </c>
      <c r="E229" s="654">
        <v>323725</v>
      </c>
      <c r="F229" s="654">
        <v>50000</v>
      </c>
      <c r="G229" s="654">
        <v>0</v>
      </c>
      <c r="H229" s="654">
        <v>0</v>
      </c>
      <c r="I229" s="654">
        <v>0</v>
      </c>
      <c r="J229" s="654">
        <v>0</v>
      </c>
      <c r="K229" s="654">
        <v>373725</v>
      </c>
      <c r="L229" s="654">
        <v>306079</v>
      </c>
      <c r="M229" s="654">
        <v>0</v>
      </c>
      <c r="N229" s="654">
        <v>306079</v>
      </c>
      <c r="O229" s="654">
        <v>0</v>
      </c>
      <c r="P229" s="654">
        <v>0</v>
      </c>
      <c r="Q229" s="654">
        <v>0</v>
      </c>
      <c r="R229" s="654">
        <v>0</v>
      </c>
      <c r="S229" s="654">
        <v>0</v>
      </c>
      <c r="T229" s="654">
        <v>0</v>
      </c>
      <c r="U229" s="654">
        <v>0</v>
      </c>
      <c r="V229" s="654">
        <v>0</v>
      </c>
      <c r="W229" s="654">
        <v>0</v>
      </c>
      <c r="X229" s="654">
        <v>0</v>
      </c>
      <c r="Y229" s="654">
        <v>0</v>
      </c>
    </row>
    <row r="230" spans="1:25" x14ac:dyDescent="0.15">
      <c r="B230" t="s">
        <v>582</v>
      </c>
      <c r="C230" t="s">
        <v>384</v>
      </c>
      <c r="D230" s="654">
        <v>1995197</v>
      </c>
      <c r="E230" s="654">
        <v>762323</v>
      </c>
      <c r="F230" s="654">
        <v>0</v>
      </c>
      <c r="G230" s="654">
        <v>0</v>
      </c>
      <c r="H230" s="654">
        <v>0</v>
      </c>
      <c r="I230" s="654">
        <v>23071</v>
      </c>
      <c r="J230" s="654">
        <v>0</v>
      </c>
      <c r="K230" s="654">
        <v>785394</v>
      </c>
      <c r="L230" s="654">
        <v>560741</v>
      </c>
      <c r="M230" s="654">
        <v>0</v>
      </c>
      <c r="N230" s="654">
        <v>560741</v>
      </c>
      <c r="O230" s="654">
        <v>0</v>
      </c>
      <c r="P230" s="654">
        <v>0</v>
      </c>
      <c r="Q230" s="654">
        <v>0</v>
      </c>
      <c r="R230" s="654">
        <v>0</v>
      </c>
      <c r="S230" s="654">
        <v>0</v>
      </c>
      <c r="T230" s="654">
        <v>0</v>
      </c>
      <c r="U230" s="654">
        <v>0</v>
      </c>
      <c r="V230" s="654">
        <v>0</v>
      </c>
      <c r="W230" s="654">
        <v>0</v>
      </c>
      <c r="X230" s="654">
        <v>0</v>
      </c>
      <c r="Y230" s="654">
        <v>0</v>
      </c>
    </row>
    <row r="231" spans="1:25" x14ac:dyDescent="0.15">
      <c r="B231" t="s">
        <v>625</v>
      </c>
      <c r="C231" t="s">
        <v>594</v>
      </c>
      <c r="D231" s="654">
        <v>0</v>
      </c>
      <c r="E231" s="654">
        <v>0</v>
      </c>
      <c r="F231" s="654">
        <v>912962</v>
      </c>
      <c r="G231" s="654">
        <v>120000</v>
      </c>
      <c r="H231" s="654">
        <v>2000000</v>
      </c>
      <c r="I231" s="654">
        <v>367284</v>
      </c>
      <c r="J231" s="654">
        <v>44505</v>
      </c>
      <c r="K231" s="654">
        <v>3444751</v>
      </c>
      <c r="L231" s="654">
        <v>3226453</v>
      </c>
      <c r="M231" s="654">
        <v>0</v>
      </c>
      <c r="N231" s="654">
        <v>3226453</v>
      </c>
      <c r="O231" s="654">
        <v>380160</v>
      </c>
      <c r="P231" s="654">
        <v>0</v>
      </c>
      <c r="Q231" s="654">
        <v>0</v>
      </c>
      <c r="R231" s="654">
        <v>731894</v>
      </c>
      <c r="S231" s="654">
        <v>0</v>
      </c>
      <c r="T231" s="654">
        <v>0</v>
      </c>
      <c r="U231" s="654">
        <v>731894</v>
      </c>
      <c r="V231" s="654">
        <v>197365</v>
      </c>
      <c r="W231" s="654">
        <v>1767380</v>
      </c>
      <c r="X231" s="654">
        <v>-866465</v>
      </c>
      <c r="Y231" s="654">
        <v>-1203300</v>
      </c>
    </row>
    <row r="232" spans="1:25" x14ac:dyDescent="0.15">
      <c r="B232" t="s">
        <v>671</v>
      </c>
      <c r="C232" t="s">
        <v>383</v>
      </c>
      <c r="D232" s="654">
        <v>3129590</v>
      </c>
      <c r="E232" s="654">
        <v>608890</v>
      </c>
      <c r="F232" s="654">
        <v>953976</v>
      </c>
      <c r="G232" s="654">
        <v>120000</v>
      </c>
      <c r="H232" s="654">
        <v>0</v>
      </c>
      <c r="I232" s="654">
        <v>113251</v>
      </c>
      <c r="J232" s="654">
        <v>0</v>
      </c>
      <c r="K232" s="654">
        <v>1796117</v>
      </c>
      <c r="L232" s="654">
        <v>988684</v>
      </c>
      <c r="M232" s="654">
        <v>0</v>
      </c>
      <c r="N232" s="654">
        <v>988684</v>
      </c>
      <c r="O232" s="654">
        <v>24300</v>
      </c>
      <c r="P232" s="654">
        <v>0</v>
      </c>
      <c r="Q232" s="654">
        <v>0</v>
      </c>
      <c r="R232" s="654">
        <v>0</v>
      </c>
      <c r="S232" s="654">
        <v>0</v>
      </c>
      <c r="T232" s="654">
        <v>0</v>
      </c>
      <c r="U232" s="654">
        <v>0</v>
      </c>
      <c r="V232" s="654">
        <v>0</v>
      </c>
      <c r="W232" s="654">
        <v>0</v>
      </c>
      <c r="X232" s="654">
        <v>0</v>
      </c>
      <c r="Y232" s="654">
        <v>0</v>
      </c>
    </row>
    <row r="233" spans="1:25" x14ac:dyDescent="0.15">
      <c r="A233" s="653" t="s">
        <v>620</v>
      </c>
      <c r="B233"/>
      <c r="D233" s="654">
        <v>34899186</v>
      </c>
      <c r="E233" s="654">
        <v>10728350</v>
      </c>
      <c r="F233" s="654">
        <v>8552830</v>
      </c>
      <c r="G233" s="654">
        <v>930000</v>
      </c>
      <c r="H233" s="654">
        <v>2000000</v>
      </c>
      <c r="I233" s="654">
        <v>1470826</v>
      </c>
      <c r="J233" s="654">
        <v>70443</v>
      </c>
      <c r="K233" s="654">
        <v>23752449</v>
      </c>
      <c r="L233" s="654">
        <v>9486285</v>
      </c>
      <c r="M233" s="654">
        <v>0</v>
      </c>
      <c r="N233" s="654">
        <v>9486285</v>
      </c>
      <c r="O233" s="654">
        <v>752566</v>
      </c>
      <c r="P233" s="654">
        <v>0</v>
      </c>
      <c r="Q233" s="654">
        <v>0</v>
      </c>
      <c r="R233" s="654">
        <v>731894</v>
      </c>
      <c r="S233" s="654">
        <v>0</v>
      </c>
      <c r="T233" s="654">
        <v>0</v>
      </c>
      <c r="U233" s="654">
        <v>731894</v>
      </c>
      <c r="V233" s="654">
        <v>197365</v>
      </c>
      <c r="W233" s="654">
        <v>1767380</v>
      </c>
      <c r="X233" s="654">
        <v>-866465</v>
      </c>
      <c r="Y233" s="654">
        <v>-1203300</v>
      </c>
    </row>
    <row r="234" spans="1:25" x14ac:dyDescent="0.15">
      <c r="A234" s="653">
        <v>42979</v>
      </c>
      <c r="B234" t="s">
        <v>626</v>
      </c>
      <c r="C234" t="s">
        <v>378</v>
      </c>
      <c r="D234" s="654">
        <v>10291903</v>
      </c>
      <c r="E234" s="654">
        <v>3534345</v>
      </c>
      <c r="F234" s="654">
        <v>1892823</v>
      </c>
      <c r="G234" s="654">
        <v>0</v>
      </c>
      <c r="H234" s="654">
        <v>0</v>
      </c>
      <c r="I234" s="654">
        <v>229609</v>
      </c>
      <c r="J234" s="654">
        <v>30081</v>
      </c>
      <c r="K234" s="654">
        <v>5686858</v>
      </c>
      <c r="L234" s="654">
        <v>693471</v>
      </c>
      <c r="M234" s="654">
        <v>0</v>
      </c>
      <c r="N234" s="654">
        <v>693471</v>
      </c>
      <c r="O234" s="654">
        <v>50090</v>
      </c>
      <c r="P234" s="654">
        <v>0</v>
      </c>
      <c r="Q234" s="654">
        <v>0</v>
      </c>
      <c r="R234" s="654">
        <v>0</v>
      </c>
      <c r="S234" s="654">
        <v>0</v>
      </c>
      <c r="T234" s="654">
        <v>0</v>
      </c>
      <c r="U234" s="654">
        <v>0</v>
      </c>
      <c r="V234" s="654">
        <v>0</v>
      </c>
      <c r="W234" s="654">
        <v>0</v>
      </c>
      <c r="X234" s="654">
        <v>0</v>
      </c>
      <c r="Y234" s="654">
        <v>0</v>
      </c>
    </row>
    <row r="235" spans="1:25" x14ac:dyDescent="0.15">
      <c r="B235" t="s">
        <v>627</v>
      </c>
      <c r="C235" t="s">
        <v>379</v>
      </c>
      <c r="D235" s="654">
        <v>6023613</v>
      </c>
      <c r="E235" s="654">
        <v>1513407</v>
      </c>
      <c r="F235" s="654">
        <v>1782831</v>
      </c>
      <c r="G235" s="654">
        <v>0</v>
      </c>
      <c r="H235" s="654">
        <v>0</v>
      </c>
      <c r="I235" s="654">
        <v>230223</v>
      </c>
      <c r="J235" s="654">
        <v>0</v>
      </c>
      <c r="K235" s="654">
        <v>3526461</v>
      </c>
      <c r="L235" s="654">
        <v>942537</v>
      </c>
      <c r="M235" s="654">
        <v>0</v>
      </c>
      <c r="N235" s="654">
        <v>942537</v>
      </c>
      <c r="O235" s="654">
        <v>48600</v>
      </c>
      <c r="P235" s="654">
        <v>0</v>
      </c>
      <c r="Q235" s="654">
        <v>0</v>
      </c>
      <c r="R235" s="654">
        <v>0</v>
      </c>
      <c r="S235" s="654">
        <v>0</v>
      </c>
      <c r="T235" s="654">
        <v>0</v>
      </c>
      <c r="U235" s="654">
        <v>0</v>
      </c>
      <c r="V235" s="654">
        <v>0</v>
      </c>
      <c r="W235" s="654">
        <v>0</v>
      </c>
      <c r="X235" s="654">
        <v>0</v>
      </c>
      <c r="Y235" s="654">
        <v>0</v>
      </c>
    </row>
    <row r="236" spans="1:25" x14ac:dyDescent="0.15">
      <c r="B236" t="s">
        <v>628</v>
      </c>
      <c r="C236" t="s">
        <v>380</v>
      </c>
      <c r="D236" s="654">
        <v>5817896</v>
      </c>
      <c r="E236" s="654">
        <v>1583827</v>
      </c>
      <c r="F236" s="654">
        <v>1557365</v>
      </c>
      <c r="G236" s="654">
        <v>0</v>
      </c>
      <c r="H236" s="654">
        <v>0</v>
      </c>
      <c r="I236" s="654">
        <v>217502</v>
      </c>
      <c r="J236" s="654">
        <v>13049</v>
      </c>
      <c r="K236" s="654">
        <v>3371743</v>
      </c>
      <c r="L236" s="654">
        <v>744536</v>
      </c>
      <c r="M236" s="654">
        <v>0</v>
      </c>
      <c r="N236" s="654">
        <v>744536</v>
      </c>
      <c r="O236" s="654">
        <v>155670</v>
      </c>
      <c r="P236" s="654">
        <v>0</v>
      </c>
      <c r="Q236" s="654">
        <v>0</v>
      </c>
      <c r="R236" s="654">
        <v>0</v>
      </c>
      <c r="S236" s="654">
        <v>0</v>
      </c>
      <c r="T236" s="654">
        <v>0</v>
      </c>
      <c r="U236" s="654">
        <v>0</v>
      </c>
      <c r="V236" s="654">
        <v>0</v>
      </c>
      <c r="W236" s="654">
        <v>0</v>
      </c>
      <c r="X236" s="654">
        <v>0</v>
      </c>
      <c r="Y236" s="654">
        <v>0</v>
      </c>
    </row>
    <row r="237" spans="1:25" x14ac:dyDescent="0.15">
      <c r="B237" t="s">
        <v>629</v>
      </c>
      <c r="C237" t="s">
        <v>676</v>
      </c>
      <c r="D237" s="654">
        <v>3130698</v>
      </c>
      <c r="E237" s="654">
        <v>919094</v>
      </c>
      <c r="F237" s="654">
        <v>771166</v>
      </c>
      <c r="G237" s="654">
        <v>0</v>
      </c>
      <c r="H237" s="654">
        <v>0</v>
      </c>
      <c r="I237" s="654">
        <v>110274</v>
      </c>
      <c r="J237" s="654">
        <v>14076</v>
      </c>
      <c r="K237" s="654">
        <v>1814610</v>
      </c>
      <c r="L237" s="654">
        <v>824423</v>
      </c>
      <c r="M237" s="654">
        <v>0</v>
      </c>
      <c r="N237" s="654">
        <v>824423</v>
      </c>
      <c r="O237" s="654">
        <v>54000</v>
      </c>
      <c r="P237" s="654">
        <v>0</v>
      </c>
      <c r="Q237" s="654">
        <v>0</v>
      </c>
      <c r="R237" s="654">
        <v>0</v>
      </c>
      <c r="S237" s="654">
        <v>0</v>
      </c>
      <c r="T237" s="654">
        <v>0</v>
      </c>
      <c r="U237" s="654">
        <v>0</v>
      </c>
      <c r="V237" s="654">
        <v>0</v>
      </c>
      <c r="W237" s="654">
        <v>0</v>
      </c>
      <c r="X237" s="654">
        <v>0</v>
      </c>
      <c r="Y237" s="654">
        <v>0</v>
      </c>
    </row>
    <row r="238" spans="1:25" x14ac:dyDescent="0.15">
      <c r="B238" t="s">
        <v>631</v>
      </c>
      <c r="C238" t="s">
        <v>381</v>
      </c>
      <c r="D238" s="654">
        <v>3081346</v>
      </c>
      <c r="E238" s="654">
        <v>1252503</v>
      </c>
      <c r="F238" s="654">
        <v>350000</v>
      </c>
      <c r="G238" s="654">
        <v>0</v>
      </c>
      <c r="H238" s="654">
        <v>0</v>
      </c>
      <c r="I238" s="654">
        <v>55179</v>
      </c>
      <c r="J238" s="654">
        <v>0</v>
      </c>
      <c r="K238" s="654">
        <v>1657682</v>
      </c>
      <c r="L238" s="654">
        <v>521873</v>
      </c>
      <c r="M238" s="654">
        <v>0</v>
      </c>
      <c r="N238" s="654">
        <v>521873</v>
      </c>
      <c r="O238" s="654">
        <v>102384</v>
      </c>
      <c r="P238" s="654">
        <v>0</v>
      </c>
      <c r="Q238" s="654">
        <v>0</v>
      </c>
      <c r="R238" s="654">
        <v>0</v>
      </c>
      <c r="S238" s="654">
        <v>0</v>
      </c>
      <c r="T238" s="654">
        <v>0</v>
      </c>
      <c r="U238" s="654">
        <v>0</v>
      </c>
      <c r="V238" s="654">
        <v>0</v>
      </c>
      <c r="W238" s="654">
        <v>0</v>
      </c>
      <c r="X238" s="654">
        <v>0</v>
      </c>
      <c r="Y238" s="654">
        <v>0</v>
      </c>
    </row>
    <row r="239" spans="1:25" x14ac:dyDescent="0.15">
      <c r="B239" t="s">
        <v>567</v>
      </c>
      <c r="C239" t="s">
        <v>473</v>
      </c>
      <c r="D239" s="654">
        <v>1236162</v>
      </c>
      <c r="E239" s="654">
        <v>339280</v>
      </c>
      <c r="F239" s="654">
        <v>50000</v>
      </c>
      <c r="G239" s="654">
        <v>0</v>
      </c>
      <c r="H239" s="654">
        <v>0</v>
      </c>
      <c r="I239" s="654">
        <v>16828</v>
      </c>
      <c r="J239" s="654">
        <v>0</v>
      </c>
      <c r="K239" s="654">
        <v>406108</v>
      </c>
      <c r="L239" s="654">
        <v>124140</v>
      </c>
      <c r="M239" s="654">
        <v>0</v>
      </c>
      <c r="N239" s="654">
        <v>124140</v>
      </c>
      <c r="O239" s="654">
        <v>12420</v>
      </c>
      <c r="P239" s="654">
        <v>0</v>
      </c>
      <c r="Q239" s="654">
        <v>0</v>
      </c>
      <c r="R239" s="654">
        <v>163183</v>
      </c>
      <c r="S239" s="654">
        <v>0</v>
      </c>
      <c r="T239" s="654">
        <v>0</v>
      </c>
      <c r="U239" s="654">
        <v>163183</v>
      </c>
      <c r="V239" s="654">
        <v>0</v>
      </c>
      <c r="W239" s="654">
        <v>0</v>
      </c>
      <c r="X239" s="654">
        <v>0</v>
      </c>
      <c r="Y239" s="654">
        <v>0</v>
      </c>
    </row>
    <row r="240" spans="1:25" x14ac:dyDescent="0.15">
      <c r="B240" t="s">
        <v>568</v>
      </c>
      <c r="C240" t="s">
        <v>474</v>
      </c>
      <c r="D240" s="654">
        <v>1015378</v>
      </c>
      <c r="E240" s="654">
        <v>302925</v>
      </c>
      <c r="F240" s="654">
        <v>50000</v>
      </c>
      <c r="G240" s="654">
        <v>0</v>
      </c>
      <c r="H240" s="654">
        <v>0</v>
      </c>
      <c r="I240" s="654">
        <v>0</v>
      </c>
      <c r="J240" s="654">
        <v>0</v>
      </c>
      <c r="K240" s="654">
        <v>352925</v>
      </c>
      <c r="L240" s="654">
        <v>265479</v>
      </c>
      <c r="M240" s="654">
        <v>0</v>
      </c>
      <c r="N240" s="654">
        <v>265479</v>
      </c>
      <c r="O240" s="654">
        <v>12420</v>
      </c>
      <c r="P240" s="654">
        <v>0</v>
      </c>
      <c r="Q240" s="654">
        <v>0</v>
      </c>
      <c r="R240" s="654">
        <v>0</v>
      </c>
      <c r="S240" s="654">
        <v>0</v>
      </c>
      <c r="T240" s="654">
        <v>0</v>
      </c>
      <c r="U240" s="654">
        <v>0</v>
      </c>
      <c r="V240" s="654">
        <v>0</v>
      </c>
      <c r="W240" s="654">
        <v>0</v>
      </c>
      <c r="X240" s="654">
        <v>0</v>
      </c>
      <c r="Y240" s="654">
        <v>0</v>
      </c>
    </row>
    <row r="241" spans="1:25" x14ac:dyDescent="0.15">
      <c r="B241" t="s">
        <v>582</v>
      </c>
      <c r="C241" t="s">
        <v>384</v>
      </c>
      <c r="D241" s="654">
        <v>2133548</v>
      </c>
      <c r="E241" s="654">
        <v>687112</v>
      </c>
      <c r="F241" s="654">
        <v>0</v>
      </c>
      <c r="G241" s="654">
        <v>0</v>
      </c>
      <c r="H241" s="654">
        <v>0</v>
      </c>
      <c r="I241" s="654">
        <v>21365</v>
      </c>
      <c r="J241" s="654">
        <v>0</v>
      </c>
      <c r="K241" s="654">
        <v>708477</v>
      </c>
      <c r="L241" s="654">
        <v>542900</v>
      </c>
      <c r="M241" s="654">
        <v>0</v>
      </c>
      <c r="N241" s="654">
        <v>542900</v>
      </c>
      <c r="O241" s="654">
        <v>35100</v>
      </c>
      <c r="P241" s="654">
        <v>0</v>
      </c>
      <c r="Q241" s="654">
        <v>0</v>
      </c>
      <c r="R241" s="654">
        <v>0</v>
      </c>
      <c r="S241" s="654">
        <v>0</v>
      </c>
      <c r="T241" s="654">
        <v>0</v>
      </c>
      <c r="U241" s="654">
        <v>0</v>
      </c>
      <c r="V241" s="654">
        <v>0</v>
      </c>
      <c r="W241" s="654">
        <v>0</v>
      </c>
      <c r="X241" s="654">
        <v>0</v>
      </c>
      <c r="Y241" s="654">
        <v>0</v>
      </c>
    </row>
    <row r="242" spans="1:25" x14ac:dyDescent="0.15">
      <c r="B242" t="s">
        <v>625</v>
      </c>
      <c r="C242" t="s">
        <v>594</v>
      </c>
      <c r="D242" s="654">
        <v>0</v>
      </c>
      <c r="E242" s="654">
        <v>76500</v>
      </c>
      <c r="F242" s="654">
        <v>933019</v>
      </c>
      <c r="G242" s="654">
        <v>0</v>
      </c>
      <c r="H242" s="654">
        <v>2000000</v>
      </c>
      <c r="I242" s="654">
        <v>341242</v>
      </c>
      <c r="J242" s="654">
        <v>11004</v>
      </c>
      <c r="K242" s="654">
        <v>3361765</v>
      </c>
      <c r="L242" s="654">
        <v>1655232</v>
      </c>
      <c r="M242" s="654">
        <v>0</v>
      </c>
      <c r="N242" s="654">
        <v>1655232</v>
      </c>
      <c r="O242" s="654">
        <v>0</v>
      </c>
      <c r="P242" s="654">
        <v>0</v>
      </c>
      <c r="Q242" s="654">
        <v>0</v>
      </c>
      <c r="R242" s="654">
        <v>0</v>
      </c>
      <c r="S242" s="654">
        <v>0</v>
      </c>
      <c r="T242" s="654">
        <v>0</v>
      </c>
      <c r="U242" s="654">
        <v>0</v>
      </c>
      <c r="V242" s="654">
        <v>13417</v>
      </c>
      <c r="W242" s="654">
        <v>262718</v>
      </c>
      <c r="X242" s="654">
        <v>-201749</v>
      </c>
      <c r="Y242" s="654">
        <v>0</v>
      </c>
    </row>
    <row r="243" spans="1:25" x14ac:dyDescent="0.15">
      <c r="B243" t="s">
        <v>671</v>
      </c>
      <c r="C243" t="s">
        <v>383</v>
      </c>
      <c r="D243" s="654">
        <v>3185656</v>
      </c>
      <c r="E243" s="654">
        <v>648421</v>
      </c>
      <c r="F243" s="654">
        <v>958131</v>
      </c>
      <c r="G243" s="654">
        <v>0</v>
      </c>
      <c r="H243" s="654">
        <v>0</v>
      </c>
      <c r="I243" s="654">
        <v>105380</v>
      </c>
      <c r="J243" s="654">
        <v>4700</v>
      </c>
      <c r="K243" s="654">
        <v>1716632</v>
      </c>
      <c r="L243" s="654">
        <v>979802</v>
      </c>
      <c r="M243" s="654">
        <v>0</v>
      </c>
      <c r="N243" s="654">
        <v>979802</v>
      </c>
      <c r="O243" s="654">
        <v>24300</v>
      </c>
      <c r="P243" s="654">
        <v>0</v>
      </c>
      <c r="Q243" s="654">
        <v>73432</v>
      </c>
      <c r="R243" s="654">
        <v>0</v>
      </c>
      <c r="S243" s="654">
        <v>0</v>
      </c>
      <c r="T243" s="654">
        <v>0</v>
      </c>
      <c r="U243" s="654">
        <v>0</v>
      </c>
      <c r="V243" s="654">
        <v>0</v>
      </c>
      <c r="W243" s="654">
        <v>0</v>
      </c>
      <c r="X243" s="654">
        <v>0</v>
      </c>
      <c r="Y243" s="654">
        <v>0</v>
      </c>
    </row>
    <row r="244" spans="1:25" x14ac:dyDescent="0.15">
      <c r="A244" s="653" t="s">
        <v>621</v>
      </c>
      <c r="B244"/>
      <c r="D244" s="654">
        <v>35916200</v>
      </c>
      <c r="E244" s="654">
        <v>10857414</v>
      </c>
      <c r="F244" s="654">
        <v>8345335</v>
      </c>
      <c r="G244" s="654">
        <v>0</v>
      </c>
      <c r="H244" s="654">
        <v>2000000</v>
      </c>
      <c r="I244" s="654">
        <v>1327602</v>
      </c>
      <c r="J244" s="654">
        <v>72910</v>
      </c>
      <c r="K244" s="654">
        <v>22603261</v>
      </c>
      <c r="L244" s="654">
        <v>7294393</v>
      </c>
      <c r="M244" s="654">
        <v>0</v>
      </c>
      <c r="N244" s="654">
        <v>7294393</v>
      </c>
      <c r="O244" s="654">
        <v>494984</v>
      </c>
      <c r="P244" s="654">
        <v>0</v>
      </c>
      <c r="Q244" s="654">
        <v>73432</v>
      </c>
      <c r="R244" s="654">
        <v>163183</v>
      </c>
      <c r="S244" s="654">
        <v>0</v>
      </c>
      <c r="T244" s="654">
        <v>0</v>
      </c>
      <c r="U244" s="654">
        <v>163183</v>
      </c>
      <c r="V244" s="654">
        <v>13417</v>
      </c>
      <c r="W244" s="654">
        <v>262718</v>
      </c>
      <c r="X244" s="654">
        <v>-201749</v>
      </c>
      <c r="Y244" s="654">
        <v>0</v>
      </c>
    </row>
    <row r="245" spans="1:25" x14ac:dyDescent="0.15">
      <c r="A245" s="653">
        <v>43009</v>
      </c>
      <c r="B245" t="s">
        <v>626</v>
      </c>
      <c r="C245" t="s">
        <v>378</v>
      </c>
      <c r="D245" s="654">
        <v>10634528</v>
      </c>
      <c r="E245" s="654">
        <v>3565236</v>
      </c>
      <c r="F245" s="654">
        <v>1980393</v>
      </c>
      <c r="G245" s="654">
        <v>0</v>
      </c>
      <c r="H245" s="654">
        <v>0</v>
      </c>
      <c r="I245" s="654">
        <v>356726</v>
      </c>
      <c r="J245" s="654">
        <v>24390</v>
      </c>
      <c r="K245" s="654">
        <v>5926745</v>
      </c>
      <c r="L245" s="654">
        <v>731238</v>
      </c>
      <c r="M245" s="654">
        <v>0</v>
      </c>
      <c r="N245" s="654">
        <v>731238</v>
      </c>
      <c r="O245" s="654">
        <v>7621</v>
      </c>
      <c r="P245" s="654">
        <v>0</v>
      </c>
      <c r="Q245" s="654">
        <v>0</v>
      </c>
      <c r="R245" s="654">
        <v>0</v>
      </c>
      <c r="S245" s="654">
        <v>0</v>
      </c>
      <c r="T245" s="654">
        <v>0</v>
      </c>
      <c r="U245" s="654">
        <v>0</v>
      </c>
      <c r="V245" s="654">
        <v>0</v>
      </c>
      <c r="W245" s="654">
        <v>0</v>
      </c>
      <c r="X245" s="654">
        <v>0</v>
      </c>
      <c r="Y245" s="654">
        <v>0</v>
      </c>
    </row>
    <row r="246" spans="1:25" x14ac:dyDescent="0.15">
      <c r="B246" t="s">
        <v>627</v>
      </c>
      <c r="C246" t="s">
        <v>379</v>
      </c>
      <c r="D246" s="654">
        <v>6290993</v>
      </c>
      <c r="E246" s="654">
        <v>1521600</v>
      </c>
      <c r="F246" s="654">
        <v>1925714</v>
      </c>
      <c r="G246" s="654">
        <v>0</v>
      </c>
      <c r="H246" s="654">
        <v>0</v>
      </c>
      <c r="I246" s="654">
        <v>384882</v>
      </c>
      <c r="J246" s="654">
        <v>163333</v>
      </c>
      <c r="K246" s="654">
        <v>3995529</v>
      </c>
      <c r="L246" s="654">
        <v>879489</v>
      </c>
      <c r="M246" s="654">
        <v>0</v>
      </c>
      <c r="N246" s="654">
        <v>879489</v>
      </c>
      <c r="O246" s="654">
        <v>47952</v>
      </c>
      <c r="P246" s="654">
        <v>0</v>
      </c>
      <c r="Q246" s="654">
        <v>0</v>
      </c>
      <c r="R246" s="654">
        <v>0</v>
      </c>
      <c r="S246" s="654">
        <v>0</v>
      </c>
      <c r="T246" s="654">
        <v>0</v>
      </c>
      <c r="U246" s="654">
        <v>0</v>
      </c>
      <c r="V246" s="654">
        <v>0</v>
      </c>
      <c r="W246" s="654">
        <v>0</v>
      </c>
      <c r="X246" s="654">
        <v>0</v>
      </c>
      <c r="Y246" s="654">
        <v>0</v>
      </c>
    </row>
    <row r="247" spans="1:25" x14ac:dyDescent="0.15">
      <c r="B247" t="s">
        <v>628</v>
      </c>
      <c r="C247" t="s">
        <v>380</v>
      </c>
      <c r="D247" s="654">
        <v>5787410</v>
      </c>
      <c r="E247" s="654">
        <v>1824962</v>
      </c>
      <c r="F247" s="654">
        <v>1342495</v>
      </c>
      <c r="G247" s="654">
        <v>0</v>
      </c>
      <c r="H247" s="654">
        <v>0</v>
      </c>
      <c r="I247" s="654">
        <v>297113</v>
      </c>
      <c r="J247" s="654">
        <v>1143</v>
      </c>
      <c r="K247" s="654">
        <v>3465713</v>
      </c>
      <c r="L247" s="654">
        <v>902306</v>
      </c>
      <c r="M247" s="654">
        <v>0</v>
      </c>
      <c r="N247" s="654">
        <v>902306</v>
      </c>
      <c r="O247" s="654">
        <v>123696</v>
      </c>
      <c r="P247" s="654">
        <v>0</v>
      </c>
      <c r="Q247" s="654">
        <v>0</v>
      </c>
      <c r="R247" s="654">
        <v>0</v>
      </c>
      <c r="S247" s="654">
        <v>0</v>
      </c>
      <c r="T247" s="654">
        <v>0</v>
      </c>
      <c r="U247" s="654">
        <v>0</v>
      </c>
      <c r="V247" s="654">
        <v>0</v>
      </c>
      <c r="W247" s="654">
        <v>0</v>
      </c>
      <c r="X247" s="654">
        <v>0</v>
      </c>
      <c r="Y247" s="654">
        <v>0</v>
      </c>
    </row>
    <row r="248" spans="1:25" x14ac:dyDescent="0.15">
      <c r="B248" t="s">
        <v>629</v>
      </c>
      <c r="C248" t="s">
        <v>676</v>
      </c>
      <c r="D248" s="654">
        <v>3270391</v>
      </c>
      <c r="E248" s="654">
        <v>949243</v>
      </c>
      <c r="F248" s="654">
        <v>796962</v>
      </c>
      <c r="G248" s="654">
        <v>0</v>
      </c>
      <c r="H248" s="654">
        <v>0</v>
      </c>
      <c r="I248" s="654">
        <v>171179</v>
      </c>
      <c r="J248" s="654">
        <v>0</v>
      </c>
      <c r="K248" s="654">
        <v>1917384</v>
      </c>
      <c r="L248" s="654">
        <v>966398</v>
      </c>
      <c r="M248" s="654">
        <v>0</v>
      </c>
      <c r="N248" s="654">
        <v>966398</v>
      </c>
      <c r="O248" s="654">
        <v>50988</v>
      </c>
      <c r="P248" s="654">
        <v>0</v>
      </c>
      <c r="Q248" s="654">
        <v>0</v>
      </c>
      <c r="R248" s="654">
        <v>0</v>
      </c>
      <c r="S248" s="654">
        <v>0</v>
      </c>
      <c r="T248" s="654">
        <v>0</v>
      </c>
      <c r="U248" s="654">
        <v>0</v>
      </c>
      <c r="V248" s="654">
        <v>0</v>
      </c>
      <c r="W248" s="654">
        <v>0</v>
      </c>
      <c r="X248" s="654">
        <v>0</v>
      </c>
      <c r="Y248" s="654">
        <v>0</v>
      </c>
    </row>
    <row r="249" spans="1:25" x14ac:dyDescent="0.15">
      <c r="B249" t="s">
        <v>631</v>
      </c>
      <c r="C249" t="s">
        <v>381</v>
      </c>
      <c r="D249" s="654">
        <v>2989139</v>
      </c>
      <c r="E249" s="654">
        <v>1023599</v>
      </c>
      <c r="F249" s="654">
        <v>650000</v>
      </c>
      <c r="G249" s="654">
        <v>0</v>
      </c>
      <c r="H249" s="654">
        <v>0</v>
      </c>
      <c r="I249" s="654">
        <v>140787</v>
      </c>
      <c r="J249" s="654">
        <v>30000</v>
      </c>
      <c r="K249" s="654">
        <v>1844386</v>
      </c>
      <c r="L249" s="654">
        <v>346984</v>
      </c>
      <c r="M249" s="654">
        <v>0</v>
      </c>
      <c r="N249" s="654">
        <v>346984</v>
      </c>
      <c r="O249" s="654">
        <v>0</v>
      </c>
      <c r="P249" s="654">
        <v>0</v>
      </c>
      <c r="Q249" s="654">
        <v>0</v>
      </c>
      <c r="R249" s="654">
        <v>0</v>
      </c>
      <c r="S249" s="654">
        <v>0</v>
      </c>
      <c r="T249" s="654">
        <v>0</v>
      </c>
      <c r="U249" s="654">
        <v>0</v>
      </c>
      <c r="V249" s="654">
        <v>0</v>
      </c>
      <c r="W249" s="654">
        <v>0</v>
      </c>
      <c r="X249" s="654">
        <v>0</v>
      </c>
      <c r="Y249" s="654">
        <v>0</v>
      </c>
    </row>
    <row r="250" spans="1:25" x14ac:dyDescent="0.15">
      <c r="B250" t="s">
        <v>567</v>
      </c>
      <c r="C250" t="s">
        <v>473</v>
      </c>
      <c r="D250" s="654">
        <v>1051496</v>
      </c>
      <c r="E250" s="654">
        <v>361400</v>
      </c>
      <c r="F250" s="654">
        <v>50000</v>
      </c>
      <c r="G250" s="654">
        <v>0</v>
      </c>
      <c r="H250" s="654">
        <v>0</v>
      </c>
      <c r="I250" s="654">
        <v>26177</v>
      </c>
      <c r="J250" s="654">
        <v>0</v>
      </c>
      <c r="K250" s="654">
        <v>437577</v>
      </c>
      <c r="L250" s="654">
        <v>127801</v>
      </c>
      <c r="M250" s="654">
        <v>0</v>
      </c>
      <c r="N250" s="654">
        <v>127801</v>
      </c>
      <c r="O250" s="654">
        <v>0</v>
      </c>
      <c r="P250" s="654">
        <v>0</v>
      </c>
      <c r="Q250" s="654">
        <v>0</v>
      </c>
      <c r="R250" s="654">
        <v>0</v>
      </c>
      <c r="S250" s="654">
        <v>0</v>
      </c>
      <c r="T250" s="654">
        <v>0</v>
      </c>
      <c r="U250" s="654">
        <v>0</v>
      </c>
      <c r="V250" s="654">
        <v>0</v>
      </c>
      <c r="W250" s="654">
        <v>0</v>
      </c>
      <c r="X250" s="654">
        <v>0</v>
      </c>
      <c r="Y250" s="654">
        <v>0</v>
      </c>
    </row>
    <row r="251" spans="1:25" x14ac:dyDescent="0.15">
      <c r="B251" t="s">
        <v>568</v>
      </c>
      <c r="C251" t="s">
        <v>474</v>
      </c>
      <c r="D251" s="654">
        <v>1061492</v>
      </c>
      <c r="E251" s="654">
        <v>310225</v>
      </c>
      <c r="F251" s="654">
        <v>50000</v>
      </c>
      <c r="G251" s="654">
        <v>0</v>
      </c>
      <c r="H251" s="654">
        <v>0</v>
      </c>
      <c r="I251" s="654">
        <v>0</v>
      </c>
      <c r="J251" s="654">
        <v>0</v>
      </c>
      <c r="K251" s="654">
        <v>360225</v>
      </c>
      <c r="L251" s="654">
        <v>183340</v>
      </c>
      <c r="M251" s="654">
        <v>0</v>
      </c>
      <c r="N251" s="654">
        <v>183340</v>
      </c>
      <c r="O251" s="654">
        <v>0</v>
      </c>
      <c r="P251" s="654">
        <v>0</v>
      </c>
      <c r="Q251" s="654">
        <v>0</v>
      </c>
      <c r="R251" s="654">
        <v>0</v>
      </c>
      <c r="S251" s="654">
        <v>0</v>
      </c>
      <c r="T251" s="654">
        <v>0</v>
      </c>
      <c r="U251" s="654">
        <v>0</v>
      </c>
      <c r="V251" s="654">
        <v>0</v>
      </c>
      <c r="W251" s="654">
        <v>0</v>
      </c>
      <c r="X251" s="654">
        <v>0</v>
      </c>
      <c r="Y251" s="654">
        <v>0</v>
      </c>
    </row>
    <row r="252" spans="1:25" x14ac:dyDescent="0.15">
      <c r="B252" t="s">
        <v>582</v>
      </c>
      <c r="C252" t="s">
        <v>384</v>
      </c>
      <c r="D252" s="654">
        <v>3275498</v>
      </c>
      <c r="E252" s="654">
        <v>640064</v>
      </c>
      <c r="F252" s="654">
        <v>0</v>
      </c>
      <c r="G252" s="654">
        <v>0</v>
      </c>
      <c r="H252" s="654">
        <v>0</v>
      </c>
      <c r="I252" s="654">
        <v>32960</v>
      </c>
      <c r="J252" s="654">
        <v>0</v>
      </c>
      <c r="K252" s="654">
        <v>673024</v>
      </c>
      <c r="L252" s="654">
        <v>624881</v>
      </c>
      <c r="M252" s="654">
        <v>0</v>
      </c>
      <c r="N252" s="654">
        <v>624881</v>
      </c>
      <c r="O252" s="654">
        <v>0</v>
      </c>
      <c r="P252" s="654">
        <v>0</v>
      </c>
      <c r="Q252" s="654">
        <v>0</v>
      </c>
      <c r="R252" s="654">
        <v>0</v>
      </c>
      <c r="S252" s="654">
        <v>0</v>
      </c>
      <c r="T252" s="654">
        <v>0</v>
      </c>
      <c r="U252" s="654">
        <v>0</v>
      </c>
      <c r="V252" s="654">
        <v>0</v>
      </c>
      <c r="W252" s="654">
        <v>0</v>
      </c>
      <c r="X252" s="654">
        <v>0</v>
      </c>
      <c r="Y252" s="654">
        <v>0</v>
      </c>
    </row>
    <row r="253" spans="1:25" x14ac:dyDescent="0.15">
      <c r="B253" t="s">
        <v>625</v>
      </c>
      <c r="C253" t="s">
        <v>594</v>
      </c>
      <c r="D253" s="654">
        <v>140400</v>
      </c>
      <c r="E253" s="654">
        <v>76778</v>
      </c>
      <c r="F253" s="654">
        <v>939074</v>
      </c>
      <c r="G253" s="654">
        <v>0</v>
      </c>
      <c r="H253" s="654">
        <v>2000000</v>
      </c>
      <c r="I253" s="654">
        <v>400659</v>
      </c>
      <c r="J253" s="654">
        <v>0</v>
      </c>
      <c r="K253" s="654">
        <v>3416511</v>
      </c>
      <c r="L253" s="654">
        <v>1563805</v>
      </c>
      <c r="M253" s="654">
        <v>0</v>
      </c>
      <c r="N253" s="654">
        <v>1563805</v>
      </c>
      <c r="O253" s="654">
        <v>0</v>
      </c>
      <c r="P253" s="654">
        <v>0</v>
      </c>
      <c r="Q253" s="654">
        <v>0</v>
      </c>
      <c r="R253" s="654">
        <v>0</v>
      </c>
      <c r="S253" s="654">
        <v>0</v>
      </c>
      <c r="T253" s="654">
        <v>0</v>
      </c>
      <c r="U253" s="654">
        <v>0</v>
      </c>
      <c r="V253" s="654">
        <v>113702</v>
      </c>
      <c r="W253" s="654">
        <v>497938</v>
      </c>
      <c r="X253" s="654">
        <v>0</v>
      </c>
      <c r="Y253" s="654">
        <v>0</v>
      </c>
    </row>
    <row r="254" spans="1:25" x14ac:dyDescent="0.15">
      <c r="B254" t="s">
        <v>671</v>
      </c>
      <c r="C254" t="s">
        <v>383</v>
      </c>
      <c r="D254" s="654">
        <v>3195164</v>
      </c>
      <c r="E254" s="654">
        <v>586197</v>
      </c>
      <c r="F254" s="654">
        <v>956289</v>
      </c>
      <c r="G254" s="654">
        <v>0</v>
      </c>
      <c r="H254" s="654">
        <v>0</v>
      </c>
      <c r="I254" s="654">
        <v>163520</v>
      </c>
      <c r="J254" s="654">
        <v>0</v>
      </c>
      <c r="K254" s="654">
        <v>1706006</v>
      </c>
      <c r="L254" s="654">
        <v>980412</v>
      </c>
      <c r="M254" s="654">
        <v>0</v>
      </c>
      <c r="N254" s="654">
        <v>980412</v>
      </c>
      <c r="O254" s="654">
        <v>0</v>
      </c>
      <c r="P254" s="654">
        <v>0</v>
      </c>
      <c r="Q254" s="654">
        <v>77730</v>
      </c>
      <c r="R254" s="654">
        <v>0</v>
      </c>
      <c r="S254" s="654">
        <v>0</v>
      </c>
      <c r="T254" s="654">
        <v>0</v>
      </c>
      <c r="U254" s="654">
        <v>0</v>
      </c>
      <c r="V254" s="654">
        <v>0</v>
      </c>
      <c r="W254" s="654">
        <v>0</v>
      </c>
      <c r="X254" s="654">
        <v>0</v>
      </c>
      <c r="Y254" s="654">
        <v>0</v>
      </c>
    </row>
    <row r="255" spans="1:25" x14ac:dyDescent="0.15">
      <c r="A255" s="653" t="s">
        <v>622</v>
      </c>
      <c r="B255"/>
      <c r="D255" s="654">
        <v>37696511</v>
      </c>
      <c r="E255" s="654">
        <v>10859304</v>
      </c>
      <c r="F255" s="654">
        <v>8690927</v>
      </c>
      <c r="G255" s="654">
        <v>0</v>
      </c>
      <c r="H255" s="654">
        <v>2000000</v>
      </c>
      <c r="I255" s="654">
        <v>1974003</v>
      </c>
      <c r="J255" s="654">
        <v>218866</v>
      </c>
      <c r="K255" s="654">
        <v>23743100</v>
      </c>
      <c r="L255" s="654">
        <v>7306654</v>
      </c>
      <c r="M255" s="654">
        <v>0</v>
      </c>
      <c r="N255" s="654">
        <v>7306654</v>
      </c>
      <c r="O255" s="654">
        <v>230257</v>
      </c>
      <c r="P255" s="654">
        <v>0</v>
      </c>
      <c r="Q255" s="654">
        <v>77730</v>
      </c>
      <c r="R255" s="654">
        <v>0</v>
      </c>
      <c r="S255" s="654">
        <v>0</v>
      </c>
      <c r="T255" s="654">
        <v>0</v>
      </c>
      <c r="U255" s="654">
        <v>0</v>
      </c>
      <c r="V255" s="654">
        <v>113702</v>
      </c>
      <c r="W255" s="654">
        <v>497938</v>
      </c>
      <c r="X255" s="654">
        <v>0</v>
      </c>
      <c r="Y255" s="654">
        <v>0</v>
      </c>
    </row>
    <row r="256" spans="1:25" x14ac:dyDescent="0.15">
      <c r="A256" s="653">
        <v>43040</v>
      </c>
      <c r="B256" t="s">
        <v>626</v>
      </c>
      <c r="C256" t="s">
        <v>378</v>
      </c>
      <c r="D256" s="654">
        <v>9718481</v>
      </c>
      <c r="E256" s="654">
        <v>3514473</v>
      </c>
      <c r="F256" s="654">
        <v>1988138</v>
      </c>
      <c r="G256" s="654">
        <v>0</v>
      </c>
      <c r="H256" s="654">
        <v>0</v>
      </c>
      <c r="I256" s="654">
        <v>321067</v>
      </c>
      <c r="J256" s="654">
        <v>51243</v>
      </c>
      <c r="K256" s="654">
        <v>5874921</v>
      </c>
      <c r="L256" s="654">
        <v>718518</v>
      </c>
      <c r="M256" s="654">
        <v>0</v>
      </c>
      <c r="N256" s="654">
        <v>718518</v>
      </c>
      <c r="O256" s="654">
        <v>98400</v>
      </c>
      <c r="P256" s="654">
        <v>0</v>
      </c>
      <c r="Q256" s="654">
        <v>0</v>
      </c>
      <c r="R256" s="654">
        <v>0</v>
      </c>
      <c r="S256" s="654">
        <v>0</v>
      </c>
      <c r="T256" s="654">
        <v>0</v>
      </c>
      <c r="U256" s="654">
        <v>0</v>
      </c>
      <c r="V256" s="654">
        <v>0</v>
      </c>
      <c r="W256" s="654">
        <v>0</v>
      </c>
      <c r="X256" s="654">
        <v>0</v>
      </c>
      <c r="Y256" s="654">
        <v>0</v>
      </c>
    </row>
    <row r="257" spans="1:25" x14ac:dyDescent="0.15">
      <c r="B257" t="s">
        <v>627</v>
      </c>
      <c r="C257" t="s">
        <v>379</v>
      </c>
      <c r="D257" s="654">
        <v>5954408</v>
      </c>
      <c r="E257" s="654">
        <v>1346063</v>
      </c>
      <c r="F257" s="654">
        <v>2118936</v>
      </c>
      <c r="G257" s="654">
        <v>0</v>
      </c>
      <c r="H257" s="654">
        <v>0</v>
      </c>
      <c r="I257" s="654">
        <v>376349</v>
      </c>
      <c r="J257" s="654">
        <v>15553</v>
      </c>
      <c r="K257" s="654">
        <v>3856901</v>
      </c>
      <c r="L257" s="654">
        <v>1009541</v>
      </c>
      <c r="M257" s="654">
        <v>0</v>
      </c>
      <c r="N257" s="654">
        <v>1009541</v>
      </c>
      <c r="O257" s="654">
        <v>48600</v>
      </c>
      <c r="P257" s="654">
        <v>0</v>
      </c>
      <c r="Q257" s="654">
        <v>0</v>
      </c>
      <c r="R257" s="654">
        <v>0</v>
      </c>
      <c r="S257" s="654">
        <v>0</v>
      </c>
      <c r="T257" s="654">
        <v>0</v>
      </c>
      <c r="U257" s="654">
        <v>0</v>
      </c>
      <c r="V257" s="654">
        <v>0</v>
      </c>
      <c r="W257" s="654">
        <v>0</v>
      </c>
      <c r="X257" s="654">
        <v>0</v>
      </c>
      <c r="Y257" s="654">
        <v>0</v>
      </c>
    </row>
    <row r="258" spans="1:25" x14ac:dyDescent="0.15">
      <c r="B258" t="s">
        <v>628</v>
      </c>
      <c r="C258" t="s">
        <v>380</v>
      </c>
      <c r="D258" s="654">
        <v>5899891</v>
      </c>
      <c r="E258" s="654">
        <v>1878917</v>
      </c>
      <c r="F258" s="654">
        <v>1348645</v>
      </c>
      <c r="G258" s="654">
        <v>0</v>
      </c>
      <c r="H258" s="654">
        <v>0</v>
      </c>
      <c r="I258" s="654">
        <v>269819</v>
      </c>
      <c r="J258" s="654">
        <v>23071</v>
      </c>
      <c r="K258" s="654">
        <v>3520452</v>
      </c>
      <c r="L258" s="654">
        <v>829374</v>
      </c>
      <c r="M258" s="654">
        <v>0</v>
      </c>
      <c r="N258" s="654">
        <v>829374</v>
      </c>
      <c r="O258" s="654">
        <v>105300</v>
      </c>
      <c r="P258" s="654">
        <v>0</v>
      </c>
      <c r="Q258" s="654">
        <v>0</v>
      </c>
      <c r="R258" s="654">
        <v>0</v>
      </c>
      <c r="S258" s="654">
        <v>0</v>
      </c>
      <c r="T258" s="654">
        <v>0</v>
      </c>
      <c r="U258" s="654">
        <v>0</v>
      </c>
      <c r="V258" s="654">
        <v>0</v>
      </c>
      <c r="W258" s="654">
        <v>0</v>
      </c>
      <c r="X258" s="654">
        <v>0</v>
      </c>
      <c r="Y258" s="654">
        <v>0</v>
      </c>
    </row>
    <row r="259" spans="1:25" x14ac:dyDescent="0.15">
      <c r="B259" t="s">
        <v>629</v>
      </c>
      <c r="C259" t="s">
        <v>676</v>
      </c>
      <c r="D259" s="654">
        <v>3507733</v>
      </c>
      <c r="E259" s="654">
        <v>662686</v>
      </c>
      <c r="F259" s="654">
        <v>803939</v>
      </c>
      <c r="G259" s="654">
        <v>0</v>
      </c>
      <c r="H259" s="654">
        <v>0</v>
      </c>
      <c r="I259" s="654">
        <v>154166</v>
      </c>
      <c r="J259" s="654">
        <v>0</v>
      </c>
      <c r="K259" s="654">
        <v>1620791</v>
      </c>
      <c r="L259" s="654">
        <v>859233</v>
      </c>
      <c r="M259" s="654">
        <v>0</v>
      </c>
      <c r="N259" s="654">
        <v>859233</v>
      </c>
      <c r="O259" s="654">
        <v>1200</v>
      </c>
      <c r="P259" s="654">
        <v>0</v>
      </c>
      <c r="Q259" s="654">
        <v>0</v>
      </c>
      <c r="R259" s="654">
        <v>0</v>
      </c>
      <c r="S259" s="654">
        <v>0</v>
      </c>
      <c r="T259" s="654">
        <v>0</v>
      </c>
      <c r="U259" s="654">
        <v>0</v>
      </c>
      <c r="V259" s="654">
        <v>0</v>
      </c>
      <c r="W259" s="654">
        <v>0</v>
      </c>
      <c r="X259" s="654">
        <v>0</v>
      </c>
      <c r="Y259" s="654">
        <v>0</v>
      </c>
    </row>
    <row r="260" spans="1:25" x14ac:dyDescent="0.15">
      <c r="B260" t="s">
        <v>631</v>
      </c>
      <c r="C260" t="s">
        <v>381</v>
      </c>
      <c r="D260" s="654">
        <v>2574677</v>
      </c>
      <c r="E260" s="654">
        <v>1031028</v>
      </c>
      <c r="F260" s="654">
        <v>650000</v>
      </c>
      <c r="G260" s="654">
        <v>0</v>
      </c>
      <c r="H260" s="654">
        <v>0</v>
      </c>
      <c r="I260" s="654">
        <v>97264</v>
      </c>
      <c r="J260" s="654">
        <v>0</v>
      </c>
      <c r="K260" s="654">
        <v>1778292</v>
      </c>
      <c r="L260" s="654">
        <v>604342</v>
      </c>
      <c r="M260" s="654">
        <v>0</v>
      </c>
      <c r="N260" s="654">
        <v>604342</v>
      </c>
      <c r="O260" s="654">
        <v>0</v>
      </c>
      <c r="P260" s="654">
        <v>0</v>
      </c>
      <c r="Q260" s="654">
        <v>0</v>
      </c>
      <c r="R260" s="654">
        <v>0</v>
      </c>
      <c r="S260" s="654">
        <v>0</v>
      </c>
      <c r="T260" s="654">
        <v>0</v>
      </c>
      <c r="U260" s="654">
        <v>0</v>
      </c>
      <c r="V260" s="654">
        <v>0</v>
      </c>
      <c r="W260" s="654">
        <v>0</v>
      </c>
      <c r="X260" s="654">
        <v>0</v>
      </c>
      <c r="Y260" s="654">
        <v>0</v>
      </c>
    </row>
    <row r="261" spans="1:25" x14ac:dyDescent="0.15">
      <c r="B261" t="s">
        <v>567</v>
      </c>
      <c r="C261" t="s">
        <v>473</v>
      </c>
      <c r="D261" s="654">
        <v>1225409</v>
      </c>
      <c r="E261" s="654">
        <v>344537</v>
      </c>
      <c r="F261" s="654">
        <v>50000</v>
      </c>
      <c r="G261" s="654">
        <v>0</v>
      </c>
      <c r="H261" s="654">
        <v>0</v>
      </c>
      <c r="I261" s="654">
        <v>23522</v>
      </c>
      <c r="J261" s="654">
        <v>0</v>
      </c>
      <c r="K261" s="654">
        <v>418059</v>
      </c>
      <c r="L261" s="654">
        <v>155938</v>
      </c>
      <c r="M261" s="654">
        <v>0</v>
      </c>
      <c r="N261" s="654">
        <v>155938</v>
      </c>
      <c r="O261" s="654">
        <v>0</v>
      </c>
      <c r="P261" s="654">
        <v>0</v>
      </c>
      <c r="Q261" s="654">
        <v>0</v>
      </c>
      <c r="R261" s="654">
        <v>0</v>
      </c>
      <c r="S261" s="654">
        <v>0</v>
      </c>
      <c r="T261" s="654">
        <v>0</v>
      </c>
      <c r="U261" s="654">
        <v>0</v>
      </c>
      <c r="V261" s="654">
        <v>0</v>
      </c>
      <c r="W261" s="654">
        <v>0</v>
      </c>
      <c r="X261" s="654">
        <v>0</v>
      </c>
      <c r="Y261" s="654">
        <v>0</v>
      </c>
    </row>
    <row r="262" spans="1:25" x14ac:dyDescent="0.15">
      <c r="B262" t="s">
        <v>568</v>
      </c>
      <c r="C262" t="s">
        <v>474</v>
      </c>
      <c r="D262" s="654">
        <v>1000792</v>
      </c>
      <c r="E262" s="654">
        <v>282700</v>
      </c>
      <c r="F262" s="654">
        <v>50000</v>
      </c>
      <c r="G262" s="654">
        <v>0</v>
      </c>
      <c r="H262" s="654">
        <v>0</v>
      </c>
      <c r="I262" s="654">
        <v>0</v>
      </c>
      <c r="J262" s="654">
        <v>0</v>
      </c>
      <c r="K262" s="654">
        <v>332700</v>
      </c>
      <c r="L262" s="654">
        <v>233991</v>
      </c>
      <c r="M262" s="654">
        <v>0</v>
      </c>
      <c r="N262" s="654">
        <v>233991</v>
      </c>
      <c r="O262" s="654">
        <v>0</v>
      </c>
      <c r="P262" s="654">
        <v>0</v>
      </c>
      <c r="Q262" s="654">
        <v>0</v>
      </c>
      <c r="R262" s="654">
        <v>0</v>
      </c>
      <c r="S262" s="654">
        <v>0</v>
      </c>
      <c r="T262" s="654">
        <v>0</v>
      </c>
      <c r="U262" s="654">
        <v>0</v>
      </c>
      <c r="V262" s="654">
        <v>0</v>
      </c>
      <c r="W262" s="654">
        <v>0</v>
      </c>
      <c r="X262" s="654">
        <v>0</v>
      </c>
      <c r="Y262" s="654">
        <v>0</v>
      </c>
    </row>
    <row r="263" spans="1:25" x14ac:dyDescent="0.15">
      <c r="B263" t="s">
        <v>582</v>
      </c>
      <c r="C263" t="s">
        <v>384</v>
      </c>
      <c r="D263" s="654">
        <v>2705860</v>
      </c>
      <c r="E263" s="654">
        <v>680775</v>
      </c>
      <c r="F263" s="654">
        <v>0</v>
      </c>
      <c r="G263" s="654">
        <v>0</v>
      </c>
      <c r="H263" s="654">
        <v>0</v>
      </c>
      <c r="I263" s="654">
        <v>29775</v>
      </c>
      <c r="J263" s="654">
        <v>0</v>
      </c>
      <c r="K263" s="654">
        <v>710550</v>
      </c>
      <c r="L263" s="654">
        <v>688081</v>
      </c>
      <c r="M263" s="654">
        <v>0</v>
      </c>
      <c r="N263" s="654">
        <v>688081</v>
      </c>
      <c r="O263" s="654">
        <v>0</v>
      </c>
      <c r="P263" s="654">
        <v>0</v>
      </c>
      <c r="Q263" s="654">
        <v>0</v>
      </c>
      <c r="R263" s="654">
        <v>0</v>
      </c>
      <c r="S263" s="654">
        <v>0</v>
      </c>
      <c r="T263" s="654">
        <v>0</v>
      </c>
      <c r="U263" s="654">
        <v>0</v>
      </c>
      <c r="V263" s="654">
        <v>0</v>
      </c>
      <c r="W263" s="654">
        <v>0</v>
      </c>
      <c r="X263" s="654">
        <v>0</v>
      </c>
      <c r="Y263" s="654">
        <v>0</v>
      </c>
    </row>
    <row r="264" spans="1:25" x14ac:dyDescent="0.15">
      <c r="B264" t="s">
        <v>625</v>
      </c>
      <c r="C264" t="s">
        <v>594</v>
      </c>
      <c r="D264" s="654">
        <v>0</v>
      </c>
      <c r="E264" s="654">
        <v>0</v>
      </c>
      <c r="F264" s="654">
        <v>935385</v>
      </c>
      <c r="G264" s="654">
        <v>0</v>
      </c>
      <c r="H264" s="654">
        <v>2500000</v>
      </c>
      <c r="I264" s="654">
        <v>360554</v>
      </c>
      <c r="J264" s="654">
        <v>669158</v>
      </c>
      <c r="K264" s="654">
        <v>4465097</v>
      </c>
      <c r="L264" s="654">
        <v>2425654</v>
      </c>
      <c r="M264" s="654">
        <v>0</v>
      </c>
      <c r="N264" s="654">
        <v>2425654</v>
      </c>
      <c r="O264" s="654">
        <v>519480</v>
      </c>
      <c r="P264" s="654">
        <v>0</v>
      </c>
      <c r="Q264" s="654">
        <v>0</v>
      </c>
      <c r="R264" s="654">
        <v>0</v>
      </c>
      <c r="S264" s="654">
        <v>0</v>
      </c>
      <c r="T264" s="654">
        <v>0</v>
      </c>
      <c r="U264" s="654">
        <v>0</v>
      </c>
      <c r="V264" s="654">
        <v>162234</v>
      </c>
      <c r="W264" s="654">
        <v>398466</v>
      </c>
      <c r="X264" s="654">
        <v>0</v>
      </c>
      <c r="Y264" s="654">
        <v>0</v>
      </c>
    </row>
    <row r="265" spans="1:25" x14ac:dyDescent="0.15">
      <c r="B265" t="s">
        <v>671</v>
      </c>
      <c r="C265" t="s">
        <v>383</v>
      </c>
      <c r="D265" s="654">
        <v>3133826</v>
      </c>
      <c r="E265" s="654">
        <v>596852</v>
      </c>
      <c r="F265" s="654">
        <v>950404</v>
      </c>
      <c r="G265" s="654">
        <v>0</v>
      </c>
      <c r="H265" s="654">
        <v>0</v>
      </c>
      <c r="I265" s="654">
        <v>147133</v>
      </c>
      <c r="J265" s="654">
        <v>0</v>
      </c>
      <c r="K265" s="654">
        <v>1694389</v>
      </c>
      <c r="L265" s="654">
        <v>882358</v>
      </c>
      <c r="M265" s="654">
        <v>0</v>
      </c>
      <c r="N265" s="654">
        <v>882358</v>
      </c>
      <c r="O265" s="654">
        <v>25500</v>
      </c>
      <c r="P265" s="654">
        <v>0</v>
      </c>
      <c r="Q265" s="654">
        <v>78013</v>
      </c>
      <c r="R265" s="654">
        <v>0</v>
      </c>
      <c r="S265" s="654">
        <v>0</v>
      </c>
      <c r="T265" s="654">
        <v>0</v>
      </c>
      <c r="U265" s="654">
        <v>0</v>
      </c>
      <c r="V265" s="654">
        <v>0</v>
      </c>
      <c r="W265" s="654">
        <v>0</v>
      </c>
      <c r="X265" s="654">
        <v>0</v>
      </c>
      <c r="Y265" s="654">
        <v>0</v>
      </c>
    </row>
    <row r="266" spans="1:25" x14ac:dyDescent="0.15">
      <c r="A266" s="653" t="s">
        <v>623</v>
      </c>
      <c r="B266"/>
      <c r="D266" s="654">
        <v>35721077</v>
      </c>
      <c r="E266" s="654">
        <v>10338031</v>
      </c>
      <c r="F266" s="654">
        <v>8895447</v>
      </c>
      <c r="G266" s="654">
        <v>0</v>
      </c>
      <c r="H266" s="654">
        <v>2500000</v>
      </c>
      <c r="I266" s="654">
        <v>1779649</v>
      </c>
      <c r="J266" s="654">
        <v>759025</v>
      </c>
      <c r="K266" s="654">
        <v>24272152</v>
      </c>
      <c r="L266" s="654">
        <v>8407030</v>
      </c>
      <c r="M266" s="654">
        <v>0</v>
      </c>
      <c r="N266" s="654">
        <v>8407030</v>
      </c>
      <c r="O266" s="654">
        <v>798480</v>
      </c>
      <c r="P266" s="654">
        <v>0</v>
      </c>
      <c r="Q266" s="654">
        <v>78013</v>
      </c>
      <c r="R266" s="654">
        <v>0</v>
      </c>
      <c r="S266" s="654">
        <v>0</v>
      </c>
      <c r="T266" s="654">
        <v>0</v>
      </c>
      <c r="U266" s="654">
        <v>0</v>
      </c>
      <c r="V266" s="654">
        <v>162234</v>
      </c>
      <c r="W266" s="654">
        <v>398466</v>
      </c>
      <c r="X266" s="654">
        <v>0</v>
      </c>
      <c r="Y266" s="654">
        <v>0</v>
      </c>
    </row>
    <row r="267" spans="1:25" x14ac:dyDescent="0.15">
      <c r="A267" s="653">
        <v>43070</v>
      </c>
      <c r="B267" t="s">
        <v>626</v>
      </c>
      <c r="C267" t="s">
        <v>378</v>
      </c>
      <c r="D267" s="654">
        <v>10007332</v>
      </c>
      <c r="E267" s="654">
        <v>3446593</v>
      </c>
      <c r="F267" s="654">
        <v>1976032</v>
      </c>
      <c r="G267" s="654">
        <v>3800875</v>
      </c>
      <c r="H267" s="654">
        <v>0</v>
      </c>
      <c r="I267" s="654">
        <v>-50421.419093419929</v>
      </c>
      <c r="J267" s="654">
        <v>73335</v>
      </c>
      <c r="K267" s="654">
        <v>9246413.5809065793</v>
      </c>
      <c r="L267" s="654">
        <v>1226343</v>
      </c>
      <c r="M267" s="654">
        <v>0</v>
      </c>
      <c r="N267" s="654">
        <v>1226343</v>
      </c>
      <c r="O267" s="654">
        <v>48600</v>
      </c>
      <c r="P267" s="654">
        <v>0</v>
      </c>
      <c r="Q267" s="654">
        <v>0</v>
      </c>
      <c r="R267" s="654">
        <v>0</v>
      </c>
      <c r="S267" s="654">
        <v>0</v>
      </c>
      <c r="T267" s="654">
        <v>0</v>
      </c>
      <c r="U267" s="654">
        <v>0</v>
      </c>
      <c r="V267" s="654">
        <v>0</v>
      </c>
      <c r="W267" s="654">
        <v>0</v>
      </c>
      <c r="X267" s="654">
        <v>0</v>
      </c>
      <c r="Y267" s="654">
        <v>0</v>
      </c>
    </row>
    <row r="268" spans="1:25" x14ac:dyDescent="0.15">
      <c r="B268" t="s">
        <v>627</v>
      </c>
      <c r="C268" t="s">
        <v>379</v>
      </c>
      <c r="D268" s="654">
        <v>5963920</v>
      </c>
      <c r="E268" s="654">
        <v>1316877</v>
      </c>
      <c r="F268" s="654">
        <v>2260418</v>
      </c>
      <c r="G268" s="654">
        <v>3385000</v>
      </c>
      <c r="H268" s="654">
        <v>0</v>
      </c>
      <c r="I268" s="654">
        <v>-66173.033578658826</v>
      </c>
      <c r="J268" s="654">
        <v>0</v>
      </c>
      <c r="K268" s="654">
        <v>6896121.9664213415</v>
      </c>
      <c r="L268" s="654">
        <v>894494</v>
      </c>
      <c r="M268" s="654">
        <v>0</v>
      </c>
      <c r="N268" s="654">
        <v>894494</v>
      </c>
      <c r="O268" s="654">
        <v>47952</v>
      </c>
      <c r="P268" s="654">
        <v>0</v>
      </c>
      <c r="Q268" s="654">
        <v>0</v>
      </c>
      <c r="R268" s="654">
        <v>0</v>
      </c>
      <c r="S268" s="654">
        <v>0</v>
      </c>
      <c r="T268" s="654">
        <v>0</v>
      </c>
      <c r="U268" s="654">
        <v>0</v>
      </c>
      <c r="V268" s="654">
        <v>0</v>
      </c>
      <c r="W268" s="654">
        <v>0</v>
      </c>
      <c r="X268" s="654">
        <v>0</v>
      </c>
      <c r="Y268" s="654">
        <v>0</v>
      </c>
    </row>
    <row r="269" spans="1:25" x14ac:dyDescent="0.15">
      <c r="B269" t="s">
        <v>628</v>
      </c>
      <c r="C269" t="s">
        <v>380</v>
      </c>
      <c r="D269" s="654">
        <v>5629984</v>
      </c>
      <c r="E269" s="654">
        <v>1864962</v>
      </c>
      <c r="F269" s="654">
        <v>1333245</v>
      </c>
      <c r="G269" s="654">
        <v>2770000</v>
      </c>
      <c r="H269" s="654">
        <v>0</v>
      </c>
      <c r="I269" s="654">
        <v>-39239.055500687333</v>
      </c>
      <c r="J269" s="654">
        <v>123018</v>
      </c>
      <c r="K269" s="654">
        <v>6051985.9444993129</v>
      </c>
      <c r="L269" s="654">
        <v>997975</v>
      </c>
      <c r="M269" s="654">
        <v>0</v>
      </c>
      <c r="N269" s="654">
        <v>997975</v>
      </c>
      <c r="O269" s="654">
        <v>32400</v>
      </c>
      <c r="P269" s="654">
        <v>0</v>
      </c>
      <c r="Q269" s="654">
        <v>0</v>
      </c>
      <c r="R269" s="654">
        <v>0</v>
      </c>
      <c r="S269" s="654">
        <v>0</v>
      </c>
      <c r="T269" s="654">
        <v>0</v>
      </c>
      <c r="U269" s="654">
        <v>0</v>
      </c>
      <c r="V269" s="654">
        <v>0</v>
      </c>
      <c r="W269" s="654">
        <v>0</v>
      </c>
      <c r="X269" s="654">
        <v>0</v>
      </c>
      <c r="Y269" s="654">
        <v>0</v>
      </c>
    </row>
    <row r="270" spans="1:25" x14ac:dyDescent="0.15">
      <c r="B270" t="s">
        <v>629</v>
      </c>
      <c r="C270" t="s">
        <v>676</v>
      </c>
      <c r="D270" s="654">
        <v>3292348</v>
      </c>
      <c r="E270" s="654">
        <v>1239285</v>
      </c>
      <c r="F270" s="654">
        <v>824685</v>
      </c>
      <c r="G270" s="654">
        <v>180000</v>
      </c>
      <c r="H270" s="654">
        <v>0</v>
      </c>
      <c r="I270" s="654">
        <v>-22669.38640245752</v>
      </c>
      <c r="J270" s="654">
        <v>0</v>
      </c>
      <c r="K270" s="654">
        <v>2221300.6135975425</v>
      </c>
      <c r="L270" s="654">
        <v>1042803</v>
      </c>
      <c r="M270" s="654">
        <v>0</v>
      </c>
      <c r="N270" s="654">
        <v>1042803</v>
      </c>
      <c r="O270" s="654">
        <v>46440</v>
      </c>
      <c r="P270" s="654">
        <v>0</v>
      </c>
      <c r="Q270" s="654">
        <v>0</v>
      </c>
      <c r="R270" s="654">
        <v>0</v>
      </c>
      <c r="S270" s="654">
        <v>0</v>
      </c>
      <c r="T270" s="654">
        <v>0</v>
      </c>
      <c r="U270" s="654">
        <v>0</v>
      </c>
      <c r="V270" s="654">
        <v>0</v>
      </c>
      <c r="W270" s="654">
        <v>0</v>
      </c>
      <c r="X270" s="654">
        <v>0</v>
      </c>
      <c r="Y270" s="654">
        <v>0</v>
      </c>
    </row>
    <row r="271" spans="1:25" x14ac:dyDescent="0.15">
      <c r="B271" t="s">
        <v>631</v>
      </c>
      <c r="C271" t="s">
        <v>381</v>
      </c>
      <c r="D271" s="654">
        <v>2853536</v>
      </c>
      <c r="E271" s="654">
        <v>1212496</v>
      </c>
      <c r="F271" s="654">
        <v>658000</v>
      </c>
      <c r="G271" s="654">
        <v>475000</v>
      </c>
      <c r="H271" s="654">
        <v>0</v>
      </c>
      <c r="I271" s="654">
        <v>-14289.186507437851</v>
      </c>
      <c r="J271" s="654">
        <v>0</v>
      </c>
      <c r="K271" s="654">
        <v>2331206.8134925622</v>
      </c>
      <c r="L271" s="654">
        <v>582653</v>
      </c>
      <c r="M271" s="654">
        <v>0</v>
      </c>
      <c r="N271" s="654">
        <v>582653</v>
      </c>
      <c r="O271" s="654">
        <v>0</v>
      </c>
      <c r="P271" s="654">
        <v>0</v>
      </c>
      <c r="Q271" s="654">
        <v>0</v>
      </c>
      <c r="R271" s="654">
        <v>0</v>
      </c>
      <c r="S271" s="654">
        <v>0</v>
      </c>
      <c r="T271" s="654">
        <v>0</v>
      </c>
      <c r="U271" s="654">
        <v>0</v>
      </c>
      <c r="V271" s="654">
        <v>0</v>
      </c>
      <c r="W271" s="654">
        <v>0</v>
      </c>
      <c r="X271" s="654">
        <v>0</v>
      </c>
      <c r="Y271" s="654">
        <v>0</v>
      </c>
    </row>
    <row r="272" spans="1:25" x14ac:dyDescent="0.15">
      <c r="B272" t="s">
        <v>567</v>
      </c>
      <c r="C272" t="s">
        <v>473</v>
      </c>
      <c r="D272" s="654">
        <v>1036248</v>
      </c>
      <c r="E272" s="654">
        <v>371908</v>
      </c>
      <c r="F272" s="654">
        <v>50000</v>
      </c>
      <c r="G272" s="654">
        <v>0</v>
      </c>
      <c r="H272" s="654">
        <v>0</v>
      </c>
      <c r="I272" s="654">
        <v>-3461.9344628663694</v>
      </c>
      <c r="J272" s="654">
        <v>0</v>
      </c>
      <c r="K272" s="654">
        <v>418446.0655371336</v>
      </c>
      <c r="L272" s="654">
        <v>154535</v>
      </c>
      <c r="M272" s="654">
        <v>0</v>
      </c>
      <c r="N272" s="654">
        <v>154535</v>
      </c>
      <c r="O272" s="654">
        <v>0</v>
      </c>
      <c r="P272" s="654">
        <v>0</v>
      </c>
      <c r="Q272" s="654">
        <v>0</v>
      </c>
      <c r="R272" s="654">
        <v>0</v>
      </c>
      <c r="S272" s="654">
        <v>0</v>
      </c>
      <c r="T272" s="654">
        <v>0</v>
      </c>
      <c r="U272" s="654">
        <v>0</v>
      </c>
      <c r="V272" s="654">
        <v>0</v>
      </c>
      <c r="W272" s="654">
        <v>0</v>
      </c>
      <c r="X272" s="654">
        <v>0</v>
      </c>
      <c r="Y272" s="654">
        <v>0</v>
      </c>
    </row>
    <row r="273" spans="1:25" x14ac:dyDescent="0.15">
      <c r="B273" t="s">
        <v>568</v>
      </c>
      <c r="C273" t="s">
        <v>474</v>
      </c>
      <c r="D273" s="654">
        <v>1061492</v>
      </c>
      <c r="E273" s="654">
        <v>316550</v>
      </c>
      <c r="F273" s="654">
        <v>50000</v>
      </c>
      <c r="G273" s="654">
        <v>0</v>
      </c>
      <c r="H273" s="654">
        <v>0</v>
      </c>
      <c r="I273" s="654">
        <v>0</v>
      </c>
      <c r="J273" s="654">
        <v>0</v>
      </c>
      <c r="K273" s="654">
        <v>366550</v>
      </c>
      <c r="L273" s="654">
        <v>175504</v>
      </c>
      <c r="M273" s="654">
        <v>0</v>
      </c>
      <c r="N273" s="654">
        <v>175504</v>
      </c>
      <c r="O273" s="654">
        <v>0</v>
      </c>
      <c r="P273" s="654">
        <v>0</v>
      </c>
      <c r="Q273" s="654">
        <v>0</v>
      </c>
      <c r="R273" s="654">
        <v>0</v>
      </c>
      <c r="S273" s="654">
        <v>0</v>
      </c>
      <c r="T273" s="654">
        <v>0</v>
      </c>
      <c r="U273" s="654">
        <v>0</v>
      </c>
      <c r="V273" s="654">
        <v>0</v>
      </c>
      <c r="W273" s="654">
        <v>0</v>
      </c>
      <c r="X273" s="654">
        <v>0</v>
      </c>
      <c r="Y273" s="654">
        <v>0</v>
      </c>
    </row>
    <row r="274" spans="1:25" x14ac:dyDescent="0.15">
      <c r="B274" t="s">
        <v>582</v>
      </c>
      <c r="C274" t="s">
        <v>384</v>
      </c>
      <c r="D274" s="654">
        <v>2748469</v>
      </c>
      <c r="E274" s="654">
        <v>684955</v>
      </c>
      <c r="F274" s="654">
        <v>0</v>
      </c>
      <c r="G274" s="654">
        <v>0</v>
      </c>
      <c r="H274" s="654">
        <v>0</v>
      </c>
      <c r="I274" s="654">
        <v>-4366.7289966918415</v>
      </c>
      <c r="J274" s="654">
        <v>0</v>
      </c>
      <c r="K274" s="654">
        <v>680588.27100330812</v>
      </c>
      <c r="L274" s="654">
        <v>606874</v>
      </c>
      <c r="M274" s="654">
        <v>0</v>
      </c>
      <c r="N274" s="654">
        <v>606874</v>
      </c>
      <c r="O274" s="654">
        <v>0</v>
      </c>
      <c r="P274" s="654">
        <v>0</v>
      </c>
      <c r="Q274" s="654">
        <v>0</v>
      </c>
      <c r="R274" s="654">
        <v>0</v>
      </c>
      <c r="S274" s="654">
        <v>0</v>
      </c>
      <c r="T274" s="654">
        <v>0</v>
      </c>
      <c r="U274" s="654">
        <v>0</v>
      </c>
      <c r="V274" s="654">
        <v>0</v>
      </c>
      <c r="W274" s="654">
        <v>0</v>
      </c>
      <c r="X274" s="654">
        <v>0</v>
      </c>
      <c r="Y274" s="654">
        <v>0</v>
      </c>
    </row>
    <row r="275" spans="1:25" x14ac:dyDescent="0.15">
      <c r="B275" t="s">
        <v>625</v>
      </c>
      <c r="C275" t="s">
        <v>594</v>
      </c>
      <c r="D275" s="654">
        <v>0</v>
      </c>
      <c r="E275" s="654">
        <v>0</v>
      </c>
      <c r="F275" s="654">
        <v>931293</v>
      </c>
      <c r="G275" s="654">
        <v>1398875</v>
      </c>
      <c r="H275" s="654">
        <v>2500000</v>
      </c>
      <c r="I275" s="654">
        <v>-52948.242243558198</v>
      </c>
      <c r="J275" s="654">
        <v>710430</v>
      </c>
      <c r="K275" s="654">
        <v>5487649.7577564418</v>
      </c>
      <c r="L275" s="654">
        <v>2104595</v>
      </c>
      <c r="M275" s="654">
        <v>0</v>
      </c>
      <c r="N275" s="654">
        <v>2104595</v>
      </c>
      <c r="O275" s="654">
        <v>0</v>
      </c>
      <c r="P275" s="654">
        <v>0</v>
      </c>
      <c r="Q275" s="654">
        <v>0</v>
      </c>
      <c r="R275" s="654">
        <v>0</v>
      </c>
      <c r="S275" s="654">
        <v>0</v>
      </c>
      <c r="T275" s="654">
        <v>0</v>
      </c>
      <c r="U275" s="654">
        <v>0</v>
      </c>
      <c r="V275" s="654">
        <v>210977</v>
      </c>
      <c r="W275" s="654">
        <v>353206</v>
      </c>
      <c r="X275" s="654">
        <v>0</v>
      </c>
      <c r="Y275" s="654">
        <v>0</v>
      </c>
    </row>
    <row r="276" spans="1:25" x14ac:dyDescent="0.15">
      <c r="B276" t="s">
        <v>671</v>
      </c>
      <c r="C276" t="s">
        <v>383</v>
      </c>
      <c r="D276" s="654">
        <v>3119675</v>
      </c>
      <c r="E276" s="654">
        <v>581761</v>
      </c>
      <c r="F276" s="654">
        <v>922255</v>
      </c>
      <c r="G276" s="654">
        <v>380000</v>
      </c>
      <c r="H276" s="654">
        <v>0</v>
      </c>
      <c r="I276" s="654">
        <v>-21590.013214222141</v>
      </c>
      <c r="J276" s="654">
        <v>0</v>
      </c>
      <c r="K276" s="654">
        <v>1862425.9867857778</v>
      </c>
      <c r="L276" s="654">
        <v>1022330</v>
      </c>
      <c r="M276" s="654">
        <v>0</v>
      </c>
      <c r="N276" s="654">
        <v>1022330</v>
      </c>
      <c r="O276" s="654">
        <v>24300</v>
      </c>
      <c r="P276" s="654">
        <v>0</v>
      </c>
      <c r="Q276" s="654">
        <v>77744</v>
      </c>
      <c r="R276" s="654">
        <v>0</v>
      </c>
      <c r="S276" s="654">
        <v>0</v>
      </c>
      <c r="T276" s="654">
        <v>0</v>
      </c>
      <c r="U276" s="654">
        <v>0</v>
      </c>
      <c r="V276" s="654">
        <v>0</v>
      </c>
      <c r="W276" s="654">
        <v>0</v>
      </c>
      <c r="X276" s="654">
        <v>0</v>
      </c>
      <c r="Y276" s="654">
        <v>0</v>
      </c>
    </row>
    <row r="277" spans="1:25" x14ac:dyDescent="0.15">
      <c r="A277" s="653" t="s">
        <v>632</v>
      </c>
      <c r="B277"/>
      <c r="D277" s="654">
        <v>35713004</v>
      </c>
      <c r="E277" s="654">
        <v>11035387</v>
      </c>
      <c r="F277" s="654">
        <v>9005928</v>
      </c>
      <c r="G277" s="654">
        <v>12389750</v>
      </c>
      <c r="H277" s="654">
        <v>2500000</v>
      </c>
      <c r="I277" s="654">
        <v>-275159</v>
      </c>
      <c r="J277" s="654">
        <v>906783</v>
      </c>
      <c r="K277" s="654">
        <v>35562689</v>
      </c>
      <c r="L277" s="654">
        <v>8808106</v>
      </c>
      <c r="M277" s="654">
        <v>0</v>
      </c>
      <c r="N277" s="654">
        <v>8808106</v>
      </c>
      <c r="O277" s="654">
        <v>199692</v>
      </c>
      <c r="P277" s="654">
        <v>0</v>
      </c>
      <c r="Q277" s="654">
        <v>77744</v>
      </c>
      <c r="R277" s="654">
        <v>0</v>
      </c>
      <c r="S277" s="654">
        <v>0</v>
      </c>
      <c r="T277" s="654">
        <v>0</v>
      </c>
      <c r="U277" s="654">
        <v>0</v>
      </c>
      <c r="V277" s="654">
        <v>210977</v>
      </c>
      <c r="W277" s="654">
        <v>353206</v>
      </c>
      <c r="X277" s="654">
        <v>0</v>
      </c>
      <c r="Y277" s="654">
        <v>0</v>
      </c>
    </row>
    <row r="278" spans="1:25" x14ac:dyDescent="0.15">
      <c r="A278" s="653">
        <v>43101</v>
      </c>
      <c r="B278" t="s">
        <v>626</v>
      </c>
      <c r="C278" t="s">
        <v>378</v>
      </c>
      <c r="D278" s="654">
        <v>10050857</v>
      </c>
      <c r="E278" s="654">
        <v>3471506</v>
      </c>
      <c r="F278" s="654">
        <v>1575046</v>
      </c>
      <c r="G278" s="654">
        <v>0</v>
      </c>
      <c r="H278" s="654">
        <v>0</v>
      </c>
      <c r="I278" s="654">
        <v>1013336</v>
      </c>
      <c r="J278" s="654">
        <v>58110</v>
      </c>
      <c r="K278" s="654">
        <v>6117998</v>
      </c>
      <c r="L278" s="654">
        <v>748654</v>
      </c>
      <c r="M278" s="654">
        <v>0</v>
      </c>
      <c r="N278" s="654">
        <v>748654</v>
      </c>
      <c r="O278" s="654">
        <v>25920</v>
      </c>
      <c r="P278" s="654">
        <v>0</v>
      </c>
      <c r="Q278" s="654">
        <v>0</v>
      </c>
      <c r="R278" s="654">
        <v>0</v>
      </c>
      <c r="S278" s="654">
        <v>0</v>
      </c>
      <c r="T278" s="654">
        <v>0</v>
      </c>
      <c r="U278" s="654">
        <v>0</v>
      </c>
      <c r="V278" s="654">
        <v>0</v>
      </c>
      <c r="W278" s="654">
        <v>0</v>
      </c>
      <c r="X278" s="654">
        <v>0</v>
      </c>
      <c r="Y278" s="654">
        <v>0</v>
      </c>
    </row>
    <row r="279" spans="1:25" x14ac:dyDescent="0.15">
      <c r="B279" t="s">
        <v>627</v>
      </c>
      <c r="C279" t="s">
        <v>379</v>
      </c>
      <c r="D279" s="654">
        <v>5489569</v>
      </c>
      <c r="E279" s="654">
        <v>1289087</v>
      </c>
      <c r="F279" s="654">
        <v>2246591</v>
      </c>
      <c r="G279" s="654">
        <v>0</v>
      </c>
      <c r="H279" s="654">
        <v>0</v>
      </c>
      <c r="I279" s="654">
        <v>1338312</v>
      </c>
      <c r="J279" s="654">
        <v>0</v>
      </c>
      <c r="K279" s="654">
        <v>4873990</v>
      </c>
      <c r="L279" s="654">
        <v>973495</v>
      </c>
      <c r="M279" s="654">
        <v>0</v>
      </c>
      <c r="N279" s="654">
        <v>973495</v>
      </c>
      <c r="O279" s="654">
        <v>47952</v>
      </c>
      <c r="P279" s="654">
        <v>0</v>
      </c>
      <c r="Q279" s="654">
        <v>0</v>
      </c>
      <c r="R279" s="654">
        <v>0</v>
      </c>
      <c r="S279" s="654">
        <v>0</v>
      </c>
      <c r="T279" s="654">
        <v>0</v>
      </c>
      <c r="U279" s="654">
        <v>0</v>
      </c>
      <c r="V279" s="654">
        <v>0</v>
      </c>
      <c r="W279" s="654">
        <v>0</v>
      </c>
      <c r="X279" s="654">
        <v>0</v>
      </c>
      <c r="Y279" s="654">
        <v>0</v>
      </c>
    </row>
    <row r="280" spans="1:25" x14ac:dyDescent="0.15">
      <c r="B280" t="s">
        <v>628</v>
      </c>
      <c r="C280" t="s">
        <v>380</v>
      </c>
      <c r="D280" s="654">
        <v>6168362</v>
      </c>
      <c r="E280" s="654">
        <v>2029268</v>
      </c>
      <c r="F280" s="654">
        <v>1339385</v>
      </c>
      <c r="G280" s="654">
        <v>0</v>
      </c>
      <c r="H280" s="654">
        <v>0</v>
      </c>
      <c r="I280" s="654">
        <v>839406</v>
      </c>
      <c r="J280" s="654">
        <v>996</v>
      </c>
      <c r="K280" s="654">
        <v>4209055</v>
      </c>
      <c r="L280" s="654">
        <v>927618</v>
      </c>
      <c r="M280" s="654">
        <v>0</v>
      </c>
      <c r="N280" s="654">
        <v>927618</v>
      </c>
      <c r="O280" s="654">
        <v>51840</v>
      </c>
      <c r="P280" s="654">
        <v>0</v>
      </c>
      <c r="Q280" s="654">
        <v>0</v>
      </c>
      <c r="R280" s="654">
        <v>0</v>
      </c>
      <c r="S280" s="654">
        <v>0</v>
      </c>
      <c r="T280" s="654">
        <v>0</v>
      </c>
      <c r="U280" s="654">
        <v>0</v>
      </c>
      <c r="V280" s="654">
        <v>0</v>
      </c>
      <c r="W280" s="654">
        <v>0</v>
      </c>
      <c r="X280" s="654">
        <v>0</v>
      </c>
      <c r="Y280" s="654">
        <v>0</v>
      </c>
    </row>
    <row r="281" spans="1:25" x14ac:dyDescent="0.15">
      <c r="B281" t="s">
        <v>629</v>
      </c>
      <c r="C281" t="s">
        <v>676</v>
      </c>
      <c r="D281" s="654">
        <v>3313516</v>
      </c>
      <c r="E281" s="654">
        <v>889857</v>
      </c>
      <c r="F281" s="654">
        <v>768212</v>
      </c>
      <c r="G281" s="654">
        <v>0</v>
      </c>
      <c r="H281" s="654">
        <v>0</v>
      </c>
      <c r="I281" s="654">
        <v>484249</v>
      </c>
      <c r="J281" s="654">
        <v>0</v>
      </c>
      <c r="K281" s="654">
        <v>2142318</v>
      </c>
      <c r="L281" s="654">
        <v>1015011</v>
      </c>
      <c r="M281" s="654">
        <v>0</v>
      </c>
      <c r="N281" s="654">
        <v>1015011</v>
      </c>
      <c r="O281" s="654">
        <v>0</v>
      </c>
      <c r="P281" s="654">
        <v>0</v>
      </c>
      <c r="Q281" s="654">
        <v>0</v>
      </c>
      <c r="R281" s="654">
        <v>0</v>
      </c>
      <c r="S281" s="654">
        <v>0</v>
      </c>
      <c r="T281" s="654">
        <v>0</v>
      </c>
      <c r="U281" s="654">
        <v>0</v>
      </c>
      <c r="V281" s="654">
        <v>0</v>
      </c>
      <c r="W281" s="654">
        <v>0</v>
      </c>
      <c r="X281" s="654">
        <v>0</v>
      </c>
      <c r="Y281" s="654">
        <v>0</v>
      </c>
    </row>
    <row r="282" spans="1:25" x14ac:dyDescent="0.15">
      <c r="B282" t="s">
        <v>631</v>
      </c>
      <c r="C282" t="s">
        <v>381</v>
      </c>
      <c r="D282" s="654">
        <v>2617181</v>
      </c>
      <c r="E282" s="654">
        <v>1143586</v>
      </c>
      <c r="F282" s="654">
        <v>693438</v>
      </c>
      <c r="G282" s="654">
        <v>0</v>
      </c>
      <c r="H282" s="654">
        <v>0</v>
      </c>
      <c r="I282" s="654">
        <v>305844</v>
      </c>
      <c r="J282" s="654">
        <v>0</v>
      </c>
      <c r="K282" s="654">
        <v>2142868</v>
      </c>
      <c r="L282" s="654">
        <v>573594</v>
      </c>
      <c r="M282" s="654">
        <v>0</v>
      </c>
      <c r="N282" s="654">
        <v>573594</v>
      </c>
      <c r="O282" s="654">
        <v>0</v>
      </c>
      <c r="P282" s="654">
        <v>0</v>
      </c>
      <c r="Q282" s="654">
        <v>0</v>
      </c>
      <c r="R282" s="654">
        <v>0</v>
      </c>
      <c r="S282" s="654">
        <v>0</v>
      </c>
      <c r="T282" s="654">
        <v>0</v>
      </c>
      <c r="U282" s="654">
        <v>0</v>
      </c>
      <c r="V282" s="654">
        <v>0</v>
      </c>
      <c r="W282" s="654">
        <v>0</v>
      </c>
      <c r="X282" s="654">
        <v>0</v>
      </c>
      <c r="Y282" s="654">
        <v>0</v>
      </c>
    </row>
    <row r="283" spans="1:25" x14ac:dyDescent="0.15">
      <c r="B283" t="s">
        <v>567</v>
      </c>
      <c r="C283" t="s">
        <v>473</v>
      </c>
      <c r="D283" s="654">
        <v>809040</v>
      </c>
      <c r="E283" s="654">
        <v>367250</v>
      </c>
      <c r="F283" s="654">
        <v>0</v>
      </c>
      <c r="G283" s="654">
        <v>0</v>
      </c>
      <c r="H283" s="654">
        <v>0</v>
      </c>
      <c r="I283" s="654">
        <v>73871</v>
      </c>
      <c r="J283" s="654">
        <v>0</v>
      </c>
      <c r="K283" s="654">
        <v>441121</v>
      </c>
      <c r="L283" s="654">
        <v>134184</v>
      </c>
      <c r="M283" s="654">
        <v>0</v>
      </c>
      <c r="N283" s="654">
        <v>134184</v>
      </c>
      <c r="O283" s="654">
        <v>0</v>
      </c>
      <c r="P283" s="654">
        <v>0</v>
      </c>
      <c r="Q283" s="654">
        <v>0</v>
      </c>
      <c r="R283" s="654">
        <v>0</v>
      </c>
      <c r="S283" s="654">
        <v>0</v>
      </c>
      <c r="T283" s="654">
        <v>0</v>
      </c>
      <c r="U283" s="654">
        <v>0</v>
      </c>
      <c r="V283" s="654">
        <v>0</v>
      </c>
      <c r="W283" s="654">
        <v>0</v>
      </c>
      <c r="X283" s="654">
        <v>0</v>
      </c>
      <c r="Y283" s="654">
        <v>0</v>
      </c>
    </row>
    <row r="284" spans="1:25" x14ac:dyDescent="0.15">
      <c r="B284" t="s">
        <v>568</v>
      </c>
      <c r="C284" t="s">
        <v>474</v>
      </c>
      <c r="D284" s="654">
        <v>1016092</v>
      </c>
      <c r="E284" s="654">
        <v>285100</v>
      </c>
      <c r="F284" s="654">
        <v>0</v>
      </c>
      <c r="G284" s="654">
        <v>0</v>
      </c>
      <c r="H284" s="654">
        <v>0</v>
      </c>
      <c r="I284" s="654">
        <v>0</v>
      </c>
      <c r="J284" s="654">
        <v>0</v>
      </c>
      <c r="K284" s="654">
        <v>285100</v>
      </c>
      <c r="L284" s="654">
        <v>179603</v>
      </c>
      <c r="M284" s="654">
        <v>0</v>
      </c>
      <c r="N284" s="654">
        <v>179603</v>
      </c>
      <c r="O284" s="654">
        <v>0</v>
      </c>
      <c r="P284" s="654">
        <v>0</v>
      </c>
      <c r="Q284" s="654">
        <v>0</v>
      </c>
      <c r="R284" s="654">
        <v>0</v>
      </c>
      <c r="S284" s="654">
        <v>0</v>
      </c>
      <c r="T284" s="654">
        <v>0</v>
      </c>
      <c r="U284" s="654">
        <v>0</v>
      </c>
      <c r="V284" s="654">
        <v>0</v>
      </c>
      <c r="W284" s="654">
        <v>0</v>
      </c>
      <c r="X284" s="654">
        <v>0</v>
      </c>
      <c r="Y284" s="654">
        <v>0</v>
      </c>
    </row>
    <row r="285" spans="1:25" x14ac:dyDescent="0.15">
      <c r="B285" t="s">
        <v>582</v>
      </c>
      <c r="C285" t="s">
        <v>384</v>
      </c>
      <c r="D285" s="654">
        <v>2696635</v>
      </c>
      <c r="E285" s="654">
        <v>713725</v>
      </c>
      <c r="F285" s="654">
        <v>0</v>
      </c>
      <c r="G285" s="654">
        <v>0</v>
      </c>
      <c r="H285" s="654">
        <v>0</v>
      </c>
      <c r="I285" s="654">
        <v>94146</v>
      </c>
      <c r="J285" s="654">
        <v>0</v>
      </c>
      <c r="K285" s="654">
        <v>807871</v>
      </c>
      <c r="L285" s="654">
        <v>769409</v>
      </c>
      <c r="M285" s="654">
        <v>0</v>
      </c>
      <c r="N285" s="654">
        <v>769409</v>
      </c>
      <c r="O285" s="654">
        <v>0</v>
      </c>
      <c r="P285" s="654">
        <v>0</v>
      </c>
      <c r="Q285" s="654">
        <v>0</v>
      </c>
      <c r="R285" s="654">
        <v>0</v>
      </c>
      <c r="S285" s="654">
        <v>0</v>
      </c>
      <c r="T285" s="654">
        <v>0</v>
      </c>
      <c r="U285" s="654">
        <v>0</v>
      </c>
      <c r="V285" s="654">
        <v>0</v>
      </c>
      <c r="W285" s="654">
        <v>0</v>
      </c>
      <c r="X285" s="654">
        <v>0</v>
      </c>
      <c r="Y285" s="654">
        <v>0</v>
      </c>
    </row>
    <row r="286" spans="1:25" x14ac:dyDescent="0.15">
      <c r="B286" t="s">
        <v>625</v>
      </c>
      <c r="C286" t="s">
        <v>594</v>
      </c>
      <c r="D286" s="654">
        <v>0</v>
      </c>
      <c r="E286" s="654">
        <v>0</v>
      </c>
      <c r="F286" s="654">
        <v>938933</v>
      </c>
      <c r="G286" s="654">
        <v>0</v>
      </c>
      <c r="H286" s="654">
        <v>2500000</v>
      </c>
      <c r="I286" s="654">
        <v>1133738</v>
      </c>
      <c r="J286" s="654">
        <v>-62860</v>
      </c>
      <c r="K286" s="654">
        <v>4509811</v>
      </c>
      <c r="L286" s="654">
        <v>2318665</v>
      </c>
      <c r="M286" s="654">
        <v>0</v>
      </c>
      <c r="N286" s="654">
        <v>2318665</v>
      </c>
      <c r="O286" s="654">
        <v>81000</v>
      </c>
      <c r="P286" s="654">
        <v>0</v>
      </c>
      <c r="Q286" s="654">
        <v>0</v>
      </c>
      <c r="R286" s="654">
        <v>0</v>
      </c>
      <c r="S286" s="654">
        <v>0</v>
      </c>
      <c r="T286" s="654">
        <v>0</v>
      </c>
      <c r="U286" s="654">
        <v>0</v>
      </c>
      <c r="V286" s="654">
        <v>111637</v>
      </c>
      <c r="W286" s="654">
        <v>490477</v>
      </c>
      <c r="X286" s="654">
        <v>0</v>
      </c>
      <c r="Y286" s="654">
        <v>0</v>
      </c>
    </row>
    <row r="287" spans="1:25" x14ac:dyDescent="0.15">
      <c r="B287" t="s">
        <v>671</v>
      </c>
      <c r="C287" t="s">
        <v>383</v>
      </c>
      <c r="D287" s="654">
        <v>2345767</v>
      </c>
      <c r="E287" s="654">
        <v>660281</v>
      </c>
      <c r="F287" s="654">
        <v>1103227</v>
      </c>
      <c r="G287" s="654">
        <v>0</v>
      </c>
      <c r="H287" s="654">
        <v>0</v>
      </c>
      <c r="I287" s="654">
        <v>524770</v>
      </c>
      <c r="J287" s="654">
        <v>217455</v>
      </c>
      <c r="K287" s="654">
        <v>2505733</v>
      </c>
      <c r="L287" s="654">
        <v>1003296</v>
      </c>
      <c r="M287" s="654">
        <v>0</v>
      </c>
      <c r="N287" s="654">
        <v>1003296</v>
      </c>
      <c r="O287" s="654">
        <v>25920</v>
      </c>
      <c r="P287" s="654">
        <v>0</v>
      </c>
      <c r="Q287" s="654">
        <v>59544</v>
      </c>
      <c r="R287" s="654">
        <v>0</v>
      </c>
      <c r="S287" s="654">
        <v>0</v>
      </c>
      <c r="T287" s="654">
        <v>0</v>
      </c>
      <c r="U287" s="654">
        <v>0</v>
      </c>
      <c r="V287" s="654">
        <v>0</v>
      </c>
      <c r="W287" s="654">
        <v>0</v>
      </c>
      <c r="X287" s="654">
        <v>0</v>
      </c>
      <c r="Y287" s="654">
        <v>0</v>
      </c>
    </row>
    <row r="288" spans="1:25" x14ac:dyDescent="0.15">
      <c r="A288" s="653" t="s">
        <v>913</v>
      </c>
      <c r="B288"/>
      <c r="D288" s="654">
        <v>34507019</v>
      </c>
      <c r="E288" s="654">
        <v>10849660</v>
      </c>
      <c r="F288" s="654">
        <v>8664832</v>
      </c>
      <c r="G288" s="654">
        <v>0</v>
      </c>
      <c r="H288" s="654">
        <v>2500000</v>
      </c>
      <c r="I288" s="654">
        <v>5807672</v>
      </c>
      <c r="J288" s="654">
        <v>213701</v>
      </c>
      <c r="K288" s="654">
        <v>28035865</v>
      </c>
      <c r="L288" s="654">
        <v>8643529</v>
      </c>
      <c r="M288" s="654">
        <v>0</v>
      </c>
      <c r="N288" s="654">
        <v>8643529</v>
      </c>
      <c r="O288" s="654">
        <v>232632</v>
      </c>
      <c r="P288" s="654">
        <v>0</v>
      </c>
      <c r="Q288" s="654">
        <v>59544</v>
      </c>
      <c r="R288" s="654">
        <v>0</v>
      </c>
      <c r="S288" s="654">
        <v>0</v>
      </c>
      <c r="T288" s="654">
        <v>0</v>
      </c>
      <c r="U288" s="654">
        <v>0</v>
      </c>
      <c r="V288" s="654">
        <v>111637</v>
      </c>
      <c r="W288" s="654">
        <v>490477</v>
      </c>
      <c r="X288" s="654">
        <v>0</v>
      </c>
      <c r="Y288" s="654">
        <v>0</v>
      </c>
    </row>
    <row r="289" spans="1:25" x14ac:dyDescent="0.15">
      <c r="A289" s="653">
        <v>43132</v>
      </c>
      <c r="B289" t="s">
        <v>626</v>
      </c>
      <c r="C289" t="s">
        <v>378</v>
      </c>
      <c r="D289" s="654">
        <v>9647827</v>
      </c>
      <c r="E289" s="654">
        <v>3312925</v>
      </c>
      <c r="F289" s="654">
        <v>1516081</v>
      </c>
      <c r="G289" s="654">
        <v>0</v>
      </c>
      <c r="H289" s="654">
        <v>0</v>
      </c>
      <c r="I289" s="654">
        <v>257023</v>
      </c>
      <c r="J289" s="654">
        <v>13705</v>
      </c>
      <c r="K289" s="654">
        <v>5099734</v>
      </c>
      <c r="L289" s="654">
        <v>830339</v>
      </c>
      <c r="M289" s="654">
        <v>34992</v>
      </c>
      <c r="N289" s="654">
        <v>865331</v>
      </c>
      <c r="O289" s="654">
        <v>97200</v>
      </c>
      <c r="P289" s="654">
        <v>0</v>
      </c>
      <c r="Q289" s="654">
        <v>0</v>
      </c>
      <c r="R289" s="654">
        <v>0</v>
      </c>
      <c r="S289" s="654">
        <v>0</v>
      </c>
      <c r="T289" s="654">
        <v>0</v>
      </c>
      <c r="U289" s="654">
        <v>0</v>
      </c>
      <c r="V289" s="654">
        <v>0</v>
      </c>
      <c r="W289" s="654">
        <v>0</v>
      </c>
      <c r="X289" s="654">
        <v>0</v>
      </c>
      <c r="Y289" s="654">
        <v>0</v>
      </c>
    </row>
    <row r="290" spans="1:25" x14ac:dyDescent="0.15">
      <c r="B290" t="s">
        <v>627</v>
      </c>
      <c r="C290" t="s">
        <v>379</v>
      </c>
      <c r="D290" s="654">
        <v>5383737</v>
      </c>
      <c r="E290" s="654">
        <v>1305453</v>
      </c>
      <c r="F290" s="654">
        <v>2541385</v>
      </c>
      <c r="G290" s="654">
        <v>0</v>
      </c>
      <c r="H290" s="654">
        <v>0</v>
      </c>
      <c r="I290" s="654">
        <v>341038</v>
      </c>
      <c r="J290" s="654">
        <v>3005</v>
      </c>
      <c r="K290" s="654">
        <v>4190881</v>
      </c>
      <c r="L290" s="654">
        <v>981443</v>
      </c>
      <c r="M290" s="654">
        <v>0</v>
      </c>
      <c r="N290" s="654">
        <v>981443</v>
      </c>
      <c r="O290" s="654">
        <v>47952</v>
      </c>
      <c r="P290" s="654">
        <v>0</v>
      </c>
      <c r="Q290" s="654">
        <v>0</v>
      </c>
      <c r="R290" s="654">
        <v>0</v>
      </c>
      <c r="S290" s="654">
        <v>0</v>
      </c>
      <c r="T290" s="654">
        <v>0</v>
      </c>
      <c r="U290" s="654">
        <v>0</v>
      </c>
      <c r="V290" s="654">
        <v>0</v>
      </c>
      <c r="W290" s="654">
        <v>0</v>
      </c>
      <c r="X290" s="654">
        <v>0</v>
      </c>
      <c r="Y290" s="654">
        <v>0</v>
      </c>
    </row>
    <row r="291" spans="1:25" x14ac:dyDescent="0.15">
      <c r="B291" t="s">
        <v>628</v>
      </c>
      <c r="C291" t="s">
        <v>380</v>
      </c>
      <c r="D291" s="654">
        <v>5709957</v>
      </c>
      <c r="E291" s="654">
        <v>1811119</v>
      </c>
      <c r="F291" s="654">
        <v>1828831</v>
      </c>
      <c r="G291" s="654">
        <v>0</v>
      </c>
      <c r="H291" s="654">
        <v>0</v>
      </c>
      <c r="I291" s="654">
        <v>312594</v>
      </c>
      <c r="J291" s="654">
        <v>16901</v>
      </c>
      <c r="K291" s="654">
        <v>3969445</v>
      </c>
      <c r="L291" s="654">
        <v>785358</v>
      </c>
      <c r="M291" s="654">
        <v>0</v>
      </c>
      <c r="N291" s="654">
        <v>785358</v>
      </c>
      <c r="O291" s="654">
        <v>0</v>
      </c>
      <c r="P291" s="654">
        <v>0</v>
      </c>
      <c r="Q291" s="654">
        <v>0</v>
      </c>
      <c r="R291" s="654">
        <v>0</v>
      </c>
      <c r="S291" s="654">
        <v>0</v>
      </c>
      <c r="T291" s="654">
        <v>0</v>
      </c>
      <c r="U291" s="654">
        <v>0</v>
      </c>
      <c r="V291" s="654">
        <v>0</v>
      </c>
      <c r="W291" s="654">
        <v>0</v>
      </c>
      <c r="X291" s="654">
        <v>0</v>
      </c>
      <c r="Y291" s="654">
        <v>0</v>
      </c>
    </row>
    <row r="292" spans="1:25" x14ac:dyDescent="0.15">
      <c r="B292" t="s">
        <v>629</v>
      </c>
      <c r="C292" t="s">
        <v>676</v>
      </c>
      <c r="D292" s="654">
        <v>3497339</v>
      </c>
      <c r="E292" s="654">
        <v>1088483</v>
      </c>
      <c r="F292" s="654">
        <v>975211</v>
      </c>
      <c r="G292" s="654">
        <v>0</v>
      </c>
      <c r="H292" s="654">
        <v>0</v>
      </c>
      <c r="I292" s="654">
        <v>205964</v>
      </c>
      <c r="J292" s="654">
        <v>2501</v>
      </c>
      <c r="K292" s="654">
        <v>2272159</v>
      </c>
      <c r="L292" s="654">
        <v>1024904</v>
      </c>
      <c r="M292" s="654">
        <v>0</v>
      </c>
      <c r="N292" s="654">
        <v>1024904</v>
      </c>
      <c r="O292" s="654">
        <v>113400</v>
      </c>
      <c r="P292" s="654">
        <v>0</v>
      </c>
      <c r="Q292" s="654">
        <v>0</v>
      </c>
      <c r="R292" s="654">
        <v>0</v>
      </c>
      <c r="S292" s="654">
        <v>0</v>
      </c>
      <c r="T292" s="654">
        <v>0</v>
      </c>
      <c r="U292" s="654">
        <v>0</v>
      </c>
      <c r="V292" s="654">
        <v>0</v>
      </c>
      <c r="W292" s="654">
        <v>0</v>
      </c>
      <c r="X292" s="654">
        <v>0</v>
      </c>
      <c r="Y292" s="654">
        <v>0</v>
      </c>
    </row>
    <row r="293" spans="1:25" x14ac:dyDescent="0.15">
      <c r="B293" t="s">
        <v>631</v>
      </c>
      <c r="C293" t="s">
        <v>381</v>
      </c>
      <c r="D293" s="654">
        <v>3057960</v>
      </c>
      <c r="E293" s="654">
        <v>1053851</v>
      </c>
      <c r="F293" s="654">
        <v>450000</v>
      </c>
      <c r="G293" s="654">
        <v>0</v>
      </c>
      <c r="H293" s="654">
        <v>0</v>
      </c>
      <c r="I293" s="654">
        <v>38048</v>
      </c>
      <c r="J293" s="654">
        <v>2501</v>
      </c>
      <c r="K293" s="654">
        <v>1544400</v>
      </c>
      <c r="L293" s="654">
        <v>616591</v>
      </c>
      <c r="M293" s="654">
        <v>0</v>
      </c>
      <c r="N293" s="654">
        <v>616591</v>
      </c>
      <c r="O293" s="654">
        <v>24300</v>
      </c>
      <c r="P293" s="654">
        <v>0</v>
      </c>
      <c r="Q293" s="654">
        <v>0</v>
      </c>
      <c r="R293" s="654">
        <v>0</v>
      </c>
      <c r="S293" s="654">
        <v>0</v>
      </c>
      <c r="T293" s="654">
        <v>0</v>
      </c>
      <c r="U293" s="654">
        <v>0</v>
      </c>
      <c r="V293" s="654">
        <v>0</v>
      </c>
      <c r="W293" s="654">
        <v>0</v>
      </c>
      <c r="X293" s="654">
        <v>0</v>
      </c>
      <c r="Y293" s="654">
        <v>0</v>
      </c>
    </row>
    <row r="294" spans="1:25" x14ac:dyDescent="0.15">
      <c r="B294" t="s">
        <v>567</v>
      </c>
      <c r="C294" t="s">
        <v>473</v>
      </c>
      <c r="D294" s="654">
        <v>741413</v>
      </c>
      <c r="E294" s="654">
        <v>309333</v>
      </c>
      <c r="F294" s="654">
        <v>0</v>
      </c>
      <c r="G294" s="654">
        <v>0</v>
      </c>
      <c r="H294" s="654">
        <v>0</v>
      </c>
      <c r="I294" s="654">
        <v>17857</v>
      </c>
      <c r="J294" s="654">
        <v>0</v>
      </c>
      <c r="K294" s="654">
        <v>327190</v>
      </c>
      <c r="L294" s="654">
        <v>126910</v>
      </c>
      <c r="M294" s="654">
        <v>0</v>
      </c>
      <c r="N294" s="654">
        <v>126910</v>
      </c>
      <c r="O294" s="654">
        <v>0</v>
      </c>
      <c r="P294" s="654">
        <v>0</v>
      </c>
      <c r="Q294" s="654">
        <v>0</v>
      </c>
      <c r="R294" s="654">
        <v>0</v>
      </c>
      <c r="S294" s="654">
        <v>0</v>
      </c>
      <c r="T294" s="654">
        <v>0</v>
      </c>
      <c r="U294" s="654">
        <v>0</v>
      </c>
      <c r="V294" s="654">
        <v>0</v>
      </c>
      <c r="W294" s="654">
        <v>0</v>
      </c>
      <c r="X294" s="654">
        <v>0</v>
      </c>
      <c r="Y294" s="654">
        <v>0</v>
      </c>
    </row>
    <row r="295" spans="1:25" x14ac:dyDescent="0.15">
      <c r="B295" t="s">
        <v>568</v>
      </c>
      <c r="C295" t="s">
        <v>474</v>
      </c>
      <c r="D295" s="654">
        <v>939922</v>
      </c>
      <c r="E295" s="654">
        <v>254875</v>
      </c>
      <c r="F295" s="654">
        <v>0</v>
      </c>
      <c r="G295" s="654">
        <v>0</v>
      </c>
      <c r="H295" s="654">
        <v>0</v>
      </c>
      <c r="I295" s="654">
        <v>0</v>
      </c>
      <c r="J295" s="654">
        <v>0</v>
      </c>
      <c r="K295" s="654">
        <v>254875</v>
      </c>
      <c r="L295" s="654">
        <v>178705</v>
      </c>
      <c r="M295" s="654">
        <v>0</v>
      </c>
      <c r="N295" s="654">
        <v>178705</v>
      </c>
      <c r="O295" s="654">
        <v>0</v>
      </c>
      <c r="P295" s="654">
        <v>0</v>
      </c>
      <c r="Q295" s="654">
        <v>0</v>
      </c>
      <c r="R295" s="654">
        <v>0</v>
      </c>
      <c r="S295" s="654">
        <v>0</v>
      </c>
      <c r="T295" s="654">
        <v>0</v>
      </c>
      <c r="U295" s="654">
        <v>0</v>
      </c>
      <c r="V295" s="654">
        <v>0</v>
      </c>
      <c r="W295" s="654">
        <v>0</v>
      </c>
      <c r="X295" s="654">
        <v>0</v>
      </c>
      <c r="Y295" s="654">
        <v>0</v>
      </c>
    </row>
    <row r="296" spans="1:25" x14ac:dyDescent="0.15">
      <c r="B296" t="s">
        <v>582</v>
      </c>
      <c r="C296" t="s">
        <v>384</v>
      </c>
      <c r="D296" s="654">
        <v>2570319</v>
      </c>
      <c r="E296" s="654">
        <v>614310</v>
      </c>
      <c r="F296" s="654">
        <v>0</v>
      </c>
      <c r="G296" s="654">
        <v>0</v>
      </c>
      <c r="H296" s="654">
        <v>0</v>
      </c>
      <c r="I296" s="654">
        <v>23315</v>
      </c>
      <c r="J296" s="654">
        <v>0</v>
      </c>
      <c r="K296" s="654">
        <v>637625</v>
      </c>
      <c r="L296" s="654">
        <v>616496</v>
      </c>
      <c r="M296" s="654">
        <v>0</v>
      </c>
      <c r="N296" s="654">
        <v>616496</v>
      </c>
      <c r="O296" s="654">
        <v>0</v>
      </c>
      <c r="P296" s="654">
        <v>0</v>
      </c>
      <c r="Q296" s="654">
        <v>0</v>
      </c>
      <c r="R296" s="654">
        <v>0</v>
      </c>
      <c r="S296" s="654">
        <v>0</v>
      </c>
      <c r="T296" s="654">
        <v>0</v>
      </c>
      <c r="U296" s="654">
        <v>0</v>
      </c>
      <c r="V296" s="654">
        <v>0</v>
      </c>
      <c r="W296" s="654">
        <v>0</v>
      </c>
      <c r="X296" s="654">
        <v>0</v>
      </c>
      <c r="Y296" s="654">
        <v>0</v>
      </c>
    </row>
    <row r="297" spans="1:25" x14ac:dyDescent="0.15">
      <c r="B297" t="s">
        <v>625</v>
      </c>
      <c r="C297" t="s">
        <v>594</v>
      </c>
      <c r="D297" s="654">
        <v>0</v>
      </c>
      <c r="E297" s="654">
        <v>0</v>
      </c>
      <c r="F297" s="654">
        <v>880331</v>
      </c>
      <c r="G297" s="654">
        <v>0</v>
      </c>
      <c r="H297" s="654">
        <v>2500000</v>
      </c>
      <c r="I297" s="654">
        <v>274561</v>
      </c>
      <c r="J297" s="654">
        <v>0</v>
      </c>
      <c r="K297" s="654">
        <v>3654892</v>
      </c>
      <c r="L297" s="654">
        <v>1654867</v>
      </c>
      <c r="M297" s="654">
        <v>0</v>
      </c>
      <c r="N297" s="654">
        <v>1654867</v>
      </c>
      <c r="O297" s="654">
        <v>0</v>
      </c>
      <c r="P297" s="654">
        <v>0</v>
      </c>
      <c r="Q297" s="654">
        <v>0</v>
      </c>
      <c r="R297" s="654">
        <v>0</v>
      </c>
      <c r="S297" s="654">
        <v>0</v>
      </c>
      <c r="T297" s="654">
        <v>0</v>
      </c>
      <c r="U297" s="654">
        <v>0</v>
      </c>
      <c r="V297" s="654">
        <v>12196</v>
      </c>
      <c r="W297" s="654">
        <v>375068</v>
      </c>
      <c r="X297" s="654">
        <v>0</v>
      </c>
      <c r="Y297" s="654">
        <v>0</v>
      </c>
    </row>
    <row r="298" spans="1:25" x14ac:dyDescent="0.15">
      <c r="B298" t="s">
        <v>671</v>
      </c>
      <c r="C298" t="s">
        <v>383</v>
      </c>
      <c r="D298" s="654">
        <v>2169663</v>
      </c>
      <c r="E298" s="654">
        <v>566140</v>
      </c>
      <c r="F298" s="654">
        <v>697207</v>
      </c>
      <c r="G298" s="654">
        <v>0</v>
      </c>
      <c r="H298" s="654">
        <v>0</v>
      </c>
      <c r="I298" s="654">
        <v>50562</v>
      </c>
      <c r="J298" s="654">
        <v>0</v>
      </c>
      <c r="K298" s="654">
        <v>1313909</v>
      </c>
      <c r="L298" s="654">
        <v>1081985</v>
      </c>
      <c r="M298" s="654">
        <v>0</v>
      </c>
      <c r="N298" s="654">
        <v>1081985</v>
      </c>
      <c r="O298" s="654">
        <v>72900</v>
      </c>
      <c r="P298" s="654">
        <v>0</v>
      </c>
      <c r="Q298" s="654">
        <v>58427</v>
      </c>
      <c r="R298" s="654">
        <v>0</v>
      </c>
      <c r="S298" s="654">
        <v>0</v>
      </c>
      <c r="T298" s="654">
        <v>0</v>
      </c>
      <c r="U298" s="654">
        <v>0</v>
      </c>
      <c r="V298" s="654">
        <v>0</v>
      </c>
      <c r="W298" s="654">
        <v>0</v>
      </c>
      <c r="X298" s="654">
        <v>0</v>
      </c>
      <c r="Y298" s="654">
        <v>0</v>
      </c>
    </row>
    <row r="299" spans="1:25" x14ac:dyDescent="0.15">
      <c r="A299" s="653" t="s">
        <v>933</v>
      </c>
      <c r="B299"/>
      <c r="D299" s="654">
        <v>33718137</v>
      </c>
      <c r="E299" s="654">
        <v>10316489</v>
      </c>
      <c r="F299" s="654">
        <v>8889046</v>
      </c>
      <c r="G299" s="654">
        <v>0</v>
      </c>
      <c r="H299" s="654">
        <v>2500000</v>
      </c>
      <c r="I299" s="654">
        <v>1520962</v>
      </c>
      <c r="J299" s="654">
        <v>38613</v>
      </c>
      <c r="K299" s="654">
        <v>23265110</v>
      </c>
      <c r="L299" s="654">
        <v>7897598</v>
      </c>
      <c r="M299" s="654">
        <v>34992</v>
      </c>
      <c r="N299" s="654">
        <v>7932590</v>
      </c>
      <c r="O299" s="654">
        <v>355752</v>
      </c>
      <c r="P299" s="654">
        <v>0</v>
      </c>
      <c r="Q299" s="654">
        <v>58427</v>
      </c>
      <c r="R299" s="654">
        <v>0</v>
      </c>
      <c r="S299" s="654">
        <v>0</v>
      </c>
      <c r="T299" s="654">
        <v>0</v>
      </c>
      <c r="U299" s="654">
        <v>0</v>
      </c>
      <c r="V299" s="654">
        <v>12196</v>
      </c>
      <c r="W299" s="654">
        <v>375068</v>
      </c>
      <c r="X299" s="654">
        <v>0</v>
      </c>
      <c r="Y299" s="654">
        <v>0</v>
      </c>
    </row>
    <row r="300" spans="1:25" x14ac:dyDescent="0.15">
      <c r="A300" s="653">
        <v>43160</v>
      </c>
      <c r="B300" t="s">
        <v>626</v>
      </c>
      <c r="C300" t="s">
        <v>378</v>
      </c>
      <c r="D300" s="654">
        <v>10237581</v>
      </c>
      <c r="E300" s="654">
        <v>3641116</v>
      </c>
      <c r="F300" s="654">
        <v>1504051</v>
      </c>
      <c r="G300" s="654">
        <v>0</v>
      </c>
      <c r="H300" s="654">
        <v>0</v>
      </c>
      <c r="I300" s="654">
        <v>314706</v>
      </c>
      <c r="J300" s="654">
        <v>69849</v>
      </c>
      <c r="K300" s="654">
        <v>5529722</v>
      </c>
      <c r="L300" s="654">
        <v>955471</v>
      </c>
      <c r="M300" s="654">
        <v>54136</v>
      </c>
      <c r="N300" s="654">
        <v>1009607</v>
      </c>
      <c r="O300" s="654">
        <v>48600</v>
      </c>
      <c r="P300" s="654">
        <v>0</v>
      </c>
      <c r="Q300" s="654">
        <v>0</v>
      </c>
      <c r="R300" s="654">
        <v>0</v>
      </c>
      <c r="S300" s="654">
        <v>0</v>
      </c>
      <c r="T300" s="654">
        <v>0</v>
      </c>
      <c r="U300" s="654">
        <v>0</v>
      </c>
      <c r="V300" s="654">
        <v>0</v>
      </c>
      <c r="W300" s="654">
        <v>0</v>
      </c>
      <c r="X300" s="654">
        <v>0</v>
      </c>
      <c r="Y300" s="654">
        <v>0</v>
      </c>
    </row>
    <row r="301" spans="1:25" x14ac:dyDescent="0.15">
      <c r="B301" t="s">
        <v>627</v>
      </c>
      <c r="C301" t="s">
        <v>379</v>
      </c>
      <c r="D301" s="654">
        <v>5385437</v>
      </c>
      <c r="E301" s="654">
        <v>1522073</v>
      </c>
      <c r="F301" s="654">
        <v>2285024</v>
      </c>
      <c r="G301" s="654">
        <v>0</v>
      </c>
      <c r="H301" s="654">
        <v>0</v>
      </c>
      <c r="I301" s="654">
        <v>379398</v>
      </c>
      <c r="J301" s="654">
        <v>2869</v>
      </c>
      <c r="K301" s="654">
        <v>4189364</v>
      </c>
      <c r="L301" s="654">
        <v>1138983</v>
      </c>
      <c r="M301" s="654">
        <v>0</v>
      </c>
      <c r="N301" s="654">
        <v>1138983</v>
      </c>
      <c r="O301" s="654">
        <v>112752</v>
      </c>
      <c r="P301" s="654">
        <v>0</v>
      </c>
      <c r="Q301" s="654">
        <v>0</v>
      </c>
      <c r="R301" s="654">
        <v>0</v>
      </c>
      <c r="S301" s="654">
        <v>0</v>
      </c>
      <c r="T301" s="654">
        <v>0</v>
      </c>
      <c r="U301" s="654">
        <v>0</v>
      </c>
      <c r="V301" s="654">
        <v>0</v>
      </c>
      <c r="W301" s="654">
        <v>0</v>
      </c>
      <c r="X301" s="654">
        <v>0</v>
      </c>
      <c r="Y301" s="654">
        <v>0</v>
      </c>
    </row>
    <row r="302" spans="1:25" x14ac:dyDescent="0.15">
      <c r="B302" t="s">
        <v>628</v>
      </c>
      <c r="C302" t="s">
        <v>380</v>
      </c>
      <c r="D302" s="654">
        <v>5793244</v>
      </c>
      <c r="E302" s="654">
        <v>1857613</v>
      </c>
      <c r="F302" s="654">
        <v>1642018</v>
      </c>
      <c r="G302" s="654">
        <v>0</v>
      </c>
      <c r="H302" s="654">
        <v>0</v>
      </c>
      <c r="I302" s="654">
        <v>325425</v>
      </c>
      <c r="J302" s="654">
        <v>3621</v>
      </c>
      <c r="K302" s="654">
        <v>3828677</v>
      </c>
      <c r="L302" s="654">
        <v>859073</v>
      </c>
      <c r="M302" s="654">
        <v>0</v>
      </c>
      <c r="N302" s="654">
        <v>859073</v>
      </c>
      <c r="O302" s="654">
        <v>51840</v>
      </c>
      <c r="P302" s="654">
        <v>0</v>
      </c>
      <c r="Q302" s="654">
        <v>0</v>
      </c>
      <c r="R302" s="654">
        <v>0</v>
      </c>
      <c r="S302" s="654">
        <v>0</v>
      </c>
      <c r="T302" s="654">
        <v>0</v>
      </c>
      <c r="U302" s="654">
        <v>0</v>
      </c>
      <c r="V302" s="654">
        <v>0</v>
      </c>
      <c r="W302" s="654">
        <v>0</v>
      </c>
      <c r="X302" s="654">
        <v>0</v>
      </c>
      <c r="Y302" s="654">
        <v>0</v>
      </c>
    </row>
    <row r="303" spans="1:25" x14ac:dyDescent="0.15">
      <c r="B303" t="s">
        <v>629</v>
      </c>
      <c r="C303" t="s">
        <v>676</v>
      </c>
      <c r="D303" s="654">
        <v>3458623</v>
      </c>
      <c r="E303" s="654">
        <v>1190810</v>
      </c>
      <c r="F303" s="654">
        <v>954889</v>
      </c>
      <c r="G303" s="654">
        <v>0</v>
      </c>
      <c r="H303" s="654">
        <v>0</v>
      </c>
      <c r="I303" s="654">
        <v>251605</v>
      </c>
      <c r="J303" s="654">
        <v>61454</v>
      </c>
      <c r="K303" s="654">
        <v>2458758</v>
      </c>
      <c r="L303" s="654">
        <v>969911</v>
      </c>
      <c r="M303" s="654">
        <v>0</v>
      </c>
      <c r="N303" s="654">
        <v>969911</v>
      </c>
      <c r="O303" s="654">
        <v>0</v>
      </c>
      <c r="P303" s="654">
        <v>0</v>
      </c>
      <c r="Q303" s="654">
        <v>0</v>
      </c>
      <c r="R303" s="654">
        <v>0</v>
      </c>
      <c r="S303" s="654">
        <v>0</v>
      </c>
      <c r="T303" s="654">
        <v>0</v>
      </c>
      <c r="U303" s="654">
        <v>0</v>
      </c>
      <c r="V303" s="654">
        <v>0</v>
      </c>
      <c r="W303" s="654">
        <v>0</v>
      </c>
      <c r="X303" s="654">
        <v>0</v>
      </c>
      <c r="Y303" s="654">
        <v>0</v>
      </c>
    </row>
    <row r="304" spans="1:25" x14ac:dyDescent="0.15">
      <c r="B304" t="s">
        <v>631</v>
      </c>
      <c r="C304" t="s">
        <v>381</v>
      </c>
      <c r="D304" s="654">
        <v>3056897</v>
      </c>
      <c r="E304" s="654">
        <v>1164519</v>
      </c>
      <c r="F304" s="654">
        <v>500000</v>
      </c>
      <c r="G304" s="654">
        <v>0</v>
      </c>
      <c r="H304" s="654">
        <v>0</v>
      </c>
      <c r="I304" s="654">
        <v>46737</v>
      </c>
      <c r="J304" s="654">
        <v>2377</v>
      </c>
      <c r="K304" s="654">
        <v>1713633</v>
      </c>
      <c r="L304" s="654">
        <v>684050</v>
      </c>
      <c r="M304" s="654">
        <v>0</v>
      </c>
      <c r="N304" s="654">
        <v>684050</v>
      </c>
      <c r="O304" s="654">
        <v>0</v>
      </c>
      <c r="P304" s="654">
        <v>0</v>
      </c>
      <c r="Q304" s="654">
        <v>0</v>
      </c>
      <c r="R304" s="654">
        <v>0</v>
      </c>
      <c r="S304" s="654">
        <v>0</v>
      </c>
      <c r="T304" s="654">
        <v>0</v>
      </c>
      <c r="U304" s="654">
        <v>0</v>
      </c>
      <c r="V304" s="654">
        <v>0</v>
      </c>
      <c r="W304" s="654">
        <v>0</v>
      </c>
      <c r="X304" s="654">
        <v>0</v>
      </c>
      <c r="Y304" s="654">
        <v>0</v>
      </c>
    </row>
    <row r="305" spans="1:25" x14ac:dyDescent="0.15">
      <c r="B305" t="s">
        <v>567</v>
      </c>
      <c r="C305" t="s">
        <v>473</v>
      </c>
      <c r="D305" s="654">
        <v>820390</v>
      </c>
      <c r="E305" s="654">
        <v>344078</v>
      </c>
      <c r="F305" s="654">
        <v>0</v>
      </c>
      <c r="G305" s="654">
        <v>0</v>
      </c>
      <c r="H305" s="654">
        <v>0</v>
      </c>
      <c r="I305" s="654">
        <v>21950</v>
      </c>
      <c r="J305" s="654">
        <v>0</v>
      </c>
      <c r="K305" s="654">
        <v>366028</v>
      </c>
      <c r="L305" s="654">
        <v>167880</v>
      </c>
      <c r="M305" s="654">
        <v>0</v>
      </c>
      <c r="N305" s="654">
        <v>167880</v>
      </c>
      <c r="O305" s="654">
        <v>32400</v>
      </c>
      <c r="P305" s="654">
        <v>0</v>
      </c>
      <c r="Q305" s="654">
        <v>0</v>
      </c>
      <c r="R305" s="654">
        <v>0</v>
      </c>
      <c r="S305" s="654">
        <v>0</v>
      </c>
      <c r="T305" s="654">
        <v>0</v>
      </c>
      <c r="U305" s="654">
        <v>0</v>
      </c>
      <c r="V305" s="654">
        <v>0</v>
      </c>
      <c r="W305" s="654">
        <v>0</v>
      </c>
      <c r="X305" s="654">
        <v>0</v>
      </c>
      <c r="Y305" s="654">
        <v>0</v>
      </c>
    </row>
    <row r="306" spans="1:25" x14ac:dyDescent="0.15">
      <c r="B306" t="s">
        <v>568</v>
      </c>
      <c r="C306" t="s">
        <v>474</v>
      </c>
      <c r="D306" s="654">
        <v>1205836</v>
      </c>
      <c r="E306" s="654">
        <v>301575</v>
      </c>
      <c r="F306" s="654">
        <v>0</v>
      </c>
      <c r="G306" s="654">
        <v>0</v>
      </c>
      <c r="H306" s="654">
        <v>0</v>
      </c>
      <c r="I306" s="654">
        <v>0</v>
      </c>
      <c r="J306" s="654">
        <v>0</v>
      </c>
      <c r="K306" s="654">
        <v>301575</v>
      </c>
      <c r="L306" s="654">
        <v>322423</v>
      </c>
      <c r="M306" s="654">
        <v>0</v>
      </c>
      <c r="N306" s="654">
        <v>322423</v>
      </c>
      <c r="O306" s="654">
        <v>17280</v>
      </c>
      <c r="P306" s="654">
        <v>0</v>
      </c>
      <c r="Q306" s="654">
        <v>0</v>
      </c>
      <c r="R306" s="654">
        <v>0</v>
      </c>
      <c r="S306" s="654">
        <v>0</v>
      </c>
      <c r="T306" s="654">
        <v>0</v>
      </c>
      <c r="U306" s="654">
        <v>0</v>
      </c>
      <c r="V306" s="654">
        <v>0</v>
      </c>
      <c r="W306" s="654">
        <v>0</v>
      </c>
      <c r="X306" s="654">
        <v>0</v>
      </c>
      <c r="Y306" s="654">
        <v>0</v>
      </c>
    </row>
    <row r="307" spans="1:25" x14ac:dyDescent="0.15">
      <c r="B307" t="s">
        <v>582</v>
      </c>
      <c r="C307" t="s">
        <v>384</v>
      </c>
      <c r="D307" s="654">
        <v>2819531</v>
      </c>
      <c r="E307" s="654">
        <v>688933</v>
      </c>
      <c r="F307" s="654">
        <v>0</v>
      </c>
      <c r="G307" s="654">
        <v>0</v>
      </c>
      <c r="H307" s="654">
        <v>0</v>
      </c>
      <c r="I307" s="654">
        <v>28024</v>
      </c>
      <c r="J307" s="654">
        <v>0</v>
      </c>
      <c r="K307" s="654">
        <v>716957</v>
      </c>
      <c r="L307" s="654">
        <v>632985</v>
      </c>
      <c r="M307" s="654">
        <v>0</v>
      </c>
      <c r="N307" s="654">
        <v>632985</v>
      </c>
      <c r="O307" s="654">
        <v>17280</v>
      </c>
      <c r="P307" s="654">
        <v>0</v>
      </c>
      <c r="Q307" s="654">
        <v>0</v>
      </c>
      <c r="R307" s="654">
        <v>0</v>
      </c>
      <c r="S307" s="654">
        <v>0</v>
      </c>
      <c r="T307" s="654">
        <v>0</v>
      </c>
      <c r="U307" s="654">
        <v>0</v>
      </c>
      <c r="V307" s="654">
        <v>0</v>
      </c>
      <c r="W307" s="654">
        <v>0</v>
      </c>
      <c r="X307" s="654">
        <v>0</v>
      </c>
      <c r="Y307" s="654">
        <v>0</v>
      </c>
    </row>
    <row r="308" spans="1:25" x14ac:dyDescent="0.15">
      <c r="B308" t="s">
        <v>625</v>
      </c>
      <c r="C308" t="s">
        <v>594</v>
      </c>
      <c r="D308" s="654">
        <v>0</v>
      </c>
      <c r="E308" s="654">
        <v>0</v>
      </c>
      <c r="F308" s="654">
        <v>881470</v>
      </c>
      <c r="G308" s="654">
        <v>0</v>
      </c>
      <c r="H308" s="654">
        <v>2500000</v>
      </c>
      <c r="I308" s="654">
        <v>380812</v>
      </c>
      <c r="J308" s="654">
        <v>0</v>
      </c>
      <c r="K308" s="654">
        <v>3762282</v>
      </c>
      <c r="L308" s="654">
        <v>2685780</v>
      </c>
      <c r="M308" s="654">
        <v>0</v>
      </c>
      <c r="N308" s="654">
        <v>2685780</v>
      </c>
      <c r="O308" s="654">
        <v>0</v>
      </c>
      <c r="P308" s="654">
        <v>0</v>
      </c>
      <c r="Q308" s="654">
        <v>0</v>
      </c>
      <c r="R308" s="654">
        <v>0</v>
      </c>
      <c r="S308" s="654">
        <v>0</v>
      </c>
      <c r="T308" s="654">
        <v>0</v>
      </c>
      <c r="U308" s="654">
        <v>0</v>
      </c>
      <c r="V308" s="654">
        <v>235621</v>
      </c>
      <c r="W308" s="654">
        <v>386869</v>
      </c>
      <c r="X308" s="654">
        <v>0</v>
      </c>
      <c r="Y308" s="654">
        <v>0</v>
      </c>
    </row>
    <row r="309" spans="1:25" x14ac:dyDescent="0.15">
      <c r="B309" t="s">
        <v>671</v>
      </c>
      <c r="C309" t="s">
        <v>383</v>
      </c>
      <c r="D309" s="654">
        <v>2256558</v>
      </c>
      <c r="E309" s="654">
        <v>670372</v>
      </c>
      <c r="F309" s="654">
        <v>694235</v>
      </c>
      <c r="G309" s="654">
        <v>0</v>
      </c>
      <c r="H309" s="654">
        <v>0</v>
      </c>
      <c r="I309" s="654">
        <v>55981</v>
      </c>
      <c r="J309" s="654">
        <v>0</v>
      </c>
      <c r="K309" s="654">
        <v>1420588</v>
      </c>
      <c r="L309" s="654">
        <v>799757</v>
      </c>
      <c r="M309" s="654">
        <v>0</v>
      </c>
      <c r="N309" s="654">
        <v>799757</v>
      </c>
      <c r="O309" s="654">
        <v>17280</v>
      </c>
      <c r="P309" s="654">
        <v>0</v>
      </c>
      <c r="Q309" s="654">
        <v>61905</v>
      </c>
      <c r="R309" s="654">
        <v>0</v>
      </c>
      <c r="S309" s="654">
        <v>0</v>
      </c>
      <c r="T309" s="654">
        <v>0</v>
      </c>
      <c r="U309" s="654">
        <v>0</v>
      </c>
      <c r="V309" s="654">
        <v>0</v>
      </c>
      <c r="W309" s="654">
        <v>0</v>
      </c>
      <c r="X309" s="654">
        <v>0</v>
      </c>
      <c r="Y309" s="654">
        <v>0</v>
      </c>
    </row>
    <row r="310" spans="1:25" x14ac:dyDescent="0.15">
      <c r="B310" t="s">
        <v>965</v>
      </c>
      <c r="C310" t="s">
        <v>986</v>
      </c>
      <c r="D310" s="654">
        <v>0</v>
      </c>
      <c r="E310" s="654">
        <v>0</v>
      </c>
      <c r="F310" s="654">
        <v>0</v>
      </c>
      <c r="G310" s="654">
        <v>0</v>
      </c>
      <c r="H310" s="654">
        <v>0</v>
      </c>
      <c r="I310" s="654">
        <v>0</v>
      </c>
      <c r="J310" s="654">
        <v>0</v>
      </c>
      <c r="K310" s="654">
        <v>0</v>
      </c>
      <c r="L310" s="654">
        <v>793800</v>
      </c>
      <c r="M310" s="654">
        <v>0</v>
      </c>
      <c r="N310" s="654">
        <v>793800</v>
      </c>
      <c r="O310" s="654">
        <v>0</v>
      </c>
      <c r="P310" s="654">
        <v>0</v>
      </c>
      <c r="Q310" s="654">
        <v>0</v>
      </c>
      <c r="R310" s="654">
        <v>0</v>
      </c>
      <c r="S310" s="654">
        <v>0</v>
      </c>
      <c r="T310" s="654">
        <v>0</v>
      </c>
      <c r="U310" s="654">
        <v>0</v>
      </c>
      <c r="V310" s="654">
        <v>0</v>
      </c>
      <c r="W310" s="654">
        <v>0</v>
      </c>
      <c r="X310" s="654">
        <v>0</v>
      </c>
      <c r="Y310" s="654">
        <v>0</v>
      </c>
    </row>
    <row r="311" spans="1:25" x14ac:dyDescent="0.15">
      <c r="A311" s="653" t="s">
        <v>963</v>
      </c>
      <c r="B311"/>
      <c r="D311" s="654">
        <v>35034097</v>
      </c>
      <c r="E311" s="654">
        <v>11381089</v>
      </c>
      <c r="F311" s="654">
        <v>8461687</v>
      </c>
      <c r="G311" s="654">
        <v>0</v>
      </c>
      <c r="H311" s="654">
        <v>2500000</v>
      </c>
      <c r="I311" s="654">
        <v>1804638</v>
      </c>
      <c r="J311" s="654">
        <v>140170</v>
      </c>
      <c r="K311" s="654">
        <v>24287584</v>
      </c>
      <c r="L311" s="654">
        <v>10010113</v>
      </c>
      <c r="M311" s="654">
        <v>54136</v>
      </c>
      <c r="N311" s="654">
        <v>10064249</v>
      </c>
      <c r="O311" s="654">
        <v>297432</v>
      </c>
      <c r="P311" s="654">
        <v>0</v>
      </c>
      <c r="Q311" s="654">
        <v>61905</v>
      </c>
      <c r="R311" s="654">
        <v>0</v>
      </c>
      <c r="S311" s="654">
        <v>0</v>
      </c>
      <c r="T311" s="654">
        <v>0</v>
      </c>
      <c r="U311" s="654">
        <v>0</v>
      </c>
      <c r="V311" s="654">
        <v>235621</v>
      </c>
      <c r="W311" s="654">
        <v>386869</v>
      </c>
      <c r="X311" s="654">
        <v>0</v>
      </c>
      <c r="Y311" s="654">
        <v>0</v>
      </c>
    </row>
    <row r="312" spans="1:25" x14ac:dyDescent="0.15">
      <c r="A312" s="653">
        <v>43191</v>
      </c>
      <c r="B312" t="s">
        <v>626</v>
      </c>
      <c r="C312" t="s">
        <v>378</v>
      </c>
      <c r="D312" s="654">
        <v>10301194</v>
      </c>
      <c r="E312" s="654">
        <v>3701711</v>
      </c>
      <c r="F312" s="654">
        <v>1605173</v>
      </c>
      <c r="G312" s="654">
        <v>0</v>
      </c>
      <c r="H312" s="654">
        <v>0</v>
      </c>
      <c r="I312" s="654">
        <v>293378</v>
      </c>
      <c r="J312" s="654">
        <v>9792</v>
      </c>
      <c r="K312" s="654">
        <v>5610054</v>
      </c>
      <c r="L312" s="654">
        <v>853190</v>
      </c>
      <c r="M312" s="654">
        <v>69984</v>
      </c>
      <c r="N312" s="654">
        <v>923174</v>
      </c>
      <c r="O312" s="654">
        <v>48600</v>
      </c>
      <c r="P312" s="654">
        <v>0</v>
      </c>
      <c r="Q312" s="654">
        <v>0</v>
      </c>
      <c r="R312" s="654">
        <v>0</v>
      </c>
      <c r="S312" s="654">
        <v>0</v>
      </c>
      <c r="T312" s="654">
        <v>0</v>
      </c>
      <c r="U312" s="654">
        <v>0</v>
      </c>
      <c r="V312" s="654">
        <v>0</v>
      </c>
      <c r="W312" s="654">
        <v>0</v>
      </c>
      <c r="X312" s="654">
        <v>0</v>
      </c>
      <c r="Y312" s="654">
        <v>0</v>
      </c>
    </row>
    <row r="313" spans="1:25" x14ac:dyDescent="0.15">
      <c r="B313" t="s">
        <v>627</v>
      </c>
      <c r="C313" t="s">
        <v>379</v>
      </c>
      <c r="D313" s="654">
        <v>7729590</v>
      </c>
      <c r="E313" s="654">
        <v>1506172</v>
      </c>
      <c r="F313" s="654">
        <v>2278943</v>
      </c>
      <c r="G313" s="654">
        <v>0</v>
      </c>
      <c r="H313" s="654">
        <v>0</v>
      </c>
      <c r="I313" s="654">
        <v>356215</v>
      </c>
      <c r="J313" s="654">
        <v>8990</v>
      </c>
      <c r="K313" s="654">
        <v>4150320</v>
      </c>
      <c r="L313" s="654">
        <v>1027364</v>
      </c>
      <c r="M313" s="654">
        <v>0</v>
      </c>
      <c r="N313" s="654">
        <v>1027364</v>
      </c>
      <c r="O313" s="654">
        <v>81000</v>
      </c>
      <c r="P313" s="654">
        <v>0</v>
      </c>
      <c r="Q313" s="654">
        <v>0</v>
      </c>
      <c r="R313" s="654">
        <v>0</v>
      </c>
      <c r="S313" s="654">
        <v>0</v>
      </c>
      <c r="T313" s="654">
        <v>0</v>
      </c>
      <c r="U313" s="654">
        <v>0</v>
      </c>
      <c r="V313" s="654">
        <v>0</v>
      </c>
      <c r="W313" s="654">
        <v>0</v>
      </c>
      <c r="X313" s="654">
        <v>0</v>
      </c>
      <c r="Y313" s="654">
        <v>0</v>
      </c>
    </row>
    <row r="314" spans="1:25" x14ac:dyDescent="0.15">
      <c r="B314" t="s">
        <v>628</v>
      </c>
      <c r="C314" t="s">
        <v>380</v>
      </c>
      <c r="D314" s="654">
        <v>6587828</v>
      </c>
      <c r="E314" s="654">
        <v>1806032</v>
      </c>
      <c r="F314" s="654">
        <v>1762060</v>
      </c>
      <c r="G314" s="654">
        <v>0</v>
      </c>
      <c r="H314" s="654">
        <v>0</v>
      </c>
      <c r="I314" s="654">
        <v>303341</v>
      </c>
      <c r="J314" s="654">
        <v>6952</v>
      </c>
      <c r="K314" s="654">
        <v>3878385</v>
      </c>
      <c r="L314" s="654">
        <v>777798</v>
      </c>
      <c r="M314" s="654">
        <v>0</v>
      </c>
      <c r="N314" s="654">
        <v>777798</v>
      </c>
      <c r="O314" s="654">
        <v>51840</v>
      </c>
      <c r="P314" s="654">
        <v>0</v>
      </c>
      <c r="Q314" s="654">
        <v>0</v>
      </c>
      <c r="R314" s="654">
        <v>0</v>
      </c>
      <c r="S314" s="654">
        <v>0</v>
      </c>
      <c r="T314" s="654">
        <v>0</v>
      </c>
      <c r="U314" s="654">
        <v>0</v>
      </c>
      <c r="V314" s="654">
        <v>0</v>
      </c>
      <c r="W314" s="654">
        <v>0</v>
      </c>
      <c r="X314" s="654">
        <v>0</v>
      </c>
      <c r="Y314" s="654">
        <v>0</v>
      </c>
    </row>
    <row r="315" spans="1:25" x14ac:dyDescent="0.15">
      <c r="B315" t="s">
        <v>629</v>
      </c>
      <c r="C315" t="s">
        <v>676</v>
      </c>
      <c r="D315" s="654">
        <v>4706520</v>
      </c>
      <c r="E315" s="654">
        <v>1332891</v>
      </c>
      <c r="F315" s="654">
        <v>975349</v>
      </c>
      <c r="G315" s="654">
        <v>0</v>
      </c>
      <c r="H315" s="654">
        <v>0</v>
      </c>
      <c r="I315" s="654">
        <v>234380</v>
      </c>
      <c r="J315" s="654">
        <v>31530</v>
      </c>
      <c r="K315" s="654">
        <v>2574150</v>
      </c>
      <c r="L315" s="654">
        <v>821057</v>
      </c>
      <c r="M315" s="654">
        <v>0</v>
      </c>
      <c r="N315" s="654">
        <v>821057</v>
      </c>
      <c r="O315" s="654">
        <v>0</v>
      </c>
      <c r="P315" s="654">
        <v>0</v>
      </c>
      <c r="Q315" s="654">
        <v>0</v>
      </c>
      <c r="R315" s="654">
        <v>0</v>
      </c>
      <c r="S315" s="654">
        <v>0</v>
      </c>
      <c r="T315" s="654">
        <v>0</v>
      </c>
      <c r="U315" s="654">
        <v>0</v>
      </c>
      <c r="V315" s="654">
        <v>0</v>
      </c>
      <c r="W315" s="654">
        <v>0</v>
      </c>
      <c r="X315" s="654">
        <v>0</v>
      </c>
      <c r="Y315" s="654">
        <v>0</v>
      </c>
    </row>
    <row r="316" spans="1:25" x14ac:dyDescent="0.15">
      <c r="B316" t="s">
        <v>631</v>
      </c>
      <c r="C316" t="s">
        <v>381</v>
      </c>
      <c r="D316" s="654">
        <v>3183714</v>
      </c>
      <c r="E316" s="654">
        <v>1170128</v>
      </c>
      <c r="F316" s="654">
        <v>500000</v>
      </c>
      <c r="G316" s="654">
        <v>0</v>
      </c>
      <c r="H316" s="654">
        <v>0</v>
      </c>
      <c r="I316" s="654">
        <v>43513</v>
      </c>
      <c r="J316" s="654">
        <v>3617</v>
      </c>
      <c r="K316" s="654">
        <v>1717258</v>
      </c>
      <c r="L316" s="654">
        <v>706946</v>
      </c>
      <c r="M316" s="654">
        <v>0</v>
      </c>
      <c r="N316" s="654">
        <v>706946</v>
      </c>
      <c r="O316" s="654">
        <v>32400</v>
      </c>
      <c r="P316" s="654">
        <v>0</v>
      </c>
      <c r="Q316" s="654">
        <v>0</v>
      </c>
      <c r="R316" s="654">
        <v>0</v>
      </c>
      <c r="S316" s="654">
        <v>0</v>
      </c>
      <c r="T316" s="654">
        <v>0</v>
      </c>
      <c r="U316" s="654">
        <v>0</v>
      </c>
      <c r="V316" s="654">
        <v>0</v>
      </c>
      <c r="W316" s="654">
        <v>0</v>
      </c>
      <c r="X316" s="654">
        <v>0</v>
      </c>
      <c r="Y316" s="654">
        <v>0</v>
      </c>
    </row>
    <row r="317" spans="1:25" x14ac:dyDescent="0.15">
      <c r="B317" t="s">
        <v>567</v>
      </c>
      <c r="C317" t="s">
        <v>473</v>
      </c>
      <c r="D317" s="654">
        <v>859760</v>
      </c>
      <c r="E317" s="654">
        <v>327918</v>
      </c>
      <c r="F317" s="654">
        <v>0</v>
      </c>
      <c r="G317" s="654">
        <v>0</v>
      </c>
      <c r="H317" s="654">
        <v>0</v>
      </c>
      <c r="I317" s="654">
        <v>20375</v>
      </c>
      <c r="J317" s="654">
        <v>0</v>
      </c>
      <c r="K317" s="654">
        <v>348293</v>
      </c>
      <c r="L317" s="654">
        <v>129954</v>
      </c>
      <c r="M317" s="654">
        <v>0</v>
      </c>
      <c r="N317" s="654">
        <v>129954</v>
      </c>
      <c r="O317" s="654">
        <v>0</v>
      </c>
      <c r="P317" s="654">
        <v>0</v>
      </c>
      <c r="Q317" s="654">
        <v>0</v>
      </c>
      <c r="R317" s="654">
        <v>0</v>
      </c>
      <c r="S317" s="654">
        <v>0</v>
      </c>
      <c r="T317" s="654">
        <v>0</v>
      </c>
      <c r="U317" s="654">
        <v>0</v>
      </c>
      <c r="V317" s="654">
        <v>0</v>
      </c>
      <c r="W317" s="654">
        <v>0</v>
      </c>
      <c r="X317" s="654">
        <v>0</v>
      </c>
      <c r="Y317" s="654">
        <v>0</v>
      </c>
    </row>
    <row r="318" spans="1:25" x14ac:dyDescent="0.15">
      <c r="B318" t="s">
        <v>568</v>
      </c>
      <c r="C318" t="s">
        <v>474</v>
      </c>
      <c r="D318" s="654">
        <v>1038460</v>
      </c>
      <c r="E318" s="654">
        <v>285775</v>
      </c>
      <c r="F318" s="654">
        <v>0</v>
      </c>
      <c r="G318" s="654">
        <v>0</v>
      </c>
      <c r="H318" s="654">
        <v>0</v>
      </c>
      <c r="I318" s="654">
        <v>0</v>
      </c>
      <c r="J318" s="654">
        <v>0</v>
      </c>
      <c r="K318" s="654">
        <v>285775</v>
      </c>
      <c r="L318" s="654">
        <v>182111</v>
      </c>
      <c r="M318" s="654">
        <v>0</v>
      </c>
      <c r="N318" s="654">
        <v>182111</v>
      </c>
      <c r="O318" s="654">
        <v>0</v>
      </c>
      <c r="P318" s="654">
        <v>0</v>
      </c>
      <c r="Q318" s="654">
        <v>0</v>
      </c>
      <c r="R318" s="654">
        <v>0</v>
      </c>
      <c r="S318" s="654">
        <v>0</v>
      </c>
      <c r="T318" s="654">
        <v>0</v>
      </c>
      <c r="U318" s="654">
        <v>0</v>
      </c>
      <c r="V318" s="654">
        <v>0</v>
      </c>
      <c r="W318" s="654">
        <v>0</v>
      </c>
      <c r="X318" s="654">
        <v>0</v>
      </c>
      <c r="Y318" s="654">
        <v>0</v>
      </c>
    </row>
    <row r="319" spans="1:25" x14ac:dyDescent="0.15">
      <c r="B319" t="s">
        <v>582</v>
      </c>
      <c r="C319" t="s">
        <v>384</v>
      </c>
      <c r="D319" s="654">
        <v>2754232</v>
      </c>
      <c r="E319" s="654">
        <v>635210</v>
      </c>
      <c r="F319" s="654">
        <v>0</v>
      </c>
      <c r="G319" s="654">
        <v>0</v>
      </c>
      <c r="H319" s="654">
        <v>0</v>
      </c>
      <c r="I319" s="654">
        <v>25914</v>
      </c>
      <c r="J319" s="654">
        <v>0</v>
      </c>
      <c r="K319" s="654">
        <v>661124</v>
      </c>
      <c r="L319" s="654">
        <v>658790</v>
      </c>
      <c r="M319" s="654">
        <v>0</v>
      </c>
      <c r="N319" s="654">
        <v>658790</v>
      </c>
      <c r="O319" s="654">
        <v>0</v>
      </c>
      <c r="P319" s="654">
        <v>0</v>
      </c>
      <c r="Q319" s="654">
        <v>0</v>
      </c>
      <c r="R319" s="654">
        <v>0</v>
      </c>
      <c r="S319" s="654">
        <v>0</v>
      </c>
      <c r="T319" s="654">
        <v>0</v>
      </c>
      <c r="U319" s="654">
        <v>0</v>
      </c>
      <c r="V319" s="654">
        <v>0</v>
      </c>
      <c r="W319" s="654">
        <v>0</v>
      </c>
      <c r="X319" s="654">
        <v>0</v>
      </c>
      <c r="Y319" s="654">
        <v>0</v>
      </c>
    </row>
    <row r="320" spans="1:25" x14ac:dyDescent="0.15">
      <c r="B320" t="s">
        <v>625</v>
      </c>
      <c r="C320" t="s">
        <v>594</v>
      </c>
      <c r="D320" s="654">
        <v>0</v>
      </c>
      <c r="E320" s="654">
        <v>0</v>
      </c>
      <c r="F320" s="654">
        <v>885500</v>
      </c>
      <c r="G320" s="654">
        <v>0</v>
      </c>
      <c r="H320" s="654">
        <v>2500000</v>
      </c>
      <c r="I320" s="654">
        <v>364892</v>
      </c>
      <c r="J320" s="654">
        <v>5000</v>
      </c>
      <c r="K320" s="654">
        <v>3755392</v>
      </c>
      <c r="L320" s="654">
        <v>3392629</v>
      </c>
      <c r="M320" s="654">
        <v>0</v>
      </c>
      <c r="N320" s="654">
        <v>3392629</v>
      </c>
      <c r="O320" s="654">
        <v>359640</v>
      </c>
      <c r="P320" s="654">
        <v>0</v>
      </c>
      <c r="Q320" s="654">
        <v>0</v>
      </c>
      <c r="R320" s="654">
        <v>0</v>
      </c>
      <c r="S320" s="654">
        <v>0</v>
      </c>
      <c r="T320" s="654">
        <v>0</v>
      </c>
      <c r="U320" s="654">
        <v>0</v>
      </c>
      <c r="V320" s="654">
        <v>240455</v>
      </c>
      <c r="W320" s="654">
        <v>1728970</v>
      </c>
      <c r="X320" s="654">
        <v>0</v>
      </c>
      <c r="Y320" s="654">
        <v>-451900</v>
      </c>
    </row>
    <row r="321" spans="1:25" x14ac:dyDescent="0.15">
      <c r="B321" t="s">
        <v>671</v>
      </c>
      <c r="C321" t="s">
        <v>383</v>
      </c>
      <c r="D321" s="654">
        <v>1960949</v>
      </c>
      <c r="E321" s="654">
        <v>508048</v>
      </c>
      <c r="F321" s="654">
        <v>677000</v>
      </c>
      <c r="G321" s="654">
        <v>0</v>
      </c>
      <c r="H321" s="654">
        <v>0</v>
      </c>
      <c r="I321" s="654">
        <v>46590</v>
      </c>
      <c r="J321" s="654">
        <v>0</v>
      </c>
      <c r="K321" s="654">
        <v>1231638</v>
      </c>
      <c r="L321" s="654">
        <v>870969</v>
      </c>
      <c r="M321" s="654">
        <v>0</v>
      </c>
      <c r="N321" s="654">
        <v>870969</v>
      </c>
      <c r="O321" s="654">
        <v>48600</v>
      </c>
      <c r="P321" s="654">
        <v>0</v>
      </c>
      <c r="Q321" s="654">
        <v>45399</v>
      </c>
      <c r="R321" s="654">
        <v>0</v>
      </c>
      <c r="S321" s="654">
        <v>0</v>
      </c>
      <c r="T321" s="654">
        <v>0</v>
      </c>
      <c r="U321" s="654">
        <v>0</v>
      </c>
      <c r="V321" s="654">
        <v>0</v>
      </c>
      <c r="W321" s="654">
        <v>0</v>
      </c>
      <c r="X321" s="654">
        <v>0</v>
      </c>
      <c r="Y321" s="654">
        <v>0</v>
      </c>
    </row>
    <row r="322" spans="1:25" x14ac:dyDescent="0.15">
      <c r="B322" t="s">
        <v>965</v>
      </c>
      <c r="C322" t="s">
        <v>986</v>
      </c>
      <c r="D322" s="654">
        <v>0</v>
      </c>
      <c r="E322" s="654">
        <v>0</v>
      </c>
      <c r="F322" s="654">
        <v>0</v>
      </c>
      <c r="G322" s="654">
        <v>0</v>
      </c>
      <c r="H322" s="654">
        <v>0</v>
      </c>
      <c r="I322" s="654">
        <v>0</v>
      </c>
      <c r="J322" s="654">
        <v>0</v>
      </c>
      <c r="K322" s="654">
        <v>0</v>
      </c>
      <c r="L322" s="654">
        <v>741095</v>
      </c>
      <c r="M322" s="654">
        <v>0</v>
      </c>
      <c r="N322" s="654">
        <v>741095</v>
      </c>
      <c r="O322" s="654">
        <v>0</v>
      </c>
      <c r="P322" s="654">
        <v>0</v>
      </c>
      <c r="Q322" s="654">
        <v>0</v>
      </c>
      <c r="R322" s="654">
        <v>0</v>
      </c>
      <c r="S322" s="654">
        <v>0</v>
      </c>
      <c r="T322" s="654">
        <v>0</v>
      </c>
      <c r="U322" s="654">
        <v>0</v>
      </c>
      <c r="V322" s="654">
        <v>0</v>
      </c>
      <c r="W322" s="654">
        <v>0</v>
      </c>
      <c r="X322" s="654">
        <v>0</v>
      </c>
      <c r="Y322" s="654">
        <v>0</v>
      </c>
    </row>
    <row r="323" spans="1:25" x14ac:dyDescent="0.15">
      <c r="A323" s="653" t="s">
        <v>990</v>
      </c>
      <c r="B323"/>
      <c r="D323" s="654">
        <v>39122247</v>
      </c>
      <c r="E323" s="654">
        <v>11273885</v>
      </c>
      <c r="F323" s="654">
        <v>8684025</v>
      </c>
      <c r="G323" s="654">
        <v>0</v>
      </c>
      <c r="H323" s="654">
        <v>2500000</v>
      </c>
      <c r="I323" s="654">
        <v>1688598</v>
      </c>
      <c r="J323" s="654">
        <v>65881</v>
      </c>
      <c r="K323" s="654">
        <v>24212389</v>
      </c>
      <c r="L323" s="654">
        <v>10161903</v>
      </c>
      <c r="M323" s="654">
        <v>69984</v>
      </c>
      <c r="N323" s="654">
        <v>10231887</v>
      </c>
      <c r="O323" s="654">
        <v>622080</v>
      </c>
      <c r="P323" s="654">
        <v>0</v>
      </c>
      <c r="Q323" s="654">
        <v>45399</v>
      </c>
      <c r="R323" s="654">
        <v>0</v>
      </c>
      <c r="S323" s="654">
        <v>0</v>
      </c>
      <c r="T323" s="654">
        <v>0</v>
      </c>
      <c r="U323" s="654">
        <v>0</v>
      </c>
      <c r="V323" s="654">
        <v>240455</v>
      </c>
      <c r="W323" s="654">
        <v>1728970</v>
      </c>
      <c r="X323" s="654">
        <v>0</v>
      </c>
      <c r="Y323" s="654">
        <v>-451900</v>
      </c>
    </row>
    <row r="324" spans="1:25" x14ac:dyDescent="0.15">
      <c r="A324" s="653">
        <v>43221</v>
      </c>
      <c r="B324" t="s">
        <v>626</v>
      </c>
      <c r="C324" t="s">
        <v>378</v>
      </c>
      <c r="D324" s="654">
        <v>10772827</v>
      </c>
      <c r="E324" s="654">
        <v>3683627</v>
      </c>
      <c r="F324" s="654">
        <v>1603715</v>
      </c>
      <c r="G324" s="654">
        <v>0</v>
      </c>
      <c r="H324" s="654">
        <v>0</v>
      </c>
      <c r="I324" s="654">
        <v>300544</v>
      </c>
      <c r="J324" s="654">
        <v>9765</v>
      </c>
      <c r="K324" s="654">
        <v>5597651</v>
      </c>
      <c r="L324" s="654">
        <v>1030679</v>
      </c>
      <c r="M324" s="654">
        <v>69984</v>
      </c>
      <c r="N324" s="654">
        <v>1100663</v>
      </c>
      <c r="O324" s="654">
        <v>194400</v>
      </c>
      <c r="P324" s="654">
        <v>0</v>
      </c>
      <c r="Q324" s="654">
        <v>0</v>
      </c>
      <c r="R324" s="654">
        <v>0</v>
      </c>
      <c r="S324" s="654">
        <v>0</v>
      </c>
      <c r="T324" s="654">
        <v>0</v>
      </c>
      <c r="U324" s="654">
        <v>0</v>
      </c>
      <c r="V324" s="654">
        <v>0</v>
      </c>
      <c r="W324" s="654">
        <v>0</v>
      </c>
      <c r="X324" s="654">
        <v>0</v>
      </c>
      <c r="Y324" s="654">
        <v>0</v>
      </c>
    </row>
    <row r="325" spans="1:25" x14ac:dyDescent="0.15">
      <c r="B325" t="s">
        <v>627</v>
      </c>
      <c r="C325" t="s">
        <v>379</v>
      </c>
      <c r="D325" s="654">
        <v>6731026</v>
      </c>
      <c r="E325" s="654">
        <v>1344542</v>
      </c>
      <c r="F325" s="654">
        <v>2271244</v>
      </c>
      <c r="G325" s="654">
        <v>0</v>
      </c>
      <c r="H325" s="654">
        <v>0</v>
      </c>
      <c r="I325" s="654">
        <v>332605</v>
      </c>
      <c r="J325" s="654">
        <v>2500</v>
      </c>
      <c r="K325" s="654">
        <v>3950891</v>
      </c>
      <c r="L325" s="654">
        <v>1004094</v>
      </c>
      <c r="M325" s="654">
        <v>0</v>
      </c>
      <c r="N325" s="654">
        <v>1004094</v>
      </c>
      <c r="O325" s="654">
        <v>1000</v>
      </c>
      <c r="P325" s="654">
        <v>0</v>
      </c>
      <c r="Q325" s="654">
        <v>0</v>
      </c>
      <c r="R325" s="654">
        <v>0</v>
      </c>
      <c r="S325" s="654">
        <v>0</v>
      </c>
      <c r="T325" s="654">
        <v>0</v>
      </c>
      <c r="U325" s="654">
        <v>0</v>
      </c>
      <c r="V325" s="654">
        <v>0</v>
      </c>
      <c r="W325" s="654">
        <v>0</v>
      </c>
      <c r="X325" s="654">
        <v>0</v>
      </c>
      <c r="Y325" s="654">
        <v>0</v>
      </c>
    </row>
    <row r="326" spans="1:25" x14ac:dyDescent="0.15">
      <c r="B326" t="s">
        <v>628</v>
      </c>
      <c r="C326" t="s">
        <v>380</v>
      </c>
      <c r="D326" s="654">
        <v>6479560</v>
      </c>
      <c r="E326" s="654">
        <v>1756736</v>
      </c>
      <c r="F326" s="654">
        <v>1764224</v>
      </c>
      <c r="G326" s="654">
        <v>0</v>
      </c>
      <c r="H326" s="654">
        <v>0</v>
      </c>
      <c r="I326" s="654">
        <v>310574</v>
      </c>
      <c r="J326" s="654">
        <v>8768</v>
      </c>
      <c r="K326" s="654">
        <v>3840302</v>
      </c>
      <c r="L326" s="654">
        <v>870485</v>
      </c>
      <c r="M326" s="654">
        <v>0</v>
      </c>
      <c r="N326" s="654">
        <v>870485</v>
      </c>
      <c r="O326" s="654">
        <v>0</v>
      </c>
      <c r="P326" s="654">
        <v>0</v>
      </c>
      <c r="Q326" s="654">
        <v>0</v>
      </c>
      <c r="R326" s="654">
        <v>0</v>
      </c>
      <c r="S326" s="654">
        <v>0</v>
      </c>
      <c r="T326" s="654">
        <v>0</v>
      </c>
      <c r="U326" s="654">
        <v>0</v>
      </c>
      <c r="V326" s="654">
        <v>0</v>
      </c>
      <c r="W326" s="654">
        <v>0</v>
      </c>
      <c r="X326" s="654">
        <v>0</v>
      </c>
      <c r="Y326" s="654">
        <v>0</v>
      </c>
    </row>
    <row r="327" spans="1:25" x14ac:dyDescent="0.15">
      <c r="B327" t="s">
        <v>629</v>
      </c>
      <c r="C327" t="s">
        <v>676</v>
      </c>
      <c r="D327" s="654">
        <v>4419633</v>
      </c>
      <c r="E327" s="654">
        <v>1559210</v>
      </c>
      <c r="F327" s="654">
        <v>762550</v>
      </c>
      <c r="G327" s="654">
        <v>0</v>
      </c>
      <c r="H327" s="654">
        <v>0</v>
      </c>
      <c r="I327" s="654">
        <v>198006</v>
      </c>
      <c r="J327" s="654">
        <v>2500</v>
      </c>
      <c r="K327" s="654">
        <v>2522266</v>
      </c>
      <c r="L327" s="654">
        <v>1282778</v>
      </c>
      <c r="M327" s="654">
        <v>0</v>
      </c>
      <c r="N327" s="654">
        <v>1282778</v>
      </c>
      <c r="O327" s="654">
        <v>243000</v>
      </c>
      <c r="P327" s="654">
        <v>0</v>
      </c>
      <c r="Q327" s="654">
        <v>0</v>
      </c>
      <c r="R327" s="654">
        <v>0</v>
      </c>
      <c r="S327" s="654">
        <v>0</v>
      </c>
      <c r="T327" s="654">
        <v>0</v>
      </c>
      <c r="U327" s="654">
        <v>0</v>
      </c>
      <c r="V327" s="654">
        <v>0</v>
      </c>
      <c r="W327" s="654">
        <v>0</v>
      </c>
      <c r="X327" s="654">
        <v>0</v>
      </c>
      <c r="Y327" s="654">
        <v>0</v>
      </c>
    </row>
    <row r="328" spans="1:25" x14ac:dyDescent="0.15">
      <c r="B328" t="s">
        <v>631</v>
      </c>
      <c r="C328" t="s">
        <v>381</v>
      </c>
      <c r="D328" s="654">
        <v>3021707</v>
      </c>
      <c r="E328" s="654">
        <v>1194309</v>
      </c>
      <c r="F328" s="654">
        <v>350000</v>
      </c>
      <c r="G328" s="654">
        <v>0</v>
      </c>
      <c r="H328" s="654">
        <v>0</v>
      </c>
      <c r="I328" s="654">
        <v>44530</v>
      </c>
      <c r="J328" s="654">
        <v>2500</v>
      </c>
      <c r="K328" s="654">
        <v>1591339</v>
      </c>
      <c r="L328" s="654">
        <v>727124</v>
      </c>
      <c r="M328" s="654">
        <v>0</v>
      </c>
      <c r="N328" s="654">
        <v>727124</v>
      </c>
      <c r="O328" s="654">
        <v>32400</v>
      </c>
      <c r="P328" s="654">
        <v>0</v>
      </c>
      <c r="Q328" s="654">
        <v>0</v>
      </c>
      <c r="R328" s="654">
        <v>0</v>
      </c>
      <c r="S328" s="654">
        <v>0</v>
      </c>
      <c r="T328" s="654">
        <v>0</v>
      </c>
      <c r="U328" s="654">
        <v>0</v>
      </c>
      <c r="V328" s="654">
        <v>0</v>
      </c>
      <c r="W328" s="654">
        <v>0</v>
      </c>
      <c r="X328" s="654">
        <v>0</v>
      </c>
      <c r="Y328" s="654">
        <v>0</v>
      </c>
    </row>
    <row r="329" spans="1:25" x14ac:dyDescent="0.15">
      <c r="B329" t="s">
        <v>567</v>
      </c>
      <c r="C329" t="s">
        <v>473</v>
      </c>
      <c r="D329" s="654">
        <v>1366814</v>
      </c>
      <c r="E329" s="654">
        <v>339463</v>
      </c>
      <c r="F329" s="654">
        <v>0</v>
      </c>
      <c r="G329" s="654">
        <v>0</v>
      </c>
      <c r="H329" s="654">
        <v>0</v>
      </c>
      <c r="I329" s="654">
        <v>20978</v>
      </c>
      <c r="J329" s="654">
        <v>0</v>
      </c>
      <c r="K329" s="654">
        <v>360441</v>
      </c>
      <c r="L329" s="654">
        <v>129795</v>
      </c>
      <c r="M329" s="654">
        <v>0</v>
      </c>
      <c r="N329" s="654">
        <v>129795</v>
      </c>
      <c r="O329" s="654">
        <v>0</v>
      </c>
      <c r="P329" s="654">
        <v>0</v>
      </c>
      <c r="Q329" s="654">
        <v>0</v>
      </c>
      <c r="R329" s="654">
        <v>0</v>
      </c>
      <c r="S329" s="654">
        <v>0</v>
      </c>
      <c r="T329" s="654">
        <v>0</v>
      </c>
      <c r="U329" s="654">
        <v>0</v>
      </c>
      <c r="V329" s="654">
        <v>0</v>
      </c>
      <c r="W329" s="654">
        <v>0</v>
      </c>
      <c r="X329" s="654">
        <v>0</v>
      </c>
      <c r="Y329" s="654">
        <v>0</v>
      </c>
    </row>
    <row r="330" spans="1:25" x14ac:dyDescent="0.15">
      <c r="B330" t="s">
        <v>568</v>
      </c>
      <c r="C330" t="s">
        <v>474</v>
      </c>
      <c r="D330" s="654">
        <v>1150795</v>
      </c>
      <c r="E330" s="654">
        <v>303275</v>
      </c>
      <c r="F330" s="654">
        <v>0</v>
      </c>
      <c r="G330" s="654">
        <v>0</v>
      </c>
      <c r="H330" s="654">
        <v>0</v>
      </c>
      <c r="I330" s="654">
        <v>0</v>
      </c>
      <c r="J330" s="654">
        <v>0</v>
      </c>
      <c r="K330" s="654">
        <v>303275</v>
      </c>
      <c r="L330" s="654">
        <v>184675</v>
      </c>
      <c r="M330" s="654">
        <v>0</v>
      </c>
      <c r="N330" s="654">
        <v>184675</v>
      </c>
      <c r="O330" s="654">
        <v>0</v>
      </c>
      <c r="P330" s="654">
        <v>0</v>
      </c>
      <c r="Q330" s="654">
        <v>0</v>
      </c>
      <c r="R330" s="654">
        <v>0</v>
      </c>
      <c r="S330" s="654">
        <v>0</v>
      </c>
      <c r="T330" s="654">
        <v>0</v>
      </c>
      <c r="U330" s="654">
        <v>0</v>
      </c>
      <c r="V330" s="654">
        <v>0</v>
      </c>
      <c r="W330" s="654">
        <v>0</v>
      </c>
      <c r="X330" s="654">
        <v>0</v>
      </c>
      <c r="Y330" s="654">
        <v>0</v>
      </c>
    </row>
    <row r="331" spans="1:25" x14ac:dyDescent="0.15">
      <c r="B331" t="s">
        <v>582</v>
      </c>
      <c r="C331" t="s">
        <v>384</v>
      </c>
      <c r="D331" s="654">
        <v>3771025</v>
      </c>
      <c r="E331" s="654">
        <v>641025</v>
      </c>
      <c r="F331" s="654">
        <v>0</v>
      </c>
      <c r="G331" s="654">
        <v>0</v>
      </c>
      <c r="H331" s="654">
        <v>0</v>
      </c>
      <c r="I331" s="654">
        <v>26538</v>
      </c>
      <c r="J331" s="654">
        <v>0</v>
      </c>
      <c r="K331" s="654">
        <v>667563</v>
      </c>
      <c r="L331" s="654">
        <v>773088</v>
      </c>
      <c r="M331" s="654">
        <v>0</v>
      </c>
      <c r="N331" s="654">
        <v>773088</v>
      </c>
      <c r="O331" s="654">
        <v>0</v>
      </c>
      <c r="P331" s="654">
        <v>0</v>
      </c>
      <c r="Q331" s="654">
        <v>0</v>
      </c>
      <c r="R331" s="654">
        <v>0</v>
      </c>
      <c r="S331" s="654">
        <v>0</v>
      </c>
      <c r="T331" s="654">
        <v>0</v>
      </c>
      <c r="U331" s="654">
        <v>0</v>
      </c>
      <c r="V331" s="654">
        <v>0</v>
      </c>
      <c r="W331" s="654">
        <v>0</v>
      </c>
      <c r="X331" s="654">
        <v>0</v>
      </c>
      <c r="Y331" s="654">
        <v>0</v>
      </c>
    </row>
    <row r="332" spans="1:25" x14ac:dyDescent="0.15">
      <c r="B332" t="s">
        <v>625</v>
      </c>
      <c r="C332" t="s">
        <v>594</v>
      </c>
      <c r="D332" s="654">
        <v>0</v>
      </c>
      <c r="E332" s="654">
        <v>0</v>
      </c>
      <c r="F332" s="654">
        <v>886645</v>
      </c>
      <c r="G332" s="654">
        <v>0</v>
      </c>
      <c r="H332" s="654">
        <v>2500000</v>
      </c>
      <c r="I332" s="654">
        <v>375143</v>
      </c>
      <c r="J332" s="654">
        <v>702</v>
      </c>
      <c r="K332" s="654">
        <v>3762490</v>
      </c>
      <c r="L332" s="654">
        <v>2776985</v>
      </c>
      <c r="M332" s="654">
        <v>0</v>
      </c>
      <c r="N332" s="654">
        <v>2776985</v>
      </c>
      <c r="O332" s="654">
        <v>216000</v>
      </c>
      <c r="P332" s="654">
        <v>0</v>
      </c>
      <c r="Q332" s="654">
        <v>0</v>
      </c>
      <c r="R332" s="654">
        <v>0</v>
      </c>
      <c r="S332" s="654">
        <v>0</v>
      </c>
      <c r="T332" s="654">
        <v>0</v>
      </c>
      <c r="U332" s="654">
        <v>0</v>
      </c>
      <c r="V332" s="654">
        <v>131692</v>
      </c>
      <c r="W332" s="654">
        <v>523134</v>
      </c>
      <c r="X332" s="654">
        <v>0</v>
      </c>
      <c r="Y332" s="654">
        <v>0</v>
      </c>
    </row>
    <row r="333" spans="1:25" x14ac:dyDescent="0.15">
      <c r="B333" t="s">
        <v>671</v>
      </c>
      <c r="C333" t="s">
        <v>383</v>
      </c>
      <c r="D333" s="654">
        <v>1955643</v>
      </c>
      <c r="E333" s="654">
        <v>616701</v>
      </c>
      <c r="F333" s="654">
        <v>300000</v>
      </c>
      <c r="G333" s="654">
        <v>0</v>
      </c>
      <c r="H333" s="654">
        <v>0</v>
      </c>
      <c r="I333" s="654">
        <v>0</v>
      </c>
      <c r="J333" s="654">
        <v>284</v>
      </c>
      <c r="K333" s="654">
        <v>916985</v>
      </c>
      <c r="L333" s="654">
        <v>675648</v>
      </c>
      <c r="M333" s="654">
        <v>0</v>
      </c>
      <c r="N333" s="654">
        <v>675648</v>
      </c>
      <c r="O333" s="654">
        <v>0</v>
      </c>
      <c r="P333" s="654">
        <v>0</v>
      </c>
      <c r="Q333" s="654">
        <v>46251</v>
      </c>
      <c r="R333" s="654">
        <v>0</v>
      </c>
      <c r="S333" s="654">
        <v>0</v>
      </c>
      <c r="T333" s="654">
        <v>0</v>
      </c>
      <c r="U333" s="654">
        <v>0</v>
      </c>
      <c r="V333" s="654">
        <v>0</v>
      </c>
      <c r="W333" s="654">
        <v>0</v>
      </c>
      <c r="X333" s="654">
        <v>0</v>
      </c>
      <c r="Y333" s="654">
        <v>0</v>
      </c>
    </row>
    <row r="334" spans="1:25" x14ac:dyDescent="0.15">
      <c r="B334" t="s">
        <v>965</v>
      </c>
      <c r="C334" t="s">
        <v>986</v>
      </c>
      <c r="D334" s="654">
        <v>0</v>
      </c>
      <c r="E334" s="654">
        <v>0</v>
      </c>
      <c r="F334" s="654">
        <v>350000</v>
      </c>
      <c r="G334" s="654">
        <v>0</v>
      </c>
      <c r="H334" s="654">
        <v>0</v>
      </c>
      <c r="I334" s="654">
        <v>42363</v>
      </c>
      <c r="J334" s="654">
        <v>2500</v>
      </c>
      <c r="K334" s="654">
        <v>394863</v>
      </c>
      <c r="L334" s="654">
        <v>690320</v>
      </c>
      <c r="M334" s="654">
        <v>0</v>
      </c>
      <c r="N334" s="654">
        <v>690320</v>
      </c>
      <c r="O334" s="654">
        <v>129600</v>
      </c>
      <c r="P334" s="654">
        <v>0</v>
      </c>
      <c r="Q334" s="654">
        <v>0</v>
      </c>
      <c r="R334" s="654">
        <v>0</v>
      </c>
      <c r="S334" s="654">
        <v>0</v>
      </c>
      <c r="T334" s="654">
        <v>0</v>
      </c>
      <c r="U334" s="654">
        <v>0</v>
      </c>
      <c r="V334" s="654">
        <v>0</v>
      </c>
      <c r="W334" s="654">
        <v>0</v>
      </c>
      <c r="X334" s="654">
        <v>0</v>
      </c>
      <c r="Y334" s="654">
        <v>0</v>
      </c>
    </row>
    <row r="335" spans="1:25" x14ac:dyDescent="0.15">
      <c r="A335" s="653" t="s">
        <v>1008</v>
      </c>
      <c r="B335"/>
      <c r="D335" s="654">
        <v>39669030</v>
      </c>
      <c r="E335" s="654">
        <v>11438888</v>
      </c>
      <c r="F335" s="654">
        <v>8288378</v>
      </c>
      <c r="G335" s="654">
        <v>0</v>
      </c>
      <c r="H335" s="654">
        <v>2500000</v>
      </c>
      <c r="I335" s="654">
        <v>1651281</v>
      </c>
      <c r="J335" s="654">
        <v>29519</v>
      </c>
      <c r="K335" s="654">
        <v>23908066</v>
      </c>
      <c r="L335" s="654">
        <v>10145671</v>
      </c>
      <c r="M335" s="654">
        <v>69984</v>
      </c>
      <c r="N335" s="654">
        <v>10215655</v>
      </c>
      <c r="O335" s="654">
        <v>816400</v>
      </c>
      <c r="P335" s="654">
        <v>0</v>
      </c>
      <c r="Q335" s="654">
        <v>46251</v>
      </c>
      <c r="R335" s="654">
        <v>0</v>
      </c>
      <c r="S335" s="654">
        <v>0</v>
      </c>
      <c r="T335" s="654">
        <v>0</v>
      </c>
      <c r="U335" s="654">
        <v>0</v>
      </c>
      <c r="V335" s="654">
        <v>131692</v>
      </c>
      <c r="W335" s="654">
        <v>523134</v>
      </c>
      <c r="X335" s="654">
        <v>0</v>
      </c>
      <c r="Y335" s="654">
        <v>0</v>
      </c>
    </row>
    <row r="336" spans="1:25" x14ac:dyDescent="0.15">
      <c r="A336" s="653">
        <v>43252</v>
      </c>
      <c r="B336" t="s">
        <v>626</v>
      </c>
      <c r="C336" t="s">
        <v>378</v>
      </c>
      <c r="D336" s="654">
        <v>9835106</v>
      </c>
      <c r="E336" s="654">
        <v>3691486</v>
      </c>
      <c r="F336" s="654">
        <v>1674777</v>
      </c>
      <c r="G336" s="654">
        <v>2730000</v>
      </c>
      <c r="H336" s="654">
        <v>0</v>
      </c>
      <c r="I336" s="654">
        <v>262532</v>
      </c>
      <c r="J336" s="654">
        <v>-14849</v>
      </c>
      <c r="K336" s="654">
        <v>8343946</v>
      </c>
      <c r="L336" s="654">
        <v>722718</v>
      </c>
      <c r="M336" s="654">
        <v>93312</v>
      </c>
      <c r="N336" s="654">
        <v>816030</v>
      </c>
      <c r="O336" s="654">
        <v>0</v>
      </c>
      <c r="P336" s="654">
        <v>0</v>
      </c>
      <c r="Q336" s="654">
        <v>0</v>
      </c>
      <c r="R336" s="654">
        <v>0</v>
      </c>
      <c r="S336" s="654">
        <v>0</v>
      </c>
      <c r="T336" s="654">
        <v>0</v>
      </c>
      <c r="U336" s="654">
        <v>0</v>
      </c>
      <c r="V336" s="654">
        <v>0</v>
      </c>
      <c r="W336" s="654">
        <v>0</v>
      </c>
      <c r="X336" s="654">
        <v>0</v>
      </c>
      <c r="Y336" s="654">
        <v>0</v>
      </c>
    </row>
    <row r="337" spans="1:25" x14ac:dyDescent="0.15">
      <c r="B337" t="s">
        <v>627</v>
      </c>
      <c r="C337" t="s">
        <v>379</v>
      </c>
      <c r="D337" s="654">
        <v>6530234</v>
      </c>
      <c r="E337" s="654">
        <v>1393370</v>
      </c>
      <c r="F337" s="654">
        <v>2330446</v>
      </c>
      <c r="G337" s="654">
        <v>650000</v>
      </c>
      <c r="H337" s="654">
        <v>0</v>
      </c>
      <c r="I337" s="654">
        <v>290376</v>
      </c>
      <c r="J337" s="654">
        <v>82228</v>
      </c>
      <c r="K337" s="654">
        <v>4746420</v>
      </c>
      <c r="L337" s="654">
        <v>1000461</v>
      </c>
      <c r="M337" s="654">
        <v>0</v>
      </c>
      <c r="N337" s="654">
        <v>1000461</v>
      </c>
      <c r="O337" s="654">
        <v>0</v>
      </c>
      <c r="P337" s="654">
        <v>0</v>
      </c>
      <c r="Q337" s="654">
        <v>0</v>
      </c>
      <c r="R337" s="654">
        <v>0</v>
      </c>
      <c r="S337" s="654">
        <v>0</v>
      </c>
      <c r="T337" s="654">
        <v>0</v>
      </c>
      <c r="U337" s="654">
        <v>0</v>
      </c>
      <c r="V337" s="654">
        <v>0</v>
      </c>
      <c r="W337" s="654">
        <v>0</v>
      </c>
      <c r="X337" s="654">
        <v>0</v>
      </c>
      <c r="Y337" s="654">
        <v>0</v>
      </c>
    </row>
    <row r="338" spans="1:25" x14ac:dyDescent="0.15">
      <c r="B338" t="s">
        <v>628</v>
      </c>
      <c r="C338" t="s">
        <v>380</v>
      </c>
      <c r="D338" s="654">
        <v>6806472</v>
      </c>
      <c r="E338" s="654">
        <v>2004093</v>
      </c>
      <c r="F338" s="654">
        <v>1804000</v>
      </c>
      <c r="G338" s="654">
        <v>1645000</v>
      </c>
      <c r="H338" s="654">
        <v>0</v>
      </c>
      <c r="I338" s="654">
        <v>271347</v>
      </c>
      <c r="J338" s="654">
        <v>6683</v>
      </c>
      <c r="K338" s="654">
        <v>5731123</v>
      </c>
      <c r="L338" s="654">
        <v>946985</v>
      </c>
      <c r="M338" s="654">
        <v>0</v>
      </c>
      <c r="N338" s="654">
        <v>946985</v>
      </c>
      <c r="O338" s="654">
        <v>149040</v>
      </c>
      <c r="P338" s="654">
        <v>0</v>
      </c>
      <c r="Q338" s="654">
        <v>0</v>
      </c>
      <c r="R338" s="654">
        <v>0</v>
      </c>
      <c r="S338" s="654">
        <v>0</v>
      </c>
      <c r="T338" s="654">
        <v>0</v>
      </c>
      <c r="U338" s="654">
        <v>0</v>
      </c>
      <c r="V338" s="654">
        <v>0</v>
      </c>
      <c r="W338" s="654">
        <v>0</v>
      </c>
      <c r="X338" s="654">
        <v>0</v>
      </c>
      <c r="Y338" s="654">
        <v>0</v>
      </c>
    </row>
    <row r="339" spans="1:25" x14ac:dyDescent="0.15">
      <c r="B339" t="s">
        <v>629</v>
      </c>
      <c r="C339" t="s">
        <v>676</v>
      </c>
      <c r="D339" s="654">
        <v>4146272</v>
      </c>
      <c r="E339" s="654">
        <v>1098748</v>
      </c>
      <c r="F339" s="654">
        <v>1216925</v>
      </c>
      <c r="G339" s="654">
        <v>160000</v>
      </c>
      <c r="H339" s="654">
        <v>0</v>
      </c>
      <c r="I339" s="654">
        <v>195918</v>
      </c>
      <c r="J339" s="654">
        <v>3670</v>
      </c>
      <c r="K339" s="654">
        <v>2675261</v>
      </c>
      <c r="L339" s="654">
        <v>1171971</v>
      </c>
      <c r="M339" s="654">
        <v>0</v>
      </c>
      <c r="N339" s="654">
        <v>1171971</v>
      </c>
      <c r="O339" s="654">
        <v>0</v>
      </c>
      <c r="P339" s="654">
        <v>0</v>
      </c>
      <c r="Q339" s="654">
        <v>0</v>
      </c>
      <c r="R339" s="654">
        <v>0</v>
      </c>
      <c r="S339" s="654">
        <v>0</v>
      </c>
      <c r="T339" s="654">
        <v>0</v>
      </c>
      <c r="U339" s="654">
        <v>0</v>
      </c>
      <c r="V339" s="654">
        <v>0</v>
      </c>
      <c r="W339" s="654">
        <v>0</v>
      </c>
      <c r="X339" s="654">
        <v>0</v>
      </c>
      <c r="Y339" s="654">
        <v>0</v>
      </c>
    </row>
    <row r="340" spans="1:25" x14ac:dyDescent="0.15">
      <c r="B340" t="s">
        <v>631</v>
      </c>
      <c r="C340" t="s">
        <v>381</v>
      </c>
      <c r="D340" s="654">
        <v>2692178</v>
      </c>
      <c r="E340" s="654">
        <v>1233262</v>
      </c>
      <c r="F340" s="654">
        <v>350000</v>
      </c>
      <c r="G340" s="654">
        <v>451800</v>
      </c>
      <c r="H340" s="654">
        <v>0</v>
      </c>
      <c r="I340" s="654">
        <v>59494</v>
      </c>
      <c r="J340" s="654">
        <v>3670</v>
      </c>
      <c r="K340" s="654">
        <v>2098226</v>
      </c>
      <c r="L340" s="654">
        <v>683680</v>
      </c>
      <c r="M340" s="654">
        <v>0</v>
      </c>
      <c r="N340" s="654">
        <v>683680</v>
      </c>
      <c r="O340" s="654">
        <v>10171</v>
      </c>
      <c r="P340" s="654">
        <v>0</v>
      </c>
      <c r="Q340" s="654">
        <v>0</v>
      </c>
      <c r="R340" s="654">
        <v>0</v>
      </c>
      <c r="S340" s="654">
        <v>0</v>
      </c>
      <c r="T340" s="654">
        <v>0</v>
      </c>
      <c r="U340" s="654">
        <v>0</v>
      </c>
      <c r="V340" s="654">
        <v>0</v>
      </c>
      <c r="W340" s="654">
        <v>0</v>
      </c>
      <c r="X340" s="654">
        <v>0</v>
      </c>
      <c r="Y340" s="654">
        <v>0</v>
      </c>
    </row>
    <row r="341" spans="1:25" x14ac:dyDescent="0.15">
      <c r="B341" t="s">
        <v>567</v>
      </c>
      <c r="C341" t="s">
        <v>473</v>
      </c>
      <c r="D341" s="654">
        <v>548955</v>
      </c>
      <c r="E341" s="654">
        <v>340543</v>
      </c>
      <c r="F341" s="654">
        <v>0</v>
      </c>
      <c r="G341" s="654">
        <v>0</v>
      </c>
      <c r="H341" s="654">
        <v>0</v>
      </c>
      <c r="I341" s="654">
        <v>18298</v>
      </c>
      <c r="J341" s="654">
        <v>0</v>
      </c>
      <c r="K341" s="654">
        <v>358841</v>
      </c>
      <c r="L341" s="654">
        <v>173077</v>
      </c>
      <c r="M341" s="654">
        <v>0</v>
      </c>
      <c r="N341" s="654">
        <v>173077</v>
      </c>
      <c r="O341" s="654">
        <v>0</v>
      </c>
      <c r="P341" s="654">
        <v>0</v>
      </c>
      <c r="Q341" s="654">
        <v>0</v>
      </c>
      <c r="R341" s="654">
        <v>0</v>
      </c>
      <c r="S341" s="654">
        <v>0</v>
      </c>
      <c r="T341" s="654">
        <v>0</v>
      </c>
      <c r="U341" s="654">
        <v>0</v>
      </c>
      <c r="V341" s="654">
        <v>0</v>
      </c>
      <c r="W341" s="654">
        <v>0</v>
      </c>
      <c r="X341" s="654">
        <v>0</v>
      </c>
      <c r="Y341" s="654">
        <v>0</v>
      </c>
    </row>
    <row r="342" spans="1:25" x14ac:dyDescent="0.15">
      <c r="B342" t="s">
        <v>568</v>
      </c>
      <c r="C342" t="s">
        <v>474</v>
      </c>
      <c r="D342" s="654">
        <v>1054056</v>
      </c>
      <c r="E342" s="654">
        <v>299100</v>
      </c>
      <c r="F342" s="654">
        <v>0</v>
      </c>
      <c r="G342" s="654">
        <v>0</v>
      </c>
      <c r="H342" s="654">
        <v>0</v>
      </c>
      <c r="I342" s="654">
        <v>0</v>
      </c>
      <c r="J342" s="654">
        <v>0</v>
      </c>
      <c r="K342" s="654">
        <v>299100</v>
      </c>
      <c r="L342" s="654">
        <v>176539</v>
      </c>
      <c r="M342" s="654">
        <v>0</v>
      </c>
      <c r="N342" s="654">
        <v>176539</v>
      </c>
      <c r="O342" s="654">
        <v>0</v>
      </c>
      <c r="P342" s="654">
        <v>0</v>
      </c>
      <c r="Q342" s="654">
        <v>0</v>
      </c>
      <c r="R342" s="654">
        <v>0</v>
      </c>
      <c r="S342" s="654">
        <v>0</v>
      </c>
      <c r="T342" s="654">
        <v>0</v>
      </c>
      <c r="U342" s="654">
        <v>0</v>
      </c>
      <c r="V342" s="654">
        <v>0</v>
      </c>
      <c r="W342" s="654">
        <v>0</v>
      </c>
      <c r="X342" s="654">
        <v>0</v>
      </c>
      <c r="Y342" s="654">
        <v>0</v>
      </c>
    </row>
    <row r="343" spans="1:25" x14ac:dyDescent="0.15">
      <c r="B343" t="s">
        <v>582</v>
      </c>
      <c r="C343" t="s">
        <v>384</v>
      </c>
      <c r="D343" s="654">
        <v>2469018</v>
      </c>
      <c r="E343" s="654">
        <v>636965</v>
      </c>
      <c r="F343" s="654">
        <v>0</v>
      </c>
      <c r="G343" s="654">
        <v>0</v>
      </c>
      <c r="H343" s="654">
        <v>0</v>
      </c>
      <c r="I343" s="654">
        <v>23220</v>
      </c>
      <c r="J343" s="654">
        <v>0</v>
      </c>
      <c r="K343" s="654">
        <v>660185</v>
      </c>
      <c r="L343" s="654">
        <v>589882</v>
      </c>
      <c r="M343" s="654">
        <v>0</v>
      </c>
      <c r="N343" s="654">
        <v>589882</v>
      </c>
      <c r="O343" s="654">
        <v>0</v>
      </c>
      <c r="P343" s="654">
        <v>0</v>
      </c>
      <c r="Q343" s="654">
        <v>0</v>
      </c>
      <c r="R343" s="654">
        <v>0</v>
      </c>
      <c r="S343" s="654">
        <v>0</v>
      </c>
      <c r="T343" s="654">
        <v>0</v>
      </c>
      <c r="U343" s="654">
        <v>0</v>
      </c>
      <c r="V343" s="654">
        <v>0</v>
      </c>
      <c r="W343" s="654">
        <v>0</v>
      </c>
      <c r="X343" s="654">
        <v>0</v>
      </c>
      <c r="Y343" s="654">
        <v>0</v>
      </c>
    </row>
    <row r="344" spans="1:25" x14ac:dyDescent="0.15">
      <c r="B344" t="s">
        <v>625</v>
      </c>
      <c r="C344" t="s">
        <v>594</v>
      </c>
      <c r="D344" s="654">
        <v>0</v>
      </c>
      <c r="E344" s="654">
        <v>0</v>
      </c>
      <c r="F344" s="654">
        <v>882500</v>
      </c>
      <c r="G344" s="654">
        <v>1273500</v>
      </c>
      <c r="H344" s="654">
        <v>2500000</v>
      </c>
      <c r="I344" s="654">
        <v>326819</v>
      </c>
      <c r="J344" s="654">
        <v>0</v>
      </c>
      <c r="K344" s="654">
        <v>4982819</v>
      </c>
      <c r="L344" s="654">
        <v>4225191</v>
      </c>
      <c r="M344" s="654">
        <v>0</v>
      </c>
      <c r="N344" s="654">
        <v>4225191</v>
      </c>
      <c r="O344" s="654">
        <v>734400</v>
      </c>
      <c r="P344" s="654">
        <v>0</v>
      </c>
      <c r="Q344" s="654">
        <v>0</v>
      </c>
      <c r="R344" s="654">
        <v>0</v>
      </c>
      <c r="S344" s="654">
        <v>0</v>
      </c>
      <c r="T344" s="654">
        <v>0</v>
      </c>
      <c r="U344" s="654">
        <v>0</v>
      </c>
      <c r="V344" s="654">
        <v>138866</v>
      </c>
      <c r="W344" s="654">
        <v>507754</v>
      </c>
      <c r="X344" s="654">
        <v>0</v>
      </c>
      <c r="Y344" s="654">
        <v>0</v>
      </c>
    </row>
    <row r="345" spans="1:25" x14ac:dyDescent="0.15">
      <c r="B345" t="s">
        <v>671</v>
      </c>
      <c r="C345" t="s">
        <v>383</v>
      </c>
      <c r="D345" s="654">
        <v>1889542</v>
      </c>
      <c r="E345" s="654">
        <v>655449</v>
      </c>
      <c r="F345" s="654">
        <v>300000</v>
      </c>
      <c r="G345" s="654">
        <v>0</v>
      </c>
      <c r="H345" s="654">
        <v>0</v>
      </c>
      <c r="I345" s="654">
        <v>0</v>
      </c>
      <c r="J345" s="654">
        <v>85</v>
      </c>
      <c r="K345" s="654">
        <v>955534</v>
      </c>
      <c r="L345" s="654">
        <v>709959</v>
      </c>
      <c r="M345" s="654">
        <v>0</v>
      </c>
      <c r="N345" s="654">
        <v>709959</v>
      </c>
      <c r="O345" s="654">
        <v>0</v>
      </c>
      <c r="P345" s="654">
        <v>0</v>
      </c>
      <c r="Q345" s="654">
        <v>42763</v>
      </c>
      <c r="R345" s="654">
        <v>0</v>
      </c>
      <c r="S345" s="654">
        <v>0</v>
      </c>
      <c r="T345" s="654">
        <v>0</v>
      </c>
      <c r="U345" s="654">
        <v>0</v>
      </c>
      <c r="V345" s="654">
        <v>0</v>
      </c>
      <c r="W345" s="654">
        <v>0</v>
      </c>
      <c r="X345" s="654">
        <v>0</v>
      </c>
      <c r="Y345" s="654">
        <v>0</v>
      </c>
    </row>
    <row r="346" spans="1:25" x14ac:dyDescent="0.15">
      <c r="B346" t="s">
        <v>965</v>
      </c>
      <c r="C346" t="s">
        <v>986</v>
      </c>
      <c r="D346" s="654">
        <v>100885</v>
      </c>
      <c r="E346" s="654">
        <v>49610</v>
      </c>
      <c r="F346" s="654">
        <v>405592</v>
      </c>
      <c r="G346" s="654">
        <v>315000</v>
      </c>
      <c r="H346" s="654">
        <v>0</v>
      </c>
      <c r="I346" s="654">
        <v>37084</v>
      </c>
      <c r="J346" s="654">
        <v>38422</v>
      </c>
      <c r="K346" s="654">
        <v>845708</v>
      </c>
      <c r="L346" s="654">
        <v>759192</v>
      </c>
      <c r="M346" s="654">
        <v>0</v>
      </c>
      <c r="N346" s="654">
        <v>759192</v>
      </c>
      <c r="O346" s="654">
        <v>196560</v>
      </c>
      <c r="P346" s="654">
        <v>0</v>
      </c>
      <c r="Q346" s="654">
        <v>0</v>
      </c>
      <c r="R346" s="654">
        <v>0</v>
      </c>
      <c r="S346" s="654">
        <v>0</v>
      </c>
      <c r="T346" s="654">
        <v>0</v>
      </c>
      <c r="U346" s="654">
        <v>0</v>
      </c>
      <c r="V346" s="654">
        <v>0</v>
      </c>
      <c r="W346" s="654">
        <v>0</v>
      </c>
      <c r="X346" s="654">
        <v>0</v>
      </c>
      <c r="Y346" s="654">
        <v>0</v>
      </c>
    </row>
    <row r="347" spans="1:25" x14ac:dyDescent="0.15">
      <c r="A347" s="653" t="s">
        <v>1129</v>
      </c>
      <c r="B347"/>
      <c r="D347" s="654">
        <v>36072718</v>
      </c>
      <c r="E347" s="654">
        <v>11402626</v>
      </c>
      <c r="F347" s="654">
        <v>8964240</v>
      </c>
      <c r="G347" s="654">
        <v>7225300</v>
      </c>
      <c r="H347" s="654">
        <v>2500000</v>
      </c>
      <c r="I347" s="654">
        <v>1485088</v>
      </c>
      <c r="J347" s="654">
        <v>119909</v>
      </c>
      <c r="K347" s="654">
        <v>31697163</v>
      </c>
      <c r="L347" s="654">
        <v>11159655</v>
      </c>
      <c r="M347" s="654">
        <v>93312</v>
      </c>
      <c r="N347" s="654">
        <v>11252967</v>
      </c>
      <c r="O347" s="654">
        <v>1090171</v>
      </c>
      <c r="P347" s="654">
        <v>0</v>
      </c>
      <c r="Q347" s="654">
        <v>42763</v>
      </c>
      <c r="R347" s="654">
        <v>0</v>
      </c>
      <c r="S347" s="654">
        <v>0</v>
      </c>
      <c r="T347" s="654">
        <v>0</v>
      </c>
      <c r="U347" s="654">
        <v>0</v>
      </c>
      <c r="V347" s="654">
        <v>138866</v>
      </c>
      <c r="W347" s="654">
        <v>507754</v>
      </c>
      <c r="X347" s="654">
        <v>0</v>
      </c>
      <c r="Y347" s="654">
        <v>0</v>
      </c>
    </row>
    <row r="348" spans="1:25" x14ac:dyDescent="0.15">
      <c r="A348" s="653">
        <v>43282</v>
      </c>
      <c r="B348" t="s">
        <v>626</v>
      </c>
      <c r="C348" t="s">
        <v>378</v>
      </c>
      <c r="D348" s="654">
        <v>11042771</v>
      </c>
      <c r="E348" s="654">
        <v>3888723</v>
      </c>
      <c r="F348" s="654">
        <v>1734830</v>
      </c>
      <c r="G348" s="654">
        <v>0</v>
      </c>
      <c r="H348" s="654">
        <v>0</v>
      </c>
      <c r="I348" s="654">
        <v>673537</v>
      </c>
      <c r="J348" s="654">
        <v>26707</v>
      </c>
      <c r="K348" s="654">
        <v>6323797</v>
      </c>
      <c r="L348" s="654">
        <v>953691</v>
      </c>
      <c r="M348" s="654">
        <v>69984</v>
      </c>
      <c r="N348" s="654">
        <v>1023675</v>
      </c>
      <c r="O348" s="654">
        <v>148500</v>
      </c>
      <c r="P348" s="654">
        <v>0</v>
      </c>
      <c r="Q348" s="654">
        <v>0</v>
      </c>
      <c r="R348" s="654">
        <v>0</v>
      </c>
      <c r="S348" s="654">
        <v>0</v>
      </c>
      <c r="T348" s="654">
        <v>0</v>
      </c>
      <c r="U348" s="654">
        <v>0</v>
      </c>
      <c r="V348" s="654">
        <v>0</v>
      </c>
      <c r="W348" s="654">
        <v>0</v>
      </c>
      <c r="X348" s="654">
        <v>0</v>
      </c>
      <c r="Y348" s="654">
        <v>0</v>
      </c>
    </row>
    <row r="349" spans="1:25" x14ac:dyDescent="0.15">
      <c r="B349" t="s">
        <v>627</v>
      </c>
      <c r="C349" t="s">
        <v>379</v>
      </c>
      <c r="D349" s="654">
        <v>6075758</v>
      </c>
      <c r="E349" s="654">
        <v>1478590</v>
      </c>
      <c r="F349" s="654">
        <v>2419865</v>
      </c>
      <c r="G349" s="654">
        <v>0</v>
      </c>
      <c r="H349" s="654">
        <v>0</v>
      </c>
      <c r="I349" s="654">
        <v>745189</v>
      </c>
      <c r="J349" s="654">
        <v>7595</v>
      </c>
      <c r="K349" s="654">
        <v>4651239</v>
      </c>
      <c r="L349" s="654">
        <v>1024705</v>
      </c>
      <c r="M349" s="654">
        <v>0</v>
      </c>
      <c r="N349" s="654">
        <v>1024705</v>
      </c>
      <c r="O349" s="654">
        <v>51840</v>
      </c>
      <c r="P349" s="654">
        <v>0</v>
      </c>
      <c r="Q349" s="654">
        <v>0</v>
      </c>
      <c r="R349" s="654">
        <v>0</v>
      </c>
      <c r="S349" s="654">
        <v>0</v>
      </c>
      <c r="T349" s="654">
        <v>0</v>
      </c>
      <c r="U349" s="654">
        <v>0</v>
      </c>
      <c r="V349" s="654">
        <v>0</v>
      </c>
      <c r="W349" s="654">
        <v>0</v>
      </c>
      <c r="X349" s="654">
        <v>0</v>
      </c>
      <c r="Y349" s="654">
        <v>0</v>
      </c>
    </row>
    <row r="350" spans="1:25" x14ac:dyDescent="0.15">
      <c r="B350" t="s">
        <v>628</v>
      </c>
      <c r="C350" t="s">
        <v>380</v>
      </c>
      <c r="D350" s="654">
        <v>6915528</v>
      </c>
      <c r="E350" s="654">
        <v>1955103</v>
      </c>
      <c r="F350" s="654">
        <v>1848415</v>
      </c>
      <c r="G350" s="654">
        <v>0</v>
      </c>
      <c r="H350" s="654">
        <v>0</v>
      </c>
      <c r="I350" s="654">
        <v>695963</v>
      </c>
      <c r="J350" s="654">
        <v>2571</v>
      </c>
      <c r="K350" s="654">
        <v>4502052</v>
      </c>
      <c r="L350" s="654">
        <v>817228</v>
      </c>
      <c r="M350" s="654">
        <v>0</v>
      </c>
      <c r="N350" s="654">
        <v>817228</v>
      </c>
      <c r="O350" s="654">
        <v>0</v>
      </c>
      <c r="P350" s="654">
        <v>0</v>
      </c>
      <c r="Q350" s="654">
        <v>0</v>
      </c>
      <c r="R350" s="654">
        <v>0</v>
      </c>
      <c r="S350" s="654">
        <v>0</v>
      </c>
      <c r="T350" s="654">
        <v>0</v>
      </c>
      <c r="U350" s="654">
        <v>0</v>
      </c>
      <c r="V350" s="654">
        <v>0</v>
      </c>
      <c r="W350" s="654">
        <v>0</v>
      </c>
      <c r="X350" s="654">
        <v>0</v>
      </c>
      <c r="Y350" s="654">
        <v>0</v>
      </c>
    </row>
    <row r="351" spans="1:25" x14ac:dyDescent="0.15">
      <c r="B351" t="s">
        <v>629</v>
      </c>
      <c r="C351" t="s">
        <v>676</v>
      </c>
      <c r="D351" s="654">
        <v>4468494</v>
      </c>
      <c r="E351" s="654">
        <v>1068839</v>
      </c>
      <c r="F351" s="654">
        <v>1047902</v>
      </c>
      <c r="G351" s="654">
        <v>0</v>
      </c>
      <c r="H351" s="654">
        <v>0</v>
      </c>
      <c r="I351" s="654">
        <v>430990</v>
      </c>
      <c r="J351" s="654">
        <v>147479</v>
      </c>
      <c r="K351" s="654">
        <v>2695210</v>
      </c>
      <c r="L351" s="654">
        <v>1095648</v>
      </c>
      <c r="M351" s="654">
        <v>0</v>
      </c>
      <c r="N351" s="654">
        <v>1095648</v>
      </c>
      <c r="O351" s="654">
        <v>0</v>
      </c>
      <c r="P351" s="654">
        <v>0</v>
      </c>
      <c r="Q351" s="654">
        <v>0</v>
      </c>
      <c r="R351" s="654">
        <v>0</v>
      </c>
      <c r="S351" s="654">
        <v>0</v>
      </c>
      <c r="T351" s="654">
        <v>0</v>
      </c>
      <c r="U351" s="654">
        <v>0</v>
      </c>
      <c r="V351" s="654">
        <v>0</v>
      </c>
      <c r="W351" s="654">
        <v>0</v>
      </c>
      <c r="X351" s="654">
        <v>0</v>
      </c>
      <c r="Y351" s="654">
        <v>0</v>
      </c>
    </row>
    <row r="352" spans="1:25" x14ac:dyDescent="0.15">
      <c r="B352" t="s">
        <v>631</v>
      </c>
      <c r="C352" t="s">
        <v>381</v>
      </c>
      <c r="D352" s="654">
        <v>2546587</v>
      </c>
      <c r="E352" s="654">
        <v>1098247</v>
      </c>
      <c r="F352" s="654">
        <v>650000</v>
      </c>
      <c r="G352" s="654">
        <v>0</v>
      </c>
      <c r="H352" s="654">
        <v>0</v>
      </c>
      <c r="I352" s="654">
        <v>251816</v>
      </c>
      <c r="J352" s="654">
        <v>2189</v>
      </c>
      <c r="K352" s="654">
        <v>2002252</v>
      </c>
      <c r="L352" s="654">
        <v>678728</v>
      </c>
      <c r="M352" s="654">
        <v>0</v>
      </c>
      <c r="N352" s="654">
        <v>678728</v>
      </c>
      <c r="O352" s="654">
        <v>32400</v>
      </c>
      <c r="P352" s="654">
        <v>0</v>
      </c>
      <c r="Q352" s="654">
        <v>0</v>
      </c>
      <c r="R352" s="654">
        <v>0</v>
      </c>
      <c r="S352" s="654">
        <v>0</v>
      </c>
      <c r="T352" s="654">
        <v>0</v>
      </c>
      <c r="U352" s="654">
        <v>0</v>
      </c>
      <c r="V352" s="654">
        <v>0</v>
      </c>
      <c r="W352" s="654">
        <v>0</v>
      </c>
      <c r="X352" s="654">
        <v>0</v>
      </c>
      <c r="Y352" s="654">
        <v>0</v>
      </c>
    </row>
    <row r="353" spans="1:25" x14ac:dyDescent="0.15">
      <c r="B353" t="s">
        <v>567</v>
      </c>
      <c r="C353" t="s">
        <v>473</v>
      </c>
      <c r="D353" s="654">
        <v>1159974</v>
      </c>
      <c r="E353" s="654">
        <v>348048</v>
      </c>
      <c r="F353" s="654">
        <v>0</v>
      </c>
      <c r="G353" s="654">
        <v>0</v>
      </c>
      <c r="H353" s="654">
        <v>0</v>
      </c>
      <c r="I353" s="654">
        <v>46903</v>
      </c>
      <c r="J353" s="654">
        <v>0</v>
      </c>
      <c r="K353" s="654">
        <v>394951</v>
      </c>
      <c r="L353" s="654">
        <v>127926</v>
      </c>
      <c r="M353" s="654">
        <v>0</v>
      </c>
      <c r="N353" s="654">
        <v>127926</v>
      </c>
      <c r="O353" s="654">
        <v>0</v>
      </c>
      <c r="P353" s="654">
        <v>0</v>
      </c>
      <c r="Q353" s="654">
        <v>0</v>
      </c>
      <c r="R353" s="654">
        <v>0</v>
      </c>
      <c r="S353" s="654">
        <v>0</v>
      </c>
      <c r="T353" s="654">
        <v>0</v>
      </c>
      <c r="U353" s="654">
        <v>0</v>
      </c>
      <c r="V353" s="654">
        <v>0</v>
      </c>
      <c r="W353" s="654">
        <v>0</v>
      </c>
      <c r="X353" s="654">
        <v>0</v>
      </c>
      <c r="Y353" s="654">
        <v>0</v>
      </c>
    </row>
    <row r="354" spans="1:25" x14ac:dyDescent="0.15">
      <c r="B354" t="s">
        <v>568</v>
      </c>
      <c r="C354" t="s">
        <v>474</v>
      </c>
      <c r="D354" s="654">
        <v>1085268</v>
      </c>
      <c r="E354" s="654">
        <v>302725</v>
      </c>
      <c r="F354" s="654">
        <v>0</v>
      </c>
      <c r="G354" s="654">
        <v>0</v>
      </c>
      <c r="H354" s="654">
        <v>0</v>
      </c>
      <c r="I354" s="654">
        <v>0</v>
      </c>
      <c r="J354" s="654">
        <v>0</v>
      </c>
      <c r="K354" s="654">
        <v>302725</v>
      </c>
      <c r="L354" s="654">
        <v>173186</v>
      </c>
      <c r="M354" s="654">
        <v>0</v>
      </c>
      <c r="N354" s="654">
        <v>173186</v>
      </c>
      <c r="O354" s="654">
        <v>0</v>
      </c>
      <c r="P354" s="654">
        <v>0</v>
      </c>
      <c r="Q354" s="654">
        <v>0</v>
      </c>
      <c r="R354" s="654">
        <v>0</v>
      </c>
      <c r="S354" s="654">
        <v>0</v>
      </c>
      <c r="T354" s="654">
        <v>0</v>
      </c>
      <c r="U354" s="654">
        <v>0</v>
      </c>
      <c r="V354" s="654">
        <v>0</v>
      </c>
      <c r="W354" s="654">
        <v>0</v>
      </c>
      <c r="X354" s="654">
        <v>0</v>
      </c>
      <c r="Y354" s="654">
        <v>0</v>
      </c>
    </row>
    <row r="355" spans="1:25" x14ac:dyDescent="0.15">
      <c r="B355" t="s">
        <v>582</v>
      </c>
      <c r="C355" t="s">
        <v>384</v>
      </c>
      <c r="D355" s="654">
        <v>2977988</v>
      </c>
      <c r="E355" s="654">
        <v>617990</v>
      </c>
      <c r="F355" s="654">
        <v>0</v>
      </c>
      <c r="G355" s="654">
        <v>0</v>
      </c>
      <c r="H355" s="654">
        <v>0</v>
      </c>
      <c r="I355" s="654">
        <v>59224</v>
      </c>
      <c r="J355" s="654">
        <v>0</v>
      </c>
      <c r="K355" s="654">
        <v>677214</v>
      </c>
      <c r="L355" s="654">
        <v>720815</v>
      </c>
      <c r="M355" s="654">
        <v>0</v>
      </c>
      <c r="N355" s="654">
        <v>720815</v>
      </c>
      <c r="O355" s="654">
        <v>0</v>
      </c>
      <c r="P355" s="654">
        <v>0</v>
      </c>
      <c r="Q355" s="654">
        <v>0</v>
      </c>
      <c r="R355" s="654">
        <v>0</v>
      </c>
      <c r="S355" s="654">
        <v>0</v>
      </c>
      <c r="T355" s="654">
        <v>0</v>
      </c>
      <c r="U355" s="654">
        <v>0</v>
      </c>
      <c r="V355" s="654">
        <v>0</v>
      </c>
      <c r="W355" s="654">
        <v>0</v>
      </c>
      <c r="X355" s="654">
        <v>0</v>
      </c>
      <c r="Y355" s="654">
        <v>0</v>
      </c>
    </row>
    <row r="356" spans="1:25" x14ac:dyDescent="0.15">
      <c r="B356" t="s">
        <v>625</v>
      </c>
      <c r="C356" t="s">
        <v>594</v>
      </c>
      <c r="D356" s="654">
        <v>0</v>
      </c>
      <c r="E356" s="654">
        <v>0</v>
      </c>
      <c r="F356" s="654">
        <v>905500</v>
      </c>
      <c r="G356" s="654">
        <v>0</v>
      </c>
      <c r="H356" s="654">
        <v>2500000</v>
      </c>
      <c r="I356" s="654">
        <v>837837</v>
      </c>
      <c r="J356" s="654">
        <v>448470</v>
      </c>
      <c r="K356" s="654">
        <v>4691807</v>
      </c>
      <c r="L356" s="654">
        <v>2631277</v>
      </c>
      <c r="M356" s="654">
        <v>0</v>
      </c>
      <c r="N356" s="654">
        <v>2631277</v>
      </c>
      <c r="O356" s="654">
        <v>66960</v>
      </c>
      <c r="P356" s="654">
        <v>0</v>
      </c>
      <c r="Q356" s="654">
        <v>0</v>
      </c>
      <c r="R356" s="654">
        <v>0</v>
      </c>
      <c r="S356" s="654">
        <v>0</v>
      </c>
      <c r="T356" s="654">
        <v>0</v>
      </c>
      <c r="U356" s="654">
        <v>0</v>
      </c>
      <c r="V356" s="654">
        <v>135812</v>
      </c>
      <c r="W356" s="654">
        <v>677872</v>
      </c>
      <c r="X356" s="654">
        <v>0</v>
      </c>
      <c r="Y356" s="654">
        <v>0</v>
      </c>
    </row>
    <row r="357" spans="1:25" x14ac:dyDescent="0.15">
      <c r="B357" t="s">
        <v>671</v>
      </c>
      <c r="C357" t="s">
        <v>383</v>
      </c>
      <c r="D357" s="654">
        <v>1614388</v>
      </c>
      <c r="E357" s="654">
        <v>529847</v>
      </c>
      <c r="F357" s="654">
        <v>300000</v>
      </c>
      <c r="G357" s="654">
        <v>0</v>
      </c>
      <c r="H357" s="654">
        <v>0</v>
      </c>
      <c r="I357" s="654">
        <v>0</v>
      </c>
      <c r="J357" s="654">
        <v>0</v>
      </c>
      <c r="K357" s="654">
        <v>829847</v>
      </c>
      <c r="L357" s="654">
        <v>698763</v>
      </c>
      <c r="M357" s="654">
        <v>0</v>
      </c>
      <c r="N357" s="654">
        <v>698763</v>
      </c>
      <c r="O357" s="654">
        <v>0</v>
      </c>
      <c r="P357" s="654">
        <v>0</v>
      </c>
      <c r="Q357" s="654">
        <v>37757</v>
      </c>
      <c r="R357" s="654">
        <v>0</v>
      </c>
      <c r="S357" s="654">
        <v>0</v>
      </c>
      <c r="T357" s="654">
        <v>0</v>
      </c>
      <c r="U357" s="654">
        <v>0</v>
      </c>
      <c r="V357" s="654">
        <v>0</v>
      </c>
      <c r="W357" s="654">
        <v>0</v>
      </c>
      <c r="X357" s="654">
        <v>0</v>
      </c>
      <c r="Y357" s="654">
        <v>0</v>
      </c>
    </row>
    <row r="358" spans="1:25" x14ac:dyDescent="0.15">
      <c r="B358" t="s">
        <v>965</v>
      </c>
      <c r="C358" t="s">
        <v>986</v>
      </c>
      <c r="D358" s="654">
        <v>663080</v>
      </c>
      <c r="E358" s="654">
        <v>87952</v>
      </c>
      <c r="F358" s="654">
        <v>350000</v>
      </c>
      <c r="G358" s="654">
        <v>0</v>
      </c>
      <c r="H358" s="654">
        <v>0</v>
      </c>
      <c r="I358" s="654">
        <v>94565</v>
      </c>
      <c r="J358" s="654">
        <v>2181</v>
      </c>
      <c r="K358" s="654">
        <v>534698</v>
      </c>
      <c r="L358" s="654">
        <v>713868</v>
      </c>
      <c r="M358" s="654">
        <v>0</v>
      </c>
      <c r="N358" s="654">
        <v>713868</v>
      </c>
      <c r="O358" s="654">
        <v>226800</v>
      </c>
      <c r="P358" s="654">
        <v>0</v>
      </c>
      <c r="Q358" s="654">
        <v>0</v>
      </c>
      <c r="R358" s="654">
        <v>0</v>
      </c>
      <c r="S358" s="654">
        <v>0</v>
      </c>
      <c r="T358" s="654">
        <v>0</v>
      </c>
      <c r="U358" s="654">
        <v>0</v>
      </c>
      <c r="V358" s="654">
        <v>0</v>
      </c>
      <c r="W358" s="654">
        <v>0</v>
      </c>
      <c r="X358" s="654">
        <v>0</v>
      </c>
      <c r="Y358" s="654">
        <v>0</v>
      </c>
    </row>
    <row r="359" spans="1:25" x14ac:dyDescent="0.15">
      <c r="B359" t="s">
        <v>1201</v>
      </c>
      <c r="C359" t="s">
        <v>1199</v>
      </c>
      <c r="D359" s="654">
        <v>0</v>
      </c>
      <c r="E359" s="654">
        <v>0</v>
      </c>
      <c r="F359" s="654">
        <v>0</v>
      </c>
      <c r="G359" s="654">
        <v>0</v>
      </c>
      <c r="H359" s="654">
        <v>0</v>
      </c>
      <c r="I359" s="654">
        <v>0</v>
      </c>
      <c r="J359" s="654">
        <v>0</v>
      </c>
      <c r="K359" s="654">
        <v>0</v>
      </c>
      <c r="L359" s="654">
        <v>835563</v>
      </c>
      <c r="M359" s="654">
        <v>0</v>
      </c>
      <c r="N359" s="654">
        <v>835563</v>
      </c>
      <c r="O359" s="654">
        <v>0</v>
      </c>
      <c r="P359" s="654">
        <v>0</v>
      </c>
      <c r="Q359" s="654">
        <v>0</v>
      </c>
      <c r="R359" s="654">
        <v>0</v>
      </c>
      <c r="S359" s="654">
        <v>0</v>
      </c>
      <c r="T359" s="654">
        <v>0</v>
      </c>
      <c r="U359" s="654">
        <v>0</v>
      </c>
      <c r="V359" s="654">
        <v>0</v>
      </c>
      <c r="W359" s="654">
        <v>0</v>
      </c>
      <c r="X359" s="654">
        <v>0</v>
      </c>
      <c r="Y359" s="654">
        <v>0</v>
      </c>
    </row>
    <row r="360" spans="1:25" x14ac:dyDescent="0.15">
      <c r="A360" s="653" t="s">
        <v>1217</v>
      </c>
      <c r="B360"/>
      <c r="D360" s="654">
        <v>38549836</v>
      </c>
      <c r="E360" s="654">
        <v>11376064</v>
      </c>
      <c r="F360" s="654">
        <v>9256512</v>
      </c>
      <c r="G360" s="654">
        <v>0</v>
      </c>
      <c r="H360" s="654">
        <v>2500000</v>
      </c>
      <c r="I360" s="654">
        <v>3836024</v>
      </c>
      <c r="J360" s="654">
        <v>637192</v>
      </c>
      <c r="K360" s="654">
        <v>27605792</v>
      </c>
      <c r="L360" s="654">
        <v>10471398</v>
      </c>
      <c r="M360" s="654">
        <v>69984</v>
      </c>
      <c r="N360" s="654">
        <v>10541382</v>
      </c>
      <c r="O360" s="654">
        <v>526500</v>
      </c>
      <c r="P360" s="654">
        <v>0</v>
      </c>
      <c r="Q360" s="654">
        <v>37757</v>
      </c>
      <c r="R360" s="654">
        <v>0</v>
      </c>
      <c r="S360" s="654">
        <v>0</v>
      </c>
      <c r="T360" s="654">
        <v>0</v>
      </c>
      <c r="U360" s="654">
        <v>0</v>
      </c>
      <c r="V360" s="654">
        <v>135812</v>
      </c>
      <c r="W360" s="654">
        <v>677872</v>
      </c>
      <c r="X360" s="654">
        <v>0</v>
      </c>
      <c r="Y360" s="654">
        <v>0</v>
      </c>
    </row>
    <row r="361" spans="1:25" x14ac:dyDescent="0.15">
      <c r="A361" s="653">
        <v>43313</v>
      </c>
      <c r="B361" t="s">
        <v>626</v>
      </c>
      <c r="C361" t="s">
        <v>378</v>
      </c>
      <c r="D361" s="654">
        <v>9842755</v>
      </c>
      <c r="E361" s="654">
        <v>3352850</v>
      </c>
      <c r="F361" s="654">
        <v>1946584</v>
      </c>
      <c r="G361" s="654">
        <v>400000</v>
      </c>
      <c r="H361" s="654">
        <v>0</v>
      </c>
      <c r="I361" s="654">
        <v>283190</v>
      </c>
      <c r="J361" s="654">
        <v>30192</v>
      </c>
      <c r="K361" s="654">
        <v>6012816</v>
      </c>
      <c r="L361" s="654">
        <v>964877</v>
      </c>
      <c r="M361" s="654">
        <v>93312</v>
      </c>
      <c r="N361" s="654">
        <v>1058189</v>
      </c>
      <c r="O361" s="654">
        <v>97200</v>
      </c>
      <c r="P361" s="654">
        <v>0</v>
      </c>
      <c r="Q361" s="654">
        <v>0</v>
      </c>
      <c r="R361" s="654">
        <v>58203</v>
      </c>
      <c r="S361" s="654">
        <v>9999</v>
      </c>
      <c r="T361" s="654">
        <v>-109354</v>
      </c>
      <c r="U361" s="654">
        <v>157558</v>
      </c>
      <c r="V361" s="654">
        <v>0</v>
      </c>
      <c r="W361" s="654">
        <v>0</v>
      </c>
      <c r="X361" s="654">
        <v>0</v>
      </c>
      <c r="Y361" s="654">
        <v>0</v>
      </c>
    </row>
    <row r="362" spans="1:25" x14ac:dyDescent="0.15">
      <c r="B362" t="s">
        <v>627</v>
      </c>
      <c r="C362" t="s">
        <v>379</v>
      </c>
      <c r="D362" s="654">
        <v>6170804</v>
      </c>
      <c r="E362" s="654">
        <v>1216831</v>
      </c>
      <c r="F362" s="654">
        <v>2767327</v>
      </c>
      <c r="G362" s="654">
        <v>500000</v>
      </c>
      <c r="H362" s="654">
        <v>0</v>
      </c>
      <c r="I362" s="654">
        <v>353085</v>
      </c>
      <c r="J362" s="654">
        <v>11277</v>
      </c>
      <c r="K362" s="654">
        <v>4848520</v>
      </c>
      <c r="L362" s="654">
        <v>972141</v>
      </c>
      <c r="M362" s="654">
        <v>0</v>
      </c>
      <c r="N362" s="654">
        <v>972141</v>
      </c>
      <c r="O362" s="654">
        <v>0</v>
      </c>
      <c r="P362" s="654">
        <v>0</v>
      </c>
      <c r="Q362" s="654">
        <v>0</v>
      </c>
      <c r="R362" s="654">
        <v>591588</v>
      </c>
      <c r="S362" s="654">
        <v>0</v>
      </c>
      <c r="T362" s="654">
        <v>5316</v>
      </c>
      <c r="U362" s="654">
        <v>586272</v>
      </c>
      <c r="V362" s="654">
        <v>0</v>
      </c>
      <c r="W362" s="654">
        <v>0</v>
      </c>
      <c r="X362" s="654">
        <v>0</v>
      </c>
      <c r="Y362" s="654">
        <v>0</v>
      </c>
    </row>
    <row r="363" spans="1:25" x14ac:dyDescent="0.15">
      <c r="B363" t="s">
        <v>628</v>
      </c>
      <c r="C363" t="s">
        <v>380</v>
      </c>
      <c r="D363" s="654">
        <v>7519354</v>
      </c>
      <c r="E363" s="654">
        <v>1913718</v>
      </c>
      <c r="F363" s="654">
        <v>1894373</v>
      </c>
      <c r="G363" s="654">
        <v>350000</v>
      </c>
      <c r="H363" s="654">
        <v>0</v>
      </c>
      <c r="I363" s="654">
        <v>292839</v>
      </c>
      <c r="J363" s="654">
        <v>56664</v>
      </c>
      <c r="K363" s="654">
        <v>4507594</v>
      </c>
      <c r="L363" s="654">
        <v>1126297</v>
      </c>
      <c r="M363" s="654">
        <v>0</v>
      </c>
      <c r="N363" s="654">
        <v>1126297</v>
      </c>
      <c r="O363" s="654">
        <v>211140</v>
      </c>
      <c r="P363" s="654">
        <v>0</v>
      </c>
      <c r="Q363" s="654">
        <v>0</v>
      </c>
      <c r="R363" s="654">
        <v>35870</v>
      </c>
      <c r="S363" s="654">
        <v>0</v>
      </c>
      <c r="T363" s="654">
        <v>4320</v>
      </c>
      <c r="U363" s="654">
        <v>31550</v>
      </c>
      <c r="V363" s="654">
        <v>0</v>
      </c>
      <c r="W363" s="654">
        <v>0</v>
      </c>
      <c r="X363" s="654">
        <v>0</v>
      </c>
      <c r="Y363" s="654">
        <v>0</v>
      </c>
    </row>
    <row r="364" spans="1:25" x14ac:dyDescent="0.15">
      <c r="B364" t="s">
        <v>629</v>
      </c>
      <c r="C364" t="s">
        <v>676</v>
      </c>
      <c r="D364" s="654">
        <v>4494230</v>
      </c>
      <c r="E364" s="654">
        <v>1147860</v>
      </c>
      <c r="F364" s="654">
        <v>1055568</v>
      </c>
      <c r="G364" s="654">
        <v>100000</v>
      </c>
      <c r="H364" s="654">
        <v>0</v>
      </c>
      <c r="I364" s="654">
        <v>169145</v>
      </c>
      <c r="J364" s="654">
        <v>0</v>
      </c>
      <c r="K364" s="654">
        <v>2472573</v>
      </c>
      <c r="L364" s="654">
        <v>1218671</v>
      </c>
      <c r="M364" s="654">
        <v>0</v>
      </c>
      <c r="N364" s="654">
        <v>1218671</v>
      </c>
      <c r="O364" s="654">
        <v>129600</v>
      </c>
      <c r="P364" s="654">
        <v>0</v>
      </c>
      <c r="Q364" s="654">
        <v>0</v>
      </c>
      <c r="R364" s="654">
        <v>-241323</v>
      </c>
      <c r="S364" s="654">
        <v>0</v>
      </c>
      <c r="T364" s="654">
        <v>-69000</v>
      </c>
      <c r="U364" s="654">
        <v>-172323</v>
      </c>
      <c r="V364" s="654">
        <v>0</v>
      </c>
      <c r="W364" s="654">
        <v>0</v>
      </c>
      <c r="X364" s="654">
        <v>0</v>
      </c>
      <c r="Y364" s="654">
        <v>0</v>
      </c>
    </row>
    <row r="365" spans="1:25" x14ac:dyDescent="0.15">
      <c r="B365" t="s">
        <v>631</v>
      </c>
      <c r="C365" t="s">
        <v>381</v>
      </c>
      <c r="D365" s="654">
        <v>2351469</v>
      </c>
      <c r="E365" s="654">
        <v>953709</v>
      </c>
      <c r="F365" s="654">
        <v>656000</v>
      </c>
      <c r="G365" s="654">
        <v>100000</v>
      </c>
      <c r="H365" s="654">
        <v>0</v>
      </c>
      <c r="I365" s="654">
        <v>103097</v>
      </c>
      <c r="J365" s="654">
        <v>0</v>
      </c>
      <c r="K365" s="654">
        <v>1812806</v>
      </c>
      <c r="L365" s="654">
        <v>942554</v>
      </c>
      <c r="M365" s="654">
        <v>0</v>
      </c>
      <c r="N365" s="654">
        <v>942554</v>
      </c>
      <c r="O365" s="654">
        <v>0</v>
      </c>
      <c r="P365" s="654">
        <v>0</v>
      </c>
      <c r="Q365" s="654">
        <v>0</v>
      </c>
      <c r="R365" s="654">
        <v>53692</v>
      </c>
      <c r="S365" s="654">
        <v>0</v>
      </c>
      <c r="T365" s="654">
        <v>-102384</v>
      </c>
      <c r="U365" s="654">
        <v>156076</v>
      </c>
      <c r="V365" s="654">
        <v>0</v>
      </c>
      <c r="W365" s="654">
        <v>0</v>
      </c>
      <c r="X365" s="654">
        <v>0</v>
      </c>
      <c r="Y365" s="654">
        <v>0</v>
      </c>
    </row>
    <row r="366" spans="1:25" x14ac:dyDescent="0.15">
      <c r="B366" t="s">
        <v>567</v>
      </c>
      <c r="C366" t="s">
        <v>473</v>
      </c>
      <c r="D366" s="654">
        <v>870546</v>
      </c>
      <c r="E366" s="654">
        <v>326363</v>
      </c>
      <c r="F366" s="654">
        <v>0</v>
      </c>
      <c r="G366" s="654">
        <v>0</v>
      </c>
      <c r="H366" s="654">
        <v>0</v>
      </c>
      <c r="I366" s="654">
        <v>14996</v>
      </c>
      <c r="J366" s="654">
        <v>0</v>
      </c>
      <c r="K366" s="654">
        <v>341359</v>
      </c>
      <c r="L366" s="654">
        <v>125559</v>
      </c>
      <c r="M366" s="654">
        <v>0</v>
      </c>
      <c r="N366" s="654">
        <v>125559</v>
      </c>
      <c r="O366" s="654">
        <v>0</v>
      </c>
      <c r="P366" s="654">
        <v>0</v>
      </c>
      <c r="Q366" s="654">
        <v>0</v>
      </c>
      <c r="R366" s="654">
        <v>76392</v>
      </c>
      <c r="S366" s="654">
        <v>0</v>
      </c>
      <c r="T366" s="654">
        <v>0</v>
      </c>
      <c r="U366" s="654">
        <v>76392</v>
      </c>
      <c r="V366" s="654">
        <v>0</v>
      </c>
      <c r="W366" s="654">
        <v>0</v>
      </c>
      <c r="X366" s="654">
        <v>0</v>
      </c>
      <c r="Y366" s="654">
        <v>0</v>
      </c>
    </row>
    <row r="367" spans="1:25" x14ac:dyDescent="0.15">
      <c r="B367" t="s">
        <v>568</v>
      </c>
      <c r="C367" t="s">
        <v>474</v>
      </c>
      <c r="D367" s="654">
        <v>923999</v>
      </c>
      <c r="E367" s="654">
        <v>307500</v>
      </c>
      <c r="F367" s="654">
        <v>0</v>
      </c>
      <c r="G367" s="654">
        <v>0</v>
      </c>
      <c r="H367" s="654">
        <v>0</v>
      </c>
      <c r="I367" s="654">
        <v>0</v>
      </c>
      <c r="J367" s="654">
        <v>0</v>
      </c>
      <c r="K367" s="654">
        <v>307500</v>
      </c>
      <c r="L367" s="654">
        <v>155590</v>
      </c>
      <c r="M367" s="654">
        <v>0</v>
      </c>
      <c r="N367" s="654">
        <v>155590</v>
      </c>
      <c r="O367" s="654">
        <v>0</v>
      </c>
      <c r="P367" s="654">
        <v>0</v>
      </c>
      <c r="Q367" s="654">
        <v>0</v>
      </c>
      <c r="R367" s="654">
        <v>0</v>
      </c>
      <c r="S367" s="654">
        <v>0</v>
      </c>
      <c r="T367" s="654">
        <v>42970</v>
      </c>
      <c r="U367" s="654">
        <v>-42970</v>
      </c>
      <c r="V367" s="654">
        <v>0</v>
      </c>
      <c r="W367" s="654">
        <v>0</v>
      </c>
      <c r="X367" s="654">
        <v>0</v>
      </c>
      <c r="Y367" s="654">
        <v>0</v>
      </c>
    </row>
    <row r="368" spans="1:25" x14ac:dyDescent="0.15">
      <c r="B368" t="s">
        <v>582</v>
      </c>
      <c r="C368" t="s">
        <v>384</v>
      </c>
      <c r="D368" s="654">
        <v>2468275</v>
      </c>
      <c r="E368" s="654">
        <v>673138</v>
      </c>
      <c r="F368" s="654">
        <v>0</v>
      </c>
      <c r="G368" s="654">
        <v>0</v>
      </c>
      <c r="H368" s="654">
        <v>0</v>
      </c>
      <c r="I368" s="654">
        <v>22639</v>
      </c>
      <c r="J368" s="654">
        <v>0</v>
      </c>
      <c r="K368" s="654">
        <v>695777</v>
      </c>
      <c r="L368" s="654">
        <v>501785</v>
      </c>
      <c r="M368" s="654">
        <v>0</v>
      </c>
      <c r="N368" s="654">
        <v>501785</v>
      </c>
      <c r="O368" s="654">
        <v>0</v>
      </c>
      <c r="P368" s="654">
        <v>0</v>
      </c>
      <c r="Q368" s="654">
        <v>0</v>
      </c>
      <c r="R368" s="654">
        <v>157117</v>
      </c>
      <c r="S368" s="654">
        <v>0</v>
      </c>
      <c r="T368" s="654">
        <v>0</v>
      </c>
      <c r="U368" s="654">
        <v>157117</v>
      </c>
      <c r="V368" s="654">
        <v>0</v>
      </c>
      <c r="W368" s="654">
        <v>0</v>
      </c>
      <c r="X368" s="654">
        <v>0</v>
      </c>
      <c r="Y368" s="654">
        <v>0</v>
      </c>
    </row>
    <row r="369" spans="1:25" x14ac:dyDescent="0.15">
      <c r="B369" t="s">
        <v>625</v>
      </c>
      <c r="C369" t="s">
        <v>594</v>
      </c>
      <c r="D369" s="654">
        <v>0</v>
      </c>
      <c r="E369" s="654">
        <v>0</v>
      </c>
      <c r="F369" s="654">
        <v>921671</v>
      </c>
      <c r="G369" s="654">
        <v>200000</v>
      </c>
      <c r="H369" s="654">
        <v>2500000</v>
      </c>
      <c r="I369" s="654">
        <v>315318</v>
      </c>
      <c r="J369" s="654">
        <v>120275</v>
      </c>
      <c r="K369" s="654">
        <v>4057264</v>
      </c>
      <c r="L369" s="654">
        <v>3953352</v>
      </c>
      <c r="M369" s="654">
        <v>0</v>
      </c>
      <c r="N369" s="654">
        <v>3953352</v>
      </c>
      <c r="O369" s="654">
        <v>359640</v>
      </c>
      <c r="P369" s="654">
        <v>0</v>
      </c>
      <c r="Q369" s="654">
        <v>0</v>
      </c>
      <c r="R369" s="654">
        <v>-138670</v>
      </c>
      <c r="S369" s="654">
        <v>335171</v>
      </c>
      <c r="T369" s="654">
        <v>596523</v>
      </c>
      <c r="U369" s="654">
        <v>-1070364</v>
      </c>
      <c r="V369" s="654">
        <v>170257</v>
      </c>
      <c r="W369" s="654">
        <v>1148727</v>
      </c>
      <c r="X369" s="654">
        <v>-8673</v>
      </c>
      <c r="Y369" s="654">
        <v>-471000</v>
      </c>
    </row>
    <row r="370" spans="1:25" x14ac:dyDescent="0.15">
      <c r="B370" t="s">
        <v>671</v>
      </c>
      <c r="C370" t="s">
        <v>383</v>
      </c>
      <c r="D370" s="654">
        <v>1444523</v>
      </c>
      <c r="E370" s="654">
        <v>527963</v>
      </c>
      <c r="F370" s="654">
        <v>300000</v>
      </c>
      <c r="G370" s="654">
        <v>0</v>
      </c>
      <c r="H370" s="654">
        <v>0</v>
      </c>
      <c r="I370" s="654">
        <v>0</v>
      </c>
      <c r="J370" s="654">
        <v>0</v>
      </c>
      <c r="K370" s="654">
        <v>827963</v>
      </c>
      <c r="L370" s="654">
        <v>539944</v>
      </c>
      <c r="M370" s="654">
        <v>0</v>
      </c>
      <c r="N370" s="654">
        <v>539944</v>
      </c>
      <c r="O370" s="654">
        <v>0</v>
      </c>
      <c r="P370" s="654">
        <v>0</v>
      </c>
      <c r="Q370" s="654">
        <v>40332</v>
      </c>
      <c r="R370" s="654">
        <v>-12948</v>
      </c>
      <c r="S370" s="654">
        <v>0</v>
      </c>
      <c r="T370" s="654">
        <v>-440640</v>
      </c>
      <c r="U370" s="654">
        <v>427692</v>
      </c>
      <c r="V370" s="654">
        <v>0</v>
      </c>
      <c r="W370" s="654">
        <v>0</v>
      </c>
      <c r="X370" s="654">
        <v>0</v>
      </c>
      <c r="Y370" s="654">
        <v>0</v>
      </c>
    </row>
    <row r="371" spans="1:25" x14ac:dyDescent="0.15">
      <c r="B371" t="s">
        <v>965</v>
      </c>
      <c r="C371" t="s">
        <v>986</v>
      </c>
      <c r="D371" s="654">
        <v>624826</v>
      </c>
      <c r="E371" s="654">
        <v>184245</v>
      </c>
      <c r="F371" s="654">
        <v>359094</v>
      </c>
      <c r="G371" s="654">
        <v>50000</v>
      </c>
      <c r="H371" s="654">
        <v>0</v>
      </c>
      <c r="I371" s="654">
        <v>42952</v>
      </c>
      <c r="J371" s="654">
        <v>0</v>
      </c>
      <c r="K371" s="654">
        <v>636291</v>
      </c>
      <c r="L371" s="654">
        <v>683798</v>
      </c>
      <c r="M371" s="654">
        <v>0</v>
      </c>
      <c r="N371" s="654">
        <v>683798</v>
      </c>
      <c r="O371" s="654">
        <v>184680</v>
      </c>
      <c r="P371" s="654">
        <v>0</v>
      </c>
      <c r="Q371" s="654">
        <v>0</v>
      </c>
      <c r="R371" s="654">
        <v>32744</v>
      </c>
      <c r="S371" s="654">
        <v>0</v>
      </c>
      <c r="T371" s="654">
        <v>-194400</v>
      </c>
      <c r="U371" s="654">
        <v>227144</v>
      </c>
      <c r="V371" s="654">
        <v>0</v>
      </c>
      <c r="W371" s="654">
        <v>0</v>
      </c>
      <c r="X371" s="654">
        <v>0</v>
      </c>
      <c r="Y371" s="654">
        <v>0</v>
      </c>
    </row>
    <row r="372" spans="1:25" x14ac:dyDescent="0.15">
      <c r="B372" t="s">
        <v>1201</v>
      </c>
      <c r="C372" t="s">
        <v>1199</v>
      </c>
      <c r="D372" s="654">
        <v>0</v>
      </c>
      <c r="E372" s="654">
        <v>0</v>
      </c>
      <c r="F372" s="654">
        <v>0</v>
      </c>
      <c r="G372" s="654">
        <v>0</v>
      </c>
      <c r="H372" s="654">
        <v>0</v>
      </c>
      <c r="I372" s="654">
        <v>0</v>
      </c>
      <c r="J372" s="654">
        <v>0</v>
      </c>
      <c r="K372" s="654">
        <v>0</v>
      </c>
      <c r="L372" s="654">
        <v>752125</v>
      </c>
      <c r="M372" s="654">
        <v>0</v>
      </c>
      <c r="N372" s="654">
        <v>752125</v>
      </c>
      <c r="O372" s="654">
        <v>246240</v>
      </c>
      <c r="P372" s="654">
        <v>0</v>
      </c>
      <c r="Q372" s="654">
        <v>0</v>
      </c>
      <c r="R372" s="654">
        <v>0</v>
      </c>
      <c r="S372" s="654">
        <v>0</v>
      </c>
      <c r="T372" s="654">
        <v>-198006</v>
      </c>
      <c r="U372" s="654">
        <v>198006</v>
      </c>
      <c r="V372" s="654">
        <v>0</v>
      </c>
      <c r="W372" s="654">
        <v>0</v>
      </c>
      <c r="X372" s="654">
        <v>0</v>
      </c>
      <c r="Y372" s="654">
        <v>0</v>
      </c>
    </row>
    <row r="373" spans="1:25" x14ac:dyDescent="0.15">
      <c r="A373" s="653" t="s">
        <v>1298</v>
      </c>
      <c r="B373"/>
      <c r="D373" s="654">
        <v>36710781</v>
      </c>
      <c r="E373" s="654">
        <v>10604177</v>
      </c>
      <c r="F373" s="654">
        <v>9900617</v>
      </c>
      <c r="G373" s="654">
        <v>1700000</v>
      </c>
      <c r="H373" s="654">
        <v>2500000</v>
      </c>
      <c r="I373" s="654">
        <v>1597261</v>
      </c>
      <c r="J373" s="654">
        <v>218408</v>
      </c>
      <c r="K373" s="654">
        <v>26520463</v>
      </c>
      <c r="L373" s="654">
        <v>11936693</v>
      </c>
      <c r="M373" s="654">
        <v>93312</v>
      </c>
      <c r="N373" s="654">
        <v>12030005</v>
      </c>
      <c r="O373" s="654">
        <v>1228500</v>
      </c>
      <c r="P373" s="654">
        <v>0</v>
      </c>
      <c r="Q373" s="654">
        <v>40332</v>
      </c>
      <c r="R373" s="654">
        <v>612665</v>
      </c>
      <c r="S373" s="654">
        <v>345170</v>
      </c>
      <c r="T373" s="654">
        <v>-464655</v>
      </c>
      <c r="U373" s="654">
        <v>732150</v>
      </c>
      <c r="V373" s="654">
        <v>170257</v>
      </c>
      <c r="W373" s="654">
        <v>1148727</v>
      </c>
      <c r="X373" s="654">
        <v>-8673</v>
      </c>
      <c r="Y373" s="654">
        <v>-471000</v>
      </c>
    </row>
    <row r="374" spans="1:25" x14ac:dyDescent="0.15">
      <c r="A374" s="653">
        <v>43344</v>
      </c>
      <c r="B374" t="s">
        <v>626</v>
      </c>
      <c r="C374" t="s">
        <v>378</v>
      </c>
      <c r="D374" s="654">
        <v>11239510</v>
      </c>
      <c r="E374" s="654">
        <v>3676096</v>
      </c>
      <c r="F374" s="654">
        <v>1938036</v>
      </c>
      <c r="G374" s="654">
        <v>0</v>
      </c>
      <c r="H374" s="654">
        <v>0</v>
      </c>
      <c r="I374" s="654">
        <v>0</v>
      </c>
      <c r="J374" s="654">
        <v>114366</v>
      </c>
      <c r="K374" s="654">
        <v>5728498</v>
      </c>
      <c r="L374" s="654">
        <v>719489</v>
      </c>
      <c r="M374" s="654">
        <v>110808</v>
      </c>
      <c r="N374" s="654">
        <v>830297</v>
      </c>
      <c r="O374" s="654">
        <v>51574</v>
      </c>
      <c r="P374" s="654">
        <v>0</v>
      </c>
      <c r="Q374" s="654">
        <v>0</v>
      </c>
      <c r="R374" s="654">
        <v>0</v>
      </c>
      <c r="S374" s="654">
        <v>0</v>
      </c>
      <c r="T374" s="654">
        <v>0</v>
      </c>
      <c r="U374" s="654">
        <v>0</v>
      </c>
      <c r="V374" s="654">
        <v>0</v>
      </c>
      <c r="W374" s="654">
        <v>0</v>
      </c>
      <c r="X374" s="654">
        <v>0</v>
      </c>
      <c r="Y374" s="654">
        <v>0</v>
      </c>
    </row>
    <row r="375" spans="1:25" x14ac:dyDescent="0.15">
      <c r="B375" t="s">
        <v>627</v>
      </c>
      <c r="C375" t="s">
        <v>379</v>
      </c>
      <c r="D375" s="654">
        <v>6157056</v>
      </c>
      <c r="E375" s="654">
        <v>1309950</v>
      </c>
      <c r="F375" s="654">
        <v>2731021</v>
      </c>
      <c r="G375" s="654">
        <v>0</v>
      </c>
      <c r="H375" s="654">
        <v>0</v>
      </c>
      <c r="I375" s="654">
        <v>373120</v>
      </c>
      <c r="J375" s="654">
        <v>492</v>
      </c>
      <c r="K375" s="654">
        <v>4414583</v>
      </c>
      <c r="L375" s="654">
        <v>1096851</v>
      </c>
      <c r="M375" s="654">
        <v>0</v>
      </c>
      <c r="N375" s="654">
        <v>1096851</v>
      </c>
      <c r="O375" s="654">
        <v>52166</v>
      </c>
      <c r="P375" s="654">
        <v>0</v>
      </c>
      <c r="Q375" s="654">
        <v>0</v>
      </c>
      <c r="R375" s="654">
        <v>0</v>
      </c>
      <c r="S375" s="654">
        <v>0</v>
      </c>
      <c r="T375" s="654">
        <v>0</v>
      </c>
      <c r="U375" s="654">
        <v>0</v>
      </c>
      <c r="V375" s="654">
        <v>0</v>
      </c>
      <c r="W375" s="654">
        <v>0</v>
      </c>
      <c r="X375" s="654">
        <v>0</v>
      </c>
      <c r="Y375" s="654">
        <v>0</v>
      </c>
    </row>
    <row r="376" spans="1:25" x14ac:dyDescent="0.15">
      <c r="B376" t="s">
        <v>628</v>
      </c>
      <c r="C376" t="s">
        <v>380</v>
      </c>
      <c r="D376" s="654">
        <v>6774361</v>
      </c>
      <c r="E376" s="654">
        <v>1972654</v>
      </c>
      <c r="F376" s="654">
        <v>1822022</v>
      </c>
      <c r="G376" s="654">
        <v>0</v>
      </c>
      <c r="H376" s="654">
        <v>0</v>
      </c>
      <c r="I376" s="654">
        <v>463913</v>
      </c>
      <c r="J376" s="654">
        <v>39170</v>
      </c>
      <c r="K376" s="654">
        <v>4297759</v>
      </c>
      <c r="L376" s="654">
        <v>801389</v>
      </c>
      <c r="M376" s="654">
        <v>0</v>
      </c>
      <c r="N376" s="654">
        <v>801389</v>
      </c>
      <c r="O376" s="654">
        <v>47520</v>
      </c>
      <c r="P376" s="654">
        <v>0</v>
      </c>
      <c r="Q376" s="654">
        <v>0</v>
      </c>
      <c r="R376" s="654">
        <v>0</v>
      </c>
      <c r="S376" s="654">
        <v>0</v>
      </c>
      <c r="T376" s="654">
        <v>0</v>
      </c>
      <c r="U376" s="654">
        <v>0</v>
      </c>
      <c r="V376" s="654">
        <v>0</v>
      </c>
      <c r="W376" s="654">
        <v>0</v>
      </c>
      <c r="X376" s="654">
        <v>0</v>
      </c>
      <c r="Y376" s="654">
        <v>0</v>
      </c>
    </row>
    <row r="377" spans="1:25" x14ac:dyDescent="0.15">
      <c r="B377" t="s">
        <v>629</v>
      </c>
      <c r="C377" t="s">
        <v>676</v>
      </c>
      <c r="D377" s="654">
        <v>4417151</v>
      </c>
      <c r="E377" s="654">
        <v>1270090</v>
      </c>
      <c r="F377" s="654">
        <v>856370</v>
      </c>
      <c r="G377" s="654">
        <v>0</v>
      </c>
      <c r="H377" s="654">
        <v>0</v>
      </c>
      <c r="I377" s="654">
        <v>222254</v>
      </c>
      <c r="J377" s="654">
        <v>1512</v>
      </c>
      <c r="K377" s="654">
        <v>2350226</v>
      </c>
      <c r="L377" s="654">
        <v>1089344</v>
      </c>
      <c r="M377" s="654">
        <v>0</v>
      </c>
      <c r="N377" s="654">
        <v>1089344</v>
      </c>
      <c r="O377" s="654">
        <v>0</v>
      </c>
      <c r="P377" s="654">
        <v>0</v>
      </c>
      <c r="Q377" s="654">
        <v>0</v>
      </c>
      <c r="R377" s="654">
        <v>0</v>
      </c>
      <c r="S377" s="654">
        <v>0</v>
      </c>
      <c r="T377" s="654">
        <v>0</v>
      </c>
      <c r="U377" s="654">
        <v>0</v>
      </c>
      <c r="V377" s="654">
        <v>0</v>
      </c>
      <c r="W377" s="654">
        <v>0</v>
      </c>
      <c r="X377" s="654">
        <v>0</v>
      </c>
      <c r="Y377" s="654">
        <v>0</v>
      </c>
    </row>
    <row r="378" spans="1:25" x14ac:dyDescent="0.15">
      <c r="B378" t="s">
        <v>631</v>
      </c>
      <c r="C378" t="s">
        <v>381</v>
      </c>
      <c r="D378" s="654">
        <v>2112073</v>
      </c>
      <c r="E378" s="654">
        <v>905804</v>
      </c>
      <c r="F378" s="654">
        <v>302770</v>
      </c>
      <c r="G378" s="654">
        <v>0</v>
      </c>
      <c r="H378" s="654">
        <v>0</v>
      </c>
      <c r="I378" s="654">
        <v>75671</v>
      </c>
      <c r="J378" s="654">
        <v>32400</v>
      </c>
      <c r="K378" s="654">
        <v>1316645</v>
      </c>
      <c r="L378" s="654">
        <v>309334</v>
      </c>
      <c r="M378" s="654">
        <v>0</v>
      </c>
      <c r="N378" s="654">
        <v>309334</v>
      </c>
      <c r="O378" s="654">
        <v>0</v>
      </c>
      <c r="P378" s="654">
        <v>0</v>
      </c>
      <c r="Q378" s="654">
        <v>0</v>
      </c>
      <c r="R378" s="654">
        <v>0</v>
      </c>
      <c r="S378" s="654">
        <v>0</v>
      </c>
      <c r="T378" s="654">
        <v>0</v>
      </c>
      <c r="U378" s="654">
        <v>0</v>
      </c>
      <c r="V378" s="654">
        <v>0</v>
      </c>
      <c r="W378" s="654">
        <v>0</v>
      </c>
      <c r="X378" s="654">
        <v>0</v>
      </c>
      <c r="Y378" s="654">
        <v>0</v>
      </c>
    </row>
    <row r="379" spans="1:25" x14ac:dyDescent="0.15">
      <c r="B379" t="s">
        <v>567</v>
      </c>
      <c r="C379" t="s">
        <v>473</v>
      </c>
      <c r="D379" s="654">
        <v>861636</v>
      </c>
      <c r="E379" s="654">
        <v>348020</v>
      </c>
      <c r="F379" s="654">
        <v>0</v>
      </c>
      <c r="G379" s="654">
        <v>0</v>
      </c>
      <c r="H379" s="654">
        <v>0</v>
      </c>
      <c r="I379" s="654">
        <v>19982</v>
      </c>
      <c r="J379" s="654">
        <v>0</v>
      </c>
      <c r="K379" s="654">
        <v>368002</v>
      </c>
      <c r="L379" s="654">
        <v>121814</v>
      </c>
      <c r="M379" s="654">
        <v>0</v>
      </c>
      <c r="N379" s="654">
        <v>121814</v>
      </c>
      <c r="O379" s="654">
        <v>0</v>
      </c>
      <c r="P379" s="654">
        <v>0</v>
      </c>
      <c r="Q379" s="654">
        <v>0</v>
      </c>
      <c r="R379" s="654">
        <v>0</v>
      </c>
      <c r="S379" s="654">
        <v>0</v>
      </c>
      <c r="T379" s="654">
        <v>0</v>
      </c>
      <c r="U379" s="654">
        <v>0</v>
      </c>
      <c r="V379" s="654">
        <v>0</v>
      </c>
      <c r="W379" s="654">
        <v>0</v>
      </c>
      <c r="X379" s="654">
        <v>0</v>
      </c>
      <c r="Y379" s="654">
        <v>0</v>
      </c>
    </row>
    <row r="380" spans="1:25" x14ac:dyDescent="0.15">
      <c r="B380" t="s">
        <v>568</v>
      </c>
      <c r="C380" t="s">
        <v>474</v>
      </c>
      <c r="D380" s="654">
        <v>1050085</v>
      </c>
      <c r="E380" s="654">
        <v>290550</v>
      </c>
      <c r="F380" s="654">
        <v>0</v>
      </c>
      <c r="G380" s="654">
        <v>0</v>
      </c>
      <c r="H380" s="654">
        <v>0</v>
      </c>
      <c r="I380" s="654">
        <v>0</v>
      </c>
      <c r="J380" s="654">
        <v>0</v>
      </c>
      <c r="K380" s="654">
        <v>290550</v>
      </c>
      <c r="L380" s="654">
        <v>155385</v>
      </c>
      <c r="M380" s="654">
        <v>0</v>
      </c>
      <c r="N380" s="654">
        <v>155385</v>
      </c>
      <c r="O380" s="654">
        <v>0</v>
      </c>
      <c r="P380" s="654">
        <v>0</v>
      </c>
      <c r="Q380" s="654">
        <v>0</v>
      </c>
      <c r="R380" s="654">
        <v>0</v>
      </c>
      <c r="S380" s="654">
        <v>0</v>
      </c>
      <c r="T380" s="654">
        <v>0</v>
      </c>
      <c r="U380" s="654">
        <v>0</v>
      </c>
      <c r="V380" s="654">
        <v>0</v>
      </c>
      <c r="W380" s="654">
        <v>0</v>
      </c>
      <c r="X380" s="654">
        <v>0</v>
      </c>
      <c r="Y380" s="654">
        <v>0</v>
      </c>
    </row>
    <row r="381" spans="1:25" x14ac:dyDescent="0.15">
      <c r="B381" t="s">
        <v>582</v>
      </c>
      <c r="C381" t="s">
        <v>384</v>
      </c>
      <c r="D381" s="654">
        <v>2587385</v>
      </c>
      <c r="E381" s="654">
        <v>667010</v>
      </c>
      <c r="F381" s="654">
        <v>0</v>
      </c>
      <c r="G381" s="654">
        <v>0</v>
      </c>
      <c r="H381" s="654">
        <v>0</v>
      </c>
      <c r="I381" s="654">
        <v>29928</v>
      </c>
      <c r="J381" s="654">
        <v>0</v>
      </c>
      <c r="K381" s="654">
        <v>696938</v>
      </c>
      <c r="L381" s="654">
        <v>603836</v>
      </c>
      <c r="M381" s="654">
        <v>0</v>
      </c>
      <c r="N381" s="654">
        <v>603836</v>
      </c>
      <c r="O381" s="654">
        <v>0</v>
      </c>
      <c r="P381" s="654">
        <v>0</v>
      </c>
      <c r="Q381" s="654">
        <v>0</v>
      </c>
      <c r="R381" s="654">
        <v>0</v>
      </c>
      <c r="S381" s="654">
        <v>0</v>
      </c>
      <c r="T381" s="654">
        <v>0</v>
      </c>
      <c r="U381" s="654">
        <v>0</v>
      </c>
      <c r="V381" s="654">
        <v>0</v>
      </c>
      <c r="W381" s="654">
        <v>0</v>
      </c>
      <c r="X381" s="654">
        <v>0</v>
      </c>
      <c r="Y381" s="654">
        <v>0</v>
      </c>
    </row>
    <row r="382" spans="1:25" x14ac:dyDescent="0.15">
      <c r="B382" t="s">
        <v>625</v>
      </c>
      <c r="C382" t="s">
        <v>594</v>
      </c>
      <c r="D382" s="654">
        <v>0</v>
      </c>
      <c r="E382" s="654">
        <v>0</v>
      </c>
      <c r="F382" s="654">
        <v>1301392</v>
      </c>
      <c r="G382" s="654">
        <v>0</v>
      </c>
      <c r="H382" s="654">
        <v>2500000</v>
      </c>
      <c r="I382" s="654">
        <v>450170</v>
      </c>
      <c r="J382" s="654">
        <v>24300</v>
      </c>
      <c r="K382" s="654">
        <v>4275862</v>
      </c>
      <c r="L382" s="654">
        <v>3234033</v>
      </c>
      <c r="M382" s="654">
        <v>0</v>
      </c>
      <c r="N382" s="654">
        <v>3234033</v>
      </c>
      <c r="O382" s="654">
        <v>216000</v>
      </c>
      <c r="P382" s="654">
        <v>0</v>
      </c>
      <c r="Q382" s="654">
        <v>0</v>
      </c>
      <c r="R382" s="654">
        <v>0</v>
      </c>
      <c r="S382" s="654">
        <v>0</v>
      </c>
      <c r="T382" s="654">
        <v>0</v>
      </c>
      <c r="U382" s="654">
        <v>0</v>
      </c>
      <c r="V382" s="654">
        <v>148771</v>
      </c>
      <c r="W382" s="654">
        <v>472801</v>
      </c>
      <c r="X382" s="654">
        <v>0</v>
      </c>
      <c r="Y382" s="654">
        <v>0</v>
      </c>
    </row>
    <row r="383" spans="1:25" x14ac:dyDescent="0.15">
      <c r="B383" t="s">
        <v>671</v>
      </c>
      <c r="C383" t="s">
        <v>383</v>
      </c>
      <c r="D383" s="654">
        <v>1128956</v>
      </c>
      <c r="E383" s="654">
        <v>385027</v>
      </c>
      <c r="F383" s="654">
        <v>300000</v>
      </c>
      <c r="G383" s="654">
        <v>0</v>
      </c>
      <c r="H383" s="654">
        <v>0</v>
      </c>
      <c r="I383" s="654">
        <v>0</v>
      </c>
      <c r="J383" s="654">
        <v>0</v>
      </c>
      <c r="K383" s="654">
        <v>685027</v>
      </c>
      <c r="L383" s="654">
        <v>540758</v>
      </c>
      <c r="M383" s="654">
        <v>0</v>
      </c>
      <c r="N383" s="654">
        <v>540758</v>
      </c>
      <c r="O383" s="654">
        <v>0</v>
      </c>
      <c r="P383" s="654">
        <v>0</v>
      </c>
      <c r="Q383" s="654">
        <v>34830</v>
      </c>
      <c r="R383" s="654">
        <v>0</v>
      </c>
      <c r="S383" s="654">
        <v>0</v>
      </c>
      <c r="T383" s="654">
        <v>0</v>
      </c>
      <c r="U383" s="654">
        <v>0</v>
      </c>
      <c r="V383" s="654">
        <v>0</v>
      </c>
      <c r="W383" s="654">
        <v>0</v>
      </c>
      <c r="X383" s="654">
        <v>0</v>
      </c>
      <c r="Y383" s="654">
        <v>0</v>
      </c>
    </row>
    <row r="384" spans="1:25" x14ac:dyDescent="0.15">
      <c r="B384" t="s">
        <v>965</v>
      </c>
      <c r="C384" t="s">
        <v>986</v>
      </c>
      <c r="D384" s="654">
        <v>1193278</v>
      </c>
      <c r="E384" s="654">
        <v>358716</v>
      </c>
      <c r="F384" s="654">
        <v>356070</v>
      </c>
      <c r="G384" s="654">
        <v>0</v>
      </c>
      <c r="H384" s="654">
        <v>0</v>
      </c>
      <c r="I384" s="654">
        <v>382917</v>
      </c>
      <c r="J384" s="654">
        <v>0</v>
      </c>
      <c r="K384" s="654">
        <v>1097703</v>
      </c>
      <c r="L384" s="654">
        <v>600303</v>
      </c>
      <c r="M384" s="654">
        <v>0</v>
      </c>
      <c r="N384" s="654">
        <v>600303</v>
      </c>
      <c r="O384" s="654">
        <v>64800</v>
      </c>
      <c r="P384" s="654">
        <v>0</v>
      </c>
      <c r="Q384" s="654">
        <v>0</v>
      </c>
      <c r="R384" s="654">
        <v>0</v>
      </c>
      <c r="S384" s="654">
        <v>0</v>
      </c>
      <c r="T384" s="654">
        <v>0</v>
      </c>
      <c r="U384" s="654">
        <v>0</v>
      </c>
      <c r="V384" s="654">
        <v>0</v>
      </c>
      <c r="W384" s="654">
        <v>0</v>
      </c>
      <c r="X384" s="654">
        <v>0</v>
      </c>
      <c r="Y384" s="654">
        <v>0</v>
      </c>
    </row>
    <row r="385" spans="1:25" x14ac:dyDescent="0.15">
      <c r="B385" t="s">
        <v>1201</v>
      </c>
      <c r="C385" t="s">
        <v>1199</v>
      </c>
      <c r="D385" s="654">
        <v>0</v>
      </c>
      <c r="E385" s="654">
        <v>0</v>
      </c>
      <c r="F385" s="654">
        <v>0</v>
      </c>
      <c r="G385" s="654">
        <v>0</v>
      </c>
      <c r="H385" s="654">
        <v>0</v>
      </c>
      <c r="I385" s="654">
        <v>56395</v>
      </c>
      <c r="J385" s="654">
        <v>0</v>
      </c>
      <c r="K385" s="654">
        <v>56395</v>
      </c>
      <c r="L385" s="654">
        <v>740398</v>
      </c>
      <c r="M385" s="654">
        <v>0</v>
      </c>
      <c r="N385" s="654">
        <v>740398</v>
      </c>
      <c r="O385" s="654">
        <v>138000</v>
      </c>
      <c r="P385" s="654">
        <v>0</v>
      </c>
      <c r="Q385" s="654">
        <v>0</v>
      </c>
      <c r="R385" s="654">
        <v>0</v>
      </c>
      <c r="S385" s="654">
        <v>0</v>
      </c>
      <c r="T385" s="654">
        <v>0</v>
      </c>
      <c r="U385" s="654">
        <v>0</v>
      </c>
      <c r="V385" s="654">
        <v>0</v>
      </c>
      <c r="W385" s="654">
        <v>0</v>
      </c>
      <c r="X385" s="654">
        <v>0</v>
      </c>
      <c r="Y385" s="654">
        <v>0</v>
      </c>
    </row>
    <row r="386" spans="1:25" x14ac:dyDescent="0.15">
      <c r="B386" t="s">
        <v>1386</v>
      </c>
      <c r="C386" t="s">
        <v>1384</v>
      </c>
      <c r="D386" s="654">
        <v>0</v>
      </c>
      <c r="E386" s="654">
        <v>0</v>
      </c>
      <c r="F386" s="654">
        <v>0</v>
      </c>
      <c r="G386" s="654">
        <v>0</v>
      </c>
      <c r="H386" s="654">
        <v>0</v>
      </c>
      <c r="I386" s="654">
        <v>0</v>
      </c>
      <c r="J386" s="654">
        <v>0</v>
      </c>
      <c r="K386" s="654">
        <v>0</v>
      </c>
      <c r="L386" s="654">
        <v>30864</v>
      </c>
      <c r="M386" s="654">
        <v>0</v>
      </c>
      <c r="N386" s="654">
        <v>30864</v>
      </c>
      <c r="O386" s="654">
        <v>0</v>
      </c>
      <c r="P386" s="654">
        <v>0</v>
      </c>
      <c r="Q386" s="654">
        <v>0</v>
      </c>
      <c r="R386" s="654">
        <v>0</v>
      </c>
      <c r="S386" s="654">
        <v>0</v>
      </c>
      <c r="T386" s="654">
        <v>0</v>
      </c>
      <c r="U386" s="654">
        <v>0</v>
      </c>
      <c r="V386" s="654">
        <v>0</v>
      </c>
      <c r="W386" s="654">
        <v>0</v>
      </c>
      <c r="X386" s="654">
        <v>0</v>
      </c>
      <c r="Y386" s="654">
        <v>0</v>
      </c>
    </row>
    <row r="387" spans="1:25" x14ac:dyDescent="0.15">
      <c r="A387" s="653" t="s">
        <v>1332</v>
      </c>
      <c r="B387"/>
      <c r="D387" s="654">
        <v>37521491</v>
      </c>
      <c r="E387" s="654">
        <v>11183917</v>
      </c>
      <c r="F387" s="654">
        <v>9607681</v>
      </c>
      <c r="G387" s="654">
        <v>0</v>
      </c>
      <c r="H387" s="654">
        <v>2500000</v>
      </c>
      <c r="I387" s="654">
        <v>2074350</v>
      </c>
      <c r="J387" s="654">
        <v>212240</v>
      </c>
      <c r="K387" s="654">
        <v>25578188</v>
      </c>
      <c r="L387" s="654">
        <v>10043798</v>
      </c>
      <c r="M387" s="654">
        <v>110808</v>
      </c>
      <c r="N387" s="654">
        <v>10154606</v>
      </c>
      <c r="O387" s="654">
        <v>570060</v>
      </c>
      <c r="P387" s="654">
        <v>0</v>
      </c>
      <c r="Q387" s="654">
        <v>34830</v>
      </c>
      <c r="R387" s="654">
        <v>0</v>
      </c>
      <c r="S387" s="654">
        <v>0</v>
      </c>
      <c r="T387" s="654">
        <v>0</v>
      </c>
      <c r="U387" s="654">
        <v>0</v>
      </c>
      <c r="V387" s="654">
        <v>148771</v>
      </c>
      <c r="W387" s="654">
        <v>472801</v>
      </c>
      <c r="X387" s="654">
        <v>0</v>
      </c>
      <c r="Y387" s="654">
        <v>0</v>
      </c>
    </row>
    <row r="388" spans="1:25" x14ac:dyDescent="0.15">
      <c r="A388" s="653">
        <v>43374</v>
      </c>
      <c r="B388" t="s">
        <v>626</v>
      </c>
      <c r="C388" t="s">
        <v>378</v>
      </c>
      <c r="D388" s="654">
        <v>12511332</v>
      </c>
      <c r="E388" s="654">
        <v>3940179</v>
      </c>
      <c r="F388" s="654">
        <v>2473417</v>
      </c>
      <c r="G388" s="654">
        <v>0</v>
      </c>
      <c r="H388" s="654">
        <v>0</v>
      </c>
      <c r="I388" s="654">
        <v>379848</v>
      </c>
      <c r="J388" s="654">
        <v>57078</v>
      </c>
      <c r="K388" s="654">
        <v>6850522</v>
      </c>
      <c r="L388" s="654">
        <v>1746729</v>
      </c>
      <c r="M388" s="654">
        <v>107892</v>
      </c>
      <c r="N388" s="654">
        <v>1854621</v>
      </c>
      <c r="O388" s="654">
        <v>56700</v>
      </c>
      <c r="P388" s="654">
        <v>0</v>
      </c>
      <c r="Q388" s="654">
        <v>0</v>
      </c>
      <c r="R388" s="654">
        <v>0</v>
      </c>
      <c r="S388" s="654">
        <v>0</v>
      </c>
      <c r="T388" s="654">
        <v>0</v>
      </c>
      <c r="U388" s="654">
        <v>0</v>
      </c>
      <c r="V388" s="654">
        <v>0</v>
      </c>
      <c r="W388" s="654">
        <v>0</v>
      </c>
      <c r="X388" s="654">
        <v>0</v>
      </c>
      <c r="Y388" s="654">
        <v>0</v>
      </c>
    </row>
    <row r="389" spans="1:25" x14ac:dyDescent="0.15">
      <c r="B389" t="s">
        <v>627</v>
      </c>
      <c r="C389" t="s">
        <v>379</v>
      </c>
      <c r="D389" s="654">
        <v>7557882</v>
      </c>
      <c r="E389" s="654">
        <v>1568464</v>
      </c>
      <c r="F389" s="654">
        <v>2303355</v>
      </c>
      <c r="G389" s="654">
        <v>0</v>
      </c>
      <c r="H389" s="654">
        <v>0</v>
      </c>
      <c r="I389" s="654">
        <v>421567</v>
      </c>
      <c r="J389" s="654">
        <v>20664</v>
      </c>
      <c r="K389" s="654">
        <v>4314050</v>
      </c>
      <c r="L389" s="654">
        <v>1080585</v>
      </c>
      <c r="M389" s="654">
        <v>0</v>
      </c>
      <c r="N389" s="654">
        <v>1080585</v>
      </c>
      <c r="O389" s="654">
        <v>108000</v>
      </c>
      <c r="P389" s="654">
        <v>0</v>
      </c>
      <c r="Q389" s="654">
        <v>0</v>
      </c>
      <c r="R389" s="654">
        <v>0</v>
      </c>
      <c r="S389" s="654">
        <v>0</v>
      </c>
      <c r="T389" s="654">
        <v>0</v>
      </c>
      <c r="U389" s="654">
        <v>0</v>
      </c>
      <c r="V389" s="654">
        <v>0</v>
      </c>
      <c r="W389" s="654">
        <v>0</v>
      </c>
      <c r="X389" s="654">
        <v>0</v>
      </c>
      <c r="Y389" s="654">
        <v>0</v>
      </c>
    </row>
    <row r="390" spans="1:25" x14ac:dyDescent="0.15">
      <c r="B390" t="s">
        <v>628</v>
      </c>
      <c r="C390" t="s">
        <v>380</v>
      </c>
      <c r="D390" s="654">
        <v>7419604</v>
      </c>
      <c r="E390" s="654">
        <v>2165081</v>
      </c>
      <c r="F390" s="654">
        <v>1959643</v>
      </c>
      <c r="G390" s="654">
        <v>0</v>
      </c>
      <c r="H390" s="654">
        <v>0</v>
      </c>
      <c r="I390" s="654">
        <v>391763</v>
      </c>
      <c r="J390" s="654">
        <v>5122</v>
      </c>
      <c r="K390" s="654">
        <v>4521609</v>
      </c>
      <c r="L390" s="654">
        <v>1522750</v>
      </c>
      <c r="M390" s="654">
        <v>0</v>
      </c>
      <c r="N390" s="654">
        <v>1522750</v>
      </c>
      <c r="O390" s="654">
        <v>100440</v>
      </c>
      <c r="P390" s="654">
        <v>0</v>
      </c>
      <c r="Q390" s="654">
        <v>0</v>
      </c>
      <c r="R390" s="654">
        <v>0</v>
      </c>
      <c r="S390" s="654">
        <v>0</v>
      </c>
      <c r="T390" s="654">
        <v>0</v>
      </c>
      <c r="U390" s="654">
        <v>0</v>
      </c>
      <c r="V390" s="654">
        <v>0</v>
      </c>
      <c r="W390" s="654">
        <v>0</v>
      </c>
      <c r="X390" s="654">
        <v>0</v>
      </c>
      <c r="Y390" s="654">
        <v>0</v>
      </c>
    </row>
    <row r="391" spans="1:25" x14ac:dyDescent="0.15">
      <c r="B391" t="s">
        <v>629</v>
      </c>
      <c r="C391" t="s">
        <v>676</v>
      </c>
      <c r="D391" s="654">
        <v>4442200</v>
      </c>
      <c r="E391" s="654">
        <v>1235375</v>
      </c>
      <c r="F391" s="654">
        <v>656604</v>
      </c>
      <c r="G391" s="654">
        <v>0</v>
      </c>
      <c r="H391" s="654">
        <v>0</v>
      </c>
      <c r="I391" s="654">
        <v>191004</v>
      </c>
      <c r="J391" s="654">
        <v>3367</v>
      </c>
      <c r="K391" s="654">
        <v>2086350</v>
      </c>
      <c r="L391" s="654">
        <v>1207486</v>
      </c>
      <c r="M391" s="654">
        <v>0</v>
      </c>
      <c r="N391" s="654">
        <v>1207486</v>
      </c>
      <c r="O391" s="654">
        <v>113400</v>
      </c>
      <c r="P391" s="654">
        <v>0</v>
      </c>
      <c r="Q391" s="654">
        <v>0</v>
      </c>
      <c r="R391" s="654">
        <v>0</v>
      </c>
      <c r="S391" s="654">
        <v>0</v>
      </c>
      <c r="T391" s="654">
        <v>0</v>
      </c>
      <c r="U391" s="654">
        <v>0</v>
      </c>
      <c r="V391" s="654">
        <v>0</v>
      </c>
      <c r="W391" s="654">
        <v>0</v>
      </c>
      <c r="X391" s="654">
        <v>0</v>
      </c>
      <c r="Y391" s="654">
        <v>0</v>
      </c>
    </row>
    <row r="392" spans="1:25" x14ac:dyDescent="0.15">
      <c r="B392" t="s">
        <v>631</v>
      </c>
      <c r="C392" t="s">
        <v>381</v>
      </c>
      <c r="D392" s="654">
        <v>2397265</v>
      </c>
      <c r="E392" s="654">
        <v>952522</v>
      </c>
      <c r="F392" s="654">
        <v>305886</v>
      </c>
      <c r="G392" s="654">
        <v>0</v>
      </c>
      <c r="H392" s="654">
        <v>0</v>
      </c>
      <c r="I392" s="654">
        <v>77028</v>
      </c>
      <c r="J392" s="654">
        <v>40500</v>
      </c>
      <c r="K392" s="654">
        <v>1375936</v>
      </c>
      <c r="L392" s="654">
        <v>691457</v>
      </c>
      <c r="M392" s="654">
        <v>0</v>
      </c>
      <c r="N392" s="654">
        <v>691457</v>
      </c>
      <c r="O392" s="654">
        <v>0</v>
      </c>
      <c r="P392" s="654">
        <v>0</v>
      </c>
      <c r="Q392" s="654">
        <v>0</v>
      </c>
      <c r="R392" s="654">
        <v>0</v>
      </c>
      <c r="S392" s="654">
        <v>0</v>
      </c>
      <c r="T392" s="654">
        <v>0</v>
      </c>
      <c r="U392" s="654">
        <v>0</v>
      </c>
      <c r="V392" s="654">
        <v>0</v>
      </c>
      <c r="W392" s="654">
        <v>0</v>
      </c>
      <c r="X392" s="654">
        <v>0</v>
      </c>
      <c r="Y392" s="654">
        <v>0</v>
      </c>
    </row>
    <row r="393" spans="1:25" x14ac:dyDescent="0.15">
      <c r="B393" t="s">
        <v>567</v>
      </c>
      <c r="C393" t="s">
        <v>473</v>
      </c>
      <c r="D393" s="654">
        <v>1139110</v>
      </c>
      <c r="E393" s="654">
        <v>366703</v>
      </c>
      <c r="F393" s="654">
        <v>0</v>
      </c>
      <c r="G393" s="654">
        <v>0</v>
      </c>
      <c r="H393" s="654">
        <v>0</v>
      </c>
      <c r="I393" s="654">
        <v>20453</v>
      </c>
      <c r="J393" s="654">
        <v>24300</v>
      </c>
      <c r="K393" s="654">
        <v>411456</v>
      </c>
      <c r="L393" s="654">
        <v>184298</v>
      </c>
      <c r="M393" s="654">
        <v>0</v>
      </c>
      <c r="N393" s="654">
        <v>184298</v>
      </c>
      <c r="O393" s="654">
        <v>16200</v>
      </c>
      <c r="P393" s="654">
        <v>0</v>
      </c>
      <c r="Q393" s="654">
        <v>0</v>
      </c>
      <c r="R393" s="654">
        <v>0</v>
      </c>
      <c r="S393" s="654">
        <v>0</v>
      </c>
      <c r="T393" s="654">
        <v>0</v>
      </c>
      <c r="U393" s="654">
        <v>0</v>
      </c>
      <c r="V393" s="654">
        <v>0</v>
      </c>
      <c r="W393" s="654">
        <v>0</v>
      </c>
      <c r="X393" s="654">
        <v>0</v>
      </c>
      <c r="Y393" s="654">
        <v>0</v>
      </c>
    </row>
    <row r="394" spans="1:25" x14ac:dyDescent="0.15">
      <c r="B394" t="s">
        <v>568</v>
      </c>
      <c r="C394" t="s">
        <v>474</v>
      </c>
      <c r="D394" s="654">
        <v>1087657</v>
      </c>
      <c r="E394" s="654">
        <v>290975</v>
      </c>
      <c r="F394" s="654">
        <v>0</v>
      </c>
      <c r="G394" s="654">
        <v>0</v>
      </c>
      <c r="H394" s="654">
        <v>0</v>
      </c>
      <c r="I394" s="654">
        <v>0</v>
      </c>
      <c r="J394" s="654">
        <v>24300</v>
      </c>
      <c r="K394" s="654">
        <v>315275</v>
      </c>
      <c r="L394" s="654">
        <v>192786</v>
      </c>
      <c r="M394" s="654">
        <v>0</v>
      </c>
      <c r="N394" s="654">
        <v>192786</v>
      </c>
      <c r="O394" s="654">
        <v>16200</v>
      </c>
      <c r="P394" s="654">
        <v>0</v>
      </c>
      <c r="Q394" s="654">
        <v>0</v>
      </c>
      <c r="R394" s="654">
        <v>0</v>
      </c>
      <c r="S394" s="654">
        <v>0</v>
      </c>
      <c r="T394" s="654">
        <v>0</v>
      </c>
      <c r="U394" s="654">
        <v>0</v>
      </c>
      <c r="V394" s="654">
        <v>0</v>
      </c>
      <c r="W394" s="654">
        <v>0</v>
      </c>
      <c r="X394" s="654">
        <v>0</v>
      </c>
      <c r="Y394" s="654">
        <v>0</v>
      </c>
    </row>
    <row r="395" spans="1:25" x14ac:dyDescent="0.15">
      <c r="B395" t="s">
        <v>582</v>
      </c>
      <c r="C395" t="s">
        <v>384</v>
      </c>
      <c r="D395" s="654">
        <v>2800912</v>
      </c>
      <c r="E395" s="654">
        <v>619825</v>
      </c>
      <c r="F395" s="654">
        <v>334455</v>
      </c>
      <c r="G395" s="654">
        <v>0</v>
      </c>
      <c r="H395" s="654">
        <v>0</v>
      </c>
      <c r="I395" s="654">
        <v>61717</v>
      </c>
      <c r="J395" s="654">
        <v>16200</v>
      </c>
      <c r="K395" s="654">
        <v>1032197</v>
      </c>
      <c r="L395" s="654">
        <v>822996</v>
      </c>
      <c r="M395" s="654">
        <v>0</v>
      </c>
      <c r="N395" s="654">
        <v>822996</v>
      </c>
      <c r="O395" s="654">
        <v>16200</v>
      </c>
      <c r="P395" s="654">
        <v>0</v>
      </c>
      <c r="Q395" s="654">
        <v>0</v>
      </c>
      <c r="R395" s="654">
        <v>0</v>
      </c>
      <c r="S395" s="654">
        <v>0</v>
      </c>
      <c r="T395" s="654">
        <v>0</v>
      </c>
      <c r="U395" s="654">
        <v>0</v>
      </c>
      <c r="V395" s="654">
        <v>0</v>
      </c>
      <c r="W395" s="654">
        <v>0</v>
      </c>
      <c r="X395" s="654">
        <v>0</v>
      </c>
      <c r="Y395" s="654">
        <v>0</v>
      </c>
    </row>
    <row r="396" spans="1:25" x14ac:dyDescent="0.15">
      <c r="B396" t="s">
        <v>625</v>
      </c>
      <c r="C396" t="s">
        <v>594</v>
      </c>
      <c r="D396" s="654">
        <v>0</v>
      </c>
      <c r="E396" s="654">
        <v>0</v>
      </c>
      <c r="F396" s="654">
        <v>1284136</v>
      </c>
      <c r="G396" s="654">
        <v>0</v>
      </c>
      <c r="H396" s="654">
        <v>3000000</v>
      </c>
      <c r="I396" s="654">
        <v>458326</v>
      </c>
      <c r="J396" s="654">
        <v>0</v>
      </c>
      <c r="K396" s="654">
        <v>4742462</v>
      </c>
      <c r="L396" s="654">
        <v>5282133</v>
      </c>
      <c r="M396" s="654">
        <v>0</v>
      </c>
      <c r="N396" s="654">
        <v>5282133</v>
      </c>
      <c r="O396" s="654">
        <v>0</v>
      </c>
      <c r="P396" s="654">
        <v>0</v>
      </c>
      <c r="Q396" s="654">
        <v>0</v>
      </c>
      <c r="R396" s="654">
        <v>0</v>
      </c>
      <c r="S396" s="654">
        <v>0</v>
      </c>
      <c r="T396" s="654">
        <v>0</v>
      </c>
      <c r="U396" s="654">
        <v>0</v>
      </c>
      <c r="V396" s="654">
        <v>142298</v>
      </c>
      <c r="W396" s="654">
        <v>972358</v>
      </c>
      <c r="X396" s="654">
        <v>0</v>
      </c>
      <c r="Y396" s="654">
        <v>0</v>
      </c>
    </row>
    <row r="397" spans="1:25" x14ac:dyDescent="0.15">
      <c r="B397" t="s">
        <v>965</v>
      </c>
      <c r="C397" t="s">
        <v>986</v>
      </c>
      <c r="D397" s="654">
        <v>1631546</v>
      </c>
      <c r="E397" s="654">
        <v>411567</v>
      </c>
      <c r="F397" s="654">
        <v>365311</v>
      </c>
      <c r="G397" s="654">
        <v>0</v>
      </c>
      <c r="H397" s="654">
        <v>0</v>
      </c>
      <c r="I397" s="654">
        <v>57454</v>
      </c>
      <c r="J397" s="654">
        <v>0</v>
      </c>
      <c r="K397" s="654">
        <v>834332</v>
      </c>
      <c r="L397" s="654">
        <v>606856</v>
      </c>
      <c r="M397" s="654">
        <v>0</v>
      </c>
      <c r="N397" s="654">
        <v>606856</v>
      </c>
      <c r="O397" s="654">
        <v>103680</v>
      </c>
      <c r="P397" s="654">
        <v>0</v>
      </c>
      <c r="Q397" s="654">
        <v>0</v>
      </c>
      <c r="R397" s="654">
        <v>0</v>
      </c>
      <c r="S397" s="654">
        <v>0</v>
      </c>
      <c r="T397" s="654">
        <v>0</v>
      </c>
      <c r="U397" s="654">
        <v>0</v>
      </c>
      <c r="V397" s="654">
        <v>0</v>
      </c>
      <c r="W397" s="654">
        <v>0</v>
      </c>
      <c r="X397" s="654">
        <v>0</v>
      </c>
      <c r="Y397" s="654">
        <v>0</v>
      </c>
    </row>
    <row r="398" spans="1:25" x14ac:dyDescent="0.15">
      <c r="B398" t="s">
        <v>1201</v>
      </c>
      <c r="C398" t="s">
        <v>1199</v>
      </c>
      <c r="D398" s="654">
        <v>234284</v>
      </c>
      <c r="E398" s="654">
        <v>27512</v>
      </c>
      <c r="F398" s="654">
        <v>355817</v>
      </c>
      <c r="G398" s="654">
        <v>0</v>
      </c>
      <c r="H398" s="654">
        <v>0</v>
      </c>
      <c r="I398" s="654">
        <v>48772</v>
      </c>
      <c r="J398" s="654">
        <v>1479</v>
      </c>
      <c r="K398" s="654">
        <v>433580</v>
      </c>
      <c r="L398" s="654">
        <v>704776</v>
      </c>
      <c r="M398" s="654">
        <v>0</v>
      </c>
      <c r="N398" s="654">
        <v>704776</v>
      </c>
      <c r="O398" s="654">
        <v>271080</v>
      </c>
      <c r="P398" s="654">
        <v>0</v>
      </c>
      <c r="Q398" s="654">
        <v>0</v>
      </c>
      <c r="R398" s="654">
        <v>0</v>
      </c>
      <c r="S398" s="654">
        <v>0</v>
      </c>
      <c r="T398" s="654">
        <v>0</v>
      </c>
      <c r="U398" s="654">
        <v>0</v>
      </c>
      <c r="V398" s="654">
        <v>0</v>
      </c>
      <c r="W398" s="654">
        <v>0</v>
      </c>
      <c r="X398" s="654">
        <v>0</v>
      </c>
      <c r="Y398" s="654">
        <v>0</v>
      </c>
    </row>
    <row r="399" spans="1:25" x14ac:dyDescent="0.15">
      <c r="A399" s="653" t="s">
        <v>1381</v>
      </c>
      <c r="B399"/>
      <c r="D399" s="654">
        <v>41221792</v>
      </c>
      <c r="E399" s="654">
        <v>11578203</v>
      </c>
      <c r="F399" s="654">
        <v>10038624</v>
      </c>
      <c r="G399" s="654">
        <v>0</v>
      </c>
      <c r="H399" s="654">
        <v>3000000</v>
      </c>
      <c r="I399" s="654">
        <v>2107932</v>
      </c>
      <c r="J399" s="654">
        <v>193010</v>
      </c>
      <c r="K399" s="654">
        <v>26917769</v>
      </c>
      <c r="L399" s="654">
        <v>14042852</v>
      </c>
      <c r="M399" s="654">
        <v>107892</v>
      </c>
      <c r="N399" s="654">
        <v>14150744</v>
      </c>
      <c r="O399" s="654">
        <v>801900</v>
      </c>
      <c r="P399" s="654">
        <v>0</v>
      </c>
      <c r="Q399" s="654">
        <v>0</v>
      </c>
      <c r="R399" s="654">
        <v>0</v>
      </c>
      <c r="S399" s="654">
        <v>0</v>
      </c>
      <c r="T399" s="654">
        <v>0</v>
      </c>
      <c r="U399" s="654">
        <v>0</v>
      </c>
      <c r="V399" s="654">
        <v>142298</v>
      </c>
      <c r="W399" s="654">
        <v>972358</v>
      </c>
      <c r="X399" s="654">
        <v>0</v>
      </c>
      <c r="Y399" s="654">
        <v>0</v>
      </c>
    </row>
    <row r="400" spans="1:25" x14ac:dyDescent="0.15">
      <c r="A400" s="653">
        <v>43405</v>
      </c>
      <c r="B400" t="s">
        <v>626</v>
      </c>
      <c r="C400" t="s">
        <v>378</v>
      </c>
      <c r="D400" s="654">
        <v>12778671</v>
      </c>
      <c r="E400" s="654">
        <v>3988130</v>
      </c>
      <c r="F400" s="654">
        <v>2563994</v>
      </c>
      <c r="G400" s="654">
        <v>0</v>
      </c>
      <c r="H400" s="654">
        <v>0</v>
      </c>
      <c r="I400" s="654">
        <v>319575</v>
      </c>
      <c r="J400" s="654">
        <v>26550</v>
      </c>
      <c r="K400" s="654">
        <v>6898249</v>
      </c>
      <c r="L400" s="654">
        <v>1278061</v>
      </c>
      <c r="M400" s="654">
        <v>87480</v>
      </c>
      <c r="N400" s="654">
        <v>1365541</v>
      </c>
      <c r="O400" s="654">
        <v>97740</v>
      </c>
      <c r="P400" s="654">
        <v>0</v>
      </c>
      <c r="Q400" s="654">
        <v>0</v>
      </c>
      <c r="R400" s="654">
        <v>27</v>
      </c>
      <c r="S400" s="654">
        <v>0</v>
      </c>
      <c r="T400" s="654">
        <v>0</v>
      </c>
      <c r="U400" s="654">
        <v>27</v>
      </c>
      <c r="V400" s="654">
        <v>0</v>
      </c>
      <c r="W400" s="654">
        <v>0</v>
      </c>
      <c r="X400" s="654">
        <v>0</v>
      </c>
      <c r="Y400" s="654">
        <v>0</v>
      </c>
    </row>
    <row r="401" spans="1:25" x14ac:dyDescent="0.15">
      <c r="B401" t="s">
        <v>627</v>
      </c>
      <c r="C401" t="s">
        <v>379</v>
      </c>
      <c r="D401" s="654">
        <v>7285298</v>
      </c>
      <c r="E401" s="654">
        <v>1559609</v>
      </c>
      <c r="F401" s="654">
        <v>2437257</v>
      </c>
      <c r="G401" s="654">
        <v>0</v>
      </c>
      <c r="H401" s="654">
        <v>0</v>
      </c>
      <c r="I401" s="654">
        <v>354571</v>
      </c>
      <c r="J401" s="654">
        <v>24569</v>
      </c>
      <c r="K401" s="654">
        <v>4376006</v>
      </c>
      <c r="L401" s="654">
        <v>906143</v>
      </c>
      <c r="M401" s="654">
        <v>0</v>
      </c>
      <c r="N401" s="654">
        <v>906143</v>
      </c>
      <c r="O401" s="654">
        <v>0</v>
      </c>
      <c r="P401" s="654">
        <v>0</v>
      </c>
      <c r="Q401" s="654">
        <v>0</v>
      </c>
      <c r="R401" s="654">
        <v>0</v>
      </c>
      <c r="S401" s="654">
        <v>0</v>
      </c>
      <c r="T401" s="654">
        <v>0</v>
      </c>
      <c r="U401" s="654">
        <v>0</v>
      </c>
      <c r="V401" s="654">
        <v>0</v>
      </c>
      <c r="W401" s="654">
        <v>0</v>
      </c>
      <c r="X401" s="654">
        <v>0</v>
      </c>
      <c r="Y401" s="654">
        <v>0</v>
      </c>
    </row>
    <row r="402" spans="1:25" x14ac:dyDescent="0.15">
      <c r="B402" t="s">
        <v>628</v>
      </c>
      <c r="C402" t="s">
        <v>380</v>
      </c>
      <c r="D402" s="654">
        <v>7099035</v>
      </c>
      <c r="E402" s="654">
        <v>2058665</v>
      </c>
      <c r="F402" s="654">
        <v>2274286</v>
      </c>
      <c r="G402" s="654">
        <v>0</v>
      </c>
      <c r="H402" s="654">
        <v>0</v>
      </c>
      <c r="I402" s="654">
        <v>359020</v>
      </c>
      <c r="J402" s="654">
        <v>133821</v>
      </c>
      <c r="K402" s="654">
        <v>4825792</v>
      </c>
      <c r="L402" s="654">
        <v>937541</v>
      </c>
      <c r="M402" s="654">
        <v>0</v>
      </c>
      <c r="N402" s="654">
        <v>937541</v>
      </c>
      <c r="O402" s="654">
        <v>64800</v>
      </c>
      <c r="P402" s="654">
        <v>0</v>
      </c>
      <c r="Q402" s="654">
        <v>0</v>
      </c>
      <c r="R402" s="654">
        <v>0</v>
      </c>
      <c r="S402" s="654">
        <v>0</v>
      </c>
      <c r="T402" s="654">
        <v>0</v>
      </c>
      <c r="U402" s="654">
        <v>0</v>
      </c>
      <c r="V402" s="654">
        <v>0</v>
      </c>
      <c r="W402" s="654">
        <v>0</v>
      </c>
      <c r="X402" s="654">
        <v>0</v>
      </c>
      <c r="Y402" s="654">
        <v>0</v>
      </c>
    </row>
    <row r="403" spans="1:25" x14ac:dyDescent="0.15">
      <c r="B403" t="s">
        <v>629</v>
      </c>
      <c r="C403" t="s">
        <v>676</v>
      </c>
      <c r="D403" s="654">
        <v>4833081</v>
      </c>
      <c r="E403" s="654">
        <v>1383679</v>
      </c>
      <c r="F403" s="654">
        <v>656604</v>
      </c>
      <c r="G403" s="654">
        <v>0</v>
      </c>
      <c r="H403" s="654">
        <v>0</v>
      </c>
      <c r="I403" s="654">
        <v>135028</v>
      </c>
      <c r="J403" s="654">
        <v>16200</v>
      </c>
      <c r="K403" s="654">
        <v>2191511</v>
      </c>
      <c r="L403" s="654">
        <v>1037871</v>
      </c>
      <c r="M403" s="654">
        <v>0</v>
      </c>
      <c r="N403" s="654">
        <v>1037871</v>
      </c>
      <c r="O403" s="654">
        <v>48600</v>
      </c>
      <c r="P403" s="654">
        <v>0</v>
      </c>
      <c r="Q403" s="654">
        <v>0</v>
      </c>
      <c r="R403" s="654">
        <v>0</v>
      </c>
      <c r="S403" s="654">
        <v>0</v>
      </c>
      <c r="T403" s="654">
        <v>0</v>
      </c>
      <c r="U403" s="654">
        <v>0</v>
      </c>
      <c r="V403" s="654">
        <v>0</v>
      </c>
      <c r="W403" s="654">
        <v>0</v>
      </c>
      <c r="X403" s="654">
        <v>0</v>
      </c>
      <c r="Y403" s="654">
        <v>0</v>
      </c>
    </row>
    <row r="404" spans="1:25" x14ac:dyDescent="0.15">
      <c r="B404" t="s">
        <v>631</v>
      </c>
      <c r="C404" t="s">
        <v>381</v>
      </c>
      <c r="D404" s="654">
        <v>3521977</v>
      </c>
      <c r="E404" s="654">
        <v>967647</v>
      </c>
      <c r="F404" s="654">
        <v>389829</v>
      </c>
      <c r="G404" s="654">
        <v>0</v>
      </c>
      <c r="H404" s="654">
        <v>0</v>
      </c>
      <c r="I404" s="654">
        <v>70665</v>
      </c>
      <c r="J404" s="654">
        <v>0</v>
      </c>
      <c r="K404" s="654">
        <v>1428141</v>
      </c>
      <c r="L404" s="654">
        <v>568580</v>
      </c>
      <c r="M404" s="654">
        <v>0</v>
      </c>
      <c r="N404" s="654">
        <v>568580</v>
      </c>
      <c r="O404" s="654">
        <v>0</v>
      </c>
      <c r="P404" s="654">
        <v>0</v>
      </c>
      <c r="Q404" s="654">
        <v>0</v>
      </c>
      <c r="R404" s="654">
        <v>0</v>
      </c>
      <c r="S404" s="654">
        <v>0</v>
      </c>
      <c r="T404" s="654">
        <v>0</v>
      </c>
      <c r="U404" s="654">
        <v>0</v>
      </c>
      <c r="V404" s="654">
        <v>0</v>
      </c>
      <c r="W404" s="654">
        <v>0</v>
      </c>
      <c r="X404" s="654">
        <v>0</v>
      </c>
      <c r="Y404" s="654">
        <v>0</v>
      </c>
    </row>
    <row r="405" spans="1:25" x14ac:dyDescent="0.15">
      <c r="B405" t="s">
        <v>567</v>
      </c>
      <c r="C405" t="s">
        <v>473</v>
      </c>
      <c r="D405" s="654">
        <v>1134937</v>
      </c>
      <c r="E405" s="654">
        <v>380218</v>
      </c>
      <c r="F405" s="654">
        <v>0</v>
      </c>
      <c r="G405" s="654">
        <v>0</v>
      </c>
      <c r="H405" s="654">
        <v>0</v>
      </c>
      <c r="I405" s="654">
        <v>16749</v>
      </c>
      <c r="J405" s="654">
        <v>0</v>
      </c>
      <c r="K405" s="654">
        <v>396967</v>
      </c>
      <c r="L405" s="654">
        <v>142328</v>
      </c>
      <c r="M405" s="654">
        <v>0</v>
      </c>
      <c r="N405" s="654">
        <v>142328</v>
      </c>
      <c r="O405" s="654">
        <v>0</v>
      </c>
      <c r="P405" s="654">
        <v>0</v>
      </c>
      <c r="Q405" s="654">
        <v>0</v>
      </c>
      <c r="R405" s="654">
        <v>0</v>
      </c>
      <c r="S405" s="654">
        <v>0</v>
      </c>
      <c r="T405" s="654">
        <v>0</v>
      </c>
      <c r="U405" s="654">
        <v>0</v>
      </c>
      <c r="V405" s="654">
        <v>0</v>
      </c>
      <c r="W405" s="654">
        <v>0</v>
      </c>
      <c r="X405" s="654">
        <v>0</v>
      </c>
      <c r="Y405" s="654">
        <v>0</v>
      </c>
    </row>
    <row r="406" spans="1:25" x14ac:dyDescent="0.15">
      <c r="B406" t="s">
        <v>568</v>
      </c>
      <c r="C406" t="s">
        <v>474</v>
      </c>
      <c r="D406" s="654">
        <v>1070236</v>
      </c>
      <c r="E406" s="654">
        <v>251250</v>
      </c>
      <c r="F406" s="654">
        <v>0</v>
      </c>
      <c r="G406" s="654">
        <v>0</v>
      </c>
      <c r="H406" s="654">
        <v>0</v>
      </c>
      <c r="I406" s="654">
        <v>0</v>
      </c>
      <c r="J406" s="654">
        <v>0</v>
      </c>
      <c r="K406" s="654">
        <v>251250</v>
      </c>
      <c r="L406" s="654">
        <v>127769</v>
      </c>
      <c r="M406" s="654">
        <v>0</v>
      </c>
      <c r="N406" s="654">
        <v>127769</v>
      </c>
      <c r="O406" s="654">
        <v>0</v>
      </c>
      <c r="P406" s="654">
        <v>0</v>
      </c>
      <c r="Q406" s="654">
        <v>0</v>
      </c>
      <c r="R406" s="654">
        <v>0</v>
      </c>
      <c r="S406" s="654">
        <v>0</v>
      </c>
      <c r="T406" s="654">
        <v>0</v>
      </c>
      <c r="U406" s="654">
        <v>0</v>
      </c>
      <c r="V406" s="654">
        <v>0</v>
      </c>
      <c r="W406" s="654">
        <v>0</v>
      </c>
      <c r="X406" s="654">
        <v>0</v>
      </c>
      <c r="Y406" s="654">
        <v>0</v>
      </c>
    </row>
    <row r="407" spans="1:25" x14ac:dyDescent="0.15">
      <c r="B407" t="s">
        <v>582</v>
      </c>
      <c r="C407" t="s">
        <v>384</v>
      </c>
      <c r="D407" s="654">
        <v>2743866</v>
      </c>
      <c r="E407" s="654">
        <v>450301</v>
      </c>
      <c r="F407" s="654">
        <v>492994</v>
      </c>
      <c r="G407" s="654">
        <v>0</v>
      </c>
      <c r="H407" s="654">
        <v>0</v>
      </c>
      <c r="I407" s="654">
        <v>81646</v>
      </c>
      <c r="J407" s="654">
        <v>864</v>
      </c>
      <c r="K407" s="654">
        <v>1025805</v>
      </c>
      <c r="L407" s="654">
        <v>695910</v>
      </c>
      <c r="M407" s="654">
        <v>0</v>
      </c>
      <c r="N407" s="654">
        <v>695910</v>
      </c>
      <c r="O407" s="654">
        <v>0</v>
      </c>
      <c r="P407" s="654">
        <v>0</v>
      </c>
      <c r="Q407" s="654">
        <v>0</v>
      </c>
      <c r="R407" s="654">
        <v>0</v>
      </c>
      <c r="S407" s="654">
        <v>0</v>
      </c>
      <c r="T407" s="654">
        <v>0</v>
      </c>
      <c r="U407" s="654">
        <v>0</v>
      </c>
      <c r="V407" s="654">
        <v>0</v>
      </c>
      <c r="W407" s="654">
        <v>0</v>
      </c>
      <c r="X407" s="654">
        <v>0</v>
      </c>
      <c r="Y407" s="654">
        <v>0</v>
      </c>
    </row>
    <row r="408" spans="1:25" x14ac:dyDescent="0.15">
      <c r="B408" t="s">
        <v>625</v>
      </c>
      <c r="C408" t="s">
        <v>594</v>
      </c>
      <c r="D408" s="654">
        <v>0</v>
      </c>
      <c r="E408" s="654">
        <v>0</v>
      </c>
      <c r="F408" s="654">
        <v>1458305</v>
      </c>
      <c r="G408" s="654">
        <v>0</v>
      </c>
      <c r="H408" s="654">
        <v>3000000</v>
      </c>
      <c r="I408" s="654">
        <v>382710</v>
      </c>
      <c r="J408" s="654">
        <v>910656</v>
      </c>
      <c r="K408" s="654">
        <v>5751671</v>
      </c>
      <c r="L408" s="654">
        <v>2864700</v>
      </c>
      <c r="M408" s="654">
        <v>0</v>
      </c>
      <c r="N408" s="654">
        <v>2864700</v>
      </c>
      <c r="O408" s="654">
        <v>348840</v>
      </c>
      <c r="P408" s="654">
        <v>0</v>
      </c>
      <c r="Q408" s="654">
        <v>0</v>
      </c>
      <c r="R408" s="654">
        <v>0</v>
      </c>
      <c r="S408" s="654">
        <v>0</v>
      </c>
      <c r="T408" s="654">
        <v>0</v>
      </c>
      <c r="U408" s="654">
        <v>0</v>
      </c>
      <c r="V408" s="654">
        <v>146805</v>
      </c>
      <c r="W408" s="654">
        <v>874139</v>
      </c>
      <c r="X408" s="654">
        <v>0</v>
      </c>
      <c r="Y408" s="654">
        <v>0</v>
      </c>
    </row>
    <row r="409" spans="1:25" x14ac:dyDescent="0.15">
      <c r="B409" t="s">
        <v>671</v>
      </c>
      <c r="C409" t="s">
        <v>383</v>
      </c>
      <c r="D409" s="654">
        <v>0</v>
      </c>
      <c r="E409" s="654">
        <v>0</v>
      </c>
      <c r="F409" s="654">
        <v>0</v>
      </c>
      <c r="G409" s="654">
        <v>0</v>
      </c>
      <c r="H409" s="654">
        <v>0</v>
      </c>
      <c r="I409" s="654"/>
      <c r="J409" s="654">
        <v>0</v>
      </c>
      <c r="K409" s="654">
        <v>0</v>
      </c>
      <c r="L409" s="654">
        <v>0</v>
      </c>
      <c r="M409" s="654">
        <v>0</v>
      </c>
      <c r="N409" s="654">
        <v>0</v>
      </c>
      <c r="O409" s="654">
        <v>0</v>
      </c>
      <c r="P409" s="654">
        <v>0</v>
      </c>
      <c r="Q409" s="654">
        <v>0</v>
      </c>
      <c r="R409" s="654">
        <v>4140</v>
      </c>
      <c r="S409" s="654">
        <v>0</v>
      </c>
      <c r="T409" s="654">
        <v>0</v>
      </c>
      <c r="U409" s="654">
        <v>4140</v>
      </c>
      <c r="V409" s="654">
        <v>0</v>
      </c>
      <c r="W409" s="654">
        <v>0</v>
      </c>
      <c r="X409" s="654">
        <v>0</v>
      </c>
      <c r="Y409" s="654">
        <v>0</v>
      </c>
    </row>
    <row r="410" spans="1:25" x14ac:dyDescent="0.15">
      <c r="B410" t="s">
        <v>965</v>
      </c>
      <c r="C410" t="s">
        <v>986</v>
      </c>
      <c r="D410" s="654">
        <v>1296114</v>
      </c>
      <c r="E410" s="654">
        <v>304379</v>
      </c>
      <c r="F410" s="654">
        <v>313556</v>
      </c>
      <c r="G410" s="654">
        <v>0</v>
      </c>
      <c r="H410" s="654">
        <v>0</v>
      </c>
      <c r="I410" s="654">
        <v>39713</v>
      </c>
      <c r="J410" s="654">
        <v>0</v>
      </c>
      <c r="K410" s="654">
        <v>657648</v>
      </c>
      <c r="L410" s="654">
        <v>530155</v>
      </c>
      <c r="M410" s="654">
        <v>0</v>
      </c>
      <c r="N410" s="654">
        <v>530155</v>
      </c>
      <c r="O410" s="654">
        <v>125604</v>
      </c>
      <c r="P410" s="654">
        <v>190000</v>
      </c>
      <c r="Q410" s="654">
        <v>0</v>
      </c>
      <c r="R410" s="654">
        <v>0</v>
      </c>
      <c r="S410" s="654">
        <v>0</v>
      </c>
      <c r="T410" s="654">
        <v>0</v>
      </c>
      <c r="U410" s="654">
        <v>0</v>
      </c>
      <c r="V410" s="654">
        <v>0</v>
      </c>
      <c r="W410" s="654">
        <v>0</v>
      </c>
      <c r="X410" s="654">
        <v>0</v>
      </c>
      <c r="Y410" s="654">
        <v>0</v>
      </c>
    </row>
    <row r="411" spans="1:25" x14ac:dyDescent="0.15">
      <c r="B411" t="s">
        <v>1201</v>
      </c>
      <c r="C411" t="s">
        <v>1199</v>
      </c>
      <c r="D411" s="654">
        <v>485638</v>
      </c>
      <c r="E411" s="654">
        <v>81995</v>
      </c>
      <c r="F411" s="654">
        <v>353125</v>
      </c>
      <c r="G411" s="654">
        <v>0</v>
      </c>
      <c r="H411" s="654">
        <v>0</v>
      </c>
      <c r="I411" s="654">
        <v>40884</v>
      </c>
      <c r="J411" s="654">
        <v>12246</v>
      </c>
      <c r="K411" s="654">
        <v>488250</v>
      </c>
      <c r="L411" s="654">
        <v>533896</v>
      </c>
      <c r="M411" s="654">
        <v>0</v>
      </c>
      <c r="N411" s="654">
        <v>533896</v>
      </c>
      <c r="O411" s="654">
        <v>100737</v>
      </c>
      <c r="P411" s="654">
        <v>0</v>
      </c>
      <c r="Q411" s="654">
        <v>0</v>
      </c>
      <c r="R411" s="654">
        <v>0</v>
      </c>
      <c r="S411" s="654">
        <v>0</v>
      </c>
      <c r="T411" s="654">
        <v>0</v>
      </c>
      <c r="U411" s="654">
        <v>0</v>
      </c>
      <c r="V411" s="654">
        <v>0</v>
      </c>
      <c r="W411" s="654">
        <v>0</v>
      </c>
      <c r="X411" s="654">
        <v>0</v>
      </c>
      <c r="Y411" s="654">
        <v>0</v>
      </c>
    </row>
    <row r="412" spans="1:25" x14ac:dyDescent="0.15">
      <c r="B412" t="s">
        <v>1386</v>
      </c>
      <c r="C412" t="s">
        <v>1384</v>
      </c>
      <c r="D412" s="654">
        <v>16000</v>
      </c>
      <c r="E412" s="654">
        <v>0</v>
      </c>
      <c r="F412" s="654">
        <v>0</v>
      </c>
      <c r="G412" s="654">
        <v>0</v>
      </c>
      <c r="H412" s="654">
        <v>0</v>
      </c>
      <c r="I412" s="654"/>
      <c r="J412" s="654">
        <v>0</v>
      </c>
      <c r="K412" s="654">
        <v>0</v>
      </c>
      <c r="L412" s="654">
        <v>17066</v>
      </c>
      <c r="M412" s="654">
        <v>0</v>
      </c>
      <c r="N412" s="654">
        <v>17066</v>
      </c>
      <c r="O412" s="654">
        <v>0</v>
      </c>
      <c r="P412" s="654">
        <v>0</v>
      </c>
      <c r="Q412" s="654">
        <v>0</v>
      </c>
      <c r="R412" s="654">
        <v>0</v>
      </c>
      <c r="S412" s="654">
        <v>0</v>
      </c>
      <c r="T412" s="654">
        <v>0</v>
      </c>
      <c r="U412" s="654">
        <v>0</v>
      </c>
      <c r="V412" s="654">
        <v>0</v>
      </c>
      <c r="W412" s="654">
        <v>0</v>
      </c>
      <c r="X412" s="654">
        <v>0</v>
      </c>
      <c r="Y412" s="654">
        <v>0</v>
      </c>
    </row>
    <row r="413" spans="1:25" x14ac:dyDescent="0.15">
      <c r="A413" s="653" t="s">
        <v>1458</v>
      </c>
      <c r="B413"/>
      <c r="D413" s="654">
        <v>42264853</v>
      </c>
      <c r="E413" s="654">
        <v>11425873</v>
      </c>
      <c r="F413" s="654">
        <v>10939950</v>
      </c>
      <c r="G413" s="654">
        <v>0</v>
      </c>
      <c r="H413" s="654">
        <v>3000000</v>
      </c>
      <c r="I413" s="654">
        <v>1800561</v>
      </c>
      <c r="J413" s="654">
        <v>1124906</v>
      </c>
      <c r="K413" s="654">
        <v>28291290</v>
      </c>
      <c r="L413" s="654">
        <v>9640020</v>
      </c>
      <c r="M413" s="654">
        <v>87480</v>
      </c>
      <c r="N413" s="654">
        <v>9727500</v>
      </c>
      <c r="O413" s="654">
        <v>786321</v>
      </c>
      <c r="P413" s="654">
        <v>190000</v>
      </c>
      <c r="Q413" s="654">
        <v>0</v>
      </c>
      <c r="R413" s="654">
        <v>4167</v>
      </c>
      <c r="S413" s="654">
        <v>0</v>
      </c>
      <c r="T413" s="654">
        <v>0</v>
      </c>
      <c r="U413" s="654">
        <v>4167</v>
      </c>
      <c r="V413" s="654">
        <v>146805</v>
      </c>
      <c r="W413" s="654">
        <v>874139</v>
      </c>
      <c r="X413" s="654">
        <v>0</v>
      </c>
      <c r="Y413" s="654">
        <v>0</v>
      </c>
    </row>
    <row r="414" spans="1:25" x14ac:dyDescent="0.15">
      <c r="A414" s="653">
        <v>43435</v>
      </c>
      <c r="B414" t="s">
        <v>626</v>
      </c>
      <c r="C414" t="s">
        <v>378</v>
      </c>
      <c r="D414" s="654">
        <v>12163091</v>
      </c>
      <c r="E414" s="654">
        <v>4039207</v>
      </c>
      <c r="F414" s="654">
        <v>2539827</v>
      </c>
      <c r="G414" s="654">
        <v>2990500</v>
      </c>
      <c r="H414" s="654">
        <v>0</v>
      </c>
      <c r="I414" s="654">
        <v>791423</v>
      </c>
      <c r="J414" s="654">
        <v>36004</v>
      </c>
      <c r="K414" s="654">
        <v>10396961</v>
      </c>
      <c r="L414" s="654">
        <v>1291641</v>
      </c>
      <c r="M414" s="654">
        <v>69984</v>
      </c>
      <c r="N414" s="654">
        <v>1361625</v>
      </c>
      <c r="O414" s="654">
        <v>68040</v>
      </c>
      <c r="P414" s="654">
        <v>0</v>
      </c>
      <c r="Q414" s="654">
        <v>0</v>
      </c>
      <c r="R414" s="654">
        <v>0</v>
      </c>
      <c r="S414" s="654">
        <v>0</v>
      </c>
      <c r="T414" s="654">
        <v>0</v>
      </c>
      <c r="U414" s="654">
        <v>0</v>
      </c>
      <c r="V414" s="654">
        <v>0</v>
      </c>
      <c r="W414" s="654">
        <v>0</v>
      </c>
      <c r="X414" s="654">
        <v>0</v>
      </c>
      <c r="Y414" s="654">
        <v>0</v>
      </c>
    </row>
    <row r="415" spans="1:25" x14ac:dyDescent="0.15">
      <c r="B415" t="s">
        <v>627</v>
      </c>
      <c r="C415" t="s">
        <v>379</v>
      </c>
      <c r="D415" s="654">
        <v>6678253</v>
      </c>
      <c r="E415" s="654">
        <v>1573342</v>
      </c>
      <c r="F415" s="654">
        <v>2489582</v>
      </c>
      <c r="G415" s="654">
        <v>2468595</v>
      </c>
      <c r="H415" s="654">
        <v>0</v>
      </c>
      <c r="I415" s="654">
        <v>758696</v>
      </c>
      <c r="J415" s="654">
        <v>17854</v>
      </c>
      <c r="K415" s="654">
        <v>7308069</v>
      </c>
      <c r="L415" s="654">
        <v>864935</v>
      </c>
      <c r="M415" s="654">
        <v>0</v>
      </c>
      <c r="N415" s="654">
        <v>864935</v>
      </c>
      <c r="O415" s="654">
        <v>0</v>
      </c>
      <c r="P415" s="654">
        <v>19999.999999999996</v>
      </c>
      <c r="Q415" s="654">
        <v>0</v>
      </c>
      <c r="R415" s="654">
        <v>0</v>
      </c>
      <c r="S415" s="654">
        <v>0</v>
      </c>
      <c r="T415" s="654">
        <v>0</v>
      </c>
      <c r="U415" s="654">
        <v>0</v>
      </c>
      <c r="V415" s="654">
        <v>0</v>
      </c>
      <c r="W415" s="654">
        <v>0</v>
      </c>
      <c r="X415" s="654">
        <v>0</v>
      </c>
      <c r="Y415" s="654">
        <v>0</v>
      </c>
    </row>
    <row r="416" spans="1:25" x14ac:dyDescent="0.15">
      <c r="B416" t="s">
        <v>628</v>
      </c>
      <c r="C416" t="s">
        <v>380</v>
      </c>
      <c r="D416" s="654">
        <v>7065580</v>
      </c>
      <c r="E416" s="654">
        <v>1972014</v>
      </c>
      <c r="F416" s="654">
        <v>2405521</v>
      </c>
      <c r="G416" s="654">
        <v>2905500</v>
      </c>
      <c r="H416" s="654">
        <v>0</v>
      </c>
      <c r="I416" s="654">
        <v>829363</v>
      </c>
      <c r="J416" s="654">
        <v>62926</v>
      </c>
      <c r="K416" s="654">
        <v>8175324</v>
      </c>
      <c r="L416" s="654">
        <v>844228</v>
      </c>
      <c r="M416" s="654">
        <v>0</v>
      </c>
      <c r="N416" s="654">
        <v>844228</v>
      </c>
      <c r="O416" s="654">
        <v>51840</v>
      </c>
      <c r="P416" s="654">
        <v>0</v>
      </c>
      <c r="Q416" s="654">
        <v>0</v>
      </c>
      <c r="R416" s="654">
        <v>0</v>
      </c>
      <c r="S416" s="654">
        <v>0</v>
      </c>
      <c r="T416" s="654">
        <v>0</v>
      </c>
      <c r="U416" s="654">
        <v>0</v>
      </c>
      <c r="V416" s="654">
        <v>0</v>
      </c>
      <c r="W416" s="654">
        <v>0</v>
      </c>
      <c r="X416" s="654">
        <v>0</v>
      </c>
      <c r="Y416" s="654">
        <v>0</v>
      </c>
    </row>
    <row r="417" spans="1:25" x14ac:dyDescent="0.15">
      <c r="B417" t="s">
        <v>629</v>
      </c>
      <c r="C417" t="s">
        <v>676</v>
      </c>
      <c r="D417" s="654">
        <v>4422644</v>
      </c>
      <c r="E417" s="654">
        <v>1261113</v>
      </c>
      <c r="F417" s="654">
        <v>979604</v>
      </c>
      <c r="G417" s="654">
        <v>762000</v>
      </c>
      <c r="H417" s="654">
        <v>0</v>
      </c>
      <c r="I417" s="654">
        <v>312105</v>
      </c>
      <c r="J417" s="654">
        <v>0</v>
      </c>
      <c r="K417" s="654">
        <v>3314822</v>
      </c>
      <c r="L417" s="654">
        <v>1158080</v>
      </c>
      <c r="M417" s="654">
        <v>0</v>
      </c>
      <c r="N417" s="654">
        <v>1158080</v>
      </c>
      <c r="O417" s="654">
        <v>0</v>
      </c>
      <c r="P417" s="654">
        <v>0</v>
      </c>
      <c r="Q417" s="654">
        <v>0</v>
      </c>
      <c r="R417" s="654">
        <v>2198</v>
      </c>
      <c r="S417" s="654">
        <v>0</v>
      </c>
      <c r="T417" s="654">
        <v>0</v>
      </c>
      <c r="U417" s="654">
        <v>2198</v>
      </c>
      <c r="V417" s="654">
        <v>0</v>
      </c>
      <c r="W417" s="654">
        <v>0</v>
      </c>
      <c r="X417" s="654">
        <v>0</v>
      </c>
      <c r="Y417" s="654">
        <v>0</v>
      </c>
    </row>
    <row r="418" spans="1:25" x14ac:dyDescent="0.15">
      <c r="B418" t="s">
        <v>631</v>
      </c>
      <c r="C418" t="s">
        <v>381</v>
      </c>
      <c r="D418" s="654">
        <v>2606315</v>
      </c>
      <c r="E418" s="654">
        <v>991529</v>
      </c>
      <c r="F418" s="654">
        <v>358000</v>
      </c>
      <c r="G418" s="654">
        <v>334000</v>
      </c>
      <c r="H418" s="654">
        <v>0</v>
      </c>
      <c r="I418" s="654">
        <v>128768</v>
      </c>
      <c r="J418" s="654">
        <v>0</v>
      </c>
      <c r="K418" s="654">
        <v>1812297</v>
      </c>
      <c r="L418" s="654">
        <v>547437</v>
      </c>
      <c r="M418" s="654">
        <v>0</v>
      </c>
      <c r="N418" s="654">
        <v>547437</v>
      </c>
      <c r="O418" s="654">
        <v>0</v>
      </c>
      <c r="P418" s="654">
        <v>0</v>
      </c>
      <c r="Q418" s="654">
        <v>0</v>
      </c>
      <c r="R418" s="654">
        <v>0</v>
      </c>
      <c r="S418" s="654">
        <v>0</v>
      </c>
      <c r="T418" s="654">
        <v>0</v>
      </c>
      <c r="U418" s="654">
        <v>0</v>
      </c>
      <c r="V418" s="654">
        <v>0</v>
      </c>
      <c r="W418" s="654">
        <v>0</v>
      </c>
      <c r="X418" s="654">
        <v>0</v>
      </c>
      <c r="Y418" s="654">
        <v>0</v>
      </c>
    </row>
    <row r="419" spans="1:25" x14ac:dyDescent="0.15">
      <c r="B419" t="s">
        <v>567</v>
      </c>
      <c r="C419" t="s">
        <v>473</v>
      </c>
      <c r="D419" s="654">
        <v>1175963</v>
      </c>
      <c r="E419" s="654">
        <v>401485</v>
      </c>
      <c r="F419" s="654">
        <v>0</v>
      </c>
      <c r="G419" s="654">
        <v>0</v>
      </c>
      <c r="H419" s="654">
        <v>0</v>
      </c>
      <c r="I419" s="654">
        <v>19409</v>
      </c>
      <c r="J419" s="654">
        <v>0</v>
      </c>
      <c r="K419" s="654">
        <v>420894</v>
      </c>
      <c r="L419" s="654">
        <v>143912</v>
      </c>
      <c r="M419" s="654">
        <v>0</v>
      </c>
      <c r="N419" s="654">
        <v>143912</v>
      </c>
      <c r="O419" s="654">
        <v>0</v>
      </c>
      <c r="P419" s="654">
        <v>0</v>
      </c>
      <c r="Q419" s="654">
        <v>0</v>
      </c>
      <c r="R419" s="654">
        <v>0</v>
      </c>
      <c r="S419" s="654">
        <v>0</v>
      </c>
      <c r="T419" s="654">
        <v>0</v>
      </c>
      <c r="U419" s="654">
        <v>0</v>
      </c>
      <c r="V419" s="654">
        <v>0</v>
      </c>
      <c r="W419" s="654">
        <v>0</v>
      </c>
      <c r="X419" s="654">
        <v>0</v>
      </c>
      <c r="Y419" s="654">
        <v>0</v>
      </c>
    </row>
    <row r="420" spans="1:25" x14ac:dyDescent="0.15">
      <c r="B420" t="s">
        <v>568</v>
      </c>
      <c r="C420" t="s">
        <v>474</v>
      </c>
      <c r="D420" s="654">
        <v>1102442</v>
      </c>
      <c r="E420" s="654">
        <v>227000</v>
      </c>
      <c r="F420" s="654">
        <v>0</v>
      </c>
      <c r="G420" s="654">
        <v>0</v>
      </c>
      <c r="H420" s="654">
        <v>0</v>
      </c>
      <c r="I420" s="654">
        <v>0</v>
      </c>
      <c r="J420" s="654">
        <v>0</v>
      </c>
      <c r="K420" s="654">
        <v>227000</v>
      </c>
      <c r="L420" s="654">
        <v>124309</v>
      </c>
      <c r="M420" s="654">
        <v>0</v>
      </c>
      <c r="N420" s="654">
        <v>124309</v>
      </c>
      <c r="O420" s="654">
        <v>0</v>
      </c>
      <c r="P420" s="654">
        <v>0</v>
      </c>
      <c r="Q420" s="654">
        <v>0</v>
      </c>
      <c r="R420" s="654">
        <v>0</v>
      </c>
      <c r="S420" s="654">
        <v>0</v>
      </c>
      <c r="T420" s="654">
        <v>0</v>
      </c>
      <c r="U420" s="654">
        <v>0</v>
      </c>
      <c r="V420" s="654">
        <v>0</v>
      </c>
      <c r="W420" s="654">
        <v>0</v>
      </c>
      <c r="X420" s="654">
        <v>0</v>
      </c>
      <c r="Y420" s="654">
        <v>0</v>
      </c>
    </row>
    <row r="421" spans="1:25" x14ac:dyDescent="0.15">
      <c r="B421" t="s">
        <v>582</v>
      </c>
      <c r="C421" t="s">
        <v>384</v>
      </c>
      <c r="D421" s="654">
        <v>2807684</v>
      </c>
      <c r="E421" s="654">
        <v>584532</v>
      </c>
      <c r="F421" s="654">
        <v>515075</v>
      </c>
      <c r="G421" s="654">
        <v>100000</v>
      </c>
      <c r="H421" s="654">
        <v>0</v>
      </c>
      <c r="I421" s="654">
        <v>81791</v>
      </c>
      <c r="J421" s="654">
        <v>0</v>
      </c>
      <c r="K421" s="654">
        <v>1281398</v>
      </c>
      <c r="L421" s="654">
        <v>635256</v>
      </c>
      <c r="M421" s="654">
        <v>0</v>
      </c>
      <c r="N421" s="654">
        <v>635256</v>
      </c>
      <c r="O421" s="654">
        <v>0</v>
      </c>
      <c r="P421" s="654">
        <v>0</v>
      </c>
      <c r="Q421" s="654">
        <v>0</v>
      </c>
      <c r="R421" s="654">
        <v>0</v>
      </c>
      <c r="S421" s="654">
        <v>0</v>
      </c>
      <c r="T421" s="654">
        <v>0</v>
      </c>
      <c r="U421" s="654">
        <v>0</v>
      </c>
      <c r="V421" s="654">
        <v>0</v>
      </c>
      <c r="W421" s="654">
        <v>0</v>
      </c>
      <c r="X421" s="654">
        <v>0</v>
      </c>
      <c r="Y421" s="654">
        <v>0</v>
      </c>
    </row>
    <row r="422" spans="1:25" x14ac:dyDescent="0.15">
      <c r="B422" t="s">
        <v>625</v>
      </c>
      <c r="C422" t="s">
        <v>594</v>
      </c>
      <c r="D422" s="654">
        <v>0</v>
      </c>
      <c r="E422" s="654">
        <v>0</v>
      </c>
      <c r="F422" s="654">
        <v>1297477</v>
      </c>
      <c r="G422" s="654">
        <v>2393500</v>
      </c>
      <c r="H422" s="654">
        <v>3000000</v>
      </c>
      <c r="I422" s="654">
        <v>767514</v>
      </c>
      <c r="J422" s="654">
        <v>818026</v>
      </c>
      <c r="K422" s="654">
        <v>8276517</v>
      </c>
      <c r="L422" s="654">
        <v>1950921</v>
      </c>
      <c r="M422" s="654">
        <v>0</v>
      </c>
      <c r="N422" s="654">
        <v>1950921</v>
      </c>
      <c r="O422" s="654">
        <v>0</v>
      </c>
      <c r="P422" s="654">
        <v>0</v>
      </c>
      <c r="Q422" s="654">
        <v>0</v>
      </c>
      <c r="R422" s="654">
        <v>0</v>
      </c>
      <c r="S422" s="654">
        <v>0</v>
      </c>
      <c r="T422" s="654">
        <v>0</v>
      </c>
      <c r="U422" s="654">
        <v>0</v>
      </c>
      <c r="V422" s="654">
        <v>369915</v>
      </c>
      <c r="W422" s="654">
        <v>703823</v>
      </c>
      <c r="X422" s="654">
        <v>0</v>
      </c>
      <c r="Y422" s="654">
        <v>0</v>
      </c>
    </row>
    <row r="423" spans="1:25" x14ac:dyDescent="0.15">
      <c r="B423" t="s">
        <v>965</v>
      </c>
      <c r="C423" t="s">
        <v>986</v>
      </c>
      <c r="D423" s="654">
        <v>1520846</v>
      </c>
      <c r="E423" s="654">
        <v>285948</v>
      </c>
      <c r="F423" s="654">
        <v>322174</v>
      </c>
      <c r="G423" s="654">
        <v>500000</v>
      </c>
      <c r="H423" s="654">
        <v>0</v>
      </c>
      <c r="I423" s="654">
        <v>114101</v>
      </c>
      <c r="J423" s="654">
        <v>2980</v>
      </c>
      <c r="K423" s="654">
        <v>1225203</v>
      </c>
      <c r="L423" s="654">
        <v>544701</v>
      </c>
      <c r="M423" s="654">
        <v>0</v>
      </c>
      <c r="N423" s="654">
        <v>544701</v>
      </c>
      <c r="O423" s="654">
        <v>106488</v>
      </c>
      <c r="P423" s="654">
        <v>125000</v>
      </c>
      <c r="Q423" s="654">
        <v>0</v>
      </c>
      <c r="R423" s="654">
        <v>0</v>
      </c>
      <c r="S423" s="654">
        <v>0</v>
      </c>
      <c r="T423" s="654">
        <v>0</v>
      </c>
      <c r="U423" s="654">
        <v>0</v>
      </c>
      <c r="V423" s="654">
        <v>0</v>
      </c>
      <c r="W423" s="654">
        <v>0</v>
      </c>
      <c r="X423" s="654">
        <v>0</v>
      </c>
      <c r="Y423" s="654">
        <v>0</v>
      </c>
    </row>
    <row r="424" spans="1:25" x14ac:dyDescent="0.15">
      <c r="B424" t="s">
        <v>1201</v>
      </c>
      <c r="C424" t="s">
        <v>1199</v>
      </c>
      <c r="D424" s="654">
        <v>701720</v>
      </c>
      <c r="E424" s="654">
        <v>153695</v>
      </c>
      <c r="F424" s="654">
        <v>361318</v>
      </c>
      <c r="G424" s="654">
        <v>0</v>
      </c>
      <c r="H424" s="654">
        <v>0</v>
      </c>
      <c r="I424" s="654">
        <v>46736</v>
      </c>
      <c r="J424" s="654">
        <v>0</v>
      </c>
      <c r="K424" s="654">
        <v>561749</v>
      </c>
      <c r="L424" s="654">
        <v>395245</v>
      </c>
      <c r="M424" s="654">
        <v>0</v>
      </c>
      <c r="N424" s="654">
        <v>395245</v>
      </c>
      <c r="O424" s="654">
        <v>23042</v>
      </c>
      <c r="P424" s="654">
        <v>0</v>
      </c>
      <c r="Q424" s="654">
        <v>0</v>
      </c>
      <c r="R424" s="654">
        <v>0</v>
      </c>
      <c r="S424" s="654">
        <v>0</v>
      </c>
      <c r="T424" s="654">
        <v>0</v>
      </c>
      <c r="U424" s="654">
        <v>0</v>
      </c>
      <c r="V424" s="654">
        <v>0</v>
      </c>
      <c r="W424" s="654">
        <v>0</v>
      </c>
      <c r="X424" s="654">
        <v>0</v>
      </c>
      <c r="Y424" s="654">
        <v>0</v>
      </c>
    </row>
    <row r="425" spans="1:25" x14ac:dyDescent="0.15">
      <c r="B425" t="s">
        <v>1386</v>
      </c>
      <c r="C425" t="s">
        <v>1384</v>
      </c>
      <c r="D425" s="654">
        <v>40000</v>
      </c>
      <c r="E425" s="654">
        <v>0</v>
      </c>
      <c r="F425" s="654">
        <v>0</v>
      </c>
      <c r="G425" s="654">
        <v>0</v>
      </c>
      <c r="H425" s="654">
        <v>0</v>
      </c>
      <c r="I425" s="654">
        <v>0</v>
      </c>
      <c r="J425" s="654">
        <v>0</v>
      </c>
      <c r="K425" s="654">
        <v>0</v>
      </c>
      <c r="L425" s="654">
        <v>18008</v>
      </c>
      <c r="M425" s="654">
        <v>0</v>
      </c>
      <c r="N425" s="654">
        <v>18008</v>
      </c>
      <c r="O425" s="654">
        <v>0</v>
      </c>
      <c r="P425" s="654">
        <v>0</v>
      </c>
      <c r="Q425" s="654">
        <v>0</v>
      </c>
      <c r="R425" s="654">
        <v>0</v>
      </c>
      <c r="S425" s="654">
        <v>0</v>
      </c>
      <c r="T425" s="654">
        <v>0</v>
      </c>
      <c r="U425" s="654">
        <v>0</v>
      </c>
      <c r="V425" s="654">
        <v>0</v>
      </c>
      <c r="W425" s="654">
        <v>0</v>
      </c>
      <c r="X425" s="654">
        <v>0</v>
      </c>
      <c r="Y425" s="654">
        <v>0</v>
      </c>
    </row>
    <row r="426" spans="1:25" x14ac:dyDescent="0.15">
      <c r="A426" s="653" t="s">
        <v>1491</v>
      </c>
      <c r="B426"/>
      <c r="D426" s="654">
        <v>40284538</v>
      </c>
      <c r="E426" s="654">
        <v>11489865</v>
      </c>
      <c r="F426" s="654">
        <v>11268578</v>
      </c>
      <c r="G426" s="654">
        <v>12454095</v>
      </c>
      <c r="H426" s="654">
        <v>3000000</v>
      </c>
      <c r="I426" s="654">
        <v>3849906</v>
      </c>
      <c r="J426" s="654">
        <v>937790</v>
      </c>
      <c r="K426" s="654">
        <v>43000234</v>
      </c>
      <c r="L426" s="654">
        <v>8518673</v>
      </c>
      <c r="M426" s="654">
        <v>69984</v>
      </c>
      <c r="N426" s="654">
        <v>8588657</v>
      </c>
      <c r="O426" s="654">
        <v>249410</v>
      </c>
      <c r="P426" s="654">
        <v>145000</v>
      </c>
      <c r="Q426" s="654">
        <v>0</v>
      </c>
      <c r="R426" s="654">
        <v>2198</v>
      </c>
      <c r="S426" s="654">
        <v>0</v>
      </c>
      <c r="T426" s="654">
        <v>0</v>
      </c>
      <c r="U426" s="654">
        <v>2198</v>
      </c>
      <c r="V426" s="654">
        <v>369915</v>
      </c>
      <c r="W426" s="654">
        <v>703823</v>
      </c>
      <c r="X426" s="654">
        <v>0</v>
      </c>
      <c r="Y426" s="654">
        <v>0</v>
      </c>
    </row>
    <row r="427" spans="1:25" x14ac:dyDescent="0.15">
      <c r="A427" s="653">
        <v>43466</v>
      </c>
      <c r="B427" t="s">
        <v>626</v>
      </c>
      <c r="C427" t="s">
        <v>378</v>
      </c>
      <c r="D427" s="654">
        <v>12668826</v>
      </c>
      <c r="E427" s="654">
        <v>4011359</v>
      </c>
      <c r="F427" s="654">
        <v>2678960</v>
      </c>
      <c r="G427" s="654">
        <v>0</v>
      </c>
      <c r="H427" s="654">
        <v>0</v>
      </c>
      <c r="I427" s="654">
        <v>343436</v>
      </c>
      <c r="J427" s="654">
        <v>72624</v>
      </c>
      <c r="K427" s="654">
        <v>7106379</v>
      </c>
      <c r="L427" s="654">
        <v>1446783</v>
      </c>
      <c r="M427" s="654">
        <v>102060</v>
      </c>
      <c r="N427" s="654">
        <v>1548843</v>
      </c>
      <c r="O427" s="654">
        <v>0</v>
      </c>
      <c r="P427" s="654">
        <v>0</v>
      </c>
      <c r="Q427" s="654">
        <v>0</v>
      </c>
      <c r="R427" s="654">
        <v>0</v>
      </c>
      <c r="S427" s="654">
        <v>0</v>
      </c>
      <c r="T427" s="654">
        <v>0</v>
      </c>
      <c r="U427" s="654">
        <v>0</v>
      </c>
      <c r="V427" s="654">
        <v>0</v>
      </c>
      <c r="W427" s="654">
        <v>0</v>
      </c>
      <c r="X427" s="654">
        <v>0</v>
      </c>
      <c r="Y427" s="654">
        <v>0</v>
      </c>
    </row>
    <row r="428" spans="1:25" x14ac:dyDescent="0.15">
      <c r="B428" t="s">
        <v>627</v>
      </c>
      <c r="C428" t="s">
        <v>379</v>
      </c>
      <c r="D428" s="654">
        <v>5940817</v>
      </c>
      <c r="E428" s="654">
        <v>1653712</v>
      </c>
      <c r="F428" s="654">
        <v>1864940</v>
      </c>
      <c r="G428" s="654">
        <v>0</v>
      </c>
      <c r="H428" s="654">
        <v>0</v>
      </c>
      <c r="I428" s="654">
        <v>282525</v>
      </c>
      <c r="J428" s="654">
        <v>206088</v>
      </c>
      <c r="K428" s="654">
        <v>4007265</v>
      </c>
      <c r="L428" s="654">
        <v>894137</v>
      </c>
      <c r="M428" s="654">
        <v>0</v>
      </c>
      <c r="N428" s="654">
        <v>894137</v>
      </c>
      <c r="O428" s="654">
        <v>51840</v>
      </c>
      <c r="P428" s="654">
        <v>25000.000000000007</v>
      </c>
      <c r="Q428" s="654">
        <v>0</v>
      </c>
      <c r="R428" s="654">
        <v>0</v>
      </c>
      <c r="S428" s="654">
        <v>0</v>
      </c>
      <c r="T428" s="654">
        <v>0</v>
      </c>
      <c r="U428" s="654">
        <v>0</v>
      </c>
      <c r="V428" s="654">
        <v>0</v>
      </c>
      <c r="W428" s="654">
        <v>0</v>
      </c>
      <c r="X428" s="654">
        <v>0</v>
      </c>
      <c r="Y428" s="654">
        <v>0</v>
      </c>
    </row>
    <row r="429" spans="1:25" x14ac:dyDescent="0.15">
      <c r="B429" t="s">
        <v>628</v>
      </c>
      <c r="C429" t="s">
        <v>380</v>
      </c>
      <c r="D429" s="654">
        <v>7041908</v>
      </c>
      <c r="E429" s="654">
        <v>2139316</v>
      </c>
      <c r="F429" s="654">
        <v>2408503</v>
      </c>
      <c r="G429" s="654">
        <v>0</v>
      </c>
      <c r="H429" s="654">
        <v>0</v>
      </c>
      <c r="I429" s="654">
        <v>385802</v>
      </c>
      <c r="J429" s="654">
        <v>8658</v>
      </c>
      <c r="K429" s="654">
        <v>4942279</v>
      </c>
      <c r="L429" s="654">
        <v>1033335</v>
      </c>
      <c r="M429" s="654">
        <v>0</v>
      </c>
      <c r="N429" s="654">
        <v>1033335</v>
      </c>
      <c r="O429" s="654">
        <v>0</v>
      </c>
      <c r="P429" s="654">
        <v>22499.999999999985</v>
      </c>
      <c r="Q429" s="654">
        <v>0</v>
      </c>
      <c r="R429" s="654">
        <v>0</v>
      </c>
      <c r="S429" s="654">
        <v>0</v>
      </c>
      <c r="T429" s="654">
        <v>0</v>
      </c>
      <c r="U429" s="654">
        <v>0</v>
      </c>
      <c r="V429" s="654">
        <v>0</v>
      </c>
      <c r="W429" s="654">
        <v>0</v>
      </c>
      <c r="X429" s="654">
        <v>0</v>
      </c>
      <c r="Y429" s="654">
        <v>0</v>
      </c>
    </row>
    <row r="430" spans="1:25" x14ac:dyDescent="0.15">
      <c r="B430" t="s">
        <v>629</v>
      </c>
      <c r="C430" t="s">
        <v>676</v>
      </c>
      <c r="D430" s="654">
        <v>4120917</v>
      </c>
      <c r="E430" s="654">
        <v>1146348</v>
      </c>
      <c r="F430" s="654">
        <v>899604</v>
      </c>
      <c r="G430" s="654">
        <v>0</v>
      </c>
      <c r="H430" s="654">
        <v>0</v>
      </c>
      <c r="I430" s="654">
        <v>187830</v>
      </c>
      <c r="J430" s="654">
        <v>99116</v>
      </c>
      <c r="K430" s="654">
        <v>2332898</v>
      </c>
      <c r="L430" s="654">
        <v>1282667</v>
      </c>
      <c r="M430" s="654">
        <v>0</v>
      </c>
      <c r="N430" s="654">
        <v>1282667</v>
      </c>
      <c r="O430" s="654">
        <v>0</v>
      </c>
      <c r="P430" s="654">
        <v>0</v>
      </c>
      <c r="Q430" s="654">
        <v>0</v>
      </c>
      <c r="R430" s="654">
        <v>0</v>
      </c>
      <c r="S430" s="654">
        <v>0</v>
      </c>
      <c r="T430" s="654">
        <v>0</v>
      </c>
      <c r="U430" s="654">
        <v>0</v>
      </c>
      <c r="V430" s="654">
        <v>0</v>
      </c>
      <c r="W430" s="654">
        <v>0</v>
      </c>
      <c r="X430" s="654">
        <v>0</v>
      </c>
      <c r="Y430" s="654">
        <v>0</v>
      </c>
    </row>
    <row r="431" spans="1:25" x14ac:dyDescent="0.15">
      <c r="B431" t="s">
        <v>631</v>
      </c>
      <c r="C431" t="s">
        <v>381</v>
      </c>
      <c r="D431" s="654">
        <v>2627069</v>
      </c>
      <c r="E431" s="654">
        <v>1035698</v>
      </c>
      <c r="F431" s="654">
        <v>359000</v>
      </c>
      <c r="G431" s="654">
        <v>0</v>
      </c>
      <c r="H431" s="654">
        <v>0</v>
      </c>
      <c r="I431" s="654">
        <v>75566</v>
      </c>
      <c r="J431" s="654">
        <v>0</v>
      </c>
      <c r="K431" s="654">
        <v>1470264</v>
      </c>
      <c r="L431" s="654">
        <v>648199</v>
      </c>
      <c r="M431" s="654">
        <v>0</v>
      </c>
      <c r="N431" s="654">
        <v>648199</v>
      </c>
      <c r="O431" s="654">
        <v>0</v>
      </c>
      <c r="P431" s="654">
        <v>0</v>
      </c>
      <c r="Q431" s="654">
        <v>0</v>
      </c>
      <c r="R431" s="654">
        <v>0</v>
      </c>
      <c r="S431" s="654">
        <v>0</v>
      </c>
      <c r="T431" s="654">
        <v>0</v>
      </c>
      <c r="U431" s="654">
        <v>0</v>
      </c>
      <c r="V431" s="654">
        <v>0</v>
      </c>
      <c r="W431" s="654">
        <v>0</v>
      </c>
      <c r="X431" s="654">
        <v>0</v>
      </c>
      <c r="Y431" s="654">
        <v>0</v>
      </c>
    </row>
    <row r="432" spans="1:25" x14ac:dyDescent="0.15">
      <c r="B432" t="s">
        <v>567</v>
      </c>
      <c r="C432" t="s">
        <v>473</v>
      </c>
      <c r="D432" s="654">
        <v>1272363</v>
      </c>
      <c r="E432" s="654">
        <v>370310</v>
      </c>
      <c r="F432" s="654">
        <v>0</v>
      </c>
      <c r="G432" s="654">
        <v>0</v>
      </c>
      <c r="H432" s="654">
        <v>0</v>
      </c>
      <c r="I432" s="654">
        <v>18168</v>
      </c>
      <c r="J432" s="654">
        <v>0</v>
      </c>
      <c r="K432" s="654">
        <v>388478</v>
      </c>
      <c r="L432" s="654">
        <v>129440</v>
      </c>
      <c r="M432" s="654">
        <v>0</v>
      </c>
      <c r="N432" s="654">
        <v>129440</v>
      </c>
      <c r="O432" s="654">
        <v>0</v>
      </c>
      <c r="P432" s="654">
        <v>0</v>
      </c>
      <c r="Q432" s="654">
        <v>0</v>
      </c>
      <c r="R432" s="654">
        <v>0</v>
      </c>
      <c r="S432" s="654">
        <v>0</v>
      </c>
      <c r="T432" s="654">
        <v>0</v>
      </c>
      <c r="U432" s="654">
        <v>0</v>
      </c>
      <c r="V432" s="654">
        <v>0</v>
      </c>
      <c r="W432" s="654">
        <v>0</v>
      </c>
      <c r="X432" s="654">
        <v>0</v>
      </c>
      <c r="Y432" s="654">
        <v>0</v>
      </c>
    </row>
    <row r="433" spans="1:25" x14ac:dyDescent="0.15">
      <c r="B433" t="s">
        <v>568</v>
      </c>
      <c r="C433" t="s">
        <v>474</v>
      </c>
      <c r="D433" s="654">
        <v>1356442</v>
      </c>
      <c r="E433" s="654">
        <v>238000</v>
      </c>
      <c r="F433" s="654">
        <v>0</v>
      </c>
      <c r="G433" s="654">
        <v>0</v>
      </c>
      <c r="H433" s="654">
        <v>0</v>
      </c>
      <c r="I433" s="654">
        <v>0</v>
      </c>
      <c r="J433" s="654">
        <v>0</v>
      </c>
      <c r="K433" s="654">
        <v>238000</v>
      </c>
      <c r="L433" s="654">
        <v>123007</v>
      </c>
      <c r="M433" s="654">
        <v>0</v>
      </c>
      <c r="N433" s="654">
        <v>123007</v>
      </c>
      <c r="O433" s="654">
        <v>0</v>
      </c>
      <c r="P433" s="654">
        <v>0</v>
      </c>
      <c r="Q433" s="654">
        <v>0</v>
      </c>
      <c r="R433" s="654">
        <v>0</v>
      </c>
      <c r="S433" s="654">
        <v>0</v>
      </c>
      <c r="T433" s="654">
        <v>0</v>
      </c>
      <c r="U433" s="654">
        <v>0</v>
      </c>
      <c r="V433" s="654">
        <v>0</v>
      </c>
      <c r="W433" s="654">
        <v>0</v>
      </c>
      <c r="X433" s="654">
        <v>0</v>
      </c>
      <c r="Y433" s="654">
        <v>0</v>
      </c>
    </row>
    <row r="434" spans="1:25" x14ac:dyDescent="0.15">
      <c r="B434" t="s">
        <v>582</v>
      </c>
      <c r="C434" t="s">
        <v>384</v>
      </c>
      <c r="D434" s="654">
        <v>2942481</v>
      </c>
      <c r="E434" s="654">
        <v>632926</v>
      </c>
      <c r="F434" s="654">
        <v>545872</v>
      </c>
      <c r="G434" s="654">
        <v>0</v>
      </c>
      <c r="H434" s="654">
        <v>0</v>
      </c>
      <c r="I434" s="654">
        <v>63614</v>
      </c>
      <c r="J434" s="654">
        <v>1131</v>
      </c>
      <c r="K434" s="654">
        <v>1243543</v>
      </c>
      <c r="L434" s="654">
        <v>654503</v>
      </c>
      <c r="M434" s="654">
        <v>0</v>
      </c>
      <c r="N434" s="654">
        <v>654503</v>
      </c>
      <c r="O434" s="654">
        <v>0</v>
      </c>
      <c r="P434" s="654">
        <v>0</v>
      </c>
      <c r="Q434" s="654">
        <v>0</v>
      </c>
      <c r="R434" s="654">
        <v>0</v>
      </c>
      <c r="S434" s="654">
        <v>0</v>
      </c>
      <c r="T434" s="654">
        <v>0</v>
      </c>
      <c r="U434" s="654">
        <v>0</v>
      </c>
      <c r="V434" s="654">
        <v>0</v>
      </c>
      <c r="W434" s="654">
        <v>0</v>
      </c>
      <c r="X434" s="654">
        <v>0</v>
      </c>
      <c r="Y434" s="654">
        <v>0</v>
      </c>
    </row>
    <row r="435" spans="1:25" x14ac:dyDescent="0.15">
      <c r="B435" t="s">
        <v>625</v>
      </c>
      <c r="C435" t="s">
        <v>594</v>
      </c>
      <c r="D435" s="654">
        <v>0</v>
      </c>
      <c r="E435" s="654">
        <v>87400</v>
      </c>
      <c r="F435" s="654">
        <v>1295849</v>
      </c>
      <c r="G435" s="654">
        <v>0</v>
      </c>
      <c r="H435" s="654">
        <v>3000000</v>
      </c>
      <c r="I435" s="654">
        <v>399141</v>
      </c>
      <c r="J435" s="654">
        <v>22186</v>
      </c>
      <c r="K435" s="654">
        <v>4804576</v>
      </c>
      <c r="L435" s="654">
        <v>1758723</v>
      </c>
      <c r="M435" s="654">
        <v>0</v>
      </c>
      <c r="N435" s="654">
        <v>1758723</v>
      </c>
      <c r="O435" s="654">
        <v>0</v>
      </c>
      <c r="P435" s="654">
        <v>0</v>
      </c>
      <c r="Q435" s="654">
        <v>0</v>
      </c>
      <c r="R435" s="654">
        <v>0</v>
      </c>
      <c r="S435" s="654">
        <v>0</v>
      </c>
      <c r="T435" s="654">
        <v>0</v>
      </c>
      <c r="U435" s="654">
        <v>0</v>
      </c>
      <c r="V435" s="654">
        <v>316282</v>
      </c>
      <c r="W435" s="654">
        <v>1196977</v>
      </c>
      <c r="X435" s="654">
        <v>0</v>
      </c>
      <c r="Y435" s="654">
        <v>0</v>
      </c>
    </row>
    <row r="436" spans="1:25" x14ac:dyDescent="0.15">
      <c r="B436" t="s">
        <v>965</v>
      </c>
      <c r="C436" t="s">
        <v>986</v>
      </c>
      <c r="D436" s="654">
        <v>1160774</v>
      </c>
      <c r="E436" s="654">
        <v>271753</v>
      </c>
      <c r="F436" s="654">
        <v>328566</v>
      </c>
      <c r="G436" s="654">
        <v>0</v>
      </c>
      <c r="H436" s="654">
        <v>0</v>
      </c>
      <c r="I436" s="654">
        <v>42695</v>
      </c>
      <c r="J436" s="654">
        <v>972</v>
      </c>
      <c r="K436" s="654">
        <v>643986</v>
      </c>
      <c r="L436" s="654">
        <v>476615</v>
      </c>
      <c r="M436" s="654">
        <v>0</v>
      </c>
      <c r="N436" s="654">
        <v>476615</v>
      </c>
      <c r="O436" s="654">
        <v>0</v>
      </c>
      <c r="P436" s="654">
        <v>130000</v>
      </c>
      <c r="Q436" s="654">
        <v>0</v>
      </c>
      <c r="R436" s="654">
        <v>0</v>
      </c>
      <c r="S436" s="654">
        <v>0</v>
      </c>
      <c r="T436" s="654">
        <v>0</v>
      </c>
      <c r="U436" s="654">
        <v>0</v>
      </c>
      <c r="V436" s="654">
        <v>0</v>
      </c>
      <c r="W436" s="654">
        <v>0</v>
      </c>
      <c r="X436" s="654">
        <v>0</v>
      </c>
      <c r="Y436" s="654">
        <v>0</v>
      </c>
    </row>
    <row r="437" spans="1:25" x14ac:dyDescent="0.15">
      <c r="B437" t="s">
        <v>1201</v>
      </c>
      <c r="C437" t="s">
        <v>1199</v>
      </c>
      <c r="D437" s="654">
        <v>810680</v>
      </c>
      <c r="E437" s="654">
        <v>266169</v>
      </c>
      <c r="F437" s="654">
        <v>368671</v>
      </c>
      <c r="G437" s="654">
        <v>0</v>
      </c>
      <c r="H437" s="654">
        <v>0</v>
      </c>
      <c r="I437" s="654">
        <v>43924</v>
      </c>
      <c r="J437" s="654">
        <v>13640</v>
      </c>
      <c r="K437" s="654">
        <v>692404</v>
      </c>
      <c r="L437" s="654">
        <v>438641</v>
      </c>
      <c r="M437" s="654">
        <v>0</v>
      </c>
      <c r="N437" s="654">
        <v>438641</v>
      </c>
      <c r="O437" s="654">
        <v>0</v>
      </c>
      <c r="P437" s="654">
        <v>0</v>
      </c>
      <c r="Q437" s="654">
        <v>0</v>
      </c>
      <c r="R437" s="654">
        <v>0</v>
      </c>
      <c r="S437" s="654">
        <v>0</v>
      </c>
      <c r="T437" s="654">
        <v>0</v>
      </c>
      <c r="U437" s="654">
        <v>0</v>
      </c>
      <c r="V437" s="654">
        <v>0</v>
      </c>
      <c r="W437" s="654">
        <v>0</v>
      </c>
      <c r="X437" s="654">
        <v>0</v>
      </c>
      <c r="Y437" s="654">
        <v>0</v>
      </c>
    </row>
    <row r="438" spans="1:25" x14ac:dyDescent="0.15">
      <c r="B438" t="s">
        <v>1386</v>
      </c>
      <c r="C438" t="s">
        <v>1384</v>
      </c>
      <c r="D438" s="654">
        <v>40000</v>
      </c>
      <c r="E438" s="654">
        <v>0</v>
      </c>
      <c r="F438" s="654">
        <v>0</v>
      </c>
      <c r="G438" s="654">
        <v>0</v>
      </c>
      <c r="H438" s="654">
        <v>0</v>
      </c>
      <c r="I438" s="654">
        <v>0</v>
      </c>
      <c r="J438" s="654">
        <v>0</v>
      </c>
      <c r="K438" s="654">
        <v>0</v>
      </c>
      <c r="L438" s="654">
        <v>185160</v>
      </c>
      <c r="M438" s="654">
        <v>0</v>
      </c>
      <c r="N438" s="654">
        <v>185160</v>
      </c>
      <c r="O438" s="654">
        <v>0</v>
      </c>
      <c r="P438" s="654">
        <v>0</v>
      </c>
      <c r="Q438" s="654">
        <v>0</v>
      </c>
      <c r="R438" s="654">
        <v>0</v>
      </c>
      <c r="S438" s="654">
        <v>0</v>
      </c>
      <c r="T438" s="654">
        <v>0</v>
      </c>
      <c r="U438" s="654">
        <v>0</v>
      </c>
      <c r="V438" s="654">
        <v>0</v>
      </c>
      <c r="W438" s="654">
        <v>0</v>
      </c>
      <c r="X438" s="654">
        <v>0</v>
      </c>
      <c r="Y438" s="654">
        <v>0</v>
      </c>
    </row>
    <row r="439" spans="1:25" x14ac:dyDescent="0.15">
      <c r="A439" s="653" t="s">
        <v>1496</v>
      </c>
      <c r="B439"/>
      <c r="D439" s="654">
        <v>39982277</v>
      </c>
      <c r="E439" s="654">
        <v>11852991</v>
      </c>
      <c r="F439" s="654">
        <v>10749965</v>
      </c>
      <c r="G439" s="654">
        <v>0</v>
      </c>
      <c r="H439" s="654">
        <v>3000000</v>
      </c>
      <c r="I439" s="654">
        <v>1842701</v>
      </c>
      <c r="J439" s="654">
        <v>424415</v>
      </c>
      <c r="K439" s="654">
        <v>27870072</v>
      </c>
      <c r="L439" s="654">
        <v>9071210</v>
      </c>
      <c r="M439" s="654">
        <v>102060</v>
      </c>
      <c r="N439" s="654">
        <v>9173270</v>
      </c>
      <c r="O439" s="654">
        <v>51840</v>
      </c>
      <c r="P439" s="654">
        <v>177500</v>
      </c>
      <c r="Q439" s="654">
        <v>0</v>
      </c>
      <c r="R439" s="654">
        <v>0</v>
      </c>
      <c r="S439" s="654">
        <v>0</v>
      </c>
      <c r="T439" s="654">
        <v>0</v>
      </c>
      <c r="U439" s="654">
        <v>0</v>
      </c>
      <c r="V439" s="654">
        <v>316282</v>
      </c>
      <c r="W439" s="654">
        <v>1196977</v>
      </c>
      <c r="X439" s="654">
        <v>0</v>
      </c>
      <c r="Y439" s="654">
        <v>0</v>
      </c>
    </row>
    <row r="440" spans="1:25" x14ac:dyDescent="0.15">
      <c r="A440" s="653">
        <v>43497</v>
      </c>
      <c r="B440" t="s">
        <v>626</v>
      </c>
      <c r="C440" t="s">
        <v>378</v>
      </c>
      <c r="D440" s="654">
        <v>11458207</v>
      </c>
      <c r="E440" s="654">
        <v>3725142</v>
      </c>
      <c r="F440" s="654">
        <v>2819691</v>
      </c>
      <c r="G440" s="654">
        <v>0</v>
      </c>
      <c r="H440" s="654">
        <v>0</v>
      </c>
      <c r="I440" s="654">
        <v>382642</v>
      </c>
      <c r="J440" s="654">
        <v>49696</v>
      </c>
      <c r="K440" s="654">
        <v>6977171</v>
      </c>
      <c r="L440" s="654">
        <v>1177658</v>
      </c>
      <c r="M440" s="654">
        <v>96228</v>
      </c>
      <c r="N440" s="654">
        <v>1273886</v>
      </c>
      <c r="O440" s="654">
        <v>0</v>
      </c>
      <c r="P440" s="654">
        <v>0</v>
      </c>
      <c r="Q440" s="654">
        <v>0</v>
      </c>
      <c r="R440" s="654">
        <v>0</v>
      </c>
      <c r="S440" s="654">
        <v>0</v>
      </c>
      <c r="T440" s="654">
        <v>0</v>
      </c>
      <c r="U440" s="654">
        <v>0</v>
      </c>
      <c r="V440" s="654">
        <v>0</v>
      </c>
      <c r="W440" s="654">
        <v>0</v>
      </c>
      <c r="X440" s="654">
        <v>0</v>
      </c>
      <c r="Y440" s="654">
        <v>0</v>
      </c>
    </row>
    <row r="441" spans="1:25" x14ac:dyDescent="0.15">
      <c r="B441" t="s">
        <v>627</v>
      </c>
      <c r="C441" t="s">
        <v>379</v>
      </c>
      <c r="D441" s="654">
        <v>6270597</v>
      </c>
      <c r="E441" s="654">
        <v>1497153</v>
      </c>
      <c r="F441" s="654">
        <v>1768840</v>
      </c>
      <c r="G441" s="654">
        <v>0</v>
      </c>
      <c r="H441" s="654">
        <v>0</v>
      </c>
      <c r="I441" s="654">
        <v>290101</v>
      </c>
      <c r="J441" s="654">
        <v>7882</v>
      </c>
      <c r="K441" s="654">
        <v>3563976</v>
      </c>
      <c r="L441" s="654">
        <v>861953</v>
      </c>
      <c r="M441" s="654">
        <v>0</v>
      </c>
      <c r="N441" s="654">
        <v>861953</v>
      </c>
      <c r="O441" s="654">
        <v>0</v>
      </c>
      <c r="P441" s="654">
        <v>0</v>
      </c>
      <c r="Q441" s="654">
        <v>0</v>
      </c>
      <c r="R441" s="654">
        <v>0</v>
      </c>
      <c r="S441" s="654">
        <v>0</v>
      </c>
      <c r="T441" s="654">
        <v>0</v>
      </c>
      <c r="U441" s="654">
        <v>0</v>
      </c>
      <c r="V441" s="654">
        <v>0</v>
      </c>
      <c r="W441" s="654">
        <v>0</v>
      </c>
      <c r="X441" s="654">
        <v>0</v>
      </c>
      <c r="Y441" s="654">
        <v>0</v>
      </c>
    </row>
    <row r="442" spans="1:25" x14ac:dyDescent="0.15">
      <c r="B442" t="s">
        <v>628</v>
      </c>
      <c r="C442" t="s">
        <v>380</v>
      </c>
      <c r="D442" s="654">
        <v>6369053</v>
      </c>
      <c r="E442" s="654">
        <v>1722646</v>
      </c>
      <c r="F442" s="654">
        <v>2220430</v>
      </c>
      <c r="G442" s="654">
        <v>0</v>
      </c>
      <c r="H442" s="654">
        <v>0</v>
      </c>
      <c r="I442" s="654">
        <v>330411</v>
      </c>
      <c r="J442" s="654">
        <v>0</v>
      </c>
      <c r="K442" s="654">
        <v>4273487</v>
      </c>
      <c r="L442" s="654">
        <v>773129</v>
      </c>
      <c r="M442" s="654">
        <v>0</v>
      </c>
      <c r="N442" s="654">
        <v>773129</v>
      </c>
      <c r="O442" s="654">
        <v>0</v>
      </c>
      <c r="P442" s="654">
        <v>0</v>
      </c>
      <c r="Q442" s="654">
        <v>0</v>
      </c>
      <c r="R442" s="654">
        <v>0</v>
      </c>
      <c r="S442" s="654">
        <v>0</v>
      </c>
      <c r="T442" s="654">
        <v>0</v>
      </c>
      <c r="U442" s="654">
        <v>0</v>
      </c>
      <c r="V442" s="654">
        <v>0</v>
      </c>
      <c r="W442" s="654">
        <v>0</v>
      </c>
      <c r="X442" s="654">
        <v>0</v>
      </c>
      <c r="Y442" s="654">
        <v>0</v>
      </c>
    </row>
    <row r="443" spans="1:25" x14ac:dyDescent="0.15">
      <c r="B443" t="s">
        <v>629</v>
      </c>
      <c r="C443" t="s">
        <v>676</v>
      </c>
      <c r="D443" s="654">
        <v>4475893</v>
      </c>
      <c r="E443" s="654">
        <v>1222020</v>
      </c>
      <c r="F443" s="654">
        <v>697856</v>
      </c>
      <c r="G443" s="654">
        <v>0</v>
      </c>
      <c r="H443" s="654">
        <v>0</v>
      </c>
      <c r="I443" s="654">
        <v>150053</v>
      </c>
      <c r="J443" s="654">
        <v>32400</v>
      </c>
      <c r="K443" s="654">
        <v>2102329</v>
      </c>
      <c r="L443" s="654">
        <v>1149109</v>
      </c>
      <c r="M443" s="654">
        <v>0</v>
      </c>
      <c r="N443" s="654">
        <v>1149109</v>
      </c>
      <c r="O443" s="654">
        <v>0</v>
      </c>
      <c r="P443" s="654">
        <v>0</v>
      </c>
      <c r="Q443" s="654">
        <v>0</v>
      </c>
      <c r="R443" s="654">
        <v>0</v>
      </c>
      <c r="S443" s="654">
        <v>0</v>
      </c>
      <c r="T443" s="654">
        <v>0</v>
      </c>
      <c r="U443" s="654">
        <v>0</v>
      </c>
      <c r="V443" s="654">
        <v>0</v>
      </c>
      <c r="W443" s="654">
        <v>0</v>
      </c>
      <c r="X443" s="654">
        <v>0</v>
      </c>
      <c r="Y443" s="654">
        <v>0</v>
      </c>
    </row>
    <row r="444" spans="1:25" x14ac:dyDescent="0.15">
      <c r="B444" t="s">
        <v>631</v>
      </c>
      <c r="C444" t="s">
        <v>381</v>
      </c>
      <c r="D444" s="654">
        <v>2515123</v>
      </c>
      <c r="E444" s="654">
        <v>951846</v>
      </c>
      <c r="F444" s="654">
        <v>150000</v>
      </c>
      <c r="G444" s="654">
        <v>0</v>
      </c>
      <c r="H444" s="654">
        <v>150000</v>
      </c>
      <c r="I444" s="654">
        <v>71120</v>
      </c>
      <c r="J444" s="654">
        <v>0</v>
      </c>
      <c r="K444" s="654">
        <v>1322966</v>
      </c>
      <c r="L444" s="654">
        <v>588210</v>
      </c>
      <c r="M444" s="654">
        <v>0</v>
      </c>
      <c r="N444" s="654">
        <v>588210</v>
      </c>
      <c r="O444" s="654">
        <v>0</v>
      </c>
      <c r="P444" s="654">
        <v>0</v>
      </c>
      <c r="Q444" s="654">
        <v>0</v>
      </c>
      <c r="R444" s="654">
        <v>0</v>
      </c>
      <c r="S444" s="654">
        <v>0</v>
      </c>
      <c r="T444" s="654">
        <v>0</v>
      </c>
      <c r="U444" s="654">
        <v>0</v>
      </c>
      <c r="V444" s="654">
        <v>0</v>
      </c>
      <c r="W444" s="654">
        <v>0</v>
      </c>
      <c r="X444" s="654">
        <v>0</v>
      </c>
      <c r="Y444" s="654">
        <v>0</v>
      </c>
    </row>
    <row r="445" spans="1:25" x14ac:dyDescent="0.15">
      <c r="B445" t="s">
        <v>567</v>
      </c>
      <c r="C445" t="s">
        <v>473</v>
      </c>
      <c r="D445" s="654">
        <v>1036423</v>
      </c>
      <c r="E445" s="654">
        <v>302020</v>
      </c>
      <c r="F445" s="654">
        <v>0</v>
      </c>
      <c r="G445" s="654">
        <v>0</v>
      </c>
      <c r="H445" s="654">
        <v>0</v>
      </c>
      <c r="I445" s="654">
        <v>18174</v>
      </c>
      <c r="J445" s="654">
        <v>0</v>
      </c>
      <c r="K445" s="654">
        <v>320194</v>
      </c>
      <c r="L445" s="654">
        <v>122019</v>
      </c>
      <c r="M445" s="654">
        <v>0</v>
      </c>
      <c r="N445" s="654">
        <v>122019</v>
      </c>
      <c r="O445" s="654">
        <v>0</v>
      </c>
      <c r="P445" s="654">
        <v>0</v>
      </c>
      <c r="Q445" s="654">
        <v>0</v>
      </c>
      <c r="R445" s="654">
        <v>0</v>
      </c>
      <c r="S445" s="654">
        <v>0</v>
      </c>
      <c r="T445" s="654">
        <v>0</v>
      </c>
      <c r="U445" s="654">
        <v>0</v>
      </c>
      <c r="V445" s="654">
        <v>0</v>
      </c>
      <c r="W445" s="654">
        <v>0</v>
      </c>
      <c r="X445" s="654">
        <v>0</v>
      </c>
      <c r="Y445" s="654">
        <v>0</v>
      </c>
    </row>
    <row r="446" spans="1:25" x14ac:dyDescent="0.15">
      <c r="B446" t="s">
        <v>568</v>
      </c>
      <c r="C446" t="s">
        <v>474</v>
      </c>
      <c r="D446" s="654">
        <v>1005836</v>
      </c>
      <c r="E446" s="654">
        <v>199000</v>
      </c>
      <c r="F446" s="654">
        <v>0</v>
      </c>
      <c r="G446" s="654">
        <v>0</v>
      </c>
      <c r="H446" s="654">
        <v>0</v>
      </c>
      <c r="I446" s="654">
        <v>0</v>
      </c>
      <c r="J446" s="654">
        <v>0</v>
      </c>
      <c r="K446" s="654">
        <v>199000</v>
      </c>
      <c r="L446" s="654">
        <v>127781</v>
      </c>
      <c r="M446" s="654">
        <v>0</v>
      </c>
      <c r="N446" s="654">
        <v>127781</v>
      </c>
      <c r="O446" s="654">
        <v>0</v>
      </c>
      <c r="P446" s="654">
        <v>0</v>
      </c>
      <c r="Q446" s="654">
        <v>0</v>
      </c>
      <c r="R446" s="654">
        <v>0</v>
      </c>
      <c r="S446" s="654">
        <v>0</v>
      </c>
      <c r="T446" s="654">
        <v>0</v>
      </c>
      <c r="U446" s="654">
        <v>0</v>
      </c>
      <c r="V446" s="654">
        <v>0</v>
      </c>
      <c r="W446" s="654">
        <v>0</v>
      </c>
      <c r="X446" s="654">
        <v>0</v>
      </c>
      <c r="Y446" s="654">
        <v>0</v>
      </c>
    </row>
    <row r="447" spans="1:25" x14ac:dyDescent="0.15">
      <c r="B447" t="s">
        <v>582</v>
      </c>
      <c r="C447" t="s">
        <v>384</v>
      </c>
      <c r="D447" s="654">
        <v>2118435</v>
      </c>
      <c r="E447" s="654">
        <v>517538</v>
      </c>
      <c r="F447" s="654">
        <v>497000</v>
      </c>
      <c r="G447" s="654">
        <v>0</v>
      </c>
      <c r="H447" s="654">
        <v>0</v>
      </c>
      <c r="I447" s="654">
        <v>64988</v>
      </c>
      <c r="J447" s="654">
        <v>300</v>
      </c>
      <c r="K447" s="654">
        <v>1079826</v>
      </c>
      <c r="L447" s="654">
        <v>611780</v>
      </c>
      <c r="M447" s="654">
        <v>0</v>
      </c>
      <c r="N447" s="654">
        <v>611780</v>
      </c>
      <c r="O447" s="654">
        <v>0</v>
      </c>
      <c r="P447" s="654">
        <v>0</v>
      </c>
      <c r="Q447" s="654">
        <v>0</v>
      </c>
      <c r="R447" s="654">
        <v>0</v>
      </c>
      <c r="S447" s="654">
        <v>0</v>
      </c>
      <c r="T447" s="654">
        <v>0</v>
      </c>
      <c r="U447" s="654">
        <v>0</v>
      </c>
      <c r="V447" s="654">
        <v>0</v>
      </c>
      <c r="W447" s="654">
        <v>0</v>
      </c>
      <c r="X447" s="654">
        <v>0</v>
      </c>
      <c r="Y447" s="654">
        <v>0</v>
      </c>
    </row>
    <row r="448" spans="1:25" x14ac:dyDescent="0.15">
      <c r="B448" t="s">
        <v>625</v>
      </c>
      <c r="C448" t="s">
        <v>594</v>
      </c>
      <c r="D448" s="654">
        <v>0</v>
      </c>
      <c r="E448" s="654">
        <v>90600</v>
      </c>
      <c r="F448" s="654">
        <v>1950032</v>
      </c>
      <c r="G448" s="654">
        <v>0</v>
      </c>
      <c r="H448" s="654">
        <v>2850000</v>
      </c>
      <c r="I448" s="654">
        <v>456832</v>
      </c>
      <c r="J448" s="654">
        <v>8950</v>
      </c>
      <c r="K448" s="654">
        <v>5356414</v>
      </c>
      <c r="L448" s="654">
        <v>2554606</v>
      </c>
      <c r="M448" s="654">
        <v>0</v>
      </c>
      <c r="N448" s="654">
        <v>2554606</v>
      </c>
      <c r="O448" s="654">
        <v>297000</v>
      </c>
      <c r="P448" s="654">
        <v>0</v>
      </c>
      <c r="Q448" s="654">
        <v>0</v>
      </c>
      <c r="R448" s="654">
        <v>-80616</v>
      </c>
      <c r="S448" s="654">
        <v>0</v>
      </c>
      <c r="T448" s="654">
        <v>0</v>
      </c>
      <c r="U448" s="654">
        <v>-80616</v>
      </c>
      <c r="V448" s="654">
        <v>308518</v>
      </c>
      <c r="W448" s="654">
        <v>977248</v>
      </c>
      <c r="X448" s="654">
        <v>0</v>
      </c>
      <c r="Y448" s="654">
        <v>0</v>
      </c>
    </row>
    <row r="449" spans="1:25" x14ac:dyDescent="0.15">
      <c r="B449" t="s">
        <v>965</v>
      </c>
      <c r="C449" t="s">
        <v>986</v>
      </c>
      <c r="D449" s="654">
        <v>903949</v>
      </c>
      <c r="E449" s="654">
        <v>228440</v>
      </c>
      <c r="F449" s="654">
        <v>312778</v>
      </c>
      <c r="G449" s="654">
        <v>0</v>
      </c>
      <c r="H449" s="654">
        <v>0</v>
      </c>
      <c r="I449" s="654">
        <v>43910</v>
      </c>
      <c r="J449" s="654">
        <v>2904</v>
      </c>
      <c r="K449" s="654">
        <v>588032</v>
      </c>
      <c r="L449" s="654">
        <v>364736</v>
      </c>
      <c r="M449" s="654">
        <v>0</v>
      </c>
      <c r="N449" s="654">
        <v>364736</v>
      </c>
      <c r="O449" s="654">
        <v>0</v>
      </c>
      <c r="P449" s="654">
        <v>220000</v>
      </c>
      <c r="Q449" s="654">
        <v>0</v>
      </c>
      <c r="R449" s="654">
        <v>0</v>
      </c>
      <c r="S449" s="654">
        <v>0</v>
      </c>
      <c r="T449" s="654">
        <v>0</v>
      </c>
      <c r="U449" s="654">
        <v>0</v>
      </c>
      <c r="V449" s="654">
        <v>0</v>
      </c>
      <c r="W449" s="654">
        <v>0</v>
      </c>
      <c r="X449" s="654">
        <v>0</v>
      </c>
      <c r="Y449" s="654">
        <v>0</v>
      </c>
    </row>
    <row r="450" spans="1:25" x14ac:dyDescent="0.15">
      <c r="B450" t="s">
        <v>1201</v>
      </c>
      <c r="C450" t="s">
        <v>1199</v>
      </c>
      <c r="D450" s="654">
        <v>1060746</v>
      </c>
      <c r="E450" s="654">
        <v>283293</v>
      </c>
      <c r="F450" s="654">
        <v>362513</v>
      </c>
      <c r="G450" s="654">
        <v>0</v>
      </c>
      <c r="H450" s="654">
        <v>0</v>
      </c>
      <c r="I450" s="654">
        <v>45370</v>
      </c>
      <c r="J450" s="654">
        <v>0</v>
      </c>
      <c r="K450" s="654">
        <v>691176</v>
      </c>
      <c r="L450" s="654">
        <v>383687</v>
      </c>
      <c r="M450" s="654">
        <v>0</v>
      </c>
      <c r="N450" s="654">
        <v>383687</v>
      </c>
      <c r="O450" s="654">
        <v>0</v>
      </c>
      <c r="P450" s="654">
        <v>0</v>
      </c>
      <c r="Q450" s="654">
        <v>0</v>
      </c>
      <c r="R450" s="654">
        <v>0</v>
      </c>
      <c r="S450" s="654">
        <v>0</v>
      </c>
      <c r="T450" s="654">
        <v>0</v>
      </c>
      <c r="U450" s="654">
        <v>0</v>
      </c>
      <c r="V450" s="654">
        <v>0</v>
      </c>
      <c r="W450" s="654">
        <v>0</v>
      </c>
      <c r="X450" s="654">
        <v>0</v>
      </c>
      <c r="Y450" s="654">
        <v>0</v>
      </c>
    </row>
    <row r="451" spans="1:25" x14ac:dyDescent="0.15">
      <c r="B451" t="s">
        <v>1386</v>
      </c>
      <c r="C451" t="s">
        <v>1384</v>
      </c>
      <c r="D451" s="654">
        <v>1476188</v>
      </c>
      <c r="E451" s="654">
        <v>229400</v>
      </c>
      <c r="F451" s="654">
        <v>150000</v>
      </c>
      <c r="G451" s="654">
        <v>0</v>
      </c>
      <c r="H451" s="654">
        <v>0</v>
      </c>
      <c r="I451" s="654">
        <v>0</v>
      </c>
      <c r="J451" s="654">
        <v>0</v>
      </c>
      <c r="K451" s="654">
        <v>379400</v>
      </c>
      <c r="L451" s="654">
        <v>188283</v>
      </c>
      <c r="M451" s="654">
        <v>0</v>
      </c>
      <c r="N451" s="654">
        <v>188283</v>
      </c>
      <c r="O451" s="654">
        <v>0</v>
      </c>
      <c r="P451" s="654">
        <v>0</v>
      </c>
      <c r="Q451" s="654">
        <v>0</v>
      </c>
      <c r="R451" s="654">
        <v>0</v>
      </c>
      <c r="S451" s="654">
        <v>0</v>
      </c>
      <c r="T451" s="654">
        <v>0</v>
      </c>
      <c r="U451" s="654">
        <v>0</v>
      </c>
      <c r="V451" s="654">
        <v>0</v>
      </c>
      <c r="W451" s="654">
        <v>0</v>
      </c>
      <c r="X451" s="654">
        <v>0</v>
      </c>
      <c r="Y451" s="654">
        <v>0</v>
      </c>
    </row>
    <row r="452" spans="1:25" x14ac:dyDescent="0.15">
      <c r="A452" s="653" t="s">
        <v>1514</v>
      </c>
      <c r="B452"/>
      <c r="D452" s="654">
        <v>38690450</v>
      </c>
      <c r="E452" s="654">
        <v>10969098</v>
      </c>
      <c r="F452" s="654">
        <v>10929140</v>
      </c>
      <c r="G452" s="654">
        <v>0</v>
      </c>
      <c r="H452" s="654">
        <v>3000000</v>
      </c>
      <c r="I452" s="654">
        <v>1853601</v>
      </c>
      <c r="J452" s="654">
        <v>102132</v>
      </c>
      <c r="K452" s="654">
        <v>26853971</v>
      </c>
      <c r="L452" s="654">
        <v>8902951</v>
      </c>
      <c r="M452" s="654">
        <v>96228</v>
      </c>
      <c r="N452" s="654">
        <v>8999179</v>
      </c>
      <c r="O452" s="654">
        <v>297000</v>
      </c>
      <c r="P452" s="654">
        <v>220000</v>
      </c>
      <c r="Q452" s="654">
        <v>0</v>
      </c>
      <c r="R452" s="654">
        <v>-80616</v>
      </c>
      <c r="S452" s="654">
        <v>0</v>
      </c>
      <c r="T452" s="654">
        <v>0</v>
      </c>
      <c r="U452" s="654">
        <v>-80616</v>
      </c>
      <c r="V452" s="654">
        <v>308518</v>
      </c>
      <c r="W452" s="654">
        <v>977248</v>
      </c>
      <c r="X452" s="654">
        <v>0</v>
      </c>
      <c r="Y452" s="654">
        <v>0</v>
      </c>
    </row>
    <row r="453" spans="1:25" x14ac:dyDescent="0.15">
      <c r="A453" s="653">
        <v>43525</v>
      </c>
      <c r="B453" t="s">
        <v>626</v>
      </c>
      <c r="C453" t="s">
        <v>378</v>
      </c>
      <c r="D453" s="654">
        <v>12821396</v>
      </c>
      <c r="E453" s="654">
        <v>3994054</v>
      </c>
      <c r="F453" s="654">
        <v>2752108</v>
      </c>
      <c r="G453" s="654">
        <v>0</v>
      </c>
      <c r="H453" s="654">
        <v>0</v>
      </c>
      <c r="I453" s="654">
        <v>383094</v>
      </c>
      <c r="J453" s="654">
        <v>45927</v>
      </c>
      <c r="K453" s="654">
        <v>7175183</v>
      </c>
      <c r="L453" s="654">
        <v>1123329</v>
      </c>
      <c r="M453" s="654">
        <v>32076</v>
      </c>
      <c r="N453" s="654">
        <v>1155405</v>
      </c>
      <c r="O453" s="654">
        <v>0</v>
      </c>
      <c r="P453" s="654">
        <v>0</v>
      </c>
      <c r="Q453" s="654">
        <v>0</v>
      </c>
      <c r="R453" s="654">
        <v>0</v>
      </c>
      <c r="S453" s="654">
        <v>0</v>
      </c>
      <c r="T453" s="654">
        <v>0</v>
      </c>
      <c r="U453" s="654">
        <v>0</v>
      </c>
      <c r="V453" s="654">
        <v>0</v>
      </c>
      <c r="W453" s="654">
        <v>0</v>
      </c>
      <c r="X453" s="654">
        <v>0</v>
      </c>
      <c r="Y453" s="654">
        <v>0</v>
      </c>
    </row>
    <row r="454" spans="1:25" x14ac:dyDescent="0.15">
      <c r="B454" t="s">
        <v>627</v>
      </c>
      <c r="C454" t="s">
        <v>379</v>
      </c>
      <c r="D454" s="654">
        <v>5457771</v>
      </c>
      <c r="E454" s="654">
        <v>1672913</v>
      </c>
      <c r="F454" s="654">
        <v>1466687</v>
      </c>
      <c r="G454" s="654">
        <v>0</v>
      </c>
      <c r="H454" s="654">
        <v>0</v>
      </c>
      <c r="I454" s="654">
        <v>256001</v>
      </c>
      <c r="J454" s="654">
        <v>3831</v>
      </c>
      <c r="K454" s="654">
        <v>3399432</v>
      </c>
      <c r="L454" s="654">
        <v>817415</v>
      </c>
      <c r="M454" s="654">
        <v>0</v>
      </c>
      <c r="N454" s="654">
        <v>817415</v>
      </c>
      <c r="O454" s="654">
        <v>0</v>
      </c>
      <c r="P454" s="654">
        <v>0</v>
      </c>
      <c r="Q454" s="654">
        <v>0</v>
      </c>
      <c r="R454" s="654">
        <v>0</v>
      </c>
      <c r="S454" s="654">
        <v>0</v>
      </c>
      <c r="T454" s="654">
        <v>0</v>
      </c>
      <c r="U454" s="654">
        <v>0</v>
      </c>
      <c r="V454" s="654">
        <v>0</v>
      </c>
      <c r="W454" s="654">
        <v>0</v>
      </c>
      <c r="X454" s="654">
        <v>0</v>
      </c>
      <c r="Y454" s="654">
        <v>0</v>
      </c>
    </row>
    <row r="455" spans="1:25" x14ac:dyDescent="0.15">
      <c r="B455" t="s">
        <v>628</v>
      </c>
      <c r="C455" t="s">
        <v>380</v>
      </c>
      <c r="D455" s="654">
        <v>6979599</v>
      </c>
      <c r="E455" s="654">
        <v>1925498</v>
      </c>
      <c r="F455" s="654">
        <v>2252064</v>
      </c>
      <c r="G455" s="654">
        <v>0</v>
      </c>
      <c r="H455" s="654">
        <v>0</v>
      </c>
      <c r="I455" s="654">
        <v>333160</v>
      </c>
      <c r="J455" s="654">
        <v>5859</v>
      </c>
      <c r="K455" s="654">
        <v>4516581</v>
      </c>
      <c r="L455" s="654">
        <v>726515</v>
      </c>
      <c r="M455" s="654">
        <v>0</v>
      </c>
      <c r="N455" s="654">
        <v>726515</v>
      </c>
      <c r="O455" s="654">
        <v>0</v>
      </c>
      <c r="P455" s="654">
        <v>0</v>
      </c>
      <c r="Q455" s="654">
        <v>0</v>
      </c>
      <c r="R455" s="654">
        <v>0</v>
      </c>
      <c r="S455" s="654">
        <v>0</v>
      </c>
      <c r="T455" s="654">
        <v>0</v>
      </c>
      <c r="U455" s="654">
        <v>0</v>
      </c>
      <c r="V455" s="654">
        <v>0</v>
      </c>
      <c r="W455" s="654">
        <v>0</v>
      </c>
      <c r="X455" s="654">
        <v>0</v>
      </c>
      <c r="Y455" s="654">
        <v>0</v>
      </c>
    </row>
    <row r="456" spans="1:25" x14ac:dyDescent="0.15">
      <c r="B456" t="s">
        <v>629</v>
      </c>
      <c r="C456" t="s">
        <v>676</v>
      </c>
      <c r="D456" s="654">
        <v>4931183</v>
      </c>
      <c r="E456" s="654">
        <v>1307473</v>
      </c>
      <c r="F456" s="654">
        <v>720487</v>
      </c>
      <c r="G456" s="654">
        <v>0</v>
      </c>
      <c r="H456" s="654">
        <v>0</v>
      </c>
      <c r="I456" s="654">
        <v>151589</v>
      </c>
      <c r="J456" s="654">
        <v>700</v>
      </c>
      <c r="K456" s="654">
        <v>2180249</v>
      </c>
      <c r="L456" s="654">
        <v>1064856</v>
      </c>
      <c r="M456" s="654">
        <v>0</v>
      </c>
      <c r="N456" s="654">
        <v>1064856</v>
      </c>
      <c r="O456" s="654">
        <v>0</v>
      </c>
      <c r="P456" s="654">
        <v>0</v>
      </c>
      <c r="Q456" s="654">
        <v>0</v>
      </c>
      <c r="R456" s="654">
        <v>0</v>
      </c>
      <c r="S456" s="654">
        <v>0</v>
      </c>
      <c r="T456" s="654">
        <v>0</v>
      </c>
      <c r="U456" s="654">
        <v>0</v>
      </c>
      <c r="V456" s="654">
        <v>0</v>
      </c>
      <c r="W456" s="654">
        <v>0</v>
      </c>
      <c r="X456" s="654">
        <v>0</v>
      </c>
      <c r="Y456" s="654">
        <v>0</v>
      </c>
    </row>
    <row r="457" spans="1:25" x14ac:dyDescent="0.15">
      <c r="B457" t="s">
        <v>631</v>
      </c>
      <c r="C457" t="s">
        <v>381</v>
      </c>
      <c r="D457" s="654">
        <v>2498262</v>
      </c>
      <c r="E457" s="654">
        <v>1016604</v>
      </c>
      <c r="F457" s="654">
        <v>140000</v>
      </c>
      <c r="G457" s="654">
        <v>0</v>
      </c>
      <c r="H457" s="654">
        <v>150000</v>
      </c>
      <c r="I457" s="654">
        <v>71382</v>
      </c>
      <c r="J457" s="654">
        <v>0</v>
      </c>
      <c r="K457" s="654">
        <v>1377986</v>
      </c>
      <c r="L457" s="654">
        <v>778041</v>
      </c>
      <c r="M457" s="654">
        <v>0</v>
      </c>
      <c r="N457" s="654">
        <v>778041</v>
      </c>
      <c r="O457" s="654">
        <v>0</v>
      </c>
      <c r="P457" s="654">
        <v>0</v>
      </c>
      <c r="Q457" s="654">
        <v>0</v>
      </c>
      <c r="R457" s="654">
        <v>0</v>
      </c>
      <c r="S457" s="654">
        <v>0</v>
      </c>
      <c r="T457" s="654">
        <v>0</v>
      </c>
      <c r="U457" s="654">
        <v>0</v>
      </c>
      <c r="V457" s="654">
        <v>0</v>
      </c>
      <c r="W457" s="654">
        <v>0</v>
      </c>
      <c r="X457" s="654">
        <v>0</v>
      </c>
      <c r="Y457" s="654">
        <v>0</v>
      </c>
    </row>
    <row r="458" spans="1:25" x14ac:dyDescent="0.15">
      <c r="B458" t="s">
        <v>567</v>
      </c>
      <c r="C458" t="s">
        <v>473</v>
      </c>
      <c r="D458" s="654">
        <v>1027444</v>
      </c>
      <c r="E458" s="654">
        <v>285393</v>
      </c>
      <c r="F458" s="654">
        <v>0</v>
      </c>
      <c r="G458" s="654">
        <v>0</v>
      </c>
      <c r="H458" s="654">
        <v>0</v>
      </c>
      <c r="I458" s="654">
        <v>18155</v>
      </c>
      <c r="J458" s="654">
        <v>0</v>
      </c>
      <c r="K458" s="654">
        <v>303548</v>
      </c>
      <c r="L458" s="654">
        <v>136143</v>
      </c>
      <c r="M458" s="654">
        <v>0</v>
      </c>
      <c r="N458" s="654">
        <v>136143</v>
      </c>
      <c r="O458" s="654">
        <v>0</v>
      </c>
      <c r="P458" s="654">
        <v>0</v>
      </c>
      <c r="Q458" s="654">
        <v>0</v>
      </c>
      <c r="R458" s="654">
        <v>0</v>
      </c>
      <c r="S458" s="654">
        <v>0</v>
      </c>
      <c r="T458" s="654">
        <v>0</v>
      </c>
      <c r="U458" s="654">
        <v>0</v>
      </c>
      <c r="V458" s="654">
        <v>0</v>
      </c>
      <c r="W458" s="654">
        <v>0</v>
      </c>
      <c r="X458" s="654">
        <v>0</v>
      </c>
      <c r="Y458" s="654">
        <v>0</v>
      </c>
    </row>
    <row r="459" spans="1:25" x14ac:dyDescent="0.15">
      <c r="B459" t="s">
        <v>568</v>
      </c>
      <c r="C459" t="s">
        <v>474</v>
      </c>
      <c r="D459" s="654">
        <v>973793</v>
      </c>
      <c r="E459" s="654">
        <v>219000</v>
      </c>
      <c r="F459" s="654">
        <v>0</v>
      </c>
      <c r="G459" s="654">
        <v>0</v>
      </c>
      <c r="H459" s="654">
        <v>0</v>
      </c>
      <c r="I459" s="654">
        <v>0</v>
      </c>
      <c r="J459" s="654">
        <v>0</v>
      </c>
      <c r="K459" s="654">
        <v>219000</v>
      </c>
      <c r="L459" s="654">
        <v>154379</v>
      </c>
      <c r="M459" s="654">
        <v>0</v>
      </c>
      <c r="N459" s="654">
        <v>154379</v>
      </c>
      <c r="O459" s="654">
        <v>0</v>
      </c>
      <c r="P459" s="654">
        <v>0</v>
      </c>
      <c r="Q459" s="654">
        <v>0</v>
      </c>
      <c r="R459" s="654">
        <v>0</v>
      </c>
      <c r="S459" s="654">
        <v>0</v>
      </c>
      <c r="T459" s="654">
        <v>0</v>
      </c>
      <c r="U459" s="654">
        <v>0</v>
      </c>
      <c r="V459" s="654">
        <v>0</v>
      </c>
      <c r="W459" s="654">
        <v>0</v>
      </c>
      <c r="X459" s="654">
        <v>0</v>
      </c>
      <c r="Y459" s="654">
        <v>0</v>
      </c>
    </row>
    <row r="460" spans="1:25" x14ac:dyDescent="0.15">
      <c r="B460" t="s">
        <v>582</v>
      </c>
      <c r="C460" t="s">
        <v>384</v>
      </c>
      <c r="D460" s="654">
        <v>1999507</v>
      </c>
      <c r="E460" s="654">
        <v>962010</v>
      </c>
      <c r="F460" s="654">
        <v>498502</v>
      </c>
      <c r="G460" s="654">
        <v>0</v>
      </c>
      <c r="H460" s="654">
        <v>0</v>
      </c>
      <c r="I460" s="654">
        <v>65406</v>
      </c>
      <c r="J460" s="654">
        <v>0</v>
      </c>
      <c r="K460" s="654">
        <v>1525918</v>
      </c>
      <c r="L460" s="654">
        <v>656722</v>
      </c>
      <c r="M460" s="654">
        <v>0</v>
      </c>
      <c r="N460" s="654">
        <v>656722</v>
      </c>
      <c r="O460" s="654">
        <v>0</v>
      </c>
      <c r="P460" s="654">
        <v>0</v>
      </c>
      <c r="Q460" s="654">
        <v>0</v>
      </c>
      <c r="R460" s="654">
        <v>0</v>
      </c>
      <c r="S460" s="654">
        <v>0</v>
      </c>
      <c r="T460" s="654">
        <v>0</v>
      </c>
      <c r="U460" s="654">
        <v>0</v>
      </c>
      <c r="V460" s="654">
        <v>0</v>
      </c>
      <c r="W460" s="654">
        <v>0</v>
      </c>
      <c r="X460" s="654">
        <v>0</v>
      </c>
      <c r="Y460" s="654">
        <v>0</v>
      </c>
    </row>
    <row r="461" spans="1:25" x14ac:dyDescent="0.15">
      <c r="B461" t="s">
        <v>625</v>
      </c>
      <c r="C461" t="s">
        <v>594</v>
      </c>
      <c r="D461" s="654">
        <v>142560</v>
      </c>
      <c r="E461" s="654">
        <v>90600</v>
      </c>
      <c r="F461" s="654">
        <v>1159230</v>
      </c>
      <c r="G461" s="654">
        <v>0</v>
      </c>
      <c r="H461" s="654">
        <v>2850000</v>
      </c>
      <c r="I461" s="654">
        <v>363500</v>
      </c>
      <c r="J461" s="654">
        <v>17400</v>
      </c>
      <c r="K461" s="654">
        <v>4480730</v>
      </c>
      <c r="L461" s="654">
        <v>2293024</v>
      </c>
      <c r="M461" s="654">
        <v>0</v>
      </c>
      <c r="N461" s="654">
        <v>2293024</v>
      </c>
      <c r="O461" s="654">
        <v>0</v>
      </c>
      <c r="P461" s="654">
        <v>0</v>
      </c>
      <c r="Q461" s="654">
        <v>0</v>
      </c>
      <c r="R461" s="654">
        <v>0</v>
      </c>
      <c r="S461" s="654">
        <v>0</v>
      </c>
      <c r="T461" s="654">
        <v>0</v>
      </c>
      <c r="U461" s="654">
        <v>0</v>
      </c>
      <c r="V461" s="654">
        <v>539685</v>
      </c>
      <c r="W461" s="654">
        <v>532662</v>
      </c>
      <c r="X461" s="654">
        <v>0</v>
      </c>
      <c r="Y461" s="654">
        <v>0</v>
      </c>
    </row>
    <row r="462" spans="1:25" x14ac:dyDescent="0.15">
      <c r="B462" t="s">
        <v>965</v>
      </c>
      <c r="C462" t="s">
        <v>986</v>
      </c>
      <c r="D462" s="654">
        <v>0</v>
      </c>
      <c r="E462" s="654">
        <v>0</v>
      </c>
      <c r="F462" s="654">
        <v>0</v>
      </c>
      <c r="G462" s="654">
        <v>0</v>
      </c>
      <c r="H462" s="654">
        <v>0</v>
      </c>
      <c r="I462" s="654">
        <v>0</v>
      </c>
      <c r="J462" s="654">
        <v>0</v>
      </c>
      <c r="K462" s="654">
        <v>0</v>
      </c>
      <c r="L462" s="654">
        <v>329510</v>
      </c>
      <c r="M462" s="654">
        <v>0</v>
      </c>
      <c r="N462" s="654">
        <v>329510</v>
      </c>
      <c r="O462" s="654">
        <v>0</v>
      </c>
      <c r="P462" s="654">
        <v>0</v>
      </c>
      <c r="Q462" s="654">
        <v>0</v>
      </c>
      <c r="R462" s="654">
        <v>0</v>
      </c>
      <c r="S462" s="654">
        <v>0</v>
      </c>
      <c r="T462" s="654">
        <v>0</v>
      </c>
      <c r="U462" s="654">
        <v>0</v>
      </c>
      <c r="V462" s="654">
        <v>0</v>
      </c>
      <c r="W462" s="654">
        <v>0</v>
      </c>
      <c r="X462" s="654">
        <v>0</v>
      </c>
      <c r="Y462" s="654">
        <v>0</v>
      </c>
    </row>
    <row r="463" spans="1:25" x14ac:dyDescent="0.15">
      <c r="B463" t="s">
        <v>1201</v>
      </c>
      <c r="C463" t="s">
        <v>1199</v>
      </c>
      <c r="D463" s="654">
        <v>1438607</v>
      </c>
      <c r="E463" s="654">
        <v>388602</v>
      </c>
      <c r="F463" s="654">
        <v>647173</v>
      </c>
      <c r="G463" s="654">
        <v>0</v>
      </c>
      <c r="H463" s="654">
        <v>0</v>
      </c>
      <c r="I463" s="654">
        <v>89057</v>
      </c>
      <c r="J463" s="654">
        <v>0</v>
      </c>
      <c r="K463" s="654">
        <v>1124832</v>
      </c>
      <c r="L463" s="654">
        <v>410646</v>
      </c>
      <c r="M463" s="654">
        <v>0</v>
      </c>
      <c r="N463" s="654">
        <v>410646</v>
      </c>
      <c r="O463" s="654">
        <v>0</v>
      </c>
      <c r="P463" s="654">
        <v>0</v>
      </c>
      <c r="Q463" s="654">
        <v>0</v>
      </c>
      <c r="R463" s="654">
        <v>0</v>
      </c>
      <c r="S463" s="654">
        <v>0</v>
      </c>
      <c r="T463" s="654">
        <v>0</v>
      </c>
      <c r="U463" s="654">
        <v>0</v>
      </c>
      <c r="V463" s="654">
        <v>0</v>
      </c>
      <c r="W463" s="654">
        <v>0</v>
      </c>
      <c r="X463" s="654">
        <v>0</v>
      </c>
      <c r="Y463" s="654">
        <v>0</v>
      </c>
    </row>
    <row r="464" spans="1:25" x14ac:dyDescent="0.15">
      <c r="B464" t="s">
        <v>1386</v>
      </c>
      <c r="C464" t="s">
        <v>1384</v>
      </c>
      <c r="D464" s="654">
        <v>1775131</v>
      </c>
      <c r="E464" s="654">
        <v>359200</v>
      </c>
      <c r="F464" s="654">
        <v>150000</v>
      </c>
      <c r="G464" s="654">
        <v>0</v>
      </c>
      <c r="H464" s="654">
        <v>0</v>
      </c>
      <c r="I464" s="654">
        <v>0</v>
      </c>
      <c r="J464" s="654">
        <v>0</v>
      </c>
      <c r="K464" s="654">
        <v>509200</v>
      </c>
      <c r="L464" s="654">
        <v>133407</v>
      </c>
      <c r="M464" s="654">
        <v>0</v>
      </c>
      <c r="N464" s="654">
        <v>133407</v>
      </c>
      <c r="O464" s="654">
        <v>0</v>
      </c>
      <c r="P464" s="654">
        <v>0</v>
      </c>
      <c r="Q464" s="654">
        <v>0</v>
      </c>
      <c r="R464" s="654">
        <v>0</v>
      </c>
      <c r="S464" s="654">
        <v>0</v>
      </c>
      <c r="T464" s="654">
        <v>0</v>
      </c>
      <c r="U464" s="654">
        <v>0</v>
      </c>
      <c r="V464" s="654">
        <v>0</v>
      </c>
      <c r="W464" s="654">
        <v>0</v>
      </c>
      <c r="X464" s="654">
        <v>0</v>
      </c>
      <c r="Y464" s="654">
        <v>0</v>
      </c>
    </row>
    <row r="465" spans="1:25" x14ac:dyDescent="0.15">
      <c r="A465" s="653" t="s">
        <v>1525</v>
      </c>
      <c r="B465"/>
      <c r="D465" s="654">
        <v>40045253</v>
      </c>
      <c r="E465" s="654">
        <v>12221347</v>
      </c>
      <c r="F465" s="654">
        <v>9786251</v>
      </c>
      <c r="G465" s="654">
        <v>0</v>
      </c>
      <c r="H465" s="654">
        <v>3000000</v>
      </c>
      <c r="I465" s="654">
        <v>1731344</v>
      </c>
      <c r="J465" s="654">
        <v>73717</v>
      </c>
      <c r="K465" s="654">
        <v>26812659</v>
      </c>
      <c r="L465" s="654">
        <v>8623987</v>
      </c>
      <c r="M465" s="654">
        <v>32076</v>
      </c>
      <c r="N465" s="654">
        <v>8656063</v>
      </c>
      <c r="O465" s="654">
        <v>0</v>
      </c>
      <c r="P465" s="654">
        <v>0</v>
      </c>
      <c r="Q465" s="654">
        <v>0</v>
      </c>
      <c r="R465" s="654">
        <v>0</v>
      </c>
      <c r="S465" s="654">
        <v>0</v>
      </c>
      <c r="T465" s="654">
        <v>0</v>
      </c>
      <c r="U465" s="654">
        <v>0</v>
      </c>
      <c r="V465" s="654">
        <v>539685</v>
      </c>
      <c r="W465" s="654">
        <v>532662</v>
      </c>
      <c r="X465" s="654">
        <v>0</v>
      </c>
      <c r="Y465" s="654">
        <v>0</v>
      </c>
    </row>
    <row r="466" spans="1:25" x14ac:dyDescent="0.15">
      <c r="A466" s="653">
        <v>43556</v>
      </c>
      <c r="B466" t="s">
        <v>626</v>
      </c>
      <c r="C466" t="s">
        <v>378</v>
      </c>
      <c r="D466" s="654">
        <v>12901588</v>
      </c>
      <c r="E466" s="654">
        <v>3892391</v>
      </c>
      <c r="F466" s="654">
        <v>2306540</v>
      </c>
      <c r="G466" s="654">
        <v>0</v>
      </c>
      <c r="H466" s="654"/>
      <c r="I466" s="654">
        <v>343198</v>
      </c>
      <c r="J466" s="654">
        <v>49542</v>
      </c>
      <c r="K466" s="654">
        <v>6591671</v>
      </c>
      <c r="L466" s="654">
        <v>1006425</v>
      </c>
      <c r="M466" s="654">
        <v>61236</v>
      </c>
      <c r="N466" s="654">
        <v>1067661</v>
      </c>
      <c r="O466" s="654">
        <v>0</v>
      </c>
      <c r="P466" s="654">
        <v>0</v>
      </c>
      <c r="Q466" s="654">
        <v>0</v>
      </c>
      <c r="R466" s="654">
        <v>0</v>
      </c>
      <c r="S466" s="654">
        <v>0</v>
      </c>
      <c r="T466" s="654">
        <v>0</v>
      </c>
      <c r="U466" s="654">
        <v>0</v>
      </c>
      <c r="V466" s="654">
        <v>0</v>
      </c>
      <c r="W466" s="654">
        <v>0</v>
      </c>
      <c r="X466" s="654">
        <v>0</v>
      </c>
      <c r="Y466" s="654">
        <v>0</v>
      </c>
    </row>
    <row r="467" spans="1:25" x14ac:dyDescent="0.15">
      <c r="B467" t="s">
        <v>627</v>
      </c>
      <c r="C467" t="s">
        <v>379</v>
      </c>
      <c r="D467" s="654">
        <v>6262229</v>
      </c>
      <c r="E467" s="654">
        <v>1593804</v>
      </c>
      <c r="F467" s="654">
        <v>1672796</v>
      </c>
      <c r="G467" s="654">
        <v>0</v>
      </c>
      <c r="H467" s="654"/>
      <c r="I467" s="654">
        <v>303004</v>
      </c>
      <c r="J467" s="654">
        <v>15808</v>
      </c>
      <c r="K467" s="654">
        <v>3585412</v>
      </c>
      <c r="L467" s="654">
        <v>946371</v>
      </c>
      <c r="M467" s="654">
        <v>0</v>
      </c>
      <c r="N467" s="654">
        <v>946371</v>
      </c>
      <c r="O467" s="654">
        <v>0</v>
      </c>
      <c r="P467" s="654">
        <v>0</v>
      </c>
      <c r="Q467" s="654">
        <v>0</v>
      </c>
      <c r="R467" s="654">
        <v>0</v>
      </c>
      <c r="S467" s="654">
        <v>0</v>
      </c>
      <c r="T467" s="654">
        <v>0</v>
      </c>
      <c r="U467" s="654">
        <v>0</v>
      </c>
      <c r="V467" s="654">
        <v>0</v>
      </c>
      <c r="W467" s="654">
        <v>0</v>
      </c>
      <c r="X467" s="654">
        <v>0</v>
      </c>
      <c r="Y467" s="654">
        <v>0</v>
      </c>
    </row>
    <row r="468" spans="1:25" x14ac:dyDescent="0.15">
      <c r="B468" t="s">
        <v>628</v>
      </c>
      <c r="C468" t="s">
        <v>380</v>
      </c>
      <c r="D468" s="654">
        <v>7110420</v>
      </c>
      <c r="E468" s="654">
        <v>2019702</v>
      </c>
      <c r="F468" s="654">
        <v>2250088</v>
      </c>
      <c r="G468" s="654">
        <v>0</v>
      </c>
      <c r="H468" s="654"/>
      <c r="I468" s="654">
        <v>358588</v>
      </c>
      <c r="J468" s="654">
        <v>14946</v>
      </c>
      <c r="K468" s="654">
        <v>4643324</v>
      </c>
      <c r="L468" s="654">
        <v>738059</v>
      </c>
      <c r="M468" s="654">
        <v>0</v>
      </c>
      <c r="N468" s="654">
        <v>738059</v>
      </c>
      <c r="O468" s="654">
        <v>0</v>
      </c>
      <c r="P468" s="654">
        <v>0</v>
      </c>
      <c r="Q468" s="654">
        <v>0</v>
      </c>
      <c r="R468" s="654">
        <v>0</v>
      </c>
      <c r="S468" s="654">
        <v>0</v>
      </c>
      <c r="T468" s="654">
        <v>0</v>
      </c>
      <c r="U468" s="654">
        <v>0</v>
      </c>
      <c r="V468" s="654">
        <v>0</v>
      </c>
      <c r="W468" s="654">
        <v>0</v>
      </c>
      <c r="X468" s="654">
        <v>0</v>
      </c>
      <c r="Y468" s="654">
        <v>0</v>
      </c>
    </row>
    <row r="469" spans="1:25" x14ac:dyDescent="0.15">
      <c r="B469" t="s">
        <v>629</v>
      </c>
      <c r="C469" t="s">
        <v>676</v>
      </c>
      <c r="D469" s="654">
        <v>4425975</v>
      </c>
      <c r="E469" s="654">
        <v>1424258</v>
      </c>
      <c r="F469" s="654">
        <v>719604</v>
      </c>
      <c r="G469" s="654">
        <v>0</v>
      </c>
      <c r="H469" s="654"/>
      <c r="I469" s="654">
        <v>168463</v>
      </c>
      <c r="J469" s="654">
        <v>4000</v>
      </c>
      <c r="K469" s="654">
        <v>2316325</v>
      </c>
      <c r="L469" s="654">
        <v>1085892</v>
      </c>
      <c r="M469" s="654">
        <v>0</v>
      </c>
      <c r="N469" s="654">
        <v>1085892</v>
      </c>
      <c r="O469" s="654">
        <v>0</v>
      </c>
      <c r="P469" s="654">
        <v>0</v>
      </c>
      <c r="Q469" s="654">
        <v>0</v>
      </c>
      <c r="R469" s="654">
        <v>0</v>
      </c>
      <c r="S469" s="654">
        <v>0</v>
      </c>
      <c r="T469" s="654">
        <v>0</v>
      </c>
      <c r="U469" s="654">
        <v>0</v>
      </c>
      <c r="V469" s="654">
        <v>0</v>
      </c>
      <c r="W469" s="654">
        <v>0</v>
      </c>
      <c r="X469" s="654">
        <v>0</v>
      </c>
      <c r="Y469" s="654">
        <v>0</v>
      </c>
    </row>
    <row r="470" spans="1:25" x14ac:dyDescent="0.15">
      <c r="B470" t="s">
        <v>631</v>
      </c>
      <c r="C470" t="s">
        <v>381</v>
      </c>
      <c r="D470" s="654">
        <v>2462469</v>
      </c>
      <c r="E470" s="654">
        <v>913275</v>
      </c>
      <c r="F470" s="654">
        <v>290000</v>
      </c>
      <c r="G470" s="654">
        <v>0</v>
      </c>
      <c r="H470" s="654">
        <v>150000</v>
      </c>
      <c r="I470" s="654">
        <v>76804</v>
      </c>
      <c r="J470" s="654">
        <v>0</v>
      </c>
      <c r="K470" s="654">
        <v>1430079</v>
      </c>
      <c r="L470" s="654">
        <v>601669</v>
      </c>
      <c r="M470" s="654">
        <v>0</v>
      </c>
      <c r="N470" s="654">
        <v>601669</v>
      </c>
      <c r="O470" s="654">
        <v>0</v>
      </c>
      <c r="P470" s="654">
        <v>0</v>
      </c>
      <c r="Q470" s="654">
        <v>0</v>
      </c>
      <c r="R470" s="654">
        <v>0</v>
      </c>
      <c r="S470" s="654">
        <v>0</v>
      </c>
      <c r="T470" s="654">
        <v>0</v>
      </c>
      <c r="U470" s="654">
        <v>0</v>
      </c>
      <c r="V470" s="654">
        <v>0</v>
      </c>
      <c r="W470" s="654">
        <v>0</v>
      </c>
      <c r="X470" s="654">
        <v>0</v>
      </c>
      <c r="Y470" s="654">
        <v>0</v>
      </c>
    </row>
    <row r="471" spans="1:25" x14ac:dyDescent="0.15">
      <c r="B471" t="s">
        <v>567</v>
      </c>
      <c r="C471" t="s">
        <v>473</v>
      </c>
      <c r="D471" s="654">
        <v>1077061</v>
      </c>
      <c r="E471" s="654">
        <v>318565</v>
      </c>
      <c r="F471" s="654">
        <v>0</v>
      </c>
      <c r="G471" s="654">
        <v>0</v>
      </c>
      <c r="H471" s="654"/>
      <c r="I471" s="654">
        <v>19866</v>
      </c>
      <c r="J471" s="654">
        <v>0</v>
      </c>
      <c r="K471" s="654">
        <v>338431</v>
      </c>
      <c r="L471" s="654">
        <v>116406</v>
      </c>
      <c r="M471" s="654">
        <v>0</v>
      </c>
      <c r="N471" s="654">
        <v>116406</v>
      </c>
      <c r="O471" s="654">
        <v>0</v>
      </c>
      <c r="P471" s="654">
        <v>0</v>
      </c>
      <c r="Q471" s="654">
        <v>0</v>
      </c>
      <c r="R471" s="654">
        <v>0</v>
      </c>
      <c r="S471" s="654">
        <v>0</v>
      </c>
      <c r="T471" s="654">
        <v>0</v>
      </c>
      <c r="U471" s="654">
        <v>0</v>
      </c>
      <c r="V471" s="654">
        <v>0</v>
      </c>
      <c r="W471" s="654">
        <v>0</v>
      </c>
      <c r="X471" s="654">
        <v>0</v>
      </c>
      <c r="Y471" s="654">
        <v>0</v>
      </c>
    </row>
    <row r="472" spans="1:25" x14ac:dyDescent="0.15">
      <c r="B472" t="s">
        <v>568</v>
      </c>
      <c r="C472" t="s">
        <v>474</v>
      </c>
      <c r="D472" s="654">
        <v>797482</v>
      </c>
      <c r="E472" s="654">
        <v>209300</v>
      </c>
      <c r="F472" s="654">
        <v>0</v>
      </c>
      <c r="G472" s="654">
        <v>0</v>
      </c>
      <c r="H472" s="654"/>
      <c r="I472" s="654">
        <v>0</v>
      </c>
      <c r="J472" s="654">
        <v>0</v>
      </c>
      <c r="K472" s="654">
        <v>209300</v>
      </c>
      <c r="L472" s="654">
        <v>121870</v>
      </c>
      <c r="M472" s="654">
        <v>0</v>
      </c>
      <c r="N472" s="654">
        <v>121870</v>
      </c>
      <c r="O472" s="654">
        <v>0</v>
      </c>
      <c r="P472" s="654">
        <v>0</v>
      </c>
      <c r="Q472" s="654">
        <v>0</v>
      </c>
      <c r="R472" s="654">
        <v>0</v>
      </c>
      <c r="S472" s="654">
        <v>0</v>
      </c>
      <c r="T472" s="654">
        <v>0</v>
      </c>
      <c r="U472" s="654">
        <v>0</v>
      </c>
      <c r="V472" s="654">
        <v>0</v>
      </c>
      <c r="W472" s="654">
        <v>0</v>
      </c>
      <c r="X472" s="654">
        <v>0</v>
      </c>
      <c r="Y472" s="654">
        <v>0</v>
      </c>
    </row>
    <row r="473" spans="1:25" x14ac:dyDescent="0.15">
      <c r="B473" t="s">
        <v>582</v>
      </c>
      <c r="C473" t="s">
        <v>384</v>
      </c>
      <c r="D473" s="654">
        <v>2831820</v>
      </c>
      <c r="E473" s="654">
        <v>876775</v>
      </c>
      <c r="F473" s="654">
        <v>502460</v>
      </c>
      <c r="G473" s="654">
        <v>0</v>
      </c>
      <c r="H473" s="654"/>
      <c r="I473" s="654">
        <v>70457</v>
      </c>
      <c r="J473" s="654">
        <v>0</v>
      </c>
      <c r="K473" s="654">
        <v>1449692</v>
      </c>
      <c r="L473" s="654">
        <v>638498</v>
      </c>
      <c r="M473" s="654">
        <v>0</v>
      </c>
      <c r="N473" s="654">
        <v>638498</v>
      </c>
      <c r="O473" s="654">
        <v>0</v>
      </c>
      <c r="P473" s="654">
        <v>0</v>
      </c>
      <c r="Q473" s="654">
        <v>0</v>
      </c>
      <c r="R473" s="654">
        <v>0</v>
      </c>
      <c r="S473" s="654">
        <v>0</v>
      </c>
      <c r="T473" s="654">
        <v>0</v>
      </c>
      <c r="U473" s="654">
        <v>0</v>
      </c>
      <c r="V473" s="654">
        <v>0</v>
      </c>
      <c r="W473" s="654">
        <v>0</v>
      </c>
      <c r="X473" s="654">
        <v>0</v>
      </c>
      <c r="Y473" s="654">
        <v>0</v>
      </c>
    </row>
    <row r="474" spans="1:25" x14ac:dyDescent="0.15">
      <c r="B474" t="s">
        <v>625</v>
      </c>
      <c r="C474" t="s">
        <v>594</v>
      </c>
      <c r="D474" s="654">
        <v>0</v>
      </c>
      <c r="E474" s="654">
        <v>0</v>
      </c>
      <c r="F474" s="654">
        <v>1361630</v>
      </c>
      <c r="G474" s="654">
        <v>0</v>
      </c>
      <c r="H474" s="654">
        <v>3550000</v>
      </c>
      <c r="I474" s="654">
        <v>486301</v>
      </c>
      <c r="J474" s="654">
        <v>16900</v>
      </c>
      <c r="K474" s="654">
        <v>5414831</v>
      </c>
      <c r="L474" s="654">
        <v>2444410</v>
      </c>
      <c r="M474" s="654">
        <v>0</v>
      </c>
      <c r="N474" s="654">
        <v>2444410</v>
      </c>
      <c r="O474" s="654">
        <v>10800</v>
      </c>
      <c r="P474" s="654">
        <v>0</v>
      </c>
      <c r="Q474" s="654">
        <v>0</v>
      </c>
      <c r="R474" s="654">
        <v>0</v>
      </c>
      <c r="S474" s="654">
        <v>0</v>
      </c>
      <c r="T474" s="654">
        <v>0</v>
      </c>
      <c r="U474" s="654">
        <v>0</v>
      </c>
      <c r="V474" s="654">
        <v>215222</v>
      </c>
      <c r="W474" s="654">
        <v>665619</v>
      </c>
      <c r="X474" s="654">
        <v>0</v>
      </c>
      <c r="Y474" s="654">
        <v>0</v>
      </c>
    </row>
    <row r="475" spans="1:25" x14ac:dyDescent="0.15">
      <c r="B475" t="s">
        <v>965</v>
      </c>
      <c r="C475" t="s">
        <v>986</v>
      </c>
      <c r="D475" s="654">
        <v>13148</v>
      </c>
      <c r="E475" s="654">
        <v>0</v>
      </c>
      <c r="F475" s="654">
        <v>0</v>
      </c>
      <c r="G475" s="654">
        <v>0</v>
      </c>
      <c r="H475" s="654"/>
      <c r="I475" s="654">
        <v>0</v>
      </c>
      <c r="J475" s="654">
        <v>0</v>
      </c>
      <c r="K475" s="654">
        <v>0</v>
      </c>
      <c r="L475" s="654">
        <v>275106</v>
      </c>
      <c r="M475" s="654">
        <v>0</v>
      </c>
      <c r="N475" s="654">
        <v>275106</v>
      </c>
      <c r="O475" s="654">
        <v>0</v>
      </c>
      <c r="P475" s="654">
        <v>0</v>
      </c>
      <c r="Q475" s="654">
        <v>0</v>
      </c>
      <c r="R475" s="654">
        <v>0</v>
      </c>
      <c r="S475" s="654">
        <v>0</v>
      </c>
      <c r="T475" s="654">
        <v>0</v>
      </c>
      <c r="U475" s="654">
        <v>0</v>
      </c>
      <c r="V475" s="654">
        <v>0</v>
      </c>
      <c r="W475" s="654">
        <v>0</v>
      </c>
      <c r="X475" s="654">
        <v>0</v>
      </c>
      <c r="Y475" s="654">
        <v>0</v>
      </c>
    </row>
    <row r="476" spans="1:25" x14ac:dyDescent="0.15">
      <c r="B476" t="s">
        <v>1201</v>
      </c>
      <c r="C476" t="s">
        <v>1199</v>
      </c>
      <c r="D476" s="654">
        <v>1905194</v>
      </c>
      <c r="E476" s="654">
        <v>440879</v>
      </c>
      <c r="F476" s="654">
        <v>637172</v>
      </c>
      <c r="G476" s="654">
        <v>0</v>
      </c>
      <c r="H476" s="654"/>
      <c r="I476" s="654">
        <v>95710</v>
      </c>
      <c r="J476" s="654">
        <v>144828</v>
      </c>
      <c r="K476" s="654">
        <v>1318589</v>
      </c>
      <c r="L476" s="654">
        <v>458741</v>
      </c>
      <c r="M476" s="654">
        <v>0</v>
      </c>
      <c r="N476" s="654">
        <v>458741</v>
      </c>
      <c r="O476" s="654">
        <v>0</v>
      </c>
      <c r="P476" s="654">
        <v>0</v>
      </c>
      <c r="Q476" s="654">
        <v>0</v>
      </c>
      <c r="R476" s="654">
        <v>0</v>
      </c>
      <c r="S476" s="654">
        <v>0</v>
      </c>
      <c r="T476" s="654">
        <v>0</v>
      </c>
      <c r="U476" s="654">
        <v>0</v>
      </c>
      <c r="V476" s="654">
        <v>0</v>
      </c>
      <c r="W476" s="654">
        <v>0</v>
      </c>
      <c r="X476" s="654">
        <v>0</v>
      </c>
      <c r="Y476" s="654">
        <v>0</v>
      </c>
    </row>
    <row r="477" spans="1:25" x14ac:dyDescent="0.15">
      <c r="B477" t="s">
        <v>1386</v>
      </c>
      <c r="C477" t="s">
        <v>1384</v>
      </c>
      <c r="D477" s="654">
        <v>2077332</v>
      </c>
      <c r="E477" s="654">
        <v>418350</v>
      </c>
      <c r="F477" s="654">
        <v>0</v>
      </c>
      <c r="G477" s="654">
        <v>0</v>
      </c>
      <c r="H477" s="654"/>
      <c r="I477" s="654">
        <v>0</v>
      </c>
      <c r="J477" s="654">
        <v>0</v>
      </c>
      <c r="K477" s="654">
        <v>418350</v>
      </c>
      <c r="L477" s="654">
        <v>153096</v>
      </c>
      <c r="M477" s="654">
        <v>0</v>
      </c>
      <c r="N477" s="654">
        <v>153096</v>
      </c>
      <c r="O477" s="654">
        <v>0</v>
      </c>
      <c r="P477" s="654">
        <v>0</v>
      </c>
      <c r="Q477" s="654">
        <v>0</v>
      </c>
      <c r="R477" s="654">
        <v>0</v>
      </c>
      <c r="S477" s="654">
        <v>0</v>
      </c>
      <c r="T477" s="654">
        <v>0</v>
      </c>
      <c r="U477" s="654">
        <v>0</v>
      </c>
      <c r="V477" s="654">
        <v>0</v>
      </c>
      <c r="W477" s="654">
        <v>0</v>
      </c>
      <c r="X477" s="654">
        <v>0</v>
      </c>
      <c r="Y477" s="654">
        <v>0</v>
      </c>
    </row>
    <row r="478" spans="1:25" x14ac:dyDescent="0.15">
      <c r="A478" s="653" t="s">
        <v>1531</v>
      </c>
      <c r="B478"/>
      <c r="D478" s="654">
        <v>41864718</v>
      </c>
      <c r="E478" s="654">
        <v>12107299</v>
      </c>
      <c r="F478" s="654">
        <v>9740290</v>
      </c>
      <c r="G478" s="654">
        <v>0</v>
      </c>
      <c r="H478" s="654">
        <v>3700000</v>
      </c>
      <c r="I478" s="654">
        <v>1922391</v>
      </c>
      <c r="J478" s="654">
        <v>246024</v>
      </c>
      <c r="K478" s="654">
        <v>27716004</v>
      </c>
      <c r="L478" s="654">
        <v>8586543</v>
      </c>
      <c r="M478" s="654">
        <v>61236</v>
      </c>
      <c r="N478" s="654">
        <v>8647779</v>
      </c>
      <c r="O478" s="654">
        <v>10800</v>
      </c>
      <c r="P478" s="654">
        <v>0</v>
      </c>
      <c r="Q478" s="654">
        <v>0</v>
      </c>
      <c r="R478" s="654">
        <v>0</v>
      </c>
      <c r="S478" s="654">
        <v>0</v>
      </c>
      <c r="T478" s="654">
        <v>0</v>
      </c>
      <c r="U478" s="654">
        <v>0</v>
      </c>
      <c r="V478" s="654">
        <v>215222</v>
      </c>
      <c r="W478" s="654">
        <v>665619</v>
      </c>
      <c r="X478" s="654">
        <v>0</v>
      </c>
      <c r="Y478" s="654">
        <v>0</v>
      </c>
    </row>
    <row r="479" spans="1:25" x14ac:dyDescent="0.15">
      <c r="A479" s="653" t="s">
        <v>592</v>
      </c>
      <c r="B479"/>
      <c r="D479" s="654">
        <v>2190235266</v>
      </c>
      <c r="E479" s="654">
        <v>651810031</v>
      </c>
      <c r="F479" s="654">
        <v>601253439</v>
      </c>
      <c r="G479" s="654">
        <v>79213076</v>
      </c>
      <c r="H479" s="654">
        <v>136380000</v>
      </c>
      <c r="I479" s="654">
        <v>126199941.00000001</v>
      </c>
      <c r="J479" s="654">
        <v>16095404</v>
      </c>
      <c r="K479" s="654">
        <v>1610951891.0000002</v>
      </c>
      <c r="L479" s="654">
        <v>541192727</v>
      </c>
      <c r="M479" s="654">
        <v>1153468</v>
      </c>
      <c r="N479" s="654">
        <v>542346195</v>
      </c>
      <c r="O479" s="654">
        <v>13878729</v>
      </c>
      <c r="P479" s="654">
        <v>732500</v>
      </c>
      <c r="Q479" s="654">
        <v>734127</v>
      </c>
      <c r="R479" s="654">
        <v>1433491</v>
      </c>
      <c r="S479" s="654">
        <v>345170</v>
      </c>
      <c r="T479" s="654">
        <v>-464655</v>
      </c>
      <c r="U479" s="654">
        <v>1552976</v>
      </c>
      <c r="V479" s="654">
        <v>7495031</v>
      </c>
      <c r="W479" s="654">
        <v>26491542</v>
      </c>
      <c r="X479" s="654">
        <v>-1577799</v>
      </c>
      <c r="Y479" s="654">
        <v>-2126200</v>
      </c>
    </row>
    <row r="480" spans="1:25" x14ac:dyDescent="0.15">
      <c r="B480"/>
    </row>
    <row r="481" spans="2:2" x14ac:dyDescent="0.15">
      <c r="B481"/>
    </row>
    <row r="482" spans="2:2" x14ac:dyDescent="0.15">
      <c r="B482"/>
    </row>
    <row r="483" spans="2:2" x14ac:dyDescent="0.15">
      <c r="B483"/>
    </row>
    <row r="484" spans="2:2" x14ac:dyDescent="0.15">
      <c r="B484"/>
    </row>
    <row r="485" spans="2:2" x14ac:dyDescent="0.15">
      <c r="B485"/>
    </row>
    <row r="486" spans="2:2" x14ac:dyDescent="0.15">
      <c r="B486"/>
    </row>
    <row r="487" spans="2:2" x14ac:dyDescent="0.15">
      <c r="B487"/>
    </row>
    <row r="488" spans="2:2" x14ac:dyDescent="0.15">
      <c r="B488"/>
    </row>
    <row r="489" spans="2:2" x14ac:dyDescent="0.15">
      <c r="B489"/>
    </row>
  </sheetData>
  <phoneticPr fontId="40"/>
  <pageMargins left="0.7" right="0.7" top="0.75" bottom="0.75" header="0.3" footer="0.3"/>
  <pageSetup paperSize="9" orientation="portrait" verticalDpi="0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tabColor rgb="FF00FF99"/>
  </sheetPr>
  <dimension ref="A3:O43"/>
  <sheetViews>
    <sheetView workbookViewId="0"/>
  </sheetViews>
  <sheetFormatPr defaultRowHeight="13.5" x14ac:dyDescent="0.15"/>
  <cols>
    <col min="1" max="1" width="14.75" bestFit="1" customWidth="1"/>
    <col min="2" max="2" width="11.75" bestFit="1" customWidth="1"/>
    <col min="3" max="3" width="18.375" bestFit="1" customWidth="1"/>
    <col min="4" max="4" width="22.875" bestFit="1" customWidth="1"/>
    <col min="5" max="5" width="20.625" bestFit="1" customWidth="1"/>
    <col min="6" max="6" width="14" bestFit="1" customWidth="1"/>
    <col min="7" max="7" width="22.25" bestFit="1" customWidth="1"/>
    <col min="8" max="8" width="20.625" bestFit="1" customWidth="1"/>
    <col min="9" max="9" width="22.875" bestFit="1" customWidth="1"/>
    <col min="10" max="11" width="16.25" bestFit="1" customWidth="1"/>
    <col min="12" max="12" width="18.375" bestFit="1" customWidth="1"/>
    <col min="13" max="13" width="21.5" bestFit="1" customWidth="1"/>
    <col min="14" max="15" width="12.625" bestFit="1" customWidth="1"/>
  </cols>
  <sheetData>
    <row r="3" spans="1:15" x14ac:dyDescent="0.15">
      <c r="C3" s="652" t="s">
        <v>603</v>
      </c>
    </row>
    <row r="4" spans="1:15" x14ac:dyDescent="0.15">
      <c r="A4" s="652" t="s">
        <v>591</v>
      </c>
      <c r="B4" s="652" t="s">
        <v>923</v>
      </c>
      <c r="C4" t="s">
        <v>829</v>
      </c>
      <c r="D4" t="s">
        <v>830</v>
      </c>
      <c r="E4" t="s">
        <v>831</v>
      </c>
      <c r="F4" t="s">
        <v>832</v>
      </c>
      <c r="G4" t="s">
        <v>865</v>
      </c>
      <c r="H4" t="s">
        <v>833</v>
      </c>
      <c r="I4" t="s">
        <v>834</v>
      </c>
      <c r="J4" t="s">
        <v>835</v>
      </c>
      <c r="K4" t="s">
        <v>836</v>
      </c>
      <c r="L4" t="s">
        <v>837</v>
      </c>
      <c r="M4" t="s">
        <v>838</v>
      </c>
      <c r="N4" t="s">
        <v>839</v>
      </c>
      <c r="O4" t="s">
        <v>658</v>
      </c>
    </row>
    <row r="5" spans="1:15" x14ac:dyDescent="0.15">
      <c r="A5" s="679">
        <v>42614</v>
      </c>
      <c r="B5" t="s">
        <v>921</v>
      </c>
      <c r="C5" s="654">
        <v>273636</v>
      </c>
      <c r="D5" s="654">
        <v>134172</v>
      </c>
      <c r="E5" s="654">
        <v>80119</v>
      </c>
      <c r="F5" s="654">
        <v>0</v>
      </c>
      <c r="G5" s="654">
        <v>7622</v>
      </c>
      <c r="H5" s="654">
        <v>52046</v>
      </c>
      <c r="I5" s="654">
        <v>53691</v>
      </c>
      <c r="J5" s="654">
        <v>4109</v>
      </c>
      <c r="K5" s="654">
        <v>3268</v>
      </c>
      <c r="L5" s="654">
        <v>0</v>
      </c>
      <c r="M5" s="654">
        <v>16711</v>
      </c>
      <c r="N5" s="654">
        <v>482843</v>
      </c>
      <c r="O5" s="654">
        <v>1108217</v>
      </c>
    </row>
    <row r="6" spans="1:15" x14ac:dyDescent="0.15">
      <c r="A6" s="679">
        <v>42644</v>
      </c>
      <c r="B6" t="s">
        <v>921</v>
      </c>
      <c r="C6" s="654">
        <v>182379</v>
      </c>
      <c r="D6" s="654">
        <v>106893</v>
      </c>
      <c r="E6" s="654">
        <v>57584</v>
      </c>
      <c r="F6" s="654">
        <v>0</v>
      </c>
      <c r="G6" s="654">
        <v>8169</v>
      </c>
      <c r="H6" s="654">
        <v>36315</v>
      </c>
      <c r="I6" s="654">
        <v>50202</v>
      </c>
      <c r="J6" s="654">
        <v>3948</v>
      </c>
      <c r="K6" s="654">
        <v>2883</v>
      </c>
      <c r="L6" s="654">
        <v>0</v>
      </c>
      <c r="M6" s="654">
        <v>12649</v>
      </c>
      <c r="N6" s="654">
        <v>422930</v>
      </c>
      <c r="O6" s="654">
        <v>883952</v>
      </c>
    </row>
    <row r="7" spans="1:15" x14ac:dyDescent="0.15">
      <c r="A7" s="679">
        <v>42675</v>
      </c>
      <c r="B7" t="s">
        <v>921</v>
      </c>
      <c r="C7" s="654">
        <v>138053</v>
      </c>
      <c r="D7" s="654">
        <v>98111</v>
      </c>
      <c r="E7" s="654">
        <v>40196</v>
      </c>
      <c r="F7" s="654">
        <v>0</v>
      </c>
      <c r="G7" s="654">
        <v>8460</v>
      </c>
      <c r="H7" s="654">
        <v>20663</v>
      </c>
      <c r="I7" s="654">
        <v>52303</v>
      </c>
      <c r="J7" s="654">
        <v>4727</v>
      </c>
      <c r="K7" s="654">
        <v>2190</v>
      </c>
      <c r="L7" s="654">
        <v>0</v>
      </c>
      <c r="M7" s="654">
        <v>10666</v>
      </c>
      <c r="N7" s="654">
        <v>395680</v>
      </c>
      <c r="O7" s="654">
        <v>771049</v>
      </c>
    </row>
    <row r="8" spans="1:15" x14ac:dyDescent="0.15">
      <c r="A8" s="679">
        <v>42705</v>
      </c>
      <c r="B8" t="s">
        <v>921</v>
      </c>
      <c r="C8" s="654">
        <v>236069</v>
      </c>
      <c r="D8" s="654">
        <v>128707</v>
      </c>
      <c r="E8" s="654">
        <v>79144</v>
      </c>
      <c r="F8" s="654">
        <v>0</v>
      </c>
      <c r="G8" s="654">
        <v>9936</v>
      </c>
      <c r="H8" s="654">
        <v>52550.5</v>
      </c>
      <c r="I8" s="654">
        <v>62541</v>
      </c>
      <c r="J8" s="654">
        <v>3940</v>
      </c>
      <c r="K8" s="654">
        <v>942</v>
      </c>
      <c r="L8" s="654">
        <v>0</v>
      </c>
      <c r="M8" s="654">
        <v>21472</v>
      </c>
      <c r="N8" s="654">
        <v>534225</v>
      </c>
      <c r="O8" s="654">
        <v>1129526.5</v>
      </c>
    </row>
    <row r="9" spans="1:15" x14ac:dyDescent="0.15">
      <c r="B9" t="s">
        <v>298</v>
      </c>
      <c r="C9" s="654">
        <v>0</v>
      </c>
      <c r="D9" s="654">
        <v>30000</v>
      </c>
      <c r="E9" s="654">
        <v>30000</v>
      </c>
      <c r="F9" s="654">
        <v>0</v>
      </c>
      <c r="G9" s="654">
        <v>90000</v>
      </c>
      <c r="H9" s="654">
        <v>0</v>
      </c>
      <c r="I9" s="654">
        <v>120000</v>
      </c>
      <c r="J9" s="654">
        <v>30000</v>
      </c>
      <c r="K9" s="654">
        <v>0</v>
      </c>
      <c r="L9" s="654">
        <v>0</v>
      </c>
      <c r="M9" s="654">
        <v>0</v>
      </c>
      <c r="N9" s="654">
        <v>5823664</v>
      </c>
      <c r="O9" s="654">
        <v>6123664</v>
      </c>
    </row>
    <row r="10" spans="1:15" x14ac:dyDescent="0.15">
      <c r="A10" s="679">
        <v>42736</v>
      </c>
      <c r="B10" t="s">
        <v>921</v>
      </c>
      <c r="C10" s="654">
        <v>231689</v>
      </c>
      <c r="D10" s="654">
        <v>119892</v>
      </c>
      <c r="E10" s="654">
        <v>82618</v>
      </c>
      <c r="F10" s="654">
        <v>0</v>
      </c>
      <c r="G10" s="654">
        <v>10100</v>
      </c>
      <c r="H10" s="654">
        <v>45731</v>
      </c>
      <c r="I10" s="654">
        <v>56637</v>
      </c>
      <c r="J10" s="654">
        <v>4227</v>
      </c>
      <c r="K10" s="654">
        <v>1013</v>
      </c>
      <c r="L10" s="654">
        <v>0</v>
      </c>
      <c r="M10" s="654">
        <v>34133</v>
      </c>
      <c r="N10" s="654">
        <v>497726</v>
      </c>
      <c r="O10" s="654">
        <v>1083766</v>
      </c>
    </row>
    <row r="11" spans="1:15" x14ac:dyDescent="0.15">
      <c r="A11" s="679">
        <v>42767</v>
      </c>
      <c r="B11" t="s">
        <v>921</v>
      </c>
      <c r="C11" s="654">
        <v>270640</v>
      </c>
      <c r="D11" s="654">
        <v>136608</v>
      </c>
      <c r="E11" s="654">
        <v>100480</v>
      </c>
      <c r="F11" s="654">
        <v>0</v>
      </c>
      <c r="G11" s="654">
        <v>10074</v>
      </c>
      <c r="H11" s="654">
        <v>46755</v>
      </c>
      <c r="I11" s="654">
        <v>58705</v>
      </c>
      <c r="J11" s="654">
        <v>3761</v>
      </c>
      <c r="K11" s="654">
        <v>1035</v>
      </c>
      <c r="L11" s="654">
        <v>0</v>
      </c>
      <c r="M11" s="654">
        <v>38251</v>
      </c>
      <c r="N11" s="654">
        <v>484188</v>
      </c>
      <c r="O11" s="654">
        <v>1150497</v>
      </c>
    </row>
    <row r="12" spans="1:15" x14ac:dyDescent="0.15">
      <c r="A12" s="679">
        <v>42795</v>
      </c>
      <c r="B12" t="s">
        <v>921</v>
      </c>
      <c r="C12" s="654">
        <v>214774</v>
      </c>
      <c r="D12" s="654">
        <v>106992</v>
      </c>
      <c r="E12" s="654">
        <v>92676</v>
      </c>
      <c r="F12" s="654">
        <v>0</v>
      </c>
      <c r="G12" s="654">
        <v>10496</v>
      </c>
      <c r="H12" s="654">
        <v>40838.5</v>
      </c>
      <c r="I12" s="654">
        <v>53965</v>
      </c>
      <c r="J12" s="654">
        <v>3868</v>
      </c>
      <c r="K12" s="654">
        <v>1125</v>
      </c>
      <c r="L12" s="654">
        <v>0</v>
      </c>
      <c r="M12" s="654">
        <v>31975</v>
      </c>
      <c r="N12" s="654">
        <v>509789</v>
      </c>
      <c r="O12" s="654">
        <v>1066498.5</v>
      </c>
    </row>
    <row r="13" spans="1:15" x14ac:dyDescent="0.15">
      <c r="A13" s="679">
        <v>42826</v>
      </c>
      <c r="B13" t="s">
        <v>921</v>
      </c>
      <c r="C13" s="654">
        <v>176462</v>
      </c>
      <c r="D13" s="654">
        <v>90474</v>
      </c>
      <c r="E13" s="654">
        <v>75660</v>
      </c>
      <c r="F13" s="654">
        <v>0</v>
      </c>
      <c r="G13" s="654">
        <v>79208</v>
      </c>
      <c r="H13" s="654">
        <v>28869</v>
      </c>
      <c r="I13" s="654">
        <v>155347</v>
      </c>
      <c r="J13" s="654">
        <v>22899</v>
      </c>
      <c r="K13" s="654">
        <v>0</v>
      </c>
      <c r="L13" s="654">
        <v>0</v>
      </c>
      <c r="M13" s="654">
        <v>24480</v>
      </c>
      <c r="N13" s="654">
        <v>438923</v>
      </c>
      <c r="O13" s="654">
        <v>1092322</v>
      </c>
    </row>
    <row r="14" spans="1:15" x14ac:dyDescent="0.15">
      <c r="A14" s="679">
        <v>42856</v>
      </c>
      <c r="B14" t="s">
        <v>921</v>
      </c>
      <c r="C14" s="654">
        <v>196736</v>
      </c>
      <c r="D14" s="654">
        <v>92570</v>
      </c>
      <c r="E14" s="654">
        <v>86508</v>
      </c>
      <c r="F14" s="654">
        <v>0</v>
      </c>
      <c r="G14" s="654">
        <v>80457</v>
      </c>
      <c r="H14" s="654">
        <v>52880</v>
      </c>
      <c r="I14" s="654">
        <v>152215</v>
      </c>
      <c r="J14" s="654">
        <v>18375</v>
      </c>
      <c r="K14" s="654">
        <v>0</v>
      </c>
      <c r="L14" s="654">
        <v>3475</v>
      </c>
      <c r="M14" s="654">
        <v>26354</v>
      </c>
      <c r="N14" s="654">
        <v>461484</v>
      </c>
      <c r="O14" s="654">
        <v>1171054</v>
      </c>
    </row>
    <row r="15" spans="1:15" x14ac:dyDescent="0.15">
      <c r="A15" s="679">
        <v>42887</v>
      </c>
      <c r="B15" t="s">
        <v>921</v>
      </c>
      <c r="C15" s="654">
        <v>315869</v>
      </c>
      <c r="D15" s="654">
        <v>137566</v>
      </c>
      <c r="E15" s="654">
        <v>146266</v>
      </c>
      <c r="F15" s="654">
        <v>0</v>
      </c>
      <c r="G15" s="654">
        <v>88146</v>
      </c>
      <c r="H15" s="654">
        <v>0</v>
      </c>
      <c r="I15" s="654">
        <v>172616</v>
      </c>
      <c r="J15" s="654">
        <v>20769</v>
      </c>
      <c r="K15" s="654">
        <v>0</v>
      </c>
      <c r="L15" s="654">
        <v>95410</v>
      </c>
      <c r="M15" s="654">
        <v>37983</v>
      </c>
      <c r="N15" s="654">
        <v>789151</v>
      </c>
      <c r="O15" s="654">
        <v>1803776</v>
      </c>
    </row>
    <row r="16" spans="1:15" x14ac:dyDescent="0.15">
      <c r="B16" t="s">
        <v>298</v>
      </c>
      <c r="C16" s="654">
        <v>0</v>
      </c>
      <c r="D16" s="654">
        <v>0</v>
      </c>
      <c r="E16" s="654">
        <v>0</v>
      </c>
      <c r="F16" s="654">
        <v>0</v>
      </c>
      <c r="G16" s="654">
        <v>30000</v>
      </c>
      <c r="H16" s="654">
        <v>0</v>
      </c>
      <c r="I16" s="654">
        <v>0</v>
      </c>
      <c r="J16" s="654">
        <v>0</v>
      </c>
      <c r="K16" s="654">
        <v>0</v>
      </c>
      <c r="L16" s="654">
        <v>0</v>
      </c>
      <c r="M16" s="654">
        <v>0</v>
      </c>
      <c r="N16" s="654">
        <v>3544599</v>
      </c>
      <c r="O16" s="654">
        <v>3574599</v>
      </c>
    </row>
    <row r="17" spans="1:15" x14ac:dyDescent="0.15">
      <c r="A17" s="679">
        <v>42917</v>
      </c>
      <c r="B17" t="s">
        <v>921</v>
      </c>
      <c r="C17" s="654">
        <v>336505</v>
      </c>
      <c r="D17" s="654">
        <v>140644</v>
      </c>
      <c r="E17" s="654">
        <v>156959</v>
      </c>
      <c r="F17" s="654">
        <v>0</v>
      </c>
      <c r="G17" s="654">
        <v>89519</v>
      </c>
      <c r="H17" s="654">
        <v>0</v>
      </c>
      <c r="I17" s="654">
        <v>183245</v>
      </c>
      <c r="J17" s="654">
        <v>19473</v>
      </c>
      <c r="K17" s="654">
        <v>0</v>
      </c>
      <c r="L17" s="654">
        <v>175852</v>
      </c>
      <c r="M17" s="654">
        <v>40677</v>
      </c>
      <c r="N17" s="654">
        <v>863310</v>
      </c>
      <c r="O17" s="654">
        <v>2006184</v>
      </c>
    </row>
    <row r="18" spans="1:15" x14ac:dyDescent="0.15">
      <c r="A18" s="679">
        <v>42948</v>
      </c>
      <c r="B18" t="s">
        <v>921</v>
      </c>
      <c r="C18" s="654">
        <v>234608</v>
      </c>
      <c r="D18" s="654">
        <v>121688</v>
      </c>
      <c r="E18" s="654">
        <v>129481</v>
      </c>
      <c r="F18" s="654">
        <v>0</v>
      </c>
      <c r="G18" s="654">
        <v>121074</v>
      </c>
      <c r="H18" s="654">
        <v>0</v>
      </c>
      <c r="I18" s="654">
        <v>203367</v>
      </c>
      <c r="J18" s="654">
        <v>15476</v>
      </c>
      <c r="K18" s="654">
        <v>0</v>
      </c>
      <c r="L18" s="654">
        <v>189705</v>
      </c>
      <c r="M18" s="654">
        <v>30297</v>
      </c>
      <c r="N18" s="654">
        <v>1408669</v>
      </c>
      <c r="O18" s="654">
        <v>2454365</v>
      </c>
    </row>
    <row r="19" spans="1:15" x14ac:dyDescent="0.15">
      <c r="A19" s="679">
        <v>42979</v>
      </c>
      <c r="B19" t="s">
        <v>921</v>
      </c>
      <c r="C19" s="654">
        <v>328821</v>
      </c>
      <c r="D19" s="654">
        <v>145231</v>
      </c>
      <c r="E19" s="654">
        <v>93772</v>
      </c>
      <c r="F19" s="654">
        <v>0</v>
      </c>
      <c r="G19" s="654">
        <v>88921</v>
      </c>
      <c r="H19" s="654">
        <v>0</v>
      </c>
      <c r="I19" s="654">
        <v>155965</v>
      </c>
      <c r="J19" s="654">
        <v>17033</v>
      </c>
      <c r="K19" s="654">
        <v>0</v>
      </c>
      <c r="L19" s="654">
        <v>169767</v>
      </c>
      <c r="M19" s="654">
        <v>47383</v>
      </c>
      <c r="N19" s="654">
        <v>832678</v>
      </c>
      <c r="O19" s="654">
        <v>1879571</v>
      </c>
    </row>
    <row r="20" spans="1:15" x14ac:dyDescent="0.15">
      <c r="A20" s="679">
        <v>43009</v>
      </c>
      <c r="B20" t="s">
        <v>921</v>
      </c>
      <c r="C20" s="654">
        <v>293882</v>
      </c>
      <c r="D20" s="654">
        <v>124469</v>
      </c>
      <c r="E20" s="654">
        <v>222652</v>
      </c>
      <c r="F20" s="654">
        <v>0</v>
      </c>
      <c r="G20" s="654">
        <v>88362</v>
      </c>
      <c r="H20" s="654">
        <v>0</v>
      </c>
      <c r="I20" s="654">
        <v>139910</v>
      </c>
      <c r="J20" s="654">
        <v>18360</v>
      </c>
      <c r="K20" s="654">
        <v>0</v>
      </c>
      <c r="L20" s="654">
        <v>170285</v>
      </c>
      <c r="M20" s="654">
        <v>35179</v>
      </c>
      <c r="N20" s="654">
        <v>761599</v>
      </c>
      <c r="O20" s="654">
        <v>1854698</v>
      </c>
    </row>
    <row r="21" spans="1:15" x14ac:dyDescent="0.15">
      <c r="A21" s="679">
        <v>43040</v>
      </c>
      <c r="B21" t="s">
        <v>921</v>
      </c>
      <c r="C21" s="654">
        <v>374057</v>
      </c>
      <c r="D21" s="654">
        <v>168389</v>
      </c>
      <c r="E21" s="654">
        <v>196915</v>
      </c>
      <c r="F21" s="654">
        <v>0</v>
      </c>
      <c r="G21" s="654">
        <v>76504</v>
      </c>
      <c r="H21" s="654">
        <v>0</v>
      </c>
      <c r="I21" s="654">
        <v>144695</v>
      </c>
      <c r="J21" s="654">
        <v>17448</v>
      </c>
      <c r="K21" s="654">
        <v>0</v>
      </c>
      <c r="L21" s="654">
        <v>180716</v>
      </c>
      <c r="M21" s="654">
        <v>9465</v>
      </c>
      <c r="N21" s="654">
        <v>848312</v>
      </c>
      <c r="O21" s="654">
        <v>2016501</v>
      </c>
    </row>
    <row r="22" spans="1:15" x14ac:dyDescent="0.15">
      <c r="A22" s="679">
        <v>43070</v>
      </c>
      <c r="B22" t="s">
        <v>921</v>
      </c>
      <c r="C22" s="654">
        <v>299176</v>
      </c>
      <c r="D22" s="654">
        <v>168404</v>
      </c>
      <c r="E22" s="654">
        <v>173893</v>
      </c>
      <c r="F22" s="654">
        <v>0</v>
      </c>
      <c r="G22" s="654">
        <v>108208</v>
      </c>
      <c r="H22" s="654">
        <v>0</v>
      </c>
      <c r="I22" s="654">
        <v>181845</v>
      </c>
      <c r="J22" s="654">
        <v>28628</v>
      </c>
      <c r="K22" s="654">
        <v>7000</v>
      </c>
      <c r="L22" s="654">
        <v>196042</v>
      </c>
      <c r="M22" s="654">
        <v>28684</v>
      </c>
      <c r="N22" s="654">
        <v>852760</v>
      </c>
      <c r="O22" s="654">
        <v>2044640</v>
      </c>
    </row>
    <row r="23" spans="1:15" x14ac:dyDescent="0.15">
      <c r="B23" t="s">
        <v>298</v>
      </c>
      <c r="C23" s="654">
        <v>0</v>
      </c>
      <c r="D23" s="654">
        <v>0</v>
      </c>
      <c r="E23" s="654">
        <v>0</v>
      </c>
      <c r="F23" s="654">
        <v>0</v>
      </c>
      <c r="G23" s="654">
        <v>0</v>
      </c>
      <c r="H23" s="654">
        <v>0</v>
      </c>
      <c r="I23" s="654">
        <v>0</v>
      </c>
      <c r="J23" s="654">
        <v>0</v>
      </c>
      <c r="K23" s="654">
        <v>0</v>
      </c>
      <c r="L23" s="654">
        <v>0</v>
      </c>
      <c r="M23" s="654">
        <v>0</v>
      </c>
      <c r="N23" s="654">
        <v>10119970</v>
      </c>
      <c r="O23" s="654">
        <v>10119970</v>
      </c>
    </row>
    <row r="24" spans="1:15" x14ac:dyDescent="0.15">
      <c r="A24" s="679">
        <v>43101</v>
      </c>
      <c r="B24" t="s">
        <v>921</v>
      </c>
      <c r="C24" s="654">
        <v>390033</v>
      </c>
      <c r="D24" s="654">
        <v>193342</v>
      </c>
      <c r="E24" s="654">
        <v>219838</v>
      </c>
      <c r="F24" s="654">
        <v>0</v>
      </c>
      <c r="G24" s="654">
        <v>76777</v>
      </c>
      <c r="H24" s="654">
        <v>0</v>
      </c>
      <c r="I24" s="654">
        <v>144695</v>
      </c>
      <c r="J24" s="654">
        <v>17661</v>
      </c>
      <c r="K24" s="654">
        <v>0</v>
      </c>
      <c r="L24" s="654">
        <v>181330</v>
      </c>
      <c r="M24" s="654">
        <v>39026</v>
      </c>
      <c r="N24" s="654">
        <v>930226</v>
      </c>
      <c r="O24" s="654">
        <v>2192928</v>
      </c>
    </row>
    <row r="25" spans="1:15" x14ac:dyDescent="0.15">
      <c r="A25" s="679">
        <v>43132</v>
      </c>
      <c r="B25" t="s">
        <v>921</v>
      </c>
      <c r="C25" s="654">
        <v>276693</v>
      </c>
      <c r="D25" s="654">
        <v>117611</v>
      </c>
      <c r="E25" s="654">
        <v>163885</v>
      </c>
      <c r="F25" s="654">
        <v>0</v>
      </c>
      <c r="G25" s="654">
        <v>91496</v>
      </c>
      <c r="H25" s="654">
        <v>0</v>
      </c>
      <c r="I25" s="654">
        <v>143634</v>
      </c>
      <c r="J25" s="654">
        <v>15619</v>
      </c>
      <c r="K25" s="654">
        <v>0</v>
      </c>
      <c r="L25" s="654">
        <v>45839</v>
      </c>
      <c r="M25" s="654">
        <v>48020</v>
      </c>
      <c r="N25" s="654">
        <v>701587</v>
      </c>
      <c r="O25" s="654">
        <v>1604384</v>
      </c>
    </row>
    <row r="26" spans="1:15" x14ac:dyDescent="0.15">
      <c r="A26" s="679">
        <v>43160</v>
      </c>
      <c r="B26" t="s">
        <v>921</v>
      </c>
      <c r="C26" s="654">
        <v>265684</v>
      </c>
      <c r="D26" s="654">
        <v>106519</v>
      </c>
      <c r="E26" s="654">
        <v>129953</v>
      </c>
      <c r="F26" s="654">
        <v>0</v>
      </c>
      <c r="G26" s="654">
        <v>92918</v>
      </c>
      <c r="H26" s="654">
        <v>0</v>
      </c>
      <c r="I26" s="654">
        <v>149447</v>
      </c>
      <c r="J26" s="654">
        <v>17124</v>
      </c>
      <c r="K26" s="654">
        <v>0</v>
      </c>
      <c r="L26" s="654">
        <v>70763</v>
      </c>
      <c r="M26" s="654">
        <v>39019</v>
      </c>
      <c r="N26" s="654">
        <v>812094</v>
      </c>
      <c r="O26" s="654">
        <v>1683521</v>
      </c>
    </row>
    <row r="27" spans="1:15" x14ac:dyDescent="0.15">
      <c r="A27" s="679">
        <v>43191</v>
      </c>
      <c r="B27" t="s">
        <v>921</v>
      </c>
      <c r="C27" s="654">
        <v>317795</v>
      </c>
      <c r="D27" s="654">
        <v>107684</v>
      </c>
      <c r="E27" s="654">
        <v>158509</v>
      </c>
      <c r="F27" s="654">
        <v>0</v>
      </c>
      <c r="G27" s="654">
        <v>114320</v>
      </c>
      <c r="H27" s="654">
        <v>0</v>
      </c>
      <c r="I27" s="654">
        <v>177727</v>
      </c>
      <c r="J27" s="654">
        <v>15220</v>
      </c>
      <c r="K27" s="654">
        <v>0</v>
      </c>
      <c r="L27" s="654">
        <v>36783</v>
      </c>
      <c r="M27" s="654">
        <v>32528</v>
      </c>
      <c r="N27" s="654">
        <v>893308</v>
      </c>
      <c r="O27" s="654">
        <v>1853874</v>
      </c>
    </row>
    <row r="28" spans="1:15" x14ac:dyDescent="0.15">
      <c r="A28" s="679">
        <v>43221</v>
      </c>
      <c r="B28" t="s">
        <v>921</v>
      </c>
      <c r="C28" s="654">
        <v>235958</v>
      </c>
      <c r="D28" s="654">
        <v>79789</v>
      </c>
      <c r="E28" s="654">
        <v>119876</v>
      </c>
      <c r="F28" s="654">
        <v>0</v>
      </c>
      <c r="G28" s="654">
        <v>110439</v>
      </c>
      <c r="H28" s="654">
        <v>0</v>
      </c>
      <c r="I28" s="654">
        <v>171435</v>
      </c>
      <c r="J28" s="654">
        <v>15717</v>
      </c>
      <c r="K28" s="654">
        <v>0</v>
      </c>
      <c r="L28" s="654">
        <v>95212</v>
      </c>
      <c r="M28" s="654">
        <v>27966</v>
      </c>
      <c r="N28" s="654">
        <v>812144</v>
      </c>
      <c r="O28" s="654">
        <v>1668536</v>
      </c>
    </row>
    <row r="29" spans="1:15" x14ac:dyDescent="0.15">
      <c r="A29" s="679">
        <v>43252</v>
      </c>
      <c r="B29" t="s">
        <v>921</v>
      </c>
      <c r="C29" s="654">
        <v>404784</v>
      </c>
      <c r="D29" s="654">
        <v>139415</v>
      </c>
      <c r="E29" s="654">
        <v>214356</v>
      </c>
      <c r="F29" s="654">
        <v>0</v>
      </c>
      <c r="G29" s="654">
        <v>74101</v>
      </c>
      <c r="H29" s="654">
        <v>0</v>
      </c>
      <c r="I29" s="654">
        <v>182772</v>
      </c>
      <c r="J29" s="654">
        <v>16601</v>
      </c>
      <c r="K29" s="654">
        <v>0</v>
      </c>
      <c r="L29" s="654">
        <v>98488</v>
      </c>
      <c r="M29" s="654">
        <v>56276</v>
      </c>
      <c r="N29" s="654">
        <v>1106617</v>
      </c>
      <c r="O29" s="654">
        <v>2293410</v>
      </c>
    </row>
    <row r="30" spans="1:15" x14ac:dyDescent="0.15">
      <c r="B30" t="s">
        <v>298</v>
      </c>
      <c r="C30" s="654">
        <v>0</v>
      </c>
      <c r="D30" s="654">
        <v>0</v>
      </c>
      <c r="E30" s="654">
        <v>0</v>
      </c>
      <c r="F30" s="654">
        <v>0</v>
      </c>
      <c r="G30" s="654">
        <v>0</v>
      </c>
      <c r="H30" s="654">
        <v>0</v>
      </c>
      <c r="I30" s="654">
        <v>0</v>
      </c>
      <c r="J30" s="654">
        <v>0</v>
      </c>
      <c r="K30" s="654">
        <v>0</v>
      </c>
      <c r="L30" s="654">
        <v>0</v>
      </c>
      <c r="M30" s="654">
        <v>0</v>
      </c>
      <c r="N30" s="654">
        <v>5665504</v>
      </c>
      <c r="O30" s="654">
        <v>5665504</v>
      </c>
    </row>
    <row r="31" spans="1:15" x14ac:dyDescent="0.15">
      <c r="A31" s="679">
        <v>43282</v>
      </c>
      <c r="B31" t="s">
        <v>921</v>
      </c>
      <c r="C31" s="654">
        <v>359908</v>
      </c>
      <c r="D31" s="654">
        <v>132387</v>
      </c>
      <c r="E31" s="654">
        <v>188332</v>
      </c>
      <c r="F31" s="654">
        <v>0</v>
      </c>
      <c r="G31" s="654">
        <v>82681</v>
      </c>
      <c r="H31" s="654">
        <v>0</v>
      </c>
      <c r="I31" s="654">
        <v>159668</v>
      </c>
      <c r="J31" s="654">
        <v>16656</v>
      </c>
      <c r="K31" s="654">
        <v>0</v>
      </c>
      <c r="L31" s="654">
        <v>86125</v>
      </c>
      <c r="M31" s="654">
        <v>40429</v>
      </c>
      <c r="N31" s="654">
        <v>1058455</v>
      </c>
      <c r="O31" s="654">
        <v>2124641</v>
      </c>
    </row>
    <row r="32" spans="1:15" x14ac:dyDescent="0.15">
      <c r="A32" s="679">
        <v>43313</v>
      </c>
      <c r="B32" t="s">
        <v>921</v>
      </c>
      <c r="C32" s="654">
        <v>315753</v>
      </c>
      <c r="D32" s="654">
        <v>123987</v>
      </c>
      <c r="E32" s="654">
        <v>219700</v>
      </c>
      <c r="F32" s="654">
        <v>0</v>
      </c>
      <c r="G32" s="654">
        <v>74027</v>
      </c>
      <c r="H32" s="654">
        <v>0</v>
      </c>
      <c r="I32" s="654">
        <v>141510</v>
      </c>
      <c r="J32" s="654">
        <v>14241</v>
      </c>
      <c r="K32" s="654">
        <v>0</v>
      </c>
      <c r="L32" s="654">
        <v>101763</v>
      </c>
      <c r="M32" s="654">
        <v>36985</v>
      </c>
      <c r="N32" s="654">
        <v>1064740</v>
      </c>
      <c r="O32" s="654">
        <v>2104888</v>
      </c>
    </row>
    <row r="33" spans="1:15" x14ac:dyDescent="0.15">
      <c r="B33" t="s">
        <v>298</v>
      </c>
      <c r="C33" s="654">
        <v>0</v>
      </c>
      <c r="D33" s="654">
        <v>0</v>
      </c>
      <c r="E33" s="654">
        <v>0</v>
      </c>
      <c r="F33" s="654">
        <v>0</v>
      </c>
      <c r="G33" s="654">
        <v>0</v>
      </c>
      <c r="H33" s="654">
        <v>0</v>
      </c>
      <c r="I33" s="654">
        <v>0</v>
      </c>
      <c r="J33" s="654">
        <v>0</v>
      </c>
      <c r="K33" s="654">
        <v>0</v>
      </c>
      <c r="L33" s="654">
        <v>0</v>
      </c>
      <c r="M33" s="654">
        <v>0</v>
      </c>
      <c r="N33" s="654">
        <v>1150000</v>
      </c>
      <c r="O33" s="654">
        <v>1150000</v>
      </c>
    </row>
    <row r="34" spans="1:15" x14ac:dyDescent="0.15">
      <c r="A34" s="679">
        <v>43344</v>
      </c>
      <c r="B34" t="s">
        <v>921</v>
      </c>
      <c r="C34" s="654">
        <v>280638</v>
      </c>
      <c r="D34" s="654">
        <v>99911</v>
      </c>
      <c r="E34" s="654">
        <v>191141</v>
      </c>
      <c r="F34" s="654">
        <v>0</v>
      </c>
      <c r="G34" s="654">
        <v>117343</v>
      </c>
      <c r="H34" s="654">
        <v>0</v>
      </c>
      <c r="I34" s="654">
        <v>143108</v>
      </c>
      <c r="J34" s="654">
        <v>17084</v>
      </c>
      <c r="K34" s="654">
        <v>0</v>
      </c>
      <c r="L34" s="654">
        <v>119288</v>
      </c>
      <c r="M34" s="654">
        <v>31141</v>
      </c>
      <c r="N34" s="654">
        <v>1087874</v>
      </c>
      <c r="O34" s="654">
        <v>2096491</v>
      </c>
    </row>
    <row r="35" spans="1:15" x14ac:dyDescent="0.15">
      <c r="A35" s="679">
        <v>43374</v>
      </c>
      <c r="B35" t="s">
        <v>921</v>
      </c>
      <c r="C35" s="654">
        <v>281240</v>
      </c>
      <c r="D35" s="654">
        <v>90165</v>
      </c>
      <c r="E35" s="654">
        <v>177266</v>
      </c>
      <c r="F35" s="654">
        <v>0</v>
      </c>
      <c r="G35" s="654">
        <v>93523</v>
      </c>
      <c r="H35" s="654">
        <v>0</v>
      </c>
      <c r="I35" s="654">
        <v>149476</v>
      </c>
      <c r="J35" s="654">
        <v>17996</v>
      </c>
      <c r="K35" s="654">
        <v>0</v>
      </c>
      <c r="L35" s="654">
        <v>101897</v>
      </c>
      <c r="M35" s="654">
        <v>0</v>
      </c>
      <c r="N35" s="654">
        <v>1110196</v>
      </c>
      <c r="O35" s="654">
        <v>2040887</v>
      </c>
    </row>
    <row r="36" spans="1:15" x14ac:dyDescent="0.15">
      <c r="A36" s="679">
        <v>43405</v>
      </c>
      <c r="B36" t="s">
        <v>921</v>
      </c>
      <c r="C36" s="654">
        <v>314020</v>
      </c>
      <c r="D36" s="654">
        <v>107519</v>
      </c>
      <c r="E36" s="654">
        <v>182795</v>
      </c>
      <c r="F36" s="654">
        <v>0</v>
      </c>
      <c r="G36" s="654">
        <v>85423</v>
      </c>
      <c r="H36" s="654">
        <v>0</v>
      </c>
      <c r="I36" s="654">
        <v>153739</v>
      </c>
      <c r="J36" s="654">
        <v>15400</v>
      </c>
      <c r="K36" s="654">
        <v>0</v>
      </c>
      <c r="L36" s="654">
        <v>41231</v>
      </c>
      <c r="M36" s="654">
        <v>0</v>
      </c>
      <c r="N36" s="654">
        <v>1103378</v>
      </c>
      <c r="O36" s="654">
        <v>2038684</v>
      </c>
    </row>
    <row r="37" spans="1:15" x14ac:dyDescent="0.15">
      <c r="A37" s="679">
        <v>43435</v>
      </c>
      <c r="B37" t="s">
        <v>921</v>
      </c>
      <c r="C37" s="654">
        <v>385682</v>
      </c>
      <c r="D37" s="654">
        <v>147383</v>
      </c>
      <c r="E37" s="654">
        <v>197283</v>
      </c>
      <c r="F37" s="654">
        <v>0</v>
      </c>
      <c r="G37" s="654">
        <v>76992</v>
      </c>
      <c r="H37" s="654">
        <v>0</v>
      </c>
      <c r="I37" s="654">
        <v>154098</v>
      </c>
      <c r="J37" s="654">
        <v>16974</v>
      </c>
      <c r="K37" s="654">
        <v>0</v>
      </c>
      <c r="L37" s="654">
        <v>66575</v>
      </c>
      <c r="M37" s="654">
        <v>0</v>
      </c>
      <c r="N37" s="654">
        <v>1256020</v>
      </c>
      <c r="O37" s="654">
        <v>2333663</v>
      </c>
    </row>
    <row r="38" spans="1:15" x14ac:dyDescent="0.15">
      <c r="B38" t="s">
        <v>298</v>
      </c>
      <c r="C38" s="654">
        <v>0</v>
      </c>
      <c r="D38" s="654">
        <v>0</v>
      </c>
      <c r="E38" s="654">
        <v>0</v>
      </c>
      <c r="F38" s="654">
        <v>0</v>
      </c>
      <c r="G38" s="654">
        <v>0</v>
      </c>
      <c r="H38" s="654">
        <v>0</v>
      </c>
      <c r="I38" s="654">
        <v>0</v>
      </c>
      <c r="J38" s="654">
        <v>0</v>
      </c>
      <c r="K38" s="654">
        <v>0</v>
      </c>
      <c r="L38" s="654">
        <v>0</v>
      </c>
      <c r="M38" s="654">
        <v>0</v>
      </c>
      <c r="N38" s="654">
        <v>10396280</v>
      </c>
      <c r="O38" s="654">
        <v>10396280</v>
      </c>
    </row>
    <row r="39" spans="1:15" x14ac:dyDescent="0.15">
      <c r="A39" s="679">
        <v>43466</v>
      </c>
      <c r="B39" t="s">
        <v>921</v>
      </c>
      <c r="C39" s="654">
        <v>381961</v>
      </c>
      <c r="D39" s="654">
        <v>154430</v>
      </c>
      <c r="E39" s="654">
        <v>202195</v>
      </c>
      <c r="F39" s="654">
        <v>0</v>
      </c>
      <c r="G39" s="654">
        <v>79694</v>
      </c>
      <c r="H39" s="654">
        <v>0</v>
      </c>
      <c r="I39" s="654">
        <v>151348</v>
      </c>
      <c r="J39" s="654">
        <v>16424</v>
      </c>
      <c r="K39" s="654">
        <v>0</v>
      </c>
      <c r="L39" s="654">
        <v>64550</v>
      </c>
      <c r="M39" s="654">
        <v>0</v>
      </c>
      <c r="N39" s="654">
        <v>1304526</v>
      </c>
      <c r="O39" s="654">
        <v>2389305</v>
      </c>
    </row>
    <row r="40" spans="1:15" x14ac:dyDescent="0.15">
      <c r="A40" s="679">
        <v>43497</v>
      </c>
      <c r="B40" t="s">
        <v>921</v>
      </c>
      <c r="C40" s="654">
        <v>368355</v>
      </c>
      <c r="D40" s="654">
        <v>142739</v>
      </c>
      <c r="E40" s="654">
        <v>159634</v>
      </c>
      <c r="F40" s="654">
        <v>0</v>
      </c>
      <c r="G40" s="654">
        <v>81342</v>
      </c>
      <c r="H40" s="654">
        <v>0</v>
      </c>
      <c r="I40" s="654">
        <v>162949</v>
      </c>
      <c r="J40" s="654">
        <v>13218</v>
      </c>
      <c r="K40" s="654">
        <v>0</v>
      </c>
      <c r="L40" s="654">
        <v>15688</v>
      </c>
      <c r="M40" s="654">
        <v>0</v>
      </c>
      <c r="N40" s="654">
        <v>1111897</v>
      </c>
      <c r="O40" s="654">
        <v>2119365</v>
      </c>
    </row>
    <row r="41" spans="1:15" x14ac:dyDescent="0.15">
      <c r="A41" s="679">
        <v>43525</v>
      </c>
      <c r="B41" t="s">
        <v>921</v>
      </c>
      <c r="C41" s="654">
        <v>349156</v>
      </c>
      <c r="D41" s="654">
        <v>124222</v>
      </c>
      <c r="E41" s="654">
        <v>157936</v>
      </c>
      <c r="F41" s="654">
        <v>0</v>
      </c>
      <c r="G41" s="654">
        <v>79791</v>
      </c>
      <c r="H41" s="654">
        <v>0</v>
      </c>
      <c r="I41" s="654">
        <v>167616</v>
      </c>
      <c r="J41" s="654">
        <v>14561</v>
      </c>
      <c r="K41" s="654">
        <v>0</v>
      </c>
      <c r="L41" s="654">
        <v>123325</v>
      </c>
      <c r="M41" s="654">
        <v>0</v>
      </c>
      <c r="N41" s="654">
        <v>1014632</v>
      </c>
      <c r="O41" s="654">
        <v>2079955</v>
      </c>
    </row>
    <row r="42" spans="1:15" x14ac:dyDescent="0.15">
      <c r="A42" s="679">
        <v>43556</v>
      </c>
      <c r="B42" t="s">
        <v>921</v>
      </c>
      <c r="C42" s="654">
        <v>329127</v>
      </c>
      <c r="D42" s="654">
        <v>121317</v>
      </c>
      <c r="E42" s="654">
        <v>154975</v>
      </c>
      <c r="F42" s="654">
        <v>0</v>
      </c>
      <c r="G42" s="654">
        <v>73566</v>
      </c>
      <c r="H42" s="654">
        <v>0</v>
      </c>
      <c r="I42" s="654">
        <v>146442</v>
      </c>
      <c r="J42" s="654">
        <v>13714</v>
      </c>
      <c r="K42" s="654">
        <v>0</v>
      </c>
      <c r="L42" s="654">
        <v>86475</v>
      </c>
      <c r="M42" s="654">
        <v>0</v>
      </c>
      <c r="N42" s="654">
        <v>1005510</v>
      </c>
      <c r="O42" s="654">
        <v>1983507</v>
      </c>
    </row>
    <row r="43" spans="1:15" x14ac:dyDescent="0.15">
      <c r="A43" s="679" t="s">
        <v>592</v>
      </c>
      <c r="C43" s="654">
        <v>9360143</v>
      </c>
      <c r="D43" s="654">
        <v>4039230</v>
      </c>
      <c r="E43" s="654">
        <v>4682597</v>
      </c>
      <c r="F43" s="654">
        <v>0</v>
      </c>
      <c r="G43" s="654">
        <v>2409689</v>
      </c>
      <c r="H43" s="654">
        <v>376648</v>
      </c>
      <c r="I43" s="654">
        <v>4496913</v>
      </c>
      <c r="J43" s="654">
        <v>491251</v>
      </c>
      <c r="K43" s="654">
        <v>19456</v>
      </c>
      <c r="L43" s="654">
        <v>2516584</v>
      </c>
      <c r="M43" s="654">
        <v>797749</v>
      </c>
      <c r="N43" s="654">
        <v>63657488</v>
      </c>
      <c r="O43" s="654">
        <v>93154673</v>
      </c>
    </row>
  </sheetData>
  <phoneticPr fontId="40"/>
  <pageMargins left="0.7" right="0.7" top="0.75" bottom="0.75" header="0.3" footer="0.3"/>
  <pageSetup paperSize="9" orientation="portrait" verticalDpi="0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tabColor rgb="FFFFFF00"/>
  </sheetPr>
  <dimension ref="A1:Z27"/>
  <sheetViews>
    <sheetView workbookViewId="0">
      <selection activeCell="W3" sqref="W3"/>
    </sheetView>
  </sheetViews>
  <sheetFormatPr defaultRowHeight="13.5" x14ac:dyDescent="0.15"/>
  <cols>
    <col min="1" max="1" width="10.125" bestFit="1" customWidth="1"/>
    <col min="2" max="2" width="11.875" bestFit="1" customWidth="1"/>
    <col min="3" max="3" width="42.25" bestFit="1" customWidth="1"/>
    <col min="6" max="6" width="13" bestFit="1" customWidth="1"/>
    <col min="7" max="7" width="14" bestFit="1" customWidth="1"/>
    <col min="11" max="11" width="14" bestFit="1" customWidth="1"/>
    <col min="14" max="14" width="10.25" bestFit="1" customWidth="1"/>
    <col min="15" max="15" width="11.375" bestFit="1" customWidth="1"/>
    <col min="23" max="23" width="20.75" bestFit="1" customWidth="1"/>
    <col min="26" max="26" width="13" bestFit="1" customWidth="1"/>
  </cols>
  <sheetData>
    <row r="1" spans="1:26" s="636" customFormat="1" x14ac:dyDescent="0.15">
      <c r="A1" s="636" t="s">
        <v>564</v>
      </c>
      <c r="B1" s="636" t="s">
        <v>541</v>
      </c>
      <c r="C1" s="636" t="s">
        <v>565</v>
      </c>
      <c r="F1" s="636" t="s">
        <v>579</v>
      </c>
      <c r="G1" s="636" t="s">
        <v>558</v>
      </c>
      <c r="J1" s="636" t="s">
        <v>840</v>
      </c>
      <c r="K1" s="636" t="s">
        <v>845</v>
      </c>
      <c r="M1" s="1690"/>
      <c r="N1" s="636" t="s">
        <v>878</v>
      </c>
      <c r="O1" s="636" t="s">
        <v>877</v>
      </c>
      <c r="P1" s="636" t="s">
        <v>876</v>
      </c>
      <c r="R1" s="1690"/>
      <c r="S1" s="636" t="s">
        <v>920</v>
      </c>
      <c r="U1" s="1690"/>
      <c r="V1" s="636" t="s">
        <v>1377</v>
      </c>
      <c r="W1" s="1504" t="s">
        <v>1376</v>
      </c>
      <c r="Z1" s="636" t="s">
        <v>1409</v>
      </c>
    </row>
    <row r="2" spans="1:26" x14ac:dyDescent="0.15">
      <c r="A2" t="s">
        <v>19</v>
      </c>
      <c r="B2" s="635" t="s">
        <v>580</v>
      </c>
      <c r="C2" t="s">
        <v>19</v>
      </c>
      <c r="F2" t="s">
        <v>83</v>
      </c>
      <c r="G2" s="635" t="s">
        <v>559</v>
      </c>
      <c r="J2" t="s">
        <v>841</v>
      </c>
      <c r="K2" s="635" t="s">
        <v>559</v>
      </c>
      <c r="N2" s="679">
        <f>IF(MONTH(O2)&lt;=8,DATE(YEAR(O2)-1,9,1),DATE(YEAR(O2),9,1))</f>
        <v>43344</v>
      </c>
      <c r="O2" s="679">
        <f>推移!AA2</f>
        <v>43556</v>
      </c>
      <c r="P2">
        <f>-DATEDIF(N2,O2,"M")</f>
        <v>-7</v>
      </c>
      <c r="S2" s="742" t="s">
        <v>922</v>
      </c>
      <c r="V2" s="1506">
        <v>42461</v>
      </c>
      <c r="W2" s="4">
        <v>450000</v>
      </c>
      <c r="Z2" s="1690" t="s">
        <v>34</v>
      </c>
    </row>
    <row r="3" spans="1:26" x14ac:dyDescent="0.15">
      <c r="A3" t="s">
        <v>490</v>
      </c>
      <c r="B3" s="635" t="s">
        <v>556</v>
      </c>
      <c r="C3" t="s">
        <v>490</v>
      </c>
      <c r="F3" t="s">
        <v>84</v>
      </c>
      <c r="G3" s="635" t="s">
        <v>560</v>
      </c>
      <c r="J3" t="s">
        <v>842</v>
      </c>
      <c r="K3" s="635" t="s">
        <v>560</v>
      </c>
      <c r="S3" s="742" t="s">
        <v>920</v>
      </c>
      <c r="V3" s="1506">
        <v>42826</v>
      </c>
      <c r="W3" s="4">
        <v>600000</v>
      </c>
      <c r="Z3" s="1690" t="s">
        <v>37</v>
      </c>
    </row>
    <row r="4" spans="1:26" x14ac:dyDescent="0.15">
      <c r="A4" t="s">
        <v>34</v>
      </c>
      <c r="B4" s="635" t="s">
        <v>668</v>
      </c>
      <c r="C4" t="s">
        <v>571</v>
      </c>
      <c r="F4" t="s">
        <v>98</v>
      </c>
      <c r="G4" s="635" t="s">
        <v>561</v>
      </c>
      <c r="V4" s="1504"/>
      <c r="W4" s="4"/>
      <c r="Z4" s="1690" t="s">
        <v>66</v>
      </c>
    </row>
    <row r="5" spans="1:26" x14ac:dyDescent="0.15">
      <c r="A5" t="s">
        <v>37</v>
      </c>
      <c r="B5" s="635" t="s">
        <v>560</v>
      </c>
      <c r="C5" t="s">
        <v>572</v>
      </c>
      <c r="F5" t="s">
        <v>542</v>
      </c>
      <c r="G5" s="635" t="s">
        <v>562</v>
      </c>
      <c r="V5" s="1504"/>
      <c r="W5" s="4"/>
      <c r="Z5" s="1690" t="s">
        <v>967</v>
      </c>
    </row>
    <row r="6" spans="1:26" x14ac:dyDescent="0.15">
      <c r="A6" t="s">
        <v>66</v>
      </c>
      <c r="B6" s="635" t="s">
        <v>561</v>
      </c>
      <c r="C6" t="s">
        <v>573</v>
      </c>
      <c r="F6" t="s">
        <v>543</v>
      </c>
      <c r="G6" s="635" t="s">
        <v>563</v>
      </c>
      <c r="V6" s="1504"/>
      <c r="W6" s="4"/>
      <c r="Z6" s="1690" t="s">
        <v>1143</v>
      </c>
    </row>
    <row r="7" spans="1:26" x14ac:dyDescent="0.15">
      <c r="A7" t="s">
        <v>358</v>
      </c>
      <c r="B7" s="635" t="s">
        <v>562</v>
      </c>
      <c r="C7" t="s">
        <v>574</v>
      </c>
      <c r="F7" t="s">
        <v>586</v>
      </c>
      <c r="G7" s="635" t="s">
        <v>587</v>
      </c>
      <c r="V7" s="1504"/>
      <c r="W7" s="4"/>
    </row>
    <row r="8" spans="1:26" x14ac:dyDescent="0.15">
      <c r="A8" t="s">
        <v>38</v>
      </c>
      <c r="B8" s="635" t="s">
        <v>563</v>
      </c>
      <c r="C8" t="s">
        <v>575</v>
      </c>
      <c r="F8" t="s">
        <v>570</v>
      </c>
      <c r="G8" s="635" t="s">
        <v>569</v>
      </c>
      <c r="V8" s="1504"/>
      <c r="W8" s="4"/>
    </row>
    <row r="9" spans="1:26" x14ac:dyDescent="0.15">
      <c r="A9" t="s">
        <v>57</v>
      </c>
      <c r="B9" s="635" t="s">
        <v>566</v>
      </c>
      <c r="C9" t="s">
        <v>581</v>
      </c>
      <c r="V9" s="1504"/>
      <c r="W9" s="4"/>
    </row>
    <row r="10" spans="1:26" x14ac:dyDescent="0.15">
      <c r="A10" t="s">
        <v>119</v>
      </c>
      <c r="B10" s="635" t="s">
        <v>567</v>
      </c>
      <c r="C10" t="s">
        <v>576</v>
      </c>
      <c r="V10" s="1504"/>
      <c r="W10" s="4"/>
    </row>
    <row r="11" spans="1:26" x14ac:dyDescent="0.15">
      <c r="A11" t="s">
        <v>189</v>
      </c>
      <c r="B11" s="635" t="s">
        <v>568</v>
      </c>
      <c r="C11" t="s">
        <v>577</v>
      </c>
      <c r="V11" s="1504"/>
      <c r="W11" s="4"/>
    </row>
    <row r="12" spans="1:26" x14ac:dyDescent="0.15">
      <c r="A12" t="s">
        <v>329</v>
      </c>
      <c r="B12" s="635" t="s">
        <v>582</v>
      </c>
      <c r="C12" t="s">
        <v>578</v>
      </c>
      <c r="V12" s="1504"/>
      <c r="W12" s="4"/>
    </row>
    <row r="13" spans="1:26" x14ac:dyDescent="0.15">
      <c r="A13" t="s">
        <v>583</v>
      </c>
      <c r="B13" s="635" t="s">
        <v>671</v>
      </c>
      <c r="C13" t="s">
        <v>584</v>
      </c>
      <c r="V13" s="1504"/>
      <c r="W13" s="4"/>
    </row>
    <row r="14" spans="1:26" x14ac:dyDescent="0.15">
      <c r="A14" t="s">
        <v>967</v>
      </c>
      <c r="B14" s="635" t="s">
        <v>965</v>
      </c>
      <c r="C14" t="s">
        <v>964</v>
      </c>
      <c r="V14" s="1504"/>
      <c r="W14" s="4"/>
    </row>
    <row r="15" spans="1:26" x14ac:dyDescent="0.15">
      <c r="A15" t="s">
        <v>1200</v>
      </c>
      <c r="B15" s="635" t="s">
        <v>1201</v>
      </c>
      <c r="C15" t="s">
        <v>1202</v>
      </c>
      <c r="V15" s="1504"/>
      <c r="W15" s="4"/>
    </row>
    <row r="16" spans="1:26" x14ac:dyDescent="0.15">
      <c r="A16" t="s">
        <v>1385</v>
      </c>
      <c r="B16" s="635" t="s">
        <v>1386</v>
      </c>
      <c r="C16" t="s">
        <v>1388</v>
      </c>
    </row>
    <row r="17" spans="1:22" x14ac:dyDescent="0.15">
      <c r="A17" t="s">
        <v>1390</v>
      </c>
      <c r="B17" s="635" t="s">
        <v>1387</v>
      </c>
      <c r="C17" t="s">
        <v>1389</v>
      </c>
    </row>
    <row r="27" spans="1:22" x14ac:dyDescent="0.15">
      <c r="V27" s="1505"/>
    </row>
  </sheetData>
  <phoneticPr fontId="40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N11"/>
  <sheetViews>
    <sheetView workbookViewId="0">
      <selection activeCell="C4" sqref="C4:N5"/>
    </sheetView>
  </sheetViews>
  <sheetFormatPr defaultColWidth="9" defaultRowHeight="14.25" x14ac:dyDescent="0.15"/>
  <cols>
    <col min="1" max="1" width="9" style="435"/>
    <col min="2" max="2" width="15.125" style="435" bestFit="1" customWidth="1"/>
    <col min="3" max="7" width="10.875" style="435" bestFit="1" customWidth="1"/>
    <col min="8" max="8" width="11.125" style="435" bestFit="1" customWidth="1"/>
    <col min="9" max="14" width="10.875" style="435" bestFit="1" customWidth="1"/>
    <col min="15" max="16384" width="9" style="435"/>
  </cols>
  <sheetData>
    <row r="1" spans="1:14" x14ac:dyDescent="0.15">
      <c r="A1" s="435" t="s">
        <v>1408</v>
      </c>
      <c r="B1" s="435" t="s">
        <v>34</v>
      </c>
      <c r="C1" s="435" t="str">
        <f>B1 &amp; "稼働データ"</f>
        <v>白金稼働データ</v>
      </c>
    </row>
    <row r="3" spans="1:14" x14ac:dyDescent="0.15">
      <c r="C3" s="1691">
        <f t="shared" ref="C3:L3" si="0">EDATE(D3,-1)</f>
        <v>43221</v>
      </c>
      <c r="D3" s="1691">
        <f t="shared" si="0"/>
        <v>43252</v>
      </c>
      <c r="E3" s="1691">
        <f t="shared" si="0"/>
        <v>43282</v>
      </c>
      <c r="F3" s="1691">
        <f t="shared" si="0"/>
        <v>43313</v>
      </c>
      <c r="G3" s="1691">
        <f t="shared" si="0"/>
        <v>43344</v>
      </c>
      <c r="H3" s="1691">
        <f t="shared" si="0"/>
        <v>43374</v>
      </c>
      <c r="I3" s="1691">
        <f t="shared" si="0"/>
        <v>43405</v>
      </c>
      <c r="J3" s="1691">
        <f t="shared" si="0"/>
        <v>43435</v>
      </c>
      <c r="K3" s="1691">
        <f t="shared" si="0"/>
        <v>43466</v>
      </c>
      <c r="L3" s="1691">
        <f t="shared" si="0"/>
        <v>43497</v>
      </c>
      <c r="M3" s="1691">
        <f>EDATE(N3,-1)</f>
        <v>43525</v>
      </c>
      <c r="N3" s="1691">
        <f>社員・パート別稼働表【2月比較】!H33</f>
        <v>43556</v>
      </c>
    </row>
    <row r="4" spans="1:14" x14ac:dyDescent="0.15">
      <c r="A4" s="435" t="s">
        <v>906</v>
      </c>
      <c r="B4" s="435" t="s">
        <v>909</v>
      </c>
      <c r="C4" s="435">
        <f t="shared" ref="C4:N5" ca="1" si="1">INDEX(白金稼働データ,MATCH($B4,稼働データ項目名,0),MATCH(C$3,稼働データ日付,0)+1)</f>
        <v>4.5</v>
      </c>
      <c r="D4" s="435">
        <f t="shared" ca="1" si="1"/>
        <v>4.5</v>
      </c>
      <c r="E4" s="435">
        <f t="shared" ca="1" si="1"/>
        <v>5.5</v>
      </c>
      <c r="F4" s="435">
        <f t="shared" ca="1" si="1"/>
        <v>5.5</v>
      </c>
      <c r="G4" s="435">
        <f t="shared" ca="1" si="1"/>
        <v>5.5</v>
      </c>
      <c r="H4" s="435">
        <f t="shared" ca="1" si="1"/>
        <v>7.5</v>
      </c>
      <c r="I4" s="435">
        <f t="shared" ca="1" si="1"/>
        <v>7</v>
      </c>
      <c r="J4" s="435">
        <f t="shared" ca="1" si="1"/>
        <v>6.5</v>
      </c>
      <c r="K4" s="435">
        <f t="shared" ca="1" si="1"/>
        <v>6.5</v>
      </c>
      <c r="L4" s="435">
        <f t="shared" ca="1" si="1"/>
        <v>7</v>
      </c>
      <c r="M4" s="435">
        <f t="shared" ca="1" si="1"/>
        <v>7</v>
      </c>
      <c r="N4" s="435">
        <f t="shared" ca="1" si="1"/>
        <v>7</v>
      </c>
    </row>
    <row r="5" spans="1:14" x14ac:dyDescent="0.15">
      <c r="B5" s="435" t="s">
        <v>910</v>
      </c>
      <c r="C5" s="435">
        <f t="shared" ca="1" si="1"/>
        <v>40</v>
      </c>
      <c r="D5" s="435">
        <f t="shared" ca="1" si="1"/>
        <v>40</v>
      </c>
      <c r="E5" s="435">
        <f t="shared" ca="1" si="1"/>
        <v>40</v>
      </c>
      <c r="F5" s="435">
        <f t="shared" ca="1" si="1"/>
        <v>38</v>
      </c>
      <c r="G5" s="435">
        <f t="shared" ca="1" si="1"/>
        <v>37</v>
      </c>
      <c r="H5" s="435">
        <f t="shared" ca="1" si="1"/>
        <v>41</v>
      </c>
      <c r="I5" s="435">
        <f t="shared" ca="1" si="1"/>
        <v>42</v>
      </c>
      <c r="J5" s="435">
        <f t="shared" ca="1" si="1"/>
        <v>45</v>
      </c>
      <c r="K5" s="435">
        <f t="shared" ca="1" si="1"/>
        <v>42</v>
      </c>
      <c r="L5" s="435">
        <f t="shared" ca="1" si="1"/>
        <v>41</v>
      </c>
      <c r="M5" s="435">
        <f t="shared" ca="1" si="1"/>
        <v>41</v>
      </c>
      <c r="N5" s="435">
        <f t="shared" ca="1" si="1"/>
        <v>44</v>
      </c>
    </row>
    <row r="6" spans="1:14" x14ac:dyDescent="0.15">
      <c r="B6" s="435" t="s">
        <v>96</v>
      </c>
      <c r="C6" s="435">
        <f ca="1">SUM(C4:C5)</f>
        <v>44.5</v>
      </c>
      <c r="D6" s="435">
        <f t="shared" ref="D6:N6" ca="1" si="2">SUM(D4:D5)</f>
        <v>44.5</v>
      </c>
      <c r="E6" s="435">
        <f t="shared" ca="1" si="2"/>
        <v>45.5</v>
      </c>
      <c r="F6" s="435">
        <f t="shared" ca="1" si="2"/>
        <v>43.5</v>
      </c>
      <c r="G6" s="435">
        <f t="shared" ca="1" si="2"/>
        <v>42.5</v>
      </c>
      <c r="H6" s="435">
        <f t="shared" ca="1" si="2"/>
        <v>48.5</v>
      </c>
      <c r="I6" s="435">
        <f t="shared" ca="1" si="2"/>
        <v>49</v>
      </c>
      <c r="J6" s="435">
        <f t="shared" ca="1" si="2"/>
        <v>51.5</v>
      </c>
      <c r="K6" s="435">
        <f t="shared" ca="1" si="2"/>
        <v>48.5</v>
      </c>
      <c r="L6" s="435">
        <f t="shared" ca="1" si="2"/>
        <v>48</v>
      </c>
      <c r="M6" s="435">
        <f t="shared" ca="1" si="2"/>
        <v>48</v>
      </c>
      <c r="N6" s="435">
        <f t="shared" ca="1" si="2"/>
        <v>51</v>
      </c>
    </row>
    <row r="7" spans="1:14" x14ac:dyDescent="0.15">
      <c r="A7" s="435" t="s">
        <v>907</v>
      </c>
      <c r="B7" s="435" t="s">
        <v>911</v>
      </c>
      <c r="C7" s="435" t="e">
        <f t="shared" ref="C7:N8" ca="1" si="3">INDEX($C$1,MATCH($B7,稼働データ項目名,0),MATCH(C$3,稼働データ日付,0))</f>
        <v>#REF!</v>
      </c>
      <c r="D7" s="435" t="e">
        <f t="shared" ca="1" si="3"/>
        <v>#REF!</v>
      </c>
      <c r="E7" s="435" t="e">
        <f t="shared" ca="1" si="3"/>
        <v>#REF!</v>
      </c>
      <c r="F7" s="435" t="e">
        <f t="shared" ca="1" si="3"/>
        <v>#REF!</v>
      </c>
      <c r="G7" s="435" t="e">
        <f t="shared" ca="1" si="3"/>
        <v>#REF!</v>
      </c>
      <c r="H7" s="435" t="e">
        <f ca="1">INDEX($C$1,MATCH($B7,稼働データ項目名,0),MATCH(H$3,稼働データ日付,0))</f>
        <v>#REF!</v>
      </c>
      <c r="I7" s="435" t="e">
        <f t="shared" ca="1" si="3"/>
        <v>#REF!</v>
      </c>
      <c r="J7" s="435" t="e">
        <f t="shared" ca="1" si="3"/>
        <v>#REF!</v>
      </c>
      <c r="K7" s="435" t="e">
        <f t="shared" ca="1" si="3"/>
        <v>#REF!</v>
      </c>
      <c r="L7" s="435" t="e">
        <f t="shared" ca="1" si="3"/>
        <v>#REF!</v>
      </c>
      <c r="M7" s="435" t="e">
        <f t="shared" ca="1" si="3"/>
        <v>#REF!</v>
      </c>
      <c r="N7" s="435" t="e">
        <f t="shared" ca="1" si="3"/>
        <v>#REF!</v>
      </c>
    </row>
    <row r="8" spans="1:14" x14ac:dyDescent="0.15">
      <c r="B8" s="435" t="s">
        <v>912</v>
      </c>
      <c r="C8" s="435" t="e">
        <f t="shared" ca="1" si="3"/>
        <v>#REF!</v>
      </c>
      <c r="D8" s="435" t="e">
        <f t="shared" ca="1" si="3"/>
        <v>#REF!</v>
      </c>
      <c r="E8" s="435" t="e">
        <f t="shared" ca="1" si="3"/>
        <v>#REF!</v>
      </c>
      <c r="F8" s="435" t="e">
        <f t="shared" ca="1" si="3"/>
        <v>#REF!</v>
      </c>
      <c r="G8" s="435" t="e">
        <f t="shared" ca="1" si="3"/>
        <v>#REF!</v>
      </c>
      <c r="H8" s="435" t="e">
        <f t="shared" ca="1" si="3"/>
        <v>#REF!</v>
      </c>
      <c r="I8" s="435" t="e">
        <f t="shared" ca="1" si="3"/>
        <v>#REF!</v>
      </c>
      <c r="J8" s="435" t="e">
        <f t="shared" ca="1" si="3"/>
        <v>#REF!</v>
      </c>
      <c r="K8" s="435" t="e">
        <f t="shared" ca="1" si="3"/>
        <v>#REF!</v>
      </c>
      <c r="L8" s="435" t="e">
        <f t="shared" ca="1" si="3"/>
        <v>#REF!</v>
      </c>
      <c r="M8" s="435" t="e">
        <f t="shared" ca="1" si="3"/>
        <v>#REF!</v>
      </c>
      <c r="N8" s="435" t="e">
        <f t="shared" ca="1" si="3"/>
        <v>#REF!</v>
      </c>
    </row>
    <row r="9" spans="1:14" x14ac:dyDescent="0.15">
      <c r="B9" s="435" t="s">
        <v>96</v>
      </c>
      <c r="C9" s="435" t="e">
        <f ca="1">SUM(C7:C8)</f>
        <v>#REF!</v>
      </c>
      <c r="D9" s="435" t="e">
        <f t="shared" ref="D9:N9" ca="1" si="4">SUM(D7:D8)</f>
        <v>#REF!</v>
      </c>
      <c r="E9" s="435" t="e">
        <f t="shared" ca="1" si="4"/>
        <v>#REF!</v>
      </c>
      <c r="F9" s="435" t="e">
        <f t="shared" ca="1" si="4"/>
        <v>#REF!</v>
      </c>
      <c r="G9" s="435" t="e">
        <f t="shared" ca="1" si="4"/>
        <v>#REF!</v>
      </c>
      <c r="H9" s="435" t="e">
        <f t="shared" ca="1" si="4"/>
        <v>#REF!</v>
      </c>
      <c r="I9" s="435" t="e">
        <f t="shared" ca="1" si="4"/>
        <v>#REF!</v>
      </c>
      <c r="J9" s="435" t="e">
        <f t="shared" ca="1" si="4"/>
        <v>#REF!</v>
      </c>
      <c r="K9" s="435" t="e">
        <f t="shared" ca="1" si="4"/>
        <v>#REF!</v>
      </c>
      <c r="L9" s="435" t="e">
        <f t="shared" ca="1" si="4"/>
        <v>#REF!</v>
      </c>
      <c r="M9" s="435" t="e">
        <f t="shared" ca="1" si="4"/>
        <v>#REF!</v>
      </c>
      <c r="N9" s="435" t="e">
        <f t="shared" ca="1" si="4"/>
        <v>#REF!</v>
      </c>
    </row>
    <row r="11" spans="1:14" x14ac:dyDescent="0.15">
      <c r="H11" s="1691"/>
    </row>
  </sheetData>
  <phoneticPr fontId="40"/>
  <dataValidations count="1">
    <dataValidation type="list" allowBlank="1" showInputMessage="1" showErrorMessage="1" sqref="B1">
      <formula1>訪問事業所名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tabColor rgb="FF00FF99"/>
  </sheetPr>
  <dimension ref="A3:J2679"/>
  <sheetViews>
    <sheetView workbookViewId="0">
      <selection activeCell="J13" sqref="J13"/>
    </sheetView>
  </sheetViews>
  <sheetFormatPr defaultRowHeight="13.5" x14ac:dyDescent="0.15"/>
  <cols>
    <col min="1" max="1" width="15.375" customWidth="1"/>
    <col min="2" max="2" width="18" style="650" bestFit="1" customWidth="1"/>
    <col min="3" max="3" width="13" customWidth="1"/>
    <col min="4" max="4" width="13.25" customWidth="1"/>
    <col min="5" max="5" width="12.625" customWidth="1"/>
    <col min="6" max="6" width="17" customWidth="1"/>
    <col min="7" max="7" width="14.875" customWidth="1"/>
    <col min="8" max="8" width="12.625" customWidth="1"/>
    <col min="9" max="9" width="17" customWidth="1"/>
    <col min="10" max="13" width="23.75" customWidth="1"/>
    <col min="14" max="16" width="23.75" bestFit="1" customWidth="1"/>
    <col min="17" max="18" width="23.75" customWidth="1"/>
    <col min="19" max="33" width="23.75" bestFit="1" customWidth="1"/>
    <col min="34" max="34" width="23.75" customWidth="1"/>
    <col min="35" max="48" width="23.75" bestFit="1" customWidth="1"/>
    <col min="49" max="50" width="23.75" customWidth="1"/>
    <col min="51" max="63" width="23.75" bestFit="1" customWidth="1"/>
    <col min="64" max="66" width="23.75" customWidth="1"/>
    <col min="67" max="78" width="23.75" bestFit="1" customWidth="1"/>
    <col min="79" max="80" width="23.75" customWidth="1"/>
    <col min="81" max="92" width="23.75" bestFit="1" customWidth="1"/>
    <col min="93" max="93" width="20.125" bestFit="1" customWidth="1"/>
    <col min="94" max="94" width="20.125" customWidth="1"/>
    <col min="95" max="95" width="24.375" bestFit="1" customWidth="1"/>
    <col min="96" max="96" width="22.25" bestFit="1" customWidth="1"/>
    <col min="97" max="97" width="20.125" bestFit="1" customWidth="1"/>
    <col min="98" max="98" width="31.125" bestFit="1" customWidth="1"/>
  </cols>
  <sheetData>
    <row r="3" spans="1:10" x14ac:dyDescent="0.15">
      <c r="B3"/>
      <c r="D3" s="652" t="s">
        <v>603</v>
      </c>
    </row>
    <row r="4" spans="1:10" x14ac:dyDescent="0.15">
      <c r="A4" s="652" t="s">
        <v>591</v>
      </c>
      <c r="B4" s="652" t="s">
        <v>630</v>
      </c>
      <c r="C4" s="652" t="s">
        <v>595</v>
      </c>
      <c r="D4" t="s">
        <v>602</v>
      </c>
      <c r="E4" t="s">
        <v>608</v>
      </c>
      <c r="F4" t="s">
        <v>604</v>
      </c>
      <c r="G4" t="s">
        <v>605</v>
      </c>
      <c r="H4" t="s">
        <v>606</v>
      </c>
      <c r="I4" t="s">
        <v>858</v>
      </c>
      <c r="J4" t="s">
        <v>607</v>
      </c>
    </row>
    <row r="5" spans="1:10" x14ac:dyDescent="0.15">
      <c r="A5" s="653">
        <v>42614</v>
      </c>
      <c r="B5" t="s">
        <v>626</v>
      </c>
      <c r="C5" t="s">
        <v>600</v>
      </c>
      <c r="D5" s="654">
        <v>16347850</v>
      </c>
      <c r="E5" s="654">
        <v>-128257</v>
      </c>
      <c r="F5" s="654">
        <v>16219593</v>
      </c>
      <c r="G5" s="654">
        <v>16219593</v>
      </c>
      <c r="H5" s="654">
        <v>0</v>
      </c>
      <c r="I5" s="654">
        <v>1033967</v>
      </c>
      <c r="J5" s="654">
        <v>1299464</v>
      </c>
    </row>
    <row r="6" spans="1:10" x14ac:dyDescent="0.15">
      <c r="B6" t="s">
        <v>733</v>
      </c>
      <c r="D6" s="654">
        <v>16347850</v>
      </c>
      <c r="E6" s="654">
        <v>-128257</v>
      </c>
      <c r="F6" s="654">
        <v>16219593</v>
      </c>
      <c r="G6" s="654">
        <v>16219593</v>
      </c>
      <c r="H6" s="654">
        <v>0</v>
      </c>
      <c r="I6" s="654">
        <v>1033967</v>
      </c>
      <c r="J6" s="654">
        <v>1299464</v>
      </c>
    </row>
    <row r="7" spans="1:10" x14ac:dyDescent="0.15">
      <c r="B7" t="s">
        <v>627</v>
      </c>
      <c r="C7" t="s">
        <v>599</v>
      </c>
      <c r="D7" s="654">
        <v>2582535</v>
      </c>
      <c r="E7" s="654">
        <v>-572411</v>
      </c>
      <c r="F7" s="654">
        <v>2010124</v>
      </c>
      <c r="G7" s="654">
        <v>2010124</v>
      </c>
      <c r="H7" s="654">
        <v>0</v>
      </c>
      <c r="I7" s="654">
        <v>103552</v>
      </c>
      <c r="J7" s="654">
        <v>363980</v>
      </c>
    </row>
    <row r="8" spans="1:10" x14ac:dyDescent="0.15">
      <c r="B8" t="s">
        <v>734</v>
      </c>
      <c r="D8" s="654">
        <v>2582535</v>
      </c>
      <c r="E8" s="654">
        <v>-572411</v>
      </c>
      <c r="F8" s="654">
        <v>2010124</v>
      </c>
      <c r="G8" s="654">
        <v>2010124</v>
      </c>
      <c r="H8" s="654">
        <v>0</v>
      </c>
      <c r="I8" s="654">
        <v>103552</v>
      </c>
      <c r="J8" s="654">
        <v>363980</v>
      </c>
    </row>
    <row r="9" spans="1:10" x14ac:dyDescent="0.15">
      <c r="B9" t="s">
        <v>628</v>
      </c>
      <c r="C9" t="s">
        <v>598</v>
      </c>
      <c r="D9" s="654">
        <v>803780</v>
      </c>
      <c r="E9" s="654">
        <v>0</v>
      </c>
      <c r="F9" s="654">
        <v>803780</v>
      </c>
      <c r="G9" s="654">
        <v>803780</v>
      </c>
      <c r="H9" s="654">
        <v>0</v>
      </c>
      <c r="I9" s="654">
        <v>24674</v>
      </c>
      <c r="J9" s="654">
        <v>0</v>
      </c>
    </row>
    <row r="10" spans="1:10" x14ac:dyDescent="0.15">
      <c r="B10" t="s">
        <v>735</v>
      </c>
      <c r="D10" s="654">
        <v>803780</v>
      </c>
      <c r="E10" s="654">
        <v>0</v>
      </c>
      <c r="F10" s="654">
        <v>803780</v>
      </c>
      <c r="G10" s="654">
        <v>803780</v>
      </c>
      <c r="H10" s="654">
        <v>0</v>
      </c>
      <c r="I10" s="654">
        <v>24674</v>
      </c>
      <c r="J10" s="654">
        <v>0</v>
      </c>
    </row>
    <row r="11" spans="1:10" x14ac:dyDescent="0.15">
      <c r="B11" t="s">
        <v>629</v>
      </c>
      <c r="C11" t="s">
        <v>601</v>
      </c>
      <c r="D11" s="654">
        <v>2603682</v>
      </c>
      <c r="E11" s="654">
        <v>-108793</v>
      </c>
      <c r="F11" s="654">
        <v>2494889</v>
      </c>
      <c r="G11" s="654">
        <v>2494889</v>
      </c>
      <c r="H11" s="654">
        <v>0</v>
      </c>
      <c r="I11" s="654">
        <v>137208</v>
      </c>
      <c r="J11" s="654">
        <v>96417</v>
      </c>
    </row>
    <row r="12" spans="1:10" x14ac:dyDescent="0.15">
      <c r="B12" t="s">
        <v>736</v>
      </c>
      <c r="D12" s="654">
        <v>2603682</v>
      </c>
      <c r="E12" s="654">
        <v>-108793</v>
      </c>
      <c r="F12" s="654">
        <v>2494889</v>
      </c>
      <c r="G12" s="654">
        <v>2494889</v>
      </c>
      <c r="H12" s="654">
        <v>0</v>
      </c>
      <c r="I12" s="654">
        <v>137208</v>
      </c>
      <c r="J12" s="654">
        <v>96417</v>
      </c>
    </row>
    <row r="13" spans="1:10" x14ac:dyDescent="0.15">
      <c r="B13" t="s">
        <v>631</v>
      </c>
      <c r="C13" t="s">
        <v>596</v>
      </c>
      <c r="D13" s="654">
        <v>1494585</v>
      </c>
      <c r="E13" s="654">
        <v>0</v>
      </c>
      <c r="F13" s="654">
        <v>1494585</v>
      </c>
      <c r="G13" s="654">
        <v>1494585</v>
      </c>
      <c r="H13" s="654">
        <v>0</v>
      </c>
      <c r="I13" s="654">
        <v>0</v>
      </c>
      <c r="J13" s="654">
        <v>72968</v>
      </c>
    </row>
    <row r="14" spans="1:10" x14ac:dyDescent="0.15">
      <c r="B14" t="s">
        <v>737</v>
      </c>
      <c r="D14" s="654">
        <v>1494585</v>
      </c>
      <c r="E14" s="654">
        <v>0</v>
      </c>
      <c r="F14" s="654">
        <v>1494585</v>
      </c>
      <c r="G14" s="654">
        <v>1494585</v>
      </c>
      <c r="H14" s="654">
        <v>0</v>
      </c>
      <c r="I14" s="654">
        <v>0</v>
      </c>
      <c r="J14" s="654">
        <v>72968</v>
      </c>
    </row>
    <row r="15" spans="1:10" x14ac:dyDescent="0.15">
      <c r="B15" t="s">
        <v>566</v>
      </c>
      <c r="C15" t="s">
        <v>597</v>
      </c>
      <c r="D15" s="654">
        <v>33378</v>
      </c>
      <c r="E15" s="654">
        <v>0</v>
      </c>
      <c r="F15" s="654">
        <v>33378</v>
      </c>
      <c r="G15" s="654">
        <v>33378</v>
      </c>
      <c r="H15" s="654">
        <v>0</v>
      </c>
      <c r="I15" s="654">
        <v>0</v>
      </c>
      <c r="J15" s="654">
        <v>0</v>
      </c>
    </row>
    <row r="16" spans="1:10" x14ac:dyDescent="0.15">
      <c r="B16" t="s">
        <v>738</v>
      </c>
      <c r="D16" s="654">
        <v>33378</v>
      </c>
      <c r="E16" s="654">
        <v>0</v>
      </c>
      <c r="F16" s="654">
        <v>33378</v>
      </c>
      <c r="G16" s="654">
        <v>33378</v>
      </c>
      <c r="H16" s="654">
        <v>0</v>
      </c>
      <c r="I16" s="654">
        <v>0</v>
      </c>
      <c r="J16" s="654">
        <v>0</v>
      </c>
    </row>
    <row r="17" spans="1:10" x14ac:dyDescent="0.15">
      <c r="A17" s="653" t="s">
        <v>609</v>
      </c>
      <c r="B17"/>
      <c r="D17" s="654">
        <v>23865810</v>
      </c>
      <c r="E17" s="654">
        <v>-809461</v>
      </c>
      <c r="F17" s="654">
        <v>23056349</v>
      </c>
      <c r="G17" s="654">
        <v>23056349</v>
      </c>
      <c r="H17" s="654">
        <v>0</v>
      </c>
      <c r="I17" s="654">
        <v>1299401</v>
      </c>
      <c r="J17" s="654">
        <v>1832829</v>
      </c>
    </row>
    <row r="18" spans="1:10" x14ac:dyDescent="0.15">
      <c r="A18" s="653">
        <v>42644</v>
      </c>
      <c r="B18" t="s">
        <v>626</v>
      </c>
      <c r="C18" t="s">
        <v>600</v>
      </c>
      <c r="D18" s="654">
        <v>18918730</v>
      </c>
      <c r="E18" s="654">
        <v>9826</v>
      </c>
      <c r="F18" s="654">
        <v>18928556</v>
      </c>
      <c r="G18" s="654">
        <v>18928556</v>
      </c>
      <c r="H18" s="654">
        <v>0</v>
      </c>
      <c r="I18" s="654">
        <v>320486</v>
      </c>
      <c r="J18" s="654">
        <v>1491600</v>
      </c>
    </row>
    <row r="19" spans="1:10" x14ac:dyDescent="0.15">
      <c r="B19" t="s">
        <v>733</v>
      </c>
      <c r="D19" s="654">
        <v>18918730</v>
      </c>
      <c r="E19" s="654">
        <v>9826</v>
      </c>
      <c r="F19" s="654">
        <v>18928556</v>
      </c>
      <c r="G19" s="654">
        <v>18928556</v>
      </c>
      <c r="H19" s="654">
        <v>0</v>
      </c>
      <c r="I19" s="654">
        <v>320486</v>
      </c>
      <c r="J19" s="654">
        <v>1491600</v>
      </c>
    </row>
    <row r="20" spans="1:10" x14ac:dyDescent="0.15">
      <c r="B20" t="s">
        <v>627</v>
      </c>
      <c r="C20" t="s">
        <v>599</v>
      </c>
      <c r="D20" s="654">
        <v>3672837</v>
      </c>
      <c r="E20" s="654">
        <v>-282487</v>
      </c>
      <c r="F20" s="654">
        <v>3390350</v>
      </c>
      <c r="G20" s="654">
        <v>3390350</v>
      </c>
      <c r="H20" s="654">
        <v>0</v>
      </c>
      <c r="I20" s="654">
        <v>0</v>
      </c>
      <c r="J20" s="654">
        <v>618444</v>
      </c>
    </row>
    <row r="21" spans="1:10" x14ac:dyDescent="0.15">
      <c r="B21" t="s">
        <v>734</v>
      </c>
      <c r="D21" s="654">
        <v>3672837</v>
      </c>
      <c r="E21" s="654">
        <v>-282487</v>
      </c>
      <c r="F21" s="654">
        <v>3390350</v>
      </c>
      <c r="G21" s="654">
        <v>3390350</v>
      </c>
      <c r="H21" s="654">
        <v>0</v>
      </c>
      <c r="I21" s="654">
        <v>0</v>
      </c>
      <c r="J21" s="654">
        <v>618444</v>
      </c>
    </row>
    <row r="22" spans="1:10" x14ac:dyDescent="0.15">
      <c r="B22" t="s">
        <v>628</v>
      </c>
      <c r="C22" t="s">
        <v>598</v>
      </c>
      <c r="D22" s="654">
        <v>1157062</v>
      </c>
      <c r="E22" s="654">
        <v>0</v>
      </c>
      <c r="F22" s="654">
        <v>1157062</v>
      </c>
      <c r="G22" s="654">
        <v>1157062</v>
      </c>
      <c r="H22" s="654">
        <v>0</v>
      </c>
      <c r="I22" s="654">
        <v>12337</v>
      </c>
      <c r="J22" s="654">
        <v>0</v>
      </c>
    </row>
    <row r="23" spans="1:10" x14ac:dyDescent="0.15">
      <c r="B23" t="s">
        <v>735</v>
      </c>
      <c r="D23" s="654">
        <v>1157062</v>
      </c>
      <c r="E23" s="654">
        <v>0</v>
      </c>
      <c r="F23" s="654">
        <v>1157062</v>
      </c>
      <c r="G23" s="654">
        <v>1157062</v>
      </c>
      <c r="H23" s="654">
        <v>0</v>
      </c>
      <c r="I23" s="654">
        <v>12337</v>
      </c>
      <c r="J23" s="654">
        <v>0</v>
      </c>
    </row>
    <row r="24" spans="1:10" x14ac:dyDescent="0.15">
      <c r="B24" t="s">
        <v>629</v>
      </c>
      <c r="C24" t="s">
        <v>601</v>
      </c>
      <c r="D24" s="654">
        <v>2341440</v>
      </c>
      <c r="E24" s="654">
        <v>0</v>
      </c>
      <c r="F24" s="654">
        <v>2341440</v>
      </c>
      <c r="G24" s="654">
        <v>2341440</v>
      </c>
      <c r="H24" s="654">
        <v>0</v>
      </c>
      <c r="I24" s="654">
        <v>0</v>
      </c>
      <c r="J24" s="654">
        <v>90007</v>
      </c>
    </row>
    <row r="25" spans="1:10" x14ac:dyDescent="0.15">
      <c r="B25" t="s">
        <v>736</v>
      </c>
      <c r="D25" s="654">
        <v>2341440</v>
      </c>
      <c r="E25" s="654">
        <v>0</v>
      </c>
      <c r="F25" s="654">
        <v>2341440</v>
      </c>
      <c r="G25" s="654">
        <v>2341440</v>
      </c>
      <c r="H25" s="654">
        <v>0</v>
      </c>
      <c r="I25" s="654">
        <v>0</v>
      </c>
      <c r="J25" s="654">
        <v>90007</v>
      </c>
    </row>
    <row r="26" spans="1:10" x14ac:dyDescent="0.15">
      <c r="B26" t="s">
        <v>631</v>
      </c>
      <c r="C26" t="s">
        <v>596</v>
      </c>
      <c r="D26" s="654">
        <v>1657777</v>
      </c>
      <c r="E26" s="654">
        <v>-1657777</v>
      </c>
      <c r="F26" s="654">
        <v>0</v>
      </c>
      <c r="G26" s="654">
        <v>0</v>
      </c>
      <c r="H26" s="654">
        <v>0</v>
      </c>
      <c r="I26" s="654">
        <v>0</v>
      </c>
      <c r="J26" s="654">
        <v>0</v>
      </c>
    </row>
    <row r="27" spans="1:10" x14ac:dyDescent="0.15">
      <c r="B27" t="s">
        <v>737</v>
      </c>
      <c r="D27" s="654">
        <v>1657777</v>
      </c>
      <c r="E27" s="654">
        <v>-1657777</v>
      </c>
      <c r="F27" s="654">
        <v>0</v>
      </c>
      <c r="G27" s="654">
        <v>0</v>
      </c>
      <c r="H27" s="654">
        <v>0</v>
      </c>
      <c r="I27" s="654">
        <v>0</v>
      </c>
      <c r="J27" s="654">
        <v>0</v>
      </c>
    </row>
    <row r="28" spans="1:10" x14ac:dyDescent="0.15">
      <c r="B28" t="s">
        <v>566</v>
      </c>
      <c r="C28" t="s">
        <v>597</v>
      </c>
      <c r="D28" s="654">
        <v>66756</v>
      </c>
      <c r="E28" s="654">
        <v>-66756</v>
      </c>
      <c r="F28" s="654">
        <v>0</v>
      </c>
      <c r="G28" s="654">
        <v>0</v>
      </c>
      <c r="H28" s="654">
        <v>0</v>
      </c>
      <c r="I28" s="654">
        <v>0</v>
      </c>
      <c r="J28" s="654">
        <v>0</v>
      </c>
    </row>
    <row r="29" spans="1:10" x14ac:dyDescent="0.15">
      <c r="B29" t="s">
        <v>738</v>
      </c>
      <c r="D29" s="654">
        <v>66756</v>
      </c>
      <c r="E29" s="654">
        <v>-66756</v>
      </c>
      <c r="F29" s="654">
        <v>0</v>
      </c>
      <c r="G29" s="654">
        <v>0</v>
      </c>
      <c r="H29" s="654">
        <v>0</v>
      </c>
      <c r="I29" s="654">
        <v>0</v>
      </c>
      <c r="J29" s="654">
        <v>0</v>
      </c>
    </row>
    <row r="30" spans="1:10" x14ac:dyDescent="0.15">
      <c r="A30" s="653" t="s">
        <v>610</v>
      </c>
      <c r="B30"/>
      <c r="D30" s="654">
        <v>27814602</v>
      </c>
      <c r="E30" s="654">
        <v>-1997194</v>
      </c>
      <c r="F30" s="654">
        <v>25817408</v>
      </c>
      <c r="G30" s="654">
        <v>25817408</v>
      </c>
      <c r="H30" s="654">
        <v>0</v>
      </c>
      <c r="I30" s="654">
        <v>332823</v>
      </c>
      <c r="J30" s="654">
        <v>2200051</v>
      </c>
    </row>
    <row r="31" spans="1:10" x14ac:dyDescent="0.15">
      <c r="A31" s="653">
        <v>42675</v>
      </c>
      <c r="B31" t="s">
        <v>626</v>
      </c>
      <c r="C31" t="s">
        <v>600</v>
      </c>
      <c r="D31" s="654">
        <v>18241173</v>
      </c>
      <c r="E31" s="654">
        <v>-138466</v>
      </c>
      <c r="F31" s="654">
        <v>18102707</v>
      </c>
      <c r="G31" s="654">
        <v>18102707</v>
      </c>
      <c r="H31" s="654">
        <v>0</v>
      </c>
      <c r="I31" s="654">
        <v>332043</v>
      </c>
      <c r="J31" s="654">
        <v>1434512</v>
      </c>
    </row>
    <row r="32" spans="1:10" x14ac:dyDescent="0.15">
      <c r="B32" t="s">
        <v>733</v>
      </c>
      <c r="D32" s="654">
        <v>18241173</v>
      </c>
      <c r="E32" s="654">
        <v>-138466</v>
      </c>
      <c r="F32" s="654">
        <v>18102707</v>
      </c>
      <c r="G32" s="654">
        <v>18102707</v>
      </c>
      <c r="H32" s="654">
        <v>0</v>
      </c>
      <c r="I32" s="654">
        <v>332043</v>
      </c>
      <c r="J32" s="654">
        <v>1434512</v>
      </c>
    </row>
    <row r="33" spans="1:10" x14ac:dyDescent="0.15">
      <c r="B33" t="s">
        <v>627</v>
      </c>
      <c r="C33" t="s">
        <v>599</v>
      </c>
      <c r="D33" s="654">
        <v>3103359</v>
      </c>
      <c r="E33" s="654">
        <v>-217664</v>
      </c>
      <c r="F33" s="654">
        <v>2885695</v>
      </c>
      <c r="G33" s="654">
        <v>2885695</v>
      </c>
      <c r="H33" s="654">
        <v>0</v>
      </c>
      <c r="I33" s="654">
        <v>0</v>
      </c>
      <c r="J33" s="654">
        <v>491394</v>
      </c>
    </row>
    <row r="34" spans="1:10" x14ac:dyDescent="0.15">
      <c r="B34" t="s">
        <v>734</v>
      </c>
      <c r="D34" s="654">
        <v>3103359</v>
      </c>
      <c r="E34" s="654">
        <v>-217664</v>
      </c>
      <c r="F34" s="654">
        <v>2885695</v>
      </c>
      <c r="G34" s="654">
        <v>2885695</v>
      </c>
      <c r="H34" s="654">
        <v>0</v>
      </c>
      <c r="I34" s="654">
        <v>0</v>
      </c>
      <c r="J34" s="654">
        <v>491394</v>
      </c>
    </row>
    <row r="35" spans="1:10" x14ac:dyDescent="0.15">
      <c r="B35" t="s">
        <v>628</v>
      </c>
      <c r="C35" t="s">
        <v>598</v>
      </c>
      <c r="D35" s="654">
        <v>997610</v>
      </c>
      <c r="E35" s="654">
        <v>0</v>
      </c>
      <c r="F35" s="654">
        <v>997610</v>
      </c>
      <c r="G35" s="654">
        <v>997610</v>
      </c>
      <c r="H35" s="654">
        <v>0</v>
      </c>
      <c r="I35" s="654">
        <v>0</v>
      </c>
      <c r="J35" s="654">
        <v>0</v>
      </c>
    </row>
    <row r="36" spans="1:10" x14ac:dyDescent="0.15">
      <c r="B36" t="s">
        <v>735</v>
      </c>
      <c r="D36" s="654">
        <v>997610</v>
      </c>
      <c r="E36" s="654">
        <v>0</v>
      </c>
      <c r="F36" s="654">
        <v>997610</v>
      </c>
      <c r="G36" s="654">
        <v>997610</v>
      </c>
      <c r="H36" s="654">
        <v>0</v>
      </c>
      <c r="I36" s="654">
        <v>0</v>
      </c>
      <c r="J36" s="654">
        <v>0</v>
      </c>
    </row>
    <row r="37" spans="1:10" x14ac:dyDescent="0.15">
      <c r="B37" t="s">
        <v>629</v>
      </c>
      <c r="C37" t="s">
        <v>601</v>
      </c>
      <c r="D37" s="654">
        <v>2491624</v>
      </c>
      <c r="E37" s="654">
        <v>0</v>
      </c>
      <c r="F37" s="654">
        <v>2491624</v>
      </c>
      <c r="G37" s="654">
        <v>2491624</v>
      </c>
      <c r="H37" s="654">
        <v>0</v>
      </c>
      <c r="I37" s="654">
        <v>0</v>
      </c>
      <c r="J37" s="654">
        <v>95807</v>
      </c>
    </row>
    <row r="38" spans="1:10" x14ac:dyDescent="0.15">
      <c r="B38" t="s">
        <v>736</v>
      </c>
      <c r="D38" s="654">
        <v>2491624</v>
      </c>
      <c r="E38" s="654">
        <v>0</v>
      </c>
      <c r="F38" s="654">
        <v>2491624</v>
      </c>
      <c r="G38" s="654">
        <v>2491624</v>
      </c>
      <c r="H38" s="654">
        <v>0</v>
      </c>
      <c r="I38" s="654">
        <v>0</v>
      </c>
      <c r="J38" s="654">
        <v>95807</v>
      </c>
    </row>
    <row r="39" spans="1:10" x14ac:dyDescent="0.15">
      <c r="B39" t="s">
        <v>631</v>
      </c>
      <c r="C39" t="s">
        <v>596</v>
      </c>
      <c r="D39" s="654">
        <v>1676578</v>
      </c>
      <c r="E39" s="654">
        <v>-197170</v>
      </c>
      <c r="F39" s="654">
        <v>1479408</v>
      </c>
      <c r="G39" s="654">
        <v>1479408</v>
      </c>
      <c r="H39" s="654">
        <v>0</v>
      </c>
      <c r="I39" s="654">
        <v>0</v>
      </c>
      <c r="J39" s="654">
        <v>72707</v>
      </c>
    </row>
    <row r="40" spans="1:10" x14ac:dyDescent="0.15">
      <c r="B40" t="s">
        <v>737</v>
      </c>
      <c r="D40" s="654">
        <v>1676578</v>
      </c>
      <c r="E40" s="654">
        <v>-197170</v>
      </c>
      <c r="F40" s="654">
        <v>1479408</v>
      </c>
      <c r="G40" s="654">
        <v>1479408</v>
      </c>
      <c r="H40" s="654">
        <v>0</v>
      </c>
      <c r="I40" s="654">
        <v>0</v>
      </c>
      <c r="J40" s="654">
        <v>72707</v>
      </c>
    </row>
    <row r="41" spans="1:10" x14ac:dyDescent="0.15">
      <c r="B41" t="s">
        <v>566</v>
      </c>
      <c r="C41" t="s">
        <v>597</v>
      </c>
      <c r="D41" s="654">
        <v>50067</v>
      </c>
      <c r="E41" s="654">
        <v>0</v>
      </c>
      <c r="F41" s="654">
        <v>50067</v>
      </c>
      <c r="G41" s="654">
        <v>50067</v>
      </c>
      <c r="H41" s="654">
        <v>0</v>
      </c>
      <c r="I41" s="654">
        <v>0</v>
      </c>
      <c r="J41" s="654">
        <v>0</v>
      </c>
    </row>
    <row r="42" spans="1:10" x14ac:dyDescent="0.15">
      <c r="B42" t="s">
        <v>738</v>
      </c>
      <c r="D42" s="654">
        <v>50067</v>
      </c>
      <c r="E42" s="654">
        <v>0</v>
      </c>
      <c r="F42" s="654">
        <v>50067</v>
      </c>
      <c r="G42" s="654">
        <v>50067</v>
      </c>
      <c r="H42" s="654">
        <v>0</v>
      </c>
      <c r="I42" s="654">
        <v>0</v>
      </c>
      <c r="J42" s="654">
        <v>0</v>
      </c>
    </row>
    <row r="43" spans="1:10" x14ac:dyDescent="0.15">
      <c r="A43" s="653" t="s">
        <v>611</v>
      </c>
      <c r="B43"/>
      <c r="D43" s="654">
        <v>26560411</v>
      </c>
      <c r="E43" s="654">
        <v>-553300</v>
      </c>
      <c r="F43" s="654">
        <v>26007111</v>
      </c>
      <c r="G43" s="654">
        <v>26007111</v>
      </c>
      <c r="H43" s="654">
        <v>0</v>
      </c>
      <c r="I43" s="654">
        <v>332043</v>
      </c>
      <c r="J43" s="654">
        <v>2094420</v>
      </c>
    </row>
    <row r="44" spans="1:10" x14ac:dyDescent="0.15">
      <c r="A44" s="653">
        <v>42705</v>
      </c>
      <c r="B44" t="s">
        <v>626</v>
      </c>
      <c r="C44" t="s">
        <v>600</v>
      </c>
      <c r="D44" s="654">
        <v>19177264</v>
      </c>
      <c r="E44" s="654">
        <v>-170563</v>
      </c>
      <c r="F44" s="654">
        <v>19006701</v>
      </c>
      <c r="G44" s="654">
        <v>19006701</v>
      </c>
      <c r="H44" s="654">
        <v>0</v>
      </c>
      <c r="I44" s="654">
        <v>196716</v>
      </c>
      <c r="J44" s="654">
        <v>1514445</v>
      </c>
    </row>
    <row r="45" spans="1:10" x14ac:dyDescent="0.15">
      <c r="B45" t="s">
        <v>733</v>
      </c>
      <c r="D45" s="654">
        <v>19177264</v>
      </c>
      <c r="E45" s="654">
        <v>-170563</v>
      </c>
      <c r="F45" s="654">
        <v>19006701</v>
      </c>
      <c r="G45" s="654">
        <v>19006701</v>
      </c>
      <c r="H45" s="654">
        <v>0</v>
      </c>
      <c r="I45" s="654">
        <v>196716</v>
      </c>
      <c r="J45" s="654">
        <v>1514445</v>
      </c>
    </row>
    <row r="46" spans="1:10" x14ac:dyDescent="0.15">
      <c r="B46" t="s">
        <v>627</v>
      </c>
      <c r="C46" t="s">
        <v>599</v>
      </c>
      <c r="D46" s="654">
        <v>3315613</v>
      </c>
      <c r="E46" s="654">
        <v>-44191</v>
      </c>
      <c r="F46" s="654">
        <v>3271422</v>
      </c>
      <c r="G46" s="654">
        <v>3271422</v>
      </c>
      <c r="H46" s="654">
        <v>0</v>
      </c>
      <c r="I46" s="654">
        <v>0</v>
      </c>
      <c r="J46" s="654">
        <v>573347</v>
      </c>
    </row>
    <row r="47" spans="1:10" x14ac:dyDescent="0.15">
      <c r="B47" t="s">
        <v>734</v>
      </c>
      <c r="D47" s="654">
        <v>3315613</v>
      </c>
      <c r="E47" s="654">
        <v>-44191</v>
      </c>
      <c r="F47" s="654">
        <v>3271422</v>
      </c>
      <c r="G47" s="654">
        <v>3271422</v>
      </c>
      <c r="H47" s="654">
        <v>0</v>
      </c>
      <c r="I47" s="654">
        <v>0</v>
      </c>
      <c r="J47" s="654">
        <v>573347</v>
      </c>
    </row>
    <row r="48" spans="1:10" x14ac:dyDescent="0.15">
      <c r="B48" t="s">
        <v>628</v>
      </c>
      <c r="C48" t="s">
        <v>598</v>
      </c>
      <c r="D48" s="654">
        <v>1031123</v>
      </c>
      <c r="E48" s="654">
        <v>0</v>
      </c>
      <c r="F48" s="654">
        <v>1031123</v>
      </c>
      <c r="G48" s="654">
        <v>1031123</v>
      </c>
      <c r="H48" s="654">
        <v>0</v>
      </c>
      <c r="I48" s="654">
        <v>0</v>
      </c>
      <c r="J48" s="654">
        <v>0</v>
      </c>
    </row>
    <row r="49" spans="1:10" x14ac:dyDescent="0.15">
      <c r="B49" t="s">
        <v>735</v>
      </c>
      <c r="D49" s="654">
        <v>1031123</v>
      </c>
      <c r="E49" s="654">
        <v>0</v>
      </c>
      <c r="F49" s="654">
        <v>1031123</v>
      </c>
      <c r="G49" s="654">
        <v>1031123</v>
      </c>
      <c r="H49" s="654">
        <v>0</v>
      </c>
      <c r="I49" s="654">
        <v>0</v>
      </c>
      <c r="J49" s="654">
        <v>0</v>
      </c>
    </row>
    <row r="50" spans="1:10" x14ac:dyDescent="0.15">
      <c r="B50" t="s">
        <v>629</v>
      </c>
      <c r="C50" t="s">
        <v>601</v>
      </c>
      <c r="D50" s="654">
        <v>2524229</v>
      </c>
      <c r="E50" s="654">
        <v>-52572</v>
      </c>
      <c r="F50" s="654">
        <v>2471657</v>
      </c>
      <c r="G50" s="654">
        <v>2471657</v>
      </c>
      <c r="H50" s="654">
        <v>0</v>
      </c>
      <c r="I50" s="654">
        <v>0</v>
      </c>
      <c r="J50" s="654">
        <v>95336</v>
      </c>
    </row>
    <row r="51" spans="1:10" x14ac:dyDescent="0.15">
      <c r="B51" t="s">
        <v>736</v>
      </c>
      <c r="D51" s="654">
        <v>2524229</v>
      </c>
      <c r="E51" s="654">
        <v>-52572</v>
      </c>
      <c r="F51" s="654">
        <v>2471657</v>
      </c>
      <c r="G51" s="654">
        <v>2471657</v>
      </c>
      <c r="H51" s="654">
        <v>0</v>
      </c>
      <c r="I51" s="654">
        <v>0</v>
      </c>
      <c r="J51" s="654">
        <v>95336</v>
      </c>
    </row>
    <row r="52" spans="1:10" x14ac:dyDescent="0.15">
      <c r="B52" t="s">
        <v>631</v>
      </c>
      <c r="C52" t="s">
        <v>596</v>
      </c>
      <c r="D52" s="654">
        <v>3273445</v>
      </c>
      <c r="E52" s="654">
        <v>-200031</v>
      </c>
      <c r="F52" s="654">
        <v>3073414</v>
      </c>
      <c r="G52" s="654">
        <v>3073414</v>
      </c>
      <c r="H52" s="654">
        <v>0</v>
      </c>
      <c r="I52" s="654">
        <v>0</v>
      </c>
      <c r="J52" s="654">
        <v>151302</v>
      </c>
    </row>
    <row r="53" spans="1:10" x14ac:dyDescent="0.15">
      <c r="B53" t="s">
        <v>737</v>
      </c>
      <c r="D53" s="654">
        <v>3273445</v>
      </c>
      <c r="E53" s="654">
        <v>-200031</v>
      </c>
      <c r="F53" s="654">
        <v>3073414</v>
      </c>
      <c r="G53" s="654">
        <v>3073414</v>
      </c>
      <c r="H53" s="654">
        <v>0</v>
      </c>
      <c r="I53" s="654">
        <v>0</v>
      </c>
      <c r="J53" s="654">
        <v>151302</v>
      </c>
    </row>
    <row r="54" spans="1:10" x14ac:dyDescent="0.15">
      <c r="B54" t="s">
        <v>566</v>
      </c>
      <c r="C54" t="s">
        <v>597</v>
      </c>
      <c r="D54" s="654">
        <v>46949</v>
      </c>
      <c r="E54" s="654">
        <v>-13571</v>
      </c>
      <c r="F54" s="654">
        <v>33378</v>
      </c>
      <c r="G54" s="654">
        <v>33378</v>
      </c>
      <c r="H54" s="654">
        <v>0</v>
      </c>
      <c r="I54" s="654">
        <v>0</v>
      </c>
      <c r="J54" s="654">
        <v>0</v>
      </c>
    </row>
    <row r="55" spans="1:10" x14ac:dyDescent="0.15">
      <c r="B55" t="s">
        <v>738</v>
      </c>
      <c r="D55" s="654">
        <v>46949</v>
      </c>
      <c r="E55" s="654">
        <v>-13571</v>
      </c>
      <c r="F55" s="654">
        <v>33378</v>
      </c>
      <c r="G55" s="654">
        <v>33378</v>
      </c>
      <c r="H55" s="654">
        <v>0</v>
      </c>
      <c r="I55" s="654">
        <v>0</v>
      </c>
      <c r="J55" s="654">
        <v>0</v>
      </c>
    </row>
    <row r="56" spans="1:10" x14ac:dyDescent="0.15">
      <c r="A56" s="653" t="s">
        <v>612</v>
      </c>
      <c r="B56"/>
      <c r="D56" s="654">
        <v>29368623</v>
      </c>
      <c r="E56" s="654">
        <v>-480928</v>
      </c>
      <c r="F56" s="654">
        <v>28887695</v>
      </c>
      <c r="G56" s="654">
        <v>28887695</v>
      </c>
      <c r="H56" s="654">
        <v>0</v>
      </c>
      <c r="I56" s="654">
        <v>196716</v>
      </c>
      <c r="J56" s="654">
        <v>2334430</v>
      </c>
    </row>
    <row r="57" spans="1:10" x14ac:dyDescent="0.15">
      <c r="A57" s="653">
        <v>42736</v>
      </c>
      <c r="B57" t="s">
        <v>626</v>
      </c>
      <c r="C57" t="s">
        <v>600</v>
      </c>
      <c r="D57" s="654">
        <v>17300296</v>
      </c>
      <c r="E57" s="654">
        <v>-268181</v>
      </c>
      <c r="F57" s="654">
        <v>17032115</v>
      </c>
      <c r="G57" s="654">
        <v>17032115</v>
      </c>
      <c r="H57" s="654">
        <v>0</v>
      </c>
      <c r="I57" s="654">
        <v>460576</v>
      </c>
      <c r="J57" s="654">
        <v>1343619</v>
      </c>
    </row>
    <row r="58" spans="1:10" x14ac:dyDescent="0.15">
      <c r="B58" t="s">
        <v>733</v>
      </c>
      <c r="D58" s="654">
        <v>17300296</v>
      </c>
      <c r="E58" s="654">
        <v>-268181</v>
      </c>
      <c r="F58" s="654">
        <v>17032115</v>
      </c>
      <c r="G58" s="654">
        <v>17032115</v>
      </c>
      <c r="H58" s="654">
        <v>0</v>
      </c>
      <c r="I58" s="654">
        <v>460576</v>
      </c>
      <c r="J58" s="654">
        <v>1343619</v>
      </c>
    </row>
    <row r="59" spans="1:10" x14ac:dyDescent="0.15">
      <c r="B59" t="s">
        <v>627</v>
      </c>
      <c r="C59" t="s">
        <v>599</v>
      </c>
      <c r="D59" s="654">
        <v>3279056</v>
      </c>
      <c r="E59" s="654">
        <v>-12232</v>
      </c>
      <c r="F59" s="654">
        <v>3266824</v>
      </c>
      <c r="G59" s="654">
        <v>3266824</v>
      </c>
      <c r="H59" s="654">
        <v>0</v>
      </c>
      <c r="I59" s="654">
        <v>0</v>
      </c>
      <c r="J59" s="654">
        <v>566624</v>
      </c>
    </row>
    <row r="60" spans="1:10" x14ac:dyDescent="0.15">
      <c r="B60" t="s">
        <v>734</v>
      </c>
      <c r="D60" s="654">
        <v>3279056</v>
      </c>
      <c r="E60" s="654">
        <v>-12232</v>
      </c>
      <c r="F60" s="654">
        <v>3266824</v>
      </c>
      <c r="G60" s="654">
        <v>3266824</v>
      </c>
      <c r="H60" s="654">
        <v>0</v>
      </c>
      <c r="I60" s="654">
        <v>0</v>
      </c>
      <c r="J60" s="654">
        <v>566624</v>
      </c>
    </row>
    <row r="61" spans="1:10" x14ac:dyDescent="0.15">
      <c r="B61" t="s">
        <v>628</v>
      </c>
      <c r="C61" t="s">
        <v>598</v>
      </c>
      <c r="D61" s="654">
        <v>1033968</v>
      </c>
      <c r="E61" s="654">
        <v>0</v>
      </c>
      <c r="F61" s="654">
        <v>1033968</v>
      </c>
      <c r="G61" s="654">
        <v>1033968</v>
      </c>
      <c r="H61" s="654">
        <v>0</v>
      </c>
      <c r="I61" s="654">
        <v>38915</v>
      </c>
      <c r="J61" s="654">
        <v>0</v>
      </c>
    </row>
    <row r="62" spans="1:10" x14ac:dyDescent="0.15">
      <c r="B62" t="s">
        <v>735</v>
      </c>
      <c r="D62" s="654">
        <v>1033968</v>
      </c>
      <c r="E62" s="654">
        <v>0</v>
      </c>
      <c r="F62" s="654">
        <v>1033968</v>
      </c>
      <c r="G62" s="654">
        <v>1033968</v>
      </c>
      <c r="H62" s="654">
        <v>0</v>
      </c>
      <c r="I62" s="654">
        <v>38915</v>
      </c>
      <c r="J62" s="654">
        <v>0</v>
      </c>
    </row>
    <row r="63" spans="1:10" x14ac:dyDescent="0.15">
      <c r="B63" t="s">
        <v>629</v>
      </c>
      <c r="C63" t="s">
        <v>601</v>
      </c>
      <c r="D63" s="654">
        <v>2308205</v>
      </c>
      <c r="E63" s="654">
        <v>0</v>
      </c>
      <c r="F63" s="654">
        <v>2308205</v>
      </c>
      <c r="G63" s="654">
        <v>2308205</v>
      </c>
      <c r="H63" s="654">
        <v>0</v>
      </c>
      <c r="I63" s="654">
        <v>65592</v>
      </c>
      <c r="J63" s="654">
        <v>88738</v>
      </c>
    </row>
    <row r="64" spans="1:10" x14ac:dyDescent="0.15">
      <c r="B64" t="s">
        <v>736</v>
      </c>
      <c r="D64" s="654">
        <v>2308205</v>
      </c>
      <c r="E64" s="654">
        <v>0</v>
      </c>
      <c r="F64" s="654">
        <v>2308205</v>
      </c>
      <c r="G64" s="654">
        <v>2308205</v>
      </c>
      <c r="H64" s="654">
        <v>0</v>
      </c>
      <c r="I64" s="654">
        <v>65592</v>
      </c>
      <c r="J64" s="654">
        <v>88738</v>
      </c>
    </row>
    <row r="65" spans="1:10" x14ac:dyDescent="0.15">
      <c r="B65" t="s">
        <v>631</v>
      </c>
      <c r="C65" t="s">
        <v>596</v>
      </c>
      <c r="D65" s="654">
        <v>1725196</v>
      </c>
      <c r="E65" s="654">
        <v>0</v>
      </c>
      <c r="F65" s="654">
        <v>1725196</v>
      </c>
      <c r="G65" s="654">
        <v>1725196</v>
      </c>
      <c r="H65" s="654">
        <v>0</v>
      </c>
      <c r="I65" s="654">
        <v>0</v>
      </c>
      <c r="J65" s="654">
        <v>84778</v>
      </c>
    </row>
    <row r="66" spans="1:10" x14ac:dyDescent="0.15">
      <c r="B66" t="s">
        <v>737</v>
      </c>
      <c r="D66" s="654">
        <v>1725196</v>
      </c>
      <c r="E66" s="654">
        <v>0</v>
      </c>
      <c r="F66" s="654">
        <v>1725196</v>
      </c>
      <c r="G66" s="654">
        <v>1725196</v>
      </c>
      <c r="H66" s="654">
        <v>0</v>
      </c>
      <c r="I66" s="654">
        <v>0</v>
      </c>
      <c r="J66" s="654">
        <v>84778</v>
      </c>
    </row>
    <row r="67" spans="1:10" x14ac:dyDescent="0.15">
      <c r="B67" t="s">
        <v>566</v>
      </c>
      <c r="C67" t="s">
        <v>597</v>
      </c>
      <c r="D67" s="654">
        <v>50067</v>
      </c>
      <c r="E67" s="654">
        <v>0</v>
      </c>
      <c r="F67" s="654">
        <v>50067</v>
      </c>
      <c r="G67" s="654">
        <v>50067</v>
      </c>
      <c r="H67" s="654">
        <v>0</v>
      </c>
      <c r="I67" s="654">
        <v>0</v>
      </c>
      <c r="J67" s="654">
        <v>0</v>
      </c>
    </row>
    <row r="68" spans="1:10" x14ac:dyDescent="0.15">
      <c r="B68" t="s">
        <v>738</v>
      </c>
      <c r="D68" s="654">
        <v>50067</v>
      </c>
      <c r="E68" s="654">
        <v>0</v>
      </c>
      <c r="F68" s="654">
        <v>50067</v>
      </c>
      <c r="G68" s="654">
        <v>50067</v>
      </c>
      <c r="H68" s="654">
        <v>0</v>
      </c>
      <c r="I68" s="654">
        <v>0</v>
      </c>
      <c r="J68" s="654">
        <v>0</v>
      </c>
    </row>
    <row r="69" spans="1:10" x14ac:dyDescent="0.15">
      <c r="A69" s="653" t="s">
        <v>613</v>
      </c>
      <c r="B69"/>
      <c r="D69" s="654">
        <v>25696788</v>
      </c>
      <c r="E69" s="654">
        <v>-280413</v>
      </c>
      <c r="F69" s="654">
        <v>25416375</v>
      </c>
      <c r="G69" s="654">
        <v>25416375</v>
      </c>
      <c r="H69" s="654">
        <v>0</v>
      </c>
      <c r="I69" s="654">
        <v>565083</v>
      </c>
      <c r="J69" s="654">
        <v>2083759</v>
      </c>
    </row>
    <row r="70" spans="1:10" x14ac:dyDescent="0.15">
      <c r="A70" s="653">
        <v>42767</v>
      </c>
      <c r="B70" t="s">
        <v>626</v>
      </c>
      <c r="C70" t="s">
        <v>600</v>
      </c>
      <c r="D70" s="654">
        <v>17249355</v>
      </c>
      <c r="E70" s="654">
        <v>-111399</v>
      </c>
      <c r="F70" s="654">
        <v>17137956</v>
      </c>
      <c r="G70" s="654">
        <v>17137956</v>
      </c>
      <c r="H70" s="654">
        <v>0</v>
      </c>
      <c r="I70" s="654">
        <v>553127</v>
      </c>
      <c r="J70" s="654">
        <v>1356817</v>
      </c>
    </row>
    <row r="71" spans="1:10" x14ac:dyDescent="0.15">
      <c r="B71" t="s">
        <v>733</v>
      </c>
      <c r="D71" s="654">
        <v>17249355</v>
      </c>
      <c r="E71" s="654">
        <v>-111399</v>
      </c>
      <c r="F71" s="654">
        <v>17137956</v>
      </c>
      <c r="G71" s="654">
        <v>17137956</v>
      </c>
      <c r="H71" s="654">
        <v>0</v>
      </c>
      <c r="I71" s="654">
        <v>553127</v>
      </c>
      <c r="J71" s="654">
        <v>1356817</v>
      </c>
    </row>
    <row r="72" spans="1:10" x14ac:dyDescent="0.15">
      <c r="B72" t="s">
        <v>627</v>
      </c>
      <c r="C72" t="s">
        <v>599</v>
      </c>
      <c r="D72" s="654">
        <v>3226548</v>
      </c>
      <c r="E72" s="654">
        <v>-175148</v>
      </c>
      <c r="F72" s="654">
        <v>3051400</v>
      </c>
      <c r="G72" s="654">
        <v>3051400</v>
      </c>
      <c r="H72" s="654">
        <v>0</v>
      </c>
      <c r="I72" s="654">
        <v>0</v>
      </c>
      <c r="J72" s="654">
        <v>524162</v>
      </c>
    </row>
    <row r="73" spans="1:10" x14ac:dyDescent="0.15">
      <c r="B73" t="s">
        <v>734</v>
      </c>
      <c r="D73" s="654">
        <v>3226548</v>
      </c>
      <c r="E73" s="654">
        <v>-175148</v>
      </c>
      <c r="F73" s="654">
        <v>3051400</v>
      </c>
      <c r="G73" s="654">
        <v>3051400</v>
      </c>
      <c r="H73" s="654">
        <v>0</v>
      </c>
      <c r="I73" s="654">
        <v>0</v>
      </c>
      <c r="J73" s="654">
        <v>524162</v>
      </c>
    </row>
    <row r="74" spans="1:10" x14ac:dyDescent="0.15">
      <c r="B74" t="s">
        <v>628</v>
      </c>
      <c r="C74" t="s">
        <v>598</v>
      </c>
      <c r="D74" s="654">
        <v>1232050</v>
      </c>
      <c r="E74" s="654">
        <v>-11514</v>
      </c>
      <c r="F74" s="654">
        <v>1220536</v>
      </c>
      <c r="G74" s="654">
        <v>1220536</v>
      </c>
      <c r="H74" s="654">
        <v>0</v>
      </c>
      <c r="I74" s="654">
        <v>0</v>
      </c>
      <c r="J74" s="654">
        <v>0</v>
      </c>
    </row>
    <row r="75" spans="1:10" x14ac:dyDescent="0.15">
      <c r="B75" t="s">
        <v>735</v>
      </c>
      <c r="D75" s="654">
        <v>1232050</v>
      </c>
      <c r="E75" s="654">
        <v>-11514</v>
      </c>
      <c r="F75" s="654">
        <v>1220536</v>
      </c>
      <c r="G75" s="654">
        <v>1220536</v>
      </c>
      <c r="H75" s="654">
        <v>0</v>
      </c>
      <c r="I75" s="654">
        <v>0</v>
      </c>
      <c r="J75" s="654">
        <v>0</v>
      </c>
    </row>
    <row r="76" spans="1:10" x14ac:dyDescent="0.15">
      <c r="B76" t="s">
        <v>629</v>
      </c>
      <c r="C76" t="s">
        <v>601</v>
      </c>
      <c r="D76" s="654">
        <v>2998524</v>
      </c>
      <c r="E76" s="654">
        <v>-117132</v>
      </c>
      <c r="F76" s="654">
        <v>2881392</v>
      </c>
      <c r="G76" s="654">
        <v>2881392</v>
      </c>
      <c r="H76" s="654">
        <v>0</v>
      </c>
      <c r="I76" s="654">
        <v>15821</v>
      </c>
      <c r="J76" s="654">
        <v>111359</v>
      </c>
    </row>
    <row r="77" spans="1:10" x14ac:dyDescent="0.15">
      <c r="B77" t="s">
        <v>736</v>
      </c>
      <c r="D77" s="654">
        <v>2998524</v>
      </c>
      <c r="E77" s="654">
        <v>-117132</v>
      </c>
      <c r="F77" s="654">
        <v>2881392</v>
      </c>
      <c r="G77" s="654">
        <v>2881392</v>
      </c>
      <c r="H77" s="654">
        <v>0</v>
      </c>
      <c r="I77" s="654">
        <v>15821</v>
      </c>
      <c r="J77" s="654">
        <v>111359</v>
      </c>
    </row>
    <row r="78" spans="1:10" x14ac:dyDescent="0.15">
      <c r="B78" t="s">
        <v>631</v>
      </c>
      <c r="C78" t="s">
        <v>596</v>
      </c>
      <c r="D78" s="654">
        <v>1359390</v>
      </c>
      <c r="E78" s="654">
        <v>0</v>
      </c>
      <c r="F78" s="654">
        <v>1359390</v>
      </c>
      <c r="G78" s="654">
        <v>1359390</v>
      </c>
      <c r="H78" s="654">
        <v>0</v>
      </c>
      <c r="I78" s="654">
        <v>0</v>
      </c>
      <c r="J78" s="654">
        <v>66554</v>
      </c>
    </row>
    <row r="79" spans="1:10" x14ac:dyDescent="0.15">
      <c r="B79" t="s">
        <v>737</v>
      </c>
      <c r="D79" s="654">
        <v>1359390</v>
      </c>
      <c r="E79" s="654">
        <v>0</v>
      </c>
      <c r="F79" s="654">
        <v>1359390</v>
      </c>
      <c r="G79" s="654">
        <v>1359390</v>
      </c>
      <c r="H79" s="654">
        <v>0</v>
      </c>
      <c r="I79" s="654">
        <v>0</v>
      </c>
      <c r="J79" s="654">
        <v>66554</v>
      </c>
    </row>
    <row r="80" spans="1:10" x14ac:dyDescent="0.15">
      <c r="A80" s="653" t="s">
        <v>614</v>
      </c>
      <c r="B80"/>
      <c r="D80" s="654">
        <v>26065867</v>
      </c>
      <c r="E80" s="654">
        <v>-415193</v>
      </c>
      <c r="F80" s="654">
        <v>25650674</v>
      </c>
      <c r="G80" s="654">
        <v>25650674</v>
      </c>
      <c r="H80" s="654">
        <v>0</v>
      </c>
      <c r="I80" s="654">
        <v>568948</v>
      </c>
      <c r="J80" s="654">
        <v>2058892</v>
      </c>
    </row>
    <row r="81" spans="1:10" x14ac:dyDescent="0.15">
      <c r="A81" s="653">
        <v>42795</v>
      </c>
      <c r="B81" t="s">
        <v>626</v>
      </c>
      <c r="C81" t="s">
        <v>600</v>
      </c>
      <c r="D81" s="654">
        <v>18382560</v>
      </c>
      <c r="E81" s="654">
        <v>-212011</v>
      </c>
      <c r="F81" s="654">
        <v>18170549</v>
      </c>
      <c r="G81" s="654">
        <v>18170549</v>
      </c>
      <c r="H81" s="654">
        <v>0</v>
      </c>
      <c r="I81" s="654">
        <v>78294</v>
      </c>
      <c r="J81" s="654">
        <v>1448058</v>
      </c>
    </row>
    <row r="82" spans="1:10" x14ac:dyDescent="0.15">
      <c r="B82" t="s">
        <v>733</v>
      </c>
      <c r="D82" s="654">
        <v>18382560</v>
      </c>
      <c r="E82" s="654">
        <v>-212011</v>
      </c>
      <c r="F82" s="654">
        <v>18170549</v>
      </c>
      <c r="G82" s="654">
        <v>18170549</v>
      </c>
      <c r="H82" s="654">
        <v>0</v>
      </c>
      <c r="I82" s="654">
        <v>78294</v>
      </c>
      <c r="J82" s="654">
        <v>1448058</v>
      </c>
    </row>
    <row r="83" spans="1:10" x14ac:dyDescent="0.15">
      <c r="B83" t="s">
        <v>627</v>
      </c>
      <c r="C83" t="s">
        <v>599</v>
      </c>
      <c r="D83" s="654">
        <v>3790841</v>
      </c>
      <c r="E83" s="654">
        <v>-300242</v>
      </c>
      <c r="F83" s="654">
        <v>3490599</v>
      </c>
      <c r="G83" s="654">
        <v>3490599</v>
      </c>
      <c r="H83" s="654">
        <v>0</v>
      </c>
      <c r="I83" s="654">
        <v>0</v>
      </c>
      <c r="J83" s="654">
        <v>607974</v>
      </c>
    </row>
    <row r="84" spans="1:10" x14ac:dyDescent="0.15">
      <c r="B84" t="s">
        <v>734</v>
      </c>
      <c r="D84" s="654">
        <v>3790841</v>
      </c>
      <c r="E84" s="654">
        <v>-300242</v>
      </c>
      <c r="F84" s="654">
        <v>3490599</v>
      </c>
      <c r="G84" s="654">
        <v>3490599</v>
      </c>
      <c r="H84" s="654">
        <v>0</v>
      </c>
      <c r="I84" s="654">
        <v>0</v>
      </c>
      <c r="J84" s="654">
        <v>607974</v>
      </c>
    </row>
    <row r="85" spans="1:10" x14ac:dyDescent="0.15">
      <c r="B85" t="s">
        <v>628</v>
      </c>
      <c r="C85" t="s">
        <v>598</v>
      </c>
      <c r="D85" s="654">
        <v>1100836</v>
      </c>
      <c r="E85" s="654">
        <v>0</v>
      </c>
      <c r="F85" s="654">
        <v>1100836</v>
      </c>
      <c r="G85" s="654">
        <v>1100836</v>
      </c>
      <c r="H85" s="654">
        <v>0</v>
      </c>
      <c r="I85" s="654">
        <v>0</v>
      </c>
      <c r="J85" s="654">
        <v>0</v>
      </c>
    </row>
    <row r="86" spans="1:10" x14ac:dyDescent="0.15">
      <c r="B86" t="s">
        <v>735</v>
      </c>
      <c r="D86" s="654">
        <v>1100836</v>
      </c>
      <c r="E86" s="654">
        <v>0</v>
      </c>
      <c r="F86" s="654">
        <v>1100836</v>
      </c>
      <c r="G86" s="654">
        <v>1100836</v>
      </c>
      <c r="H86" s="654">
        <v>0</v>
      </c>
      <c r="I86" s="654">
        <v>0</v>
      </c>
      <c r="J86" s="654">
        <v>0</v>
      </c>
    </row>
    <row r="87" spans="1:10" x14ac:dyDescent="0.15">
      <c r="B87" t="s">
        <v>629</v>
      </c>
      <c r="C87" t="s">
        <v>601</v>
      </c>
      <c r="D87" s="654">
        <v>2979820</v>
      </c>
      <c r="E87" s="654">
        <v>-69837</v>
      </c>
      <c r="F87" s="654">
        <v>2909983</v>
      </c>
      <c r="G87" s="654">
        <v>2909983</v>
      </c>
      <c r="H87" s="654">
        <v>0</v>
      </c>
      <c r="I87" s="654">
        <v>67235</v>
      </c>
      <c r="J87" s="654">
        <v>111908</v>
      </c>
    </row>
    <row r="88" spans="1:10" x14ac:dyDescent="0.15">
      <c r="B88" t="s">
        <v>736</v>
      </c>
      <c r="D88" s="654">
        <v>2979820</v>
      </c>
      <c r="E88" s="654">
        <v>-69837</v>
      </c>
      <c r="F88" s="654">
        <v>2909983</v>
      </c>
      <c r="G88" s="654">
        <v>2909983</v>
      </c>
      <c r="H88" s="654">
        <v>0</v>
      </c>
      <c r="I88" s="654">
        <v>67235</v>
      </c>
      <c r="J88" s="654">
        <v>111908</v>
      </c>
    </row>
    <row r="89" spans="1:10" x14ac:dyDescent="0.15">
      <c r="B89" t="s">
        <v>631</v>
      </c>
      <c r="C89" t="s">
        <v>596</v>
      </c>
      <c r="D89" s="654">
        <v>1350512</v>
      </c>
      <c r="E89" s="654">
        <v>-216066</v>
      </c>
      <c r="F89" s="654">
        <v>1134446</v>
      </c>
      <c r="G89" s="654">
        <v>1134446</v>
      </c>
      <c r="H89" s="654">
        <v>0</v>
      </c>
      <c r="I89" s="654">
        <v>0</v>
      </c>
      <c r="J89" s="654">
        <v>55552</v>
      </c>
    </row>
    <row r="90" spans="1:10" x14ac:dyDescent="0.15">
      <c r="B90" t="s">
        <v>737</v>
      </c>
      <c r="D90" s="654">
        <v>1350512</v>
      </c>
      <c r="E90" s="654">
        <v>-216066</v>
      </c>
      <c r="F90" s="654">
        <v>1134446</v>
      </c>
      <c r="G90" s="654">
        <v>1134446</v>
      </c>
      <c r="H90" s="654">
        <v>0</v>
      </c>
      <c r="I90" s="654">
        <v>0</v>
      </c>
      <c r="J90" s="654">
        <v>55552</v>
      </c>
    </row>
    <row r="91" spans="1:10" x14ac:dyDescent="0.15">
      <c r="A91" s="653" t="s">
        <v>615</v>
      </c>
      <c r="B91"/>
      <c r="D91" s="654">
        <v>27604569</v>
      </c>
      <c r="E91" s="654">
        <v>-798156</v>
      </c>
      <c r="F91" s="654">
        <v>26806413</v>
      </c>
      <c r="G91" s="654">
        <v>26806413</v>
      </c>
      <c r="H91" s="654">
        <v>0</v>
      </c>
      <c r="I91" s="654">
        <v>145529</v>
      </c>
      <c r="J91" s="654">
        <v>2223492</v>
      </c>
    </row>
    <row r="92" spans="1:10" x14ac:dyDescent="0.15">
      <c r="A92" s="653">
        <v>42826</v>
      </c>
      <c r="B92" t="s">
        <v>626</v>
      </c>
      <c r="C92" t="s">
        <v>600</v>
      </c>
      <c r="D92" s="654">
        <v>17788044</v>
      </c>
      <c r="E92" s="654">
        <v>-213697</v>
      </c>
      <c r="F92" s="654">
        <v>17574347</v>
      </c>
      <c r="G92" s="654">
        <v>17574347</v>
      </c>
      <c r="H92" s="654">
        <v>0</v>
      </c>
      <c r="I92" s="654">
        <v>511680</v>
      </c>
      <c r="J92" s="654">
        <v>2122118</v>
      </c>
    </row>
    <row r="93" spans="1:10" x14ac:dyDescent="0.15">
      <c r="B93" t="s">
        <v>733</v>
      </c>
      <c r="D93" s="654">
        <v>17788044</v>
      </c>
      <c r="E93" s="654">
        <v>-213697</v>
      </c>
      <c r="F93" s="654">
        <v>17574347</v>
      </c>
      <c r="G93" s="654">
        <v>17574347</v>
      </c>
      <c r="H93" s="654">
        <v>0</v>
      </c>
      <c r="I93" s="654">
        <v>511680</v>
      </c>
      <c r="J93" s="654">
        <v>2122118</v>
      </c>
    </row>
    <row r="94" spans="1:10" x14ac:dyDescent="0.15">
      <c r="B94" t="s">
        <v>627</v>
      </c>
      <c r="C94" t="s">
        <v>599</v>
      </c>
      <c r="D94" s="654">
        <v>4199744</v>
      </c>
      <c r="E94" s="654">
        <v>-16154</v>
      </c>
      <c r="F94" s="654">
        <v>4183590</v>
      </c>
      <c r="G94" s="654">
        <v>4183590</v>
      </c>
      <c r="H94" s="654">
        <v>0</v>
      </c>
      <c r="I94" s="654">
        <v>0</v>
      </c>
      <c r="J94" s="654">
        <v>923565</v>
      </c>
    </row>
    <row r="95" spans="1:10" x14ac:dyDescent="0.15">
      <c r="B95" t="s">
        <v>734</v>
      </c>
      <c r="D95" s="654">
        <v>4199744</v>
      </c>
      <c r="E95" s="654">
        <v>-16154</v>
      </c>
      <c r="F95" s="654">
        <v>4183590</v>
      </c>
      <c r="G95" s="654">
        <v>4183590</v>
      </c>
      <c r="H95" s="654">
        <v>0</v>
      </c>
      <c r="I95" s="654">
        <v>0</v>
      </c>
      <c r="J95" s="654">
        <v>923565</v>
      </c>
    </row>
    <row r="96" spans="1:10" x14ac:dyDescent="0.15">
      <c r="B96" t="s">
        <v>628</v>
      </c>
      <c r="C96" t="s">
        <v>598</v>
      </c>
      <c r="D96" s="654">
        <v>973369</v>
      </c>
      <c r="E96" s="654">
        <v>0</v>
      </c>
      <c r="F96" s="654">
        <v>973369</v>
      </c>
      <c r="G96" s="654">
        <v>973369</v>
      </c>
      <c r="H96" s="654">
        <v>0</v>
      </c>
      <c r="I96" s="654">
        <v>22298</v>
      </c>
      <c r="J96" s="654">
        <v>0</v>
      </c>
    </row>
    <row r="97" spans="1:10" x14ac:dyDescent="0.15">
      <c r="B97" t="s">
        <v>735</v>
      </c>
      <c r="D97" s="654">
        <v>973369</v>
      </c>
      <c r="E97" s="654">
        <v>0</v>
      </c>
      <c r="F97" s="654">
        <v>973369</v>
      </c>
      <c r="G97" s="654">
        <v>973369</v>
      </c>
      <c r="H97" s="654">
        <v>0</v>
      </c>
      <c r="I97" s="654">
        <v>22298</v>
      </c>
      <c r="J97" s="654">
        <v>0</v>
      </c>
    </row>
    <row r="98" spans="1:10" x14ac:dyDescent="0.15">
      <c r="B98" t="s">
        <v>629</v>
      </c>
      <c r="C98" t="s">
        <v>601</v>
      </c>
      <c r="D98" s="654">
        <v>2995169</v>
      </c>
      <c r="E98" s="654">
        <v>-134250</v>
      </c>
      <c r="F98" s="654">
        <v>2860919</v>
      </c>
      <c r="G98" s="654">
        <v>2860919</v>
      </c>
      <c r="H98" s="654">
        <v>0</v>
      </c>
      <c r="I98" s="654">
        <v>208633</v>
      </c>
      <c r="J98" s="654">
        <v>158671</v>
      </c>
    </row>
    <row r="99" spans="1:10" x14ac:dyDescent="0.15">
      <c r="B99" t="s">
        <v>736</v>
      </c>
      <c r="D99" s="654">
        <v>2995169</v>
      </c>
      <c r="E99" s="654">
        <v>-134250</v>
      </c>
      <c r="F99" s="654">
        <v>2860919</v>
      </c>
      <c r="G99" s="654">
        <v>2860919</v>
      </c>
      <c r="H99" s="654">
        <v>0</v>
      </c>
      <c r="I99" s="654">
        <v>208633</v>
      </c>
      <c r="J99" s="654">
        <v>158671</v>
      </c>
    </row>
    <row r="100" spans="1:10" x14ac:dyDescent="0.15">
      <c r="B100" t="s">
        <v>631</v>
      </c>
      <c r="C100" t="s">
        <v>596</v>
      </c>
      <c r="D100" s="654">
        <v>1669462</v>
      </c>
      <c r="E100" s="654">
        <v>-1669462</v>
      </c>
      <c r="F100" s="654">
        <v>0</v>
      </c>
      <c r="G100" s="654">
        <v>0</v>
      </c>
      <c r="H100" s="654">
        <v>0</v>
      </c>
      <c r="I100" s="654">
        <v>0</v>
      </c>
      <c r="J100" s="654">
        <v>0</v>
      </c>
    </row>
    <row r="101" spans="1:10" x14ac:dyDescent="0.15">
      <c r="B101" t="s">
        <v>737</v>
      </c>
      <c r="D101" s="654">
        <v>1669462</v>
      </c>
      <c r="E101" s="654">
        <v>-1669462</v>
      </c>
      <c r="F101" s="654">
        <v>0</v>
      </c>
      <c r="G101" s="654">
        <v>0</v>
      </c>
      <c r="H101" s="654">
        <v>0</v>
      </c>
      <c r="I101" s="654">
        <v>0</v>
      </c>
      <c r="J101" s="654">
        <v>0</v>
      </c>
    </row>
    <row r="102" spans="1:10" x14ac:dyDescent="0.15">
      <c r="A102" s="653" t="s">
        <v>616</v>
      </c>
      <c r="B102"/>
      <c r="D102" s="654">
        <v>27625788</v>
      </c>
      <c r="E102" s="654">
        <v>-2033563</v>
      </c>
      <c r="F102" s="654">
        <v>25592225</v>
      </c>
      <c r="G102" s="654">
        <v>25592225</v>
      </c>
      <c r="H102" s="654">
        <v>0</v>
      </c>
      <c r="I102" s="654">
        <v>742611</v>
      </c>
      <c r="J102" s="654">
        <v>3204354</v>
      </c>
    </row>
    <row r="103" spans="1:10" x14ac:dyDescent="0.15">
      <c r="A103" s="653">
        <v>42856</v>
      </c>
      <c r="B103" t="s">
        <v>626</v>
      </c>
      <c r="C103" t="s">
        <v>600</v>
      </c>
      <c r="D103" s="654">
        <v>18945869</v>
      </c>
      <c r="E103" s="654">
        <v>-160482</v>
      </c>
      <c r="F103" s="654">
        <v>18785387</v>
      </c>
      <c r="G103" s="654">
        <v>18785387</v>
      </c>
      <c r="H103" s="654">
        <v>0</v>
      </c>
      <c r="I103" s="654">
        <v>123731</v>
      </c>
      <c r="J103" s="654">
        <v>2288003</v>
      </c>
    </row>
    <row r="104" spans="1:10" x14ac:dyDescent="0.15">
      <c r="B104" t="s">
        <v>733</v>
      </c>
      <c r="D104" s="654">
        <v>18945869</v>
      </c>
      <c r="E104" s="654">
        <v>-160482</v>
      </c>
      <c r="F104" s="654">
        <v>18785387</v>
      </c>
      <c r="G104" s="654">
        <v>18785387</v>
      </c>
      <c r="H104" s="654">
        <v>0</v>
      </c>
      <c r="I104" s="654">
        <v>123731</v>
      </c>
      <c r="J104" s="654">
        <v>2288003</v>
      </c>
    </row>
    <row r="105" spans="1:10" x14ac:dyDescent="0.15">
      <c r="B105" t="s">
        <v>627</v>
      </c>
      <c r="C105" t="s">
        <v>599</v>
      </c>
      <c r="D105" s="654">
        <v>4667648</v>
      </c>
      <c r="E105" s="654">
        <v>-351336</v>
      </c>
      <c r="F105" s="654">
        <v>4316312</v>
      </c>
      <c r="G105" s="654">
        <v>4316312</v>
      </c>
      <c r="H105" s="654">
        <v>0</v>
      </c>
      <c r="I105" s="654">
        <v>0</v>
      </c>
      <c r="J105" s="654">
        <v>968199</v>
      </c>
    </row>
    <row r="106" spans="1:10" x14ac:dyDescent="0.15">
      <c r="B106" t="s">
        <v>734</v>
      </c>
      <c r="D106" s="654">
        <v>4667648</v>
      </c>
      <c r="E106" s="654">
        <v>-351336</v>
      </c>
      <c r="F106" s="654">
        <v>4316312</v>
      </c>
      <c r="G106" s="654">
        <v>4316312</v>
      </c>
      <c r="H106" s="654">
        <v>0</v>
      </c>
      <c r="I106" s="654">
        <v>0</v>
      </c>
      <c r="J106" s="654">
        <v>968199</v>
      </c>
    </row>
    <row r="107" spans="1:10" x14ac:dyDescent="0.15">
      <c r="B107" t="s">
        <v>628</v>
      </c>
      <c r="C107" t="s">
        <v>598</v>
      </c>
      <c r="D107" s="654">
        <v>1101953</v>
      </c>
      <c r="E107" s="654">
        <v>0</v>
      </c>
      <c r="F107" s="654">
        <v>1101953</v>
      </c>
      <c r="G107" s="654">
        <v>1101953</v>
      </c>
      <c r="H107" s="654">
        <v>0</v>
      </c>
      <c r="I107" s="654">
        <v>0</v>
      </c>
      <c r="J107" s="654">
        <v>0</v>
      </c>
    </row>
    <row r="108" spans="1:10" x14ac:dyDescent="0.15">
      <c r="B108" t="s">
        <v>735</v>
      </c>
      <c r="D108" s="654">
        <v>1101953</v>
      </c>
      <c r="E108" s="654">
        <v>0</v>
      </c>
      <c r="F108" s="654">
        <v>1101953</v>
      </c>
      <c r="G108" s="654">
        <v>1101953</v>
      </c>
      <c r="H108" s="654">
        <v>0</v>
      </c>
      <c r="I108" s="654">
        <v>0</v>
      </c>
      <c r="J108" s="654">
        <v>0</v>
      </c>
    </row>
    <row r="109" spans="1:10" x14ac:dyDescent="0.15">
      <c r="B109" t="s">
        <v>629</v>
      </c>
      <c r="C109" t="s">
        <v>601</v>
      </c>
      <c r="D109" s="654">
        <v>3398670</v>
      </c>
      <c r="E109" s="654">
        <v>-33326</v>
      </c>
      <c r="F109" s="654">
        <v>3365344</v>
      </c>
      <c r="G109" s="654">
        <v>3365344</v>
      </c>
      <c r="H109" s="654">
        <v>0</v>
      </c>
      <c r="I109" s="654">
        <v>55593</v>
      </c>
      <c r="J109" s="654">
        <v>187859</v>
      </c>
    </row>
    <row r="110" spans="1:10" x14ac:dyDescent="0.15">
      <c r="B110" t="s">
        <v>736</v>
      </c>
      <c r="D110" s="654">
        <v>3398670</v>
      </c>
      <c r="E110" s="654">
        <v>-33326</v>
      </c>
      <c r="F110" s="654">
        <v>3365344</v>
      </c>
      <c r="G110" s="654">
        <v>3365344</v>
      </c>
      <c r="H110" s="654">
        <v>0</v>
      </c>
      <c r="I110" s="654">
        <v>55593</v>
      </c>
      <c r="J110" s="654">
        <v>187859</v>
      </c>
    </row>
    <row r="111" spans="1:10" x14ac:dyDescent="0.15">
      <c r="B111" t="s">
        <v>631</v>
      </c>
      <c r="C111" t="s">
        <v>596</v>
      </c>
      <c r="D111" s="654">
        <v>3109049</v>
      </c>
      <c r="E111" s="654">
        <v>-3109049</v>
      </c>
      <c r="F111" s="654">
        <v>0</v>
      </c>
      <c r="G111" s="654">
        <v>0</v>
      </c>
      <c r="H111" s="654">
        <v>0</v>
      </c>
      <c r="I111" s="654">
        <v>0</v>
      </c>
      <c r="J111" s="654">
        <v>0</v>
      </c>
    </row>
    <row r="112" spans="1:10" x14ac:dyDescent="0.15">
      <c r="B112" t="s">
        <v>737</v>
      </c>
      <c r="D112" s="654">
        <v>3109049</v>
      </c>
      <c r="E112" s="654">
        <v>-3109049</v>
      </c>
      <c r="F112" s="654">
        <v>0</v>
      </c>
      <c r="G112" s="654">
        <v>0</v>
      </c>
      <c r="H112" s="654">
        <v>0</v>
      </c>
      <c r="I112" s="654">
        <v>0</v>
      </c>
      <c r="J112" s="654">
        <v>0</v>
      </c>
    </row>
    <row r="113" spans="1:10" x14ac:dyDescent="0.15">
      <c r="A113" s="653" t="s">
        <v>617</v>
      </c>
      <c r="B113"/>
      <c r="D113" s="654">
        <v>31223189</v>
      </c>
      <c r="E113" s="654">
        <v>-3654193</v>
      </c>
      <c r="F113" s="654">
        <v>27568996</v>
      </c>
      <c r="G113" s="654">
        <v>27568996</v>
      </c>
      <c r="H113" s="654">
        <v>0</v>
      </c>
      <c r="I113" s="654">
        <v>179324</v>
      </c>
      <c r="J113" s="654">
        <v>3444061</v>
      </c>
    </row>
    <row r="114" spans="1:10" x14ac:dyDescent="0.15">
      <c r="A114" s="653">
        <v>42887</v>
      </c>
      <c r="B114" t="s">
        <v>626</v>
      </c>
      <c r="C114" t="s">
        <v>600</v>
      </c>
      <c r="D114" s="654">
        <v>17746298</v>
      </c>
      <c r="E114" s="654">
        <v>-123965</v>
      </c>
      <c r="F114" s="654">
        <v>17622333</v>
      </c>
      <c r="G114" s="654">
        <v>17622333</v>
      </c>
      <c r="H114" s="654">
        <v>0</v>
      </c>
      <c r="I114" s="654">
        <v>155964</v>
      </c>
      <c r="J114" s="654">
        <v>2073096</v>
      </c>
    </row>
    <row r="115" spans="1:10" x14ac:dyDescent="0.15">
      <c r="B115" t="s">
        <v>733</v>
      </c>
      <c r="D115" s="654">
        <v>17746298</v>
      </c>
      <c r="E115" s="654">
        <v>-123965</v>
      </c>
      <c r="F115" s="654">
        <v>17622333</v>
      </c>
      <c r="G115" s="654">
        <v>17622333</v>
      </c>
      <c r="H115" s="654">
        <v>0</v>
      </c>
      <c r="I115" s="654">
        <v>155964</v>
      </c>
      <c r="J115" s="654">
        <v>2073096</v>
      </c>
    </row>
    <row r="116" spans="1:10" x14ac:dyDescent="0.15">
      <c r="B116" t="s">
        <v>627</v>
      </c>
      <c r="C116" t="s">
        <v>599</v>
      </c>
      <c r="D116" s="654">
        <v>4879870</v>
      </c>
      <c r="E116" s="654">
        <v>-361499</v>
      </c>
      <c r="F116" s="654">
        <v>4518371</v>
      </c>
      <c r="G116" s="654">
        <v>4518371</v>
      </c>
      <c r="H116" s="654">
        <v>0</v>
      </c>
      <c r="I116" s="654">
        <v>0</v>
      </c>
      <c r="J116" s="654">
        <v>1010622</v>
      </c>
    </row>
    <row r="117" spans="1:10" x14ac:dyDescent="0.15">
      <c r="B117" t="s">
        <v>734</v>
      </c>
      <c r="D117" s="654">
        <v>4879870</v>
      </c>
      <c r="E117" s="654">
        <v>-361499</v>
      </c>
      <c r="F117" s="654">
        <v>4518371</v>
      </c>
      <c r="G117" s="654">
        <v>4518371</v>
      </c>
      <c r="H117" s="654">
        <v>0</v>
      </c>
      <c r="I117" s="654">
        <v>0</v>
      </c>
      <c r="J117" s="654">
        <v>1010622</v>
      </c>
    </row>
    <row r="118" spans="1:10" x14ac:dyDescent="0.15">
      <c r="B118" t="s">
        <v>628</v>
      </c>
      <c r="C118" t="s">
        <v>598</v>
      </c>
      <c r="D118" s="654">
        <v>1114108</v>
      </c>
      <c r="E118" s="654">
        <v>0</v>
      </c>
      <c r="F118" s="654">
        <v>1114108</v>
      </c>
      <c r="G118" s="654">
        <v>1114108</v>
      </c>
      <c r="H118" s="654">
        <v>0</v>
      </c>
      <c r="I118" s="654">
        <v>0</v>
      </c>
      <c r="J118" s="654">
        <v>0</v>
      </c>
    </row>
    <row r="119" spans="1:10" x14ac:dyDescent="0.15">
      <c r="B119" t="s">
        <v>735</v>
      </c>
      <c r="D119" s="654">
        <v>1114108</v>
      </c>
      <c r="E119" s="654">
        <v>0</v>
      </c>
      <c r="F119" s="654">
        <v>1114108</v>
      </c>
      <c r="G119" s="654">
        <v>1114108</v>
      </c>
      <c r="H119" s="654">
        <v>0</v>
      </c>
      <c r="I119" s="654">
        <v>0</v>
      </c>
      <c r="J119" s="654">
        <v>0</v>
      </c>
    </row>
    <row r="120" spans="1:10" x14ac:dyDescent="0.15">
      <c r="B120" t="s">
        <v>629</v>
      </c>
      <c r="C120" t="s">
        <v>601</v>
      </c>
      <c r="D120" s="654">
        <v>3407511</v>
      </c>
      <c r="E120" s="654">
        <v>8224</v>
      </c>
      <c r="F120" s="654">
        <v>3415735</v>
      </c>
      <c r="G120" s="654">
        <v>3415735</v>
      </c>
      <c r="H120" s="654">
        <v>0</v>
      </c>
      <c r="I120" s="654">
        <v>0</v>
      </c>
      <c r="J120" s="654">
        <v>187729</v>
      </c>
    </row>
    <row r="121" spans="1:10" x14ac:dyDescent="0.15">
      <c r="B121" t="s">
        <v>736</v>
      </c>
      <c r="D121" s="654">
        <v>3407511</v>
      </c>
      <c r="E121" s="654">
        <v>8224</v>
      </c>
      <c r="F121" s="654">
        <v>3415735</v>
      </c>
      <c r="G121" s="654">
        <v>3415735</v>
      </c>
      <c r="H121" s="654">
        <v>0</v>
      </c>
      <c r="I121" s="654">
        <v>0</v>
      </c>
      <c r="J121" s="654">
        <v>187729</v>
      </c>
    </row>
    <row r="122" spans="1:10" x14ac:dyDescent="0.15">
      <c r="B122" t="s">
        <v>631</v>
      </c>
      <c r="C122" t="s">
        <v>596</v>
      </c>
      <c r="D122" s="654">
        <v>6738003</v>
      </c>
      <c r="E122" s="654">
        <v>-205502</v>
      </c>
      <c r="F122" s="654">
        <v>6532501</v>
      </c>
      <c r="G122" s="654">
        <v>6532501</v>
      </c>
      <c r="H122" s="654">
        <v>0</v>
      </c>
      <c r="I122" s="654">
        <v>0</v>
      </c>
      <c r="J122" s="654">
        <v>431509</v>
      </c>
    </row>
    <row r="123" spans="1:10" x14ac:dyDescent="0.15">
      <c r="B123" t="s">
        <v>737</v>
      </c>
      <c r="D123" s="654">
        <v>6738003</v>
      </c>
      <c r="E123" s="654">
        <v>-205502</v>
      </c>
      <c r="F123" s="654">
        <v>6532501</v>
      </c>
      <c r="G123" s="654">
        <v>6532501</v>
      </c>
      <c r="H123" s="654">
        <v>0</v>
      </c>
      <c r="I123" s="654">
        <v>0</v>
      </c>
      <c r="J123" s="654">
        <v>431509</v>
      </c>
    </row>
    <row r="124" spans="1:10" x14ac:dyDescent="0.15">
      <c r="A124" s="653" t="s">
        <v>618</v>
      </c>
      <c r="B124"/>
      <c r="D124" s="654">
        <v>33885790</v>
      </c>
      <c r="E124" s="654">
        <v>-682742</v>
      </c>
      <c r="F124" s="654">
        <v>33203048</v>
      </c>
      <c r="G124" s="654">
        <v>33203048</v>
      </c>
      <c r="H124" s="654">
        <v>0</v>
      </c>
      <c r="I124" s="654">
        <v>155964</v>
      </c>
      <c r="J124" s="654">
        <v>3702956</v>
      </c>
    </row>
    <row r="125" spans="1:10" x14ac:dyDescent="0.15">
      <c r="A125" s="653">
        <v>42917</v>
      </c>
      <c r="B125" t="s">
        <v>626</v>
      </c>
      <c r="C125" t="s">
        <v>600</v>
      </c>
      <c r="D125" s="654">
        <v>18715363</v>
      </c>
      <c r="E125" s="654">
        <v>-474034</v>
      </c>
      <c r="F125" s="654">
        <v>18241329</v>
      </c>
      <c r="G125" s="654">
        <v>18241329</v>
      </c>
      <c r="H125" s="654">
        <v>0</v>
      </c>
      <c r="I125" s="654">
        <v>104777</v>
      </c>
      <c r="J125" s="654">
        <v>2176957</v>
      </c>
    </row>
    <row r="126" spans="1:10" x14ac:dyDescent="0.15">
      <c r="B126" t="s">
        <v>733</v>
      </c>
      <c r="D126" s="654">
        <v>18715363</v>
      </c>
      <c r="E126" s="654">
        <v>-474034</v>
      </c>
      <c r="F126" s="654">
        <v>18241329</v>
      </c>
      <c r="G126" s="654">
        <v>18241329</v>
      </c>
      <c r="H126" s="654">
        <v>0</v>
      </c>
      <c r="I126" s="654">
        <v>104777</v>
      </c>
      <c r="J126" s="654">
        <v>2176957</v>
      </c>
    </row>
    <row r="127" spans="1:10" x14ac:dyDescent="0.15">
      <c r="B127" t="s">
        <v>627</v>
      </c>
      <c r="C127" t="s">
        <v>599</v>
      </c>
      <c r="D127" s="654">
        <v>5081121</v>
      </c>
      <c r="E127" s="654">
        <v>-182955</v>
      </c>
      <c r="F127" s="654">
        <v>4898166</v>
      </c>
      <c r="G127" s="654">
        <v>4898166</v>
      </c>
      <c r="H127" s="654">
        <v>0</v>
      </c>
      <c r="I127" s="654">
        <v>0</v>
      </c>
      <c r="J127" s="654">
        <v>1105426</v>
      </c>
    </row>
    <row r="128" spans="1:10" x14ac:dyDescent="0.15">
      <c r="B128" t="s">
        <v>734</v>
      </c>
      <c r="D128" s="654">
        <v>5081121</v>
      </c>
      <c r="E128" s="654">
        <v>-182955</v>
      </c>
      <c r="F128" s="654">
        <v>4898166</v>
      </c>
      <c r="G128" s="654">
        <v>4898166</v>
      </c>
      <c r="H128" s="654">
        <v>0</v>
      </c>
      <c r="I128" s="654">
        <v>0</v>
      </c>
      <c r="J128" s="654">
        <v>1105426</v>
      </c>
    </row>
    <row r="129" spans="1:10" x14ac:dyDescent="0.15">
      <c r="B129" t="s">
        <v>628</v>
      </c>
      <c r="C129" t="s">
        <v>598</v>
      </c>
      <c r="D129" s="654">
        <v>1127093</v>
      </c>
      <c r="E129" s="654">
        <v>0</v>
      </c>
      <c r="F129" s="654">
        <v>1127093</v>
      </c>
      <c r="G129" s="654">
        <v>1127093</v>
      </c>
      <c r="H129" s="654">
        <v>0</v>
      </c>
      <c r="I129" s="654">
        <v>0</v>
      </c>
      <c r="J129" s="654">
        <v>0</v>
      </c>
    </row>
    <row r="130" spans="1:10" x14ac:dyDescent="0.15">
      <c r="B130" t="s">
        <v>735</v>
      </c>
      <c r="D130" s="654">
        <v>1127093</v>
      </c>
      <c r="E130" s="654">
        <v>0</v>
      </c>
      <c r="F130" s="654">
        <v>1127093</v>
      </c>
      <c r="G130" s="654">
        <v>1127093</v>
      </c>
      <c r="H130" s="654">
        <v>0</v>
      </c>
      <c r="I130" s="654">
        <v>0</v>
      </c>
      <c r="J130" s="654">
        <v>0</v>
      </c>
    </row>
    <row r="131" spans="1:10" x14ac:dyDescent="0.15">
      <c r="B131" t="s">
        <v>629</v>
      </c>
      <c r="C131" t="s">
        <v>601</v>
      </c>
      <c r="D131" s="654">
        <v>3461008</v>
      </c>
      <c r="E131" s="654">
        <v>-37369</v>
      </c>
      <c r="F131" s="654">
        <v>3423639</v>
      </c>
      <c r="G131" s="654">
        <v>3423639</v>
      </c>
      <c r="H131" s="654">
        <v>0</v>
      </c>
      <c r="I131" s="654">
        <v>0</v>
      </c>
      <c r="J131" s="654">
        <v>190666</v>
      </c>
    </row>
    <row r="132" spans="1:10" x14ac:dyDescent="0.15">
      <c r="B132" t="s">
        <v>736</v>
      </c>
      <c r="D132" s="654">
        <v>3461008</v>
      </c>
      <c r="E132" s="654">
        <v>-37369</v>
      </c>
      <c r="F132" s="654">
        <v>3423639</v>
      </c>
      <c r="G132" s="654">
        <v>3423639</v>
      </c>
      <c r="H132" s="654">
        <v>0</v>
      </c>
      <c r="I132" s="654">
        <v>0</v>
      </c>
      <c r="J132" s="654">
        <v>190666</v>
      </c>
    </row>
    <row r="133" spans="1:10" x14ac:dyDescent="0.15">
      <c r="B133" t="s">
        <v>631</v>
      </c>
      <c r="C133" t="s">
        <v>596</v>
      </c>
      <c r="D133" s="654">
        <v>4083107</v>
      </c>
      <c r="E133" s="654">
        <v>-217608</v>
      </c>
      <c r="F133" s="654">
        <v>3865499</v>
      </c>
      <c r="G133" s="654">
        <v>3865499</v>
      </c>
      <c r="H133" s="654">
        <v>0</v>
      </c>
      <c r="I133" s="654">
        <v>0</v>
      </c>
      <c r="J133" s="654">
        <v>256019</v>
      </c>
    </row>
    <row r="134" spans="1:10" x14ac:dyDescent="0.15">
      <c r="B134" t="s">
        <v>737</v>
      </c>
      <c r="D134" s="654">
        <v>4083107</v>
      </c>
      <c r="E134" s="654">
        <v>-217608</v>
      </c>
      <c r="F134" s="654">
        <v>3865499</v>
      </c>
      <c r="G134" s="654">
        <v>3865499</v>
      </c>
      <c r="H134" s="654">
        <v>0</v>
      </c>
      <c r="I134" s="654">
        <v>0</v>
      </c>
      <c r="J134" s="654">
        <v>256019</v>
      </c>
    </row>
    <row r="135" spans="1:10" x14ac:dyDescent="0.15">
      <c r="A135" s="653" t="s">
        <v>619</v>
      </c>
      <c r="B135"/>
      <c r="D135" s="654">
        <v>32467692</v>
      </c>
      <c r="E135" s="654">
        <v>-911966</v>
      </c>
      <c r="F135" s="654">
        <v>31555726</v>
      </c>
      <c r="G135" s="654">
        <v>31555726</v>
      </c>
      <c r="H135" s="654">
        <v>0</v>
      </c>
      <c r="I135" s="654">
        <v>104777</v>
      </c>
      <c r="J135" s="654">
        <v>3729068</v>
      </c>
    </row>
    <row r="136" spans="1:10" x14ac:dyDescent="0.15">
      <c r="A136" s="653">
        <v>42948</v>
      </c>
      <c r="B136" t="s">
        <v>626</v>
      </c>
      <c r="C136" t="s">
        <v>600</v>
      </c>
      <c r="D136" s="654">
        <v>18797699</v>
      </c>
      <c r="E136" s="654">
        <v>-168463</v>
      </c>
      <c r="F136" s="654">
        <v>18629236</v>
      </c>
      <c r="G136" s="654">
        <v>18629236</v>
      </c>
      <c r="H136" s="654">
        <v>0</v>
      </c>
      <c r="I136" s="654">
        <v>109311</v>
      </c>
      <c r="J136" s="654">
        <v>2180042</v>
      </c>
    </row>
    <row r="137" spans="1:10" x14ac:dyDescent="0.15">
      <c r="B137" t="s">
        <v>733</v>
      </c>
      <c r="D137" s="654">
        <v>18797699</v>
      </c>
      <c r="E137" s="654">
        <v>-168463</v>
      </c>
      <c r="F137" s="654">
        <v>18629236</v>
      </c>
      <c r="G137" s="654">
        <v>18629236</v>
      </c>
      <c r="H137" s="654">
        <v>0</v>
      </c>
      <c r="I137" s="654">
        <v>109311</v>
      </c>
      <c r="J137" s="654">
        <v>2180042</v>
      </c>
    </row>
    <row r="138" spans="1:10" x14ac:dyDescent="0.15">
      <c r="B138" t="s">
        <v>627</v>
      </c>
      <c r="C138" t="s">
        <v>599</v>
      </c>
      <c r="D138" s="654">
        <v>4458217</v>
      </c>
      <c r="E138" s="654">
        <v>-20733</v>
      </c>
      <c r="F138" s="654">
        <v>4437484</v>
      </c>
      <c r="G138" s="654">
        <v>4437484</v>
      </c>
      <c r="H138" s="654">
        <v>0</v>
      </c>
      <c r="I138" s="654">
        <v>0</v>
      </c>
      <c r="J138" s="654">
        <v>989972</v>
      </c>
    </row>
    <row r="139" spans="1:10" x14ac:dyDescent="0.15">
      <c r="B139" t="s">
        <v>734</v>
      </c>
      <c r="D139" s="654">
        <v>4458217</v>
      </c>
      <c r="E139" s="654">
        <v>-20733</v>
      </c>
      <c r="F139" s="654">
        <v>4437484</v>
      </c>
      <c r="G139" s="654">
        <v>4437484</v>
      </c>
      <c r="H139" s="654">
        <v>0</v>
      </c>
      <c r="I139" s="654">
        <v>0</v>
      </c>
      <c r="J139" s="654">
        <v>989972</v>
      </c>
    </row>
    <row r="140" spans="1:10" x14ac:dyDescent="0.15">
      <c r="B140" t="s">
        <v>628</v>
      </c>
      <c r="C140" t="s">
        <v>598</v>
      </c>
      <c r="D140" s="654">
        <v>1160898</v>
      </c>
      <c r="E140" s="654">
        <v>0</v>
      </c>
      <c r="F140" s="654">
        <v>1160898</v>
      </c>
      <c r="G140" s="654">
        <v>1160898</v>
      </c>
      <c r="H140" s="654">
        <v>0</v>
      </c>
      <c r="I140" s="654">
        <v>0</v>
      </c>
      <c r="J140" s="654">
        <v>0</v>
      </c>
    </row>
    <row r="141" spans="1:10" x14ac:dyDescent="0.15">
      <c r="B141" t="s">
        <v>735</v>
      </c>
      <c r="D141" s="654">
        <v>1160898</v>
      </c>
      <c r="E141" s="654">
        <v>0</v>
      </c>
      <c r="F141" s="654">
        <v>1160898</v>
      </c>
      <c r="G141" s="654">
        <v>1160898</v>
      </c>
      <c r="H141" s="654">
        <v>0</v>
      </c>
      <c r="I141" s="654">
        <v>0</v>
      </c>
      <c r="J141" s="654">
        <v>0</v>
      </c>
    </row>
    <row r="142" spans="1:10" x14ac:dyDescent="0.15">
      <c r="B142" t="s">
        <v>629</v>
      </c>
      <c r="C142" t="s">
        <v>601</v>
      </c>
      <c r="D142" s="654">
        <v>3078216</v>
      </c>
      <c r="E142" s="654">
        <v>-73912</v>
      </c>
      <c r="F142" s="654">
        <v>3004304</v>
      </c>
      <c r="G142" s="654">
        <v>3004304</v>
      </c>
      <c r="H142" s="654">
        <v>0</v>
      </c>
      <c r="I142" s="654">
        <v>0</v>
      </c>
      <c r="J142" s="654">
        <v>167502</v>
      </c>
    </row>
    <row r="143" spans="1:10" x14ac:dyDescent="0.15">
      <c r="B143" t="s">
        <v>736</v>
      </c>
      <c r="D143" s="654">
        <v>3078216</v>
      </c>
      <c r="E143" s="654">
        <v>-73912</v>
      </c>
      <c r="F143" s="654">
        <v>3004304</v>
      </c>
      <c r="G143" s="654">
        <v>3004304</v>
      </c>
      <c r="H143" s="654">
        <v>0</v>
      </c>
      <c r="I143" s="654">
        <v>0</v>
      </c>
      <c r="J143" s="654">
        <v>167502</v>
      </c>
    </row>
    <row r="144" spans="1:10" x14ac:dyDescent="0.15">
      <c r="B144" t="s">
        <v>631</v>
      </c>
      <c r="C144" t="s">
        <v>596</v>
      </c>
      <c r="D144" s="654">
        <v>4109526</v>
      </c>
      <c r="E144" s="654">
        <v>-302474</v>
      </c>
      <c r="F144" s="654">
        <v>3807052</v>
      </c>
      <c r="G144" s="654">
        <v>3807052</v>
      </c>
      <c r="H144" s="654">
        <v>0</v>
      </c>
      <c r="I144" s="654">
        <v>0</v>
      </c>
      <c r="J144" s="654">
        <v>251984</v>
      </c>
    </row>
    <row r="145" spans="1:10" x14ac:dyDescent="0.15">
      <c r="B145" t="s">
        <v>737</v>
      </c>
      <c r="D145" s="654">
        <v>4109526</v>
      </c>
      <c r="E145" s="654">
        <v>-302474</v>
      </c>
      <c r="F145" s="654">
        <v>3807052</v>
      </c>
      <c r="G145" s="654">
        <v>3807052</v>
      </c>
      <c r="H145" s="654">
        <v>0</v>
      </c>
      <c r="I145" s="654">
        <v>0</v>
      </c>
      <c r="J145" s="654">
        <v>251984</v>
      </c>
    </row>
    <row r="146" spans="1:10" x14ac:dyDescent="0.15">
      <c r="A146" s="653" t="s">
        <v>620</v>
      </c>
      <c r="B146"/>
      <c r="D146" s="654">
        <v>31604556</v>
      </c>
      <c r="E146" s="654">
        <v>-565582</v>
      </c>
      <c r="F146" s="654">
        <v>31038974</v>
      </c>
      <c r="G146" s="654">
        <v>31038974</v>
      </c>
      <c r="H146" s="654">
        <v>0</v>
      </c>
      <c r="I146" s="654">
        <v>109311</v>
      </c>
      <c r="J146" s="654">
        <v>3589500</v>
      </c>
    </row>
    <row r="147" spans="1:10" x14ac:dyDescent="0.15">
      <c r="A147" s="653">
        <v>42979</v>
      </c>
      <c r="B147" t="s">
        <v>626</v>
      </c>
      <c r="C147" t="s">
        <v>600</v>
      </c>
      <c r="D147" s="654">
        <v>20466045</v>
      </c>
      <c r="E147" s="654">
        <v>-644715</v>
      </c>
      <c r="F147" s="654">
        <v>19821330</v>
      </c>
      <c r="G147" s="654">
        <v>19821330</v>
      </c>
      <c r="H147" s="654">
        <v>0</v>
      </c>
      <c r="I147" s="654">
        <v>71152</v>
      </c>
      <c r="J147" s="654">
        <v>2309192</v>
      </c>
    </row>
    <row r="148" spans="1:10" x14ac:dyDescent="0.15">
      <c r="B148" t="s">
        <v>733</v>
      </c>
      <c r="D148" s="654">
        <v>20466045</v>
      </c>
      <c r="E148" s="654">
        <v>-644715</v>
      </c>
      <c r="F148" s="654">
        <v>19821330</v>
      </c>
      <c r="G148" s="654">
        <v>19821330</v>
      </c>
      <c r="H148" s="654">
        <v>0</v>
      </c>
      <c r="I148" s="654">
        <v>71152</v>
      </c>
      <c r="J148" s="654">
        <v>2309192</v>
      </c>
    </row>
    <row r="149" spans="1:10" x14ac:dyDescent="0.15">
      <c r="B149" t="s">
        <v>627</v>
      </c>
      <c r="C149" t="s">
        <v>599</v>
      </c>
      <c r="D149" s="654">
        <v>4275821</v>
      </c>
      <c r="E149" s="654">
        <v>-112147</v>
      </c>
      <c r="F149" s="654">
        <v>4163674</v>
      </c>
      <c r="G149" s="654">
        <v>4163674</v>
      </c>
      <c r="H149" s="654">
        <v>0</v>
      </c>
      <c r="I149" s="654">
        <v>0</v>
      </c>
      <c r="J149" s="654">
        <v>931790</v>
      </c>
    </row>
    <row r="150" spans="1:10" x14ac:dyDescent="0.15">
      <c r="B150" t="s">
        <v>734</v>
      </c>
      <c r="D150" s="654">
        <v>4275821</v>
      </c>
      <c r="E150" s="654">
        <v>-112147</v>
      </c>
      <c r="F150" s="654">
        <v>4163674</v>
      </c>
      <c r="G150" s="654">
        <v>4163674</v>
      </c>
      <c r="H150" s="654">
        <v>0</v>
      </c>
      <c r="I150" s="654">
        <v>0</v>
      </c>
      <c r="J150" s="654">
        <v>931790</v>
      </c>
    </row>
    <row r="151" spans="1:10" x14ac:dyDescent="0.15">
      <c r="B151" t="s">
        <v>628</v>
      </c>
      <c r="C151" t="s">
        <v>598</v>
      </c>
      <c r="D151" s="654">
        <v>1176748</v>
      </c>
      <c r="E151" s="654">
        <v>0</v>
      </c>
      <c r="F151" s="654">
        <v>1176748</v>
      </c>
      <c r="G151" s="654">
        <v>1176748</v>
      </c>
      <c r="H151" s="654">
        <v>0</v>
      </c>
      <c r="I151" s="654">
        <v>0</v>
      </c>
      <c r="J151" s="654">
        <v>0</v>
      </c>
    </row>
    <row r="152" spans="1:10" x14ac:dyDescent="0.15">
      <c r="B152" t="s">
        <v>735</v>
      </c>
      <c r="D152" s="654">
        <v>1176748</v>
      </c>
      <c r="E152" s="654">
        <v>0</v>
      </c>
      <c r="F152" s="654">
        <v>1176748</v>
      </c>
      <c r="G152" s="654">
        <v>1176748</v>
      </c>
      <c r="H152" s="654">
        <v>0</v>
      </c>
      <c r="I152" s="654">
        <v>0</v>
      </c>
      <c r="J152" s="654">
        <v>0</v>
      </c>
    </row>
    <row r="153" spans="1:10" x14ac:dyDescent="0.15">
      <c r="B153" t="s">
        <v>629</v>
      </c>
      <c r="C153" t="s">
        <v>601</v>
      </c>
      <c r="D153" s="654">
        <v>3047959</v>
      </c>
      <c r="E153" s="654">
        <v>-90611</v>
      </c>
      <c r="F153" s="654">
        <v>2957348</v>
      </c>
      <c r="G153" s="654">
        <v>2957348</v>
      </c>
      <c r="H153" s="654">
        <v>0</v>
      </c>
      <c r="I153" s="654">
        <v>0</v>
      </c>
      <c r="J153" s="654">
        <v>165400</v>
      </c>
    </row>
    <row r="154" spans="1:10" x14ac:dyDescent="0.15">
      <c r="B154" t="s">
        <v>736</v>
      </c>
      <c r="D154" s="654">
        <v>3047959</v>
      </c>
      <c r="E154" s="654">
        <v>-90611</v>
      </c>
      <c r="F154" s="654">
        <v>2957348</v>
      </c>
      <c r="G154" s="654">
        <v>2957348</v>
      </c>
      <c r="H154" s="654">
        <v>0</v>
      </c>
      <c r="I154" s="654">
        <v>0</v>
      </c>
      <c r="J154" s="654">
        <v>165400</v>
      </c>
    </row>
    <row r="155" spans="1:10" x14ac:dyDescent="0.15">
      <c r="B155" t="s">
        <v>631</v>
      </c>
      <c r="C155" t="s">
        <v>596</v>
      </c>
      <c r="D155" s="654">
        <v>4924312</v>
      </c>
      <c r="E155" s="654">
        <v>-855224</v>
      </c>
      <c r="F155" s="654">
        <v>4069088</v>
      </c>
      <c r="G155" s="654">
        <v>4069088</v>
      </c>
      <c r="H155" s="654">
        <v>0</v>
      </c>
      <c r="I155" s="654">
        <v>0</v>
      </c>
      <c r="J155" s="654">
        <v>266247</v>
      </c>
    </row>
    <row r="156" spans="1:10" x14ac:dyDescent="0.15">
      <c r="B156" t="s">
        <v>737</v>
      </c>
      <c r="D156" s="654">
        <v>4924312</v>
      </c>
      <c r="E156" s="654">
        <v>-855224</v>
      </c>
      <c r="F156" s="654">
        <v>4069088</v>
      </c>
      <c r="G156" s="654">
        <v>4069088</v>
      </c>
      <c r="H156" s="654">
        <v>0</v>
      </c>
      <c r="I156" s="654">
        <v>0</v>
      </c>
      <c r="J156" s="654">
        <v>266247</v>
      </c>
    </row>
    <row r="157" spans="1:10" x14ac:dyDescent="0.15">
      <c r="A157" s="653" t="s">
        <v>621</v>
      </c>
      <c r="B157"/>
      <c r="D157" s="654">
        <v>33890885</v>
      </c>
      <c r="E157" s="654">
        <v>-1702697</v>
      </c>
      <c r="F157" s="654">
        <v>32188188</v>
      </c>
      <c r="G157" s="654">
        <v>32188188</v>
      </c>
      <c r="H157" s="654">
        <v>0</v>
      </c>
      <c r="I157" s="654">
        <v>71152</v>
      </c>
      <c r="J157" s="654">
        <v>3672629</v>
      </c>
    </row>
    <row r="158" spans="1:10" x14ac:dyDescent="0.15">
      <c r="A158" s="653">
        <v>43009</v>
      </c>
      <c r="B158" t="s">
        <v>626</v>
      </c>
      <c r="C158" t="s">
        <v>600</v>
      </c>
      <c r="D158" s="654">
        <v>19919068</v>
      </c>
      <c r="E158" s="654">
        <v>-207527</v>
      </c>
      <c r="F158" s="654">
        <v>19711541</v>
      </c>
      <c r="G158" s="654">
        <v>19711541</v>
      </c>
      <c r="H158" s="654">
        <v>0</v>
      </c>
      <c r="I158" s="654">
        <v>169553</v>
      </c>
      <c r="J158" s="654">
        <v>2270022</v>
      </c>
    </row>
    <row r="159" spans="1:10" x14ac:dyDescent="0.15">
      <c r="B159" t="s">
        <v>733</v>
      </c>
      <c r="D159" s="654">
        <v>19919068</v>
      </c>
      <c r="E159" s="654">
        <v>-207527</v>
      </c>
      <c r="F159" s="654">
        <v>19711541</v>
      </c>
      <c r="G159" s="654">
        <v>19711541</v>
      </c>
      <c r="H159" s="654">
        <v>0</v>
      </c>
      <c r="I159" s="654">
        <v>169553</v>
      </c>
      <c r="J159" s="654">
        <v>2270022</v>
      </c>
    </row>
    <row r="160" spans="1:10" x14ac:dyDescent="0.15">
      <c r="B160" t="s">
        <v>627</v>
      </c>
      <c r="C160" t="s">
        <v>599</v>
      </c>
      <c r="D160" s="654">
        <v>4439536</v>
      </c>
      <c r="E160" s="654">
        <v>-76267</v>
      </c>
      <c r="F160" s="654">
        <v>4363269</v>
      </c>
      <c r="G160" s="654">
        <v>4363269</v>
      </c>
      <c r="H160" s="654">
        <v>0</v>
      </c>
      <c r="I160" s="654">
        <v>0</v>
      </c>
      <c r="J160" s="654">
        <v>970345</v>
      </c>
    </row>
    <row r="161" spans="1:10" x14ac:dyDescent="0.15">
      <c r="B161" t="s">
        <v>734</v>
      </c>
      <c r="D161" s="654">
        <v>4439536</v>
      </c>
      <c r="E161" s="654">
        <v>-76267</v>
      </c>
      <c r="F161" s="654">
        <v>4363269</v>
      </c>
      <c r="G161" s="654">
        <v>4363269</v>
      </c>
      <c r="H161" s="654">
        <v>0</v>
      </c>
      <c r="I161" s="654">
        <v>0</v>
      </c>
      <c r="J161" s="654">
        <v>970345</v>
      </c>
    </row>
    <row r="162" spans="1:10" x14ac:dyDescent="0.15">
      <c r="B162" t="s">
        <v>628</v>
      </c>
      <c r="C162" t="s">
        <v>598</v>
      </c>
      <c r="D162" s="654">
        <v>1124093</v>
      </c>
      <c r="E162" s="654">
        <v>0</v>
      </c>
      <c r="F162" s="654">
        <v>1124093</v>
      </c>
      <c r="G162" s="654">
        <v>1124093</v>
      </c>
      <c r="H162" s="654">
        <v>0</v>
      </c>
      <c r="I162" s="654">
        <v>0</v>
      </c>
      <c r="J162" s="654">
        <v>0</v>
      </c>
    </row>
    <row r="163" spans="1:10" x14ac:dyDescent="0.15">
      <c r="B163" t="s">
        <v>735</v>
      </c>
      <c r="D163" s="654">
        <v>1124093</v>
      </c>
      <c r="E163" s="654">
        <v>0</v>
      </c>
      <c r="F163" s="654">
        <v>1124093</v>
      </c>
      <c r="G163" s="654">
        <v>1124093</v>
      </c>
      <c r="H163" s="654">
        <v>0</v>
      </c>
      <c r="I163" s="654">
        <v>0</v>
      </c>
      <c r="J163" s="654">
        <v>0</v>
      </c>
    </row>
    <row r="164" spans="1:10" x14ac:dyDescent="0.15">
      <c r="B164" t="s">
        <v>629</v>
      </c>
      <c r="C164" t="s">
        <v>601</v>
      </c>
      <c r="D164" s="654">
        <v>3155596</v>
      </c>
      <c r="E164" s="654">
        <v>-50755</v>
      </c>
      <c r="F164" s="654">
        <v>3104841</v>
      </c>
      <c r="G164" s="654">
        <v>3104841</v>
      </c>
      <c r="H164" s="654">
        <v>0</v>
      </c>
      <c r="I164" s="654">
        <v>0</v>
      </c>
      <c r="J164" s="654">
        <v>173798</v>
      </c>
    </row>
    <row r="165" spans="1:10" x14ac:dyDescent="0.15">
      <c r="B165" t="s">
        <v>736</v>
      </c>
      <c r="D165" s="654">
        <v>3155596</v>
      </c>
      <c r="E165" s="654">
        <v>-50755</v>
      </c>
      <c r="F165" s="654">
        <v>3104841</v>
      </c>
      <c r="G165" s="654">
        <v>3104841</v>
      </c>
      <c r="H165" s="654">
        <v>0</v>
      </c>
      <c r="I165" s="654">
        <v>0</v>
      </c>
      <c r="J165" s="654">
        <v>173798</v>
      </c>
    </row>
    <row r="166" spans="1:10" x14ac:dyDescent="0.15">
      <c r="B166" t="s">
        <v>631</v>
      </c>
      <c r="C166" t="s">
        <v>596</v>
      </c>
      <c r="D166" s="654">
        <v>5241582</v>
      </c>
      <c r="E166" s="654">
        <v>-209096</v>
      </c>
      <c r="F166" s="654">
        <v>5032486</v>
      </c>
      <c r="G166" s="654">
        <v>5032486</v>
      </c>
      <c r="H166" s="654">
        <v>0</v>
      </c>
      <c r="I166" s="654">
        <v>0</v>
      </c>
      <c r="J166" s="654">
        <v>332983</v>
      </c>
    </row>
    <row r="167" spans="1:10" x14ac:dyDescent="0.15">
      <c r="B167" t="s">
        <v>737</v>
      </c>
      <c r="D167" s="654">
        <v>5241582</v>
      </c>
      <c r="E167" s="654">
        <v>-209096</v>
      </c>
      <c r="F167" s="654">
        <v>5032486</v>
      </c>
      <c r="G167" s="654">
        <v>5032486</v>
      </c>
      <c r="H167" s="654">
        <v>0</v>
      </c>
      <c r="I167" s="654">
        <v>0</v>
      </c>
      <c r="J167" s="654">
        <v>332983</v>
      </c>
    </row>
    <row r="168" spans="1:10" x14ac:dyDescent="0.15">
      <c r="A168" s="653" t="s">
        <v>622</v>
      </c>
      <c r="B168"/>
      <c r="D168" s="654">
        <v>33879875</v>
      </c>
      <c r="E168" s="654">
        <v>-543645</v>
      </c>
      <c r="F168" s="654">
        <v>33336230</v>
      </c>
      <c r="G168" s="654">
        <v>33336230</v>
      </c>
      <c r="H168" s="654">
        <v>0</v>
      </c>
      <c r="I168" s="654">
        <v>169553</v>
      </c>
      <c r="J168" s="654">
        <v>3747148</v>
      </c>
    </row>
    <row r="169" spans="1:10" x14ac:dyDescent="0.15">
      <c r="A169" s="653">
        <v>43040</v>
      </c>
      <c r="B169" t="s">
        <v>626</v>
      </c>
      <c r="C169" t="s">
        <v>600</v>
      </c>
      <c r="D169" s="654">
        <v>19406897</v>
      </c>
      <c r="E169" s="654">
        <v>-600895</v>
      </c>
      <c r="F169" s="654">
        <v>18806002</v>
      </c>
      <c r="G169" s="654">
        <v>18806002</v>
      </c>
      <c r="H169" s="654">
        <v>0</v>
      </c>
      <c r="I169" s="654">
        <v>191197</v>
      </c>
      <c r="J169" s="654">
        <v>2172106</v>
      </c>
    </row>
    <row r="170" spans="1:10" x14ac:dyDescent="0.15">
      <c r="B170" t="s">
        <v>733</v>
      </c>
      <c r="D170" s="654">
        <v>19406897</v>
      </c>
      <c r="E170" s="654">
        <v>-600895</v>
      </c>
      <c r="F170" s="654">
        <v>18806002</v>
      </c>
      <c r="G170" s="654">
        <v>18806002</v>
      </c>
      <c r="H170" s="654">
        <v>0</v>
      </c>
      <c r="I170" s="654">
        <v>191197</v>
      </c>
      <c r="J170" s="654">
        <v>2172106</v>
      </c>
    </row>
    <row r="171" spans="1:10" x14ac:dyDescent="0.15">
      <c r="B171" t="s">
        <v>627</v>
      </c>
      <c r="C171" t="s">
        <v>599</v>
      </c>
      <c r="D171" s="654">
        <v>4408141</v>
      </c>
      <c r="E171" s="654">
        <v>-271856</v>
      </c>
      <c r="F171" s="654">
        <v>4136285</v>
      </c>
      <c r="G171" s="654">
        <v>4136285</v>
      </c>
      <c r="H171" s="654">
        <v>0</v>
      </c>
      <c r="I171" s="654">
        <v>0</v>
      </c>
      <c r="J171" s="654">
        <v>923109</v>
      </c>
    </row>
    <row r="172" spans="1:10" x14ac:dyDescent="0.15">
      <c r="B172" t="s">
        <v>734</v>
      </c>
      <c r="D172" s="654">
        <v>4408141</v>
      </c>
      <c r="E172" s="654">
        <v>-271856</v>
      </c>
      <c r="F172" s="654">
        <v>4136285</v>
      </c>
      <c r="G172" s="654">
        <v>4136285</v>
      </c>
      <c r="H172" s="654">
        <v>0</v>
      </c>
      <c r="I172" s="654">
        <v>0</v>
      </c>
      <c r="J172" s="654">
        <v>923109</v>
      </c>
    </row>
    <row r="173" spans="1:10" x14ac:dyDescent="0.15">
      <c r="B173" t="s">
        <v>628</v>
      </c>
      <c r="C173" t="s">
        <v>598</v>
      </c>
      <c r="D173" s="654">
        <v>1122175</v>
      </c>
      <c r="E173" s="654">
        <v>0</v>
      </c>
      <c r="F173" s="654">
        <v>1122175</v>
      </c>
      <c r="G173" s="654">
        <v>1122175</v>
      </c>
      <c r="H173" s="654">
        <v>0</v>
      </c>
      <c r="I173" s="654">
        <v>11149</v>
      </c>
      <c r="J173" s="654">
        <v>0</v>
      </c>
    </row>
    <row r="174" spans="1:10" x14ac:dyDescent="0.15">
      <c r="B174" t="s">
        <v>735</v>
      </c>
      <c r="D174" s="654">
        <v>1122175</v>
      </c>
      <c r="E174" s="654">
        <v>0</v>
      </c>
      <c r="F174" s="654">
        <v>1122175</v>
      </c>
      <c r="G174" s="654">
        <v>1122175</v>
      </c>
      <c r="H174" s="654">
        <v>0</v>
      </c>
      <c r="I174" s="654">
        <v>11149</v>
      </c>
      <c r="J174" s="654">
        <v>0</v>
      </c>
    </row>
    <row r="175" spans="1:10" x14ac:dyDescent="0.15">
      <c r="B175" t="s">
        <v>629</v>
      </c>
      <c r="C175" t="s">
        <v>601</v>
      </c>
      <c r="D175" s="654">
        <v>3271508</v>
      </c>
      <c r="E175" s="654">
        <v>48675</v>
      </c>
      <c r="F175" s="654">
        <v>3320183</v>
      </c>
      <c r="G175" s="654">
        <v>3320183</v>
      </c>
      <c r="H175" s="654">
        <v>0</v>
      </c>
      <c r="I175" s="654">
        <v>57391</v>
      </c>
      <c r="J175" s="654">
        <v>184210</v>
      </c>
    </row>
    <row r="176" spans="1:10" x14ac:dyDescent="0.15">
      <c r="B176" t="s">
        <v>736</v>
      </c>
      <c r="D176" s="654">
        <v>3271508</v>
      </c>
      <c r="E176" s="654">
        <v>48675</v>
      </c>
      <c r="F176" s="654">
        <v>3320183</v>
      </c>
      <c r="G176" s="654">
        <v>3320183</v>
      </c>
      <c r="H176" s="654">
        <v>0</v>
      </c>
      <c r="I176" s="654">
        <v>57391</v>
      </c>
      <c r="J176" s="654">
        <v>184210</v>
      </c>
    </row>
    <row r="177" spans="1:10" x14ac:dyDescent="0.15">
      <c r="B177" t="s">
        <v>631</v>
      </c>
      <c r="C177" t="s">
        <v>596</v>
      </c>
      <c r="D177" s="654">
        <v>4496061</v>
      </c>
      <c r="E177" s="654">
        <v>0</v>
      </c>
      <c r="F177" s="654">
        <v>4496061</v>
      </c>
      <c r="G177" s="654">
        <v>4496061</v>
      </c>
      <c r="H177" s="654">
        <v>0</v>
      </c>
      <c r="I177" s="654">
        <v>0</v>
      </c>
      <c r="J177" s="654">
        <v>293704</v>
      </c>
    </row>
    <row r="178" spans="1:10" x14ac:dyDescent="0.15">
      <c r="B178" t="s">
        <v>737</v>
      </c>
      <c r="D178" s="654">
        <v>4496061</v>
      </c>
      <c r="E178" s="654">
        <v>0</v>
      </c>
      <c r="F178" s="654">
        <v>4496061</v>
      </c>
      <c r="G178" s="654">
        <v>4496061</v>
      </c>
      <c r="H178" s="654">
        <v>0</v>
      </c>
      <c r="I178" s="654">
        <v>0</v>
      </c>
      <c r="J178" s="654">
        <v>293704</v>
      </c>
    </row>
    <row r="179" spans="1:10" x14ac:dyDescent="0.15">
      <c r="A179" s="653" t="s">
        <v>623</v>
      </c>
      <c r="B179"/>
      <c r="D179" s="654">
        <v>32704782</v>
      </c>
      <c r="E179" s="654">
        <v>-824076</v>
      </c>
      <c r="F179" s="654">
        <v>31880706</v>
      </c>
      <c r="G179" s="654">
        <v>31880706</v>
      </c>
      <c r="H179" s="654">
        <v>0</v>
      </c>
      <c r="I179" s="654">
        <v>259737</v>
      </c>
      <c r="J179" s="654">
        <v>3573129</v>
      </c>
    </row>
    <row r="180" spans="1:10" x14ac:dyDescent="0.15">
      <c r="A180" s="653">
        <v>43070</v>
      </c>
      <c r="B180" t="s">
        <v>626</v>
      </c>
      <c r="C180" t="s">
        <v>600</v>
      </c>
      <c r="D180" s="654">
        <v>19393719</v>
      </c>
      <c r="E180" s="654">
        <v>-224482</v>
      </c>
      <c r="F180" s="654">
        <v>19169237</v>
      </c>
      <c r="G180" s="654">
        <v>19169237</v>
      </c>
      <c r="H180" s="654">
        <v>0</v>
      </c>
      <c r="I180" s="654">
        <v>283667</v>
      </c>
      <c r="J180" s="654">
        <v>2206903</v>
      </c>
    </row>
    <row r="181" spans="1:10" x14ac:dyDescent="0.15">
      <c r="B181" t="s">
        <v>733</v>
      </c>
      <c r="D181" s="654">
        <v>19393719</v>
      </c>
      <c r="E181" s="654">
        <v>-224482</v>
      </c>
      <c r="F181" s="654">
        <v>19169237</v>
      </c>
      <c r="G181" s="654">
        <v>19169237</v>
      </c>
      <c r="H181" s="654">
        <v>0</v>
      </c>
      <c r="I181" s="654">
        <v>283667</v>
      </c>
      <c r="J181" s="654">
        <v>2206903</v>
      </c>
    </row>
    <row r="182" spans="1:10" x14ac:dyDescent="0.15">
      <c r="B182" t="s">
        <v>627</v>
      </c>
      <c r="C182" t="s">
        <v>599</v>
      </c>
      <c r="D182" s="654">
        <v>4330738</v>
      </c>
      <c r="E182" s="654">
        <v>-559138</v>
      </c>
      <c r="F182" s="654">
        <v>3771600</v>
      </c>
      <c r="G182" s="654">
        <v>3771600</v>
      </c>
      <c r="H182" s="654">
        <v>0</v>
      </c>
      <c r="I182" s="654">
        <v>0</v>
      </c>
      <c r="J182" s="654">
        <v>843671</v>
      </c>
    </row>
    <row r="183" spans="1:10" x14ac:dyDescent="0.15">
      <c r="B183" t="s">
        <v>734</v>
      </c>
      <c r="D183" s="654">
        <v>4330738</v>
      </c>
      <c r="E183" s="654">
        <v>-559138</v>
      </c>
      <c r="F183" s="654">
        <v>3771600</v>
      </c>
      <c r="G183" s="654">
        <v>3771600</v>
      </c>
      <c r="H183" s="654">
        <v>0</v>
      </c>
      <c r="I183" s="654">
        <v>0</v>
      </c>
      <c r="J183" s="654">
        <v>843671</v>
      </c>
    </row>
    <row r="184" spans="1:10" x14ac:dyDescent="0.15">
      <c r="B184" t="s">
        <v>628</v>
      </c>
      <c r="C184" t="s">
        <v>598</v>
      </c>
      <c r="D184" s="654">
        <v>1165849</v>
      </c>
      <c r="E184" s="654">
        <v>0</v>
      </c>
      <c r="F184" s="654">
        <v>1165849</v>
      </c>
      <c r="G184" s="654">
        <v>1165849</v>
      </c>
      <c r="H184" s="654">
        <v>0</v>
      </c>
      <c r="I184" s="654">
        <v>0</v>
      </c>
      <c r="J184" s="654">
        <v>0</v>
      </c>
    </row>
    <row r="185" spans="1:10" x14ac:dyDescent="0.15">
      <c r="B185" t="s">
        <v>735</v>
      </c>
      <c r="D185" s="654">
        <v>1165849</v>
      </c>
      <c r="E185" s="654">
        <v>0</v>
      </c>
      <c r="F185" s="654">
        <v>1165849</v>
      </c>
      <c r="G185" s="654">
        <v>1165849</v>
      </c>
      <c r="H185" s="654">
        <v>0</v>
      </c>
      <c r="I185" s="654">
        <v>0</v>
      </c>
      <c r="J185" s="654">
        <v>0</v>
      </c>
    </row>
    <row r="186" spans="1:10" x14ac:dyDescent="0.15">
      <c r="B186" t="s">
        <v>629</v>
      </c>
      <c r="C186" t="s">
        <v>601</v>
      </c>
      <c r="D186" s="654">
        <v>3154573</v>
      </c>
      <c r="E186" s="654">
        <v>-40692</v>
      </c>
      <c r="F186" s="654">
        <v>3113881</v>
      </c>
      <c r="G186" s="654">
        <v>3113881</v>
      </c>
      <c r="H186" s="654">
        <v>0</v>
      </c>
      <c r="I186" s="654">
        <v>71446</v>
      </c>
      <c r="J186" s="654">
        <v>173739</v>
      </c>
    </row>
    <row r="187" spans="1:10" x14ac:dyDescent="0.15">
      <c r="B187" t="s">
        <v>736</v>
      </c>
      <c r="D187" s="654">
        <v>3154573</v>
      </c>
      <c r="E187" s="654">
        <v>-40692</v>
      </c>
      <c r="F187" s="654">
        <v>3113881</v>
      </c>
      <c r="G187" s="654">
        <v>3113881</v>
      </c>
      <c r="H187" s="654">
        <v>0</v>
      </c>
      <c r="I187" s="654">
        <v>71446</v>
      </c>
      <c r="J187" s="654">
        <v>173739</v>
      </c>
    </row>
    <row r="188" spans="1:10" x14ac:dyDescent="0.15">
      <c r="B188" t="s">
        <v>631</v>
      </c>
      <c r="C188" t="s">
        <v>596</v>
      </c>
      <c r="D188" s="654">
        <v>4430209</v>
      </c>
      <c r="E188" s="654">
        <v>0</v>
      </c>
      <c r="F188" s="654">
        <v>4430209</v>
      </c>
      <c r="G188" s="654">
        <v>4430209</v>
      </c>
      <c r="H188" s="654">
        <v>0</v>
      </c>
      <c r="I188" s="654">
        <v>0</v>
      </c>
      <c r="J188" s="654">
        <v>292855</v>
      </c>
    </row>
    <row r="189" spans="1:10" x14ac:dyDescent="0.15">
      <c r="B189" t="s">
        <v>737</v>
      </c>
      <c r="D189" s="654">
        <v>4430209</v>
      </c>
      <c r="E189" s="654">
        <v>0</v>
      </c>
      <c r="F189" s="654">
        <v>4430209</v>
      </c>
      <c r="G189" s="654">
        <v>4430209</v>
      </c>
      <c r="H189" s="654">
        <v>0</v>
      </c>
      <c r="I189" s="654">
        <v>0</v>
      </c>
      <c r="J189" s="654">
        <v>292855</v>
      </c>
    </row>
    <row r="190" spans="1:10" x14ac:dyDescent="0.15">
      <c r="A190" s="653" t="s">
        <v>632</v>
      </c>
      <c r="B190"/>
      <c r="D190" s="654">
        <v>32475088</v>
      </c>
      <c r="E190" s="654">
        <v>-824312</v>
      </c>
      <c r="F190" s="654">
        <v>31650776</v>
      </c>
      <c r="G190" s="654">
        <v>31650776</v>
      </c>
      <c r="H190" s="654">
        <v>0</v>
      </c>
      <c r="I190" s="654">
        <v>355113</v>
      </c>
      <c r="J190" s="654">
        <v>3517168</v>
      </c>
    </row>
    <row r="191" spans="1:10" x14ac:dyDescent="0.15">
      <c r="A191" s="653">
        <v>43101</v>
      </c>
      <c r="B191" t="s">
        <v>626</v>
      </c>
      <c r="C191" t="s">
        <v>600</v>
      </c>
      <c r="D191" s="654">
        <v>18378058</v>
      </c>
      <c r="E191" s="654">
        <v>-366558</v>
      </c>
      <c r="F191" s="654">
        <v>18011500</v>
      </c>
      <c r="G191" s="654">
        <v>18011500</v>
      </c>
      <c r="H191" s="654">
        <v>0</v>
      </c>
      <c r="I191" s="654">
        <v>82948</v>
      </c>
      <c r="J191" s="654">
        <v>2220025</v>
      </c>
    </row>
    <row r="192" spans="1:10" x14ac:dyDescent="0.15">
      <c r="B192" t="s">
        <v>733</v>
      </c>
      <c r="D192" s="654">
        <v>18378058</v>
      </c>
      <c r="E192" s="654">
        <v>-366558</v>
      </c>
      <c r="F192" s="654">
        <v>18011500</v>
      </c>
      <c r="G192" s="654">
        <v>18011500</v>
      </c>
      <c r="H192" s="654">
        <v>0</v>
      </c>
      <c r="I192" s="654">
        <v>82948</v>
      </c>
      <c r="J192" s="654">
        <v>2220025</v>
      </c>
    </row>
    <row r="193" spans="1:10" x14ac:dyDescent="0.15">
      <c r="B193" t="s">
        <v>627</v>
      </c>
      <c r="C193" t="s">
        <v>599</v>
      </c>
      <c r="D193" s="654">
        <v>4685170</v>
      </c>
      <c r="E193" s="654">
        <v>-135966</v>
      </c>
      <c r="F193" s="654">
        <v>4549204</v>
      </c>
      <c r="G193" s="654">
        <v>4549204</v>
      </c>
      <c r="H193" s="654">
        <v>0</v>
      </c>
      <c r="I193" s="654">
        <v>0</v>
      </c>
      <c r="J193" s="654">
        <v>1018186</v>
      </c>
    </row>
    <row r="194" spans="1:10" x14ac:dyDescent="0.15">
      <c r="B194" t="s">
        <v>734</v>
      </c>
      <c r="D194" s="654">
        <v>4685170</v>
      </c>
      <c r="E194" s="654">
        <v>-135966</v>
      </c>
      <c r="F194" s="654">
        <v>4549204</v>
      </c>
      <c r="G194" s="654">
        <v>4549204</v>
      </c>
      <c r="H194" s="654">
        <v>0</v>
      </c>
      <c r="I194" s="654">
        <v>0</v>
      </c>
      <c r="J194" s="654">
        <v>1018186</v>
      </c>
    </row>
    <row r="195" spans="1:10" x14ac:dyDescent="0.15">
      <c r="B195" t="s">
        <v>628</v>
      </c>
      <c r="C195" t="s">
        <v>598</v>
      </c>
      <c r="D195" s="654">
        <v>1188622</v>
      </c>
      <c r="E195" s="654">
        <v>0</v>
      </c>
      <c r="F195" s="654">
        <v>1188622</v>
      </c>
      <c r="G195" s="654">
        <v>1188622</v>
      </c>
      <c r="H195" s="654">
        <v>0</v>
      </c>
      <c r="I195" s="654">
        <v>0</v>
      </c>
      <c r="J195" s="654">
        <v>0</v>
      </c>
    </row>
    <row r="196" spans="1:10" x14ac:dyDescent="0.15">
      <c r="B196" t="s">
        <v>735</v>
      </c>
      <c r="D196" s="654">
        <v>1188622</v>
      </c>
      <c r="E196" s="654">
        <v>0</v>
      </c>
      <c r="F196" s="654">
        <v>1188622</v>
      </c>
      <c r="G196" s="654">
        <v>1188622</v>
      </c>
      <c r="H196" s="654">
        <v>0</v>
      </c>
      <c r="I196" s="654">
        <v>0</v>
      </c>
      <c r="J196" s="654">
        <v>0</v>
      </c>
    </row>
    <row r="197" spans="1:10" x14ac:dyDescent="0.15">
      <c r="B197" t="s">
        <v>629</v>
      </c>
      <c r="C197" t="s">
        <v>601</v>
      </c>
      <c r="D197" s="654">
        <v>3148868</v>
      </c>
      <c r="E197" s="654">
        <v>-14702</v>
      </c>
      <c r="F197" s="654">
        <v>3134166</v>
      </c>
      <c r="G197" s="654">
        <v>3134166</v>
      </c>
      <c r="H197" s="654">
        <v>0</v>
      </c>
      <c r="I197" s="654">
        <v>11902</v>
      </c>
      <c r="J197" s="654">
        <v>174710</v>
      </c>
    </row>
    <row r="198" spans="1:10" x14ac:dyDescent="0.15">
      <c r="B198" t="s">
        <v>736</v>
      </c>
      <c r="D198" s="654">
        <v>3148868</v>
      </c>
      <c r="E198" s="654">
        <v>-14702</v>
      </c>
      <c r="F198" s="654">
        <v>3134166</v>
      </c>
      <c r="G198" s="654">
        <v>3134166</v>
      </c>
      <c r="H198" s="654">
        <v>0</v>
      </c>
      <c r="I198" s="654">
        <v>11902</v>
      </c>
      <c r="J198" s="654">
        <v>174710</v>
      </c>
    </row>
    <row r="199" spans="1:10" x14ac:dyDescent="0.15">
      <c r="B199" t="s">
        <v>631</v>
      </c>
      <c r="C199" t="s">
        <v>596</v>
      </c>
      <c r="D199" s="654">
        <v>4112767</v>
      </c>
      <c r="E199" s="654">
        <v>0</v>
      </c>
      <c r="F199" s="654">
        <v>4112767</v>
      </c>
      <c r="G199" s="654">
        <v>4112767</v>
      </c>
      <c r="H199" s="654">
        <v>0</v>
      </c>
      <c r="I199" s="654">
        <v>0</v>
      </c>
      <c r="J199" s="654">
        <v>271654</v>
      </c>
    </row>
    <row r="200" spans="1:10" x14ac:dyDescent="0.15">
      <c r="B200" t="s">
        <v>737</v>
      </c>
      <c r="D200" s="654">
        <v>4112767</v>
      </c>
      <c r="E200" s="654">
        <v>0</v>
      </c>
      <c r="F200" s="654">
        <v>4112767</v>
      </c>
      <c r="G200" s="654">
        <v>4112767</v>
      </c>
      <c r="H200" s="654">
        <v>0</v>
      </c>
      <c r="I200" s="654">
        <v>0</v>
      </c>
      <c r="J200" s="654">
        <v>271654</v>
      </c>
    </row>
    <row r="201" spans="1:10" x14ac:dyDescent="0.15">
      <c r="A201" s="653" t="s">
        <v>913</v>
      </c>
      <c r="B201"/>
      <c r="D201" s="654">
        <v>31513485</v>
      </c>
      <c r="E201" s="654">
        <v>-517226</v>
      </c>
      <c r="F201" s="654">
        <v>30996259</v>
      </c>
      <c r="G201" s="654">
        <v>30996259</v>
      </c>
      <c r="H201" s="654">
        <v>0</v>
      </c>
      <c r="I201" s="654">
        <v>94850</v>
      </c>
      <c r="J201" s="654">
        <v>3684575</v>
      </c>
    </row>
    <row r="202" spans="1:10" x14ac:dyDescent="0.15">
      <c r="A202" s="653">
        <v>43132</v>
      </c>
      <c r="B202" t="s">
        <v>626</v>
      </c>
      <c r="C202" t="s">
        <v>600</v>
      </c>
      <c r="D202" s="654">
        <v>17823106</v>
      </c>
      <c r="E202" s="654">
        <v>11881</v>
      </c>
      <c r="F202" s="654">
        <v>17834987</v>
      </c>
      <c r="G202" s="654">
        <v>17834987</v>
      </c>
      <c r="H202" s="654">
        <v>0</v>
      </c>
      <c r="I202" s="654">
        <v>576372</v>
      </c>
      <c r="J202" s="654">
        <v>2044886</v>
      </c>
    </row>
    <row r="203" spans="1:10" x14ac:dyDescent="0.15">
      <c r="B203" t="s">
        <v>733</v>
      </c>
      <c r="D203" s="654">
        <v>17823106</v>
      </c>
      <c r="E203" s="654">
        <v>11881</v>
      </c>
      <c r="F203" s="654">
        <v>17834987</v>
      </c>
      <c r="G203" s="654">
        <v>17834987</v>
      </c>
      <c r="H203" s="654">
        <v>0</v>
      </c>
      <c r="I203" s="654">
        <v>576372</v>
      </c>
      <c r="J203" s="654">
        <v>2044886</v>
      </c>
    </row>
    <row r="204" spans="1:10" x14ac:dyDescent="0.15">
      <c r="B204" t="s">
        <v>627</v>
      </c>
      <c r="C204" t="s">
        <v>599</v>
      </c>
      <c r="D204" s="654">
        <v>3997958</v>
      </c>
      <c r="E204" s="654">
        <v>-127125</v>
      </c>
      <c r="F204" s="654">
        <v>3870833</v>
      </c>
      <c r="G204" s="654">
        <v>3870833</v>
      </c>
      <c r="H204" s="654">
        <v>0</v>
      </c>
      <c r="I204" s="654">
        <v>0</v>
      </c>
      <c r="J204" s="654">
        <v>863453</v>
      </c>
    </row>
    <row r="205" spans="1:10" x14ac:dyDescent="0.15">
      <c r="B205" t="s">
        <v>734</v>
      </c>
      <c r="D205" s="654">
        <v>3997958</v>
      </c>
      <c r="E205" s="654">
        <v>-127125</v>
      </c>
      <c r="F205" s="654">
        <v>3870833</v>
      </c>
      <c r="G205" s="654">
        <v>3870833</v>
      </c>
      <c r="H205" s="654">
        <v>0</v>
      </c>
      <c r="I205" s="654">
        <v>0</v>
      </c>
      <c r="J205" s="654">
        <v>863453</v>
      </c>
    </row>
    <row r="206" spans="1:10" x14ac:dyDescent="0.15">
      <c r="B206" t="s">
        <v>628</v>
      </c>
      <c r="C206" t="s">
        <v>598</v>
      </c>
      <c r="D206" s="654">
        <v>1218593</v>
      </c>
      <c r="E206" s="654">
        <v>-11149</v>
      </c>
      <c r="F206" s="654">
        <v>1207444</v>
      </c>
      <c r="G206" s="654">
        <v>1207444</v>
      </c>
      <c r="H206" s="654">
        <v>0</v>
      </c>
      <c r="I206" s="654">
        <v>0</v>
      </c>
      <c r="J206" s="654">
        <v>0</v>
      </c>
    </row>
    <row r="207" spans="1:10" x14ac:dyDescent="0.15">
      <c r="B207" t="s">
        <v>735</v>
      </c>
      <c r="D207" s="654">
        <v>1218593</v>
      </c>
      <c r="E207" s="654">
        <v>-11149</v>
      </c>
      <c r="F207" s="654">
        <v>1207444</v>
      </c>
      <c r="G207" s="654">
        <v>1207444</v>
      </c>
      <c r="H207" s="654">
        <v>0</v>
      </c>
      <c r="I207" s="654">
        <v>0</v>
      </c>
      <c r="J207" s="654">
        <v>0</v>
      </c>
    </row>
    <row r="208" spans="1:10" x14ac:dyDescent="0.15">
      <c r="B208" t="s">
        <v>629</v>
      </c>
      <c r="C208" t="s">
        <v>601</v>
      </c>
      <c r="D208" s="654">
        <v>3379958</v>
      </c>
      <c r="E208" s="654">
        <v>-60819</v>
      </c>
      <c r="F208" s="654">
        <v>3319139</v>
      </c>
      <c r="G208" s="654">
        <v>3319139</v>
      </c>
      <c r="H208" s="654">
        <v>0</v>
      </c>
      <c r="I208" s="654">
        <v>0</v>
      </c>
      <c r="J208" s="654">
        <v>184869</v>
      </c>
    </row>
    <row r="209" spans="1:10" x14ac:dyDescent="0.15">
      <c r="B209" t="s">
        <v>736</v>
      </c>
      <c r="D209" s="654">
        <v>3379958</v>
      </c>
      <c r="E209" s="654">
        <v>-60819</v>
      </c>
      <c r="F209" s="654">
        <v>3319139</v>
      </c>
      <c r="G209" s="654">
        <v>3319139</v>
      </c>
      <c r="H209" s="654">
        <v>0</v>
      </c>
      <c r="I209" s="654">
        <v>0</v>
      </c>
      <c r="J209" s="654">
        <v>184869</v>
      </c>
    </row>
    <row r="210" spans="1:10" x14ac:dyDescent="0.15">
      <c r="B210" t="s">
        <v>631</v>
      </c>
      <c r="C210" t="s">
        <v>596</v>
      </c>
      <c r="D210" s="654">
        <v>3772513</v>
      </c>
      <c r="E210" s="654">
        <v>0</v>
      </c>
      <c r="F210" s="654">
        <v>3772513</v>
      </c>
      <c r="G210" s="654">
        <v>3772513</v>
      </c>
      <c r="H210" s="654">
        <v>0</v>
      </c>
      <c r="I210" s="654">
        <v>0</v>
      </c>
      <c r="J210" s="654">
        <v>248202</v>
      </c>
    </row>
    <row r="211" spans="1:10" x14ac:dyDescent="0.15">
      <c r="B211" t="s">
        <v>737</v>
      </c>
      <c r="D211" s="654">
        <v>3772513</v>
      </c>
      <c r="E211" s="654">
        <v>0</v>
      </c>
      <c r="F211" s="654">
        <v>3772513</v>
      </c>
      <c r="G211" s="654">
        <v>3772513</v>
      </c>
      <c r="H211" s="654">
        <v>0</v>
      </c>
      <c r="I211" s="654">
        <v>0</v>
      </c>
      <c r="J211" s="654">
        <v>248202</v>
      </c>
    </row>
    <row r="212" spans="1:10" x14ac:dyDescent="0.15">
      <c r="A212" s="653" t="s">
        <v>933</v>
      </c>
      <c r="B212"/>
      <c r="D212" s="654">
        <v>30192128</v>
      </c>
      <c r="E212" s="654">
        <v>-187212</v>
      </c>
      <c r="F212" s="654">
        <v>30004916</v>
      </c>
      <c r="G212" s="654">
        <v>30004916</v>
      </c>
      <c r="H212" s="654">
        <v>0</v>
      </c>
      <c r="I212" s="654">
        <v>576372</v>
      </c>
      <c r="J212" s="654">
        <v>3341410</v>
      </c>
    </row>
    <row r="213" spans="1:10" x14ac:dyDescent="0.15">
      <c r="A213" s="653">
        <v>43160</v>
      </c>
      <c r="B213" t="s">
        <v>626</v>
      </c>
      <c r="C213" t="s">
        <v>600</v>
      </c>
      <c r="D213" s="654">
        <v>20308387</v>
      </c>
      <c r="E213" s="654">
        <v>-2123144</v>
      </c>
      <c r="F213" s="654">
        <v>18185243</v>
      </c>
      <c r="G213" s="654">
        <v>18185243</v>
      </c>
      <c r="H213" s="654">
        <v>0</v>
      </c>
      <c r="I213" s="654">
        <v>476833</v>
      </c>
      <c r="J213" s="654">
        <v>2217608</v>
      </c>
    </row>
    <row r="214" spans="1:10" x14ac:dyDescent="0.15">
      <c r="B214" t="s">
        <v>733</v>
      </c>
      <c r="D214" s="654">
        <v>20308387</v>
      </c>
      <c r="E214" s="654">
        <v>-2123144</v>
      </c>
      <c r="F214" s="654">
        <v>18185243</v>
      </c>
      <c r="G214" s="654">
        <v>18185243</v>
      </c>
      <c r="H214" s="654">
        <v>0</v>
      </c>
      <c r="I214" s="654">
        <v>476833</v>
      </c>
      <c r="J214" s="654">
        <v>2217608</v>
      </c>
    </row>
    <row r="215" spans="1:10" x14ac:dyDescent="0.15">
      <c r="B215" t="s">
        <v>627</v>
      </c>
      <c r="C215" t="s">
        <v>599</v>
      </c>
      <c r="D215" s="654">
        <v>4106855</v>
      </c>
      <c r="E215" s="654">
        <v>-270977</v>
      </c>
      <c r="F215" s="654">
        <v>3835878</v>
      </c>
      <c r="G215" s="654">
        <v>3835878</v>
      </c>
      <c r="H215" s="654">
        <v>0</v>
      </c>
      <c r="I215" s="654">
        <v>23433</v>
      </c>
      <c r="J215" s="654">
        <v>855876</v>
      </c>
    </row>
    <row r="216" spans="1:10" x14ac:dyDescent="0.15">
      <c r="B216" t="s">
        <v>734</v>
      </c>
      <c r="D216" s="654">
        <v>4106855</v>
      </c>
      <c r="E216" s="654">
        <v>-270977</v>
      </c>
      <c r="F216" s="654">
        <v>3835878</v>
      </c>
      <c r="G216" s="654">
        <v>3835878</v>
      </c>
      <c r="H216" s="654">
        <v>0</v>
      </c>
      <c r="I216" s="654">
        <v>23433</v>
      </c>
      <c r="J216" s="654">
        <v>855876</v>
      </c>
    </row>
    <row r="217" spans="1:10" x14ac:dyDescent="0.15">
      <c r="B217" t="s">
        <v>628</v>
      </c>
      <c r="C217" t="s">
        <v>598</v>
      </c>
      <c r="D217" s="654">
        <v>1239483</v>
      </c>
      <c r="E217" s="654">
        <v>-14477</v>
      </c>
      <c r="F217" s="654">
        <v>1225006</v>
      </c>
      <c r="G217" s="654">
        <v>1225006</v>
      </c>
      <c r="H217" s="654">
        <v>0</v>
      </c>
      <c r="I217" s="654">
        <v>14477</v>
      </c>
      <c r="J217" s="654">
        <v>0</v>
      </c>
    </row>
    <row r="218" spans="1:10" x14ac:dyDescent="0.15">
      <c r="B218" t="s">
        <v>735</v>
      </c>
      <c r="D218" s="654">
        <v>1239483</v>
      </c>
      <c r="E218" s="654">
        <v>-14477</v>
      </c>
      <c r="F218" s="654">
        <v>1225006</v>
      </c>
      <c r="G218" s="654">
        <v>1225006</v>
      </c>
      <c r="H218" s="654">
        <v>0</v>
      </c>
      <c r="I218" s="654">
        <v>14477</v>
      </c>
      <c r="J218" s="654">
        <v>0</v>
      </c>
    </row>
    <row r="219" spans="1:10" x14ac:dyDescent="0.15">
      <c r="B219" t="s">
        <v>629</v>
      </c>
      <c r="C219" t="s">
        <v>601</v>
      </c>
      <c r="D219" s="654">
        <v>3774711</v>
      </c>
      <c r="E219" s="654">
        <v>-529441</v>
      </c>
      <c r="F219" s="654">
        <v>3245270</v>
      </c>
      <c r="G219" s="654">
        <v>3245270</v>
      </c>
      <c r="H219" s="654">
        <v>0</v>
      </c>
      <c r="I219" s="654">
        <v>0</v>
      </c>
      <c r="J219" s="654">
        <v>186659</v>
      </c>
    </row>
    <row r="220" spans="1:10" x14ac:dyDescent="0.15">
      <c r="B220" t="s">
        <v>736</v>
      </c>
      <c r="D220" s="654">
        <v>3774711</v>
      </c>
      <c r="E220" s="654">
        <v>-529441</v>
      </c>
      <c r="F220" s="654">
        <v>3245270</v>
      </c>
      <c r="G220" s="654">
        <v>3245270</v>
      </c>
      <c r="H220" s="654">
        <v>0</v>
      </c>
      <c r="I220" s="654">
        <v>0</v>
      </c>
      <c r="J220" s="654">
        <v>186659</v>
      </c>
    </row>
    <row r="221" spans="1:10" x14ac:dyDescent="0.15">
      <c r="B221" t="s">
        <v>631</v>
      </c>
      <c r="C221" t="s">
        <v>596</v>
      </c>
      <c r="D221" s="654">
        <v>4062757</v>
      </c>
      <c r="E221" s="654">
        <v>0</v>
      </c>
      <c r="F221" s="654">
        <v>4062757</v>
      </c>
      <c r="G221" s="654">
        <v>4062757</v>
      </c>
      <c r="H221" s="654">
        <v>0</v>
      </c>
      <c r="I221" s="654">
        <v>0</v>
      </c>
      <c r="J221" s="654">
        <v>268227</v>
      </c>
    </row>
    <row r="222" spans="1:10" x14ac:dyDescent="0.15">
      <c r="B222" t="s">
        <v>737</v>
      </c>
      <c r="D222" s="654">
        <v>4062757</v>
      </c>
      <c r="E222" s="654">
        <v>0</v>
      </c>
      <c r="F222" s="654">
        <v>4062757</v>
      </c>
      <c r="G222" s="654">
        <v>4062757</v>
      </c>
      <c r="H222" s="654">
        <v>0</v>
      </c>
      <c r="I222" s="654">
        <v>0</v>
      </c>
      <c r="J222" s="654">
        <v>268227</v>
      </c>
    </row>
    <row r="223" spans="1:10" x14ac:dyDescent="0.15">
      <c r="A223" s="653" t="s">
        <v>963</v>
      </c>
      <c r="B223"/>
      <c r="D223" s="654">
        <v>33492193</v>
      </c>
      <c r="E223" s="654">
        <v>-2938039</v>
      </c>
      <c r="F223" s="654">
        <v>30554154</v>
      </c>
      <c r="G223" s="654">
        <v>30554154</v>
      </c>
      <c r="H223" s="654">
        <v>0</v>
      </c>
      <c r="I223" s="654">
        <v>514743</v>
      </c>
      <c r="J223" s="654">
        <v>3528370</v>
      </c>
    </row>
    <row r="224" spans="1:10" x14ac:dyDescent="0.15">
      <c r="A224" s="653">
        <v>43191</v>
      </c>
      <c r="B224" t="s">
        <v>626</v>
      </c>
      <c r="C224" t="s">
        <v>600</v>
      </c>
      <c r="D224" s="654">
        <v>22071392</v>
      </c>
      <c r="E224" s="654">
        <v>-223236</v>
      </c>
      <c r="F224" s="654">
        <v>21848156</v>
      </c>
      <c r="G224" s="654">
        <v>21848156</v>
      </c>
      <c r="H224" s="654">
        <v>0</v>
      </c>
      <c r="I224" s="654">
        <v>377384</v>
      </c>
      <c r="J224" s="654">
        <v>2444193</v>
      </c>
    </row>
    <row r="225" spans="1:10" x14ac:dyDescent="0.15">
      <c r="B225" t="s">
        <v>733</v>
      </c>
      <c r="D225" s="654">
        <v>22071392</v>
      </c>
      <c r="E225" s="654">
        <v>-223236</v>
      </c>
      <c r="F225" s="654">
        <v>21848156</v>
      </c>
      <c r="G225" s="654">
        <v>21848156</v>
      </c>
      <c r="H225" s="654">
        <v>0</v>
      </c>
      <c r="I225" s="654">
        <v>377384</v>
      </c>
      <c r="J225" s="654">
        <v>2444193</v>
      </c>
    </row>
    <row r="226" spans="1:10" x14ac:dyDescent="0.15">
      <c r="B226" t="s">
        <v>627</v>
      </c>
      <c r="C226" t="s">
        <v>599</v>
      </c>
      <c r="D226" s="654">
        <v>4020049</v>
      </c>
      <c r="E226" s="654">
        <v>-155370</v>
      </c>
      <c r="F226" s="654">
        <v>3864679</v>
      </c>
      <c r="G226" s="654">
        <v>3864679</v>
      </c>
      <c r="H226" s="654">
        <v>0</v>
      </c>
      <c r="I226" s="654">
        <v>0</v>
      </c>
      <c r="J226" s="654">
        <v>865103</v>
      </c>
    </row>
    <row r="227" spans="1:10" x14ac:dyDescent="0.15">
      <c r="B227" t="s">
        <v>734</v>
      </c>
      <c r="D227" s="654">
        <v>4020049</v>
      </c>
      <c r="E227" s="654">
        <v>-155370</v>
      </c>
      <c r="F227" s="654">
        <v>3864679</v>
      </c>
      <c r="G227" s="654">
        <v>3864679</v>
      </c>
      <c r="H227" s="654">
        <v>0</v>
      </c>
      <c r="I227" s="654">
        <v>0</v>
      </c>
      <c r="J227" s="654">
        <v>865103</v>
      </c>
    </row>
    <row r="228" spans="1:10" x14ac:dyDescent="0.15">
      <c r="B228" t="s">
        <v>628</v>
      </c>
      <c r="C228" t="s">
        <v>598</v>
      </c>
      <c r="D228" s="654">
        <v>1143121</v>
      </c>
      <c r="E228" s="654">
        <v>-17687</v>
      </c>
      <c r="F228" s="654">
        <v>1125434</v>
      </c>
      <c r="G228" s="654">
        <v>1125434</v>
      </c>
      <c r="H228" s="654">
        <v>0</v>
      </c>
      <c r="I228" s="654">
        <v>0</v>
      </c>
      <c r="J228" s="654">
        <v>0</v>
      </c>
    </row>
    <row r="229" spans="1:10" x14ac:dyDescent="0.15">
      <c r="B229" t="s">
        <v>735</v>
      </c>
      <c r="D229" s="654">
        <v>1143121</v>
      </c>
      <c r="E229" s="654">
        <v>-17687</v>
      </c>
      <c r="F229" s="654">
        <v>1125434</v>
      </c>
      <c r="G229" s="654">
        <v>1125434</v>
      </c>
      <c r="H229" s="654">
        <v>0</v>
      </c>
      <c r="I229" s="654">
        <v>0</v>
      </c>
      <c r="J229" s="654">
        <v>0</v>
      </c>
    </row>
    <row r="230" spans="1:10" x14ac:dyDescent="0.15">
      <c r="B230" t="s">
        <v>629</v>
      </c>
      <c r="C230" t="s">
        <v>601</v>
      </c>
      <c r="D230" s="654">
        <v>4412083</v>
      </c>
      <c r="E230" s="654">
        <v>58582</v>
      </c>
      <c r="F230" s="654">
        <v>4470665</v>
      </c>
      <c r="G230" s="654">
        <v>4470665</v>
      </c>
      <c r="H230" s="654">
        <v>0</v>
      </c>
      <c r="I230" s="654">
        <v>0</v>
      </c>
      <c r="J230" s="654">
        <v>247531</v>
      </c>
    </row>
    <row r="231" spans="1:10" x14ac:dyDescent="0.15">
      <c r="B231" t="s">
        <v>736</v>
      </c>
      <c r="D231" s="654">
        <v>4412083</v>
      </c>
      <c r="E231" s="654">
        <v>58582</v>
      </c>
      <c r="F231" s="654">
        <v>4470665</v>
      </c>
      <c r="G231" s="654">
        <v>4470665</v>
      </c>
      <c r="H231" s="654">
        <v>0</v>
      </c>
      <c r="I231" s="654">
        <v>0</v>
      </c>
      <c r="J231" s="654">
        <v>247531</v>
      </c>
    </row>
    <row r="232" spans="1:10" x14ac:dyDescent="0.15">
      <c r="B232" t="s">
        <v>631</v>
      </c>
      <c r="C232" t="s">
        <v>596</v>
      </c>
      <c r="D232" s="654">
        <v>4143258</v>
      </c>
      <c r="E232" s="654">
        <v>0</v>
      </c>
      <c r="F232" s="654">
        <v>4143258</v>
      </c>
      <c r="G232" s="654">
        <v>4143258</v>
      </c>
      <c r="H232" s="654">
        <v>0</v>
      </c>
      <c r="I232" s="654">
        <v>0</v>
      </c>
      <c r="J232" s="654">
        <v>273762</v>
      </c>
    </row>
    <row r="233" spans="1:10" x14ac:dyDescent="0.15">
      <c r="B233" t="s">
        <v>737</v>
      </c>
      <c r="D233" s="654">
        <v>4143258</v>
      </c>
      <c r="E233" s="654">
        <v>0</v>
      </c>
      <c r="F233" s="654">
        <v>4143258</v>
      </c>
      <c r="G233" s="654">
        <v>4143258</v>
      </c>
      <c r="H233" s="654">
        <v>0</v>
      </c>
      <c r="I233" s="654">
        <v>0</v>
      </c>
      <c r="J233" s="654">
        <v>273762</v>
      </c>
    </row>
    <row r="234" spans="1:10" x14ac:dyDescent="0.15">
      <c r="A234" s="653" t="s">
        <v>990</v>
      </c>
      <c r="B234"/>
      <c r="D234" s="654">
        <v>35789903</v>
      </c>
      <c r="E234" s="654">
        <v>-337711</v>
      </c>
      <c r="F234" s="654">
        <v>35452192</v>
      </c>
      <c r="G234" s="654">
        <v>35452192</v>
      </c>
      <c r="H234" s="654">
        <v>0</v>
      </c>
      <c r="I234" s="654">
        <v>377384</v>
      </c>
      <c r="J234" s="654">
        <v>3830589</v>
      </c>
    </row>
    <row r="235" spans="1:10" x14ac:dyDescent="0.15">
      <c r="A235" s="653">
        <v>43221</v>
      </c>
      <c r="B235" t="s">
        <v>626</v>
      </c>
      <c r="C235" t="s">
        <v>600</v>
      </c>
      <c r="D235" s="654">
        <v>20990444</v>
      </c>
      <c r="E235" s="654">
        <v>-143409</v>
      </c>
      <c r="F235" s="654">
        <v>20847035</v>
      </c>
      <c r="G235" s="654">
        <v>20847035</v>
      </c>
      <c r="H235" s="654">
        <v>0</v>
      </c>
      <c r="I235" s="654">
        <v>228359</v>
      </c>
      <c r="J235" s="654">
        <v>2368383</v>
      </c>
    </row>
    <row r="236" spans="1:10" x14ac:dyDescent="0.15">
      <c r="B236" t="s">
        <v>733</v>
      </c>
      <c r="D236" s="654">
        <v>20990444</v>
      </c>
      <c r="E236" s="654">
        <v>-143409</v>
      </c>
      <c r="F236" s="654">
        <v>20847035</v>
      </c>
      <c r="G236" s="654">
        <v>20847035</v>
      </c>
      <c r="H236" s="654">
        <v>0</v>
      </c>
      <c r="I236" s="654">
        <v>228359</v>
      </c>
      <c r="J236" s="654">
        <v>2368383</v>
      </c>
    </row>
    <row r="237" spans="1:10" x14ac:dyDescent="0.15">
      <c r="B237" t="s">
        <v>627</v>
      </c>
      <c r="C237" t="s">
        <v>599</v>
      </c>
      <c r="D237" s="654">
        <v>3932591</v>
      </c>
      <c r="E237" s="654">
        <v>-40373</v>
      </c>
      <c r="F237" s="654">
        <v>3892218</v>
      </c>
      <c r="G237" s="654">
        <v>3892218</v>
      </c>
      <c r="H237" s="654">
        <v>0</v>
      </c>
      <c r="I237" s="654">
        <v>0</v>
      </c>
      <c r="J237" s="654">
        <v>870895</v>
      </c>
    </row>
    <row r="238" spans="1:10" x14ac:dyDescent="0.15">
      <c r="B238" t="s">
        <v>734</v>
      </c>
      <c r="D238" s="654">
        <v>3932591</v>
      </c>
      <c r="E238" s="654">
        <v>-40373</v>
      </c>
      <c r="F238" s="654">
        <v>3892218</v>
      </c>
      <c r="G238" s="654">
        <v>3892218</v>
      </c>
      <c r="H238" s="654">
        <v>0</v>
      </c>
      <c r="I238" s="654">
        <v>0</v>
      </c>
      <c r="J238" s="654">
        <v>870895</v>
      </c>
    </row>
    <row r="239" spans="1:10" x14ac:dyDescent="0.15">
      <c r="B239" t="s">
        <v>628</v>
      </c>
      <c r="C239" t="s">
        <v>598</v>
      </c>
      <c r="D239" s="654">
        <v>1127756</v>
      </c>
      <c r="E239" s="654">
        <v>-18431</v>
      </c>
      <c r="F239" s="654">
        <v>1109325</v>
      </c>
      <c r="G239" s="654">
        <v>1109325</v>
      </c>
      <c r="H239" s="654">
        <v>0</v>
      </c>
      <c r="I239" s="654">
        <v>11267</v>
      </c>
      <c r="J239" s="654">
        <v>0</v>
      </c>
    </row>
    <row r="240" spans="1:10" x14ac:dyDescent="0.15">
      <c r="B240" t="s">
        <v>735</v>
      </c>
      <c r="D240" s="654">
        <v>1127756</v>
      </c>
      <c r="E240" s="654">
        <v>-18431</v>
      </c>
      <c r="F240" s="654">
        <v>1109325</v>
      </c>
      <c r="G240" s="654">
        <v>1109325</v>
      </c>
      <c r="H240" s="654">
        <v>0</v>
      </c>
      <c r="I240" s="654">
        <v>11267</v>
      </c>
      <c r="J240" s="654">
        <v>0</v>
      </c>
    </row>
    <row r="241" spans="1:10" x14ac:dyDescent="0.15">
      <c r="B241" t="s">
        <v>629</v>
      </c>
      <c r="C241" t="s">
        <v>601</v>
      </c>
      <c r="D241" s="654">
        <v>4190888</v>
      </c>
      <c r="E241" s="654">
        <v>0</v>
      </c>
      <c r="F241" s="654">
        <v>4190888</v>
      </c>
      <c r="G241" s="654">
        <v>4190888</v>
      </c>
      <c r="H241" s="654">
        <v>0</v>
      </c>
      <c r="I241" s="654">
        <v>0</v>
      </c>
      <c r="J241" s="654">
        <v>231845</v>
      </c>
    </row>
    <row r="242" spans="1:10" x14ac:dyDescent="0.15">
      <c r="B242" t="s">
        <v>736</v>
      </c>
      <c r="D242" s="654">
        <v>4190888</v>
      </c>
      <c r="E242" s="654">
        <v>0</v>
      </c>
      <c r="F242" s="654">
        <v>4190888</v>
      </c>
      <c r="G242" s="654">
        <v>4190888</v>
      </c>
      <c r="H242" s="654">
        <v>0</v>
      </c>
      <c r="I242" s="654">
        <v>0</v>
      </c>
      <c r="J242" s="654">
        <v>231845</v>
      </c>
    </row>
    <row r="243" spans="1:10" x14ac:dyDescent="0.15">
      <c r="B243" t="s">
        <v>631</v>
      </c>
      <c r="C243" t="s">
        <v>596</v>
      </c>
      <c r="D243" s="654">
        <v>4284049</v>
      </c>
      <c r="E243" s="654">
        <v>0</v>
      </c>
      <c r="F243" s="654">
        <v>4284049</v>
      </c>
      <c r="G243" s="654">
        <v>4284049</v>
      </c>
      <c r="H243" s="654">
        <v>0</v>
      </c>
      <c r="I243" s="654">
        <v>0</v>
      </c>
      <c r="J243" s="654">
        <v>283493</v>
      </c>
    </row>
    <row r="244" spans="1:10" x14ac:dyDescent="0.15">
      <c r="B244" t="s">
        <v>737</v>
      </c>
      <c r="D244" s="654">
        <v>4284049</v>
      </c>
      <c r="E244" s="654">
        <v>0</v>
      </c>
      <c r="F244" s="654">
        <v>4284049</v>
      </c>
      <c r="G244" s="654">
        <v>4284049</v>
      </c>
      <c r="H244" s="654">
        <v>0</v>
      </c>
      <c r="I244" s="654">
        <v>0</v>
      </c>
      <c r="J244" s="654">
        <v>283493</v>
      </c>
    </row>
    <row r="245" spans="1:10" x14ac:dyDescent="0.15">
      <c r="A245" s="653" t="s">
        <v>1008</v>
      </c>
      <c r="B245"/>
      <c r="D245" s="654">
        <v>34525728</v>
      </c>
      <c r="E245" s="654">
        <v>-202213</v>
      </c>
      <c r="F245" s="654">
        <v>34323515</v>
      </c>
      <c r="G245" s="654">
        <v>34323515</v>
      </c>
      <c r="H245" s="654">
        <v>0</v>
      </c>
      <c r="I245" s="654">
        <v>239626</v>
      </c>
      <c r="J245" s="654">
        <v>3754616</v>
      </c>
    </row>
    <row r="246" spans="1:10" x14ac:dyDescent="0.15">
      <c r="A246" s="653">
        <v>43252</v>
      </c>
      <c r="B246" t="s">
        <v>626</v>
      </c>
      <c r="C246" t="s">
        <v>600</v>
      </c>
      <c r="D246" s="654">
        <v>20191201</v>
      </c>
      <c r="E246" s="654">
        <v>-241036</v>
      </c>
      <c r="F246" s="654">
        <v>19950165</v>
      </c>
      <c r="G246" s="654">
        <v>19950165</v>
      </c>
      <c r="H246" s="654">
        <v>0</v>
      </c>
      <c r="I246" s="654">
        <v>25293</v>
      </c>
      <c r="J246" s="654">
        <v>2275429</v>
      </c>
    </row>
    <row r="247" spans="1:10" x14ac:dyDescent="0.15">
      <c r="B247" t="s">
        <v>733</v>
      </c>
      <c r="D247" s="654">
        <v>20191201</v>
      </c>
      <c r="E247" s="654">
        <v>-241036</v>
      </c>
      <c r="F247" s="654">
        <v>19950165</v>
      </c>
      <c r="G247" s="654">
        <v>19950165</v>
      </c>
      <c r="H247" s="654">
        <v>0</v>
      </c>
      <c r="I247" s="654">
        <v>25293</v>
      </c>
      <c r="J247" s="654">
        <v>2275429</v>
      </c>
    </row>
    <row r="248" spans="1:10" x14ac:dyDescent="0.15">
      <c r="B248" t="s">
        <v>627</v>
      </c>
      <c r="C248" t="s">
        <v>599</v>
      </c>
      <c r="D248" s="654">
        <v>4174077</v>
      </c>
      <c r="E248" s="654">
        <v>-115343</v>
      </c>
      <c r="F248" s="654">
        <v>4058734</v>
      </c>
      <c r="G248" s="654">
        <v>4058734</v>
      </c>
      <c r="H248" s="654">
        <v>0</v>
      </c>
      <c r="I248" s="654">
        <v>146456</v>
      </c>
      <c r="J248" s="654">
        <v>907083</v>
      </c>
    </row>
    <row r="249" spans="1:10" x14ac:dyDescent="0.15">
      <c r="B249" t="s">
        <v>734</v>
      </c>
      <c r="D249" s="654">
        <v>4174077</v>
      </c>
      <c r="E249" s="654">
        <v>-115343</v>
      </c>
      <c r="F249" s="654">
        <v>4058734</v>
      </c>
      <c r="G249" s="654">
        <v>4058734</v>
      </c>
      <c r="H249" s="654">
        <v>0</v>
      </c>
      <c r="I249" s="654">
        <v>146456</v>
      </c>
      <c r="J249" s="654">
        <v>907083</v>
      </c>
    </row>
    <row r="250" spans="1:10" x14ac:dyDescent="0.15">
      <c r="B250" t="s">
        <v>628</v>
      </c>
      <c r="C250" t="s">
        <v>598</v>
      </c>
      <c r="D250" s="654">
        <v>1225526</v>
      </c>
      <c r="E250" s="654">
        <v>-32803</v>
      </c>
      <c r="F250" s="654">
        <v>1192723</v>
      </c>
      <c r="G250" s="654">
        <v>1192723</v>
      </c>
      <c r="H250" s="654">
        <v>0</v>
      </c>
      <c r="I250" s="654">
        <v>0</v>
      </c>
      <c r="J250" s="654">
        <v>0</v>
      </c>
    </row>
    <row r="251" spans="1:10" x14ac:dyDescent="0.15">
      <c r="B251" t="s">
        <v>735</v>
      </c>
      <c r="D251" s="654">
        <v>1225526</v>
      </c>
      <c r="E251" s="654">
        <v>-32803</v>
      </c>
      <c r="F251" s="654">
        <v>1192723</v>
      </c>
      <c r="G251" s="654">
        <v>1192723</v>
      </c>
      <c r="H251" s="654">
        <v>0</v>
      </c>
      <c r="I251" s="654">
        <v>0</v>
      </c>
      <c r="J251" s="654">
        <v>0</v>
      </c>
    </row>
    <row r="252" spans="1:10" x14ac:dyDescent="0.15">
      <c r="B252" t="s">
        <v>629</v>
      </c>
      <c r="C252" t="s">
        <v>601</v>
      </c>
      <c r="D252" s="654">
        <v>3928452</v>
      </c>
      <c r="E252" s="654">
        <v>-8433</v>
      </c>
      <c r="F252" s="654">
        <v>3920019</v>
      </c>
      <c r="G252" s="654">
        <v>3920019</v>
      </c>
      <c r="H252" s="654">
        <v>0</v>
      </c>
      <c r="I252" s="654">
        <v>0</v>
      </c>
      <c r="J252" s="654">
        <v>218824</v>
      </c>
    </row>
    <row r="253" spans="1:10" x14ac:dyDescent="0.15">
      <c r="B253" t="s">
        <v>736</v>
      </c>
      <c r="D253" s="654">
        <v>3928452</v>
      </c>
      <c r="E253" s="654">
        <v>-8433</v>
      </c>
      <c r="F253" s="654">
        <v>3920019</v>
      </c>
      <c r="G253" s="654">
        <v>3920019</v>
      </c>
      <c r="H253" s="654">
        <v>0</v>
      </c>
      <c r="I253" s="654">
        <v>0</v>
      </c>
      <c r="J253" s="654">
        <v>218824</v>
      </c>
    </row>
    <row r="254" spans="1:10" x14ac:dyDescent="0.15">
      <c r="B254" t="s">
        <v>631</v>
      </c>
      <c r="C254" t="s">
        <v>596</v>
      </c>
      <c r="D254" s="654">
        <v>4151057</v>
      </c>
      <c r="E254" s="654">
        <v>-488028</v>
      </c>
      <c r="F254" s="654">
        <v>3663029</v>
      </c>
      <c r="G254" s="654">
        <v>3663029</v>
      </c>
      <c r="H254" s="654">
        <v>0</v>
      </c>
      <c r="I254" s="654">
        <v>0</v>
      </c>
      <c r="J254" s="654">
        <v>242054</v>
      </c>
    </row>
    <row r="255" spans="1:10" x14ac:dyDescent="0.15">
      <c r="B255" t="s">
        <v>737</v>
      </c>
      <c r="D255" s="654">
        <v>4151057</v>
      </c>
      <c r="E255" s="654">
        <v>-488028</v>
      </c>
      <c r="F255" s="654">
        <v>3663029</v>
      </c>
      <c r="G255" s="654">
        <v>3663029</v>
      </c>
      <c r="H255" s="654">
        <v>0</v>
      </c>
      <c r="I255" s="654">
        <v>0</v>
      </c>
      <c r="J255" s="654">
        <v>242054</v>
      </c>
    </row>
    <row r="256" spans="1:10" x14ac:dyDescent="0.15">
      <c r="A256" s="653" t="s">
        <v>1129</v>
      </c>
      <c r="B256"/>
      <c r="D256" s="654">
        <v>33670313</v>
      </c>
      <c r="E256" s="654">
        <v>-885643</v>
      </c>
      <c r="F256" s="654">
        <v>32784670</v>
      </c>
      <c r="G256" s="654">
        <v>32784670</v>
      </c>
      <c r="H256" s="654">
        <v>0</v>
      </c>
      <c r="I256" s="654">
        <v>171749</v>
      </c>
      <c r="J256" s="654">
        <v>3643390</v>
      </c>
    </row>
    <row r="257" spans="1:10" x14ac:dyDescent="0.15">
      <c r="A257" s="653">
        <v>43282</v>
      </c>
      <c r="B257" t="s">
        <v>626</v>
      </c>
      <c r="C257" t="s">
        <v>600</v>
      </c>
      <c r="D257" s="654">
        <v>20833882</v>
      </c>
      <c r="E257" s="654">
        <v>-450687</v>
      </c>
      <c r="F257" s="654">
        <v>20383195</v>
      </c>
      <c r="G257" s="654">
        <v>20383195</v>
      </c>
      <c r="H257" s="654">
        <v>0</v>
      </c>
      <c r="I257" s="654">
        <v>409415</v>
      </c>
      <c r="J257" s="654">
        <v>2327603</v>
      </c>
    </row>
    <row r="258" spans="1:10" x14ac:dyDescent="0.15">
      <c r="B258" t="s">
        <v>733</v>
      </c>
      <c r="D258" s="654">
        <v>20833882</v>
      </c>
      <c r="E258" s="654">
        <v>-450687</v>
      </c>
      <c r="F258" s="654">
        <v>20383195</v>
      </c>
      <c r="G258" s="654">
        <v>20383195</v>
      </c>
      <c r="H258" s="654">
        <v>0</v>
      </c>
      <c r="I258" s="654">
        <v>409415</v>
      </c>
      <c r="J258" s="654">
        <v>2327603</v>
      </c>
    </row>
    <row r="259" spans="1:10" x14ac:dyDescent="0.15">
      <c r="B259" t="s">
        <v>627</v>
      </c>
      <c r="C259" t="s">
        <v>599</v>
      </c>
      <c r="D259" s="654">
        <v>4460375</v>
      </c>
      <c r="E259" s="654">
        <v>-160055</v>
      </c>
      <c r="F259" s="654">
        <v>4300320</v>
      </c>
      <c r="G259" s="654">
        <v>4300320</v>
      </c>
      <c r="H259" s="654">
        <v>0</v>
      </c>
      <c r="I259" s="654">
        <v>0</v>
      </c>
      <c r="J259" s="654">
        <v>965473</v>
      </c>
    </row>
    <row r="260" spans="1:10" x14ac:dyDescent="0.15">
      <c r="B260" t="s">
        <v>734</v>
      </c>
      <c r="D260" s="654">
        <v>4460375</v>
      </c>
      <c r="E260" s="654">
        <v>-160055</v>
      </c>
      <c r="F260" s="654">
        <v>4300320</v>
      </c>
      <c r="G260" s="654">
        <v>4300320</v>
      </c>
      <c r="H260" s="654">
        <v>0</v>
      </c>
      <c r="I260" s="654">
        <v>0</v>
      </c>
      <c r="J260" s="654">
        <v>965473</v>
      </c>
    </row>
    <row r="261" spans="1:10" x14ac:dyDescent="0.15">
      <c r="B261" t="s">
        <v>628</v>
      </c>
      <c r="C261" t="s">
        <v>598</v>
      </c>
      <c r="D261" s="654">
        <v>1273126</v>
      </c>
      <c r="E261" s="654">
        <v>0</v>
      </c>
      <c r="F261" s="654">
        <v>1273126</v>
      </c>
      <c r="G261" s="654">
        <v>1273126</v>
      </c>
      <c r="H261" s="654">
        <v>0</v>
      </c>
      <c r="I261" s="654">
        <v>10829</v>
      </c>
      <c r="J261" s="654">
        <v>0</v>
      </c>
    </row>
    <row r="262" spans="1:10" x14ac:dyDescent="0.15">
      <c r="B262" t="s">
        <v>735</v>
      </c>
      <c r="D262" s="654">
        <v>1273126</v>
      </c>
      <c r="E262" s="654">
        <v>0</v>
      </c>
      <c r="F262" s="654">
        <v>1273126</v>
      </c>
      <c r="G262" s="654">
        <v>1273126</v>
      </c>
      <c r="H262" s="654">
        <v>0</v>
      </c>
      <c r="I262" s="654">
        <v>10829</v>
      </c>
      <c r="J262" s="654">
        <v>0</v>
      </c>
    </row>
    <row r="263" spans="1:10" x14ac:dyDescent="0.15">
      <c r="B263" t="s">
        <v>629</v>
      </c>
      <c r="C263" t="s">
        <v>601</v>
      </c>
      <c r="D263" s="654">
        <v>4234658</v>
      </c>
      <c r="E263" s="654">
        <v>-20157</v>
      </c>
      <c r="F263" s="654">
        <v>4214501</v>
      </c>
      <c r="G263" s="654">
        <v>4214501</v>
      </c>
      <c r="H263" s="654">
        <v>0</v>
      </c>
      <c r="I263" s="654">
        <v>0</v>
      </c>
      <c r="J263" s="654">
        <v>234931</v>
      </c>
    </row>
    <row r="264" spans="1:10" x14ac:dyDescent="0.15">
      <c r="B264" t="s">
        <v>736</v>
      </c>
      <c r="D264" s="654">
        <v>4234658</v>
      </c>
      <c r="E264" s="654">
        <v>-20157</v>
      </c>
      <c r="F264" s="654">
        <v>4214501</v>
      </c>
      <c r="G264" s="654">
        <v>4214501</v>
      </c>
      <c r="H264" s="654">
        <v>0</v>
      </c>
      <c r="I264" s="654">
        <v>0</v>
      </c>
      <c r="J264" s="654">
        <v>234931</v>
      </c>
    </row>
    <row r="265" spans="1:10" x14ac:dyDescent="0.15">
      <c r="B265" t="s">
        <v>631</v>
      </c>
      <c r="C265" t="s">
        <v>596</v>
      </c>
      <c r="D265" s="654">
        <v>4814230</v>
      </c>
      <c r="E265" s="654">
        <v>0</v>
      </c>
      <c r="F265" s="654">
        <v>4814230</v>
      </c>
      <c r="G265" s="654">
        <v>4814230</v>
      </c>
      <c r="H265" s="654">
        <v>0</v>
      </c>
      <c r="I265" s="654">
        <v>0</v>
      </c>
      <c r="J265" s="654">
        <v>318645</v>
      </c>
    </row>
    <row r="266" spans="1:10" x14ac:dyDescent="0.15">
      <c r="B266" t="s">
        <v>737</v>
      </c>
      <c r="D266" s="654">
        <v>4814230</v>
      </c>
      <c r="E266" s="654">
        <v>0</v>
      </c>
      <c r="F266" s="654">
        <v>4814230</v>
      </c>
      <c r="G266" s="654">
        <v>4814230</v>
      </c>
      <c r="H266" s="654">
        <v>0</v>
      </c>
      <c r="I266" s="654">
        <v>0</v>
      </c>
      <c r="J266" s="654">
        <v>318645</v>
      </c>
    </row>
    <row r="267" spans="1:10" x14ac:dyDescent="0.15">
      <c r="A267" s="653" t="s">
        <v>1217</v>
      </c>
      <c r="B267"/>
      <c r="D267" s="654">
        <v>35616271</v>
      </c>
      <c r="E267" s="654">
        <v>-630899</v>
      </c>
      <c r="F267" s="654">
        <v>34985372</v>
      </c>
      <c r="G267" s="654">
        <v>34985372</v>
      </c>
      <c r="H267" s="654">
        <v>0</v>
      </c>
      <c r="I267" s="654">
        <v>420244</v>
      </c>
      <c r="J267" s="654">
        <v>3846652</v>
      </c>
    </row>
    <row r="268" spans="1:10" x14ac:dyDescent="0.15">
      <c r="A268" s="653">
        <v>43313</v>
      </c>
      <c r="B268" t="s">
        <v>626</v>
      </c>
      <c r="C268" t="s">
        <v>600</v>
      </c>
      <c r="D268" s="654">
        <v>20956171</v>
      </c>
      <c r="E268" s="654">
        <v>-728284</v>
      </c>
      <c r="F268" s="654">
        <v>20227887</v>
      </c>
      <c r="G268" s="654">
        <v>20227887</v>
      </c>
      <c r="H268" s="654">
        <v>0</v>
      </c>
      <c r="I268" s="654">
        <v>514052</v>
      </c>
      <c r="J268" s="654">
        <v>2276511</v>
      </c>
    </row>
    <row r="269" spans="1:10" x14ac:dyDescent="0.15">
      <c r="B269" t="s">
        <v>733</v>
      </c>
      <c r="D269" s="654">
        <v>20956171</v>
      </c>
      <c r="E269" s="654">
        <v>-728284</v>
      </c>
      <c r="F269" s="654">
        <v>20227887</v>
      </c>
      <c r="G269" s="654">
        <v>20227887</v>
      </c>
      <c r="H269" s="654">
        <v>0</v>
      </c>
      <c r="I269" s="654">
        <v>514052</v>
      </c>
      <c r="J269" s="654">
        <v>2276511</v>
      </c>
    </row>
    <row r="270" spans="1:10" x14ac:dyDescent="0.15">
      <c r="B270" t="s">
        <v>627</v>
      </c>
      <c r="C270" t="s">
        <v>599</v>
      </c>
      <c r="D270" s="654">
        <v>4650408</v>
      </c>
      <c r="E270" s="654">
        <v>-735796</v>
      </c>
      <c r="F270" s="654">
        <v>3914612</v>
      </c>
      <c r="G270" s="654">
        <v>3914612</v>
      </c>
      <c r="H270" s="654">
        <v>0</v>
      </c>
      <c r="I270" s="654">
        <v>43614</v>
      </c>
      <c r="J270" s="654">
        <v>875221</v>
      </c>
    </row>
    <row r="271" spans="1:10" x14ac:dyDescent="0.15">
      <c r="B271" t="s">
        <v>734</v>
      </c>
      <c r="D271" s="654">
        <v>4650408</v>
      </c>
      <c r="E271" s="654">
        <v>-735796</v>
      </c>
      <c r="F271" s="654">
        <v>3914612</v>
      </c>
      <c r="G271" s="654">
        <v>3914612</v>
      </c>
      <c r="H271" s="654">
        <v>0</v>
      </c>
      <c r="I271" s="654">
        <v>43614</v>
      </c>
      <c r="J271" s="654">
        <v>875221</v>
      </c>
    </row>
    <row r="272" spans="1:10" x14ac:dyDescent="0.15">
      <c r="B272" t="s">
        <v>628</v>
      </c>
      <c r="C272" t="s">
        <v>598</v>
      </c>
      <c r="D272" s="654">
        <v>1212180</v>
      </c>
      <c r="E272" s="654">
        <v>-29322</v>
      </c>
      <c r="F272" s="654">
        <v>1182858</v>
      </c>
      <c r="G272" s="654">
        <v>1182858</v>
      </c>
      <c r="H272" s="654">
        <v>0</v>
      </c>
      <c r="I272" s="654">
        <v>0</v>
      </c>
      <c r="J272" s="654">
        <v>0</v>
      </c>
    </row>
    <row r="273" spans="1:10" x14ac:dyDescent="0.15">
      <c r="B273" t="s">
        <v>735</v>
      </c>
      <c r="D273" s="654">
        <v>1212180</v>
      </c>
      <c r="E273" s="654">
        <v>-29322</v>
      </c>
      <c r="F273" s="654">
        <v>1182858</v>
      </c>
      <c r="G273" s="654">
        <v>1182858</v>
      </c>
      <c r="H273" s="654">
        <v>0</v>
      </c>
      <c r="I273" s="654">
        <v>0</v>
      </c>
      <c r="J273" s="654">
        <v>0</v>
      </c>
    </row>
    <row r="274" spans="1:10" x14ac:dyDescent="0.15">
      <c r="B274" t="s">
        <v>629</v>
      </c>
      <c r="C274" t="s">
        <v>601</v>
      </c>
      <c r="D274" s="654">
        <v>4278581</v>
      </c>
      <c r="E274" s="654">
        <v>-49846</v>
      </c>
      <c r="F274" s="654">
        <v>4228735</v>
      </c>
      <c r="G274" s="654">
        <v>4228735</v>
      </c>
      <c r="H274" s="654">
        <v>0</v>
      </c>
      <c r="I274" s="654">
        <v>0</v>
      </c>
      <c r="J274" s="654">
        <v>235524</v>
      </c>
    </row>
    <row r="275" spans="1:10" x14ac:dyDescent="0.15">
      <c r="B275" t="s">
        <v>736</v>
      </c>
      <c r="D275" s="654">
        <v>4278581</v>
      </c>
      <c r="E275" s="654">
        <v>-49846</v>
      </c>
      <c r="F275" s="654">
        <v>4228735</v>
      </c>
      <c r="G275" s="654">
        <v>4228735</v>
      </c>
      <c r="H275" s="654">
        <v>0</v>
      </c>
      <c r="I275" s="654">
        <v>0</v>
      </c>
      <c r="J275" s="654">
        <v>235524</v>
      </c>
    </row>
    <row r="276" spans="1:10" x14ac:dyDescent="0.15">
      <c r="B276" t="s">
        <v>631</v>
      </c>
      <c r="C276" t="s">
        <v>596</v>
      </c>
      <c r="D276" s="654">
        <v>3865820</v>
      </c>
      <c r="E276" s="654">
        <v>0</v>
      </c>
      <c r="F276" s="654">
        <v>3865820</v>
      </c>
      <c r="G276" s="654">
        <v>3865820</v>
      </c>
      <c r="H276" s="654">
        <v>0</v>
      </c>
      <c r="I276" s="654">
        <v>0</v>
      </c>
      <c r="J276" s="654">
        <v>255357</v>
      </c>
    </row>
    <row r="277" spans="1:10" x14ac:dyDescent="0.15">
      <c r="B277" t="s">
        <v>737</v>
      </c>
      <c r="D277" s="654">
        <v>3865820</v>
      </c>
      <c r="E277" s="654">
        <v>0</v>
      </c>
      <c r="F277" s="654">
        <v>3865820</v>
      </c>
      <c r="G277" s="654">
        <v>3865820</v>
      </c>
      <c r="H277" s="654">
        <v>0</v>
      </c>
      <c r="I277" s="654">
        <v>0</v>
      </c>
      <c r="J277" s="654">
        <v>255357</v>
      </c>
    </row>
    <row r="278" spans="1:10" x14ac:dyDescent="0.15">
      <c r="A278" s="653" t="s">
        <v>1298</v>
      </c>
      <c r="B278"/>
      <c r="D278" s="654">
        <v>34963160</v>
      </c>
      <c r="E278" s="654">
        <v>-1543248</v>
      </c>
      <c r="F278" s="654">
        <v>33419912</v>
      </c>
      <c r="G278" s="654">
        <v>33419912</v>
      </c>
      <c r="H278" s="654">
        <v>0</v>
      </c>
      <c r="I278" s="654">
        <v>557666</v>
      </c>
      <c r="J278" s="654">
        <v>3642613</v>
      </c>
    </row>
    <row r="279" spans="1:10" x14ac:dyDescent="0.15">
      <c r="A279" s="653">
        <v>43344</v>
      </c>
      <c r="B279" t="s">
        <v>626</v>
      </c>
      <c r="C279" t="s">
        <v>600</v>
      </c>
      <c r="D279" s="654">
        <v>20970344</v>
      </c>
      <c r="E279" s="654">
        <v>-768574</v>
      </c>
      <c r="F279" s="654">
        <v>20201770</v>
      </c>
      <c r="G279" s="654">
        <v>20201770</v>
      </c>
      <c r="H279" s="654">
        <v>0</v>
      </c>
      <c r="I279" s="654">
        <v>1280381</v>
      </c>
      <c r="J279" s="654">
        <v>2298502</v>
      </c>
    </row>
    <row r="280" spans="1:10" x14ac:dyDescent="0.15">
      <c r="B280" t="s">
        <v>733</v>
      </c>
      <c r="D280" s="654">
        <v>20970344</v>
      </c>
      <c r="E280" s="654">
        <v>-768574</v>
      </c>
      <c r="F280" s="654">
        <v>20201770</v>
      </c>
      <c r="G280" s="654">
        <v>20201770</v>
      </c>
      <c r="H280" s="654">
        <v>0</v>
      </c>
      <c r="I280" s="654">
        <v>1280381</v>
      </c>
      <c r="J280" s="654">
        <v>2298502</v>
      </c>
    </row>
    <row r="281" spans="1:10" x14ac:dyDescent="0.15">
      <c r="B281" t="s">
        <v>627</v>
      </c>
      <c r="C281" t="s">
        <v>599</v>
      </c>
      <c r="D281" s="654">
        <v>5244379</v>
      </c>
      <c r="E281" s="654">
        <v>-570130</v>
      </c>
      <c r="F281" s="654">
        <v>4674249</v>
      </c>
      <c r="G281" s="654">
        <v>4674249</v>
      </c>
      <c r="H281" s="654">
        <v>0</v>
      </c>
      <c r="I281" s="654">
        <v>0</v>
      </c>
      <c r="J281" s="654">
        <v>1021336</v>
      </c>
    </row>
    <row r="282" spans="1:10" x14ac:dyDescent="0.15">
      <c r="B282" t="s">
        <v>734</v>
      </c>
      <c r="D282" s="654">
        <v>5244379</v>
      </c>
      <c r="E282" s="654">
        <v>-570130</v>
      </c>
      <c r="F282" s="654">
        <v>4674249</v>
      </c>
      <c r="G282" s="654">
        <v>4674249</v>
      </c>
      <c r="H282" s="654">
        <v>0</v>
      </c>
      <c r="I282" s="654">
        <v>0</v>
      </c>
      <c r="J282" s="654">
        <v>1021336</v>
      </c>
    </row>
    <row r="283" spans="1:10" x14ac:dyDescent="0.15">
      <c r="B283" t="s">
        <v>628</v>
      </c>
      <c r="C283" t="s">
        <v>598</v>
      </c>
      <c r="D283" s="654">
        <v>1220477</v>
      </c>
      <c r="E283" s="654">
        <v>-14477</v>
      </c>
      <c r="F283" s="654">
        <v>1206000</v>
      </c>
      <c r="G283" s="654">
        <v>1206000</v>
      </c>
      <c r="H283" s="654">
        <v>0</v>
      </c>
      <c r="I283" s="654">
        <v>11267</v>
      </c>
      <c r="J283" s="654">
        <v>0</v>
      </c>
    </row>
    <row r="284" spans="1:10" x14ac:dyDescent="0.15">
      <c r="B284" t="s">
        <v>735</v>
      </c>
      <c r="D284" s="654">
        <v>1220477</v>
      </c>
      <c r="E284" s="654">
        <v>-14477</v>
      </c>
      <c r="F284" s="654">
        <v>1206000</v>
      </c>
      <c r="G284" s="654">
        <v>1206000</v>
      </c>
      <c r="H284" s="654">
        <v>0</v>
      </c>
      <c r="I284" s="654">
        <v>11267</v>
      </c>
      <c r="J284" s="654">
        <v>0</v>
      </c>
    </row>
    <row r="285" spans="1:10" x14ac:dyDescent="0.15">
      <c r="B285" t="s">
        <v>629</v>
      </c>
      <c r="C285" t="s">
        <v>601</v>
      </c>
      <c r="D285" s="654">
        <v>4171382</v>
      </c>
      <c r="E285" s="654">
        <v>13219</v>
      </c>
      <c r="F285" s="654">
        <v>4184601</v>
      </c>
      <c r="G285" s="654">
        <v>4184601</v>
      </c>
      <c r="H285" s="654">
        <v>0</v>
      </c>
      <c r="I285" s="654">
        <v>266055</v>
      </c>
      <c r="J285" s="654">
        <v>233085</v>
      </c>
    </row>
    <row r="286" spans="1:10" x14ac:dyDescent="0.15">
      <c r="B286" t="s">
        <v>736</v>
      </c>
      <c r="D286" s="654">
        <v>4171382</v>
      </c>
      <c r="E286" s="654">
        <v>13219</v>
      </c>
      <c r="F286" s="654">
        <v>4184601</v>
      </c>
      <c r="G286" s="654">
        <v>4184601</v>
      </c>
      <c r="H286" s="654">
        <v>0</v>
      </c>
      <c r="I286" s="654">
        <v>266055</v>
      </c>
      <c r="J286" s="654">
        <v>233085</v>
      </c>
    </row>
    <row r="287" spans="1:10" x14ac:dyDescent="0.15">
      <c r="B287" t="s">
        <v>631</v>
      </c>
      <c r="C287" t="s">
        <v>596</v>
      </c>
      <c r="D287" s="654">
        <v>4109856</v>
      </c>
      <c r="E287" s="654">
        <v>0</v>
      </c>
      <c r="F287" s="654">
        <v>4109856</v>
      </c>
      <c r="G287" s="654">
        <v>4109856</v>
      </c>
      <c r="H287" s="654">
        <v>0</v>
      </c>
      <c r="I287" s="654">
        <v>0</v>
      </c>
      <c r="J287" s="654">
        <v>272142</v>
      </c>
    </row>
    <row r="288" spans="1:10" x14ac:dyDescent="0.15">
      <c r="B288" t="s">
        <v>737</v>
      </c>
      <c r="D288" s="654">
        <v>4109856</v>
      </c>
      <c r="E288" s="654">
        <v>0</v>
      </c>
      <c r="F288" s="654">
        <v>4109856</v>
      </c>
      <c r="G288" s="654">
        <v>4109856</v>
      </c>
      <c r="H288" s="654">
        <v>0</v>
      </c>
      <c r="I288" s="654">
        <v>0</v>
      </c>
      <c r="J288" s="654">
        <v>272142</v>
      </c>
    </row>
    <row r="289" spans="1:10" x14ac:dyDescent="0.15">
      <c r="A289" s="653" t="s">
        <v>1332</v>
      </c>
      <c r="B289"/>
      <c r="D289" s="654">
        <v>35716438</v>
      </c>
      <c r="E289" s="654">
        <v>-1339962</v>
      </c>
      <c r="F289" s="654">
        <v>34376476</v>
      </c>
      <c r="G289" s="654">
        <v>34376476</v>
      </c>
      <c r="H289" s="654">
        <v>0</v>
      </c>
      <c r="I289" s="654">
        <v>1557703</v>
      </c>
      <c r="J289" s="654">
        <v>3825065</v>
      </c>
    </row>
    <row r="290" spans="1:10" x14ac:dyDescent="0.15">
      <c r="A290" s="653">
        <v>43374</v>
      </c>
      <c r="B290" t="s">
        <v>626</v>
      </c>
      <c r="C290" t="s">
        <v>600</v>
      </c>
      <c r="D290" s="654">
        <v>23177517</v>
      </c>
      <c r="E290" s="654">
        <v>-305405</v>
      </c>
      <c r="F290" s="654">
        <v>22872112</v>
      </c>
      <c r="G290" s="654">
        <v>22872112</v>
      </c>
      <c r="H290" s="654">
        <v>0</v>
      </c>
      <c r="I290" s="654">
        <v>973748</v>
      </c>
      <c r="J290" s="654">
        <v>2405728</v>
      </c>
    </row>
    <row r="291" spans="1:10" x14ac:dyDescent="0.15">
      <c r="B291" t="s">
        <v>733</v>
      </c>
      <c r="D291" s="654">
        <v>23177517</v>
      </c>
      <c r="E291" s="654">
        <v>-305405</v>
      </c>
      <c r="F291" s="654">
        <v>22872112</v>
      </c>
      <c r="G291" s="654">
        <v>22872112</v>
      </c>
      <c r="H291" s="654">
        <v>0</v>
      </c>
      <c r="I291" s="654">
        <v>973748</v>
      </c>
      <c r="J291" s="654">
        <v>2405728</v>
      </c>
    </row>
    <row r="292" spans="1:10" x14ac:dyDescent="0.15">
      <c r="B292" t="s">
        <v>627</v>
      </c>
      <c r="C292" t="s">
        <v>599</v>
      </c>
      <c r="D292" s="654">
        <v>6664742</v>
      </c>
      <c r="E292" s="654">
        <v>-1574193</v>
      </c>
      <c r="F292" s="654">
        <v>5090549</v>
      </c>
      <c r="G292" s="654">
        <v>5090549</v>
      </c>
      <c r="H292" s="654">
        <v>0</v>
      </c>
      <c r="I292" s="654">
        <v>97749</v>
      </c>
      <c r="J292" s="654">
        <v>1156113</v>
      </c>
    </row>
    <row r="293" spans="1:10" x14ac:dyDescent="0.15">
      <c r="B293" t="s">
        <v>734</v>
      </c>
      <c r="D293" s="654">
        <v>6664742</v>
      </c>
      <c r="E293" s="654">
        <v>-1574193</v>
      </c>
      <c r="F293" s="654">
        <v>5090549</v>
      </c>
      <c r="G293" s="654">
        <v>5090549</v>
      </c>
      <c r="H293" s="654">
        <v>0</v>
      </c>
      <c r="I293" s="654">
        <v>97749</v>
      </c>
      <c r="J293" s="654">
        <v>1156113</v>
      </c>
    </row>
    <row r="294" spans="1:10" x14ac:dyDescent="0.15">
      <c r="B294" t="s">
        <v>628</v>
      </c>
      <c r="C294" t="s">
        <v>598</v>
      </c>
      <c r="D294" s="654">
        <v>1246074</v>
      </c>
      <c r="E294" s="654">
        <v>0</v>
      </c>
      <c r="F294" s="654">
        <v>1246074</v>
      </c>
      <c r="G294" s="654">
        <v>1246074</v>
      </c>
      <c r="H294" s="654">
        <v>0</v>
      </c>
      <c r="I294" s="654">
        <v>0</v>
      </c>
      <c r="J294" s="654">
        <v>0</v>
      </c>
    </row>
    <row r="295" spans="1:10" x14ac:dyDescent="0.15">
      <c r="B295" t="s">
        <v>735</v>
      </c>
      <c r="D295" s="654">
        <v>1246074</v>
      </c>
      <c r="E295" s="654">
        <v>0</v>
      </c>
      <c r="F295" s="654">
        <v>1246074</v>
      </c>
      <c r="G295" s="654">
        <v>1246074</v>
      </c>
      <c r="H295" s="654">
        <v>0</v>
      </c>
      <c r="I295" s="654">
        <v>0</v>
      </c>
      <c r="J295" s="654">
        <v>0</v>
      </c>
    </row>
    <row r="296" spans="1:10" x14ac:dyDescent="0.15">
      <c r="B296" t="s">
        <v>629</v>
      </c>
      <c r="C296" t="s">
        <v>601</v>
      </c>
      <c r="D296" s="654">
        <v>4519526</v>
      </c>
      <c r="E296" s="654">
        <v>-317126</v>
      </c>
      <c r="F296" s="654">
        <v>4202400</v>
      </c>
      <c r="G296" s="654">
        <v>4202400</v>
      </c>
      <c r="H296" s="654">
        <v>0</v>
      </c>
      <c r="I296" s="654">
        <v>0</v>
      </c>
      <c r="J296" s="654">
        <v>234125</v>
      </c>
    </row>
    <row r="297" spans="1:10" x14ac:dyDescent="0.15">
      <c r="B297" t="s">
        <v>736</v>
      </c>
      <c r="D297" s="654">
        <v>4519526</v>
      </c>
      <c r="E297" s="654">
        <v>-317126</v>
      </c>
      <c r="F297" s="654">
        <v>4202400</v>
      </c>
      <c r="G297" s="654">
        <v>4202400</v>
      </c>
      <c r="H297" s="654">
        <v>0</v>
      </c>
      <c r="I297" s="654">
        <v>0</v>
      </c>
      <c r="J297" s="654">
        <v>234125</v>
      </c>
    </row>
    <row r="298" spans="1:10" x14ac:dyDescent="0.15">
      <c r="B298" t="s">
        <v>631</v>
      </c>
      <c r="C298" t="s">
        <v>596</v>
      </c>
      <c r="D298" s="654">
        <v>4621679</v>
      </c>
      <c r="E298" s="654">
        <v>0</v>
      </c>
      <c r="F298" s="654">
        <v>4621679</v>
      </c>
      <c r="G298" s="654">
        <v>4621679</v>
      </c>
      <c r="H298" s="654">
        <v>0</v>
      </c>
      <c r="I298" s="654">
        <v>0</v>
      </c>
      <c r="J298" s="654">
        <v>306754</v>
      </c>
    </row>
    <row r="299" spans="1:10" x14ac:dyDescent="0.15">
      <c r="B299" t="s">
        <v>737</v>
      </c>
      <c r="D299" s="654">
        <v>4621679</v>
      </c>
      <c r="E299" s="654">
        <v>0</v>
      </c>
      <c r="F299" s="654">
        <v>4621679</v>
      </c>
      <c r="G299" s="654">
        <v>4621679</v>
      </c>
      <c r="H299" s="654">
        <v>0</v>
      </c>
      <c r="I299" s="654">
        <v>0</v>
      </c>
      <c r="J299" s="654">
        <v>306754</v>
      </c>
    </row>
    <row r="300" spans="1:10" x14ac:dyDescent="0.15">
      <c r="A300" s="653" t="s">
        <v>1381</v>
      </c>
      <c r="B300"/>
      <c r="D300" s="654">
        <v>40229538</v>
      </c>
      <c r="E300" s="654">
        <v>-2196724</v>
      </c>
      <c r="F300" s="654">
        <v>38032814</v>
      </c>
      <c r="G300" s="654">
        <v>38032814</v>
      </c>
      <c r="H300" s="654">
        <v>0</v>
      </c>
      <c r="I300" s="654">
        <v>1071497</v>
      </c>
      <c r="J300" s="654">
        <v>4102720</v>
      </c>
    </row>
    <row r="301" spans="1:10" x14ac:dyDescent="0.15">
      <c r="A301" s="653">
        <v>43405</v>
      </c>
      <c r="B301" t="s">
        <v>626</v>
      </c>
      <c r="C301" t="s">
        <v>600</v>
      </c>
      <c r="D301" s="654">
        <v>23487511</v>
      </c>
      <c r="E301" s="654">
        <v>-310301</v>
      </c>
      <c r="F301" s="654">
        <v>23177210</v>
      </c>
      <c r="G301" s="654">
        <v>23177210</v>
      </c>
      <c r="H301" s="654">
        <v>0</v>
      </c>
      <c r="I301" s="654">
        <v>156059</v>
      </c>
      <c r="J301" s="654">
        <v>2607505</v>
      </c>
    </row>
    <row r="302" spans="1:10" x14ac:dyDescent="0.15">
      <c r="B302" t="s">
        <v>733</v>
      </c>
      <c r="D302" s="654">
        <v>23487511</v>
      </c>
      <c r="E302" s="654">
        <v>-310301</v>
      </c>
      <c r="F302" s="654">
        <v>23177210</v>
      </c>
      <c r="G302" s="654">
        <v>23177210</v>
      </c>
      <c r="H302" s="654">
        <v>0</v>
      </c>
      <c r="I302" s="654">
        <v>156059</v>
      </c>
      <c r="J302" s="654">
        <v>2607505</v>
      </c>
    </row>
    <row r="303" spans="1:10" x14ac:dyDescent="0.15">
      <c r="B303" t="s">
        <v>627</v>
      </c>
      <c r="C303" t="s">
        <v>599</v>
      </c>
      <c r="D303" s="654">
        <v>6889748</v>
      </c>
      <c r="E303" s="654">
        <v>-1365786</v>
      </c>
      <c r="F303" s="654">
        <v>5523962</v>
      </c>
      <c r="G303" s="654">
        <v>5523962</v>
      </c>
      <c r="H303" s="654">
        <v>0</v>
      </c>
      <c r="I303" s="654">
        <v>92442</v>
      </c>
      <c r="J303" s="654">
        <v>1212864</v>
      </c>
    </row>
    <row r="304" spans="1:10" x14ac:dyDescent="0.15">
      <c r="B304" t="s">
        <v>734</v>
      </c>
      <c r="D304" s="654">
        <v>6889748</v>
      </c>
      <c r="E304" s="654">
        <v>-1365786</v>
      </c>
      <c r="F304" s="654">
        <v>5523962</v>
      </c>
      <c r="G304" s="654">
        <v>5523962</v>
      </c>
      <c r="H304" s="654">
        <v>0</v>
      </c>
      <c r="I304" s="654">
        <v>92442</v>
      </c>
      <c r="J304" s="654">
        <v>1212864</v>
      </c>
    </row>
    <row r="305" spans="1:10" x14ac:dyDescent="0.15">
      <c r="B305" t="s">
        <v>628</v>
      </c>
      <c r="C305" t="s">
        <v>598</v>
      </c>
      <c r="D305" s="654">
        <v>1359129</v>
      </c>
      <c r="E305" s="654">
        <v>-28954</v>
      </c>
      <c r="F305" s="654">
        <v>1330175</v>
      </c>
      <c r="G305" s="654">
        <v>1330175</v>
      </c>
      <c r="H305" s="654">
        <v>0</v>
      </c>
      <c r="I305" s="654">
        <v>31846</v>
      </c>
      <c r="J305" s="654">
        <v>0</v>
      </c>
    </row>
    <row r="306" spans="1:10" x14ac:dyDescent="0.15">
      <c r="B306" t="s">
        <v>735</v>
      </c>
      <c r="D306" s="654">
        <v>1359129</v>
      </c>
      <c r="E306" s="654">
        <v>-28954</v>
      </c>
      <c r="F306" s="654">
        <v>1330175</v>
      </c>
      <c r="G306" s="654">
        <v>1330175</v>
      </c>
      <c r="H306" s="654">
        <v>0</v>
      </c>
      <c r="I306" s="654">
        <v>31846</v>
      </c>
      <c r="J306" s="654">
        <v>0</v>
      </c>
    </row>
    <row r="307" spans="1:10" x14ac:dyDescent="0.15">
      <c r="B307" t="s">
        <v>629</v>
      </c>
      <c r="C307" t="s">
        <v>601</v>
      </c>
      <c r="D307" s="654">
        <v>4219441</v>
      </c>
      <c r="E307" s="654">
        <v>370890</v>
      </c>
      <c r="F307" s="654">
        <v>4590331</v>
      </c>
      <c r="G307" s="654">
        <v>4590331</v>
      </c>
      <c r="H307" s="654">
        <v>0</v>
      </c>
      <c r="I307" s="654">
        <v>0</v>
      </c>
      <c r="J307" s="654">
        <v>255681</v>
      </c>
    </row>
    <row r="308" spans="1:10" x14ac:dyDescent="0.15">
      <c r="B308" t="s">
        <v>736</v>
      </c>
      <c r="D308" s="654">
        <v>4219441</v>
      </c>
      <c r="E308" s="654">
        <v>370890</v>
      </c>
      <c r="F308" s="654">
        <v>4590331</v>
      </c>
      <c r="G308" s="654">
        <v>4590331</v>
      </c>
      <c r="H308" s="654">
        <v>0</v>
      </c>
      <c r="I308" s="654">
        <v>0</v>
      </c>
      <c r="J308" s="654">
        <v>255681</v>
      </c>
    </row>
    <row r="309" spans="1:10" x14ac:dyDescent="0.15">
      <c r="B309" t="s">
        <v>631</v>
      </c>
      <c r="C309" t="s">
        <v>596</v>
      </c>
      <c r="D309" s="654">
        <v>4529239</v>
      </c>
      <c r="E309" s="654">
        <v>0</v>
      </c>
      <c r="F309" s="654">
        <v>4529239</v>
      </c>
      <c r="G309" s="654">
        <v>4529239</v>
      </c>
      <c r="H309" s="654">
        <v>0</v>
      </c>
      <c r="I309" s="654">
        <v>0</v>
      </c>
      <c r="J309" s="654">
        <v>299671</v>
      </c>
    </row>
    <row r="310" spans="1:10" x14ac:dyDescent="0.15">
      <c r="B310" t="s">
        <v>737</v>
      </c>
      <c r="D310" s="654">
        <v>4529239</v>
      </c>
      <c r="E310" s="654">
        <v>0</v>
      </c>
      <c r="F310" s="654">
        <v>4529239</v>
      </c>
      <c r="G310" s="654">
        <v>4529239</v>
      </c>
      <c r="H310" s="654">
        <v>0</v>
      </c>
      <c r="I310" s="654">
        <v>0</v>
      </c>
      <c r="J310" s="654">
        <v>299671</v>
      </c>
    </row>
    <row r="311" spans="1:10" x14ac:dyDescent="0.15">
      <c r="A311" s="653" t="s">
        <v>1458</v>
      </c>
      <c r="B311"/>
      <c r="D311" s="654">
        <v>40485068</v>
      </c>
      <c r="E311" s="654">
        <v>-1334151</v>
      </c>
      <c r="F311" s="654">
        <v>39150917</v>
      </c>
      <c r="G311" s="654">
        <v>39150917</v>
      </c>
      <c r="H311" s="654">
        <v>0</v>
      </c>
      <c r="I311" s="654">
        <v>280347</v>
      </c>
      <c r="J311" s="654">
        <v>4375721</v>
      </c>
    </row>
    <row r="312" spans="1:10" x14ac:dyDescent="0.15">
      <c r="A312" s="653">
        <v>43435</v>
      </c>
      <c r="B312" t="s">
        <v>626</v>
      </c>
      <c r="C312" t="s">
        <v>600</v>
      </c>
      <c r="D312" s="654">
        <v>21678003</v>
      </c>
      <c r="E312" s="654">
        <v>-425689</v>
      </c>
      <c r="F312" s="654">
        <v>21252314</v>
      </c>
      <c r="G312" s="654">
        <v>21252314</v>
      </c>
      <c r="H312" s="654">
        <v>0</v>
      </c>
      <c r="I312" s="654">
        <v>403755</v>
      </c>
      <c r="J312" s="654">
        <v>2379151</v>
      </c>
    </row>
    <row r="313" spans="1:10" x14ac:dyDescent="0.15">
      <c r="B313" t="s">
        <v>733</v>
      </c>
      <c r="D313" s="654">
        <v>21678003</v>
      </c>
      <c r="E313" s="654">
        <v>-425689</v>
      </c>
      <c r="F313" s="654">
        <v>21252314</v>
      </c>
      <c r="G313" s="654">
        <v>21252314</v>
      </c>
      <c r="H313" s="654">
        <v>0</v>
      </c>
      <c r="I313" s="654">
        <v>403755</v>
      </c>
      <c r="J313" s="654">
        <v>2379151</v>
      </c>
    </row>
    <row r="314" spans="1:10" x14ac:dyDescent="0.15">
      <c r="B314" t="s">
        <v>627</v>
      </c>
      <c r="C314" t="s">
        <v>599</v>
      </c>
      <c r="D314" s="654">
        <v>5938418</v>
      </c>
      <c r="E314" s="654">
        <v>-81390</v>
      </c>
      <c r="F314" s="654">
        <v>5857028</v>
      </c>
      <c r="G314" s="654">
        <v>5857028</v>
      </c>
      <c r="H314" s="654">
        <v>0</v>
      </c>
      <c r="I314" s="654">
        <v>49542</v>
      </c>
      <c r="J314" s="654">
        <v>1313723</v>
      </c>
    </row>
    <row r="315" spans="1:10" x14ac:dyDescent="0.15">
      <c r="B315" t="s">
        <v>734</v>
      </c>
      <c r="D315" s="654">
        <v>5938418</v>
      </c>
      <c r="E315" s="654">
        <v>-81390</v>
      </c>
      <c r="F315" s="654">
        <v>5857028</v>
      </c>
      <c r="G315" s="654">
        <v>5857028</v>
      </c>
      <c r="H315" s="654">
        <v>0</v>
      </c>
      <c r="I315" s="654">
        <v>49542</v>
      </c>
      <c r="J315" s="654">
        <v>1313723</v>
      </c>
    </row>
    <row r="316" spans="1:10" x14ac:dyDescent="0.15">
      <c r="B316" t="s">
        <v>628</v>
      </c>
      <c r="C316" t="s">
        <v>598</v>
      </c>
      <c r="D316" s="654">
        <v>1286355</v>
      </c>
      <c r="E316" s="654">
        <v>-20300</v>
      </c>
      <c r="F316" s="654">
        <v>1266055</v>
      </c>
      <c r="G316" s="654">
        <v>1266055</v>
      </c>
      <c r="H316" s="654">
        <v>0</v>
      </c>
      <c r="I316" s="654">
        <v>11636</v>
      </c>
      <c r="J316" s="654">
        <v>0</v>
      </c>
    </row>
    <row r="317" spans="1:10" x14ac:dyDescent="0.15">
      <c r="B317" t="s">
        <v>735</v>
      </c>
      <c r="D317" s="654">
        <v>1286355</v>
      </c>
      <c r="E317" s="654">
        <v>-20300</v>
      </c>
      <c r="F317" s="654">
        <v>1266055</v>
      </c>
      <c r="G317" s="654">
        <v>1266055</v>
      </c>
      <c r="H317" s="654">
        <v>0</v>
      </c>
      <c r="I317" s="654">
        <v>11636</v>
      </c>
      <c r="J317" s="654">
        <v>0</v>
      </c>
    </row>
    <row r="318" spans="1:10" x14ac:dyDescent="0.15">
      <c r="B318" t="s">
        <v>629</v>
      </c>
      <c r="C318" t="s">
        <v>601</v>
      </c>
      <c r="D318" s="654">
        <v>4297701</v>
      </c>
      <c r="E318" s="654">
        <v>-197607</v>
      </c>
      <c r="F318" s="654">
        <v>4100094</v>
      </c>
      <c r="G318" s="654">
        <v>4100094</v>
      </c>
      <c r="H318" s="654">
        <v>0</v>
      </c>
      <c r="I318" s="654">
        <v>0</v>
      </c>
      <c r="J318" s="654">
        <v>228390</v>
      </c>
    </row>
    <row r="319" spans="1:10" x14ac:dyDescent="0.15">
      <c r="B319" t="s">
        <v>736</v>
      </c>
      <c r="D319" s="654">
        <v>4297701</v>
      </c>
      <c r="E319" s="654">
        <v>-197607</v>
      </c>
      <c r="F319" s="654">
        <v>4100094</v>
      </c>
      <c r="G319" s="654">
        <v>4100094</v>
      </c>
      <c r="H319" s="654">
        <v>0</v>
      </c>
      <c r="I319" s="654">
        <v>0</v>
      </c>
      <c r="J319" s="654">
        <v>228390</v>
      </c>
    </row>
    <row r="320" spans="1:10" x14ac:dyDescent="0.15">
      <c r="B320" t="s">
        <v>631</v>
      </c>
      <c r="C320" t="s">
        <v>596</v>
      </c>
      <c r="D320" s="654">
        <v>4659489</v>
      </c>
      <c r="E320" s="654">
        <v>0</v>
      </c>
      <c r="F320" s="654">
        <v>4659489</v>
      </c>
      <c r="G320" s="654">
        <v>4659489</v>
      </c>
      <c r="H320" s="654">
        <v>0</v>
      </c>
      <c r="I320" s="654">
        <v>0</v>
      </c>
      <c r="J320" s="654">
        <v>308666</v>
      </c>
    </row>
    <row r="321" spans="1:10" x14ac:dyDescent="0.15">
      <c r="B321" t="s">
        <v>737</v>
      </c>
      <c r="D321" s="654">
        <v>4659489</v>
      </c>
      <c r="E321" s="654">
        <v>0</v>
      </c>
      <c r="F321" s="654">
        <v>4659489</v>
      </c>
      <c r="G321" s="654">
        <v>4659489</v>
      </c>
      <c r="H321" s="654">
        <v>0</v>
      </c>
      <c r="I321" s="654">
        <v>0</v>
      </c>
      <c r="J321" s="654">
        <v>308666</v>
      </c>
    </row>
    <row r="322" spans="1:10" x14ac:dyDescent="0.15">
      <c r="A322" s="653" t="s">
        <v>1491</v>
      </c>
      <c r="B322"/>
      <c r="D322" s="654">
        <v>37859966</v>
      </c>
      <c r="E322" s="654">
        <v>-724986</v>
      </c>
      <c r="F322" s="654">
        <v>37134980</v>
      </c>
      <c r="G322" s="654">
        <v>37134980</v>
      </c>
      <c r="H322" s="654">
        <v>0</v>
      </c>
      <c r="I322" s="654">
        <v>464933</v>
      </c>
      <c r="J322" s="654">
        <v>4229930</v>
      </c>
    </row>
    <row r="323" spans="1:10" x14ac:dyDescent="0.15">
      <c r="A323" s="653">
        <v>43466</v>
      </c>
      <c r="B323" t="s">
        <v>626</v>
      </c>
      <c r="C323" t="s">
        <v>600</v>
      </c>
      <c r="D323" s="654">
        <v>21788877</v>
      </c>
      <c r="E323" s="654">
        <v>-467490</v>
      </c>
      <c r="F323" s="654">
        <v>21321387</v>
      </c>
      <c r="G323" s="654">
        <v>21321387</v>
      </c>
      <c r="H323" s="654">
        <v>0</v>
      </c>
      <c r="I323" s="654">
        <v>167482</v>
      </c>
      <c r="J323" s="654">
        <v>2386881</v>
      </c>
    </row>
    <row r="324" spans="1:10" x14ac:dyDescent="0.15">
      <c r="B324" t="s">
        <v>733</v>
      </c>
      <c r="D324" s="654">
        <v>21788877</v>
      </c>
      <c r="E324" s="654">
        <v>-467490</v>
      </c>
      <c r="F324" s="654">
        <v>21321387</v>
      </c>
      <c r="G324" s="654">
        <v>21321387</v>
      </c>
      <c r="H324" s="654">
        <v>0</v>
      </c>
      <c r="I324" s="654">
        <v>167482</v>
      </c>
      <c r="J324" s="654">
        <v>2386881</v>
      </c>
    </row>
    <row r="325" spans="1:10" x14ac:dyDescent="0.15">
      <c r="B325" t="s">
        <v>627</v>
      </c>
      <c r="C325" t="s">
        <v>599</v>
      </c>
      <c r="D325" s="654">
        <v>5820201</v>
      </c>
      <c r="E325" s="654">
        <v>-384592</v>
      </c>
      <c r="F325" s="654">
        <v>5435609</v>
      </c>
      <c r="G325" s="654">
        <v>5435609</v>
      </c>
      <c r="H325" s="654">
        <v>0</v>
      </c>
      <c r="I325" s="654">
        <v>0</v>
      </c>
      <c r="J325" s="654">
        <v>1224834</v>
      </c>
    </row>
    <row r="326" spans="1:10" x14ac:dyDescent="0.15">
      <c r="B326" t="s">
        <v>734</v>
      </c>
      <c r="D326" s="654">
        <v>5820201</v>
      </c>
      <c r="E326" s="654">
        <v>-384592</v>
      </c>
      <c r="F326" s="654">
        <v>5435609</v>
      </c>
      <c r="G326" s="654">
        <v>5435609</v>
      </c>
      <c r="H326" s="654">
        <v>0</v>
      </c>
      <c r="I326" s="654">
        <v>0</v>
      </c>
      <c r="J326" s="654">
        <v>1224834</v>
      </c>
    </row>
    <row r="327" spans="1:10" x14ac:dyDescent="0.15">
      <c r="B327" t="s">
        <v>628</v>
      </c>
      <c r="C327" t="s">
        <v>598</v>
      </c>
      <c r="D327" s="654">
        <v>1266600</v>
      </c>
      <c r="E327" s="654">
        <v>0</v>
      </c>
      <c r="F327" s="654">
        <v>1266600</v>
      </c>
      <c r="G327" s="654">
        <v>1266600</v>
      </c>
      <c r="H327" s="654">
        <v>0</v>
      </c>
      <c r="I327" s="654">
        <v>0</v>
      </c>
      <c r="J327" s="654">
        <v>0</v>
      </c>
    </row>
    <row r="328" spans="1:10" x14ac:dyDescent="0.15">
      <c r="B328" t="s">
        <v>735</v>
      </c>
      <c r="D328" s="654">
        <v>1266600</v>
      </c>
      <c r="E328" s="654">
        <v>0</v>
      </c>
      <c r="F328" s="654">
        <v>1266600</v>
      </c>
      <c r="G328" s="654">
        <v>1266600</v>
      </c>
      <c r="H328" s="654">
        <v>0</v>
      </c>
      <c r="I328" s="654">
        <v>0</v>
      </c>
      <c r="J328" s="654">
        <v>0</v>
      </c>
    </row>
    <row r="329" spans="1:10" x14ac:dyDescent="0.15">
      <c r="B329" t="s">
        <v>629</v>
      </c>
      <c r="C329" t="s">
        <v>601</v>
      </c>
      <c r="D329" s="654">
        <v>3860025</v>
      </c>
      <c r="E329" s="654">
        <v>-13208</v>
      </c>
      <c r="F329" s="654">
        <v>3846817</v>
      </c>
      <c r="G329" s="654">
        <v>3846817</v>
      </c>
      <c r="H329" s="654">
        <v>0</v>
      </c>
      <c r="I329" s="654">
        <v>0</v>
      </c>
      <c r="J329" s="654">
        <v>214247</v>
      </c>
    </row>
    <row r="330" spans="1:10" x14ac:dyDescent="0.15">
      <c r="B330" t="s">
        <v>736</v>
      </c>
      <c r="D330" s="654">
        <v>3860025</v>
      </c>
      <c r="E330" s="654">
        <v>-13208</v>
      </c>
      <c r="F330" s="654">
        <v>3846817</v>
      </c>
      <c r="G330" s="654">
        <v>3846817</v>
      </c>
      <c r="H330" s="654">
        <v>0</v>
      </c>
      <c r="I330" s="654">
        <v>0</v>
      </c>
      <c r="J330" s="654">
        <v>214247</v>
      </c>
    </row>
    <row r="331" spans="1:10" x14ac:dyDescent="0.15">
      <c r="B331" t="s">
        <v>631</v>
      </c>
      <c r="C331" t="s">
        <v>596</v>
      </c>
      <c r="D331" s="654">
        <v>4667286</v>
      </c>
      <c r="E331" s="654">
        <v>0</v>
      </c>
      <c r="F331" s="654">
        <v>4667286</v>
      </c>
      <c r="G331" s="654">
        <v>4667286</v>
      </c>
      <c r="H331" s="654">
        <v>0</v>
      </c>
      <c r="I331" s="654">
        <v>0</v>
      </c>
      <c r="J331" s="654">
        <v>309206</v>
      </c>
    </row>
    <row r="332" spans="1:10" x14ac:dyDescent="0.15">
      <c r="B332" t="s">
        <v>737</v>
      </c>
      <c r="D332" s="654">
        <v>4667286</v>
      </c>
      <c r="E332" s="654">
        <v>0</v>
      </c>
      <c r="F332" s="654">
        <v>4667286</v>
      </c>
      <c r="G332" s="654">
        <v>4667286</v>
      </c>
      <c r="H332" s="654">
        <v>0</v>
      </c>
      <c r="I332" s="654">
        <v>0</v>
      </c>
      <c r="J332" s="654">
        <v>309206</v>
      </c>
    </row>
    <row r="333" spans="1:10" x14ac:dyDescent="0.15">
      <c r="A333" s="653" t="s">
        <v>1496</v>
      </c>
      <c r="B333"/>
      <c r="D333" s="654">
        <v>37402989</v>
      </c>
      <c r="E333" s="654">
        <v>-865290</v>
      </c>
      <c r="F333" s="654">
        <v>36537699</v>
      </c>
      <c r="G333" s="654">
        <v>36537699</v>
      </c>
      <c r="H333" s="654">
        <v>0</v>
      </c>
      <c r="I333" s="654">
        <v>167482</v>
      </c>
      <c r="J333" s="654">
        <v>4135168</v>
      </c>
    </row>
    <row r="334" spans="1:10" x14ac:dyDescent="0.15">
      <c r="A334" s="653">
        <v>43497</v>
      </c>
      <c r="B334" t="s">
        <v>626</v>
      </c>
      <c r="C334" t="s">
        <v>600</v>
      </c>
      <c r="D334" s="654">
        <v>20440875</v>
      </c>
      <c r="E334" s="654">
        <v>-142664</v>
      </c>
      <c r="F334" s="654">
        <v>20298211</v>
      </c>
      <c r="G334" s="654">
        <v>20298211</v>
      </c>
      <c r="H334" s="654">
        <v>0</v>
      </c>
      <c r="I334" s="654">
        <v>175650</v>
      </c>
      <c r="J334" s="654">
        <v>2245448</v>
      </c>
    </row>
    <row r="335" spans="1:10" x14ac:dyDescent="0.15">
      <c r="B335" t="s">
        <v>733</v>
      </c>
      <c r="D335" s="654">
        <v>20440875</v>
      </c>
      <c r="E335" s="654">
        <v>-142664</v>
      </c>
      <c r="F335" s="654">
        <v>20298211</v>
      </c>
      <c r="G335" s="654">
        <v>20298211</v>
      </c>
      <c r="H335" s="654">
        <v>0</v>
      </c>
      <c r="I335" s="654">
        <v>175650</v>
      </c>
      <c r="J335" s="654">
        <v>2245448</v>
      </c>
    </row>
    <row r="336" spans="1:10" x14ac:dyDescent="0.15">
      <c r="B336" t="s">
        <v>627</v>
      </c>
      <c r="C336" t="s">
        <v>599</v>
      </c>
      <c r="D336" s="654">
        <v>4984293</v>
      </c>
      <c r="E336" s="654">
        <v>-144183</v>
      </c>
      <c r="F336" s="654">
        <v>4840110</v>
      </c>
      <c r="G336" s="654">
        <v>4840110</v>
      </c>
      <c r="H336" s="654">
        <v>0</v>
      </c>
      <c r="I336" s="654">
        <v>23402.3</v>
      </c>
      <c r="J336" s="654">
        <v>1082606</v>
      </c>
    </row>
    <row r="337" spans="1:10" x14ac:dyDescent="0.15">
      <c r="B337" t="s">
        <v>734</v>
      </c>
      <c r="D337" s="654">
        <v>4984293</v>
      </c>
      <c r="E337" s="654">
        <v>-144183</v>
      </c>
      <c r="F337" s="654">
        <v>4840110</v>
      </c>
      <c r="G337" s="654">
        <v>4840110</v>
      </c>
      <c r="H337" s="654">
        <v>0</v>
      </c>
      <c r="I337" s="654">
        <v>23402.3</v>
      </c>
      <c r="J337" s="654">
        <v>1082606</v>
      </c>
    </row>
    <row r="338" spans="1:10" x14ac:dyDescent="0.15">
      <c r="B338" t="s">
        <v>628</v>
      </c>
      <c r="C338" t="s">
        <v>598</v>
      </c>
      <c r="D338" s="654">
        <v>1286283</v>
      </c>
      <c r="E338" s="654">
        <v>0</v>
      </c>
      <c r="F338" s="654">
        <v>1286283</v>
      </c>
      <c r="G338" s="654">
        <v>1286283</v>
      </c>
      <c r="H338" s="654">
        <v>0</v>
      </c>
      <c r="I338" s="654">
        <v>0</v>
      </c>
      <c r="J338" s="654">
        <v>0</v>
      </c>
    </row>
    <row r="339" spans="1:10" x14ac:dyDescent="0.15">
      <c r="B339" t="s">
        <v>735</v>
      </c>
      <c r="D339" s="654">
        <v>1286283</v>
      </c>
      <c r="E339" s="654">
        <v>0</v>
      </c>
      <c r="F339" s="654">
        <v>1286283</v>
      </c>
      <c r="G339" s="654">
        <v>1286283</v>
      </c>
      <c r="H339" s="654">
        <v>0</v>
      </c>
      <c r="I339" s="654">
        <v>0</v>
      </c>
      <c r="J339" s="654">
        <v>0</v>
      </c>
    </row>
    <row r="340" spans="1:10" x14ac:dyDescent="0.15">
      <c r="B340" t="s">
        <v>629</v>
      </c>
      <c r="C340" t="s">
        <v>601</v>
      </c>
      <c r="D340" s="654">
        <v>4191966</v>
      </c>
      <c r="E340" s="654">
        <v>-46273</v>
      </c>
      <c r="F340" s="654">
        <v>4145693</v>
      </c>
      <c r="G340" s="654">
        <v>4145693</v>
      </c>
      <c r="H340" s="654">
        <v>0</v>
      </c>
      <c r="I340" s="654">
        <v>0</v>
      </c>
      <c r="J340" s="654">
        <v>230959</v>
      </c>
    </row>
    <row r="341" spans="1:10" x14ac:dyDescent="0.15">
      <c r="B341" t="s">
        <v>736</v>
      </c>
      <c r="D341" s="654">
        <v>4191966</v>
      </c>
      <c r="E341" s="654">
        <v>-46273</v>
      </c>
      <c r="F341" s="654">
        <v>4145693</v>
      </c>
      <c r="G341" s="654">
        <v>4145693</v>
      </c>
      <c r="H341" s="654">
        <v>0</v>
      </c>
      <c r="I341" s="654">
        <v>0</v>
      </c>
      <c r="J341" s="654">
        <v>230959</v>
      </c>
    </row>
    <row r="342" spans="1:10" x14ac:dyDescent="0.15">
      <c r="B342" t="s">
        <v>631</v>
      </c>
      <c r="C342" t="s">
        <v>596</v>
      </c>
      <c r="D342" s="654">
        <v>5374302</v>
      </c>
      <c r="E342" s="654">
        <v>-411683</v>
      </c>
      <c r="F342" s="654">
        <v>4962619</v>
      </c>
      <c r="G342" s="654">
        <v>4962619</v>
      </c>
      <c r="H342" s="654">
        <v>0</v>
      </c>
      <c r="I342" s="654">
        <v>0</v>
      </c>
      <c r="J342" s="654">
        <v>328167</v>
      </c>
    </row>
    <row r="343" spans="1:10" x14ac:dyDescent="0.15">
      <c r="B343" t="s">
        <v>737</v>
      </c>
      <c r="D343" s="654">
        <v>5374302</v>
      </c>
      <c r="E343" s="654">
        <v>-411683</v>
      </c>
      <c r="F343" s="654">
        <v>4962619</v>
      </c>
      <c r="G343" s="654">
        <v>4962619</v>
      </c>
      <c r="H343" s="654">
        <v>0</v>
      </c>
      <c r="I343" s="654">
        <v>0</v>
      </c>
      <c r="J343" s="654">
        <v>328167</v>
      </c>
    </row>
    <row r="344" spans="1:10" x14ac:dyDescent="0.15">
      <c r="A344" s="653" t="s">
        <v>1514</v>
      </c>
      <c r="B344"/>
      <c r="D344" s="654">
        <v>36277719</v>
      </c>
      <c r="E344" s="654">
        <v>-744803</v>
      </c>
      <c r="F344" s="654">
        <v>35532916</v>
      </c>
      <c r="G344" s="654">
        <v>35532916</v>
      </c>
      <c r="H344" s="654">
        <v>0</v>
      </c>
      <c r="I344" s="654">
        <v>199052.3</v>
      </c>
      <c r="J344" s="654">
        <v>3887180</v>
      </c>
    </row>
    <row r="345" spans="1:10" x14ac:dyDescent="0.15">
      <c r="A345" s="653">
        <v>43525</v>
      </c>
      <c r="B345" t="s">
        <v>626</v>
      </c>
      <c r="C345" t="s">
        <v>600</v>
      </c>
      <c r="D345" s="654">
        <v>21083770</v>
      </c>
      <c r="E345" s="654">
        <v>-409387</v>
      </c>
      <c r="F345" s="654">
        <v>20674383</v>
      </c>
      <c r="G345" s="654">
        <v>20674383</v>
      </c>
      <c r="H345" s="654">
        <v>0</v>
      </c>
      <c r="I345" s="654">
        <v>633239</v>
      </c>
      <c r="J345" s="654">
        <v>2287995</v>
      </c>
    </row>
    <row r="346" spans="1:10" x14ac:dyDescent="0.15">
      <c r="B346" t="s">
        <v>733</v>
      </c>
      <c r="D346" s="654">
        <v>21083770</v>
      </c>
      <c r="E346" s="654">
        <v>-409387</v>
      </c>
      <c r="F346" s="654">
        <v>20674383</v>
      </c>
      <c r="G346" s="654">
        <v>20674383</v>
      </c>
      <c r="H346" s="654">
        <v>0</v>
      </c>
      <c r="I346" s="654">
        <v>633239</v>
      </c>
      <c r="J346" s="654">
        <v>2287995</v>
      </c>
    </row>
    <row r="347" spans="1:10" x14ac:dyDescent="0.15">
      <c r="B347" t="s">
        <v>627</v>
      </c>
      <c r="C347" t="s">
        <v>599</v>
      </c>
      <c r="D347" s="654">
        <v>5378186</v>
      </c>
      <c r="E347" s="654">
        <v>-337015</v>
      </c>
      <c r="F347" s="654">
        <v>5041171</v>
      </c>
      <c r="G347" s="654">
        <v>5041171</v>
      </c>
      <c r="H347" s="654">
        <v>0</v>
      </c>
      <c r="I347" s="654">
        <v>105294</v>
      </c>
      <c r="J347" s="654">
        <v>1131210</v>
      </c>
    </row>
    <row r="348" spans="1:10" x14ac:dyDescent="0.15">
      <c r="B348" t="s">
        <v>734</v>
      </c>
      <c r="D348" s="654">
        <v>5378186</v>
      </c>
      <c r="E348" s="654">
        <v>-337015</v>
      </c>
      <c r="F348" s="654">
        <v>5041171</v>
      </c>
      <c r="G348" s="654">
        <v>5041171</v>
      </c>
      <c r="H348" s="654">
        <v>0</v>
      </c>
      <c r="I348" s="654">
        <v>105294</v>
      </c>
      <c r="J348" s="654">
        <v>1131210</v>
      </c>
    </row>
    <row r="349" spans="1:10" x14ac:dyDescent="0.15">
      <c r="B349" t="s">
        <v>628</v>
      </c>
      <c r="C349" t="s">
        <v>598</v>
      </c>
      <c r="D349" s="654">
        <v>1320816</v>
      </c>
      <c r="E349" s="654">
        <v>0</v>
      </c>
      <c r="F349" s="654">
        <v>1320816</v>
      </c>
      <c r="G349" s="654">
        <v>1320816</v>
      </c>
      <c r="H349" s="654">
        <v>0</v>
      </c>
      <c r="I349" s="654">
        <v>11636</v>
      </c>
      <c r="J349" s="654">
        <v>0</v>
      </c>
    </row>
    <row r="350" spans="1:10" x14ac:dyDescent="0.15">
      <c r="B350" t="s">
        <v>735</v>
      </c>
      <c r="D350" s="654">
        <v>1320816</v>
      </c>
      <c r="E350" s="654">
        <v>0</v>
      </c>
      <c r="F350" s="654">
        <v>1320816</v>
      </c>
      <c r="G350" s="654">
        <v>1320816</v>
      </c>
      <c r="H350" s="654">
        <v>0</v>
      </c>
      <c r="I350" s="654">
        <v>11636</v>
      </c>
      <c r="J350" s="654">
        <v>0</v>
      </c>
    </row>
    <row r="351" spans="1:10" x14ac:dyDescent="0.15">
      <c r="B351" t="s">
        <v>629</v>
      </c>
      <c r="C351" t="s">
        <v>601</v>
      </c>
      <c r="D351" s="654">
        <v>4596566</v>
      </c>
      <c r="E351" s="654">
        <v>-6583</v>
      </c>
      <c r="F351" s="654">
        <v>4589983</v>
      </c>
      <c r="G351" s="654">
        <v>4589983</v>
      </c>
      <c r="H351" s="654">
        <v>0</v>
      </c>
      <c r="I351" s="654">
        <v>0</v>
      </c>
      <c r="J351" s="654">
        <v>255703</v>
      </c>
    </row>
    <row r="352" spans="1:10" x14ac:dyDescent="0.15">
      <c r="B352" t="s">
        <v>736</v>
      </c>
      <c r="D352" s="654">
        <v>4596566</v>
      </c>
      <c r="E352" s="654">
        <v>-6583</v>
      </c>
      <c r="F352" s="654">
        <v>4589983</v>
      </c>
      <c r="G352" s="654">
        <v>4589983</v>
      </c>
      <c r="H352" s="654">
        <v>0</v>
      </c>
      <c r="I352" s="654">
        <v>0</v>
      </c>
      <c r="J352" s="654">
        <v>255703</v>
      </c>
    </row>
    <row r="353" spans="1:10" x14ac:dyDescent="0.15">
      <c r="B353" t="s">
        <v>631</v>
      </c>
      <c r="C353" t="s">
        <v>596</v>
      </c>
      <c r="D353" s="654">
        <v>5870528</v>
      </c>
      <c r="E353" s="654">
        <v>-685592</v>
      </c>
      <c r="F353" s="654">
        <v>5184936</v>
      </c>
      <c r="G353" s="654">
        <v>5184936</v>
      </c>
      <c r="H353" s="654">
        <v>0</v>
      </c>
      <c r="I353" s="654">
        <v>0</v>
      </c>
      <c r="J353" s="654">
        <v>342112</v>
      </c>
    </row>
    <row r="354" spans="1:10" x14ac:dyDescent="0.15">
      <c r="B354" t="s">
        <v>737</v>
      </c>
      <c r="D354" s="654">
        <v>5870528</v>
      </c>
      <c r="E354" s="654">
        <v>-685592</v>
      </c>
      <c r="F354" s="654">
        <v>5184936</v>
      </c>
      <c r="G354" s="654">
        <v>5184936</v>
      </c>
      <c r="H354" s="654">
        <v>0</v>
      </c>
      <c r="I354" s="654">
        <v>0</v>
      </c>
      <c r="J354" s="654">
        <v>342112</v>
      </c>
    </row>
    <row r="355" spans="1:10" x14ac:dyDescent="0.15">
      <c r="A355" s="653" t="s">
        <v>1525</v>
      </c>
      <c r="B355"/>
      <c r="D355" s="654">
        <v>38249866</v>
      </c>
      <c r="E355" s="654">
        <v>-1438577</v>
      </c>
      <c r="F355" s="654">
        <v>36811289</v>
      </c>
      <c r="G355" s="654">
        <v>36811289</v>
      </c>
      <c r="H355" s="654">
        <v>0</v>
      </c>
      <c r="I355" s="654">
        <v>750169</v>
      </c>
      <c r="J355" s="654">
        <v>4017020</v>
      </c>
    </row>
    <row r="356" spans="1:10" x14ac:dyDescent="0.15">
      <c r="A356" s="653">
        <v>43556</v>
      </c>
      <c r="B356" t="s">
        <v>626</v>
      </c>
      <c r="C356" t="s">
        <v>600</v>
      </c>
      <c r="D356" s="654">
        <v>20916664</v>
      </c>
      <c r="E356" s="654">
        <v>0</v>
      </c>
      <c r="F356" s="654">
        <v>20916664</v>
      </c>
      <c r="G356" s="654">
        <v>0</v>
      </c>
      <c r="H356" s="654">
        <v>20916664</v>
      </c>
      <c r="I356" s="654">
        <v>244270</v>
      </c>
      <c r="J356" s="654">
        <v>0</v>
      </c>
    </row>
    <row r="357" spans="1:10" x14ac:dyDescent="0.15">
      <c r="B357" t="s">
        <v>733</v>
      </c>
      <c r="D357" s="654">
        <v>20916664</v>
      </c>
      <c r="E357" s="654">
        <v>0</v>
      </c>
      <c r="F357" s="654">
        <v>20916664</v>
      </c>
      <c r="G357" s="654">
        <v>0</v>
      </c>
      <c r="H357" s="654">
        <v>20916664</v>
      </c>
      <c r="I357" s="654">
        <v>244270</v>
      </c>
      <c r="J357" s="654">
        <v>0</v>
      </c>
    </row>
    <row r="358" spans="1:10" x14ac:dyDescent="0.15">
      <c r="B358" t="s">
        <v>627</v>
      </c>
      <c r="C358" t="s">
        <v>599</v>
      </c>
      <c r="D358" s="654">
        <v>6023304</v>
      </c>
      <c r="E358" s="654">
        <v>0</v>
      </c>
      <c r="F358" s="654">
        <v>6023304</v>
      </c>
      <c r="G358" s="654">
        <v>0</v>
      </c>
      <c r="H358" s="654">
        <v>6023304</v>
      </c>
      <c r="I358" s="654">
        <v>31021</v>
      </c>
      <c r="J358" s="654">
        <v>0</v>
      </c>
    </row>
    <row r="359" spans="1:10" x14ac:dyDescent="0.15">
      <c r="B359" t="s">
        <v>734</v>
      </c>
      <c r="D359" s="654">
        <v>6023304</v>
      </c>
      <c r="E359" s="654">
        <v>0</v>
      </c>
      <c r="F359" s="654">
        <v>6023304</v>
      </c>
      <c r="G359" s="654">
        <v>0</v>
      </c>
      <c r="H359" s="654">
        <v>6023304</v>
      </c>
      <c r="I359" s="654">
        <v>31021</v>
      </c>
      <c r="J359" s="654">
        <v>0</v>
      </c>
    </row>
    <row r="360" spans="1:10" x14ac:dyDescent="0.15">
      <c r="B360" t="s">
        <v>628</v>
      </c>
      <c r="C360" t="s">
        <v>598</v>
      </c>
      <c r="D360" s="654">
        <v>1414552</v>
      </c>
      <c r="E360" s="654">
        <v>0</v>
      </c>
      <c r="F360" s="654">
        <v>1414552</v>
      </c>
      <c r="G360" s="654">
        <v>0</v>
      </c>
      <c r="H360" s="654">
        <v>1414552</v>
      </c>
      <c r="I360" s="654">
        <v>11636</v>
      </c>
      <c r="J360" s="654">
        <v>0</v>
      </c>
    </row>
    <row r="361" spans="1:10" x14ac:dyDescent="0.15">
      <c r="B361" t="s">
        <v>735</v>
      </c>
      <c r="D361" s="654">
        <v>1414552</v>
      </c>
      <c r="E361" s="654">
        <v>0</v>
      </c>
      <c r="F361" s="654">
        <v>1414552</v>
      </c>
      <c r="G361" s="654">
        <v>0</v>
      </c>
      <c r="H361" s="654">
        <v>1414552</v>
      </c>
      <c r="I361" s="654">
        <v>11636</v>
      </c>
      <c r="J361" s="654">
        <v>0</v>
      </c>
    </row>
    <row r="362" spans="1:10" x14ac:dyDescent="0.15">
      <c r="B362" t="s">
        <v>629</v>
      </c>
      <c r="C362" t="s">
        <v>601</v>
      </c>
      <c r="D362" s="654">
        <v>4128975</v>
      </c>
      <c r="E362" s="654">
        <v>0</v>
      </c>
      <c r="F362" s="654">
        <v>4128975</v>
      </c>
      <c r="G362" s="654">
        <v>0</v>
      </c>
      <c r="H362" s="654">
        <v>4128975</v>
      </c>
      <c r="I362" s="654">
        <v>0</v>
      </c>
      <c r="J362" s="654">
        <v>0</v>
      </c>
    </row>
    <row r="363" spans="1:10" x14ac:dyDescent="0.15">
      <c r="B363" t="s">
        <v>736</v>
      </c>
      <c r="D363" s="654">
        <v>4128975</v>
      </c>
      <c r="E363" s="654">
        <v>0</v>
      </c>
      <c r="F363" s="654">
        <v>4128975</v>
      </c>
      <c r="G363" s="654">
        <v>0</v>
      </c>
      <c r="H363" s="654">
        <v>4128975</v>
      </c>
      <c r="I363" s="654">
        <v>0</v>
      </c>
      <c r="J363" s="654">
        <v>0</v>
      </c>
    </row>
    <row r="364" spans="1:10" x14ac:dyDescent="0.15">
      <c r="B364" t="s">
        <v>631</v>
      </c>
      <c r="C364" t="s">
        <v>596</v>
      </c>
      <c r="D364" s="654">
        <v>6149349</v>
      </c>
      <c r="E364" s="654">
        <v>0</v>
      </c>
      <c r="F364" s="654">
        <v>6149349</v>
      </c>
      <c r="G364" s="654">
        <v>0</v>
      </c>
      <c r="H364" s="654">
        <v>6149349</v>
      </c>
      <c r="I364" s="654">
        <v>0</v>
      </c>
      <c r="J364" s="654">
        <v>0</v>
      </c>
    </row>
    <row r="365" spans="1:10" x14ac:dyDescent="0.15">
      <c r="B365" t="s">
        <v>737</v>
      </c>
      <c r="D365" s="654">
        <v>6149349</v>
      </c>
      <c r="E365" s="654">
        <v>0</v>
      </c>
      <c r="F365" s="654">
        <v>6149349</v>
      </c>
      <c r="G365" s="654">
        <v>0</v>
      </c>
      <c r="H365" s="654">
        <v>6149349</v>
      </c>
      <c r="I365" s="654">
        <v>0</v>
      </c>
      <c r="J365" s="654">
        <v>0</v>
      </c>
    </row>
    <row r="366" spans="1:10" x14ac:dyDescent="0.15">
      <c r="A366" s="653" t="s">
        <v>1531</v>
      </c>
      <c r="B366"/>
      <c r="D366" s="654">
        <v>38632844</v>
      </c>
      <c r="E366" s="654">
        <v>0</v>
      </c>
      <c r="F366" s="654">
        <v>38632844</v>
      </c>
      <c r="G366" s="654">
        <v>0</v>
      </c>
      <c r="H366" s="654">
        <v>38632844</v>
      </c>
      <c r="I366" s="654">
        <v>286927</v>
      </c>
      <c r="J366" s="654">
        <v>0</v>
      </c>
    </row>
    <row r="367" spans="1:10" x14ac:dyDescent="0.15">
      <c r="A367" s="653" t="s">
        <v>592</v>
      </c>
      <c r="B367"/>
      <c r="D367" s="654">
        <v>1051351924</v>
      </c>
      <c r="E367" s="654">
        <v>-32964105</v>
      </c>
      <c r="F367" s="654">
        <v>1018387819</v>
      </c>
      <c r="G367" s="654">
        <v>979754975</v>
      </c>
      <c r="H367" s="654">
        <v>38632844</v>
      </c>
      <c r="I367" s="654">
        <v>13318829.300000001</v>
      </c>
      <c r="J367" s="654">
        <v>104852905</v>
      </c>
    </row>
    <row r="368" spans="1:10" x14ac:dyDescent="0.15">
      <c r="B368"/>
    </row>
    <row r="369" spans="2:2" x14ac:dyDescent="0.15">
      <c r="B369"/>
    </row>
    <row r="370" spans="2:2" x14ac:dyDescent="0.15">
      <c r="B370"/>
    </row>
    <row r="371" spans="2:2" x14ac:dyDescent="0.15">
      <c r="B371"/>
    </row>
    <row r="372" spans="2:2" x14ac:dyDescent="0.15">
      <c r="B372"/>
    </row>
    <row r="373" spans="2:2" x14ac:dyDescent="0.15">
      <c r="B373"/>
    </row>
    <row r="374" spans="2:2" x14ac:dyDescent="0.15">
      <c r="B374"/>
    </row>
    <row r="375" spans="2:2" x14ac:dyDescent="0.15">
      <c r="B375"/>
    </row>
    <row r="376" spans="2:2" x14ac:dyDescent="0.15">
      <c r="B376"/>
    </row>
    <row r="377" spans="2:2" x14ac:dyDescent="0.15">
      <c r="B377"/>
    </row>
    <row r="378" spans="2:2" x14ac:dyDescent="0.15">
      <c r="B378"/>
    </row>
    <row r="379" spans="2:2" x14ac:dyDescent="0.15">
      <c r="B379"/>
    </row>
    <row r="380" spans="2:2" x14ac:dyDescent="0.15">
      <c r="B380"/>
    </row>
    <row r="381" spans="2:2" x14ac:dyDescent="0.15">
      <c r="B381"/>
    </row>
    <row r="382" spans="2:2" x14ac:dyDescent="0.15">
      <c r="B382"/>
    </row>
    <row r="383" spans="2:2" x14ac:dyDescent="0.15">
      <c r="B383"/>
    </row>
    <row r="384" spans="2:2" x14ac:dyDescent="0.15">
      <c r="B384"/>
    </row>
    <row r="385" spans="2:2" x14ac:dyDescent="0.15">
      <c r="B385"/>
    </row>
    <row r="386" spans="2:2" x14ac:dyDescent="0.15">
      <c r="B386"/>
    </row>
    <row r="387" spans="2:2" x14ac:dyDescent="0.15">
      <c r="B387"/>
    </row>
    <row r="388" spans="2:2" x14ac:dyDescent="0.15">
      <c r="B388"/>
    </row>
    <row r="389" spans="2:2" x14ac:dyDescent="0.15">
      <c r="B389"/>
    </row>
    <row r="390" spans="2:2" x14ac:dyDescent="0.15">
      <c r="B390"/>
    </row>
    <row r="391" spans="2:2" x14ac:dyDescent="0.15">
      <c r="B391"/>
    </row>
    <row r="392" spans="2:2" x14ac:dyDescent="0.15">
      <c r="B392"/>
    </row>
    <row r="393" spans="2:2" x14ac:dyDescent="0.15">
      <c r="B393"/>
    </row>
    <row r="394" spans="2:2" x14ac:dyDescent="0.15">
      <c r="B394"/>
    </row>
    <row r="395" spans="2:2" x14ac:dyDescent="0.15">
      <c r="B395"/>
    </row>
    <row r="396" spans="2:2" x14ac:dyDescent="0.15">
      <c r="B396"/>
    </row>
    <row r="397" spans="2:2" x14ac:dyDescent="0.15">
      <c r="B397"/>
    </row>
    <row r="398" spans="2:2" x14ac:dyDescent="0.15">
      <c r="B398"/>
    </row>
    <row r="399" spans="2:2" x14ac:dyDescent="0.15">
      <c r="B399"/>
    </row>
    <row r="400" spans="2:2" x14ac:dyDescent="0.15">
      <c r="B400"/>
    </row>
    <row r="401" spans="2:2" x14ac:dyDescent="0.15">
      <c r="B401"/>
    </row>
    <row r="402" spans="2:2" x14ac:dyDescent="0.15">
      <c r="B402"/>
    </row>
    <row r="403" spans="2:2" x14ac:dyDescent="0.15">
      <c r="B403"/>
    </row>
    <row r="404" spans="2:2" x14ac:dyDescent="0.15">
      <c r="B404"/>
    </row>
    <row r="405" spans="2:2" x14ac:dyDescent="0.15">
      <c r="B405"/>
    </row>
    <row r="406" spans="2:2" x14ac:dyDescent="0.15">
      <c r="B406"/>
    </row>
    <row r="407" spans="2:2" x14ac:dyDescent="0.15">
      <c r="B407"/>
    </row>
    <row r="408" spans="2:2" x14ac:dyDescent="0.15">
      <c r="B408"/>
    </row>
    <row r="409" spans="2:2" x14ac:dyDescent="0.15">
      <c r="B409"/>
    </row>
    <row r="410" spans="2:2" x14ac:dyDescent="0.15">
      <c r="B410"/>
    </row>
    <row r="411" spans="2:2" x14ac:dyDescent="0.15">
      <c r="B411"/>
    </row>
    <row r="412" spans="2:2" x14ac:dyDescent="0.15">
      <c r="B412"/>
    </row>
    <row r="413" spans="2:2" x14ac:dyDescent="0.15">
      <c r="B413"/>
    </row>
    <row r="414" spans="2:2" x14ac:dyDescent="0.15">
      <c r="B414"/>
    </row>
    <row r="415" spans="2:2" x14ac:dyDescent="0.15">
      <c r="B415"/>
    </row>
    <row r="416" spans="2:2" x14ac:dyDescent="0.15">
      <c r="B416"/>
    </row>
    <row r="417" spans="2:2" x14ac:dyDescent="0.15">
      <c r="B417"/>
    </row>
    <row r="418" spans="2:2" x14ac:dyDescent="0.15">
      <c r="B418"/>
    </row>
    <row r="419" spans="2:2" x14ac:dyDescent="0.15">
      <c r="B419"/>
    </row>
    <row r="420" spans="2:2" x14ac:dyDescent="0.15">
      <c r="B420"/>
    </row>
    <row r="421" spans="2:2" x14ac:dyDescent="0.15">
      <c r="B421"/>
    </row>
    <row r="422" spans="2:2" x14ac:dyDescent="0.15">
      <c r="B422"/>
    </row>
    <row r="423" spans="2:2" x14ac:dyDescent="0.15">
      <c r="B423"/>
    </row>
    <row r="424" spans="2:2" x14ac:dyDescent="0.15">
      <c r="B424"/>
    </row>
    <row r="425" spans="2:2" x14ac:dyDescent="0.15">
      <c r="B425"/>
    </row>
    <row r="426" spans="2:2" x14ac:dyDescent="0.15">
      <c r="B426"/>
    </row>
    <row r="427" spans="2:2" x14ac:dyDescent="0.15">
      <c r="B427"/>
    </row>
    <row r="428" spans="2:2" x14ac:dyDescent="0.15">
      <c r="B428"/>
    </row>
    <row r="429" spans="2:2" x14ac:dyDescent="0.15">
      <c r="B429"/>
    </row>
    <row r="430" spans="2:2" x14ac:dyDescent="0.15">
      <c r="B430"/>
    </row>
    <row r="431" spans="2:2" x14ac:dyDescent="0.15">
      <c r="B431"/>
    </row>
    <row r="432" spans="2:2" x14ac:dyDescent="0.15">
      <c r="B432"/>
    </row>
    <row r="433" spans="2:2" x14ac:dyDescent="0.15">
      <c r="B433"/>
    </row>
    <row r="434" spans="2:2" x14ac:dyDescent="0.15">
      <c r="B434"/>
    </row>
    <row r="435" spans="2:2" x14ac:dyDescent="0.15">
      <c r="B435"/>
    </row>
    <row r="436" spans="2:2" x14ac:dyDescent="0.15">
      <c r="B436"/>
    </row>
    <row r="437" spans="2:2" x14ac:dyDescent="0.15">
      <c r="B437"/>
    </row>
    <row r="438" spans="2:2" x14ac:dyDescent="0.15">
      <c r="B438"/>
    </row>
    <row r="439" spans="2:2" x14ac:dyDescent="0.15">
      <c r="B439"/>
    </row>
    <row r="440" spans="2:2" x14ac:dyDescent="0.15">
      <c r="B440"/>
    </row>
    <row r="441" spans="2:2" x14ac:dyDescent="0.15">
      <c r="B441"/>
    </row>
    <row r="442" spans="2:2" x14ac:dyDescent="0.15">
      <c r="B442"/>
    </row>
    <row r="443" spans="2:2" x14ac:dyDescent="0.15">
      <c r="B443"/>
    </row>
    <row r="444" spans="2:2" x14ac:dyDescent="0.15">
      <c r="B444"/>
    </row>
    <row r="445" spans="2:2" x14ac:dyDescent="0.15">
      <c r="B445"/>
    </row>
    <row r="446" spans="2:2" x14ac:dyDescent="0.15">
      <c r="B446"/>
    </row>
    <row r="447" spans="2:2" x14ac:dyDescent="0.15">
      <c r="B447"/>
    </row>
    <row r="448" spans="2:2" x14ac:dyDescent="0.15">
      <c r="B448"/>
    </row>
    <row r="449" spans="2:2" x14ac:dyDescent="0.15">
      <c r="B449"/>
    </row>
    <row r="450" spans="2:2" x14ac:dyDescent="0.15">
      <c r="B450"/>
    </row>
    <row r="451" spans="2:2" x14ac:dyDescent="0.15">
      <c r="B451"/>
    </row>
    <row r="452" spans="2:2" x14ac:dyDescent="0.15">
      <c r="B452"/>
    </row>
    <row r="453" spans="2:2" x14ac:dyDescent="0.15">
      <c r="B453"/>
    </row>
    <row r="454" spans="2:2" x14ac:dyDescent="0.15">
      <c r="B454"/>
    </row>
    <row r="455" spans="2:2" x14ac:dyDescent="0.15">
      <c r="B455"/>
    </row>
    <row r="456" spans="2:2" x14ac:dyDescent="0.15">
      <c r="B456"/>
    </row>
    <row r="457" spans="2:2" x14ac:dyDescent="0.15">
      <c r="B457"/>
    </row>
    <row r="458" spans="2:2" x14ac:dyDescent="0.15">
      <c r="B458"/>
    </row>
    <row r="459" spans="2:2" x14ac:dyDescent="0.15">
      <c r="B459"/>
    </row>
    <row r="460" spans="2:2" x14ac:dyDescent="0.15">
      <c r="B460"/>
    </row>
    <row r="461" spans="2:2" x14ac:dyDescent="0.15">
      <c r="B461"/>
    </row>
    <row r="462" spans="2:2" x14ac:dyDescent="0.15">
      <c r="B462"/>
    </row>
    <row r="463" spans="2:2" x14ac:dyDescent="0.15">
      <c r="B463"/>
    </row>
    <row r="464" spans="2:2" x14ac:dyDescent="0.15">
      <c r="B464"/>
    </row>
    <row r="465" spans="2:2" x14ac:dyDescent="0.15">
      <c r="B465"/>
    </row>
    <row r="466" spans="2:2" x14ac:dyDescent="0.15">
      <c r="B466"/>
    </row>
    <row r="467" spans="2:2" x14ac:dyDescent="0.15">
      <c r="B467"/>
    </row>
    <row r="468" spans="2:2" x14ac:dyDescent="0.15">
      <c r="B468"/>
    </row>
    <row r="469" spans="2:2" x14ac:dyDescent="0.15">
      <c r="B469"/>
    </row>
    <row r="470" spans="2:2" x14ac:dyDescent="0.15">
      <c r="B470"/>
    </row>
    <row r="471" spans="2:2" x14ac:dyDescent="0.15">
      <c r="B471"/>
    </row>
    <row r="472" spans="2:2" x14ac:dyDescent="0.15">
      <c r="B472"/>
    </row>
    <row r="473" spans="2:2" x14ac:dyDescent="0.15">
      <c r="B473"/>
    </row>
    <row r="474" spans="2:2" x14ac:dyDescent="0.15">
      <c r="B474"/>
    </row>
    <row r="475" spans="2:2" x14ac:dyDescent="0.15">
      <c r="B475"/>
    </row>
    <row r="476" spans="2:2" x14ac:dyDescent="0.15">
      <c r="B476"/>
    </row>
    <row r="477" spans="2:2" x14ac:dyDescent="0.15">
      <c r="B477"/>
    </row>
    <row r="478" spans="2:2" x14ac:dyDescent="0.15">
      <c r="B478"/>
    </row>
    <row r="479" spans="2:2" x14ac:dyDescent="0.15">
      <c r="B479"/>
    </row>
    <row r="480" spans="2:2" x14ac:dyDescent="0.15">
      <c r="B480"/>
    </row>
    <row r="481" spans="2:2" x14ac:dyDescent="0.15">
      <c r="B481"/>
    </row>
    <row r="482" spans="2:2" x14ac:dyDescent="0.15">
      <c r="B482"/>
    </row>
    <row r="483" spans="2:2" x14ac:dyDescent="0.15">
      <c r="B483"/>
    </row>
    <row r="484" spans="2:2" x14ac:dyDescent="0.15">
      <c r="B484"/>
    </row>
    <row r="485" spans="2:2" x14ac:dyDescent="0.15">
      <c r="B485"/>
    </row>
    <row r="486" spans="2:2" x14ac:dyDescent="0.15">
      <c r="B486"/>
    </row>
    <row r="487" spans="2:2" x14ac:dyDescent="0.15">
      <c r="B487"/>
    </row>
    <row r="488" spans="2:2" x14ac:dyDescent="0.15">
      <c r="B488"/>
    </row>
    <row r="489" spans="2:2" x14ac:dyDescent="0.15">
      <c r="B489"/>
    </row>
    <row r="490" spans="2:2" x14ac:dyDescent="0.15">
      <c r="B490"/>
    </row>
    <row r="491" spans="2:2" x14ac:dyDescent="0.15">
      <c r="B491"/>
    </row>
    <row r="492" spans="2:2" x14ac:dyDescent="0.15">
      <c r="B492"/>
    </row>
    <row r="493" spans="2:2" x14ac:dyDescent="0.15">
      <c r="B493"/>
    </row>
    <row r="494" spans="2:2" x14ac:dyDescent="0.15">
      <c r="B494"/>
    </row>
    <row r="495" spans="2:2" x14ac:dyDescent="0.15">
      <c r="B495"/>
    </row>
    <row r="496" spans="2:2" x14ac:dyDescent="0.15">
      <c r="B496"/>
    </row>
    <row r="497" spans="2:2" x14ac:dyDescent="0.15">
      <c r="B497"/>
    </row>
    <row r="498" spans="2:2" x14ac:dyDescent="0.15">
      <c r="B498"/>
    </row>
    <row r="499" spans="2:2" x14ac:dyDescent="0.15">
      <c r="B499"/>
    </row>
    <row r="500" spans="2:2" x14ac:dyDescent="0.15">
      <c r="B500"/>
    </row>
    <row r="501" spans="2:2" x14ac:dyDescent="0.15">
      <c r="B501"/>
    </row>
    <row r="502" spans="2:2" x14ac:dyDescent="0.15">
      <c r="B502"/>
    </row>
    <row r="503" spans="2:2" x14ac:dyDescent="0.15">
      <c r="B503"/>
    </row>
    <row r="504" spans="2:2" x14ac:dyDescent="0.15">
      <c r="B504"/>
    </row>
    <row r="505" spans="2:2" x14ac:dyDescent="0.15">
      <c r="B505"/>
    </row>
    <row r="506" spans="2:2" x14ac:dyDescent="0.15">
      <c r="B506"/>
    </row>
    <row r="507" spans="2:2" x14ac:dyDescent="0.15">
      <c r="B507"/>
    </row>
    <row r="508" spans="2:2" x14ac:dyDescent="0.15">
      <c r="B508"/>
    </row>
    <row r="509" spans="2:2" x14ac:dyDescent="0.15">
      <c r="B509"/>
    </row>
    <row r="510" spans="2:2" x14ac:dyDescent="0.15">
      <c r="B510"/>
    </row>
    <row r="511" spans="2:2" x14ac:dyDescent="0.15">
      <c r="B511"/>
    </row>
    <row r="512" spans="2:2" x14ac:dyDescent="0.15">
      <c r="B512"/>
    </row>
    <row r="513" spans="2:2" x14ac:dyDescent="0.15">
      <c r="B513"/>
    </row>
    <row r="514" spans="2:2" x14ac:dyDescent="0.15">
      <c r="B514"/>
    </row>
    <row r="515" spans="2:2" x14ac:dyDescent="0.15">
      <c r="B515"/>
    </row>
    <row r="516" spans="2:2" x14ac:dyDescent="0.15">
      <c r="B516"/>
    </row>
    <row r="517" spans="2:2" x14ac:dyDescent="0.15">
      <c r="B517"/>
    </row>
    <row r="518" spans="2:2" x14ac:dyDescent="0.15">
      <c r="B518"/>
    </row>
    <row r="519" spans="2:2" x14ac:dyDescent="0.15">
      <c r="B519"/>
    </row>
    <row r="520" spans="2:2" x14ac:dyDescent="0.15">
      <c r="B520"/>
    </row>
    <row r="521" spans="2:2" x14ac:dyDescent="0.15">
      <c r="B521"/>
    </row>
    <row r="522" spans="2:2" x14ac:dyDescent="0.15">
      <c r="B522"/>
    </row>
    <row r="523" spans="2:2" x14ac:dyDescent="0.15">
      <c r="B523"/>
    </row>
    <row r="524" spans="2:2" x14ac:dyDescent="0.15">
      <c r="B524"/>
    </row>
    <row r="525" spans="2:2" x14ac:dyDescent="0.15">
      <c r="B525"/>
    </row>
    <row r="526" spans="2:2" x14ac:dyDescent="0.15">
      <c r="B526"/>
    </row>
    <row r="527" spans="2:2" x14ac:dyDescent="0.15">
      <c r="B527"/>
    </row>
    <row r="528" spans="2:2" x14ac:dyDescent="0.15">
      <c r="B528"/>
    </row>
    <row r="529" spans="2:2" x14ac:dyDescent="0.15">
      <c r="B529"/>
    </row>
    <row r="530" spans="2:2" x14ac:dyDescent="0.15">
      <c r="B530"/>
    </row>
    <row r="531" spans="2:2" x14ac:dyDescent="0.15">
      <c r="B531"/>
    </row>
    <row r="532" spans="2:2" x14ac:dyDescent="0.15">
      <c r="B532"/>
    </row>
    <row r="533" spans="2:2" x14ac:dyDescent="0.15">
      <c r="B533"/>
    </row>
    <row r="534" spans="2:2" x14ac:dyDescent="0.15">
      <c r="B534"/>
    </row>
    <row r="535" spans="2:2" x14ac:dyDescent="0.15">
      <c r="B535"/>
    </row>
    <row r="536" spans="2:2" x14ac:dyDescent="0.15">
      <c r="B536"/>
    </row>
    <row r="537" spans="2:2" x14ac:dyDescent="0.15">
      <c r="B537"/>
    </row>
    <row r="538" spans="2:2" x14ac:dyDescent="0.15">
      <c r="B538"/>
    </row>
    <row r="539" spans="2:2" x14ac:dyDescent="0.15">
      <c r="B539"/>
    </row>
    <row r="540" spans="2:2" x14ac:dyDescent="0.15">
      <c r="B540"/>
    </row>
    <row r="541" spans="2:2" x14ac:dyDescent="0.15">
      <c r="B541"/>
    </row>
    <row r="542" spans="2:2" x14ac:dyDescent="0.15">
      <c r="B542"/>
    </row>
    <row r="543" spans="2:2" x14ac:dyDescent="0.15">
      <c r="B543"/>
    </row>
    <row r="544" spans="2:2" x14ac:dyDescent="0.15">
      <c r="B544"/>
    </row>
    <row r="545" spans="2:2" x14ac:dyDescent="0.15">
      <c r="B545"/>
    </row>
    <row r="546" spans="2:2" x14ac:dyDescent="0.15">
      <c r="B546"/>
    </row>
    <row r="547" spans="2:2" x14ac:dyDescent="0.15">
      <c r="B547"/>
    </row>
    <row r="548" spans="2:2" x14ac:dyDescent="0.15">
      <c r="B548"/>
    </row>
    <row r="549" spans="2:2" x14ac:dyDescent="0.15">
      <c r="B549"/>
    </row>
    <row r="550" spans="2:2" x14ac:dyDescent="0.15">
      <c r="B550"/>
    </row>
    <row r="551" spans="2:2" x14ac:dyDescent="0.15">
      <c r="B551"/>
    </row>
    <row r="552" spans="2:2" x14ac:dyDescent="0.15">
      <c r="B552"/>
    </row>
    <row r="553" spans="2:2" x14ac:dyDescent="0.15">
      <c r="B553"/>
    </row>
    <row r="554" spans="2:2" x14ac:dyDescent="0.15">
      <c r="B554"/>
    </row>
    <row r="555" spans="2:2" x14ac:dyDescent="0.15">
      <c r="B555"/>
    </row>
    <row r="556" spans="2:2" x14ac:dyDescent="0.15">
      <c r="B556"/>
    </row>
    <row r="557" spans="2:2" x14ac:dyDescent="0.15">
      <c r="B557"/>
    </row>
    <row r="558" spans="2:2" x14ac:dyDescent="0.15">
      <c r="B558"/>
    </row>
    <row r="559" spans="2:2" x14ac:dyDescent="0.15">
      <c r="B559"/>
    </row>
    <row r="560" spans="2:2" x14ac:dyDescent="0.15">
      <c r="B560"/>
    </row>
    <row r="561" spans="2:2" x14ac:dyDescent="0.15">
      <c r="B561"/>
    </row>
    <row r="562" spans="2:2" x14ac:dyDescent="0.15">
      <c r="B562"/>
    </row>
    <row r="563" spans="2:2" x14ac:dyDescent="0.15">
      <c r="B563"/>
    </row>
    <row r="564" spans="2:2" x14ac:dyDescent="0.15">
      <c r="B564"/>
    </row>
    <row r="565" spans="2:2" x14ac:dyDescent="0.15">
      <c r="B565"/>
    </row>
    <row r="566" spans="2:2" x14ac:dyDescent="0.15">
      <c r="B566"/>
    </row>
    <row r="567" spans="2:2" x14ac:dyDescent="0.15">
      <c r="B567"/>
    </row>
    <row r="568" spans="2:2" x14ac:dyDescent="0.15">
      <c r="B568"/>
    </row>
    <row r="569" spans="2:2" x14ac:dyDescent="0.15">
      <c r="B569"/>
    </row>
    <row r="570" spans="2:2" x14ac:dyDescent="0.15">
      <c r="B570"/>
    </row>
    <row r="571" spans="2:2" x14ac:dyDescent="0.15">
      <c r="B571"/>
    </row>
    <row r="572" spans="2:2" x14ac:dyDescent="0.15">
      <c r="B572"/>
    </row>
    <row r="573" spans="2:2" x14ac:dyDescent="0.15">
      <c r="B573"/>
    </row>
    <row r="574" spans="2:2" x14ac:dyDescent="0.15">
      <c r="B574"/>
    </row>
    <row r="575" spans="2:2" x14ac:dyDescent="0.15">
      <c r="B575"/>
    </row>
    <row r="576" spans="2:2" x14ac:dyDescent="0.15">
      <c r="B576"/>
    </row>
    <row r="577" spans="2:2" x14ac:dyDescent="0.15">
      <c r="B577"/>
    </row>
    <row r="578" spans="2:2" x14ac:dyDescent="0.15">
      <c r="B578"/>
    </row>
    <row r="579" spans="2:2" x14ac:dyDescent="0.15">
      <c r="B579"/>
    </row>
    <row r="580" spans="2:2" x14ac:dyDescent="0.15">
      <c r="B580"/>
    </row>
    <row r="581" spans="2:2" x14ac:dyDescent="0.15">
      <c r="B581"/>
    </row>
    <row r="582" spans="2:2" x14ac:dyDescent="0.15">
      <c r="B582"/>
    </row>
    <row r="583" spans="2:2" x14ac:dyDescent="0.15">
      <c r="B583"/>
    </row>
    <row r="584" spans="2:2" x14ac:dyDescent="0.15">
      <c r="B584"/>
    </row>
    <row r="585" spans="2:2" x14ac:dyDescent="0.15">
      <c r="B585"/>
    </row>
    <row r="586" spans="2:2" x14ac:dyDescent="0.15">
      <c r="B586"/>
    </row>
    <row r="587" spans="2:2" x14ac:dyDescent="0.15">
      <c r="B587"/>
    </row>
    <row r="588" spans="2:2" x14ac:dyDescent="0.15">
      <c r="B588"/>
    </row>
    <row r="589" spans="2:2" x14ac:dyDescent="0.15">
      <c r="B589"/>
    </row>
    <row r="590" spans="2:2" x14ac:dyDescent="0.15">
      <c r="B590"/>
    </row>
    <row r="591" spans="2:2" x14ac:dyDescent="0.15">
      <c r="B591"/>
    </row>
    <row r="592" spans="2:2" x14ac:dyDescent="0.15">
      <c r="B592"/>
    </row>
    <row r="593" spans="2:2" x14ac:dyDescent="0.15">
      <c r="B593"/>
    </row>
    <row r="594" spans="2:2" x14ac:dyDescent="0.15">
      <c r="B594"/>
    </row>
    <row r="595" spans="2:2" x14ac:dyDescent="0.15">
      <c r="B595"/>
    </row>
    <row r="596" spans="2:2" x14ac:dyDescent="0.15">
      <c r="B596"/>
    </row>
    <row r="597" spans="2:2" x14ac:dyDescent="0.15">
      <c r="B597"/>
    </row>
    <row r="598" spans="2:2" x14ac:dyDescent="0.15">
      <c r="B598"/>
    </row>
    <row r="599" spans="2:2" x14ac:dyDescent="0.15">
      <c r="B599"/>
    </row>
    <row r="600" spans="2:2" x14ac:dyDescent="0.15">
      <c r="B600"/>
    </row>
    <row r="601" spans="2:2" x14ac:dyDescent="0.15">
      <c r="B601"/>
    </row>
    <row r="602" spans="2:2" x14ac:dyDescent="0.15">
      <c r="B602"/>
    </row>
    <row r="603" spans="2:2" x14ac:dyDescent="0.15">
      <c r="B603"/>
    </row>
    <row r="604" spans="2:2" x14ac:dyDescent="0.15">
      <c r="B604"/>
    </row>
    <row r="605" spans="2:2" x14ac:dyDescent="0.15">
      <c r="B605"/>
    </row>
    <row r="606" spans="2:2" x14ac:dyDescent="0.15">
      <c r="B606"/>
    </row>
    <row r="607" spans="2:2" x14ac:dyDescent="0.15">
      <c r="B607"/>
    </row>
    <row r="608" spans="2:2" x14ac:dyDescent="0.15">
      <c r="B608"/>
    </row>
    <row r="609" spans="2:2" x14ac:dyDescent="0.15">
      <c r="B609"/>
    </row>
    <row r="610" spans="2:2" x14ac:dyDescent="0.15">
      <c r="B610"/>
    </row>
    <row r="611" spans="2:2" x14ac:dyDescent="0.15">
      <c r="B611"/>
    </row>
    <row r="612" spans="2:2" x14ac:dyDescent="0.15">
      <c r="B612"/>
    </row>
    <row r="613" spans="2:2" x14ac:dyDescent="0.15">
      <c r="B613"/>
    </row>
    <row r="614" spans="2:2" x14ac:dyDescent="0.15">
      <c r="B614"/>
    </row>
    <row r="615" spans="2:2" x14ac:dyDescent="0.15">
      <c r="B615"/>
    </row>
    <row r="616" spans="2:2" x14ac:dyDescent="0.15">
      <c r="B616"/>
    </row>
    <row r="617" spans="2:2" x14ac:dyDescent="0.15">
      <c r="B617"/>
    </row>
    <row r="618" spans="2:2" x14ac:dyDescent="0.15">
      <c r="B618"/>
    </row>
    <row r="619" spans="2:2" x14ac:dyDescent="0.15">
      <c r="B619"/>
    </row>
    <row r="620" spans="2:2" x14ac:dyDescent="0.15">
      <c r="B620"/>
    </row>
    <row r="621" spans="2:2" x14ac:dyDescent="0.15">
      <c r="B621"/>
    </row>
    <row r="622" spans="2:2" x14ac:dyDescent="0.15">
      <c r="B622"/>
    </row>
    <row r="623" spans="2:2" x14ac:dyDescent="0.15">
      <c r="B623"/>
    </row>
    <row r="624" spans="2:2" x14ac:dyDescent="0.15">
      <c r="B624"/>
    </row>
    <row r="625" spans="2:2" x14ac:dyDescent="0.15">
      <c r="B625"/>
    </row>
    <row r="626" spans="2:2" x14ac:dyDescent="0.15">
      <c r="B626"/>
    </row>
    <row r="627" spans="2:2" x14ac:dyDescent="0.15">
      <c r="B627"/>
    </row>
    <row r="628" spans="2:2" x14ac:dyDescent="0.15">
      <c r="B628"/>
    </row>
    <row r="629" spans="2:2" x14ac:dyDescent="0.15">
      <c r="B629"/>
    </row>
    <row r="630" spans="2:2" x14ac:dyDescent="0.15">
      <c r="B630"/>
    </row>
    <row r="631" spans="2:2" x14ac:dyDescent="0.15">
      <c r="B631"/>
    </row>
    <row r="632" spans="2:2" x14ac:dyDescent="0.15">
      <c r="B632"/>
    </row>
    <row r="633" spans="2:2" x14ac:dyDescent="0.15">
      <c r="B633"/>
    </row>
    <row r="634" spans="2:2" x14ac:dyDescent="0.15">
      <c r="B634"/>
    </row>
    <row r="635" spans="2:2" x14ac:dyDescent="0.15">
      <c r="B635"/>
    </row>
    <row r="636" spans="2:2" x14ac:dyDescent="0.15">
      <c r="B636"/>
    </row>
    <row r="637" spans="2:2" x14ac:dyDescent="0.15">
      <c r="B637"/>
    </row>
    <row r="638" spans="2:2" x14ac:dyDescent="0.15">
      <c r="B638"/>
    </row>
    <row r="639" spans="2:2" x14ac:dyDescent="0.15">
      <c r="B639"/>
    </row>
    <row r="640" spans="2:2" x14ac:dyDescent="0.15">
      <c r="B640"/>
    </row>
    <row r="641" spans="2:2" x14ac:dyDescent="0.15">
      <c r="B641"/>
    </row>
    <row r="642" spans="2:2" x14ac:dyDescent="0.15">
      <c r="B642"/>
    </row>
    <row r="643" spans="2:2" x14ac:dyDescent="0.15">
      <c r="B643"/>
    </row>
    <row r="644" spans="2:2" x14ac:dyDescent="0.15">
      <c r="B644"/>
    </row>
    <row r="645" spans="2:2" x14ac:dyDescent="0.15">
      <c r="B645"/>
    </row>
    <row r="646" spans="2:2" x14ac:dyDescent="0.15">
      <c r="B646"/>
    </row>
    <row r="647" spans="2:2" x14ac:dyDescent="0.15">
      <c r="B647"/>
    </row>
    <row r="648" spans="2:2" x14ac:dyDescent="0.15">
      <c r="B648"/>
    </row>
    <row r="649" spans="2:2" x14ac:dyDescent="0.15">
      <c r="B649"/>
    </row>
    <row r="650" spans="2:2" x14ac:dyDescent="0.15">
      <c r="B650"/>
    </row>
    <row r="651" spans="2:2" x14ac:dyDescent="0.15">
      <c r="B651"/>
    </row>
    <row r="652" spans="2:2" x14ac:dyDescent="0.15">
      <c r="B652"/>
    </row>
    <row r="653" spans="2:2" x14ac:dyDescent="0.15">
      <c r="B653"/>
    </row>
    <row r="654" spans="2:2" x14ac:dyDescent="0.15">
      <c r="B654"/>
    </row>
    <row r="655" spans="2:2" x14ac:dyDescent="0.15">
      <c r="B655"/>
    </row>
    <row r="656" spans="2:2" x14ac:dyDescent="0.15">
      <c r="B656"/>
    </row>
    <row r="657" spans="2:2" x14ac:dyDescent="0.15">
      <c r="B657"/>
    </row>
    <row r="658" spans="2:2" x14ac:dyDescent="0.15">
      <c r="B658"/>
    </row>
    <row r="659" spans="2:2" x14ac:dyDescent="0.15">
      <c r="B659"/>
    </row>
    <row r="660" spans="2:2" x14ac:dyDescent="0.15">
      <c r="B660"/>
    </row>
    <row r="661" spans="2:2" x14ac:dyDescent="0.15">
      <c r="B661"/>
    </row>
    <row r="662" spans="2:2" x14ac:dyDescent="0.15">
      <c r="B662"/>
    </row>
    <row r="663" spans="2:2" x14ac:dyDescent="0.15">
      <c r="B663"/>
    </row>
    <row r="664" spans="2:2" x14ac:dyDescent="0.15">
      <c r="B664"/>
    </row>
    <row r="665" spans="2:2" x14ac:dyDescent="0.15">
      <c r="B665"/>
    </row>
    <row r="666" spans="2:2" x14ac:dyDescent="0.15">
      <c r="B666"/>
    </row>
    <row r="667" spans="2:2" x14ac:dyDescent="0.15">
      <c r="B667"/>
    </row>
    <row r="668" spans="2:2" x14ac:dyDescent="0.15">
      <c r="B668"/>
    </row>
    <row r="669" spans="2:2" x14ac:dyDescent="0.15">
      <c r="B669"/>
    </row>
    <row r="670" spans="2:2" x14ac:dyDescent="0.15">
      <c r="B670"/>
    </row>
    <row r="671" spans="2:2" x14ac:dyDescent="0.15">
      <c r="B671"/>
    </row>
    <row r="672" spans="2:2" x14ac:dyDescent="0.15">
      <c r="B672"/>
    </row>
    <row r="673" spans="2:2" x14ac:dyDescent="0.15">
      <c r="B673"/>
    </row>
    <row r="674" spans="2:2" x14ac:dyDescent="0.15">
      <c r="B674"/>
    </row>
    <row r="675" spans="2:2" x14ac:dyDescent="0.15">
      <c r="B675"/>
    </row>
    <row r="676" spans="2:2" x14ac:dyDescent="0.15">
      <c r="B676"/>
    </row>
    <row r="677" spans="2:2" x14ac:dyDescent="0.15">
      <c r="B677"/>
    </row>
    <row r="678" spans="2:2" x14ac:dyDescent="0.15">
      <c r="B678"/>
    </row>
    <row r="679" spans="2:2" x14ac:dyDescent="0.15">
      <c r="B679"/>
    </row>
    <row r="680" spans="2:2" x14ac:dyDescent="0.15">
      <c r="B680"/>
    </row>
    <row r="681" spans="2:2" x14ac:dyDescent="0.15">
      <c r="B681"/>
    </row>
    <row r="682" spans="2:2" x14ac:dyDescent="0.15">
      <c r="B682"/>
    </row>
    <row r="683" spans="2:2" x14ac:dyDescent="0.15">
      <c r="B683"/>
    </row>
    <row r="684" spans="2:2" x14ac:dyDescent="0.15">
      <c r="B684"/>
    </row>
    <row r="685" spans="2:2" x14ac:dyDescent="0.15">
      <c r="B685"/>
    </row>
    <row r="686" spans="2:2" x14ac:dyDescent="0.15">
      <c r="B686"/>
    </row>
    <row r="687" spans="2:2" x14ac:dyDescent="0.15">
      <c r="B687"/>
    </row>
    <row r="688" spans="2:2" x14ac:dyDescent="0.15">
      <c r="B688"/>
    </row>
    <row r="689" spans="2:2" x14ac:dyDescent="0.15">
      <c r="B689"/>
    </row>
    <row r="690" spans="2:2" x14ac:dyDescent="0.15">
      <c r="B690"/>
    </row>
    <row r="691" spans="2:2" x14ac:dyDescent="0.15">
      <c r="B691"/>
    </row>
    <row r="692" spans="2:2" x14ac:dyDescent="0.15">
      <c r="B692"/>
    </row>
    <row r="693" spans="2:2" x14ac:dyDescent="0.15">
      <c r="B693"/>
    </row>
    <row r="694" spans="2:2" x14ac:dyDescent="0.15">
      <c r="B694"/>
    </row>
    <row r="695" spans="2:2" x14ac:dyDescent="0.15">
      <c r="B695"/>
    </row>
    <row r="696" spans="2:2" x14ac:dyDescent="0.15">
      <c r="B696"/>
    </row>
    <row r="697" spans="2:2" x14ac:dyDescent="0.15">
      <c r="B697"/>
    </row>
    <row r="698" spans="2:2" x14ac:dyDescent="0.15">
      <c r="B698"/>
    </row>
    <row r="699" spans="2:2" x14ac:dyDescent="0.15">
      <c r="B699"/>
    </row>
    <row r="700" spans="2:2" x14ac:dyDescent="0.15">
      <c r="B700"/>
    </row>
    <row r="701" spans="2:2" x14ac:dyDescent="0.15">
      <c r="B701"/>
    </row>
    <row r="702" spans="2:2" x14ac:dyDescent="0.15">
      <c r="B702"/>
    </row>
    <row r="703" spans="2:2" x14ac:dyDescent="0.15">
      <c r="B703"/>
    </row>
    <row r="704" spans="2:2" x14ac:dyDescent="0.15">
      <c r="B704"/>
    </row>
    <row r="705" spans="2:2" x14ac:dyDescent="0.15">
      <c r="B705"/>
    </row>
    <row r="706" spans="2:2" x14ac:dyDescent="0.15">
      <c r="B706"/>
    </row>
    <row r="707" spans="2:2" x14ac:dyDescent="0.15">
      <c r="B707"/>
    </row>
    <row r="708" spans="2:2" x14ac:dyDescent="0.15">
      <c r="B708"/>
    </row>
    <row r="709" spans="2:2" x14ac:dyDescent="0.15">
      <c r="B709"/>
    </row>
    <row r="710" spans="2:2" x14ac:dyDescent="0.15">
      <c r="B710"/>
    </row>
    <row r="711" spans="2:2" x14ac:dyDescent="0.15">
      <c r="B711"/>
    </row>
    <row r="712" spans="2:2" x14ac:dyDescent="0.15">
      <c r="B712"/>
    </row>
    <row r="713" spans="2:2" x14ac:dyDescent="0.15">
      <c r="B713"/>
    </row>
    <row r="714" spans="2:2" x14ac:dyDescent="0.15">
      <c r="B714"/>
    </row>
    <row r="715" spans="2:2" x14ac:dyDescent="0.15">
      <c r="B715"/>
    </row>
    <row r="716" spans="2:2" x14ac:dyDescent="0.15">
      <c r="B716"/>
    </row>
    <row r="717" spans="2:2" x14ac:dyDescent="0.15">
      <c r="B717"/>
    </row>
    <row r="718" spans="2:2" x14ac:dyDescent="0.15">
      <c r="B718"/>
    </row>
    <row r="719" spans="2:2" x14ac:dyDescent="0.15">
      <c r="B719"/>
    </row>
    <row r="720" spans="2:2" x14ac:dyDescent="0.15">
      <c r="B720"/>
    </row>
    <row r="721" spans="2:2" x14ac:dyDescent="0.15">
      <c r="B721"/>
    </row>
    <row r="722" spans="2:2" x14ac:dyDescent="0.15">
      <c r="B722"/>
    </row>
    <row r="723" spans="2:2" x14ac:dyDescent="0.15">
      <c r="B723"/>
    </row>
    <row r="724" spans="2:2" x14ac:dyDescent="0.15">
      <c r="B724"/>
    </row>
    <row r="725" spans="2:2" x14ac:dyDescent="0.15">
      <c r="B725"/>
    </row>
    <row r="726" spans="2:2" x14ac:dyDescent="0.15">
      <c r="B726"/>
    </row>
    <row r="727" spans="2:2" x14ac:dyDescent="0.15">
      <c r="B727"/>
    </row>
    <row r="728" spans="2:2" x14ac:dyDescent="0.15">
      <c r="B728"/>
    </row>
    <row r="729" spans="2:2" x14ac:dyDescent="0.15">
      <c r="B729"/>
    </row>
    <row r="730" spans="2:2" x14ac:dyDescent="0.15">
      <c r="B730"/>
    </row>
    <row r="731" spans="2:2" x14ac:dyDescent="0.15">
      <c r="B731"/>
    </row>
    <row r="732" spans="2:2" x14ac:dyDescent="0.15">
      <c r="B732"/>
    </row>
    <row r="733" spans="2:2" x14ac:dyDescent="0.15">
      <c r="B733"/>
    </row>
    <row r="734" spans="2:2" x14ac:dyDescent="0.15">
      <c r="B734"/>
    </row>
    <row r="735" spans="2:2" x14ac:dyDescent="0.15">
      <c r="B735"/>
    </row>
    <row r="736" spans="2:2" x14ac:dyDescent="0.15">
      <c r="B736"/>
    </row>
    <row r="737" spans="2:2" x14ac:dyDescent="0.15">
      <c r="B737"/>
    </row>
    <row r="738" spans="2:2" x14ac:dyDescent="0.15">
      <c r="B738"/>
    </row>
    <row r="739" spans="2:2" x14ac:dyDescent="0.15">
      <c r="B739"/>
    </row>
    <row r="740" spans="2:2" x14ac:dyDescent="0.15">
      <c r="B740"/>
    </row>
    <row r="741" spans="2:2" x14ac:dyDescent="0.15">
      <c r="B741"/>
    </row>
    <row r="742" spans="2:2" x14ac:dyDescent="0.15">
      <c r="B742"/>
    </row>
    <row r="743" spans="2:2" x14ac:dyDescent="0.15">
      <c r="B743"/>
    </row>
    <row r="744" spans="2:2" x14ac:dyDescent="0.15">
      <c r="B744"/>
    </row>
    <row r="745" spans="2:2" x14ac:dyDescent="0.15">
      <c r="B745"/>
    </row>
    <row r="746" spans="2:2" x14ac:dyDescent="0.15">
      <c r="B746"/>
    </row>
    <row r="747" spans="2:2" x14ac:dyDescent="0.15">
      <c r="B747"/>
    </row>
    <row r="748" spans="2:2" x14ac:dyDescent="0.15">
      <c r="B748"/>
    </row>
    <row r="749" spans="2:2" x14ac:dyDescent="0.15">
      <c r="B749"/>
    </row>
    <row r="750" spans="2:2" x14ac:dyDescent="0.15">
      <c r="B750"/>
    </row>
    <row r="751" spans="2:2" x14ac:dyDescent="0.15">
      <c r="B751"/>
    </row>
    <row r="752" spans="2:2" x14ac:dyDescent="0.15">
      <c r="B752"/>
    </row>
    <row r="753" spans="2:2" x14ac:dyDescent="0.15">
      <c r="B753"/>
    </row>
    <row r="754" spans="2:2" x14ac:dyDescent="0.15">
      <c r="B754"/>
    </row>
    <row r="755" spans="2:2" x14ac:dyDescent="0.15">
      <c r="B755"/>
    </row>
    <row r="756" spans="2:2" x14ac:dyDescent="0.15">
      <c r="B756"/>
    </row>
    <row r="757" spans="2:2" x14ac:dyDescent="0.15">
      <c r="B757"/>
    </row>
    <row r="758" spans="2:2" x14ac:dyDescent="0.15">
      <c r="B758"/>
    </row>
    <row r="759" spans="2:2" x14ac:dyDescent="0.15">
      <c r="B759"/>
    </row>
    <row r="760" spans="2:2" x14ac:dyDescent="0.15">
      <c r="B760"/>
    </row>
    <row r="761" spans="2:2" x14ac:dyDescent="0.15">
      <c r="B761"/>
    </row>
    <row r="762" spans="2:2" x14ac:dyDescent="0.15">
      <c r="B762"/>
    </row>
    <row r="763" spans="2:2" x14ac:dyDescent="0.15">
      <c r="B763"/>
    </row>
    <row r="764" spans="2:2" x14ac:dyDescent="0.15">
      <c r="B764"/>
    </row>
    <row r="765" spans="2:2" x14ac:dyDescent="0.15">
      <c r="B765"/>
    </row>
    <row r="766" spans="2:2" x14ac:dyDescent="0.15">
      <c r="B766"/>
    </row>
    <row r="767" spans="2:2" x14ac:dyDescent="0.15">
      <c r="B767"/>
    </row>
    <row r="768" spans="2:2" x14ac:dyDescent="0.15">
      <c r="B768"/>
    </row>
    <row r="769" spans="2:2" x14ac:dyDescent="0.15">
      <c r="B769"/>
    </row>
    <row r="770" spans="2:2" x14ac:dyDescent="0.15">
      <c r="B770"/>
    </row>
    <row r="771" spans="2:2" x14ac:dyDescent="0.15">
      <c r="B771"/>
    </row>
    <row r="772" spans="2:2" x14ac:dyDescent="0.15">
      <c r="B772"/>
    </row>
    <row r="773" spans="2:2" x14ac:dyDescent="0.15">
      <c r="B773"/>
    </row>
    <row r="774" spans="2:2" x14ac:dyDescent="0.15">
      <c r="B774"/>
    </row>
    <row r="775" spans="2:2" x14ac:dyDescent="0.15">
      <c r="B775"/>
    </row>
    <row r="776" spans="2:2" x14ac:dyDescent="0.15">
      <c r="B776"/>
    </row>
    <row r="777" spans="2:2" x14ac:dyDescent="0.15">
      <c r="B777"/>
    </row>
    <row r="778" spans="2:2" x14ac:dyDescent="0.15">
      <c r="B778"/>
    </row>
    <row r="779" spans="2:2" x14ac:dyDescent="0.15">
      <c r="B779"/>
    </row>
    <row r="780" spans="2:2" x14ac:dyDescent="0.15">
      <c r="B780"/>
    </row>
    <row r="781" spans="2:2" x14ac:dyDescent="0.15">
      <c r="B781"/>
    </row>
    <row r="782" spans="2:2" x14ac:dyDescent="0.15">
      <c r="B782"/>
    </row>
    <row r="783" spans="2:2" x14ac:dyDescent="0.15">
      <c r="B783"/>
    </row>
    <row r="784" spans="2:2" x14ac:dyDescent="0.15">
      <c r="B784"/>
    </row>
    <row r="785" spans="2:2" x14ac:dyDescent="0.15">
      <c r="B785"/>
    </row>
    <row r="786" spans="2:2" x14ac:dyDescent="0.15">
      <c r="B786"/>
    </row>
    <row r="787" spans="2:2" x14ac:dyDescent="0.15">
      <c r="B787"/>
    </row>
    <row r="788" spans="2:2" x14ac:dyDescent="0.15">
      <c r="B788"/>
    </row>
    <row r="789" spans="2:2" x14ac:dyDescent="0.15">
      <c r="B789"/>
    </row>
    <row r="790" spans="2:2" x14ac:dyDescent="0.15">
      <c r="B790"/>
    </row>
    <row r="791" spans="2:2" x14ac:dyDescent="0.15">
      <c r="B791"/>
    </row>
    <row r="792" spans="2:2" x14ac:dyDescent="0.15">
      <c r="B792"/>
    </row>
    <row r="793" spans="2:2" x14ac:dyDescent="0.15">
      <c r="B793"/>
    </row>
    <row r="794" spans="2:2" x14ac:dyDescent="0.15">
      <c r="B794"/>
    </row>
    <row r="795" spans="2:2" x14ac:dyDescent="0.15">
      <c r="B795"/>
    </row>
    <row r="796" spans="2:2" x14ac:dyDescent="0.15">
      <c r="B796"/>
    </row>
    <row r="797" spans="2:2" x14ac:dyDescent="0.15">
      <c r="B797"/>
    </row>
    <row r="798" spans="2:2" x14ac:dyDescent="0.15">
      <c r="B798"/>
    </row>
    <row r="799" spans="2:2" x14ac:dyDescent="0.15">
      <c r="B799"/>
    </row>
    <row r="800" spans="2:2" x14ac:dyDescent="0.15">
      <c r="B800"/>
    </row>
    <row r="801" spans="2:2" x14ac:dyDescent="0.15">
      <c r="B801"/>
    </row>
    <row r="802" spans="2:2" x14ac:dyDescent="0.15">
      <c r="B802"/>
    </row>
    <row r="803" spans="2:2" x14ac:dyDescent="0.15">
      <c r="B803"/>
    </row>
    <row r="804" spans="2:2" x14ac:dyDescent="0.15">
      <c r="B804"/>
    </row>
    <row r="805" spans="2:2" x14ac:dyDescent="0.15">
      <c r="B805"/>
    </row>
    <row r="806" spans="2:2" x14ac:dyDescent="0.15">
      <c r="B806"/>
    </row>
    <row r="807" spans="2:2" x14ac:dyDescent="0.15">
      <c r="B807"/>
    </row>
    <row r="808" spans="2:2" x14ac:dyDescent="0.15">
      <c r="B808"/>
    </row>
    <row r="809" spans="2:2" x14ac:dyDescent="0.15">
      <c r="B809"/>
    </row>
    <row r="810" spans="2:2" x14ac:dyDescent="0.15">
      <c r="B810"/>
    </row>
    <row r="811" spans="2:2" x14ac:dyDescent="0.15">
      <c r="B811"/>
    </row>
    <row r="812" spans="2:2" x14ac:dyDescent="0.15">
      <c r="B812"/>
    </row>
    <row r="813" spans="2:2" x14ac:dyDescent="0.15">
      <c r="B813"/>
    </row>
    <row r="814" spans="2:2" x14ac:dyDescent="0.15">
      <c r="B814"/>
    </row>
    <row r="815" spans="2:2" x14ac:dyDescent="0.15">
      <c r="B815"/>
    </row>
    <row r="816" spans="2:2" x14ac:dyDescent="0.15">
      <c r="B816"/>
    </row>
    <row r="817" spans="2:2" x14ac:dyDescent="0.15">
      <c r="B817"/>
    </row>
    <row r="818" spans="2:2" x14ac:dyDescent="0.15">
      <c r="B818"/>
    </row>
    <row r="819" spans="2:2" x14ac:dyDescent="0.15">
      <c r="B819"/>
    </row>
    <row r="820" spans="2:2" x14ac:dyDescent="0.15">
      <c r="B820"/>
    </row>
    <row r="821" spans="2:2" x14ac:dyDescent="0.15">
      <c r="B821"/>
    </row>
    <row r="822" spans="2:2" x14ac:dyDescent="0.15">
      <c r="B822"/>
    </row>
    <row r="823" spans="2:2" x14ac:dyDescent="0.15">
      <c r="B823"/>
    </row>
    <row r="824" spans="2:2" x14ac:dyDescent="0.15">
      <c r="B824"/>
    </row>
    <row r="825" spans="2:2" x14ac:dyDescent="0.15">
      <c r="B825"/>
    </row>
    <row r="826" spans="2:2" x14ac:dyDescent="0.15">
      <c r="B826"/>
    </row>
    <row r="827" spans="2:2" x14ac:dyDescent="0.15">
      <c r="B827"/>
    </row>
    <row r="828" spans="2:2" x14ac:dyDescent="0.15">
      <c r="B828"/>
    </row>
    <row r="829" spans="2:2" x14ac:dyDescent="0.15">
      <c r="B829"/>
    </row>
    <row r="830" spans="2:2" x14ac:dyDescent="0.15">
      <c r="B830"/>
    </row>
    <row r="831" spans="2:2" x14ac:dyDescent="0.15">
      <c r="B831"/>
    </row>
    <row r="832" spans="2:2" x14ac:dyDescent="0.15">
      <c r="B832"/>
    </row>
    <row r="833" spans="2:2" x14ac:dyDescent="0.15">
      <c r="B833"/>
    </row>
    <row r="834" spans="2:2" x14ac:dyDescent="0.15">
      <c r="B834"/>
    </row>
    <row r="835" spans="2:2" x14ac:dyDescent="0.15">
      <c r="B835"/>
    </row>
    <row r="836" spans="2:2" x14ac:dyDescent="0.15">
      <c r="B836"/>
    </row>
    <row r="837" spans="2:2" x14ac:dyDescent="0.15">
      <c r="B837"/>
    </row>
    <row r="838" spans="2:2" x14ac:dyDescent="0.15">
      <c r="B838"/>
    </row>
    <row r="839" spans="2:2" x14ac:dyDescent="0.15">
      <c r="B839"/>
    </row>
    <row r="840" spans="2:2" x14ac:dyDescent="0.15">
      <c r="B840"/>
    </row>
    <row r="841" spans="2:2" x14ac:dyDescent="0.15">
      <c r="B841"/>
    </row>
    <row r="842" spans="2:2" x14ac:dyDescent="0.15">
      <c r="B842"/>
    </row>
    <row r="843" spans="2:2" x14ac:dyDescent="0.15">
      <c r="B843"/>
    </row>
    <row r="844" spans="2:2" x14ac:dyDescent="0.15">
      <c r="B844"/>
    </row>
    <row r="845" spans="2:2" x14ac:dyDescent="0.15">
      <c r="B845"/>
    </row>
    <row r="846" spans="2:2" x14ac:dyDescent="0.15">
      <c r="B846"/>
    </row>
    <row r="847" spans="2:2" x14ac:dyDescent="0.15">
      <c r="B847"/>
    </row>
    <row r="848" spans="2:2" x14ac:dyDescent="0.15">
      <c r="B848"/>
    </row>
    <row r="849" spans="2:2" x14ac:dyDescent="0.15">
      <c r="B849"/>
    </row>
    <row r="850" spans="2:2" x14ac:dyDescent="0.15">
      <c r="B850"/>
    </row>
    <row r="851" spans="2:2" x14ac:dyDescent="0.15">
      <c r="B851"/>
    </row>
    <row r="852" spans="2:2" x14ac:dyDescent="0.15">
      <c r="B852"/>
    </row>
    <row r="853" spans="2:2" x14ac:dyDescent="0.15">
      <c r="B853"/>
    </row>
    <row r="854" spans="2:2" x14ac:dyDescent="0.15">
      <c r="B854"/>
    </row>
    <row r="855" spans="2:2" x14ac:dyDescent="0.15">
      <c r="B855"/>
    </row>
    <row r="856" spans="2:2" x14ac:dyDescent="0.15">
      <c r="B856"/>
    </row>
    <row r="857" spans="2:2" x14ac:dyDescent="0.15">
      <c r="B857"/>
    </row>
    <row r="858" spans="2:2" x14ac:dyDescent="0.15">
      <c r="B858"/>
    </row>
    <row r="859" spans="2:2" x14ac:dyDescent="0.15">
      <c r="B859"/>
    </row>
    <row r="860" spans="2:2" x14ac:dyDescent="0.15">
      <c r="B860"/>
    </row>
    <row r="861" spans="2:2" x14ac:dyDescent="0.15">
      <c r="B861"/>
    </row>
    <row r="862" spans="2:2" x14ac:dyDescent="0.15">
      <c r="B862"/>
    </row>
    <row r="863" spans="2:2" x14ac:dyDescent="0.15">
      <c r="B863"/>
    </row>
    <row r="864" spans="2:2" x14ac:dyDescent="0.15">
      <c r="B864"/>
    </row>
    <row r="865" spans="2:2" x14ac:dyDescent="0.15">
      <c r="B865"/>
    </row>
    <row r="866" spans="2:2" x14ac:dyDescent="0.15">
      <c r="B866"/>
    </row>
    <row r="867" spans="2:2" x14ac:dyDescent="0.15">
      <c r="B867"/>
    </row>
    <row r="868" spans="2:2" x14ac:dyDescent="0.15">
      <c r="B868"/>
    </row>
    <row r="869" spans="2:2" x14ac:dyDescent="0.15">
      <c r="B869"/>
    </row>
    <row r="870" spans="2:2" x14ac:dyDescent="0.15">
      <c r="B870"/>
    </row>
    <row r="871" spans="2:2" x14ac:dyDescent="0.15">
      <c r="B871"/>
    </row>
    <row r="872" spans="2:2" x14ac:dyDescent="0.15">
      <c r="B872"/>
    </row>
    <row r="873" spans="2:2" x14ac:dyDescent="0.15">
      <c r="B873"/>
    </row>
    <row r="874" spans="2:2" x14ac:dyDescent="0.15">
      <c r="B874"/>
    </row>
    <row r="875" spans="2:2" x14ac:dyDescent="0.15">
      <c r="B875"/>
    </row>
    <row r="876" spans="2:2" x14ac:dyDescent="0.15">
      <c r="B876"/>
    </row>
    <row r="877" spans="2:2" x14ac:dyDescent="0.15">
      <c r="B877"/>
    </row>
    <row r="878" spans="2:2" x14ac:dyDescent="0.15">
      <c r="B878"/>
    </row>
    <row r="879" spans="2:2" x14ac:dyDescent="0.15">
      <c r="B879"/>
    </row>
    <row r="880" spans="2:2" x14ac:dyDescent="0.15">
      <c r="B880"/>
    </row>
    <row r="881" spans="2:2" x14ac:dyDescent="0.15">
      <c r="B881"/>
    </row>
    <row r="882" spans="2:2" x14ac:dyDescent="0.15">
      <c r="B882"/>
    </row>
    <row r="883" spans="2:2" x14ac:dyDescent="0.15">
      <c r="B883"/>
    </row>
    <row r="884" spans="2:2" x14ac:dyDescent="0.15">
      <c r="B884"/>
    </row>
    <row r="885" spans="2:2" x14ac:dyDescent="0.15">
      <c r="B885"/>
    </row>
    <row r="886" spans="2:2" x14ac:dyDescent="0.15">
      <c r="B886"/>
    </row>
    <row r="887" spans="2:2" x14ac:dyDescent="0.15">
      <c r="B887"/>
    </row>
    <row r="888" spans="2:2" x14ac:dyDescent="0.15">
      <c r="B888"/>
    </row>
    <row r="889" spans="2:2" x14ac:dyDescent="0.15">
      <c r="B889"/>
    </row>
    <row r="890" spans="2:2" x14ac:dyDescent="0.15">
      <c r="B890"/>
    </row>
    <row r="891" spans="2:2" x14ac:dyDescent="0.15">
      <c r="B891"/>
    </row>
    <row r="892" spans="2:2" x14ac:dyDescent="0.15">
      <c r="B892"/>
    </row>
    <row r="893" spans="2:2" x14ac:dyDescent="0.15">
      <c r="B893"/>
    </row>
    <row r="894" spans="2:2" x14ac:dyDescent="0.15">
      <c r="B894"/>
    </row>
    <row r="895" spans="2:2" x14ac:dyDescent="0.15">
      <c r="B895"/>
    </row>
    <row r="896" spans="2:2" x14ac:dyDescent="0.15">
      <c r="B896"/>
    </row>
    <row r="897" spans="2:2" x14ac:dyDescent="0.15">
      <c r="B897"/>
    </row>
    <row r="898" spans="2:2" x14ac:dyDescent="0.15">
      <c r="B898"/>
    </row>
    <row r="899" spans="2:2" x14ac:dyDescent="0.15">
      <c r="B899"/>
    </row>
    <row r="900" spans="2:2" x14ac:dyDescent="0.15">
      <c r="B900"/>
    </row>
    <row r="901" spans="2:2" x14ac:dyDescent="0.15">
      <c r="B901"/>
    </row>
    <row r="902" spans="2:2" x14ac:dyDescent="0.15">
      <c r="B902"/>
    </row>
    <row r="903" spans="2:2" x14ac:dyDescent="0.15">
      <c r="B903"/>
    </row>
    <row r="904" spans="2:2" x14ac:dyDescent="0.15">
      <c r="B904"/>
    </row>
    <row r="905" spans="2:2" x14ac:dyDescent="0.15">
      <c r="B905"/>
    </row>
    <row r="906" spans="2:2" x14ac:dyDescent="0.15">
      <c r="B906"/>
    </row>
    <row r="907" spans="2:2" x14ac:dyDescent="0.15">
      <c r="B907"/>
    </row>
    <row r="908" spans="2:2" x14ac:dyDescent="0.15">
      <c r="B908"/>
    </row>
    <row r="909" spans="2:2" x14ac:dyDescent="0.15">
      <c r="B909"/>
    </row>
    <row r="910" spans="2:2" x14ac:dyDescent="0.15">
      <c r="B910"/>
    </row>
    <row r="911" spans="2:2" x14ac:dyDescent="0.15">
      <c r="B911"/>
    </row>
    <row r="912" spans="2:2" x14ac:dyDescent="0.15">
      <c r="B912"/>
    </row>
    <row r="913" spans="2:2" x14ac:dyDescent="0.15">
      <c r="B913"/>
    </row>
    <row r="914" spans="2:2" x14ac:dyDescent="0.15">
      <c r="B914"/>
    </row>
    <row r="915" spans="2:2" x14ac:dyDescent="0.15">
      <c r="B915"/>
    </row>
    <row r="916" spans="2:2" x14ac:dyDescent="0.15">
      <c r="B916"/>
    </row>
    <row r="917" spans="2:2" x14ac:dyDescent="0.15">
      <c r="B917"/>
    </row>
    <row r="918" spans="2:2" x14ac:dyDescent="0.15">
      <c r="B918"/>
    </row>
    <row r="919" spans="2:2" x14ac:dyDescent="0.15">
      <c r="B919"/>
    </row>
    <row r="920" spans="2:2" x14ac:dyDescent="0.15">
      <c r="B920"/>
    </row>
    <row r="921" spans="2:2" x14ac:dyDescent="0.15">
      <c r="B921"/>
    </row>
    <row r="922" spans="2:2" x14ac:dyDescent="0.15">
      <c r="B922"/>
    </row>
    <row r="923" spans="2:2" x14ac:dyDescent="0.15">
      <c r="B923"/>
    </row>
    <row r="924" spans="2:2" x14ac:dyDescent="0.15">
      <c r="B924"/>
    </row>
    <row r="925" spans="2:2" x14ac:dyDescent="0.15">
      <c r="B925"/>
    </row>
    <row r="926" spans="2:2" x14ac:dyDescent="0.15">
      <c r="B926"/>
    </row>
    <row r="927" spans="2:2" x14ac:dyDescent="0.15">
      <c r="B927"/>
    </row>
    <row r="928" spans="2:2" x14ac:dyDescent="0.15">
      <c r="B928"/>
    </row>
    <row r="929" spans="2:2" x14ac:dyDescent="0.15">
      <c r="B929"/>
    </row>
    <row r="930" spans="2:2" x14ac:dyDescent="0.15">
      <c r="B930"/>
    </row>
    <row r="931" spans="2:2" x14ac:dyDescent="0.15">
      <c r="B931"/>
    </row>
    <row r="932" spans="2:2" x14ac:dyDescent="0.15">
      <c r="B932"/>
    </row>
    <row r="933" spans="2:2" x14ac:dyDescent="0.15">
      <c r="B933"/>
    </row>
    <row r="934" spans="2:2" x14ac:dyDescent="0.15">
      <c r="B934"/>
    </row>
    <row r="935" spans="2:2" x14ac:dyDescent="0.15">
      <c r="B935"/>
    </row>
    <row r="936" spans="2:2" x14ac:dyDescent="0.15">
      <c r="B936"/>
    </row>
    <row r="937" spans="2:2" x14ac:dyDescent="0.15">
      <c r="B937"/>
    </row>
    <row r="938" spans="2:2" x14ac:dyDescent="0.15">
      <c r="B938"/>
    </row>
    <row r="939" spans="2:2" x14ac:dyDescent="0.15">
      <c r="B939"/>
    </row>
    <row r="940" spans="2:2" x14ac:dyDescent="0.15">
      <c r="B940"/>
    </row>
    <row r="941" spans="2:2" x14ac:dyDescent="0.15">
      <c r="B941"/>
    </row>
    <row r="942" spans="2:2" x14ac:dyDescent="0.15">
      <c r="B942"/>
    </row>
    <row r="943" spans="2:2" x14ac:dyDescent="0.15">
      <c r="B943"/>
    </row>
    <row r="944" spans="2:2" x14ac:dyDescent="0.15">
      <c r="B944"/>
    </row>
    <row r="945" spans="2:2" x14ac:dyDescent="0.15">
      <c r="B945"/>
    </row>
    <row r="946" spans="2:2" x14ac:dyDescent="0.15">
      <c r="B946"/>
    </row>
    <row r="947" spans="2:2" x14ac:dyDescent="0.15">
      <c r="B947"/>
    </row>
    <row r="948" spans="2:2" x14ac:dyDescent="0.15">
      <c r="B948"/>
    </row>
    <row r="949" spans="2:2" x14ac:dyDescent="0.15">
      <c r="B949"/>
    </row>
    <row r="950" spans="2:2" x14ac:dyDescent="0.15">
      <c r="B950"/>
    </row>
    <row r="951" spans="2:2" x14ac:dyDescent="0.15">
      <c r="B951"/>
    </row>
    <row r="952" spans="2:2" x14ac:dyDescent="0.15">
      <c r="B952"/>
    </row>
    <row r="953" spans="2:2" x14ac:dyDescent="0.15">
      <c r="B953"/>
    </row>
    <row r="954" spans="2:2" x14ac:dyDescent="0.15">
      <c r="B954"/>
    </row>
    <row r="955" spans="2:2" x14ac:dyDescent="0.15">
      <c r="B955"/>
    </row>
    <row r="956" spans="2:2" x14ac:dyDescent="0.15">
      <c r="B956"/>
    </row>
    <row r="957" spans="2:2" x14ac:dyDescent="0.15">
      <c r="B957"/>
    </row>
    <row r="958" spans="2:2" x14ac:dyDescent="0.15">
      <c r="B958"/>
    </row>
    <row r="959" spans="2:2" x14ac:dyDescent="0.15">
      <c r="B959"/>
    </row>
    <row r="960" spans="2:2" x14ac:dyDescent="0.15">
      <c r="B960"/>
    </row>
    <row r="961" spans="2:2" x14ac:dyDescent="0.15">
      <c r="B961"/>
    </row>
    <row r="962" spans="2:2" x14ac:dyDescent="0.15">
      <c r="B962"/>
    </row>
    <row r="963" spans="2:2" x14ac:dyDescent="0.15">
      <c r="B963"/>
    </row>
    <row r="964" spans="2:2" x14ac:dyDescent="0.15">
      <c r="B964"/>
    </row>
    <row r="965" spans="2:2" x14ac:dyDescent="0.15">
      <c r="B965"/>
    </row>
    <row r="966" spans="2:2" x14ac:dyDescent="0.15">
      <c r="B966"/>
    </row>
    <row r="967" spans="2:2" x14ac:dyDescent="0.15">
      <c r="B967"/>
    </row>
    <row r="968" spans="2:2" x14ac:dyDescent="0.15">
      <c r="B968"/>
    </row>
    <row r="969" spans="2:2" x14ac:dyDescent="0.15">
      <c r="B969"/>
    </row>
    <row r="970" spans="2:2" x14ac:dyDescent="0.15">
      <c r="B970"/>
    </row>
    <row r="971" spans="2:2" x14ac:dyDescent="0.15">
      <c r="B971"/>
    </row>
    <row r="972" spans="2:2" x14ac:dyDescent="0.15">
      <c r="B972"/>
    </row>
    <row r="973" spans="2:2" x14ac:dyDescent="0.15">
      <c r="B973"/>
    </row>
    <row r="974" spans="2:2" x14ac:dyDescent="0.15">
      <c r="B974"/>
    </row>
    <row r="975" spans="2:2" x14ac:dyDescent="0.15">
      <c r="B975"/>
    </row>
    <row r="976" spans="2:2" x14ac:dyDescent="0.15">
      <c r="B976"/>
    </row>
    <row r="977" spans="2:2" x14ac:dyDescent="0.15">
      <c r="B977"/>
    </row>
    <row r="978" spans="2:2" x14ac:dyDescent="0.15">
      <c r="B978"/>
    </row>
    <row r="979" spans="2:2" x14ac:dyDescent="0.15">
      <c r="B979"/>
    </row>
    <row r="980" spans="2:2" x14ac:dyDescent="0.15">
      <c r="B980"/>
    </row>
    <row r="981" spans="2:2" x14ac:dyDescent="0.15">
      <c r="B981"/>
    </row>
    <row r="982" spans="2:2" x14ac:dyDescent="0.15">
      <c r="B982"/>
    </row>
    <row r="983" spans="2:2" x14ac:dyDescent="0.15">
      <c r="B983"/>
    </row>
    <row r="984" spans="2:2" x14ac:dyDescent="0.15">
      <c r="B984"/>
    </row>
    <row r="985" spans="2:2" x14ac:dyDescent="0.15">
      <c r="B985"/>
    </row>
    <row r="986" spans="2:2" x14ac:dyDescent="0.15">
      <c r="B986"/>
    </row>
    <row r="987" spans="2:2" x14ac:dyDescent="0.15">
      <c r="B987"/>
    </row>
    <row r="988" spans="2:2" x14ac:dyDescent="0.15">
      <c r="B988"/>
    </row>
    <row r="989" spans="2:2" x14ac:dyDescent="0.15">
      <c r="B989"/>
    </row>
    <row r="990" spans="2:2" x14ac:dyDescent="0.15">
      <c r="B990"/>
    </row>
    <row r="991" spans="2:2" x14ac:dyDescent="0.15">
      <c r="B991"/>
    </row>
    <row r="992" spans="2:2" x14ac:dyDescent="0.15">
      <c r="B992"/>
    </row>
    <row r="993" spans="2:2" x14ac:dyDescent="0.15">
      <c r="B993"/>
    </row>
    <row r="994" spans="2:2" x14ac:dyDescent="0.15">
      <c r="B994"/>
    </row>
    <row r="995" spans="2:2" x14ac:dyDescent="0.15">
      <c r="B995"/>
    </row>
    <row r="996" spans="2:2" x14ac:dyDescent="0.15">
      <c r="B996"/>
    </row>
    <row r="997" spans="2:2" x14ac:dyDescent="0.15">
      <c r="B997"/>
    </row>
    <row r="998" spans="2:2" x14ac:dyDescent="0.15">
      <c r="B998"/>
    </row>
    <row r="999" spans="2:2" x14ac:dyDescent="0.15">
      <c r="B999"/>
    </row>
    <row r="1000" spans="2:2" x14ac:dyDescent="0.15">
      <c r="B1000"/>
    </row>
    <row r="1001" spans="2:2" x14ac:dyDescent="0.15">
      <c r="B1001"/>
    </row>
    <row r="1002" spans="2:2" x14ac:dyDescent="0.15">
      <c r="B1002"/>
    </row>
    <row r="1003" spans="2:2" x14ac:dyDescent="0.15">
      <c r="B1003"/>
    </row>
    <row r="1004" spans="2:2" x14ac:dyDescent="0.15">
      <c r="B1004"/>
    </row>
    <row r="1005" spans="2:2" x14ac:dyDescent="0.15">
      <c r="B1005"/>
    </row>
    <row r="1006" spans="2:2" x14ac:dyDescent="0.15">
      <c r="B1006"/>
    </row>
    <row r="1007" spans="2:2" x14ac:dyDescent="0.15">
      <c r="B1007"/>
    </row>
    <row r="1008" spans="2:2" x14ac:dyDescent="0.15">
      <c r="B1008"/>
    </row>
    <row r="1009" spans="2:2" x14ac:dyDescent="0.15">
      <c r="B1009"/>
    </row>
    <row r="1010" spans="2:2" x14ac:dyDescent="0.15">
      <c r="B1010"/>
    </row>
    <row r="1011" spans="2:2" x14ac:dyDescent="0.15">
      <c r="B1011"/>
    </row>
    <row r="1012" spans="2:2" x14ac:dyDescent="0.15">
      <c r="B1012"/>
    </row>
    <row r="1013" spans="2:2" x14ac:dyDescent="0.15">
      <c r="B1013"/>
    </row>
    <row r="1014" spans="2:2" x14ac:dyDescent="0.15">
      <c r="B1014"/>
    </row>
    <row r="1015" spans="2:2" x14ac:dyDescent="0.15">
      <c r="B1015"/>
    </row>
    <row r="1016" spans="2:2" x14ac:dyDescent="0.15">
      <c r="B1016"/>
    </row>
    <row r="1017" spans="2:2" x14ac:dyDescent="0.15">
      <c r="B1017"/>
    </row>
    <row r="1018" spans="2:2" x14ac:dyDescent="0.15">
      <c r="B1018"/>
    </row>
    <row r="1019" spans="2:2" x14ac:dyDescent="0.15">
      <c r="B1019"/>
    </row>
    <row r="1020" spans="2:2" x14ac:dyDescent="0.15">
      <c r="B1020"/>
    </row>
    <row r="1021" spans="2:2" x14ac:dyDescent="0.15">
      <c r="B1021"/>
    </row>
    <row r="1022" spans="2:2" x14ac:dyDescent="0.15">
      <c r="B1022"/>
    </row>
    <row r="1023" spans="2:2" x14ac:dyDescent="0.15">
      <c r="B1023"/>
    </row>
    <row r="1024" spans="2:2" x14ac:dyDescent="0.15">
      <c r="B1024"/>
    </row>
    <row r="1025" spans="2:2" x14ac:dyDescent="0.15">
      <c r="B1025"/>
    </row>
    <row r="1026" spans="2:2" x14ac:dyDescent="0.15">
      <c r="B1026"/>
    </row>
    <row r="1027" spans="2:2" x14ac:dyDescent="0.15">
      <c r="B1027"/>
    </row>
    <row r="1028" spans="2:2" x14ac:dyDescent="0.15">
      <c r="B1028"/>
    </row>
    <row r="1029" spans="2:2" x14ac:dyDescent="0.15">
      <c r="B1029"/>
    </row>
    <row r="1030" spans="2:2" x14ac:dyDescent="0.15">
      <c r="B1030"/>
    </row>
    <row r="1031" spans="2:2" x14ac:dyDescent="0.15">
      <c r="B1031"/>
    </row>
    <row r="1032" spans="2:2" x14ac:dyDescent="0.15">
      <c r="B1032"/>
    </row>
    <row r="1033" spans="2:2" x14ac:dyDescent="0.15">
      <c r="B1033"/>
    </row>
    <row r="1034" spans="2:2" x14ac:dyDescent="0.15">
      <c r="B1034"/>
    </row>
    <row r="1035" spans="2:2" x14ac:dyDescent="0.15">
      <c r="B1035"/>
    </row>
    <row r="1036" spans="2:2" x14ac:dyDescent="0.15">
      <c r="B1036"/>
    </row>
    <row r="1037" spans="2:2" x14ac:dyDescent="0.15">
      <c r="B1037"/>
    </row>
    <row r="1038" spans="2:2" x14ac:dyDescent="0.15">
      <c r="B1038"/>
    </row>
    <row r="1039" spans="2:2" x14ac:dyDescent="0.15">
      <c r="B1039"/>
    </row>
    <row r="1040" spans="2:2" x14ac:dyDescent="0.15">
      <c r="B1040"/>
    </row>
    <row r="1041" spans="2:2" x14ac:dyDescent="0.15">
      <c r="B1041"/>
    </row>
    <row r="1042" spans="2:2" x14ac:dyDescent="0.15">
      <c r="B1042"/>
    </row>
    <row r="1043" spans="2:2" x14ac:dyDescent="0.15">
      <c r="B1043"/>
    </row>
    <row r="1044" spans="2:2" x14ac:dyDescent="0.15">
      <c r="B1044"/>
    </row>
    <row r="1045" spans="2:2" x14ac:dyDescent="0.15">
      <c r="B1045"/>
    </row>
    <row r="1046" spans="2:2" x14ac:dyDescent="0.15">
      <c r="B1046"/>
    </row>
    <row r="1047" spans="2:2" x14ac:dyDescent="0.15">
      <c r="B1047"/>
    </row>
    <row r="1048" spans="2:2" x14ac:dyDescent="0.15">
      <c r="B1048"/>
    </row>
    <row r="1049" spans="2:2" x14ac:dyDescent="0.15">
      <c r="B1049"/>
    </row>
    <row r="1050" spans="2:2" x14ac:dyDescent="0.15">
      <c r="B1050"/>
    </row>
    <row r="1051" spans="2:2" x14ac:dyDescent="0.15">
      <c r="B1051"/>
    </row>
    <row r="1052" spans="2:2" x14ac:dyDescent="0.15">
      <c r="B1052"/>
    </row>
    <row r="1053" spans="2:2" x14ac:dyDescent="0.15">
      <c r="B1053"/>
    </row>
    <row r="1054" spans="2:2" x14ac:dyDescent="0.15">
      <c r="B1054"/>
    </row>
    <row r="1055" spans="2:2" x14ac:dyDescent="0.15">
      <c r="B1055"/>
    </row>
    <row r="1056" spans="2:2" x14ac:dyDescent="0.15">
      <c r="B1056"/>
    </row>
    <row r="1057" spans="2:2" x14ac:dyDescent="0.15">
      <c r="B1057"/>
    </row>
    <row r="1058" spans="2:2" x14ac:dyDescent="0.15">
      <c r="B1058"/>
    </row>
    <row r="1059" spans="2:2" x14ac:dyDescent="0.15">
      <c r="B1059"/>
    </row>
    <row r="1060" spans="2:2" x14ac:dyDescent="0.15">
      <c r="B1060"/>
    </row>
    <row r="1061" spans="2:2" x14ac:dyDescent="0.15">
      <c r="B1061"/>
    </row>
    <row r="1062" spans="2:2" x14ac:dyDescent="0.15">
      <c r="B1062"/>
    </row>
    <row r="1063" spans="2:2" x14ac:dyDescent="0.15">
      <c r="B1063"/>
    </row>
    <row r="1064" spans="2:2" x14ac:dyDescent="0.15">
      <c r="B1064"/>
    </row>
    <row r="1065" spans="2:2" x14ac:dyDescent="0.15">
      <c r="B1065"/>
    </row>
    <row r="1066" spans="2:2" x14ac:dyDescent="0.15">
      <c r="B1066"/>
    </row>
    <row r="1067" spans="2:2" x14ac:dyDescent="0.15">
      <c r="B1067"/>
    </row>
    <row r="1068" spans="2:2" x14ac:dyDescent="0.15">
      <c r="B1068"/>
    </row>
    <row r="1069" spans="2:2" x14ac:dyDescent="0.15">
      <c r="B1069"/>
    </row>
    <row r="1070" spans="2:2" x14ac:dyDescent="0.15">
      <c r="B1070"/>
    </row>
    <row r="1071" spans="2:2" x14ac:dyDescent="0.15">
      <c r="B1071"/>
    </row>
    <row r="1072" spans="2:2" x14ac:dyDescent="0.15">
      <c r="B1072"/>
    </row>
    <row r="1073" spans="2:2" x14ac:dyDescent="0.15">
      <c r="B1073"/>
    </row>
    <row r="1074" spans="2:2" x14ac:dyDescent="0.15">
      <c r="B1074"/>
    </row>
    <row r="1075" spans="2:2" x14ac:dyDescent="0.15">
      <c r="B1075"/>
    </row>
    <row r="1076" spans="2:2" x14ac:dyDescent="0.15">
      <c r="B1076"/>
    </row>
    <row r="1077" spans="2:2" x14ac:dyDescent="0.15">
      <c r="B1077"/>
    </row>
    <row r="1078" spans="2:2" x14ac:dyDescent="0.15">
      <c r="B1078"/>
    </row>
    <row r="1079" spans="2:2" x14ac:dyDescent="0.15">
      <c r="B1079"/>
    </row>
    <row r="1080" spans="2:2" x14ac:dyDescent="0.15">
      <c r="B1080"/>
    </row>
    <row r="1081" spans="2:2" x14ac:dyDescent="0.15">
      <c r="B1081"/>
    </row>
    <row r="1082" spans="2:2" x14ac:dyDescent="0.15">
      <c r="B1082"/>
    </row>
    <row r="1083" spans="2:2" x14ac:dyDescent="0.15">
      <c r="B1083"/>
    </row>
    <row r="1084" spans="2:2" x14ac:dyDescent="0.15">
      <c r="B1084"/>
    </row>
    <row r="1085" spans="2:2" x14ac:dyDescent="0.15">
      <c r="B1085"/>
    </row>
    <row r="1086" spans="2:2" x14ac:dyDescent="0.15">
      <c r="B1086"/>
    </row>
    <row r="1087" spans="2:2" x14ac:dyDescent="0.15">
      <c r="B1087"/>
    </row>
    <row r="1088" spans="2:2" x14ac:dyDescent="0.15">
      <c r="B1088"/>
    </row>
    <row r="1089" spans="2:2" x14ac:dyDescent="0.15">
      <c r="B1089"/>
    </row>
    <row r="1090" spans="2:2" x14ac:dyDescent="0.15">
      <c r="B1090"/>
    </row>
    <row r="1091" spans="2:2" x14ac:dyDescent="0.15">
      <c r="B1091"/>
    </row>
    <row r="1092" spans="2:2" x14ac:dyDescent="0.15">
      <c r="B1092"/>
    </row>
    <row r="1093" spans="2:2" x14ac:dyDescent="0.15">
      <c r="B1093"/>
    </row>
    <row r="1094" spans="2:2" x14ac:dyDescent="0.15">
      <c r="B1094"/>
    </row>
    <row r="1095" spans="2:2" x14ac:dyDescent="0.15">
      <c r="B1095"/>
    </row>
    <row r="1096" spans="2:2" x14ac:dyDescent="0.15">
      <c r="B1096"/>
    </row>
    <row r="1097" spans="2:2" x14ac:dyDescent="0.15">
      <c r="B1097"/>
    </row>
    <row r="1098" spans="2:2" x14ac:dyDescent="0.15">
      <c r="B1098"/>
    </row>
    <row r="1099" spans="2:2" x14ac:dyDescent="0.15">
      <c r="B1099"/>
    </row>
    <row r="1100" spans="2:2" x14ac:dyDescent="0.15">
      <c r="B1100"/>
    </row>
    <row r="1101" spans="2:2" x14ac:dyDescent="0.15">
      <c r="B1101"/>
    </row>
    <row r="1102" spans="2:2" x14ac:dyDescent="0.15">
      <c r="B1102"/>
    </row>
    <row r="1103" spans="2:2" x14ac:dyDescent="0.15">
      <c r="B1103"/>
    </row>
    <row r="1104" spans="2:2" x14ac:dyDescent="0.15">
      <c r="B1104"/>
    </row>
    <row r="1105" spans="2:2" x14ac:dyDescent="0.15">
      <c r="B1105"/>
    </row>
    <row r="1106" spans="2:2" x14ac:dyDescent="0.15">
      <c r="B1106"/>
    </row>
    <row r="1107" spans="2:2" x14ac:dyDescent="0.15">
      <c r="B1107"/>
    </row>
    <row r="1108" spans="2:2" x14ac:dyDescent="0.15">
      <c r="B1108"/>
    </row>
    <row r="1109" spans="2:2" x14ac:dyDescent="0.15">
      <c r="B1109"/>
    </row>
    <row r="1110" spans="2:2" x14ac:dyDescent="0.15">
      <c r="B1110"/>
    </row>
    <row r="1111" spans="2:2" x14ac:dyDescent="0.15">
      <c r="B1111"/>
    </row>
    <row r="1112" spans="2:2" x14ac:dyDescent="0.15">
      <c r="B1112"/>
    </row>
    <row r="1113" spans="2:2" x14ac:dyDescent="0.15">
      <c r="B1113"/>
    </row>
    <row r="1114" spans="2:2" x14ac:dyDescent="0.15">
      <c r="B1114"/>
    </row>
    <row r="1115" spans="2:2" x14ac:dyDescent="0.15">
      <c r="B1115"/>
    </row>
    <row r="1116" spans="2:2" x14ac:dyDescent="0.15">
      <c r="B1116"/>
    </row>
    <row r="1117" spans="2:2" x14ac:dyDescent="0.15">
      <c r="B1117"/>
    </row>
    <row r="1118" spans="2:2" x14ac:dyDescent="0.15">
      <c r="B1118"/>
    </row>
    <row r="1119" spans="2:2" x14ac:dyDescent="0.15">
      <c r="B1119"/>
    </row>
    <row r="1120" spans="2:2" x14ac:dyDescent="0.15">
      <c r="B1120"/>
    </row>
    <row r="1121" spans="2:2" x14ac:dyDescent="0.15">
      <c r="B1121"/>
    </row>
    <row r="1122" spans="2:2" x14ac:dyDescent="0.15">
      <c r="B1122"/>
    </row>
    <row r="1123" spans="2:2" x14ac:dyDescent="0.15">
      <c r="B1123"/>
    </row>
    <row r="1124" spans="2:2" x14ac:dyDescent="0.15">
      <c r="B1124"/>
    </row>
    <row r="1125" spans="2:2" x14ac:dyDescent="0.15">
      <c r="B1125"/>
    </row>
    <row r="1126" spans="2:2" x14ac:dyDescent="0.15">
      <c r="B1126"/>
    </row>
    <row r="1127" spans="2:2" x14ac:dyDescent="0.15">
      <c r="B1127"/>
    </row>
    <row r="1128" spans="2:2" x14ac:dyDescent="0.15">
      <c r="B1128"/>
    </row>
    <row r="1129" spans="2:2" x14ac:dyDescent="0.15">
      <c r="B1129"/>
    </row>
    <row r="1130" spans="2:2" x14ac:dyDescent="0.15">
      <c r="B1130"/>
    </row>
    <row r="1131" spans="2:2" x14ac:dyDescent="0.15">
      <c r="B1131"/>
    </row>
    <row r="1132" spans="2:2" x14ac:dyDescent="0.15">
      <c r="B1132"/>
    </row>
    <row r="1133" spans="2:2" x14ac:dyDescent="0.15">
      <c r="B1133"/>
    </row>
    <row r="1134" spans="2:2" x14ac:dyDescent="0.15">
      <c r="B1134"/>
    </row>
    <row r="1135" spans="2:2" x14ac:dyDescent="0.15">
      <c r="B1135"/>
    </row>
    <row r="1136" spans="2:2" x14ac:dyDescent="0.15">
      <c r="B1136"/>
    </row>
    <row r="1137" spans="2:2" x14ac:dyDescent="0.15">
      <c r="B1137"/>
    </row>
    <row r="1138" spans="2:2" x14ac:dyDescent="0.15">
      <c r="B1138"/>
    </row>
    <row r="1139" spans="2:2" x14ac:dyDescent="0.15">
      <c r="B1139"/>
    </row>
    <row r="1140" spans="2:2" x14ac:dyDescent="0.15">
      <c r="B1140"/>
    </row>
    <row r="1141" spans="2:2" x14ac:dyDescent="0.15">
      <c r="B1141"/>
    </row>
    <row r="1142" spans="2:2" x14ac:dyDescent="0.15">
      <c r="B1142"/>
    </row>
    <row r="1143" spans="2:2" x14ac:dyDescent="0.15">
      <c r="B1143"/>
    </row>
    <row r="1144" spans="2:2" x14ac:dyDescent="0.15">
      <c r="B1144"/>
    </row>
    <row r="1145" spans="2:2" x14ac:dyDescent="0.15">
      <c r="B1145"/>
    </row>
    <row r="1146" spans="2:2" x14ac:dyDescent="0.15">
      <c r="B1146"/>
    </row>
    <row r="1147" spans="2:2" x14ac:dyDescent="0.15">
      <c r="B1147"/>
    </row>
    <row r="1148" spans="2:2" x14ac:dyDescent="0.15">
      <c r="B1148"/>
    </row>
    <row r="1149" spans="2:2" x14ac:dyDescent="0.15">
      <c r="B1149"/>
    </row>
    <row r="1150" spans="2:2" x14ac:dyDescent="0.15">
      <c r="B1150"/>
    </row>
    <row r="1151" spans="2:2" x14ac:dyDescent="0.15">
      <c r="B1151"/>
    </row>
    <row r="1152" spans="2:2" x14ac:dyDescent="0.15">
      <c r="B1152"/>
    </row>
    <row r="1153" spans="2:2" x14ac:dyDescent="0.15">
      <c r="B1153"/>
    </row>
    <row r="1154" spans="2:2" x14ac:dyDescent="0.15">
      <c r="B1154"/>
    </row>
    <row r="1155" spans="2:2" x14ac:dyDescent="0.15">
      <c r="B1155"/>
    </row>
    <row r="1156" spans="2:2" x14ac:dyDescent="0.15">
      <c r="B1156"/>
    </row>
    <row r="1157" spans="2:2" x14ac:dyDescent="0.15">
      <c r="B1157"/>
    </row>
    <row r="1158" spans="2:2" x14ac:dyDescent="0.15">
      <c r="B1158"/>
    </row>
    <row r="1159" spans="2:2" x14ac:dyDescent="0.15">
      <c r="B1159"/>
    </row>
    <row r="1160" spans="2:2" x14ac:dyDescent="0.15">
      <c r="B1160"/>
    </row>
    <row r="1161" spans="2:2" x14ac:dyDescent="0.15">
      <c r="B1161"/>
    </row>
    <row r="1162" spans="2:2" x14ac:dyDescent="0.15">
      <c r="B1162"/>
    </row>
    <row r="1163" spans="2:2" x14ac:dyDescent="0.15">
      <c r="B1163"/>
    </row>
    <row r="1164" spans="2:2" x14ac:dyDescent="0.15">
      <c r="B1164"/>
    </row>
    <row r="1165" spans="2:2" x14ac:dyDescent="0.15">
      <c r="B1165"/>
    </row>
    <row r="1166" spans="2:2" x14ac:dyDescent="0.15">
      <c r="B1166"/>
    </row>
    <row r="1167" spans="2:2" x14ac:dyDescent="0.15">
      <c r="B1167"/>
    </row>
    <row r="1168" spans="2:2" x14ac:dyDescent="0.15">
      <c r="B1168"/>
    </row>
    <row r="1169" spans="2:2" x14ac:dyDescent="0.15">
      <c r="B1169"/>
    </row>
    <row r="1170" spans="2:2" x14ac:dyDescent="0.15">
      <c r="B1170"/>
    </row>
    <row r="1171" spans="2:2" x14ac:dyDescent="0.15">
      <c r="B1171"/>
    </row>
    <row r="1172" spans="2:2" x14ac:dyDescent="0.15">
      <c r="B1172"/>
    </row>
    <row r="1173" spans="2:2" x14ac:dyDescent="0.15">
      <c r="B1173"/>
    </row>
    <row r="1174" spans="2:2" x14ac:dyDescent="0.15">
      <c r="B1174"/>
    </row>
    <row r="1175" spans="2:2" x14ac:dyDescent="0.15">
      <c r="B1175"/>
    </row>
    <row r="1176" spans="2:2" x14ac:dyDescent="0.15">
      <c r="B1176"/>
    </row>
    <row r="1177" spans="2:2" x14ac:dyDescent="0.15">
      <c r="B1177"/>
    </row>
    <row r="1178" spans="2:2" x14ac:dyDescent="0.15">
      <c r="B1178"/>
    </row>
    <row r="1179" spans="2:2" x14ac:dyDescent="0.15">
      <c r="B1179"/>
    </row>
    <row r="1180" spans="2:2" x14ac:dyDescent="0.15">
      <c r="B1180"/>
    </row>
    <row r="1181" spans="2:2" x14ac:dyDescent="0.15">
      <c r="B1181"/>
    </row>
    <row r="1182" spans="2:2" x14ac:dyDescent="0.15">
      <c r="B1182"/>
    </row>
    <row r="1183" spans="2:2" x14ac:dyDescent="0.15">
      <c r="B1183"/>
    </row>
    <row r="1184" spans="2:2" x14ac:dyDescent="0.15">
      <c r="B1184"/>
    </row>
    <row r="1185" spans="2:2" x14ac:dyDescent="0.15">
      <c r="B1185"/>
    </row>
    <row r="1186" spans="2:2" x14ac:dyDescent="0.15">
      <c r="B1186"/>
    </row>
    <row r="1187" spans="2:2" x14ac:dyDescent="0.15">
      <c r="B1187"/>
    </row>
    <row r="1188" spans="2:2" x14ac:dyDescent="0.15">
      <c r="B1188"/>
    </row>
    <row r="1189" spans="2:2" x14ac:dyDescent="0.15">
      <c r="B1189"/>
    </row>
    <row r="1190" spans="2:2" x14ac:dyDescent="0.15">
      <c r="B1190"/>
    </row>
    <row r="1191" spans="2:2" x14ac:dyDescent="0.15">
      <c r="B1191"/>
    </row>
    <row r="1192" spans="2:2" x14ac:dyDescent="0.15">
      <c r="B1192"/>
    </row>
    <row r="1193" spans="2:2" x14ac:dyDescent="0.15">
      <c r="B1193"/>
    </row>
    <row r="1194" spans="2:2" x14ac:dyDescent="0.15">
      <c r="B1194"/>
    </row>
    <row r="1195" spans="2:2" x14ac:dyDescent="0.15">
      <c r="B1195"/>
    </row>
    <row r="1196" spans="2:2" x14ac:dyDescent="0.15">
      <c r="B1196"/>
    </row>
    <row r="1197" spans="2:2" x14ac:dyDescent="0.15">
      <c r="B1197"/>
    </row>
    <row r="1198" spans="2:2" x14ac:dyDescent="0.15">
      <c r="B1198"/>
    </row>
    <row r="1199" spans="2:2" x14ac:dyDescent="0.15">
      <c r="B1199"/>
    </row>
    <row r="1200" spans="2:2" x14ac:dyDescent="0.15">
      <c r="B1200"/>
    </row>
    <row r="1201" spans="2:2" x14ac:dyDescent="0.15">
      <c r="B1201"/>
    </row>
    <row r="1202" spans="2:2" x14ac:dyDescent="0.15">
      <c r="B1202"/>
    </row>
    <row r="1203" spans="2:2" x14ac:dyDescent="0.15">
      <c r="B1203"/>
    </row>
    <row r="1204" spans="2:2" x14ac:dyDescent="0.15">
      <c r="B1204"/>
    </row>
    <row r="1205" spans="2:2" x14ac:dyDescent="0.15">
      <c r="B1205"/>
    </row>
    <row r="1206" spans="2:2" x14ac:dyDescent="0.15">
      <c r="B1206"/>
    </row>
    <row r="1207" spans="2:2" x14ac:dyDescent="0.15">
      <c r="B1207"/>
    </row>
    <row r="1208" spans="2:2" x14ac:dyDescent="0.15">
      <c r="B1208"/>
    </row>
    <row r="1209" spans="2:2" x14ac:dyDescent="0.15">
      <c r="B1209"/>
    </row>
    <row r="1210" spans="2:2" x14ac:dyDescent="0.15">
      <c r="B1210"/>
    </row>
    <row r="1211" spans="2:2" x14ac:dyDescent="0.15">
      <c r="B1211"/>
    </row>
    <row r="1212" spans="2:2" x14ac:dyDescent="0.15">
      <c r="B1212"/>
    </row>
    <row r="1213" spans="2:2" x14ac:dyDescent="0.15">
      <c r="B1213"/>
    </row>
    <row r="1214" spans="2:2" x14ac:dyDescent="0.15">
      <c r="B1214"/>
    </row>
    <row r="1215" spans="2:2" x14ac:dyDescent="0.15">
      <c r="B1215"/>
    </row>
    <row r="1216" spans="2:2" x14ac:dyDescent="0.15">
      <c r="B1216"/>
    </row>
    <row r="1217" spans="2:2" x14ac:dyDescent="0.15">
      <c r="B1217"/>
    </row>
    <row r="1218" spans="2:2" x14ac:dyDescent="0.15">
      <c r="B1218"/>
    </row>
    <row r="1219" spans="2:2" x14ac:dyDescent="0.15">
      <c r="B1219"/>
    </row>
    <row r="1220" spans="2:2" x14ac:dyDescent="0.15">
      <c r="B1220"/>
    </row>
    <row r="1221" spans="2:2" x14ac:dyDescent="0.15">
      <c r="B1221"/>
    </row>
    <row r="1222" spans="2:2" x14ac:dyDescent="0.15">
      <c r="B1222"/>
    </row>
    <row r="1223" spans="2:2" x14ac:dyDescent="0.15">
      <c r="B1223"/>
    </row>
    <row r="1224" spans="2:2" x14ac:dyDescent="0.15">
      <c r="B1224"/>
    </row>
    <row r="1225" spans="2:2" x14ac:dyDescent="0.15">
      <c r="B1225"/>
    </row>
    <row r="1226" spans="2:2" x14ac:dyDescent="0.15">
      <c r="B1226"/>
    </row>
    <row r="1227" spans="2:2" x14ac:dyDescent="0.15">
      <c r="B1227"/>
    </row>
    <row r="1228" spans="2:2" x14ac:dyDescent="0.15">
      <c r="B1228"/>
    </row>
    <row r="1229" spans="2:2" x14ac:dyDescent="0.15">
      <c r="B1229"/>
    </row>
    <row r="1230" spans="2:2" x14ac:dyDescent="0.15">
      <c r="B1230"/>
    </row>
    <row r="1231" spans="2:2" x14ac:dyDescent="0.15">
      <c r="B1231"/>
    </row>
    <row r="1232" spans="2:2" x14ac:dyDescent="0.15">
      <c r="B1232"/>
    </row>
    <row r="1233" spans="2:2" x14ac:dyDescent="0.15">
      <c r="B1233"/>
    </row>
    <row r="1234" spans="2:2" x14ac:dyDescent="0.15">
      <c r="B1234"/>
    </row>
    <row r="1235" spans="2:2" x14ac:dyDescent="0.15">
      <c r="B1235"/>
    </row>
    <row r="1236" spans="2:2" x14ac:dyDescent="0.15">
      <c r="B1236"/>
    </row>
    <row r="1237" spans="2:2" x14ac:dyDescent="0.15">
      <c r="B1237"/>
    </row>
    <row r="1238" spans="2:2" x14ac:dyDescent="0.15">
      <c r="B1238"/>
    </row>
    <row r="1239" spans="2:2" x14ac:dyDescent="0.15">
      <c r="B1239"/>
    </row>
    <row r="1240" spans="2:2" x14ac:dyDescent="0.15">
      <c r="B1240"/>
    </row>
    <row r="1241" spans="2:2" x14ac:dyDescent="0.15">
      <c r="B1241"/>
    </row>
    <row r="1242" spans="2:2" x14ac:dyDescent="0.15">
      <c r="B1242"/>
    </row>
    <row r="1243" spans="2:2" x14ac:dyDescent="0.15">
      <c r="B1243"/>
    </row>
    <row r="1244" spans="2:2" x14ac:dyDescent="0.15">
      <c r="B1244"/>
    </row>
    <row r="1245" spans="2:2" x14ac:dyDescent="0.15">
      <c r="B1245"/>
    </row>
    <row r="1246" spans="2:2" x14ac:dyDescent="0.15">
      <c r="B1246"/>
    </row>
    <row r="1247" spans="2:2" x14ac:dyDescent="0.15">
      <c r="B1247"/>
    </row>
    <row r="1248" spans="2:2" x14ac:dyDescent="0.15">
      <c r="B1248"/>
    </row>
    <row r="1249" spans="2:2" x14ac:dyDescent="0.15">
      <c r="B1249"/>
    </row>
    <row r="1250" spans="2:2" x14ac:dyDescent="0.15">
      <c r="B1250"/>
    </row>
    <row r="1251" spans="2:2" x14ac:dyDescent="0.15">
      <c r="B1251"/>
    </row>
    <row r="1252" spans="2:2" x14ac:dyDescent="0.15">
      <c r="B1252"/>
    </row>
    <row r="1253" spans="2:2" x14ac:dyDescent="0.15">
      <c r="B1253"/>
    </row>
    <row r="1254" spans="2:2" x14ac:dyDescent="0.15">
      <c r="B1254"/>
    </row>
    <row r="1255" spans="2:2" x14ac:dyDescent="0.15">
      <c r="B1255"/>
    </row>
    <row r="1256" spans="2:2" x14ac:dyDescent="0.15">
      <c r="B1256"/>
    </row>
    <row r="1257" spans="2:2" x14ac:dyDescent="0.15">
      <c r="B1257"/>
    </row>
    <row r="1258" spans="2:2" x14ac:dyDescent="0.15">
      <c r="B1258"/>
    </row>
    <row r="1259" spans="2:2" x14ac:dyDescent="0.15">
      <c r="B1259"/>
    </row>
    <row r="1260" spans="2:2" x14ac:dyDescent="0.15">
      <c r="B1260"/>
    </row>
    <row r="1261" spans="2:2" x14ac:dyDescent="0.15">
      <c r="B1261"/>
    </row>
    <row r="1262" spans="2:2" x14ac:dyDescent="0.15">
      <c r="B1262"/>
    </row>
    <row r="1263" spans="2:2" x14ac:dyDescent="0.15">
      <c r="B1263"/>
    </row>
    <row r="1264" spans="2:2" x14ac:dyDescent="0.15">
      <c r="B1264"/>
    </row>
    <row r="1265" spans="2:2" x14ac:dyDescent="0.15">
      <c r="B1265"/>
    </row>
    <row r="1266" spans="2:2" x14ac:dyDescent="0.15">
      <c r="B1266"/>
    </row>
    <row r="1267" spans="2:2" x14ac:dyDescent="0.15">
      <c r="B1267"/>
    </row>
    <row r="1268" spans="2:2" x14ac:dyDescent="0.15">
      <c r="B1268"/>
    </row>
    <row r="1269" spans="2:2" x14ac:dyDescent="0.15">
      <c r="B1269"/>
    </row>
    <row r="1270" spans="2:2" x14ac:dyDescent="0.15">
      <c r="B1270"/>
    </row>
    <row r="1271" spans="2:2" x14ac:dyDescent="0.15">
      <c r="B1271"/>
    </row>
    <row r="1272" spans="2:2" x14ac:dyDescent="0.15">
      <c r="B1272"/>
    </row>
    <row r="1273" spans="2:2" x14ac:dyDescent="0.15">
      <c r="B1273"/>
    </row>
    <row r="1274" spans="2:2" x14ac:dyDescent="0.15">
      <c r="B1274"/>
    </row>
    <row r="1275" spans="2:2" x14ac:dyDescent="0.15">
      <c r="B1275"/>
    </row>
    <row r="1276" spans="2:2" x14ac:dyDescent="0.15">
      <c r="B1276"/>
    </row>
    <row r="1277" spans="2:2" x14ac:dyDescent="0.15">
      <c r="B1277"/>
    </row>
    <row r="1278" spans="2:2" x14ac:dyDescent="0.15">
      <c r="B1278"/>
    </row>
    <row r="1279" spans="2:2" x14ac:dyDescent="0.15">
      <c r="B1279"/>
    </row>
    <row r="1280" spans="2:2" x14ac:dyDescent="0.15">
      <c r="B1280"/>
    </row>
    <row r="1281" spans="2:2" x14ac:dyDescent="0.15">
      <c r="B1281"/>
    </row>
    <row r="1282" spans="2:2" x14ac:dyDescent="0.15">
      <c r="B1282"/>
    </row>
    <row r="1283" spans="2:2" x14ac:dyDescent="0.15">
      <c r="B1283"/>
    </row>
    <row r="1284" spans="2:2" x14ac:dyDescent="0.15">
      <c r="B1284"/>
    </row>
    <row r="1285" spans="2:2" x14ac:dyDescent="0.15">
      <c r="B1285"/>
    </row>
    <row r="1286" spans="2:2" x14ac:dyDescent="0.15">
      <c r="B1286"/>
    </row>
    <row r="1287" spans="2:2" x14ac:dyDescent="0.15">
      <c r="B1287"/>
    </row>
    <row r="1288" spans="2:2" x14ac:dyDescent="0.15">
      <c r="B1288"/>
    </row>
    <row r="1289" spans="2:2" x14ac:dyDescent="0.15">
      <c r="B1289"/>
    </row>
    <row r="1290" spans="2:2" x14ac:dyDescent="0.15">
      <c r="B1290"/>
    </row>
    <row r="1291" spans="2:2" x14ac:dyDescent="0.15">
      <c r="B1291"/>
    </row>
    <row r="1292" spans="2:2" x14ac:dyDescent="0.15">
      <c r="B1292"/>
    </row>
    <row r="1293" spans="2:2" x14ac:dyDescent="0.15">
      <c r="B1293"/>
    </row>
    <row r="1294" spans="2:2" x14ac:dyDescent="0.15">
      <c r="B1294"/>
    </row>
    <row r="1295" spans="2:2" x14ac:dyDescent="0.15">
      <c r="B1295"/>
    </row>
    <row r="1296" spans="2:2" x14ac:dyDescent="0.15">
      <c r="B1296"/>
    </row>
    <row r="1297" spans="2:2" x14ac:dyDescent="0.15">
      <c r="B1297"/>
    </row>
    <row r="1298" spans="2:2" x14ac:dyDescent="0.15">
      <c r="B1298"/>
    </row>
    <row r="1299" spans="2:2" x14ac:dyDescent="0.15">
      <c r="B1299"/>
    </row>
    <row r="1300" spans="2:2" x14ac:dyDescent="0.15">
      <c r="B1300"/>
    </row>
    <row r="1301" spans="2:2" x14ac:dyDescent="0.15">
      <c r="B1301"/>
    </row>
    <row r="1302" spans="2:2" x14ac:dyDescent="0.15">
      <c r="B1302"/>
    </row>
    <row r="1303" spans="2:2" x14ac:dyDescent="0.15">
      <c r="B1303"/>
    </row>
    <row r="1304" spans="2:2" x14ac:dyDescent="0.15">
      <c r="B1304"/>
    </row>
    <row r="1305" spans="2:2" x14ac:dyDescent="0.15">
      <c r="B1305"/>
    </row>
    <row r="1306" spans="2:2" x14ac:dyDescent="0.15">
      <c r="B1306"/>
    </row>
    <row r="1307" spans="2:2" x14ac:dyDescent="0.15">
      <c r="B1307"/>
    </row>
    <row r="1308" spans="2:2" x14ac:dyDescent="0.15">
      <c r="B1308"/>
    </row>
    <row r="1309" spans="2:2" x14ac:dyDescent="0.15">
      <c r="B1309"/>
    </row>
    <row r="1310" spans="2:2" x14ac:dyDescent="0.15">
      <c r="B1310"/>
    </row>
    <row r="1311" spans="2:2" x14ac:dyDescent="0.15">
      <c r="B1311"/>
    </row>
    <row r="1312" spans="2:2" x14ac:dyDescent="0.15">
      <c r="B1312"/>
    </row>
    <row r="1313" spans="2:2" x14ac:dyDescent="0.15">
      <c r="B1313"/>
    </row>
    <row r="1314" spans="2:2" x14ac:dyDescent="0.15">
      <c r="B1314"/>
    </row>
    <row r="1315" spans="2:2" x14ac:dyDescent="0.15">
      <c r="B1315"/>
    </row>
    <row r="1316" spans="2:2" x14ac:dyDescent="0.15">
      <c r="B1316"/>
    </row>
    <row r="1317" spans="2:2" x14ac:dyDescent="0.15">
      <c r="B1317"/>
    </row>
    <row r="1318" spans="2:2" x14ac:dyDescent="0.15">
      <c r="B1318"/>
    </row>
    <row r="1319" spans="2:2" x14ac:dyDescent="0.15">
      <c r="B1319"/>
    </row>
    <row r="1320" spans="2:2" x14ac:dyDescent="0.15">
      <c r="B1320"/>
    </row>
    <row r="1321" spans="2:2" x14ac:dyDescent="0.15">
      <c r="B1321"/>
    </row>
    <row r="1322" spans="2:2" x14ac:dyDescent="0.15">
      <c r="B1322"/>
    </row>
    <row r="1323" spans="2:2" x14ac:dyDescent="0.15">
      <c r="B1323"/>
    </row>
    <row r="1324" spans="2:2" x14ac:dyDescent="0.15">
      <c r="B1324"/>
    </row>
    <row r="1325" spans="2:2" x14ac:dyDescent="0.15">
      <c r="B1325"/>
    </row>
    <row r="1326" spans="2:2" x14ac:dyDescent="0.15">
      <c r="B1326"/>
    </row>
    <row r="1327" spans="2:2" x14ac:dyDescent="0.15">
      <c r="B1327"/>
    </row>
    <row r="1328" spans="2:2" x14ac:dyDescent="0.15">
      <c r="B1328"/>
    </row>
    <row r="1329" spans="2:2" x14ac:dyDescent="0.15">
      <c r="B1329"/>
    </row>
    <row r="1330" spans="2:2" x14ac:dyDescent="0.15">
      <c r="B1330"/>
    </row>
    <row r="1331" spans="2:2" x14ac:dyDescent="0.15">
      <c r="B1331"/>
    </row>
    <row r="1332" spans="2:2" x14ac:dyDescent="0.15">
      <c r="B1332"/>
    </row>
    <row r="1333" spans="2:2" x14ac:dyDescent="0.15">
      <c r="B1333"/>
    </row>
    <row r="1334" spans="2:2" x14ac:dyDescent="0.15">
      <c r="B1334"/>
    </row>
    <row r="1335" spans="2:2" x14ac:dyDescent="0.15">
      <c r="B1335"/>
    </row>
    <row r="1336" spans="2:2" x14ac:dyDescent="0.15">
      <c r="B1336"/>
    </row>
    <row r="1337" spans="2:2" x14ac:dyDescent="0.15">
      <c r="B1337"/>
    </row>
    <row r="1338" spans="2:2" x14ac:dyDescent="0.15">
      <c r="B1338"/>
    </row>
    <row r="1339" spans="2:2" x14ac:dyDescent="0.15">
      <c r="B1339"/>
    </row>
    <row r="1340" spans="2:2" x14ac:dyDescent="0.15">
      <c r="B1340"/>
    </row>
    <row r="1341" spans="2:2" x14ac:dyDescent="0.15">
      <c r="B1341"/>
    </row>
    <row r="1342" spans="2:2" x14ac:dyDescent="0.15">
      <c r="B1342"/>
    </row>
    <row r="1343" spans="2:2" x14ac:dyDescent="0.15">
      <c r="B1343"/>
    </row>
    <row r="1344" spans="2:2" x14ac:dyDescent="0.15">
      <c r="B1344"/>
    </row>
    <row r="1345" spans="2:2" x14ac:dyDescent="0.15">
      <c r="B1345"/>
    </row>
    <row r="1346" spans="2:2" x14ac:dyDescent="0.15">
      <c r="B1346"/>
    </row>
    <row r="1347" spans="2:2" x14ac:dyDescent="0.15">
      <c r="B1347"/>
    </row>
    <row r="1348" spans="2:2" x14ac:dyDescent="0.15">
      <c r="B1348"/>
    </row>
    <row r="1349" spans="2:2" x14ac:dyDescent="0.15">
      <c r="B1349"/>
    </row>
    <row r="1350" spans="2:2" x14ac:dyDescent="0.15">
      <c r="B1350"/>
    </row>
    <row r="1351" spans="2:2" x14ac:dyDescent="0.15">
      <c r="B1351"/>
    </row>
    <row r="1352" spans="2:2" x14ac:dyDescent="0.15">
      <c r="B1352"/>
    </row>
    <row r="1353" spans="2:2" x14ac:dyDescent="0.15">
      <c r="B1353"/>
    </row>
    <row r="1354" spans="2:2" x14ac:dyDescent="0.15">
      <c r="B1354"/>
    </row>
    <row r="1355" spans="2:2" x14ac:dyDescent="0.15">
      <c r="B1355"/>
    </row>
    <row r="1356" spans="2:2" x14ac:dyDescent="0.15">
      <c r="B1356"/>
    </row>
    <row r="1357" spans="2:2" x14ac:dyDescent="0.15">
      <c r="B1357"/>
    </row>
    <row r="1358" spans="2:2" x14ac:dyDescent="0.15">
      <c r="B1358"/>
    </row>
    <row r="1359" spans="2:2" x14ac:dyDescent="0.15">
      <c r="B1359"/>
    </row>
    <row r="1360" spans="2:2" x14ac:dyDescent="0.15">
      <c r="B1360"/>
    </row>
    <row r="1361" spans="2:2" x14ac:dyDescent="0.15">
      <c r="B1361"/>
    </row>
    <row r="1362" spans="2:2" x14ac:dyDescent="0.15">
      <c r="B1362"/>
    </row>
    <row r="1363" spans="2:2" x14ac:dyDescent="0.15">
      <c r="B1363"/>
    </row>
    <row r="1364" spans="2:2" x14ac:dyDescent="0.15">
      <c r="B1364"/>
    </row>
    <row r="1365" spans="2:2" x14ac:dyDescent="0.15">
      <c r="B1365"/>
    </row>
    <row r="1366" spans="2:2" x14ac:dyDescent="0.15">
      <c r="B1366"/>
    </row>
    <row r="1367" spans="2:2" x14ac:dyDescent="0.15">
      <c r="B1367"/>
    </row>
    <row r="1368" spans="2:2" x14ac:dyDescent="0.15">
      <c r="B1368"/>
    </row>
    <row r="1369" spans="2:2" x14ac:dyDescent="0.15">
      <c r="B1369"/>
    </row>
    <row r="1370" spans="2:2" x14ac:dyDescent="0.15">
      <c r="B1370"/>
    </row>
    <row r="1371" spans="2:2" x14ac:dyDescent="0.15">
      <c r="B1371"/>
    </row>
    <row r="1372" spans="2:2" x14ac:dyDescent="0.15">
      <c r="B1372"/>
    </row>
    <row r="1373" spans="2:2" x14ac:dyDescent="0.15">
      <c r="B1373"/>
    </row>
    <row r="1374" spans="2:2" x14ac:dyDescent="0.15">
      <c r="B1374"/>
    </row>
    <row r="1375" spans="2:2" x14ac:dyDescent="0.15">
      <c r="B1375"/>
    </row>
    <row r="1376" spans="2:2" x14ac:dyDescent="0.15">
      <c r="B1376"/>
    </row>
    <row r="1377" spans="2:2" x14ac:dyDescent="0.15">
      <c r="B1377"/>
    </row>
    <row r="1378" spans="2:2" x14ac:dyDescent="0.15">
      <c r="B1378"/>
    </row>
    <row r="1379" spans="2:2" x14ac:dyDescent="0.15">
      <c r="B1379"/>
    </row>
    <row r="1380" spans="2:2" x14ac:dyDescent="0.15">
      <c r="B1380"/>
    </row>
    <row r="1381" spans="2:2" x14ac:dyDescent="0.15">
      <c r="B1381"/>
    </row>
    <row r="1382" spans="2:2" x14ac:dyDescent="0.15">
      <c r="B1382"/>
    </row>
    <row r="1383" spans="2:2" x14ac:dyDescent="0.15">
      <c r="B1383"/>
    </row>
    <row r="1384" spans="2:2" x14ac:dyDescent="0.15">
      <c r="B1384"/>
    </row>
    <row r="1385" spans="2:2" x14ac:dyDescent="0.15">
      <c r="B1385"/>
    </row>
    <row r="1386" spans="2:2" x14ac:dyDescent="0.15">
      <c r="B1386"/>
    </row>
    <row r="1387" spans="2:2" x14ac:dyDescent="0.15">
      <c r="B1387"/>
    </row>
    <row r="1388" spans="2:2" x14ac:dyDescent="0.15">
      <c r="B1388"/>
    </row>
    <row r="1389" spans="2:2" x14ac:dyDescent="0.15">
      <c r="B1389"/>
    </row>
    <row r="1390" spans="2:2" x14ac:dyDescent="0.15">
      <c r="B1390"/>
    </row>
    <row r="1391" spans="2:2" x14ac:dyDescent="0.15">
      <c r="B1391"/>
    </row>
    <row r="1392" spans="2:2" x14ac:dyDescent="0.15">
      <c r="B1392"/>
    </row>
    <row r="1393" spans="2:2" x14ac:dyDescent="0.15">
      <c r="B1393"/>
    </row>
    <row r="1394" spans="2:2" x14ac:dyDescent="0.15">
      <c r="B1394"/>
    </row>
    <row r="1395" spans="2:2" x14ac:dyDescent="0.15">
      <c r="B1395"/>
    </row>
    <row r="1396" spans="2:2" x14ac:dyDescent="0.15">
      <c r="B1396"/>
    </row>
    <row r="1397" spans="2:2" x14ac:dyDescent="0.15">
      <c r="B1397"/>
    </row>
    <row r="1398" spans="2:2" x14ac:dyDescent="0.15">
      <c r="B1398"/>
    </row>
    <row r="1399" spans="2:2" x14ac:dyDescent="0.15">
      <c r="B1399"/>
    </row>
    <row r="1400" spans="2:2" x14ac:dyDescent="0.15">
      <c r="B1400"/>
    </row>
    <row r="1401" spans="2:2" x14ac:dyDescent="0.15">
      <c r="B1401"/>
    </row>
    <row r="1402" spans="2:2" x14ac:dyDescent="0.15">
      <c r="B1402"/>
    </row>
    <row r="1403" spans="2:2" x14ac:dyDescent="0.15">
      <c r="B1403"/>
    </row>
    <row r="1404" spans="2:2" x14ac:dyDescent="0.15">
      <c r="B1404"/>
    </row>
    <row r="1405" spans="2:2" x14ac:dyDescent="0.15">
      <c r="B1405"/>
    </row>
    <row r="1406" spans="2:2" x14ac:dyDescent="0.15">
      <c r="B1406"/>
    </row>
    <row r="1407" spans="2:2" x14ac:dyDescent="0.15">
      <c r="B1407"/>
    </row>
    <row r="1408" spans="2:2" x14ac:dyDescent="0.15">
      <c r="B1408"/>
    </row>
    <row r="1409" spans="2:2" x14ac:dyDescent="0.15">
      <c r="B1409"/>
    </row>
    <row r="1410" spans="2:2" x14ac:dyDescent="0.15">
      <c r="B1410"/>
    </row>
    <row r="1411" spans="2:2" x14ac:dyDescent="0.15">
      <c r="B1411"/>
    </row>
    <row r="1412" spans="2:2" x14ac:dyDescent="0.15">
      <c r="B1412"/>
    </row>
    <row r="1413" spans="2:2" x14ac:dyDescent="0.15">
      <c r="B1413"/>
    </row>
    <row r="1414" spans="2:2" x14ac:dyDescent="0.15">
      <c r="B1414"/>
    </row>
    <row r="1415" spans="2:2" x14ac:dyDescent="0.15">
      <c r="B1415"/>
    </row>
    <row r="1416" spans="2:2" x14ac:dyDescent="0.15">
      <c r="B1416"/>
    </row>
    <row r="1417" spans="2:2" x14ac:dyDescent="0.15">
      <c r="B1417"/>
    </row>
    <row r="1418" spans="2:2" x14ac:dyDescent="0.15">
      <c r="B1418"/>
    </row>
    <row r="1419" spans="2:2" x14ac:dyDescent="0.15">
      <c r="B1419"/>
    </row>
    <row r="1420" spans="2:2" x14ac:dyDescent="0.15">
      <c r="B1420"/>
    </row>
    <row r="1421" spans="2:2" x14ac:dyDescent="0.15">
      <c r="B1421"/>
    </row>
    <row r="1422" spans="2:2" x14ac:dyDescent="0.15">
      <c r="B1422"/>
    </row>
    <row r="1423" spans="2:2" x14ac:dyDescent="0.15">
      <c r="B1423"/>
    </row>
    <row r="1424" spans="2:2" x14ac:dyDescent="0.15">
      <c r="B1424"/>
    </row>
    <row r="1425" spans="2:2" x14ac:dyDescent="0.15">
      <c r="B1425"/>
    </row>
    <row r="1426" spans="2:2" x14ac:dyDescent="0.15">
      <c r="B1426"/>
    </row>
    <row r="1427" spans="2:2" x14ac:dyDescent="0.15">
      <c r="B1427"/>
    </row>
    <row r="1428" spans="2:2" x14ac:dyDescent="0.15">
      <c r="B1428"/>
    </row>
    <row r="1429" spans="2:2" x14ac:dyDescent="0.15">
      <c r="B1429"/>
    </row>
    <row r="1430" spans="2:2" x14ac:dyDescent="0.15">
      <c r="B1430"/>
    </row>
    <row r="1431" spans="2:2" x14ac:dyDescent="0.15">
      <c r="B1431"/>
    </row>
    <row r="1432" spans="2:2" x14ac:dyDescent="0.15">
      <c r="B1432"/>
    </row>
    <row r="1433" spans="2:2" x14ac:dyDescent="0.15">
      <c r="B1433"/>
    </row>
    <row r="1434" spans="2:2" x14ac:dyDescent="0.15">
      <c r="B1434"/>
    </row>
    <row r="1435" spans="2:2" x14ac:dyDescent="0.15">
      <c r="B1435"/>
    </row>
    <row r="1436" spans="2:2" x14ac:dyDescent="0.15">
      <c r="B1436"/>
    </row>
    <row r="1437" spans="2:2" x14ac:dyDescent="0.15">
      <c r="B1437"/>
    </row>
    <row r="1438" spans="2:2" x14ac:dyDescent="0.15">
      <c r="B1438"/>
    </row>
    <row r="1439" spans="2:2" x14ac:dyDescent="0.15">
      <c r="B1439"/>
    </row>
    <row r="1440" spans="2:2" x14ac:dyDescent="0.15">
      <c r="B1440"/>
    </row>
    <row r="1441" spans="2:2" x14ac:dyDescent="0.15">
      <c r="B1441"/>
    </row>
    <row r="1442" spans="2:2" x14ac:dyDescent="0.15">
      <c r="B1442"/>
    </row>
    <row r="1443" spans="2:2" x14ac:dyDescent="0.15">
      <c r="B1443"/>
    </row>
    <row r="1444" spans="2:2" x14ac:dyDescent="0.15">
      <c r="B1444"/>
    </row>
    <row r="1445" spans="2:2" x14ac:dyDescent="0.15">
      <c r="B1445"/>
    </row>
    <row r="1446" spans="2:2" x14ac:dyDescent="0.15">
      <c r="B1446"/>
    </row>
    <row r="1447" spans="2:2" x14ac:dyDescent="0.15">
      <c r="B1447"/>
    </row>
    <row r="1448" spans="2:2" x14ac:dyDescent="0.15">
      <c r="B1448"/>
    </row>
    <row r="1449" spans="2:2" x14ac:dyDescent="0.15">
      <c r="B1449"/>
    </row>
    <row r="1450" spans="2:2" x14ac:dyDescent="0.15">
      <c r="B1450"/>
    </row>
    <row r="1451" spans="2:2" x14ac:dyDescent="0.15">
      <c r="B1451"/>
    </row>
    <row r="1452" spans="2:2" x14ac:dyDescent="0.15">
      <c r="B1452"/>
    </row>
    <row r="1453" spans="2:2" x14ac:dyDescent="0.15">
      <c r="B1453"/>
    </row>
    <row r="1454" spans="2:2" x14ac:dyDescent="0.15">
      <c r="B1454"/>
    </row>
    <row r="1455" spans="2:2" x14ac:dyDescent="0.15">
      <c r="B1455"/>
    </row>
    <row r="1456" spans="2:2" x14ac:dyDescent="0.15">
      <c r="B1456"/>
    </row>
    <row r="1457" spans="2:2" x14ac:dyDescent="0.15">
      <c r="B1457"/>
    </row>
    <row r="1458" spans="2:2" x14ac:dyDescent="0.15">
      <c r="B1458"/>
    </row>
    <row r="1459" spans="2:2" x14ac:dyDescent="0.15">
      <c r="B1459"/>
    </row>
    <row r="1460" spans="2:2" x14ac:dyDescent="0.15">
      <c r="B1460"/>
    </row>
    <row r="1461" spans="2:2" x14ac:dyDescent="0.15">
      <c r="B1461"/>
    </row>
    <row r="1462" spans="2:2" x14ac:dyDescent="0.15">
      <c r="B1462"/>
    </row>
    <row r="1463" spans="2:2" x14ac:dyDescent="0.15">
      <c r="B1463"/>
    </row>
    <row r="1464" spans="2:2" x14ac:dyDescent="0.15">
      <c r="B1464"/>
    </row>
    <row r="1465" spans="2:2" x14ac:dyDescent="0.15">
      <c r="B1465"/>
    </row>
    <row r="1466" spans="2:2" x14ac:dyDescent="0.15">
      <c r="B1466"/>
    </row>
    <row r="1467" spans="2:2" x14ac:dyDescent="0.15">
      <c r="B1467"/>
    </row>
    <row r="1468" spans="2:2" x14ac:dyDescent="0.15">
      <c r="B1468"/>
    </row>
    <row r="1469" spans="2:2" x14ac:dyDescent="0.15">
      <c r="B1469"/>
    </row>
    <row r="1470" spans="2:2" x14ac:dyDescent="0.15">
      <c r="B1470"/>
    </row>
    <row r="1471" spans="2:2" x14ac:dyDescent="0.15">
      <c r="B1471"/>
    </row>
    <row r="1472" spans="2:2" x14ac:dyDescent="0.15">
      <c r="B1472"/>
    </row>
    <row r="1473" spans="2:2" x14ac:dyDescent="0.15">
      <c r="B1473"/>
    </row>
    <row r="1474" spans="2:2" x14ac:dyDescent="0.15">
      <c r="B1474"/>
    </row>
    <row r="1475" spans="2:2" x14ac:dyDescent="0.15">
      <c r="B1475"/>
    </row>
    <row r="1476" spans="2:2" x14ac:dyDescent="0.15">
      <c r="B1476"/>
    </row>
    <row r="1477" spans="2:2" x14ac:dyDescent="0.15">
      <c r="B1477"/>
    </row>
    <row r="1478" spans="2:2" x14ac:dyDescent="0.15">
      <c r="B1478"/>
    </row>
    <row r="1479" spans="2:2" x14ac:dyDescent="0.15">
      <c r="B1479"/>
    </row>
    <row r="1480" spans="2:2" x14ac:dyDescent="0.15">
      <c r="B1480"/>
    </row>
    <row r="1481" spans="2:2" x14ac:dyDescent="0.15">
      <c r="B1481"/>
    </row>
    <row r="1482" spans="2:2" x14ac:dyDescent="0.15">
      <c r="B1482"/>
    </row>
    <row r="1483" spans="2:2" x14ac:dyDescent="0.15">
      <c r="B1483"/>
    </row>
    <row r="1484" spans="2:2" x14ac:dyDescent="0.15">
      <c r="B1484"/>
    </row>
    <row r="1485" spans="2:2" x14ac:dyDescent="0.15">
      <c r="B1485"/>
    </row>
    <row r="1486" spans="2:2" x14ac:dyDescent="0.15">
      <c r="B1486"/>
    </row>
    <row r="1487" spans="2:2" x14ac:dyDescent="0.15">
      <c r="B1487"/>
    </row>
    <row r="1488" spans="2:2" x14ac:dyDescent="0.15">
      <c r="B1488"/>
    </row>
    <row r="1489" spans="2:2" x14ac:dyDescent="0.15">
      <c r="B1489"/>
    </row>
    <row r="1490" spans="2:2" x14ac:dyDescent="0.15">
      <c r="B1490"/>
    </row>
    <row r="1491" spans="2:2" x14ac:dyDescent="0.15">
      <c r="B1491"/>
    </row>
    <row r="1492" spans="2:2" x14ac:dyDescent="0.15">
      <c r="B1492"/>
    </row>
    <row r="1493" spans="2:2" x14ac:dyDescent="0.15">
      <c r="B1493"/>
    </row>
    <row r="1494" spans="2:2" x14ac:dyDescent="0.15">
      <c r="B1494"/>
    </row>
    <row r="1495" spans="2:2" x14ac:dyDescent="0.15">
      <c r="B1495"/>
    </row>
    <row r="1496" spans="2:2" x14ac:dyDescent="0.15">
      <c r="B1496"/>
    </row>
    <row r="1497" spans="2:2" x14ac:dyDescent="0.15">
      <c r="B1497"/>
    </row>
    <row r="1498" spans="2:2" x14ac:dyDescent="0.15">
      <c r="B1498"/>
    </row>
    <row r="1499" spans="2:2" x14ac:dyDescent="0.15">
      <c r="B1499"/>
    </row>
    <row r="1500" spans="2:2" x14ac:dyDescent="0.15">
      <c r="B1500"/>
    </row>
    <row r="1501" spans="2:2" x14ac:dyDescent="0.15">
      <c r="B1501"/>
    </row>
    <row r="1502" spans="2:2" x14ac:dyDescent="0.15">
      <c r="B1502"/>
    </row>
    <row r="1503" spans="2:2" x14ac:dyDescent="0.15">
      <c r="B1503"/>
    </row>
    <row r="1504" spans="2:2" x14ac:dyDescent="0.15">
      <c r="B1504"/>
    </row>
    <row r="1505" spans="2:2" x14ac:dyDescent="0.15">
      <c r="B1505"/>
    </row>
    <row r="1506" spans="2:2" x14ac:dyDescent="0.15">
      <c r="B1506"/>
    </row>
    <row r="1507" spans="2:2" x14ac:dyDescent="0.15">
      <c r="B1507"/>
    </row>
    <row r="1508" spans="2:2" x14ac:dyDescent="0.15">
      <c r="B1508"/>
    </row>
    <row r="1509" spans="2:2" x14ac:dyDescent="0.15">
      <c r="B1509"/>
    </row>
    <row r="1510" spans="2:2" x14ac:dyDescent="0.15">
      <c r="B1510"/>
    </row>
    <row r="1511" spans="2:2" x14ac:dyDescent="0.15">
      <c r="B1511"/>
    </row>
    <row r="1512" spans="2:2" x14ac:dyDescent="0.15">
      <c r="B1512"/>
    </row>
    <row r="1513" spans="2:2" x14ac:dyDescent="0.15">
      <c r="B1513"/>
    </row>
    <row r="1514" spans="2:2" x14ac:dyDescent="0.15">
      <c r="B1514"/>
    </row>
    <row r="1515" spans="2:2" x14ac:dyDescent="0.15">
      <c r="B1515"/>
    </row>
    <row r="1516" spans="2:2" x14ac:dyDescent="0.15">
      <c r="B1516"/>
    </row>
    <row r="1517" spans="2:2" x14ac:dyDescent="0.15">
      <c r="B1517"/>
    </row>
    <row r="1518" spans="2:2" x14ac:dyDescent="0.15">
      <c r="B1518"/>
    </row>
    <row r="1519" spans="2:2" x14ac:dyDescent="0.15">
      <c r="B1519"/>
    </row>
    <row r="1520" spans="2:2" x14ac:dyDescent="0.15">
      <c r="B1520"/>
    </row>
    <row r="1521" spans="2:2" x14ac:dyDescent="0.15">
      <c r="B1521"/>
    </row>
    <row r="1522" spans="2:2" x14ac:dyDescent="0.15">
      <c r="B1522"/>
    </row>
    <row r="1523" spans="2:2" x14ac:dyDescent="0.15">
      <c r="B1523"/>
    </row>
    <row r="1524" spans="2:2" x14ac:dyDescent="0.15">
      <c r="B1524"/>
    </row>
    <row r="1525" spans="2:2" x14ac:dyDescent="0.15">
      <c r="B1525"/>
    </row>
    <row r="1526" spans="2:2" x14ac:dyDescent="0.15">
      <c r="B1526"/>
    </row>
    <row r="1527" spans="2:2" x14ac:dyDescent="0.15">
      <c r="B1527"/>
    </row>
    <row r="1528" spans="2:2" x14ac:dyDescent="0.15">
      <c r="B1528"/>
    </row>
    <row r="1529" spans="2:2" x14ac:dyDescent="0.15">
      <c r="B1529"/>
    </row>
    <row r="1530" spans="2:2" x14ac:dyDescent="0.15">
      <c r="B1530"/>
    </row>
    <row r="1531" spans="2:2" x14ac:dyDescent="0.15">
      <c r="B1531"/>
    </row>
    <row r="1532" spans="2:2" x14ac:dyDescent="0.15">
      <c r="B1532"/>
    </row>
    <row r="1533" spans="2:2" x14ac:dyDescent="0.15">
      <c r="B1533"/>
    </row>
    <row r="1534" spans="2:2" x14ac:dyDescent="0.15">
      <c r="B1534"/>
    </row>
    <row r="1535" spans="2:2" x14ac:dyDescent="0.15">
      <c r="B1535"/>
    </row>
    <row r="1536" spans="2:2" x14ac:dyDescent="0.15">
      <c r="B1536"/>
    </row>
    <row r="1537" spans="2:2" x14ac:dyDescent="0.15">
      <c r="B1537"/>
    </row>
    <row r="1538" spans="2:2" x14ac:dyDescent="0.15">
      <c r="B1538"/>
    </row>
    <row r="1539" spans="2:2" x14ac:dyDescent="0.15">
      <c r="B1539"/>
    </row>
    <row r="1540" spans="2:2" x14ac:dyDescent="0.15">
      <c r="B1540"/>
    </row>
    <row r="1541" spans="2:2" x14ac:dyDescent="0.15">
      <c r="B1541"/>
    </row>
    <row r="1542" spans="2:2" x14ac:dyDescent="0.15">
      <c r="B1542"/>
    </row>
    <row r="1543" spans="2:2" x14ac:dyDescent="0.15">
      <c r="B1543"/>
    </row>
    <row r="1544" spans="2:2" x14ac:dyDescent="0.15">
      <c r="B1544"/>
    </row>
    <row r="1545" spans="2:2" x14ac:dyDescent="0.15">
      <c r="B1545"/>
    </row>
    <row r="1546" spans="2:2" x14ac:dyDescent="0.15">
      <c r="B1546"/>
    </row>
    <row r="1547" spans="2:2" x14ac:dyDescent="0.15">
      <c r="B1547"/>
    </row>
    <row r="1548" spans="2:2" x14ac:dyDescent="0.15">
      <c r="B1548"/>
    </row>
    <row r="1549" spans="2:2" x14ac:dyDescent="0.15">
      <c r="B1549"/>
    </row>
    <row r="1550" spans="2:2" x14ac:dyDescent="0.15">
      <c r="B1550"/>
    </row>
    <row r="1551" spans="2:2" x14ac:dyDescent="0.15">
      <c r="B1551"/>
    </row>
    <row r="1552" spans="2:2" x14ac:dyDescent="0.15">
      <c r="B1552"/>
    </row>
    <row r="1553" spans="2:2" x14ac:dyDescent="0.15">
      <c r="B1553"/>
    </row>
    <row r="1554" spans="2:2" x14ac:dyDescent="0.15">
      <c r="B1554"/>
    </row>
    <row r="1555" spans="2:2" x14ac:dyDescent="0.15">
      <c r="B1555"/>
    </row>
    <row r="1556" spans="2:2" x14ac:dyDescent="0.15">
      <c r="B1556"/>
    </row>
    <row r="1557" spans="2:2" x14ac:dyDescent="0.15">
      <c r="B1557"/>
    </row>
    <row r="1558" spans="2:2" x14ac:dyDescent="0.15">
      <c r="B1558"/>
    </row>
    <row r="1559" spans="2:2" x14ac:dyDescent="0.15">
      <c r="B1559"/>
    </row>
    <row r="1560" spans="2:2" x14ac:dyDescent="0.15">
      <c r="B1560"/>
    </row>
    <row r="1561" spans="2:2" x14ac:dyDescent="0.15">
      <c r="B1561"/>
    </row>
    <row r="1562" spans="2:2" x14ac:dyDescent="0.15">
      <c r="B1562"/>
    </row>
    <row r="1563" spans="2:2" x14ac:dyDescent="0.15">
      <c r="B1563"/>
    </row>
    <row r="1564" spans="2:2" x14ac:dyDescent="0.15">
      <c r="B1564"/>
    </row>
    <row r="1565" spans="2:2" x14ac:dyDescent="0.15">
      <c r="B1565"/>
    </row>
    <row r="1566" spans="2:2" x14ac:dyDescent="0.15">
      <c r="B1566"/>
    </row>
    <row r="1567" spans="2:2" x14ac:dyDescent="0.15">
      <c r="B1567"/>
    </row>
    <row r="1568" spans="2:2" x14ac:dyDescent="0.15">
      <c r="B1568"/>
    </row>
    <row r="1569" spans="2:2" x14ac:dyDescent="0.15">
      <c r="B1569"/>
    </row>
    <row r="1570" spans="2:2" x14ac:dyDescent="0.15">
      <c r="B1570"/>
    </row>
    <row r="1571" spans="2:2" x14ac:dyDescent="0.15">
      <c r="B1571"/>
    </row>
    <row r="1572" spans="2:2" x14ac:dyDescent="0.15">
      <c r="B1572"/>
    </row>
    <row r="1573" spans="2:2" x14ac:dyDescent="0.15">
      <c r="B1573"/>
    </row>
    <row r="1574" spans="2:2" x14ac:dyDescent="0.15">
      <c r="B1574"/>
    </row>
    <row r="1575" spans="2:2" x14ac:dyDescent="0.15">
      <c r="B1575"/>
    </row>
    <row r="1576" spans="2:2" x14ac:dyDescent="0.15">
      <c r="B1576"/>
    </row>
    <row r="1577" spans="2:2" x14ac:dyDescent="0.15">
      <c r="B1577"/>
    </row>
    <row r="1578" spans="2:2" x14ac:dyDescent="0.15">
      <c r="B1578"/>
    </row>
    <row r="1579" spans="2:2" x14ac:dyDescent="0.15">
      <c r="B1579"/>
    </row>
    <row r="1580" spans="2:2" x14ac:dyDescent="0.15">
      <c r="B1580"/>
    </row>
    <row r="1581" spans="2:2" x14ac:dyDescent="0.15">
      <c r="B1581"/>
    </row>
    <row r="1582" spans="2:2" x14ac:dyDescent="0.15">
      <c r="B1582"/>
    </row>
    <row r="1583" spans="2:2" x14ac:dyDescent="0.15">
      <c r="B1583"/>
    </row>
    <row r="1584" spans="2:2" x14ac:dyDescent="0.15">
      <c r="B1584"/>
    </row>
    <row r="1585" spans="2:2" x14ac:dyDescent="0.15">
      <c r="B1585"/>
    </row>
    <row r="1586" spans="2:2" x14ac:dyDescent="0.15">
      <c r="B1586"/>
    </row>
    <row r="1587" spans="2:2" x14ac:dyDescent="0.15">
      <c r="B1587"/>
    </row>
    <row r="1588" spans="2:2" x14ac:dyDescent="0.15">
      <c r="B1588"/>
    </row>
    <row r="1589" spans="2:2" x14ac:dyDescent="0.15">
      <c r="B1589"/>
    </row>
    <row r="1590" spans="2:2" x14ac:dyDescent="0.15">
      <c r="B1590"/>
    </row>
    <row r="1591" spans="2:2" x14ac:dyDescent="0.15">
      <c r="B1591"/>
    </row>
    <row r="1592" spans="2:2" x14ac:dyDescent="0.15">
      <c r="B1592"/>
    </row>
    <row r="1593" spans="2:2" x14ac:dyDescent="0.15">
      <c r="B1593"/>
    </row>
    <row r="1594" spans="2:2" x14ac:dyDescent="0.15">
      <c r="B1594"/>
    </row>
    <row r="1595" spans="2:2" x14ac:dyDescent="0.15">
      <c r="B1595"/>
    </row>
    <row r="1596" spans="2:2" x14ac:dyDescent="0.15">
      <c r="B1596"/>
    </row>
    <row r="1597" spans="2:2" x14ac:dyDescent="0.15">
      <c r="B1597"/>
    </row>
    <row r="1598" spans="2:2" x14ac:dyDescent="0.15">
      <c r="B1598"/>
    </row>
    <row r="1599" spans="2:2" x14ac:dyDescent="0.15">
      <c r="B1599"/>
    </row>
    <row r="1600" spans="2:2" x14ac:dyDescent="0.15">
      <c r="B1600"/>
    </row>
    <row r="1601" spans="2:2" x14ac:dyDescent="0.15">
      <c r="B1601"/>
    </row>
    <row r="1602" spans="2:2" x14ac:dyDescent="0.15">
      <c r="B1602"/>
    </row>
    <row r="1603" spans="2:2" x14ac:dyDescent="0.15">
      <c r="B1603"/>
    </row>
    <row r="1604" spans="2:2" x14ac:dyDescent="0.15">
      <c r="B1604"/>
    </row>
    <row r="1605" spans="2:2" x14ac:dyDescent="0.15">
      <c r="B1605"/>
    </row>
    <row r="1606" spans="2:2" x14ac:dyDescent="0.15">
      <c r="B1606"/>
    </row>
    <row r="1607" spans="2:2" x14ac:dyDescent="0.15">
      <c r="B1607"/>
    </row>
    <row r="1608" spans="2:2" x14ac:dyDescent="0.15">
      <c r="B1608"/>
    </row>
    <row r="1609" spans="2:2" x14ac:dyDescent="0.15">
      <c r="B1609"/>
    </row>
    <row r="1610" spans="2:2" x14ac:dyDescent="0.15">
      <c r="B1610"/>
    </row>
    <row r="1611" spans="2:2" x14ac:dyDescent="0.15">
      <c r="B1611"/>
    </row>
    <row r="1612" spans="2:2" x14ac:dyDescent="0.15">
      <c r="B1612"/>
    </row>
    <row r="1613" spans="2:2" x14ac:dyDescent="0.15">
      <c r="B1613"/>
    </row>
    <row r="1614" spans="2:2" x14ac:dyDescent="0.15">
      <c r="B1614"/>
    </row>
    <row r="1615" spans="2:2" x14ac:dyDescent="0.15">
      <c r="B1615"/>
    </row>
    <row r="1616" spans="2:2" x14ac:dyDescent="0.15">
      <c r="B1616"/>
    </row>
    <row r="1617" spans="2:2" x14ac:dyDescent="0.15">
      <c r="B1617"/>
    </row>
    <row r="1618" spans="2:2" x14ac:dyDescent="0.15">
      <c r="B1618"/>
    </row>
    <row r="1619" spans="2:2" x14ac:dyDescent="0.15">
      <c r="B1619"/>
    </row>
    <row r="1620" spans="2:2" x14ac:dyDescent="0.15">
      <c r="B1620"/>
    </row>
    <row r="1621" spans="2:2" x14ac:dyDescent="0.15">
      <c r="B1621"/>
    </row>
    <row r="1622" spans="2:2" x14ac:dyDescent="0.15">
      <c r="B1622"/>
    </row>
    <row r="1623" spans="2:2" x14ac:dyDescent="0.15">
      <c r="B1623"/>
    </row>
    <row r="1624" spans="2:2" x14ac:dyDescent="0.15">
      <c r="B1624"/>
    </row>
    <row r="1625" spans="2:2" x14ac:dyDescent="0.15">
      <c r="B1625"/>
    </row>
    <row r="1626" spans="2:2" x14ac:dyDescent="0.15">
      <c r="B1626"/>
    </row>
    <row r="1627" spans="2:2" x14ac:dyDescent="0.15">
      <c r="B1627"/>
    </row>
    <row r="1628" spans="2:2" x14ac:dyDescent="0.15">
      <c r="B1628"/>
    </row>
    <row r="1629" spans="2:2" x14ac:dyDescent="0.15">
      <c r="B1629"/>
    </row>
    <row r="1630" spans="2:2" x14ac:dyDescent="0.15">
      <c r="B1630"/>
    </row>
    <row r="1631" spans="2:2" x14ac:dyDescent="0.15">
      <c r="B1631"/>
    </row>
    <row r="1632" spans="2:2" x14ac:dyDescent="0.15">
      <c r="B1632"/>
    </row>
    <row r="1633" spans="2:2" x14ac:dyDescent="0.15">
      <c r="B1633"/>
    </row>
    <row r="1634" spans="2:2" x14ac:dyDescent="0.15">
      <c r="B1634"/>
    </row>
    <row r="1635" spans="2:2" x14ac:dyDescent="0.15">
      <c r="B1635"/>
    </row>
    <row r="1636" spans="2:2" x14ac:dyDescent="0.15">
      <c r="B1636"/>
    </row>
    <row r="1637" spans="2:2" x14ac:dyDescent="0.15">
      <c r="B1637"/>
    </row>
    <row r="1638" spans="2:2" x14ac:dyDescent="0.15">
      <c r="B1638"/>
    </row>
    <row r="1639" spans="2:2" x14ac:dyDescent="0.15">
      <c r="B1639"/>
    </row>
    <row r="1640" spans="2:2" x14ac:dyDescent="0.15">
      <c r="B1640"/>
    </row>
    <row r="1641" spans="2:2" x14ac:dyDescent="0.15">
      <c r="B1641"/>
    </row>
    <row r="1642" spans="2:2" x14ac:dyDescent="0.15">
      <c r="B1642"/>
    </row>
    <row r="1643" spans="2:2" x14ac:dyDescent="0.15">
      <c r="B1643"/>
    </row>
    <row r="1644" spans="2:2" x14ac:dyDescent="0.15">
      <c r="B1644"/>
    </row>
    <row r="1645" spans="2:2" x14ac:dyDescent="0.15">
      <c r="B1645"/>
    </row>
    <row r="1646" spans="2:2" x14ac:dyDescent="0.15">
      <c r="B1646"/>
    </row>
    <row r="1647" spans="2:2" x14ac:dyDescent="0.15">
      <c r="B1647"/>
    </row>
    <row r="1648" spans="2:2" x14ac:dyDescent="0.15">
      <c r="B1648"/>
    </row>
    <row r="1649" spans="2:2" x14ac:dyDescent="0.15">
      <c r="B1649"/>
    </row>
    <row r="1650" spans="2:2" x14ac:dyDescent="0.15">
      <c r="B1650"/>
    </row>
    <row r="1651" spans="2:2" x14ac:dyDescent="0.15">
      <c r="B1651"/>
    </row>
    <row r="1652" spans="2:2" x14ac:dyDescent="0.15">
      <c r="B1652"/>
    </row>
    <row r="1653" spans="2:2" x14ac:dyDescent="0.15">
      <c r="B1653"/>
    </row>
    <row r="1654" spans="2:2" x14ac:dyDescent="0.15">
      <c r="B1654"/>
    </row>
    <row r="1655" spans="2:2" x14ac:dyDescent="0.15">
      <c r="B1655"/>
    </row>
    <row r="1656" spans="2:2" x14ac:dyDescent="0.15">
      <c r="B1656"/>
    </row>
    <row r="1657" spans="2:2" x14ac:dyDescent="0.15">
      <c r="B1657"/>
    </row>
    <row r="1658" spans="2:2" x14ac:dyDescent="0.15">
      <c r="B1658"/>
    </row>
    <row r="1659" spans="2:2" x14ac:dyDescent="0.15">
      <c r="B1659"/>
    </row>
    <row r="1660" spans="2:2" x14ac:dyDescent="0.15">
      <c r="B1660"/>
    </row>
    <row r="1661" spans="2:2" x14ac:dyDescent="0.15">
      <c r="B1661"/>
    </row>
    <row r="1662" spans="2:2" x14ac:dyDescent="0.15">
      <c r="B1662"/>
    </row>
    <row r="1663" spans="2:2" x14ac:dyDescent="0.15">
      <c r="B1663"/>
    </row>
    <row r="1664" spans="2:2" x14ac:dyDescent="0.15">
      <c r="B1664"/>
    </row>
    <row r="1665" spans="2:2" x14ac:dyDescent="0.15">
      <c r="B1665"/>
    </row>
    <row r="1666" spans="2:2" x14ac:dyDescent="0.15">
      <c r="B1666"/>
    </row>
    <row r="1667" spans="2:2" x14ac:dyDescent="0.15">
      <c r="B1667"/>
    </row>
    <row r="1668" spans="2:2" x14ac:dyDescent="0.15">
      <c r="B1668"/>
    </row>
    <row r="1669" spans="2:2" x14ac:dyDescent="0.15">
      <c r="B1669"/>
    </row>
    <row r="1670" spans="2:2" x14ac:dyDescent="0.15">
      <c r="B1670"/>
    </row>
    <row r="1671" spans="2:2" x14ac:dyDescent="0.15">
      <c r="B1671"/>
    </row>
    <row r="1672" spans="2:2" x14ac:dyDescent="0.15">
      <c r="B1672"/>
    </row>
    <row r="1673" spans="2:2" x14ac:dyDescent="0.15">
      <c r="B1673"/>
    </row>
    <row r="1674" spans="2:2" x14ac:dyDescent="0.15">
      <c r="B1674"/>
    </row>
    <row r="1675" spans="2:2" x14ac:dyDescent="0.15">
      <c r="B1675"/>
    </row>
    <row r="1676" spans="2:2" x14ac:dyDescent="0.15">
      <c r="B1676"/>
    </row>
    <row r="1677" spans="2:2" x14ac:dyDescent="0.15">
      <c r="B1677"/>
    </row>
    <row r="1678" spans="2:2" x14ac:dyDescent="0.15">
      <c r="B1678"/>
    </row>
    <row r="1679" spans="2:2" x14ac:dyDescent="0.15">
      <c r="B1679"/>
    </row>
    <row r="1680" spans="2:2" x14ac:dyDescent="0.15">
      <c r="B1680"/>
    </row>
    <row r="1681" spans="2:2" x14ac:dyDescent="0.15">
      <c r="B1681"/>
    </row>
    <row r="1682" spans="2:2" x14ac:dyDescent="0.15">
      <c r="B1682"/>
    </row>
    <row r="1683" spans="2:2" x14ac:dyDescent="0.15">
      <c r="B1683"/>
    </row>
    <row r="1684" spans="2:2" x14ac:dyDescent="0.15">
      <c r="B1684"/>
    </row>
    <row r="1685" spans="2:2" x14ac:dyDescent="0.15">
      <c r="B1685"/>
    </row>
    <row r="1686" spans="2:2" x14ac:dyDescent="0.15">
      <c r="B1686"/>
    </row>
    <row r="1687" spans="2:2" x14ac:dyDescent="0.15">
      <c r="B1687"/>
    </row>
    <row r="1688" spans="2:2" x14ac:dyDescent="0.15">
      <c r="B1688"/>
    </row>
    <row r="1689" spans="2:2" x14ac:dyDescent="0.15">
      <c r="B1689"/>
    </row>
    <row r="1690" spans="2:2" x14ac:dyDescent="0.15">
      <c r="B1690"/>
    </row>
    <row r="1691" spans="2:2" x14ac:dyDescent="0.15">
      <c r="B1691"/>
    </row>
    <row r="1692" spans="2:2" x14ac:dyDescent="0.15">
      <c r="B1692"/>
    </row>
    <row r="1693" spans="2:2" x14ac:dyDescent="0.15">
      <c r="B1693"/>
    </row>
    <row r="1694" spans="2:2" x14ac:dyDescent="0.15">
      <c r="B1694"/>
    </row>
    <row r="1695" spans="2:2" x14ac:dyDescent="0.15">
      <c r="B1695"/>
    </row>
    <row r="1696" spans="2:2" x14ac:dyDescent="0.15">
      <c r="B1696"/>
    </row>
    <row r="1697" spans="2:2" x14ac:dyDescent="0.15">
      <c r="B1697"/>
    </row>
    <row r="1698" spans="2:2" x14ac:dyDescent="0.15">
      <c r="B1698"/>
    </row>
    <row r="1699" spans="2:2" x14ac:dyDescent="0.15">
      <c r="B1699"/>
    </row>
    <row r="1700" spans="2:2" x14ac:dyDescent="0.15">
      <c r="B1700"/>
    </row>
    <row r="1701" spans="2:2" x14ac:dyDescent="0.15">
      <c r="B1701"/>
    </row>
    <row r="1702" spans="2:2" x14ac:dyDescent="0.15">
      <c r="B1702"/>
    </row>
    <row r="1703" spans="2:2" x14ac:dyDescent="0.15">
      <c r="B1703"/>
    </row>
    <row r="1704" spans="2:2" x14ac:dyDescent="0.15">
      <c r="B1704"/>
    </row>
    <row r="1705" spans="2:2" x14ac:dyDescent="0.15">
      <c r="B1705"/>
    </row>
    <row r="1706" spans="2:2" x14ac:dyDescent="0.15">
      <c r="B1706"/>
    </row>
    <row r="1707" spans="2:2" x14ac:dyDescent="0.15">
      <c r="B1707"/>
    </row>
    <row r="1708" spans="2:2" x14ac:dyDescent="0.15">
      <c r="B1708"/>
    </row>
    <row r="1709" spans="2:2" x14ac:dyDescent="0.15">
      <c r="B1709"/>
    </row>
    <row r="1710" spans="2:2" x14ac:dyDescent="0.15">
      <c r="B1710"/>
    </row>
    <row r="1711" spans="2:2" x14ac:dyDescent="0.15">
      <c r="B1711"/>
    </row>
    <row r="1712" spans="2:2" x14ac:dyDescent="0.15">
      <c r="B1712"/>
    </row>
    <row r="1713" spans="2:2" x14ac:dyDescent="0.15">
      <c r="B1713"/>
    </row>
    <row r="1714" spans="2:2" x14ac:dyDescent="0.15">
      <c r="B1714"/>
    </row>
    <row r="1715" spans="2:2" x14ac:dyDescent="0.15">
      <c r="B1715"/>
    </row>
    <row r="1716" spans="2:2" x14ac:dyDescent="0.15">
      <c r="B1716"/>
    </row>
    <row r="1717" spans="2:2" x14ac:dyDescent="0.15">
      <c r="B1717"/>
    </row>
    <row r="1718" spans="2:2" x14ac:dyDescent="0.15">
      <c r="B1718"/>
    </row>
    <row r="1719" spans="2:2" x14ac:dyDescent="0.15">
      <c r="B1719"/>
    </row>
    <row r="1720" spans="2:2" x14ac:dyDescent="0.15">
      <c r="B1720"/>
    </row>
    <row r="1721" spans="2:2" x14ac:dyDescent="0.15">
      <c r="B1721"/>
    </row>
    <row r="1722" spans="2:2" x14ac:dyDescent="0.15">
      <c r="B1722"/>
    </row>
    <row r="1723" spans="2:2" x14ac:dyDescent="0.15">
      <c r="B1723"/>
    </row>
    <row r="1724" spans="2:2" x14ac:dyDescent="0.15">
      <c r="B1724"/>
    </row>
    <row r="1725" spans="2:2" x14ac:dyDescent="0.15">
      <c r="B1725"/>
    </row>
    <row r="1726" spans="2:2" x14ac:dyDescent="0.15">
      <c r="B1726"/>
    </row>
    <row r="1727" spans="2:2" x14ac:dyDescent="0.15">
      <c r="B1727"/>
    </row>
    <row r="1728" spans="2:2" x14ac:dyDescent="0.15">
      <c r="B1728"/>
    </row>
    <row r="1729" spans="2:2" x14ac:dyDescent="0.15">
      <c r="B1729"/>
    </row>
    <row r="1730" spans="2:2" x14ac:dyDescent="0.15">
      <c r="B1730"/>
    </row>
    <row r="1731" spans="2:2" x14ac:dyDescent="0.15">
      <c r="B1731"/>
    </row>
    <row r="1732" spans="2:2" x14ac:dyDescent="0.15">
      <c r="B1732"/>
    </row>
    <row r="1733" spans="2:2" x14ac:dyDescent="0.15">
      <c r="B1733"/>
    </row>
    <row r="1734" spans="2:2" x14ac:dyDescent="0.15">
      <c r="B1734"/>
    </row>
    <row r="1735" spans="2:2" x14ac:dyDescent="0.15">
      <c r="B1735"/>
    </row>
    <row r="1736" spans="2:2" x14ac:dyDescent="0.15">
      <c r="B1736"/>
    </row>
    <row r="1737" spans="2:2" x14ac:dyDescent="0.15">
      <c r="B1737"/>
    </row>
    <row r="1738" spans="2:2" x14ac:dyDescent="0.15">
      <c r="B1738"/>
    </row>
    <row r="1739" spans="2:2" x14ac:dyDescent="0.15">
      <c r="B1739"/>
    </row>
    <row r="1740" spans="2:2" x14ac:dyDescent="0.15">
      <c r="B1740"/>
    </row>
    <row r="1741" spans="2:2" x14ac:dyDescent="0.15">
      <c r="B1741"/>
    </row>
    <row r="1742" spans="2:2" x14ac:dyDescent="0.15">
      <c r="B1742"/>
    </row>
    <row r="1743" spans="2:2" x14ac:dyDescent="0.15">
      <c r="B1743"/>
    </row>
    <row r="1744" spans="2:2" x14ac:dyDescent="0.15">
      <c r="B1744"/>
    </row>
    <row r="1745" spans="2:2" x14ac:dyDescent="0.15">
      <c r="B1745"/>
    </row>
    <row r="1746" spans="2:2" x14ac:dyDescent="0.15">
      <c r="B1746"/>
    </row>
    <row r="1747" spans="2:2" x14ac:dyDescent="0.15">
      <c r="B1747"/>
    </row>
    <row r="1748" spans="2:2" x14ac:dyDescent="0.15">
      <c r="B1748"/>
    </row>
    <row r="1749" spans="2:2" x14ac:dyDescent="0.15">
      <c r="B1749"/>
    </row>
    <row r="1750" spans="2:2" x14ac:dyDescent="0.15">
      <c r="B1750"/>
    </row>
    <row r="1751" spans="2:2" x14ac:dyDescent="0.15">
      <c r="B1751"/>
    </row>
    <row r="1752" spans="2:2" x14ac:dyDescent="0.15">
      <c r="B1752"/>
    </row>
    <row r="1753" spans="2:2" x14ac:dyDescent="0.15">
      <c r="B1753"/>
    </row>
    <row r="1754" spans="2:2" x14ac:dyDescent="0.15">
      <c r="B1754"/>
    </row>
    <row r="1755" spans="2:2" x14ac:dyDescent="0.15">
      <c r="B1755"/>
    </row>
    <row r="1756" spans="2:2" x14ac:dyDescent="0.15">
      <c r="B1756"/>
    </row>
    <row r="1757" spans="2:2" x14ac:dyDescent="0.15">
      <c r="B1757"/>
    </row>
    <row r="1758" spans="2:2" x14ac:dyDescent="0.15">
      <c r="B1758"/>
    </row>
    <row r="1759" spans="2:2" x14ac:dyDescent="0.15">
      <c r="B1759"/>
    </row>
    <row r="1760" spans="2:2" x14ac:dyDescent="0.15">
      <c r="B1760"/>
    </row>
    <row r="1761" spans="2:2" x14ac:dyDescent="0.15">
      <c r="B1761"/>
    </row>
    <row r="1762" spans="2:2" x14ac:dyDescent="0.15">
      <c r="B1762"/>
    </row>
    <row r="1763" spans="2:2" x14ac:dyDescent="0.15">
      <c r="B1763"/>
    </row>
    <row r="1764" spans="2:2" x14ac:dyDescent="0.15">
      <c r="B1764"/>
    </row>
    <row r="1765" spans="2:2" x14ac:dyDescent="0.15">
      <c r="B1765"/>
    </row>
    <row r="1766" spans="2:2" x14ac:dyDescent="0.15">
      <c r="B1766"/>
    </row>
    <row r="1767" spans="2:2" x14ac:dyDescent="0.15">
      <c r="B1767"/>
    </row>
    <row r="1768" spans="2:2" x14ac:dyDescent="0.15">
      <c r="B1768"/>
    </row>
    <row r="1769" spans="2:2" x14ac:dyDescent="0.15">
      <c r="B1769"/>
    </row>
    <row r="1770" spans="2:2" x14ac:dyDescent="0.15">
      <c r="B1770"/>
    </row>
    <row r="1771" spans="2:2" x14ac:dyDescent="0.15">
      <c r="B1771"/>
    </row>
    <row r="1772" spans="2:2" x14ac:dyDescent="0.15">
      <c r="B1772"/>
    </row>
    <row r="1773" spans="2:2" x14ac:dyDescent="0.15">
      <c r="B1773"/>
    </row>
    <row r="1774" spans="2:2" x14ac:dyDescent="0.15">
      <c r="B1774"/>
    </row>
    <row r="1775" spans="2:2" x14ac:dyDescent="0.15">
      <c r="B1775"/>
    </row>
    <row r="1776" spans="2:2" x14ac:dyDescent="0.15">
      <c r="B1776"/>
    </row>
    <row r="1777" spans="2:2" x14ac:dyDescent="0.15">
      <c r="B1777"/>
    </row>
    <row r="1778" spans="2:2" x14ac:dyDescent="0.15">
      <c r="B1778"/>
    </row>
    <row r="1779" spans="2:2" x14ac:dyDescent="0.15">
      <c r="B1779"/>
    </row>
    <row r="1780" spans="2:2" x14ac:dyDescent="0.15">
      <c r="B1780"/>
    </row>
    <row r="1781" spans="2:2" x14ac:dyDescent="0.15">
      <c r="B1781"/>
    </row>
    <row r="1782" spans="2:2" x14ac:dyDescent="0.15">
      <c r="B1782"/>
    </row>
    <row r="1783" spans="2:2" x14ac:dyDescent="0.15">
      <c r="B1783"/>
    </row>
    <row r="1784" spans="2:2" x14ac:dyDescent="0.15">
      <c r="B1784"/>
    </row>
    <row r="1785" spans="2:2" x14ac:dyDescent="0.15">
      <c r="B1785"/>
    </row>
    <row r="1786" spans="2:2" x14ac:dyDescent="0.15">
      <c r="B1786"/>
    </row>
    <row r="1787" spans="2:2" x14ac:dyDescent="0.15">
      <c r="B1787"/>
    </row>
    <row r="1788" spans="2:2" x14ac:dyDescent="0.15">
      <c r="B1788"/>
    </row>
    <row r="1789" spans="2:2" x14ac:dyDescent="0.15">
      <c r="B1789"/>
    </row>
    <row r="1790" spans="2:2" x14ac:dyDescent="0.15">
      <c r="B1790"/>
    </row>
    <row r="1791" spans="2:2" x14ac:dyDescent="0.15">
      <c r="B1791"/>
    </row>
    <row r="1792" spans="2:2" x14ac:dyDescent="0.15">
      <c r="B1792"/>
    </row>
    <row r="1793" spans="2:2" x14ac:dyDescent="0.15">
      <c r="B1793"/>
    </row>
    <row r="1794" spans="2:2" x14ac:dyDescent="0.15">
      <c r="B1794"/>
    </row>
    <row r="1795" spans="2:2" x14ac:dyDescent="0.15">
      <c r="B1795"/>
    </row>
    <row r="1796" spans="2:2" x14ac:dyDescent="0.15">
      <c r="B1796"/>
    </row>
    <row r="1797" spans="2:2" x14ac:dyDescent="0.15">
      <c r="B1797"/>
    </row>
    <row r="1798" spans="2:2" x14ac:dyDescent="0.15">
      <c r="B1798"/>
    </row>
    <row r="1799" spans="2:2" x14ac:dyDescent="0.15">
      <c r="B1799"/>
    </row>
    <row r="1800" spans="2:2" x14ac:dyDescent="0.15">
      <c r="B1800"/>
    </row>
    <row r="1801" spans="2:2" x14ac:dyDescent="0.15">
      <c r="B1801"/>
    </row>
    <row r="1802" spans="2:2" x14ac:dyDescent="0.15">
      <c r="B1802"/>
    </row>
    <row r="1803" spans="2:2" x14ac:dyDescent="0.15">
      <c r="B1803"/>
    </row>
    <row r="1804" spans="2:2" x14ac:dyDescent="0.15">
      <c r="B1804"/>
    </row>
    <row r="1805" spans="2:2" x14ac:dyDescent="0.15">
      <c r="B1805"/>
    </row>
    <row r="1806" spans="2:2" x14ac:dyDescent="0.15">
      <c r="B1806"/>
    </row>
    <row r="1807" spans="2:2" x14ac:dyDescent="0.15">
      <c r="B1807"/>
    </row>
    <row r="1808" spans="2:2" x14ac:dyDescent="0.15">
      <c r="B1808"/>
    </row>
    <row r="1809" spans="2:2" x14ac:dyDescent="0.15">
      <c r="B1809"/>
    </row>
    <row r="1810" spans="2:2" x14ac:dyDescent="0.15">
      <c r="B1810"/>
    </row>
    <row r="1811" spans="2:2" x14ac:dyDescent="0.15">
      <c r="B1811"/>
    </row>
    <row r="1812" spans="2:2" x14ac:dyDescent="0.15">
      <c r="B1812"/>
    </row>
    <row r="1813" spans="2:2" x14ac:dyDescent="0.15">
      <c r="B1813"/>
    </row>
    <row r="1814" spans="2:2" x14ac:dyDescent="0.15">
      <c r="B1814"/>
    </row>
    <row r="1815" spans="2:2" x14ac:dyDescent="0.15">
      <c r="B1815"/>
    </row>
    <row r="1816" spans="2:2" x14ac:dyDescent="0.15">
      <c r="B1816"/>
    </row>
    <row r="1817" spans="2:2" x14ac:dyDescent="0.15">
      <c r="B1817"/>
    </row>
    <row r="1818" spans="2:2" x14ac:dyDescent="0.15">
      <c r="B1818"/>
    </row>
    <row r="1819" spans="2:2" x14ac:dyDescent="0.15">
      <c r="B1819"/>
    </row>
    <row r="1820" spans="2:2" x14ac:dyDescent="0.15">
      <c r="B1820"/>
    </row>
    <row r="1821" spans="2:2" x14ac:dyDescent="0.15">
      <c r="B1821"/>
    </row>
    <row r="1822" spans="2:2" x14ac:dyDescent="0.15">
      <c r="B1822"/>
    </row>
    <row r="1823" spans="2:2" x14ac:dyDescent="0.15">
      <c r="B1823"/>
    </row>
    <row r="1824" spans="2:2" x14ac:dyDescent="0.15">
      <c r="B1824"/>
    </row>
    <row r="1825" spans="2:2" x14ac:dyDescent="0.15">
      <c r="B1825"/>
    </row>
    <row r="1826" spans="2:2" x14ac:dyDescent="0.15">
      <c r="B1826"/>
    </row>
    <row r="1827" spans="2:2" x14ac:dyDescent="0.15">
      <c r="B1827"/>
    </row>
    <row r="1828" spans="2:2" x14ac:dyDescent="0.15">
      <c r="B1828"/>
    </row>
    <row r="1829" spans="2:2" x14ac:dyDescent="0.15">
      <c r="B1829"/>
    </row>
    <row r="1830" spans="2:2" x14ac:dyDescent="0.15">
      <c r="B1830"/>
    </row>
    <row r="1831" spans="2:2" x14ac:dyDescent="0.15">
      <c r="B1831"/>
    </row>
    <row r="1832" spans="2:2" x14ac:dyDescent="0.15">
      <c r="B1832"/>
    </row>
    <row r="1833" spans="2:2" x14ac:dyDescent="0.15">
      <c r="B1833"/>
    </row>
    <row r="1834" spans="2:2" x14ac:dyDescent="0.15">
      <c r="B1834"/>
    </row>
    <row r="1835" spans="2:2" x14ac:dyDescent="0.15">
      <c r="B1835"/>
    </row>
    <row r="1836" spans="2:2" x14ac:dyDescent="0.15">
      <c r="B1836"/>
    </row>
    <row r="1837" spans="2:2" x14ac:dyDescent="0.15">
      <c r="B1837"/>
    </row>
    <row r="1838" spans="2:2" x14ac:dyDescent="0.15">
      <c r="B1838"/>
    </row>
    <row r="1839" spans="2:2" x14ac:dyDescent="0.15">
      <c r="B1839"/>
    </row>
    <row r="1840" spans="2:2" x14ac:dyDescent="0.15">
      <c r="B1840"/>
    </row>
    <row r="1841" spans="2:2" x14ac:dyDescent="0.15">
      <c r="B1841"/>
    </row>
    <row r="1842" spans="2:2" x14ac:dyDescent="0.15">
      <c r="B1842"/>
    </row>
    <row r="1843" spans="2:2" x14ac:dyDescent="0.15">
      <c r="B1843"/>
    </row>
    <row r="1844" spans="2:2" x14ac:dyDescent="0.15">
      <c r="B1844"/>
    </row>
    <row r="1845" spans="2:2" x14ac:dyDescent="0.15">
      <c r="B1845"/>
    </row>
    <row r="1846" spans="2:2" x14ac:dyDescent="0.15">
      <c r="B1846"/>
    </row>
    <row r="1847" spans="2:2" x14ac:dyDescent="0.15">
      <c r="B1847"/>
    </row>
    <row r="1848" spans="2:2" x14ac:dyDescent="0.15">
      <c r="B1848"/>
    </row>
    <row r="1849" spans="2:2" x14ac:dyDescent="0.15">
      <c r="B1849"/>
    </row>
    <row r="1850" spans="2:2" x14ac:dyDescent="0.15">
      <c r="B1850"/>
    </row>
    <row r="1851" spans="2:2" x14ac:dyDescent="0.15">
      <c r="B1851"/>
    </row>
    <row r="1852" spans="2:2" x14ac:dyDescent="0.15">
      <c r="B1852"/>
    </row>
    <row r="1853" spans="2:2" x14ac:dyDescent="0.15">
      <c r="B1853"/>
    </row>
    <row r="1854" spans="2:2" x14ac:dyDescent="0.15">
      <c r="B1854"/>
    </row>
    <row r="1855" spans="2:2" x14ac:dyDescent="0.15">
      <c r="B1855"/>
    </row>
    <row r="1856" spans="2:2" x14ac:dyDescent="0.15">
      <c r="B1856"/>
    </row>
    <row r="1857" spans="2:2" x14ac:dyDescent="0.15">
      <c r="B1857"/>
    </row>
    <row r="1858" spans="2:2" x14ac:dyDescent="0.15">
      <c r="B1858"/>
    </row>
    <row r="1859" spans="2:2" x14ac:dyDescent="0.15">
      <c r="B1859"/>
    </row>
    <row r="1860" spans="2:2" x14ac:dyDescent="0.15">
      <c r="B1860"/>
    </row>
    <row r="1861" spans="2:2" x14ac:dyDescent="0.15">
      <c r="B1861"/>
    </row>
    <row r="1862" spans="2:2" x14ac:dyDescent="0.15">
      <c r="B1862"/>
    </row>
    <row r="1863" spans="2:2" x14ac:dyDescent="0.15">
      <c r="B1863"/>
    </row>
    <row r="1864" spans="2:2" x14ac:dyDescent="0.15">
      <c r="B1864"/>
    </row>
    <row r="1865" spans="2:2" x14ac:dyDescent="0.15">
      <c r="B1865"/>
    </row>
    <row r="1866" spans="2:2" x14ac:dyDescent="0.15">
      <c r="B1866"/>
    </row>
    <row r="1867" spans="2:2" x14ac:dyDescent="0.15">
      <c r="B1867"/>
    </row>
    <row r="1868" spans="2:2" x14ac:dyDescent="0.15">
      <c r="B1868"/>
    </row>
    <row r="1869" spans="2:2" x14ac:dyDescent="0.15">
      <c r="B1869"/>
    </row>
    <row r="1870" spans="2:2" x14ac:dyDescent="0.15">
      <c r="B1870"/>
    </row>
    <row r="1871" spans="2:2" x14ac:dyDescent="0.15">
      <c r="B1871"/>
    </row>
    <row r="1872" spans="2:2" x14ac:dyDescent="0.15">
      <c r="B1872"/>
    </row>
    <row r="1873" spans="2:2" x14ac:dyDescent="0.15">
      <c r="B1873"/>
    </row>
    <row r="1874" spans="2:2" x14ac:dyDescent="0.15">
      <c r="B1874"/>
    </row>
    <row r="1875" spans="2:2" x14ac:dyDescent="0.15">
      <c r="B1875"/>
    </row>
    <row r="1876" spans="2:2" x14ac:dyDescent="0.15">
      <c r="B1876"/>
    </row>
    <row r="1877" spans="2:2" x14ac:dyDescent="0.15">
      <c r="B1877"/>
    </row>
    <row r="1878" spans="2:2" x14ac:dyDescent="0.15">
      <c r="B1878"/>
    </row>
    <row r="1879" spans="2:2" x14ac:dyDescent="0.15">
      <c r="B1879"/>
    </row>
    <row r="1880" spans="2:2" x14ac:dyDescent="0.15">
      <c r="B1880"/>
    </row>
    <row r="1881" spans="2:2" x14ac:dyDescent="0.15">
      <c r="B1881"/>
    </row>
    <row r="1882" spans="2:2" x14ac:dyDescent="0.15">
      <c r="B1882"/>
    </row>
    <row r="1883" spans="2:2" x14ac:dyDescent="0.15">
      <c r="B1883"/>
    </row>
    <row r="1884" spans="2:2" x14ac:dyDescent="0.15">
      <c r="B1884"/>
    </row>
    <row r="1885" spans="2:2" x14ac:dyDescent="0.15">
      <c r="B1885"/>
    </row>
    <row r="1886" spans="2:2" x14ac:dyDescent="0.15">
      <c r="B1886"/>
    </row>
    <row r="1887" spans="2:2" x14ac:dyDescent="0.15">
      <c r="B1887"/>
    </row>
    <row r="1888" spans="2:2" x14ac:dyDescent="0.15">
      <c r="B1888"/>
    </row>
    <row r="1889" spans="2:2" x14ac:dyDescent="0.15">
      <c r="B1889"/>
    </row>
    <row r="1890" spans="2:2" x14ac:dyDescent="0.15">
      <c r="B1890"/>
    </row>
    <row r="1891" spans="2:2" x14ac:dyDescent="0.15">
      <c r="B1891"/>
    </row>
    <row r="1892" spans="2:2" x14ac:dyDescent="0.15">
      <c r="B1892"/>
    </row>
    <row r="1893" spans="2:2" x14ac:dyDescent="0.15">
      <c r="B1893"/>
    </row>
    <row r="1894" spans="2:2" x14ac:dyDescent="0.15">
      <c r="B1894"/>
    </row>
    <row r="1895" spans="2:2" x14ac:dyDescent="0.15">
      <c r="B1895"/>
    </row>
    <row r="1896" spans="2:2" x14ac:dyDescent="0.15">
      <c r="B1896"/>
    </row>
    <row r="1897" spans="2:2" x14ac:dyDescent="0.15">
      <c r="B1897"/>
    </row>
    <row r="1898" spans="2:2" x14ac:dyDescent="0.15">
      <c r="B1898"/>
    </row>
    <row r="1899" spans="2:2" x14ac:dyDescent="0.15">
      <c r="B1899"/>
    </row>
    <row r="1900" spans="2:2" x14ac:dyDescent="0.15">
      <c r="B1900"/>
    </row>
    <row r="1901" spans="2:2" x14ac:dyDescent="0.15">
      <c r="B1901"/>
    </row>
    <row r="1902" spans="2:2" x14ac:dyDescent="0.15">
      <c r="B1902"/>
    </row>
    <row r="1903" spans="2:2" x14ac:dyDescent="0.15">
      <c r="B1903"/>
    </row>
    <row r="1904" spans="2:2" x14ac:dyDescent="0.15">
      <c r="B1904"/>
    </row>
    <row r="1905" spans="2:2" x14ac:dyDescent="0.15">
      <c r="B1905"/>
    </row>
    <row r="1906" spans="2:2" x14ac:dyDescent="0.15">
      <c r="B1906"/>
    </row>
    <row r="1907" spans="2:2" x14ac:dyDescent="0.15">
      <c r="B1907"/>
    </row>
    <row r="1908" spans="2:2" x14ac:dyDescent="0.15">
      <c r="B1908"/>
    </row>
    <row r="1909" spans="2:2" x14ac:dyDescent="0.15">
      <c r="B1909"/>
    </row>
    <row r="1910" spans="2:2" x14ac:dyDescent="0.15">
      <c r="B1910"/>
    </row>
    <row r="1911" spans="2:2" x14ac:dyDescent="0.15">
      <c r="B1911"/>
    </row>
    <row r="1912" spans="2:2" x14ac:dyDescent="0.15">
      <c r="B1912"/>
    </row>
    <row r="1913" spans="2:2" x14ac:dyDescent="0.15">
      <c r="B1913"/>
    </row>
    <row r="1914" spans="2:2" x14ac:dyDescent="0.15">
      <c r="B1914"/>
    </row>
    <row r="1915" spans="2:2" x14ac:dyDescent="0.15">
      <c r="B1915"/>
    </row>
    <row r="1916" spans="2:2" x14ac:dyDescent="0.15">
      <c r="B1916"/>
    </row>
    <row r="1917" spans="2:2" x14ac:dyDescent="0.15">
      <c r="B1917"/>
    </row>
    <row r="1918" spans="2:2" x14ac:dyDescent="0.15">
      <c r="B1918"/>
    </row>
    <row r="1919" spans="2:2" x14ac:dyDescent="0.15">
      <c r="B1919"/>
    </row>
    <row r="1920" spans="2:2" x14ac:dyDescent="0.15">
      <c r="B1920"/>
    </row>
    <row r="1921" spans="2:2" x14ac:dyDescent="0.15">
      <c r="B1921"/>
    </row>
    <row r="1922" spans="2:2" x14ac:dyDescent="0.15">
      <c r="B1922"/>
    </row>
    <row r="1923" spans="2:2" x14ac:dyDescent="0.15">
      <c r="B1923"/>
    </row>
    <row r="1924" spans="2:2" x14ac:dyDescent="0.15">
      <c r="B1924"/>
    </row>
    <row r="1925" spans="2:2" x14ac:dyDescent="0.15">
      <c r="B1925"/>
    </row>
    <row r="1926" spans="2:2" x14ac:dyDescent="0.15">
      <c r="B1926"/>
    </row>
    <row r="1927" spans="2:2" x14ac:dyDescent="0.15">
      <c r="B1927"/>
    </row>
    <row r="1928" spans="2:2" x14ac:dyDescent="0.15">
      <c r="B1928"/>
    </row>
    <row r="1929" spans="2:2" x14ac:dyDescent="0.15">
      <c r="B1929"/>
    </row>
    <row r="1930" spans="2:2" x14ac:dyDescent="0.15">
      <c r="B1930"/>
    </row>
    <row r="1931" spans="2:2" x14ac:dyDescent="0.15">
      <c r="B1931"/>
    </row>
    <row r="1932" spans="2:2" x14ac:dyDescent="0.15">
      <c r="B1932"/>
    </row>
    <row r="1933" spans="2:2" x14ac:dyDescent="0.15">
      <c r="B1933"/>
    </row>
    <row r="1934" spans="2:2" x14ac:dyDescent="0.15">
      <c r="B1934"/>
    </row>
    <row r="1935" spans="2:2" x14ac:dyDescent="0.15">
      <c r="B1935"/>
    </row>
    <row r="1936" spans="2:2" x14ac:dyDescent="0.15">
      <c r="B1936"/>
    </row>
    <row r="1937" spans="2:2" x14ac:dyDescent="0.15">
      <c r="B1937"/>
    </row>
    <row r="1938" spans="2:2" x14ac:dyDescent="0.15">
      <c r="B1938"/>
    </row>
    <row r="1939" spans="2:2" x14ac:dyDescent="0.15">
      <c r="B1939"/>
    </row>
    <row r="1940" spans="2:2" x14ac:dyDescent="0.15">
      <c r="B1940"/>
    </row>
    <row r="1941" spans="2:2" x14ac:dyDescent="0.15">
      <c r="B1941"/>
    </row>
    <row r="1942" spans="2:2" x14ac:dyDescent="0.15">
      <c r="B1942"/>
    </row>
    <row r="1943" spans="2:2" x14ac:dyDescent="0.15">
      <c r="B1943"/>
    </row>
    <row r="1944" spans="2:2" x14ac:dyDescent="0.15">
      <c r="B1944"/>
    </row>
    <row r="1945" spans="2:2" x14ac:dyDescent="0.15">
      <c r="B1945"/>
    </row>
    <row r="1946" spans="2:2" x14ac:dyDescent="0.15">
      <c r="B1946"/>
    </row>
    <row r="1947" spans="2:2" x14ac:dyDescent="0.15">
      <c r="B1947"/>
    </row>
    <row r="1948" spans="2:2" x14ac:dyDescent="0.15">
      <c r="B1948"/>
    </row>
    <row r="1949" spans="2:2" x14ac:dyDescent="0.15">
      <c r="B1949"/>
    </row>
    <row r="1950" spans="2:2" x14ac:dyDescent="0.15">
      <c r="B1950"/>
    </row>
    <row r="1951" spans="2:2" x14ac:dyDescent="0.15">
      <c r="B1951"/>
    </row>
    <row r="1952" spans="2:2" x14ac:dyDescent="0.15">
      <c r="B1952"/>
    </row>
    <row r="1953" spans="2:2" x14ac:dyDescent="0.15">
      <c r="B1953"/>
    </row>
    <row r="1954" spans="2:2" x14ac:dyDescent="0.15">
      <c r="B1954"/>
    </row>
    <row r="1955" spans="2:2" x14ac:dyDescent="0.15">
      <c r="B1955"/>
    </row>
    <row r="1956" spans="2:2" x14ac:dyDescent="0.15">
      <c r="B1956"/>
    </row>
    <row r="1957" spans="2:2" x14ac:dyDescent="0.15">
      <c r="B1957"/>
    </row>
    <row r="1958" spans="2:2" x14ac:dyDescent="0.15">
      <c r="B1958"/>
    </row>
    <row r="1959" spans="2:2" x14ac:dyDescent="0.15">
      <c r="B1959"/>
    </row>
    <row r="1960" spans="2:2" x14ac:dyDescent="0.15">
      <c r="B1960"/>
    </row>
    <row r="1961" spans="2:2" x14ac:dyDescent="0.15">
      <c r="B1961"/>
    </row>
    <row r="1962" spans="2:2" x14ac:dyDescent="0.15">
      <c r="B1962"/>
    </row>
    <row r="1963" spans="2:2" x14ac:dyDescent="0.15">
      <c r="B1963"/>
    </row>
    <row r="1964" spans="2:2" x14ac:dyDescent="0.15">
      <c r="B1964"/>
    </row>
    <row r="1965" spans="2:2" x14ac:dyDescent="0.15">
      <c r="B1965"/>
    </row>
    <row r="1966" spans="2:2" x14ac:dyDescent="0.15">
      <c r="B1966"/>
    </row>
    <row r="1967" spans="2:2" x14ac:dyDescent="0.15">
      <c r="B1967"/>
    </row>
    <row r="1968" spans="2:2" x14ac:dyDescent="0.15">
      <c r="B1968"/>
    </row>
    <row r="1969" spans="2:2" x14ac:dyDescent="0.15">
      <c r="B1969"/>
    </row>
    <row r="1970" spans="2:2" x14ac:dyDescent="0.15">
      <c r="B1970"/>
    </row>
    <row r="1971" spans="2:2" x14ac:dyDescent="0.15">
      <c r="B1971"/>
    </row>
    <row r="1972" spans="2:2" x14ac:dyDescent="0.15">
      <c r="B1972"/>
    </row>
    <row r="1973" spans="2:2" x14ac:dyDescent="0.15">
      <c r="B1973"/>
    </row>
    <row r="1974" spans="2:2" x14ac:dyDescent="0.15">
      <c r="B1974"/>
    </row>
    <row r="1975" spans="2:2" x14ac:dyDescent="0.15">
      <c r="B1975"/>
    </row>
    <row r="1976" spans="2:2" x14ac:dyDescent="0.15">
      <c r="B1976"/>
    </row>
    <row r="1977" spans="2:2" x14ac:dyDescent="0.15">
      <c r="B1977"/>
    </row>
    <row r="1978" spans="2:2" x14ac:dyDescent="0.15">
      <c r="B1978"/>
    </row>
    <row r="1979" spans="2:2" x14ac:dyDescent="0.15">
      <c r="B1979"/>
    </row>
    <row r="1980" spans="2:2" x14ac:dyDescent="0.15">
      <c r="B1980"/>
    </row>
    <row r="1981" spans="2:2" x14ac:dyDescent="0.15">
      <c r="B1981"/>
    </row>
    <row r="1982" spans="2:2" x14ac:dyDescent="0.15">
      <c r="B1982"/>
    </row>
    <row r="1983" spans="2:2" x14ac:dyDescent="0.15">
      <c r="B1983"/>
    </row>
    <row r="1984" spans="2:2" x14ac:dyDescent="0.15">
      <c r="B1984"/>
    </row>
    <row r="1985" spans="2:2" x14ac:dyDescent="0.15">
      <c r="B1985"/>
    </row>
    <row r="1986" spans="2:2" x14ac:dyDescent="0.15">
      <c r="B1986"/>
    </row>
    <row r="1987" spans="2:2" x14ac:dyDescent="0.15">
      <c r="B1987"/>
    </row>
    <row r="1988" spans="2:2" x14ac:dyDescent="0.15">
      <c r="B1988"/>
    </row>
    <row r="1989" spans="2:2" x14ac:dyDescent="0.15">
      <c r="B1989"/>
    </row>
    <row r="1990" spans="2:2" x14ac:dyDescent="0.15">
      <c r="B1990"/>
    </row>
    <row r="1991" spans="2:2" x14ac:dyDescent="0.15">
      <c r="B1991"/>
    </row>
    <row r="1992" spans="2:2" x14ac:dyDescent="0.15">
      <c r="B1992"/>
    </row>
    <row r="1993" spans="2:2" x14ac:dyDescent="0.15">
      <c r="B1993"/>
    </row>
    <row r="1994" spans="2:2" x14ac:dyDescent="0.15">
      <c r="B1994"/>
    </row>
    <row r="1995" spans="2:2" x14ac:dyDescent="0.15">
      <c r="B1995"/>
    </row>
    <row r="1996" spans="2:2" x14ac:dyDescent="0.15">
      <c r="B1996"/>
    </row>
    <row r="1997" spans="2:2" x14ac:dyDescent="0.15">
      <c r="B1997"/>
    </row>
    <row r="1998" spans="2:2" x14ac:dyDescent="0.15">
      <c r="B1998"/>
    </row>
    <row r="1999" spans="2:2" x14ac:dyDescent="0.15">
      <c r="B1999"/>
    </row>
    <row r="2000" spans="2:2" x14ac:dyDescent="0.15">
      <c r="B2000"/>
    </row>
    <row r="2001" spans="2:2" x14ac:dyDescent="0.15">
      <c r="B2001"/>
    </row>
    <row r="2002" spans="2:2" x14ac:dyDescent="0.15">
      <c r="B2002"/>
    </row>
    <row r="2003" spans="2:2" x14ac:dyDescent="0.15">
      <c r="B2003"/>
    </row>
    <row r="2004" spans="2:2" x14ac:dyDescent="0.15">
      <c r="B2004"/>
    </row>
    <row r="2005" spans="2:2" x14ac:dyDescent="0.15">
      <c r="B2005"/>
    </row>
    <row r="2006" spans="2:2" x14ac:dyDescent="0.15">
      <c r="B2006"/>
    </row>
    <row r="2007" spans="2:2" x14ac:dyDescent="0.15">
      <c r="B2007"/>
    </row>
    <row r="2008" spans="2:2" x14ac:dyDescent="0.15">
      <c r="B2008"/>
    </row>
    <row r="2009" spans="2:2" x14ac:dyDescent="0.15">
      <c r="B2009"/>
    </row>
    <row r="2010" spans="2:2" x14ac:dyDescent="0.15">
      <c r="B2010"/>
    </row>
    <row r="2011" spans="2:2" x14ac:dyDescent="0.15">
      <c r="B2011"/>
    </row>
    <row r="2012" spans="2:2" x14ac:dyDescent="0.15">
      <c r="B2012"/>
    </row>
    <row r="2013" spans="2:2" x14ac:dyDescent="0.15">
      <c r="B2013"/>
    </row>
    <row r="2014" spans="2:2" x14ac:dyDescent="0.15">
      <c r="B2014"/>
    </row>
    <row r="2015" spans="2:2" x14ac:dyDescent="0.15">
      <c r="B2015"/>
    </row>
    <row r="2016" spans="2:2" x14ac:dyDescent="0.15">
      <c r="B2016"/>
    </row>
    <row r="2017" spans="2:2" x14ac:dyDescent="0.15">
      <c r="B2017"/>
    </row>
    <row r="2018" spans="2:2" x14ac:dyDescent="0.15">
      <c r="B2018"/>
    </row>
    <row r="2019" spans="2:2" x14ac:dyDescent="0.15">
      <c r="B2019"/>
    </row>
    <row r="2020" spans="2:2" x14ac:dyDescent="0.15">
      <c r="B2020"/>
    </row>
    <row r="2021" spans="2:2" x14ac:dyDescent="0.15">
      <c r="B2021"/>
    </row>
    <row r="2022" spans="2:2" x14ac:dyDescent="0.15">
      <c r="B2022"/>
    </row>
    <row r="2023" spans="2:2" x14ac:dyDescent="0.15">
      <c r="B2023"/>
    </row>
    <row r="2024" spans="2:2" x14ac:dyDescent="0.15">
      <c r="B2024"/>
    </row>
    <row r="2025" spans="2:2" x14ac:dyDescent="0.15">
      <c r="B2025"/>
    </row>
    <row r="2026" spans="2:2" x14ac:dyDescent="0.15">
      <c r="B2026"/>
    </row>
    <row r="2027" spans="2:2" x14ac:dyDescent="0.15">
      <c r="B2027"/>
    </row>
    <row r="2028" spans="2:2" x14ac:dyDescent="0.15">
      <c r="B2028"/>
    </row>
    <row r="2029" spans="2:2" x14ac:dyDescent="0.15">
      <c r="B2029"/>
    </row>
    <row r="2030" spans="2:2" x14ac:dyDescent="0.15">
      <c r="B2030"/>
    </row>
    <row r="2031" spans="2:2" x14ac:dyDescent="0.15">
      <c r="B2031"/>
    </row>
    <row r="2032" spans="2:2" x14ac:dyDescent="0.15">
      <c r="B2032"/>
    </row>
    <row r="2033" spans="2:2" x14ac:dyDescent="0.15">
      <c r="B2033"/>
    </row>
    <row r="2034" spans="2:2" x14ac:dyDescent="0.15">
      <c r="B2034"/>
    </row>
    <row r="2035" spans="2:2" x14ac:dyDescent="0.15">
      <c r="B2035"/>
    </row>
    <row r="2036" spans="2:2" x14ac:dyDescent="0.15">
      <c r="B2036"/>
    </row>
    <row r="2037" spans="2:2" x14ac:dyDescent="0.15">
      <c r="B2037"/>
    </row>
    <row r="2038" spans="2:2" x14ac:dyDescent="0.15">
      <c r="B2038"/>
    </row>
    <row r="2039" spans="2:2" x14ac:dyDescent="0.15">
      <c r="B2039"/>
    </row>
    <row r="2040" spans="2:2" x14ac:dyDescent="0.15">
      <c r="B2040"/>
    </row>
    <row r="2041" spans="2:2" x14ac:dyDescent="0.15">
      <c r="B2041"/>
    </row>
    <row r="2042" spans="2:2" x14ac:dyDescent="0.15">
      <c r="B2042"/>
    </row>
    <row r="2043" spans="2:2" x14ac:dyDescent="0.15">
      <c r="B2043"/>
    </row>
    <row r="2044" spans="2:2" x14ac:dyDescent="0.15">
      <c r="B2044"/>
    </row>
    <row r="2045" spans="2:2" x14ac:dyDescent="0.15">
      <c r="B2045"/>
    </row>
    <row r="2046" spans="2:2" x14ac:dyDescent="0.15">
      <c r="B2046"/>
    </row>
    <row r="2047" spans="2:2" x14ac:dyDescent="0.15">
      <c r="B2047"/>
    </row>
    <row r="2048" spans="2:2" x14ac:dyDescent="0.15">
      <c r="B2048"/>
    </row>
    <row r="2049" spans="2:2" x14ac:dyDescent="0.15">
      <c r="B2049"/>
    </row>
    <row r="2050" spans="2:2" x14ac:dyDescent="0.15">
      <c r="B2050"/>
    </row>
    <row r="2051" spans="2:2" x14ac:dyDescent="0.15">
      <c r="B2051"/>
    </row>
    <row r="2052" spans="2:2" x14ac:dyDescent="0.15">
      <c r="B2052"/>
    </row>
    <row r="2053" spans="2:2" x14ac:dyDescent="0.15">
      <c r="B2053"/>
    </row>
    <row r="2054" spans="2:2" x14ac:dyDescent="0.15">
      <c r="B2054"/>
    </row>
    <row r="2055" spans="2:2" x14ac:dyDescent="0.15">
      <c r="B2055"/>
    </row>
    <row r="2056" spans="2:2" x14ac:dyDescent="0.15">
      <c r="B2056"/>
    </row>
    <row r="2057" spans="2:2" x14ac:dyDescent="0.15">
      <c r="B2057"/>
    </row>
    <row r="2058" spans="2:2" x14ac:dyDescent="0.15">
      <c r="B2058"/>
    </row>
    <row r="2059" spans="2:2" x14ac:dyDescent="0.15">
      <c r="B2059"/>
    </row>
    <row r="2060" spans="2:2" x14ac:dyDescent="0.15">
      <c r="B2060"/>
    </row>
    <row r="2061" spans="2:2" x14ac:dyDescent="0.15">
      <c r="B2061"/>
    </row>
    <row r="2062" spans="2:2" x14ac:dyDescent="0.15">
      <c r="B2062"/>
    </row>
    <row r="2063" spans="2:2" x14ac:dyDescent="0.15">
      <c r="B2063"/>
    </row>
    <row r="2064" spans="2:2" x14ac:dyDescent="0.15">
      <c r="B2064"/>
    </row>
    <row r="2065" spans="2:2" x14ac:dyDescent="0.15">
      <c r="B2065"/>
    </row>
    <row r="2066" spans="2:2" x14ac:dyDescent="0.15">
      <c r="B2066"/>
    </row>
    <row r="2067" spans="2:2" x14ac:dyDescent="0.15">
      <c r="B2067"/>
    </row>
    <row r="2068" spans="2:2" x14ac:dyDescent="0.15">
      <c r="B2068"/>
    </row>
    <row r="2069" spans="2:2" x14ac:dyDescent="0.15">
      <c r="B2069"/>
    </row>
    <row r="2070" spans="2:2" x14ac:dyDescent="0.15">
      <c r="B2070"/>
    </row>
    <row r="2071" spans="2:2" x14ac:dyDescent="0.15">
      <c r="B2071"/>
    </row>
    <row r="2072" spans="2:2" x14ac:dyDescent="0.15">
      <c r="B2072"/>
    </row>
    <row r="2073" spans="2:2" x14ac:dyDescent="0.15">
      <c r="B2073"/>
    </row>
    <row r="2074" spans="2:2" x14ac:dyDescent="0.15">
      <c r="B2074"/>
    </row>
    <row r="2075" spans="2:2" x14ac:dyDescent="0.15">
      <c r="B2075"/>
    </row>
    <row r="2076" spans="2:2" x14ac:dyDescent="0.15">
      <c r="B2076"/>
    </row>
    <row r="2077" spans="2:2" x14ac:dyDescent="0.15">
      <c r="B2077"/>
    </row>
    <row r="2078" spans="2:2" x14ac:dyDescent="0.15">
      <c r="B2078"/>
    </row>
    <row r="2079" spans="2:2" x14ac:dyDescent="0.15">
      <c r="B2079"/>
    </row>
    <row r="2080" spans="2:2" x14ac:dyDescent="0.15">
      <c r="B2080"/>
    </row>
    <row r="2081" spans="2:2" x14ac:dyDescent="0.15">
      <c r="B2081"/>
    </row>
    <row r="2082" spans="2:2" x14ac:dyDescent="0.15">
      <c r="B2082"/>
    </row>
    <row r="2083" spans="2:2" x14ac:dyDescent="0.15">
      <c r="B2083"/>
    </row>
    <row r="2084" spans="2:2" x14ac:dyDescent="0.15">
      <c r="B2084"/>
    </row>
    <row r="2085" spans="2:2" x14ac:dyDescent="0.15">
      <c r="B2085"/>
    </row>
    <row r="2086" spans="2:2" x14ac:dyDescent="0.15">
      <c r="B2086"/>
    </row>
    <row r="2087" spans="2:2" x14ac:dyDescent="0.15">
      <c r="B2087"/>
    </row>
    <row r="2088" spans="2:2" x14ac:dyDescent="0.15">
      <c r="B2088"/>
    </row>
    <row r="2089" spans="2:2" x14ac:dyDescent="0.15">
      <c r="B2089"/>
    </row>
    <row r="2090" spans="2:2" x14ac:dyDescent="0.15">
      <c r="B2090"/>
    </row>
    <row r="2091" spans="2:2" x14ac:dyDescent="0.15">
      <c r="B2091"/>
    </row>
    <row r="2092" spans="2:2" x14ac:dyDescent="0.15">
      <c r="B2092"/>
    </row>
    <row r="2093" spans="2:2" x14ac:dyDescent="0.15">
      <c r="B2093"/>
    </row>
    <row r="2094" spans="2:2" x14ac:dyDescent="0.15">
      <c r="B2094"/>
    </row>
    <row r="2095" spans="2:2" x14ac:dyDescent="0.15">
      <c r="B2095"/>
    </row>
    <row r="2096" spans="2:2" x14ac:dyDescent="0.15">
      <c r="B2096"/>
    </row>
    <row r="2097" spans="2:2" x14ac:dyDescent="0.15">
      <c r="B2097"/>
    </row>
    <row r="2098" spans="2:2" x14ac:dyDescent="0.15">
      <c r="B2098"/>
    </row>
    <row r="2099" spans="2:2" x14ac:dyDescent="0.15">
      <c r="B2099"/>
    </row>
    <row r="2100" spans="2:2" x14ac:dyDescent="0.15">
      <c r="B2100"/>
    </row>
    <row r="2101" spans="2:2" x14ac:dyDescent="0.15">
      <c r="B2101"/>
    </row>
    <row r="2102" spans="2:2" x14ac:dyDescent="0.15">
      <c r="B2102"/>
    </row>
    <row r="2103" spans="2:2" x14ac:dyDescent="0.15">
      <c r="B2103"/>
    </row>
    <row r="2104" spans="2:2" x14ac:dyDescent="0.15">
      <c r="B2104"/>
    </row>
    <row r="2105" spans="2:2" x14ac:dyDescent="0.15">
      <c r="B2105"/>
    </row>
    <row r="2106" spans="2:2" x14ac:dyDescent="0.15">
      <c r="B2106"/>
    </row>
    <row r="2107" spans="2:2" x14ac:dyDescent="0.15">
      <c r="B2107"/>
    </row>
    <row r="2108" spans="2:2" x14ac:dyDescent="0.15">
      <c r="B2108"/>
    </row>
    <row r="2109" spans="2:2" x14ac:dyDescent="0.15">
      <c r="B2109"/>
    </row>
    <row r="2110" spans="2:2" x14ac:dyDescent="0.15">
      <c r="B2110"/>
    </row>
    <row r="2111" spans="2:2" x14ac:dyDescent="0.15">
      <c r="B2111"/>
    </row>
    <row r="2112" spans="2:2" x14ac:dyDescent="0.15">
      <c r="B2112"/>
    </row>
    <row r="2113" spans="2:2" x14ac:dyDescent="0.15">
      <c r="B2113"/>
    </row>
    <row r="2114" spans="2:2" x14ac:dyDescent="0.15">
      <c r="B2114"/>
    </row>
    <row r="2115" spans="2:2" x14ac:dyDescent="0.15">
      <c r="B2115"/>
    </row>
    <row r="2116" spans="2:2" x14ac:dyDescent="0.15">
      <c r="B2116"/>
    </row>
    <row r="2117" spans="2:2" x14ac:dyDescent="0.15">
      <c r="B2117"/>
    </row>
    <row r="2118" spans="2:2" x14ac:dyDescent="0.15">
      <c r="B2118"/>
    </row>
    <row r="2119" spans="2:2" x14ac:dyDescent="0.15">
      <c r="B2119"/>
    </row>
    <row r="2120" spans="2:2" x14ac:dyDescent="0.15">
      <c r="B2120"/>
    </row>
    <row r="2121" spans="2:2" x14ac:dyDescent="0.15">
      <c r="B2121"/>
    </row>
    <row r="2122" spans="2:2" x14ac:dyDescent="0.15">
      <c r="B2122"/>
    </row>
    <row r="2123" spans="2:2" x14ac:dyDescent="0.15">
      <c r="B2123"/>
    </row>
    <row r="2124" spans="2:2" x14ac:dyDescent="0.15">
      <c r="B2124"/>
    </row>
    <row r="2125" spans="2:2" x14ac:dyDescent="0.15">
      <c r="B2125"/>
    </row>
    <row r="2126" spans="2:2" x14ac:dyDescent="0.15">
      <c r="B2126"/>
    </row>
    <row r="2127" spans="2:2" x14ac:dyDescent="0.15">
      <c r="B2127"/>
    </row>
    <row r="2128" spans="2:2" x14ac:dyDescent="0.15">
      <c r="B2128"/>
    </row>
    <row r="2129" spans="2:2" x14ac:dyDescent="0.15">
      <c r="B2129"/>
    </row>
    <row r="2130" spans="2:2" x14ac:dyDescent="0.15">
      <c r="B2130"/>
    </row>
    <row r="2131" spans="2:2" x14ac:dyDescent="0.15">
      <c r="B2131"/>
    </row>
    <row r="2132" spans="2:2" x14ac:dyDescent="0.15">
      <c r="B2132"/>
    </row>
    <row r="2133" spans="2:2" x14ac:dyDescent="0.15">
      <c r="B2133"/>
    </row>
    <row r="2134" spans="2:2" x14ac:dyDescent="0.15">
      <c r="B2134"/>
    </row>
    <row r="2135" spans="2:2" x14ac:dyDescent="0.15">
      <c r="B2135"/>
    </row>
    <row r="2136" spans="2:2" x14ac:dyDescent="0.15">
      <c r="B2136"/>
    </row>
    <row r="2137" spans="2:2" x14ac:dyDescent="0.15">
      <c r="B2137"/>
    </row>
    <row r="2138" spans="2:2" x14ac:dyDescent="0.15">
      <c r="B2138"/>
    </row>
    <row r="2139" spans="2:2" x14ac:dyDescent="0.15">
      <c r="B2139"/>
    </row>
    <row r="2140" spans="2:2" x14ac:dyDescent="0.15">
      <c r="B2140"/>
    </row>
    <row r="2141" spans="2:2" x14ac:dyDescent="0.15">
      <c r="B2141"/>
    </row>
    <row r="2142" spans="2:2" x14ac:dyDescent="0.15">
      <c r="B2142"/>
    </row>
    <row r="2143" spans="2:2" x14ac:dyDescent="0.15">
      <c r="B2143"/>
    </row>
    <row r="2144" spans="2:2" x14ac:dyDescent="0.15">
      <c r="B2144"/>
    </row>
    <row r="2145" spans="2:2" x14ac:dyDescent="0.15">
      <c r="B2145"/>
    </row>
    <row r="2146" spans="2:2" x14ac:dyDescent="0.15">
      <c r="B2146"/>
    </row>
    <row r="2147" spans="2:2" x14ac:dyDescent="0.15">
      <c r="B2147"/>
    </row>
    <row r="2148" spans="2:2" x14ac:dyDescent="0.15">
      <c r="B2148"/>
    </row>
    <row r="2149" spans="2:2" x14ac:dyDescent="0.15">
      <c r="B2149"/>
    </row>
    <row r="2150" spans="2:2" x14ac:dyDescent="0.15">
      <c r="B2150"/>
    </row>
    <row r="2151" spans="2:2" x14ac:dyDescent="0.15">
      <c r="B2151"/>
    </row>
    <row r="2152" spans="2:2" x14ac:dyDescent="0.15">
      <c r="B2152"/>
    </row>
    <row r="2153" spans="2:2" x14ac:dyDescent="0.15">
      <c r="B2153"/>
    </row>
    <row r="2154" spans="2:2" x14ac:dyDescent="0.15">
      <c r="B2154"/>
    </row>
    <row r="2155" spans="2:2" x14ac:dyDescent="0.15">
      <c r="B2155"/>
    </row>
    <row r="2156" spans="2:2" x14ac:dyDescent="0.15">
      <c r="B2156"/>
    </row>
    <row r="2157" spans="2:2" x14ac:dyDescent="0.15">
      <c r="B2157"/>
    </row>
    <row r="2158" spans="2:2" x14ac:dyDescent="0.15">
      <c r="B2158"/>
    </row>
    <row r="2159" spans="2:2" x14ac:dyDescent="0.15">
      <c r="B2159"/>
    </row>
    <row r="2160" spans="2:2" x14ac:dyDescent="0.15">
      <c r="B2160"/>
    </row>
    <row r="2161" spans="2:2" x14ac:dyDescent="0.15">
      <c r="B2161"/>
    </row>
    <row r="2162" spans="2:2" x14ac:dyDescent="0.15">
      <c r="B2162"/>
    </row>
    <row r="2163" spans="2:2" x14ac:dyDescent="0.15">
      <c r="B2163"/>
    </row>
    <row r="2164" spans="2:2" x14ac:dyDescent="0.15">
      <c r="B2164"/>
    </row>
    <row r="2165" spans="2:2" x14ac:dyDescent="0.15">
      <c r="B2165"/>
    </row>
    <row r="2166" spans="2:2" x14ac:dyDescent="0.15">
      <c r="B2166"/>
    </row>
    <row r="2167" spans="2:2" x14ac:dyDescent="0.15">
      <c r="B2167"/>
    </row>
    <row r="2168" spans="2:2" x14ac:dyDescent="0.15">
      <c r="B2168"/>
    </row>
    <row r="2169" spans="2:2" x14ac:dyDescent="0.15">
      <c r="B2169"/>
    </row>
    <row r="2170" spans="2:2" x14ac:dyDescent="0.15">
      <c r="B2170"/>
    </row>
    <row r="2171" spans="2:2" x14ac:dyDescent="0.15">
      <c r="B2171"/>
    </row>
    <row r="2172" spans="2:2" x14ac:dyDescent="0.15">
      <c r="B2172"/>
    </row>
    <row r="2173" spans="2:2" x14ac:dyDescent="0.15">
      <c r="B2173"/>
    </row>
    <row r="2174" spans="2:2" x14ac:dyDescent="0.15">
      <c r="B2174"/>
    </row>
    <row r="2175" spans="2:2" x14ac:dyDescent="0.15">
      <c r="B2175"/>
    </row>
    <row r="2176" spans="2:2" x14ac:dyDescent="0.15">
      <c r="B2176"/>
    </row>
    <row r="2177" spans="2:2" x14ac:dyDescent="0.15">
      <c r="B2177"/>
    </row>
    <row r="2178" spans="2:2" x14ac:dyDescent="0.15">
      <c r="B2178"/>
    </row>
    <row r="2179" spans="2:2" x14ac:dyDescent="0.15">
      <c r="B2179"/>
    </row>
    <row r="2180" spans="2:2" x14ac:dyDescent="0.15">
      <c r="B2180"/>
    </row>
    <row r="2181" spans="2:2" x14ac:dyDescent="0.15">
      <c r="B2181"/>
    </row>
    <row r="2182" spans="2:2" x14ac:dyDescent="0.15">
      <c r="B2182"/>
    </row>
    <row r="2183" spans="2:2" x14ac:dyDescent="0.15">
      <c r="B2183"/>
    </row>
    <row r="2184" spans="2:2" x14ac:dyDescent="0.15">
      <c r="B2184"/>
    </row>
    <row r="2185" spans="2:2" x14ac:dyDescent="0.15">
      <c r="B2185"/>
    </row>
    <row r="2186" spans="2:2" x14ac:dyDescent="0.15">
      <c r="B2186"/>
    </row>
    <row r="2187" spans="2:2" x14ac:dyDescent="0.15">
      <c r="B2187"/>
    </row>
    <row r="2188" spans="2:2" x14ac:dyDescent="0.15">
      <c r="B2188"/>
    </row>
    <row r="2189" spans="2:2" x14ac:dyDescent="0.15">
      <c r="B2189"/>
    </row>
    <row r="2190" spans="2:2" x14ac:dyDescent="0.15">
      <c r="B2190"/>
    </row>
    <row r="2191" spans="2:2" x14ac:dyDescent="0.15">
      <c r="B2191"/>
    </row>
    <row r="2192" spans="2:2" x14ac:dyDescent="0.15">
      <c r="B2192"/>
    </row>
    <row r="2193" spans="2:2" x14ac:dyDescent="0.15">
      <c r="B2193"/>
    </row>
    <row r="2194" spans="2:2" x14ac:dyDescent="0.15">
      <c r="B2194"/>
    </row>
    <row r="2195" spans="2:2" x14ac:dyDescent="0.15">
      <c r="B2195"/>
    </row>
    <row r="2196" spans="2:2" x14ac:dyDescent="0.15">
      <c r="B2196"/>
    </row>
    <row r="2197" spans="2:2" x14ac:dyDescent="0.15">
      <c r="B2197"/>
    </row>
    <row r="2198" spans="2:2" x14ac:dyDescent="0.15">
      <c r="B2198"/>
    </row>
    <row r="2199" spans="2:2" x14ac:dyDescent="0.15">
      <c r="B2199"/>
    </row>
    <row r="2200" spans="2:2" x14ac:dyDescent="0.15">
      <c r="B2200"/>
    </row>
    <row r="2201" spans="2:2" x14ac:dyDescent="0.15">
      <c r="B2201"/>
    </row>
    <row r="2202" spans="2:2" x14ac:dyDescent="0.15">
      <c r="B2202"/>
    </row>
    <row r="2203" spans="2:2" x14ac:dyDescent="0.15">
      <c r="B2203"/>
    </row>
    <row r="2204" spans="2:2" x14ac:dyDescent="0.15">
      <c r="B2204"/>
    </row>
    <row r="2205" spans="2:2" x14ac:dyDescent="0.15">
      <c r="B2205"/>
    </row>
    <row r="2206" spans="2:2" x14ac:dyDescent="0.15">
      <c r="B2206"/>
    </row>
    <row r="2207" spans="2:2" x14ac:dyDescent="0.15">
      <c r="B2207"/>
    </row>
    <row r="2208" spans="2:2" x14ac:dyDescent="0.15">
      <c r="B2208"/>
    </row>
    <row r="2209" spans="2:2" x14ac:dyDescent="0.15">
      <c r="B2209"/>
    </row>
    <row r="2210" spans="2:2" x14ac:dyDescent="0.15">
      <c r="B2210"/>
    </row>
    <row r="2211" spans="2:2" x14ac:dyDescent="0.15">
      <c r="B2211"/>
    </row>
    <row r="2212" spans="2:2" x14ac:dyDescent="0.15">
      <c r="B2212"/>
    </row>
    <row r="2213" spans="2:2" x14ac:dyDescent="0.15">
      <c r="B2213"/>
    </row>
    <row r="2214" spans="2:2" x14ac:dyDescent="0.15">
      <c r="B2214"/>
    </row>
    <row r="2215" spans="2:2" x14ac:dyDescent="0.15">
      <c r="B2215"/>
    </row>
    <row r="2216" spans="2:2" x14ac:dyDescent="0.15">
      <c r="B2216"/>
    </row>
    <row r="2217" spans="2:2" x14ac:dyDescent="0.15">
      <c r="B2217"/>
    </row>
    <row r="2218" spans="2:2" x14ac:dyDescent="0.15">
      <c r="B2218"/>
    </row>
    <row r="2219" spans="2:2" x14ac:dyDescent="0.15">
      <c r="B2219"/>
    </row>
    <row r="2220" spans="2:2" x14ac:dyDescent="0.15">
      <c r="B2220"/>
    </row>
    <row r="2221" spans="2:2" x14ac:dyDescent="0.15">
      <c r="B2221"/>
    </row>
    <row r="2222" spans="2:2" x14ac:dyDescent="0.15">
      <c r="B2222"/>
    </row>
    <row r="2223" spans="2:2" x14ac:dyDescent="0.15">
      <c r="B2223"/>
    </row>
    <row r="2224" spans="2:2" x14ac:dyDescent="0.15">
      <c r="B2224"/>
    </row>
    <row r="2225" spans="2:2" x14ac:dyDescent="0.15">
      <c r="B2225"/>
    </row>
    <row r="2226" spans="2:2" x14ac:dyDescent="0.15">
      <c r="B2226"/>
    </row>
    <row r="2227" spans="2:2" x14ac:dyDescent="0.15">
      <c r="B2227"/>
    </row>
    <row r="2228" spans="2:2" x14ac:dyDescent="0.15">
      <c r="B2228"/>
    </row>
    <row r="2229" spans="2:2" x14ac:dyDescent="0.15">
      <c r="B2229"/>
    </row>
    <row r="2230" spans="2:2" x14ac:dyDescent="0.15">
      <c r="B2230"/>
    </row>
    <row r="2231" spans="2:2" x14ac:dyDescent="0.15">
      <c r="B2231"/>
    </row>
    <row r="2232" spans="2:2" x14ac:dyDescent="0.15">
      <c r="B2232"/>
    </row>
    <row r="2233" spans="2:2" x14ac:dyDescent="0.15">
      <c r="B2233"/>
    </row>
    <row r="2234" spans="2:2" x14ac:dyDescent="0.15">
      <c r="B2234"/>
    </row>
    <row r="2235" spans="2:2" x14ac:dyDescent="0.15">
      <c r="B2235"/>
    </row>
    <row r="2236" spans="2:2" x14ac:dyDescent="0.15">
      <c r="B2236"/>
    </row>
    <row r="2237" spans="2:2" x14ac:dyDescent="0.15">
      <c r="B2237"/>
    </row>
    <row r="2238" spans="2:2" x14ac:dyDescent="0.15">
      <c r="B2238"/>
    </row>
    <row r="2239" spans="2:2" x14ac:dyDescent="0.15">
      <c r="B2239"/>
    </row>
    <row r="2240" spans="2:2" x14ac:dyDescent="0.15">
      <c r="B2240"/>
    </row>
    <row r="2241" spans="2:2" x14ac:dyDescent="0.15">
      <c r="B2241"/>
    </row>
    <row r="2242" spans="2:2" x14ac:dyDescent="0.15">
      <c r="B2242"/>
    </row>
    <row r="2243" spans="2:2" x14ac:dyDescent="0.15">
      <c r="B2243"/>
    </row>
    <row r="2244" spans="2:2" x14ac:dyDescent="0.15">
      <c r="B2244"/>
    </row>
    <row r="2245" spans="2:2" x14ac:dyDescent="0.15">
      <c r="B2245"/>
    </row>
    <row r="2246" spans="2:2" x14ac:dyDescent="0.15">
      <c r="B2246"/>
    </row>
    <row r="2247" spans="2:2" x14ac:dyDescent="0.15">
      <c r="B2247"/>
    </row>
    <row r="2248" spans="2:2" x14ac:dyDescent="0.15">
      <c r="B2248"/>
    </row>
    <row r="2249" spans="2:2" x14ac:dyDescent="0.15">
      <c r="B2249"/>
    </row>
    <row r="2250" spans="2:2" x14ac:dyDescent="0.15">
      <c r="B2250"/>
    </row>
    <row r="2251" spans="2:2" x14ac:dyDescent="0.15">
      <c r="B2251"/>
    </row>
    <row r="2252" spans="2:2" x14ac:dyDescent="0.15">
      <c r="B2252"/>
    </row>
    <row r="2253" spans="2:2" x14ac:dyDescent="0.15">
      <c r="B2253"/>
    </row>
    <row r="2254" spans="2:2" x14ac:dyDescent="0.15">
      <c r="B2254"/>
    </row>
    <row r="2255" spans="2:2" x14ac:dyDescent="0.15">
      <c r="B2255"/>
    </row>
    <row r="2256" spans="2:2" x14ac:dyDescent="0.15">
      <c r="B2256"/>
    </row>
    <row r="2257" spans="2:2" x14ac:dyDescent="0.15">
      <c r="B2257"/>
    </row>
    <row r="2258" spans="2:2" x14ac:dyDescent="0.15">
      <c r="B2258"/>
    </row>
    <row r="2259" spans="2:2" x14ac:dyDescent="0.15">
      <c r="B2259"/>
    </row>
    <row r="2260" spans="2:2" x14ac:dyDescent="0.15">
      <c r="B2260"/>
    </row>
    <row r="2261" spans="2:2" x14ac:dyDescent="0.15">
      <c r="B2261"/>
    </row>
    <row r="2262" spans="2:2" x14ac:dyDescent="0.15">
      <c r="B2262"/>
    </row>
    <row r="2263" spans="2:2" x14ac:dyDescent="0.15">
      <c r="B2263"/>
    </row>
    <row r="2264" spans="2:2" x14ac:dyDescent="0.15">
      <c r="B2264"/>
    </row>
    <row r="2265" spans="2:2" x14ac:dyDescent="0.15">
      <c r="B2265"/>
    </row>
    <row r="2266" spans="2:2" x14ac:dyDescent="0.15">
      <c r="B2266"/>
    </row>
    <row r="2267" spans="2:2" x14ac:dyDescent="0.15">
      <c r="B2267"/>
    </row>
    <row r="2268" spans="2:2" x14ac:dyDescent="0.15">
      <c r="B2268"/>
    </row>
    <row r="2269" spans="2:2" x14ac:dyDescent="0.15">
      <c r="B2269"/>
    </row>
    <row r="2270" spans="2:2" x14ac:dyDescent="0.15">
      <c r="B2270"/>
    </row>
    <row r="2271" spans="2:2" x14ac:dyDescent="0.15">
      <c r="B2271"/>
    </row>
    <row r="2272" spans="2:2" x14ac:dyDescent="0.15">
      <c r="B2272"/>
    </row>
    <row r="2273" spans="2:2" x14ac:dyDescent="0.15">
      <c r="B2273"/>
    </row>
    <row r="2274" spans="2:2" x14ac:dyDescent="0.15">
      <c r="B2274"/>
    </row>
    <row r="2275" spans="2:2" x14ac:dyDescent="0.15">
      <c r="B2275"/>
    </row>
    <row r="2276" spans="2:2" x14ac:dyDescent="0.15">
      <c r="B2276"/>
    </row>
    <row r="2277" spans="2:2" x14ac:dyDescent="0.15">
      <c r="B2277"/>
    </row>
    <row r="2278" spans="2:2" x14ac:dyDescent="0.15">
      <c r="B2278"/>
    </row>
    <row r="2279" spans="2:2" x14ac:dyDescent="0.15">
      <c r="B2279"/>
    </row>
    <row r="2280" spans="2:2" x14ac:dyDescent="0.15">
      <c r="B2280"/>
    </row>
    <row r="2281" spans="2:2" x14ac:dyDescent="0.15">
      <c r="B2281"/>
    </row>
    <row r="2282" spans="2:2" x14ac:dyDescent="0.15">
      <c r="B2282"/>
    </row>
    <row r="2283" spans="2:2" x14ac:dyDescent="0.15">
      <c r="B2283"/>
    </row>
    <row r="2284" spans="2:2" x14ac:dyDescent="0.15">
      <c r="B2284"/>
    </row>
    <row r="2285" spans="2:2" x14ac:dyDescent="0.15">
      <c r="B2285"/>
    </row>
    <row r="2286" spans="2:2" x14ac:dyDescent="0.15">
      <c r="B2286"/>
    </row>
    <row r="2287" spans="2:2" x14ac:dyDescent="0.15">
      <c r="B2287"/>
    </row>
    <row r="2288" spans="2:2" x14ac:dyDescent="0.15">
      <c r="B2288"/>
    </row>
    <row r="2289" spans="2:2" x14ac:dyDescent="0.15">
      <c r="B2289"/>
    </row>
    <row r="2290" spans="2:2" x14ac:dyDescent="0.15">
      <c r="B2290"/>
    </row>
    <row r="2291" spans="2:2" x14ac:dyDescent="0.15">
      <c r="B2291"/>
    </row>
    <row r="2292" spans="2:2" x14ac:dyDescent="0.15">
      <c r="B2292"/>
    </row>
    <row r="2293" spans="2:2" x14ac:dyDescent="0.15">
      <c r="B2293"/>
    </row>
    <row r="2294" spans="2:2" x14ac:dyDescent="0.15">
      <c r="B2294"/>
    </row>
    <row r="2295" spans="2:2" x14ac:dyDescent="0.15">
      <c r="B2295"/>
    </row>
    <row r="2296" spans="2:2" x14ac:dyDescent="0.15">
      <c r="B2296"/>
    </row>
    <row r="2297" spans="2:2" x14ac:dyDescent="0.15">
      <c r="B2297"/>
    </row>
    <row r="2298" spans="2:2" x14ac:dyDescent="0.15">
      <c r="B2298"/>
    </row>
    <row r="2299" spans="2:2" x14ac:dyDescent="0.15">
      <c r="B2299"/>
    </row>
    <row r="2300" spans="2:2" x14ac:dyDescent="0.15">
      <c r="B2300"/>
    </row>
    <row r="2301" spans="2:2" x14ac:dyDescent="0.15">
      <c r="B2301"/>
    </row>
    <row r="2302" spans="2:2" x14ac:dyDescent="0.15">
      <c r="B2302"/>
    </row>
    <row r="2303" spans="2:2" x14ac:dyDescent="0.15">
      <c r="B2303"/>
    </row>
    <row r="2304" spans="2:2" x14ac:dyDescent="0.15">
      <c r="B2304"/>
    </row>
    <row r="2305" spans="2:2" x14ac:dyDescent="0.15">
      <c r="B2305"/>
    </row>
    <row r="2306" spans="2:2" x14ac:dyDescent="0.15">
      <c r="B2306"/>
    </row>
    <row r="2307" spans="2:2" x14ac:dyDescent="0.15">
      <c r="B2307"/>
    </row>
    <row r="2308" spans="2:2" x14ac:dyDescent="0.15">
      <c r="B2308"/>
    </row>
    <row r="2309" spans="2:2" x14ac:dyDescent="0.15">
      <c r="B2309"/>
    </row>
    <row r="2310" spans="2:2" x14ac:dyDescent="0.15">
      <c r="B2310"/>
    </row>
    <row r="2311" spans="2:2" x14ac:dyDescent="0.15">
      <c r="B2311"/>
    </row>
    <row r="2312" spans="2:2" x14ac:dyDescent="0.15">
      <c r="B2312"/>
    </row>
    <row r="2313" spans="2:2" x14ac:dyDescent="0.15">
      <c r="B2313"/>
    </row>
    <row r="2314" spans="2:2" x14ac:dyDescent="0.15">
      <c r="B2314"/>
    </row>
    <row r="2315" spans="2:2" x14ac:dyDescent="0.15">
      <c r="B2315"/>
    </row>
    <row r="2316" spans="2:2" x14ac:dyDescent="0.15">
      <c r="B2316"/>
    </row>
    <row r="2317" spans="2:2" x14ac:dyDescent="0.15">
      <c r="B2317"/>
    </row>
    <row r="2318" spans="2:2" x14ac:dyDescent="0.15">
      <c r="B2318"/>
    </row>
    <row r="2319" spans="2:2" x14ac:dyDescent="0.15">
      <c r="B2319"/>
    </row>
    <row r="2320" spans="2:2" x14ac:dyDescent="0.15">
      <c r="B2320"/>
    </row>
    <row r="2321" spans="2:2" x14ac:dyDescent="0.15">
      <c r="B2321"/>
    </row>
    <row r="2322" spans="2:2" x14ac:dyDescent="0.15">
      <c r="B2322"/>
    </row>
    <row r="2323" spans="2:2" x14ac:dyDescent="0.15">
      <c r="B2323"/>
    </row>
    <row r="2324" spans="2:2" x14ac:dyDescent="0.15">
      <c r="B2324"/>
    </row>
    <row r="2325" spans="2:2" x14ac:dyDescent="0.15">
      <c r="B2325"/>
    </row>
    <row r="2326" spans="2:2" x14ac:dyDescent="0.15">
      <c r="B2326"/>
    </row>
    <row r="2327" spans="2:2" x14ac:dyDescent="0.15">
      <c r="B2327"/>
    </row>
    <row r="2328" spans="2:2" x14ac:dyDescent="0.15">
      <c r="B2328"/>
    </row>
    <row r="2329" spans="2:2" x14ac:dyDescent="0.15">
      <c r="B2329"/>
    </row>
    <row r="2330" spans="2:2" x14ac:dyDescent="0.15">
      <c r="B2330"/>
    </row>
    <row r="2331" spans="2:2" x14ac:dyDescent="0.15">
      <c r="B2331"/>
    </row>
    <row r="2332" spans="2:2" x14ac:dyDescent="0.15">
      <c r="B2332"/>
    </row>
    <row r="2333" spans="2:2" x14ac:dyDescent="0.15">
      <c r="B2333"/>
    </row>
    <row r="2334" spans="2:2" x14ac:dyDescent="0.15">
      <c r="B2334"/>
    </row>
    <row r="2335" spans="2:2" x14ac:dyDescent="0.15">
      <c r="B2335"/>
    </row>
    <row r="2336" spans="2:2" x14ac:dyDescent="0.15">
      <c r="B2336"/>
    </row>
    <row r="2337" spans="2:2" x14ac:dyDescent="0.15">
      <c r="B2337"/>
    </row>
    <row r="2338" spans="2:2" x14ac:dyDescent="0.15">
      <c r="B2338"/>
    </row>
    <row r="2339" spans="2:2" x14ac:dyDescent="0.15">
      <c r="B2339"/>
    </row>
    <row r="2340" spans="2:2" x14ac:dyDescent="0.15">
      <c r="B2340"/>
    </row>
    <row r="2341" spans="2:2" x14ac:dyDescent="0.15">
      <c r="B2341"/>
    </row>
    <row r="2342" spans="2:2" x14ac:dyDescent="0.15">
      <c r="B2342"/>
    </row>
    <row r="2343" spans="2:2" x14ac:dyDescent="0.15">
      <c r="B2343"/>
    </row>
    <row r="2344" spans="2:2" x14ac:dyDescent="0.15">
      <c r="B2344"/>
    </row>
    <row r="2345" spans="2:2" x14ac:dyDescent="0.15">
      <c r="B2345"/>
    </row>
    <row r="2346" spans="2:2" x14ac:dyDescent="0.15">
      <c r="B2346"/>
    </row>
    <row r="2347" spans="2:2" x14ac:dyDescent="0.15">
      <c r="B2347"/>
    </row>
    <row r="2348" spans="2:2" x14ac:dyDescent="0.15">
      <c r="B2348"/>
    </row>
    <row r="2349" spans="2:2" x14ac:dyDescent="0.15">
      <c r="B2349"/>
    </row>
    <row r="2350" spans="2:2" x14ac:dyDescent="0.15">
      <c r="B2350"/>
    </row>
    <row r="2351" spans="2:2" x14ac:dyDescent="0.15">
      <c r="B2351"/>
    </row>
    <row r="2352" spans="2:2" x14ac:dyDescent="0.15">
      <c r="B2352"/>
    </row>
    <row r="2353" spans="2:2" x14ac:dyDescent="0.15">
      <c r="B2353"/>
    </row>
    <row r="2354" spans="2:2" x14ac:dyDescent="0.15">
      <c r="B2354"/>
    </row>
    <row r="2355" spans="2:2" x14ac:dyDescent="0.15">
      <c r="B2355"/>
    </row>
    <row r="2356" spans="2:2" x14ac:dyDescent="0.15">
      <c r="B2356"/>
    </row>
    <row r="2357" spans="2:2" x14ac:dyDescent="0.15">
      <c r="B2357"/>
    </row>
    <row r="2358" spans="2:2" x14ac:dyDescent="0.15">
      <c r="B2358"/>
    </row>
    <row r="2359" spans="2:2" x14ac:dyDescent="0.15">
      <c r="B2359"/>
    </row>
    <row r="2360" spans="2:2" x14ac:dyDescent="0.15">
      <c r="B2360"/>
    </row>
    <row r="2361" spans="2:2" x14ac:dyDescent="0.15">
      <c r="B2361"/>
    </row>
    <row r="2362" spans="2:2" x14ac:dyDescent="0.15">
      <c r="B2362"/>
    </row>
    <row r="2363" spans="2:2" x14ac:dyDescent="0.15">
      <c r="B2363"/>
    </row>
    <row r="2364" spans="2:2" x14ac:dyDescent="0.15">
      <c r="B2364"/>
    </row>
    <row r="2365" spans="2:2" x14ac:dyDescent="0.15">
      <c r="B2365"/>
    </row>
    <row r="2366" spans="2:2" x14ac:dyDescent="0.15">
      <c r="B2366"/>
    </row>
    <row r="2367" spans="2:2" x14ac:dyDescent="0.15">
      <c r="B2367"/>
    </row>
    <row r="2368" spans="2:2" x14ac:dyDescent="0.15">
      <c r="B2368"/>
    </row>
    <row r="2369" spans="2:2" x14ac:dyDescent="0.15">
      <c r="B2369"/>
    </row>
    <row r="2370" spans="2:2" x14ac:dyDescent="0.15">
      <c r="B2370"/>
    </row>
    <row r="2371" spans="2:2" x14ac:dyDescent="0.15">
      <c r="B2371"/>
    </row>
    <row r="2372" spans="2:2" x14ac:dyDescent="0.15">
      <c r="B2372"/>
    </row>
    <row r="2373" spans="2:2" x14ac:dyDescent="0.15">
      <c r="B2373"/>
    </row>
    <row r="2374" spans="2:2" x14ac:dyDescent="0.15">
      <c r="B2374"/>
    </row>
    <row r="2375" spans="2:2" x14ac:dyDescent="0.15">
      <c r="B2375"/>
    </row>
    <row r="2376" spans="2:2" x14ac:dyDescent="0.15">
      <c r="B2376"/>
    </row>
    <row r="2377" spans="2:2" x14ac:dyDescent="0.15">
      <c r="B2377"/>
    </row>
    <row r="2378" spans="2:2" x14ac:dyDescent="0.15">
      <c r="B2378"/>
    </row>
    <row r="2379" spans="2:2" x14ac:dyDescent="0.15">
      <c r="B2379"/>
    </row>
    <row r="2380" spans="2:2" x14ac:dyDescent="0.15">
      <c r="B2380"/>
    </row>
    <row r="2381" spans="2:2" x14ac:dyDescent="0.15">
      <c r="B2381"/>
    </row>
    <row r="2382" spans="2:2" x14ac:dyDescent="0.15">
      <c r="B2382"/>
    </row>
    <row r="2383" spans="2:2" x14ac:dyDescent="0.15">
      <c r="B2383"/>
    </row>
    <row r="2384" spans="2:2" x14ac:dyDescent="0.15">
      <c r="B2384"/>
    </row>
    <row r="2385" spans="2:2" x14ac:dyDescent="0.15">
      <c r="B2385"/>
    </row>
    <row r="2386" spans="2:2" x14ac:dyDescent="0.15">
      <c r="B2386"/>
    </row>
    <row r="2387" spans="2:2" x14ac:dyDescent="0.15">
      <c r="B2387"/>
    </row>
    <row r="2388" spans="2:2" x14ac:dyDescent="0.15">
      <c r="B2388"/>
    </row>
    <row r="2389" spans="2:2" x14ac:dyDescent="0.15">
      <c r="B2389"/>
    </row>
    <row r="2390" spans="2:2" x14ac:dyDescent="0.15">
      <c r="B2390"/>
    </row>
    <row r="2391" spans="2:2" x14ac:dyDescent="0.15">
      <c r="B2391"/>
    </row>
    <row r="2392" spans="2:2" x14ac:dyDescent="0.15">
      <c r="B2392"/>
    </row>
    <row r="2393" spans="2:2" x14ac:dyDescent="0.15">
      <c r="B2393"/>
    </row>
    <row r="2394" spans="2:2" x14ac:dyDescent="0.15">
      <c r="B2394"/>
    </row>
    <row r="2395" spans="2:2" x14ac:dyDescent="0.15">
      <c r="B2395"/>
    </row>
    <row r="2396" spans="2:2" x14ac:dyDescent="0.15">
      <c r="B2396"/>
    </row>
    <row r="2397" spans="2:2" x14ac:dyDescent="0.15">
      <c r="B2397"/>
    </row>
    <row r="2398" spans="2:2" x14ac:dyDescent="0.15">
      <c r="B2398"/>
    </row>
    <row r="2399" spans="2:2" x14ac:dyDescent="0.15">
      <c r="B2399"/>
    </row>
    <row r="2400" spans="2:2" x14ac:dyDescent="0.15">
      <c r="B2400"/>
    </row>
    <row r="2401" spans="2:2" x14ac:dyDescent="0.15">
      <c r="B2401"/>
    </row>
    <row r="2402" spans="2:2" x14ac:dyDescent="0.15">
      <c r="B2402"/>
    </row>
    <row r="2403" spans="2:2" x14ac:dyDescent="0.15">
      <c r="B2403"/>
    </row>
    <row r="2404" spans="2:2" x14ac:dyDescent="0.15">
      <c r="B2404"/>
    </row>
    <row r="2405" spans="2:2" x14ac:dyDescent="0.15">
      <c r="B2405"/>
    </row>
    <row r="2406" spans="2:2" x14ac:dyDescent="0.15">
      <c r="B2406"/>
    </row>
    <row r="2407" spans="2:2" x14ac:dyDescent="0.15">
      <c r="B2407"/>
    </row>
    <row r="2408" spans="2:2" x14ac:dyDescent="0.15">
      <c r="B2408"/>
    </row>
    <row r="2409" spans="2:2" x14ac:dyDescent="0.15">
      <c r="B2409"/>
    </row>
    <row r="2410" spans="2:2" x14ac:dyDescent="0.15">
      <c r="B2410"/>
    </row>
    <row r="2411" spans="2:2" x14ac:dyDescent="0.15">
      <c r="B2411"/>
    </row>
    <row r="2412" spans="2:2" x14ac:dyDescent="0.15">
      <c r="B2412"/>
    </row>
    <row r="2413" spans="2:2" x14ac:dyDescent="0.15">
      <c r="B2413"/>
    </row>
    <row r="2414" spans="2:2" x14ac:dyDescent="0.15">
      <c r="B2414"/>
    </row>
    <row r="2415" spans="2:2" x14ac:dyDescent="0.15">
      <c r="B2415"/>
    </row>
    <row r="2416" spans="2:2" x14ac:dyDescent="0.15">
      <c r="B2416"/>
    </row>
    <row r="2417" spans="2:2" x14ac:dyDescent="0.15">
      <c r="B2417"/>
    </row>
    <row r="2418" spans="2:2" x14ac:dyDescent="0.15">
      <c r="B2418"/>
    </row>
    <row r="2419" spans="2:2" x14ac:dyDescent="0.15">
      <c r="B2419"/>
    </row>
    <row r="2420" spans="2:2" x14ac:dyDescent="0.15">
      <c r="B2420"/>
    </row>
    <row r="2421" spans="2:2" x14ac:dyDescent="0.15">
      <c r="B2421"/>
    </row>
    <row r="2422" spans="2:2" x14ac:dyDescent="0.15">
      <c r="B2422"/>
    </row>
    <row r="2423" spans="2:2" x14ac:dyDescent="0.15">
      <c r="B2423"/>
    </row>
    <row r="2424" spans="2:2" x14ac:dyDescent="0.15">
      <c r="B2424"/>
    </row>
    <row r="2425" spans="2:2" x14ac:dyDescent="0.15">
      <c r="B2425"/>
    </row>
    <row r="2426" spans="2:2" x14ac:dyDescent="0.15">
      <c r="B2426"/>
    </row>
    <row r="2427" spans="2:2" x14ac:dyDescent="0.15">
      <c r="B2427"/>
    </row>
    <row r="2428" spans="2:2" x14ac:dyDescent="0.15">
      <c r="B2428"/>
    </row>
    <row r="2429" spans="2:2" x14ac:dyDescent="0.15">
      <c r="B2429"/>
    </row>
    <row r="2430" spans="2:2" x14ac:dyDescent="0.15">
      <c r="B2430"/>
    </row>
    <row r="2431" spans="2:2" x14ac:dyDescent="0.15">
      <c r="B2431"/>
    </row>
    <row r="2432" spans="2:2" x14ac:dyDescent="0.15">
      <c r="B2432"/>
    </row>
    <row r="2433" spans="2:2" x14ac:dyDescent="0.15">
      <c r="B2433"/>
    </row>
    <row r="2434" spans="2:2" x14ac:dyDescent="0.15">
      <c r="B2434"/>
    </row>
    <row r="2435" spans="2:2" x14ac:dyDescent="0.15">
      <c r="B2435"/>
    </row>
    <row r="2436" spans="2:2" x14ac:dyDescent="0.15">
      <c r="B2436"/>
    </row>
    <row r="2437" spans="2:2" x14ac:dyDescent="0.15">
      <c r="B2437"/>
    </row>
    <row r="2438" spans="2:2" x14ac:dyDescent="0.15">
      <c r="B2438"/>
    </row>
    <row r="2439" spans="2:2" x14ac:dyDescent="0.15">
      <c r="B2439"/>
    </row>
    <row r="2440" spans="2:2" x14ac:dyDescent="0.15">
      <c r="B2440"/>
    </row>
    <row r="2441" spans="2:2" x14ac:dyDescent="0.15">
      <c r="B2441"/>
    </row>
    <row r="2442" spans="2:2" x14ac:dyDescent="0.15">
      <c r="B2442"/>
    </row>
    <row r="2443" spans="2:2" x14ac:dyDescent="0.15">
      <c r="B2443"/>
    </row>
    <row r="2444" spans="2:2" x14ac:dyDescent="0.15">
      <c r="B2444"/>
    </row>
    <row r="2445" spans="2:2" x14ac:dyDescent="0.15">
      <c r="B2445"/>
    </row>
    <row r="2446" spans="2:2" x14ac:dyDescent="0.15">
      <c r="B2446"/>
    </row>
    <row r="2447" spans="2:2" x14ac:dyDescent="0.15">
      <c r="B2447"/>
    </row>
    <row r="2448" spans="2:2" x14ac:dyDescent="0.15">
      <c r="B2448"/>
    </row>
    <row r="2449" spans="2:2" x14ac:dyDescent="0.15">
      <c r="B2449"/>
    </row>
    <row r="2450" spans="2:2" x14ac:dyDescent="0.15">
      <c r="B2450"/>
    </row>
    <row r="2451" spans="2:2" x14ac:dyDescent="0.15">
      <c r="B2451"/>
    </row>
    <row r="2452" spans="2:2" x14ac:dyDescent="0.15">
      <c r="B2452"/>
    </row>
    <row r="2453" spans="2:2" x14ac:dyDescent="0.15">
      <c r="B2453"/>
    </row>
    <row r="2454" spans="2:2" x14ac:dyDescent="0.15">
      <c r="B2454"/>
    </row>
    <row r="2455" spans="2:2" x14ac:dyDescent="0.15">
      <c r="B2455"/>
    </row>
    <row r="2456" spans="2:2" x14ac:dyDescent="0.15">
      <c r="B2456"/>
    </row>
    <row r="2457" spans="2:2" x14ac:dyDescent="0.15">
      <c r="B2457"/>
    </row>
    <row r="2458" spans="2:2" x14ac:dyDescent="0.15">
      <c r="B2458"/>
    </row>
    <row r="2459" spans="2:2" x14ac:dyDescent="0.15">
      <c r="B2459"/>
    </row>
    <row r="2460" spans="2:2" x14ac:dyDescent="0.15">
      <c r="B2460"/>
    </row>
    <row r="2461" spans="2:2" x14ac:dyDescent="0.15">
      <c r="B2461"/>
    </row>
    <row r="2462" spans="2:2" x14ac:dyDescent="0.15">
      <c r="B2462"/>
    </row>
    <row r="2463" spans="2:2" x14ac:dyDescent="0.15">
      <c r="B2463"/>
    </row>
    <row r="2464" spans="2:2" x14ac:dyDescent="0.15">
      <c r="B2464"/>
    </row>
    <row r="2465" spans="2:2" x14ac:dyDescent="0.15">
      <c r="B2465"/>
    </row>
    <row r="2466" spans="2:2" x14ac:dyDescent="0.15">
      <c r="B2466"/>
    </row>
    <row r="2467" spans="2:2" x14ac:dyDescent="0.15">
      <c r="B2467"/>
    </row>
    <row r="2468" spans="2:2" x14ac:dyDescent="0.15">
      <c r="B2468"/>
    </row>
    <row r="2469" spans="2:2" x14ac:dyDescent="0.15">
      <c r="B2469"/>
    </row>
    <row r="2470" spans="2:2" x14ac:dyDescent="0.15">
      <c r="B2470"/>
    </row>
    <row r="2471" spans="2:2" x14ac:dyDescent="0.15">
      <c r="B2471"/>
    </row>
    <row r="2472" spans="2:2" x14ac:dyDescent="0.15">
      <c r="B2472"/>
    </row>
    <row r="2473" spans="2:2" x14ac:dyDescent="0.15">
      <c r="B2473"/>
    </row>
    <row r="2474" spans="2:2" x14ac:dyDescent="0.15">
      <c r="B2474"/>
    </row>
    <row r="2475" spans="2:2" x14ac:dyDescent="0.15">
      <c r="B2475"/>
    </row>
    <row r="2476" spans="2:2" x14ac:dyDescent="0.15">
      <c r="B2476"/>
    </row>
    <row r="2477" spans="2:2" x14ac:dyDescent="0.15">
      <c r="B2477"/>
    </row>
    <row r="2478" spans="2:2" x14ac:dyDescent="0.15">
      <c r="B2478"/>
    </row>
    <row r="2479" spans="2:2" x14ac:dyDescent="0.15">
      <c r="B2479"/>
    </row>
    <row r="2480" spans="2:2" x14ac:dyDescent="0.15">
      <c r="B2480"/>
    </row>
    <row r="2481" spans="2:2" x14ac:dyDescent="0.15">
      <c r="B2481"/>
    </row>
    <row r="2482" spans="2:2" x14ac:dyDescent="0.15">
      <c r="B2482"/>
    </row>
    <row r="2483" spans="2:2" x14ac:dyDescent="0.15">
      <c r="B2483"/>
    </row>
    <row r="2484" spans="2:2" x14ac:dyDescent="0.15">
      <c r="B2484"/>
    </row>
    <row r="2485" spans="2:2" x14ac:dyDescent="0.15">
      <c r="B2485"/>
    </row>
    <row r="2486" spans="2:2" x14ac:dyDescent="0.15">
      <c r="B2486"/>
    </row>
    <row r="2487" spans="2:2" x14ac:dyDescent="0.15">
      <c r="B2487"/>
    </row>
    <row r="2488" spans="2:2" x14ac:dyDescent="0.15">
      <c r="B2488"/>
    </row>
    <row r="2489" spans="2:2" x14ac:dyDescent="0.15">
      <c r="B2489"/>
    </row>
    <row r="2490" spans="2:2" x14ac:dyDescent="0.15">
      <c r="B2490"/>
    </row>
    <row r="2491" spans="2:2" x14ac:dyDescent="0.15">
      <c r="B2491"/>
    </row>
    <row r="2492" spans="2:2" x14ac:dyDescent="0.15">
      <c r="B2492"/>
    </row>
    <row r="2493" spans="2:2" x14ac:dyDescent="0.15">
      <c r="B2493"/>
    </row>
    <row r="2494" spans="2:2" x14ac:dyDescent="0.15">
      <c r="B2494"/>
    </row>
    <row r="2495" spans="2:2" x14ac:dyDescent="0.15">
      <c r="B2495"/>
    </row>
    <row r="2496" spans="2:2" x14ac:dyDescent="0.15">
      <c r="B2496"/>
    </row>
    <row r="2497" spans="2:2" x14ac:dyDescent="0.15">
      <c r="B2497"/>
    </row>
    <row r="2498" spans="2:2" x14ac:dyDescent="0.15">
      <c r="B2498"/>
    </row>
    <row r="2499" spans="2:2" x14ac:dyDescent="0.15">
      <c r="B2499"/>
    </row>
    <row r="2500" spans="2:2" x14ac:dyDescent="0.15">
      <c r="B2500"/>
    </row>
    <row r="2501" spans="2:2" x14ac:dyDescent="0.15">
      <c r="B2501"/>
    </row>
    <row r="2502" spans="2:2" x14ac:dyDescent="0.15">
      <c r="B2502"/>
    </row>
    <row r="2503" spans="2:2" x14ac:dyDescent="0.15">
      <c r="B2503"/>
    </row>
    <row r="2504" spans="2:2" x14ac:dyDescent="0.15">
      <c r="B2504"/>
    </row>
    <row r="2505" spans="2:2" x14ac:dyDescent="0.15">
      <c r="B2505"/>
    </row>
    <row r="2506" spans="2:2" x14ac:dyDescent="0.15">
      <c r="B2506"/>
    </row>
    <row r="2507" spans="2:2" x14ac:dyDescent="0.15">
      <c r="B2507"/>
    </row>
    <row r="2508" spans="2:2" x14ac:dyDescent="0.15">
      <c r="B2508"/>
    </row>
    <row r="2509" spans="2:2" x14ac:dyDescent="0.15">
      <c r="B2509"/>
    </row>
    <row r="2510" spans="2:2" x14ac:dyDescent="0.15">
      <c r="B2510"/>
    </row>
    <row r="2511" spans="2:2" x14ac:dyDescent="0.15">
      <c r="B2511"/>
    </row>
    <row r="2512" spans="2:2" x14ac:dyDescent="0.15">
      <c r="B2512"/>
    </row>
    <row r="2513" spans="2:2" x14ac:dyDescent="0.15">
      <c r="B2513"/>
    </row>
    <row r="2514" spans="2:2" x14ac:dyDescent="0.15">
      <c r="B2514"/>
    </row>
    <row r="2515" spans="2:2" x14ac:dyDescent="0.15">
      <c r="B2515"/>
    </row>
    <row r="2516" spans="2:2" x14ac:dyDescent="0.15">
      <c r="B2516"/>
    </row>
    <row r="2517" spans="2:2" x14ac:dyDescent="0.15">
      <c r="B2517"/>
    </row>
    <row r="2518" spans="2:2" x14ac:dyDescent="0.15">
      <c r="B2518"/>
    </row>
    <row r="2519" spans="2:2" x14ac:dyDescent="0.15">
      <c r="B2519"/>
    </row>
    <row r="2520" spans="2:2" x14ac:dyDescent="0.15">
      <c r="B2520"/>
    </row>
    <row r="2521" spans="2:2" x14ac:dyDescent="0.15">
      <c r="B2521"/>
    </row>
    <row r="2522" spans="2:2" x14ac:dyDescent="0.15">
      <c r="B2522"/>
    </row>
    <row r="2523" spans="2:2" x14ac:dyDescent="0.15">
      <c r="B2523"/>
    </row>
    <row r="2524" spans="2:2" x14ac:dyDescent="0.15">
      <c r="B2524"/>
    </row>
    <row r="2525" spans="2:2" x14ac:dyDescent="0.15">
      <c r="B2525"/>
    </row>
    <row r="2526" spans="2:2" x14ac:dyDescent="0.15">
      <c r="B2526"/>
    </row>
    <row r="2527" spans="2:2" x14ac:dyDescent="0.15">
      <c r="B2527"/>
    </row>
    <row r="2528" spans="2:2" x14ac:dyDescent="0.15">
      <c r="B2528"/>
    </row>
    <row r="2529" spans="2:2" x14ac:dyDescent="0.15">
      <c r="B2529"/>
    </row>
    <row r="2530" spans="2:2" x14ac:dyDescent="0.15">
      <c r="B2530"/>
    </row>
    <row r="2531" spans="2:2" x14ac:dyDescent="0.15">
      <c r="B2531"/>
    </row>
    <row r="2532" spans="2:2" x14ac:dyDescent="0.15">
      <c r="B2532"/>
    </row>
    <row r="2533" spans="2:2" x14ac:dyDescent="0.15">
      <c r="B2533"/>
    </row>
    <row r="2534" spans="2:2" x14ac:dyDescent="0.15">
      <c r="B2534"/>
    </row>
    <row r="2535" spans="2:2" x14ac:dyDescent="0.15">
      <c r="B2535"/>
    </row>
    <row r="2536" spans="2:2" x14ac:dyDescent="0.15">
      <c r="B2536"/>
    </row>
    <row r="2537" spans="2:2" x14ac:dyDescent="0.15">
      <c r="B2537"/>
    </row>
    <row r="2538" spans="2:2" x14ac:dyDescent="0.15">
      <c r="B2538"/>
    </row>
    <row r="2539" spans="2:2" x14ac:dyDescent="0.15">
      <c r="B2539"/>
    </row>
    <row r="2540" spans="2:2" x14ac:dyDescent="0.15">
      <c r="B2540"/>
    </row>
    <row r="2541" spans="2:2" x14ac:dyDescent="0.15">
      <c r="B2541"/>
    </row>
    <row r="2542" spans="2:2" x14ac:dyDescent="0.15">
      <c r="B2542"/>
    </row>
    <row r="2543" spans="2:2" x14ac:dyDescent="0.15">
      <c r="B2543"/>
    </row>
    <row r="2544" spans="2:2" x14ac:dyDescent="0.15">
      <c r="B2544"/>
    </row>
    <row r="2545" spans="2:2" x14ac:dyDescent="0.15">
      <c r="B2545"/>
    </row>
    <row r="2546" spans="2:2" x14ac:dyDescent="0.15">
      <c r="B2546"/>
    </row>
    <row r="2547" spans="2:2" x14ac:dyDescent="0.15">
      <c r="B2547"/>
    </row>
    <row r="2548" spans="2:2" x14ac:dyDescent="0.15">
      <c r="B2548"/>
    </row>
    <row r="2549" spans="2:2" x14ac:dyDescent="0.15">
      <c r="B2549"/>
    </row>
    <row r="2550" spans="2:2" x14ac:dyDescent="0.15">
      <c r="B2550"/>
    </row>
    <row r="2551" spans="2:2" x14ac:dyDescent="0.15">
      <c r="B2551"/>
    </row>
    <row r="2552" spans="2:2" x14ac:dyDescent="0.15">
      <c r="B2552"/>
    </row>
    <row r="2553" spans="2:2" x14ac:dyDescent="0.15">
      <c r="B2553"/>
    </row>
    <row r="2554" spans="2:2" x14ac:dyDescent="0.15">
      <c r="B2554"/>
    </row>
    <row r="2555" spans="2:2" x14ac:dyDescent="0.15">
      <c r="B2555"/>
    </row>
    <row r="2556" spans="2:2" x14ac:dyDescent="0.15">
      <c r="B2556"/>
    </row>
    <row r="2557" spans="2:2" x14ac:dyDescent="0.15">
      <c r="B2557"/>
    </row>
    <row r="2558" spans="2:2" x14ac:dyDescent="0.15">
      <c r="B2558"/>
    </row>
    <row r="2559" spans="2:2" x14ac:dyDescent="0.15">
      <c r="B2559"/>
    </row>
    <row r="2560" spans="2:2" x14ac:dyDescent="0.15">
      <c r="B2560"/>
    </row>
    <row r="2561" spans="2:2" x14ac:dyDescent="0.15">
      <c r="B2561"/>
    </row>
    <row r="2562" spans="2:2" x14ac:dyDescent="0.15">
      <c r="B2562"/>
    </row>
    <row r="2563" spans="2:2" x14ac:dyDescent="0.15">
      <c r="B2563"/>
    </row>
    <row r="2564" spans="2:2" x14ac:dyDescent="0.15">
      <c r="B2564"/>
    </row>
    <row r="2565" spans="2:2" x14ac:dyDescent="0.15">
      <c r="B2565"/>
    </row>
    <row r="2566" spans="2:2" x14ac:dyDescent="0.15">
      <c r="B2566"/>
    </row>
    <row r="2567" spans="2:2" x14ac:dyDescent="0.15">
      <c r="B2567"/>
    </row>
    <row r="2568" spans="2:2" x14ac:dyDescent="0.15">
      <c r="B2568"/>
    </row>
    <row r="2569" spans="2:2" x14ac:dyDescent="0.15">
      <c r="B2569"/>
    </row>
    <row r="2570" spans="2:2" x14ac:dyDescent="0.15">
      <c r="B2570"/>
    </row>
    <row r="2571" spans="2:2" x14ac:dyDescent="0.15">
      <c r="B2571"/>
    </row>
    <row r="2572" spans="2:2" x14ac:dyDescent="0.15">
      <c r="B2572"/>
    </row>
    <row r="2573" spans="2:2" x14ac:dyDescent="0.15">
      <c r="B2573"/>
    </row>
    <row r="2574" spans="2:2" x14ac:dyDescent="0.15">
      <c r="B2574"/>
    </row>
    <row r="2575" spans="2:2" x14ac:dyDescent="0.15">
      <c r="B2575"/>
    </row>
    <row r="2576" spans="2:2" x14ac:dyDescent="0.15">
      <c r="B2576"/>
    </row>
    <row r="2577" spans="2:2" x14ac:dyDescent="0.15">
      <c r="B2577"/>
    </row>
    <row r="2578" spans="2:2" x14ac:dyDescent="0.15">
      <c r="B2578"/>
    </row>
    <row r="2579" spans="2:2" x14ac:dyDescent="0.15">
      <c r="B2579"/>
    </row>
    <row r="2580" spans="2:2" x14ac:dyDescent="0.15">
      <c r="B2580"/>
    </row>
    <row r="2581" spans="2:2" x14ac:dyDescent="0.15">
      <c r="B2581"/>
    </row>
    <row r="2582" spans="2:2" x14ac:dyDescent="0.15">
      <c r="B2582"/>
    </row>
    <row r="2583" spans="2:2" x14ac:dyDescent="0.15">
      <c r="B2583"/>
    </row>
    <row r="2584" spans="2:2" x14ac:dyDescent="0.15">
      <c r="B2584"/>
    </row>
    <row r="2585" spans="2:2" x14ac:dyDescent="0.15">
      <c r="B2585"/>
    </row>
    <row r="2586" spans="2:2" x14ac:dyDescent="0.15">
      <c r="B2586"/>
    </row>
    <row r="2587" spans="2:2" x14ac:dyDescent="0.15">
      <c r="B2587"/>
    </row>
    <row r="2588" spans="2:2" x14ac:dyDescent="0.15">
      <c r="B2588"/>
    </row>
    <row r="2589" spans="2:2" x14ac:dyDescent="0.15">
      <c r="B2589"/>
    </row>
    <row r="2590" spans="2:2" x14ac:dyDescent="0.15">
      <c r="B2590"/>
    </row>
    <row r="2591" spans="2:2" x14ac:dyDescent="0.15">
      <c r="B2591"/>
    </row>
    <row r="2592" spans="2:2" x14ac:dyDescent="0.15">
      <c r="B2592"/>
    </row>
    <row r="2593" spans="2:2" x14ac:dyDescent="0.15">
      <c r="B2593"/>
    </row>
    <row r="2594" spans="2:2" x14ac:dyDescent="0.15">
      <c r="B2594"/>
    </row>
    <row r="2595" spans="2:2" x14ac:dyDescent="0.15">
      <c r="B2595"/>
    </row>
    <row r="2596" spans="2:2" x14ac:dyDescent="0.15">
      <c r="B2596"/>
    </row>
    <row r="2597" spans="2:2" x14ac:dyDescent="0.15">
      <c r="B2597"/>
    </row>
    <row r="2598" spans="2:2" x14ac:dyDescent="0.15">
      <c r="B2598"/>
    </row>
    <row r="2599" spans="2:2" x14ac:dyDescent="0.15">
      <c r="B2599"/>
    </row>
    <row r="2600" spans="2:2" x14ac:dyDescent="0.15">
      <c r="B2600"/>
    </row>
    <row r="2601" spans="2:2" x14ac:dyDescent="0.15">
      <c r="B2601"/>
    </row>
    <row r="2602" spans="2:2" x14ac:dyDescent="0.15">
      <c r="B2602"/>
    </row>
    <row r="2603" spans="2:2" x14ac:dyDescent="0.15">
      <c r="B2603"/>
    </row>
    <row r="2604" spans="2:2" x14ac:dyDescent="0.15">
      <c r="B2604"/>
    </row>
    <row r="2605" spans="2:2" x14ac:dyDescent="0.15">
      <c r="B2605"/>
    </row>
    <row r="2606" spans="2:2" x14ac:dyDescent="0.15">
      <c r="B2606"/>
    </row>
    <row r="2607" spans="2:2" x14ac:dyDescent="0.15">
      <c r="B2607"/>
    </row>
    <row r="2608" spans="2:2" x14ac:dyDescent="0.15">
      <c r="B2608"/>
    </row>
    <row r="2609" spans="2:2" x14ac:dyDescent="0.15">
      <c r="B2609"/>
    </row>
    <row r="2610" spans="2:2" x14ac:dyDescent="0.15">
      <c r="B2610"/>
    </row>
    <row r="2611" spans="2:2" x14ac:dyDescent="0.15">
      <c r="B2611"/>
    </row>
    <row r="2612" spans="2:2" x14ac:dyDescent="0.15">
      <c r="B2612"/>
    </row>
    <row r="2613" spans="2:2" x14ac:dyDescent="0.15">
      <c r="B2613"/>
    </row>
    <row r="2614" spans="2:2" x14ac:dyDescent="0.15">
      <c r="B2614"/>
    </row>
    <row r="2615" spans="2:2" x14ac:dyDescent="0.15">
      <c r="B2615"/>
    </row>
    <row r="2616" spans="2:2" x14ac:dyDescent="0.15">
      <c r="B2616"/>
    </row>
    <row r="2617" spans="2:2" x14ac:dyDescent="0.15">
      <c r="B2617"/>
    </row>
    <row r="2618" spans="2:2" x14ac:dyDescent="0.15">
      <c r="B2618"/>
    </row>
    <row r="2619" spans="2:2" x14ac:dyDescent="0.15">
      <c r="B2619"/>
    </row>
    <row r="2620" spans="2:2" x14ac:dyDescent="0.15">
      <c r="B2620"/>
    </row>
    <row r="2621" spans="2:2" x14ac:dyDescent="0.15">
      <c r="B2621"/>
    </row>
    <row r="2622" spans="2:2" x14ac:dyDescent="0.15">
      <c r="B2622"/>
    </row>
    <row r="2623" spans="2:2" x14ac:dyDescent="0.15">
      <c r="B2623"/>
    </row>
    <row r="2624" spans="2:2" x14ac:dyDescent="0.15">
      <c r="B2624"/>
    </row>
    <row r="2625" spans="2:2" x14ac:dyDescent="0.15">
      <c r="B2625"/>
    </row>
    <row r="2626" spans="2:2" x14ac:dyDescent="0.15">
      <c r="B2626"/>
    </row>
    <row r="2627" spans="2:2" x14ac:dyDescent="0.15">
      <c r="B2627"/>
    </row>
    <row r="2628" spans="2:2" x14ac:dyDescent="0.15">
      <c r="B2628"/>
    </row>
    <row r="2629" spans="2:2" x14ac:dyDescent="0.15">
      <c r="B2629"/>
    </row>
    <row r="2630" spans="2:2" x14ac:dyDescent="0.15">
      <c r="B2630"/>
    </row>
    <row r="2631" spans="2:2" x14ac:dyDescent="0.15">
      <c r="B2631"/>
    </row>
    <row r="2632" spans="2:2" x14ac:dyDescent="0.15">
      <c r="B2632"/>
    </row>
    <row r="2633" spans="2:2" x14ac:dyDescent="0.15">
      <c r="B2633"/>
    </row>
    <row r="2634" spans="2:2" x14ac:dyDescent="0.15">
      <c r="B2634"/>
    </row>
    <row r="2635" spans="2:2" x14ac:dyDescent="0.15">
      <c r="B2635"/>
    </row>
    <row r="2636" spans="2:2" x14ac:dyDescent="0.15">
      <c r="B2636"/>
    </row>
    <row r="2637" spans="2:2" x14ac:dyDescent="0.15">
      <c r="B2637"/>
    </row>
    <row r="2638" spans="2:2" x14ac:dyDescent="0.15">
      <c r="B2638"/>
    </row>
    <row r="2639" spans="2:2" x14ac:dyDescent="0.15">
      <c r="B2639"/>
    </row>
    <row r="2640" spans="2:2" x14ac:dyDescent="0.15">
      <c r="B2640"/>
    </row>
    <row r="2641" spans="2:2" x14ac:dyDescent="0.15">
      <c r="B2641"/>
    </row>
    <row r="2642" spans="2:2" x14ac:dyDescent="0.15">
      <c r="B2642"/>
    </row>
    <row r="2643" spans="2:2" x14ac:dyDescent="0.15">
      <c r="B2643"/>
    </row>
    <row r="2644" spans="2:2" x14ac:dyDescent="0.15">
      <c r="B2644"/>
    </row>
    <row r="2645" spans="2:2" x14ac:dyDescent="0.15">
      <c r="B2645"/>
    </row>
    <row r="2646" spans="2:2" x14ac:dyDescent="0.15">
      <c r="B2646"/>
    </row>
    <row r="2647" spans="2:2" x14ac:dyDescent="0.15">
      <c r="B2647"/>
    </row>
    <row r="2648" spans="2:2" x14ac:dyDescent="0.15">
      <c r="B2648"/>
    </row>
    <row r="2649" spans="2:2" x14ac:dyDescent="0.15">
      <c r="B2649"/>
    </row>
    <row r="2650" spans="2:2" x14ac:dyDescent="0.15">
      <c r="B2650"/>
    </row>
    <row r="2651" spans="2:2" x14ac:dyDescent="0.15">
      <c r="B2651"/>
    </row>
    <row r="2652" spans="2:2" x14ac:dyDescent="0.15">
      <c r="B2652"/>
    </row>
    <row r="2653" spans="2:2" x14ac:dyDescent="0.15">
      <c r="B2653"/>
    </row>
    <row r="2654" spans="2:2" x14ac:dyDescent="0.15">
      <c r="B2654"/>
    </row>
    <row r="2655" spans="2:2" x14ac:dyDescent="0.15">
      <c r="B2655"/>
    </row>
    <row r="2656" spans="2:2" x14ac:dyDescent="0.15">
      <c r="B2656"/>
    </row>
    <row r="2657" spans="2:2" x14ac:dyDescent="0.15">
      <c r="B2657"/>
    </row>
    <row r="2658" spans="2:2" x14ac:dyDescent="0.15">
      <c r="B2658"/>
    </row>
    <row r="2659" spans="2:2" x14ac:dyDescent="0.15">
      <c r="B2659"/>
    </row>
    <row r="2660" spans="2:2" x14ac:dyDescent="0.15">
      <c r="B2660"/>
    </row>
    <row r="2661" spans="2:2" x14ac:dyDescent="0.15">
      <c r="B2661"/>
    </row>
    <row r="2662" spans="2:2" x14ac:dyDescent="0.15">
      <c r="B2662"/>
    </row>
    <row r="2663" spans="2:2" x14ac:dyDescent="0.15">
      <c r="B2663"/>
    </row>
    <row r="2664" spans="2:2" x14ac:dyDescent="0.15">
      <c r="B2664"/>
    </row>
    <row r="2665" spans="2:2" x14ac:dyDescent="0.15">
      <c r="B2665"/>
    </row>
    <row r="2666" spans="2:2" x14ac:dyDescent="0.15">
      <c r="B2666"/>
    </row>
    <row r="2667" spans="2:2" x14ac:dyDescent="0.15">
      <c r="B2667"/>
    </row>
    <row r="2668" spans="2:2" x14ac:dyDescent="0.15">
      <c r="B2668"/>
    </row>
    <row r="2669" spans="2:2" x14ac:dyDescent="0.15">
      <c r="B2669"/>
    </row>
    <row r="2670" spans="2:2" x14ac:dyDescent="0.15">
      <c r="B2670"/>
    </row>
    <row r="2671" spans="2:2" x14ac:dyDescent="0.15">
      <c r="B2671"/>
    </row>
    <row r="2672" spans="2:2" x14ac:dyDescent="0.15">
      <c r="B2672"/>
    </row>
    <row r="2673" spans="2:2" x14ac:dyDescent="0.15">
      <c r="B2673"/>
    </row>
    <row r="2674" spans="2:2" x14ac:dyDescent="0.15">
      <c r="B2674"/>
    </row>
    <row r="2675" spans="2:2" x14ac:dyDescent="0.15">
      <c r="B2675"/>
    </row>
    <row r="2676" spans="2:2" x14ac:dyDescent="0.15">
      <c r="B2676"/>
    </row>
    <row r="2677" spans="2:2" x14ac:dyDescent="0.15">
      <c r="B2677"/>
    </row>
    <row r="2678" spans="2:2" x14ac:dyDescent="0.15">
      <c r="B2678"/>
    </row>
    <row r="2679" spans="2:2" x14ac:dyDescent="0.15">
      <c r="B2679"/>
    </row>
  </sheetData>
  <phoneticPr fontId="40"/>
  <pageMargins left="0.7" right="0.7" top="0.75" bottom="0.75" header="0.3" footer="0.3"/>
  <pageSetup paperSize="9" orientation="portrait" verticalDpi="0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M267"/>
  <sheetViews>
    <sheetView tabSelected="1" zoomScale="80" zoomScaleNormal="80" workbookViewId="0">
      <pane xSplit="3" ySplit="3" topLeftCell="D10" activePane="bottomRight" state="frozen"/>
      <selection activeCell="B1" sqref="B1"/>
      <selection pane="topRight" activeCell="D1" sqref="D1"/>
      <selection pane="bottomLeft" activeCell="B4" sqref="B4"/>
      <selection pane="bottomRight" activeCell="Q17" sqref="Q17"/>
    </sheetView>
  </sheetViews>
  <sheetFormatPr defaultColWidth="9" defaultRowHeight="13.5" outlineLevelRow="1" x14ac:dyDescent="0.15"/>
  <cols>
    <col min="1" max="1" width="9" style="1511" hidden="1" customWidth="1"/>
    <col min="2" max="2" width="8.75" style="1511" customWidth="1"/>
    <col min="3" max="3" width="15.625" style="1512" customWidth="1"/>
    <col min="4" max="9" width="12.625" style="1511" hidden="1" customWidth="1"/>
    <col min="10" max="27" width="12.625" style="1511" customWidth="1"/>
    <col min="28" max="28" width="12.75" style="1651" customWidth="1"/>
    <col min="29" max="29" width="4.75" style="1511" customWidth="1"/>
    <col min="30" max="30" width="7.25" style="1511" hidden="1" customWidth="1"/>
    <col min="31" max="31" width="24.625" style="1511" hidden="1" customWidth="1"/>
    <col min="32" max="33" width="13.25" style="1511" hidden="1" customWidth="1"/>
    <col min="34" max="34" width="12.125" style="1511" hidden="1" customWidth="1"/>
    <col min="35" max="35" width="12.125" style="1511" bestFit="1" customWidth="1"/>
    <col min="36" max="36" width="9" style="1511"/>
    <col min="37" max="38" width="11" style="1511" bestFit="1" customWidth="1"/>
    <col min="39" max="16384" width="9" style="1511"/>
  </cols>
  <sheetData>
    <row r="1" spans="1:32" ht="15.4" customHeight="1" thickBot="1" x14ac:dyDescent="0.2">
      <c r="B1" s="1511" t="s">
        <v>16</v>
      </c>
      <c r="D1" s="1513">
        <f t="shared" ref="D1:N1" si="0">EOMONTH(D2,0)+10</f>
        <v>42896</v>
      </c>
      <c r="E1" s="1513">
        <f t="shared" si="0"/>
        <v>42926</v>
      </c>
      <c r="F1" s="1513">
        <f t="shared" si="0"/>
        <v>42957</v>
      </c>
      <c r="G1" s="1513">
        <f t="shared" si="0"/>
        <v>42988</v>
      </c>
      <c r="H1" s="1513">
        <f t="shared" si="0"/>
        <v>43018</v>
      </c>
      <c r="I1" s="1513">
        <f t="shared" si="0"/>
        <v>43049</v>
      </c>
      <c r="J1" s="1513">
        <f t="shared" si="0"/>
        <v>43079</v>
      </c>
      <c r="K1" s="1513">
        <f t="shared" si="0"/>
        <v>43110</v>
      </c>
      <c r="L1" s="1513">
        <f t="shared" si="0"/>
        <v>43141</v>
      </c>
      <c r="M1" s="1513">
        <f t="shared" si="0"/>
        <v>43169</v>
      </c>
      <c r="N1" s="1513">
        <f t="shared" si="0"/>
        <v>43200</v>
      </c>
      <c r="O1" s="1513">
        <f t="shared" ref="O1:Z1" si="1">EOMONTH(O2,0)+10</f>
        <v>43230</v>
      </c>
      <c r="P1" s="1513">
        <f t="shared" si="1"/>
        <v>43261</v>
      </c>
      <c r="Q1" s="1513">
        <f t="shared" si="1"/>
        <v>43291</v>
      </c>
      <c r="R1" s="1513">
        <f t="shared" si="1"/>
        <v>43322</v>
      </c>
      <c r="S1" s="1513">
        <f t="shared" si="1"/>
        <v>43353</v>
      </c>
      <c r="T1" s="1513">
        <f t="shared" si="1"/>
        <v>43383</v>
      </c>
      <c r="U1" s="1513">
        <f t="shared" si="1"/>
        <v>43414</v>
      </c>
      <c r="V1" s="1513">
        <f t="shared" si="1"/>
        <v>43444</v>
      </c>
      <c r="W1" s="1513">
        <f t="shared" si="1"/>
        <v>43475</v>
      </c>
      <c r="X1" s="1513">
        <f t="shared" si="1"/>
        <v>43506</v>
      </c>
      <c r="Y1" s="1513">
        <f t="shared" si="1"/>
        <v>43534</v>
      </c>
      <c r="Z1" s="1513">
        <f t="shared" si="1"/>
        <v>43565</v>
      </c>
      <c r="AA1" s="1513">
        <f>EOMONTH(AA2,0)+10</f>
        <v>43595</v>
      </c>
      <c r="AB1" s="1513"/>
    </row>
    <row r="2" spans="1:32" ht="15.4" customHeight="1" thickBot="1" x14ac:dyDescent="0.2">
      <c r="B2" s="1514" t="s">
        <v>4</v>
      </c>
      <c r="C2" s="1515" t="s">
        <v>13</v>
      </c>
      <c r="D2" s="1516">
        <f t="shared" ref="D2:L2" si="2">EDATE(E2,-1)</f>
        <v>42856</v>
      </c>
      <c r="E2" s="1516">
        <f t="shared" si="2"/>
        <v>42887</v>
      </c>
      <c r="F2" s="1516">
        <f t="shared" si="2"/>
        <v>42917</v>
      </c>
      <c r="G2" s="1516">
        <f t="shared" si="2"/>
        <v>42948</v>
      </c>
      <c r="H2" s="1516">
        <f t="shared" si="2"/>
        <v>42979</v>
      </c>
      <c r="I2" s="1516">
        <f t="shared" si="2"/>
        <v>43009</v>
      </c>
      <c r="J2" s="1516">
        <f t="shared" si="2"/>
        <v>43040</v>
      </c>
      <c r="K2" s="1516">
        <f t="shared" si="2"/>
        <v>43070</v>
      </c>
      <c r="L2" s="1516">
        <f t="shared" si="2"/>
        <v>43101</v>
      </c>
      <c r="M2" s="1516">
        <f t="shared" ref="M2:Y2" si="3">EDATE(N2,-1)</f>
        <v>43132</v>
      </c>
      <c r="N2" s="1516">
        <f t="shared" si="3"/>
        <v>43160</v>
      </c>
      <c r="O2" s="1516">
        <f t="shared" si="3"/>
        <v>43191</v>
      </c>
      <c r="P2" s="1516">
        <f t="shared" si="3"/>
        <v>43221</v>
      </c>
      <c r="Q2" s="1516">
        <f t="shared" si="3"/>
        <v>43252</v>
      </c>
      <c r="R2" s="1516">
        <f t="shared" si="3"/>
        <v>43282</v>
      </c>
      <c r="S2" s="1516">
        <f t="shared" si="3"/>
        <v>43313</v>
      </c>
      <c r="T2" s="1516">
        <f t="shared" si="3"/>
        <v>43344</v>
      </c>
      <c r="U2" s="1516">
        <f t="shared" si="3"/>
        <v>43374</v>
      </c>
      <c r="V2" s="1516">
        <f t="shared" si="3"/>
        <v>43405</v>
      </c>
      <c r="W2" s="1516">
        <f t="shared" si="3"/>
        <v>43435</v>
      </c>
      <c r="X2" s="1516">
        <f t="shared" si="3"/>
        <v>43466</v>
      </c>
      <c r="Y2" s="1516">
        <f t="shared" si="3"/>
        <v>43497</v>
      </c>
      <c r="Z2" s="1516">
        <f>EDATE(AA2,-1)</f>
        <v>43525</v>
      </c>
      <c r="AA2" s="1933">
        <f>AE5</f>
        <v>43556</v>
      </c>
      <c r="AB2" s="1517">
        <f>IF(MONTH(AA$2)&lt;=8,DATE(YEAR(AA$2)-1,9,1),DATE(YEAR(AA2),9,1))</f>
        <v>43344</v>
      </c>
    </row>
    <row r="3" spans="1:32" ht="15.4" hidden="1" customHeight="1" thickBot="1" x14ac:dyDescent="0.2">
      <c r="A3" s="1511" t="s">
        <v>852</v>
      </c>
      <c r="B3" s="1518" t="s">
        <v>88</v>
      </c>
      <c r="C3" s="1519" t="s">
        <v>851</v>
      </c>
      <c r="D3" s="1520">
        <f>IFERROR(GETPIVOTDATA("合計 / " &amp; $C3,【ピボット】事業所売上!$A$3,"年月",D$2,"事業所",$A3),0)</f>
        <v>0</v>
      </c>
      <c r="E3" s="1520">
        <f>IFERROR(GETPIVOTDATA("合計 / " &amp; $C3,【ピボット】事業所売上!$A$3,"年月",E$2,"事業所",$A3),0)</f>
        <v>0</v>
      </c>
      <c r="F3" s="1520">
        <f>IFERROR(GETPIVOTDATA("合計 / " &amp; $C3,【ピボット】事業所売上!$A$3,"年月",F$2,"事業所",$A3),0)</f>
        <v>0</v>
      </c>
      <c r="G3" s="1520">
        <f>IFERROR(GETPIVOTDATA("合計 / " &amp; $C3,【ピボット】事業所売上!$A$3,"年月",G$2,"事業所",$A3),0)</f>
        <v>0</v>
      </c>
      <c r="H3" s="1520">
        <f>IFERROR(GETPIVOTDATA("合計 / " &amp; $C3,【ピボット】事業所売上!$A$3,"年月",H$2,"事業所",$A3),0)</f>
        <v>0</v>
      </c>
      <c r="I3" s="1520">
        <f>IFERROR(GETPIVOTDATA("合計 / " &amp; $C3,【ピボット】事業所売上!$A$3,"年月",I$2,"事業所",$A3),0)</f>
        <v>0</v>
      </c>
      <c r="J3" s="1521">
        <f>IFERROR(GETPIVOTDATA("合計 / " &amp; $C3,【ピボット】事業所売上!$A$3,"年月",J$2,"事業所",$A3),0)</f>
        <v>0</v>
      </c>
      <c r="K3" s="1521">
        <f>IFERROR(GETPIVOTDATA("合計 / " &amp; $C3,【ピボット】事業所売上!$A$3,"年月",K$2,"事業所",$A3),0)</f>
        <v>0</v>
      </c>
      <c r="L3" s="1521">
        <f>IFERROR(GETPIVOTDATA("合計 / " &amp; $C3,【ピボット】事業所売上!$A$3,"年月",L$2,"事業所",$A3),0)</f>
        <v>0</v>
      </c>
      <c r="M3" s="1521">
        <f>IFERROR(GETPIVOTDATA("合計 / " &amp; $C3,【ピボット】事業所売上!$A$3,"年月",M$2,"事業所",$A3),0)</f>
        <v>0</v>
      </c>
      <c r="N3" s="1521">
        <f>IFERROR(GETPIVOTDATA("合計 / " &amp; $C3,【ピボット】事業所売上!$A$3,"年月",N$2,"事業所",$A3),0)</f>
        <v>0</v>
      </c>
      <c r="O3" s="1521">
        <f>IFERROR(GETPIVOTDATA("合計 / " &amp; $C3,【ピボット】事業所売上!$A$3,"年月",O$2,"事業所",$A3),0)</f>
        <v>0</v>
      </c>
      <c r="P3" s="1521">
        <f>IFERROR(GETPIVOTDATA("合計 / " &amp; $C3,【ピボット】事業所売上!$A$3,"年月",P$2,"事業所",$A3),0)</f>
        <v>0</v>
      </c>
      <c r="Q3" s="1521">
        <f>IFERROR(GETPIVOTDATA("合計 / " &amp; $C3,【ピボット】事業所売上!$A$3,"年月",Q$2,"事業所",$A3),0)</f>
        <v>0</v>
      </c>
      <c r="R3" s="1521">
        <f>IFERROR(GETPIVOTDATA("合計 / " &amp; $C3,【ピボット】事業所売上!$A$3,"年月",R$2,"事業所",$A3),0)</f>
        <v>0</v>
      </c>
      <c r="S3" s="1521">
        <f>IFERROR(GETPIVOTDATA("合計 / " &amp; $C3,【ピボット】事業所売上!$A$3,"年月",S$2,"事業所",$A3),0)</f>
        <v>0</v>
      </c>
      <c r="T3" s="1521">
        <f>IFERROR(GETPIVOTDATA("合計 / " &amp; $C3,【ピボット】事業所売上!$A$3,"年月",T$2,"事業所",$A3),0)</f>
        <v>0</v>
      </c>
      <c r="U3" s="1521">
        <f>IFERROR(GETPIVOTDATA("合計 / " &amp; $C3,【ピボット】事業所売上!$A$3,"年月",U$2,"事業所",$A3),0)</f>
        <v>0</v>
      </c>
      <c r="V3" s="1521">
        <f>IFERROR(GETPIVOTDATA("合計 / " &amp; $C3,【ピボット】事業所売上!$A$3,"年月",V$2,"事業所",$A3),0)</f>
        <v>0</v>
      </c>
      <c r="W3" s="1521">
        <f>IFERROR(GETPIVOTDATA("合計 / " &amp; $C3,【ピボット】事業所売上!$A$3,"年月",W$2,"事業所",$A3),0)</f>
        <v>0</v>
      </c>
      <c r="X3" s="1521">
        <f>IFERROR(GETPIVOTDATA("合計 / " &amp; $C3,【ピボット】事業所売上!$A$3,"年月",X$2,"事業所",$A3),0)</f>
        <v>0</v>
      </c>
      <c r="Y3" s="1521">
        <f>IFERROR(GETPIVOTDATA("合計 / " &amp; $C3,【ピボット】事業所売上!$A$3,"年月",Y$2,"事業所",$A3),0)</f>
        <v>0</v>
      </c>
      <c r="Z3" s="1521">
        <f>IFERROR(GETPIVOTDATA("合計 / " &amp; $C3,【ピボット】事業所売上!$A$3,"年月",Z$2,"事業所",$A3),0)</f>
        <v>0</v>
      </c>
      <c r="AA3" s="1521">
        <f>IFERROR(GETPIVOTDATA("合計 / " &amp; $C3,【ピボット】事業所売上!$A$3,"年月",AA$2,"事業所",$A3),0)</f>
        <v>0</v>
      </c>
      <c r="AB3" s="1522">
        <f>SUM(X3)</f>
        <v>0</v>
      </c>
    </row>
    <row r="4" spans="1:32" ht="15.4" customHeight="1" thickBot="1" x14ac:dyDescent="0.2">
      <c r="A4" s="1511" t="s">
        <v>673</v>
      </c>
      <c r="B4" s="2108" t="s">
        <v>3</v>
      </c>
      <c r="C4" s="1523" t="s">
        <v>10</v>
      </c>
      <c r="D4" s="1524">
        <f>IFERROR(GETPIVOTDATA("合計 / " &amp; $C4,【ピボット】事業所売上!$A$3,"年月",D$2,"事業所",$A4),0)
+IFERROR(GETPIVOTDATA("合計 / " &amp; $C4,【ピボット】事業所売上!$A$3,"年月",D$2,"事業所","二日市場"),0)
+IFERROR(GETPIVOTDATA("合計 / " &amp; $C4,【ピボット】事業所売上!$A$3,"年月",D$2,"事業所","中高根"),0)
+IFERROR(GETPIVOTDATA("合計 / " &amp; $C4,【ピボット】事業所売上!$A$3,"年月",D$2,"事業所","白金タクシー"),0)</f>
        <v>11525304</v>
      </c>
      <c r="E4" s="1524">
        <f>IFERROR(GETPIVOTDATA("合計 / " &amp; $C4,【ピボット】事業所売上!$A$3,"年月",E$2,"事業所",$A4),0)
+IFERROR(GETPIVOTDATA("合計 / " &amp; $C4,【ピボット】事業所売上!$A$3,"年月",E$2,"事業所","二日市場"),0)
+IFERROR(GETPIVOTDATA("合計 / " &amp; $C4,【ピボット】事業所売上!$A$3,"年月",E$2,"事業所","中高根"),0)
+IFERROR(GETPIVOTDATA("合計 / " &amp; $C4,【ピボット】事業所売上!$A$3,"年月",E$2,"事業所","白金タクシー"),0)</f>
        <v>10365671</v>
      </c>
      <c r="F4" s="1524">
        <f>IFERROR(GETPIVOTDATA("合計 / " &amp; $C4,【ピボット】事業所売上!$A$3,"年月",F$2,"事業所",$A4),0)
+IFERROR(GETPIVOTDATA("合計 / " &amp; $C4,【ピボット】事業所売上!$A$3,"年月",F$2,"事業所","二日市場"),0)
+IFERROR(GETPIVOTDATA("合計 / " &amp; $C4,【ピボット】事業所売上!$A$3,"年月",F$2,"事業所","中高根"),0)
+IFERROR(GETPIVOTDATA("合計 / " &amp; $C4,【ピボット】事業所売上!$A$3,"年月",F$2,"事業所","白金タクシー"),0)</f>
        <v>10974978</v>
      </c>
      <c r="G4" s="1524">
        <f>IFERROR(GETPIVOTDATA("合計 / " &amp; $C4,【ピボット】事業所売上!$A$3,"年月",G$2,"事業所",$A4),0)
+IFERROR(GETPIVOTDATA("合計 / " &amp; $C4,【ピボット】事業所売上!$A$3,"年月",G$2,"事業所","二日市場"),0)
+IFERROR(GETPIVOTDATA("合計 / " &amp; $C4,【ピボット】事業所売上!$A$3,"年月",G$2,"事業所","中高根"),0)
+IFERROR(GETPIVOTDATA("合計 / " &amp; $C4,【ピボット】事業所売上!$A$3,"年月",G$2,"事業所","白金タクシー"),0)</f>
        <v>11213081</v>
      </c>
      <c r="H4" s="1524">
        <f>IFERROR(GETPIVOTDATA("合計 / " &amp; $C4,【ピボット】事業所売上!$A$3,"年月",H$2,"事業所",$A4),0)
+IFERROR(GETPIVOTDATA("合計 / " &amp; $C4,【ピボット】事業所売上!$A$3,"年月",H$2,"事業所","二日市場"),0)
+IFERROR(GETPIVOTDATA("合計 / " &amp; $C4,【ピボット】事業所売上!$A$3,"年月",H$2,"事業所","中高根"),0)
+IFERROR(GETPIVOTDATA("合計 / " &amp; $C4,【ピボット】事業所売上!$A$3,"年月",H$2,"事業所","白金タクシー"),0)</f>
        <v>11776230</v>
      </c>
      <c r="I4" s="1524">
        <f>IFERROR(GETPIVOTDATA("合計 / " &amp; $C4,【ピボット】事業所売上!$A$3,"年月",I$2,"事業所",$A4),0)
+IFERROR(GETPIVOTDATA("合計 / " &amp; $C4,【ピボット】事業所売上!$A$3,"年月",I$2,"事業所","二日市場"),0)
+IFERROR(GETPIVOTDATA("合計 / " &amp; $C4,【ピボット】事業所売上!$A$3,"年月",I$2,"事業所","中高根"),0)
+IFERROR(GETPIVOTDATA("合計 / " &amp; $C4,【ピボット】事業所売上!$A$3,"年月",I$2,"事業所","白金タクシー"),0)</f>
        <v>11553759</v>
      </c>
      <c r="J4" s="1524">
        <f>IFERROR(GETPIVOTDATA("合計 / " &amp; $C4,【ピボット】事業所売上!$A$3,"年月",J$2,"事業所",$A4),0)
+IFERROR(GETPIVOTDATA("合計 / " &amp; $C4,【ピボット】事業所売上!$A$3,"年月",J$2,"事業所","二日市場"),0)
+IFERROR(GETPIVOTDATA("合計 / " &amp; $C4,【ピボット】事業所売上!$A$3,"年月",J$2,"事業所","中高根"),0)
+IFERROR(GETPIVOTDATA("合計 / " &amp; $C4,【ピボット】事業所売上!$A$3,"年月",J$2,"事業所","白金タクシー"),0)</f>
        <v>10724292</v>
      </c>
      <c r="K4" s="1524">
        <f>IFERROR(GETPIVOTDATA("合計 / " &amp; $C4,【ピボット】事業所売上!$A$3,"年月",K$2,"事業所",$A4),0)
+IFERROR(GETPIVOTDATA("合計 / " &amp; $C4,【ピボット】事業所売上!$A$3,"年月",K$2,"事業所","二日市場"),0)
+IFERROR(GETPIVOTDATA("合計 / " &amp; $C4,【ピボット】事業所売上!$A$3,"年月",K$2,"事業所","中高根"),0)
+IFERROR(GETPIVOTDATA("合計 / " &amp; $C4,【ピボット】事業所売上!$A$3,"年月",K$2,"事業所","白金タクシー"),0)</f>
        <v>10903433</v>
      </c>
      <c r="L4" s="1524">
        <f>IFERROR(GETPIVOTDATA("合計 / " &amp; $C4,【ピボット】事業所売上!$A$3,"年月",L$2,"事業所",$A4),0)
+IFERROR(GETPIVOTDATA("合計 / " &amp; $C4,【ピボット】事業所売上!$A$3,"年月",L$2,"事業所","二日市場"),0)
+IFERROR(GETPIVOTDATA("合計 / " &amp; $C4,【ピボット】事業所売上!$A$3,"年月",L$2,"事業所","中高根"),0)
+IFERROR(GETPIVOTDATA("合計 / " &amp; $C4,【ピボット】事業所売上!$A$3,"年月",L$2,"事業所","白金タクシー"),0)</f>
        <v>10495999</v>
      </c>
      <c r="M4" s="1524">
        <f>IFERROR(GETPIVOTDATA("合計 / " &amp; $C4,【ピボット】事業所売上!$A$3,"年月",M$2,"事業所",$A4),0)
+IFERROR(GETPIVOTDATA("合計 / " &amp; $C4,【ピボット】事業所売上!$A$3,"年月",M$2,"事業所","二日市場"),0)
+IFERROR(GETPIVOTDATA("合計 / " &amp; $C4,【ピボット】事業所売上!$A$3,"年月",M$2,"事業所","中高根"),0)
+IFERROR(GETPIVOTDATA("合計 / " &amp; $C4,【ピボット】事業所売上!$A$3,"年月",M$2,"事業所","白金タクシー"),0)</f>
        <v>10418682</v>
      </c>
      <c r="N4" s="1524">
        <f>IFERROR(GETPIVOTDATA("合計 / " &amp; $C4,【ピボット】事業所売上!$A$3,"年月",N$2,"事業所",$A4),0)
+IFERROR(GETPIVOTDATA("合計 / " &amp; $C4,【ピボット】事業所売上!$A$3,"年月",N$2,"事業所","二日市場"),0)
+IFERROR(GETPIVOTDATA("合計 / " &amp; $C4,【ピボット】事業所売上!$A$3,"年月",N$2,"事業所","中高根"),0)
+IFERROR(GETPIVOTDATA("合計 / " &amp; $C4,【ピボット】事業所売上!$A$3,"年月",N$2,"事業所","白金タクシー"),0)</f>
        <v>10723365</v>
      </c>
      <c r="O4" s="1524">
        <f>IFERROR(GETPIVOTDATA("合計 / " &amp; $C4,【ピボット】事業所売上!$A$3,"年月",O$2,"事業所",$A4),0)
+IFERROR(GETPIVOTDATA("合計 / " &amp; $C4,【ピボット】事業所売上!$A$3,"年月",O$2,"事業所","二日市場"),0)
+IFERROR(GETPIVOTDATA("合計 / " &amp; $C4,【ピボット】事業所売上!$A$3,"年月",O$2,"事業所","中高根"),0)
+IFERROR(GETPIVOTDATA("合計 / " &amp; $C4,【ピボット】事業所売上!$A$3,"年月",O$2,"事業所","白金タクシー"),0)</f>
        <v>11352203</v>
      </c>
      <c r="P4" s="1524">
        <f>IFERROR(GETPIVOTDATA("合計 / " &amp; $C4,【ピボット】事業所売上!$A$3,"年月",P$2,"事業所",$A4),0)
+IFERROR(GETPIVOTDATA("合計 / " &amp; $C4,【ピボット】事業所売上!$A$3,"年月",P$2,"事業所","二日市場"),0)
+IFERROR(GETPIVOTDATA("合計 / " &amp; $C4,【ピボット】事業所売上!$A$3,"年月",P$2,"事業所","中高根"),0)
+IFERROR(GETPIVOTDATA("合計 / " &amp; $C4,【ピボット】事業所売上!$A$3,"年月",P$2,"事業所","白金タクシー"),0)</f>
        <v>11479627</v>
      </c>
      <c r="Q4" s="1524">
        <f>IFERROR(GETPIVOTDATA("合計 / " &amp; $C4,【ピボット】事業所売上!$A$3,"年月",Q$2,"事業所",$A4),0)
+IFERROR(GETPIVOTDATA("合計 / " &amp; $C4,【ピボット】事業所売上!$A$3,"年月",Q$2,"事業所","二日市場"),0)
+IFERROR(GETPIVOTDATA("合計 / " &amp; $C4,【ピボット】事業所売上!$A$3,"年月",Q$2,"事業所","中高根"),0)
+IFERROR(GETPIVOTDATA("合計 / " &amp; $C4,【ピボット】事業所売上!$A$3,"年月",Q$2,"事業所","白金タクシー"),0)</f>
        <v>10492224</v>
      </c>
      <c r="R4" s="1524">
        <f>IFERROR(GETPIVOTDATA("合計 / " &amp; $C4,【ピボット】事業所売上!$A$3,"年月",R$2,"事業所",$A4),0)
+IFERROR(GETPIVOTDATA("合計 / " &amp; $C4,【ピボット】事業所売上!$A$3,"年月",R$2,"事業所","二日市場"),0)
+IFERROR(GETPIVOTDATA("合計 / " &amp; $C4,【ピボット】事業所売上!$A$3,"年月",R$2,"事業所","中高根"),0)
+IFERROR(GETPIVOTDATA("合計 / " &amp; $C4,【ピボット】事業所売上!$A$3,"年月",R$2,"事業所","白金タクシー"),0)</f>
        <v>11032667</v>
      </c>
      <c r="S4" s="1524">
        <f>IFERROR(GETPIVOTDATA("合計 / " &amp; $C4,【ピボット】事業所売上!$A$3,"年月",S$2,"事業所",$A4),0)
+IFERROR(GETPIVOTDATA("合計 / " &amp; $C4,【ピボット】事業所売上!$A$3,"年月",S$2,"事業所","二日市場"),0)
+IFERROR(GETPIVOTDATA("合計 / " &amp; $C4,【ピボット】事業所売上!$A$3,"年月",S$2,"事業所","中高根"),0)
+IFERROR(GETPIVOTDATA("合計 / " &amp; $C4,【ピボット】事業所売上!$A$3,"年月",S$2,"事業所","白金タクシー"),0)</f>
        <v>9852037</v>
      </c>
      <c r="T4" s="1524">
        <f>IFERROR(GETPIVOTDATA("合計 / " &amp; $C4,【ピボット】事業所売上!$A$3,"年月",T$2,"事業所",$A4),0)
+IFERROR(GETPIVOTDATA("合計 / " &amp; $C4,【ピボット】事業所売上!$A$3,"年月",T$2,"事業所","二日市場"),0)
+IFERROR(GETPIVOTDATA("合計 / " &amp; $C4,【ピボット】事業所売上!$A$3,"年月",T$2,"事業所","中高根"),0)
+IFERROR(GETPIVOTDATA("合計 / " &amp; $C4,【ピボット】事業所売上!$A$3,"年月",T$2,"事業所","白金タクシー"),0)</f>
        <v>10140358</v>
      </c>
      <c r="U4" s="1524">
        <f>IFERROR(GETPIVOTDATA("合計 / " &amp; $C4,【ピボット】事業所売上!$A$3,"年月",U$2,"事業所",$A4),0)
+IFERROR(GETPIVOTDATA("合計 / " &amp; $C4,【ピボット】事業所売上!$A$3,"年月",U$2,"事業所","二日市場"),0)
+IFERROR(GETPIVOTDATA("合計 / " &amp; $C4,【ピボット】事業所売上!$A$3,"年月",U$2,"事業所","中高根"),0)
+IFERROR(GETPIVOTDATA("合計 / " &amp; $C4,【ピボット】事業所売上!$A$3,"年月",U$2,"事業所","白金タクシー"),0)</f>
        <v>10817692</v>
      </c>
      <c r="V4" s="1524">
        <f>IFERROR(GETPIVOTDATA("合計 / " &amp; $C4,【ピボット】事業所売上!$A$3,"年月",V$2,"事業所",$A4),0)
+IFERROR(GETPIVOTDATA("合計 / " &amp; $C4,【ピボット】事業所売上!$A$3,"年月",V$2,"事業所","二日市場"),0)
+IFERROR(GETPIVOTDATA("合計 / " &amp; $C4,【ピボット】事業所売上!$A$3,"年月",V$2,"事業所","中高根"),0)
+IFERROR(GETPIVOTDATA("合計 / " &amp; $C4,【ピボット】事業所売上!$A$3,"年月",V$2,"事業所","白金タクシー"),0)</f>
        <v>11959233</v>
      </c>
      <c r="W4" s="1524">
        <f>IFERROR(GETPIVOTDATA("合計 / " &amp; $C4,【ピボット】事業所売上!$A$3,"年月",W$2,"事業所",$A4),0)
+IFERROR(GETPIVOTDATA("合計 / " &amp; $C4,【ピボット】事業所売上!$A$3,"年月",W$2,"事業所","二日市場"),0)
+IFERROR(GETPIVOTDATA("合計 / " &amp; $C4,【ピボット】事業所売上!$A$3,"年月",W$2,"事業所","中高根"),0)
+IFERROR(GETPIVOTDATA("合計 / " &amp; $C4,【ピボット】事業所売上!$A$3,"年月",W$2,"事業所","白金タクシー"),0)</f>
        <v>10497287</v>
      </c>
      <c r="X4" s="1524">
        <f>IFERROR(GETPIVOTDATA("合計 / " &amp; $C4,【ピボット】事業所売上!$A$3,"年月",X$2,"事業所",$A4),0)
+IFERROR(GETPIVOTDATA("合計 / " &amp; $C4,【ピボット】事業所売上!$A$3,"年月",X$2,"事業所","二日市場"),0)
+IFERROR(GETPIVOTDATA("合計 / " &amp; $C4,【ピボット】事業所売上!$A$3,"年月",X$2,"事業所","中高根"),0)
+IFERROR(GETPIVOTDATA("合計 / " &amp; $C4,【ピボット】事業所売上!$A$3,"年月",X$2,"事業所","白金タクシー"),0)</f>
        <v>10757782</v>
      </c>
      <c r="Y4" s="1524">
        <f>IFERROR(GETPIVOTDATA("合計 / " &amp; $C4,【ピボット】事業所売上!$A$3,"年月",Y$2,"事業所",$A4),0)
+IFERROR(GETPIVOTDATA("合計 / " &amp; $C4,【ピボット】事業所売上!$A$3,"年月",Y$2,"事業所","二日市場"),0)
+IFERROR(GETPIVOTDATA("合計 / " &amp; $C4,【ピボット】事業所売上!$A$3,"年月",Y$2,"事業所","中高根"),0)
+IFERROR(GETPIVOTDATA("合計 / " &amp; $C4,【ピボット】事業所売上!$A$3,"年月",Y$2,"事業所","白金タクシー"),0)</f>
        <v>9810099</v>
      </c>
      <c r="Z4" s="1524">
        <f>IFERROR(GETPIVOTDATA("合計 / " &amp; $C4,【ピボット】事業所売上!$A$3,"年月",Z$2,"事業所",$A4),0)
+IFERROR(GETPIVOTDATA("合計 / " &amp; $C4,【ピボット】事業所売上!$A$3,"年月",Z$2,"事業所","二日市場"),0)
+IFERROR(GETPIVOTDATA("合計 / " &amp; $C4,【ピボット】事業所売上!$A$3,"年月",Z$2,"事業所","中高根"),0)
+IFERROR(GETPIVOTDATA("合計 / " &amp; $C4,【ピボット】事業所売上!$A$3,"年月",Z$2,"事業所","白金タクシー"),0)</f>
        <v>11023993</v>
      </c>
      <c r="AA4" s="1524">
        <f>IFERROR(GETPIVOTDATA("合計 / " &amp; $C4,【ピボット】事業所売上!$A$3,"年月",AA$2,"事業所",$A4),0)
+IFERROR(GETPIVOTDATA("合計 / " &amp; $C4,【ピボット】事業所売上!$A$3,"年月",AA$2,"事業所","二日市場"),0)
+IFERROR(GETPIVOTDATA("合計 / " &amp; $C4,【ピボット】事業所売上!$A$3,"年月",AA$2,"事業所","中高根"),0)
+IFERROR(GETPIVOTDATA("合計 / " &amp; $C4,【ピボット】事業所売上!$A$3,"年月",AA$2,"事業所","白金タクシー"),0)</f>
        <v>10886167</v>
      </c>
      <c r="AB4" s="1525">
        <f ca="1">SUM(OFFSET(AA4,0,当期月数):AA4)</f>
        <v>85892611</v>
      </c>
    </row>
    <row r="5" spans="1:32" s="1529" customFormat="1" ht="15.4" customHeight="1" x14ac:dyDescent="0.15">
      <c r="A5" s="1511" t="s">
        <v>673</v>
      </c>
      <c r="B5" s="2109"/>
      <c r="C5" s="1526" t="s">
        <v>141</v>
      </c>
      <c r="D5" s="1527">
        <f>IFERROR(GETPIVOTDATA("合計 / " &amp; $C4 &amp; $C5,【ピボット】事業所売上!$A$3,"年月",D$2,"事業所",$A5),0)
+IFERROR(GETPIVOTDATA("合計 / " &amp; $C4 &amp; $C5,【ピボット】事業所売上!$A$3,"年月",D$2,"事業所","二日市場"),0)
+IFERROR(GETPIVOTDATA("合計 / " &amp; $C4 &amp; $C5,【ピボット】事業所売上!$A$3,"年月",D$2,"事業所","中高根"),0)
+IFERROR(GETPIVOTDATA("合計 / " &amp; $C4 &amp; $C5,【ピボット】事業所売上!$A$3,"年月",D$2,"事業所","白金タクシー"),0)</f>
        <v>1399143</v>
      </c>
      <c r="E5" s="1527">
        <f>IFERROR(GETPIVOTDATA("合計 / " &amp; $C4 &amp; $C5,【ピボット】事業所売上!$A$3,"年月",E$2,"事業所",$A5),0)
+IFERROR(GETPIVOTDATA("合計 / " &amp; $C4 &amp; $C5,【ピボット】事業所売上!$A$3,"年月",E$2,"事業所","二日市場"),0)
+IFERROR(GETPIVOTDATA("合計 / " &amp; $C4 &amp; $C5,【ピボット】事業所売上!$A$3,"年月",E$2,"事業所","中高根"),0)
+IFERROR(GETPIVOTDATA("合計 / " &amp; $C4 &amp; $C5,【ピボット】事業所売上!$A$3,"年月",E$2,"事業所","白金タクシー"),0)</f>
        <v>1238192</v>
      </c>
      <c r="F5" s="1527">
        <f>IFERROR(GETPIVOTDATA("合計 / " &amp; $C4 &amp; $C5,【ピボット】事業所売上!$A$3,"年月",F$2,"事業所",$A5),0)
+IFERROR(GETPIVOTDATA("合計 / " &amp; $C4 &amp; $C5,【ピボット】事業所売上!$A$3,"年月",F$2,"事業所","二日市場"),0)
+IFERROR(GETPIVOTDATA("合計 / " &amp; $C4 &amp; $C5,【ピボット】事業所売上!$A$3,"年月",F$2,"事業所","中高根"),0)
+IFERROR(GETPIVOTDATA("合計 / " &amp; $C4 &amp; $C5,【ピボット】事業所売上!$A$3,"年月",F$2,"事業所","白金タクシー"),0)</f>
        <v>1322317</v>
      </c>
      <c r="G5" s="1527">
        <f>IFERROR(GETPIVOTDATA("合計 / " &amp; $C4 &amp; $C5,【ピボット】事業所売上!$A$3,"年月",G$2,"事業所",$A5),0)
+IFERROR(GETPIVOTDATA("合計 / " &amp; $C4 &amp; $C5,【ピボット】事業所売上!$A$3,"年月",G$2,"事業所","二日市場"),0)
+IFERROR(GETPIVOTDATA("合計 / " &amp; $C4 &amp; $C5,【ピボット】事業所売上!$A$3,"年月",G$2,"事業所","中高根"),0)
+IFERROR(GETPIVOTDATA("合計 / " &amp; $C4 &amp; $C5,【ピボット】事業所売上!$A$3,"年月",G$2,"事業所","白金タクシー"),0)</f>
        <v>1351019</v>
      </c>
      <c r="H5" s="1527">
        <f>IFERROR(GETPIVOTDATA("合計 / " &amp; $C4 &amp; $C5,【ピボット】事業所売上!$A$3,"年月",H$2,"事業所",$A5),0)
+IFERROR(GETPIVOTDATA("合計 / " &amp; $C4 &amp; $C5,【ピボット】事業所売上!$A$3,"年月",H$2,"事業所","二日市場"),0)
+IFERROR(GETPIVOTDATA("合計 / " &amp; $C4 &amp; $C5,【ピボット】事業所売上!$A$3,"年月",H$2,"事業所","中高根"),0)
+IFERROR(GETPIVOTDATA("合計 / " &amp; $C4 &amp; $C5,【ピボット】事業所売上!$A$3,"年月",H$2,"事業所","白金タクシー"),0)</f>
        <v>1418859</v>
      </c>
      <c r="I5" s="1527">
        <f>IFERROR(GETPIVOTDATA("合計 / " &amp; $C4 &amp; $C5,【ピボット】事業所売上!$A$3,"年月",I$2,"事業所",$A5),0)
+IFERROR(GETPIVOTDATA("合計 / " &amp; $C4 &amp; $C5,【ピボット】事業所売上!$A$3,"年月",I$2,"事業所","二日市場"),0)
+IFERROR(GETPIVOTDATA("合計 / " &amp; $C4 &amp; $C5,【ピボット】事業所売上!$A$3,"年月",I$2,"事業所","中高根"),0)
+IFERROR(GETPIVOTDATA("合計 / " &amp; $C4 &amp; $C5,【ピボット】事業所売上!$A$3,"年月",I$2,"事業所","白金タクシー"),0)</f>
        <v>1392417</v>
      </c>
      <c r="J5" s="1527">
        <f>IFERROR(GETPIVOTDATA("合計 / " &amp; $C4 &amp; $C5,【ピボット】事業所売上!$A$3,"年月",J$2,"事業所",$A5),0)
+IFERROR(GETPIVOTDATA("合計 / " &amp; $C4 &amp; $C5,【ピボット】事業所売上!$A$3,"年月",J$2,"事業所","二日市場"),0)
+IFERROR(GETPIVOTDATA("合計 / " &amp; $C4 &amp; $C5,【ピボット】事業所売上!$A$3,"年月",J$2,"事業所","中高根"),0)
+IFERROR(GETPIVOTDATA("合計 / " &amp; $C4 &amp; $C5,【ピボット】事業所売上!$A$3,"年月",J$2,"事業所","白金タクシー"),0)</f>
        <v>1293794</v>
      </c>
      <c r="K5" s="1527">
        <f>IFERROR(GETPIVOTDATA("合計 / " &amp; $C4 &amp; $C5,【ピボット】事業所売上!$A$3,"年月",K$2,"事業所",$A5),0)
+IFERROR(GETPIVOTDATA("合計 / " &amp; $C4 &amp; $C5,【ピボット】事業所売上!$A$3,"年月",K$2,"事業所","二日市場"),0)
+IFERROR(GETPIVOTDATA("合計 / " &amp; $C4 &amp; $C5,【ピボット】事業所売上!$A$3,"年月",K$2,"事業所","中高根"),0)
+IFERROR(GETPIVOTDATA("合計 / " &amp; $C4 &amp; $C5,【ピボット】事業所売上!$A$3,"年月",K$2,"事業所","白金タクシー"),0)</f>
        <v>1313989</v>
      </c>
      <c r="L5" s="1527">
        <f>IFERROR(GETPIVOTDATA("合計 / " &amp; $C4 &amp; $C5,【ピボット】事業所売上!$A$3,"年月",L$2,"事業所",$A5),0)
+IFERROR(GETPIVOTDATA("合計 / " &amp; $C4 &amp; $C5,【ピボット】事業所売上!$A$3,"年月",L$2,"事業所","二日市場"),0)
+IFERROR(GETPIVOTDATA("合計 / " &amp; $C4 &amp; $C5,【ピボット】事業所売上!$A$3,"年月",L$2,"事業所","中高根"),0)
+IFERROR(GETPIVOTDATA("合計 / " &amp; $C4 &amp; $C5,【ピボット】事業所売上!$A$3,"年月",L$2,"事業所","白金タクシー"),0)</f>
        <v>1418859</v>
      </c>
      <c r="M5" s="1527">
        <f>IFERROR(GETPIVOTDATA("合計 / " &amp; $C4 &amp; $C5,【ピボット】事業所売上!$A$3,"年月",M$2,"事業所",$A5),0)
+IFERROR(GETPIVOTDATA("合計 / " &amp; $C4 &amp; $C5,【ピボット】事業所売上!$A$3,"年月",M$2,"事業所","二日市場"),0)
+IFERROR(GETPIVOTDATA("合計 / " &amp; $C4 &amp; $C5,【ピボット】事業所売上!$A$3,"年月",M$2,"事業所","中高根"),0)
+IFERROR(GETPIVOTDATA("合計 / " &amp; $C4 &amp; $C5,【ピボット】事業所売上!$A$3,"年月",M$2,"事業所","白金タクシー"),0)</f>
        <v>1254602</v>
      </c>
      <c r="N5" s="1527">
        <f>IFERROR(GETPIVOTDATA("合計 / " &amp; $C4 &amp; $C5,【ピボット】事業所売上!$A$3,"年月",N$2,"事業所",$A5),0)
+IFERROR(GETPIVOTDATA("合計 / " &amp; $C4 &amp; $C5,【ピボット】事業所売上!$A$3,"年月",N$2,"事業所","二日市場"),0)
+IFERROR(GETPIVOTDATA("合計 / " &amp; $C4 &amp; $C5,【ピボット】事業所売上!$A$3,"年月",N$2,"事業所","中高根"),0)
+IFERROR(GETPIVOTDATA("合計 / " &amp; $C4 &amp; $C5,【ピボット】事業所売上!$A$3,"年月",N$2,"事業所","白金タクシー"),0)</f>
        <v>1292025</v>
      </c>
      <c r="O5" s="1527">
        <f>IFERROR(GETPIVOTDATA("合計 / " &amp; $C4 &amp; $C5,【ピボット】事業所売上!$A$3,"年月",O$2,"事業所",$A5),0)
+IFERROR(GETPIVOTDATA("合計 / " &amp; $C4 &amp; $C5,【ピボット】事業所売上!$A$3,"年月",O$2,"事業所","二日市場"),0)
+IFERROR(GETPIVOTDATA("合計 / " &amp; $C4 &amp; $C5,【ピボット】事業所売上!$A$3,"年月",O$2,"事業所","中高根"),0)
+IFERROR(GETPIVOTDATA("合計 / " &amp; $C4 &amp; $C5,【ピボット】事業所売上!$A$3,"年月",O$2,"事業所","白金タクシー"),0)</f>
        <v>1369946</v>
      </c>
      <c r="P5" s="1527">
        <f>IFERROR(GETPIVOTDATA("合計 / " &amp; $C4 &amp; $C5,【ピボット】事業所売上!$A$3,"年月",P$2,"事業所",$A5),0)
+IFERROR(GETPIVOTDATA("合計 / " &amp; $C4 &amp; $C5,【ピボット】事業所売上!$A$3,"年月",P$2,"事業所","二日市場"),0)
+IFERROR(GETPIVOTDATA("合計 / " &amp; $C4 &amp; $C5,【ピボット】事業所売上!$A$3,"年月",P$2,"事業所","中高根"),0)
+IFERROR(GETPIVOTDATA("合計 / " &amp; $C4 &amp; $C5,【ピボット】事業所売上!$A$3,"年月",P$2,"事業所","白金タクシー"),0)</f>
        <v>1381326</v>
      </c>
      <c r="Q5" s="1527">
        <f>IFERROR(GETPIVOTDATA("合計 / " &amp; $C4 &amp; $C5,【ピボット】事業所売上!$A$3,"年月",Q$2,"事業所",$A5),0)
+IFERROR(GETPIVOTDATA("合計 / " &amp; $C4 &amp; $C5,【ピボット】事業所売上!$A$3,"年月",Q$2,"事業所","二日市場"),0)
+IFERROR(GETPIVOTDATA("合計 / " &amp; $C4 &amp; $C5,【ピボット】事業所売上!$A$3,"年月",Q$2,"事業所","中高根"),0)
+IFERROR(GETPIVOTDATA("合計 / " &amp; $C4 &amp; $C5,【ピボット】事業所売上!$A$3,"年月",Q$2,"事業所","白金タクシー"),0)</f>
        <v>1264475</v>
      </c>
      <c r="R5" s="1527">
        <f>IFERROR(GETPIVOTDATA("合計 / " &amp; $C4 &amp; $C5,【ピボット】事業所売上!$A$3,"年月",R$2,"事業所",$A5),0)
+IFERROR(GETPIVOTDATA("合計 / " &amp; $C4 &amp; $C5,【ピボット】事業所売上!$A$3,"年月",R$2,"事業所","二日市場"),0)
+IFERROR(GETPIVOTDATA("合計 / " &amp; $C4 &amp; $C5,【ピボット】事業所売上!$A$3,"年月",R$2,"事業所","中高根"),0)
+IFERROR(GETPIVOTDATA("合計 / " &amp; $C4 &amp; $C5,【ピボット】事業所売上!$A$3,"年月",R$2,"事業所","白金タクシー"),0)</f>
        <v>1329824</v>
      </c>
      <c r="S5" s="1527">
        <f>IFERROR(GETPIVOTDATA("合計 / " &amp; $C4 &amp; $C5,【ピボット】事業所売上!$A$3,"年月",S$2,"事業所",$A5),0)
+IFERROR(GETPIVOTDATA("合計 / " &amp; $C4 &amp; $C5,【ピボット】事業所売上!$A$3,"年月",S$2,"事業所","二日市場"),0)
+IFERROR(GETPIVOTDATA("合計 / " &amp; $C4 &amp; $C5,【ピボット】事業所売上!$A$3,"年月",S$2,"事業所","中高根"),0)
+IFERROR(GETPIVOTDATA("合計 / " &amp; $C4 &amp; $C5,【ピボット】事業所売上!$A$3,"年月",S$2,"事業所","白金タクシー"),0)</f>
        <v>1186196</v>
      </c>
      <c r="T5" s="1527">
        <f>IFERROR(GETPIVOTDATA("合計 / " &amp; $C4 &amp; $C5,【ピボット】事業所売上!$A$3,"年月",T$2,"事業所",$A5),0)
+IFERROR(GETPIVOTDATA("合計 / " &amp; $C4 &amp; $C5,【ピボット】事業所売上!$A$3,"年月",T$2,"事業所","二日市場"),0)
+IFERROR(GETPIVOTDATA("合計 / " &amp; $C4 &amp; $C5,【ピボット】事業所売上!$A$3,"年月",T$2,"事業所","中高根"),0)
+IFERROR(GETPIVOTDATA("合計 / " &amp; $C4 &amp; $C5,【ピボット】事業所売上!$A$3,"年月",T$2,"事業所","白金タクシー"),0)</f>
        <v>1222108</v>
      </c>
      <c r="U5" s="1527">
        <f>IFERROR(GETPIVOTDATA("合計 / " &amp; $C4 &amp; $C5,【ピボット】事業所売上!$A$3,"年月",U$2,"事業所",$A5),0)
+IFERROR(GETPIVOTDATA("合計 / " &amp; $C4 &amp; $C5,【ピボット】事業所売上!$A$3,"年月",U$2,"事業所","二日市場"),0)
+IFERROR(GETPIVOTDATA("合計 / " &amp; $C4 &amp; $C5,【ピボット】事業所売上!$A$3,"年月",U$2,"事業所","中高根"),0)
+IFERROR(GETPIVOTDATA("合計 / " &amp; $C4 &amp; $C5,【ピボット】事業所売上!$A$3,"年月",U$2,"事業所","白金タクシー"),0)</f>
        <v>1303050</v>
      </c>
      <c r="V5" s="1527">
        <f>IFERROR(GETPIVOTDATA("合計 / " &amp; $C4 &amp; $C5,【ピボット】事業所売上!$A$3,"年月",V$2,"事業所",$A5),0)
+IFERROR(GETPIVOTDATA("合計 / " &amp; $C4 &amp; $C5,【ピボット】事業所売上!$A$3,"年月",V$2,"事業所","二日市場"),0)
+IFERROR(GETPIVOTDATA("合計 / " &amp; $C4 &amp; $C5,【ピボット】事業所売上!$A$3,"年月",V$2,"事業所","中高根"),0)
+IFERROR(GETPIVOTDATA("合計 / " &amp; $C4 &amp; $C5,【ピボット】事業所売上!$A$3,"年月",V$2,"事業所","白金タクシー"),0)</f>
        <v>1441337</v>
      </c>
      <c r="W5" s="1527">
        <f>IFERROR(GETPIVOTDATA("合計 / " &amp; $C4 &amp; $C5,【ピボット】事業所売上!$A$3,"年月",W$2,"事業所",$A5),0)
+IFERROR(GETPIVOTDATA("合計 / " &amp; $C4 &amp; $C5,【ピボット】事業所売上!$A$3,"年月",W$2,"事業所","二日市場"),0)
+IFERROR(GETPIVOTDATA("合計 / " &amp; $C4 &amp; $C5,【ピボット】事業所売上!$A$3,"年月",W$2,"事業所","中高根"),0)
+IFERROR(GETPIVOTDATA("合計 / " &amp; $C4 &amp; $C5,【ピボット】事業所売上!$A$3,"年月",W$2,"事業所","白金タクシー"),0)</f>
        <v>1264810</v>
      </c>
      <c r="X5" s="1527">
        <f>IFERROR(GETPIVOTDATA("合計 / " &amp; $C4 &amp; $C5,【ピボット】事業所売上!$A$3,"年月",X$2,"事業所",$A5),0)
+IFERROR(GETPIVOTDATA("合計 / " &amp; $C4 &amp; $C5,【ピボット】事業所売上!$A$3,"年月",X$2,"事業所","二日市場"),0)
+IFERROR(GETPIVOTDATA("合計 / " &amp; $C4 &amp; $C5,【ピボット】事業所売上!$A$3,"年月",X$2,"事業所","中高根"),0)
+IFERROR(GETPIVOTDATA("合計 / " &amp; $C4 &amp; $C5,【ピボット】事業所売上!$A$3,"年月",X$2,"事業所","白金タクシー"),0)</f>
        <v>1297597</v>
      </c>
      <c r="Y5" s="1527">
        <f>IFERROR(GETPIVOTDATA("合計 / " &amp; $C4 &amp; $C5,【ピボット】事業所売上!$A$3,"年月",Y$2,"事業所",$A5),0)
+IFERROR(GETPIVOTDATA("合計 / " &amp; $C4 &amp; $C5,【ピボット】事業所売上!$A$3,"年月",Y$2,"事業所","二日市場"),0)
+IFERROR(GETPIVOTDATA("合計 / " &amp; $C4 &amp; $C5,【ピボット】事業所売上!$A$3,"年月",Y$2,"事業所","中高根"),0)
+IFERROR(GETPIVOTDATA("合計 / " &amp; $C4 &amp; $C5,【ピボット】事業所売上!$A$3,"年月",Y$2,"事業所","白金タクシー"),0)</f>
        <v>1181981</v>
      </c>
      <c r="Z5" s="1527">
        <f>IFERROR(GETPIVOTDATA("合計 / " &amp; $C4 &amp; $C5,【ピボット】事業所売上!$A$3,"年月",Z$2,"事業所",$A5),0)
+IFERROR(GETPIVOTDATA("合計 / " &amp; $C4 &amp; $C5,【ピボット】事業所売上!$A$3,"年月",Z$2,"事業所","二日市場"),0)
+IFERROR(GETPIVOTDATA("合計 / " &amp; $C4 &amp; $C5,【ピボット】事業所売上!$A$3,"年月",Z$2,"事業所","中高根"),0)
+IFERROR(GETPIVOTDATA("合計 / " &amp; $C4 &amp; $C5,【ピボット】事業所売上!$A$3,"年月",Z$2,"事業所","白金タクシー"),0)</f>
        <v>1328201</v>
      </c>
      <c r="AA5" s="1527">
        <f>IFERROR(GETPIVOTDATA("合計 / " &amp; $C4 &amp; $C5,【ピボット】事業所売上!$A$3,"年月",AA$2,"事業所",$A5),0)
+IFERROR(GETPIVOTDATA("合計 / " &amp; $C4 &amp; $C5,【ピボット】事業所売上!$A$3,"年月",AA$2,"事業所","二日市場"),0)
+IFERROR(GETPIVOTDATA("合計 / " &amp; $C4 &amp; $C5,【ピボット】事業所売上!$A$3,"年月",AA$2,"事業所","中高根"),0)
+IFERROR(GETPIVOTDATA("合計 / " &amp; $C4 &amp; $C5,【ピボット】事業所売上!$A$3,"年月",AA$2,"事業所","白金タクシー"),0)</f>
        <v>0</v>
      </c>
      <c r="AB5" s="1528">
        <f ca="1">SUM(OFFSET(AA5,0,当期月数):AA5)</f>
        <v>9039084</v>
      </c>
      <c r="AE5" s="2076">
        <v>43556</v>
      </c>
      <c r="AF5" s="1511"/>
    </row>
    <row r="6" spans="1:32" s="1529" customFormat="1" ht="15.4" customHeight="1" x14ac:dyDescent="0.15">
      <c r="A6" s="1511" t="s">
        <v>673</v>
      </c>
      <c r="B6" s="2109"/>
      <c r="C6" s="1530" t="s">
        <v>9</v>
      </c>
      <c r="D6" s="1531">
        <f>IFERROR(GETPIVOTDATA("合計 / " &amp; $C6,【ピボット】事業所売上!$A$3,"年月",D$2,"事業所",$A6),0)
+IFERROR(GETPIVOTDATA("合計 / " &amp; $C6,【ピボット】事業所売上!$A$3,"年月",D$2,"事業所","二日市場"),0)
+IFERROR(GETPIVOTDATA("合計 / " &amp; $C6,【ピボット】事業所売上!$A$3,"年月",D$2,"事業所","中高根"),0)
+IFERROR(GETPIVOTDATA("合計 / " &amp; $C6,【ピボット】事業所売上!$A$3,"年月",D$2,"事業所","白金タクシー"),0)</f>
        <v>738238</v>
      </c>
      <c r="E6" s="1531">
        <f>IFERROR(GETPIVOTDATA("合計 / " &amp; $C6,【ピボット】事業所売上!$A$3,"年月",E$2,"事業所",$A6),0)
+IFERROR(GETPIVOTDATA("合計 / " &amp; $C6,【ピボット】事業所売上!$A$3,"年月",E$2,"事業所","二日市場"),0)
+IFERROR(GETPIVOTDATA("合計 / " &amp; $C6,【ピボット】事業所売上!$A$3,"年月",E$2,"事業所","中高根"),0)
+IFERROR(GETPIVOTDATA("合計 / " &amp; $C6,【ピボット】事業所売上!$A$3,"年月",E$2,"事業所","白金タクシー"),0)</f>
        <v>730748</v>
      </c>
      <c r="F6" s="1531">
        <f>IFERROR(GETPIVOTDATA("合計 / " &amp; $C6,【ピボット】事業所売上!$A$3,"年月",F$2,"事業所",$A6),0)
+IFERROR(GETPIVOTDATA("合計 / " &amp; $C6,【ピボット】事業所売上!$A$3,"年月",F$2,"事業所","二日市場"),0)
+IFERROR(GETPIVOTDATA("合計 / " &amp; $C6,【ピボット】事業所売上!$A$3,"年月",F$2,"事業所","中高根"),0)
+IFERROR(GETPIVOTDATA("合計 / " &amp; $C6,【ピボット】事業所売上!$A$3,"年月",F$2,"事業所","白金タクシー"),0)</f>
        <v>677356</v>
      </c>
      <c r="G6" s="1531">
        <f>IFERROR(GETPIVOTDATA("合計 / " &amp; $C6,【ピボット】事業所売上!$A$3,"年月",G$2,"事業所",$A6),0)
+IFERROR(GETPIVOTDATA("合計 / " &amp; $C6,【ピボット】事業所売上!$A$3,"年月",G$2,"事業所","二日市場"),0)
+IFERROR(GETPIVOTDATA("合計 / " &amp; $C6,【ピボット】事業所売上!$A$3,"年月",G$2,"事業所","中高根"),0)
+IFERROR(GETPIVOTDATA("合計 / " &amp; $C6,【ピボット】事業所売上!$A$3,"年月",G$2,"事業所","白金タクシー"),0)</f>
        <v>686034</v>
      </c>
      <c r="H6" s="1531">
        <f>IFERROR(GETPIVOTDATA("合計 / " &amp; $C6,【ピボット】事業所売上!$A$3,"年月",H$2,"事業所",$A6),0)
+IFERROR(GETPIVOTDATA("合計 / " &amp; $C6,【ピボット】事業所売上!$A$3,"年月",H$2,"事業所","二日市場"),0)
+IFERROR(GETPIVOTDATA("合計 / " &amp; $C6,【ピボット】事業所売上!$A$3,"年月",H$2,"事業所","中高根"),0)
+IFERROR(GETPIVOTDATA("合計 / " &amp; $C6,【ピボット】事業所売上!$A$3,"年月",H$2,"事業所","白金タクシー"),0)</f>
        <v>669653</v>
      </c>
      <c r="I6" s="1531">
        <f>IFERROR(GETPIVOTDATA("合計 / " &amp; $C6,【ピボット】事業所売上!$A$3,"年月",I$2,"事業所",$A6),0)
+IFERROR(GETPIVOTDATA("合計 / " &amp; $C6,【ピボット】事業所売上!$A$3,"年月",I$2,"事業所","二日市場"),0)
+IFERROR(GETPIVOTDATA("合計 / " &amp; $C6,【ピボット】事業所売上!$A$3,"年月",I$2,"事業所","中高根"),0)
+IFERROR(GETPIVOTDATA("合計 / " &amp; $C6,【ピボット】事業所売上!$A$3,"年月",I$2,"事業所","白金タクシー"),0)</f>
        <v>665042</v>
      </c>
      <c r="J6" s="1531">
        <f>IFERROR(GETPIVOTDATA("合計 / " &amp; $C6,【ピボット】事業所売上!$A$3,"年月",J$2,"事業所",$A6),0)
+IFERROR(GETPIVOTDATA("合計 / " &amp; $C6,【ピボット】事業所売上!$A$3,"年月",J$2,"事業所","二日市場"),0)
+IFERROR(GETPIVOTDATA("合計 / " &amp; $C6,【ピボット】事業所売上!$A$3,"年月",J$2,"事業所","中高根"),0)
+IFERROR(GETPIVOTDATA("合計 / " &amp; $C6,【ピボット】事業所売上!$A$3,"年月",J$2,"事業所","白金タクシー"),0)</f>
        <v>686152</v>
      </c>
      <c r="K6" s="1531">
        <f>IFERROR(GETPIVOTDATA("合計 / " &amp; $C6,【ピボット】事業所売上!$A$3,"年月",K$2,"事業所",$A6),0)
+IFERROR(GETPIVOTDATA("合計 / " &amp; $C6,【ピボット】事業所売上!$A$3,"年月",K$2,"事業所","二日市場"),0)
+IFERROR(GETPIVOTDATA("合計 / " &amp; $C6,【ピボット】事業所売上!$A$3,"年月",K$2,"事業所","中高根"),0)
+IFERROR(GETPIVOTDATA("合計 / " &amp; $C6,【ピボット】事業所売上!$A$3,"年月",K$2,"事業所","白金タクシー"),0)</f>
        <v>744776</v>
      </c>
      <c r="L6" s="1531">
        <f>IFERROR(GETPIVOTDATA("合計 / " &amp; $C6,【ピボット】事業所売上!$A$3,"年月",L$2,"事業所",$A6),0)
+IFERROR(GETPIVOTDATA("合計 / " &amp; $C6,【ピボット】事業所売上!$A$3,"年月",L$2,"事業所","二日市場"),0)
+IFERROR(GETPIVOTDATA("合計 / " &amp; $C6,【ピボット】事業所売上!$A$3,"年月",L$2,"事業所","中高根"),0)
+IFERROR(GETPIVOTDATA("合計 / " &amp; $C6,【ピボット】事業所売上!$A$3,"年月",L$2,"事業所","白金タクシー"),0)</f>
        <v>767428</v>
      </c>
      <c r="M6" s="1531">
        <f>IFERROR(GETPIVOTDATA("合計 / " &amp; $C6,【ピボット】事業所売上!$A$3,"年月",M$2,"事業所",$A6),0)
+IFERROR(GETPIVOTDATA("合計 / " &amp; $C6,【ピボット】事業所売上!$A$3,"年月",M$2,"事業所","二日市場"),0)
+IFERROR(GETPIVOTDATA("合計 / " &amp; $C6,【ピボット】事業所売上!$A$3,"年月",M$2,"事業所","中高根"),0)
+IFERROR(GETPIVOTDATA("合計 / " &amp; $C6,【ピボット】事業所売上!$A$3,"年月",M$2,"事業所","白金タクシー"),0)</f>
        <v>762581</v>
      </c>
      <c r="N6" s="1531">
        <f>IFERROR(GETPIVOTDATA("合計 / " &amp; $C6,【ピボット】事業所売上!$A$3,"年月",N$2,"事業所",$A6),0)
+IFERROR(GETPIVOTDATA("合計 / " &amp; $C6,【ピボット】事業所売上!$A$3,"年月",N$2,"事業所","二日市場"),0)
+IFERROR(GETPIVOTDATA("合計 / " &amp; $C6,【ピボット】事業所売上!$A$3,"年月",N$2,"事業所","中高根"),0)
+IFERROR(GETPIVOTDATA("合計 / " &amp; $C6,【ピボット】事業所売上!$A$3,"年月",N$2,"事業所","白金タクシー"),0)</f>
        <v>741802</v>
      </c>
      <c r="O6" s="1531">
        <f>IFERROR(GETPIVOTDATA("合計 / " &amp; $C6,【ピボット】事業所売上!$A$3,"年月",O$2,"事業所",$A6),0)
+IFERROR(GETPIVOTDATA("合計 / " &amp; $C6,【ピボット】事業所売上!$A$3,"年月",O$2,"事業所","二日市場"),0)
+IFERROR(GETPIVOTDATA("合計 / " &amp; $C6,【ピボット】事業所売上!$A$3,"年月",O$2,"事業所","中高根"),0)
+IFERROR(GETPIVOTDATA("合計 / " &amp; $C6,【ピボット】事業所売上!$A$3,"年月",O$2,"事業所","白金タクシー"),0)</f>
        <v>684712</v>
      </c>
      <c r="P6" s="1531">
        <f>IFERROR(GETPIVOTDATA("合計 / " &amp; $C6,【ピボット】事業所売上!$A$3,"年月",P$2,"事業所",$A6),0)
+IFERROR(GETPIVOTDATA("合計 / " &amp; $C6,【ピボット】事業所売上!$A$3,"年月",P$2,"事業所","二日市場"),0)
+IFERROR(GETPIVOTDATA("合計 / " &amp; $C6,【ピボット】事業所売上!$A$3,"年月",P$2,"事業所","中高根"),0)
+IFERROR(GETPIVOTDATA("合計 / " &amp; $C6,【ピボット】事業所売上!$A$3,"年月",P$2,"事業所","白金タクシー"),0)</f>
        <v>662018</v>
      </c>
      <c r="Q6" s="1531">
        <f>IFERROR(GETPIVOTDATA("合計 / " &amp; $C6,【ピボット】事業所売上!$A$3,"年月",Q$2,"事業所",$A6),0)
+IFERROR(GETPIVOTDATA("合計 / " &amp; $C6,【ピボット】事業所売上!$A$3,"年月",Q$2,"事業所","二日市場"),0)
+IFERROR(GETPIVOTDATA("合計 / " &amp; $C6,【ピボット】事業所売上!$A$3,"年月",Q$2,"事業所","中高根"),0)
+IFERROR(GETPIVOTDATA("合計 / " &amp; $C6,【ピボット】事業所売上!$A$3,"年月",Q$2,"事業所","白金タクシー"),0)</f>
        <v>713826</v>
      </c>
      <c r="R6" s="1531">
        <f>IFERROR(GETPIVOTDATA("合計 / " &amp; $C6,【ピボット】事業所売上!$A$3,"年月",R$2,"事業所",$A6),0)
+IFERROR(GETPIVOTDATA("合計 / " &amp; $C6,【ピボット】事業所売上!$A$3,"年月",R$2,"事業所","二日市場"),0)
+IFERROR(GETPIVOTDATA("合計 / " &amp; $C6,【ピボット】事業所売上!$A$3,"年月",R$2,"事業所","中高根"),0)
+IFERROR(GETPIVOTDATA("合計 / " &amp; $C6,【ピボット】事業所売上!$A$3,"年月",R$2,"事業所","白金タクシー"),0)</f>
        <v>720086</v>
      </c>
      <c r="S6" s="1531">
        <f>IFERROR(GETPIVOTDATA("合計 / " &amp; $C6,【ピボット】事業所売上!$A$3,"年月",S$2,"事業所",$A6),0)
+IFERROR(GETPIVOTDATA("合計 / " &amp; $C6,【ピボット】事業所売上!$A$3,"年月",S$2,"事業所","二日市場"),0)
+IFERROR(GETPIVOTDATA("合計 / " &amp; $C6,【ピボット】事業所売上!$A$3,"年月",S$2,"事業所","中高根"),0)
+IFERROR(GETPIVOTDATA("合計 / " &amp; $C6,【ピボット】事業所売上!$A$3,"年月",S$2,"事業所","白金タクシー"),0)</f>
        <v>668845</v>
      </c>
      <c r="T6" s="1531">
        <f>IFERROR(GETPIVOTDATA("合計 / " &amp; $C6,【ピボット】事業所売上!$A$3,"年月",T$2,"事業所",$A6),0)
+IFERROR(GETPIVOTDATA("合計 / " &amp; $C6,【ピボット】事業所売上!$A$3,"年月",T$2,"事業所","二日市場"),0)
+IFERROR(GETPIVOTDATA("合計 / " &amp; $C6,【ピボット】事業所売上!$A$3,"年月",T$2,"事業所","中高根"),0)
+IFERROR(GETPIVOTDATA("合計 / " &amp; $C6,【ピボット】事業所売上!$A$3,"年月",T$2,"事業所","白金タクシー"),0)</f>
        <v>700186</v>
      </c>
      <c r="U6" s="1531">
        <f>IFERROR(GETPIVOTDATA("合計 / " &amp; $C6,【ピボット】事業所売上!$A$3,"年月",U$2,"事業所",$A6),0)
+IFERROR(GETPIVOTDATA("合計 / " &amp; $C6,【ピボット】事業所売上!$A$3,"年月",U$2,"事業所","二日市場"),0)
+IFERROR(GETPIVOTDATA("合計 / " &amp; $C6,【ピボット】事業所売上!$A$3,"年月",U$2,"事業所","中高根"),0)
+IFERROR(GETPIVOTDATA("合計 / " &amp; $C6,【ピボット】事業所売上!$A$3,"年月",U$2,"事業所","白金タクシー"),0)</f>
        <v>715111</v>
      </c>
      <c r="V6" s="1531">
        <f>IFERROR(GETPIVOTDATA("合計 / " &amp; $C6,【ピボット】事業所売上!$A$3,"年月",V$2,"事業所",$A6),0)
+IFERROR(GETPIVOTDATA("合計 / " &amp; $C6,【ピボット】事業所売上!$A$3,"年月",V$2,"事業所","二日市場"),0)
+IFERROR(GETPIVOTDATA("合計 / " &amp; $C6,【ピボット】事業所売上!$A$3,"年月",V$2,"事業所","中高根"),0)
+IFERROR(GETPIVOTDATA("合計 / " &amp; $C6,【ピボット】事業所売上!$A$3,"年月",V$2,"事業所","白金タクシー"),0)</f>
        <v>707246</v>
      </c>
      <c r="W6" s="1531">
        <f>IFERROR(GETPIVOTDATA("合計 / " &amp; $C6,【ピボット】事業所売上!$A$3,"年月",W$2,"事業所",$A6),0)
+IFERROR(GETPIVOTDATA("合計 / " &amp; $C6,【ピボット】事業所売上!$A$3,"年月",W$2,"事業所","二日市場"),0)
+IFERROR(GETPIVOTDATA("合計 / " &amp; $C6,【ピボット】事業所売上!$A$3,"年月",W$2,"事業所","中高根"),0)
+IFERROR(GETPIVOTDATA("合計 / " &amp; $C6,【ピボット】事業所売上!$A$3,"年月",W$2,"事業所","白金タクシー"),0)</f>
        <v>747467</v>
      </c>
      <c r="X6" s="1531">
        <f>IFERROR(GETPIVOTDATA("合計 / " &amp; $C6,【ピボット】事業所売上!$A$3,"年月",X$2,"事業所",$A6),0)
+IFERROR(GETPIVOTDATA("合計 / " &amp; $C6,【ピボット】事業所売上!$A$3,"年月",X$2,"事業所","二日市場"),0)
+IFERROR(GETPIVOTDATA("合計 / " &amp; $C6,【ピボット】事業所売上!$A$3,"年月",X$2,"事業所","中高根"),0)
+IFERROR(GETPIVOTDATA("合計 / " &amp; $C6,【ピボット】事業所売上!$A$3,"年月",X$2,"事業所","白金タクシー"),0)</f>
        <v>736200</v>
      </c>
      <c r="Y6" s="1531">
        <f>IFERROR(GETPIVOTDATA("合計 / " &amp; $C6,【ピボット】事業所売上!$A$3,"年月",Y$2,"事業所",$A6),0)
+IFERROR(GETPIVOTDATA("合計 / " &amp; $C6,【ピボット】事業所売上!$A$3,"年月",Y$2,"事業所","二日市場"),0)
+IFERROR(GETPIVOTDATA("合計 / " &amp; $C6,【ピボット】事業所売上!$A$3,"年月",Y$2,"事業所","中高根"),0)
+IFERROR(GETPIVOTDATA("合計 / " &amp; $C6,【ピボット】事業所売上!$A$3,"年月",Y$2,"事業所","白金タクシー"),0)</f>
        <v>756347</v>
      </c>
      <c r="Z6" s="1531">
        <f>IFERROR(GETPIVOTDATA("合計 / " &amp; $C6,【ピボット】事業所売上!$A$3,"年月",Z$2,"事業所",$A6),0)
+IFERROR(GETPIVOTDATA("合計 / " &amp; $C6,【ピボット】事業所売上!$A$3,"年月",Z$2,"事業所","二日市場"),0)
+IFERROR(GETPIVOTDATA("合計 / " &amp; $C6,【ピボット】事業所売上!$A$3,"年月",Z$2,"事業所","中高根"),0)
+IFERROR(GETPIVOTDATA("合計 / " &amp; $C6,【ピボット】事業所売上!$A$3,"年月",Z$2,"事業所","白金タクシー"),0)</f>
        <v>839377</v>
      </c>
      <c r="AA6" s="1531">
        <f>IFERROR(GETPIVOTDATA("合計 / " &amp; $C6,【ピボット】事業所売上!$A$3,"年月",AA$2,"事業所",$A6),0)
+IFERROR(GETPIVOTDATA("合計 / " &amp; $C6,【ピボット】事業所売上!$A$3,"年月",AA$2,"事業所","二日市場"),0)
+IFERROR(GETPIVOTDATA("合計 / " &amp; $C6,【ピボット】事業所売上!$A$3,"年月",AA$2,"事業所","中高根"),0)
+IFERROR(GETPIVOTDATA("合計 / " &amp; $C6,【ピボット】事業所売上!$A$3,"年月",AA$2,"事業所","白金タクシー"),0)</f>
        <v>864993</v>
      </c>
      <c r="AB6" s="1528">
        <f ca="1">SUM(OFFSET(AA6,0,当期月数):AA6)</f>
        <v>6066927</v>
      </c>
      <c r="AE6" s="2077"/>
      <c r="AF6" s="1511"/>
    </row>
    <row r="7" spans="1:32" s="1529" customFormat="1" ht="15.4" customHeight="1" thickBot="1" x14ac:dyDescent="0.2">
      <c r="A7" s="1511" t="s">
        <v>673</v>
      </c>
      <c r="B7" s="2109"/>
      <c r="C7" s="1532" t="s">
        <v>8</v>
      </c>
      <c r="D7" s="1531">
        <f>IFERROR(GETPIVOTDATA("合計 / " &amp; $C7,【ピボット】事業所売上!$A$3,"年月",D$2,"事業所",$A7),0)
+IFERROR(GETPIVOTDATA("合計 / " &amp; $C7,【ピボット】事業所売上!$A$3,"年月",D$2,"事業所","二日市場"),0)
+IFERROR(GETPIVOTDATA("合計 / " &amp; $C7,【ピボット】事業所売上!$A$3,"年月",D$2,"事業所","中高根"),0)
+IFERROR(GETPIVOTDATA("合計 / " &amp; $C7,【ピボット】事業所売上!$A$3,"年月",D$2,"事業所","白金タクシー"),0)</f>
        <v>1754395</v>
      </c>
      <c r="E7" s="1531">
        <f>IFERROR(GETPIVOTDATA("合計 / " &amp; $C7,【ピボット】事業所売上!$A$3,"年月",E$2,"事業所",$A7),0)
+IFERROR(GETPIVOTDATA("合計 / " &amp; $C7,【ピボット】事業所売上!$A$3,"年月",E$2,"事業所","二日市場"),0)
+IFERROR(GETPIVOTDATA("合計 / " &amp; $C7,【ピボット】事業所売上!$A$3,"年月",E$2,"事業所","中高根"),0)
+IFERROR(GETPIVOTDATA("合計 / " &amp; $C7,【ピボット】事業所売上!$A$3,"年月",E$2,"事業所","白金タクシー"),0)</f>
        <v>1469158</v>
      </c>
      <c r="F7" s="1531">
        <f>IFERROR(GETPIVOTDATA("合計 / " &amp; $C7,【ピボット】事業所売上!$A$3,"年月",F$2,"事業所",$A7),0)
+IFERROR(GETPIVOTDATA("合計 / " &amp; $C7,【ピボット】事業所売上!$A$3,"年月",F$2,"事業所","二日市場"),0)
+IFERROR(GETPIVOTDATA("合計 / " &amp; $C7,【ピボット】事業所売上!$A$3,"年月",F$2,"事業所","中高根"),0)
+IFERROR(GETPIVOTDATA("合計 / " &amp; $C7,【ピボット】事業所売上!$A$3,"年月",F$2,"事業所","白金タクシー"),0)</f>
        <v>1904470</v>
      </c>
      <c r="G7" s="1531">
        <f>IFERROR(GETPIVOTDATA("合計 / " &amp; $C7,【ピボット】事業所売上!$A$3,"年月",G$2,"事業所",$A7),0)
+IFERROR(GETPIVOTDATA("合計 / " &amp; $C7,【ピボット】事業所売上!$A$3,"年月",G$2,"事業所","二日市場"),0)
+IFERROR(GETPIVOTDATA("合計 / " &amp; $C7,【ピボット】事業所売上!$A$3,"年月",G$2,"事業所","中高根"),0)
+IFERROR(GETPIVOTDATA("合計 / " &amp; $C7,【ピボット】事業所売上!$A$3,"年月",G$2,"事業所","白金タクシー"),0)</f>
        <v>1510518</v>
      </c>
      <c r="H7" s="1531">
        <f>IFERROR(GETPIVOTDATA("合計 / " &amp; $C7,【ピボット】事業所売上!$A$3,"年月",H$2,"事業所",$A7),0)
+IFERROR(GETPIVOTDATA("合計 / " &amp; $C7,【ピボット】事業所売上!$A$3,"年月",H$2,"事業所","二日市場"),0)
+IFERROR(GETPIVOTDATA("合計 / " &amp; $C7,【ピボット】事業所売上!$A$3,"年月",H$2,"事業所","中高根"),0)
+IFERROR(GETPIVOTDATA("合計 / " &amp; $C7,【ピボット】事業所売上!$A$3,"年月",H$2,"事業所","白金タクシー"),0)</f>
        <v>1360933</v>
      </c>
      <c r="I7" s="1531">
        <f>IFERROR(GETPIVOTDATA("合計 / " &amp; $C7,【ピボット】事業所売上!$A$3,"年月",I$2,"事業所",$A7),0)
+IFERROR(GETPIVOTDATA("合計 / " &amp; $C7,【ピボット】事業所売上!$A$3,"年月",I$2,"事業所","二日市場"),0)
+IFERROR(GETPIVOTDATA("合計 / " &amp; $C7,【ピボット】事業所売上!$A$3,"年月",I$2,"事業所","中高根"),0)
+IFERROR(GETPIVOTDATA("合計 / " &amp; $C7,【ピボット】事業所売上!$A$3,"年月",I$2,"事業所","白金タクシー"),0)</f>
        <v>1512177</v>
      </c>
      <c r="J7" s="1531">
        <f>IFERROR(GETPIVOTDATA("合計 / " &amp; $C7,【ピボット】事業所売上!$A$3,"年月",J$2,"事業所",$A7),0)
+IFERROR(GETPIVOTDATA("合計 / " &amp; $C7,【ピボット】事業所売上!$A$3,"年月",J$2,"事業所","二日市場"),0)
+IFERROR(GETPIVOTDATA("合計 / " &amp; $C7,【ピボット】事業所売上!$A$3,"年月",J$2,"事業所","中高根"),0)
+IFERROR(GETPIVOTDATA("合計 / " &amp; $C7,【ピボット】事業所売上!$A$3,"年月",J$2,"事業所","白金タクシー"),0)</f>
        <v>1291054</v>
      </c>
      <c r="K7" s="1531">
        <f>IFERROR(GETPIVOTDATA("合計 / " &amp; $C7,【ピボット】事業所売上!$A$3,"年月",K$2,"事業所",$A7),0)
+IFERROR(GETPIVOTDATA("合計 / " &amp; $C7,【ピボット】事業所売上!$A$3,"年月",K$2,"事業所","二日市場"),0)
+IFERROR(GETPIVOTDATA("合計 / " &amp; $C7,【ピボット】事業所売上!$A$3,"年月",K$2,"事業所","中高根"),0)
+IFERROR(GETPIVOTDATA("合計 / " &amp; $C7,【ピボット】事業所売上!$A$3,"年月",K$2,"事業所","白金タクシー"),0)</f>
        <v>1393381</v>
      </c>
      <c r="L7" s="1531">
        <f>IFERROR(GETPIVOTDATA("合計 / " &amp; $C7,【ピボット】事業所売上!$A$3,"年月",L$2,"事業所",$A7),0)
+IFERROR(GETPIVOTDATA("合計 / " &amp; $C7,【ピボット】事業所売上!$A$3,"年月",L$2,"事業所","二日市場"),0)
+IFERROR(GETPIVOTDATA("合計 / " &amp; $C7,【ピボット】事業所売上!$A$3,"年月",L$2,"事業所","中高根"),0)
+IFERROR(GETPIVOTDATA("合計 / " &amp; $C7,【ピボット】事業所売上!$A$3,"年月",L$2,"事業所","白金タクシー"),0)</f>
        <v>1404527</v>
      </c>
      <c r="M7" s="1531">
        <f>IFERROR(GETPIVOTDATA("合計 / " &amp; $C7,【ピボット】事業所売上!$A$3,"年月",M$2,"事業所",$A7),0)
+IFERROR(GETPIVOTDATA("合計 / " &amp; $C7,【ピボット】事業所売上!$A$3,"年月",M$2,"事業所","二日市場"),0)
+IFERROR(GETPIVOTDATA("合計 / " &amp; $C7,【ピボット】事業所売上!$A$3,"年月",M$2,"事業所","中高根"),0)
+IFERROR(GETPIVOTDATA("合計 / " &amp; $C7,【ピボット】事業所売上!$A$3,"年月",M$2,"事業所","白金タクシー"),0)</f>
        <v>1260742</v>
      </c>
      <c r="N7" s="1531">
        <f>IFERROR(GETPIVOTDATA("合計 / " &amp; $C7,【ピボット】事業所売上!$A$3,"年月",N$2,"事業所",$A7),0)
+IFERROR(GETPIVOTDATA("合計 / " &amp; $C7,【ピボット】事業所売上!$A$3,"年月",N$2,"事業所","二日市場"),0)
+IFERROR(GETPIVOTDATA("合計 / " &amp; $C7,【ピボット】事業所売上!$A$3,"年月",N$2,"事業所","中高根"),0)
+IFERROR(GETPIVOTDATA("合計 / " &amp; $C7,【ピボット】事業所売上!$A$3,"年月",N$2,"事業所","白金タクシー"),0)</f>
        <v>1310955</v>
      </c>
      <c r="O7" s="1531">
        <f>IFERROR(GETPIVOTDATA("合計 / " &amp; $C7,【ピボット】事業所売上!$A$3,"年月",O$2,"事業所",$A7),0)
+IFERROR(GETPIVOTDATA("合計 / " &amp; $C7,【ピボット】事業所売上!$A$3,"年月",O$2,"事業所","二日市場"),0)
+IFERROR(GETPIVOTDATA("合計 / " &amp; $C7,【ピボット】事業所売上!$A$3,"年月",O$2,"事業所","中高根"),0)
+IFERROR(GETPIVOTDATA("合計 / " &amp; $C7,【ピボット】事業所売上!$A$3,"年月",O$2,"事業所","白金タクシー"),0)</f>
        <v>1137463</v>
      </c>
      <c r="P7" s="1531">
        <f>IFERROR(GETPIVOTDATA("合計 / " &amp; $C7,【ピボット】事業所売上!$A$3,"年月",P$2,"事業所",$A7),0)
+IFERROR(GETPIVOTDATA("合計 / " &amp; $C7,【ピボット】事業所売上!$A$3,"年月",P$2,"事業所","二日市場"),0)
+IFERROR(GETPIVOTDATA("合計 / " &amp; $C7,【ピボット】事業所売上!$A$3,"年月",P$2,"事業所","中高根"),0)
+IFERROR(GETPIVOTDATA("合計 / " &amp; $C7,【ピボット】事業所売上!$A$3,"年月",P$2,"事業所","白金タクシー"),0)</f>
        <v>1415092</v>
      </c>
      <c r="Q7" s="1531">
        <f>IFERROR(GETPIVOTDATA("合計 / " &amp; $C7,【ピボット】事業所売上!$A$3,"年月",Q$2,"事業所",$A7),0)
+IFERROR(GETPIVOTDATA("合計 / " &amp; $C7,【ピボット】事業所売上!$A$3,"年月",Q$2,"事業所","二日市場"),0)
+IFERROR(GETPIVOTDATA("合計 / " &amp; $C7,【ピボット】事業所売上!$A$3,"年月",Q$2,"事業所","中高根"),0)
+IFERROR(GETPIVOTDATA("合計 / " &amp; $C7,【ピボット】事業所売上!$A$3,"年月",Q$2,"事業所","白金タクシー"),0)</f>
        <v>1315264</v>
      </c>
      <c r="R7" s="1531">
        <f>IFERROR(GETPIVOTDATA("合計 / " &amp; $C7,【ピボット】事業所売上!$A$3,"年月",R$2,"事業所",$A7),0)
+IFERROR(GETPIVOTDATA("合計 / " &amp; $C7,【ピボット】事業所売上!$A$3,"年月",R$2,"事業所","二日市場"),0)
+IFERROR(GETPIVOTDATA("合計 / " &amp; $C7,【ピボット】事業所売上!$A$3,"年月",R$2,"事業所","中高根"),0)
+IFERROR(GETPIVOTDATA("合計 / " &amp; $C7,【ピボット】事業所売上!$A$3,"年月",R$2,"事業所","白金タクシー"),0)</f>
        <v>1330336</v>
      </c>
      <c r="S7" s="1531">
        <f>IFERROR(GETPIVOTDATA("合計 / " &amp; $C7,【ピボット】事業所売上!$A$3,"年月",S$2,"事業所",$A7),0)
+IFERROR(GETPIVOTDATA("合計 / " &amp; $C7,【ピボット】事業所売上!$A$3,"年月",S$2,"事業所","二日市場"),0)
+IFERROR(GETPIVOTDATA("合計 / " &amp; $C7,【ピボット】事業所売上!$A$3,"年月",S$2,"事業所","中高根"),0)
+IFERROR(GETPIVOTDATA("合計 / " &amp; $C7,【ピボット】事業所売上!$A$3,"年月",S$2,"事業所","白金タクシー"),0)</f>
        <v>1121992</v>
      </c>
      <c r="T7" s="1531">
        <f>IFERROR(GETPIVOTDATA("合計 / " &amp; $C7,【ピボット】事業所売上!$A$3,"年月",T$2,"事業所",$A7),0)
+IFERROR(GETPIVOTDATA("合計 / " &amp; $C7,【ピボット】事業所売上!$A$3,"年月",T$2,"事業所","二日市場"),0)
+IFERROR(GETPIVOTDATA("合計 / " &amp; $C7,【ピボット】事業所売上!$A$3,"年月",T$2,"事業所","中高根"),0)
+IFERROR(GETPIVOTDATA("合計 / " &amp; $C7,【ピボット】事業所売上!$A$3,"年月",T$2,"事業所","白金タクシー"),0)</f>
        <v>1794776</v>
      </c>
      <c r="U7" s="1531">
        <f>IFERROR(GETPIVOTDATA("合計 / " &amp; $C7,【ピボット】事業所売上!$A$3,"年月",U$2,"事業所",$A7),0)
+IFERROR(GETPIVOTDATA("合計 / " &amp; $C7,【ピボット】事業所売上!$A$3,"年月",U$2,"事業所","二日市場"),0)
+IFERROR(GETPIVOTDATA("合計 / " &amp; $C7,【ピボット】事業所売上!$A$3,"年月",U$2,"事業所","中高根"),0)
+IFERROR(GETPIVOTDATA("合計 / " &amp; $C7,【ピボット】事業所売上!$A$3,"年月",U$2,"事業所","白金タクシー"),0)</f>
        <v>1648176</v>
      </c>
      <c r="V7" s="1531">
        <f>IFERROR(GETPIVOTDATA("合計 / " &amp; $C7,【ピボット】事業所売上!$A$3,"年月",V$2,"事業所",$A7),0)
+IFERROR(GETPIVOTDATA("合計 / " &amp; $C7,【ピボット】事業所売上!$A$3,"年月",V$2,"事業所","二日市場"),0)
+IFERROR(GETPIVOTDATA("合計 / " &amp; $C7,【ピボット】事業所売上!$A$3,"年月",V$2,"事業所","中高根"),0)
+IFERROR(GETPIVOTDATA("合計 / " &amp; $C7,【ピボット】事業所売上!$A$3,"年月",V$2,"事業所","白金タクシー"),0)</f>
        <v>2024710</v>
      </c>
      <c r="W7" s="1531">
        <f>IFERROR(GETPIVOTDATA("合計 / " &amp; $C7,【ピボット】事業所売上!$A$3,"年月",W$2,"事業所",$A7),0)
+IFERROR(GETPIVOTDATA("合計 / " &amp; $C7,【ピボット】事業所売上!$A$3,"年月",W$2,"事業所","二日市場"),0)
+IFERROR(GETPIVOTDATA("合計 / " &amp; $C7,【ピボット】事業所売上!$A$3,"年月",W$2,"事業所","中高根"),0)
+IFERROR(GETPIVOTDATA("合計 / " &amp; $C7,【ピボット】事業所売上!$A$3,"年月",W$2,"事業所","白金タクシー"),0)</f>
        <v>2045783</v>
      </c>
      <c r="X7" s="1531">
        <f>IFERROR(GETPIVOTDATA("合計 / " &amp; $C7,【ピボット】事業所売上!$A$3,"年月",X$2,"事業所",$A7),0)
+IFERROR(GETPIVOTDATA("合計 / " &amp; $C7,【ピボット】事業所売上!$A$3,"年月",X$2,"事業所","二日市場"),0)
+IFERROR(GETPIVOTDATA("合計 / " &amp; $C7,【ピボット】事業所売上!$A$3,"年月",X$2,"事業所","中高根"),0)
+IFERROR(GETPIVOTDATA("合計 / " &amp; $C7,【ピボット】事業所売上!$A$3,"年月",X$2,"事業所","白金タクシー"),0)</f>
        <v>2316124</v>
      </c>
      <c r="Y7" s="1531">
        <f>IFERROR(GETPIVOTDATA("合計 / " &amp; $C7,【ピボット】事業所売上!$A$3,"年月",Y$2,"事業所",$A7),0)
+IFERROR(GETPIVOTDATA("合計 / " &amp; $C7,【ピボット】事業所売上!$A$3,"年月",Y$2,"事業所","二日市場"),0)
+IFERROR(GETPIVOTDATA("合計 / " &amp; $C7,【ピボット】事業所売上!$A$3,"年月",Y$2,"事業所","中高根"),0)
+IFERROR(GETPIVOTDATA("合計 / " &amp; $C7,【ピボット】事業所売上!$A$3,"年月",Y$2,"事業所","白金タクシー"),0)</f>
        <v>1853976</v>
      </c>
      <c r="Z7" s="1531">
        <f>IFERROR(GETPIVOTDATA("合計 / " &amp; $C7,【ピボット】事業所売上!$A$3,"年月",Z$2,"事業所",$A7),0)
+IFERROR(GETPIVOTDATA("合計 / " &amp; $C7,【ピボット】事業所売上!$A$3,"年月",Z$2,"事業所","二日市場"),0)
+IFERROR(GETPIVOTDATA("合計 / " &amp; $C7,【ピボット】事業所売上!$A$3,"年月",Z$2,"事業所","中高根"),0)
+IFERROR(GETPIVOTDATA("合計 / " &amp; $C7,【ピボット】事業所売上!$A$3,"年月",Z$2,"事業所","白金タクシー"),0)</f>
        <v>2003636</v>
      </c>
      <c r="AA7" s="1531">
        <f>IFERROR(GETPIVOTDATA("合計 / " &amp; $C7,【ピボット】事業所売上!$A$3,"年月",AA$2,"事業所",$A7),0)
+IFERROR(GETPIVOTDATA("合計 / " &amp; $C7,【ピボット】事業所売上!$A$3,"年月",AA$2,"事業所","二日市場"),0)
+IFERROR(GETPIVOTDATA("合計 / " &amp; $C7,【ピボット】事業所売上!$A$3,"年月",AA$2,"事業所","中高根"),0)
+IFERROR(GETPIVOTDATA("合計 / " &amp; $C7,【ピボット】事業所売上!$A$3,"年月",AA$2,"事業所","白金タクシー"),0)</f>
        <v>2177773</v>
      </c>
      <c r="AB7" s="1528">
        <f ca="1">SUM(OFFSET(AA7,0,当期月数):AA7)</f>
        <v>15864954</v>
      </c>
      <c r="AE7" s="2078"/>
      <c r="AF7" s="1511"/>
    </row>
    <row r="8" spans="1:32" s="1529" customFormat="1" ht="15.4" customHeight="1" thickBot="1" x14ac:dyDescent="0.2">
      <c r="A8" s="1511" t="s">
        <v>673</v>
      </c>
      <c r="B8" s="2110"/>
      <c r="C8" s="1533" t="s">
        <v>141</v>
      </c>
      <c r="D8" s="1534">
        <f>IFERROR(GETPIVOTDATA("合計 / " &amp; $C7 &amp; $C8,【ピボット】事業所売上!$A$3,"年月",D$2,"事業所",$A8),0)
+IFERROR(GETPIVOTDATA("合計 / " &amp; $C7 &amp; $C8,【ピボット】事業所売上!$A$3,"年月",D$2,"事業所","二日市場"),0)
+IFERROR(GETPIVOTDATA("合計 / " &amp; $C7 &amp; $C8,【ピボット】事業所売上!$A$3,"年月",D$2,"事業所","中高根"),0)
+IFERROR(GETPIVOTDATA("合計 / " &amp; $C7 &amp; $C8,【ピボット】事業所売上!$A$3,"年月",D$2,"事業所","白金タクシー"),0)</f>
        <v>375748</v>
      </c>
      <c r="E8" s="1534">
        <f>IFERROR(GETPIVOTDATA("合計 / " &amp; $C7 &amp; $C8,【ピボット】事業所売上!$A$3,"年月",E$2,"事業所",$A8),0)
+IFERROR(GETPIVOTDATA("合計 / " &amp; $C7 &amp; $C8,【ピボット】事業所売上!$A$3,"年月",E$2,"事業所","二日市場"),0)
+IFERROR(GETPIVOTDATA("合計 / " &amp; $C7 &amp; $C8,【ピボット】事業所売上!$A$3,"年月",E$2,"事業所","中高根"),0)
+IFERROR(GETPIVOTDATA("合計 / " &amp; $C7 &amp; $C8,【ピボット】事業所売上!$A$3,"年月",E$2,"事業所","白金タクシー"),0)</f>
        <v>311062</v>
      </c>
      <c r="F8" s="1534">
        <f>IFERROR(GETPIVOTDATA("合計 / " &amp; $C7 &amp; $C8,【ピボット】事業所売上!$A$3,"年月",F$2,"事業所",$A8),0)
+IFERROR(GETPIVOTDATA("合計 / " &amp; $C7 &amp; $C8,【ピボット】事業所売上!$A$3,"年月",F$2,"事業所","二日市場"),0)
+IFERROR(GETPIVOTDATA("合計 / " &amp; $C7 &amp; $C8,【ピボット】事業所売上!$A$3,"年月",F$2,"事業所","中高根"),0)
+IFERROR(GETPIVOTDATA("合計 / " &amp; $C7 &amp; $C8,【ピボット】事業所売上!$A$3,"年月",F$2,"事業所","白金タクシー"),0)</f>
        <v>410348</v>
      </c>
      <c r="G8" s="1534">
        <f>IFERROR(GETPIVOTDATA("合計 / " &amp; $C7 &amp; $C8,【ピボット】事業所売上!$A$3,"年月",G$2,"事業所",$A8),0)
+IFERROR(GETPIVOTDATA("合計 / " &amp; $C7 &amp; $C8,【ピボット】事業所売上!$A$3,"年月",G$2,"事業所","二日市場"),0)
+IFERROR(GETPIVOTDATA("合計 / " &amp; $C7 &amp; $C8,【ピボット】事業所売上!$A$3,"年月",G$2,"事業所","中高根"),0)
+IFERROR(GETPIVOTDATA("合計 / " &amp; $C7 &amp; $C8,【ピボット】事業所売上!$A$3,"年月",G$2,"事業所","白金タクシー"),0)</f>
        <v>324818</v>
      </c>
      <c r="H8" s="1534">
        <f>IFERROR(GETPIVOTDATA("合計 / " &amp; $C7 &amp; $C8,【ピボット】事業所売上!$A$3,"年月",H$2,"事業所",$A8),0)
+IFERROR(GETPIVOTDATA("合計 / " &amp; $C7 &amp; $C8,【ピボット】事業所売上!$A$3,"年月",H$2,"事業所","二日市場"),0)
+IFERROR(GETPIVOTDATA("合計 / " &amp; $C7 &amp; $C8,【ピボット】事業所売上!$A$3,"年月",H$2,"事業所","中高根"),0)
+IFERROR(GETPIVOTDATA("合計 / " &amp; $C7 &amp; $C8,【ピボット】事業所売上!$A$3,"年月",H$2,"事業所","白金タクシー"),0)</f>
        <v>287532</v>
      </c>
      <c r="I8" s="1534">
        <f>IFERROR(GETPIVOTDATA("合計 / " &amp; $C7 &amp; $C8,【ピボット】事業所売上!$A$3,"年月",I$2,"事業所",$A8),0)
+IFERROR(GETPIVOTDATA("合計 / " &amp; $C7 &amp; $C8,【ピボット】事業所売上!$A$3,"年月",I$2,"事業所","二日市場"),0)
+IFERROR(GETPIVOTDATA("合計 / " &amp; $C7 &amp; $C8,【ピボット】事業所売上!$A$3,"年月",I$2,"事業所","中高根"),0)
+IFERROR(GETPIVOTDATA("合計 / " &amp; $C7 &amp; $C8,【ピボット】事業所売上!$A$3,"年月",I$2,"事業所","白金タクシー"),0)</f>
        <v>314563</v>
      </c>
      <c r="J8" s="1534">
        <f>IFERROR(GETPIVOTDATA("合計 / " &amp; $C7 &amp; $C8,【ピボット】事業所売上!$A$3,"年月",J$2,"事業所",$A8),0)
+IFERROR(GETPIVOTDATA("合計 / " &amp; $C7 &amp; $C8,【ピボット】事業所売上!$A$3,"年月",J$2,"事業所","二日市場"),0)
+IFERROR(GETPIVOTDATA("合計 / " &amp; $C7 &amp; $C8,【ピボット】事業所売上!$A$3,"年月",J$2,"事業所","中高根"),0)
+IFERROR(GETPIVOTDATA("合計 / " &amp; $C7 &amp; $C8,【ピボット】事業所売上!$A$3,"年月",J$2,"事業所","白金タクシー"),0)</f>
        <v>268515</v>
      </c>
      <c r="K8" s="1534">
        <f>IFERROR(GETPIVOTDATA("合計 / " &amp; $C7 &amp; $C8,【ピボット】事業所売上!$A$3,"年月",K$2,"事業所",$A8),0)
+IFERROR(GETPIVOTDATA("合計 / " &amp; $C7 &amp; $C8,【ピボット】事業所売上!$A$3,"年月",K$2,"事業所","二日市場"),0)
+IFERROR(GETPIVOTDATA("合計 / " &amp; $C7 &amp; $C8,【ピボット】事業所売上!$A$3,"年月",K$2,"事業所","中高根"),0)
+IFERROR(GETPIVOTDATA("合計 / " &amp; $C7 &amp; $C8,【ピボット】事業所売上!$A$3,"年月",K$2,"事業所","白金タクシー"),0)</f>
        <v>295530</v>
      </c>
      <c r="L8" s="1534">
        <f>IFERROR(GETPIVOTDATA("合計 / " &amp; $C7 &amp; $C8,【ピボット】事業所売上!$A$3,"年月",L$2,"事業所",$A8),0)
+IFERROR(GETPIVOTDATA("合計 / " &amp; $C7 &amp; $C8,【ピボット】事業所売上!$A$3,"年月",L$2,"事業所","二日市場"),0)
+IFERROR(GETPIVOTDATA("合計 / " &amp; $C7 &amp; $C8,【ピボット】事業所売上!$A$3,"年月",L$2,"事業所","中高根"),0)
+IFERROR(GETPIVOTDATA("合計 / " &amp; $C7 &amp; $C8,【ピボット】事業所売上!$A$3,"年月",L$2,"事業所","白金タクシー"),0)</f>
        <v>297676</v>
      </c>
      <c r="M8" s="1534">
        <f>IFERROR(GETPIVOTDATA("合計 / " &amp; $C7 &amp; $C8,【ピボット】事業所売上!$A$3,"年月",M$2,"事業所",$A8),0)
+IFERROR(GETPIVOTDATA("合計 / " &amp; $C7 &amp; $C8,【ピボット】事業所売上!$A$3,"年月",M$2,"事業所","二日市場"),0)
+IFERROR(GETPIVOTDATA("合計 / " &amp; $C7 &amp; $C8,【ピボット】事業所売上!$A$3,"年月",M$2,"事業所","中高根"),0)
+IFERROR(GETPIVOTDATA("合計 / " &amp; $C7 &amp; $C8,【ピボット】事業所売上!$A$3,"年月",M$2,"事業所","白金タクシー"),0)</f>
        <v>261542</v>
      </c>
      <c r="N8" s="1534">
        <f>IFERROR(GETPIVOTDATA("合計 / " &amp; $C7 &amp; $C8,【ピボット】事業所売上!$A$3,"年月",N$2,"事業所",$A8),0)
+IFERROR(GETPIVOTDATA("合計 / " &amp; $C7 &amp; $C8,【ピボット】事業所売上!$A$3,"年月",N$2,"事業所","二日市場"),0)
+IFERROR(GETPIVOTDATA("合計 / " &amp; $C7 &amp; $C8,【ピボット】事業所売上!$A$3,"年月",N$2,"事業所","中高根"),0)
+IFERROR(GETPIVOTDATA("合計 / " &amp; $C7 &amp; $C8,【ピボット】事業所売上!$A$3,"年月",N$2,"事業所","白金タクシー"),0)</f>
        <v>269529</v>
      </c>
      <c r="O8" s="1534">
        <f>IFERROR(GETPIVOTDATA("合計 / " &amp; $C7 &amp; $C8,【ピボット】事業所売上!$A$3,"年月",O$2,"事業所",$A8),0)
+IFERROR(GETPIVOTDATA("合計 / " &amp; $C7 &amp; $C8,【ピボット】事業所売上!$A$3,"年月",O$2,"事業所","二日市場"),0)
+IFERROR(GETPIVOTDATA("合計 / " &amp; $C7 &amp; $C8,【ピボット】事業所売上!$A$3,"年月",O$2,"事業所","中高根"),0)
+IFERROR(GETPIVOTDATA("合計 / " &amp; $C7 &amp; $C8,【ピボット】事業所売上!$A$3,"年月",O$2,"事業所","白金タクシー"),0)</f>
        <v>231734</v>
      </c>
      <c r="P8" s="1534">
        <f>IFERROR(GETPIVOTDATA("合計 / " &amp; $C7 &amp; $C8,【ピボット】事業所売上!$A$3,"年月",P$2,"事業所",$A8),0)
+IFERROR(GETPIVOTDATA("合計 / " &amp; $C7 &amp; $C8,【ピボット】事業所売上!$A$3,"年月",P$2,"事業所","二日市場"),0)
+IFERROR(GETPIVOTDATA("合計 / " &amp; $C7 &amp; $C8,【ピボット】事業所売上!$A$3,"年月",P$2,"事業所","中高根"),0)
+IFERROR(GETPIVOTDATA("合計 / " &amp; $C7 &amp; $C8,【ピボット】事業所売上!$A$3,"年月",P$2,"事業所","白金タクシー"),0)</f>
        <v>295743</v>
      </c>
      <c r="Q8" s="1534">
        <f>IFERROR(GETPIVOTDATA("合計 / " &amp; $C7 &amp; $C8,【ピボット】事業所売上!$A$3,"年月",Q$2,"事業所",$A8),0)
+IFERROR(GETPIVOTDATA("合計 / " &amp; $C7 &amp; $C8,【ピボット】事業所売上!$A$3,"年月",Q$2,"事業所","二日市場"),0)
+IFERROR(GETPIVOTDATA("合計 / " &amp; $C7 &amp; $C8,【ピボット】事業所売上!$A$3,"年月",Q$2,"事業所","中高根"),0)
+IFERROR(GETPIVOTDATA("合計 / " &amp; $C7 &amp; $C8,【ピボット】事業所売上!$A$3,"年月",Q$2,"事業所","白金タクシー"),0)</f>
        <v>270557</v>
      </c>
      <c r="R8" s="1534">
        <f>IFERROR(GETPIVOTDATA("合計 / " &amp; $C7 &amp; $C8,【ピボット】事業所売上!$A$3,"年月",R$2,"事業所",$A8),0)
+IFERROR(GETPIVOTDATA("合計 / " &amp; $C7 &amp; $C8,【ピボット】事業所売上!$A$3,"年月",R$2,"事業所","二日市場"),0)
+IFERROR(GETPIVOTDATA("合計 / " &amp; $C7 &amp; $C8,【ピボット】事業所売上!$A$3,"年月",R$2,"事業所","中高根"),0)
+IFERROR(GETPIVOTDATA("合計 / " &amp; $C7 &amp; $C8,【ピボット】事業所売上!$A$3,"年月",R$2,"事業所","白金タクシー"),0)</f>
        <v>275953</v>
      </c>
      <c r="S8" s="1534">
        <f>IFERROR(GETPIVOTDATA("合計 / " &amp; $C7 &amp; $C8,【ピボット】事業所売上!$A$3,"年月",S$2,"事業所",$A8),0)
+IFERROR(GETPIVOTDATA("合計 / " &amp; $C7 &amp; $C8,【ピボット】事業所売上!$A$3,"年月",S$2,"事業所","二日市場"),0)
+IFERROR(GETPIVOTDATA("合計 / " &amp; $C7 &amp; $C8,【ピボット】事業所売上!$A$3,"年月",S$2,"事業所","中高根"),0)
+IFERROR(GETPIVOTDATA("合計 / " &amp; $C7 &amp; $C8,【ピボット】事業所売上!$A$3,"年月",S$2,"事業所","白金タクシー"),0)</f>
        <v>250906</v>
      </c>
      <c r="T8" s="1534">
        <f>IFERROR(GETPIVOTDATA("合計 / " &amp; $C7 &amp; $C8,【ピボット】事業所売上!$A$3,"年月",T$2,"事業所",$A8),0)
+IFERROR(GETPIVOTDATA("合計 / " &amp; $C7 &amp; $C8,【ピボット】事業所売上!$A$3,"年月",T$2,"事業所","二日市場"),0)
+IFERROR(GETPIVOTDATA("合計 / " &amp; $C7 &amp; $C8,【ピボット】事業所売上!$A$3,"年月",T$2,"事業所","中高根"),0)
+IFERROR(GETPIVOTDATA("合計 / " &amp; $C7 &amp; $C8,【ピボット】事業所売上!$A$3,"年月",T$2,"事業所","白金タクシー"),0)</f>
        <v>353946</v>
      </c>
      <c r="U8" s="1534">
        <f>IFERROR(GETPIVOTDATA("合計 / " &amp; $C7 &amp; $C8,【ピボット】事業所売上!$A$3,"年月",U$2,"事業所",$A8),0)
+IFERROR(GETPIVOTDATA("合計 / " &amp; $C7 &amp; $C8,【ピボット】事業所売上!$A$3,"年月",U$2,"事業所","二日市場"),0)
+IFERROR(GETPIVOTDATA("合計 / " &amp; $C7 &amp; $C8,【ピボット】事業所売上!$A$3,"年月",U$2,"事業所","中高根"),0)
+IFERROR(GETPIVOTDATA("合計 / " &amp; $C7 &amp; $C8,【ピボット】事業所売上!$A$3,"年月",U$2,"事業所","白金タクシー"),0)</f>
        <v>360476</v>
      </c>
      <c r="V8" s="1534">
        <f>IFERROR(GETPIVOTDATA("合計 / " &amp; $C7 &amp; $C8,【ピボット】事業所売上!$A$3,"年月",V$2,"事業所",$A8),0)
+IFERROR(GETPIVOTDATA("合計 / " &amp; $C7 &amp; $C8,【ピボット】事業所売上!$A$3,"年月",V$2,"事業所","二日市場"),0)
+IFERROR(GETPIVOTDATA("合計 / " &amp; $C7 &amp; $C8,【ピボット】事業所売上!$A$3,"年月",V$2,"事業所","中高根"),0)
+IFERROR(GETPIVOTDATA("合計 / " &amp; $C7 &amp; $C8,【ピボット】事業所売上!$A$3,"年月",V$2,"事業所","白金タクシー"),0)</f>
        <v>403228</v>
      </c>
      <c r="W8" s="1534">
        <f>IFERROR(GETPIVOTDATA("合計 / " &amp; $C7 &amp; $C8,【ピボット】事業所売上!$A$3,"年月",W$2,"事業所",$A8),0)
+IFERROR(GETPIVOTDATA("合計 / " &amp; $C7 &amp; $C8,【ピボット】事業所売上!$A$3,"年月",W$2,"事業所","二日市場"),0)
+IFERROR(GETPIVOTDATA("合計 / " &amp; $C7 &amp; $C8,【ピボット】事業所売上!$A$3,"年月",W$2,"事業所","中高根"),0)
+IFERROR(GETPIVOTDATA("合計 / " &amp; $C7 &amp; $C8,【ピボット】事業所売上!$A$3,"年月",W$2,"事業所","白金タクシー"),0)</f>
        <v>441769</v>
      </c>
      <c r="X8" s="1534">
        <f>IFERROR(GETPIVOTDATA("合計 / " &amp; $C7 &amp; $C8,【ピボット】事業所売上!$A$3,"年月",X$2,"事業所",$A8),0)
+IFERROR(GETPIVOTDATA("合計 / " &amp; $C7 &amp; $C8,【ピボット】事業所売上!$A$3,"年月",X$2,"事業所","二日市場"),0)
+IFERROR(GETPIVOTDATA("合計 / " &amp; $C7 &amp; $C8,【ピボット】事業所売上!$A$3,"年月",X$2,"事業所","中高根"),0)
+IFERROR(GETPIVOTDATA("合計 / " &amp; $C7 &amp; $C8,【ピボット】事業所売上!$A$3,"年月",X$2,"事業所","白金タクシー"),0)</f>
        <v>502389</v>
      </c>
      <c r="Y8" s="1534">
        <f>IFERROR(GETPIVOTDATA("合計 / " &amp; $C7 &amp; $C8,【ピボット】事業所売上!$A$3,"年月",Y$2,"事業所",$A8),0)
+IFERROR(GETPIVOTDATA("合計 / " &amp; $C7 &amp; $C8,【ピボット】事業所売上!$A$3,"年月",Y$2,"事業所","二日市場"),0)
+IFERROR(GETPIVOTDATA("合計 / " &amp; $C7 &amp; $C8,【ピボット】事業所売上!$A$3,"年月",Y$2,"事業所","中高根"),0)
+IFERROR(GETPIVOTDATA("合計 / " &amp; $C7 &amp; $C8,【ピボット】事業所売上!$A$3,"年月",Y$2,"事業所","白金タクシー"),0)</f>
        <v>390453</v>
      </c>
      <c r="Z8" s="1534">
        <f>IFERROR(GETPIVOTDATA("合計 / " &amp; $C7 &amp; $C8,【ピボット】事業所売上!$A$3,"年月",Z$2,"事業所",$A8),0)
+IFERROR(GETPIVOTDATA("合計 / " &amp; $C7 &amp; $C8,【ピボット】事業所売上!$A$3,"年月",Z$2,"事業所","二日市場"),0)
+IFERROR(GETPIVOTDATA("合計 / " &amp; $C7 &amp; $C8,【ピボット】事業所売上!$A$3,"年月",Z$2,"事業所","中高根"),0)
+IFERROR(GETPIVOTDATA("合計 / " &amp; $C7 &amp; $C8,【ピボット】事業所売上!$A$3,"年月",Z$2,"事業所","白金タクシー"),0)</f>
        <v>424882</v>
      </c>
      <c r="AA8" s="1534">
        <f>IFERROR(GETPIVOTDATA("合計 / " &amp; $C7 &amp; $C8,【ピボット】事業所売上!$A$3,"年月",AA$2,"事業所",$A8),0)
+IFERROR(GETPIVOTDATA("合計 / " &amp; $C7 &amp; $C8,【ピボット】事業所売上!$A$3,"年月",AA$2,"事業所","二日市場"),0)
+IFERROR(GETPIVOTDATA("合計 / " &amp; $C7 &amp; $C8,【ピボット】事業所売上!$A$3,"年月",AA$2,"事業所","中高根"),0)
+IFERROR(GETPIVOTDATA("合計 / " &amp; $C7 &amp; $C8,【ピボット】事業所売上!$A$3,"年月",AA$2,"事業所","白金タクシー"),0)</f>
        <v>0</v>
      </c>
      <c r="AB8" s="1535">
        <f ca="1">SUM(OFFSET(AA8,0,当期月数):AA8)</f>
        <v>2877143</v>
      </c>
      <c r="AD8" s="1511"/>
      <c r="AE8" s="1511"/>
      <c r="AF8" s="1511"/>
    </row>
    <row r="9" spans="1:32" s="1529" customFormat="1" ht="15.4" customHeight="1" x14ac:dyDescent="0.15">
      <c r="A9" s="1529" t="s">
        <v>674</v>
      </c>
      <c r="B9" s="2108" t="s">
        <v>2</v>
      </c>
      <c r="C9" s="1523" t="s">
        <v>10</v>
      </c>
      <c r="D9" s="1524">
        <f>IFERROR(GETPIVOTDATA("合計 / " &amp; $C9,【ピボット】事業所売上!$A$3,"年月",D$2,"事業所",$A9),0)</f>
        <v>4023031</v>
      </c>
      <c r="E9" s="1524">
        <f>IFERROR(GETPIVOTDATA("合計 / " &amp; $C9,【ピボット】事業所売上!$A$3,"年月",E$2,"事業所",$A9),0)</f>
        <v>4207063</v>
      </c>
      <c r="F9" s="1524">
        <f>IFERROR(GETPIVOTDATA("合計 / " &amp; $C9,【ピボット】事業所売上!$A$3,"年月",F$2,"事業所",$A9),0)</f>
        <v>3798477</v>
      </c>
      <c r="G9" s="1524">
        <f>IFERROR(GETPIVOTDATA("合計 / " &amp; $C9,【ピボット】事業所売上!$A$3,"年月",G$2,"事業所",$A9),0)</f>
        <v>3880728</v>
      </c>
      <c r="H9" s="1524">
        <f>IFERROR(GETPIVOTDATA("合計 / " &amp; $C9,【ピボット】事業所売上!$A$3,"年月",H$2,"事業所",$A9),0)</f>
        <v>4342620</v>
      </c>
      <c r="I9" s="1524">
        <f>IFERROR(GETPIVOTDATA("合計 / " &amp; $C9,【ピボット】事業所売上!$A$3,"年月",I$2,"事業所",$A9),0)</f>
        <v>4466589</v>
      </c>
      <c r="J9" s="1524">
        <f>IFERROR(GETPIVOTDATA("合計 / " &amp; $C9,【ピボット】事業所売上!$A$3,"年月",J$2,"事業所",$A9),0)</f>
        <v>4288223</v>
      </c>
      <c r="K9" s="1524">
        <f>IFERROR(GETPIVOTDATA("合計 / " &amp; $C9,【ピボット】事業所売上!$A$3,"年月",K$2,"事業所",$A9),0)</f>
        <v>4314125</v>
      </c>
      <c r="L9" s="1524">
        <f>IFERROR(GETPIVOTDATA("合計 / " &amp; $C9,【ピボット】事業所売上!$A$3,"年月",L$2,"事業所",$A9),0)</f>
        <v>3868662</v>
      </c>
      <c r="M9" s="1524">
        <f>IFERROR(GETPIVOTDATA("合計 / " &amp; $C9,【ピボット】事業所売上!$A$3,"年月",M$2,"事業所",$A9),0)</f>
        <v>3741771</v>
      </c>
      <c r="N9" s="1524">
        <f>IFERROR(GETPIVOTDATA("合計 / " &amp; $C9,【ピボット】事業所売上!$A$3,"年月",N$2,"事業所",$A9),0)</f>
        <v>3545925</v>
      </c>
      <c r="O9" s="1524">
        <f>IFERROR(GETPIVOTDATA("合計 / " &amp; $C9,【ピボット】事業所売上!$A$3,"年月",O$2,"事業所",$A9),0)</f>
        <v>5905117</v>
      </c>
      <c r="P9" s="1524">
        <f>IFERROR(GETPIVOTDATA("合計 / " &amp; $C9,【ピボット】事業所売上!$A$3,"年月",P$2,"事業所",$A9),0)</f>
        <v>4774530</v>
      </c>
      <c r="Q9" s="1524">
        <f>IFERROR(GETPIVOTDATA("合計 / " &amp; $C9,【ピボット】事業所売上!$A$3,"年月",Q$2,"事業所",$A9),0)</f>
        <v>4727604</v>
      </c>
      <c r="R9" s="1524">
        <f>IFERROR(GETPIVOTDATA("合計 / " &amp; $C9,【ピボット】事業所売上!$A$3,"年月",R$2,"事業所",$A9),0)</f>
        <v>4044228</v>
      </c>
      <c r="S9" s="1524">
        <f>IFERROR(GETPIVOTDATA("合計 / " &amp; $C9,【ピボット】事業所売上!$A$3,"年月",S$2,"事業所",$A9),0)</f>
        <v>4436142</v>
      </c>
      <c r="T9" s="1524">
        <f>IFERROR(GETPIVOTDATA("合計 / " &amp; $C9,【ピボット】事業所売上!$A$3,"年月",T$2,"事業所",$A9),0)</f>
        <v>4394228</v>
      </c>
      <c r="U9" s="1524">
        <f>IFERROR(GETPIVOTDATA("合計 / " &amp; $C9,【ピボット】事業所売上!$A$3,"年月",U$2,"事業所",$A9),0)</f>
        <v>5226410</v>
      </c>
      <c r="V9" s="1524">
        <f>IFERROR(GETPIVOTDATA("合計 / " &amp; $C9,【ピボット】事業所売上!$A$3,"年月",V$2,"事業所",$A9),0)</f>
        <v>4718674</v>
      </c>
      <c r="W9" s="1524">
        <f>IFERROR(GETPIVOTDATA("合計 / " &amp; $C9,【ピボット】事業所売上!$A$3,"年月",W$2,"事業所",$A9),0)</f>
        <v>4484003</v>
      </c>
      <c r="X9" s="1524">
        <f>IFERROR(GETPIVOTDATA("合計 / " &amp; $C9,【ピボット】事業所売上!$A$3,"年月",X$2,"事業所",$A9),0)</f>
        <v>4094387</v>
      </c>
      <c r="Y9" s="1524">
        <f>IFERROR(GETPIVOTDATA("合計 / " &amp; $C9,【ピボット】事業所売上!$A$3,"年月",Y$2,"事業所",$A9),0)</f>
        <v>4550601</v>
      </c>
      <c r="Z9" s="1524">
        <f>IFERROR(GETPIVOTDATA("合計 / " &amp; $C9,【ピボット】事業所売上!$A$3,"年月",Z$2,"事業所",$A9),0)</f>
        <v>3648265</v>
      </c>
      <c r="AA9" s="1524">
        <f>IFERROR(GETPIVOTDATA("合計 / " &amp; $C9,【ピボット】事業所売上!$A$3,"年月",AA$2,"事業所",$A9),0)</f>
        <v>3923238</v>
      </c>
      <c r="AB9" s="1536">
        <f ca="1">SUM(OFFSET(AA9,0,当期月数):AA9)</f>
        <v>35039806</v>
      </c>
      <c r="AD9" s="1511"/>
      <c r="AE9" s="1511"/>
      <c r="AF9" s="1511"/>
    </row>
    <row r="10" spans="1:32" s="1529" customFormat="1" ht="15.4" customHeight="1" x14ac:dyDescent="0.15">
      <c r="A10" s="1529" t="s">
        <v>674</v>
      </c>
      <c r="B10" s="2109"/>
      <c r="C10" s="1526" t="s">
        <v>141</v>
      </c>
      <c r="D10" s="1527">
        <f>IFERROR(GETPIVOTDATA("合計 / " &amp; $C9 &amp; $C10,【ピボット】事業所売上!$A$3,"年月",D$2,"事業所",$A10),0)</f>
        <v>506157</v>
      </c>
      <c r="E10" s="1527">
        <f>IFERROR(GETPIVOTDATA("合計 / " &amp; $C9 &amp; $C10,【ピボット】事業所売上!$A$3,"年月",E$2,"事業所",$A10),0)</f>
        <v>489137</v>
      </c>
      <c r="F10" s="1527">
        <f>IFERROR(GETPIVOTDATA("合計 / " &amp; $C9 &amp; $C10,【ピボット】事業所売上!$A$3,"年月",F$2,"事業所",$A10),0)</f>
        <v>459731</v>
      </c>
      <c r="G10" s="1527">
        <f>IFERROR(GETPIVOTDATA("合計 / " &amp; $C9 &amp; $C10,【ピボット】事業所売上!$A$3,"年月",G$2,"事業所",$A10),0)</f>
        <v>436057</v>
      </c>
      <c r="H10" s="1527">
        <f>IFERROR(GETPIVOTDATA("合計 / " &amp; $C9 &amp; $C10,【ピボット】事業所売上!$A$3,"年月",H$2,"事業所",$A10),0)</f>
        <v>485836</v>
      </c>
      <c r="I10" s="1527">
        <f>IFERROR(GETPIVOTDATA("合計 / " &amp; $C9 &amp; $C10,【ピボット】事業所売上!$A$3,"年月",I$2,"事業所",$A10),0)</f>
        <v>476289</v>
      </c>
      <c r="J10" s="1527">
        <f>IFERROR(GETPIVOTDATA("合計 / " &amp; $C9 &amp; $C10,【ピボット】事業所売上!$A$3,"年月",J$2,"事業所",$A10),0)</f>
        <v>466832</v>
      </c>
      <c r="K10" s="1527">
        <f>IFERROR(GETPIVOTDATA("合計 / " &amp; $C9 &amp; $C10,【ピボット】事業所売上!$A$3,"年月",K$2,"事業所",$A10),0)</f>
        <v>470435</v>
      </c>
      <c r="L10" s="1527">
        <f>IFERROR(GETPIVOTDATA("合計 / " &amp; $C9 &amp; $C10,【ピボット】事業所売上!$A$3,"年月",L$2,"事業所",$A10),0)</f>
        <v>421938</v>
      </c>
      <c r="M10" s="1527">
        <f>IFERROR(GETPIVOTDATA("合計 / " &amp; $C9 &amp; $C10,【ピボット】事業所売上!$A$3,"年月",M$2,"事業所",$A10),0)</f>
        <v>402033</v>
      </c>
      <c r="N10" s="1527">
        <f>IFERROR(GETPIVOTDATA("合計 / " &amp; $C9 &amp; $C10,【ピボット】事業所売上!$A$3,"年月",N$2,"事業所",$A10),0)</f>
        <v>520816</v>
      </c>
      <c r="O10" s="1527">
        <f>IFERROR(GETPIVOTDATA("合計 / " &amp; $C9 &amp; $C10,【ピボット】事業所売上!$A$3,"年月",O$2,"事業所",$A10),0)</f>
        <v>580162</v>
      </c>
      <c r="P10" s="1527">
        <f>IFERROR(GETPIVOTDATA("合計 / " &amp; $C9 &amp; $C10,【ピボット】事業所売上!$A$3,"年月",P$2,"事業所",$A10),0)</f>
        <v>518576</v>
      </c>
      <c r="Q10" s="1527">
        <f>IFERROR(GETPIVOTDATA("合計 / " &amp; $C9 &amp; $C10,【ピボット】事業所売上!$A$3,"年月",Q$2,"事業所",$A10),0)</f>
        <v>516297</v>
      </c>
      <c r="R10" s="1527">
        <f>IFERROR(GETPIVOTDATA("合計 / " &amp; $C9 &amp; $C10,【ピボット】事業所売上!$A$3,"年月",R$2,"事業所",$A10),0)</f>
        <v>448243</v>
      </c>
      <c r="S10" s="1527">
        <f>IFERROR(GETPIVOTDATA("合計 / " &amp; $C9 &amp; $C10,【ピボット】事業所売上!$A$3,"年月",S$2,"事業所",$A10),0)</f>
        <v>460193</v>
      </c>
      <c r="T10" s="1527">
        <f>IFERROR(GETPIVOTDATA("合計 / " &amp; $C9 &amp; $C10,【ピボット】事業所売上!$A$3,"年月",T$2,"事業所",$A10),0)</f>
        <v>480619</v>
      </c>
      <c r="U10" s="1527">
        <f>IFERROR(GETPIVOTDATA("合計 / " &amp; $C9 &amp; $C10,【ピボット】事業所売上!$A$3,"年月",U$2,"事業所",$A10),0)</f>
        <v>567983</v>
      </c>
      <c r="V10" s="1527">
        <f>IFERROR(GETPIVOTDATA("合計 / " &amp; $C9 &amp; $C10,【ピボット】事業所売上!$A$3,"年月",V$2,"事業所",$A10),0)</f>
        <v>511579</v>
      </c>
      <c r="W10" s="1527">
        <f>IFERROR(GETPIVOTDATA("合計 / " &amp; $C9 &amp; $C10,【ピボット】事業所売上!$A$3,"年月",W$2,"事業所",$A10),0)</f>
        <v>487200</v>
      </c>
      <c r="X10" s="1527">
        <f>IFERROR(GETPIVOTDATA("合計 / " &amp; $C9 &amp; $C10,【ピボット】事業所売上!$A$3,"年月",X$2,"事業所",$A10),0)</f>
        <v>442601</v>
      </c>
      <c r="Y10" s="1527">
        <f>IFERROR(GETPIVOTDATA("合計 / " &amp; $C9 &amp; $C10,【ピボット】事業所売上!$A$3,"年月",Y$2,"事業所",$A10),0)</f>
        <v>488244</v>
      </c>
      <c r="Z10" s="1527">
        <f>IFERROR(GETPIVOTDATA("合計 / " &amp; $C9 &amp; $C10,【ピボット】事業所売上!$A$3,"年月",Z$2,"事業所",$A10),0)</f>
        <v>373732</v>
      </c>
      <c r="AA10" s="1527">
        <f>IFERROR(GETPIVOTDATA("合計 / " &amp; $C9 &amp; $C10,【ピボット】事業所売上!$A$3,"年月",AA$2,"事業所",$A10),0)</f>
        <v>0</v>
      </c>
      <c r="AB10" s="1528">
        <f ca="1">SUM(OFFSET(AA10,0,当期月数):AA10)</f>
        <v>3351958</v>
      </c>
      <c r="AD10" s="1511"/>
      <c r="AE10" s="1511"/>
      <c r="AF10" s="1511"/>
    </row>
    <row r="11" spans="1:32" s="1529" customFormat="1" ht="15.4" customHeight="1" x14ac:dyDescent="0.15">
      <c r="A11" s="1529" t="s">
        <v>674</v>
      </c>
      <c r="B11" s="2109"/>
      <c r="C11" s="1537" t="s">
        <v>9</v>
      </c>
      <c r="D11" s="1531">
        <f>IFERROR(GETPIVOTDATA("合計 / " &amp; $C11,【ピボット】事業所売上!$A$3,"年月",D$2,"事業所",$A11),0)</f>
        <v>363715</v>
      </c>
      <c r="E11" s="1531">
        <f>IFERROR(GETPIVOTDATA("合計 / " &amp; $C11,【ピボット】事業所売上!$A$3,"年月",E$2,"事業所",$A11),0)</f>
        <v>383360</v>
      </c>
      <c r="F11" s="1531">
        <f>IFERROR(GETPIVOTDATA("合計 / " &amp; $C11,【ピボット】事業所売上!$A$3,"年月",F$2,"事業所",$A11),0)</f>
        <v>449737</v>
      </c>
      <c r="G11" s="1531">
        <f>IFERROR(GETPIVOTDATA("合計 / " &amp; $C11,【ピボット】事業所売上!$A$3,"年月",G$2,"事業所",$A11),0)</f>
        <v>474864</v>
      </c>
      <c r="H11" s="1531">
        <f>IFERROR(GETPIVOTDATA("合計 / " &amp; $C11,【ピボット】事業所売上!$A$3,"年月",H$2,"事業所",$A11),0)</f>
        <v>507095</v>
      </c>
      <c r="I11" s="1531">
        <f>IFERROR(GETPIVOTDATA("合計 / " &amp; $C11,【ピボット】事業所売上!$A$3,"年月",I$2,"事業所",$A11),0)</f>
        <v>459051</v>
      </c>
      <c r="J11" s="1531">
        <f>IFERROR(GETPIVOTDATA("合計 / " &amp; $C11,【ピボット】事業所売上!$A$3,"年月",J$2,"事業所",$A11),0)</f>
        <v>436023</v>
      </c>
      <c r="K11" s="1531">
        <f>IFERROR(GETPIVOTDATA("合計 / " &amp; $C11,【ピボット】事業所売上!$A$3,"年月",K$2,"事業所",$A11),0)</f>
        <v>421073</v>
      </c>
      <c r="L11" s="1531">
        <f>IFERROR(GETPIVOTDATA("合計 / " &amp; $C11,【ピボット】事業所売上!$A$3,"年月",L$2,"事業所",$A11),0)</f>
        <v>421194</v>
      </c>
      <c r="M11" s="1531">
        <f>IFERROR(GETPIVOTDATA("合計 / " &amp; $C11,【ピボット】事業所売上!$A$3,"年月",M$2,"事業所",$A11),0)</f>
        <v>444863</v>
      </c>
      <c r="N11" s="1531">
        <f>IFERROR(GETPIVOTDATA("合計 / " &amp; $C11,【ピボット】事業所売上!$A$3,"年月",N$2,"事業所",$A11),0)</f>
        <v>483204</v>
      </c>
      <c r="O11" s="1531">
        <f>IFERROR(GETPIVOTDATA("合計 / " &amp; $C11,【ピボット】事業所売上!$A$3,"年月",O$2,"事業所",$A11),0)</f>
        <v>440722</v>
      </c>
      <c r="P11" s="1531">
        <f>IFERROR(GETPIVOTDATA("合計 / " &amp; $C11,【ピボット】事業所売上!$A$3,"年月",P$2,"事業所",$A11),0)</f>
        <v>447307</v>
      </c>
      <c r="Q11" s="1531">
        <f>IFERROR(GETPIVOTDATA("合計 / " &amp; $C11,【ピボット】事業所売上!$A$3,"年月",Q$2,"事業所",$A11),0)</f>
        <v>478897</v>
      </c>
      <c r="R11" s="1531">
        <f>IFERROR(GETPIVOTDATA("合計 / " &amp; $C11,【ピボット】事業所売上!$A$3,"年月",R$2,"事業所",$A11),0)</f>
        <v>553040</v>
      </c>
      <c r="S11" s="1531">
        <f>IFERROR(GETPIVOTDATA("合計 / " &amp; $C11,【ピボット】事業所売上!$A$3,"年月",S$2,"事業所",$A11),0)</f>
        <v>514013</v>
      </c>
      <c r="T11" s="1531">
        <f>IFERROR(GETPIVOTDATA("合計 / " &amp; $C11,【ピボット】事業所売上!$A$3,"年月",T$2,"事業所",$A11),0)</f>
        <v>505814</v>
      </c>
      <c r="U11" s="1531">
        <f>IFERROR(GETPIVOTDATA("合計 / " &amp; $C11,【ピボット】事業所売上!$A$3,"年月",U$2,"事業所",$A11),0)</f>
        <v>530963</v>
      </c>
      <c r="V11" s="1531">
        <f>IFERROR(GETPIVOTDATA("合計 / " &amp; $C11,【ピボット】事業所売上!$A$3,"年月",V$2,"事業所",$A11),0)</f>
        <v>622929</v>
      </c>
      <c r="W11" s="1531">
        <f>IFERROR(GETPIVOTDATA("合計 / " &amp; $C11,【ピボット】事業所売上!$A$3,"年月",W$2,"事業所",$A11),0)</f>
        <v>518588</v>
      </c>
      <c r="X11" s="1531">
        <f>IFERROR(GETPIVOTDATA("合計 / " &amp; $C11,【ピボット】事業所売上!$A$3,"年月",X$2,"事業所",$A11),0)</f>
        <v>530400</v>
      </c>
      <c r="Y11" s="1531">
        <f>IFERROR(GETPIVOTDATA("合計 / " &amp; $C11,【ピボット】事業所売上!$A$3,"年月",Y$2,"事業所",$A11),0)</f>
        <v>529936</v>
      </c>
      <c r="Z11" s="1531">
        <f>IFERROR(GETPIVOTDATA("合計 / " &amp; $C11,【ピボット】事業所売上!$A$3,"年月",Z$2,"事業所",$A11),0)</f>
        <v>481439</v>
      </c>
      <c r="AA11" s="1531">
        <f>IFERROR(GETPIVOTDATA("合計 / " &amp; $C11,【ピボット】事業所売上!$A$3,"年月",AA$2,"事業所",$A11),0)</f>
        <v>549559</v>
      </c>
      <c r="AB11" s="1528">
        <f ca="1">SUM(OFFSET(AA11,0,当期月数):AA11)</f>
        <v>4269628</v>
      </c>
    </row>
    <row r="12" spans="1:32" s="1529" customFormat="1" ht="15.4" customHeight="1" x14ac:dyDescent="0.15">
      <c r="A12" s="1529" t="s">
        <v>674</v>
      </c>
      <c r="B12" s="2109"/>
      <c r="C12" s="1538" t="s">
        <v>8</v>
      </c>
      <c r="D12" s="1531">
        <f>IFERROR(GETPIVOTDATA("合計 / " &amp; $C12,【ピボット】事業所売上!$A$3,"年月",D$2,"事業所",$A12),0)</f>
        <v>746212</v>
      </c>
      <c r="E12" s="1531">
        <f>IFERROR(GETPIVOTDATA("合計 / " &amp; $C12,【ピボット】事業所売上!$A$3,"年月",E$2,"事業所",$A12),0)</f>
        <v>696592</v>
      </c>
      <c r="F12" s="1531">
        <f>IFERROR(GETPIVOTDATA("合計 / " &amp; $C12,【ピボット】事業所売上!$A$3,"年月",F$2,"事業所",$A12),0)</f>
        <v>870688</v>
      </c>
      <c r="G12" s="1531">
        <f>IFERROR(GETPIVOTDATA("合計 / " &amp; $C12,【ピボット】事業所売上!$A$3,"年月",G$2,"事業所",$A12),0)</f>
        <v>909109</v>
      </c>
      <c r="H12" s="1531">
        <f>IFERROR(GETPIVOTDATA("合計 / " &amp; $C12,【ピボット】事業所売上!$A$3,"年月",H$2,"事業所",$A12),0)</f>
        <v>905653</v>
      </c>
      <c r="I12" s="1531">
        <f>IFERROR(GETPIVOTDATA("合計 / " &amp; $C12,【ピボット】事業所売上!$A$3,"年月",I$2,"事業所",$A12),0)</f>
        <v>976621</v>
      </c>
      <c r="J12" s="1531">
        <f>IFERROR(GETPIVOTDATA("合計 / " &amp; $C12,【ピボット】事業所売上!$A$3,"年月",J$2,"事業所",$A12),0)</f>
        <v>971375</v>
      </c>
      <c r="K12" s="1531">
        <f>IFERROR(GETPIVOTDATA("合計 / " &amp; $C12,【ピボット】事業所売上!$A$3,"年月",K$2,"事業所",$A12),0)</f>
        <v>927864</v>
      </c>
      <c r="L12" s="1531">
        <f>IFERROR(GETPIVOTDATA("合計 / " &amp; $C12,【ピボット】事業所売上!$A$3,"年月",L$2,"事業所",$A12),0)</f>
        <v>864854</v>
      </c>
      <c r="M12" s="1531">
        <f>IFERROR(GETPIVOTDATA("合計 / " &amp; $C12,【ピボット】事業所売上!$A$3,"年月",M$2,"事業所",$A12),0)</f>
        <v>838386</v>
      </c>
      <c r="N12" s="1531">
        <f>IFERROR(GETPIVOTDATA("合計 / " &amp; $C12,【ピボット】事業所売上!$A$3,"年月",N$2,"事業所",$A12),0)</f>
        <v>900769</v>
      </c>
      <c r="O12" s="1531">
        <f>IFERROR(GETPIVOTDATA("合計 / " &amp; $C12,【ピボット】事業所売上!$A$3,"年月",O$2,"事業所",$A12),0)</f>
        <v>886445</v>
      </c>
      <c r="P12" s="1531">
        <f>IFERROR(GETPIVOTDATA("合計 / " &amp; $C12,【ピボット】事業所売上!$A$3,"年月",P$2,"事業所",$A12),0)</f>
        <v>1009132</v>
      </c>
      <c r="Q12" s="1531">
        <f>IFERROR(GETPIVOTDATA("合計 / " &amp; $C12,【ピボット】事業所売上!$A$3,"年月",Q$2,"事業所",$A12),0)</f>
        <v>862821</v>
      </c>
      <c r="R12" s="1531">
        <f>IFERROR(GETPIVOTDATA("合計 / " &amp; $C12,【ピボット】事業所売上!$A$3,"年月",R$2,"事業所",$A12),0)</f>
        <v>964628</v>
      </c>
      <c r="S12" s="1531">
        <f>IFERROR(GETPIVOTDATA("合計 / " &amp; $C12,【ピボット】事業所売上!$A$3,"年月",S$2,"事業所",$A12),0)</f>
        <v>876207</v>
      </c>
      <c r="T12" s="1531">
        <f>IFERROR(GETPIVOTDATA("合計 / " &amp; $C12,【ピボット】事業所売上!$A$3,"年月",T$2,"事業所",$A12),0)</f>
        <v>893484</v>
      </c>
      <c r="U12" s="1531">
        <f>IFERROR(GETPIVOTDATA("合計 / " &amp; $C12,【ピボット】事業所売上!$A$3,"年月",U$2,"事業所",$A12),0)</f>
        <v>1400329</v>
      </c>
      <c r="V12" s="1531">
        <f>IFERROR(GETPIVOTDATA("合計 / " &amp; $C12,【ピボット】事業所売上!$A$3,"年月",V$2,"事業所",$A12),0)</f>
        <v>1554852</v>
      </c>
      <c r="W12" s="1531">
        <f>IFERROR(GETPIVOTDATA("合計 / " &amp; $C12,【ピボット】事業所売上!$A$3,"年月",W$2,"事業所",$A12),0)</f>
        <v>1323386</v>
      </c>
      <c r="X12" s="1531">
        <f>IFERROR(GETPIVOTDATA("合計 / " &amp; $C12,【ピボット】事業所売上!$A$3,"年月",X$2,"事業所",$A12),0)</f>
        <v>1005210</v>
      </c>
      <c r="Y12" s="1531">
        <f>IFERROR(GETPIVOTDATA("合計 / " &amp; $C12,【ピボット】事業所売上!$A$3,"年月",Y$2,"事業所",$A12),0)</f>
        <v>898498</v>
      </c>
      <c r="Z12" s="1531">
        <f>IFERROR(GETPIVOTDATA("合計 / " &amp; $C12,【ピボット】事業所売上!$A$3,"年月",Z$2,"事業所",$A12),0)</f>
        <v>960910</v>
      </c>
      <c r="AA12" s="1531">
        <f>IFERROR(GETPIVOTDATA("合計 / " &amp; $C12,【ピボット】事業所売上!$A$3,"年月",AA$2,"事業所",$A12),0)</f>
        <v>1346991</v>
      </c>
      <c r="AB12" s="1528">
        <f ca="1">SUM(OFFSET(AA12,0,当期月数):AA12)</f>
        <v>9383660</v>
      </c>
    </row>
    <row r="13" spans="1:32" s="1529" customFormat="1" ht="15.4" customHeight="1" thickBot="1" x14ac:dyDescent="0.2">
      <c r="A13" s="1529" t="s">
        <v>674</v>
      </c>
      <c r="B13" s="2110"/>
      <c r="C13" s="1539" t="s">
        <v>141</v>
      </c>
      <c r="D13" s="1534">
        <f>IFERROR(GETPIVOTDATA("合計 / " &amp; $C12 &amp; $C13,【ピボット】事業所売上!$A$3,"年月",D$2,"事業所",$A13),0)</f>
        <v>168386</v>
      </c>
      <c r="E13" s="1534">
        <f>IFERROR(GETPIVOTDATA("合計 / " &amp; $C12 &amp; $C13,【ピボット】事業所売上!$A$3,"年月",E$2,"事業所",$A13),0)</f>
        <v>157860</v>
      </c>
      <c r="F13" s="1534">
        <f>IFERROR(GETPIVOTDATA("合計 / " &amp; $C12 &amp; $C13,【ピボット】事業所売上!$A$3,"年月",F$2,"事業所",$A13),0)</f>
        <v>204311</v>
      </c>
      <c r="G13" s="1534">
        <f>IFERROR(GETPIVOTDATA("合計 / " &amp; $C12 &amp; $C13,【ピボット】事業所売上!$A$3,"年月",G$2,"事業所",$A13),0)</f>
        <v>198848</v>
      </c>
      <c r="H13" s="1534">
        <f>IFERROR(GETPIVOTDATA("合計 / " &amp; $C12 &amp; $C13,【ピボット】事業所売上!$A$3,"年月",H$2,"事業所",$A13),0)</f>
        <v>206491</v>
      </c>
      <c r="I13" s="1534">
        <f>IFERROR(GETPIVOTDATA("合計 / " &amp; $C12 &amp; $C13,【ピボット】事業所売上!$A$3,"年月",I$2,"事業所",$A13),0)</f>
        <v>222984</v>
      </c>
      <c r="J13" s="1534">
        <f>IFERROR(GETPIVOTDATA("合計 / " &amp; $C12 &amp; $C13,【ピボット】事業所売上!$A$3,"年月",J$2,"事業所",$A13),0)</f>
        <v>221766</v>
      </c>
      <c r="K13" s="1534">
        <f>IFERROR(GETPIVOTDATA("合計 / " &amp; $C12 &amp; $C13,【ピボット】事業所売上!$A$3,"年月",K$2,"事業所",$A13),0)</f>
        <v>210870</v>
      </c>
      <c r="L13" s="1534">
        <f>IFERROR(GETPIVOTDATA("合計 / " &amp; $C12 &amp; $C13,【ピボット】事業所売上!$A$3,"年月",L$2,"事業所",$A13),0)</f>
        <v>195922</v>
      </c>
      <c r="M13" s="1534">
        <f>IFERROR(GETPIVOTDATA("合計 / " &amp; $C12 &amp; $C13,【ピボット】事業所売上!$A$3,"年月",M$2,"事業所",$A13),0)</f>
        <v>192839</v>
      </c>
      <c r="N13" s="1534">
        <f>IFERROR(GETPIVOTDATA("合計 / " &amp; $C12 &amp; $C13,【ピボット】事業所売上!$A$3,"年月",N$2,"事業所",$A13),0)</f>
        <v>208652</v>
      </c>
      <c r="O13" s="1534">
        <f>IFERROR(GETPIVOTDATA("合計 / " &amp; $C12 &amp; $C13,【ピボット】事業所売上!$A$3,"年月",O$2,"事業所",$A13),0)</f>
        <v>205308</v>
      </c>
      <c r="P13" s="1534">
        <f>IFERROR(GETPIVOTDATA("合計 / " &amp; $C12 &amp; $C13,【ピボット】事業所売上!$A$3,"年月",P$2,"事業所",$A13),0)</f>
        <v>233805</v>
      </c>
      <c r="Q13" s="1534">
        <f>IFERROR(GETPIVOTDATA("合計 / " &amp; $C12 &amp; $C13,【ピボット】事業所売上!$A$3,"年月",Q$2,"事業所",$A13),0)</f>
        <v>199219</v>
      </c>
      <c r="R13" s="1534">
        <f>IFERROR(GETPIVOTDATA("合計 / " &amp; $C12 &amp; $C13,【ピボット】事業所売上!$A$3,"年月",R$2,"事業所",$A13),0)</f>
        <v>223199</v>
      </c>
      <c r="S13" s="1534">
        <f>IFERROR(GETPIVOTDATA("合計 / " &amp; $C12 &amp; $C13,【ピボット】事業所売上!$A$3,"年月",S$2,"事業所",$A13),0)</f>
        <v>202922</v>
      </c>
      <c r="T13" s="1534">
        <f>IFERROR(GETPIVOTDATA("合計 / " &amp; $C12 &amp; $C13,【ピボット】事業所売上!$A$3,"年月",T$2,"事業所",$A13),0)</f>
        <v>206934</v>
      </c>
      <c r="U13" s="1534">
        <f>IFERROR(GETPIVOTDATA("合計 / " &amp; $C12 &amp; $C13,【ピボット】事業所売上!$A$3,"年月",U$2,"事業所",$A13),0)</f>
        <v>323954</v>
      </c>
      <c r="V13" s="1534">
        <f>IFERROR(GETPIVOTDATA("合計 / " &amp; $C12 &amp; $C13,【ピボット】事業所売上!$A$3,"年月",V$2,"事業所",$A13),0)</f>
        <v>360429</v>
      </c>
      <c r="W13" s="1534">
        <f>IFERROR(GETPIVOTDATA("合計 / " &amp; $C12 &amp; $C13,【ピボット】事業所売上!$A$3,"年月",W$2,"事業所",$A13),0)</f>
        <v>296398</v>
      </c>
      <c r="X13" s="1534">
        <f>IFERROR(GETPIVOTDATA("合計 / " &amp; $C12 &amp; $C13,【ピボット】事業所売上!$A$3,"年月",X$2,"事業所",$A13),0)</f>
        <v>233751</v>
      </c>
      <c r="Y13" s="1534">
        <f>IFERROR(GETPIVOTDATA("合計 / " &amp; $C12 &amp; $C13,【ピボット】事業所売上!$A$3,"年月",Y$2,"事業所",$A13),0)</f>
        <v>208923</v>
      </c>
      <c r="Z13" s="1534">
        <f>IFERROR(GETPIVOTDATA("合計 / " &amp; $C12 &amp; $C13,【ピボット】事業所売上!$A$3,"年月",Z$2,"事業所",$A13),0)</f>
        <v>223423</v>
      </c>
      <c r="AA13" s="1534">
        <f>IFERROR(GETPIVOTDATA("合計 / " &amp; $C12 &amp; $C13,【ピボット】事業所売上!$A$3,"年月",AA$2,"事業所",$A13),0)</f>
        <v>0</v>
      </c>
      <c r="AB13" s="1522">
        <f ca="1">SUM(OFFSET(AA13,0,当期月数):AA13)</f>
        <v>1853812</v>
      </c>
    </row>
    <row r="14" spans="1:32" s="1529" customFormat="1" ht="15.4" customHeight="1" x14ac:dyDescent="0.15">
      <c r="A14" s="1529" t="s">
        <v>675</v>
      </c>
      <c r="B14" s="2108" t="s">
        <v>67</v>
      </c>
      <c r="C14" s="1526" t="s">
        <v>10</v>
      </c>
      <c r="D14" s="1527">
        <f>IFERROR(GETPIVOTDATA("合計 / " &amp; $C14,【ピボット】事業所売上!$A$3,"年月",D$2,"事業所",$A14),0)</f>
        <v>3237052</v>
      </c>
      <c r="E14" s="1527">
        <f>IFERROR(GETPIVOTDATA("合計 / " &amp; $C14,【ピボット】事業所売上!$A$3,"年月",E$2,"事業所",$A14),0)</f>
        <v>3049599</v>
      </c>
      <c r="F14" s="1527">
        <f>IFERROR(GETPIVOTDATA("合計 / " &amp; $C14,【ピボット】事業所売上!$A$3,"年月",F$2,"事業所",$A14),0)</f>
        <v>3467874</v>
      </c>
      <c r="G14" s="1527">
        <f>IFERROR(GETPIVOTDATA("合計 / " &amp; $C14,【ピボット】事業所売上!$A$3,"年月",G$2,"事業所",$A14),0)</f>
        <v>3535427</v>
      </c>
      <c r="H14" s="1527">
        <f>IFERROR(GETPIVOTDATA("合計 / " &amp; $C14,【ピボット】事業所売上!$A$3,"年月",H$2,"事業所",$A14),0)</f>
        <v>3702480</v>
      </c>
      <c r="I14" s="1527">
        <f>IFERROR(GETPIVOTDATA("合計 / " &amp; $C14,【ピボット】事業所売上!$A$3,"年月",I$2,"事業所",$A14),0)</f>
        <v>3691193</v>
      </c>
      <c r="J14" s="1527">
        <f>IFERROR(GETPIVOTDATA("合計 / " &amp; $C14,【ピボット】事業所売上!$A$3,"年月",J$2,"事業所",$A14),0)</f>
        <v>3793487</v>
      </c>
      <c r="K14" s="1527">
        <f>IFERROR(GETPIVOTDATA("合計 / " &amp; $C14,【ピボット】事業所売上!$A$3,"年月",K$2,"事業所",$A14),0)</f>
        <v>3951679</v>
      </c>
      <c r="L14" s="1527">
        <f>IFERROR(GETPIVOTDATA("合計 / " &amp; $C14,【ピボット】事業所売上!$A$3,"年月",L$2,"事業所",$A14),0)</f>
        <v>3646839</v>
      </c>
      <c r="M14" s="1527">
        <f>IFERROR(GETPIVOTDATA("合計 / " &amp; $C14,【ピボット】事業所売上!$A$3,"年月",M$2,"事業所",$A14),0)</f>
        <v>3674534</v>
      </c>
      <c r="N14" s="1527">
        <f>IFERROR(GETPIVOTDATA("合計 / " &amp; $C14,【ピボット】事業所売上!$A$3,"年月",N$2,"事業所",$A14),0)</f>
        <v>3915953</v>
      </c>
      <c r="O14" s="1527">
        <f>IFERROR(GETPIVOTDATA("合計 / " &amp; $C14,【ピボット】事業所売上!$A$3,"年月",O$2,"事業所",$A14),0)</f>
        <v>4590836</v>
      </c>
      <c r="P14" s="1527">
        <f>IFERROR(GETPIVOTDATA("合計 / " &amp; $C14,【ピボット】事業所売上!$A$3,"年月",P$2,"事業所",$A14),0)</f>
        <v>4592878</v>
      </c>
      <c r="Q14" s="1527">
        <f>IFERROR(GETPIVOTDATA("合計 / " &amp; $C14,【ピボット】事業所売上!$A$3,"年月",Q$2,"事業所",$A14),0)</f>
        <v>4730337</v>
      </c>
      <c r="R14" s="1527">
        <f>IFERROR(GETPIVOTDATA("合計 / " &amp; $C14,【ピボット】事業所売上!$A$3,"年月",R$2,"事業所",$A14),0)</f>
        <v>4812316</v>
      </c>
      <c r="S14" s="1527">
        <f>IFERROR(GETPIVOTDATA("合計 / " &amp; $C14,【ピボット】事業所売上!$A$3,"年月",S$2,"事業所",$A14),0)</f>
        <v>5454025</v>
      </c>
      <c r="T14" s="1527">
        <f>IFERROR(GETPIVOTDATA("合計 / " &amp; $C14,【ピボット】事業所売上!$A$3,"年月",T$2,"事業所",$A14),0)</f>
        <v>4741795</v>
      </c>
      <c r="U14" s="1527">
        <f>IFERROR(GETPIVOTDATA("合計 / " &amp; $C14,【ピボット】事業所売上!$A$3,"年月",U$2,"事業所",$A14),0)</f>
        <v>5132237</v>
      </c>
      <c r="V14" s="1527">
        <f>IFERROR(GETPIVOTDATA("合計 / " &amp; $C14,【ピボット】事業所売上!$A$3,"年月",V$2,"事業所",$A14),0)</f>
        <v>4992088</v>
      </c>
      <c r="W14" s="1527">
        <f>IFERROR(GETPIVOTDATA("合計 / " &amp; $C14,【ピボット】事業所売上!$A$3,"年月",W$2,"事業所",$A14),0)</f>
        <v>4434302</v>
      </c>
      <c r="X14" s="1527">
        <f>IFERROR(GETPIVOTDATA("合計 / " &amp; $C14,【ピボット】事業所売上!$A$3,"年月",X$2,"事業所",$A14),0)</f>
        <v>4972524</v>
      </c>
      <c r="Y14" s="1527">
        <f>IFERROR(GETPIVOTDATA("合計 / " &amp; $C14,【ピボット】事業所売上!$A$3,"年月",Y$2,"事業所",$A14),0)</f>
        <v>4379913</v>
      </c>
      <c r="Z14" s="1527">
        <f>IFERROR(GETPIVOTDATA("合計 / " &amp; $C14,【ピボット】事業所売上!$A$3,"年月",Z$2,"事業所",$A14),0)</f>
        <v>5036742</v>
      </c>
      <c r="AA14" s="1527">
        <f>IFERROR(GETPIVOTDATA("合計 / " &amp; $C14,【ピボット】事業所売上!$A$3,"年月",AA$2,"事業所",$A14),0)</f>
        <v>4769253</v>
      </c>
      <c r="AB14" s="1540">
        <f ca="1">SUM(OFFSET(AA14,0,当期月数):AA14)</f>
        <v>38458854</v>
      </c>
    </row>
    <row r="15" spans="1:32" s="1529" customFormat="1" ht="15.4" customHeight="1" x14ac:dyDescent="0.15">
      <c r="A15" s="1529" t="s">
        <v>675</v>
      </c>
      <c r="B15" s="2109"/>
      <c r="C15" s="1541" t="s">
        <v>141</v>
      </c>
      <c r="D15" s="1542">
        <f>IFERROR(GETPIVOTDATA("合計 / " &amp; $C14 &amp; $C15,【ピボット】事業所売上!$A$3,"年月",D$2,"事業所",$A15),0)</f>
        <v>382703</v>
      </c>
      <c r="E15" s="1542">
        <f>IFERROR(GETPIVOTDATA("合計 / " &amp; $C14 &amp; $C15,【ピボット】事業所売上!$A$3,"年月",E$2,"事業所",$A15),0)</f>
        <v>345767</v>
      </c>
      <c r="F15" s="1542">
        <f>IFERROR(GETPIVOTDATA("合計 / " &amp; $C14 &amp; $C15,【ピボット】事業所売上!$A$3,"年月",F$2,"事業所",$A15),0)</f>
        <v>394909</v>
      </c>
      <c r="G15" s="1542">
        <f>IFERROR(GETPIVOTDATA("合計 / " &amp; $C14 &amp; $C15,【ピボット】事業所売上!$A$3,"年月",G$2,"事業所",$A15),0)</f>
        <v>392966</v>
      </c>
      <c r="H15" s="1542">
        <f>IFERROR(GETPIVOTDATA("合計 / " &amp; $C14 &amp; $C15,【ピボット】事業所売上!$A$3,"年月",H$2,"事業所",$A15),0)</f>
        <v>404497</v>
      </c>
      <c r="I15" s="1542">
        <f>IFERROR(GETPIVOTDATA("合計 / " &amp; $C14 &amp; $C15,【ピボット】事業所売上!$A$3,"年月",I$2,"事業所",$A15),0)</f>
        <v>401316</v>
      </c>
      <c r="J15" s="1542">
        <f>IFERROR(GETPIVOTDATA("合計 / " &amp; $C14 &amp; $C15,【ピボット】事業所売上!$A$3,"年月",J$2,"事業所",$A15),0)</f>
        <v>411480</v>
      </c>
      <c r="K15" s="1542">
        <f>IFERROR(GETPIVOTDATA("合計 / " &amp; $C14 &amp; $C15,【ピボット】事業所売上!$A$3,"年月",K$2,"事業所",$A15),0)</f>
        <v>422479</v>
      </c>
      <c r="L15" s="1542">
        <f>IFERROR(GETPIVOTDATA("合計 / " &amp; $C14 &amp; $C15,【ピボット】事業所売上!$A$3,"年月",L$2,"事業所",$A15),0)</f>
        <v>379228</v>
      </c>
      <c r="M15" s="1542">
        <f>IFERROR(GETPIVOTDATA("合計 / " &amp; $C14 &amp; $C15,【ピボット】事業所売上!$A$3,"年月",M$2,"事業所",$A15),0)</f>
        <v>388251</v>
      </c>
      <c r="N15" s="1542">
        <f>IFERROR(GETPIVOTDATA("合計 / " &amp; $C14 &amp; $C15,【ピボット】事業所売上!$A$3,"年月",N$2,"事業所",$A15),0)</f>
        <v>404767</v>
      </c>
      <c r="O15" s="1542">
        <f>IFERROR(GETPIVOTDATA("合計 / " &amp; $C14 &amp; $C15,【ピボット】事業所売上!$A$3,"年月",O$2,"事業所",$A15),0)</f>
        <v>494085</v>
      </c>
      <c r="P15" s="1542">
        <f>IFERROR(GETPIVOTDATA("合計 / " &amp; $C14 &amp; $C15,【ピボット】事業所売上!$A$3,"年月",P$2,"事業所",$A15),0)</f>
        <v>468481</v>
      </c>
      <c r="Q15" s="1542">
        <f>IFERROR(GETPIVOTDATA("合計 / " &amp; $C14 &amp; $C15,【ピボット】事業所売上!$A$3,"年月",Q$2,"事業所",$A15),0)</f>
        <v>494657</v>
      </c>
      <c r="R15" s="1542">
        <f>IFERROR(GETPIVOTDATA("合計 / " &amp; $C14 &amp; $C15,【ピボット】事業所売上!$A$3,"年月",R$2,"事業所",$A15),0)</f>
        <v>501273</v>
      </c>
      <c r="S15" s="1542">
        <f>IFERROR(GETPIVOTDATA("合計 / " &amp; $C14 &amp; $C15,【ピボット】事業所売上!$A$3,"年月",S$2,"事業所",$A15),0)</f>
        <v>580102</v>
      </c>
      <c r="T15" s="1542">
        <f>IFERROR(GETPIVOTDATA("合計 / " &amp; $C14 &amp; $C15,【ピボット】事業所売上!$A$3,"年月",T$2,"事業所",$A15),0)</f>
        <v>517769</v>
      </c>
      <c r="U15" s="1542">
        <f>IFERROR(GETPIVOTDATA("合計 / " &amp; $C14 &amp; $C15,【ピボット】事業所売上!$A$3,"年月",U$2,"事業所",$A15),0)</f>
        <v>520929</v>
      </c>
      <c r="V15" s="1542">
        <f>IFERROR(GETPIVOTDATA("合計 / " &amp; $C14 &amp; $C15,【ピボット】事業所売上!$A$3,"年月",V$2,"事業所",$A15),0)</f>
        <v>525065</v>
      </c>
      <c r="W15" s="1542">
        <f>IFERROR(GETPIVOTDATA("合計 / " &amp; $C14 &amp; $C15,【ピボット】事業所売上!$A$3,"年月",W$2,"事業所",$A15),0)</f>
        <v>461604</v>
      </c>
      <c r="X15" s="1542">
        <f>IFERROR(GETPIVOTDATA("合計 / " &amp; $C14 &amp; $C15,【ピボット】事業所売上!$A$3,"年月",X$2,"事業所",$A15),0)</f>
        <v>520648</v>
      </c>
      <c r="Y15" s="1542">
        <f>IFERROR(GETPIVOTDATA("合計 / " &amp; $C14 &amp; $C15,【ピボット】事業所売上!$A$3,"年月",Y$2,"事業所",$A15),0)</f>
        <v>448766</v>
      </c>
      <c r="Z15" s="1542">
        <f>IFERROR(GETPIVOTDATA("合計 / " &amp; $C14 &amp; $C15,【ピボット】事業所売上!$A$3,"年月",Z$2,"事業所",$A15),0)</f>
        <v>511438</v>
      </c>
      <c r="AA15" s="1542">
        <f>IFERROR(GETPIVOTDATA("合計 / " &amp; $C14 &amp; $C15,【ピボット】事業所売上!$A$3,"年月",AA$2,"事業所",$A15),0)</f>
        <v>0</v>
      </c>
      <c r="AB15" s="1528">
        <f ca="1">SUM(OFFSET(AA15,0,当期月数):AA15)</f>
        <v>3506219</v>
      </c>
    </row>
    <row r="16" spans="1:32" s="1529" customFormat="1" ht="15.4" customHeight="1" x14ac:dyDescent="0.15">
      <c r="A16" s="1529" t="s">
        <v>675</v>
      </c>
      <c r="B16" s="2109"/>
      <c r="C16" s="1538" t="s">
        <v>8</v>
      </c>
      <c r="D16" s="1543">
        <f>IFERROR(GETPIVOTDATA("合計 / " &amp; $C16,【ピボット】事業所売上!$A$3,"年月",D$2,"事業所",$A16),0)</f>
        <v>1815705</v>
      </c>
      <c r="E16" s="1543">
        <f>IFERROR(GETPIVOTDATA("合計 / " &amp; $C16,【ピボット】事業所売上!$A$3,"年月",E$2,"事業所",$A16),0)</f>
        <v>2352621</v>
      </c>
      <c r="F16" s="1543">
        <f>IFERROR(GETPIVOTDATA("合計 / " &amp; $C16,【ピボット】事業所売上!$A$3,"年月",F$2,"事業所",$A16),0)</f>
        <v>2123008</v>
      </c>
      <c r="G16" s="1543">
        <f>IFERROR(GETPIVOTDATA("合計 / " &amp; $C16,【ピボット】事業所売上!$A$3,"年月",G$2,"事業所",$A16),0)</f>
        <v>2017857</v>
      </c>
      <c r="H16" s="1543">
        <f>IFERROR(GETPIVOTDATA("合計 / " &amp; $C16,【ピボット】事業所売上!$A$3,"年月",H$2,"事業所",$A16),0)</f>
        <v>1897088</v>
      </c>
      <c r="I16" s="1543">
        <f>IFERROR(GETPIVOTDATA("合計 / " &amp; $C16,【ピボット】事業所売上!$A$3,"年月",I$2,"事業所",$A16),0)</f>
        <v>1874471</v>
      </c>
      <c r="J16" s="1543">
        <f>IFERROR(GETPIVOTDATA("合計 / " &amp; $C16,【ピボット】事業所売上!$A$3,"年月",J$2,"事業所",$A16),0)</f>
        <v>1873856</v>
      </c>
      <c r="K16" s="1543">
        <f>IFERROR(GETPIVOTDATA("合計 / " &amp; $C16,【ピボット】事業所売上!$A$3,"年月",K$2,"事業所",$A16),0)</f>
        <v>1450355</v>
      </c>
      <c r="L16" s="1543">
        <f>IFERROR(GETPIVOTDATA("合計 / " &amp; $C16,【ピボット】事業所売上!$A$3,"年月",L$2,"事業所",$A16),0)</f>
        <v>2279823</v>
      </c>
      <c r="M16" s="1543">
        <f>IFERROR(GETPIVOTDATA("合計 / " &amp; $C16,【ピボット】事業所売上!$A$3,"年月",M$2,"事業所",$A16),0)</f>
        <v>1771705</v>
      </c>
      <c r="N16" s="1543">
        <f>IFERROR(GETPIVOTDATA("合計 / " &amp; $C16,【ピボット】事業所売上!$A$3,"年月",N$2,"事業所",$A16),0)</f>
        <v>1624154</v>
      </c>
      <c r="O16" s="1543">
        <f>IFERROR(GETPIVOTDATA("合計 / " &amp; $C16,【ピボット】事業所売上!$A$3,"年月",O$2,"事業所",$A16),0)</f>
        <v>1840771</v>
      </c>
      <c r="P16" s="1543">
        <f>IFERROR(GETPIVOTDATA("合計 / " &amp; $C16,【ピボット】事業所売上!$A$3,"年月",P$2,"事業所",$A16),0)</f>
        <v>1467994</v>
      </c>
      <c r="Q16" s="1543">
        <f>IFERROR(GETPIVOTDATA("合計 / " &amp; $C16,【ピボット】事業所売上!$A$3,"年月",Q$2,"事業所",$A16),0)</f>
        <v>1782964</v>
      </c>
      <c r="R16" s="1543">
        <f>IFERROR(GETPIVOTDATA("合計 / " &amp; $C16,【ピボット】事業所売上!$A$3,"年月",R$2,"事業所",$A16),0)</f>
        <v>1836690</v>
      </c>
      <c r="S16" s="1543">
        <f>IFERROR(GETPIVOTDATA("合計 / " &amp; $C16,【ピボット】事業所売上!$A$3,"年月",S$2,"事業所",$A16),0)</f>
        <v>1787227</v>
      </c>
      <c r="T16" s="1543">
        <f>IFERROR(GETPIVOTDATA("合計 / " &amp; $C16,【ピボット】事業所売上!$A$3,"年月",T$2,"事業所",$A16),0)</f>
        <v>1721700</v>
      </c>
      <c r="U16" s="1543">
        <f>IFERROR(GETPIVOTDATA("合計 / " &amp; $C16,【ピボット】事業所売上!$A$3,"年月",U$2,"事業所",$A16),0)</f>
        <v>1877087</v>
      </c>
      <c r="V16" s="1543">
        <f>IFERROR(GETPIVOTDATA("合計 / " &amp; $C16,【ピボット】事業所売上!$A$3,"年月",V$2,"事業所",$A16),0)</f>
        <v>1744923</v>
      </c>
      <c r="W16" s="1543">
        <f>IFERROR(GETPIVOTDATA("合計 / " &amp; $C16,【ピボット】事業所売上!$A$3,"年月",W$2,"事業所",$A16),0)</f>
        <v>2159752</v>
      </c>
      <c r="X16" s="1543">
        <f>IFERROR(GETPIVOTDATA("合計 / " &amp; $C16,【ピボット】事業所売上!$A$3,"年月",X$2,"事業所",$A16),0)</f>
        <v>1738382</v>
      </c>
      <c r="Y16" s="1543">
        <f>IFERROR(GETPIVOTDATA("合計 / " &amp; $C16,【ピボット】事業所売上!$A$3,"年月",Y$2,"事業所",$A16),0)</f>
        <v>1701433</v>
      </c>
      <c r="Z16" s="1543">
        <f>IFERROR(GETPIVOTDATA("合計 / " &amp; $C16,【ピボット】事業所売上!$A$3,"年月",Z$2,"事業所",$A16),0)</f>
        <v>1668036</v>
      </c>
      <c r="AA16" s="1543">
        <f>IFERROR(GETPIVOTDATA("合計 / " &amp; $C16,【ピボット】事業所売上!$A$3,"年月",AA$2,"事業所",$A16),0)</f>
        <v>1980862</v>
      </c>
      <c r="AB16" s="1528">
        <f ca="1">SUM(OFFSET(AA16,0,当期月数):AA16)</f>
        <v>14592175</v>
      </c>
    </row>
    <row r="17" spans="1:30" s="1529" customFormat="1" ht="15.4" customHeight="1" thickBot="1" x14ac:dyDescent="0.2">
      <c r="A17" s="1529" t="s">
        <v>675</v>
      </c>
      <c r="B17" s="2110"/>
      <c r="C17" s="1539" t="s">
        <v>141</v>
      </c>
      <c r="D17" s="1534">
        <f>IFERROR(GETPIVOTDATA("合計 / " &amp; $C16 &amp; $C17,【ピボット】事業所売上!$A$3,"年月",D$2,"事業所",$A17),0)</f>
        <v>424065</v>
      </c>
      <c r="E17" s="1534">
        <f>IFERROR(GETPIVOTDATA("合計 / " &amp; $C16 &amp; $C17,【ピボット】事業所売上!$A$3,"年月",E$2,"事業所",$A17),0)</f>
        <v>541700</v>
      </c>
      <c r="F17" s="1534">
        <f>IFERROR(GETPIVOTDATA("合計 / " &amp; $C16 &amp; $C17,【ピボット】事業所売上!$A$3,"年月",F$2,"事業所",$A17),0)</f>
        <v>490767</v>
      </c>
      <c r="G17" s="1534">
        <f>IFERROR(GETPIVOTDATA("合計 / " &amp; $C16 &amp; $C17,【ピボット】事業所売上!$A$3,"年月",G$2,"事業所",$A17),0)</f>
        <v>466306</v>
      </c>
      <c r="H17" s="1534">
        <f>IFERROR(GETPIVOTDATA("合計 / " &amp; $C16 &amp; $C17,【ピボット】事業所売上!$A$3,"年月",H$2,"事業所",$A17),0)</f>
        <v>437767</v>
      </c>
      <c r="I17" s="1534">
        <f>IFERROR(GETPIVOTDATA("合計 / " &amp; $C16 &amp; $C17,【ピボット】事業所売上!$A$3,"年月",I$2,"事業所",$A17),0)</f>
        <v>432798</v>
      </c>
      <c r="J17" s="1534">
        <f>IFERROR(GETPIVOTDATA("合計 / " &amp; $C16 &amp; $C17,【ピボット】事業所売上!$A$3,"年月",J$2,"事業所",$A17),0)</f>
        <v>432828</v>
      </c>
      <c r="K17" s="1534">
        <f>IFERROR(GETPIVOTDATA("合計 / " &amp; $C16 &amp; $C17,【ピボット】事業所売上!$A$3,"年月",K$2,"事業所",$A17),0)</f>
        <v>337271</v>
      </c>
      <c r="L17" s="1534">
        <f>IFERROR(GETPIVOTDATA("合計 / " &amp; $C16 &amp; $C17,【ピボット】事業所売上!$A$3,"年月",L$2,"事業所",$A17),0)</f>
        <v>524588</v>
      </c>
      <c r="M17" s="1534">
        <f>IFERROR(GETPIVOTDATA("合計 / " &amp; $C16 &amp; $C17,【ピボット】事業所売上!$A$3,"年月",M$2,"事業所",$A17),0)</f>
        <v>409072</v>
      </c>
      <c r="N17" s="1534">
        <f>IFERROR(GETPIVOTDATA("合計 / " &amp; $C16 &amp; $C17,【ピボット】事業所売上!$A$3,"年月",N$2,"事業所",$A17),0)</f>
        <v>377692</v>
      </c>
      <c r="O17" s="1534">
        <f>IFERROR(GETPIVOTDATA("合計 / " &amp; $C16 &amp; $C17,【ピボット】事業所売上!$A$3,"年月",O$2,"事業所",$A17),0)</f>
        <v>428061</v>
      </c>
      <c r="P17" s="1534">
        <f>IFERROR(GETPIVOTDATA("合計 / " &amp; $C16 &amp; $C17,【ピボット】事業所売上!$A$3,"年月",P$2,"事業所",$A17),0)</f>
        <v>341347</v>
      </c>
      <c r="Q17" s="1534">
        <f>IFERROR(GETPIVOTDATA("合計 / " &amp; $C16 &amp; $C17,【ピボット】事業所売上!$A$3,"年月",Q$2,"事業所",$A17),0)</f>
        <v>414592</v>
      </c>
      <c r="R17" s="1534">
        <f>IFERROR(GETPIVOTDATA("合計 / " &amp; $C16 &amp; $C17,【ピボット】事業所売上!$A$3,"年月",R$2,"事業所",$A17),0)</f>
        <v>427104</v>
      </c>
      <c r="S17" s="1534">
        <f>IFERROR(GETPIVOTDATA("合計 / " &amp; $C16 &amp; $C17,【ピボット】事業所売上!$A$3,"年月",S$2,"事業所",$A17),0)</f>
        <v>415616</v>
      </c>
      <c r="T17" s="1534">
        <f>IFERROR(GETPIVOTDATA("合計 / " &amp; $C16 &amp; $C17,【ピボット】事業所売上!$A$3,"年月",T$2,"事業所",$A17),0)</f>
        <v>399005</v>
      </c>
      <c r="U17" s="1534">
        <f>IFERROR(GETPIVOTDATA("合計 / " &amp; $C16 &amp; $C17,【ピボット】事業所売上!$A$3,"年月",U$2,"事業所",$A17),0)</f>
        <v>436467</v>
      </c>
      <c r="V17" s="1534">
        <f>IFERROR(GETPIVOTDATA("合計 / " &amp; $C16 &amp; $C17,【ピボット】事業所売上!$A$3,"年月",V$2,"事業所",$A17),0)</f>
        <v>405773</v>
      </c>
      <c r="W17" s="1534">
        <f>IFERROR(GETPIVOTDATA("合計 / " &amp; $C16 &amp; $C17,【ピボット】事業所売上!$A$3,"年月",W$2,"事業所",$A17),0)</f>
        <v>502225</v>
      </c>
      <c r="X17" s="1534">
        <f>IFERROR(GETPIVOTDATA("合計 / " &amp; $C16 &amp; $C17,【ピボット】事業所売上!$A$3,"年月",X$2,"事業所",$A17),0)</f>
        <v>404246</v>
      </c>
      <c r="Y17" s="1534">
        <f>IFERROR(GETPIVOTDATA("合計 / " &amp; $C16 &amp; $C17,【ピボット】事業所売上!$A$3,"年月",Y$2,"事業所",$A17),0)</f>
        <v>395654</v>
      </c>
      <c r="Z17" s="1534">
        <f>IFERROR(GETPIVOTDATA("合計 / " &amp; $C16 &amp; $C17,【ピボット】事業所売上!$A$3,"年月",Z$2,"事業所",$A17),0)</f>
        <v>387896</v>
      </c>
      <c r="AA17" s="1534">
        <f>IFERROR(GETPIVOTDATA("合計 / " &amp; $C16 &amp; $C17,【ピボット】事業所売上!$A$3,"年月",AA$2,"事業所",$A17),0)</f>
        <v>0</v>
      </c>
      <c r="AB17" s="1544">
        <f ca="1">SUM(OFFSET(AA17,0,当期月数):AA17)</f>
        <v>2931266</v>
      </c>
    </row>
    <row r="18" spans="1:30" s="1529" customFormat="1" ht="15.4" customHeight="1" x14ac:dyDescent="0.15">
      <c r="A18" s="1529" t="s">
        <v>969</v>
      </c>
      <c r="B18" s="2108" t="s">
        <v>970</v>
      </c>
      <c r="C18" s="1526" t="s">
        <v>10</v>
      </c>
      <c r="D18" s="1527">
        <f>IFERROR(GETPIVOTDATA("合計 / " &amp; $C18,【ピボット】事業所売上!$A$3,"年月",D$2,"事業所",$A18),0)</f>
        <v>0</v>
      </c>
      <c r="E18" s="1527">
        <f>IFERROR(GETPIVOTDATA("合計 / " &amp; $C18,【ピボット】事業所売上!$A$3,"年月",E$2,"事業所",$A18),0)</f>
        <v>0</v>
      </c>
      <c r="F18" s="1527">
        <f>IFERROR(GETPIVOTDATA("合計 / " &amp; $C18,【ピボット】事業所売上!$A$3,"年月",F$2,"事業所",$A18),0)</f>
        <v>0</v>
      </c>
      <c r="G18" s="1527">
        <f>IFERROR(GETPIVOTDATA("合計 / " &amp; $C18,【ピボット】事業所売上!$A$3,"年月",G$2,"事業所",$A18),0)</f>
        <v>0</v>
      </c>
      <c r="H18" s="1527">
        <f>IFERROR(GETPIVOTDATA("合計 / " &amp; $C18,【ピボット】事業所売上!$A$3,"年月",H$2,"事業所",$A18),0)</f>
        <v>0</v>
      </c>
      <c r="I18" s="1527">
        <f>IFERROR(GETPIVOTDATA("合計 / " &amp; $C18,【ピボット】事業所売上!$A$3,"年月",I$2,"事業所",$A18),0)</f>
        <v>0</v>
      </c>
      <c r="J18" s="1527">
        <f>IFERROR(GETPIVOTDATA("合計 / " &amp; $C18,【ピボット】事業所売上!$A$3,"年月",J$2,"事業所",$A18),0)</f>
        <v>0</v>
      </c>
      <c r="K18" s="1527">
        <f>IFERROR(GETPIVOTDATA("合計 / " &amp; $C18,【ピボット】事業所売上!$A$3,"年月",K$2,"事業所",$A18),0)</f>
        <v>0</v>
      </c>
      <c r="L18" s="1527">
        <f>IFERROR(GETPIVOTDATA("合計 / " &amp; $C18,【ピボット】事業所売上!$A$3,"年月",L$2,"事業所",$A18),0)</f>
        <v>0</v>
      </c>
      <c r="M18" s="1527">
        <f>IFERROR(GETPIVOTDATA("合計 / " &amp; $C18,【ピボット】事業所売上!$A$3,"年月",M$2,"事業所",$A18),0)</f>
        <v>0</v>
      </c>
      <c r="N18" s="1527">
        <f>IFERROR(GETPIVOTDATA("合計 / " &amp; $C18,【ピボット】事業所売上!$A$3,"年月",N$2,"事業所",$A18),0)</f>
        <v>0</v>
      </c>
      <c r="O18" s="1527">
        <f>IFERROR(GETPIVOTDATA("合計 / " &amp; $C18,【ピボット】事業所売上!$A$3,"年月",O$2,"事業所",$A18),0)</f>
        <v>0</v>
      </c>
      <c r="P18" s="1527">
        <f>IFERROR(GETPIVOTDATA("合計 / " &amp; $C18,【ピボット】事業所売上!$A$3,"年月",P$2,"事業所",$A18),0)</f>
        <v>0</v>
      </c>
      <c r="Q18" s="1527">
        <f>IFERROR(GETPIVOTDATA("合計 / " &amp; $C18,【ピボット】事業所売上!$A$3,"年月",Q$2,"事業所",$A18),0)</f>
        <v>0</v>
      </c>
      <c r="R18" s="1527">
        <f>IFERROR(GETPIVOTDATA("合計 / " &amp; $C18,【ピボット】事業所売上!$A$3,"年月",R$2,"事業所",$A18),0)</f>
        <v>493984</v>
      </c>
      <c r="S18" s="1527">
        <f>IFERROR(GETPIVOTDATA("合計 / " &amp; $C18,【ピボット】事業所売上!$A$3,"年月",S$2,"事業所",$A18),0)</f>
        <v>485683</v>
      </c>
      <c r="T18" s="1527">
        <f>IFERROR(GETPIVOTDATA("合計 / " &amp; $C18,【ピボット】事業所売上!$A$3,"年月",T$2,"事業所",$A18),0)</f>
        <v>925389</v>
      </c>
      <c r="U18" s="1527">
        <f>IFERROR(GETPIVOTDATA("合計 / " &amp; $C18,【ピボット】事業所売上!$A$3,"年月",U$2,"事業所",$A18),0)</f>
        <v>1520946</v>
      </c>
      <c r="V18" s="1527">
        <f>IFERROR(GETPIVOTDATA("合計 / " &amp; $C18,【ピボット】事業所売上!$A$3,"年月",V$2,"事業所",$A18),0)</f>
        <v>1181602</v>
      </c>
      <c r="W18" s="1527">
        <f>IFERROR(GETPIVOTDATA("合計 / " &amp; $C18,【ピボット】事業所売上!$A$3,"年月",W$2,"事業所",$A18),0)</f>
        <v>1325905</v>
      </c>
      <c r="X18" s="1527">
        <f>IFERROR(GETPIVOTDATA("合計 / " &amp; $C18,【ピボット】事業所売上!$A$3,"年月",X$2,"事業所",$A18),0)</f>
        <v>987457</v>
      </c>
      <c r="Y18" s="1527">
        <f>IFERROR(GETPIVOTDATA("合計 / " &amp; $C18,【ピボット】事業所売上!$A$3,"年月",Y$2,"事業所",$A18),0)</f>
        <v>778647</v>
      </c>
      <c r="Z18" s="1527">
        <f>IFERROR(GETPIVOTDATA("合計 / " &amp; $C18,【ピボット】事業所売上!$A$3,"年月",Z$2,"事業所",$A18),0)</f>
        <v>0</v>
      </c>
      <c r="AA18" s="1527">
        <f>IFERROR(GETPIVOTDATA("合計 / " &amp; $C18,【ピボット】事業所売上!$A$3,"年月",AA$2,"事業所",$A18),0)</f>
        <v>13148</v>
      </c>
      <c r="AB18" s="1540">
        <f ca="1">SUM(OFFSET(AA18,0,当期月数):AA18)</f>
        <v>6733094</v>
      </c>
    </row>
    <row r="19" spans="1:30" s="1529" customFormat="1" ht="15.4" customHeight="1" x14ac:dyDescent="0.15">
      <c r="A19" s="1529" t="s">
        <v>969</v>
      </c>
      <c r="B19" s="2109"/>
      <c r="C19" s="1541" t="s">
        <v>141</v>
      </c>
      <c r="D19" s="1542">
        <f>IFERROR(GETPIVOTDATA("合計 / " &amp; $C18 &amp; $C19,【ピボット】事業所売上!$A$3,"年月",D$2,"事業所",$A19),0)</f>
        <v>0</v>
      </c>
      <c r="E19" s="1542">
        <f>IFERROR(GETPIVOTDATA("合計 / " &amp; $C18 &amp; $C19,【ピボット】事業所売上!$A$3,"年月",E$2,"事業所",$A19),0)</f>
        <v>0</v>
      </c>
      <c r="F19" s="1542">
        <f>IFERROR(GETPIVOTDATA("合計 / " &amp; $C18 &amp; $C19,【ピボット】事業所売上!$A$3,"年月",F$2,"事業所",$A19),0)</f>
        <v>0</v>
      </c>
      <c r="G19" s="1542">
        <f>IFERROR(GETPIVOTDATA("合計 / " &amp; $C18 &amp; $C19,【ピボット】事業所売上!$A$3,"年月",G$2,"事業所",$A19),0)</f>
        <v>0</v>
      </c>
      <c r="H19" s="1542">
        <f>IFERROR(GETPIVOTDATA("合計 / " &amp; $C18 &amp; $C19,【ピボット】事業所売上!$A$3,"年月",H$2,"事業所",$A19),0)</f>
        <v>0</v>
      </c>
      <c r="I19" s="1542">
        <f>IFERROR(GETPIVOTDATA("合計 / " &amp; $C18 &amp; $C19,【ピボット】事業所売上!$A$3,"年月",I$2,"事業所",$A19),0)</f>
        <v>0</v>
      </c>
      <c r="J19" s="1542">
        <f>IFERROR(GETPIVOTDATA("合計 / " &amp; $C18 &amp; $C19,【ピボット】事業所売上!$A$3,"年月",J$2,"事業所",$A19),0)</f>
        <v>0</v>
      </c>
      <c r="K19" s="1542">
        <f>IFERROR(GETPIVOTDATA("合計 / " &amp; $C18 &amp; $C19,【ピボット】事業所売上!$A$3,"年月",K$2,"事業所",$A19),0)</f>
        <v>0</v>
      </c>
      <c r="L19" s="1542">
        <f>IFERROR(GETPIVOTDATA("合計 / " &amp; $C18 &amp; $C19,【ピボット】事業所売上!$A$3,"年月",L$2,"事業所",$A19),0)</f>
        <v>0</v>
      </c>
      <c r="M19" s="1542">
        <f>IFERROR(GETPIVOTDATA("合計 / " &amp; $C18 &amp; $C19,【ピボット】事業所売上!$A$3,"年月",M$2,"事業所",$A19),0)</f>
        <v>0</v>
      </c>
      <c r="N19" s="1542">
        <f>IFERROR(GETPIVOTDATA("合計 / " &amp; $C18 &amp; $C19,【ピボット】事業所売上!$A$3,"年月",N$2,"事業所",$A19),0)</f>
        <v>0</v>
      </c>
      <c r="O19" s="1542">
        <f>IFERROR(GETPIVOTDATA("合計 / " &amp; $C18 &amp; $C19,【ピボット】事業所売上!$A$3,"年月",O$2,"事業所",$A19),0)</f>
        <v>0</v>
      </c>
      <c r="P19" s="1542">
        <f>IFERROR(GETPIVOTDATA("合計 / " &amp; $C18 &amp; $C19,【ピボット】事業所売上!$A$3,"年月",P$2,"事業所",$A19),0)</f>
        <v>0</v>
      </c>
      <c r="Q19" s="1542">
        <f>IFERROR(GETPIVOTDATA("合計 / " &amp; $C18 &amp; $C19,【ピボット】事業所売上!$A$3,"年月",Q$2,"事業所",$A19),0)</f>
        <v>0</v>
      </c>
      <c r="R19" s="1542">
        <f>IFERROR(GETPIVOTDATA("合計 / " &amp; $C18 &amp; $C19,【ピボット】事業所売上!$A$3,"年月",R$2,"事業所",$A19),0)</f>
        <v>48263</v>
      </c>
      <c r="S19" s="1542">
        <f>IFERROR(GETPIVOTDATA("合計 / " &amp; $C18 &amp; $C19,【ピボット】事業所売上!$A$3,"年月",S$2,"事業所",$A19),0)</f>
        <v>50020</v>
      </c>
      <c r="T19" s="1542">
        <f>IFERROR(GETPIVOTDATA("合計 / " &amp; $C18 &amp; $C19,【ピボット】事業所売上!$A$3,"年月",T$2,"事業所",$A19),0)</f>
        <v>78006</v>
      </c>
      <c r="U19" s="1542">
        <f>IFERROR(GETPIVOTDATA("合計 / " &amp; $C18 &amp; $C19,【ピボット】事業所売上!$A$3,"年月",U$2,"事業所",$A19),0)</f>
        <v>0</v>
      </c>
      <c r="V19" s="1542">
        <f>IFERROR(GETPIVOTDATA("合計 / " &amp; $C18 &amp; $C19,【ピボット】事業所売上!$A$3,"年月",V$2,"事業所",$A19),0)</f>
        <v>104897</v>
      </c>
      <c r="W19" s="1542">
        <f>IFERROR(GETPIVOTDATA("合計 / " &amp; $C18 &amp; $C19,【ピボット】事業所売上!$A$3,"年月",W$2,"事業所",$A19),0)</f>
        <v>119784</v>
      </c>
      <c r="X19" s="1542">
        <f>IFERROR(GETPIVOTDATA("合計 / " &amp; $C18 &amp; $C19,【ピボット】事業所売上!$A$3,"年月",X$2,"事業所",$A19),0)</f>
        <v>86703</v>
      </c>
      <c r="Y19" s="1542">
        <f>IFERROR(GETPIVOTDATA("合計 / " &amp; $C18 &amp; $C19,【ピボット】事業所売上!$A$3,"年月",Y$2,"事業所",$A19),0)</f>
        <v>60595</v>
      </c>
      <c r="Z19" s="1542">
        <f>IFERROR(GETPIVOTDATA("合計 / " &amp; $C18 &amp; $C19,【ピボット】事業所売上!$A$3,"年月",Z$2,"事業所",$A19),0)</f>
        <v>0</v>
      </c>
      <c r="AA19" s="1542">
        <f>IFERROR(GETPIVOTDATA("合計 / " &amp; $C18 &amp; $C19,【ピボット】事業所売上!$A$3,"年月",AA$2,"事業所",$A19),0)</f>
        <v>0</v>
      </c>
      <c r="AB19" s="1528">
        <f ca="1">SUM(OFFSET(AA19,0,当期月数):AA19)</f>
        <v>449985</v>
      </c>
    </row>
    <row r="20" spans="1:30" s="1529" customFormat="1" ht="15.4" customHeight="1" x14ac:dyDescent="0.15">
      <c r="A20" s="1529" t="s">
        <v>969</v>
      </c>
      <c r="B20" s="2109"/>
      <c r="C20" s="1538" t="s">
        <v>8</v>
      </c>
      <c r="D20" s="1543">
        <f>IFERROR(GETPIVOTDATA("合計 / " &amp; $C20,【ピボット】事業所売上!$A$3,"年月",D$2,"事業所",$A20),0)</f>
        <v>0</v>
      </c>
      <c r="E20" s="1543">
        <f>IFERROR(GETPIVOTDATA("合計 / " &amp; $C20,【ピボット】事業所売上!$A$3,"年月",E$2,"事業所",$A20),0)</f>
        <v>0</v>
      </c>
      <c r="F20" s="1543">
        <f>IFERROR(GETPIVOTDATA("合計 / " &amp; $C20,【ピボット】事業所売上!$A$3,"年月",F$2,"事業所",$A20),0)</f>
        <v>0</v>
      </c>
      <c r="G20" s="1543">
        <f>IFERROR(GETPIVOTDATA("合計 / " &amp; $C20,【ピボット】事業所売上!$A$3,"年月",G$2,"事業所",$A20),0)</f>
        <v>0</v>
      </c>
      <c r="H20" s="1543">
        <f>IFERROR(GETPIVOTDATA("合計 / " &amp; $C20,【ピボット】事業所売上!$A$3,"年月",H$2,"事業所",$A20),0)</f>
        <v>0</v>
      </c>
      <c r="I20" s="1543">
        <f>IFERROR(GETPIVOTDATA("合計 / " &amp; $C20,【ピボット】事業所売上!$A$3,"年月",I$2,"事業所",$A20),0)</f>
        <v>0</v>
      </c>
      <c r="J20" s="1543">
        <f>IFERROR(GETPIVOTDATA("合計 / " &amp; $C20,【ピボット】事業所売上!$A$3,"年月",J$2,"事業所",$A20),0)</f>
        <v>0</v>
      </c>
      <c r="K20" s="1543">
        <f>IFERROR(GETPIVOTDATA("合計 / " &amp; $C20,【ピボット】事業所売上!$A$3,"年月",K$2,"事業所",$A20),0)</f>
        <v>0</v>
      </c>
      <c r="L20" s="1543">
        <f>IFERROR(GETPIVOTDATA("合計 / " &amp; $C20,【ピボット】事業所売上!$A$3,"年月",L$2,"事業所",$A20),0)</f>
        <v>0</v>
      </c>
      <c r="M20" s="1543">
        <f>IFERROR(GETPIVOTDATA("合計 / " &amp; $C20,【ピボット】事業所売上!$A$3,"年月",M$2,"事業所",$A20),0)</f>
        <v>0</v>
      </c>
      <c r="N20" s="1543">
        <f>IFERROR(GETPIVOTDATA("合計 / " &amp; $C20,【ピボット】事業所売上!$A$3,"年月",N$2,"事業所",$A20),0)</f>
        <v>0</v>
      </c>
      <c r="O20" s="1543">
        <f>IFERROR(GETPIVOTDATA("合計 / " &amp; $C20,【ピボット】事業所売上!$A$3,"年月",O$2,"事業所",$A20),0)</f>
        <v>0</v>
      </c>
      <c r="P20" s="1543">
        <f>IFERROR(GETPIVOTDATA("合計 / " &amp; $C20,【ピボット】事業所売上!$A$3,"年月",P$2,"事業所",$A20),0)</f>
        <v>0</v>
      </c>
      <c r="Q20" s="1543">
        <f>IFERROR(GETPIVOTDATA("合計 / " &amp; $C20,【ピボット】事業所売上!$A$3,"年月",Q$2,"事業所",$A20),0)</f>
        <v>97685</v>
      </c>
      <c r="R20" s="1543">
        <f>IFERROR(GETPIVOTDATA("合計 / " &amp; $C20,【ピボット】事業所売上!$A$3,"年月",R$2,"事業所",$A20),0)</f>
        <v>168666</v>
      </c>
      <c r="S20" s="1543">
        <f>IFERROR(GETPIVOTDATA("合計 / " &amp; $C20,【ピボット】事業所売上!$A$3,"年月",S$2,"事業所",$A20),0)</f>
        <v>129186</v>
      </c>
      <c r="T20" s="1543">
        <f>IFERROR(GETPIVOTDATA("合計 / " &amp; $C20,【ピボット】事業所売上!$A$3,"年月",T$2,"事業所",$A20),0)</f>
        <v>264289</v>
      </c>
      <c r="U20" s="1543">
        <f>IFERROR(GETPIVOTDATA("合計 / " &amp; $C20,【ピボット】事業所売上!$A$3,"年月",U$2,"事業所",$A20),0)</f>
        <v>105500</v>
      </c>
      <c r="V20" s="1543">
        <f>IFERROR(GETPIVOTDATA("合計 / " &amp; $C20,【ピボット】事業所売上!$A$3,"年月",V$2,"事業所",$A20),0)</f>
        <v>92462</v>
      </c>
      <c r="W20" s="1543">
        <f>IFERROR(GETPIVOTDATA("合計 / " &amp; $C20,【ピボット】事業所売上!$A$3,"年月",W$2,"事業所",$A20),0)</f>
        <v>170158</v>
      </c>
      <c r="X20" s="1543">
        <f>IFERROR(GETPIVOTDATA("合計 / " &amp; $C20,【ピボット】事業所売上!$A$3,"年月",X$2,"事業所",$A20),0)</f>
        <v>133567</v>
      </c>
      <c r="Y20" s="1543">
        <f>IFERROR(GETPIVOTDATA("合計 / " &amp; $C20,【ピボット】事業所売上!$A$3,"年月",Y$2,"事業所",$A20),0)</f>
        <v>113402</v>
      </c>
      <c r="Z20" s="1543">
        <f>IFERROR(GETPIVOTDATA("合計 / " &amp; $C20,【ピボット】事業所売上!$A$3,"年月",Z$2,"事業所",$A20),0)</f>
        <v>0</v>
      </c>
      <c r="AA20" s="1543">
        <f>IFERROR(GETPIVOTDATA("合計 / " &amp; $C20,【ピボット】事業所売上!$A$3,"年月",AA$2,"事業所",$A20),0)</f>
        <v>0</v>
      </c>
      <c r="AB20" s="1528">
        <f ca="1">SUM(OFFSET(AA20,0,当期月数):AA20)</f>
        <v>879378</v>
      </c>
    </row>
    <row r="21" spans="1:30" s="1529" customFormat="1" ht="15.4" customHeight="1" thickBot="1" x14ac:dyDescent="0.2">
      <c r="A21" s="1529" t="s">
        <v>969</v>
      </c>
      <c r="B21" s="2110"/>
      <c r="C21" s="1539" t="s">
        <v>141</v>
      </c>
      <c r="D21" s="1534">
        <f>IFERROR(GETPIVOTDATA("合計 / " &amp; $C20 &amp; $C21,【ピボット】事業所売上!$A$3,"年月",D$2,"事業所",$A21),0)</f>
        <v>0</v>
      </c>
      <c r="E21" s="1534">
        <f>IFERROR(GETPIVOTDATA("合計 / " &amp; $C20 &amp; $C21,【ピボット】事業所売上!$A$3,"年月",E$2,"事業所",$A21),0)</f>
        <v>0</v>
      </c>
      <c r="F21" s="1534">
        <f>IFERROR(GETPIVOTDATA("合計 / " &amp; $C20 &amp; $C21,【ピボット】事業所売上!$A$3,"年月",F$2,"事業所",$A21),0)</f>
        <v>0</v>
      </c>
      <c r="G21" s="1534">
        <f>IFERROR(GETPIVOTDATA("合計 / " &amp; $C20 &amp; $C21,【ピボット】事業所売上!$A$3,"年月",G$2,"事業所",$A21),0)</f>
        <v>0</v>
      </c>
      <c r="H21" s="1534">
        <f>IFERROR(GETPIVOTDATA("合計 / " &amp; $C20 &amp; $C21,【ピボット】事業所売上!$A$3,"年月",H$2,"事業所",$A21),0)</f>
        <v>0</v>
      </c>
      <c r="I21" s="1534">
        <f>IFERROR(GETPIVOTDATA("合計 / " &amp; $C20 &amp; $C21,【ピボット】事業所売上!$A$3,"年月",I$2,"事業所",$A21),0)</f>
        <v>0</v>
      </c>
      <c r="J21" s="1534">
        <f>IFERROR(GETPIVOTDATA("合計 / " &amp; $C20 &amp; $C21,【ピボット】事業所売上!$A$3,"年月",J$2,"事業所",$A21),0)</f>
        <v>0</v>
      </c>
      <c r="K21" s="1534">
        <f>IFERROR(GETPIVOTDATA("合計 / " &amp; $C20 &amp; $C21,【ピボット】事業所売上!$A$3,"年月",K$2,"事業所",$A21),0)</f>
        <v>0</v>
      </c>
      <c r="L21" s="1534">
        <f>IFERROR(GETPIVOTDATA("合計 / " &amp; $C20 &amp; $C21,【ピボット】事業所売上!$A$3,"年月",L$2,"事業所",$A21),0)</f>
        <v>0</v>
      </c>
      <c r="M21" s="1534">
        <f>IFERROR(GETPIVOTDATA("合計 / " &amp; $C20 &amp; $C21,【ピボット】事業所売上!$A$3,"年月",M$2,"事業所",$A21),0)</f>
        <v>0</v>
      </c>
      <c r="N21" s="1534">
        <f>IFERROR(GETPIVOTDATA("合計 / " &amp; $C20 &amp; $C21,【ピボット】事業所売上!$A$3,"年月",N$2,"事業所",$A21),0)</f>
        <v>0</v>
      </c>
      <c r="O21" s="1534">
        <f>IFERROR(GETPIVOTDATA("合計 / " &amp; $C20 &amp; $C21,【ピボット】事業所売上!$A$3,"年月",O$2,"事業所",$A21),0)</f>
        <v>0</v>
      </c>
      <c r="P21" s="1534">
        <f>IFERROR(GETPIVOTDATA("合計 / " &amp; $C20 &amp; $C21,【ピボット】事業所売上!$A$3,"年月",P$2,"事業所",$A21),0)</f>
        <v>0</v>
      </c>
      <c r="Q21" s="1534">
        <f>IFERROR(GETPIVOTDATA("合計 / " &amp; $C20 &amp; $C21,【ピボット】事業所売上!$A$3,"年月",Q$2,"事業所",$A21),0)</f>
        <v>22715</v>
      </c>
      <c r="R21" s="1534">
        <f>IFERROR(GETPIVOTDATA("合計 / " &amp; $C20 &amp; $C21,【ピボット】事業所売上!$A$3,"年月",R$2,"事業所",$A21),0)</f>
        <v>39217</v>
      </c>
      <c r="S21" s="1534">
        <f>IFERROR(GETPIVOTDATA("合計 / " &amp; $C20 &amp; $C21,【ピボット】事業所売上!$A$3,"年月",S$2,"事業所",$A21),0)</f>
        <v>5777</v>
      </c>
      <c r="T21" s="1534">
        <f>IFERROR(GETPIVOTDATA("合計 / " &amp; $C20 &amp; $C21,【ピボット】事業所売上!$A$3,"年月",T$2,"事業所",$A21),0)</f>
        <v>61451</v>
      </c>
      <c r="U21" s="1534">
        <f>IFERROR(GETPIVOTDATA("合計 / " &amp; $C20 &amp; $C21,【ピボット】事業所売上!$A$3,"年月",U$2,"事業所",$A21),0)</f>
        <v>21396</v>
      </c>
      <c r="V21" s="1534">
        <f>IFERROR(GETPIVOTDATA("合計 / " &amp; $C20 &amp; $C21,【ピボット】事業所売上!$A$3,"年月",V$2,"事業所",$A21),0)</f>
        <v>18551</v>
      </c>
      <c r="W21" s="1534">
        <f>IFERROR(GETPIVOTDATA("合計 / " &amp; $C20 &amp; $C21,【ピボット】事業所売上!$A$3,"年月",W$2,"事業所",$A21),0)</f>
        <v>36611</v>
      </c>
      <c r="X21" s="1534">
        <f>IFERROR(GETPIVOTDATA("合計 / " &amp; $C20 &amp; $C21,【ピボット】事業所売上!$A$3,"年月",X$2,"事業所",$A21),0)</f>
        <v>28110</v>
      </c>
      <c r="Y21" s="1534">
        <f>IFERROR(GETPIVOTDATA("合計 / " &amp; $C20 &amp; $C21,【ピボット】事業所売上!$A$3,"年月",Y$2,"事業所",$A21),0)</f>
        <v>24153</v>
      </c>
      <c r="Z21" s="1534">
        <f>IFERROR(GETPIVOTDATA("合計 / " &amp; $C20 &amp; $C21,【ピボット】事業所売上!$A$3,"年月",Z$2,"事業所",$A21),0)</f>
        <v>0</v>
      </c>
      <c r="AA21" s="1534">
        <f>IFERROR(GETPIVOTDATA("合計 / " &amp; $C20 &amp; $C21,【ピボット】事業所売上!$A$3,"年月",AA$2,"事業所",$A21),0)</f>
        <v>0</v>
      </c>
      <c r="AB21" s="1544">
        <f ca="1">SUM(OFFSET(AA21,0,当期月数):AA21)</f>
        <v>190272</v>
      </c>
      <c r="AD21" s="1545"/>
    </row>
    <row r="22" spans="1:30" s="1529" customFormat="1" ht="15.4" customHeight="1" x14ac:dyDescent="0.15">
      <c r="A22" s="1529" t="s">
        <v>1208</v>
      </c>
      <c r="B22" s="2108" t="s">
        <v>1208</v>
      </c>
      <c r="C22" s="1526" t="s">
        <v>10</v>
      </c>
      <c r="D22" s="1527">
        <f>IFERROR(GETPIVOTDATA("合計 / " &amp; $C22,【ピボット】事業所売上!$A$3,"年月",D$2,"事業所",$A22),0)</f>
        <v>0</v>
      </c>
      <c r="E22" s="1527">
        <f>IFERROR(GETPIVOTDATA("合計 / " &amp; $C22,【ピボット】事業所売上!$A$3,"年月",E$2,"事業所",$A22),0)</f>
        <v>0</v>
      </c>
      <c r="F22" s="1527">
        <f>IFERROR(GETPIVOTDATA("合計 / " &amp; $C22,【ピボット】事業所売上!$A$3,"年月",F$2,"事業所",$A22),0)</f>
        <v>0</v>
      </c>
      <c r="G22" s="1527">
        <f>IFERROR(GETPIVOTDATA("合計 / " &amp; $C22,【ピボット】事業所売上!$A$3,"年月",G$2,"事業所",$A22),0)</f>
        <v>0</v>
      </c>
      <c r="H22" s="1527">
        <f>IFERROR(GETPIVOTDATA("合計 / " &amp; $C22,【ピボット】事業所売上!$A$3,"年月",H$2,"事業所",$A22),0)</f>
        <v>0</v>
      </c>
      <c r="I22" s="1527">
        <f>IFERROR(GETPIVOTDATA("合計 / " &amp; $C22,【ピボット】事業所売上!$A$3,"年月",I$2,"事業所",$A22),0)</f>
        <v>0</v>
      </c>
      <c r="J22" s="1527">
        <f>IFERROR(GETPIVOTDATA("合計 / " &amp; $C22,【ピボット】事業所売上!$A$3,"年月",J$2,"事業所",$A22),0)</f>
        <v>0</v>
      </c>
      <c r="K22" s="1527">
        <f>IFERROR(GETPIVOTDATA("合計 / " &amp; $C22,【ピボット】事業所売上!$A$3,"年月",K$2,"事業所",$A22),0)</f>
        <v>0</v>
      </c>
      <c r="L22" s="1527">
        <f>IFERROR(GETPIVOTDATA("合計 / " &amp; $C22,【ピボット】事業所売上!$A$3,"年月",L$2,"事業所",$A22),0)</f>
        <v>0</v>
      </c>
      <c r="M22" s="1527">
        <f>IFERROR(GETPIVOTDATA("合計 / " &amp; $C22,【ピボット】事業所売上!$A$3,"年月",M$2,"事業所",$A22),0)</f>
        <v>0</v>
      </c>
      <c r="N22" s="1527">
        <f>IFERROR(GETPIVOTDATA("合計 / " &amp; $C22,【ピボット】事業所売上!$A$3,"年月",N$2,"事業所",$A22),0)</f>
        <v>0</v>
      </c>
      <c r="O22" s="1527">
        <f>IFERROR(GETPIVOTDATA("合計 / " &amp; $C22,【ピボット】事業所売上!$A$3,"年月",O$2,"事業所",$A22),0)</f>
        <v>0</v>
      </c>
      <c r="P22" s="1527">
        <f>IFERROR(GETPIVOTDATA("合計 / " &amp; $C22,【ピボット】事業所売上!$A$3,"年月",P$2,"事業所",$A22),0)</f>
        <v>0</v>
      </c>
      <c r="Q22" s="1527">
        <f>IFERROR(GETPIVOTDATA("合計 / " &amp; $C22,【ピボット】事業所売上!$A$3,"年月",Q$2,"事業所",$A22),0)</f>
        <v>0</v>
      </c>
      <c r="R22" s="1527">
        <f>IFERROR(GETPIVOTDATA("合計 / " &amp; $C22,【ピボット】事業所売上!$A$3,"年月",R$2,"事業所",$A22),0)</f>
        <v>0</v>
      </c>
      <c r="S22" s="1527">
        <f>IFERROR(GETPIVOTDATA("合計 / " &amp; $C22,【ピボット】事業所売上!$A$3,"年月",S$2,"事業所",$A22),0)</f>
        <v>0</v>
      </c>
      <c r="T22" s="1527">
        <f>IFERROR(GETPIVOTDATA("合計 / " &amp; $C22,【ピボット】事業所売上!$A$3,"年月",T$2,"事業所",$A22),0)</f>
        <v>0</v>
      </c>
      <c r="U22" s="1527">
        <f>IFERROR(GETPIVOTDATA("合計 / " &amp; $C22,【ピボット】事業所売上!$A$3,"年月",U$2,"事業所",$A22),0)</f>
        <v>174827</v>
      </c>
      <c r="V22" s="1527">
        <f>IFERROR(GETPIVOTDATA("合計 / " &amp; $C22,【ピボット】事業所売上!$A$3,"年月",V$2,"事業所",$A22),0)</f>
        <v>325613</v>
      </c>
      <c r="W22" s="1527">
        <f>IFERROR(GETPIVOTDATA("合計 / " &amp; $C22,【ピボット】事業所売上!$A$3,"年月",W$2,"事業所",$A22),0)</f>
        <v>510817</v>
      </c>
      <c r="X22" s="1527">
        <f>IFERROR(GETPIVOTDATA("合計 / " &amp; $C22,【ピボット】事業所売上!$A$3,"年月",X$2,"事業所",$A22),0)</f>
        <v>509237</v>
      </c>
      <c r="Y22" s="1527">
        <f>IFERROR(GETPIVOTDATA("合計 / " &amp; $C22,【ピボット】事業所売上!$A$3,"年月",Y$2,"事業所",$A22),0)</f>
        <v>778951</v>
      </c>
      <c r="Z22" s="1527">
        <f>IFERROR(GETPIVOTDATA("合計 / " &amp; $C22,【ピボット】事業所売上!$A$3,"年月",Z$2,"事業所",$A22),0)</f>
        <v>965383</v>
      </c>
      <c r="AA22" s="1527">
        <f>IFERROR(GETPIVOTDATA("合計 / " &amp; $C22,【ピボット】事業所売上!$A$3,"年月",AA$2,"事業所",$A22),0)</f>
        <v>1324858</v>
      </c>
      <c r="AB22" s="1540">
        <f ca="1">SUM(OFFSET(AA22,0,当期月数):AA22)</f>
        <v>4589686</v>
      </c>
    </row>
    <row r="23" spans="1:30" s="1529" customFormat="1" ht="15.4" customHeight="1" x14ac:dyDescent="0.15">
      <c r="A23" s="1529" t="s">
        <v>1208</v>
      </c>
      <c r="B23" s="2109"/>
      <c r="C23" s="1541" t="s">
        <v>141</v>
      </c>
      <c r="D23" s="1542">
        <f>IFERROR(GETPIVOTDATA("合計 / " &amp; $C22 &amp; $C23,【ピボット】事業所売上!$A$3,"年月",D$2,"事業所",$A23),0)</f>
        <v>0</v>
      </c>
      <c r="E23" s="1542">
        <f>IFERROR(GETPIVOTDATA("合計 / " &amp; $C22 &amp; $C23,【ピボット】事業所売上!$A$3,"年月",E$2,"事業所",$A23),0)</f>
        <v>0</v>
      </c>
      <c r="F23" s="1542">
        <f>IFERROR(GETPIVOTDATA("合計 / " &amp; $C22 &amp; $C23,【ピボット】事業所売上!$A$3,"年月",F$2,"事業所",$A23),0)</f>
        <v>0</v>
      </c>
      <c r="G23" s="1542">
        <f>IFERROR(GETPIVOTDATA("合計 / " &amp; $C22 &amp; $C23,【ピボット】事業所売上!$A$3,"年月",G$2,"事業所",$A23),0)</f>
        <v>0</v>
      </c>
      <c r="H23" s="1542">
        <f>IFERROR(GETPIVOTDATA("合計 / " &amp; $C22 &amp; $C23,【ピボット】事業所売上!$A$3,"年月",H$2,"事業所",$A23),0)</f>
        <v>0</v>
      </c>
      <c r="I23" s="1542">
        <f>IFERROR(GETPIVOTDATA("合計 / " &amp; $C22 &amp; $C23,【ピボット】事業所売上!$A$3,"年月",I$2,"事業所",$A23),0)</f>
        <v>0</v>
      </c>
      <c r="J23" s="1542">
        <f>IFERROR(GETPIVOTDATA("合計 / " &amp; $C22 &amp; $C23,【ピボット】事業所売上!$A$3,"年月",J$2,"事業所",$A23),0)</f>
        <v>0</v>
      </c>
      <c r="K23" s="1542">
        <f>IFERROR(GETPIVOTDATA("合計 / " &amp; $C22 &amp; $C23,【ピボット】事業所売上!$A$3,"年月",K$2,"事業所",$A23),0)</f>
        <v>0</v>
      </c>
      <c r="L23" s="1542">
        <f>IFERROR(GETPIVOTDATA("合計 / " &amp; $C22 &amp; $C23,【ピボット】事業所売上!$A$3,"年月",L$2,"事業所",$A23),0)</f>
        <v>0</v>
      </c>
      <c r="M23" s="1542">
        <f>IFERROR(GETPIVOTDATA("合計 / " &amp; $C22 &amp; $C23,【ピボット】事業所売上!$A$3,"年月",M$2,"事業所",$A23),0)</f>
        <v>0</v>
      </c>
      <c r="N23" s="1542">
        <f>IFERROR(GETPIVOTDATA("合計 / " &amp; $C22 &amp; $C23,【ピボット】事業所売上!$A$3,"年月",N$2,"事業所",$A23),0)</f>
        <v>0</v>
      </c>
      <c r="O23" s="1542">
        <f>IFERROR(GETPIVOTDATA("合計 / " &amp; $C22 &amp; $C23,【ピボット】事業所売上!$A$3,"年月",O$2,"事業所",$A23),0)</f>
        <v>0</v>
      </c>
      <c r="P23" s="1542">
        <f>IFERROR(GETPIVOTDATA("合計 / " &amp; $C22 &amp; $C23,【ピボット】事業所売上!$A$3,"年月",P$2,"事業所",$A23),0)</f>
        <v>0</v>
      </c>
      <c r="Q23" s="1542">
        <f>IFERROR(GETPIVOTDATA("合計 / " &amp; $C22 &amp; $C23,【ピボット】事業所売上!$A$3,"年月",Q$2,"事業所",$A23),0)</f>
        <v>0</v>
      </c>
      <c r="R23" s="1542">
        <f>IFERROR(GETPIVOTDATA("合計 / " &amp; $C22 &amp; $C23,【ピボット】事業所売上!$A$3,"年月",R$2,"事業所",$A23),0)</f>
        <v>0</v>
      </c>
      <c r="S23" s="1542">
        <f>IFERROR(GETPIVOTDATA("合計 / " &amp; $C22 &amp; $C23,【ピボット】事業所売上!$A$3,"年月",S$2,"事業所",$A23),0)</f>
        <v>0</v>
      </c>
      <c r="T23" s="1542">
        <f>IFERROR(GETPIVOTDATA("合計 / " &amp; $C22 &amp; $C23,【ピボット】事業所売上!$A$3,"年月",T$2,"事業所",$A23),0)</f>
        <v>0</v>
      </c>
      <c r="U23" s="1542">
        <f>IFERROR(GETPIVOTDATA("合計 / " &amp; $C22 &amp; $C23,【ピボット】事業所売上!$A$3,"年月",U$2,"事業所",$A23),0)</f>
        <v>13766</v>
      </c>
      <c r="V23" s="1542">
        <f>IFERROR(GETPIVOTDATA("合計 / " &amp; $C22 &amp; $C23,【ピボット】事業所売上!$A$3,"年月",V$2,"事業所",$A23),0)</f>
        <v>24627</v>
      </c>
      <c r="W23" s="1542">
        <f>IFERROR(GETPIVOTDATA("合計 / " &amp; $C22 &amp; $C23,【ピボット】事業所売上!$A$3,"年月",W$2,"事業所",$A23),0)</f>
        <v>45753</v>
      </c>
      <c r="X23" s="1542">
        <f>IFERROR(GETPIVOTDATA("合計 / " &amp; $C22 &amp; $C23,【ピボット】事業所売上!$A$3,"年月",X$2,"事業所",$A23),0)</f>
        <v>39332</v>
      </c>
      <c r="Y23" s="1542">
        <f>IFERROR(GETPIVOTDATA("合計 / " &amp; $C22 &amp; $C23,【ピボット】事業所売上!$A$3,"年月",Y$2,"事業所",$A23),0)</f>
        <v>65862</v>
      </c>
      <c r="Z23" s="1542">
        <f>IFERROR(GETPIVOTDATA("合計 / " &amp; $C22 &amp; $C23,【ピボット】事業所売上!$A$3,"年月",Z$2,"事業所",$A23),0)</f>
        <v>74624</v>
      </c>
      <c r="AA23" s="1542">
        <f>IFERROR(GETPIVOTDATA("合計 / " &amp; $C22 &amp; $C23,【ピボット】事業所売上!$A$3,"年月",AA$2,"事業所",$A23),0)</f>
        <v>0</v>
      </c>
      <c r="AB23" s="1528">
        <f ca="1">SUM(OFFSET(AA23,0,当期月数):AA23)</f>
        <v>263964</v>
      </c>
    </row>
    <row r="24" spans="1:30" s="1529" customFormat="1" ht="15.4" customHeight="1" x14ac:dyDescent="0.15">
      <c r="A24" s="1529" t="s">
        <v>1209</v>
      </c>
      <c r="B24" s="2109"/>
      <c r="C24" s="1538" t="s">
        <v>8</v>
      </c>
      <c r="D24" s="1543">
        <f>IFERROR(GETPIVOTDATA("合計 / " &amp; $C24,【ピボット】事業所売上!$A$3,"年月",D$2,"事業所",$A24),0)</f>
        <v>0</v>
      </c>
      <c r="E24" s="1543">
        <f>IFERROR(GETPIVOTDATA("合計 / " &amp; $C24,【ピボット】事業所売上!$A$3,"年月",E$2,"事業所",$A24),0)</f>
        <v>0</v>
      </c>
      <c r="F24" s="1543">
        <f>IFERROR(GETPIVOTDATA("合計 / " &amp; $C24,【ピボット】事業所売上!$A$3,"年月",F$2,"事業所",$A24),0)</f>
        <v>0</v>
      </c>
      <c r="G24" s="1543">
        <f>IFERROR(GETPIVOTDATA("合計 / " &amp; $C24,【ピボット】事業所売上!$A$3,"年月",G$2,"事業所",$A24),0)</f>
        <v>0</v>
      </c>
      <c r="H24" s="1543">
        <f>IFERROR(GETPIVOTDATA("合計 / " &amp; $C24,【ピボット】事業所売上!$A$3,"年月",H$2,"事業所",$A24),0)</f>
        <v>0</v>
      </c>
      <c r="I24" s="1543">
        <f>IFERROR(GETPIVOTDATA("合計 / " &amp; $C24,【ピボット】事業所売上!$A$3,"年月",I$2,"事業所",$A24),0)</f>
        <v>0</v>
      </c>
      <c r="J24" s="1543">
        <f>IFERROR(GETPIVOTDATA("合計 / " &amp; $C24,【ピボット】事業所売上!$A$3,"年月",J$2,"事業所",$A24),0)</f>
        <v>0</v>
      </c>
      <c r="K24" s="1543">
        <f>IFERROR(GETPIVOTDATA("合計 / " &amp; $C24,【ピボット】事業所売上!$A$3,"年月",K$2,"事業所",$A24),0)</f>
        <v>0</v>
      </c>
      <c r="L24" s="1543">
        <f>IFERROR(GETPIVOTDATA("合計 / " &amp; $C24,【ピボット】事業所売上!$A$3,"年月",L$2,"事業所",$A24),0)</f>
        <v>0</v>
      </c>
      <c r="M24" s="1543">
        <f>IFERROR(GETPIVOTDATA("合計 / " &amp; $C24,【ピボット】事業所売上!$A$3,"年月",M$2,"事業所",$A24),0)</f>
        <v>0</v>
      </c>
      <c r="N24" s="1543">
        <f>IFERROR(GETPIVOTDATA("合計 / " &amp; $C24,【ピボット】事業所売上!$A$3,"年月",N$2,"事業所",$A24),0)</f>
        <v>0</v>
      </c>
      <c r="O24" s="1543">
        <f>IFERROR(GETPIVOTDATA("合計 / " &amp; $C24,【ピボット】事業所売上!$A$3,"年月",O$2,"事業所",$A24),0)</f>
        <v>0</v>
      </c>
      <c r="P24" s="1543">
        <f>IFERROR(GETPIVOTDATA("合計 / " &amp; $C24,【ピボット】事業所売上!$A$3,"年月",P$2,"事業所",$A24),0)</f>
        <v>0</v>
      </c>
      <c r="Q24" s="1543">
        <f>IFERROR(GETPIVOTDATA("合計 / " &amp; $C24,【ピボット】事業所売上!$A$3,"年月",Q$2,"事業所",$A24),0)</f>
        <v>0</v>
      </c>
      <c r="R24" s="1543">
        <f>IFERROR(GETPIVOTDATA("合計 / " &amp; $C24,【ピボット】事業所売上!$A$3,"年月",R$2,"事業所",$A24),0)</f>
        <v>0</v>
      </c>
      <c r="S24" s="1543">
        <f>IFERROR(GETPIVOTDATA("合計 / " &amp; $C24,【ピボット】事業所売上!$A$3,"年月",S$2,"事業所",$A24),0)</f>
        <v>0</v>
      </c>
      <c r="T24" s="1543">
        <f>IFERROR(GETPIVOTDATA("合計 / " &amp; $C24,【ピボット】事業所売上!$A$3,"年月",T$2,"事業所",$A24),0)</f>
        <v>0</v>
      </c>
      <c r="U24" s="1543">
        <f>IFERROR(GETPIVOTDATA("合計 / " &amp; $C24,【ピボット】事業所売上!$A$3,"年月",U$2,"事業所",$A24),0)</f>
        <v>59457</v>
      </c>
      <c r="V24" s="1543">
        <f>IFERROR(GETPIVOTDATA("合計 / " &amp; $C24,【ピボット】事業所売上!$A$3,"年月",V$2,"事業所",$A24),0)</f>
        <v>107015</v>
      </c>
      <c r="W24" s="1543">
        <f>IFERROR(GETPIVOTDATA("合計 / " &amp; $C24,【ピボット】事業所売上!$A$3,"年月",W$2,"事業所",$A24),0)</f>
        <v>157949</v>
      </c>
      <c r="X24" s="1543">
        <f>IFERROR(GETPIVOTDATA("合計 / " &amp; $C24,【ピボット】事業所売上!$A$3,"年月",X$2,"事業所",$A24),0)</f>
        <v>242326</v>
      </c>
      <c r="Y24" s="1543">
        <f>IFERROR(GETPIVOTDATA("合計 / " &amp; $C24,【ピボット】事業所売上!$A$3,"年月",Y$2,"事業所",$A24),0)</f>
        <v>272801</v>
      </c>
      <c r="Z24" s="1543">
        <f>IFERROR(GETPIVOTDATA("合計 / " &amp; $C24,【ピボット】事業所売上!$A$3,"年月",Z$2,"事業所",$A24),0)</f>
        <v>408589</v>
      </c>
      <c r="AA24" s="1543">
        <f>IFERROR(GETPIVOTDATA("合計 / " &amp; $C24,【ピボット】事業所売上!$A$3,"年月",AA$2,"事業所",$A24),0)</f>
        <v>517678</v>
      </c>
      <c r="AB24" s="1528">
        <f ca="1">SUM(OFFSET(AA24,0,当期月数):AA24)</f>
        <v>1765815</v>
      </c>
    </row>
    <row r="25" spans="1:30" s="1529" customFormat="1" ht="15.4" customHeight="1" thickBot="1" x14ac:dyDescent="0.2">
      <c r="A25" s="1529" t="s">
        <v>1208</v>
      </c>
      <c r="B25" s="2110"/>
      <c r="C25" s="1539" t="s">
        <v>141</v>
      </c>
      <c r="D25" s="1534">
        <f>IFERROR(GETPIVOTDATA("合計 / " &amp; $C24 &amp; $C25,【ピボット】事業所売上!$A$3,"年月",D$2,"事業所",$A25),0)</f>
        <v>0</v>
      </c>
      <c r="E25" s="1534">
        <f>IFERROR(GETPIVOTDATA("合計 / " &amp; $C24 &amp; $C25,【ピボット】事業所売上!$A$3,"年月",E$2,"事業所",$A25),0)</f>
        <v>0</v>
      </c>
      <c r="F25" s="1534">
        <f>IFERROR(GETPIVOTDATA("合計 / " &amp; $C24 &amp; $C25,【ピボット】事業所売上!$A$3,"年月",F$2,"事業所",$A25),0)</f>
        <v>0</v>
      </c>
      <c r="G25" s="1534">
        <f>IFERROR(GETPIVOTDATA("合計 / " &amp; $C24 &amp; $C25,【ピボット】事業所売上!$A$3,"年月",G$2,"事業所",$A25),0)</f>
        <v>0</v>
      </c>
      <c r="H25" s="1534">
        <f>IFERROR(GETPIVOTDATA("合計 / " &amp; $C24 &amp; $C25,【ピボット】事業所売上!$A$3,"年月",H$2,"事業所",$A25),0)</f>
        <v>0</v>
      </c>
      <c r="I25" s="1534">
        <f>IFERROR(GETPIVOTDATA("合計 / " &amp; $C24 &amp; $C25,【ピボット】事業所売上!$A$3,"年月",I$2,"事業所",$A25),0)</f>
        <v>0</v>
      </c>
      <c r="J25" s="1534">
        <f>IFERROR(GETPIVOTDATA("合計 / " &amp; $C24 &amp; $C25,【ピボット】事業所売上!$A$3,"年月",J$2,"事業所",$A25),0)</f>
        <v>0</v>
      </c>
      <c r="K25" s="1534">
        <f>IFERROR(GETPIVOTDATA("合計 / " &amp; $C24 &amp; $C25,【ピボット】事業所売上!$A$3,"年月",K$2,"事業所",$A25),0)</f>
        <v>0</v>
      </c>
      <c r="L25" s="1534">
        <f>IFERROR(GETPIVOTDATA("合計 / " &amp; $C24 &amp; $C25,【ピボット】事業所売上!$A$3,"年月",L$2,"事業所",$A25),0)</f>
        <v>0</v>
      </c>
      <c r="M25" s="1534">
        <f>IFERROR(GETPIVOTDATA("合計 / " &amp; $C24 &amp; $C25,【ピボット】事業所売上!$A$3,"年月",M$2,"事業所",$A25),0)</f>
        <v>0</v>
      </c>
      <c r="N25" s="1534">
        <f>IFERROR(GETPIVOTDATA("合計 / " &amp; $C24 &amp; $C25,【ピボット】事業所売上!$A$3,"年月",N$2,"事業所",$A25),0)</f>
        <v>0</v>
      </c>
      <c r="O25" s="1534">
        <f>IFERROR(GETPIVOTDATA("合計 / " &amp; $C24 &amp; $C25,【ピボット】事業所売上!$A$3,"年月",O$2,"事業所",$A25),0)</f>
        <v>0</v>
      </c>
      <c r="P25" s="1534">
        <f>IFERROR(GETPIVOTDATA("合計 / " &amp; $C24 &amp; $C25,【ピボット】事業所売上!$A$3,"年月",P$2,"事業所",$A25),0)</f>
        <v>0</v>
      </c>
      <c r="Q25" s="1534">
        <f>IFERROR(GETPIVOTDATA("合計 / " &amp; $C24 &amp; $C25,【ピボット】事業所売上!$A$3,"年月",Q$2,"事業所",$A25),0)</f>
        <v>0</v>
      </c>
      <c r="R25" s="1534">
        <f>IFERROR(GETPIVOTDATA("合計 / " &amp; $C24 &amp; $C25,【ピボット】事業所売上!$A$3,"年月",R$2,"事業所",$A25),0)</f>
        <v>0</v>
      </c>
      <c r="S25" s="1534">
        <f>IFERROR(GETPIVOTDATA("合計 / " &amp; $C24 &amp; $C25,【ピボット】事業所売上!$A$3,"年月",S$2,"事業所",$A25),0)</f>
        <v>0</v>
      </c>
      <c r="T25" s="1534">
        <f>IFERROR(GETPIVOTDATA("合計 / " &amp; $C24 &amp; $C25,【ピボット】事業所売上!$A$3,"年月",T$2,"事業所",$A25),0)</f>
        <v>0</v>
      </c>
      <c r="U25" s="1534">
        <f>IFERROR(GETPIVOTDATA("合計 / " &amp; $C24 &amp; $C25,【ピボット】事業所売上!$A$3,"年月",U$2,"事業所",$A25),0)</f>
        <v>13820</v>
      </c>
      <c r="V25" s="1534">
        <f>IFERROR(GETPIVOTDATA("合計 / " &amp; $C24 &amp; $C25,【ピボット】事業所売上!$A$3,"年月",V$2,"事業所",$A25),0)</f>
        <v>24883</v>
      </c>
      <c r="W25" s="1534">
        <f>IFERROR(GETPIVOTDATA("合計 / " &amp; $C24 &amp; $C25,【ピボット】事業所売上!$A$3,"年月",W$2,"事業所",$A25),0)</f>
        <v>36720</v>
      </c>
      <c r="X25" s="1534">
        <f>IFERROR(GETPIVOTDATA("合計 / " &amp; $C24 &amp; $C25,【ピボット】事業所売上!$A$3,"年月",X$2,"事業所",$A25),0)</f>
        <v>56338</v>
      </c>
      <c r="Y25" s="1534">
        <f>IFERROR(GETPIVOTDATA("合計 / " &amp; $C24 &amp; $C25,【ピボット】事業所売上!$A$3,"年月",Y$2,"事業所",$A25),0)</f>
        <v>63423</v>
      </c>
      <c r="Z25" s="1534">
        <f>IFERROR(GETPIVOTDATA("合計 / " &amp; $C24 &amp; $C25,【ピボット】事業所売上!$A$3,"年月",Z$2,"事業所",$A25),0)</f>
        <v>95009</v>
      </c>
      <c r="AA25" s="1534">
        <f>IFERROR(GETPIVOTDATA("合計 / " &amp; $C24 &amp; $C25,【ピボット】事業所売上!$A$3,"年月",AA$2,"事業所",$A25),0)</f>
        <v>0</v>
      </c>
      <c r="AB25" s="1544">
        <f ca="1">SUM(OFFSET(AA25,0,当期月数):AA25)</f>
        <v>290193</v>
      </c>
      <c r="AD25" s="1545"/>
    </row>
    <row r="26" spans="1:30" s="1529" customFormat="1" ht="15.4" customHeight="1" x14ac:dyDescent="0.15">
      <c r="A26" s="1529" t="s">
        <v>677</v>
      </c>
      <c r="B26" s="2108" t="s">
        <v>677</v>
      </c>
      <c r="C26" s="1526" t="s">
        <v>82</v>
      </c>
      <c r="D26" s="1527">
        <f>IFERROR(GETPIVOTDATA("合計 / " &amp; $C26,【ピボット】事業所売上!$A$3,"年月",D$2,"事業所",$A26),0)</f>
        <v>3365344</v>
      </c>
      <c r="E26" s="1527">
        <f>IFERROR(GETPIVOTDATA("合計 / " &amp; $C26,【ピボット】事業所売上!$A$3,"年月",E$2,"事業所",$A26),0)</f>
        <v>3415735</v>
      </c>
      <c r="F26" s="1527">
        <f>IFERROR(GETPIVOTDATA("合計 / " &amp; $C26,【ピボット】事業所売上!$A$3,"年月",F$2,"事業所",$A26),0)</f>
        <v>3423639</v>
      </c>
      <c r="G26" s="1527">
        <f>IFERROR(GETPIVOTDATA("合計 / " &amp; $C26,【ピボット】事業所売上!$A$3,"年月",G$2,"事業所",$A26),0)</f>
        <v>3004304</v>
      </c>
      <c r="H26" s="1527">
        <f>IFERROR(GETPIVOTDATA("合計 / " &amp; $C26,【ピボット】事業所売上!$A$3,"年月",H$2,"事業所",$A26),0)</f>
        <v>2957348</v>
      </c>
      <c r="I26" s="1527">
        <f>IFERROR(GETPIVOTDATA("合計 / " &amp; $C26,【ピボット】事業所売上!$A$3,"年月",I$2,"事業所",$A26),0)</f>
        <v>3104841</v>
      </c>
      <c r="J26" s="1527">
        <f>IFERROR(GETPIVOTDATA("合計 / " &amp; $C26,【ピボット】事業所売上!$A$3,"年月",J$2,"事業所",$A26),0)</f>
        <v>3320183</v>
      </c>
      <c r="K26" s="1527">
        <f>IFERROR(GETPIVOTDATA("合計 / " &amp; $C26,【ピボット】事業所売上!$A$3,"年月",K$2,"事業所",$A26),0)</f>
        <v>3113881</v>
      </c>
      <c r="L26" s="1527">
        <f>IFERROR(GETPIVOTDATA("合計 / " &amp; $C26,【ピボット】事業所売上!$A$3,"年月",L$2,"事業所",$A26),0)</f>
        <v>3134166</v>
      </c>
      <c r="M26" s="1527">
        <f>IFERROR(GETPIVOTDATA("合計 / " &amp; $C26,【ピボット】事業所売上!$A$3,"年月",M$2,"事業所",$A26),0)</f>
        <v>3319139</v>
      </c>
      <c r="N26" s="1527">
        <f>IFERROR(GETPIVOTDATA("合計 / " &amp; $C26,【ピボット】事業所売上!$A$3,"年月",N$2,"事業所",$A26),0)</f>
        <v>3245270</v>
      </c>
      <c r="O26" s="1527">
        <f>IFERROR(GETPIVOTDATA("合計 / " &amp; $C26,【ピボット】事業所売上!$A$3,"年月",O$2,"事業所",$A26),0)</f>
        <v>4470665</v>
      </c>
      <c r="P26" s="1527">
        <f>IFERROR(GETPIVOTDATA("合計 / " &amp; $C26,【ピボット】事業所売上!$A$3,"年月",P$2,"事業所",$A26),0)</f>
        <v>4190888</v>
      </c>
      <c r="Q26" s="1527">
        <f>IFERROR(GETPIVOTDATA("合計 / " &amp; $C26,【ピボット】事業所売上!$A$3,"年月",Q$2,"事業所",$A26),0)</f>
        <v>3920019</v>
      </c>
      <c r="R26" s="1527">
        <f>IFERROR(GETPIVOTDATA("合計 / " &amp; $C26,【ピボット】事業所売上!$A$3,"年月",R$2,"事業所",$A26),0)</f>
        <v>4214501</v>
      </c>
      <c r="S26" s="1527">
        <f>IFERROR(GETPIVOTDATA("合計 / " &amp; $C26,【ピボット】事業所売上!$A$3,"年月",S$2,"事業所",$A26),0)</f>
        <v>4228735</v>
      </c>
      <c r="T26" s="1527">
        <f>IFERROR(GETPIVOTDATA("合計 / " &amp; $C26,【ピボット】事業所売上!$A$3,"年月",T$2,"事業所",$A26),0)</f>
        <v>4184601</v>
      </c>
      <c r="U26" s="1527">
        <f>IFERROR(GETPIVOTDATA("合計 / " &amp; $C26,【ピボット】事業所売上!$A$3,"年月",U$2,"事業所",$A26),0)</f>
        <v>4202400</v>
      </c>
      <c r="V26" s="1527">
        <f>IFERROR(GETPIVOTDATA("合計 / " &amp; $C26,【ピボット】事業所売上!$A$3,"年月",V$2,"事業所",$A26),0)</f>
        <v>4590331</v>
      </c>
      <c r="W26" s="1527">
        <f>IFERROR(GETPIVOTDATA("合計 / " &amp; $C26,【ピボット】事業所売上!$A$3,"年月",W$2,"事業所",$A26),0)</f>
        <v>4100094</v>
      </c>
      <c r="X26" s="1527">
        <f>IFERROR(GETPIVOTDATA("合計 / " &amp; $C26,【ピボット】事業所売上!$A$3,"年月",X$2,"事業所",$A26),0)</f>
        <v>3846817</v>
      </c>
      <c r="Y26" s="1527">
        <f>IFERROR(GETPIVOTDATA("合計 / " &amp; $C26,【ピボット】事業所売上!$A$3,"年月",Y$2,"事業所",$A26),0)</f>
        <v>4145693</v>
      </c>
      <c r="Z26" s="1527">
        <f>IFERROR(GETPIVOTDATA("合計 / " &amp; $C26,【ピボット】事業所売上!$A$3,"年月",Z$2,"事業所",$A26),0)</f>
        <v>4589983</v>
      </c>
      <c r="AA26" s="1527">
        <f>IFERROR(GETPIVOTDATA("合計 / " &amp; $C26,【ピボット】事業所売上!$A$3,"年月",AA$2,"事業所",$A26),0)</f>
        <v>4128975</v>
      </c>
      <c r="AB26" s="1536">
        <f ca="1">SUM(OFFSET(AA26,0,当期月数):AA26)</f>
        <v>33788894</v>
      </c>
    </row>
    <row r="27" spans="1:30" s="1529" customFormat="1" ht="15.4" customHeight="1" thickBot="1" x14ac:dyDescent="0.2">
      <c r="A27" s="1529" t="s">
        <v>677</v>
      </c>
      <c r="B27" s="2109"/>
      <c r="C27" s="1530" t="s">
        <v>143</v>
      </c>
      <c r="D27" s="1531">
        <f>IFERROR(GETPIVOTDATA("合計 / " &amp; $C26 &amp; $C27,【ピボット】事業所売上!$A$3,"年月",D$2,"事業所",$A27),0)</f>
        <v>187859</v>
      </c>
      <c r="E27" s="1531">
        <f>IFERROR(GETPIVOTDATA("合計 / " &amp; $C26 &amp; $C27,【ピボット】事業所売上!$A$3,"年月",E$2,"事業所",$A27),0)</f>
        <v>187729</v>
      </c>
      <c r="F27" s="1531">
        <f>IFERROR(GETPIVOTDATA("合計 / " &amp; $C26 &amp; $C27,【ピボット】事業所売上!$A$3,"年月",F$2,"事業所",$A27),0)</f>
        <v>190666</v>
      </c>
      <c r="G27" s="1531">
        <f>IFERROR(GETPIVOTDATA("合計 / " &amp; $C26 &amp; $C27,【ピボット】事業所売上!$A$3,"年月",G$2,"事業所",$A27),0)</f>
        <v>167502</v>
      </c>
      <c r="H27" s="1531">
        <f>IFERROR(GETPIVOTDATA("合計 / " &amp; $C26 &amp; $C27,【ピボット】事業所売上!$A$3,"年月",H$2,"事業所",$A27),0)</f>
        <v>165400</v>
      </c>
      <c r="I27" s="1531">
        <f>IFERROR(GETPIVOTDATA("合計 / " &amp; $C26 &amp; $C27,【ピボット】事業所売上!$A$3,"年月",I$2,"事業所",$A27),0)</f>
        <v>173798</v>
      </c>
      <c r="J27" s="1531">
        <f>IFERROR(GETPIVOTDATA("合計 / " &amp; $C26 &amp; $C27,【ピボット】事業所売上!$A$3,"年月",J$2,"事業所",$A27),0)</f>
        <v>184210</v>
      </c>
      <c r="K27" s="1531">
        <f>IFERROR(GETPIVOTDATA("合計 / " &amp; $C26 &amp; $C27,【ピボット】事業所売上!$A$3,"年月",K$2,"事業所",$A27),0)</f>
        <v>173739</v>
      </c>
      <c r="L27" s="1531">
        <f>IFERROR(GETPIVOTDATA("合計 / " &amp; $C26 &amp; $C27,【ピボット】事業所売上!$A$3,"年月",L$2,"事業所",$A27),0)</f>
        <v>174710</v>
      </c>
      <c r="M27" s="1531">
        <f>IFERROR(GETPIVOTDATA("合計 / " &amp; $C26 &amp; $C27,【ピボット】事業所売上!$A$3,"年月",M$2,"事業所",$A27),0)</f>
        <v>184869</v>
      </c>
      <c r="N27" s="1531">
        <f>IFERROR(GETPIVOTDATA("合計 / " &amp; $C26 &amp; $C27,【ピボット】事業所売上!$A$3,"年月",N$2,"事業所",$A27),0)</f>
        <v>186659</v>
      </c>
      <c r="O27" s="1531">
        <f>IFERROR(GETPIVOTDATA("合計 / " &amp; $C26 &amp; $C27,【ピボット】事業所売上!$A$3,"年月",O$2,"事業所",$A27),0)</f>
        <v>247531</v>
      </c>
      <c r="P27" s="1531">
        <f>IFERROR(GETPIVOTDATA("合計 / " &amp; $C26 &amp; $C27,【ピボット】事業所売上!$A$3,"年月",P$2,"事業所",$A27),0)</f>
        <v>231845</v>
      </c>
      <c r="Q27" s="1531">
        <f>IFERROR(GETPIVOTDATA("合計 / " &amp; $C26 &amp; $C27,【ピボット】事業所売上!$A$3,"年月",Q$2,"事業所",$A27),0)</f>
        <v>218824</v>
      </c>
      <c r="R27" s="1531">
        <f>IFERROR(GETPIVOTDATA("合計 / " &amp; $C26 &amp; $C27,【ピボット】事業所売上!$A$3,"年月",R$2,"事業所",$A27),0)</f>
        <v>234931</v>
      </c>
      <c r="S27" s="1531">
        <f>IFERROR(GETPIVOTDATA("合計 / " &amp; $C26 &amp; $C27,【ピボット】事業所売上!$A$3,"年月",S$2,"事業所",$A27),0)</f>
        <v>235524</v>
      </c>
      <c r="T27" s="1531">
        <f>IFERROR(GETPIVOTDATA("合計 / " &amp; $C26 &amp; $C27,【ピボット】事業所売上!$A$3,"年月",T$2,"事業所",$A27),0)</f>
        <v>233085</v>
      </c>
      <c r="U27" s="1531">
        <f>IFERROR(GETPIVOTDATA("合計 / " &amp; $C26 &amp; $C27,【ピボット】事業所売上!$A$3,"年月",U$2,"事業所",$A27),0)</f>
        <v>234125</v>
      </c>
      <c r="V27" s="1531">
        <f>IFERROR(GETPIVOTDATA("合計 / " &amp; $C26 &amp; $C27,【ピボット】事業所売上!$A$3,"年月",V$2,"事業所",$A27),0)</f>
        <v>255681</v>
      </c>
      <c r="W27" s="1531">
        <f>IFERROR(GETPIVOTDATA("合計 / " &amp; $C26 &amp; $C27,【ピボット】事業所売上!$A$3,"年月",W$2,"事業所",$A27),0)</f>
        <v>228390</v>
      </c>
      <c r="X27" s="1531">
        <f>IFERROR(GETPIVOTDATA("合計 / " &amp; $C26 &amp; $C27,【ピボット】事業所売上!$A$3,"年月",X$2,"事業所",$A27),0)</f>
        <v>214247</v>
      </c>
      <c r="Y27" s="1531">
        <f>IFERROR(GETPIVOTDATA("合計 / " &amp; $C26 &amp; $C27,【ピボット】事業所売上!$A$3,"年月",Y$2,"事業所",$A27),0)</f>
        <v>230959</v>
      </c>
      <c r="Z27" s="1531">
        <f>IFERROR(GETPIVOTDATA("合計 / " &amp; $C26 &amp; $C27,【ピボット】事業所売上!$A$3,"年月",Z$2,"事業所",$A27),0)</f>
        <v>255703</v>
      </c>
      <c r="AA27" s="1531">
        <f>IFERROR(GETPIVOTDATA("合計 / " &amp; $C26 &amp; $C27,【ピボット】事業所売上!$A$3,"年月",AA$2,"事業所",$A27),0)</f>
        <v>0</v>
      </c>
      <c r="AB27" s="1528">
        <f ca="1">SUM(OFFSET(AA27,0,当期月数):AA27)</f>
        <v>1652190</v>
      </c>
    </row>
    <row r="28" spans="1:30" s="1529" customFormat="1" ht="15.4" customHeight="1" x14ac:dyDescent="0.15">
      <c r="A28" s="1529" t="s">
        <v>119</v>
      </c>
      <c r="B28" s="2104" t="s">
        <v>122</v>
      </c>
      <c r="C28" s="1546" t="s">
        <v>543</v>
      </c>
      <c r="D28" s="1547">
        <f>IFERROR(GETPIVOTDATA("合計 / " &amp; $C28,【ピボット】事業所売上!$A$3,"年月",D$2,"事業所",$A28),0)</f>
        <v>0</v>
      </c>
      <c r="E28" s="1547">
        <f>IFERROR(GETPIVOTDATA("合計 / " &amp; $C28,【ピボット】事業所売上!$A$3,"年月",E$2,"事業所",$A28),0)</f>
        <v>2638373</v>
      </c>
      <c r="F28" s="1547">
        <f>IFERROR(GETPIVOTDATA("合計 / " &amp; $C28,【ピボット】事業所売上!$A$3,"年月",F$2,"事業所",$A28),0)</f>
        <v>1225066</v>
      </c>
      <c r="G28" s="1547">
        <f>IFERROR(GETPIVOTDATA("合計 / " &amp; $C28,【ピボット】事業所売上!$A$3,"年月",G$2,"事業所",$A28),0)</f>
        <v>998363</v>
      </c>
      <c r="H28" s="1547">
        <f>IFERROR(GETPIVOTDATA("合計 / " &amp; $C28,【ピボット】事業所売上!$A$3,"年月",H$2,"事業所",$A28),0)</f>
        <v>1198162</v>
      </c>
      <c r="I28" s="1547">
        <f>IFERROR(GETPIVOTDATA("合計 / " &amp; $C28,【ピボット】事業所売上!$A$3,"年月",I$2,"事業所",$A28),0)</f>
        <v>1013496</v>
      </c>
      <c r="J28" s="1547">
        <f>IFERROR(GETPIVOTDATA("合計 / " &amp; $C28,【ピボット】事業所売上!$A$3,"年月",J$2,"事業所",$A28),0)</f>
        <v>1187409</v>
      </c>
      <c r="K28" s="1547">
        <f>IFERROR(GETPIVOTDATA("合計 / " &amp; $C28,【ピボット】事業所売上!$A$3,"年月",K$2,"事業所",$A28),0)</f>
        <v>998248</v>
      </c>
      <c r="L28" s="1547">
        <f>IFERROR(GETPIVOTDATA("合計 / " &amp; $C28,【ピボット】事業所売上!$A$3,"年月",L$2,"事業所",$A28),0)</f>
        <v>778040</v>
      </c>
      <c r="M28" s="1547">
        <f>IFERROR(GETPIVOTDATA("合計 / " &amp; $C28,【ピボット】事業所売上!$A$3,"年月",M$2,"事業所",$A28),0)</f>
        <v>710413</v>
      </c>
      <c r="N28" s="1547">
        <f>IFERROR(GETPIVOTDATA("合計 / " &amp; $C28,【ピボット】事業所売上!$A$3,"年月",N$2,"事業所",$A28),0)</f>
        <v>789390</v>
      </c>
      <c r="O28" s="1547">
        <f>IFERROR(GETPIVOTDATA("合計 / " &amp; $C28,【ピボット】事業所売上!$A$3,"年月",O$2,"事業所",$A28),0)</f>
        <v>777456</v>
      </c>
      <c r="P28" s="1547">
        <f>IFERROR(GETPIVOTDATA("合計 / " &amp; $C28,【ピボット】事業所売上!$A$3,"年月",P$2,"事業所",$A28),0)</f>
        <v>802372</v>
      </c>
      <c r="Q28" s="1547">
        <f>IFERROR(GETPIVOTDATA("合計 / " &amp; $C28,【ピボット】事業所売上!$A$3,"年月",Q$2,"事業所",$A28),0)</f>
        <v>517955</v>
      </c>
      <c r="R28" s="1547">
        <f>IFERROR(GETPIVOTDATA("合計 / " &amp; $C28,【ピボット】事業所売上!$A$3,"年月",R$2,"事業所",$A28),0)</f>
        <v>1128974</v>
      </c>
      <c r="S28" s="1547">
        <f>IFERROR(GETPIVOTDATA("合計 / " &amp; $C28,【ピボット】事業所売上!$A$3,"年月",S$2,"事業所",$A28),0)</f>
        <v>839546</v>
      </c>
      <c r="T28" s="1547">
        <f>IFERROR(GETPIVOTDATA("合計 / " &amp; $C28,【ピボット】事業所売上!$A$3,"年月",T$2,"事業所",$A28),0)</f>
        <v>813636</v>
      </c>
      <c r="U28" s="1547">
        <f>IFERROR(GETPIVOTDATA("合計 / " &amp; $C28,【ピボット】事業所売上!$A$3,"年月",U$2,"事業所",$A28),0)</f>
        <v>1101110</v>
      </c>
      <c r="V28" s="1547">
        <f>IFERROR(GETPIVOTDATA("合計 / " &amp; $C28,【ピボット】事業所売上!$A$3,"年月",V$2,"事業所",$A28),0)</f>
        <v>1073137</v>
      </c>
      <c r="W28" s="1547">
        <f>IFERROR(GETPIVOTDATA("合計 / " &amp; $C28,【ピボット】事業所売上!$A$3,"年月",W$2,"事業所",$A28),0)</f>
        <v>1107363</v>
      </c>
      <c r="X28" s="1547">
        <f>IFERROR(GETPIVOTDATA("合計 / " &amp; $C28,【ピボット】事業所売上!$A$3,"年月",X$2,"事業所",$A28),0)</f>
        <v>1107363</v>
      </c>
      <c r="Y28" s="1547">
        <f>IFERROR(GETPIVOTDATA("合計 / " &amp; $C28,【ピボット】事業所売上!$A$3,"年月",Y$2,"事業所",$A28),0)</f>
        <v>998423</v>
      </c>
      <c r="Z28" s="1547">
        <f>IFERROR(GETPIVOTDATA("合計 / " &amp; $C28,【ピボット】事業所売上!$A$3,"年月",Z$2,"事業所",$A28),0)</f>
        <v>982644</v>
      </c>
      <c r="AA28" s="1547">
        <f>IFERROR(GETPIVOTDATA("合計 / " &amp; $C28,【ピボット】事業所売上!$A$3,"年月",AA$2,"事業所",$A28),0)</f>
        <v>1025725</v>
      </c>
      <c r="AB28" s="1540">
        <f ca="1">SUM(OFFSET(AA28,0,当期月数):AA28)</f>
        <v>8209401</v>
      </c>
    </row>
    <row r="29" spans="1:30" s="1529" customFormat="1" ht="15.4" customHeight="1" thickBot="1" x14ac:dyDescent="0.2">
      <c r="A29" s="1529" t="s">
        <v>119</v>
      </c>
      <c r="B29" s="2105"/>
      <c r="C29" s="1539" t="s">
        <v>141</v>
      </c>
      <c r="D29" s="1548">
        <f>IFERROR(GETPIVOTDATA("合計 / "&amp;$C28&amp;$C29,【ピボット】事業所売上!$A$3,"年月",D$2,"事業所",$A29)*ROUND(D28/SUM(D$28,D$30,D$32,D$34),2),0)</f>
        <v>0</v>
      </c>
      <c r="E29" s="1548">
        <f>IFERROR(GETPIVOTDATA("合計 / "&amp;$C28&amp;$C29,【ピボット】事業所売上!$A$3,"年月",E$2,"事業所",$A29)*ROUND(E28/SUM(E$28,E$30,E$32,E$34),2),0)</f>
        <v>172603.6</v>
      </c>
      <c r="F29" s="1548">
        <f>IFERROR(GETPIVOTDATA("合計 / "&amp;$C28&amp;$C29,【ピボット】事業所売上!$A$3,"年月",F$2,"事業所",$A29)*ROUND(F28/SUM(F$28,F$30,F$32,F$34),2),0)</f>
        <v>81926.080000000002</v>
      </c>
      <c r="G29" s="1548">
        <f>IFERROR(GETPIVOTDATA("合計 / "&amp;$C28&amp;$C29,【ピボット】事業所売上!$A$3,"年月",G$2,"事業所",$A29)*ROUND(G28/SUM(G$28,G$30,G$32,G$34),2),0)</f>
        <v>65515.840000000004</v>
      </c>
      <c r="H29" s="1548">
        <f>IFERROR(GETPIVOTDATA("合計 / "&amp;$C28&amp;$C29,【ピボット】事業所売上!$A$3,"年月",H$2,"事業所",$A29)*ROUND(H28/SUM(H$28,H$30,H$32,H$34),2),0)</f>
        <v>77211.62999999999</v>
      </c>
      <c r="I29" s="1548">
        <f>IFERROR(GETPIVOTDATA("合計 / "&amp;$C28&amp;$C29,【ピボット】事業所売上!$A$3,"年月",I$2,"事業所",$A29)*ROUND(I28/SUM(I$28,I$30,I$32,I$34),2),0)</f>
        <v>66596.600000000006</v>
      </c>
      <c r="J29" s="1548">
        <f>IFERROR(GETPIVOTDATA("合計 / "&amp;$C28&amp;$C29,【ピボット】事業所売上!$A$3,"年月",J$2,"事業所",$A29)*ROUND(J28/SUM(J$28,J$30,J$32,J$34),2),0)</f>
        <v>76363.040000000008</v>
      </c>
      <c r="K29" s="1548">
        <f>IFERROR(GETPIVOTDATA("合計 / "&amp;$C28&amp;$C29,【ピボット】事業所売上!$A$3,"年月",K$2,"事業所",$A29)*ROUND(K28/SUM(K$28,K$30,K$32,K$34),2),0)</f>
        <v>67356.650000000009</v>
      </c>
      <c r="L29" s="1548">
        <f>IFERROR(GETPIVOTDATA("合計 / "&amp;$C28&amp;$C29,【ピボット】事業所売上!$A$3,"年月",L$2,"事業所",$A29)*ROUND(L28/SUM(L$28,L$30,L$32,L$34),2),0)</f>
        <v>51614.26</v>
      </c>
      <c r="M29" s="1548">
        <f>IFERROR(GETPIVOTDATA("合計 / "&amp;$C28&amp;$C29,【ピボット】事業所売上!$A$3,"年月",M$2,"事業所",$A29)*ROUND(M28/SUM(M$28,M$30,M$32,M$34),2),0)</f>
        <v>47158.38</v>
      </c>
      <c r="N29" s="1548">
        <f>IFERROR(GETPIVOTDATA("合計 / "&amp;$C28&amp;$C29,【ピボット】事業所売上!$A$3,"年月",N$2,"事業所",$A29)*ROUND(N28/SUM(N$28,N$30,N$32,N$34),2),0)</f>
        <v>50963.13</v>
      </c>
      <c r="O29" s="1548">
        <f>IFERROR(GETPIVOTDATA("合計 / "&amp;$C28&amp;$C29,【ピボット】事業所売上!$A$3,"年月",O$2,"事業所",$A29)*ROUND(O28/SUM(O$28,O$30,O$32,O$34),2),0)</f>
        <v>52014.78</v>
      </c>
      <c r="P29" s="1548">
        <f>IFERROR(GETPIVOTDATA("合計 / "&amp;$C28&amp;$C29,【ピボット】事業所売上!$A$3,"年月",P$2,"事業所",$A29)*ROUND(P28/SUM(P$28,P$30,P$32,P$34),2),0)</f>
        <v>53863.67</v>
      </c>
      <c r="Q29" s="1548">
        <f>IFERROR(GETPIVOTDATA("合計 / "&amp;$C28&amp;$C29,【ピボット】事業所売上!$A$3,"年月",Q$2,"事業所",$A29)*ROUND(Q28/SUM(Q$28,Q$30,Q$32,Q$34),2),0)</f>
        <v>33887.560000000005</v>
      </c>
      <c r="R29" s="1548">
        <f>IFERROR(GETPIVOTDATA("合計 / "&amp;$C28&amp;$C29,【ピボット】事業所売上!$A$3,"年月",R$2,"事業所",$A29)*ROUND(R28/SUM(R$28,R$30,R$32,R$34),2),0)</f>
        <v>73288.350000000006</v>
      </c>
      <c r="S29" s="1548">
        <f>IFERROR(GETPIVOTDATA("合計 / "&amp;$C28&amp;$C29,【ピボット】事業所売上!$A$3,"年月",S$2,"事業所",$A29)*ROUND(S28/SUM(S$28,S$30,S$32,S$34),2),0)</f>
        <v>56178.54</v>
      </c>
      <c r="T29" s="1548">
        <f>IFERROR(GETPIVOTDATA("合計 / "&amp;$C28&amp;$C29,【ピボット】事業所売上!$A$3,"年月",T$2,"事業所",$A29)*ROUND(T28/SUM(T$28,T$30,T$32,T$34),2),0)</f>
        <v>54428.4</v>
      </c>
      <c r="U29" s="1548">
        <f>IFERROR(GETPIVOTDATA("合計 / "&amp;$C28&amp;$C29,【ピボット】事業所売上!$A$3,"年月",U$2,"事業所",$A29)*ROUND(U28/SUM(U$28,U$30,U$32,U$34),2),0)</f>
        <v>73620.959999999992</v>
      </c>
      <c r="V29" s="1548">
        <f>IFERROR(GETPIVOTDATA("合計 / "&amp;$C28&amp;$C29,【ピボット】事業所売上!$A$3,"年月",V$2,"事業所",$A29)*ROUND(V28/SUM(V$28,V$30,V$32,V$34),2),0)</f>
        <v>71921.039999999994</v>
      </c>
      <c r="W29" s="1548">
        <f>IFERROR(GETPIVOTDATA("合計 / "&amp;$C28&amp;$C29,【ピボット】事業所売上!$A$3,"年月",W$2,"事業所",$A29)*ROUND(W28/SUM(W$28,W$30,W$32,W$34),2),0)</f>
        <v>74079.839999999997</v>
      </c>
      <c r="X29" s="1548">
        <f>IFERROR(GETPIVOTDATA("合計 / "&amp;$C28&amp;$C29,【ピボット】事業所売上!$A$3,"年月",X$2,"事業所",$A29)*ROUND(X28/SUM(X$28,X$30,X$32,X$34),2),0)</f>
        <v>74209.440000000002</v>
      </c>
      <c r="Y29" s="1548">
        <f>IFERROR(GETPIVOTDATA("合計 / "&amp;$C28&amp;$C29,【ピボット】事業所売上!$A$3,"年月",Y$2,"事業所",$A29)*ROUND(Y28/SUM(Y$28,Y$30,Y$32,Y$34),2),0)</f>
        <v>65633.400000000009</v>
      </c>
      <c r="Z29" s="1548">
        <f>IFERROR(GETPIVOTDATA("合計 / "&amp;$C28&amp;$C29,【ピボット】事業所売上!$A$3,"年月",Z$2,"事業所",$A29)*ROUND(Z28/SUM(Z$28,Z$30,Z$32,Z$34),2),0)</f>
        <v>65001.279999999999</v>
      </c>
      <c r="AA29" s="1548">
        <f>IFERROR(GETPIVOTDATA("合計 / "&amp;$C28&amp;$C29,【ピボット】事業所売上!$A$3,"年月",AA$2,"事業所",$A29)*ROUND(AA28/SUM(AA$28,AA$30,AA$32,AA$34),2),0)</f>
        <v>0</v>
      </c>
      <c r="AB29" s="1544">
        <f ca="1">SUM(OFFSET(AA29,0,当期月数):AA29)</f>
        <v>478894.36</v>
      </c>
      <c r="AD29" s="1545"/>
    </row>
    <row r="30" spans="1:30" s="1529" customFormat="1" ht="15.4" customHeight="1" x14ac:dyDescent="0.15">
      <c r="A30" s="1529" t="s">
        <v>679</v>
      </c>
      <c r="B30" s="2104" t="s">
        <v>185</v>
      </c>
      <c r="C30" s="1546" t="s">
        <v>543</v>
      </c>
      <c r="D30" s="1547">
        <f>IFERROR(GETPIVOTDATA("合計 / " &amp; $C30,【ピボット】事業所売上!$A$3,"年月",D$2,"事業所",$A30),0)</f>
        <v>0</v>
      </c>
      <c r="E30" s="1547">
        <f>IFERROR(GETPIVOTDATA("合計 / " &amp; $C30,【ピボット】事業所売上!$A$3,"年月",E$2,"事業所",$A30),0)</f>
        <v>2247072</v>
      </c>
      <c r="F30" s="1547">
        <f>IFERROR(GETPIVOTDATA("合計 / " &amp; $C30,【ピボット】事業所売上!$A$3,"年月",F$2,"事業所",$A30),0)</f>
        <v>983492</v>
      </c>
      <c r="G30" s="1547">
        <f>IFERROR(GETPIVOTDATA("合計 / " &amp; $C30,【ピボット】事業所売上!$A$3,"年月",G$2,"事業所",$A30),0)</f>
        <v>983492</v>
      </c>
      <c r="H30" s="1547">
        <f>IFERROR(GETPIVOTDATA("合計 / " &amp; $C30,【ピボット】事業所売上!$A$3,"年月",H$2,"事業所",$A30),0)</f>
        <v>937378</v>
      </c>
      <c r="I30" s="1547">
        <f>IFERROR(GETPIVOTDATA("合計 / " &amp; $C30,【ピボット】事業所売上!$A$3,"年月",I$2,"事業所",$A30),0)</f>
        <v>983492</v>
      </c>
      <c r="J30" s="1547">
        <f>IFERROR(GETPIVOTDATA("合計 / " &amp; $C30,【ピボット】事業所売上!$A$3,"年月",J$2,"事業所",$A30),0)</f>
        <v>922792</v>
      </c>
      <c r="K30" s="1547">
        <f>IFERROR(GETPIVOTDATA("合計 / " &amp; $C30,【ピボット】事業所売上!$A$3,"年月",K$2,"事業所",$A30),0)</f>
        <v>983492</v>
      </c>
      <c r="L30" s="1547">
        <f>IFERROR(GETPIVOTDATA("合計 / " &amp; $C30,【ピボット】事業所売上!$A$3,"年月",L$2,"事業所",$A30),0)</f>
        <v>938092</v>
      </c>
      <c r="M30" s="1547">
        <f>IFERROR(GETPIVOTDATA("合計 / " &amp; $C30,【ピボット】事業所売上!$A$3,"年月",M$2,"事業所",$A30),0)</f>
        <v>861922</v>
      </c>
      <c r="N30" s="1547">
        <f>IFERROR(GETPIVOTDATA("合計 / " &amp; $C30,【ピボット】事業所売上!$A$3,"年月",N$2,"事業所",$A30),0)</f>
        <v>847336</v>
      </c>
      <c r="O30" s="1547">
        <f>IFERROR(GETPIVOTDATA("合計 / " &amp; $C30,【ピボット】事業所売上!$A$3,"年月",O$2,"事業所",$A30),0)</f>
        <v>960460</v>
      </c>
      <c r="P30" s="1547">
        <f>IFERROR(GETPIVOTDATA("合計 / " &amp; $C30,【ピボット】事業所売上!$A$3,"年月",P$2,"事業所",$A30),0)</f>
        <v>1007268</v>
      </c>
      <c r="Q30" s="1547">
        <f>IFERROR(GETPIVOTDATA("合計 / " &amp; $C30,【ピボット】事業所売上!$A$3,"年月",Q$2,"事業所",$A30),0)</f>
        <v>976056</v>
      </c>
      <c r="R30" s="1547">
        <f>IFERROR(GETPIVOTDATA("合計 / " &amp; $C30,【ピボット】事業所売上!$A$3,"年月",R$2,"事業所",$A30),0)</f>
        <v>1007268</v>
      </c>
      <c r="S30" s="1547">
        <f>IFERROR(GETPIVOTDATA("合計 / " &amp; $C30,【ピボット】事業所売上!$A$3,"年月",S$2,"事業所",$A30),0)</f>
        <v>827999</v>
      </c>
      <c r="T30" s="1547">
        <f>IFERROR(GETPIVOTDATA("合計 / " &amp; $C30,【ピボット】事業所売上!$A$3,"年月",T$2,"事業所",$A30),0)</f>
        <v>1003585</v>
      </c>
      <c r="U30" s="1547">
        <f>IFERROR(GETPIVOTDATA("合計 / " &amp; $C30,【ピボット】事業所売上!$A$3,"年月",U$2,"事業所",$A30),0)</f>
        <v>1019657</v>
      </c>
      <c r="V30" s="1547">
        <f>IFERROR(GETPIVOTDATA("合計 / " &amp; $C30,【ピボット】事業所売上!$A$3,"年月",V$2,"事業所",$A30),0)</f>
        <v>1012236</v>
      </c>
      <c r="W30" s="1547">
        <f>IFERROR(GETPIVOTDATA("合計 / " &amp; $C30,【ピボット】事業所売上!$A$3,"年月",W$2,"事業所",$A30),0)</f>
        <v>1044442</v>
      </c>
      <c r="X30" s="1547">
        <f>IFERROR(GETPIVOTDATA("合計 / " &amp; $C30,【ピボット】事業所売上!$A$3,"年月",X$2,"事業所",$A30),0)</f>
        <v>1044442</v>
      </c>
      <c r="Y30" s="1547">
        <f>IFERROR(GETPIVOTDATA("合計 / " &amp; $C30,【ピボット】事業所売上!$A$3,"年月",Y$2,"事業所",$A30),0)</f>
        <v>937836</v>
      </c>
      <c r="Z30" s="1547">
        <f>IFERROR(GETPIVOTDATA("合計 / " &amp; $C30,【ピボット】事業所売上!$A$3,"年月",Z$2,"事業所",$A30),0)</f>
        <v>915793</v>
      </c>
      <c r="AA30" s="1547">
        <f>IFERROR(GETPIVOTDATA("合計 / " &amp; $C30,【ピボット】事業所売上!$A$3,"年月",AA$2,"事業所",$A30),0)</f>
        <v>746482</v>
      </c>
      <c r="AB30" s="1536">
        <f ca="1">SUM(OFFSET(AA30,0,当期月数):AA30)</f>
        <v>7724473</v>
      </c>
    </row>
    <row r="31" spans="1:30" s="1529" customFormat="1" ht="15.4" customHeight="1" thickBot="1" x14ac:dyDescent="0.2">
      <c r="A31" s="1529" t="s">
        <v>680</v>
      </c>
      <c r="B31" s="2105"/>
      <c r="C31" s="1539" t="s">
        <v>141</v>
      </c>
      <c r="D31" s="1548">
        <f>IFERROR(GETPIVOTDATA("合計 / "&amp;$C28&amp;$C29,【ピボット】事業所売上!$A$3,"年月",D$2,"事業所",$A29)*ROUND(D30/SUM(D$28,D$30,D$32,D$34),2),0)</f>
        <v>0</v>
      </c>
      <c r="E31" s="1548">
        <f>IFERROR(GETPIVOTDATA("合計 / "&amp;$C28&amp;$C29,【ピボット】事業所売上!$A$3,"年月",E$2,"事業所",$A29)*ROUND(E30/SUM(E$28,E$30,E$32,E$34),2),0)</f>
        <v>146713.06</v>
      </c>
      <c r="F31" s="1548">
        <f>IFERROR(GETPIVOTDATA("合計 / "&amp;$C28&amp;$C29,【ピボット】事業所売上!$A$3,"年月",F$2,"事業所",$A29)*ROUND(F30/SUM(F$28,F$30,F$32,F$34),2),0)</f>
        <v>64004.75</v>
      </c>
      <c r="G31" s="1548">
        <f>IFERROR(GETPIVOTDATA("合計 / "&amp;$C28&amp;$C29,【ピボット】事業所売上!$A$3,"年月",G$2,"事業所",$A29)*ROUND(G30/SUM(G$28,G$30,G$32,G$34),2),0)</f>
        <v>65515.840000000004</v>
      </c>
      <c r="H31" s="1548">
        <f>IFERROR(GETPIVOTDATA("合計 / "&amp;$C28&amp;$C29,【ピボット】事業所売上!$A$3,"年月",H$2,"事業所",$A29)*ROUND(H30/SUM(H$28,H$30,H$32,H$34),2),0)</f>
        <v>61236.810000000005</v>
      </c>
      <c r="I31" s="1548">
        <f>IFERROR(GETPIVOTDATA("合計 / "&amp;$C28&amp;$C29,【ピボット】事業所売上!$A$3,"年月",I$2,"事業所",$A29)*ROUND(I30/SUM(I$28,I$30,I$32,I$34),2),0)</f>
        <v>66596.600000000006</v>
      </c>
      <c r="J31" s="1548">
        <f>IFERROR(GETPIVOTDATA("合計 / "&amp;$C28&amp;$C29,【ピボット】事業所売上!$A$3,"年月",J$2,"事業所",$A29)*ROUND(J30/SUM(J$28,J$30,J$32,J$34),2),0)</f>
        <v>61677.84</v>
      </c>
      <c r="K31" s="1548">
        <f>IFERROR(GETPIVOTDATA("合計 / "&amp;$C28&amp;$C29,【ピボット】事業所売上!$A$3,"年月",K$2,"事業所",$A29)*ROUND(K30/SUM(K$28,K$30,K$32,K$34),2),0)</f>
        <v>64428.1</v>
      </c>
      <c r="L31" s="1548">
        <f>IFERROR(GETPIVOTDATA("合計 / "&amp;$C28&amp;$C29,【ピボット】事業所売上!$A$3,"年月",L$2,"事業所",$A29)*ROUND(L30/SUM(L$28,L$30,L$32,L$34),2),0)</f>
        <v>62480.420000000006</v>
      </c>
      <c r="M31" s="1548">
        <f>IFERROR(GETPIVOTDATA("合計 / "&amp;$C28&amp;$C29,【ピボット】事業所売上!$A$3,"年月",M$2,"事業所",$A29)*ROUND(M30/SUM(M$28,M$30,M$32,M$34),2),0)</f>
        <v>57086.46</v>
      </c>
      <c r="N31" s="1548">
        <f>IFERROR(GETPIVOTDATA("合計 / "&amp;$C28&amp;$C29,【ピボット】事業所売上!$A$3,"年月",N$2,"事業所",$A29)*ROUND(N30/SUM(N$28,N$30,N$32,N$34),2),0)</f>
        <v>56327.67</v>
      </c>
      <c r="O31" s="1548">
        <f>IFERROR(GETPIVOTDATA("合計 / "&amp;$C28&amp;$C29,【ピボット】事業所売上!$A$3,"年月",O$2,"事業所",$A29)*ROUND(O30/SUM(O$28,O$30,O$32,O$34),2),0)</f>
        <v>62965.26</v>
      </c>
      <c r="P31" s="1548">
        <f>IFERROR(GETPIVOTDATA("合計 / "&amp;$C28&amp;$C29,【ピボット】事業所売上!$A$3,"年月",P$2,"事業所",$A29)*ROUND(P30/SUM(P$28,P$30,P$32,P$34),2),0)</f>
        <v>68038.319999999992</v>
      </c>
      <c r="Q31" s="1548">
        <f>IFERROR(GETPIVOTDATA("合計 / "&amp;$C28&amp;$C29,【ピボット】事業所売上!$A$3,"年月",Q$2,"事業所",$A29)*ROUND(Q30/SUM(Q$28,Q$30,Q$32,Q$34),2),0)</f>
        <v>65354.58</v>
      </c>
      <c r="R31" s="1548">
        <f>IFERROR(GETPIVOTDATA("合計 / "&amp;$C28&amp;$C29,【ピボット】事業所売上!$A$3,"年月",R$2,"事業所",$A29)*ROUND(R30/SUM(R$28,R$30,R$32,R$34),2),0)</f>
        <v>66915.45</v>
      </c>
      <c r="S31" s="1548">
        <f>IFERROR(GETPIVOTDATA("合計 / "&amp;$C28&amp;$C29,【ピボット】事業所売上!$A$3,"年月",S$2,"事業所",$A29)*ROUND(S30/SUM(S$28,S$30,S$32,S$34),2),0)</f>
        <v>53624.97</v>
      </c>
      <c r="T31" s="1548">
        <f>IFERROR(GETPIVOTDATA("合計 / "&amp;$C28&amp;$C29,【ピボット】事業所売上!$A$3,"年月",T$2,"事業所",$A29)*ROUND(T30/SUM(T$28,T$30,T$32,T$34),2),0)</f>
        <v>65314.079999999994</v>
      </c>
      <c r="U31" s="1548">
        <f>IFERROR(GETPIVOTDATA("合計 / "&amp;$C28&amp;$C29,【ピボット】事業所売上!$A$3,"年月",U$2,"事業所",$A29)*ROUND(U30/SUM(U$28,U$30,U$32,U$34),2),0)</f>
        <v>67485.88</v>
      </c>
      <c r="V31" s="1548">
        <f>IFERROR(GETPIVOTDATA("合計 / "&amp;$C28&amp;$C29,【ピボット】事業所売上!$A$3,"年月",V$2,"事業所",$A29)*ROUND(V30/SUM(V$28,V$30,V$32,V$34),2),0)</f>
        <v>65927.62</v>
      </c>
      <c r="W31" s="1548">
        <f>IFERROR(GETPIVOTDATA("合計 / "&amp;$C28&amp;$C29,【ピボット】事業所売上!$A$3,"年月",W$2,"事業所",$A29)*ROUND(W30/SUM(W$28,W$30,W$32,W$34),2),0)</f>
        <v>67906.52</v>
      </c>
      <c r="X31" s="1548">
        <f>IFERROR(GETPIVOTDATA("合計 / "&amp;$C28&amp;$C29,【ピボット】事業所売上!$A$3,"年月",X$2,"事業所",$A29)*ROUND(X30/SUM(X$28,X$30,X$32,X$34),2),0)</f>
        <v>68025.320000000007</v>
      </c>
      <c r="Y31" s="1548">
        <f>IFERROR(GETPIVOTDATA("合計 / "&amp;$C28&amp;$C29,【ピボット】事業所売上!$A$3,"年月",Y$2,"事業所",$A29)*ROUND(Y30/SUM(Y$28,Y$30,Y$32,Y$34),2),0)</f>
        <v>62351.73</v>
      </c>
      <c r="Z31" s="1548">
        <f>IFERROR(GETPIVOTDATA("合計 / "&amp;$C28&amp;$C29,【ピボット】事業所売上!$A$3,"年月",Z$2,"事業所",$A29)*ROUND(Z30/SUM(Z$28,Z$30,Z$32,Z$34),2),0)</f>
        <v>61580.159999999996</v>
      </c>
      <c r="AA31" s="1548">
        <f>IFERROR(GETPIVOTDATA("合計 / "&amp;$C28&amp;$C29,【ピボット】事業所売上!$A$3,"年月",AA$2,"事業所",$A29)*ROUND(AA30/SUM(AA$28,AA$30,AA$32,AA$34),2),0)</f>
        <v>0</v>
      </c>
      <c r="AB31" s="1544">
        <f ca="1">SUM(OFFSET(AA31,0,当期月数):AA31)</f>
        <v>458591.30999999994</v>
      </c>
    </row>
    <row r="32" spans="1:30" s="1529" customFormat="1" ht="15.4" customHeight="1" x14ac:dyDescent="0.15">
      <c r="A32" s="1529" t="s">
        <v>681</v>
      </c>
      <c r="B32" s="2106" t="s">
        <v>371</v>
      </c>
      <c r="C32" s="1546" t="s">
        <v>543</v>
      </c>
      <c r="D32" s="1547">
        <f>IFERROR(GETPIVOTDATA("合計 / " &amp; $C32,【ピボット】事業所売上!$A$3,"年月",D$2,"事業所",$A32),0)</f>
        <v>0</v>
      </c>
      <c r="E32" s="1547">
        <f>IFERROR(GETPIVOTDATA("合計 / " &amp; $C32,【ピボット】事業所売上!$A$3,"年月",E$2,"事業所",$A32),0)</f>
        <v>1647056</v>
      </c>
      <c r="F32" s="1547">
        <f>IFERROR(GETPIVOTDATA("合計 / " &amp; $C32,【ピボット】事業所売上!$A$3,"年月",F$2,"事業所",$A32),0)</f>
        <v>1656941</v>
      </c>
      <c r="G32" s="1547">
        <f>IFERROR(GETPIVOTDATA("合計 / " &amp; $C32,【ピボット】事業所売上!$A$3,"年月",G$2,"事業所",$A32),0)</f>
        <v>1825197</v>
      </c>
      <c r="H32" s="1547">
        <f>IFERROR(GETPIVOTDATA("合計 / " &amp; $C32,【ピボット】事業所売上!$A$3,"年月",H$2,"事業所",$A32),0)</f>
        <v>1933548</v>
      </c>
      <c r="I32" s="1547">
        <f>IFERROR(GETPIVOTDATA("合計 / " &amp; $C32,【ピボット】事業所売上!$A$3,"年月",I$2,"事業所",$A32),0)</f>
        <v>3035498</v>
      </c>
      <c r="J32" s="1547">
        <f>IFERROR(GETPIVOTDATA("合計 / " &amp; $C32,【ピボット】事業所売上!$A$3,"年月",J$2,"事業所",$A32),0)</f>
        <v>2385860</v>
      </c>
      <c r="K32" s="1547">
        <f>IFERROR(GETPIVOTDATA("合計 / " &amp; $C32,【ピボット】事業所売上!$A$3,"年月",K$2,"事業所",$A32),0)</f>
        <v>2448469</v>
      </c>
      <c r="L32" s="1547">
        <f>IFERROR(GETPIVOTDATA("合計 / " &amp; $C32,【ピボット】事業所売上!$A$3,"年月",L$2,"事業所",$A32),0)</f>
        <v>2396635</v>
      </c>
      <c r="M32" s="1547">
        <f>IFERROR(GETPIVOTDATA("合計 / " &amp; $C32,【ピボット】事業所売上!$A$3,"年月",M$2,"事業所",$A32),0)</f>
        <v>2200178</v>
      </c>
      <c r="N32" s="1547">
        <f>IFERROR(GETPIVOTDATA("合計 / " &amp; $C32,【ピボット】事業所売上!$A$3,"年月",N$2,"事業所",$A32),0)</f>
        <v>2426031</v>
      </c>
      <c r="O32" s="1547">
        <f>IFERROR(GETPIVOTDATA("合計 / " &amp; $C32,【ピボット】事業所売上!$A$3,"年月",O$2,"事業所",$A32),0)</f>
        <v>2405342</v>
      </c>
      <c r="P32" s="1547">
        <f>IFERROR(GETPIVOTDATA("合計 / " &amp; $C32,【ピボット】事業所売上!$A$3,"年月",P$2,"事業所",$A32),0)</f>
        <v>2474409</v>
      </c>
      <c r="Q32" s="1547">
        <f>IFERROR(GETPIVOTDATA("合計 / " &amp; $C32,【ピボット】事業所売上!$A$3,"年月",Q$2,"事業所",$A32),0)</f>
        <v>2169018</v>
      </c>
      <c r="R32" s="1547">
        <f>IFERROR(GETPIVOTDATA("合計 / " &amp; $C32,【ピボット】事業所売上!$A$3,"年月",R$2,"事業所",$A32),0)</f>
        <v>2677988</v>
      </c>
      <c r="S32" s="1547">
        <f>IFERROR(GETPIVOTDATA("合計 / " &amp; $C32,【ピボット】事業所売上!$A$3,"年月",S$2,"事業所",$A32),0)</f>
        <v>2198275</v>
      </c>
      <c r="T32" s="1547">
        <f>IFERROR(GETPIVOTDATA("合計 / " &amp; $C32,【ピボット】事業所売上!$A$3,"年月",T$2,"事業所",$A32),0)</f>
        <v>2292635</v>
      </c>
      <c r="U32" s="1547">
        <f>IFERROR(GETPIVOTDATA("合計 / " &amp; $C32,【ピボット】事業所売上!$A$3,"年月",U$2,"事業所",$A32),0)</f>
        <v>2500912</v>
      </c>
      <c r="V32" s="1547">
        <f>IFERROR(GETPIVOTDATA("合計 / " &amp; $C32,【ピボット】事業所売上!$A$3,"年月",V$2,"事業所",$A32),0)</f>
        <v>2443866</v>
      </c>
      <c r="W32" s="1547">
        <f>IFERROR(GETPIVOTDATA("合計 / " &amp; $C32,【ピボット】事業所売上!$A$3,"年月",W$2,"事業所",$A32),0)</f>
        <v>2507684</v>
      </c>
      <c r="X32" s="1547">
        <f>IFERROR(GETPIVOTDATA("合計 / " &amp; $C32,【ピボット】事業所売上!$A$3,"年月",X$2,"事業所",$A32),0)</f>
        <v>2515481</v>
      </c>
      <c r="Y32" s="1547">
        <f>IFERROR(GETPIVOTDATA("合計 / " &amp; $C32,【ピボット】事業所売上!$A$3,"年月",Y$2,"事業所",$A32),0)</f>
        <v>1730172</v>
      </c>
      <c r="Z32" s="1547">
        <f>IFERROR(GETPIVOTDATA("合計 / " &amp; $C32,【ピボット】事業所売上!$A$3,"年月",Z$2,"事業所",$A32),0)</f>
        <v>1691368</v>
      </c>
      <c r="AA32" s="1547">
        <f>IFERROR(GETPIVOTDATA("合計 / " &amp; $C32,【ピボット】事業所売上!$A$3,"年月",AA$2,"事業所",$A32),0)</f>
        <v>2509810</v>
      </c>
      <c r="AB32" s="1536">
        <f ca="1">SUM(OFFSET(AA32,0,当期月数):AA32)</f>
        <v>18191928</v>
      </c>
    </row>
    <row r="33" spans="1:32" s="1529" customFormat="1" ht="15.4" customHeight="1" thickBot="1" x14ac:dyDescent="0.2">
      <c r="A33" s="1529" t="s">
        <v>682</v>
      </c>
      <c r="B33" s="2105"/>
      <c r="C33" s="1539" t="s">
        <v>141</v>
      </c>
      <c r="D33" s="1548">
        <f>IFERROR(GETPIVOTDATA("合計 / "&amp;$C28&amp;$C29,【ピボット】事業所売上!$A$3,"年月",D$2,"事業所",$A29)*ROUND(D32/SUM(D$28,D$30,D$32,D$34),2),0)</f>
        <v>0</v>
      </c>
      <c r="E33" s="1548">
        <f>IFERROR(GETPIVOTDATA("合計 / "&amp;$C28&amp;$C29,【ピボット】事業所売上!$A$3,"年月",E$2,"事業所",$A29)*ROUND(E32/SUM(E$28,E$30,E$32,E$34),2),0)</f>
        <v>107877.25</v>
      </c>
      <c r="F33" s="1548">
        <f>IFERROR(GETPIVOTDATA("合計 / "&amp;$C28&amp;$C29,【ピボット】事業所売上!$A$3,"年月",F$2,"事業所",$A29)*ROUND(F32/SUM(F$28,F$30,F$32,F$34),2),0)</f>
        <v>110088.17</v>
      </c>
      <c r="G33" s="1548">
        <f>IFERROR(GETPIVOTDATA("合計 / "&amp;$C28&amp;$C29,【ピボット】事業所売上!$A$3,"年月",G$2,"事業所",$A29)*ROUND(G32/SUM(G$28,G$30,G$32,G$34),2),0)</f>
        <v>120952.31999999999</v>
      </c>
      <c r="H33" s="1548">
        <f>IFERROR(GETPIVOTDATA("合計 / "&amp;$C28&amp;$C29,【ピボット】事業所売上!$A$3,"年月",H$2,"事業所",$A29)*ROUND(H32/SUM(H$28,H$30,H$32,H$34),2),0)</f>
        <v>127798.56</v>
      </c>
      <c r="I33" s="1548">
        <f>IFERROR(GETPIVOTDATA("合計 / "&amp;$C28&amp;$C29,【ピボット】事業所売上!$A$3,"年月",I$2,"事業所",$A29)*ROUND(I32/SUM(I$28,I$30,I$32,I$34),2),0)</f>
        <v>199789.8</v>
      </c>
      <c r="J33" s="1548">
        <f>IFERROR(GETPIVOTDATA("合計 / "&amp;$C28&amp;$C29,【ピボット】事業所売上!$A$3,"年月",J$2,"事業所",$A29)*ROUND(J32/SUM(J$28,J$30,J$32,J$34),2),0)</f>
        <v>155663.12</v>
      </c>
      <c r="K33" s="1548">
        <f>IFERROR(GETPIVOTDATA("合計 / "&amp;$C28&amp;$C29,【ピボット】事業所売上!$A$3,"年月",K$2,"事業所",$A29)*ROUND(K32/SUM(K$28,K$30,K$32,K$34),2),0)</f>
        <v>161070.25</v>
      </c>
      <c r="L33" s="1548">
        <f>IFERROR(GETPIVOTDATA("合計 / "&amp;$C28&amp;$C29,【ピボット】事業所売上!$A$3,"年月",L$2,"事業所",$A29)*ROUND(L32/SUM(L$28,L$30,L$32,L$34),2),0)</f>
        <v>157559.31999999998</v>
      </c>
      <c r="M33" s="1548">
        <f>IFERROR(GETPIVOTDATA("合計 / "&amp;$C28&amp;$C29,【ピボット】事業所売上!$A$3,"年月",M$2,"事業所",$A29)*ROUND(M32/SUM(M$28,M$30,M$32,M$34),2),0)</f>
        <v>143957.16</v>
      </c>
      <c r="N33" s="1548">
        <f>IFERROR(GETPIVOTDATA("合計 / "&amp;$C28&amp;$C29,【ピボット】事業所売上!$A$3,"年月",N$2,"事業所",$A29)*ROUND(N32/SUM(N$28,N$30,N$32,N$34),2),0)</f>
        <v>160936.19999999998</v>
      </c>
      <c r="O33" s="1548">
        <f>IFERROR(GETPIVOTDATA("合計 / "&amp;$C28&amp;$C29,【ピボット】事業所売上!$A$3,"年月",O$2,"事業所",$A29)*ROUND(O32/SUM(O$28,O$30,O$32,O$34),2),0)</f>
        <v>158781.96</v>
      </c>
      <c r="P33" s="1548">
        <f>IFERROR(GETPIVOTDATA("合計 / "&amp;$C28&amp;$C29,【ピボット】事業所売上!$A$3,"年月",P$2,"事業所",$A29)*ROUND(P32/SUM(P$28,P$30,P$32,P$34),2),0)</f>
        <v>164425.94</v>
      </c>
      <c r="Q33" s="1548">
        <f>IFERROR(GETPIVOTDATA("合計 / "&amp;$C28&amp;$C29,【ピボット】事業所売上!$A$3,"年月",Q$2,"事業所",$A29)*ROUND(Q32/SUM(Q$28,Q$30,Q$32,Q$34),2),0)</f>
        <v>142811.85999999999</v>
      </c>
      <c r="R33" s="1548">
        <f>IFERROR(GETPIVOTDATA("合計 / "&amp;$C28&amp;$C29,【ピボット】事業所売上!$A$3,"年月",R$2,"事業所",$A29)*ROUND(R32/SUM(R$28,R$30,R$32,R$34),2),0)</f>
        <v>178441.2</v>
      </c>
      <c r="S33" s="1548">
        <f>IFERROR(GETPIVOTDATA("合計 / "&amp;$C28&amp;$C29,【ピボット】事業所売上!$A$3,"年月",S$2,"事業所",$A29)*ROUND(S32/SUM(S$28,S$30,S$32,S$34),2),0)</f>
        <v>145553.49</v>
      </c>
      <c r="T33" s="1548">
        <f>IFERROR(GETPIVOTDATA("合計 / "&amp;$C28&amp;$C29,【ピボット】事業所売上!$A$3,"年月",T$2,"事業所",$A29)*ROUND(T32/SUM(T$28,T$30,T$32,T$34),2),0)</f>
        <v>152399.52000000002</v>
      </c>
      <c r="U33" s="1548">
        <f>IFERROR(GETPIVOTDATA("合計 / "&amp;$C28&amp;$C29,【ピボット】事業所売上!$A$3,"年月",U$2,"事業所",$A29)*ROUND(U32/SUM(U$28,U$30,U$32,U$34),2),0)</f>
        <v>165647.16</v>
      </c>
      <c r="V33" s="1548">
        <f>IFERROR(GETPIVOTDATA("合計 / "&amp;$C28&amp;$C29,【ピボット】事業所売上!$A$3,"年月",V$2,"事業所",$A29)*ROUND(V32/SUM(V$28,V$30,V$32,V$34),2),0)</f>
        <v>161822.34</v>
      </c>
      <c r="W33" s="1548">
        <f>IFERROR(GETPIVOTDATA("合計 / "&amp;$C28&amp;$C29,【ピボット】事業所売上!$A$3,"年月",W$2,"事業所",$A29)*ROUND(W32/SUM(W$28,W$30,W$32,W$34),2),0)</f>
        <v>166679.64000000001</v>
      </c>
      <c r="X33" s="1548">
        <f>IFERROR(GETPIVOTDATA("合計 / "&amp;$C28&amp;$C29,【ピボット】事業所売上!$A$3,"年月",X$2,"事業所",$A29)*ROUND(X32/SUM(X$28,X$30,X$32,X$34),2),0)</f>
        <v>166971.24000000002</v>
      </c>
      <c r="Y33" s="1548">
        <f>IFERROR(GETPIVOTDATA("合計 / "&amp;$C28&amp;$C29,【ピボット】事業所売上!$A$3,"年月",Y$2,"事業所",$A29)*ROUND(Y32/SUM(Y$28,Y$30,Y$32,Y$34),2),0)</f>
        <v>114858.45</v>
      </c>
      <c r="Z33" s="1548">
        <f>IFERROR(GETPIVOTDATA("合計 / "&amp;$C28&amp;$C29,【ピボット】事業所売上!$A$3,"年月",Z$2,"事業所",$A29)*ROUND(Z32/SUM(Z$28,Z$30,Z$32,Z$34),2),0)</f>
        <v>112896.96000000001</v>
      </c>
      <c r="AA33" s="1548">
        <f>IFERROR(GETPIVOTDATA("合計 / "&amp;$C28&amp;$C29,【ピボット】事業所売上!$A$3,"年月",AA$2,"事業所",$A29)*ROUND(AA32/SUM(AA$28,AA$30,AA$32,AA$34),2),0)</f>
        <v>0</v>
      </c>
      <c r="AB33" s="1544">
        <f ca="1">SUM(OFFSET(AA33,0,当期月数):AA33)</f>
        <v>1041275.3099999999</v>
      </c>
    </row>
    <row r="34" spans="1:32" s="1529" customFormat="1" ht="15.4" customHeight="1" x14ac:dyDescent="0.15">
      <c r="A34" s="1529" t="s">
        <v>1508</v>
      </c>
      <c r="B34" s="2104" t="s">
        <v>1515</v>
      </c>
      <c r="C34" s="1546" t="s">
        <v>543</v>
      </c>
      <c r="D34" s="1547">
        <f>IFERROR(GETPIVOTDATA("合計 / " &amp; $C34,【ピボット】事業所売上!$A$3,"年月",D$2,"事業所",$A34),0)</f>
        <v>0</v>
      </c>
      <c r="E34" s="1547">
        <f>IFERROR(GETPIVOTDATA("合計 / " &amp; $C34,【ピボット】事業所売上!$A$3,"年月",E$2,"事業所",$A34),0)</f>
        <v>0</v>
      </c>
      <c r="F34" s="1547">
        <f>IFERROR(GETPIVOTDATA("合計 / " &amp; $C34,【ピボット】事業所売上!$A$3,"年月",F$2,"事業所",$A34),0)</f>
        <v>0</v>
      </c>
      <c r="G34" s="1547">
        <f>IFERROR(GETPIVOTDATA("合計 / " &amp; $C34,【ピボット】事業所売上!$A$3,"年月",G$2,"事業所",$A34),0)</f>
        <v>0</v>
      </c>
      <c r="H34" s="1547">
        <f>IFERROR(GETPIVOTDATA("合計 / " &amp; $C34,【ピボット】事業所売上!$A$3,"年月",H$2,"事業所",$A34),0)</f>
        <v>0</v>
      </c>
      <c r="I34" s="1547">
        <f>IFERROR(GETPIVOTDATA("合計 / " &amp; $C34,【ピボット】事業所売上!$A$3,"年月",I$2,"事業所",$A34),0)</f>
        <v>0</v>
      </c>
      <c r="J34" s="1547">
        <f>IFERROR(GETPIVOTDATA("合計 / " &amp; $C34,【ピボット】事業所売上!$A$3,"年月",J$2,"事業所",$A34),0)</f>
        <v>0</v>
      </c>
      <c r="K34" s="1547">
        <f>IFERROR(GETPIVOTDATA("合計 / " &amp; $C34,【ピボット】事業所売上!$A$3,"年月",K$2,"事業所",$A34),0)</f>
        <v>0</v>
      </c>
      <c r="L34" s="1547">
        <f>IFERROR(GETPIVOTDATA("合計 / " &amp; $C34,【ピボット】事業所売上!$A$3,"年月",L$2,"事業所",$A34),0)</f>
        <v>0</v>
      </c>
      <c r="M34" s="1547">
        <f>IFERROR(GETPIVOTDATA("合計 / " &amp; $C34,【ピボット】事業所売上!$A$3,"年月",M$2,"事業所",$A34),0)</f>
        <v>0</v>
      </c>
      <c r="N34" s="1547">
        <f>IFERROR(GETPIVOTDATA("合計 / " &amp; $C34,【ピボット】事業所売上!$A$3,"年月",N$2,"事業所",$A34),0)</f>
        <v>0</v>
      </c>
      <c r="O34" s="1547">
        <f>IFERROR(GETPIVOTDATA("合計 / " &amp; $C34,【ピボット】事業所売上!$A$3,"年月",O$2,"事業所",$A34),0)</f>
        <v>0</v>
      </c>
      <c r="P34" s="1547">
        <f>IFERROR(GETPIVOTDATA("合計 / " &amp; $C34,【ピボット】事業所売上!$A$3,"年月",P$2,"事業所",$A34),0)</f>
        <v>0</v>
      </c>
      <c r="Q34" s="1547">
        <f>IFERROR(GETPIVOTDATA("合計 / " &amp; $C34,【ピボット】事業所売上!$A$3,"年月",Q$2,"事業所",$A34),0)</f>
        <v>0</v>
      </c>
      <c r="R34" s="1547">
        <f>IFERROR(GETPIVOTDATA("合計 / " &amp; $C34,【ピボット】事業所売上!$A$3,"年月",R$2,"事業所",$A34),0)</f>
        <v>0</v>
      </c>
      <c r="S34" s="1547">
        <f>IFERROR(GETPIVOTDATA("合計 / " &amp; $C34,【ピボット】事業所売上!$A$3,"年月",S$2,"事業所",$A34),0)</f>
        <v>0</v>
      </c>
      <c r="T34" s="1547">
        <f>IFERROR(GETPIVOTDATA("合計 / " &amp; $C34,【ピボット】事業所売上!$A$3,"年月",T$2,"事業所",$A34),0)</f>
        <v>0</v>
      </c>
      <c r="U34" s="1547">
        <f>IFERROR(GETPIVOTDATA("合計 / " &amp; $C34,【ピボット】事業所売上!$A$3,"年月",U$2,"事業所",$A34),0)</f>
        <v>0</v>
      </c>
      <c r="V34" s="1547">
        <f>IFERROR(GETPIVOTDATA("合計 / " &amp; $C34,【ピボット】事業所売上!$A$3,"年月",V$2,"事業所",$A34),0)</f>
        <v>0</v>
      </c>
      <c r="W34" s="1547">
        <f>IFERROR(GETPIVOTDATA("合計 / " &amp; $C34,【ピボット】事業所売上!$A$3,"年月",W$2,"事業所",$A34),0)</f>
        <v>0</v>
      </c>
      <c r="X34" s="1547">
        <f>IFERROR(GETPIVOTDATA("合計 / " &amp; $C34,【ピボット】事業所売上!$A$3,"年月",X$2,"事業所",$A34),0)</f>
        <v>0</v>
      </c>
      <c r="Y34" s="1547">
        <f>IFERROR(GETPIVOTDATA("合計 / " &amp; $C34,【ピボット】事業所売上!$A$3,"年月",Y$2,"事業所",$A34),0)</f>
        <v>1296188</v>
      </c>
      <c r="Z34" s="1547">
        <f>IFERROR(GETPIVOTDATA("合計 / " &amp; $C34,【ピボット】事業所売上!$A$3,"年月",Z$2,"事業所",$A34),0)</f>
        <v>1595131</v>
      </c>
      <c r="AA34" s="1547">
        <f>IFERROR(GETPIVOTDATA("合計 / " &amp; $C34,【ピボット】事業所売上!$A$3,"年月",AA$2,"事業所",$A34),0)</f>
        <v>1867332</v>
      </c>
      <c r="AB34" s="1536">
        <f ca="1">SUM(OFFSET(AA34,0,当期月数):AA34)</f>
        <v>4758651</v>
      </c>
    </row>
    <row r="35" spans="1:32" s="1529" customFormat="1" ht="15.4" customHeight="1" thickBot="1" x14ac:dyDescent="0.2">
      <c r="A35" s="1529" t="s">
        <v>1508</v>
      </c>
      <c r="B35" s="2105"/>
      <c r="C35" s="1539" t="s">
        <v>141</v>
      </c>
      <c r="D35" s="1548">
        <f>IFERROR(GETPIVOTDATA("合計 / "&amp;$C28&amp;$C29,【ピボット】事業所売上!$A$3,"年月",D$2,"事業所",$A29)*ROUND(D34/SUM(D$28,D$30,D$32,D$34),2),0)</f>
        <v>0</v>
      </c>
      <c r="E35" s="1548">
        <f>IFERROR(GETPIVOTDATA("合計 / "&amp;$C28&amp;$C29,【ピボット】事業所売上!$A$3,"年月",E$2,"事業所",$A29)*ROUND(E34/SUM(E$28,E$30,E$32,E$34),2),0)</f>
        <v>0</v>
      </c>
      <c r="F35" s="1548">
        <f>IFERROR(GETPIVOTDATA("合計 / "&amp;$C28&amp;$C29,【ピボット】事業所売上!$A$3,"年月",F$2,"事業所",$A29)*ROUND(F34/SUM(F$28,F$30,F$32,F$34),2),0)</f>
        <v>0</v>
      </c>
      <c r="G35" s="1548">
        <f>IFERROR(GETPIVOTDATA("合計 / "&amp;$C28&amp;$C29,【ピボット】事業所売上!$A$3,"年月",G$2,"事業所",$A29)*ROUND(G34/SUM(G$28,G$30,G$32,G$34),2),0)</f>
        <v>0</v>
      </c>
      <c r="H35" s="1548">
        <f>IFERROR(GETPIVOTDATA("合計 / "&amp;$C28&amp;$C29,【ピボット】事業所売上!$A$3,"年月",H$2,"事業所",$A29)*ROUND(H34/SUM(H$28,H$30,H$32,H$34),2),0)</f>
        <v>0</v>
      </c>
      <c r="I35" s="1548">
        <f>IFERROR(GETPIVOTDATA("合計 / "&amp;$C28&amp;$C29,【ピボット】事業所売上!$A$3,"年月",I$2,"事業所",$A29)*ROUND(I34/SUM(I$28,I$30,I$32,I$34),2),0)</f>
        <v>0</v>
      </c>
      <c r="J35" s="1548">
        <f>IFERROR(GETPIVOTDATA("合計 / "&amp;$C28&amp;$C29,【ピボット】事業所売上!$A$3,"年月",J$2,"事業所",$A29)*ROUND(J34/SUM(J$28,J$30,J$32,J$34),2),0)</f>
        <v>0</v>
      </c>
      <c r="K35" s="1548">
        <f>IFERROR(GETPIVOTDATA("合計 / "&amp;$C28&amp;$C29,【ピボット】事業所売上!$A$3,"年月",K$2,"事業所",$A29)*ROUND(K34/SUM(K$28,K$30,K$32,K$34),2),0)</f>
        <v>0</v>
      </c>
      <c r="L35" s="1548">
        <f>IFERROR(GETPIVOTDATA("合計 / "&amp;$C28&amp;$C29,【ピボット】事業所売上!$A$3,"年月",L$2,"事業所",$A29)*ROUND(L34/SUM(L$28,L$30,L$32,L$34),2),0)</f>
        <v>0</v>
      </c>
      <c r="M35" s="1548">
        <f>IFERROR(GETPIVOTDATA("合計 / "&amp;$C28&amp;$C29,【ピボット】事業所売上!$A$3,"年月",M$2,"事業所",$A29)*ROUND(M34/SUM(M$28,M$30,M$32,M$34),2),0)</f>
        <v>0</v>
      </c>
      <c r="N35" s="1548">
        <f>IFERROR(GETPIVOTDATA("合計 / "&amp;$C28&amp;$C29,【ピボット】事業所売上!$A$3,"年月",N$2,"事業所",$A29)*ROUND(N34/SUM(N$28,N$30,N$32,N$34),2),0)</f>
        <v>0</v>
      </c>
      <c r="O35" s="1548">
        <f>IFERROR(GETPIVOTDATA("合計 / "&amp;$C28&amp;$C29,【ピボット】事業所売上!$A$3,"年月",O$2,"事業所",$A29)*ROUND(O34/SUM(O$28,O$30,O$32,O$34),2),0)</f>
        <v>0</v>
      </c>
      <c r="P35" s="1548">
        <f>IFERROR(GETPIVOTDATA("合計 / "&amp;$C28&amp;$C29,【ピボット】事業所売上!$A$3,"年月",P$2,"事業所",$A29)*ROUND(P34/SUM(P$28,P$30,P$32,P$34),2),0)</f>
        <v>0</v>
      </c>
      <c r="Q35" s="1548">
        <f>IFERROR(GETPIVOTDATA("合計 / "&amp;$C28&amp;$C29,【ピボット】事業所売上!$A$3,"年月",Q$2,"事業所",$A29)*ROUND(Q34/SUM(Q$28,Q$30,Q$32,Q$34),2),0)</f>
        <v>0</v>
      </c>
      <c r="R35" s="1548">
        <f>IFERROR(GETPIVOTDATA("合計 / "&amp;$C28&amp;$C29,【ピボット】事業所売上!$A$3,"年月",R$2,"事業所",$A29)*ROUND(R34/SUM(R$28,R$30,R$32,R$34),2),0)</f>
        <v>0</v>
      </c>
      <c r="S35" s="1548">
        <f>IFERROR(GETPIVOTDATA("合計 / "&amp;$C28&amp;$C29,【ピボット】事業所売上!$A$3,"年月",S$2,"事業所",$A29)*ROUND(S34/SUM(S$28,S$30,S$32,S$34),2),0)</f>
        <v>0</v>
      </c>
      <c r="T35" s="1548">
        <f>IFERROR(GETPIVOTDATA("合計 / "&amp;$C28&amp;$C29,【ピボット】事業所売上!$A$3,"年月",T$2,"事業所",$A29)*ROUND(T34/SUM(T$28,T$30,T$32,T$34),2),0)</f>
        <v>0</v>
      </c>
      <c r="U35" s="1548">
        <f>IFERROR(GETPIVOTDATA("合計 / "&amp;$C28&amp;$C29,【ピボット】事業所売上!$A$3,"年月",U$2,"事業所",$A29)*ROUND(U34/SUM(U$28,U$30,U$32,U$34),2),0)</f>
        <v>0</v>
      </c>
      <c r="V35" s="1548">
        <f>IFERROR(GETPIVOTDATA("合計 / "&amp;$C28&amp;$C29,【ピボット】事業所売上!$A$3,"年月",V$2,"事業所",$A29)*ROUND(V34/SUM(V$28,V$30,V$32,V$34),2),0)</f>
        <v>0</v>
      </c>
      <c r="W35" s="1548">
        <f>IFERROR(GETPIVOTDATA("合計 / "&amp;$C28&amp;$C29,【ピボット】事業所売上!$A$3,"年月",W$2,"事業所",$A29)*ROUND(W34/SUM(W$28,W$30,W$32,W$34),2),0)</f>
        <v>0</v>
      </c>
      <c r="X35" s="1548">
        <f>IFERROR(GETPIVOTDATA("合計 / "&amp;$C28&amp;$C29,【ピボット】事業所売上!$A$3,"年月",X$2,"事業所",$A29)*ROUND(X34/SUM(X$28,X$30,X$32,X$34),2),0)</f>
        <v>0</v>
      </c>
      <c r="Y35" s="1548">
        <f>IFERROR(GETPIVOTDATA("合計 / "&amp;$C28&amp;$C29,【ピボット】事業所売上!$A$3,"年月",Y$2,"事業所",$A29)*ROUND(Y34/SUM(Y$28,Y$30,Y$32,Y$34),2),0)</f>
        <v>85323.42</v>
      </c>
      <c r="Z35" s="1548">
        <f>IFERROR(GETPIVOTDATA("合計 / "&amp;$C28&amp;$C29,【ピボット】事業所売上!$A$3,"年月",Z$2,"事業所",$A29)*ROUND(Z34/SUM(Z$28,Z$30,Z$32,Z$34),2),0)</f>
        <v>106054.72</v>
      </c>
      <c r="AA35" s="1548">
        <f>IFERROR(GETPIVOTDATA("合計 / "&amp;$C28&amp;$C29,【ピボット】事業所売上!$A$3,"年月",AA$2,"事業所",$A29)*ROUND(AA34/SUM(AA$28,AA$30,AA$32,AA$34),2),0)</f>
        <v>0</v>
      </c>
      <c r="AB35" s="1544">
        <f ca="1">SUM(OFFSET(AA35,0,当期月数):AA35)</f>
        <v>191378.14</v>
      </c>
    </row>
    <row r="36" spans="1:32" s="1529" customFormat="1" ht="15.4" customHeight="1" x14ac:dyDescent="0.15">
      <c r="B36" s="2107" t="s">
        <v>672</v>
      </c>
      <c r="C36" s="2107"/>
      <c r="D36" s="1549">
        <f>IFERROR(GETPIVOTDATA("合計 / 返戻",【ピボット】国保連売上!$A$3,"年月",D$2),0)</f>
        <v>-3654193</v>
      </c>
      <c r="E36" s="1549">
        <f>IFERROR(GETPIVOTDATA("合計 / 返戻",【ピボット】国保連売上!$A$3,"年月",E$2),0)</f>
        <v>-682742</v>
      </c>
      <c r="F36" s="1549">
        <f>IFERROR(GETPIVOTDATA("合計 / 返戻",【ピボット】国保連売上!$A$3,"年月",F$2),0)</f>
        <v>-911966</v>
      </c>
      <c r="G36" s="1549">
        <f>IFERROR(GETPIVOTDATA("合計 / 返戻",【ピボット】国保連売上!$A$3,"年月",G$2),0)</f>
        <v>-565582</v>
      </c>
      <c r="H36" s="1549">
        <f>IFERROR(GETPIVOTDATA("合計 / 返戻",【ピボット】国保連売上!$A$3,"年月",H$2),0)</f>
        <v>-1702697</v>
      </c>
      <c r="I36" s="1549">
        <f>IFERROR(GETPIVOTDATA("合計 / 返戻",【ピボット】国保連売上!$A$3,"年月",I$2),0)</f>
        <v>-543645</v>
      </c>
      <c r="J36" s="1549">
        <f>IFERROR(GETPIVOTDATA("合計 / 返戻",【ピボット】国保連売上!$A$3,"年月",J$2),0)</f>
        <v>-824076</v>
      </c>
      <c r="K36" s="1549">
        <f>IFERROR(GETPIVOTDATA("合計 / 返戻",【ピボット】国保連売上!$A$3,"年月",K$2),0)</f>
        <v>-824312</v>
      </c>
      <c r="L36" s="1549">
        <f>IFERROR(GETPIVOTDATA("合計 / 返戻",【ピボット】国保連売上!$A$3,"年月",L$2),0)</f>
        <v>-517226</v>
      </c>
      <c r="M36" s="1549">
        <f>IFERROR(GETPIVOTDATA("合計 / 返戻",【ピボット】国保連売上!$A$3,"年月",M$2),0)</f>
        <v>-187212</v>
      </c>
      <c r="N36" s="1549">
        <f>IFERROR(GETPIVOTDATA("合計 / 返戻",【ピボット】国保連売上!$A$3,"年月",N$2),0)</f>
        <v>-2938039</v>
      </c>
      <c r="O36" s="1549">
        <f>IFERROR(GETPIVOTDATA("合計 / 返戻",【ピボット】国保連売上!$A$3,"年月",O$2),0)</f>
        <v>-337711</v>
      </c>
      <c r="P36" s="1549">
        <f>IFERROR(GETPIVOTDATA("合計 / 返戻",【ピボット】国保連売上!$A$3,"年月",P$2),0)</f>
        <v>-202213</v>
      </c>
      <c r="Q36" s="1549">
        <f>IFERROR(GETPIVOTDATA("合計 / 返戻",【ピボット】国保連売上!$A$3,"年月",Q$2),0)</f>
        <v>-885643</v>
      </c>
      <c r="R36" s="1549">
        <f>IFERROR(GETPIVOTDATA("合計 / 返戻",【ピボット】国保連売上!$A$3,"年月",R$2),0)</f>
        <v>-630899</v>
      </c>
      <c r="S36" s="1549">
        <f>IFERROR(GETPIVOTDATA("合計 / 返戻",【ピボット】国保連売上!$A$3,"年月",S$2),0)</f>
        <v>-1543248</v>
      </c>
      <c r="T36" s="1549">
        <f>IFERROR(GETPIVOTDATA("合計 / 返戻",【ピボット】国保連売上!$A$3,"年月",T$2),0)</f>
        <v>-1339962</v>
      </c>
      <c r="U36" s="1549">
        <f>IFERROR(GETPIVOTDATA("合計 / 返戻",【ピボット】国保連売上!$A$3,"年月",U$2),0)</f>
        <v>-2196724</v>
      </c>
      <c r="V36" s="1549">
        <f>IFERROR(GETPIVOTDATA("合計 / 返戻",【ピボット】国保連売上!$A$3,"年月",V$2),0)</f>
        <v>-1334151</v>
      </c>
      <c r="W36" s="1549">
        <f>IFERROR(GETPIVOTDATA("合計 / 返戻",【ピボット】国保連売上!$A$3,"年月",W$2),0)</f>
        <v>-724986</v>
      </c>
      <c r="X36" s="1549">
        <f>IFERROR(GETPIVOTDATA("合計 / 返戻",【ピボット】国保連売上!$A$3,"年月",X$2),0)</f>
        <v>-865290</v>
      </c>
      <c r="Y36" s="1549">
        <f>IFERROR(GETPIVOTDATA("合計 / 返戻",【ピボット】国保連売上!$A$3,"年月",Y$2),0)</f>
        <v>-744803</v>
      </c>
      <c r="Z36" s="1549">
        <f>IFERROR(GETPIVOTDATA("合計 / 返戻",【ピボット】国保連売上!$A$3,"年月",Z$2),0)</f>
        <v>-1438577</v>
      </c>
      <c r="AA36" s="1549">
        <f>IFERROR(GETPIVOTDATA("合計 / 返戻",【ピボット】国保連売上!$A$3,"年月",AA$2),0)</f>
        <v>0</v>
      </c>
      <c r="AB36" s="1550"/>
      <c r="AC36" s="1551" t="s">
        <v>402</v>
      </c>
    </row>
    <row r="37" spans="1:32" ht="15.4" customHeight="1" thickBot="1" x14ac:dyDescent="0.2">
      <c r="B37" s="1552" t="s">
        <v>17</v>
      </c>
      <c r="D37" s="1553"/>
      <c r="E37" s="1553"/>
      <c r="F37" s="1553"/>
      <c r="G37" s="1553"/>
      <c r="H37" s="1553"/>
      <c r="I37" s="1553"/>
      <c r="J37" s="1553"/>
      <c r="K37" s="1553"/>
      <c r="L37" s="1553"/>
      <c r="M37" s="1554"/>
      <c r="N37" s="1554"/>
      <c r="O37" s="1554"/>
      <c r="P37" s="1554"/>
      <c r="Q37" s="1554"/>
      <c r="R37" s="1555"/>
      <c r="S37" s="1554"/>
      <c r="T37" s="1554"/>
      <c r="U37" s="1554"/>
      <c r="V37" s="1554"/>
      <c r="W37" s="1554"/>
      <c r="X37" s="1554"/>
      <c r="Y37" s="1554"/>
      <c r="Z37" s="1554"/>
      <c r="AA37" s="1554"/>
      <c r="AB37" s="1556"/>
      <c r="AD37" s="1529"/>
      <c r="AE37" s="1529"/>
      <c r="AF37" s="1529"/>
    </row>
    <row r="38" spans="1:32" ht="15.4" customHeight="1" x14ac:dyDescent="0.15">
      <c r="B38" s="2102" t="s">
        <v>4</v>
      </c>
      <c r="C38" s="2103"/>
      <c r="D38" s="1557">
        <f t="shared" ref="D38:AB38" si="4">D2</f>
        <v>42856</v>
      </c>
      <c r="E38" s="1557">
        <f t="shared" si="4"/>
        <v>42887</v>
      </c>
      <c r="F38" s="1557">
        <f t="shared" si="4"/>
        <v>42917</v>
      </c>
      <c r="G38" s="1557">
        <f t="shared" si="4"/>
        <v>42948</v>
      </c>
      <c r="H38" s="1557">
        <f t="shared" si="4"/>
        <v>42979</v>
      </c>
      <c r="I38" s="1557">
        <f t="shared" si="4"/>
        <v>43009</v>
      </c>
      <c r="J38" s="1557">
        <f t="shared" si="4"/>
        <v>43040</v>
      </c>
      <c r="K38" s="1557">
        <f t="shared" si="4"/>
        <v>43070</v>
      </c>
      <c r="L38" s="1557">
        <f t="shared" si="4"/>
        <v>43101</v>
      </c>
      <c r="M38" s="1557">
        <f t="shared" si="4"/>
        <v>43132</v>
      </c>
      <c r="N38" s="1557">
        <f t="shared" si="4"/>
        <v>43160</v>
      </c>
      <c r="O38" s="1557">
        <f t="shared" si="4"/>
        <v>43191</v>
      </c>
      <c r="P38" s="1557">
        <f t="shared" si="4"/>
        <v>43221</v>
      </c>
      <c r="Q38" s="1557">
        <f t="shared" si="4"/>
        <v>43252</v>
      </c>
      <c r="R38" s="1557">
        <f t="shared" si="4"/>
        <v>43282</v>
      </c>
      <c r="S38" s="1557">
        <f t="shared" si="4"/>
        <v>43313</v>
      </c>
      <c r="T38" s="1557">
        <f t="shared" si="4"/>
        <v>43344</v>
      </c>
      <c r="U38" s="1557">
        <f t="shared" si="4"/>
        <v>43374</v>
      </c>
      <c r="V38" s="1557">
        <f t="shared" si="4"/>
        <v>43405</v>
      </c>
      <c r="W38" s="1557">
        <f t="shared" si="4"/>
        <v>43435</v>
      </c>
      <c r="X38" s="1557">
        <f t="shared" si="4"/>
        <v>43466</v>
      </c>
      <c r="Y38" s="1557">
        <f t="shared" si="4"/>
        <v>43497</v>
      </c>
      <c r="Z38" s="1557">
        <f t="shared" si="4"/>
        <v>43525</v>
      </c>
      <c r="AA38" s="1558">
        <f t="shared" si="4"/>
        <v>43556</v>
      </c>
      <c r="AB38" s="1559">
        <f t="shared" si="4"/>
        <v>43344</v>
      </c>
      <c r="AD38" s="1529"/>
      <c r="AE38" s="1529"/>
      <c r="AF38" s="1529"/>
    </row>
    <row r="39" spans="1:32" ht="15.4" customHeight="1" x14ac:dyDescent="0.15">
      <c r="B39" s="2094" t="s">
        <v>140</v>
      </c>
      <c r="C39" s="2095"/>
      <c r="D39" s="1560">
        <f t="shared" ref="D39:L39" si="5">D3</f>
        <v>0</v>
      </c>
      <c r="E39" s="1560">
        <f t="shared" si="5"/>
        <v>0</v>
      </c>
      <c r="F39" s="1560">
        <f t="shared" si="5"/>
        <v>0</v>
      </c>
      <c r="G39" s="1560">
        <f t="shared" si="5"/>
        <v>0</v>
      </c>
      <c r="H39" s="1560">
        <f t="shared" si="5"/>
        <v>0</v>
      </c>
      <c r="I39" s="1560">
        <f t="shared" si="5"/>
        <v>0</v>
      </c>
      <c r="J39" s="1560">
        <f t="shared" si="5"/>
        <v>0</v>
      </c>
      <c r="K39" s="1560">
        <f t="shared" si="5"/>
        <v>0</v>
      </c>
      <c r="L39" s="1560">
        <f t="shared" si="5"/>
        <v>0</v>
      </c>
      <c r="M39" s="1560">
        <f>M3</f>
        <v>0</v>
      </c>
      <c r="N39" s="1560">
        <f t="shared" ref="N39:AA39" si="6">N3</f>
        <v>0</v>
      </c>
      <c r="O39" s="1560">
        <f t="shared" si="6"/>
        <v>0</v>
      </c>
      <c r="P39" s="1560">
        <f t="shared" si="6"/>
        <v>0</v>
      </c>
      <c r="Q39" s="1560">
        <f t="shared" si="6"/>
        <v>0</v>
      </c>
      <c r="R39" s="1560">
        <f t="shared" si="6"/>
        <v>0</v>
      </c>
      <c r="S39" s="1560">
        <f t="shared" si="6"/>
        <v>0</v>
      </c>
      <c r="T39" s="1560">
        <f t="shared" si="6"/>
        <v>0</v>
      </c>
      <c r="U39" s="1560">
        <f t="shared" si="6"/>
        <v>0</v>
      </c>
      <c r="V39" s="1560">
        <f t="shared" si="6"/>
        <v>0</v>
      </c>
      <c r="W39" s="1560">
        <f t="shared" si="6"/>
        <v>0</v>
      </c>
      <c r="X39" s="1560">
        <f t="shared" si="6"/>
        <v>0</v>
      </c>
      <c r="Y39" s="1560">
        <f t="shared" si="6"/>
        <v>0</v>
      </c>
      <c r="Z39" s="1560">
        <f t="shared" si="6"/>
        <v>0</v>
      </c>
      <c r="AA39" s="1560">
        <f t="shared" si="6"/>
        <v>0</v>
      </c>
      <c r="AB39" s="1561">
        <f ca="1">SUM(OFFSET(AA39,0,当期月数):AA39)</f>
        <v>0</v>
      </c>
      <c r="AD39" s="1529"/>
      <c r="AE39" s="1529"/>
      <c r="AF39" s="1529"/>
    </row>
    <row r="40" spans="1:32" ht="15.4" customHeight="1" x14ac:dyDescent="0.15">
      <c r="B40" s="2094" t="s">
        <v>3</v>
      </c>
      <c r="C40" s="2095"/>
      <c r="D40" s="1562">
        <f t="shared" ref="D40:AA40" si="7">D4+D6+D7</f>
        <v>14017937</v>
      </c>
      <c r="E40" s="1562">
        <f t="shared" si="7"/>
        <v>12565577</v>
      </c>
      <c r="F40" s="1562">
        <f t="shared" si="7"/>
        <v>13556804</v>
      </c>
      <c r="G40" s="1562">
        <f t="shared" si="7"/>
        <v>13409633</v>
      </c>
      <c r="H40" s="1562">
        <f t="shared" si="7"/>
        <v>13806816</v>
      </c>
      <c r="I40" s="1562">
        <f>I4+I6+I7</f>
        <v>13730978</v>
      </c>
      <c r="J40" s="1562">
        <f t="shared" si="7"/>
        <v>12701498</v>
      </c>
      <c r="K40" s="1562">
        <f t="shared" si="7"/>
        <v>13041590</v>
      </c>
      <c r="L40" s="1562">
        <f t="shared" si="7"/>
        <v>12667954</v>
      </c>
      <c r="M40" s="1562">
        <f>M4+M6+M7</f>
        <v>12442005</v>
      </c>
      <c r="N40" s="1562">
        <f t="shared" si="7"/>
        <v>12776122</v>
      </c>
      <c r="O40" s="1562">
        <f t="shared" si="7"/>
        <v>13174378</v>
      </c>
      <c r="P40" s="1562">
        <f t="shared" si="7"/>
        <v>13556737</v>
      </c>
      <c r="Q40" s="1562">
        <f t="shared" si="7"/>
        <v>12521314</v>
      </c>
      <c r="R40" s="1562">
        <f t="shared" si="7"/>
        <v>13083089</v>
      </c>
      <c r="S40" s="1562">
        <f t="shared" si="7"/>
        <v>11642874</v>
      </c>
      <c r="T40" s="1562">
        <f t="shared" si="7"/>
        <v>12635320</v>
      </c>
      <c r="U40" s="1562">
        <f t="shared" si="7"/>
        <v>13180979</v>
      </c>
      <c r="V40" s="1562">
        <f t="shared" si="7"/>
        <v>14691189</v>
      </c>
      <c r="W40" s="1562">
        <f t="shared" si="7"/>
        <v>13290537</v>
      </c>
      <c r="X40" s="1562">
        <f t="shared" si="7"/>
        <v>13810106</v>
      </c>
      <c r="Y40" s="1562">
        <f t="shared" si="7"/>
        <v>12420422</v>
      </c>
      <c r="Z40" s="1562">
        <f t="shared" si="7"/>
        <v>13867006</v>
      </c>
      <c r="AA40" s="1562">
        <f t="shared" si="7"/>
        <v>13928933</v>
      </c>
      <c r="AB40" s="1561">
        <f ca="1">SUM(OFFSET(AA40,0,当期月数):AA40)</f>
        <v>107824492</v>
      </c>
      <c r="AD40" s="1529"/>
      <c r="AE40" s="1529"/>
      <c r="AF40" s="1529"/>
    </row>
    <row r="41" spans="1:32" ht="15.4" customHeight="1" x14ac:dyDescent="0.15">
      <c r="B41" s="2094" t="s">
        <v>2</v>
      </c>
      <c r="C41" s="2095"/>
      <c r="D41" s="1562">
        <f t="shared" ref="D41:AA41" si="8">D9+D11+D12</f>
        <v>5132958</v>
      </c>
      <c r="E41" s="1562">
        <f t="shared" si="8"/>
        <v>5287015</v>
      </c>
      <c r="F41" s="1562">
        <f t="shared" si="8"/>
        <v>5118902</v>
      </c>
      <c r="G41" s="1562">
        <f t="shared" si="8"/>
        <v>5264701</v>
      </c>
      <c r="H41" s="1562">
        <f t="shared" si="8"/>
        <v>5755368</v>
      </c>
      <c r="I41" s="1562">
        <f t="shared" si="8"/>
        <v>5902261</v>
      </c>
      <c r="J41" s="1562">
        <f t="shared" si="8"/>
        <v>5695621</v>
      </c>
      <c r="K41" s="1562">
        <f t="shared" si="8"/>
        <v>5663062</v>
      </c>
      <c r="L41" s="1562">
        <f t="shared" si="8"/>
        <v>5154710</v>
      </c>
      <c r="M41" s="1562">
        <f>M9+M11+M12</f>
        <v>5025020</v>
      </c>
      <c r="N41" s="1562">
        <f t="shared" si="8"/>
        <v>4929898</v>
      </c>
      <c r="O41" s="1562">
        <f t="shared" si="8"/>
        <v>7232284</v>
      </c>
      <c r="P41" s="1562">
        <f t="shared" si="8"/>
        <v>6230969</v>
      </c>
      <c r="Q41" s="1562">
        <f t="shared" si="8"/>
        <v>6069322</v>
      </c>
      <c r="R41" s="1562">
        <f t="shared" si="8"/>
        <v>5561896</v>
      </c>
      <c r="S41" s="1562">
        <f t="shared" si="8"/>
        <v>5826362</v>
      </c>
      <c r="T41" s="1562">
        <f t="shared" si="8"/>
        <v>5793526</v>
      </c>
      <c r="U41" s="1562">
        <f t="shared" si="8"/>
        <v>7157702</v>
      </c>
      <c r="V41" s="1562">
        <f t="shared" si="8"/>
        <v>6896455</v>
      </c>
      <c r="W41" s="1562">
        <f t="shared" si="8"/>
        <v>6325977</v>
      </c>
      <c r="X41" s="1562">
        <f t="shared" si="8"/>
        <v>5629997</v>
      </c>
      <c r="Y41" s="1562">
        <f t="shared" si="8"/>
        <v>5979035</v>
      </c>
      <c r="Z41" s="1562">
        <f t="shared" si="8"/>
        <v>5090614</v>
      </c>
      <c r="AA41" s="1562">
        <f t="shared" si="8"/>
        <v>5819788</v>
      </c>
      <c r="AB41" s="1561">
        <f ca="1">SUM(OFFSET(AA41,0,当期月数):AA41)</f>
        <v>48693094</v>
      </c>
      <c r="AD41" s="1529"/>
      <c r="AE41" s="1529"/>
      <c r="AF41" s="1529"/>
    </row>
    <row r="42" spans="1:32" ht="15.4" customHeight="1" x14ac:dyDescent="0.15">
      <c r="B42" s="2094" t="s">
        <v>67</v>
      </c>
      <c r="C42" s="2095"/>
      <c r="D42" s="1562">
        <f t="shared" ref="D42:AA42" si="9">D14+D16</f>
        <v>5052757</v>
      </c>
      <c r="E42" s="1562">
        <f t="shared" si="9"/>
        <v>5402220</v>
      </c>
      <c r="F42" s="1562">
        <f t="shared" si="9"/>
        <v>5590882</v>
      </c>
      <c r="G42" s="1562">
        <f t="shared" si="9"/>
        <v>5553284</v>
      </c>
      <c r="H42" s="1562">
        <f t="shared" si="9"/>
        <v>5599568</v>
      </c>
      <c r="I42" s="1562">
        <f>I14+I16</f>
        <v>5565664</v>
      </c>
      <c r="J42" s="1562">
        <f t="shared" si="9"/>
        <v>5667343</v>
      </c>
      <c r="K42" s="1562">
        <f t="shared" si="9"/>
        <v>5402034</v>
      </c>
      <c r="L42" s="1562">
        <f t="shared" si="9"/>
        <v>5926662</v>
      </c>
      <c r="M42" s="1562">
        <f>M14+M16</f>
        <v>5446239</v>
      </c>
      <c r="N42" s="1562">
        <f t="shared" si="9"/>
        <v>5540107</v>
      </c>
      <c r="O42" s="1562">
        <f t="shared" si="9"/>
        <v>6431607</v>
      </c>
      <c r="P42" s="1562">
        <f t="shared" si="9"/>
        <v>6060872</v>
      </c>
      <c r="Q42" s="1562">
        <f t="shared" si="9"/>
        <v>6513301</v>
      </c>
      <c r="R42" s="1562">
        <f t="shared" si="9"/>
        <v>6649006</v>
      </c>
      <c r="S42" s="1562">
        <f t="shared" si="9"/>
        <v>7241252</v>
      </c>
      <c r="T42" s="1562">
        <f t="shared" si="9"/>
        <v>6463495</v>
      </c>
      <c r="U42" s="1562">
        <f t="shared" si="9"/>
        <v>7009324</v>
      </c>
      <c r="V42" s="1562">
        <f t="shared" si="9"/>
        <v>6737011</v>
      </c>
      <c r="W42" s="1562">
        <f t="shared" si="9"/>
        <v>6594054</v>
      </c>
      <c r="X42" s="1562">
        <f t="shared" si="9"/>
        <v>6710906</v>
      </c>
      <c r="Y42" s="1562">
        <f t="shared" si="9"/>
        <v>6081346</v>
      </c>
      <c r="Z42" s="1562">
        <f t="shared" si="9"/>
        <v>6704778</v>
      </c>
      <c r="AA42" s="1562">
        <f t="shared" si="9"/>
        <v>6750115</v>
      </c>
      <c r="AB42" s="1561">
        <f ca="1">SUM(OFFSET(AA42,0,当期月数):AA42)</f>
        <v>53051029</v>
      </c>
      <c r="AD42" s="1529"/>
      <c r="AE42" s="1529"/>
      <c r="AF42" s="1529"/>
    </row>
    <row r="43" spans="1:32" ht="15.4" customHeight="1" x14ac:dyDescent="0.15">
      <c r="B43" s="2094" t="s">
        <v>969</v>
      </c>
      <c r="C43" s="2095"/>
      <c r="D43" s="1562">
        <f>D18+D20</f>
        <v>0</v>
      </c>
      <c r="E43" s="1562">
        <f t="shared" ref="E43:Z43" si="10">E18+E20</f>
        <v>0</v>
      </c>
      <c r="F43" s="1562">
        <f t="shared" si="10"/>
        <v>0</v>
      </c>
      <c r="G43" s="1562">
        <f t="shared" si="10"/>
        <v>0</v>
      </c>
      <c r="H43" s="1562">
        <f t="shared" si="10"/>
        <v>0</v>
      </c>
      <c r="I43" s="1562">
        <f t="shared" si="10"/>
        <v>0</v>
      </c>
      <c r="J43" s="1562">
        <f t="shared" si="10"/>
        <v>0</v>
      </c>
      <c r="K43" s="1562">
        <f t="shared" si="10"/>
        <v>0</v>
      </c>
      <c r="L43" s="1562">
        <f t="shared" si="10"/>
        <v>0</v>
      </c>
      <c r="M43" s="1562">
        <f>M18+M20</f>
        <v>0</v>
      </c>
      <c r="N43" s="1562">
        <f t="shared" si="10"/>
        <v>0</v>
      </c>
      <c r="O43" s="1562">
        <f t="shared" si="10"/>
        <v>0</v>
      </c>
      <c r="P43" s="1562">
        <f t="shared" si="10"/>
        <v>0</v>
      </c>
      <c r="Q43" s="1562">
        <f t="shared" si="10"/>
        <v>97685</v>
      </c>
      <c r="R43" s="1562">
        <f t="shared" si="10"/>
        <v>662650</v>
      </c>
      <c r="S43" s="1562">
        <f t="shared" si="10"/>
        <v>614869</v>
      </c>
      <c r="T43" s="1562">
        <f t="shared" si="10"/>
        <v>1189678</v>
      </c>
      <c r="U43" s="1562">
        <f t="shared" si="10"/>
        <v>1626446</v>
      </c>
      <c r="V43" s="1562">
        <f t="shared" si="10"/>
        <v>1274064</v>
      </c>
      <c r="W43" s="1562">
        <f t="shared" si="10"/>
        <v>1496063</v>
      </c>
      <c r="X43" s="1562">
        <f t="shared" si="10"/>
        <v>1121024</v>
      </c>
      <c r="Y43" s="1562">
        <f t="shared" si="10"/>
        <v>892049</v>
      </c>
      <c r="Z43" s="1562">
        <f t="shared" si="10"/>
        <v>0</v>
      </c>
      <c r="AA43" s="1562">
        <f>AA18+AA20</f>
        <v>13148</v>
      </c>
      <c r="AB43" s="1561">
        <f ca="1">SUM(OFFSET(AA43,0,当期月数):AA43)</f>
        <v>7612472</v>
      </c>
    </row>
    <row r="44" spans="1:32" ht="15.4" customHeight="1" x14ac:dyDescent="0.15">
      <c r="B44" s="2094" t="s">
        <v>1210</v>
      </c>
      <c r="C44" s="2095"/>
      <c r="D44" s="1562">
        <f t="shared" ref="D44:Z44" si="11">D22+D24</f>
        <v>0</v>
      </c>
      <c r="E44" s="1562">
        <f t="shared" si="11"/>
        <v>0</v>
      </c>
      <c r="F44" s="1562">
        <f t="shared" si="11"/>
        <v>0</v>
      </c>
      <c r="G44" s="1562">
        <f t="shared" si="11"/>
        <v>0</v>
      </c>
      <c r="H44" s="1562">
        <f t="shared" si="11"/>
        <v>0</v>
      </c>
      <c r="I44" s="1562">
        <f t="shared" si="11"/>
        <v>0</v>
      </c>
      <c r="J44" s="1562">
        <f t="shared" si="11"/>
        <v>0</v>
      </c>
      <c r="K44" s="1562">
        <f t="shared" si="11"/>
        <v>0</v>
      </c>
      <c r="L44" s="1562">
        <f t="shared" si="11"/>
        <v>0</v>
      </c>
      <c r="M44" s="1562">
        <f t="shared" si="11"/>
        <v>0</v>
      </c>
      <c r="N44" s="1562">
        <f t="shared" si="11"/>
        <v>0</v>
      </c>
      <c r="O44" s="1562">
        <f t="shared" si="11"/>
        <v>0</v>
      </c>
      <c r="P44" s="1562">
        <f t="shared" si="11"/>
        <v>0</v>
      </c>
      <c r="Q44" s="1562">
        <f t="shared" si="11"/>
        <v>0</v>
      </c>
      <c r="R44" s="1562">
        <f t="shared" si="11"/>
        <v>0</v>
      </c>
      <c r="S44" s="1562">
        <f t="shared" si="11"/>
        <v>0</v>
      </c>
      <c r="T44" s="1562">
        <f t="shared" si="11"/>
        <v>0</v>
      </c>
      <c r="U44" s="1562">
        <f t="shared" si="11"/>
        <v>234284</v>
      </c>
      <c r="V44" s="1562">
        <f t="shared" si="11"/>
        <v>432628</v>
      </c>
      <c r="W44" s="1562">
        <f t="shared" si="11"/>
        <v>668766</v>
      </c>
      <c r="X44" s="1562">
        <f t="shared" si="11"/>
        <v>751563</v>
      </c>
      <c r="Y44" s="1562">
        <f t="shared" si="11"/>
        <v>1051752</v>
      </c>
      <c r="Z44" s="1562">
        <f t="shared" si="11"/>
        <v>1373972</v>
      </c>
      <c r="AA44" s="1562">
        <f>AA22+AA24</f>
        <v>1842536</v>
      </c>
      <c r="AB44" s="1561">
        <f ca="1">SUM(OFFSET(AA44,0,当期月数):AA44)</f>
        <v>6355501</v>
      </c>
    </row>
    <row r="45" spans="1:32" ht="15.4" customHeight="1" x14ac:dyDescent="0.15">
      <c r="B45" s="2094" t="s">
        <v>677</v>
      </c>
      <c r="C45" s="2095"/>
      <c r="D45" s="1562">
        <f t="shared" ref="D45:L45" si="12">D26</f>
        <v>3365344</v>
      </c>
      <c r="E45" s="1562">
        <f t="shared" si="12"/>
        <v>3415735</v>
      </c>
      <c r="F45" s="1562">
        <f t="shared" si="12"/>
        <v>3423639</v>
      </c>
      <c r="G45" s="1562">
        <f t="shared" si="12"/>
        <v>3004304</v>
      </c>
      <c r="H45" s="1562">
        <f t="shared" si="12"/>
        <v>2957348</v>
      </c>
      <c r="I45" s="1562">
        <f t="shared" si="12"/>
        <v>3104841</v>
      </c>
      <c r="J45" s="1562">
        <f t="shared" si="12"/>
        <v>3320183</v>
      </c>
      <c r="K45" s="1562">
        <f t="shared" si="12"/>
        <v>3113881</v>
      </c>
      <c r="L45" s="1562">
        <f t="shared" si="12"/>
        <v>3134166</v>
      </c>
      <c r="M45" s="1562">
        <f>M26</f>
        <v>3319139</v>
      </c>
      <c r="N45" s="1562">
        <f t="shared" ref="N45:AA45" si="13">N26</f>
        <v>3245270</v>
      </c>
      <c r="O45" s="1562">
        <f t="shared" si="13"/>
        <v>4470665</v>
      </c>
      <c r="P45" s="1562">
        <f t="shared" si="13"/>
        <v>4190888</v>
      </c>
      <c r="Q45" s="1562">
        <f t="shared" si="13"/>
        <v>3920019</v>
      </c>
      <c r="R45" s="1562">
        <f t="shared" si="13"/>
        <v>4214501</v>
      </c>
      <c r="S45" s="1562">
        <f t="shared" si="13"/>
        <v>4228735</v>
      </c>
      <c r="T45" s="1562">
        <f t="shared" si="13"/>
        <v>4184601</v>
      </c>
      <c r="U45" s="1562">
        <f t="shared" si="13"/>
        <v>4202400</v>
      </c>
      <c r="V45" s="1562">
        <f t="shared" si="13"/>
        <v>4590331</v>
      </c>
      <c r="W45" s="1562">
        <f t="shared" si="13"/>
        <v>4100094</v>
      </c>
      <c r="X45" s="1562">
        <f t="shared" si="13"/>
        <v>3846817</v>
      </c>
      <c r="Y45" s="1562">
        <f t="shared" si="13"/>
        <v>4145693</v>
      </c>
      <c r="Z45" s="1562">
        <f t="shared" si="13"/>
        <v>4589983</v>
      </c>
      <c r="AA45" s="1562">
        <f t="shared" si="13"/>
        <v>4128975</v>
      </c>
      <c r="AB45" s="1561">
        <f ca="1">SUM(OFFSET(AA45,0,当期月数):AA45)</f>
        <v>33788894</v>
      </c>
    </row>
    <row r="46" spans="1:32" ht="15.4" customHeight="1" x14ac:dyDescent="0.15">
      <c r="B46" s="2094" t="s">
        <v>123</v>
      </c>
      <c r="C46" s="2095"/>
      <c r="D46" s="1563">
        <f t="shared" ref="D46:L46" si="14">D28</f>
        <v>0</v>
      </c>
      <c r="E46" s="1563">
        <f t="shared" si="14"/>
        <v>2638373</v>
      </c>
      <c r="F46" s="1563">
        <f t="shared" si="14"/>
        <v>1225066</v>
      </c>
      <c r="G46" s="1563">
        <f t="shared" si="14"/>
        <v>998363</v>
      </c>
      <c r="H46" s="1563">
        <f t="shared" si="14"/>
        <v>1198162</v>
      </c>
      <c r="I46" s="1563">
        <f t="shared" si="14"/>
        <v>1013496</v>
      </c>
      <c r="J46" s="1563">
        <f t="shared" si="14"/>
        <v>1187409</v>
      </c>
      <c r="K46" s="1563">
        <f t="shared" si="14"/>
        <v>998248</v>
      </c>
      <c r="L46" s="1563">
        <f t="shared" si="14"/>
        <v>778040</v>
      </c>
      <c r="M46" s="1563">
        <f t="shared" ref="M46:AA46" si="15">M28</f>
        <v>710413</v>
      </c>
      <c r="N46" s="1563">
        <f t="shared" si="15"/>
        <v>789390</v>
      </c>
      <c r="O46" s="1563">
        <f t="shared" si="15"/>
        <v>777456</v>
      </c>
      <c r="P46" s="1563">
        <f t="shared" si="15"/>
        <v>802372</v>
      </c>
      <c r="Q46" s="1563">
        <f t="shared" si="15"/>
        <v>517955</v>
      </c>
      <c r="R46" s="1563">
        <f t="shared" si="15"/>
        <v>1128974</v>
      </c>
      <c r="S46" s="1563">
        <f t="shared" si="15"/>
        <v>839546</v>
      </c>
      <c r="T46" s="1563">
        <f t="shared" si="15"/>
        <v>813636</v>
      </c>
      <c r="U46" s="1563">
        <f t="shared" si="15"/>
        <v>1101110</v>
      </c>
      <c r="V46" s="1563">
        <f t="shared" si="15"/>
        <v>1073137</v>
      </c>
      <c r="W46" s="1563">
        <f t="shared" si="15"/>
        <v>1107363</v>
      </c>
      <c r="X46" s="1563">
        <f t="shared" si="15"/>
        <v>1107363</v>
      </c>
      <c r="Y46" s="1563">
        <f t="shared" si="15"/>
        <v>998423</v>
      </c>
      <c r="Z46" s="1563">
        <f t="shared" si="15"/>
        <v>982644</v>
      </c>
      <c r="AA46" s="1563">
        <f t="shared" si="15"/>
        <v>1025725</v>
      </c>
      <c r="AB46" s="1561">
        <f ca="1">SUM(OFFSET(AA46,0,当期月数):AA46)</f>
        <v>8209401</v>
      </c>
    </row>
    <row r="47" spans="1:32" ht="15.4" customHeight="1" x14ac:dyDescent="0.15">
      <c r="B47" s="2100" t="s">
        <v>186</v>
      </c>
      <c r="C47" s="2101"/>
      <c r="D47" s="1563">
        <f t="shared" ref="D47:L47" si="16">D30</f>
        <v>0</v>
      </c>
      <c r="E47" s="1563">
        <f t="shared" si="16"/>
        <v>2247072</v>
      </c>
      <c r="F47" s="1563">
        <f t="shared" si="16"/>
        <v>983492</v>
      </c>
      <c r="G47" s="1563">
        <f t="shared" si="16"/>
        <v>983492</v>
      </c>
      <c r="H47" s="1563">
        <f t="shared" si="16"/>
        <v>937378</v>
      </c>
      <c r="I47" s="1563">
        <f t="shared" si="16"/>
        <v>983492</v>
      </c>
      <c r="J47" s="1563">
        <f t="shared" si="16"/>
        <v>922792</v>
      </c>
      <c r="K47" s="1563">
        <f t="shared" si="16"/>
        <v>983492</v>
      </c>
      <c r="L47" s="1563">
        <f t="shared" si="16"/>
        <v>938092</v>
      </c>
      <c r="M47" s="1563">
        <f>M30</f>
        <v>861922</v>
      </c>
      <c r="N47" s="1563">
        <f t="shared" ref="N47:AA47" si="17">N30</f>
        <v>847336</v>
      </c>
      <c r="O47" s="1563">
        <f t="shared" si="17"/>
        <v>960460</v>
      </c>
      <c r="P47" s="1563">
        <f t="shared" si="17"/>
        <v>1007268</v>
      </c>
      <c r="Q47" s="1563">
        <f t="shared" si="17"/>
        <v>976056</v>
      </c>
      <c r="R47" s="1563">
        <f t="shared" si="17"/>
        <v>1007268</v>
      </c>
      <c r="S47" s="1563">
        <f t="shared" si="17"/>
        <v>827999</v>
      </c>
      <c r="T47" s="1563">
        <f t="shared" si="17"/>
        <v>1003585</v>
      </c>
      <c r="U47" s="1563">
        <f t="shared" si="17"/>
        <v>1019657</v>
      </c>
      <c r="V47" s="1563">
        <f t="shared" si="17"/>
        <v>1012236</v>
      </c>
      <c r="W47" s="1563">
        <f t="shared" si="17"/>
        <v>1044442</v>
      </c>
      <c r="X47" s="1563">
        <f t="shared" si="17"/>
        <v>1044442</v>
      </c>
      <c r="Y47" s="1563">
        <f t="shared" si="17"/>
        <v>937836</v>
      </c>
      <c r="Z47" s="1563">
        <f t="shared" si="17"/>
        <v>915793</v>
      </c>
      <c r="AA47" s="1563">
        <f t="shared" si="17"/>
        <v>746482</v>
      </c>
      <c r="AB47" s="1561">
        <f ca="1">SUM(OFFSET(AA47,0,当期月数):AA47)</f>
        <v>7724473</v>
      </c>
    </row>
    <row r="48" spans="1:32" ht="15.4" customHeight="1" x14ac:dyDescent="0.15">
      <c r="B48" s="2100" t="s">
        <v>377</v>
      </c>
      <c r="C48" s="2101"/>
      <c r="D48" s="1563">
        <f t="shared" ref="D48:K48" si="18">D32</f>
        <v>0</v>
      </c>
      <c r="E48" s="1563">
        <f t="shared" si="18"/>
        <v>1647056</v>
      </c>
      <c r="F48" s="1563">
        <f t="shared" si="18"/>
        <v>1656941</v>
      </c>
      <c r="G48" s="1563">
        <f t="shared" si="18"/>
        <v>1825197</v>
      </c>
      <c r="H48" s="1563">
        <f t="shared" si="18"/>
        <v>1933548</v>
      </c>
      <c r="I48" s="1563">
        <f t="shared" si="18"/>
        <v>3035498</v>
      </c>
      <c r="J48" s="1563">
        <f>J32</f>
        <v>2385860</v>
      </c>
      <c r="K48" s="1563">
        <f t="shared" si="18"/>
        <v>2448469</v>
      </c>
      <c r="L48" s="1563">
        <f>L32</f>
        <v>2396635</v>
      </c>
      <c r="M48" s="1563">
        <f t="shared" ref="M48:AA48" si="19">M32</f>
        <v>2200178</v>
      </c>
      <c r="N48" s="1563">
        <f t="shared" si="19"/>
        <v>2426031</v>
      </c>
      <c r="O48" s="1563">
        <f t="shared" si="19"/>
        <v>2405342</v>
      </c>
      <c r="P48" s="1563">
        <f t="shared" si="19"/>
        <v>2474409</v>
      </c>
      <c r="Q48" s="1563">
        <f t="shared" si="19"/>
        <v>2169018</v>
      </c>
      <c r="R48" s="1563">
        <f t="shared" si="19"/>
        <v>2677988</v>
      </c>
      <c r="S48" s="1563">
        <f t="shared" si="19"/>
        <v>2198275</v>
      </c>
      <c r="T48" s="1563">
        <f t="shared" si="19"/>
        <v>2292635</v>
      </c>
      <c r="U48" s="1563">
        <f t="shared" si="19"/>
        <v>2500912</v>
      </c>
      <c r="V48" s="1563">
        <f t="shared" si="19"/>
        <v>2443866</v>
      </c>
      <c r="W48" s="1563">
        <f t="shared" si="19"/>
        <v>2507684</v>
      </c>
      <c r="X48" s="1563">
        <f t="shared" si="19"/>
        <v>2515481</v>
      </c>
      <c r="Y48" s="1563">
        <f t="shared" si="19"/>
        <v>1730172</v>
      </c>
      <c r="Z48" s="1563">
        <f t="shared" si="19"/>
        <v>1691368</v>
      </c>
      <c r="AA48" s="1563">
        <f t="shared" si="19"/>
        <v>2509810</v>
      </c>
      <c r="AB48" s="1561">
        <f ca="1">SUM(OFFSET(AA48,0,当期月数):AA48)</f>
        <v>18191928</v>
      </c>
    </row>
    <row r="49" spans="1:33" ht="15.4" customHeight="1" thickBot="1" x14ac:dyDescent="0.2">
      <c r="B49" s="2100" t="s">
        <v>1509</v>
      </c>
      <c r="C49" s="2101"/>
      <c r="D49" s="1939">
        <f>D34</f>
        <v>0</v>
      </c>
      <c r="E49" s="1939">
        <f t="shared" ref="E49:AA49" si="20">E34</f>
        <v>0</v>
      </c>
      <c r="F49" s="1939">
        <f t="shared" si="20"/>
        <v>0</v>
      </c>
      <c r="G49" s="1939">
        <f t="shared" si="20"/>
        <v>0</v>
      </c>
      <c r="H49" s="1939">
        <f t="shared" si="20"/>
        <v>0</v>
      </c>
      <c r="I49" s="1939">
        <f t="shared" si="20"/>
        <v>0</v>
      </c>
      <c r="J49" s="1939">
        <f t="shared" si="20"/>
        <v>0</v>
      </c>
      <c r="K49" s="1939">
        <f t="shared" si="20"/>
        <v>0</v>
      </c>
      <c r="L49" s="1939">
        <f t="shared" si="20"/>
        <v>0</v>
      </c>
      <c r="M49" s="1939">
        <f t="shared" si="20"/>
        <v>0</v>
      </c>
      <c r="N49" s="1939">
        <f t="shared" si="20"/>
        <v>0</v>
      </c>
      <c r="O49" s="1939">
        <f t="shared" si="20"/>
        <v>0</v>
      </c>
      <c r="P49" s="1939">
        <f t="shared" si="20"/>
        <v>0</v>
      </c>
      <c r="Q49" s="1939">
        <f t="shared" si="20"/>
        <v>0</v>
      </c>
      <c r="R49" s="1939">
        <f t="shared" si="20"/>
        <v>0</v>
      </c>
      <c r="S49" s="1939">
        <f t="shared" si="20"/>
        <v>0</v>
      </c>
      <c r="T49" s="1939">
        <f t="shared" si="20"/>
        <v>0</v>
      </c>
      <c r="U49" s="1939">
        <f t="shared" si="20"/>
        <v>0</v>
      </c>
      <c r="V49" s="1939">
        <f t="shared" si="20"/>
        <v>0</v>
      </c>
      <c r="W49" s="1939">
        <f t="shared" si="20"/>
        <v>0</v>
      </c>
      <c r="X49" s="1939">
        <f t="shared" si="20"/>
        <v>0</v>
      </c>
      <c r="Y49" s="1939">
        <f t="shared" si="20"/>
        <v>1296188</v>
      </c>
      <c r="Z49" s="1939">
        <f t="shared" si="20"/>
        <v>1595131</v>
      </c>
      <c r="AA49" s="1939">
        <f t="shared" si="20"/>
        <v>1867332</v>
      </c>
      <c r="AB49" s="1940">
        <f ca="1">SUM(OFFSET(AA49,0,当期月数):AA49)</f>
        <v>4758651</v>
      </c>
    </row>
    <row r="50" spans="1:33" ht="15.4" customHeight="1" thickTop="1" x14ac:dyDescent="0.15">
      <c r="B50" s="2098" t="s">
        <v>146</v>
      </c>
      <c r="C50" s="2099"/>
      <c r="D50" s="1565">
        <f>D5+D27+D10+D15+D19+D23</f>
        <v>2475862</v>
      </c>
      <c r="E50" s="1565">
        <f t="shared" ref="E50:U50" si="21">E5+E27+E10+E15+E19+E23</f>
        <v>2260825</v>
      </c>
      <c r="F50" s="1565">
        <f t="shared" si="21"/>
        <v>2367623</v>
      </c>
      <c r="G50" s="1565">
        <f t="shared" si="21"/>
        <v>2347544</v>
      </c>
      <c r="H50" s="1565">
        <f t="shared" si="21"/>
        <v>2474592</v>
      </c>
      <c r="I50" s="1565">
        <f t="shared" si="21"/>
        <v>2443820</v>
      </c>
      <c r="J50" s="1565">
        <f t="shared" si="21"/>
        <v>2356316</v>
      </c>
      <c r="K50" s="1565">
        <f t="shared" si="21"/>
        <v>2380642</v>
      </c>
      <c r="L50" s="1565">
        <f t="shared" si="21"/>
        <v>2394735</v>
      </c>
      <c r="M50" s="1565">
        <f t="shared" si="21"/>
        <v>2229755</v>
      </c>
      <c r="N50" s="1565">
        <f t="shared" si="21"/>
        <v>2404267</v>
      </c>
      <c r="O50" s="1565">
        <f t="shared" si="21"/>
        <v>2691724</v>
      </c>
      <c r="P50" s="1565">
        <f t="shared" si="21"/>
        <v>2600228</v>
      </c>
      <c r="Q50" s="1565">
        <f t="shared" si="21"/>
        <v>2494253</v>
      </c>
      <c r="R50" s="1565">
        <f t="shared" si="21"/>
        <v>2562534</v>
      </c>
      <c r="S50" s="1565">
        <f t="shared" si="21"/>
        <v>2512035</v>
      </c>
      <c r="T50" s="1565">
        <f t="shared" si="21"/>
        <v>2531587</v>
      </c>
      <c r="U50" s="1565">
        <f t="shared" si="21"/>
        <v>2639853</v>
      </c>
      <c r="V50" s="1565">
        <f t="shared" ref="V50:Z50" si="22">V5+V27+V10+V15+V19+V23</f>
        <v>2863186</v>
      </c>
      <c r="W50" s="1565">
        <f t="shared" si="22"/>
        <v>2607541</v>
      </c>
      <c r="X50" s="1565">
        <f t="shared" si="22"/>
        <v>2601128</v>
      </c>
      <c r="Y50" s="1565">
        <f t="shared" si="22"/>
        <v>2476407</v>
      </c>
      <c r="Z50" s="1565">
        <f t="shared" si="22"/>
        <v>2543698</v>
      </c>
      <c r="AA50" s="1565">
        <f>AA5+AA27+AA10+AA15+AA19+AA23</f>
        <v>0</v>
      </c>
      <c r="AB50" s="1566">
        <f ca="1">SUM(OFFSET(AA50,0,当期月数):AA50)</f>
        <v>18263400</v>
      </c>
    </row>
    <row r="51" spans="1:33" ht="15.4" customHeight="1" x14ac:dyDescent="0.15">
      <c r="B51" s="2094" t="s">
        <v>147</v>
      </c>
      <c r="C51" s="2095"/>
      <c r="D51" s="1567">
        <f>D8+D13+D17+D21+D25+D29+D31+D33+D35</f>
        <v>968199</v>
      </c>
      <c r="E51" s="1567">
        <f t="shared" ref="E51:AA51" si="23">E8+E13+E17+E21+E25+E29+E31+E33+E35</f>
        <v>1437815.9100000001</v>
      </c>
      <c r="F51" s="1567">
        <f t="shared" si="23"/>
        <v>1361445</v>
      </c>
      <c r="G51" s="1567">
        <f t="shared" si="23"/>
        <v>1241956.0000000002</v>
      </c>
      <c r="H51" s="1567">
        <f t="shared" si="23"/>
        <v>1198037</v>
      </c>
      <c r="I51" s="1567">
        <f t="shared" si="23"/>
        <v>1303328</v>
      </c>
      <c r="J51" s="1567">
        <f t="shared" si="23"/>
        <v>1216813</v>
      </c>
      <c r="K51" s="1567">
        <f t="shared" si="23"/>
        <v>1136526</v>
      </c>
      <c r="L51" s="1567">
        <f t="shared" si="23"/>
        <v>1289840</v>
      </c>
      <c r="M51" s="1567">
        <f t="shared" si="23"/>
        <v>1111655</v>
      </c>
      <c r="N51" s="1567">
        <f t="shared" si="23"/>
        <v>1124100</v>
      </c>
      <c r="O51" s="1567">
        <f t="shared" si="23"/>
        <v>1138865</v>
      </c>
      <c r="P51" s="1567">
        <f t="shared" si="23"/>
        <v>1157222.93</v>
      </c>
      <c r="Q51" s="1567">
        <f t="shared" si="23"/>
        <v>1149137</v>
      </c>
      <c r="R51" s="1567">
        <f t="shared" si="23"/>
        <v>1284118</v>
      </c>
      <c r="S51" s="1567">
        <f t="shared" si="23"/>
        <v>1130578</v>
      </c>
      <c r="T51" s="1567">
        <f t="shared" si="23"/>
        <v>1293478</v>
      </c>
      <c r="U51" s="1567">
        <f t="shared" si="23"/>
        <v>1462866.9999999998</v>
      </c>
      <c r="V51" s="1567">
        <f t="shared" si="23"/>
        <v>1512535.0000000002</v>
      </c>
      <c r="W51" s="1567">
        <f t="shared" si="23"/>
        <v>1622389</v>
      </c>
      <c r="X51" s="1567">
        <f t="shared" si="23"/>
        <v>1534040</v>
      </c>
      <c r="Y51" s="1567">
        <f t="shared" si="23"/>
        <v>1410772.9999999998</v>
      </c>
      <c r="Z51" s="1567">
        <f t="shared" si="23"/>
        <v>1476743.1199999999</v>
      </c>
      <c r="AA51" s="1567">
        <f t="shared" si="23"/>
        <v>0</v>
      </c>
      <c r="AB51" s="1561">
        <f ca="1">SUM(OFFSET(AA51,0,当期月数):AA51)</f>
        <v>10312825.119999999</v>
      </c>
    </row>
    <row r="52" spans="1:33" ht="15.4" customHeight="1" thickBot="1" x14ac:dyDescent="0.2">
      <c r="B52" s="2100" t="s">
        <v>150</v>
      </c>
      <c r="C52" s="2101"/>
      <c r="D52" s="1567">
        <f t="shared" ref="D52:AA52" si="24">IF(D50=0,VLOOKUP(D2,処遇改善プール額,2,TRUE),IF(D50&gt;VLOOKUP(D2,処遇改善プール額,2,TRUE),VLOOKUP(D2,処遇改善プール額,2,TRUE),0)+D51)</f>
        <v>1568199</v>
      </c>
      <c r="E52" s="1567">
        <f>IF(E50=0,VLOOKUP(E2,処遇改善プール額,2,TRUE),IF(E50&gt;VLOOKUP(E2,処遇改善プール額,2,TRUE),VLOOKUP(E2,処遇改善プール額,2,TRUE),0)+E51)</f>
        <v>2037815.9100000001</v>
      </c>
      <c r="F52" s="1567">
        <f t="shared" si="24"/>
        <v>1961445</v>
      </c>
      <c r="G52" s="1567">
        <f t="shared" si="24"/>
        <v>1841956.0000000002</v>
      </c>
      <c r="H52" s="1567">
        <f t="shared" si="24"/>
        <v>1798037</v>
      </c>
      <c r="I52" s="1567">
        <f t="shared" si="24"/>
        <v>1903328</v>
      </c>
      <c r="J52" s="1567">
        <f>IF(J50=0,VLOOKUP(J2,処遇改善プール額,2,TRUE),IF(J50&gt;VLOOKUP(J2,処遇改善プール額,2,TRUE),VLOOKUP(J2,処遇改善プール額,2,TRUE),0)+J51)</f>
        <v>1816813</v>
      </c>
      <c r="K52" s="1567">
        <f t="shared" si="24"/>
        <v>1736526</v>
      </c>
      <c r="L52" s="1567">
        <f t="shared" si="24"/>
        <v>1889840</v>
      </c>
      <c r="M52" s="1567">
        <f t="shared" si="24"/>
        <v>1711655</v>
      </c>
      <c r="N52" s="1567">
        <f t="shared" si="24"/>
        <v>1724100</v>
      </c>
      <c r="O52" s="1567">
        <f t="shared" si="24"/>
        <v>1738865</v>
      </c>
      <c r="P52" s="1567">
        <f t="shared" si="24"/>
        <v>1757222.93</v>
      </c>
      <c r="Q52" s="1567">
        <f t="shared" si="24"/>
        <v>1749137</v>
      </c>
      <c r="R52" s="1567">
        <f t="shared" si="24"/>
        <v>1884118</v>
      </c>
      <c r="S52" s="1567">
        <f t="shared" si="24"/>
        <v>1730578</v>
      </c>
      <c r="T52" s="1567">
        <f t="shared" si="24"/>
        <v>1893478</v>
      </c>
      <c r="U52" s="1567">
        <f t="shared" si="24"/>
        <v>2062866.9999999998</v>
      </c>
      <c r="V52" s="1567">
        <f t="shared" si="24"/>
        <v>2112535</v>
      </c>
      <c r="W52" s="1567">
        <f t="shared" si="24"/>
        <v>2222389</v>
      </c>
      <c r="X52" s="1567">
        <f t="shared" si="24"/>
        <v>2134040</v>
      </c>
      <c r="Y52" s="1567">
        <f t="shared" si="24"/>
        <v>2010772.9999999998</v>
      </c>
      <c r="Z52" s="1567">
        <f t="shared" si="24"/>
        <v>2076743.1199999999</v>
      </c>
      <c r="AA52" s="1567">
        <f t="shared" si="24"/>
        <v>600000</v>
      </c>
      <c r="AB52" s="1568">
        <f ca="1">SUM(OFFSET(AA52,0,当期月数):AA52)</f>
        <v>15112825.119999999</v>
      </c>
    </row>
    <row r="53" spans="1:33" ht="15.4" customHeight="1" thickTop="1" thickBot="1" x14ac:dyDescent="0.2">
      <c r="B53" s="2096" t="s">
        <v>14</v>
      </c>
      <c r="C53" s="2097"/>
      <c r="D53" s="1569">
        <f t="shared" ref="D53:Z53" si="25">SUM(D39:D49)</f>
        <v>27568996</v>
      </c>
      <c r="E53" s="1569">
        <f t="shared" si="25"/>
        <v>33203048</v>
      </c>
      <c r="F53" s="1569">
        <f t="shared" si="25"/>
        <v>31555726</v>
      </c>
      <c r="G53" s="1569">
        <f t="shared" si="25"/>
        <v>31038974</v>
      </c>
      <c r="H53" s="1569">
        <f t="shared" si="25"/>
        <v>32188188</v>
      </c>
      <c r="I53" s="1569">
        <f t="shared" si="25"/>
        <v>33336230</v>
      </c>
      <c r="J53" s="1569">
        <f t="shared" si="25"/>
        <v>31880706</v>
      </c>
      <c r="K53" s="1569">
        <f t="shared" si="25"/>
        <v>31650776</v>
      </c>
      <c r="L53" s="1569">
        <f t="shared" si="25"/>
        <v>30996259</v>
      </c>
      <c r="M53" s="1569">
        <f t="shared" si="25"/>
        <v>30004916</v>
      </c>
      <c r="N53" s="1569">
        <f t="shared" si="25"/>
        <v>30554154</v>
      </c>
      <c r="O53" s="1569">
        <f t="shared" si="25"/>
        <v>35452192</v>
      </c>
      <c r="P53" s="1569">
        <f t="shared" si="25"/>
        <v>34323515</v>
      </c>
      <c r="Q53" s="1569">
        <f t="shared" si="25"/>
        <v>32784670</v>
      </c>
      <c r="R53" s="1569">
        <f t="shared" si="25"/>
        <v>34985372</v>
      </c>
      <c r="S53" s="1569">
        <f t="shared" si="25"/>
        <v>33419912</v>
      </c>
      <c r="T53" s="1569">
        <f t="shared" si="25"/>
        <v>34376476</v>
      </c>
      <c r="U53" s="1569">
        <f t="shared" si="25"/>
        <v>38032814</v>
      </c>
      <c r="V53" s="1569">
        <f t="shared" si="25"/>
        <v>39150917</v>
      </c>
      <c r="W53" s="1569">
        <f t="shared" si="25"/>
        <v>37134980</v>
      </c>
      <c r="X53" s="1569">
        <f t="shared" si="25"/>
        <v>36537699</v>
      </c>
      <c r="Y53" s="1569">
        <f t="shared" si="25"/>
        <v>35532916</v>
      </c>
      <c r="Z53" s="1569">
        <f t="shared" si="25"/>
        <v>36811289</v>
      </c>
      <c r="AA53" s="1569">
        <f>SUM(AA39:AA49)</f>
        <v>38632844</v>
      </c>
      <c r="AB53" s="1570">
        <f ca="1">SUM(OFFSET(AA53,0,当期月数):AA53)</f>
        <v>296209935</v>
      </c>
    </row>
    <row r="54" spans="1:33" ht="5.25" customHeight="1" x14ac:dyDescent="0.15">
      <c r="B54" s="1571"/>
      <c r="C54" s="1572"/>
      <c r="D54" s="1573"/>
      <c r="E54" s="1573"/>
      <c r="F54" s="1573"/>
      <c r="G54" s="1573"/>
      <c r="H54" s="1573"/>
      <c r="I54" s="1573"/>
      <c r="J54" s="1573"/>
      <c r="K54" s="1573"/>
      <c r="L54" s="1573"/>
      <c r="M54" s="1574"/>
      <c r="N54" s="1574"/>
      <c r="O54" s="1574"/>
      <c r="P54" s="1574"/>
      <c r="Q54" s="1574"/>
      <c r="R54" s="1574"/>
      <c r="S54" s="1574"/>
      <c r="T54" s="1574"/>
      <c r="U54" s="1574"/>
      <c r="V54" s="1574"/>
      <c r="W54" s="1574"/>
      <c r="X54" s="1574"/>
      <c r="Y54" s="1574"/>
      <c r="Z54" s="1574"/>
      <c r="AA54" s="1574"/>
      <c r="AB54" s="1575"/>
    </row>
    <row r="55" spans="1:33" ht="15.4" customHeight="1" x14ac:dyDescent="0.15">
      <c r="B55" s="1576"/>
      <c r="C55" s="1577"/>
      <c r="D55" s="1578"/>
      <c r="E55" s="1578"/>
      <c r="F55" s="1578"/>
      <c r="G55" s="1578"/>
      <c r="H55" s="1578"/>
      <c r="I55" s="1578"/>
      <c r="J55" s="1578"/>
      <c r="K55" s="1578"/>
      <c r="L55" s="1578"/>
      <c r="M55" s="1578"/>
      <c r="N55" s="1578"/>
      <c r="O55" s="1578"/>
      <c r="P55" s="1578"/>
      <c r="Q55" s="1578"/>
      <c r="R55" s="1578"/>
      <c r="S55" s="1578"/>
      <c r="T55" s="1578"/>
      <c r="U55" s="1578"/>
      <c r="V55" s="1578"/>
      <c r="W55" s="1578"/>
      <c r="X55" s="1578"/>
      <c r="Y55" s="1578"/>
      <c r="Z55" s="1578"/>
      <c r="AA55" s="1578"/>
      <c r="AB55" s="1578"/>
      <c r="AC55" s="1578"/>
      <c r="AG55" s="1578"/>
    </row>
    <row r="56" spans="1:33" ht="15.4" customHeight="1" thickBot="1" x14ac:dyDescent="0.2">
      <c r="B56" s="1579" t="s">
        <v>919</v>
      </c>
      <c r="C56" s="1580"/>
      <c r="D56" s="1578"/>
      <c r="E56" s="1578"/>
      <c r="F56" s="1578"/>
      <c r="G56" s="1578"/>
      <c r="H56" s="1578"/>
      <c r="I56" s="1578"/>
      <c r="J56" s="1578"/>
      <c r="K56" s="1578"/>
      <c r="L56" s="1578"/>
      <c r="M56" s="1578"/>
      <c r="N56" s="1578"/>
      <c r="O56" s="1578"/>
      <c r="P56" s="1578"/>
      <c r="Q56" s="1578"/>
      <c r="R56" s="1578"/>
      <c r="S56" s="1578"/>
      <c r="T56" s="1578"/>
      <c r="U56" s="1578"/>
      <c r="V56" s="1578"/>
      <c r="W56" s="1578"/>
      <c r="X56" s="1578"/>
      <c r="Y56" s="1578"/>
      <c r="Z56" s="1578"/>
      <c r="AA56" s="1578"/>
      <c r="AB56" s="1581"/>
    </row>
    <row r="57" spans="1:33" ht="15.4" customHeight="1" x14ac:dyDescent="0.15">
      <c r="B57" s="1582" t="s">
        <v>4</v>
      </c>
      <c r="C57" s="1583" t="s">
        <v>13</v>
      </c>
      <c r="D57" s="1584">
        <f t="shared" ref="D57:AB57" si="26">D2</f>
        <v>42856</v>
      </c>
      <c r="E57" s="1584">
        <f t="shared" si="26"/>
        <v>42887</v>
      </c>
      <c r="F57" s="1584">
        <f t="shared" si="26"/>
        <v>42917</v>
      </c>
      <c r="G57" s="1584">
        <f t="shared" si="26"/>
        <v>42948</v>
      </c>
      <c r="H57" s="1584">
        <f t="shared" si="26"/>
        <v>42979</v>
      </c>
      <c r="I57" s="1584">
        <f t="shared" si="26"/>
        <v>43009</v>
      </c>
      <c r="J57" s="1584">
        <f t="shared" si="26"/>
        <v>43040</v>
      </c>
      <c r="K57" s="1584">
        <f t="shared" si="26"/>
        <v>43070</v>
      </c>
      <c r="L57" s="1584">
        <f t="shared" si="26"/>
        <v>43101</v>
      </c>
      <c r="M57" s="1584">
        <f t="shared" si="26"/>
        <v>43132</v>
      </c>
      <c r="N57" s="1584">
        <f t="shared" si="26"/>
        <v>43160</v>
      </c>
      <c r="O57" s="1584">
        <f t="shared" si="26"/>
        <v>43191</v>
      </c>
      <c r="P57" s="1584">
        <f t="shared" si="26"/>
        <v>43221</v>
      </c>
      <c r="Q57" s="1584">
        <f t="shared" si="26"/>
        <v>43252</v>
      </c>
      <c r="R57" s="1584">
        <f t="shared" si="26"/>
        <v>43282</v>
      </c>
      <c r="S57" s="1584">
        <f t="shared" si="26"/>
        <v>43313</v>
      </c>
      <c r="T57" s="1584">
        <f t="shared" si="26"/>
        <v>43344</v>
      </c>
      <c r="U57" s="1584">
        <f t="shared" si="26"/>
        <v>43374</v>
      </c>
      <c r="V57" s="1584">
        <f t="shared" si="26"/>
        <v>43405</v>
      </c>
      <c r="W57" s="1584">
        <f t="shared" si="26"/>
        <v>43435</v>
      </c>
      <c r="X57" s="1584">
        <f t="shared" si="26"/>
        <v>43466</v>
      </c>
      <c r="Y57" s="1584">
        <f t="shared" si="26"/>
        <v>43497</v>
      </c>
      <c r="Z57" s="1584">
        <f t="shared" si="26"/>
        <v>43525</v>
      </c>
      <c r="AA57" s="1585">
        <f t="shared" si="26"/>
        <v>43556</v>
      </c>
      <c r="AB57" s="1586">
        <f t="shared" si="26"/>
        <v>43344</v>
      </c>
    </row>
    <row r="58" spans="1:33" ht="15.4" customHeight="1" x14ac:dyDescent="0.15">
      <c r="A58" s="1511" t="s">
        <v>683</v>
      </c>
      <c r="B58" s="2052" t="s">
        <v>89</v>
      </c>
      <c r="C58" s="1588" t="s">
        <v>90</v>
      </c>
      <c r="D58" s="1589">
        <f>IFERROR(GETPIVOTDATA("合計 / " &amp; $C58,【ピボット】事業所売上!$A$3,"年月",D$2,"事業所",$A58),0)</f>
        <v>0</v>
      </c>
      <c r="E58" s="1589">
        <f>IFERROR(GETPIVOTDATA("合計 / " &amp; $C58,【ピボット】事業所売上!$A$3,"年月",E$2,"事業所",$A58),0)</f>
        <v>0</v>
      </c>
      <c r="F58" s="1589">
        <f>IFERROR(GETPIVOTDATA("合計 / " &amp; $C58,【ピボット】事業所売上!$A$3,"年月",F$2,"事業所",$A58),0)</f>
        <v>0</v>
      </c>
      <c r="G58" s="1589">
        <f>IFERROR(GETPIVOTDATA("合計 / " &amp; $C58,【ピボット】事業所売上!$A$3,"年月",G$2,"事業所",$A58),0)</f>
        <v>0</v>
      </c>
      <c r="H58" s="1589">
        <f>IFERROR(GETPIVOTDATA("合計 / " &amp; $C58,【ピボット】事業所売上!$A$3,"年月",H$2,"事業所",$A58),0)</f>
        <v>0</v>
      </c>
      <c r="I58" s="1589">
        <f>IFERROR(GETPIVOTDATA("合計 / " &amp; $C58,【ピボット】事業所売上!$A$3,"年月",I$2,"事業所",$A58),0)</f>
        <v>0</v>
      </c>
      <c r="J58" s="1589">
        <f>IFERROR(GETPIVOTDATA("合計 / " &amp; $C58,【ピボット】事業所売上!$A$3,"年月",J$2,"事業所",$A58),0)</f>
        <v>0</v>
      </c>
      <c r="K58" s="1589">
        <f>IFERROR(GETPIVOTDATA("合計 / " &amp; $C58,【ピボット】事業所売上!$A$3,"年月",K$2,"事業所",$A58),0)</f>
        <v>0</v>
      </c>
      <c r="L58" s="1589">
        <f>IFERROR(GETPIVOTDATA("合計 / " &amp; $C58,【ピボット】事業所売上!$A$3,"年月",L$2,"事業所",$A58),0)</f>
        <v>0</v>
      </c>
      <c r="M58" s="1589">
        <f>IFERROR(GETPIVOTDATA("合計 / " &amp; $C58,【ピボット】事業所売上!$A$3,"年月",M$2,"事業所",$A58),0)</f>
        <v>0</v>
      </c>
      <c r="N58" s="1589">
        <f>IFERROR(GETPIVOTDATA("合計 / " &amp; $C58,【ピボット】事業所売上!$A$3,"年月",N$2,"事業所",$A58),0)</f>
        <v>0</v>
      </c>
      <c r="O58" s="1589">
        <f>IFERROR(GETPIVOTDATA("合計 / " &amp; $C58,【ピボット】事業所売上!$A$3,"年月",O$2,"事業所",$A58),0)</f>
        <v>0</v>
      </c>
      <c r="P58" s="1589">
        <f>IFERROR(GETPIVOTDATA("合計 / " &amp; $C58,【ピボット】事業所売上!$A$3,"年月",P$2,"事業所",$A58),0)</f>
        <v>0</v>
      </c>
      <c r="Q58" s="1589">
        <f>IFERROR(GETPIVOTDATA("合計 / " &amp; $C58,【ピボット】事業所売上!$A$3,"年月",Q$2,"事業所",$A58),0)</f>
        <v>0</v>
      </c>
      <c r="R58" s="1589">
        <f>IFERROR(GETPIVOTDATA("合計 / " &amp; $C58,【ピボット】事業所売上!$A$3,"年月",R$2,"事業所",$A58),0)</f>
        <v>0</v>
      </c>
      <c r="S58" s="1589">
        <f>IFERROR(GETPIVOTDATA("合計 / " &amp; $C58,【ピボット】事業所売上!$A$3,"年月",S$2,"事業所",$A58),0)</f>
        <v>0</v>
      </c>
      <c r="T58" s="1589">
        <f>IFERROR(GETPIVOTDATA("合計 / " &amp; $C58,【ピボット】事業所売上!$A$3,"年月",T$2,"事業所",$A58),0)</f>
        <v>0</v>
      </c>
      <c r="U58" s="1589">
        <f>IFERROR(GETPIVOTDATA("合計 / " &amp; $C58,【ピボット】事業所売上!$A$3,"年月",U$2,"事業所",$A58),0)</f>
        <v>0</v>
      </c>
      <c r="V58" s="1589">
        <f>IFERROR(GETPIVOTDATA("合計 / " &amp; $C58,【ピボット】事業所売上!$A$3,"年月",V$2,"事業所",$A58),0)</f>
        <v>0</v>
      </c>
      <c r="W58" s="1589">
        <f>IFERROR(GETPIVOTDATA("合計 / " &amp; $C58,【ピボット】事業所売上!$A$3,"年月",W$2,"事業所",$A58),0)</f>
        <v>0</v>
      </c>
      <c r="X58" s="1589">
        <f>IFERROR(GETPIVOTDATA("合計 / " &amp; $C58,【ピボット】事業所売上!$A$3,"年月",X$2,"事業所",$A58),0)</f>
        <v>0</v>
      </c>
      <c r="Y58" s="1589">
        <f>IFERROR(GETPIVOTDATA("合計 / " &amp; $C58,【ピボット】事業所売上!$A$3,"年月",Y$2,"事業所",$A58),0)</f>
        <v>0</v>
      </c>
      <c r="Z58" s="1589">
        <f>IFERROR(GETPIVOTDATA("合計 / " &amp; $C58,【ピボット】事業所売上!$A$3,"年月",Z$2,"事業所",$A58),0)</f>
        <v>0</v>
      </c>
      <c r="AA58" s="1589">
        <f>IFERROR(GETPIVOTDATA("合計 / " &amp; $C58,【ピボット】事業所売上!$A$3,"年月",AA$2,"事業所",$A58),0)</f>
        <v>0</v>
      </c>
      <c r="AB58" s="1590">
        <f ca="1">SUM(OFFSET(AA58,0,当期月数):AA58)</f>
        <v>0</v>
      </c>
    </row>
    <row r="59" spans="1:33" ht="15.4" customHeight="1" x14ac:dyDescent="0.15">
      <c r="A59" s="1511" t="s">
        <v>683</v>
      </c>
      <c r="B59" s="2052" t="s">
        <v>491</v>
      </c>
      <c r="C59" s="1591" t="s">
        <v>688</v>
      </c>
      <c r="D59" s="1592">
        <f>IFERROR(GETPIVOTDATA("合計 / " &amp; $C59,【ピボット】事業所売上!$A$3,"年月",D$2,"事業所",$A59),0)</f>
        <v>0</v>
      </c>
      <c r="E59" s="1592">
        <f>IFERROR(GETPIVOTDATA("合計 / " &amp; $C59,【ピボット】事業所売上!$A$3,"年月",E$2,"事業所",$A59),0)</f>
        <v>0</v>
      </c>
      <c r="F59" s="1592">
        <f>IFERROR(GETPIVOTDATA("合計 / " &amp; $C59,【ピボット】事業所売上!$A$3,"年月",F$2,"事業所",$A59),0)</f>
        <v>0</v>
      </c>
      <c r="G59" s="1592">
        <f>IFERROR(GETPIVOTDATA("合計 / " &amp; $C59,【ピボット】事業所売上!$A$3,"年月",G$2,"事業所",$A59),0)</f>
        <v>0</v>
      </c>
      <c r="H59" s="1592">
        <f>IFERROR(GETPIVOTDATA("合計 / " &amp; $C59,【ピボット】事業所売上!$A$3,"年月",H$2,"事業所",$A59),0)</f>
        <v>0</v>
      </c>
      <c r="I59" s="1592">
        <f>IFERROR(GETPIVOTDATA("合計 / " &amp; $C59,【ピボット】事業所売上!$A$3,"年月",I$2,"事業所",$A59),0)</f>
        <v>140400</v>
      </c>
      <c r="J59" s="1592">
        <f>IFERROR(GETPIVOTDATA("合計 / " &amp; $C59,【ピボット】事業所売上!$A$3,"年月",J$2,"事業所",$A59),0)</f>
        <v>0</v>
      </c>
      <c r="K59" s="1592">
        <f>IFERROR(GETPIVOTDATA("合計 / " &amp; $C59,【ピボット】事業所売上!$A$3,"年月",K$2,"事業所",$A59),0)</f>
        <v>0</v>
      </c>
      <c r="L59" s="1592">
        <f>IFERROR(GETPIVOTDATA("合計 / " &amp; $C59,【ピボット】事業所売上!$A$3,"年月",L$2,"事業所",$A59),0)</f>
        <v>0</v>
      </c>
      <c r="M59" s="1592">
        <f>IFERROR(GETPIVOTDATA("合計 / " &amp; $C59,【ピボット】事業所売上!$A$3,"年月",M$2,"事業所",$A59),0)</f>
        <v>0</v>
      </c>
      <c r="N59" s="1592">
        <f>IFERROR(GETPIVOTDATA("合計 / " &amp; $C59,【ピボット】事業所売上!$A$3,"年月",N$2,"事業所",$A59),0)</f>
        <v>0</v>
      </c>
      <c r="O59" s="1592">
        <f>IFERROR(GETPIVOTDATA("合計 / " &amp; $C59,【ピボット】事業所売上!$A$3,"年月",O$2,"事業所",$A59),0)</f>
        <v>0</v>
      </c>
      <c r="P59" s="1592">
        <f>IFERROR(GETPIVOTDATA("合計 / " &amp; $C59,【ピボット】事業所売上!$A$3,"年月",P$2,"事業所",$A59),0)</f>
        <v>0</v>
      </c>
      <c r="Q59" s="1592">
        <f>IFERROR(GETPIVOTDATA("合計 / " &amp; $C59,【ピボット】事業所売上!$A$3,"年月",Q$2,"事業所",$A59),0)</f>
        <v>0</v>
      </c>
      <c r="R59" s="1592">
        <f>IFERROR(GETPIVOTDATA("合計 / " &amp; $C59,【ピボット】事業所売上!$A$3,"年月",R$2,"事業所",$A59),0)</f>
        <v>0</v>
      </c>
      <c r="S59" s="1592">
        <f>IFERROR(GETPIVOTDATA("合計 / " &amp; $C59,【ピボット】事業所売上!$A$3,"年月",S$2,"事業所",$A59),0)</f>
        <v>0</v>
      </c>
      <c r="T59" s="1592">
        <f>IFERROR(GETPIVOTDATA("合計 / " &amp; $C59,【ピボット】事業所売上!$A$3,"年月",T$2,"事業所",$A59),0)</f>
        <v>0</v>
      </c>
      <c r="U59" s="1592">
        <f>IFERROR(GETPIVOTDATA("合計 / " &amp; $C59,【ピボット】事業所売上!$A$3,"年月",U$2,"事業所",$A59),0)</f>
        <v>0</v>
      </c>
      <c r="V59" s="1592">
        <f>IFERROR(GETPIVOTDATA("合計 / " &amp; $C59,【ピボット】事業所売上!$A$3,"年月",V$2,"事業所",$A59),0)</f>
        <v>0</v>
      </c>
      <c r="W59" s="1592">
        <f>IFERROR(GETPIVOTDATA("合計 / " &amp; $C59,【ピボット】事業所売上!$A$3,"年月",W$2,"事業所",$A59),0)</f>
        <v>0</v>
      </c>
      <c r="X59" s="1592">
        <f>IFERROR(GETPIVOTDATA("合計 / " &amp; $C59,【ピボット】事業所売上!$A$3,"年月",X$2,"事業所",$A59),0)</f>
        <v>0</v>
      </c>
      <c r="Y59" s="1592">
        <f>IFERROR(GETPIVOTDATA("合計 / " &amp; $C59,【ピボット】事業所売上!$A$3,"年月",Y$2,"事業所",$A59),0)</f>
        <v>0</v>
      </c>
      <c r="Z59" s="1592">
        <f>IFERROR(GETPIVOTDATA("合計 / " &amp; $C59,【ピボット】事業所売上!$A$3,"年月",Z$2,"事業所",$A59),0)</f>
        <v>142560</v>
      </c>
      <c r="AA59" s="1592">
        <f>IFERROR(GETPIVOTDATA("合計 / " &amp; $C59,【ピボット】事業所売上!$A$3,"年月",AA$2,"事業所",$A59),0)</f>
        <v>0</v>
      </c>
      <c r="AB59" s="1564">
        <f ca="1">SUM(OFFSET(AA59,0,当期月数):AA59)</f>
        <v>142560</v>
      </c>
    </row>
    <row r="60" spans="1:33" ht="15.4" customHeight="1" thickBot="1" x14ac:dyDescent="0.2">
      <c r="A60" s="1511" t="s">
        <v>683</v>
      </c>
      <c r="B60" s="2052"/>
      <c r="C60" s="1593" t="s">
        <v>81</v>
      </c>
      <c r="D60" s="1594">
        <f>SUM(D58:D59)</f>
        <v>0</v>
      </c>
      <c r="E60" s="1594">
        <f>SUM(E58:E59)</f>
        <v>0</v>
      </c>
      <c r="F60" s="1594">
        <f>SUM(F58:F59)</f>
        <v>0</v>
      </c>
      <c r="G60" s="1594">
        <f>SUM(G58:G59)</f>
        <v>0</v>
      </c>
      <c r="H60" s="1594">
        <f>SUM(H58:H59)</f>
        <v>0</v>
      </c>
      <c r="I60" s="1594">
        <f>SUBTOTAL(9,I58:I59)</f>
        <v>140400</v>
      </c>
      <c r="J60" s="1594">
        <f t="shared" ref="J60:AB60" si="27">SUBTOTAL(9,J58:J59)</f>
        <v>0</v>
      </c>
      <c r="K60" s="1594">
        <f t="shared" si="27"/>
        <v>0</v>
      </c>
      <c r="L60" s="1594">
        <f t="shared" si="27"/>
        <v>0</v>
      </c>
      <c r="M60" s="1594">
        <f t="shared" si="27"/>
        <v>0</v>
      </c>
      <c r="N60" s="1594">
        <f t="shared" si="27"/>
        <v>0</v>
      </c>
      <c r="O60" s="1594">
        <f t="shared" si="27"/>
        <v>0</v>
      </c>
      <c r="P60" s="1594">
        <f t="shared" si="27"/>
        <v>0</v>
      </c>
      <c r="Q60" s="1594">
        <f t="shared" si="27"/>
        <v>0</v>
      </c>
      <c r="R60" s="1594">
        <f t="shared" si="27"/>
        <v>0</v>
      </c>
      <c r="S60" s="1594">
        <f t="shared" si="27"/>
        <v>0</v>
      </c>
      <c r="T60" s="1594">
        <f t="shared" si="27"/>
        <v>0</v>
      </c>
      <c r="U60" s="1594">
        <f t="shared" si="27"/>
        <v>0</v>
      </c>
      <c r="V60" s="1594">
        <f t="shared" si="27"/>
        <v>0</v>
      </c>
      <c r="W60" s="1594">
        <f t="shared" si="27"/>
        <v>0</v>
      </c>
      <c r="X60" s="1594">
        <f t="shared" si="27"/>
        <v>0</v>
      </c>
      <c r="Y60" s="1594">
        <f t="shared" si="27"/>
        <v>0</v>
      </c>
      <c r="Z60" s="1594">
        <f t="shared" si="27"/>
        <v>142560</v>
      </c>
      <c r="AA60" s="1594">
        <f t="shared" si="27"/>
        <v>0</v>
      </c>
      <c r="AB60" s="1595">
        <f t="shared" ca="1" si="27"/>
        <v>142560</v>
      </c>
    </row>
    <row r="61" spans="1:33" ht="15.4" customHeight="1" x14ac:dyDescent="0.15">
      <c r="A61" s="1511" t="s">
        <v>684</v>
      </c>
      <c r="B61" s="2053" t="s">
        <v>3</v>
      </c>
      <c r="C61" s="1596" t="s">
        <v>10</v>
      </c>
      <c r="D61" s="1597">
        <f>IFERROR(GETPIVOTDATA("合計 / " &amp; $C61,【ピボット】事業所売上!$A$3,"年月",D$2,"事業所",$A61),0)</f>
        <v>7381973</v>
      </c>
      <c r="E61" s="1597">
        <f>IFERROR(GETPIVOTDATA("合計 / " &amp; $C61,【ピボット】事業所売上!$A$3,"年月",E$2,"事業所",$A61),0)</f>
        <v>7118889</v>
      </c>
      <c r="F61" s="1597">
        <f>IFERROR(GETPIVOTDATA("合計 / " &amp; $C61,【ピボット】事業所売上!$A$3,"年月",F$2,"事業所",$A61),0)</f>
        <v>7561437</v>
      </c>
      <c r="G61" s="1597">
        <f>IFERROR(GETPIVOTDATA("合計 / " &amp; $C61,【ピボット】事業所売上!$A$3,"年月",G$2,"事業所",$A61),0)</f>
        <v>7582359</v>
      </c>
      <c r="H61" s="1597">
        <f>IFERROR(GETPIVOTDATA("合計 / " &amp; $C61,【ピボット】事業所売上!$A$3,"年月",H$2,"事業所",$A61),0)</f>
        <v>7978218</v>
      </c>
      <c r="I61" s="1597">
        <f>IFERROR(GETPIVOTDATA("合計 / " &amp; $C61,【ピボット】事業所売上!$A$3,"年月",I$2,"事業所",$A61),0)</f>
        <v>8163026</v>
      </c>
      <c r="J61" s="1597">
        <f>IFERROR(GETPIVOTDATA("合計 / " &amp; $C61,【ピボット】事業所売上!$A$3,"年月",J$2,"事業所",$A61),0)</f>
        <v>7374129</v>
      </c>
      <c r="K61" s="1597">
        <f>IFERROR(GETPIVOTDATA("合計 / " &amp; $C61,【ピボット】事業所売上!$A$3,"年月",K$2,"事業所",$A61),0)</f>
        <v>7485316</v>
      </c>
      <c r="L61" s="1597">
        <f>IFERROR(GETPIVOTDATA("合計 / " &amp; $C61,【ピボット】事業所売上!$A$3,"年月",L$2,"事業所",$A61),0)</f>
        <v>7564231</v>
      </c>
      <c r="M61" s="1597">
        <f>IFERROR(GETPIVOTDATA("合計 / " &amp; $C61,【ピボット】事業所売上!$A$3,"年月",M$2,"事業所",$A61),0)</f>
        <v>7287210</v>
      </c>
      <c r="N61" s="1597">
        <f>IFERROR(GETPIVOTDATA("合計 / " &amp; $C61,【ピボット】事業所売上!$A$3,"年月",N$2,"事業所",$A61),0)</f>
        <v>7739710</v>
      </c>
      <c r="O61" s="1597">
        <f>IFERROR(GETPIVOTDATA("合計 / " &amp; $C61,【ピボット】事業所売上!$A$3,"年月",O$2,"事業所",$A61),0)</f>
        <v>8138305</v>
      </c>
      <c r="P61" s="1597">
        <f>IFERROR(GETPIVOTDATA("合計 / " &amp; $C61,【ピボット】事業所売上!$A$3,"年月",P$2,"事業所",$A61),0)</f>
        <v>8320534</v>
      </c>
      <c r="Q61" s="1597">
        <f>IFERROR(GETPIVOTDATA("合計 / " &amp; $C61,【ピボット】事業所売上!$A$3,"年月",Q$2,"事業所",$A61),0)</f>
        <v>7545811</v>
      </c>
      <c r="R61" s="1597">
        <f>IFERROR(GETPIVOTDATA("合計 / " &amp; $C61,【ピボット】事業所売上!$A$3,"年月",R$2,"事業所",$A61),0)</f>
        <v>8646531</v>
      </c>
      <c r="S61" s="1597">
        <f>IFERROR(GETPIVOTDATA("合計 / " &amp; $C61,【ピボット】事業所売上!$A$3,"年月",S$2,"事業所",$A61),0)</f>
        <v>7766185</v>
      </c>
      <c r="T61" s="1597">
        <f>IFERROR(GETPIVOTDATA("合計 / " &amp; $C61,【ピボット】事業所売上!$A$3,"年月",T$2,"事業所",$A61),0)</f>
        <v>8429204</v>
      </c>
      <c r="U61" s="1597">
        <f>IFERROR(GETPIVOTDATA("合計 / " &amp; $C61,【ピボット】事業所売上!$A$3,"年月",U$2,"事業所",$A61),0)</f>
        <v>9199107</v>
      </c>
      <c r="V61" s="1597">
        <f>IFERROR(GETPIVOTDATA("合計 / " &amp; $C61,【ピボット】事業所売上!$A$3,"年月",V$2,"事業所",$A61),0)</f>
        <v>9223816</v>
      </c>
      <c r="W61" s="1597">
        <f>IFERROR(GETPIVOTDATA("合計 / " &amp; $C61,【ピボット】事業所売上!$A$3,"年月",W$2,"事業所",$A61),0)</f>
        <v>8670512</v>
      </c>
      <c r="X61" s="1597">
        <f>IFERROR(GETPIVOTDATA("合計 / " &amp; $C61,【ピボット】事業所売上!$A$3,"年月",X$2,"事業所",$A61),0)</f>
        <v>8912753</v>
      </c>
      <c r="Y61" s="1597">
        <f>IFERROR(GETPIVOTDATA("合計 / " &amp; $C61,【ピボット】事業所売上!$A$3,"年月",Y$2,"事業所",$A61),0)</f>
        <v>8094496</v>
      </c>
      <c r="Z61" s="1597">
        <f>IFERROR(GETPIVOTDATA("合計 / " &amp; $C61,【ピボット】事業所売上!$A$3,"年月",Z$2,"事業所",$A61),0)</f>
        <v>9308391</v>
      </c>
      <c r="AA61" s="1597">
        <f>IFERROR(GETPIVOTDATA("合計 / " &amp; $C61,【ピボット】事業所売上!$A$3,"年月",AA$2,"事業所",$A61),0)</f>
        <v>9202118</v>
      </c>
      <c r="AB61" s="1598">
        <f ca="1">SUM(OFFSET(AA61,0,当期月数):AA61)</f>
        <v>71040397</v>
      </c>
      <c r="AD61" s="1578"/>
      <c r="AE61" s="1578"/>
      <c r="AF61" s="1578"/>
    </row>
    <row r="62" spans="1:33" ht="15.4" customHeight="1" x14ac:dyDescent="0.15">
      <c r="A62" s="1511" t="s">
        <v>684</v>
      </c>
      <c r="B62" s="2052"/>
      <c r="C62" s="1599" t="s">
        <v>9</v>
      </c>
      <c r="D62" s="1600">
        <f>IFERROR(GETPIVOTDATA("合計 / " &amp; $C62,【ピボット】事業所売上!$A$3,"年月",D$2,"事業所",$A62),0)</f>
        <v>738238</v>
      </c>
      <c r="E62" s="1600">
        <f>IFERROR(GETPIVOTDATA("合計 / " &amp; $C62,【ピボット】事業所売上!$A$3,"年月",E$2,"事業所",$A62),0)</f>
        <v>730748</v>
      </c>
      <c r="F62" s="1600">
        <f>IFERROR(GETPIVOTDATA("合計 / " &amp; $C62,【ピボット】事業所売上!$A$3,"年月",F$2,"事業所",$A62),0)</f>
        <v>677356</v>
      </c>
      <c r="G62" s="1600">
        <f>IFERROR(GETPIVOTDATA("合計 / " &amp; $C62,【ピボット】事業所売上!$A$3,"年月",G$2,"事業所",$A62),0)</f>
        <v>686034</v>
      </c>
      <c r="H62" s="1600">
        <f>IFERROR(GETPIVOTDATA("合計 / " &amp; $C62,【ピボット】事業所売上!$A$3,"年月",H$2,"事業所",$A62),0)</f>
        <v>669653</v>
      </c>
      <c r="I62" s="1600">
        <f>IFERROR(GETPIVOTDATA("合計 / " &amp; $C62,【ピボット】事業所売上!$A$3,"年月",I$2,"事業所",$A62),0)</f>
        <v>665042</v>
      </c>
      <c r="J62" s="1600">
        <f>IFERROR(GETPIVOTDATA("合計 / " &amp; $C62,【ピボット】事業所売上!$A$3,"年月",J$2,"事業所",$A62),0)</f>
        <v>686152</v>
      </c>
      <c r="K62" s="1600">
        <f>IFERROR(GETPIVOTDATA("合計 / " &amp; $C62,【ピボット】事業所売上!$A$3,"年月",K$2,"事業所",$A62),0)</f>
        <v>744776</v>
      </c>
      <c r="L62" s="1600">
        <f>IFERROR(GETPIVOTDATA("合計 / " &amp; $C62,【ピボット】事業所売上!$A$3,"年月",L$2,"事業所",$A62),0)</f>
        <v>767428</v>
      </c>
      <c r="M62" s="1600">
        <f>IFERROR(GETPIVOTDATA("合計 / " &amp; $C62,【ピボット】事業所売上!$A$3,"年月",M$2,"事業所",$A62),0)</f>
        <v>762581</v>
      </c>
      <c r="N62" s="1600">
        <f>IFERROR(GETPIVOTDATA("合計 / " &amp; $C62,【ピボット】事業所売上!$A$3,"年月",N$2,"事業所",$A62),0)</f>
        <v>741802</v>
      </c>
      <c r="O62" s="1600">
        <f>IFERROR(GETPIVOTDATA("合計 / " &amp; $C62,【ピボット】事業所売上!$A$3,"年月",O$2,"事業所",$A62),0)</f>
        <v>684712</v>
      </c>
      <c r="P62" s="1600">
        <f>IFERROR(GETPIVOTDATA("合計 / " &amp; $C62,【ピボット】事業所売上!$A$3,"年月",P$2,"事業所",$A62),0)</f>
        <v>662018</v>
      </c>
      <c r="Q62" s="1600">
        <f>IFERROR(GETPIVOTDATA("合計 / " &amp; $C62,【ピボット】事業所売上!$A$3,"年月",Q$2,"事業所",$A62),0)</f>
        <v>713826</v>
      </c>
      <c r="R62" s="1600">
        <f>IFERROR(GETPIVOTDATA("合計 / " &amp; $C62,【ピボット】事業所売上!$A$3,"年月",R$2,"事業所",$A62),0)</f>
        <v>720086</v>
      </c>
      <c r="S62" s="1600">
        <f>IFERROR(GETPIVOTDATA("合計 / " &amp; $C62,【ピボット】事業所売上!$A$3,"年月",S$2,"事業所",$A62),0)</f>
        <v>668845</v>
      </c>
      <c r="T62" s="1600">
        <f>IFERROR(GETPIVOTDATA("合計 / " &amp; $C62,【ピボット】事業所売上!$A$3,"年月",T$2,"事業所",$A62),0)</f>
        <v>700186</v>
      </c>
      <c r="U62" s="1600">
        <f>IFERROR(GETPIVOTDATA("合計 / " &amp; $C62,【ピボット】事業所売上!$A$3,"年月",U$2,"事業所",$A62),0)</f>
        <v>715111</v>
      </c>
      <c r="V62" s="1600">
        <f>IFERROR(GETPIVOTDATA("合計 / " &amp; $C62,【ピボット】事業所売上!$A$3,"年月",V$2,"事業所",$A62),0)</f>
        <v>707246</v>
      </c>
      <c r="W62" s="1600">
        <f>IFERROR(GETPIVOTDATA("合計 / " &amp; $C62,【ピボット】事業所売上!$A$3,"年月",W$2,"事業所",$A62),0)</f>
        <v>747467</v>
      </c>
      <c r="X62" s="1600">
        <f>IFERROR(GETPIVOTDATA("合計 / " &amp; $C62,【ピボット】事業所売上!$A$3,"年月",X$2,"事業所",$A62),0)</f>
        <v>736200</v>
      </c>
      <c r="Y62" s="1600">
        <f>IFERROR(GETPIVOTDATA("合計 / " &amp; $C62,【ピボット】事業所売上!$A$3,"年月",Y$2,"事業所",$A62),0)</f>
        <v>756347</v>
      </c>
      <c r="Z62" s="1600">
        <f>IFERROR(GETPIVOTDATA("合計 / " &amp; $C62,【ピボット】事業所売上!$A$3,"年月",Z$2,"事業所",$A62),0)</f>
        <v>839377</v>
      </c>
      <c r="AA62" s="1600">
        <f>IFERROR(GETPIVOTDATA("合計 / " &amp; $C62,【ピボット】事業所売上!$A$3,"年月",AA$2,"事業所",$A62),0)</f>
        <v>864993</v>
      </c>
      <c r="AB62" s="1561">
        <f ca="1">SUM(OFFSET(AA62,0,当期月数):AA62)</f>
        <v>6066927</v>
      </c>
    </row>
    <row r="63" spans="1:33" ht="15.4" customHeight="1" x14ac:dyDescent="0.15">
      <c r="A63" s="1511" t="s">
        <v>684</v>
      </c>
      <c r="B63" s="2052"/>
      <c r="C63" s="1599" t="s">
        <v>8</v>
      </c>
      <c r="D63" s="1601">
        <f>IFERROR(GETPIVOTDATA("合計 / " &amp; $C63,【ピボット】事業所売上!$A$3,"年月",D$2,"事業所",$A63),0)</f>
        <v>1743955</v>
      </c>
      <c r="E63" s="1601">
        <f>IFERROR(GETPIVOTDATA("合計 / " &amp; $C63,【ピボット】事業所売上!$A$3,"年月",E$2,"事業所",$A63),0)</f>
        <v>1462036</v>
      </c>
      <c r="F63" s="1601">
        <f>IFERROR(GETPIVOTDATA("合計 / " &amp; $C63,【ピボット】事業所売上!$A$3,"年月",F$2,"事業所",$A63),0)</f>
        <v>1899286</v>
      </c>
      <c r="G63" s="1601">
        <f>IFERROR(GETPIVOTDATA("合計 / " &amp; $C63,【ピボット】事業所売上!$A$3,"年月",G$2,"事業所",$A63),0)</f>
        <v>1507926</v>
      </c>
      <c r="H63" s="1601">
        <f>IFERROR(GETPIVOTDATA("合計 / " &amp; $C63,【ピボット】事業所売上!$A$3,"年月",H$2,"事業所",$A63),0)</f>
        <v>1360933</v>
      </c>
      <c r="I63" s="1601">
        <f>IFERROR(GETPIVOTDATA("合計 / " &amp; $C63,【ピボット】事業所売上!$A$3,"年月",I$2,"事業所",$A63),0)</f>
        <v>1512177</v>
      </c>
      <c r="J63" s="1601">
        <f>IFERROR(GETPIVOTDATA("合計 / " &amp; $C63,【ピボット】事業所売上!$A$3,"年月",J$2,"事業所",$A63),0)</f>
        <v>1286784</v>
      </c>
      <c r="K63" s="1601">
        <f>IFERROR(GETPIVOTDATA("合計 / " &amp; $C63,【ピボット】事業所売上!$A$3,"年月",K$2,"事業所",$A63),0)</f>
        <v>1390789</v>
      </c>
      <c r="L63" s="1601">
        <f>IFERROR(GETPIVOTDATA("合計 / " &amp; $C63,【ピボット】事業所売上!$A$3,"年月",L$2,"事業所",$A63),0)</f>
        <v>1381127</v>
      </c>
      <c r="M63" s="1601">
        <f>IFERROR(GETPIVOTDATA("合計 / " &amp; $C63,【ピボット】事業所売上!$A$3,"年月",M$2,"事業所",$A63),0)</f>
        <v>1260742</v>
      </c>
      <c r="N63" s="1601">
        <f>IFERROR(GETPIVOTDATA("合計 / " &amp; $C63,【ピボット】事業所売上!$A$3,"年月",N$2,"事業所",$A63),0)</f>
        <v>1269395</v>
      </c>
      <c r="O63" s="1601">
        <f>IFERROR(GETPIVOTDATA("合計 / " &amp; $C63,【ピボット】事業所売上!$A$3,"年月",O$2,"事業所",$A63),0)</f>
        <v>1048428</v>
      </c>
      <c r="P63" s="1601">
        <f>IFERROR(GETPIVOTDATA("合計 / " &amp; $C63,【ピボット】事業所売上!$A$3,"年月",P$2,"事業所",$A63),0)</f>
        <v>1364202</v>
      </c>
      <c r="Q63" s="1601">
        <f>IFERROR(GETPIVOTDATA("合計 / " &amp; $C63,【ピボット】事業所売上!$A$3,"年月",Q$2,"事業所",$A63),0)</f>
        <v>1288468</v>
      </c>
      <c r="R63" s="1601">
        <f>IFERROR(GETPIVOTDATA("合計 / " &amp; $C63,【ピボット】事業所売上!$A$3,"年月",R$2,"事業所",$A63),0)</f>
        <v>1310896</v>
      </c>
      <c r="S63" s="1601">
        <f>IFERROR(GETPIVOTDATA("合計 / " &amp; $C63,【ピボット】事業所売上!$A$3,"年月",S$2,"事業所",$A63),0)</f>
        <v>1069802</v>
      </c>
      <c r="T63" s="1601">
        <f>IFERROR(GETPIVOTDATA("合計 / " &amp; $C63,【ピボット】事業所売上!$A$3,"年月",T$2,"事業所",$A63),0)</f>
        <v>1775376</v>
      </c>
      <c r="U63" s="1601">
        <f>IFERROR(GETPIVOTDATA("合計 / " &amp; $C63,【ピボット】事業所売上!$A$3,"年月",U$2,"事業所",$A63),0)</f>
        <v>1648176</v>
      </c>
      <c r="V63" s="1601">
        <f>IFERROR(GETPIVOTDATA("合計 / " &amp; $C63,【ピボット】事業所売上!$A$3,"年月",V$2,"事業所",$A63),0)</f>
        <v>2024710</v>
      </c>
      <c r="W63" s="1601">
        <f>IFERROR(GETPIVOTDATA("合計 / " &amp; $C63,【ピボット】事業所売上!$A$3,"年月",W$2,"事業所",$A63),0)</f>
        <v>2045783</v>
      </c>
      <c r="X63" s="1601">
        <f>IFERROR(GETPIVOTDATA("合計 / " &amp; $C63,【ピボット】事業所売上!$A$3,"年月",X$2,"事業所",$A63),0)</f>
        <v>2316124</v>
      </c>
      <c r="Y63" s="1601">
        <f>IFERROR(GETPIVOTDATA("合計 / " &amp; $C63,【ピボット】事業所売上!$A$3,"年月",Y$2,"事業所",$A63),0)</f>
        <v>1853976</v>
      </c>
      <c r="Z63" s="1601">
        <f>IFERROR(GETPIVOTDATA("合計 / " &amp; $C63,【ピボット】事業所売上!$A$3,"年月",Z$2,"事業所",$A63),0)</f>
        <v>2003636</v>
      </c>
      <c r="AA63" s="1601">
        <f>IFERROR(GETPIVOTDATA("合計 / " &amp; $C63,【ピボット】事業所売上!$A$3,"年月",AA$2,"事業所",$A63),0)</f>
        <v>2177773</v>
      </c>
      <c r="AB63" s="1561">
        <f ca="1">SUM(OFFSET(AA63,0,当期月数):AA63)</f>
        <v>15845554</v>
      </c>
    </row>
    <row r="64" spans="1:33" ht="15.4" customHeight="1" x14ac:dyDescent="0.15">
      <c r="A64" s="1511" t="s">
        <v>684</v>
      </c>
      <c r="B64" s="2052"/>
      <c r="C64" s="1599" t="s">
        <v>403</v>
      </c>
      <c r="D64" s="1600">
        <f>IFERROR(GETPIVOTDATA("合計 / " &amp; $C64,【ピボット】事業所売上!$A$3,"年月",D$2,"事業所",$A64),0)</f>
        <v>7880</v>
      </c>
      <c r="E64" s="1600">
        <f>IFERROR(GETPIVOTDATA("合計 / " &amp; $C64,【ピボット】事業所売上!$A$3,"年月",E$2,"事業所",$A64),0)</f>
        <v>20360</v>
      </c>
      <c r="F64" s="1600">
        <f>IFERROR(GETPIVOTDATA("合計 / " &amp; $C64,【ピボット】事業所売上!$A$3,"年月",F$2,"事業所",$A64),0)</f>
        <v>9850</v>
      </c>
      <c r="G64" s="1600">
        <f>IFERROR(GETPIVOTDATA("合計 / " &amp; $C64,【ピボット】事業所売上!$A$3,"年月",G$2,"事業所",$A64),0)</f>
        <v>5910</v>
      </c>
      <c r="H64" s="1600">
        <f>IFERROR(GETPIVOTDATA("合計 / " &amp; $C64,【ピボット】事業所売上!$A$3,"年月",H$2,"事業所",$A64),0)</f>
        <v>7880</v>
      </c>
      <c r="I64" s="1600">
        <f>IFERROR(GETPIVOTDATA("合計 / " &amp; $C64,【ピボット】事業所売上!$A$3,"年月",I$2,"事業所",$A64),0)</f>
        <v>36331</v>
      </c>
      <c r="J64" s="1600">
        <f>IFERROR(GETPIVOTDATA("合計 / " &amp; $C64,【ピボット】事業所売上!$A$3,"年月",J$2,"事業所",$A64),0)</f>
        <v>40523</v>
      </c>
      <c r="K64" s="1600">
        <f>IFERROR(GETPIVOTDATA("合計 / " &amp; $C64,【ピボット】事業所売上!$A$3,"年月",K$2,"事業所",$A64),0)</f>
        <v>33360</v>
      </c>
      <c r="L64" s="1600">
        <f>IFERROR(GETPIVOTDATA("合計 / " &amp; $C64,【ピボット】事業所売上!$A$3,"年月",L$2,"事業所",$A64),0)</f>
        <v>34334</v>
      </c>
      <c r="M64" s="1600">
        <f>IFERROR(GETPIVOTDATA("合計 / " &amp; $C64,【ピボット】事業所売上!$A$3,"年月",M$2,"事業所",$A64),0)</f>
        <v>43132</v>
      </c>
      <c r="N64" s="1600">
        <f>IFERROR(GETPIVOTDATA("合計 / " &amp; $C64,【ピボット】事業所売上!$A$3,"年月",N$2,"事業所",$A64),0)</f>
        <v>43375</v>
      </c>
      <c r="O64" s="1600">
        <f>IFERROR(GETPIVOTDATA("合計 / " &amp; $C64,【ピボット】事業所売上!$A$3,"年月",O$2,"事業所",$A64),0)</f>
        <v>52575</v>
      </c>
      <c r="P64" s="1600">
        <f>IFERROR(GETPIVOTDATA("合計 / " &amp; $C64,【ピボット】事業所売上!$A$3,"年月",P$2,"事業所",$A64),0)</f>
        <v>37721</v>
      </c>
      <c r="Q64" s="1600">
        <f>IFERROR(GETPIVOTDATA("合計 / " &amp; $C64,【ピボット】事業所売上!$A$3,"年月",Q$2,"事業所",$A64),0)</f>
        <v>41542</v>
      </c>
      <c r="R64" s="1600">
        <f>IFERROR(GETPIVOTDATA("合計 / " &amp; $C64,【ピボット】事業所売上!$A$3,"年月",R$2,"事業所",$A64),0)</f>
        <v>36502</v>
      </c>
      <c r="S64" s="1600">
        <f>IFERROR(GETPIVOTDATA("合計 / " &amp; $C64,【ピボット】事業所売上!$A$3,"年月",S$2,"事業所",$A64),0)</f>
        <v>40413</v>
      </c>
      <c r="T64" s="1600">
        <f>IFERROR(GETPIVOTDATA("合計 / " &amp; $C64,【ピボット】事業所売上!$A$3,"年月",T$2,"事業所",$A64),0)</f>
        <v>47339</v>
      </c>
      <c r="U64" s="1600">
        <f>IFERROR(GETPIVOTDATA("合計 / " &amp; $C64,【ピボット】事業所売上!$A$3,"年月",U$2,"事業所",$A64),0)</f>
        <v>47082</v>
      </c>
      <c r="V64" s="1600">
        <f>IFERROR(GETPIVOTDATA("合計 / " &amp; $C64,【ピボット】事業所売上!$A$3,"年月",V$2,"事業所",$A64),0)</f>
        <v>56192</v>
      </c>
      <c r="W64" s="1600">
        <f>IFERROR(GETPIVOTDATA("合計 / " &amp; $C64,【ピボット】事業所売上!$A$3,"年月",W$2,"事業所",$A64),0)</f>
        <v>30360</v>
      </c>
      <c r="X64" s="1600">
        <f>IFERROR(GETPIVOTDATA("合計 / " &amp; $C64,【ピボット】事業所売上!$A$3,"年月",X$2,"事業所",$A64),0)</f>
        <v>25154</v>
      </c>
      <c r="Y64" s="1600">
        <f>IFERROR(GETPIVOTDATA("合計 / " &amp; $C64,【ピボット】事業所売上!$A$3,"年月",Y$2,"事業所",$A64),0)</f>
        <v>20454</v>
      </c>
      <c r="Z64" s="1600">
        <f>IFERROR(GETPIVOTDATA("合計 / " &amp; $C64,【ピボット】事業所売上!$A$3,"年月",Z$2,"事業所",$A64),0)</f>
        <v>40730</v>
      </c>
      <c r="AA64" s="1600">
        <f>IFERROR(GETPIVOTDATA("合計 / " &amp; $C64,【ピボット】事業所売上!$A$3,"年月",AA$2,"事業所",$A64),0)</f>
        <v>48039</v>
      </c>
      <c r="AB64" s="1561">
        <f ca="1">SUM(OFFSET(AA64,0,当期月数):AA64)</f>
        <v>315350</v>
      </c>
    </row>
    <row r="65" spans="1:39" ht="15.4" customHeight="1" x14ac:dyDescent="0.15">
      <c r="A65" s="1511" t="s">
        <v>684</v>
      </c>
      <c r="B65" s="2052"/>
      <c r="C65" s="1599" t="s">
        <v>7</v>
      </c>
      <c r="D65" s="1602">
        <f>IFERROR(GETPIVOTDATA("合計 / " &amp; $C65,【ピボット】事業所売上!$A$3,"年月",D$2,"事業所",$A65),0)</f>
        <v>90875</v>
      </c>
      <c r="E65" s="1602">
        <f>IFERROR(GETPIVOTDATA("合計 / " &amp; $C65,【ピボット】事業所売上!$A$3,"年月",E$2,"事業所",$A65),0)</f>
        <v>62823</v>
      </c>
      <c r="F65" s="1602">
        <f>IFERROR(GETPIVOTDATA("合計 / " &amp; $C65,【ピボット】事業所売上!$A$3,"年月",F$2,"事業所",$A65),0)</f>
        <v>43522</v>
      </c>
      <c r="G65" s="1602">
        <f>IFERROR(GETPIVOTDATA("合計 / " &amp; $C65,【ピボット】事業所売上!$A$3,"年月",G$2,"事業所",$A65),0)</f>
        <v>74848</v>
      </c>
      <c r="H65" s="1602">
        <f>IFERROR(GETPIVOTDATA("合計 / " &amp; $C65,【ピボット】事業所売上!$A$3,"年月",H$2,"事業所",$A65),0)</f>
        <v>117506</v>
      </c>
      <c r="I65" s="1602">
        <f>IFERROR(GETPIVOTDATA("合計 / " &amp; $C65,【ピボット】事業所売上!$A$3,"年月",I$2,"事業所",$A65),0)</f>
        <v>90600</v>
      </c>
      <c r="J65" s="1602">
        <f>IFERROR(GETPIVOTDATA("合計 / " &amp; $C65,【ピボット】事業所売上!$A$3,"年月",J$2,"事業所",$A65),0)</f>
        <v>165800</v>
      </c>
      <c r="K65" s="1602">
        <f>IFERROR(GETPIVOTDATA("合計 / " &amp; $C65,【ピボット】事業所売上!$A$3,"年月",K$2,"事業所",$A65),0)</f>
        <v>197032</v>
      </c>
      <c r="L65" s="1602">
        <f>IFERROR(GETPIVOTDATA("合計 / " &amp; $C65,【ピボット】事業所売上!$A$3,"年月",L$2,"事業所",$A65),0)</f>
        <v>158897</v>
      </c>
      <c r="M65" s="1602">
        <f>IFERROR(GETPIVOTDATA("合計 / " &amp; $C65,【ピボット】事業所売上!$A$3,"年月",M$2,"事業所",$A65),0)</f>
        <v>116400</v>
      </c>
      <c r="N65" s="1602">
        <f>IFERROR(GETPIVOTDATA("合計 / " &amp; $C65,【ピボット】事業所売上!$A$3,"年月",N$2,"事業所",$A65),0)</f>
        <v>256891</v>
      </c>
      <c r="O65" s="1602">
        <f>IFERROR(GETPIVOTDATA("合計 / " &amp; $C65,【ピボット】事業所売上!$A$3,"年月",O$2,"事業所",$A65),0)</f>
        <v>213759</v>
      </c>
      <c r="P65" s="1602">
        <f>IFERROR(GETPIVOTDATA("合計 / " &amp; $C65,【ピボット】事業所売上!$A$3,"年月",P$2,"事業所",$A65),0)</f>
        <v>150381</v>
      </c>
      <c r="Q65" s="1602">
        <f>IFERROR(GETPIVOTDATA("合計 / " &amp; $C65,【ピボット】事業所売上!$A$3,"年月",Q$2,"事業所",$A65),0)</f>
        <v>89119</v>
      </c>
      <c r="R65" s="1602">
        <f>IFERROR(GETPIVOTDATA("合計 / " &amp; $C65,【ピボット】事業所売上!$A$3,"年月",R$2,"事業所",$A65),0)</f>
        <v>81500</v>
      </c>
      <c r="S65" s="1602">
        <f>IFERROR(GETPIVOTDATA("合計 / " &amp; $C65,【ピボット】事業所売上!$A$3,"年月",S$2,"事業所",$A65),0)</f>
        <v>68600</v>
      </c>
      <c r="T65" s="1602">
        <f>IFERROR(GETPIVOTDATA("合計 / " &amp; $C65,【ピボット】事業所売上!$A$3,"年月",T$2,"事業所",$A65),0)</f>
        <v>55863</v>
      </c>
      <c r="U65" s="1602">
        <f>IFERROR(GETPIVOTDATA("合計 / " &amp; $C65,【ピボット】事業所売上!$A$3,"年月",U$2,"事業所",$A65),0)</f>
        <v>121735</v>
      </c>
      <c r="V65" s="1602">
        <f>IFERROR(GETPIVOTDATA("合計 / " &amp; $C65,【ピボット】事業所売上!$A$3,"年月",V$2,"事業所",$A65),0)</f>
        <v>161221</v>
      </c>
      <c r="W65" s="1602">
        <f>IFERROR(GETPIVOTDATA("合計 / " &amp; $C65,【ピボット】事業所売上!$A$3,"年月",W$2,"事業所",$A65),0)</f>
        <v>142642</v>
      </c>
      <c r="X65" s="1602">
        <f>IFERROR(GETPIVOTDATA("合計 / " &amp; $C65,【ピボット】事業所売上!$A$3,"年月",X$2,"事業所",$A65),0)</f>
        <v>109700</v>
      </c>
      <c r="Y65" s="1602">
        <f>IFERROR(GETPIVOTDATA("合計 / " &amp; $C65,【ピボット】事業所売上!$A$3,"年月",Y$2,"事業所",$A65),0)</f>
        <v>169970</v>
      </c>
      <c r="Z65" s="1602">
        <f>IFERROR(GETPIVOTDATA("合計 / " &amp; $C65,【ピボット】事業所売上!$A$3,"年月",Z$2,"事業所",$A65),0)</f>
        <v>87000</v>
      </c>
      <c r="AA65" s="1602">
        <f>IFERROR(GETPIVOTDATA("合計 / " &amp; $C65,【ピボット】事業所売上!$A$3,"年月",AA$2,"事業所",$A65),0)</f>
        <v>116900</v>
      </c>
      <c r="AB65" s="1561">
        <f ca="1">SUM(OFFSET(AA65,0,当期月数):AA65)</f>
        <v>965031</v>
      </c>
    </row>
    <row r="66" spans="1:39" ht="15.4" customHeight="1" x14ac:dyDescent="0.15">
      <c r="A66" s="1511" t="s">
        <v>684</v>
      </c>
      <c r="B66" s="2052"/>
      <c r="C66" s="1599" t="s">
        <v>6</v>
      </c>
      <c r="D66" s="1602">
        <f>IFERROR(GETPIVOTDATA("合計 / " &amp; $C66,【ピボット】事業所売上!$A$3,"年月",D$2,"事業所",$A66),0)</f>
        <v>111240</v>
      </c>
      <c r="E66" s="1602">
        <f>IFERROR(GETPIVOTDATA("合計 / " &amp; $C66,【ピボット】事業所売上!$A$3,"年月",E$2,"事業所",$A66),0)</f>
        <v>129600</v>
      </c>
      <c r="F66" s="1602">
        <f>IFERROR(GETPIVOTDATA("合計 / " &amp; $C66,【ピボット】事業所売上!$A$3,"年月",F$2,"事業所",$A66),0)</f>
        <v>137840</v>
      </c>
      <c r="G66" s="1602">
        <f>IFERROR(GETPIVOTDATA("合計 / " &amp; $C66,【ピボット】事業所売上!$A$3,"年月",G$2,"事業所",$A66),0)</f>
        <v>140840</v>
      </c>
      <c r="H66" s="1602">
        <f>IFERROR(GETPIVOTDATA("合計 / " &amp; $C66,【ピボット】事業所売上!$A$3,"年月",H$2,"事業所",$A66),0)</f>
        <v>151995</v>
      </c>
      <c r="I66" s="1602">
        <f>IFERROR(GETPIVOTDATA("合計 / " &amp; $C66,【ピボット】事業所売上!$A$3,"年月",I$2,"事業所",$A66),0)</f>
        <v>161025</v>
      </c>
      <c r="J66" s="1603">
        <f>IFERROR(GETPIVOTDATA("合計 / " &amp; $C66,【ピボット】事業所売上!$A$3,"年月",J$2,"事業所",$A66),0)</f>
        <v>156510</v>
      </c>
      <c r="K66" s="1602">
        <f>IFERROR(GETPIVOTDATA("合計 / " &amp; $C66,【ピボット】事業所売上!$A$3,"年月",K$2,"事業所",$A66),0)</f>
        <v>151995</v>
      </c>
      <c r="L66" s="1602">
        <f>IFERROR(GETPIVOTDATA("合計 / " &amp; $C66,【ピボット】事業所売上!$A$3,"年月",L$2,"事業所",$A66),0)</f>
        <v>139965</v>
      </c>
      <c r="M66" s="1602">
        <f>IFERROR(GETPIVOTDATA("合計 / " &amp; $C66,【ピボット】事業所売上!$A$3,"年月",M$2,"事業所",$A66),0)</f>
        <v>150480</v>
      </c>
      <c r="N66" s="1602">
        <f>IFERROR(GETPIVOTDATA("合計 / " &amp; $C66,【ピボット】事業所売上!$A$3,"年月",N$2,"事業所",$A66),0)</f>
        <v>144480</v>
      </c>
      <c r="O66" s="1602">
        <f>IFERROR(GETPIVOTDATA("合計 / " &amp; $C66,【ピボット】事業所売上!$A$3,"年月",O$2,"事業所",$A66),0)</f>
        <v>127905</v>
      </c>
      <c r="P66" s="1602">
        <f>IFERROR(GETPIVOTDATA("合計 / " &amp; $C66,【ピボット】事業所売上!$A$3,"年月",P$2,"事業所",$A66),0)</f>
        <v>133935</v>
      </c>
      <c r="Q66" s="1602">
        <f>IFERROR(GETPIVOTDATA("合計 / " &amp; $C66,【ピボット】事業所売上!$A$3,"年月",Q$2,"事業所",$A66),0)</f>
        <v>130935</v>
      </c>
      <c r="R66" s="1602">
        <f>IFERROR(GETPIVOTDATA("合計 / " &amp; $C66,【ピボット】事業所売上!$A$3,"年月",R$2,"事業所",$A66),0)</f>
        <v>129420</v>
      </c>
      <c r="S66" s="1602">
        <f>IFERROR(GETPIVOTDATA("合計 / " &amp; $C66,【ピボット】事業所売上!$A$3,"年月",S$2,"事業所",$A66),0)</f>
        <v>121905</v>
      </c>
      <c r="T66" s="1602">
        <f>IFERROR(GETPIVOTDATA("合計 / " &amp; $C66,【ピボット】事業所売上!$A$3,"年月",T$2,"事業所",$A66),0)</f>
        <v>124905</v>
      </c>
      <c r="U66" s="1602">
        <f>IFERROR(GETPIVOTDATA("合計 / " &amp; $C66,【ピボット】事業所売上!$A$3,"年月",U$2,"事業所",$A66),0)</f>
        <v>136935</v>
      </c>
      <c r="V66" s="1602">
        <f>IFERROR(GETPIVOTDATA("合計 / " &amp; $C66,【ピボット】事業所売上!$A$3,"年月",V$2,"事業所",$A66),0)</f>
        <v>129420</v>
      </c>
      <c r="W66" s="1602">
        <f>IFERROR(GETPIVOTDATA("合計 / " &amp; $C66,【ピボット】事業所売上!$A$3,"年月",W$2,"事業所",$A66),0)</f>
        <v>145965</v>
      </c>
      <c r="X66" s="1602">
        <f>IFERROR(GETPIVOTDATA("合計 / " &amp; $C66,【ピボット】事業所売上!$A$3,"年月",X$2,"事業所",$A66),0)</f>
        <v>163995</v>
      </c>
      <c r="Y66" s="1602">
        <f>IFERROR(GETPIVOTDATA("合計 / " &amp; $C66,【ピボット】事業所売上!$A$3,"年月",Y$2,"事業所",$A66),0)</f>
        <v>173025</v>
      </c>
      <c r="Z66" s="1602">
        <f>IFERROR(GETPIVOTDATA("合計 / " &amp; $C66,【ピボット】事業所売上!$A$3,"年月",Z$2,"事業所",$A66),0)</f>
        <v>154320</v>
      </c>
      <c r="AA66" s="1602">
        <f>IFERROR(GETPIVOTDATA("合計 / " &amp; $C66,【ピボット】事業所売上!$A$3,"年月",AA$2,"事業所",$A66),0)</f>
        <v>161440</v>
      </c>
      <c r="AB66" s="1561">
        <f ca="1">SUM(OFFSET(AA66,0,当期月数):AA66)</f>
        <v>1190005</v>
      </c>
    </row>
    <row r="67" spans="1:39" s="1529" customFormat="1" ht="15.4" customHeight="1" x14ac:dyDescent="0.15">
      <c r="A67" s="1511" t="s">
        <v>684</v>
      </c>
      <c r="B67" s="2054"/>
      <c r="C67" s="1599" t="s">
        <v>390</v>
      </c>
      <c r="D67" s="1600">
        <f>IFERROR(GETPIVOTDATA("合計 / " &amp; $C67,【ピボット】事業所売上!$A$3,"年月",D$2,"事業所",$A67),0)</f>
        <v>7567</v>
      </c>
      <c r="E67" s="1600">
        <f>IFERROR(GETPIVOTDATA("合計 / " &amp; $C67,【ピボット】事業所売上!$A$3,"年月",E$2,"事業所",$A67),0)</f>
        <v>4217</v>
      </c>
      <c r="F67" s="1600">
        <f>IFERROR(GETPIVOTDATA("合計 / " &amp; $C67,【ピボット】事業所売上!$A$3,"年月",F$2,"事業所",$A67),0)</f>
        <v>9263</v>
      </c>
      <c r="G67" s="1600">
        <f>IFERROR(GETPIVOTDATA("合計 / " &amp; $C67,【ピボット】事業所売上!$A$3,"年月",G$2,"事業所",$A67),0)</f>
        <v>6323</v>
      </c>
      <c r="H67" s="1600">
        <f>IFERROR(GETPIVOTDATA("合計 / " &amp; $C67,【ピボット】事業所売上!$A$3,"年月",H$2,"事業所",$A67),0)</f>
        <v>5718</v>
      </c>
      <c r="I67" s="1600">
        <f>IFERROR(GETPIVOTDATA("合計 / " &amp; $C67,【ピボット】事業所売上!$A$3,"年月",I$2,"事業所",$A67),0)</f>
        <v>6327</v>
      </c>
      <c r="J67" s="1600">
        <f>IFERROR(GETPIVOTDATA("合計 / " &amp; $C67,【ピボット】事業所売上!$A$3,"年月",J$2,"事業所",$A67),0)</f>
        <v>8583</v>
      </c>
      <c r="K67" s="1600">
        <f>IFERROR(GETPIVOTDATA("合計 / " &amp; $C67,【ピボット】事業所売上!$A$3,"年月",K$2,"事業所",$A67),0)</f>
        <v>4064</v>
      </c>
      <c r="L67" s="1600">
        <f>IFERROR(GETPIVOTDATA("合計 / " &amp; $C67,【ピボット】事業所売上!$A$3,"年月",L$2,"事業所",$A67),0)</f>
        <v>4875</v>
      </c>
      <c r="M67" s="1600">
        <f>IFERROR(GETPIVOTDATA("合計 / " &amp; $C67,【ピボット】事業所売上!$A$3,"年月",M$2,"事業所",$A67),0)</f>
        <v>6782</v>
      </c>
      <c r="N67" s="1600">
        <f>IFERROR(GETPIVOTDATA("合計 / " &amp; $C67,【ピボット】事業所売上!$A$3,"年月",N$2,"事業所",$A67),0)</f>
        <v>4928</v>
      </c>
      <c r="O67" s="1600">
        <f>IFERROR(GETPIVOTDATA("合計 / " &amp; $C67,【ピボット】事業所売上!$A$3,"年月",O$2,"事業所",$A67),0)</f>
        <v>2510</v>
      </c>
      <c r="P67" s="1600">
        <f>IFERROR(GETPIVOTDATA("合計 / " &amp; $C67,【ピボット】事業所売上!$A$3,"年月",P$2,"事業所",$A67),0)</f>
        <v>9036</v>
      </c>
      <c r="Q67" s="1600">
        <f>IFERROR(GETPIVOTDATA("合計 / " &amp; $C67,【ピボット】事業所売上!$A$3,"年月",Q$2,"事業所",$A67),0)</f>
        <v>3405</v>
      </c>
      <c r="R67" s="1600">
        <f>IFERROR(GETPIVOTDATA("合計 / " &amp; $C67,【ピボット】事業所売上!$A$3,"年月",R$2,"事業所",$A67),0)</f>
        <v>6836</v>
      </c>
      <c r="S67" s="1600">
        <f>IFERROR(GETPIVOTDATA("合計 / " &amp; $C67,【ピボット】事業所売上!$A$3,"年月",S$2,"事業所",$A67),0)</f>
        <v>6445</v>
      </c>
      <c r="T67" s="1600">
        <f>IFERROR(GETPIVOTDATA("合計 / " &amp; $C67,【ピボット】事業所売上!$A$3,"年月",T$2,"事業所",$A67),0)</f>
        <v>7457</v>
      </c>
      <c r="U67" s="1600">
        <f>IFERROR(GETPIVOTDATA("合計 / " &amp; $C67,【ピボット】事業所売上!$A$3,"年月",U$2,"事業所",$A67),0)</f>
        <v>8046</v>
      </c>
      <c r="V67" s="1600">
        <f>IFERROR(GETPIVOTDATA("合計 / " &amp; $C67,【ピボット】事業所売上!$A$3,"年月",V$2,"事業所",$A67),0)</f>
        <v>7302</v>
      </c>
      <c r="W67" s="1600">
        <f>IFERROR(GETPIVOTDATA("合計 / " &amp; $C67,【ピボット】事業所売上!$A$3,"年月",W$2,"事業所",$A67),0)</f>
        <v>7342</v>
      </c>
      <c r="X67" s="1600">
        <f>IFERROR(GETPIVOTDATA("合計 / " &amp; $C67,【ピボット】事業所売上!$A$3,"年月",X$2,"事業所",$A67),0)</f>
        <v>7270</v>
      </c>
      <c r="Y67" s="1600">
        <f>IFERROR(GETPIVOTDATA("合計 / " &amp; $C67,【ピボット】事業所売上!$A$3,"年月",Y$2,"事業所",$A67),0)</f>
        <v>4399</v>
      </c>
      <c r="Z67" s="1600">
        <f>IFERROR(GETPIVOTDATA("合計 / " &amp; $C67,【ピボット】事業所売上!$A$3,"年月",Z$2,"事業所",$A67),0)</f>
        <v>5982</v>
      </c>
      <c r="AA67" s="1600">
        <f>IFERROR(GETPIVOTDATA("合計 / " &amp; $C67,【ピボット】事業所売上!$A$3,"年月",AA$2,"事業所",$A67),0)</f>
        <v>8065</v>
      </c>
      <c r="AB67" s="1561">
        <f ca="1">SUM(OFFSET(AA67,0,当期月数):AA67)</f>
        <v>55863</v>
      </c>
      <c r="AD67" s="1511"/>
      <c r="AE67" s="1511"/>
      <c r="AF67" s="1511"/>
    </row>
    <row r="68" spans="1:39" s="1529" customFormat="1" ht="15.4" customHeight="1" x14ac:dyDescent="0.15">
      <c r="A68" s="1511" t="s">
        <v>684</v>
      </c>
      <c r="B68" s="2054"/>
      <c r="C68" s="1604" t="s">
        <v>955</v>
      </c>
      <c r="D68" s="1603">
        <f>IFERROR(GETPIVOTDATA("合計 / " &amp; $C68,【ピボット】事業所売上!$A$3,"年月",D$2,"事業所",$A68),0)</f>
        <v>0</v>
      </c>
      <c r="E68" s="1603">
        <f>IFERROR(GETPIVOTDATA("合計 / " &amp; $C68,【ピボット】事業所売上!$A$3,"年月",E$2,"事業所",$A68),0)</f>
        <v>0</v>
      </c>
      <c r="F68" s="1603">
        <f>IFERROR(GETPIVOTDATA("合計 / " &amp; $C68,【ピボット】事業所売上!$A$3,"年月",F$2,"事業所",$A68),0)</f>
        <v>0</v>
      </c>
      <c r="G68" s="1603">
        <f>IFERROR(GETPIVOTDATA("合計 / " &amp; $C68,【ピボット】事業所売上!$A$3,"年月",G$2,"事業所",$A68),0)</f>
        <v>0</v>
      </c>
      <c r="H68" s="1603">
        <f>IFERROR(GETPIVOTDATA("合計 / " &amp; $C68,【ピボット】事業所売上!$A$3,"年月",H$2,"事業所",$A68),0)</f>
        <v>0</v>
      </c>
      <c r="I68" s="1603">
        <f>IFERROR(GETPIVOTDATA("合計 / " &amp; $C68,【ピボット】事業所売上!$A$3,"年月",I$2,"事業所",$A68),0)</f>
        <v>0</v>
      </c>
      <c r="J68" s="1603">
        <f>IFERROR(GETPIVOTDATA("合計 / " &amp; $C68,【ピボット】事業所売上!$A$3,"年月",J$2,"事業所",$A68),0)</f>
        <v>0</v>
      </c>
      <c r="K68" s="1603">
        <f>IFERROR(GETPIVOTDATA("合計 / " &amp; $C68,【ピボット】事業所売上!$A$3,"年月",K$2,"事業所",$A68),0)</f>
        <v>0</v>
      </c>
      <c r="L68" s="1603">
        <f>IFERROR(GETPIVOTDATA("合計 / " &amp; $C68,【ピボット】事業所売上!$A$3,"年月",L$2,"事業所",$A68),0)</f>
        <v>0</v>
      </c>
      <c r="M68" s="1603">
        <f>IFERROR(GETPIVOTDATA("合計 / " &amp; $C68,【ピボット】事業所売上!$A$3,"年月",M$2,"事業所",$A68),0)</f>
        <v>20500</v>
      </c>
      <c r="N68" s="1603">
        <f>IFERROR(GETPIVOTDATA("合計 / " &amp; $C68,【ピボット】事業所売上!$A$3,"年月",N$2,"事業所",$A68),0)</f>
        <v>37000</v>
      </c>
      <c r="O68" s="1603">
        <f>IFERROR(GETPIVOTDATA("合計 / " &amp; $C68,【ピボット】事業所売上!$A$3,"年月",O$2,"事業所",$A68),0)</f>
        <v>33000</v>
      </c>
      <c r="P68" s="1603">
        <f>IFERROR(GETPIVOTDATA("合計 / " &amp; $C68,【ピボット】事業所売上!$A$3,"年月",P$2,"事業所",$A68),0)</f>
        <v>95000</v>
      </c>
      <c r="Q68" s="1603">
        <f>IFERROR(GETPIVOTDATA("合計 / " &amp; $C68,【ピボット】事業所売上!$A$3,"年月",Q$2,"事業所",$A68),0)</f>
        <v>22000</v>
      </c>
      <c r="R68" s="1603">
        <f>IFERROR(GETPIVOTDATA("合計 / " &amp; $C68,【ピボット】事業所売上!$A$3,"年月",R$2,"事業所",$A68),0)</f>
        <v>111000</v>
      </c>
      <c r="S68" s="1603">
        <f>IFERROR(GETPIVOTDATA("合計 / " &amp; $C68,【ピボット】事業所売上!$A$3,"年月",S$2,"事業所",$A68),0)</f>
        <v>100560</v>
      </c>
      <c r="T68" s="1603">
        <f>IFERROR(GETPIVOTDATA("合計 / " &amp; $C68,【ピボット】事業所売上!$A$3,"年月",T$2,"事業所",$A68),0)</f>
        <v>99180</v>
      </c>
      <c r="U68" s="1603">
        <f>IFERROR(GETPIVOTDATA("合計 / " &amp; $C68,【ピボット】事業所売上!$A$3,"年月",U$2,"事業所",$A68),0)</f>
        <v>72000</v>
      </c>
      <c r="V68" s="1603">
        <f>IFERROR(GETPIVOTDATA("合計 / " &amp; $C68,【ピボット】事業所売上!$A$3,"年月",V$2,"事業所",$A68),0)</f>
        <v>144180</v>
      </c>
      <c r="W68" s="1603">
        <f>IFERROR(GETPIVOTDATA("合計 / " &amp; $C68,【ピボット】事業所売上!$A$3,"年月",W$2,"事業所",$A68),0)</f>
        <v>72900</v>
      </c>
      <c r="X68" s="1603">
        <f>IFERROR(GETPIVOTDATA("合計 / " &amp; $C68,【ピボット】事業所売上!$A$3,"年月",X$2,"事業所",$A68),0)</f>
        <v>129060</v>
      </c>
      <c r="Y68" s="1603">
        <f>IFERROR(GETPIVOTDATA("合計 / " &amp; $C68,【ピボット】事業所売上!$A$3,"年月",Y$2,"事業所",$A68),0)</f>
        <v>56190</v>
      </c>
      <c r="Z68" s="1603">
        <f>IFERROR(GETPIVOTDATA("合計 / " &amp; $C68,【ピボット】事業所売上!$A$3,"年月",Z$2,"事業所",$A68),0)</f>
        <v>103680</v>
      </c>
      <c r="AA68" s="1603">
        <f>IFERROR(GETPIVOTDATA("合計 / " &amp; $C68,【ピボット】事業所売上!$A$3,"年月",AA$2,"事業所",$A68),0)</f>
        <v>72000</v>
      </c>
      <c r="AB68" s="1561">
        <f ca="1">SUM(OFFSET(AA68,0,当期月数):AA68)</f>
        <v>749190</v>
      </c>
      <c r="AD68" s="1511"/>
      <c r="AE68" s="1511"/>
      <c r="AF68" s="1511"/>
    </row>
    <row r="69" spans="1:39" s="1529" customFormat="1" ht="15.4" customHeight="1" x14ac:dyDescent="0.15">
      <c r="A69" s="1511" t="s">
        <v>684</v>
      </c>
      <c r="B69" s="2054"/>
      <c r="C69" s="1604" t="s">
        <v>315</v>
      </c>
      <c r="D69" s="1605">
        <f>IFERROR(GETPIVOTDATA("合計 / " &amp; $C69,【ピボット】事業所売上!$A$3,"年月",D$2,"事業所",$A69),0)</f>
        <v>0</v>
      </c>
      <c r="E69" s="1605">
        <f>IFERROR(GETPIVOTDATA("合計 / " &amp; $C69,【ピボット】事業所売上!$A$3,"年月",E$2,"事業所",$A69),0)</f>
        <v>0</v>
      </c>
      <c r="F69" s="1605">
        <f>IFERROR(GETPIVOTDATA("合計 / " &amp; $C69,【ピボット】事業所売上!$A$3,"年月",F$2,"事業所",$A69),0)</f>
        <v>0</v>
      </c>
      <c r="G69" s="1605">
        <f>IFERROR(GETPIVOTDATA("合計 / " &amp; $C69,【ピボット】事業所売上!$A$3,"年月",G$2,"事業所",$A69),0)</f>
        <v>0</v>
      </c>
      <c r="H69" s="1605">
        <f>IFERROR(GETPIVOTDATA("合計 / " &amp; $C69,【ピボット】事業所売上!$A$3,"年月",H$2,"事業所",$A69),0)</f>
        <v>0</v>
      </c>
      <c r="I69" s="1605">
        <f>IFERROR(GETPIVOTDATA("合計 / " &amp; $C69,【ピボット】事業所売上!$A$3,"年月",I$2,"事業所",$A69),0)</f>
        <v>0</v>
      </c>
      <c r="J69" s="1605">
        <f>IFERROR(GETPIVOTDATA("合計 / " &amp; $C69,【ピボット】事業所売上!$A$3,"年月",J$2,"事業所",$A69),0)</f>
        <v>0</v>
      </c>
      <c r="K69" s="1605">
        <f>IFERROR(GETPIVOTDATA("合計 / " &amp; $C69,【ピボット】事業所売上!$A$3,"年月",K$2,"事業所",$A69),0)</f>
        <v>0</v>
      </c>
      <c r="L69" s="1605">
        <f>IFERROR(GETPIVOTDATA("合計 / " &amp; $C69,【ピボット】事業所売上!$A$3,"年月",L$2,"事業所",$A69),0)</f>
        <v>0</v>
      </c>
      <c r="M69" s="1605">
        <f>IFERROR(GETPIVOTDATA("合計 / " &amp; $C69,【ピボット】事業所売上!$A$3,"年月",M$2,"事業所",$A69),0)</f>
        <v>0</v>
      </c>
      <c r="N69" s="1605">
        <f>IFERROR(GETPIVOTDATA("合計 / " &amp; $C69,【ピボット】事業所売上!$A$3,"年月",N$2,"事業所",$A69),0)</f>
        <v>0</v>
      </c>
      <c r="O69" s="1605">
        <f>IFERROR(GETPIVOTDATA("合計 / " &amp; $C69,【ピボット】事業所売上!$A$3,"年月",O$2,"事業所",$A69),0)</f>
        <v>0</v>
      </c>
      <c r="P69" s="1605">
        <f>IFERROR(GETPIVOTDATA("合計 / " &amp; $C69,【ピボット】事業所売上!$A$3,"年月",P$2,"事業所",$A69),0)</f>
        <v>0</v>
      </c>
      <c r="Q69" s="1605">
        <f>IFERROR(GETPIVOTDATA("合計 / " &amp; $C69,【ピボット】事業所売上!$A$3,"年月",Q$2,"事業所",$A69),0)</f>
        <v>0</v>
      </c>
      <c r="R69" s="1605">
        <f>IFERROR(GETPIVOTDATA("合計 / " &amp; $C69,【ピボット】事業所売上!$A$3,"年月",R$2,"事業所",$A69),0)</f>
        <v>0</v>
      </c>
      <c r="S69" s="1605">
        <f>IFERROR(GETPIVOTDATA("合計 / " &amp; $C69,【ピボット】事業所売上!$A$3,"年月",S$2,"事業所",$A69),0)</f>
        <v>0</v>
      </c>
      <c r="T69" s="1605">
        <f>IFERROR(GETPIVOTDATA("合計 / " &amp; $C69,【ピボット】事業所売上!$A$3,"年月",T$2,"事業所",$A69),0)</f>
        <v>0</v>
      </c>
      <c r="U69" s="1605">
        <f>IFERROR(GETPIVOTDATA("合計 / " &amp; $C69,【ピボット】事業所売上!$A$3,"年月",U$2,"事業所",$A69),0)</f>
        <v>563140</v>
      </c>
      <c r="V69" s="1605">
        <f>IFERROR(GETPIVOTDATA("合計 / " &amp; $C69,【ピボット】事業所売上!$A$3,"年月",V$2,"事業所",$A69),0)</f>
        <v>324584</v>
      </c>
      <c r="W69" s="1605">
        <f>IFERROR(GETPIVOTDATA("合計 / " &amp; $C69,【ピボット】事業所売上!$A$3,"年月",W$2,"事業所",$A69),0)</f>
        <v>300120</v>
      </c>
      <c r="X69" s="1605">
        <f>IFERROR(GETPIVOTDATA("合計 / " &amp; $C69,【ピボット】事業所売上!$A$3,"年月",X$2,"事業所",$A69),0)</f>
        <v>268570</v>
      </c>
      <c r="Y69" s="1605">
        <f>IFERROR(GETPIVOTDATA("合計 / " &amp; $C69,【ピボット】事業所売上!$A$3,"年月",Y$2,"事業所",$A69),0)</f>
        <v>329350</v>
      </c>
      <c r="Z69" s="1605">
        <f>IFERROR(GETPIVOTDATA("合計 / " &amp; $C69,【ピボット】事業所売上!$A$3,"年月",Z$2,"事業所",$A69),0)</f>
        <v>278280</v>
      </c>
      <c r="AA69" s="1605">
        <f>IFERROR(GETPIVOTDATA("合計 / " &amp; $C69,【ピボット】事業所売上!$A$3,"年月",AA$2,"事業所",$A69),0)</f>
        <v>250260</v>
      </c>
      <c r="AB69" s="1564">
        <f ca="1">SUM(OFFSET(AA69,0,当期月数):AA69)</f>
        <v>2314304</v>
      </c>
      <c r="AD69" s="1511"/>
      <c r="AE69" s="1511"/>
      <c r="AF69" s="1511"/>
    </row>
    <row r="70" spans="1:39" ht="15.4" customHeight="1" thickBot="1" x14ac:dyDescent="0.2">
      <c r="B70" s="2055"/>
      <c r="C70" s="1606" t="s">
        <v>11</v>
      </c>
      <c r="D70" s="1607">
        <f t="shared" ref="D70:Z70" si="28">SUM(D61:D69)</f>
        <v>10081728</v>
      </c>
      <c r="E70" s="1607">
        <f t="shared" si="28"/>
        <v>9528673</v>
      </c>
      <c r="F70" s="1607">
        <f t="shared" si="28"/>
        <v>10338554</v>
      </c>
      <c r="G70" s="1607">
        <f t="shared" si="28"/>
        <v>10004240</v>
      </c>
      <c r="H70" s="1607">
        <f t="shared" si="28"/>
        <v>10291903</v>
      </c>
      <c r="I70" s="1607">
        <f t="shared" si="28"/>
        <v>10634528</v>
      </c>
      <c r="J70" s="1607">
        <f t="shared" si="28"/>
        <v>9718481</v>
      </c>
      <c r="K70" s="1607">
        <f t="shared" si="28"/>
        <v>10007332</v>
      </c>
      <c r="L70" s="1607">
        <f t="shared" si="28"/>
        <v>10050857</v>
      </c>
      <c r="M70" s="1607">
        <f t="shared" si="28"/>
        <v>9647827</v>
      </c>
      <c r="N70" s="1607">
        <f t="shared" si="28"/>
        <v>10237581</v>
      </c>
      <c r="O70" s="1607">
        <f t="shared" si="28"/>
        <v>10301194</v>
      </c>
      <c r="P70" s="1607">
        <f t="shared" si="28"/>
        <v>10772827</v>
      </c>
      <c r="Q70" s="1607">
        <f t="shared" si="28"/>
        <v>9835106</v>
      </c>
      <c r="R70" s="1607">
        <f t="shared" si="28"/>
        <v>11042771</v>
      </c>
      <c r="S70" s="1607">
        <f t="shared" si="28"/>
        <v>9842755</v>
      </c>
      <c r="T70" s="1607">
        <f t="shared" si="28"/>
        <v>11239510</v>
      </c>
      <c r="U70" s="1607">
        <f t="shared" si="28"/>
        <v>12511332</v>
      </c>
      <c r="V70" s="1607">
        <f t="shared" si="28"/>
        <v>12778671</v>
      </c>
      <c r="W70" s="1607">
        <f t="shared" si="28"/>
        <v>12163091</v>
      </c>
      <c r="X70" s="1607">
        <f t="shared" si="28"/>
        <v>12668826</v>
      </c>
      <c r="Y70" s="1607">
        <f t="shared" si="28"/>
        <v>11458207</v>
      </c>
      <c r="Z70" s="1607">
        <f t="shared" si="28"/>
        <v>12821396</v>
      </c>
      <c r="AA70" s="1607">
        <f>SUM(AA61:AA69)</f>
        <v>12901588</v>
      </c>
      <c r="AB70" s="1608">
        <f ca="1">SUM(OFFSET(AA70,0,当期月数):AA70)</f>
        <v>98542621</v>
      </c>
    </row>
    <row r="71" spans="1:39" ht="15.4" customHeight="1" x14ac:dyDescent="0.15">
      <c r="A71" s="1511" t="s">
        <v>674</v>
      </c>
      <c r="B71" s="2052" t="s">
        <v>2</v>
      </c>
      <c r="C71" s="1609" t="s">
        <v>10</v>
      </c>
      <c r="D71" s="1610">
        <f>IFERROR(GETPIVOTDATA("合計 / " &amp; $C71,【ピボット】事業所売上!$A$3,"年月",D$2,"事業所",$A71),0)</f>
        <v>4023031</v>
      </c>
      <c r="E71" s="1610">
        <f>IFERROR(GETPIVOTDATA("合計 / " &amp; $C71,【ピボット】事業所売上!$A$3,"年月",E$2,"事業所",$A71),0)</f>
        <v>4207063</v>
      </c>
      <c r="F71" s="1610">
        <f>IFERROR(GETPIVOTDATA("合計 / " &amp; $C71,【ピボット】事業所売上!$A$3,"年月",F$2,"事業所",$A71),0)</f>
        <v>3798477</v>
      </c>
      <c r="G71" s="1610">
        <f>IFERROR(GETPIVOTDATA("合計 / " &amp; $C71,【ピボット】事業所売上!$A$3,"年月",G$2,"事業所",$A71),0)</f>
        <v>3880728</v>
      </c>
      <c r="H71" s="1610">
        <f>IFERROR(GETPIVOTDATA("合計 / " &amp; $C71,【ピボット】事業所売上!$A$3,"年月",H$2,"事業所",$A71),0)</f>
        <v>4342620</v>
      </c>
      <c r="I71" s="1610">
        <f>IFERROR(GETPIVOTDATA("合計 / " &amp; $C71,【ピボット】事業所売上!$A$3,"年月",I$2,"事業所",$A71),0)</f>
        <v>4466589</v>
      </c>
      <c r="J71" s="1610">
        <f>IFERROR(GETPIVOTDATA("合計 / " &amp; $C71,【ピボット】事業所売上!$A$3,"年月",J$2,"事業所",$A71),0)</f>
        <v>4288223</v>
      </c>
      <c r="K71" s="1610">
        <f>IFERROR(GETPIVOTDATA("合計 / " &amp; $C71,【ピボット】事業所売上!$A$3,"年月",K$2,"事業所",$A71),0)</f>
        <v>4314125</v>
      </c>
      <c r="L71" s="1610">
        <f>IFERROR(GETPIVOTDATA("合計 / " &amp; $C71,【ピボット】事業所売上!$A$3,"年月",L$2,"事業所",$A71),0)</f>
        <v>3868662</v>
      </c>
      <c r="M71" s="1610">
        <f>IFERROR(GETPIVOTDATA("合計 / " &amp; $C71,【ピボット】事業所売上!$A$3,"年月",M$2,"事業所",$A71),0)</f>
        <v>3741771</v>
      </c>
      <c r="N71" s="1610">
        <f>IFERROR(GETPIVOTDATA("合計 / " &amp; $C71,【ピボット】事業所売上!$A$3,"年月",N$2,"事業所",$A71),0)</f>
        <v>3545925</v>
      </c>
      <c r="O71" s="1610">
        <f>IFERROR(GETPIVOTDATA("合計 / " &amp; $C71,【ピボット】事業所売上!$A$3,"年月",O$2,"事業所",$A71),0)</f>
        <v>5905117</v>
      </c>
      <c r="P71" s="1610">
        <f>IFERROR(GETPIVOTDATA("合計 / " &amp; $C71,【ピボット】事業所売上!$A$3,"年月",P$2,"事業所",$A71),0)</f>
        <v>4774530</v>
      </c>
      <c r="Q71" s="1610">
        <f>IFERROR(GETPIVOTDATA("合計 / " &amp; $C71,【ピボット】事業所売上!$A$3,"年月",Q$2,"事業所",$A71),0)</f>
        <v>4727604</v>
      </c>
      <c r="R71" s="1610">
        <f>IFERROR(GETPIVOTDATA("合計 / " &amp; $C71,【ピボット】事業所売上!$A$3,"年月",R$2,"事業所",$A71),0)</f>
        <v>4044228</v>
      </c>
      <c r="S71" s="1610">
        <f>IFERROR(GETPIVOTDATA("合計 / " &amp; $C71,【ピボット】事業所売上!$A$3,"年月",S$2,"事業所",$A71),0)</f>
        <v>4436142</v>
      </c>
      <c r="T71" s="1610">
        <f>IFERROR(GETPIVOTDATA("合計 / " &amp; $C71,【ピボット】事業所売上!$A$3,"年月",T$2,"事業所",$A71),0)</f>
        <v>4394228</v>
      </c>
      <c r="U71" s="1610">
        <f>IFERROR(GETPIVOTDATA("合計 / " &amp; $C71,【ピボット】事業所売上!$A$3,"年月",U$2,"事業所",$A71),0)</f>
        <v>5226410</v>
      </c>
      <c r="V71" s="1610">
        <f>IFERROR(GETPIVOTDATA("合計 / " &amp; $C71,【ピボット】事業所売上!$A$3,"年月",V$2,"事業所",$A71),0)</f>
        <v>4718674</v>
      </c>
      <c r="W71" s="1610">
        <f>IFERROR(GETPIVOTDATA("合計 / " &amp; $C71,【ピボット】事業所売上!$A$3,"年月",W$2,"事業所",$A71),0)</f>
        <v>4484003</v>
      </c>
      <c r="X71" s="1610">
        <f>IFERROR(GETPIVOTDATA("合計 / " &amp; $C71,【ピボット】事業所売上!$A$3,"年月",X$2,"事業所",$A71),0)</f>
        <v>4094387</v>
      </c>
      <c r="Y71" s="1610">
        <f>IFERROR(GETPIVOTDATA("合計 / " &amp; $C71,【ピボット】事業所売上!$A$3,"年月",Y$2,"事業所",$A71),0)</f>
        <v>4550601</v>
      </c>
      <c r="Z71" s="1610">
        <f>IFERROR(GETPIVOTDATA("合計 / " &amp; $C71,【ピボット】事業所売上!$A$3,"年月",Z$2,"事業所",$A71),0)</f>
        <v>3648265</v>
      </c>
      <c r="AA71" s="1610">
        <f>IFERROR(GETPIVOTDATA("合計 / " &amp; $C71,【ピボット】事業所売上!$A$3,"年月",AA$2,"事業所",$A71),0)</f>
        <v>3923238</v>
      </c>
      <c r="AB71" s="1590">
        <f ca="1">SUM(OFFSET(AA71,0,当期月数):AA71)</f>
        <v>35039806</v>
      </c>
    </row>
    <row r="72" spans="1:39" ht="15.4" customHeight="1" x14ac:dyDescent="0.15">
      <c r="A72" s="1511" t="s">
        <v>674</v>
      </c>
      <c r="B72" s="2052"/>
      <c r="C72" s="1599" t="s">
        <v>9</v>
      </c>
      <c r="D72" s="1600">
        <f>IFERROR(GETPIVOTDATA("合計 / " &amp; $C72,【ピボット】事業所売上!$A$3,"年月",D$2,"事業所",$A72),0)</f>
        <v>363715</v>
      </c>
      <c r="E72" s="1600">
        <f>IFERROR(GETPIVOTDATA("合計 / " &amp; $C72,【ピボット】事業所売上!$A$3,"年月",E$2,"事業所",$A72),0)</f>
        <v>383360</v>
      </c>
      <c r="F72" s="1600">
        <f>IFERROR(GETPIVOTDATA("合計 / " &amp; $C72,【ピボット】事業所売上!$A$3,"年月",F$2,"事業所",$A72),0)</f>
        <v>449737</v>
      </c>
      <c r="G72" s="1600">
        <f>IFERROR(GETPIVOTDATA("合計 / " &amp; $C72,【ピボット】事業所売上!$A$3,"年月",G$2,"事業所",$A72),0)</f>
        <v>474864</v>
      </c>
      <c r="H72" s="1600">
        <f>IFERROR(GETPIVOTDATA("合計 / " &amp; $C72,【ピボット】事業所売上!$A$3,"年月",H$2,"事業所",$A72),0)</f>
        <v>507095</v>
      </c>
      <c r="I72" s="1600">
        <f>IFERROR(GETPIVOTDATA("合計 / " &amp; $C72,【ピボット】事業所売上!$A$3,"年月",I$2,"事業所",$A72),0)</f>
        <v>459051</v>
      </c>
      <c r="J72" s="1600">
        <f>IFERROR(GETPIVOTDATA("合計 / " &amp; $C72,【ピボット】事業所売上!$A$3,"年月",J$2,"事業所",$A72),0)</f>
        <v>436023</v>
      </c>
      <c r="K72" s="1600">
        <f>IFERROR(GETPIVOTDATA("合計 / " &amp; $C72,【ピボット】事業所売上!$A$3,"年月",K$2,"事業所",$A72),0)</f>
        <v>421073</v>
      </c>
      <c r="L72" s="1600">
        <f>IFERROR(GETPIVOTDATA("合計 / " &amp; $C72,【ピボット】事業所売上!$A$3,"年月",L$2,"事業所",$A72),0)</f>
        <v>421194</v>
      </c>
      <c r="M72" s="1600">
        <f>IFERROR(GETPIVOTDATA("合計 / " &amp; $C72,【ピボット】事業所売上!$A$3,"年月",M$2,"事業所",$A72),0)</f>
        <v>444863</v>
      </c>
      <c r="N72" s="1600">
        <f>IFERROR(GETPIVOTDATA("合計 / " &amp; $C72,【ピボット】事業所売上!$A$3,"年月",N$2,"事業所",$A72),0)</f>
        <v>483204</v>
      </c>
      <c r="O72" s="1600">
        <f>IFERROR(GETPIVOTDATA("合計 / " &amp; $C72,【ピボット】事業所売上!$A$3,"年月",O$2,"事業所",$A72),0)</f>
        <v>440722</v>
      </c>
      <c r="P72" s="1600">
        <f>IFERROR(GETPIVOTDATA("合計 / " &amp; $C72,【ピボット】事業所売上!$A$3,"年月",P$2,"事業所",$A72),0)</f>
        <v>447307</v>
      </c>
      <c r="Q72" s="1600">
        <f>IFERROR(GETPIVOTDATA("合計 / " &amp; $C72,【ピボット】事業所売上!$A$3,"年月",Q$2,"事業所",$A72),0)</f>
        <v>478897</v>
      </c>
      <c r="R72" s="1600">
        <f>IFERROR(GETPIVOTDATA("合計 / " &amp; $C72,【ピボット】事業所売上!$A$3,"年月",R$2,"事業所",$A72),0)</f>
        <v>553040</v>
      </c>
      <c r="S72" s="1600">
        <f>IFERROR(GETPIVOTDATA("合計 / " &amp; $C72,【ピボット】事業所売上!$A$3,"年月",S$2,"事業所",$A72),0)</f>
        <v>514013</v>
      </c>
      <c r="T72" s="1600">
        <f>IFERROR(GETPIVOTDATA("合計 / " &amp; $C72,【ピボット】事業所売上!$A$3,"年月",T$2,"事業所",$A72),0)</f>
        <v>505814</v>
      </c>
      <c r="U72" s="1600">
        <f>IFERROR(GETPIVOTDATA("合計 / " &amp; $C72,【ピボット】事業所売上!$A$3,"年月",U$2,"事業所",$A72),0)</f>
        <v>530963</v>
      </c>
      <c r="V72" s="1600">
        <f>IFERROR(GETPIVOTDATA("合計 / " &amp; $C72,【ピボット】事業所売上!$A$3,"年月",V$2,"事業所",$A72),0)</f>
        <v>622929</v>
      </c>
      <c r="W72" s="1600">
        <f>IFERROR(GETPIVOTDATA("合計 / " &amp; $C72,【ピボット】事業所売上!$A$3,"年月",W$2,"事業所",$A72),0)</f>
        <v>518588</v>
      </c>
      <c r="X72" s="1600">
        <f>IFERROR(GETPIVOTDATA("合計 / " &amp; $C72,【ピボット】事業所売上!$A$3,"年月",X$2,"事業所",$A72),0)</f>
        <v>530400</v>
      </c>
      <c r="Y72" s="1600">
        <f>IFERROR(GETPIVOTDATA("合計 / " &amp; $C72,【ピボット】事業所売上!$A$3,"年月",Y$2,"事業所",$A72),0)</f>
        <v>529936</v>
      </c>
      <c r="Z72" s="1600">
        <f>IFERROR(GETPIVOTDATA("合計 / " &amp; $C72,【ピボット】事業所売上!$A$3,"年月",Z$2,"事業所",$A72),0)</f>
        <v>481439</v>
      </c>
      <c r="AA72" s="1600">
        <f>IFERROR(GETPIVOTDATA("合計 / " &amp; $C72,【ピボット】事業所売上!$A$3,"年月",AA$2,"事業所",$A72),0)</f>
        <v>549559</v>
      </c>
      <c r="AB72" s="1561">
        <f ca="1">SUM(OFFSET(AA72,0,当期月数):AA72)</f>
        <v>4269628</v>
      </c>
    </row>
    <row r="73" spans="1:39" ht="15.4" customHeight="1" x14ac:dyDescent="0.15">
      <c r="A73" s="1511" t="s">
        <v>674</v>
      </c>
      <c r="B73" s="2052"/>
      <c r="C73" s="1599" t="s">
        <v>8</v>
      </c>
      <c r="D73" s="1611">
        <f>IFERROR(GETPIVOTDATA("合計 / " &amp; $C73,【ピボット】事業所売上!$A$3,"年月",D$2,"事業所",$A73),0)</f>
        <v>746212</v>
      </c>
      <c r="E73" s="1611">
        <f>IFERROR(GETPIVOTDATA("合計 / " &amp; $C73,【ピボット】事業所売上!$A$3,"年月",E$2,"事業所",$A73),0)</f>
        <v>696592</v>
      </c>
      <c r="F73" s="1611">
        <f>IFERROR(GETPIVOTDATA("合計 / " &amp; $C73,【ピボット】事業所売上!$A$3,"年月",F$2,"事業所",$A73),0)</f>
        <v>870688</v>
      </c>
      <c r="G73" s="1611">
        <f>IFERROR(GETPIVOTDATA("合計 / " &amp; $C73,【ピボット】事業所売上!$A$3,"年月",G$2,"事業所",$A73),0)</f>
        <v>909109</v>
      </c>
      <c r="H73" s="1611">
        <f>IFERROR(GETPIVOTDATA("合計 / " &amp; $C73,【ピボット】事業所売上!$A$3,"年月",H$2,"事業所",$A73),0)</f>
        <v>905653</v>
      </c>
      <c r="I73" s="1611">
        <f>IFERROR(GETPIVOTDATA("合計 / " &amp; $C73,【ピボット】事業所売上!$A$3,"年月",I$2,"事業所",$A73),0)</f>
        <v>976621</v>
      </c>
      <c r="J73" s="1611">
        <f>IFERROR(GETPIVOTDATA("合計 / " &amp; $C73,【ピボット】事業所売上!$A$3,"年月",J$2,"事業所",$A73),0)</f>
        <v>971375</v>
      </c>
      <c r="K73" s="1611">
        <f>IFERROR(GETPIVOTDATA("合計 / " &amp; $C73,【ピボット】事業所売上!$A$3,"年月",K$2,"事業所",$A73),0)</f>
        <v>927864</v>
      </c>
      <c r="L73" s="1611">
        <f>IFERROR(GETPIVOTDATA("合計 / " &amp; $C73,【ピボット】事業所売上!$A$3,"年月",L$2,"事業所",$A73),0)</f>
        <v>864854</v>
      </c>
      <c r="M73" s="1611">
        <f>IFERROR(GETPIVOTDATA("合計 / " &amp; $C73,【ピボット】事業所売上!$A$3,"年月",M$2,"事業所",$A73),0)</f>
        <v>838386</v>
      </c>
      <c r="N73" s="1611">
        <f>IFERROR(GETPIVOTDATA("合計 / " &amp; $C73,【ピボット】事業所売上!$A$3,"年月",N$2,"事業所",$A73),0)</f>
        <v>900769</v>
      </c>
      <c r="O73" s="1611">
        <f>IFERROR(GETPIVOTDATA("合計 / " &amp; $C73,【ピボット】事業所売上!$A$3,"年月",O$2,"事業所",$A73),0)</f>
        <v>886445</v>
      </c>
      <c r="P73" s="1611">
        <f>IFERROR(GETPIVOTDATA("合計 / " &amp; $C73,【ピボット】事業所売上!$A$3,"年月",P$2,"事業所",$A73),0)</f>
        <v>1009132</v>
      </c>
      <c r="Q73" s="1611">
        <f>IFERROR(GETPIVOTDATA("合計 / " &amp; $C73,【ピボット】事業所売上!$A$3,"年月",Q$2,"事業所",$A73),0)</f>
        <v>862821</v>
      </c>
      <c r="R73" s="1611">
        <f>IFERROR(GETPIVOTDATA("合計 / " &amp; $C73,【ピボット】事業所売上!$A$3,"年月",R$2,"事業所",$A73),0)</f>
        <v>964628</v>
      </c>
      <c r="S73" s="1611">
        <f>IFERROR(GETPIVOTDATA("合計 / " &amp; $C73,【ピボット】事業所売上!$A$3,"年月",S$2,"事業所",$A73),0)</f>
        <v>876207</v>
      </c>
      <c r="T73" s="1611">
        <f>IFERROR(GETPIVOTDATA("合計 / " &amp; $C73,【ピボット】事業所売上!$A$3,"年月",T$2,"事業所",$A73),0)</f>
        <v>893484</v>
      </c>
      <c r="U73" s="1611">
        <f>IFERROR(GETPIVOTDATA("合計 / " &amp; $C73,【ピボット】事業所売上!$A$3,"年月",U$2,"事業所",$A73),0)</f>
        <v>1400329</v>
      </c>
      <c r="V73" s="1611">
        <f>IFERROR(GETPIVOTDATA("合計 / " &amp; $C73,【ピボット】事業所売上!$A$3,"年月",V$2,"事業所",$A73),0)</f>
        <v>1554852</v>
      </c>
      <c r="W73" s="1611">
        <f>IFERROR(GETPIVOTDATA("合計 / " &amp; $C73,【ピボット】事業所売上!$A$3,"年月",W$2,"事業所",$A73),0)</f>
        <v>1323386</v>
      </c>
      <c r="X73" s="1611">
        <f>IFERROR(GETPIVOTDATA("合計 / " &amp; $C73,【ピボット】事業所売上!$A$3,"年月",X$2,"事業所",$A73),0)</f>
        <v>1005210</v>
      </c>
      <c r="Y73" s="1611">
        <f>IFERROR(GETPIVOTDATA("合計 / " &amp; $C73,【ピボット】事業所売上!$A$3,"年月",Y$2,"事業所",$A73),0)</f>
        <v>898498</v>
      </c>
      <c r="Z73" s="1611">
        <f>IFERROR(GETPIVOTDATA("合計 / " &amp; $C73,【ピボット】事業所売上!$A$3,"年月",Z$2,"事業所",$A73),0)</f>
        <v>960910</v>
      </c>
      <c r="AA73" s="1611">
        <f>IFERROR(GETPIVOTDATA("合計 / " &amp; $C73,【ピボット】事業所売上!$A$3,"年月",AA$2,"事業所",$A73),0)</f>
        <v>1346991</v>
      </c>
      <c r="AB73" s="1561">
        <f ca="1">SUM(OFFSET(AA73,0,当期月数):AA73)</f>
        <v>9383660</v>
      </c>
      <c r="AD73" s="1529"/>
      <c r="AE73" s="1529"/>
      <c r="AF73" s="1529"/>
    </row>
    <row r="74" spans="1:39" ht="15.4" customHeight="1" x14ac:dyDescent="0.15">
      <c r="A74" s="1511" t="s">
        <v>2</v>
      </c>
      <c r="B74" s="2052"/>
      <c r="C74" s="1599" t="s">
        <v>403</v>
      </c>
      <c r="D74" s="1611">
        <f>IFERROR(GETPIVOTDATA("合計 / " &amp; $C74,【ピボット】事業所売上!$A$3,"年月",D$2,"事業所",$A74),0)</f>
        <v>0</v>
      </c>
      <c r="E74" s="1611">
        <f>IFERROR(GETPIVOTDATA("合計 / " &amp; $C74,【ピボット】事業所売上!$A$3,"年月",E$2,"事業所",$A74),0)</f>
        <v>0</v>
      </c>
      <c r="F74" s="1611">
        <f>IFERROR(GETPIVOTDATA("合計 / " &amp; $C74,【ピボット】事業所売上!$A$3,"年月",F$2,"事業所",$A74),0)</f>
        <v>0</v>
      </c>
      <c r="G74" s="1611">
        <f>IFERROR(GETPIVOTDATA("合計 / " &amp; $C74,【ピボット】事業所売上!$A$3,"年月",G$2,"事業所",$A74),0)</f>
        <v>0</v>
      </c>
      <c r="H74" s="1611">
        <f>IFERROR(GETPIVOTDATA("合計 / " &amp; $C74,【ピボット】事業所売上!$A$3,"年月",H$2,"事業所",$A74),0)</f>
        <v>0</v>
      </c>
      <c r="I74" s="1611">
        <f>IFERROR(GETPIVOTDATA("合計 / " &amp; $C74,【ピボット】事業所売上!$A$3,"年月",I$2,"事業所",$A74),0)</f>
        <v>0</v>
      </c>
      <c r="J74" s="1611">
        <f>IFERROR(GETPIVOTDATA("合計 / " &amp; $C74,【ピボット】事業所売上!$A$3,"年月",J$2,"事業所",$A74),0)</f>
        <v>0</v>
      </c>
      <c r="K74" s="1611">
        <f>IFERROR(GETPIVOTDATA("合計 / " &amp; $C74,【ピボット】事業所売上!$A$3,"年月",K$2,"事業所",$A74),0)</f>
        <v>0</v>
      </c>
      <c r="L74" s="1611">
        <f>IFERROR(GETPIVOTDATA("合計 / " &amp; $C74,【ピボット】事業所売上!$A$3,"年月",L$2,"事業所",$A74),0)</f>
        <v>0</v>
      </c>
      <c r="M74" s="1611">
        <f>IFERROR(GETPIVOTDATA("合計 / " &amp; $C74,【ピボット】事業所売上!$A$3,"年月",M$2,"事業所",$A74),0)</f>
        <v>0</v>
      </c>
      <c r="N74" s="1611">
        <f>IFERROR(GETPIVOTDATA("合計 / " &amp; $C74,【ピボット】事業所売上!$A$3,"年月",N$2,"事業所",$A74),0)</f>
        <v>0</v>
      </c>
      <c r="O74" s="1611">
        <f>IFERROR(GETPIVOTDATA("合計 / " &amp; $C74,【ピボット】事業所売上!$A$3,"年月",O$2,"事業所",$A74),0)</f>
        <v>0</v>
      </c>
      <c r="P74" s="1611">
        <f>IFERROR(GETPIVOTDATA("合計 / " &amp; $C74,【ピボット】事業所売上!$A$3,"年月",P$2,"事業所",$A74),0)</f>
        <v>0</v>
      </c>
      <c r="Q74" s="1611">
        <f>IFERROR(GETPIVOTDATA("合計 / " &amp; $C74,【ピボット】事業所売上!$A$3,"年月",Q$2,"事業所",$A74),0)</f>
        <v>0</v>
      </c>
      <c r="R74" s="1611">
        <f>IFERROR(GETPIVOTDATA("合計 / " &amp; $C74,【ピボット】事業所売上!$A$3,"年月",R$2,"事業所",$A74),0)</f>
        <v>0</v>
      </c>
      <c r="S74" s="1611">
        <f>IFERROR(GETPIVOTDATA("合計 / " &amp; $C74,【ピボット】事業所売上!$A$3,"年月",S$2,"事業所",$A74),0)</f>
        <v>0</v>
      </c>
      <c r="T74" s="1611">
        <f>IFERROR(GETPIVOTDATA("合計 / " &amp; $C74,【ピボット】事業所売上!$A$3,"年月",T$2,"事業所",$A74),0)</f>
        <v>0</v>
      </c>
      <c r="U74" s="1611">
        <f>IFERROR(GETPIVOTDATA("合計 / " &amp; $C74,【ピボット】事業所売上!$A$3,"年月",U$2,"事業所",$A74),0)</f>
        <v>0</v>
      </c>
      <c r="V74" s="1611">
        <f>IFERROR(GETPIVOTDATA("合計 / " &amp; $C74,【ピボット】事業所売上!$A$3,"年月",V$2,"事業所",$A74),0)</f>
        <v>0</v>
      </c>
      <c r="W74" s="1611">
        <f>IFERROR(GETPIVOTDATA("合計 / " &amp; $C74,【ピボット】事業所売上!$A$3,"年月",W$2,"事業所",$A74),0)</f>
        <v>0</v>
      </c>
      <c r="X74" s="1611">
        <f>IFERROR(GETPIVOTDATA("合計 / " &amp; $C74,【ピボット】事業所売上!$A$3,"年月",X$2,"事業所",$A74),0)</f>
        <v>0</v>
      </c>
      <c r="Y74" s="1611">
        <f>IFERROR(GETPIVOTDATA("合計 / " &amp; $C74,【ピボット】事業所売上!$A$3,"年月",Y$2,"事業所",$A74),0)</f>
        <v>0</v>
      </c>
      <c r="Z74" s="1611">
        <f>IFERROR(GETPIVOTDATA("合計 / " &amp; $C74,【ピボット】事業所売上!$A$3,"年月",Z$2,"事業所",$A74),0)</f>
        <v>8560</v>
      </c>
      <c r="AA74" s="1611">
        <f>IFERROR(GETPIVOTDATA("合計 / " &amp; $C74,【ピボット】事業所売上!$A$3,"年月",AA$2,"事業所",$A74),0)</f>
        <v>8560</v>
      </c>
      <c r="AB74" s="1561">
        <f ca="1">SUM(OFFSET(AA74,0,当期月数):AA74)</f>
        <v>17120</v>
      </c>
      <c r="AD74" s="1529"/>
      <c r="AE74" s="1529"/>
      <c r="AF74" s="1529"/>
    </row>
    <row r="75" spans="1:39" ht="15.4" customHeight="1" x14ac:dyDescent="0.15">
      <c r="A75" s="1511" t="s">
        <v>674</v>
      </c>
      <c r="B75" s="2052"/>
      <c r="C75" s="1599" t="s">
        <v>7</v>
      </c>
      <c r="D75" s="1612">
        <f>IFERROR(GETPIVOTDATA("合計 / " &amp; $C75,【ピボット】事業所売上!$A$3,"年月",D$2,"事業所",$A75),0)</f>
        <v>114025</v>
      </c>
      <c r="E75" s="1612">
        <f>IFERROR(GETPIVOTDATA("合計 / " &amp; $C75,【ピボット】事業所売上!$A$3,"年月",E$2,"事業所",$A75),0)</f>
        <v>300426</v>
      </c>
      <c r="F75" s="1612">
        <f>IFERROR(GETPIVOTDATA("合計 / " &amp; $C75,【ピボット】事業所売上!$A$3,"年月",F$2,"事業所",$A75),0)</f>
        <v>284477</v>
      </c>
      <c r="G75" s="1612">
        <f>IFERROR(GETPIVOTDATA("合計 / " &amp; $C75,【ピボット】事業所売上!$A$3,"年月",G$2,"事業所",$A75),0)</f>
        <v>295980</v>
      </c>
      <c r="H75" s="1612">
        <f>IFERROR(GETPIVOTDATA("合計 / " &amp; $C75,【ピボット】事業所売上!$A$3,"年月",H$2,"事業所",$A75),0)</f>
        <v>171851</v>
      </c>
      <c r="I75" s="1612">
        <f>IFERROR(GETPIVOTDATA("合計 / " &amp; $C75,【ピボット】事業所売上!$A$3,"年月",I$2,"事業所",$A75),0)</f>
        <v>296564</v>
      </c>
      <c r="J75" s="1612">
        <f>IFERROR(GETPIVOTDATA("合計 / " &amp; $C75,【ピボット】事業所売上!$A$3,"年月",J$2,"事業所",$A75),0)</f>
        <v>176039</v>
      </c>
      <c r="K75" s="1612">
        <f>IFERROR(GETPIVOTDATA("合計 / " &amp; $C75,【ピボット】事業所売上!$A$3,"年月",K$2,"事業所",$A75),0)</f>
        <v>197500</v>
      </c>
      <c r="L75" s="1612">
        <f>IFERROR(GETPIVOTDATA("合計 / " &amp; $C75,【ピボット】事業所売上!$A$3,"年月",L$2,"事業所",$A75),0)</f>
        <v>223191</v>
      </c>
      <c r="M75" s="1612">
        <f>IFERROR(GETPIVOTDATA("合計 / " &amp; $C75,【ピボット】事業所売上!$A$3,"年月",M$2,"事業所",$A75),0)</f>
        <v>250230</v>
      </c>
      <c r="N75" s="1612">
        <f>IFERROR(GETPIVOTDATA("合計 / " &amp; $C75,【ピボット】事業所売上!$A$3,"年月",N$2,"事業所",$A75),0)</f>
        <v>351148</v>
      </c>
      <c r="O75" s="1612">
        <f>IFERROR(GETPIVOTDATA("合計 / " &amp; $C75,【ピボット】事業所売上!$A$3,"年月",O$2,"事業所",$A75),0)</f>
        <v>383012</v>
      </c>
      <c r="P75" s="1612">
        <f>IFERROR(GETPIVOTDATA("合計 / " &amp; $C75,【ピボット】事業所売上!$A$3,"年月",P$2,"事業所",$A75),0)</f>
        <v>352083</v>
      </c>
      <c r="Q75" s="1612">
        <f>IFERROR(GETPIVOTDATA("合計 / " &amp; $C75,【ピボット】事業所売上!$A$3,"年月",Q$2,"事業所",$A75),0)</f>
        <v>335119</v>
      </c>
      <c r="R75" s="1612">
        <f>IFERROR(GETPIVOTDATA("合計 / " &amp; $C75,【ピボット】事業所売上!$A$3,"年月",R$2,"事業所",$A75),0)</f>
        <v>386170</v>
      </c>
      <c r="S75" s="1612">
        <f>IFERROR(GETPIVOTDATA("合計 / " &amp; $C75,【ピボット】事業所売上!$A$3,"年月",S$2,"事業所",$A75),0)</f>
        <v>214982</v>
      </c>
      <c r="T75" s="1612">
        <f>IFERROR(GETPIVOTDATA("合計 / " &amp; $C75,【ピボット】事業所売上!$A$3,"年月",T$2,"事業所",$A75),0)</f>
        <v>222988</v>
      </c>
      <c r="U75" s="1612">
        <f>IFERROR(GETPIVOTDATA("合計 / " &amp; $C75,【ピボット】事業所売上!$A$3,"年月",U$2,"事業所",$A75),0)</f>
        <v>254792</v>
      </c>
      <c r="V75" s="1612">
        <f>IFERROR(GETPIVOTDATA("合計 / " &amp; $C75,【ピボット】事業所売上!$A$3,"年月",V$2,"事業所",$A75),0)</f>
        <v>240145</v>
      </c>
      <c r="W75" s="1612">
        <f>IFERROR(GETPIVOTDATA("合計 / " &amp; $C75,【ピボット】事業所売上!$A$3,"年月",W$2,"事業所",$A75),0)</f>
        <v>198681</v>
      </c>
      <c r="X75" s="1613">
        <f>IFERROR(GETPIVOTDATA("合計 / " &amp; $C75,【ピボット】事業所売上!$A$3,"年月",X$2,"事業所",$A75),0)</f>
        <v>169695</v>
      </c>
      <c r="Y75" s="1613">
        <f>IFERROR(GETPIVOTDATA("合計 / " &amp; $C75,【ピボット】事業所売上!$A$3,"年月",Y$2,"事業所",$A75),0)</f>
        <v>151191</v>
      </c>
      <c r="Z75" s="1613">
        <f>IFERROR(GETPIVOTDATA("合計 / " &amp; $C75,【ピボット】事業所売上!$A$3,"年月",Z$2,"事業所",$A75),0)</f>
        <v>236189</v>
      </c>
      <c r="AA75" s="1613">
        <f>IFERROR(GETPIVOTDATA("合計 / " &amp; $C75,【ピボット】事業所売上!$A$3,"年月",AA$2,"事業所",$A75),0)</f>
        <v>311054</v>
      </c>
      <c r="AB75" s="1561">
        <f ca="1">SUM(OFFSET(AA75,0,当期月数):AA75)</f>
        <v>1784735</v>
      </c>
      <c r="AD75" s="1529"/>
      <c r="AE75" s="1529"/>
      <c r="AF75" s="1529"/>
    </row>
    <row r="76" spans="1:39" ht="15.4" customHeight="1" x14ac:dyDescent="0.15">
      <c r="A76" s="1511" t="s">
        <v>674</v>
      </c>
      <c r="B76" s="2052"/>
      <c r="C76" s="1599" t="s">
        <v>6</v>
      </c>
      <c r="D76" s="1602">
        <f>IFERROR(GETPIVOTDATA("合計 / " &amp; $C76,【ピボット】事業所売上!$A$3,"年月",D$2,"事業所",$A76),0)</f>
        <v>94004</v>
      </c>
      <c r="E76" s="1602">
        <f>IFERROR(GETPIVOTDATA("合計 / " &amp; $C76,【ピボット】事業所売上!$A$3,"年月",E$2,"事業所",$A76),0)</f>
        <v>94004</v>
      </c>
      <c r="F76" s="1602">
        <f>IFERROR(GETPIVOTDATA("合計 / " &amp; $C76,【ピボット】事業所売上!$A$3,"年月",F$2,"事業所",$A76),0)</f>
        <v>82068</v>
      </c>
      <c r="G76" s="1602">
        <f>IFERROR(GETPIVOTDATA("合計 / " &amp; $C76,【ピボット】事業所売上!$A$3,"年月",G$2,"事業所",$A76),0)</f>
        <v>81372</v>
      </c>
      <c r="H76" s="1602">
        <f>IFERROR(GETPIVOTDATA("合計 / " &amp; $C76,【ピボット】事業所売上!$A$3,"年月",H$2,"事業所",$A76),0)</f>
        <v>94050</v>
      </c>
      <c r="I76" s="1602">
        <f>IFERROR(GETPIVOTDATA("合計 / " &amp; $C76,【ピボット】事業所売上!$A$3,"年月",I$2,"事業所",$A76),0)</f>
        <v>89799</v>
      </c>
      <c r="J76" s="1602">
        <f>IFERROR(GETPIVOTDATA("合計 / " &amp; $C76,【ピボット】事業所売上!$A$3,"年月",J$2,"事業所",$A76),0)</f>
        <v>81033</v>
      </c>
      <c r="K76" s="1602">
        <f>IFERROR(GETPIVOTDATA("合計 / " &amp; $C76,【ピボット】事業所売上!$A$3,"年月",K$2,"事業所",$A76),0)</f>
        <v>101616</v>
      </c>
      <c r="L76" s="1602">
        <f>IFERROR(GETPIVOTDATA("合計 / " &amp; $C76,【ピボット】事業所売上!$A$3,"年月",L$2,"事業所",$A76),0)</f>
        <v>110118</v>
      </c>
      <c r="M76" s="1602">
        <f>IFERROR(GETPIVOTDATA("合計 / " &amp; $C76,【ピボット】事業所売上!$A$3,"年月",M$2,"事業所",$A76),0)</f>
        <v>106803</v>
      </c>
      <c r="N76" s="1602">
        <f>IFERROR(GETPIVOTDATA("合計 / " &amp; $C76,【ピボット】事業所売上!$A$3,"年月",N$2,"事業所",$A76),0)</f>
        <v>102552</v>
      </c>
      <c r="O76" s="1602">
        <f>IFERROR(GETPIVOTDATA("合計 / " &amp; $C76,【ピボット】事業所売上!$A$3,"年月",O$2,"事業所",$A76),0)</f>
        <v>109854</v>
      </c>
      <c r="P76" s="1602">
        <f>IFERROR(GETPIVOTDATA("合計 / " &amp; $C76,【ピボット】事業所売上!$A$3,"年月",P$2,"事業所",$A76),0)</f>
        <v>146241</v>
      </c>
      <c r="Q76" s="1602">
        <f>IFERROR(GETPIVOTDATA("合計 / " &amp; $C76,【ピボット】事業所売上!$A$3,"年月",Q$2,"事業所",$A76),0)</f>
        <v>123543</v>
      </c>
      <c r="R76" s="1602">
        <f>IFERROR(GETPIVOTDATA("合計 / " &amp; $C76,【ピボット】事業所売上!$A$3,"年月",R$2,"事業所",$A76),0)</f>
        <v>126858</v>
      </c>
      <c r="S76" s="1602">
        <f>IFERROR(GETPIVOTDATA("合計 / " &amp; $C76,【ピボット】事業所売上!$A$3,"年月",S$2,"事業所",$A76),0)</f>
        <v>127794</v>
      </c>
      <c r="T76" s="1602">
        <f>IFERROR(GETPIVOTDATA("合計 / " &amp; $C76,【ピボット】事業所売上!$A$3,"年月",T$2,"事業所",$A76),0)</f>
        <v>139611</v>
      </c>
      <c r="U76" s="1602">
        <f>IFERROR(GETPIVOTDATA("合計 / " &amp; $C76,【ピボット】事業所売上!$A$3,"年月",U$2,"事業所",$A76),0)</f>
        <v>143862</v>
      </c>
      <c r="V76" s="1602">
        <f>IFERROR(GETPIVOTDATA("合計 / " &amp; $C76,【ピボット】事業所売上!$A$3,"年月",V$2,"事業所",$A76),0)</f>
        <v>147177</v>
      </c>
      <c r="W76" s="1602">
        <f>IFERROR(GETPIVOTDATA("合計 / " &amp; $C76,【ピボット】事業所売上!$A$3,"年月",W$2,"事業所",$A76),0)</f>
        <v>152364</v>
      </c>
      <c r="X76" s="1614">
        <f>IFERROR(GETPIVOTDATA("合計 / " &amp; $C76,【ピボット】事業所売上!$A$3,"年月",X$2,"事業所",$A76),0)</f>
        <v>140547</v>
      </c>
      <c r="Y76" s="1614">
        <f>IFERROR(GETPIVOTDATA("合計 / " &amp; $C76,【ピボット】事業所売上!$A$3,"年月",Y$2,"事業所",$A76),0)</f>
        <v>136296</v>
      </c>
      <c r="Z76" s="1614">
        <f>IFERROR(GETPIVOTDATA("合計 / " &amp; $C76,【ピボット】事業所売上!$A$3,"年月",Z$2,"事業所",$A76),0)</f>
        <v>118268</v>
      </c>
      <c r="AA76" s="1614">
        <f>IFERROR(GETPIVOTDATA("合計 / " &amp; $C76,【ピボット】事業所売上!$A$3,"年月",AA$2,"事業所",$A76),0)</f>
        <v>121360</v>
      </c>
      <c r="AB76" s="1561">
        <f ca="1">SUM(OFFSET(AA76,0,当期月数):AA76)</f>
        <v>1099485</v>
      </c>
      <c r="AD76" s="1529"/>
      <c r="AE76" s="1529"/>
      <c r="AF76" s="1529"/>
    </row>
    <row r="77" spans="1:39" s="1529" customFormat="1" ht="15.4" customHeight="1" x14ac:dyDescent="0.15">
      <c r="A77" s="1511" t="s">
        <v>674</v>
      </c>
      <c r="B77" s="2054"/>
      <c r="C77" s="1615" t="s">
        <v>390</v>
      </c>
      <c r="D77" s="1601">
        <f>IFERROR(GETPIVOTDATA("合計 / " &amp; $C77,【ピボット】事業所売上!$A$3,"年月",D$2,"事業所",$A77),0)</f>
        <v>2000</v>
      </c>
      <c r="E77" s="1601">
        <f>IFERROR(GETPIVOTDATA("合計 / " &amp; $C77,【ピボット】事業所売上!$A$3,"年月",E$2,"事業所",$A77),0)</f>
        <v>2288</v>
      </c>
      <c r="F77" s="1601">
        <f>IFERROR(GETPIVOTDATA("合計 / " &amp; $C77,【ピボット】事業所売上!$A$3,"年月",F$2,"事業所",$A77),0)</f>
        <v>2251</v>
      </c>
      <c r="G77" s="1601">
        <f>IFERROR(GETPIVOTDATA("合計 / " &amp; $C77,【ピボット】事業所売上!$A$3,"年月",G$2,"事業所",$A77),0)</f>
        <v>1908</v>
      </c>
      <c r="H77" s="1601">
        <f>IFERROR(GETPIVOTDATA("合計 / " &amp; $C77,【ピボット】事業所売上!$A$3,"年月",H$2,"事業所",$A77),0)</f>
        <v>2344</v>
      </c>
      <c r="I77" s="1601">
        <f>IFERROR(GETPIVOTDATA("合計 / " &amp; $C77,【ピボット】事業所売上!$A$3,"年月",I$2,"事業所",$A77),0)</f>
        <v>2369</v>
      </c>
      <c r="J77" s="1601">
        <f>IFERROR(GETPIVOTDATA("合計 / " &amp; $C77,【ピボット】事業所売上!$A$3,"年月",J$2,"事業所",$A77),0)</f>
        <v>1715</v>
      </c>
      <c r="K77" s="1601">
        <f>IFERROR(GETPIVOTDATA("合計 / " &amp; $C77,【ピボット】事業所売上!$A$3,"年月",K$2,"事業所",$A77),0)</f>
        <v>1742</v>
      </c>
      <c r="L77" s="1601">
        <f>IFERROR(GETPIVOTDATA("合計 / " &amp; $C77,【ピボット】事業所売上!$A$3,"年月",L$2,"事業所",$A77),0)</f>
        <v>1550</v>
      </c>
      <c r="M77" s="1601">
        <f>IFERROR(GETPIVOTDATA("合計 / " &amp; $C77,【ピボット】事業所売上!$A$3,"年月",M$2,"事業所",$A77),0)</f>
        <v>1684</v>
      </c>
      <c r="N77" s="1601">
        <f>IFERROR(GETPIVOTDATA("合計 / " &amp; $C77,【ピボット】事業所売上!$A$3,"年月",N$2,"事業所",$A77),0)</f>
        <v>1839</v>
      </c>
      <c r="O77" s="1601">
        <f>IFERROR(GETPIVOTDATA("合計 / " &amp; $C77,【ピボット】事業所売上!$A$3,"年月",O$2,"事業所",$A77),0)</f>
        <v>4440</v>
      </c>
      <c r="P77" s="1601">
        <f>IFERROR(GETPIVOTDATA("合計 / " &amp; $C77,【ピボット】事業所売上!$A$3,"年月",P$2,"事業所",$A77),0)</f>
        <v>1733</v>
      </c>
      <c r="Q77" s="1601">
        <f>IFERROR(GETPIVOTDATA("合計 / " &amp; $C77,【ピボット】事業所売上!$A$3,"年月",Q$2,"事業所",$A77),0)</f>
        <v>2250</v>
      </c>
      <c r="R77" s="1601">
        <f>IFERROR(GETPIVOTDATA("合計 / " &amp; $C77,【ピボット】事業所売上!$A$3,"年月",R$2,"事業所",$A77),0)</f>
        <v>834</v>
      </c>
      <c r="S77" s="1601">
        <f>IFERROR(GETPIVOTDATA("合計 / " &amp; $C77,【ピボット】事業所売上!$A$3,"年月",S$2,"事業所",$A77),0)</f>
        <v>1666</v>
      </c>
      <c r="T77" s="1601">
        <f>IFERROR(GETPIVOTDATA("合計 / " &amp; $C77,【ピボット】事業所売上!$A$3,"年月",T$2,"事業所",$A77),0)</f>
        <v>931</v>
      </c>
      <c r="U77" s="1601">
        <f>IFERROR(GETPIVOTDATA("合計 / " &amp; $C77,【ピボット】事業所売上!$A$3,"年月",U$2,"事業所",$A77),0)</f>
        <v>1526</v>
      </c>
      <c r="V77" s="1601">
        <f>IFERROR(GETPIVOTDATA("合計 / " &amp; $C77,【ピボット】事業所売上!$A$3,"年月",V$2,"事業所",$A77),0)</f>
        <v>1521</v>
      </c>
      <c r="W77" s="1616">
        <f>IFERROR(GETPIVOTDATA("合計 / " &amp; $C77,【ピボット】事業所売上!$A$3,"年月",W$2,"事業所",$A77),0)</f>
        <v>1231</v>
      </c>
      <c r="X77" s="1616">
        <f>IFERROR(GETPIVOTDATA("合計 / " &amp; $C77,【ピボット】事業所売上!$A$3,"年月",X$2,"事業所",$A77),0)</f>
        <v>578</v>
      </c>
      <c r="Y77" s="1616">
        <f>IFERROR(GETPIVOTDATA("合計 / " &amp; $C77,【ピボット】事業所売上!$A$3,"年月",Y$2,"事業所",$A77),0)</f>
        <v>4075</v>
      </c>
      <c r="Z77" s="1616">
        <f>IFERROR(GETPIVOTDATA("合計 / " &amp; $C77,【ピボット】事業所売上!$A$3,"年月",Z$2,"事業所",$A77),0)</f>
        <v>4140</v>
      </c>
      <c r="AA77" s="1616">
        <f>IFERROR(GETPIVOTDATA("合計 / " &amp; $C77,【ピボット】事業所売上!$A$3,"年月",AA$2,"事業所",$A77),0)</f>
        <v>1467</v>
      </c>
      <c r="AB77" s="1561">
        <f ca="1">SUM(OFFSET(AA77,0,当期月数):AA77)</f>
        <v>15469</v>
      </c>
      <c r="AD77" s="1511"/>
      <c r="AE77" s="1511"/>
      <c r="AF77" s="1511"/>
      <c r="AG77" s="1511"/>
      <c r="AH77" s="1511"/>
      <c r="AI77" s="1511"/>
      <c r="AJ77" s="1511"/>
      <c r="AK77" s="1511"/>
      <c r="AL77" s="1511"/>
      <c r="AM77" s="1511"/>
    </row>
    <row r="78" spans="1:39" ht="15.4" customHeight="1" thickBot="1" x14ac:dyDescent="0.2">
      <c r="B78" s="2052"/>
      <c r="C78" s="1593" t="s">
        <v>11</v>
      </c>
      <c r="D78" s="1594">
        <f>SUM(D71:D77)</f>
        <v>5342987</v>
      </c>
      <c r="E78" s="1594">
        <f>SUM(E71:E77)</f>
        <v>5683733</v>
      </c>
      <c r="F78" s="1594">
        <f>SUM(F71:F77)</f>
        <v>5487698</v>
      </c>
      <c r="G78" s="1594">
        <f>SUM(G71:G77)</f>
        <v>5643961</v>
      </c>
      <c r="H78" s="1594">
        <f>SUM(H71:H77)</f>
        <v>6023613</v>
      </c>
      <c r="I78" s="1594">
        <f>SUBTOTAL(9,I71:I77)</f>
        <v>6290993</v>
      </c>
      <c r="J78" s="1594">
        <f t="shared" ref="J78:Z78" si="29">SUM(J71:J77)</f>
        <v>5954408</v>
      </c>
      <c r="K78" s="1594">
        <f t="shared" si="29"/>
        <v>5963920</v>
      </c>
      <c r="L78" s="1594">
        <f t="shared" si="29"/>
        <v>5489569</v>
      </c>
      <c r="M78" s="1594">
        <f t="shared" si="29"/>
        <v>5383737</v>
      </c>
      <c r="N78" s="1594">
        <f t="shared" si="29"/>
        <v>5385437</v>
      </c>
      <c r="O78" s="1594">
        <f t="shared" si="29"/>
        <v>7729590</v>
      </c>
      <c r="P78" s="1594">
        <f t="shared" si="29"/>
        <v>6731026</v>
      </c>
      <c r="Q78" s="1594">
        <f t="shared" si="29"/>
        <v>6530234</v>
      </c>
      <c r="R78" s="1594">
        <f t="shared" si="29"/>
        <v>6075758</v>
      </c>
      <c r="S78" s="1594">
        <f t="shared" si="29"/>
        <v>6170804</v>
      </c>
      <c r="T78" s="1594">
        <f t="shared" si="29"/>
        <v>6157056</v>
      </c>
      <c r="U78" s="1594">
        <f t="shared" si="29"/>
        <v>7557882</v>
      </c>
      <c r="V78" s="1594">
        <f t="shared" si="29"/>
        <v>7285298</v>
      </c>
      <c r="W78" s="1594">
        <f t="shared" si="29"/>
        <v>6678253</v>
      </c>
      <c r="X78" s="1594">
        <f t="shared" si="29"/>
        <v>5940817</v>
      </c>
      <c r="Y78" s="1594">
        <f t="shared" si="29"/>
        <v>6270597</v>
      </c>
      <c r="Z78" s="1594">
        <f t="shared" si="29"/>
        <v>5457771</v>
      </c>
      <c r="AA78" s="1594">
        <f>SUM(AA71:AA77)</f>
        <v>6262229</v>
      </c>
      <c r="AB78" s="1595">
        <f ca="1">SUM(OFFSET(AA78,0,当期月数):AA78)</f>
        <v>51609903</v>
      </c>
    </row>
    <row r="79" spans="1:39" ht="15.4" customHeight="1" x14ac:dyDescent="0.15">
      <c r="A79" s="1511" t="s">
        <v>675</v>
      </c>
      <c r="B79" s="2053" t="s">
        <v>86</v>
      </c>
      <c r="C79" s="1617" t="s">
        <v>83</v>
      </c>
      <c r="D79" s="1597">
        <f>IFERROR(GETPIVOTDATA("合計 / " &amp; $C79,【ピボット】事業所売上!$A$3,"年月",D$2,"事業所",$A79),0)</f>
        <v>3237052</v>
      </c>
      <c r="E79" s="1597">
        <f>IFERROR(GETPIVOTDATA("合計 / " &amp; $C79,【ピボット】事業所売上!$A$3,"年月",E$2,"事業所",$A79),0)</f>
        <v>3049599</v>
      </c>
      <c r="F79" s="1597">
        <f>IFERROR(GETPIVOTDATA("合計 / " &amp; $C79,【ピボット】事業所売上!$A$3,"年月",F$2,"事業所",$A79),0)</f>
        <v>3467874</v>
      </c>
      <c r="G79" s="1597">
        <f>IFERROR(GETPIVOTDATA("合計 / " &amp; $C79,【ピボット】事業所売上!$A$3,"年月",G$2,"事業所",$A79),0)</f>
        <v>3535427</v>
      </c>
      <c r="H79" s="1597">
        <f>IFERROR(GETPIVOTDATA("合計 / " &amp; $C79,【ピボット】事業所売上!$A$3,"年月",H$2,"事業所",$A79),0)</f>
        <v>3702480</v>
      </c>
      <c r="I79" s="1597">
        <f>IFERROR(GETPIVOTDATA("合計 / " &amp; $C79,【ピボット】事業所売上!$A$3,"年月",I$2,"事業所",$A79),0)</f>
        <v>3691193</v>
      </c>
      <c r="J79" s="1597">
        <f>IFERROR(GETPIVOTDATA("合計 / " &amp; $C79,【ピボット】事業所売上!$A$3,"年月",J$2,"事業所",$A79),0)</f>
        <v>3793487</v>
      </c>
      <c r="K79" s="1597">
        <f>IFERROR(GETPIVOTDATA("合計 / " &amp; $C79,【ピボット】事業所売上!$A$3,"年月",K$2,"事業所",$A79),0)</f>
        <v>3951679</v>
      </c>
      <c r="L79" s="1597">
        <f>IFERROR(GETPIVOTDATA("合計 / " &amp; $C79,【ピボット】事業所売上!$A$3,"年月",L$2,"事業所",$A79),0)</f>
        <v>3646839</v>
      </c>
      <c r="M79" s="1597">
        <f>IFERROR(GETPIVOTDATA("合計 / " &amp; $C79,【ピボット】事業所売上!$A$3,"年月",M$2,"事業所",$A79),0)</f>
        <v>3674534</v>
      </c>
      <c r="N79" s="1597">
        <f>IFERROR(GETPIVOTDATA("合計 / " &amp; $C79,【ピボット】事業所売上!$A$3,"年月",N$2,"事業所",$A79),0)</f>
        <v>3915953</v>
      </c>
      <c r="O79" s="1597">
        <f>IFERROR(GETPIVOTDATA("合計 / " &amp; $C79,【ピボット】事業所売上!$A$3,"年月",O$2,"事業所",$A79),0)</f>
        <v>4590836</v>
      </c>
      <c r="P79" s="1597">
        <f>IFERROR(GETPIVOTDATA("合計 / " &amp; $C79,【ピボット】事業所売上!$A$3,"年月",P$2,"事業所",$A79),0)</f>
        <v>4592878</v>
      </c>
      <c r="Q79" s="1597">
        <f>IFERROR(GETPIVOTDATA("合計 / " &amp; $C79,【ピボット】事業所売上!$A$3,"年月",Q$2,"事業所",$A79),0)</f>
        <v>4730337</v>
      </c>
      <c r="R79" s="1597">
        <f>IFERROR(GETPIVOTDATA("合計 / " &amp; $C79,【ピボット】事業所売上!$A$3,"年月",R$2,"事業所",$A79),0)</f>
        <v>4812316</v>
      </c>
      <c r="S79" s="1597">
        <f>IFERROR(GETPIVOTDATA("合計 / " &amp; $C79,【ピボット】事業所売上!$A$3,"年月",S$2,"事業所",$A79),0)</f>
        <v>5454025</v>
      </c>
      <c r="T79" s="1597">
        <f>IFERROR(GETPIVOTDATA("合計 / " &amp; $C79,【ピボット】事業所売上!$A$3,"年月",T$2,"事業所",$A79),0)</f>
        <v>4741795</v>
      </c>
      <c r="U79" s="1597">
        <f>IFERROR(GETPIVOTDATA("合計 / " &amp; $C79,【ピボット】事業所売上!$A$3,"年月",U$2,"事業所",$A79),0)</f>
        <v>5132237</v>
      </c>
      <c r="V79" s="1597">
        <f>IFERROR(GETPIVOTDATA("合計 / " &amp; $C79,【ピボット】事業所売上!$A$3,"年月",V$2,"事業所",$A79),0)</f>
        <v>4992088</v>
      </c>
      <c r="W79" s="1597">
        <f>IFERROR(GETPIVOTDATA("合計 / " &amp; $C79,【ピボット】事業所売上!$A$3,"年月",W$2,"事業所",$A79),0)</f>
        <v>4434302</v>
      </c>
      <c r="X79" s="1597">
        <f>IFERROR(GETPIVOTDATA("合計 / " &amp; $C79,【ピボット】事業所売上!$A$3,"年月",X$2,"事業所",$A79),0)</f>
        <v>4972524</v>
      </c>
      <c r="Y79" s="1597">
        <f>IFERROR(GETPIVOTDATA("合計 / " &amp; $C79,【ピボット】事業所売上!$A$3,"年月",Y$2,"事業所",$A79),0)</f>
        <v>4379913</v>
      </c>
      <c r="Z79" s="1597">
        <f>IFERROR(GETPIVOTDATA("合計 / " &amp; $C79,【ピボット】事業所売上!$A$3,"年月",Z$2,"事業所",$A79),0)</f>
        <v>5036742</v>
      </c>
      <c r="AA79" s="1597">
        <f>IFERROR(GETPIVOTDATA("合計 / " &amp; $C79,【ピボット】事業所売上!$A$3,"年月",AA$2,"事業所",$A79),0)</f>
        <v>4769253</v>
      </c>
      <c r="AB79" s="1598">
        <f ca="1">SUM(OFFSET(AA79,0,当期月数):AA79)</f>
        <v>38458854</v>
      </c>
    </row>
    <row r="80" spans="1:39" ht="15.4" customHeight="1" x14ac:dyDescent="0.15">
      <c r="A80" s="1511" t="s">
        <v>675</v>
      </c>
      <c r="B80" s="2052"/>
      <c r="C80" s="1588" t="s">
        <v>84</v>
      </c>
      <c r="D80" s="1618">
        <f>IFERROR(GETPIVOTDATA("合計 / " &amp; $C80,【ピボット】事業所売上!$A$3,"年月",D$2,"事業所",$A80),0)</f>
        <v>1815705</v>
      </c>
      <c r="E80" s="1618">
        <f>IFERROR(GETPIVOTDATA("合計 / " &amp; $C80,【ピボット】事業所売上!$A$3,"年月",E$2,"事業所",$A80),0)</f>
        <v>2352621</v>
      </c>
      <c r="F80" s="1618">
        <f>IFERROR(GETPIVOTDATA("合計 / " &amp; $C80,【ピボット】事業所売上!$A$3,"年月",F$2,"事業所",$A80),0)</f>
        <v>2123008</v>
      </c>
      <c r="G80" s="1618">
        <f>IFERROR(GETPIVOTDATA("合計 / " &amp; $C80,【ピボット】事業所売上!$A$3,"年月",G$2,"事業所",$A80),0)</f>
        <v>2017857</v>
      </c>
      <c r="H80" s="1618">
        <f>IFERROR(GETPIVOTDATA("合計 / " &amp; $C80,【ピボット】事業所売上!$A$3,"年月",H$2,"事業所",$A80),0)</f>
        <v>1897088</v>
      </c>
      <c r="I80" s="1618">
        <f>IFERROR(GETPIVOTDATA("合計 / " &amp; $C80,【ピボット】事業所売上!$A$3,"年月",I$2,"事業所",$A80),0)</f>
        <v>1874471</v>
      </c>
      <c r="J80" s="1618">
        <f>IFERROR(GETPIVOTDATA("合計 / " &amp; $C80,【ピボット】事業所売上!$A$3,"年月",J$2,"事業所",$A80),0)</f>
        <v>1873856</v>
      </c>
      <c r="K80" s="1618">
        <f>IFERROR(GETPIVOTDATA("合計 / " &amp; $C80,【ピボット】事業所売上!$A$3,"年月",K$2,"事業所",$A80),0)</f>
        <v>1450355</v>
      </c>
      <c r="L80" s="1618">
        <f>IFERROR(GETPIVOTDATA("合計 / " &amp; $C80,【ピボット】事業所売上!$A$3,"年月",L$2,"事業所",$A80),0)</f>
        <v>2279823</v>
      </c>
      <c r="M80" s="1618">
        <f>IFERROR(GETPIVOTDATA("合計 / " &amp; $C80,【ピボット】事業所売上!$A$3,"年月",M$2,"事業所",$A80),0)</f>
        <v>1771705</v>
      </c>
      <c r="N80" s="1618">
        <f>IFERROR(GETPIVOTDATA("合計 / " &amp; $C80,【ピボット】事業所売上!$A$3,"年月",N$2,"事業所",$A80),0)</f>
        <v>1624154</v>
      </c>
      <c r="O80" s="1618">
        <f>IFERROR(GETPIVOTDATA("合計 / " &amp; $C80,【ピボット】事業所売上!$A$3,"年月",O$2,"事業所",$A80),0)</f>
        <v>1840771</v>
      </c>
      <c r="P80" s="1618">
        <f>IFERROR(GETPIVOTDATA("合計 / " &amp; $C80,【ピボット】事業所売上!$A$3,"年月",P$2,"事業所",$A80),0)</f>
        <v>1467994</v>
      </c>
      <c r="Q80" s="1618">
        <f>IFERROR(GETPIVOTDATA("合計 / " &amp; $C80,【ピボット】事業所売上!$A$3,"年月",Q$2,"事業所",$A80),0)</f>
        <v>1782964</v>
      </c>
      <c r="R80" s="1618">
        <f>IFERROR(GETPIVOTDATA("合計 / " &amp; $C80,【ピボット】事業所売上!$A$3,"年月",R$2,"事業所",$A80),0)</f>
        <v>1836690</v>
      </c>
      <c r="S80" s="1618">
        <f>IFERROR(GETPIVOTDATA("合計 / " &amp; $C80,【ピボット】事業所売上!$A$3,"年月",S$2,"事業所",$A80),0)</f>
        <v>1787227</v>
      </c>
      <c r="T80" s="1618">
        <f>IFERROR(GETPIVOTDATA("合計 / " &amp; $C80,【ピボット】事業所売上!$A$3,"年月",T$2,"事業所",$A80),0)</f>
        <v>1721700</v>
      </c>
      <c r="U80" s="1618">
        <f>IFERROR(GETPIVOTDATA("合計 / " &amp; $C80,【ピボット】事業所売上!$A$3,"年月",U$2,"事業所",$A80),0)</f>
        <v>1877087</v>
      </c>
      <c r="V80" s="1618">
        <f>IFERROR(GETPIVOTDATA("合計 / " &amp; $C80,【ピボット】事業所売上!$A$3,"年月",V$2,"事業所",$A80),0)</f>
        <v>1744923</v>
      </c>
      <c r="W80" s="1618">
        <f>IFERROR(GETPIVOTDATA("合計 / " &amp; $C80,【ピボット】事業所売上!$A$3,"年月",W$2,"事業所",$A80),0)</f>
        <v>2159752</v>
      </c>
      <c r="X80" s="1618">
        <f>IFERROR(GETPIVOTDATA("合計 / " &amp; $C80,【ピボット】事業所売上!$A$3,"年月",X$2,"事業所",$A80),0)</f>
        <v>1738382</v>
      </c>
      <c r="Y80" s="1618">
        <f>IFERROR(GETPIVOTDATA("合計 / " &amp; $C80,【ピボット】事業所売上!$A$3,"年月",Y$2,"事業所",$A80),0)</f>
        <v>1701433</v>
      </c>
      <c r="Z80" s="1618">
        <f>IFERROR(GETPIVOTDATA("合計 / " &amp; $C80,【ピボット】事業所売上!$A$3,"年月",Z$2,"事業所",$A80),0)</f>
        <v>1668036</v>
      </c>
      <c r="AA80" s="1618">
        <f>IFERROR(GETPIVOTDATA("合計 / " &amp; $C80,【ピボット】事業所売上!$A$3,"年月",AA$2,"事業所",$A80),0)</f>
        <v>1980862</v>
      </c>
      <c r="AB80" s="1561">
        <f ca="1">SUM(OFFSET(AA80,0,当期月数):AA80)</f>
        <v>14592175</v>
      </c>
    </row>
    <row r="81" spans="1:28" ht="15.4" customHeight="1" x14ac:dyDescent="0.15">
      <c r="A81" s="1511" t="s">
        <v>675</v>
      </c>
      <c r="B81" s="2052"/>
      <c r="C81" s="1599" t="s">
        <v>403</v>
      </c>
      <c r="D81" s="1616">
        <f>IFERROR(GETPIVOTDATA("合計 / " &amp; $C81,【ピボット】事業所売上!$A$3,"年月",D$2,"事業所",$A81),0)</f>
        <v>141140</v>
      </c>
      <c r="E81" s="1616">
        <f>IFERROR(GETPIVOTDATA("合計 / " &amp; $C81,【ピボット】事業所売上!$A$3,"年月",E$2,"事業所",$A81),0)</f>
        <v>127670</v>
      </c>
      <c r="F81" s="1616">
        <f>IFERROR(GETPIVOTDATA("合計 / " &amp; $C81,【ピボット】事業所売上!$A$3,"年月",F$2,"事業所",$A81),0)</f>
        <v>181060</v>
      </c>
      <c r="G81" s="1616">
        <f>IFERROR(GETPIVOTDATA("合計 / " &amp; $C81,【ピボット】事業所売上!$A$3,"年月",G$2,"事業所",$A81),0)</f>
        <v>121830</v>
      </c>
      <c r="H81" s="1616">
        <f>IFERROR(GETPIVOTDATA("合計 / " &amp; $C81,【ピボット】事業所売上!$A$3,"年月",H$2,"事業所",$A81),0)</f>
        <v>91318</v>
      </c>
      <c r="I81" s="1616">
        <f>IFERROR(GETPIVOTDATA("合計 / " &amp; $C81,【ピボット】事業所売上!$A$3,"年月",I$2,"事業所",$A81),0)</f>
        <v>76567</v>
      </c>
      <c r="J81" s="1616">
        <f>IFERROR(GETPIVOTDATA("合計 / " &amp; $C81,【ピボット】事業所売上!$A$3,"年月",J$2,"事業所",$A81),0)</f>
        <v>113077</v>
      </c>
      <c r="K81" s="1616">
        <f>IFERROR(GETPIVOTDATA("合計 / " &amp; $C81,【ピボット】事業所売上!$A$3,"年月",K$2,"事業所",$A81),0)</f>
        <v>78987</v>
      </c>
      <c r="L81" s="1616">
        <f>IFERROR(GETPIVOTDATA("合計 / " &amp; $C81,【ピボット】事業所売上!$A$3,"年月",L$2,"事業所",$A81),0)</f>
        <v>121750</v>
      </c>
      <c r="M81" s="1616">
        <f>IFERROR(GETPIVOTDATA("合計 / " &amp; $C81,【ピボット】事業所売上!$A$3,"年月",M$2,"事業所",$A81),0)</f>
        <v>120530</v>
      </c>
      <c r="N81" s="1616">
        <f>IFERROR(GETPIVOTDATA("合計 / " &amp; $C81,【ピボット】事業所売上!$A$3,"年月",N$2,"事業所",$A81),0)</f>
        <v>117311</v>
      </c>
      <c r="O81" s="1616">
        <f>IFERROR(GETPIVOTDATA("合計 / " &amp; $C81,【ピボット】事業所売上!$A$3,"年月",O$2,"事業所",$A81),0)</f>
        <v>31070</v>
      </c>
      <c r="P81" s="1616">
        <f>IFERROR(GETPIVOTDATA("合計 / " &amp; $C81,【ピボット】事業所売上!$A$3,"年月",P$2,"事業所",$A81),0)</f>
        <v>237469</v>
      </c>
      <c r="Q81" s="1616">
        <f>IFERROR(GETPIVOTDATA("合計 / " &amp; $C81,【ピボット】事業所売上!$A$3,"年月",Q$2,"事業所",$A81),0)</f>
        <v>113414</v>
      </c>
      <c r="R81" s="1616">
        <f>IFERROR(GETPIVOTDATA("合計 / " &amp; $C81,【ピボット】事業所売上!$A$3,"年月",R$2,"事業所",$A81),0)</f>
        <v>139170</v>
      </c>
      <c r="S81" s="1616">
        <f>IFERROR(GETPIVOTDATA("合計 / " &amp; $C81,【ピボット】事業所売上!$A$3,"年月",S$2,"事業所",$A81),0)</f>
        <v>106370</v>
      </c>
      <c r="T81" s="1616">
        <f>IFERROR(GETPIVOTDATA("合計 / " &amp; $C81,【ピボット】事業所売上!$A$3,"年月",T$2,"事業所",$A81),0)</f>
        <v>179060</v>
      </c>
      <c r="U81" s="1616">
        <f>IFERROR(GETPIVOTDATA("合計 / " &amp; $C81,【ピボット】事業所売上!$A$3,"年月",U$2,"事業所",$A81),0)</f>
        <v>160808</v>
      </c>
      <c r="V81" s="1616">
        <f>IFERROR(GETPIVOTDATA("合計 / " &amp; $C81,【ピボット】事業所売上!$A$3,"年月",V$2,"事業所",$A81),0)</f>
        <v>159012</v>
      </c>
      <c r="W81" s="1616">
        <f>IFERROR(GETPIVOTDATA("合計 / " &amp; $C81,【ピボット】事業所売上!$A$3,"年月",W$2,"事業所",$A81),0)</f>
        <v>174879</v>
      </c>
      <c r="X81" s="1616">
        <f>IFERROR(GETPIVOTDATA("合計 / " &amp; $C81,【ピボット】事業所売上!$A$3,"年月",X$2,"事業所",$A81),0)</f>
        <v>159860</v>
      </c>
      <c r="Y81" s="1616">
        <f>IFERROR(GETPIVOTDATA("合計 / " &amp; $C81,【ピボット】事業所売上!$A$3,"年月",Y$2,"事業所",$A81),0)</f>
        <v>113940</v>
      </c>
      <c r="Z81" s="1616">
        <f>IFERROR(GETPIVOTDATA("合計 / " &amp; $C81,【ピボット】事業所売上!$A$3,"年月",Z$2,"事業所",$A81),0)</f>
        <v>153500</v>
      </c>
      <c r="AA81" s="1616">
        <f>IFERROR(GETPIVOTDATA("合計 / " &amp; $C81,【ピボット】事業所売上!$A$3,"年月",AA$2,"事業所",$A81),0)</f>
        <v>200620</v>
      </c>
      <c r="AB81" s="1561">
        <f ca="1">SUM(OFFSET(AA81,0,当期月数):AA81)</f>
        <v>1301679</v>
      </c>
    </row>
    <row r="82" spans="1:28" ht="15.4" customHeight="1" x14ac:dyDescent="0.15">
      <c r="A82" s="1511" t="s">
        <v>675</v>
      </c>
      <c r="B82" s="2052"/>
      <c r="C82" s="1588" t="s">
        <v>85</v>
      </c>
      <c r="D82" s="1613">
        <f>IFERROR(GETPIVOTDATA("合計 / " &amp; $C82,【ピボット】事業所売上!$A$3,"年月",D$2,"事業所",$A82),0)</f>
        <v>132900</v>
      </c>
      <c r="E82" s="1613">
        <f>IFERROR(GETPIVOTDATA("合計 / " &amp; $C82,【ピボット】事業所売上!$A$3,"年月",E$2,"事業所",$A82),0)</f>
        <v>90400</v>
      </c>
      <c r="F82" s="1613">
        <f>IFERROR(GETPIVOTDATA("合計 / " &amp; $C82,【ピボット】事業所売上!$A$3,"年月",F$2,"事業所",$A82),0)</f>
        <v>58500</v>
      </c>
      <c r="G82" s="1613">
        <f>IFERROR(GETPIVOTDATA("合計 / " &amp; $C82,【ピボット】事業所売上!$A$3,"年月",G$2,"事業所",$A82),0)</f>
        <v>71200</v>
      </c>
      <c r="H82" s="1613">
        <f>IFERROR(GETPIVOTDATA("合計 / " &amp; $C82,【ピボット】事業所売上!$A$3,"年月",H$2,"事業所",$A82),0)</f>
        <v>98300</v>
      </c>
      <c r="I82" s="1613">
        <f>IFERROR(GETPIVOTDATA("合計 / " &amp; $C82,【ピボット】事業所売上!$A$3,"年月",I$2,"事業所",$A82),0)</f>
        <v>110400</v>
      </c>
      <c r="J82" s="1613">
        <f>IFERROR(GETPIVOTDATA("合計 / " &amp; $C82,【ピボット】事業所売上!$A$3,"年月",J$2,"事業所",$A82),0)</f>
        <v>66720</v>
      </c>
      <c r="K82" s="1613">
        <f>IFERROR(GETPIVOTDATA("合計 / " &amp; $C82,【ピボット】事業所売上!$A$3,"年月",K$2,"事業所",$A82),0)</f>
        <v>101900</v>
      </c>
      <c r="L82" s="1613">
        <f>IFERROR(GETPIVOTDATA("合計 / " &amp; $C82,【ピボット】事業所売上!$A$3,"年月",L$2,"事業所",$A82),0)</f>
        <v>66200</v>
      </c>
      <c r="M82" s="1613">
        <f>IFERROR(GETPIVOTDATA("合計 / " &amp; $C82,【ピボット】事業所売上!$A$3,"年月",M$2,"事業所",$A82),0)</f>
        <v>55600</v>
      </c>
      <c r="N82" s="1613">
        <f>IFERROR(GETPIVOTDATA("合計 / " &amp; $C82,【ピボット】事業所売上!$A$3,"年月",N$2,"事業所",$A82),0)</f>
        <v>82704</v>
      </c>
      <c r="O82" s="1613">
        <f>IFERROR(GETPIVOTDATA("合計 / " &amp; $C82,【ピボット】事業所売上!$A$3,"年月",O$2,"事業所",$A82),0)</f>
        <v>60903</v>
      </c>
      <c r="P82" s="1613">
        <f>IFERROR(GETPIVOTDATA("合計 / " &amp; $C82,【ピボット】事業所売上!$A$3,"年月",P$2,"事業所",$A82),0)</f>
        <v>91900</v>
      </c>
      <c r="Q82" s="1613">
        <f>IFERROR(GETPIVOTDATA("合計 / " &amp; $C82,【ピボット】事業所売上!$A$3,"年月",Q$2,"事業所",$A82),0)</f>
        <v>102400</v>
      </c>
      <c r="R82" s="1613">
        <f>IFERROR(GETPIVOTDATA("合計 / " &amp; $C82,【ピボット】事業所売上!$A$3,"年月",R$2,"事業所",$A82),0)</f>
        <v>58400</v>
      </c>
      <c r="S82" s="1613">
        <f>IFERROR(GETPIVOTDATA("合計 / " &amp; $C82,【ピボット】事業所売上!$A$3,"年月",S$2,"事業所",$A82),0)</f>
        <v>83200</v>
      </c>
      <c r="T82" s="1613">
        <f>IFERROR(GETPIVOTDATA("合計 / " &amp; $C82,【ピボット】事業所売上!$A$3,"年月",T$2,"事業所",$A82),0)</f>
        <v>66600</v>
      </c>
      <c r="U82" s="1613">
        <f>IFERROR(GETPIVOTDATA("合計 / " &amp; $C82,【ピボット】事業所売上!$A$3,"年月",U$2,"事業所",$A82),0)</f>
        <v>144300</v>
      </c>
      <c r="V82" s="1613">
        <f>IFERROR(GETPIVOTDATA("合計 / " &amp; $C82,【ピボット】事業所売上!$A$3,"年月",V$2,"事業所",$A82),0)</f>
        <v>108300</v>
      </c>
      <c r="W82" s="1613">
        <f>IFERROR(GETPIVOTDATA("合計 / " &amp; $C82,【ピボット】事業所売上!$A$3,"年月",W$2,"事業所",$A82),0)</f>
        <v>158000</v>
      </c>
      <c r="X82" s="1613">
        <f>IFERROR(GETPIVOTDATA("合計 / " &amp; $C82,【ピボット】事業所売上!$A$3,"年月",X$2,"事業所",$A82),0)</f>
        <v>114100</v>
      </c>
      <c r="Y82" s="1613">
        <f>IFERROR(GETPIVOTDATA("合計 / " &amp; $C82,【ピボット】事業所売上!$A$3,"年月",Y$2,"事業所",$A82),0)</f>
        <v>144675</v>
      </c>
      <c r="Z82" s="1613">
        <f>IFERROR(GETPIVOTDATA("合計 / " &amp; $C82,【ピボット】事業所売上!$A$3,"年月",Z$2,"事業所",$A82),0)</f>
        <v>77300</v>
      </c>
      <c r="AA82" s="1613">
        <f>IFERROR(GETPIVOTDATA("合計 / " &amp; $C82,【ピボット】事業所売上!$A$3,"年月",AA$2,"事業所",$A82),0)</f>
        <v>134300</v>
      </c>
      <c r="AB82" s="1561">
        <f ca="1">SUM(OFFSET(AA82,0,当期月数):AA82)</f>
        <v>947575</v>
      </c>
    </row>
    <row r="83" spans="1:28" ht="15.4" customHeight="1" x14ac:dyDescent="0.15">
      <c r="A83" s="1511" t="s">
        <v>675</v>
      </c>
      <c r="B83" s="2052"/>
      <c r="C83" s="1599" t="s">
        <v>390</v>
      </c>
      <c r="D83" s="1600">
        <f>IFERROR(GETPIVOTDATA("合計 / " &amp; $C83,【ピボット】事業所売上!$A$3,"年月",D$2,"事業所",$A83),0)</f>
        <v>3472</v>
      </c>
      <c r="E83" s="1600">
        <f>IFERROR(GETPIVOTDATA("合計 / " &amp; $C83,【ピボット】事業所売上!$A$3,"年月",E$2,"事業所",$A83),0)</f>
        <v>4382</v>
      </c>
      <c r="F83" s="1600">
        <f>IFERROR(GETPIVOTDATA("合計 / " &amp; $C83,【ピボット】事業所売上!$A$3,"年月",F$2,"事業所",$A83),0)</f>
        <v>5319</v>
      </c>
      <c r="G83" s="1600">
        <f>IFERROR(GETPIVOTDATA("合計 / " &amp; $C83,【ピボット】事業所売上!$A$3,"年月",G$2,"事業所",$A83),0)</f>
        <v>3611</v>
      </c>
      <c r="H83" s="1600">
        <f>IFERROR(GETPIVOTDATA("合計 / " &amp; $C83,【ピボット】事業所売上!$A$3,"年月",H$2,"事業所",$A83),0)</f>
        <v>4170</v>
      </c>
      <c r="I83" s="1600">
        <f>IFERROR(GETPIVOTDATA("合計 / " &amp; $C83,【ピボット】事業所売上!$A$3,"年月",I$2,"事業所",$A83),0)</f>
        <v>3869</v>
      </c>
      <c r="J83" s="1600">
        <f>IFERROR(GETPIVOTDATA("合計 / " &amp; $C83,【ピボット】事業所売上!$A$3,"年月",J$2,"事業所",$A83),0)</f>
        <v>3851</v>
      </c>
      <c r="K83" s="1600">
        <f>IFERROR(GETPIVOTDATA("合計 / " &amp; $C83,【ピボット】事業所売上!$A$3,"年月",K$2,"事業所",$A83),0)</f>
        <v>4091</v>
      </c>
      <c r="L83" s="1600">
        <f>IFERROR(GETPIVOTDATA("合計 / " &amp; $C83,【ピボット】事業所売上!$A$3,"年月",L$2,"事業所",$A83),0)</f>
        <v>3030</v>
      </c>
      <c r="M83" s="1600">
        <f>IFERROR(GETPIVOTDATA("合計 / " &amp; $C83,【ピボット】事業所売上!$A$3,"年月",M$2,"事業所",$A83),0)</f>
        <v>3336</v>
      </c>
      <c r="N83" s="1600">
        <f>IFERROR(GETPIVOTDATA("合計 / " &amp; $C83,【ピボット】事業所売上!$A$3,"年月",N$2,"事業所",$A83),0)</f>
        <v>3902</v>
      </c>
      <c r="O83" s="1600">
        <f>IFERROR(GETPIVOTDATA("合計 / " &amp; $C83,【ピボット】事業所売上!$A$3,"年月",O$2,"事業所",$A83),0)</f>
        <v>3288</v>
      </c>
      <c r="P83" s="1600">
        <f>IFERROR(GETPIVOTDATA("合計 / " &amp; $C83,【ピボット】事業所売上!$A$3,"年月",P$2,"事業所",$A83),0)</f>
        <v>4569</v>
      </c>
      <c r="Q83" s="1600">
        <f>IFERROR(GETPIVOTDATA("合計 / " &amp; $C83,【ピボット】事業所売上!$A$3,"年月",Q$2,"事業所",$A83),0)</f>
        <v>2677</v>
      </c>
      <c r="R83" s="1600">
        <f>IFERROR(GETPIVOTDATA("合計 / " &amp; $C83,【ピボット】事業所売上!$A$3,"年月",R$2,"事業所",$A83),0)</f>
        <v>3422</v>
      </c>
      <c r="S83" s="1600">
        <f>IFERROR(GETPIVOTDATA("合計 / " &amp; $C83,【ピボット】事業所売上!$A$3,"年月",S$2,"事業所",$A83),0)</f>
        <v>6152</v>
      </c>
      <c r="T83" s="1600">
        <f>IFERROR(GETPIVOTDATA("合計 / " &amp; $C83,【ピボット】事業所売上!$A$3,"年月",T$2,"事業所",$A83),0)</f>
        <v>4172</v>
      </c>
      <c r="U83" s="1600">
        <f>IFERROR(GETPIVOTDATA("合計 / " &amp; $C83,【ピボット】事業所売上!$A$3,"年月",U$2,"事業所",$A83),0)</f>
        <v>3252</v>
      </c>
      <c r="V83" s="1600">
        <f>IFERROR(GETPIVOTDATA("合計 / " &amp; $C83,【ピボット】事業所売上!$A$3,"年月",V$2,"事業所",$A83),0)</f>
        <v>6762</v>
      </c>
      <c r="W83" s="1619">
        <f>IFERROR(GETPIVOTDATA("合計 / " &amp; $C83,【ピボット】事業所売上!$A$3,"年月",W$2,"事業所",$A83),0)</f>
        <v>5717</v>
      </c>
      <c r="X83" s="1619">
        <f>IFERROR(GETPIVOTDATA("合計 / " &amp; $C83,【ピボット】事業所売上!$A$3,"年月",X$2,"事業所",$A83),0)</f>
        <v>2812</v>
      </c>
      <c r="Y83" s="1619">
        <f>IFERROR(GETPIVOTDATA("合計 / " &amp; $C83,【ピボット】事業所売上!$A$3,"年月",Y$2,"事業所",$A83),0)</f>
        <v>4312</v>
      </c>
      <c r="Z83" s="1619">
        <f>IFERROR(GETPIVOTDATA("合計 / " &amp; $C83,【ピボット】事業所売上!$A$3,"年月",Z$2,"事業所",$A83),0)</f>
        <v>1371</v>
      </c>
      <c r="AA83" s="1619">
        <f>IFERROR(GETPIVOTDATA("合計 / " &amp; $C83,【ピボット】事業所売上!$A$3,"年月",AA$2,"事業所",$A83),0)</f>
        <v>5435</v>
      </c>
      <c r="AB83" s="1561">
        <f ca="1">SUM(OFFSET(AA83,0,当期月数):AA83)</f>
        <v>33833</v>
      </c>
    </row>
    <row r="84" spans="1:28" ht="15.4" customHeight="1" x14ac:dyDescent="0.15">
      <c r="A84" s="1511" t="s">
        <v>675</v>
      </c>
      <c r="B84" s="2052"/>
      <c r="C84" s="1591" t="s">
        <v>315</v>
      </c>
      <c r="D84" s="1620">
        <f>IFERROR(GETPIVOTDATA("合計 / " &amp; $C84,【ピボット】事業所売上!$A$3,"年月",D$2,"事業所",$A84),0)</f>
        <v>44650</v>
      </c>
      <c r="E84" s="1620">
        <f>IFERROR(GETPIVOTDATA("合計 / " &amp; $C84,【ピボット】事業所売上!$A$3,"年月",E$2,"事業所",$A84),0)</f>
        <v>72910</v>
      </c>
      <c r="F84" s="1620">
        <f>IFERROR(GETPIVOTDATA("合計 / " &amp; $C84,【ピボット】事業所売上!$A$3,"年月",F$2,"事業所",$A84),0)</f>
        <v>61320</v>
      </c>
      <c r="G84" s="1620">
        <f>IFERROR(GETPIVOTDATA("合計 / " &amp; $C84,【ピボット】事業所売上!$A$3,"年月",G$2,"事業所",$A84),0)</f>
        <v>38720</v>
      </c>
      <c r="H84" s="1620">
        <f>IFERROR(GETPIVOTDATA("合計 / " &amp; $C84,【ピボット】事業所売上!$A$3,"年月",H$2,"事業所",$A84),0)</f>
        <v>24540</v>
      </c>
      <c r="I84" s="1620">
        <f>IFERROR(GETPIVOTDATA("合計 / " &amp; $C84,【ピボット】事業所売上!$A$3,"年月",I$2,"事業所",$A84),0)</f>
        <v>30910</v>
      </c>
      <c r="J84" s="1620">
        <f>IFERROR(GETPIVOTDATA("合計 / " &amp; $C84,【ピボット】事業所売上!$A$3,"年月",J$2,"事業所",$A84),0)</f>
        <v>48900</v>
      </c>
      <c r="K84" s="1620">
        <f>IFERROR(GETPIVOTDATA("合計 / " &amp; $C84,【ピボット】事業所売上!$A$3,"年月",K$2,"事業所",$A84),0)</f>
        <v>42972</v>
      </c>
      <c r="L84" s="1620">
        <f>IFERROR(GETPIVOTDATA("合計 / " &amp; $C84,【ピボット】事業所売上!$A$3,"年月",L$2,"事業所",$A84),0)</f>
        <v>50720</v>
      </c>
      <c r="M84" s="1620">
        <f>IFERROR(GETPIVOTDATA("合計 / " &amp; $C84,【ピボット】事業所売上!$A$3,"年月",M$2,"事業所",$A84),0)</f>
        <v>84252</v>
      </c>
      <c r="N84" s="1620">
        <f>IFERROR(GETPIVOTDATA("合計 / " &amp; $C84,【ピボット】事業所売上!$A$3,"年月",N$2,"事業所",$A84),0)</f>
        <v>49220</v>
      </c>
      <c r="O84" s="1620">
        <f>IFERROR(GETPIVOTDATA("合計 / " &amp; $C84,【ピボット】事業所売上!$A$3,"年月",O$2,"事業所",$A84),0)</f>
        <v>60960</v>
      </c>
      <c r="P84" s="1620">
        <f>IFERROR(GETPIVOTDATA("合計 / " &amp; $C84,【ピボット】事業所売上!$A$3,"年月",P$2,"事業所",$A84),0)</f>
        <v>84750</v>
      </c>
      <c r="Q84" s="1620">
        <f>IFERROR(GETPIVOTDATA("合計 / " &amp; $C84,【ピボット】事業所売上!$A$3,"年月",Q$2,"事業所",$A84),0)</f>
        <v>74680</v>
      </c>
      <c r="R84" s="1620">
        <f>IFERROR(GETPIVOTDATA("合計 / " &amp; $C84,【ピボット】事業所売上!$A$3,"年月",R$2,"事業所",$A84),0)</f>
        <v>65530</v>
      </c>
      <c r="S84" s="1620">
        <f>IFERROR(GETPIVOTDATA("合計 / " &amp; $C84,【ピボット】事業所売上!$A$3,"年月",S$2,"事業所",$A84),0)</f>
        <v>82380</v>
      </c>
      <c r="T84" s="1620">
        <f>IFERROR(GETPIVOTDATA("合計 / " &amp; $C84,【ピボット】事業所売上!$A$3,"年月",T$2,"事業所",$A84),0)</f>
        <v>61034</v>
      </c>
      <c r="U84" s="1620">
        <f>IFERROR(GETPIVOTDATA("合計 / " &amp; $C84,【ピボット】事業所売上!$A$3,"年月",U$2,"事業所",$A84),0)</f>
        <v>101920</v>
      </c>
      <c r="V84" s="1620">
        <f>IFERROR(GETPIVOTDATA("合計 / " &amp; $C84,【ピボット】事業所売上!$A$3,"年月",V$2,"事業所",$A84),0)</f>
        <v>87950</v>
      </c>
      <c r="W84" s="1620">
        <f>IFERROR(GETPIVOTDATA("合計 / " &amp; $C84,【ピボット】事業所売上!$A$3,"年月",W$2,"事業所",$A84),0)</f>
        <v>132930</v>
      </c>
      <c r="X84" s="1620">
        <f>IFERROR(GETPIVOTDATA("合計 / " &amp; $C84,【ピボット】事業所売上!$A$3,"年月",X$2,"事業所",$A84),0)</f>
        <v>54230</v>
      </c>
      <c r="Y84" s="1620">
        <f>IFERROR(GETPIVOTDATA("合計 / " &amp; $C84,【ピボット】事業所売上!$A$3,"年月",Y$2,"事業所",$A84),0)</f>
        <v>24780</v>
      </c>
      <c r="Z84" s="1620">
        <f>IFERROR(GETPIVOTDATA("合計 / " &amp; $C84,【ピボット】事業所売上!$A$3,"年月",Z$2,"事業所",$A84),0)</f>
        <v>42650</v>
      </c>
      <c r="AA84" s="1620">
        <f>IFERROR(GETPIVOTDATA("合計 / " &amp; $C84,【ピボット】事業所売上!$A$3,"年月",AA$2,"事業所",$A84),0)</f>
        <v>19950</v>
      </c>
      <c r="AB84" s="1564">
        <f ca="1">SUM(OFFSET(AA84,0,当期月数):AA84)</f>
        <v>525444</v>
      </c>
    </row>
    <row r="85" spans="1:28" ht="15.4" customHeight="1" thickBot="1" x14ac:dyDescent="0.2">
      <c r="B85" s="2055"/>
      <c r="C85" s="1606" t="s">
        <v>11</v>
      </c>
      <c r="D85" s="1607">
        <f t="shared" ref="D85:L85" si="30">SUM(D79:D84)</f>
        <v>5374919</v>
      </c>
      <c r="E85" s="1607">
        <f t="shared" si="30"/>
        <v>5697582</v>
      </c>
      <c r="F85" s="1607">
        <f t="shared" si="30"/>
        <v>5897081</v>
      </c>
      <c r="G85" s="1607">
        <f t="shared" si="30"/>
        <v>5788645</v>
      </c>
      <c r="H85" s="1607">
        <f t="shared" si="30"/>
        <v>5817896</v>
      </c>
      <c r="I85" s="1607">
        <f t="shared" si="30"/>
        <v>5787410</v>
      </c>
      <c r="J85" s="1607">
        <f t="shared" si="30"/>
        <v>5899891</v>
      </c>
      <c r="K85" s="1607">
        <f t="shared" si="30"/>
        <v>5629984</v>
      </c>
      <c r="L85" s="1607">
        <f t="shared" si="30"/>
        <v>6168362</v>
      </c>
      <c r="M85" s="1607">
        <f t="shared" ref="M85:AA85" si="31">SUM(M79:M84)</f>
        <v>5709957</v>
      </c>
      <c r="N85" s="1607">
        <f t="shared" si="31"/>
        <v>5793244</v>
      </c>
      <c r="O85" s="1607">
        <f t="shared" si="31"/>
        <v>6587828</v>
      </c>
      <c r="P85" s="1607">
        <f t="shared" si="31"/>
        <v>6479560</v>
      </c>
      <c r="Q85" s="1607">
        <f t="shared" si="31"/>
        <v>6806472</v>
      </c>
      <c r="R85" s="1607">
        <f t="shared" si="31"/>
        <v>6915528</v>
      </c>
      <c r="S85" s="1607">
        <f t="shared" si="31"/>
        <v>7519354</v>
      </c>
      <c r="T85" s="1607">
        <f t="shared" si="31"/>
        <v>6774361</v>
      </c>
      <c r="U85" s="1607">
        <f t="shared" si="31"/>
        <v>7419604</v>
      </c>
      <c r="V85" s="1607">
        <f t="shared" si="31"/>
        <v>7099035</v>
      </c>
      <c r="W85" s="1607">
        <f t="shared" si="31"/>
        <v>7065580</v>
      </c>
      <c r="X85" s="1607">
        <f t="shared" si="31"/>
        <v>7041908</v>
      </c>
      <c r="Y85" s="1607">
        <f t="shared" si="31"/>
        <v>6369053</v>
      </c>
      <c r="Z85" s="1607">
        <f t="shared" si="31"/>
        <v>6979599</v>
      </c>
      <c r="AA85" s="1607">
        <f t="shared" si="31"/>
        <v>7110420</v>
      </c>
      <c r="AB85" s="1608">
        <f ca="1">SUM(OFFSET(AA85,0,当期月数):AA85)</f>
        <v>55859560</v>
      </c>
    </row>
    <row r="86" spans="1:28" ht="15.4" customHeight="1" x14ac:dyDescent="0.15">
      <c r="A86" s="1511" t="s">
        <v>971</v>
      </c>
      <c r="B86" s="2053" t="s">
        <v>972</v>
      </c>
      <c r="C86" s="1617" t="s">
        <v>83</v>
      </c>
      <c r="D86" s="1597">
        <f>IFERROR(GETPIVOTDATA("合計 / " &amp; $C86,【ピボット】事業所売上!$A$3,"年月",D$2,"事業所",$A86),0)</f>
        <v>0</v>
      </c>
      <c r="E86" s="1597">
        <f>IFERROR(GETPIVOTDATA("合計 / " &amp; $C86,【ピボット】事業所売上!$A$3,"年月",E$2,"事業所",$A86),0)</f>
        <v>0</v>
      </c>
      <c r="F86" s="1597">
        <f>IFERROR(GETPIVOTDATA("合計 / " &amp; $C86,【ピボット】事業所売上!$A$3,"年月",F$2,"事業所",$A86),0)</f>
        <v>0</v>
      </c>
      <c r="G86" s="1597">
        <f>IFERROR(GETPIVOTDATA("合計 / " &amp; $C86,【ピボット】事業所売上!$A$3,"年月",G$2,"事業所",$A86),0)</f>
        <v>0</v>
      </c>
      <c r="H86" s="1597">
        <f>IFERROR(GETPIVOTDATA("合計 / " &amp; $C86,【ピボット】事業所売上!$A$3,"年月",H$2,"事業所",$A86),0)</f>
        <v>0</v>
      </c>
      <c r="I86" s="1597">
        <f>IFERROR(GETPIVOTDATA("合計 / " &amp; $C86,【ピボット】事業所売上!$A$3,"年月",I$2,"事業所",$A86),0)</f>
        <v>0</v>
      </c>
      <c r="J86" s="1597">
        <f>IFERROR(GETPIVOTDATA("合計 / " &amp; $C86,【ピボット】事業所売上!$A$3,"年月",J$2,"事業所",$A86),0)</f>
        <v>0</v>
      </c>
      <c r="K86" s="1597">
        <f>IFERROR(GETPIVOTDATA("合計 / " &amp; $C86,【ピボット】事業所売上!$A$3,"年月",K$2,"事業所",$A86),0)</f>
        <v>0</v>
      </c>
      <c r="L86" s="1597">
        <f>IFERROR(GETPIVOTDATA("合計 / " &amp; $C86,【ピボット】事業所売上!$A$3,"年月",L$2,"事業所",$A86),0)</f>
        <v>0</v>
      </c>
      <c r="M86" s="1597">
        <f>IFERROR(GETPIVOTDATA("合計 / " &amp; $C86,【ピボット】事業所売上!$A$3,"年月",M$2,"事業所",$A86),0)</f>
        <v>0</v>
      </c>
      <c r="N86" s="1597">
        <f>IFERROR(GETPIVOTDATA("合計 / " &amp; $C86,【ピボット】事業所売上!$A$3,"年月",N$2,"事業所",$A86),0)</f>
        <v>0</v>
      </c>
      <c r="O86" s="1597">
        <f>IFERROR(GETPIVOTDATA("合計 / " &amp; $C86,【ピボット】事業所売上!$A$3,"年月",O$2,"事業所",$A86),0)</f>
        <v>0</v>
      </c>
      <c r="P86" s="1597">
        <f>IFERROR(GETPIVOTDATA("合計 / " &amp; $C86,【ピボット】事業所売上!$A$3,"年月",P$2,"事業所",$A86),0)</f>
        <v>0</v>
      </c>
      <c r="Q86" s="1597">
        <f>IFERROR(GETPIVOTDATA("合計 / " &amp; $C86,【ピボット】事業所売上!$A$3,"年月",Q$2,"事業所",$A86),0)</f>
        <v>0</v>
      </c>
      <c r="R86" s="1597">
        <f>IFERROR(GETPIVOTDATA("合計 / " &amp; $C86,【ピボット】事業所売上!$A$3,"年月",R$2,"事業所",$A86),0)</f>
        <v>493984</v>
      </c>
      <c r="S86" s="1597">
        <f>IFERROR(GETPIVOTDATA("合計 / " &amp; $C86,【ピボット】事業所売上!$A$3,"年月",S$2,"事業所",$A86),0)</f>
        <v>485683</v>
      </c>
      <c r="T86" s="1597">
        <f>IFERROR(GETPIVOTDATA("合計 / " &amp; $C86,【ピボット】事業所売上!$A$3,"年月",T$2,"事業所",$A86),0)</f>
        <v>925389</v>
      </c>
      <c r="U86" s="1597">
        <f>IFERROR(GETPIVOTDATA("合計 / " &amp; $C86,【ピボット】事業所売上!$A$3,"年月",U$2,"事業所",$A86),0)</f>
        <v>1520946</v>
      </c>
      <c r="V86" s="1597">
        <f>IFERROR(GETPIVOTDATA("合計 / " &amp; $C86,【ピボット】事業所売上!$A$3,"年月",V$2,"事業所",$A86),0)</f>
        <v>1181602</v>
      </c>
      <c r="W86" s="1597">
        <f>IFERROR(GETPIVOTDATA("合計 / " &amp; $C86,【ピボット】事業所売上!$A$3,"年月",W$2,"事業所",$A86),0)</f>
        <v>1325905</v>
      </c>
      <c r="X86" s="1597">
        <f>IFERROR(GETPIVOTDATA("合計 / " &amp; $C86,【ピボット】事業所売上!$A$3,"年月",X$2,"事業所",$A86),0)</f>
        <v>987457</v>
      </c>
      <c r="Y86" s="1597">
        <f>IFERROR(GETPIVOTDATA("合計 / " &amp; $C86,【ピボット】事業所売上!$A$3,"年月",Y$2,"事業所",$A86),0)</f>
        <v>778647</v>
      </c>
      <c r="Z86" s="1597">
        <f>IFERROR(GETPIVOTDATA("合計 / " &amp; $C86,【ピボット】事業所売上!$A$3,"年月",Z$2,"事業所",$A86),0)</f>
        <v>0</v>
      </c>
      <c r="AA86" s="1597">
        <f>IFERROR(GETPIVOTDATA("合計 / " &amp; $C86,【ピボット】事業所売上!$A$3,"年月",AA$2,"事業所",$A86),0)</f>
        <v>13148</v>
      </c>
      <c r="AB86" s="1598">
        <f ca="1">SUM(OFFSET(AA86,0,当期月数):AA86)</f>
        <v>6733094</v>
      </c>
    </row>
    <row r="87" spans="1:28" ht="15.4" customHeight="1" x14ac:dyDescent="0.15">
      <c r="A87" s="1511" t="s">
        <v>973</v>
      </c>
      <c r="B87" s="2052"/>
      <c r="C87" s="1588" t="s">
        <v>84</v>
      </c>
      <c r="D87" s="1618">
        <f>IFERROR(GETPIVOTDATA("合計 / " &amp; $C87,【ピボット】事業所売上!$A$3,"年月",D$2,"事業所",$A87),0)</f>
        <v>0</v>
      </c>
      <c r="E87" s="1618">
        <f>IFERROR(GETPIVOTDATA("合計 / " &amp; $C87,【ピボット】事業所売上!$A$3,"年月",E$2,"事業所",$A87),0)</f>
        <v>0</v>
      </c>
      <c r="F87" s="1618">
        <f>IFERROR(GETPIVOTDATA("合計 / " &amp; $C87,【ピボット】事業所売上!$A$3,"年月",F$2,"事業所",$A87),0)</f>
        <v>0</v>
      </c>
      <c r="G87" s="1618">
        <f>IFERROR(GETPIVOTDATA("合計 / " &amp; $C87,【ピボット】事業所売上!$A$3,"年月",G$2,"事業所",$A87),0)</f>
        <v>0</v>
      </c>
      <c r="H87" s="1618">
        <f>IFERROR(GETPIVOTDATA("合計 / " &amp; $C87,【ピボット】事業所売上!$A$3,"年月",H$2,"事業所",$A87),0)</f>
        <v>0</v>
      </c>
      <c r="I87" s="1618">
        <f>IFERROR(GETPIVOTDATA("合計 / " &amp; $C87,【ピボット】事業所売上!$A$3,"年月",I$2,"事業所",$A87),0)</f>
        <v>0</v>
      </c>
      <c r="J87" s="1618">
        <f>IFERROR(GETPIVOTDATA("合計 / " &amp; $C87,【ピボット】事業所売上!$A$3,"年月",J$2,"事業所",$A87),0)</f>
        <v>0</v>
      </c>
      <c r="K87" s="1618">
        <f>IFERROR(GETPIVOTDATA("合計 / " &amp; $C87,【ピボット】事業所売上!$A$3,"年月",K$2,"事業所",$A87),0)</f>
        <v>0</v>
      </c>
      <c r="L87" s="1618">
        <f>IFERROR(GETPIVOTDATA("合計 / " &amp; $C87,【ピボット】事業所売上!$A$3,"年月",L$2,"事業所",$A87),0)</f>
        <v>0</v>
      </c>
      <c r="M87" s="1618">
        <f>IFERROR(GETPIVOTDATA("合計 / " &amp; $C87,【ピボット】事業所売上!$A$3,"年月",M$2,"事業所",$A87),0)</f>
        <v>0</v>
      </c>
      <c r="N87" s="1618">
        <f>IFERROR(GETPIVOTDATA("合計 / " &amp; $C87,【ピボット】事業所売上!$A$3,"年月",N$2,"事業所",$A87),0)</f>
        <v>0</v>
      </c>
      <c r="O87" s="1618">
        <f>IFERROR(GETPIVOTDATA("合計 / " &amp; $C87,【ピボット】事業所売上!$A$3,"年月",O$2,"事業所",$A87),0)</f>
        <v>0</v>
      </c>
      <c r="P87" s="1618">
        <f>IFERROR(GETPIVOTDATA("合計 / " &amp; $C87,【ピボット】事業所売上!$A$3,"年月",P$2,"事業所",$A87),0)</f>
        <v>0</v>
      </c>
      <c r="Q87" s="1618">
        <f>IFERROR(GETPIVOTDATA("合計 / " &amp; $C87,【ピボット】事業所売上!$A$3,"年月",Q$2,"事業所",$A87),0)</f>
        <v>97685</v>
      </c>
      <c r="R87" s="1618">
        <f>IFERROR(GETPIVOTDATA("合計 / " &amp; $C87,【ピボット】事業所売上!$A$3,"年月",R$2,"事業所",$A87),0)</f>
        <v>168666</v>
      </c>
      <c r="S87" s="1618">
        <f>IFERROR(GETPIVOTDATA("合計 / " &amp; $C87,【ピボット】事業所売上!$A$3,"年月",S$2,"事業所",$A87),0)</f>
        <v>129186</v>
      </c>
      <c r="T87" s="1618">
        <f>IFERROR(GETPIVOTDATA("合計 / " &amp; $C87,【ピボット】事業所売上!$A$3,"年月",T$2,"事業所",$A87),0)</f>
        <v>264289</v>
      </c>
      <c r="U87" s="1618">
        <f>IFERROR(GETPIVOTDATA("合計 / " &amp; $C87,【ピボット】事業所売上!$A$3,"年月",U$2,"事業所",$A87),0)</f>
        <v>105500</v>
      </c>
      <c r="V87" s="1618">
        <f>IFERROR(GETPIVOTDATA("合計 / " &amp; $C87,【ピボット】事業所売上!$A$3,"年月",V$2,"事業所",$A87),0)</f>
        <v>92462</v>
      </c>
      <c r="W87" s="1618">
        <f>IFERROR(GETPIVOTDATA("合計 / " &amp; $C87,【ピボット】事業所売上!$A$3,"年月",W$2,"事業所",$A87),0)</f>
        <v>170158</v>
      </c>
      <c r="X87" s="1618">
        <f>IFERROR(GETPIVOTDATA("合計 / " &amp; $C87,【ピボット】事業所売上!$A$3,"年月",X$2,"事業所",$A87),0)</f>
        <v>133567</v>
      </c>
      <c r="Y87" s="1618">
        <f>IFERROR(GETPIVOTDATA("合計 / " &amp; $C87,【ピボット】事業所売上!$A$3,"年月",Y$2,"事業所",$A87),0)</f>
        <v>113402</v>
      </c>
      <c r="Z87" s="1618">
        <f>IFERROR(GETPIVOTDATA("合計 / " &amp; $C87,【ピボット】事業所売上!$A$3,"年月",Z$2,"事業所",$A87),0)</f>
        <v>0</v>
      </c>
      <c r="AA87" s="1618">
        <f>IFERROR(GETPIVOTDATA("合計 / " &amp; $C87,【ピボット】事業所売上!$A$3,"年月",AA$2,"事業所",$A87),0)</f>
        <v>0</v>
      </c>
      <c r="AB87" s="1561">
        <f ca="1">SUM(OFFSET(AA87,0,当期月数):AA87)</f>
        <v>879378</v>
      </c>
    </row>
    <row r="88" spans="1:28" ht="15.4" customHeight="1" x14ac:dyDescent="0.15">
      <c r="A88" s="1511" t="s">
        <v>971</v>
      </c>
      <c r="B88" s="2052"/>
      <c r="C88" s="1599" t="s">
        <v>403</v>
      </c>
      <c r="D88" s="1616">
        <f>IFERROR(GETPIVOTDATA("合計 / " &amp; $C88,【ピボット】事業所売上!$A$3,"年月",D$2,"事業所",$A88),0)</f>
        <v>0</v>
      </c>
      <c r="E88" s="1616">
        <f>IFERROR(GETPIVOTDATA("合計 / " &amp; $C88,【ピボット】事業所売上!$A$3,"年月",E$2,"事業所",$A88),0)</f>
        <v>0</v>
      </c>
      <c r="F88" s="1616">
        <f>IFERROR(GETPIVOTDATA("合計 / " &amp; $C88,【ピボット】事業所売上!$A$3,"年月",F$2,"事業所",$A88),0)</f>
        <v>0</v>
      </c>
      <c r="G88" s="1616">
        <f>IFERROR(GETPIVOTDATA("合計 / " &amp; $C88,【ピボット】事業所売上!$A$3,"年月",G$2,"事業所",$A88),0)</f>
        <v>0</v>
      </c>
      <c r="H88" s="1616">
        <f>IFERROR(GETPIVOTDATA("合計 / " &amp; $C88,【ピボット】事業所売上!$A$3,"年月",H$2,"事業所",$A88),0)</f>
        <v>0</v>
      </c>
      <c r="I88" s="1616">
        <f>IFERROR(GETPIVOTDATA("合計 / " &amp; $C88,【ピボット】事業所売上!$A$3,"年月",I$2,"事業所",$A88),0)</f>
        <v>0</v>
      </c>
      <c r="J88" s="1616">
        <f>IFERROR(GETPIVOTDATA("合計 / " &amp; $C88,【ピボット】事業所売上!$A$3,"年月",J$2,"事業所",$A88),0)</f>
        <v>0</v>
      </c>
      <c r="K88" s="1616">
        <f>IFERROR(GETPIVOTDATA("合計 / " &amp; $C88,【ピボット】事業所売上!$A$3,"年月",K$2,"事業所",$A88),0)</f>
        <v>0</v>
      </c>
      <c r="L88" s="1616">
        <f>IFERROR(GETPIVOTDATA("合計 / " &amp; $C88,【ピボット】事業所売上!$A$3,"年月",L$2,"事業所",$A88),0)</f>
        <v>0</v>
      </c>
      <c r="M88" s="1616">
        <f>IFERROR(GETPIVOTDATA("合計 / " &amp; $C88,【ピボット】事業所売上!$A$3,"年月",M$2,"事業所",$A88),0)</f>
        <v>0</v>
      </c>
      <c r="N88" s="1616">
        <f>IFERROR(GETPIVOTDATA("合計 / " &amp; $C88,【ピボット】事業所売上!$A$3,"年月",N$2,"事業所",$A88),0)</f>
        <v>0</v>
      </c>
      <c r="O88" s="1616">
        <f>IFERROR(GETPIVOTDATA("合計 / " &amp; $C88,【ピボット】事業所売上!$A$3,"年月",O$2,"事業所",$A88),0)</f>
        <v>0</v>
      </c>
      <c r="P88" s="1616">
        <f>IFERROR(GETPIVOTDATA("合計 / " &amp; $C88,【ピボット】事業所売上!$A$3,"年月",P$2,"事業所",$A88),0)</f>
        <v>0</v>
      </c>
      <c r="Q88" s="1616">
        <f>IFERROR(GETPIVOTDATA("合計 / " &amp; $C88,【ピボット】事業所売上!$A$3,"年月",Q$2,"事業所",$A88),0)</f>
        <v>0</v>
      </c>
      <c r="R88" s="1616">
        <f>IFERROR(GETPIVOTDATA("合計 / " &amp; $C88,【ピボット】事業所売上!$A$3,"年月",R$2,"事業所",$A88),0)</f>
        <v>0</v>
      </c>
      <c r="S88" s="1616">
        <f>IFERROR(GETPIVOTDATA("合計 / " &amp; $C88,【ピボット】事業所売上!$A$3,"年月",S$2,"事業所",$A88),0)</f>
        <v>0</v>
      </c>
      <c r="T88" s="1616">
        <f>IFERROR(GETPIVOTDATA("合計 / " &amp; $C88,【ピボット】事業所売上!$A$3,"年月",T$2,"事業所",$A88),0)</f>
        <v>0</v>
      </c>
      <c r="U88" s="1616">
        <f>IFERROR(GETPIVOTDATA("合計 / " &amp; $C88,【ピボット】事業所売上!$A$3,"年月",U$2,"事業所",$A88),0)</f>
        <v>0</v>
      </c>
      <c r="V88" s="1616">
        <f>IFERROR(GETPIVOTDATA("合計 / " &amp; $C88,【ピボット】事業所売上!$A$3,"年月",V$2,"事業所",$A88),0)</f>
        <v>18650</v>
      </c>
      <c r="W88" s="1616">
        <f>IFERROR(GETPIVOTDATA("合計 / " &amp; $C88,【ピボット】事業所売上!$A$3,"年月",W$2,"事業所",$A88),0)</f>
        <v>19540</v>
      </c>
      <c r="X88" s="1616">
        <f>IFERROR(GETPIVOTDATA("合計 / " &amp; $C88,【ピボット】事業所売上!$A$3,"年月",X$2,"事業所",$A88),0)</f>
        <v>39080</v>
      </c>
      <c r="Y88" s="1616">
        <f>IFERROR(GETPIVOTDATA("合計 / " &amp; $C88,【ピボット】事業所売上!$A$3,"年月",Y$2,"事業所",$A88),0)</f>
        <v>0</v>
      </c>
      <c r="Z88" s="1616">
        <f>IFERROR(GETPIVOTDATA("合計 / " &amp; $C88,【ピボット】事業所売上!$A$3,"年月",Z$2,"事業所",$A88),0)</f>
        <v>0</v>
      </c>
      <c r="AA88" s="1616">
        <f>IFERROR(GETPIVOTDATA("合計 / " &amp; $C88,【ピボット】事業所売上!$A$3,"年月",AA$2,"事業所",$A88),0)</f>
        <v>0</v>
      </c>
      <c r="AB88" s="1561">
        <f ca="1">SUM(OFFSET(AA88,0,当期月数):AA88)</f>
        <v>77270</v>
      </c>
    </row>
    <row r="89" spans="1:28" ht="15.4" customHeight="1" x14ac:dyDescent="0.15">
      <c r="A89" s="1511" t="s">
        <v>971</v>
      </c>
      <c r="B89" s="2052"/>
      <c r="C89" s="1588" t="s">
        <v>55</v>
      </c>
      <c r="D89" s="1613">
        <f>IFERROR(GETPIVOTDATA("合計 / " &amp; $C89,【ピボット】事業所売上!$A$3,"年月",D$2,"事業所",$A89),0)</f>
        <v>0</v>
      </c>
      <c r="E89" s="1613">
        <f>IFERROR(GETPIVOTDATA("合計 / " &amp; $C89,【ピボット】事業所売上!$A$3,"年月",E$2,"事業所",$A89),0)</f>
        <v>0</v>
      </c>
      <c r="F89" s="1613">
        <f>IFERROR(GETPIVOTDATA("合計 / " &amp; $C89,【ピボット】事業所売上!$A$3,"年月",F$2,"事業所",$A89),0)</f>
        <v>0</v>
      </c>
      <c r="G89" s="1613">
        <f>IFERROR(GETPIVOTDATA("合計 / " &amp; $C89,【ピボット】事業所売上!$A$3,"年月",G$2,"事業所",$A89),0)</f>
        <v>0</v>
      </c>
      <c r="H89" s="1613">
        <f>IFERROR(GETPIVOTDATA("合計 / " &amp; $C89,【ピボット】事業所売上!$A$3,"年月",H$2,"事業所",$A89),0)</f>
        <v>0</v>
      </c>
      <c r="I89" s="1613">
        <f>IFERROR(GETPIVOTDATA("合計 / " &amp; $C89,【ピボット】事業所売上!$A$3,"年月",I$2,"事業所",$A89),0)</f>
        <v>0</v>
      </c>
      <c r="J89" s="1613">
        <f>IFERROR(GETPIVOTDATA("合計 / " &amp; $C89,【ピボット】事業所売上!$A$3,"年月",J$2,"事業所",$A89),0)</f>
        <v>0</v>
      </c>
      <c r="K89" s="1613">
        <f>IFERROR(GETPIVOTDATA("合計 / " &amp; $C89,【ピボット】事業所売上!$A$3,"年月",K$2,"事業所",$A89),0)</f>
        <v>0</v>
      </c>
      <c r="L89" s="1613">
        <f>IFERROR(GETPIVOTDATA("合計 / " &amp; $C89,【ピボット】事業所売上!$A$3,"年月",L$2,"事業所",$A89),0)</f>
        <v>0</v>
      </c>
      <c r="M89" s="1613">
        <f>IFERROR(GETPIVOTDATA("合計 / " &amp; $C89,【ピボット】事業所売上!$A$3,"年月",M$2,"事業所",$A89),0)</f>
        <v>0</v>
      </c>
      <c r="N89" s="1613">
        <f>IFERROR(GETPIVOTDATA("合計 / " &amp; $C89,【ピボット】事業所売上!$A$3,"年月",N$2,"事業所",$A89),0)</f>
        <v>0</v>
      </c>
      <c r="O89" s="1613">
        <f>IFERROR(GETPIVOTDATA("合計 / " &amp; $C89,【ピボット】事業所売上!$A$3,"年月",O$2,"事業所",$A89),0)</f>
        <v>0</v>
      </c>
      <c r="P89" s="1613">
        <f>IFERROR(GETPIVOTDATA("合計 / " &amp; $C89,【ピボット】事業所売上!$A$3,"年月",P$2,"事業所",$A89),0)</f>
        <v>0</v>
      </c>
      <c r="Q89" s="1613">
        <f>IFERROR(GETPIVOTDATA("合計 / " &amp; $C89,【ピボット】事業所売上!$A$3,"年月",Q$2,"事業所",$A89),0)</f>
        <v>3200</v>
      </c>
      <c r="R89" s="1613">
        <f>IFERROR(GETPIVOTDATA("合計 / " &amp; $C89,【ピボット】事業所売上!$A$3,"年月",R$2,"事業所",$A89),0)</f>
        <v>0</v>
      </c>
      <c r="S89" s="1613">
        <f>IFERROR(GETPIVOTDATA("合計 / " &amp; $C89,【ピボット】事業所売上!$A$3,"年月",S$2,"事業所",$A89),0)</f>
        <v>9600</v>
      </c>
      <c r="T89" s="1613">
        <f>IFERROR(GETPIVOTDATA("合計 / " &amp; $C89,【ピボット】事業所売上!$A$3,"年月",T$2,"事業所",$A89),0)</f>
        <v>3600</v>
      </c>
      <c r="U89" s="1613">
        <f>IFERROR(GETPIVOTDATA("合計 / " &amp; $C89,【ピボット】事業所売上!$A$3,"年月",U$2,"事業所",$A89),0)</f>
        <v>5100</v>
      </c>
      <c r="V89" s="1613">
        <f>IFERROR(GETPIVOTDATA("合計 / " &amp; $C89,【ピボット】事業所売上!$A$3,"年月",V$2,"事業所",$A89),0)</f>
        <v>3400</v>
      </c>
      <c r="W89" s="1613">
        <f>IFERROR(GETPIVOTDATA("合計 / " &amp; $C89,【ピボット】事業所売上!$A$3,"年月",W$2,"事業所",$A89),0)</f>
        <v>5100</v>
      </c>
      <c r="X89" s="1613">
        <f>IFERROR(GETPIVOTDATA("合計 / " &amp; $C89,【ピボット】事業所売上!$A$3,"年月",X$2,"事業所",$A89),0)</f>
        <v>0</v>
      </c>
      <c r="Y89" s="1613">
        <f>IFERROR(GETPIVOTDATA("合計 / " &amp; $C89,【ピボット】事業所売上!$A$3,"年月",Y$2,"事業所",$A89),0)</f>
        <v>11900</v>
      </c>
      <c r="Z89" s="1613">
        <f>IFERROR(GETPIVOTDATA("合計 / " &amp; $C89,【ピボット】事業所売上!$A$3,"年月",Z$2,"事業所",$A89),0)</f>
        <v>0</v>
      </c>
      <c r="AA89" s="1613">
        <f>IFERROR(GETPIVOTDATA("合計 / " &amp; $C89,【ピボット】事業所売上!$A$3,"年月",AA$2,"事業所",$A89),0)</f>
        <v>0</v>
      </c>
      <c r="AB89" s="1561">
        <f ca="1">SUM(OFFSET(AA89,0,当期月数):AA89)</f>
        <v>29100</v>
      </c>
    </row>
    <row r="90" spans="1:28" ht="15.4" customHeight="1" x14ac:dyDescent="0.15">
      <c r="A90" s="1511" t="s">
        <v>974</v>
      </c>
      <c r="B90" s="2052"/>
      <c r="C90" s="1599" t="s">
        <v>390</v>
      </c>
      <c r="D90" s="1602">
        <f>IFERROR(GETPIVOTDATA("合計 / " &amp; $C90,【ピボット】事業所売上!$A$3,"年月",D$2,"事業所",$A90),0)</f>
        <v>0</v>
      </c>
      <c r="E90" s="1602">
        <f>IFERROR(GETPIVOTDATA("合計 / " &amp; $C90,【ピボット】事業所売上!$A$3,"年月",E$2,"事業所",$A90),0)</f>
        <v>0</v>
      </c>
      <c r="F90" s="1602">
        <f>IFERROR(GETPIVOTDATA("合計 / " &amp; $C90,【ピボット】事業所売上!$A$3,"年月",F$2,"事業所",$A90),0)</f>
        <v>0</v>
      </c>
      <c r="G90" s="1602">
        <f>IFERROR(GETPIVOTDATA("合計 / " &amp; $C90,【ピボット】事業所売上!$A$3,"年月",G$2,"事業所",$A90),0)</f>
        <v>0</v>
      </c>
      <c r="H90" s="1602">
        <f>IFERROR(GETPIVOTDATA("合計 / " &amp; $C90,【ピボット】事業所売上!$A$3,"年月",H$2,"事業所",$A90),0)</f>
        <v>0</v>
      </c>
      <c r="I90" s="1602">
        <f>IFERROR(GETPIVOTDATA("合計 / " &amp; $C90,【ピボット】事業所売上!$A$3,"年月",I$2,"事業所",$A90),0)</f>
        <v>0</v>
      </c>
      <c r="J90" s="1602">
        <f>IFERROR(GETPIVOTDATA("合計 / " &amp; $C90,【ピボット】事業所売上!$A$3,"年月",J$2,"事業所",$A90),0)</f>
        <v>0</v>
      </c>
      <c r="K90" s="1602">
        <f>IFERROR(GETPIVOTDATA("合計 / " &amp; $C90,【ピボット】事業所売上!$A$3,"年月",K$2,"事業所",$A90),0)</f>
        <v>0</v>
      </c>
      <c r="L90" s="1602">
        <f>IFERROR(GETPIVOTDATA("合計 / " &amp; $C90,【ピボット】事業所売上!$A$3,"年月",L$2,"事業所",$A90),0)</f>
        <v>0</v>
      </c>
      <c r="M90" s="1602">
        <f>IFERROR(GETPIVOTDATA("合計 / " &amp; $C90,【ピボット】事業所売上!$A$3,"年月",M$2,"事業所",$A90),0)</f>
        <v>0</v>
      </c>
      <c r="N90" s="1602">
        <f>IFERROR(GETPIVOTDATA("合計 / " &amp; $C90,【ピボット】事業所売上!$A$3,"年月",N$2,"事業所",$A90),0)</f>
        <v>0</v>
      </c>
      <c r="O90" s="1602">
        <f>IFERROR(GETPIVOTDATA("合計 / " &amp; $C90,【ピボット】事業所売上!$A$3,"年月",O$2,"事業所",$A90),0)</f>
        <v>0</v>
      </c>
      <c r="P90" s="1602">
        <f>IFERROR(GETPIVOTDATA("合計 / " &amp; $C90,【ピボット】事業所売上!$A$3,"年月",P$2,"事業所",$A90),0)</f>
        <v>0</v>
      </c>
      <c r="Q90" s="1602">
        <f>IFERROR(GETPIVOTDATA("合計 / " &amp; $C90,【ピボット】事業所売上!$A$3,"年月",Q$2,"事業所",$A90),0)</f>
        <v>0</v>
      </c>
      <c r="R90" s="1602">
        <f>IFERROR(GETPIVOTDATA("合計 / " &amp; $C90,【ピボット】事業所売上!$A$3,"年月",R$2,"事業所",$A90),0)</f>
        <v>430</v>
      </c>
      <c r="S90" s="1602">
        <f>IFERROR(GETPIVOTDATA("合計 / " &amp; $C90,【ピボット】事業所売上!$A$3,"年月",S$2,"事業所",$A90),0)</f>
        <v>357</v>
      </c>
      <c r="T90" s="1602">
        <f>IFERROR(GETPIVOTDATA("合計 / " &amp; $C90,【ピボット】事業所売上!$A$3,"年月",T$2,"事業所",$A90),0)</f>
        <v>0</v>
      </c>
      <c r="U90" s="1602">
        <f>IFERROR(GETPIVOTDATA("合計 / " &amp; $C90,【ピボット】事業所売上!$A$3,"年月",U$2,"事業所",$A90),0)</f>
        <v>0</v>
      </c>
      <c r="V90" s="1602">
        <f>IFERROR(GETPIVOTDATA("合計 / " &amp; $C90,【ピボット】事業所売上!$A$3,"年月",V$2,"事業所",$A90),0)</f>
        <v>0</v>
      </c>
      <c r="W90" s="1614">
        <f>IFERROR(GETPIVOTDATA("合計 / " &amp; $C90,【ピボット】事業所売上!$A$3,"年月",W$2,"事業所",$A90),0)</f>
        <v>143</v>
      </c>
      <c r="X90" s="1614">
        <f>IFERROR(GETPIVOTDATA("合計 / " &amp; $C90,【ピボット】事業所売上!$A$3,"年月",X$2,"事業所",$A90),0)</f>
        <v>670</v>
      </c>
      <c r="Y90" s="1614">
        <f>IFERROR(GETPIVOTDATA("合計 / " &amp; $C90,【ピボット】事業所売上!$A$3,"年月",Y$2,"事業所",$A90),0)</f>
        <v>0</v>
      </c>
      <c r="Z90" s="1614">
        <f>IFERROR(GETPIVOTDATA("合計 / " &amp; $C90,【ピボット】事業所売上!$A$3,"年月",Z$2,"事業所",$A90),0)</f>
        <v>0</v>
      </c>
      <c r="AA90" s="1614">
        <f>IFERROR(GETPIVOTDATA("合計 / " &amp; $C90,【ピボット】事業所売上!$A$3,"年月",AA$2,"事業所",$A90),0)</f>
        <v>0</v>
      </c>
      <c r="AB90" s="1561">
        <f ca="1">SUM(OFFSET(AA90,0,当期月数):AA90)</f>
        <v>813</v>
      </c>
    </row>
    <row r="91" spans="1:28" ht="15.4" customHeight="1" thickBot="1" x14ac:dyDescent="0.2">
      <c r="B91" s="2055"/>
      <c r="C91" s="1606" t="s">
        <v>11</v>
      </c>
      <c r="D91" s="1607">
        <f t="shared" ref="D91:AA91" si="32">SUM(D86:D90)</f>
        <v>0</v>
      </c>
      <c r="E91" s="1607">
        <f t="shared" si="32"/>
        <v>0</v>
      </c>
      <c r="F91" s="1607">
        <f t="shared" si="32"/>
        <v>0</v>
      </c>
      <c r="G91" s="1607">
        <f t="shared" si="32"/>
        <v>0</v>
      </c>
      <c r="H91" s="1607">
        <f t="shared" si="32"/>
        <v>0</v>
      </c>
      <c r="I91" s="1607">
        <f t="shared" si="32"/>
        <v>0</v>
      </c>
      <c r="J91" s="1607">
        <f t="shared" si="32"/>
        <v>0</v>
      </c>
      <c r="K91" s="1607">
        <f t="shared" si="32"/>
        <v>0</v>
      </c>
      <c r="L91" s="1607">
        <f t="shared" si="32"/>
        <v>0</v>
      </c>
      <c r="M91" s="1607">
        <f t="shared" si="32"/>
        <v>0</v>
      </c>
      <c r="N91" s="1607">
        <f t="shared" si="32"/>
        <v>0</v>
      </c>
      <c r="O91" s="1607">
        <f t="shared" si="32"/>
        <v>0</v>
      </c>
      <c r="P91" s="1607">
        <f t="shared" si="32"/>
        <v>0</v>
      </c>
      <c r="Q91" s="1607">
        <f t="shared" si="32"/>
        <v>100885</v>
      </c>
      <c r="R91" s="1607">
        <f t="shared" si="32"/>
        <v>663080</v>
      </c>
      <c r="S91" s="1607">
        <f t="shared" si="32"/>
        <v>624826</v>
      </c>
      <c r="T91" s="1607">
        <f t="shared" si="32"/>
        <v>1193278</v>
      </c>
      <c r="U91" s="1607">
        <f>SUM(U86:U90)</f>
        <v>1631546</v>
      </c>
      <c r="V91" s="1607">
        <f t="shared" si="32"/>
        <v>1296114</v>
      </c>
      <c r="W91" s="1607">
        <f t="shared" si="32"/>
        <v>1520846</v>
      </c>
      <c r="X91" s="1607">
        <f t="shared" si="32"/>
        <v>1160774</v>
      </c>
      <c r="Y91" s="1607">
        <f t="shared" si="32"/>
        <v>903949</v>
      </c>
      <c r="Z91" s="1607">
        <f t="shared" si="32"/>
        <v>0</v>
      </c>
      <c r="AA91" s="1607">
        <f t="shared" si="32"/>
        <v>13148</v>
      </c>
      <c r="AB91" s="1608">
        <f ca="1">SUM(OFFSET(AA91,0,当期月数):AA91)</f>
        <v>7719655</v>
      </c>
    </row>
    <row r="92" spans="1:28" ht="15.4" customHeight="1" x14ac:dyDescent="0.15">
      <c r="A92" s="1511" t="s">
        <v>1206</v>
      </c>
      <c r="B92" s="2053" t="s">
        <v>1207</v>
      </c>
      <c r="C92" s="1617" t="s">
        <v>83</v>
      </c>
      <c r="D92" s="1597">
        <f>IFERROR(GETPIVOTDATA("合計 / " &amp; $C92,【ピボット】事業所売上!$A$3,"年月",D$2,"事業所",$A92),0)</f>
        <v>0</v>
      </c>
      <c r="E92" s="1597">
        <f>IFERROR(GETPIVOTDATA("合計 / " &amp; $C92,【ピボット】事業所売上!$A$3,"年月",E$2,"事業所",$A92),0)</f>
        <v>0</v>
      </c>
      <c r="F92" s="1597">
        <f>IFERROR(GETPIVOTDATA("合計 / " &amp; $C92,【ピボット】事業所売上!$A$3,"年月",F$2,"事業所",$A92),0)</f>
        <v>0</v>
      </c>
      <c r="G92" s="1597">
        <f>IFERROR(GETPIVOTDATA("合計 / " &amp; $C92,【ピボット】事業所売上!$A$3,"年月",G$2,"事業所",$A92),0)</f>
        <v>0</v>
      </c>
      <c r="H92" s="1597">
        <f>IFERROR(GETPIVOTDATA("合計 / " &amp; $C92,【ピボット】事業所売上!$A$3,"年月",H$2,"事業所",$A92),0)</f>
        <v>0</v>
      </c>
      <c r="I92" s="1597">
        <f>IFERROR(GETPIVOTDATA("合計 / " &amp; $C92,【ピボット】事業所売上!$A$3,"年月",I$2,"事業所",$A92),0)</f>
        <v>0</v>
      </c>
      <c r="J92" s="1597">
        <f>IFERROR(GETPIVOTDATA("合計 / " &amp; $C92,【ピボット】事業所売上!$A$3,"年月",J$2,"事業所",$A92),0)</f>
        <v>0</v>
      </c>
      <c r="K92" s="1597">
        <f>IFERROR(GETPIVOTDATA("合計 / " &amp; $C92,【ピボット】事業所売上!$A$3,"年月",K$2,"事業所",$A92),0)</f>
        <v>0</v>
      </c>
      <c r="L92" s="1597">
        <f>IFERROR(GETPIVOTDATA("合計 / " &amp; $C92,【ピボット】事業所売上!$A$3,"年月",L$2,"事業所",$A92),0)</f>
        <v>0</v>
      </c>
      <c r="M92" s="1597">
        <f>IFERROR(GETPIVOTDATA("合計 / " &amp; $C92,【ピボット】事業所売上!$A$3,"年月",M$2,"事業所",$A92),0)</f>
        <v>0</v>
      </c>
      <c r="N92" s="1597">
        <f>IFERROR(GETPIVOTDATA("合計 / " &amp; $C92,【ピボット】事業所売上!$A$3,"年月",N$2,"事業所",$A92),0)</f>
        <v>0</v>
      </c>
      <c r="O92" s="1597">
        <f>IFERROR(GETPIVOTDATA("合計 / " &amp; $C92,【ピボット】事業所売上!$A$3,"年月",O$2,"事業所",$A92),0)</f>
        <v>0</v>
      </c>
      <c r="P92" s="1597">
        <f>IFERROR(GETPIVOTDATA("合計 / " &amp; $C92,【ピボット】事業所売上!$A$3,"年月",P$2,"事業所",$A92),0)</f>
        <v>0</v>
      </c>
      <c r="Q92" s="1597">
        <f>IFERROR(GETPIVOTDATA("合計 / " &amp; $C92,【ピボット】事業所売上!$A$3,"年月",Q$2,"事業所",$A92),0)</f>
        <v>0</v>
      </c>
      <c r="R92" s="1597">
        <f>IFERROR(GETPIVOTDATA("合計 / " &amp; $C92,【ピボット】事業所売上!$A$3,"年月",R$2,"事業所",$A92),0)</f>
        <v>0</v>
      </c>
      <c r="S92" s="1597">
        <f>IFERROR(GETPIVOTDATA("合計 / " &amp; $C92,【ピボット】事業所売上!$A$3,"年月",S$2,"事業所",$A92),0)</f>
        <v>0</v>
      </c>
      <c r="T92" s="1597">
        <f>IFERROR(GETPIVOTDATA("合計 / " &amp; $C92,【ピボット】事業所売上!$A$3,"年月",T$2,"事業所",$A92),0)</f>
        <v>0</v>
      </c>
      <c r="U92" s="1597">
        <f>IFERROR(GETPIVOTDATA("合計 / " &amp; $C92,【ピボット】事業所売上!$A$3,"年月",U$2,"事業所",$A92),0)</f>
        <v>174827</v>
      </c>
      <c r="V92" s="1597">
        <f>IFERROR(GETPIVOTDATA("合計 / " &amp; $C92,【ピボット】事業所売上!$A$3,"年月",V$2,"事業所",$A92),0)</f>
        <v>325613</v>
      </c>
      <c r="W92" s="1597">
        <f>IFERROR(GETPIVOTDATA("合計 / " &amp; $C92,【ピボット】事業所売上!$A$3,"年月",W$2,"事業所",$A92),0)</f>
        <v>510817</v>
      </c>
      <c r="X92" s="1597">
        <f>IFERROR(GETPIVOTDATA("合計 / " &amp; $C92,【ピボット】事業所売上!$A$3,"年月",X$2,"事業所",$A92),0)</f>
        <v>509237</v>
      </c>
      <c r="Y92" s="1597">
        <f>IFERROR(GETPIVOTDATA("合計 / " &amp; $C92,【ピボット】事業所売上!$A$3,"年月",Y$2,"事業所",$A92),0)</f>
        <v>778951</v>
      </c>
      <c r="Z92" s="1597">
        <f>IFERROR(GETPIVOTDATA("合計 / " &amp; $C92,【ピボット】事業所売上!$A$3,"年月",Z$2,"事業所",$A92),0)</f>
        <v>965383</v>
      </c>
      <c r="AA92" s="1597">
        <f>IFERROR(GETPIVOTDATA("合計 / " &amp; $C92,【ピボット】事業所売上!$A$3,"年月",AA$2,"事業所",$A92),0)</f>
        <v>1324858</v>
      </c>
      <c r="AB92" s="1598">
        <f ca="1">SUM(OFFSET(AA92,0,当期月数):AA92)</f>
        <v>4589686</v>
      </c>
    </row>
    <row r="93" spans="1:28" ht="15.4" customHeight="1" x14ac:dyDescent="0.15">
      <c r="A93" s="1511" t="s">
        <v>1206</v>
      </c>
      <c r="B93" s="2052"/>
      <c r="C93" s="1588" t="s">
        <v>84</v>
      </c>
      <c r="D93" s="1618">
        <f>IFERROR(GETPIVOTDATA("合計 / " &amp; $C93,【ピボット】事業所売上!$A$3,"年月",D$2,"事業所",$A93),0)</f>
        <v>0</v>
      </c>
      <c r="E93" s="1618">
        <f>IFERROR(GETPIVOTDATA("合計 / " &amp; $C93,【ピボット】事業所売上!$A$3,"年月",E$2,"事業所",$A93),0)</f>
        <v>0</v>
      </c>
      <c r="F93" s="1618">
        <f>IFERROR(GETPIVOTDATA("合計 / " &amp; $C93,【ピボット】事業所売上!$A$3,"年月",F$2,"事業所",$A93),0)</f>
        <v>0</v>
      </c>
      <c r="G93" s="1618">
        <f>IFERROR(GETPIVOTDATA("合計 / " &amp; $C93,【ピボット】事業所売上!$A$3,"年月",G$2,"事業所",$A93),0)</f>
        <v>0</v>
      </c>
      <c r="H93" s="1618">
        <f>IFERROR(GETPIVOTDATA("合計 / " &amp; $C93,【ピボット】事業所売上!$A$3,"年月",H$2,"事業所",$A93),0)</f>
        <v>0</v>
      </c>
      <c r="I93" s="1618">
        <f>IFERROR(GETPIVOTDATA("合計 / " &amp; $C93,【ピボット】事業所売上!$A$3,"年月",I$2,"事業所",$A93),0)</f>
        <v>0</v>
      </c>
      <c r="J93" s="1618">
        <f>IFERROR(GETPIVOTDATA("合計 / " &amp; $C93,【ピボット】事業所売上!$A$3,"年月",J$2,"事業所",$A93),0)</f>
        <v>0</v>
      </c>
      <c r="K93" s="1618">
        <f>IFERROR(GETPIVOTDATA("合計 / " &amp; $C93,【ピボット】事業所売上!$A$3,"年月",K$2,"事業所",$A93),0)</f>
        <v>0</v>
      </c>
      <c r="L93" s="1618">
        <f>IFERROR(GETPIVOTDATA("合計 / " &amp; $C93,【ピボット】事業所売上!$A$3,"年月",L$2,"事業所",$A93),0)</f>
        <v>0</v>
      </c>
      <c r="M93" s="1618">
        <f>IFERROR(GETPIVOTDATA("合計 / " &amp; $C93,【ピボット】事業所売上!$A$3,"年月",M$2,"事業所",$A93),0)</f>
        <v>0</v>
      </c>
      <c r="N93" s="1618">
        <f>IFERROR(GETPIVOTDATA("合計 / " &amp; $C93,【ピボット】事業所売上!$A$3,"年月",N$2,"事業所",$A93),0)</f>
        <v>0</v>
      </c>
      <c r="O93" s="1618">
        <f>IFERROR(GETPIVOTDATA("合計 / " &amp; $C93,【ピボット】事業所売上!$A$3,"年月",O$2,"事業所",$A93),0)</f>
        <v>0</v>
      </c>
      <c r="P93" s="1618">
        <f>IFERROR(GETPIVOTDATA("合計 / " &amp; $C93,【ピボット】事業所売上!$A$3,"年月",P$2,"事業所",$A93),0)</f>
        <v>0</v>
      </c>
      <c r="Q93" s="1618">
        <f>IFERROR(GETPIVOTDATA("合計 / " &amp; $C93,【ピボット】事業所売上!$A$3,"年月",Q$2,"事業所",$A93),0)</f>
        <v>0</v>
      </c>
      <c r="R93" s="1618">
        <f>IFERROR(GETPIVOTDATA("合計 / " &amp; $C93,【ピボット】事業所売上!$A$3,"年月",R$2,"事業所",$A93),0)</f>
        <v>0</v>
      </c>
      <c r="S93" s="1618">
        <f>IFERROR(GETPIVOTDATA("合計 / " &amp; $C93,【ピボット】事業所売上!$A$3,"年月",S$2,"事業所",$A93),0)</f>
        <v>0</v>
      </c>
      <c r="T93" s="1618">
        <f>IFERROR(GETPIVOTDATA("合計 / " &amp; $C93,【ピボット】事業所売上!$A$3,"年月",T$2,"事業所",$A93),0)</f>
        <v>0</v>
      </c>
      <c r="U93" s="1618">
        <f>IFERROR(GETPIVOTDATA("合計 / " &amp; $C93,【ピボット】事業所売上!$A$3,"年月",U$2,"事業所",$A93),0)</f>
        <v>59457</v>
      </c>
      <c r="V93" s="1618">
        <f>IFERROR(GETPIVOTDATA("合計 / " &amp; $C93,【ピボット】事業所売上!$A$3,"年月",V$2,"事業所",$A93),0)</f>
        <v>107015</v>
      </c>
      <c r="W93" s="1618">
        <f>IFERROR(GETPIVOTDATA("合計 / " &amp; $C93,【ピボット】事業所売上!$A$3,"年月",W$2,"事業所",$A93),0)</f>
        <v>157949</v>
      </c>
      <c r="X93" s="1618">
        <f>IFERROR(GETPIVOTDATA("合計 / " &amp; $C93,【ピボット】事業所売上!$A$3,"年月",X$2,"事業所",$A93),0)</f>
        <v>242326</v>
      </c>
      <c r="Y93" s="1618">
        <f>IFERROR(GETPIVOTDATA("合計 / " &amp; $C93,【ピボット】事業所売上!$A$3,"年月",Y$2,"事業所",$A93),0)</f>
        <v>272801</v>
      </c>
      <c r="Z93" s="1618">
        <f>IFERROR(GETPIVOTDATA("合計 / " &amp; $C93,【ピボット】事業所売上!$A$3,"年月",Z$2,"事業所",$A93),0)</f>
        <v>408589</v>
      </c>
      <c r="AA93" s="1618">
        <f>IFERROR(GETPIVOTDATA("合計 / " &amp; $C93,【ピボット】事業所売上!$A$3,"年月",AA$2,"事業所",$A93),0)</f>
        <v>517678</v>
      </c>
      <c r="AB93" s="1561">
        <f ca="1">SUM(OFFSET(AA93,0,当期月数):AA93)</f>
        <v>1765815</v>
      </c>
    </row>
    <row r="94" spans="1:28" ht="15.4" customHeight="1" x14ac:dyDescent="0.15">
      <c r="A94" s="1511" t="s">
        <v>1206</v>
      </c>
      <c r="B94" s="2052"/>
      <c r="C94" s="1599" t="s">
        <v>403</v>
      </c>
      <c r="D94" s="1616">
        <f>IFERROR(GETPIVOTDATA("合計 / " &amp; $C94,【ピボット】事業所売上!$A$3,"年月",D$2,"事業所",$A94),0)</f>
        <v>0</v>
      </c>
      <c r="E94" s="1616">
        <f>IFERROR(GETPIVOTDATA("合計 / " &amp; $C94,【ピボット】事業所売上!$A$3,"年月",E$2,"事業所",$A94),0)</f>
        <v>0</v>
      </c>
      <c r="F94" s="1616">
        <f>IFERROR(GETPIVOTDATA("合計 / " &amp; $C94,【ピボット】事業所売上!$A$3,"年月",F$2,"事業所",$A94),0)</f>
        <v>0</v>
      </c>
      <c r="G94" s="1616">
        <f>IFERROR(GETPIVOTDATA("合計 / " &amp; $C94,【ピボット】事業所売上!$A$3,"年月",G$2,"事業所",$A94),0)</f>
        <v>0</v>
      </c>
      <c r="H94" s="1616">
        <f>IFERROR(GETPIVOTDATA("合計 / " &amp; $C94,【ピボット】事業所売上!$A$3,"年月",H$2,"事業所",$A94),0)</f>
        <v>0</v>
      </c>
      <c r="I94" s="1616">
        <f>IFERROR(GETPIVOTDATA("合計 / " &amp; $C94,【ピボット】事業所売上!$A$3,"年月",I$2,"事業所",$A94),0)</f>
        <v>0</v>
      </c>
      <c r="J94" s="1616">
        <f>IFERROR(GETPIVOTDATA("合計 / " &amp; $C94,【ピボット】事業所売上!$A$3,"年月",J$2,"事業所",$A94),0)</f>
        <v>0</v>
      </c>
      <c r="K94" s="1616">
        <f>IFERROR(GETPIVOTDATA("合計 / " &amp; $C94,【ピボット】事業所売上!$A$3,"年月",K$2,"事業所",$A94),0)</f>
        <v>0</v>
      </c>
      <c r="L94" s="1616">
        <f>IFERROR(GETPIVOTDATA("合計 / " &amp; $C94,【ピボット】事業所売上!$A$3,"年月",L$2,"事業所",$A94),0)</f>
        <v>0</v>
      </c>
      <c r="M94" s="1616">
        <f>IFERROR(GETPIVOTDATA("合計 / " &amp; $C94,【ピボット】事業所売上!$A$3,"年月",M$2,"事業所",$A94),0)</f>
        <v>0</v>
      </c>
      <c r="N94" s="1616">
        <f>IFERROR(GETPIVOTDATA("合計 / " &amp; $C94,【ピボット】事業所売上!$A$3,"年月",N$2,"事業所",$A94),0)</f>
        <v>0</v>
      </c>
      <c r="O94" s="1616">
        <f>IFERROR(GETPIVOTDATA("合計 / " &amp; $C94,【ピボット】事業所売上!$A$3,"年月",O$2,"事業所",$A94),0)</f>
        <v>0</v>
      </c>
      <c r="P94" s="1616">
        <f>IFERROR(GETPIVOTDATA("合計 / " &amp; $C94,【ピボット】事業所売上!$A$3,"年月",P$2,"事業所",$A94),0)</f>
        <v>0</v>
      </c>
      <c r="Q94" s="1616">
        <f>IFERROR(GETPIVOTDATA("合計 / " &amp; $C94,【ピボット】事業所売上!$A$3,"年月",Q$2,"事業所",$A94),0)</f>
        <v>0</v>
      </c>
      <c r="R94" s="1616">
        <f>IFERROR(GETPIVOTDATA("合計 / " &amp; $C94,【ピボット】事業所売上!$A$3,"年月",R$2,"事業所",$A94),0)</f>
        <v>0</v>
      </c>
      <c r="S94" s="1616">
        <f>IFERROR(GETPIVOTDATA("合計 / " &amp; $C94,【ピボット】事業所売上!$A$3,"年月",S$2,"事業所",$A94),0)</f>
        <v>0</v>
      </c>
      <c r="T94" s="1616">
        <f>IFERROR(GETPIVOTDATA("合計 / " &amp; $C94,【ピボット】事業所売上!$A$3,"年月",T$2,"事業所",$A94),0)</f>
        <v>0</v>
      </c>
      <c r="U94" s="1616">
        <f>IFERROR(GETPIVOTDATA("合計 / " &amp; $C94,【ピボット】事業所売上!$A$3,"年月",U$2,"事業所",$A94),0)</f>
        <v>0</v>
      </c>
      <c r="V94" s="1616">
        <f>IFERROR(GETPIVOTDATA("合計 / " &amp; $C94,【ピボット】事業所売上!$A$3,"年月",V$2,"事業所",$A94),0)</f>
        <v>52620</v>
      </c>
      <c r="W94" s="1616">
        <f>IFERROR(GETPIVOTDATA("合計 / " &amp; $C94,【ピボット】事業所売上!$A$3,"年月",W$2,"事業所",$A94),0)</f>
        <v>32564</v>
      </c>
      <c r="X94" s="1616">
        <f>IFERROR(GETPIVOTDATA("合計 / " &amp; $C94,【ピボット】事業所売上!$A$3,"年月",X$2,"事業所",$A94),0)</f>
        <v>50908</v>
      </c>
      <c r="Y94" s="1616">
        <f>IFERROR(GETPIVOTDATA("合計 / " &amp; $C94,【ピボット】事業所売上!$A$3,"年月",Y$2,"事業所",$A94),0)</f>
        <v>1284</v>
      </c>
      <c r="Z94" s="1616">
        <f>IFERROR(GETPIVOTDATA("合計 / " &amp; $C94,【ピボット】事業所売上!$A$3,"年月",Z$2,"事業所",$A94),0)</f>
        <v>52740</v>
      </c>
      <c r="AA94" s="1616">
        <f>IFERROR(GETPIVOTDATA("合計 / " &amp; $C94,【ピボット】事業所売上!$A$3,"年月",AA$2,"事業所",$A94),0)</f>
        <v>50090</v>
      </c>
      <c r="AB94" s="1561">
        <f ca="1">SUM(OFFSET(AA94,0,当期月数):AA94)</f>
        <v>240206</v>
      </c>
    </row>
    <row r="95" spans="1:28" ht="15.4" customHeight="1" x14ac:dyDescent="0.15">
      <c r="A95" s="1511" t="s">
        <v>1206</v>
      </c>
      <c r="B95" s="2052"/>
      <c r="C95" s="1588" t="s">
        <v>55</v>
      </c>
      <c r="D95" s="1613">
        <f>IFERROR(GETPIVOTDATA("合計 / " &amp; $C95,【ピボット】事業所売上!$A$3,"年月",D$2,"事業所",$A95),0)</f>
        <v>0</v>
      </c>
      <c r="E95" s="1613">
        <f>IFERROR(GETPIVOTDATA("合計 / " &amp; $C95,【ピボット】事業所売上!$A$3,"年月",E$2,"事業所",$A95),0)</f>
        <v>0</v>
      </c>
      <c r="F95" s="1613">
        <f>IFERROR(GETPIVOTDATA("合計 / " &amp; $C95,【ピボット】事業所売上!$A$3,"年月",F$2,"事業所",$A95),0)</f>
        <v>0</v>
      </c>
      <c r="G95" s="1613">
        <f>IFERROR(GETPIVOTDATA("合計 / " &amp; $C95,【ピボット】事業所売上!$A$3,"年月",G$2,"事業所",$A95),0)</f>
        <v>0</v>
      </c>
      <c r="H95" s="1613">
        <f>IFERROR(GETPIVOTDATA("合計 / " &amp; $C95,【ピボット】事業所売上!$A$3,"年月",H$2,"事業所",$A95),0)</f>
        <v>0</v>
      </c>
      <c r="I95" s="1613">
        <f>IFERROR(GETPIVOTDATA("合計 / " &amp; $C95,【ピボット】事業所売上!$A$3,"年月",I$2,"事業所",$A95),0)</f>
        <v>0</v>
      </c>
      <c r="J95" s="1613">
        <f>IFERROR(GETPIVOTDATA("合計 / " &amp; $C95,【ピボット】事業所売上!$A$3,"年月",J$2,"事業所",$A95),0)</f>
        <v>0</v>
      </c>
      <c r="K95" s="1613">
        <f>IFERROR(GETPIVOTDATA("合計 / " &amp; $C95,【ピボット】事業所売上!$A$3,"年月",K$2,"事業所",$A95),0)</f>
        <v>0</v>
      </c>
      <c r="L95" s="1613">
        <f>IFERROR(GETPIVOTDATA("合計 / " &amp; $C95,【ピボット】事業所売上!$A$3,"年月",L$2,"事業所",$A95),0)</f>
        <v>0</v>
      </c>
      <c r="M95" s="1613">
        <f>IFERROR(GETPIVOTDATA("合計 / " &amp; $C95,【ピボット】事業所売上!$A$3,"年月",M$2,"事業所",$A95),0)</f>
        <v>0</v>
      </c>
      <c r="N95" s="1613">
        <f>IFERROR(GETPIVOTDATA("合計 / " &amp; $C95,【ピボット】事業所売上!$A$3,"年月",N$2,"事業所",$A95),0)</f>
        <v>0</v>
      </c>
      <c r="O95" s="1613">
        <f>IFERROR(GETPIVOTDATA("合計 / " &amp; $C95,【ピボット】事業所売上!$A$3,"年月",O$2,"事業所",$A95),0)</f>
        <v>0</v>
      </c>
      <c r="P95" s="1613">
        <f>IFERROR(GETPIVOTDATA("合計 / " &amp; $C95,【ピボット】事業所売上!$A$3,"年月",P$2,"事業所",$A95),0)</f>
        <v>0</v>
      </c>
      <c r="Q95" s="1613">
        <f>IFERROR(GETPIVOTDATA("合計 / " &amp; $C95,【ピボット】事業所売上!$A$3,"年月",Q$2,"事業所",$A95),0)</f>
        <v>0</v>
      </c>
      <c r="R95" s="1613">
        <f>IFERROR(GETPIVOTDATA("合計 / " &amp; $C95,【ピボット】事業所売上!$A$3,"年月",R$2,"事業所",$A95),0)</f>
        <v>0</v>
      </c>
      <c r="S95" s="1613">
        <f>IFERROR(GETPIVOTDATA("合計 / " &amp; $C95,【ピボット】事業所売上!$A$3,"年月",S$2,"事業所",$A95),0)</f>
        <v>0</v>
      </c>
      <c r="T95" s="1613">
        <f>IFERROR(GETPIVOTDATA("合計 / " &amp; $C95,【ピボット】事業所売上!$A$3,"年月",T$2,"事業所",$A95),0)</f>
        <v>0</v>
      </c>
      <c r="U95" s="1613">
        <f>IFERROR(GETPIVOTDATA("合計 / " &amp; $C95,【ピボット】事業所売上!$A$3,"年月",U$2,"事業所",$A95),0)</f>
        <v>0</v>
      </c>
      <c r="V95" s="1613">
        <f>IFERROR(GETPIVOTDATA("合計 / " &amp; $C95,【ピボット】事業所売上!$A$3,"年月",V$2,"事業所",$A95),0)</f>
        <v>0</v>
      </c>
      <c r="W95" s="1613">
        <f>IFERROR(GETPIVOTDATA("合計 / " &amp; $C95,【ピボット】事業所売上!$A$3,"年月",W$2,"事業所",$A95),0)</f>
        <v>0</v>
      </c>
      <c r="X95" s="1613">
        <f>IFERROR(GETPIVOTDATA("合計 / " &amp; $C95,【ピボット】事業所売上!$A$3,"年月",X$2,"事業所",$A95),0)</f>
        <v>7650</v>
      </c>
      <c r="Y95" s="1613">
        <f>IFERROR(GETPIVOTDATA("合計 / " &amp; $C95,【ピボット】事業所売上!$A$3,"年月",Y$2,"事業所",$A95),0)</f>
        <v>6800</v>
      </c>
      <c r="Z95" s="1613">
        <f>IFERROR(GETPIVOTDATA("合計 / " &amp; $C95,【ピボット】事業所売上!$A$3,"年月",Z$2,"事業所",$A95),0)</f>
        <v>11050</v>
      </c>
      <c r="AA95" s="1613">
        <f>IFERROR(GETPIVOTDATA("合計 / " &amp; $C95,【ピボット】事業所売上!$A$3,"年月",AA$2,"事業所",$A95),0)</f>
        <v>11050</v>
      </c>
      <c r="AB95" s="1561">
        <f ca="1">SUM(OFFSET(AA95,0,当期月数):AA95)</f>
        <v>36550</v>
      </c>
    </row>
    <row r="96" spans="1:28" ht="15.4" customHeight="1" x14ac:dyDescent="0.15">
      <c r="A96" s="1511" t="s">
        <v>1206</v>
      </c>
      <c r="B96" s="2052"/>
      <c r="C96" s="1599" t="s">
        <v>390</v>
      </c>
      <c r="D96" s="1602">
        <f>IFERROR(GETPIVOTDATA("合計 / " &amp; $C96,【ピボット】事業所売上!$A$3,"年月",D$2,"事業所",$A96),0)</f>
        <v>0</v>
      </c>
      <c r="E96" s="1602">
        <f>IFERROR(GETPIVOTDATA("合計 / " &amp; $C96,【ピボット】事業所売上!$A$3,"年月",E$2,"事業所",$A96),0)</f>
        <v>0</v>
      </c>
      <c r="F96" s="1602">
        <f>IFERROR(GETPIVOTDATA("合計 / " &amp; $C96,【ピボット】事業所売上!$A$3,"年月",F$2,"事業所",$A96),0)</f>
        <v>0</v>
      </c>
      <c r="G96" s="1602">
        <f>IFERROR(GETPIVOTDATA("合計 / " &amp; $C96,【ピボット】事業所売上!$A$3,"年月",G$2,"事業所",$A96),0)</f>
        <v>0</v>
      </c>
      <c r="H96" s="1602">
        <f>IFERROR(GETPIVOTDATA("合計 / " &amp; $C96,【ピボット】事業所売上!$A$3,"年月",H$2,"事業所",$A96),0)</f>
        <v>0</v>
      </c>
      <c r="I96" s="1602">
        <f>IFERROR(GETPIVOTDATA("合計 / " &amp; $C96,【ピボット】事業所売上!$A$3,"年月",I$2,"事業所",$A96),0)</f>
        <v>0</v>
      </c>
      <c r="J96" s="1602">
        <f>IFERROR(GETPIVOTDATA("合計 / " &amp; $C96,【ピボット】事業所売上!$A$3,"年月",J$2,"事業所",$A96),0)</f>
        <v>0</v>
      </c>
      <c r="K96" s="1602">
        <f>IFERROR(GETPIVOTDATA("合計 / " &amp; $C96,【ピボット】事業所売上!$A$3,"年月",K$2,"事業所",$A96),0)</f>
        <v>0</v>
      </c>
      <c r="L96" s="1602">
        <f>IFERROR(GETPIVOTDATA("合計 / " &amp; $C96,【ピボット】事業所売上!$A$3,"年月",L$2,"事業所",$A96),0)</f>
        <v>0</v>
      </c>
      <c r="M96" s="1602">
        <f>IFERROR(GETPIVOTDATA("合計 / " &amp; $C96,【ピボット】事業所売上!$A$3,"年月",M$2,"事業所",$A96),0)</f>
        <v>0</v>
      </c>
      <c r="N96" s="1602">
        <f>IFERROR(GETPIVOTDATA("合計 / " &amp; $C96,【ピボット】事業所売上!$A$3,"年月",N$2,"事業所",$A96),0)</f>
        <v>0</v>
      </c>
      <c r="O96" s="1602">
        <f>IFERROR(GETPIVOTDATA("合計 / " &amp; $C96,【ピボット】事業所売上!$A$3,"年月",O$2,"事業所",$A96),0)</f>
        <v>0</v>
      </c>
      <c r="P96" s="1602">
        <f>IFERROR(GETPIVOTDATA("合計 / " &amp; $C96,【ピボット】事業所売上!$A$3,"年月",P$2,"事業所",$A96),0)</f>
        <v>0</v>
      </c>
      <c r="Q96" s="1602">
        <f>IFERROR(GETPIVOTDATA("合計 / " &amp; $C96,【ピボット】事業所売上!$A$3,"年月",Q$2,"事業所",$A96),0)</f>
        <v>0</v>
      </c>
      <c r="R96" s="1602">
        <f>IFERROR(GETPIVOTDATA("合計 / " &amp; $C96,【ピボット】事業所売上!$A$3,"年月",R$2,"事業所",$A96),0)</f>
        <v>0</v>
      </c>
      <c r="S96" s="1602">
        <f>IFERROR(GETPIVOTDATA("合計 / " &amp; $C96,【ピボット】事業所売上!$A$3,"年月",S$2,"事業所",$A96),0)</f>
        <v>0</v>
      </c>
      <c r="T96" s="1602">
        <f>IFERROR(GETPIVOTDATA("合計 / " &amp; $C96,【ピボット】事業所売上!$A$3,"年月",T$2,"事業所",$A96),0)</f>
        <v>0</v>
      </c>
      <c r="U96" s="1602">
        <f>IFERROR(GETPIVOTDATA("合計 / " &amp; $C96,【ピボット】事業所売上!$A$3,"年月",U$2,"事業所",$A96),0)</f>
        <v>0</v>
      </c>
      <c r="V96" s="1602">
        <f>IFERROR(GETPIVOTDATA("合計 / " &amp; $C96,【ピボット】事業所売上!$A$3,"年月",V$2,"事業所",$A96),0)</f>
        <v>390</v>
      </c>
      <c r="W96" s="1614">
        <f>IFERROR(GETPIVOTDATA("合計 / " &amp; $C96,【ピボット】事業所売上!$A$3,"年月",W$2,"事業所",$A96),0)</f>
        <v>390</v>
      </c>
      <c r="X96" s="1614">
        <f>IFERROR(GETPIVOTDATA("合計 / " &amp; $C96,【ピボット】事業所売上!$A$3,"年月",X$2,"事業所",$A96),0)</f>
        <v>559</v>
      </c>
      <c r="Y96" s="1614">
        <f>IFERROR(GETPIVOTDATA("合計 / " &amp; $C96,【ピボット】事業所売上!$A$3,"年月",Y$2,"事業所",$A96),0)</f>
        <v>910</v>
      </c>
      <c r="Z96" s="1614">
        <f>IFERROR(GETPIVOTDATA("合計 / " &amp; $C96,【ピボット】事業所売上!$A$3,"年月",Z$2,"事業所",$A96),0)</f>
        <v>845</v>
      </c>
      <c r="AA96" s="1614">
        <f>IFERROR(GETPIVOTDATA("合計 / " &amp; $C96,【ピボット】事業所売上!$A$3,"年月",AA$2,"事業所",$A96),0)</f>
        <v>1518</v>
      </c>
      <c r="AB96" s="1561">
        <f ca="1">SUM(OFFSET(AA96,0,当期月数):AA96)</f>
        <v>4612</v>
      </c>
    </row>
    <row r="97" spans="1:28" ht="15.4" customHeight="1" thickBot="1" x14ac:dyDescent="0.2">
      <c r="B97" s="2055"/>
      <c r="C97" s="1606" t="s">
        <v>11</v>
      </c>
      <c r="D97" s="1607">
        <f t="shared" ref="D97:T97" si="33">SUM(D92:D96)</f>
        <v>0</v>
      </c>
      <c r="E97" s="1607">
        <f t="shared" si="33"/>
        <v>0</v>
      </c>
      <c r="F97" s="1607">
        <f t="shared" si="33"/>
        <v>0</v>
      </c>
      <c r="G97" s="1607">
        <f t="shared" si="33"/>
        <v>0</v>
      </c>
      <c r="H97" s="1607">
        <f t="shared" si="33"/>
        <v>0</v>
      </c>
      <c r="I97" s="1607">
        <f t="shared" si="33"/>
        <v>0</v>
      </c>
      <c r="J97" s="1607">
        <f t="shared" si="33"/>
        <v>0</v>
      </c>
      <c r="K97" s="1607">
        <f t="shared" si="33"/>
        <v>0</v>
      </c>
      <c r="L97" s="1607">
        <f t="shared" si="33"/>
        <v>0</v>
      </c>
      <c r="M97" s="1607">
        <f t="shared" si="33"/>
        <v>0</v>
      </c>
      <c r="N97" s="1607">
        <f t="shared" si="33"/>
        <v>0</v>
      </c>
      <c r="O97" s="1607">
        <f t="shared" si="33"/>
        <v>0</v>
      </c>
      <c r="P97" s="1607">
        <f t="shared" si="33"/>
        <v>0</v>
      </c>
      <c r="Q97" s="1607">
        <f t="shared" si="33"/>
        <v>0</v>
      </c>
      <c r="R97" s="1607">
        <f t="shared" si="33"/>
        <v>0</v>
      </c>
      <c r="S97" s="1607">
        <f t="shared" si="33"/>
        <v>0</v>
      </c>
      <c r="T97" s="1607">
        <f t="shared" si="33"/>
        <v>0</v>
      </c>
      <c r="U97" s="1607">
        <f>SUM(U92:U96)</f>
        <v>234284</v>
      </c>
      <c r="V97" s="1607">
        <f t="shared" ref="V97:AA97" si="34">SUM(V92:V96)</f>
        <v>485638</v>
      </c>
      <c r="W97" s="1607">
        <f t="shared" si="34"/>
        <v>701720</v>
      </c>
      <c r="X97" s="1607">
        <f t="shared" si="34"/>
        <v>810680</v>
      </c>
      <c r="Y97" s="1607">
        <f t="shared" si="34"/>
        <v>1060746</v>
      </c>
      <c r="Z97" s="1607">
        <f t="shared" si="34"/>
        <v>1438607</v>
      </c>
      <c r="AA97" s="1607">
        <f t="shared" si="34"/>
        <v>1905194</v>
      </c>
      <c r="AB97" s="1608">
        <f ca="1">SUM(OFFSET(AA97,0,当期月数):AA97)</f>
        <v>6636869</v>
      </c>
    </row>
    <row r="98" spans="1:28" ht="15.4" customHeight="1" x14ac:dyDescent="0.15">
      <c r="A98" s="1511" t="s">
        <v>358</v>
      </c>
      <c r="B98" s="2053" t="s">
        <v>358</v>
      </c>
      <c r="C98" s="1617" t="s">
        <v>94</v>
      </c>
      <c r="D98" s="1621">
        <f>IFERROR(GETPIVOTDATA("合計 / " &amp; $C98,【ピボット】事業所売上!$A$3,"年月",D$2,"事業所",$A98),0)</f>
        <v>3365344</v>
      </c>
      <c r="E98" s="1621">
        <f>IFERROR(GETPIVOTDATA("合計 / " &amp; $C98,【ピボット】事業所売上!$A$3,"年月",E$2,"事業所",$A98),0)</f>
        <v>3415735</v>
      </c>
      <c r="F98" s="1621">
        <f>IFERROR(GETPIVOTDATA("合計 / " &amp; $C98,【ピボット】事業所売上!$A$3,"年月",F$2,"事業所",$A98),0)</f>
        <v>3423639</v>
      </c>
      <c r="G98" s="1621">
        <f>IFERROR(GETPIVOTDATA("合計 / " &amp; $C98,【ピボット】事業所売上!$A$3,"年月",G$2,"事業所",$A98),0)</f>
        <v>3004304</v>
      </c>
      <c r="H98" s="1621">
        <f>IFERROR(GETPIVOTDATA("合計 / " &amp; $C98,【ピボット】事業所売上!$A$3,"年月",H$2,"事業所",$A98),0)</f>
        <v>2957348</v>
      </c>
      <c r="I98" s="1621">
        <f>IFERROR(GETPIVOTDATA("合計 / " &amp; $C98,【ピボット】事業所売上!$A$3,"年月",I$2,"事業所",$A98),0)</f>
        <v>3104841</v>
      </c>
      <c r="J98" s="1621">
        <f>IFERROR(GETPIVOTDATA("合計 / " &amp; $C98,【ピボット】事業所売上!$A$3,"年月",J$2,"事業所",$A98),0)</f>
        <v>3320183</v>
      </c>
      <c r="K98" s="1621">
        <f>IFERROR(GETPIVOTDATA("合計 / " &amp; $C98,【ピボット】事業所売上!$A$3,"年月",K$2,"事業所",$A98),0)</f>
        <v>3113881</v>
      </c>
      <c r="L98" s="1621">
        <f>IFERROR(GETPIVOTDATA("合計 / " &amp; $C98,【ピボット】事業所売上!$A$3,"年月",L$2,"事業所",$A98),0)</f>
        <v>3134166</v>
      </c>
      <c r="M98" s="1621">
        <f>IFERROR(GETPIVOTDATA("合計 / " &amp; $C98,【ピボット】事業所売上!$A$3,"年月",M$2,"事業所",$A98),0)</f>
        <v>3319139</v>
      </c>
      <c r="N98" s="1621">
        <f>IFERROR(GETPIVOTDATA("合計 / " &amp; $C98,【ピボット】事業所売上!$A$3,"年月",N$2,"事業所",$A98),0)</f>
        <v>3245270</v>
      </c>
      <c r="O98" s="1621">
        <f>IFERROR(GETPIVOTDATA("合計 / " &amp; $C98,【ピボット】事業所売上!$A$3,"年月",O$2,"事業所",$A98),0)</f>
        <v>4470665</v>
      </c>
      <c r="P98" s="1621">
        <f>IFERROR(GETPIVOTDATA("合計 / " &amp; $C98,【ピボット】事業所売上!$A$3,"年月",P$2,"事業所",$A98),0)</f>
        <v>4190888</v>
      </c>
      <c r="Q98" s="1621">
        <f>IFERROR(GETPIVOTDATA("合計 / " &amp; $C98,【ピボット】事業所売上!$A$3,"年月",Q$2,"事業所",$A98),0)</f>
        <v>3920019</v>
      </c>
      <c r="R98" s="1621">
        <f>IFERROR(GETPIVOTDATA("合計 / " &amp; $C98,【ピボット】事業所売上!$A$3,"年月",R$2,"事業所",$A98),0)</f>
        <v>4214501</v>
      </c>
      <c r="S98" s="1621">
        <f>IFERROR(GETPIVOTDATA("合計 / " &amp; $C98,【ピボット】事業所売上!$A$3,"年月",S$2,"事業所",$A98),0)</f>
        <v>4228735</v>
      </c>
      <c r="T98" s="1621">
        <f>IFERROR(GETPIVOTDATA("合計 / " &amp; $C98,【ピボット】事業所売上!$A$3,"年月",T$2,"事業所",$A98),0)</f>
        <v>4184601</v>
      </c>
      <c r="U98" s="1621">
        <f>IFERROR(GETPIVOTDATA("合計 / " &amp; $C98,【ピボット】事業所売上!$A$3,"年月",U$2,"事業所",$A98),0)</f>
        <v>4202400</v>
      </c>
      <c r="V98" s="1621">
        <f>IFERROR(GETPIVOTDATA("合計 / " &amp; $C98,【ピボット】事業所売上!$A$3,"年月",V$2,"事業所",$A98),0)</f>
        <v>4590331</v>
      </c>
      <c r="W98" s="1621">
        <f>IFERROR(GETPIVOTDATA("合計 / " &amp; $C98,【ピボット】事業所売上!$A$3,"年月",W$2,"事業所",$A98),0)</f>
        <v>4100094</v>
      </c>
      <c r="X98" s="1621">
        <f>IFERROR(GETPIVOTDATA("合計 / " &amp; $C98,【ピボット】事業所売上!$A$3,"年月",X$2,"事業所",$A98),0)</f>
        <v>3846817</v>
      </c>
      <c r="Y98" s="1621">
        <f>IFERROR(GETPIVOTDATA("合計 / " &amp; $C98,【ピボット】事業所売上!$A$3,"年月",Y$2,"事業所",$A98),0)</f>
        <v>4145693</v>
      </c>
      <c r="Z98" s="1621">
        <f>IFERROR(GETPIVOTDATA("合計 / " &amp; $C98,【ピボット】事業所売上!$A$3,"年月",Z$2,"事業所",$A98),0)</f>
        <v>4589983</v>
      </c>
      <c r="AA98" s="1621">
        <f>IFERROR(GETPIVOTDATA("合計 / " &amp; $C98,【ピボット】事業所売上!$A$3,"年月",AA$2,"事業所",$A98),0)</f>
        <v>4128975</v>
      </c>
      <c r="AB98" s="1598">
        <f ca="1">SUM(OFFSET(AA98,0,当期月数):AA98)</f>
        <v>33788894</v>
      </c>
    </row>
    <row r="99" spans="1:28" ht="15.4" customHeight="1" x14ac:dyDescent="0.15">
      <c r="A99" s="1511" t="s">
        <v>358</v>
      </c>
      <c r="B99" s="2052"/>
      <c r="C99" s="1588" t="s">
        <v>7</v>
      </c>
      <c r="D99" s="1622">
        <f>IFERROR(GETPIVOTDATA("合計 / " &amp; $C99,【ピボット】事業所売上!$A$3,"年月",D$2,"事業所",$A99),0)</f>
        <v>4514</v>
      </c>
      <c r="E99" s="1622">
        <f>IFERROR(GETPIVOTDATA("合計 / " &amp; $C99,【ピボット】事業所売上!$A$3,"年月",E$2,"事業所",$A99),0)</f>
        <v>0</v>
      </c>
      <c r="F99" s="1622">
        <f>IFERROR(GETPIVOTDATA("合計 / " &amp; $C99,【ピボット】事業所売上!$A$3,"年月",F$2,"事業所",$A99),0)</f>
        <v>0</v>
      </c>
      <c r="G99" s="1622">
        <f>IFERROR(GETPIVOTDATA("合計 / " &amp; $C99,【ピボット】事業所売上!$A$3,"年月",G$2,"事業所",$A99),0)</f>
        <v>0</v>
      </c>
      <c r="H99" s="1622">
        <f>IFERROR(GETPIVOTDATA("合計 / " &amp; $C99,【ピボット】事業所売上!$A$3,"年月",H$2,"事業所",$A99),0)</f>
        <v>5600</v>
      </c>
      <c r="I99" s="1622">
        <f>IFERROR(GETPIVOTDATA("合計 / " &amp; $C99,【ピボット】事業所売上!$A$3,"年月",I$2,"事業所",$A99),0)</f>
        <v>0</v>
      </c>
      <c r="J99" s="1622">
        <f>IFERROR(GETPIVOTDATA("合計 / " &amp; $C99,【ピボット】事業所売上!$A$3,"年月",J$2,"事業所",$A99),0)</f>
        <v>0</v>
      </c>
      <c r="K99" s="1622">
        <f>IFERROR(GETPIVOTDATA("合計 / " &amp; $C99,【ピボット】事業所売上!$A$3,"年月",K$2,"事業所",$A99),0)</f>
        <v>4117</v>
      </c>
      <c r="L99" s="1622">
        <f>IFERROR(GETPIVOTDATA("合計 / " &amp; $C99,【ピボット】事業所売上!$A$3,"年月",L$2,"事業所",$A99),0)</f>
        <v>2800</v>
      </c>
      <c r="M99" s="1622">
        <f>IFERROR(GETPIVOTDATA("合計 / " &amp; $C99,【ピボット】事業所売上!$A$3,"年月",M$2,"事業所",$A99),0)</f>
        <v>0</v>
      </c>
      <c r="N99" s="1622">
        <f>IFERROR(GETPIVOTDATA("合計 / " &amp; $C99,【ピボット】事業所売上!$A$3,"年月",N$2,"事業所",$A99),0)</f>
        <v>8203</v>
      </c>
      <c r="O99" s="1622">
        <f>IFERROR(GETPIVOTDATA("合計 / " &amp; $C99,【ピボット】事業所売上!$A$3,"年月",O$2,"事業所",$A99),0)</f>
        <v>4305</v>
      </c>
      <c r="P99" s="1622">
        <f>IFERROR(GETPIVOTDATA("合計 / " &amp; $C99,【ピボット】事業所売上!$A$3,"年月",P$2,"事業所",$A99),0)</f>
        <v>3245</v>
      </c>
      <c r="Q99" s="1622">
        <f>IFERROR(GETPIVOTDATA("合計 / " &amp; $C99,【ピボット】事業所売上!$A$3,"年月",Q$2,"事業所",$A99),0)</f>
        <v>553</v>
      </c>
      <c r="R99" s="1622">
        <f>IFERROR(GETPIVOTDATA("合計 / " &amp; $C99,【ピボット】事業所売上!$A$3,"年月",R$2,"事業所",$A99),0)</f>
        <v>7043</v>
      </c>
      <c r="S99" s="1622">
        <f>IFERROR(GETPIVOTDATA("合計 / " &amp; $C99,【ピボット】事業所売上!$A$3,"年月",S$2,"事業所",$A99),0)</f>
        <v>1045</v>
      </c>
      <c r="T99" s="1622">
        <f>IFERROR(GETPIVOTDATA("合計 / " &amp; $C99,【ピボット】事業所売上!$A$3,"年月",T$2,"事業所",$A99),0)</f>
        <v>0</v>
      </c>
      <c r="U99" s="1622">
        <f>IFERROR(GETPIVOTDATA("合計 / " &amp; $C99,【ピボット】事業所売上!$A$3,"年月",U$2,"事業所",$A99),0)</f>
        <v>0</v>
      </c>
      <c r="V99" s="1622">
        <f>IFERROR(GETPIVOTDATA("合計 / " &amp; $C99,【ピボット】事業所売上!$A$3,"年月",V$2,"事業所",$A99),0)</f>
        <v>1000</v>
      </c>
      <c r="W99" s="1622">
        <f>IFERROR(GETPIVOTDATA("合計 / " &amp; $C99,【ピボット】事業所売上!$A$3,"年月",W$2,"事業所",$A99),0)</f>
        <v>0</v>
      </c>
      <c r="X99" s="1622">
        <f>IFERROR(GETPIVOTDATA("合計 / " &amp; $C99,【ピボット】事業所売上!$A$3,"年月",X$2,"事業所",$A99),0)</f>
        <v>12000</v>
      </c>
      <c r="Y99" s="1622">
        <f>IFERROR(GETPIVOTDATA("合計 / " &amp; $C99,【ピボット】事業所売上!$A$3,"年月",Y$2,"事業所",$A99),0)</f>
        <v>20000</v>
      </c>
      <c r="Z99" s="1622">
        <f>IFERROR(GETPIVOTDATA("合計 / " &amp; $C99,【ピボット】事業所売上!$A$3,"年月",Z$2,"事業所",$A99),0)</f>
        <v>11000</v>
      </c>
      <c r="AA99" s="1622">
        <f>IFERROR(GETPIVOTDATA("合計 / " &amp; $C99,【ピボット】事業所売上!$A$3,"年月",AA$2,"事業所",$A99),0)</f>
        <v>9000</v>
      </c>
      <c r="AB99" s="1561">
        <f ca="1">SUM(OFFSET(AA99,0,当期月数):AA99)</f>
        <v>53000</v>
      </c>
    </row>
    <row r="100" spans="1:28" ht="15.4" customHeight="1" x14ac:dyDescent="0.15">
      <c r="A100" s="1511" t="s">
        <v>358</v>
      </c>
      <c r="B100" s="2052"/>
      <c r="C100" s="1588" t="s">
        <v>132</v>
      </c>
      <c r="D100" s="1622">
        <f>IFERROR(GETPIVOTDATA("合計 / " &amp; $C100,【ピボット】事業所売上!$A$3,"年月",D$2,"事業所",$A100),0)</f>
        <v>179850</v>
      </c>
      <c r="E100" s="1622">
        <f>IFERROR(GETPIVOTDATA("合計 / " &amp; $C100,【ピボット】事業所売上!$A$3,"年月",E$2,"事業所",$A100),0)</f>
        <v>182050</v>
      </c>
      <c r="F100" s="1622">
        <f>IFERROR(GETPIVOTDATA("合計 / " &amp; $C100,【ピボット】事業所売上!$A$3,"年月",F$2,"事業所",$A100),0)</f>
        <v>192500</v>
      </c>
      <c r="G100" s="1622">
        <f>IFERROR(GETPIVOTDATA("合計 / " &amp; $C100,【ピボット】事業所売上!$A$3,"年月",G$2,"事業所",$A100),0)</f>
        <v>170500</v>
      </c>
      <c r="H100" s="1622">
        <f>IFERROR(GETPIVOTDATA("合計 / " &amp; $C100,【ピボット】事業所売上!$A$3,"年月",H$2,"事業所",$A100),0)</f>
        <v>167750</v>
      </c>
      <c r="I100" s="1622">
        <f>IFERROR(GETPIVOTDATA("合計 / " &amp; $C100,【ピボット】事業所売上!$A$3,"年月",I$2,"事業所",$A100),0)</f>
        <v>165550</v>
      </c>
      <c r="J100" s="1622">
        <f>IFERROR(GETPIVOTDATA("合計 / " &amp; $C100,【ピボット】事業所売上!$A$3,"年月",J$2,"事業所",$A100),0)</f>
        <v>187550</v>
      </c>
      <c r="K100" s="1622">
        <f>IFERROR(GETPIVOTDATA("合計 / " &amp; $C100,【ピボット】事業所売上!$A$3,"年月",K$2,"事業所",$A100),0)</f>
        <v>174350</v>
      </c>
      <c r="L100" s="1622">
        <f>IFERROR(GETPIVOTDATA("合計 / " &amp; $C100,【ピボット】事業所売上!$A$3,"年月",L$2,"事業所",$A100),0)</f>
        <v>176550</v>
      </c>
      <c r="M100" s="1622">
        <f>IFERROR(GETPIVOTDATA("合計 / " &amp; $C100,【ピボット】事業所売上!$A$3,"年月",M$2,"事業所",$A100),0)</f>
        <v>178200</v>
      </c>
      <c r="N100" s="1622">
        <f>IFERROR(GETPIVOTDATA("合計 / " &amp; $C100,【ピボット】事業所売上!$A$3,"年月",N$2,"事業所",$A100),0)</f>
        <v>205150</v>
      </c>
      <c r="O100" s="1622">
        <f>IFERROR(GETPIVOTDATA("合計 / " &amp; $C100,【ピボット】事業所売上!$A$3,"年月",O$2,"事業所",$A100),0)</f>
        <v>231550</v>
      </c>
      <c r="P100" s="1622">
        <f>IFERROR(GETPIVOTDATA("合計 / " &amp; $C100,【ピボット】事業所売上!$A$3,"年月",P$2,"事業所",$A100),0)</f>
        <v>225500</v>
      </c>
      <c r="Q100" s="1622">
        <f>IFERROR(GETPIVOTDATA("合計 / " &amp; $C100,【ピボット】事業所売上!$A$3,"年月",Q$2,"事業所",$A100),0)</f>
        <v>225700</v>
      </c>
      <c r="R100" s="1622">
        <f>IFERROR(GETPIVOTDATA("合計 / " &amp; $C100,【ピボット】事業所売上!$A$3,"年月",R$2,"事業所",$A100),0)</f>
        <v>246950</v>
      </c>
      <c r="S100" s="1622">
        <f>IFERROR(GETPIVOTDATA("合計 / " &amp; $C100,【ピボット】事業所売上!$A$3,"年月",S$2,"事業所",$A100),0)</f>
        <v>264450</v>
      </c>
      <c r="T100" s="1622">
        <f>IFERROR(GETPIVOTDATA("合計 / " &amp; $C100,【ピボット】事業所売上!$A$3,"年月",T$2,"事業所",$A100),0)</f>
        <v>232550</v>
      </c>
      <c r="U100" s="1622">
        <f>IFERROR(GETPIVOTDATA("合計 / " &amp; $C100,【ピボット】事業所売上!$A$3,"年月",U$2,"事業所",$A100),0)</f>
        <v>239800</v>
      </c>
      <c r="V100" s="1622">
        <f>IFERROR(GETPIVOTDATA("合計 / " &amp; $C100,【ピボット】事業所売上!$A$3,"年月",V$2,"事業所",$A100),0)</f>
        <v>241750</v>
      </c>
      <c r="W100" s="1622">
        <f>IFERROR(GETPIVOTDATA("合計 / " &amp; $C100,【ピボット】事業所売上!$A$3,"年月",W$2,"事業所",$A100),0)</f>
        <v>322550</v>
      </c>
      <c r="X100" s="1622">
        <f>IFERROR(GETPIVOTDATA("合計 / " &amp; $C100,【ピボット】事業所売上!$A$3,"年月",X$2,"事業所",$A100),0)</f>
        <v>262100</v>
      </c>
      <c r="Y100" s="1622">
        <f>IFERROR(GETPIVOTDATA("合計 / " &amp; $C100,【ピボット】事業所売上!$A$3,"年月",Y$2,"事業所",$A100),0)</f>
        <v>310200</v>
      </c>
      <c r="Z100" s="1622">
        <f>IFERROR(GETPIVOTDATA("合計 / " &amp; $C100,【ピボット】事業所売上!$A$3,"年月",Z$2,"事業所",$A100),0)</f>
        <v>330200</v>
      </c>
      <c r="AA100" s="1622">
        <f>IFERROR(GETPIVOTDATA("合計 / " &amp; $C100,【ピボット】事業所売上!$A$3,"年月",AA$2,"事業所",$A100),0)</f>
        <v>288000</v>
      </c>
      <c r="AB100" s="1561">
        <f ca="1">SUM(OFFSET(AA100,0,当期月数):AA100)</f>
        <v>2227150</v>
      </c>
    </row>
    <row r="101" spans="1:28" ht="15.4" customHeight="1" thickBot="1" x14ac:dyDescent="0.2">
      <c r="B101" s="2055"/>
      <c r="C101" s="1606" t="s">
        <v>11</v>
      </c>
      <c r="D101" s="1607">
        <f t="shared" ref="D101:L101" si="35">SUM(D98:D100)</f>
        <v>3549708</v>
      </c>
      <c r="E101" s="1607">
        <f t="shared" si="35"/>
        <v>3597785</v>
      </c>
      <c r="F101" s="1607">
        <f t="shared" si="35"/>
        <v>3616139</v>
      </c>
      <c r="G101" s="1607">
        <f t="shared" si="35"/>
        <v>3174804</v>
      </c>
      <c r="H101" s="1607">
        <f t="shared" si="35"/>
        <v>3130698</v>
      </c>
      <c r="I101" s="1607">
        <f t="shared" si="35"/>
        <v>3270391</v>
      </c>
      <c r="J101" s="1607">
        <f t="shared" si="35"/>
        <v>3507733</v>
      </c>
      <c r="K101" s="1607">
        <f t="shared" si="35"/>
        <v>3292348</v>
      </c>
      <c r="L101" s="1607">
        <f t="shared" si="35"/>
        <v>3313516</v>
      </c>
      <c r="M101" s="1607">
        <f t="shared" ref="M101:AA101" si="36">SUM(M98:M100)</f>
        <v>3497339</v>
      </c>
      <c r="N101" s="1607">
        <f t="shared" si="36"/>
        <v>3458623</v>
      </c>
      <c r="O101" s="1607">
        <f t="shared" si="36"/>
        <v>4706520</v>
      </c>
      <c r="P101" s="1607">
        <f t="shared" si="36"/>
        <v>4419633</v>
      </c>
      <c r="Q101" s="1607">
        <f t="shared" si="36"/>
        <v>4146272</v>
      </c>
      <c r="R101" s="1607">
        <f t="shared" si="36"/>
        <v>4468494</v>
      </c>
      <c r="S101" s="1607">
        <f t="shared" si="36"/>
        <v>4494230</v>
      </c>
      <c r="T101" s="1607">
        <f t="shared" si="36"/>
        <v>4417151</v>
      </c>
      <c r="U101" s="1607">
        <f t="shared" si="36"/>
        <v>4442200</v>
      </c>
      <c r="V101" s="1607">
        <f t="shared" si="36"/>
        <v>4833081</v>
      </c>
      <c r="W101" s="1607">
        <f t="shared" si="36"/>
        <v>4422644</v>
      </c>
      <c r="X101" s="1607">
        <f t="shared" si="36"/>
        <v>4120917</v>
      </c>
      <c r="Y101" s="1607">
        <f t="shared" si="36"/>
        <v>4475893</v>
      </c>
      <c r="Z101" s="1607">
        <f t="shared" si="36"/>
        <v>4931183</v>
      </c>
      <c r="AA101" s="1607">
        <f t="shared" si="36"/>
        <v>4425975</v>
      </c>
      <c r="AB101" s="1608">
        <f ca="1">SUM(OFFSET(AA101,0,当期月数):AA101)</f>
        <v>36069044</v>
      </c>
    </row>
    <row r="102" spans="1:28" ht="15.4" customHeight="1" x14ac:dyDescent="0.15">
      <c r="A102" s="1511" t="s">
        <v>63</v>
      </c>
      <c r="B102" s="2052" t="s">
        <v>63</v>
      </c>
      <c r="C102" s="1609" t="s">
        <v>10</v>
      </c>
      <c r="D102" s="1589">
        <f>IFERROR(GETPIVOTDATA("合計 / " &amp; $C102,【ピボット】事業所売上!$A$3,"年月",D$2,"事業所",$A102),0)</f>
        <v>2491950</v>
      </c>
      <c r="E102" s="1589">
        <f>IFERROR(GETPIVOTDATA("合計 / " &amp; $C102,【ピボット】事業所売上!$A$3,"年月",E$2,"事業所",$A102),0)</f>
        <v>2170929</v>
      </c>
      <c r="F102" s="1589">
        <f>IFERROR(GETPIVOTDATA("合計 / " &amp; $C102,【ピボット】事業所売上!$A$3,"年月",F$2,"事業所",$A102),0)</f>
        <v>2304959</v>
      </c>
      <c r="G102" s="1589">
        <f>IFERROR(GETPIVOTDATA("合計 / " &amp; $C102,【ピボット】事業所売上!$A$3,"年月",G$2,"事業所",$A102),0)</f>
        <v>2326894</v>
      </c>
      <c r="H102" s="1589">
        <f>IFERROR(GETPIVOTDATA("合計 / " &amp; $C102,【ピボット】事業所売上!$A$3,"年月",H$2,"事業所",$A102),0)</f>
        <v>2383506</v>
      </c>
      <c r="I102" s="1589">
        <f>IFERROR(GETPIVOTDATA("合計 / " &amp; $C102,【ピボット】事業所売上!$A$3,"年月",I$2,"事業所",$A102),0)</f>
        <v>2140629</v>
      </c>
      <c r="J102" s="1589">
        <f>IFERROR(GETPIVOTDATA("合計 / " &amp; $C102,【ピボット】事業所売上!$A$3,"年月",J$2,"事業所",$A102),0)</f>
        <v>2052909</v>
      </c>
      <c r="K102" s="1589">
        <f>IFERROR(GETPIVOTDATA("合計 / " &amp; $C102,【ピボット】事業所売上!$A$3,"年月",K$2,"事業所",$A102),0)</f>
        <v>2157074</v>
      </c>
      <c r="L102" s="1589">
        <f>IFERROR(GETPIVOTDATA("合計 / " &amp; $C102,【ピボット】事業所売上!$A$3,"年月",L$2,"事業所",$A102),0)</f>
        <v>2007541</v>
      </c>
      <c r="M102" s="1589">
        <f>IFERROR(GETPIVOTDATA("合計 / " &amp; $C102,【ピボット】事業所売上!$A$3,"年月",M$2,"事業所",$A102),0)</f>
        <v>2306499</v>
      </c>
      <c r="N102" s="1589">
        <f>IFERROR(GETPIVOTDATA("合計 / " &amp; $C102,【ピボット】事業所売上!$A$3,"年月",N$2,"事業所",$A102),0)</f>
        <v>2198815</v>
      </c>
      <c r="O102" s="1589">
        <f>IFERROR(GETPIVOTDATA("合計 / " &amp; $C102,【ピボット】事業所売上!$A$3,"年月",O$2,"事業所",$A102),0)</f>
        <v>2390194</v>
      </c>
      <c r="P102" s="1589">
        <f>IFERROR(GETPIVOTDATA("合計 / " &amp; $C102,【ピボット】事業所売上!$A$3,"年月",P$2,"事業所",$A102),0)</f>
        <v>2293370</v>
      </c>
      <c r="Q102" s="1589">
        <f>IFERROR(GETPIVOTDATA("合計 / " &amp; $C102,【ピボット】事業所売上!$A$3,"年月",Q$2,"事業所",$A102),0)</f>
        <v>2039297</v>
      </c>
      <c r="R102" s="1589">
        <f>IFERROR(GETPIVOTDATA("合計 / " &amp; $C102,【ピボット】事業所売上!$A$3,"年月",R$2,"事業所",$A102),0)</f>
        <v>1640628</v>
      </c>
      <c r="S102" s="1589">
        <f>IFERROR(GETPIVOTDATA("合計 / " &amp; $C102,【ピボット】事業所売上!$A$3,"年月",S$2,"事業所",$A102),0)</f>
        <v>1573689</v>
      </c>
      <c r="T102" s="1589">
        <f>IFERROR(GETPIVOTDATA("合計 / " &amp; $C102,【ピボット】事業所売上!$A$3,"年月",T$2,"事業所",$A102),0)</f>
        <v>1331333</v>
      </c>
      <c r="U102" s="1589">
        <f>IFERROR(GETPIVOTDATA("合計 / " &amp; $C102,【ピボット】事業所売上!$A$3,"年月",U$2,"事業所",$A102),0)</f>
        <v>1618585</v>
      </c>
      <c r="V102" s="1589">
        <f>IFERROR(GETPIVOTDATA("合計 / " &amp; $C102,【ピボット】事業所売上!$A$3,"年月",V$2,"事業所",$A102),0)</f>
        <v>2735417</v>
      </c>
      <c r="W102" s="1589">
        <f>IFERROR(GETPIVOTDATA("合計 / " &amp; $C102,【ピボット】事業所売上!$A$3,"年月",W$2,"事業所",$A102),0)</f>
        <v>1826775</v>
      </c>
      <c r="X102" s="1589">
        <f>IFERROR(GETPIVOTDATA("合計 / " &amp; $C102,【ピボット】事業所売上!$A$3,"年月",X$2,"事業所",$A102),0)</f>
        <v>1845029</v>
      </c>
      <c r="Y102" s="1589">
        <f>IFERROR(GETPIVOTDATA("合計 / " &amp; $C102,【ピボット】事業所売上!$A$3,"年月",Y$2,"事業所",$A102),0)</f>
        <v>1715603</v>
      </c>
      <c r="Z102" s="1589">
        <f>IFERROR(GETPIVOTDATA("合計 / " &amp; $C102,【ピボット】事業所売上!$A$3,"年月",Z$2,"事業所",$A102),0)</f>
        <v>1715602</v>
      </c>
      <c r="AA102" s="1589">
        <f>IFERROR(GETPIVOTDATA("合計 / " &amp; $C102,【ピボット】事業所売上!$A$3,"年月",AA$2,"事業所",$A102),0)</f>
        <v>1684049</v>
      </c>
      <c r="AB102" s="1590">
        <f ca="1">SUM(OFFSET(AA102,0,当期月数):AA102)</f>
        <v>14472393</v>
      </c>
    </row>
    <row r="103" spans="1:28" ht="15.4" customHeight="1" x14ac:dyDescent="0.15">
      <c r="A103" s="1511" t="s">
        <v>63</v>
      </c>
      <c r="B103" s="2052"/>
      <c r="C103" s="1599" t="s">
        <v>7</v>
      </c>
      <c r="D103" s="1612">
        <f>IFERROR(GETPIVOTDATA("合計 / " &amp; $C103,【ピボット】事業所売上!$A$3,"年月",D$2,"事業所",$A103),0)</f>
        <v>20000</v>
      </c>
      <c r="E103" s="1612">
        <f>IFERROR(GETPIVOTDATA("合計 / " &amp; $C103,【ピボット】事業所売上!$A$3,"年月",E$2,"事業所",$A103),0)</f>
        <v>19000</v>
      </c>
      <c r="F103" s="1612">
        <f>IFERROR(GETPIVOTDATA("合計 / " &amp; $C103,【ピボット】事業所売上!$A$3,"年月",F$2,"事業所",$A103),0)</f>
        <v>0</v>
      </c>
      <c r="G103" s="1612">
        <f>IFERROR(GETPIVOTDATA("合計 / " &amp; $C103,【ピボット】事業所売上!$A$3,"年月",G$2,"事業所",$A103),0)</f>
        <v>2000</v>
      </c>
      <c r="H103" s="1612">
        <f>IFERROR(GETPIVOTDATA("合計 / " &amp; $C103,【ピボット】事業所売上!$A$3,"年月",H$2,"事業所",$A103),0)</f>
        <v>0</v>
      </c>
      <c r="I103" s="1612">
        <f>IFERROR(GETPIVOTDATA("合計 / " &amp; $C103,【ピボット】事業所売上!$A$3,"年月",I$2,"事業所",$A103),0)</f>
        <v>6000</v>
      </c>
      <c r="J103" s="1623">
        <f>IFERROR(GETPIVOTDATA("合計 / " &amp; $C103,【ピボット】事業所売上!$A$3,"年月",J$2,"事業所",$A103),0)</f>
        <v>0</v>
      </c>
      <c r="K103" s="1623">
        <f>IFERROR(GETPIVOTDATA("合計 / " &amp; $C103,【ピボット】事業所売上!$A$3,"年月",K$2,"事業所",$A103),0)</f>
        <v>0</v>
      </c>
      <c r="L103" s="1623">
        <f>IFERROR(GETPIVOTDATA("合計 / " &amp; $C103,【ピボット】事業所売上!$A$3,"年月",L$2,"事業所",$A103),0)</f>
        <v>0</v>
      </c>
      <c r="M103" s="1623">
        <f>IFERROR(GETPIVOTDATA("合計 / " &amp; $C103,【ピボット】事業所売上!$A$3,"年月",M$2,"事業所",$A103),0)</f>
        <v>0</v>
      </c>
      <c r="N103" s="1623">
        <f>IFERROR(GETPIVOTDATA("合計 / " &amp; $C103,【ピボット】事業所売上!$A$3,"年月",N$2,"事業所",$A103),0)</f>
        <v>0</v>
      </c>
      <c r="O103" s="1623">
        <f>IFERROR(GETPIVOTDATA("合計 / " &amp; $C103,【ピボット】事業所売上!$A$3,"年月",O$2,"事業所",$A103),0)</f>
        <v>2400</v>
      </c>
      <c r="P103" s="1623">
        <f>IFERROR(GETPIVOTDATA("合計 / " &amp; $C103,【ピボット】事業所売上!$A$3,"年月",P$2,"事業所",$A103),0)</f>
        <v>15600</v>
      </c>
      <c r="Q103" s="1623">
        <f>IFERROR(GETPIVOTDATA("合計 / " &amp; $C103,【ピボット】事業所売上!$A$3,"年月",Q$2,"事業所",$A103),0)</f>
        <v>7200</v>
      </c>
      <c r="R103" s="1623">
        <f>IFERROR(GETPIVOTDATA("合計 / " &amp; $C103,【ピボット】事業所売上!$A$3,"年月",R$2,"事業所",$A103),0)</f>
        <v>6000</v>
      </c>
      <c r="S103" s="1623">
        <f>IFERROR(GETPIVOTDATA("合計 / " &amp; $C103,【ピボット】事業所売上!$A$3,"年月",S$2,"事業所",$A103),0)</f>
        <v>7200</v>
      </c>
      <c r="T103" s="1623">
        <f>IFERROR(GETPIVOTDATA("合計 / " &amp; $C103,【ピボット】事業所売上!$A$3,"年月",T$2,"事業所",$A103),0)</f>
        <v>1200</v>
      </c>
      <c r="U103" s="1623">
        <f>IFERROR(GETPIVOTDATA("合計 / " &amp; $C103,【ピボット】事業所売上!$A$3,"年月",U$2,"事業所",$A103),0)</f>
        <v>0</v>
      </c>
      <c r="V103" s="1623">
        <f>IFERROR(GETPIVOTDATA("合計 / " &amp; $C103,【ピボット】事業所売上!$A$3,"年月",V$2,"事業所",$A103),0)</f>
        <v>0</v>
      </c>
      <c r="W103" s="1623">
        <f>IFERROR(GETPIVOTDATA("合計 / " &amp; $C103,【ピボット】事業所売上!$A$3,"年月",W$2,"事業所",$A103),0)</f>
        <v>0</v>
      </c>
      <c r="X103" s="1623">
        <f>IFERROR(GETPIVOTDATA("合計 / " &amp; $C103,【ピボット】事業所売上!$A$3,"年月",X$2,"事業所",$A103),0)</f>
        <v>0</v>
      </c>
      <c r="Y103" s="1623">
        <f>IFERROR(GETPIVOTDATA("合計 / " &amp; $C103,【ピボット】事業所売上!$A$3,"年月",Y$2,"事業所",$A103),0)</f>
        <v>18700</v>
      </c>
      <c r="Z103" s="1623">
        <f>IFERROR(GETPIVOTDATA("合計 / " &amp; $C103,【ピボット】事業所売上!$A$3,"年月",Z$2,"事業所",$A103),0)</f>
        <v>0</v>
      </c>
      <c r="AA103" s="1623">
        <f>IFERROR(GETPIVOTDATA("合計 / " &amp; $C103,【ピボット】事業所売上!$A$3,"年月",AA$2,"事業所",$A103),0)</f>
        <v>0</v>
      </c>
      <c r="AB103" s="1561">
        <f ca="1">SUM(OFFSET(AA103,0,当期月数):AA103)</f>
        <v>19900</v>
      </c>
    </row>
    <row r="104" spans="1:28" ht="15.4" customHeight="1" x14ac:dyDescent="0.15">
      <c r="A104" s="1511" t="s">
        <v>63</v>
      </c>
      <c r="B104" s="2052"/>
      <c r="C104" s="1599" t="s">
        <v>12</v>
      </c>
      <c r="D104" s="1623">
        <f>IFERROR(GETPIVOTDATA("合計 / " &amp; $C104,【ピボット】事業所売上!$A$3,"年月",D$2,"事業所",$A104),0)</f>
        <v>706420</v>
      </c>
      <c r="E104" s="1623">
        <f>IFERROR(GETPIVOTDATA("合計 / " &amp; $C104,【ピボット】事業所売上!$A$3,"年月",E$2,"事業所",$A104),0)</f>
        <v>703500</v>
      </c>
      <c r="F104" s="1623">
        <f>IFERROR(GETPIVOTDATA("合計 / " &amp; $C104,【ピボット】事業所売上!$A$3,"年月",F$2,"事業所",$A104),0)</f>
        <v>879513</v>
      </c>
      <c r="G104" s="1623">
        <f>IFERROR(GETPIVOTDATA("合計 / " &amp; $C104,【ピボット】事業所売上!$A$3,"年月",G$2,"事業所",$A104),0)</f>
        <v>796000</v>
      </c>
      <c r="H104" s="1623">
        <f>IFERROR(GETPIVOTDATA("合計 / " &amp; $C104,【ピボット】事業所売上!$A$3,"年月",H$2,"事業所",$A104),0)</f>
        <v>697840</v>
      </c>
      <c r="I104" s="1623">
        <f>IFERROR(GETPIVOTDATA("合計 / " &amp; $C104,【ピボット】事業所売上!$A$3,"年月",I$2,"事業所",$A104),0)</f>
        <v>842510</v>
      </c>
      <c r="J104" s="1623">
        <f>IFERROR(GETPIVOTDATA("合計 / " &amp; $C104,【ピボット】事業所売上!$A$3,"年月",J$2,"事業所",$A104),0)</f>
        <v>521768</v>
      </c>
      <c r="K104" s="1623">
        <f>IFERROR(GETPIVOTDATA("合計 / " &amp; $C104,【ピボット】事業所売上!$A$3,"年月",K$2,"事業所",$A104),0)</f>
        <v>696462</v>
      </c>
      <c r="L104" s="1623">
        <f>IFERROR(GETPIVOTDATA("合計 / " &amp; $C104,【ピボット】事業所売上!$A$3,"年月",L$2,"事業所",$A104),0)</f>
        <v>609640</v>
      </c>
      <c r="M104" s="1623">
        <f>IFERROR(GETPIVOTDATA("合計 / " &amp; $C104,【ピボット】事業所売上!$A$3,"年月",M$2,"事業所",$A104),0)</f>
        <v>751461</v>
      </c>
      <c r="N104" s="1623">
        <f>IFERROR(GETPIVOTDATA("合計 / " &amp; $C104,【ピボット】事業所売上!$A$3,"年月",N$2,"事業所",$A104),0)</f>
        <v>858082</v>
      </c>
      <c r="O104" s="1623">
        <f>IFERROR(GETPIVOTDATA("合計 / " &amp; $C104,【ピボット】事業所売上!$A$3,"年月",O$2,"事業所",$A104),0)</f>
        <v>791120</v>
      </c>
      <c r="P104" s="1623">
        <f>IFERROR(GETPIVOTDATA("合計 / " &amp; $C104,【ピボット】事業所売上!$A$3,"年月",P$2,"事業所",$A104),0)</f>
        <v>712737</v>
      </c>
      <c r="Q104" s="1623">
        <f>IFERROR(GETPIVOTDATA("合計 / " &amp; $C104,【ピボット】事業所売上!$A$3,"年月",Q$2,"事業所",$A104),0)</f>
        <v>645681</v>
      </c>
      <c r="R104" s="1623">
        <f>IFERROR(GETPIVOTDATA("合計 / " &amp; $C104,【ピボット】事業所売上!$A$3,"年月",R$2,"事業所",$A104),0)</f>
        <v>899959</v>
      </c>
      <c r="S104" s="1623">
        <f>IFERROR(GETPIVOTDATA("合計 / " &amp; $C104,【ピボット】事業所売上!$A$3,"年月",S$2,"事業所",$A104),0)</f>
        <v>770580</v>
      </c>
      <c r="T104" s="1623">
        <f>IFERROR(GETPIVOTDATA("合計 / " &amp; $C104,【ピボット】事業所売上!$A$3,"年月",T$2,"事業所",$A104),0)</f>
        <v>779540</v>
      </c>
      <c r="U104" s="1623">
        <f>IFERROR(GETPIVOTDATA("合計 / " &amp; $C104,【ピボット】事業所売上!$A$3,"年月",U$2,"事業所",$A104),0)</f>
        <v>778680</v>
      </c>
      <c r="V104" s="1623">
        <f>IFERROR(GETPIVOTDATA("合計 / " &amp; $C104,【ピボット】事業所売上!$A$3,"年月",V$2,"事業所",$A104),0)</f>
        <v>786560</v>
      </c>
      <c r="W104" s="1623">
        <f>IFERROR(GETPIVOTDATA("合計 / " &amp; $C104,【ピボット】事業所売上!$A$3,"年月",W$2,"事業所",$A104),0)</f>
        <v>779540</v>
      </c>
      <c r="X104" s="1623">
        <f>IFERROR(GETPIVOTDATA("合計 / " &amp; $C104,【ピボット】事業所売上!$A$3,"年月",X$2,"事業所",$A104),0)</f>
        <v>782040</v>
      </c>
      <c r="Y104" s="1623">
        <f>IFERROR(GETPIVOTDATA("合計 / " &amp; $C104,【ピボット】事業所売上!$A$3,"年月",Y$2,"事業所",$A104),0)</f>
        <v>780820</v>
      </c>
      <c r="Z104" s="1623">
        <f>IFERROR(GETPIVOTDATA("合計 / " &amp; $C104,【ピボット】事業所売上!$A$3,"年月",Z$2,"事業所",$A104),0)</f>
        <v>782660</v>
      </c>
      <c r="AA104" s="1623">
        <f>IFERROR(GETPIVOTDATA("合計 / " &amp; $C104,【ピボット】事業所売上!$A$3,"年月",AA$2,"事業所",$A104),0)</f>
        <v>778420</v>
      </c>
      <c r="AB104" s="1561">
        <f ca="1">SUM(OFFSET(AA104,0,当期月数):AA104)</f>
        <v>6248260</v>
      </c>
    </row>
    <row r="105" spans="1:28" ht="15.4" customHeight="1" thickBot="1" x14ac:dyDescent="0.2">
      <c r="B105" s="2055"/>
      <c r="C105" s="1606" t="s">
        <v>11</v>
      </c>
      <c r="D105" s="1607">
        <f t="shared" ref="D105:L105" si="37">SUM(D102:D104)</f>
        <v>3218370</v>
      </c>
      <c r="E105" s="1607">
        <f t="shared" si="37"/>
        <v>2893429</v>
      </c>
      <c r="F105" s="1607">
        <f t="shared" si="37"/>
        <v>3184472</v>
      </c>
      <c r="G105" s="1607">
        <f t="shared" si="37"/>
        <v>3124894</v>
      </c>
      <c r="H105" s="1607">
        <f t="shared" si="37"/>
        <v>3081346</v>
      </c>
      <c r="I105" s="1607">
        <f t="shared" si="37"/>
        <v>2989139</v>
      </c>
      <c r="J105" s="1607">
        <f t="shared" si="37"/>
        <v>2574677</v>
      </c>
      <c r="K105" s="1607">
        <f t="shared" si="37"/>
        <v>2853536</v>
      </c>
      <c r="L105" s="1607">
        <f t="shared" si="37"/>
        <v>2617181</v>
      </c>
      <c r="M105" s="1607">
        <f t="shared" ref="M105:AA105" si="38">SUM(M102:M104)</f>
        <v>3057960</v>
      </c>
      <c r="N105" s="1607">
        <f t="shared" si="38"/>
        <v>3056897</v>
      </c>
      <c r="O105" s="1607">
        <f t="shared" si="38"/>
        <v>3183714</v>
      </c>
      <c r="P105" s="1607">
        <f t="shared" si="38"/>
        <v>3021707</v>
      </c>
      <c r="Q105" s="1607">
        <f t="shared" si="38"/>
        <v>2692178</v>
      </c>
      <c r="R105" s="1607">
        <f t="shared" si="38"/>
        <v>2546587</v>
      </c>
      <c r="S105" s="1607">
        <f t="shared" si="38"/>
        <v>2351469</v>
      </c>
      <c r="T105" s="1607">
        <f t="shared" si="38"/>
        <v>2112073</v>
      </c>
      <c r="U105" s="1607">
        <f t="shared" si="38"/>
        <v>2397265</v>
      </c>
      <c r="V105" s="1607">
        <f t="shared" si="38"/>
        <v>3521977</v>
      </c>
      <c r="W105" s="1607">
        <f t="shared" si="38"/>
        <v>2606315</v>
      </c>
      <c r="X105" s="1607">
        <f t="shared" si="38"/>
        <v>2627069</v>
      </c>
      <c r="Y105" s="1607">
        <f t="shared" si="38"/>
        <v>2515123</v>
      </c>
      <c r="Z105" s="1607">
        <f t="shared" si="38"/>
        <v>2498262</v>
      </c>
      <c r="AA105" s="1607">
        <f t="shared" si="38"/>
        <v>2462469</v>
      </c>
      <c r="AB105" s="1608">
        <f ca="1">SUM(OFFSET(AA105,0,当期月数):AA105)</f>
        <v>20740553</v>
      </c>
    </row>
    <row r="106" spans="1:28" ht="15.4" hidden="1" customHeight="1" x14ac:dyDescent="0.15">
      <c r="A106" s="1511" t="s">
        <v>0</v>
      </c>
      <c r="B106" s="2053" t="s">
        <v>0</v>
      </c>
      <c r="C106" s="1596" t="s">
        <v>10</v>
      </c>
      <c r="D106" s="1624">
        <f>IFERROR(GETPIVOTDATA("合計 / " &amp; $C106,【ピボット】事業所売上!$A$3,"年月",D$2,"事業所",$A106),0)</f>
        <v>421867</v>
      </c>
      <c r="E106" s="1624">
        <f>IFERROR(GETPIVOTDATA("合計 / " &amp; $C106,【ピボット】事業所売上!$A$3,"年月",E$2,"事業所",$A106),0)</f>
        <v>0</v>
      </c>
      <c r="F106" s="1624">
        <f>IFERROR(GETPIVOTDATA("合計 / " &amp; $C106,【ピボット】事業所売上!$A$3,"年月",F$2,"事業所",$A106),0)</f>
        <v>0</v>
      </c>
      <c r="G106" s="1624">
        <f>IFERROR(GETPIVOTDATA("合計 / " &amp; $C106,【ピボット】事業所売上!$A$3,"年月",G$2,"事業所",$A106),0)</f>
        <v>0</v>
      </c>
      <c r="H106" s="1624">
        <f>IFERROR(GETPIVOTDATA("合計 / " &amp; $C106,【ピボット】事業所売上!$A$3,"年月",H$2,"事業所",$A106),0)</f>
        <v>0</v>
      </c>
      <c r="I106" s="1624">
        <f>IFERROR(GETPIVOTDATA("合計 / " &amp; $C106,【ピボット】事業所売上!$A$3,"年月",I$2,"事業所",$A106),0)</f>
        <v>0</v>
      </c>
      <c r="J106" s="1624">
        <f>IFERROR(GETPIVOTDATA("合計 / " &amp; $C106,【ピボット】事業所売上!$A$3,"年月",J$2,"事業所",$A106),0)</f>
        <v>0</v>
      </c>
      <c r="K106" s="1624">
        <f>IFERROR(GETPIVOTDATA("合計 / " &amp; $C106,【ピボット】事業所売上!$A$3,"年月",K$2,"事業所",$A106),0)</f>
        <v>0</v>
      </c>
      <c r="L106" s="1624">
        <f>IFERROR(GETPIVOTDATA("合計 / " &amp; $C106,【ピボット】事業所売上!$A$3,"年月",L$2,"事業所",$A106),0)</f>
        <v>0</v>
      </c>
      <c r="M106" s="1624">
        <f>IFERROR(GETPIVOTDATA("合計 / " &amp; $C106,【ピボット】事業所売上!$A$3,"年月",M$2,"事業所",$A106),0)</f>
        <v>0</v>
      </c>
      <c r="N106" s="1624">
        <f>IFERROR(GETPIVOTDATA("合計 / " &amp; $C106,【ピボット】事業所売上!$A$3,"年月",N$2,"事業所",$A106),0)</f>
        <v>0</v>
      </c>
      <c r="O106" s="1624">
        <f>IFERROR(GETPIVOTDATA("合計 / " &amp; $C106,【ピボット】事業所売上!$A$3,"年月",O$2,"事業所",$A106),0)</f>
        <v>0</v>
      </c>
      <c r="P106" s="1624">
        <f>IFERROR(GETPIVOTDATA("合計 / " &amp; $C106,【ピボット】事業所売上!$A$3,"年月",P$2,"事業所",$A106),0)</f>
        <v>0</v>
      </c>
      <c r="Q106" s="1624">
        <f>IFERROR(GETPIVOTDATA("合計 / " &amp; $C106,【ピボット】事業所売上!$A$3,"年月",Q$2,"事業所",$A106),0)</f>
        <v>0</v>
      </c>
      <c r="R106" s="1624">
        <f>IFERROR(GETPIVOTDATA("合計 / " &amp; $C106,【ピボット】事業所売上!$A$3,"年月",R$2,"事業所",$A106),0)</f>
        <v>0</v>
      </c>
      <c r="S106" s="1624">
        <f>IFERROR(GETPIVOTDATA("合計 / " &amp; $C106,【ピボット】事業所売上!$A$3,"年月",S$2,"事業所",$A106),0)</f>
        <v>0</v>
      </c>
      <c r="T106" s="1624">
        <f>IFERROR(GETPIVOTDATA("合計 / " &amp; $C106,【ピボット】事業所売上!$A$3,"年月",T$2,"事業所",$A106),0)</f>
        <v>0</v>
      </c>
      <c r="U106" s="1624">
        <f>IFERROR(GETPIVOTDATA("合計 / " &amp; $C106,【ピボット】事業所売上!$A$3,"年月",U$2,"事業所",$A106),0)</f>
        <v>0</v>
      </c>
      <c r="V106" s="1624">
        <f>IFERROR(GETPIVOTDATA("合計 / " &amp; $C106,【ピボット】事業所売上!$A$3,"年月",V$2,"事業所",$A106),0)</f>
        <v>0</v>
      </c>
      <c r="W106" s="1624">
        <f>IFERROR(GETPIVOTDATA("合計 / " &amp; $C106,【ピボット】事業所売上!$A$3,"年月",W$2,"事業所",$A106),0)</f>
        <v>0</v>
      </c>
      <c r="X106" s="1624">
        <f>IFERROR(GETPIVOTDATA("合計 / " &amp; $C106,【ピボット】事業所売上!$A$3,"年月",X$2,"事業所",$A106),0)</f>
        <v>0</v>
      </c>
      <c r="Y106" s="1624">
        <f>IFERROR(GETPIVOTDATA("合計 / " &amp; $C106,【ピボット】事業所売上!$A$3,"年月",Y$2,"事業所",$A106),0)</f>
        <v>0</v>
      </c>
      <c r="Z106" s="1624">
        <f>IFERROR(GETPIVOTDATA("合計 / " &amp; $C106,【ピボット】事業所売上!$A$3,"年月",Z$2,"事業所",$A106),0)</f>
        <v>0</v>
      </c>
      <c r="AA106" s="1624">
        <f>IFERROR(GETPIVOTDATA("合計 / " &amp; $C106,【ピボット】事業所売上!$A$3,"年月",AA$2,"事業所",$A106),0)</f>
        <v>0</v>
      </c>
      <c r="AB106" s="1598">
        <f ca="1">SUM(OFFSET(AA106,0,当期月数):AA106)</f>
        <v>0</v>
      </c>
    </row>
    <row r="107" spans="1:28" ht="15.4" hidden="1" customHeight="1" x14ac:dyDescent="0.15">
      <c r="A107" s="1511" t="s">
        <v>0</v>
      </c>
      <c r="B107" s="2052"/>
      <c r="C107" s="1599" t="s">
        <v>7</v>
      </c>
      <c r="D107" s="1612">
        <f>IFERROR(GETPIVOTDATA("合計 / " &amp; $C107,【ピボット】事業所売上!$A$3,"年月",D$2,"事業所",$A107),0)</f>
        <v>0</v>
      </c>
      <c r="E107" s="1612">
        <f>IFERROR(GETPIVOTDATA("合計 / " &amp; $C107,【ピボット】事業所売上!$A$3,"年月",E$2,"事業所",$A107),0)</f>
        <v>0</v>
      </c>
      <c r="F107" s="1612">
        <f>IFERROR(GETPIVOTDATA("合計 / " &amp; $C107,【ピボット】事業所売上!$A$3,"年月",F$2,"事業所",$A107),0)</f>
        <v>0</v>
      </c>
      <c r="G107" s="1612">
        <f>IFERROR(GETPIVOTDATA("合計 / " &amp; $C107,【ピボット】事業所売上!$A$3,"年月",G$2,"事業所",$A107),0)</f>
        <v>0</v>
      </c>
      <c r="H107" s="1612">
        <f>IFERROR(GETPIVOTDATA("合計 / " &amp; $C107,【ピボット】事業所売上!$A$3,"年月",H$2,"事業所",$A107),0)</f>
        <v>0</v>
      </c>
      <c r="I107" s="1612">
        <f>IFERROR(GETPIVOTDATA("合計 / " &amp; $C107,【ピボット】事業所売上!$A$3,"年月",I$2,"事業所",$A107),0)</f>
        <v>0</v>
      </c>
      <c r="J107" s="1612">
        <f>IFERROR(GETPIVOTDATA("合計 / " &amp; $C107,【ピボット】事業所売上!$A$3,"年月",J$2,"事業所",$A107),0)</f>
        <v>0</v>
      </c>
      <c r="K107" s="1612">
        <f>IFERROR(GETPIVOTDATA("合計 / " &amp; $C107,【ピボット】事業所売上!$A$3,"年月",K$2,"事業所",$A107),0)</f>
        <v>0</v>
      </c>
      <c r="L107" s="1612">
        <f>IFERROR(GETPIVOTDATA("合計 / " &amp; $C107,【ピボット】事業所売上!$A$3,"年月",L$2,"事業所",$A107),0)</f>
        <v>0</v>
      </c>
      <c r="M107" s="1612">
        <f>IFERROR(GETPIVOTDATA("合計 / " &amp; $C107,【ピボット】事業所売上!$A$3,"年月",M$2,"事業所",$A107),0)</f>
        <v>0</v>
      </c>
      <c r="N107" s="1612">
        <f>IFERROR(GETPIVOTDATA("合計 / " &amp; $C107,【ピボット】事業所売上!$A$3,"年月",N$2,"事業所",$A107),0)</f>
        <v>0</v>
      </c>
      <c r="O107" s="1612">
        <f>IFERROR(GETPIVOTDATA("合計 / " &amp; $C107,【ピボット】事業所売上!$A$3,"年月",O$2,"事業所",$A107),0)</f>
        <v>0</v>
      </c>
      <c r="P107" s="1612">
        <f>IFERROR(GETPIVOTDATA("合計 / " &amp; $C107,【ピボット】事業所売上!$A$3,"年月",P$2,"事業所",$A107),0)</f>
        <v>0</v>
      </c>
      <c r="Q107" s="1612">
        <f>IFERROR(GETPIVOTDATA("合計 / " &amp; $C107,【ピボット】事業所売上!$A$3,"年月",Q$2,"事業所",$A107),0)</f>
        <v>0</v>
      </c>
      <c r="R107" s="1612">
        <f>IFERROR(GETPIVOTDATA("合計 / " &amp; $C107,【ピボット】事業所売上!$A$3,"年月",R$2,"事業所",$A107),0)</f>
        <v>0</v>
      </c>
      <c r="S107" s="1612">
        <f>IFERROR(GETPIVOTDATA("合計 / " &amp; $C107,【ピボット】事業所売上!$A$3,"年月",S$2,"事業所",$A107),0)</f>
        <v>0</v>
      </c>
      <c r="T107" s="1612">
        <f>IFERROR(GETPIVOTDATA("合計 / " &amp; $C107,【ピボット】事業所売上!$A$3,"年月",T$2,"事業所",$A107),0)</f>
        <v>0</v>
      </c>
      <c r="U107" s="1612">
        <f>IFERROR(GETPIVOTDATA("合計 / " &amp; $C107,【ピボット】事業所売上!$A$3,"年月",U$2,"事業所",$A107),0)</f>
        <v>0</v>
      </c>
      <c r="V107" s="1601">
        <f>IFERROR(GETPIVOTDATA("合計 / " &amp; $C107,【ピボット】事業所売上!$A$3,"年月",V$2,"事業所",$A107),0)</f>
        <v>0</v>
      </c>
      <c r="W107" s="1601">
        <f>IFERROR(GETPIVOTDATA("合計 / " &amp; $C107,【ピボット】事業所売上!$A$3,"年月",W$2,"事業所",$A107),0)</f>
        <v>0</v>
      </c>
      <c r="X107" s="1601">
        <f>IFERROR(GETPIVOTDATA("合計 / " &amp; $C107,【ピボット】事業所売上!$A$3,"年月",X$2,"事業所",$A107),0)</f>
        <v>0</v>
      </c>
      <c r="Y107" s="1601">
        <f>IFERROR(GETPIVOTDATA("合計 / " &amp; $C107,【ピボット】事業所売上!$A$3,"年月",Y$2,"事業所",$A107),0)</f>
        <v>0</v>
      </c>
      <c r="Z107" s="1601">
        <f>IFERROR(GETPIVOTDATA("合計 / " &amp; $C107,【ピボット】事業所売上!$A$3,"年月",Z$2,"事業所",$A107),0)</f>
        <v>0</v>
      </c>
      <c r="AA107" s="1601">
        <f>IFERROR(GETPIVOTDATA("合計 / " &amp; $C107,【ピボット】事業所売上!$A$3,"年月",AA$2,"事業所",$A107),0)</f>
        <v>0</v>
      </c>
      <c r="AB107" s="1561">
        <f ca="1">SUM(OFFSET(AA107,0,当期月数):AA107)</f>
        <v>0</v>
      </c>
    </row>
    <row r="108" spans="1:28" ht="15.4" hidden="1" customHeight="1" x14ac:dyDescent="0.15">
      <c r="A108" s="1511" t="s">
        <v>0</v>
      </c>
      <c r="B108" s="2052"/>
      <c r="C108" s="1599" t="s">
        <v>12</v>
      </c>
      <c r="D108" s="1601">
        <f>IFERROR(GETPIVOTDATA("合計 / " &amp; $C108,【ピボット】事業所売上!$A$3,"年月",D$2,"事業所",$A108),0)</f>
        <v>174166</v>
      </c>
      <c r="E108" s="1601">
        <f>IFERROR(GETPIVOTDATA("合計 / " &amp; $C108,【ピボット】事業所売上!$A$3,"年月",E$2,"事業所",$A108),0)</f>
        <v>0</v>
      </c>
      <c r="F108" s="1601">
        <f>IFERROR(GETPIVOTDATA("合計 / " &amp; $C108,【ピボット】事業所売上!$A$3,"年月",F$2,"事業所",$A108),0)</f>
        <v>0</v>
      </c>
      <c r="G108" s="1601">
        <f>IFERROR(GETPIVOTDATA("合計 / " &amp; $C108,【ピボット】事業所売上!$A$3,"年月",G$2,"事業所",$A108),0)</f>
        <v>0</v>
      </c>
      <c r="H108" s="1601">
        <f>IFERROR(GETPIVOTDATA("合計 / " &amp; $C108,【ピボット】事業所売上!$A$3,"年月",H$2,"事業所",$A108),0)</f>
        <v>0</v>
      </c>
      <c r="I108" s="1601">
        <f>IFERROR(GETPIVOTDATA("合計 / " &amp; $C108,【ピボット】事業所売上!$A$3,"年月",I$2,"事業所",$A108),0)</f>
        <v>0</v>
      </c>
      <c r="J108" s="1601">
        <f>IFERROR(GETPIVOTDATA("合計 / " &amp; $C108,【ピボット】事業所売上!$A$3,"年月",J$2,"事業所",$A108),0)</f>
        <v>0</v>
      </c>
      <c r="K108" s="1601">
        <f>IFERROR(GETPIVOTDATA("合計 / " &amp; $C108,【ピボット】事業所売上!$A$3,"年月",K$2,"事業所",$A108),0)</f>
        <v>0</v>
      </c>
      <c r="L108" s="1601">
        <f>IFERROR(GETPIVOTDATA("合計 / " &amp; $C108,【ピボット】事業所売上!$A$3,"年月",L$2,"事業所",$A108),0)</f>
        <v>0</v>
      </c>
      <c r="M108" s="1601">
        <f>IFERROR(GETPIVOTDATA("合計 / " &amp; $C108,【ピボット】事業所売上!$A$3,"年月",M$2,"事業所",$A108),0)</f>
        <v>0</v>
      </c>
      <c r="N108" s="1601">
        <f>IFERROR(GETPIVOTDATA("合計 / " &amp; $C108,【ピボット】事業所売上!$A$3,"年月",N$2,"事業所",$A108),0)</f>
        <v>0</v>
      </c>
      <c r="O108" s="1601">
        <f>IFERROR(GETPIVOTDATA("合計 / " &amp; $C108,【ピボット】事業所売上!$A$3,"年月",O$2,"事業所",$A108),0)</f>
        <v>0</v>
      </c>
      <c r="P108" s="1601">
        <f>IFERROR(GETPIVOTDATA("合計 / " &amp; $C108,【ピボット】事業所売上!$A$3,"年月",P$2,"事業所",$A108),0)</f>
        <v>0</v>
      </c>
      <c r="Q108" s="1601">
        <f>IFERROR(GETPIVOTDATA("合計 / " &amp; $C108,【ピボット】事業所売上!$A$3,"年月",Q$2,"事業所",$A108),0)</f>
        <v>0</v>
      </c>
      <c r="R108" s="1601">
        <f>IFERROR(GETPIVOTDATA("合計 / " &amp; $C108,【ピボット】事業所売上!$A$3,"年月",R$2,"事業所",$A108),0)</f>
        <v>0</v>
      </c>
      <c r="S108" s="1601">
        <f>IFERROR(GETPIVOTDATA("合計 / " &amp; $C108,【ピボット】事業所売上!$A$3,"年月",S$2,"事業所",$A108),0)</f>
        <v>0</v>
      </c>
      <c r="T108" s="1601">
        <f>IFERROR(GETPIVOTDATA("合計 / " &amp; $C108,【ピボット】事業所売上!$A$3,"年月",T$2,"事業所",$A108),0)</f>
        <v>0</v>
      </c>
      <c r="U108" s="1601">
        <f>IFERROR(GETPIVOTDATA("合計 / " &amp; $C108,【ピボット】事業所売上!$A$3,"年月",U$2,"事業所",$A108),0)</f>
        <v>0</v>
      </c>
      <c r="V108" s="1601">
        <f>IFERROR(GETPIVOTDATA("合計 / " &amp; $C108,【ピボット】事業所売上!$A$3,"年月",V$2,"事業所",$A108),0)</f>
        <v>0</v>
      </c>
      <c r="W108" s="1601">
        <f>IFERROR(GETPIVOTDATA("合計 / " &amp; $C108,【ピボット】事業所売上!$A$3,"年月",W$2,"事業所",$A108),0)</f>
        <v>0</v>
      </c>
      <c r="X108" s="1601">
        <f>IFERROR(GETPIVOTDATA("合計 / " &amp; $C108,【ピボット】事業所売上!$A$3,"年月",X$2,"事業所",$A108),0)</f>
        <v>0</v>
      </c>
      <c r="Y108" s="1601">
        <f>IFERROR(GETPIVOTDATA("合計 / " &amp; $C108,【ピボット】事業所売上!$A$3,"年月",Y$2,"事業所",$A108),0)</f>
        <v>0</v>
      </c>
      <c r="Z108" s="1601">
        <f>IFERROR(GETPIVOTDATA("合計 / " &amp; $C108,【ピボット】事業所売上!$A$3,"年月",Z$2,"事業所",$A108),0)</f>
        <v>0</v>
      </c>
      <c r="AA108" s="1601">
        <f>IFERROR(GETPIVOTDATA("合計 / " &amp; $C108,【ピボット】事業所売上!$A$3,"年月",AA$2,"事業所",$A108),0)</f>
        <v>0</v>
      </c>
      <c r="AB108" s="1561">
        <f ca="1">SUM(OFFSET(AA108,0,当期月数):AA108)</f>
        <v>0</v>
      </c>
    </row>
    <row r="109" spans="1:28" ht="15.4" hidden="1" customHeight="1" thickBot="1" x14ac:dyDescent="0.2">
      <c r="A109" s="1511" t="s">
        <v>0</v>
      </c>
      <c r="B109" s="2055"/>
      <c r="C109" s="1606" t="s">
        <v>11</v>
      </c>
      <c r="D109" s="1607">
        <f t="shared" ref="D109:L109" si="39">SUM(D106:D108)</f>
        <v>596033</v>
      </c>
      <c r="E109" s="1607">
        <f t="shared" si="39"/>
        <v>0</v>
      </c>
      <c r="F109" s="1607">
        <f t="shared" si="39"/>
        <v>0</v>
      </c>
      <c r="G109" s="1607">
        <f t="shared" si="39"/>
        <v>0</v>
      </c>
      <c r="H109" s="1607">
        <f t="shared" si="39"/>
        <v>0</v>
      </c>
      <c r="I109" s="1607">
        <f t="shared" si="39"/>
        <v>0</v>
      </c>
      <c r="J109" s="1607">
        <f t="shared" si="39"/>
        <v>0</v>
      </c>
      <c r="K109" s="1607">
        <f t="shared" si="39"/>
        <v>0</v>
      </c>
      <c r="L109" s="1607">
        <f t="shared" si="39"/>
        <v>0</v>
      </c>
      <c r="M109" s="1607">
        <f t="shared" ref="M109:AA109" si="40">SUM(M106:M108)</f>
        <v>0</v>
      </c>
      <c r="N109" s="1607">
        <f t="shared" si="40"/>
        <v>0</v>
      </c>
      <c r="O109" s="1607">
        <f t="shared" si="40"/>
        <v>0</v>
      </c>
      <c r="P109" s="1607">
        <f t="shared" si="40"/>
        <v>0</v>
      </c>
      <c r="Q109" s="1607">
        <f t="shared" si="40"/>
        <v>0</v>
      </c>
      <c r="R109" s="1607">
        <f t="shared" si="40"/>
        <v>0</v>
      </c>
      <c r="S109" s="1607">
        <f t="shared" si="40"/>
        <v>0</v>
      </c>
      <c r="T109" s="1607">
        <f t="shared" si="40"/>
        <v>0</v>
      </c>
      <c r="U109" s="1607">
        <f t="shared" si="40"/>
        <v>0</v>
      </c>
      <c r="V109" s="1607">
        <f t="shared" si="40"/>
        <v>0</v>
      </c>
      <c r="W109" s="1607">
        <f t="shared" si="40"/>
        <v>0</v>
      </c>
      <c r="X109" s="1607">
        <f t="shared" si="40"/>
        <v>0</v>
      </c>
      <c r="Y109" s="1607">
        <f t="shared" si="40"/>
        <v>0</v>
      </c>
      <c r="Z109" s="1607">
        <f t="shared" si="40"/>
        <v>0</v>
      </c>
      <c r="AA109" s="1607">
        <f t="shared" si="40"/>
        <v>0</v>
      </c>
      <c r="AB109" s="1608">
        <f ca="1">SUM(OFFSET(AA109,0,当期月数):AA109)</f>
        <v>0</v>
      </c>
    </row>
    <row r="110" spans="1:28" ht="15.4" hidden="1" customHeight="1" outlineLevel="1" x14ac:dyDescent="0.15">
      <c r="A110" s="1511" t="s">
        <v>678</v>
      </c>
      <c r="B110" s="2052" t="s">
        <v>304</v>
      </c>
      <c r="C110" s="1609" t="s">
        <v>139</v>
      </c>
      <c r="D110" s="1589">
        <f>IFERROR(GETPIVOTDATA("合計 / " &amp; $C110,【ピボット】事業所売上!$A$3,"年月",D$2,"事業所",$A110),0)</f>
        <v>0</v>
      </c>
      <c r="E110" s="1589">
        <f>IFERROR(GETPIVOTDATA("合計 / " &amp; $C110,【ピボット】事業所売上!$A$3,"年月",E$2,"事業所",$A110),0)</f>
        <v>2638373</v>
      </c>
      <c r="F110" s="1589">
        <f>IFERROR(GETPIVOTDATA("合計 / " &amp; $C110,【ピボット】事業所売上!$A$3,"年月",F$2,"事業所",$A110),0)</f>
        <v>1225066</v>
      </c>
      <c r="G110" s="1589">
        <f>IFERROR(GETPIVOTDATA("合計 / " &amp; $C110,【ピボット】事業所売上!$A$3,"年月",G$2,"事業所",$A110),0)</f>
        <v>998363</v>
      </c>
      <c r="H110" s="1589">
        <f>IFERROR(GETPIVOTDATA("合計 / " &amp; $C110,【ピボット】事業所売上!$A$3,"年月",H$2,"事業所",$A110),0)</f>
        <v>1198162</v>
      </c>
      <c r="I110" s="1589">
        <f>IFERROR(GETPIVOTDATA("合計 / " &amp; $C110,【ピボット】事業所売上!$A$3,"年月",I$2,"事業所",$A110),0)</f>
        <v>1013496</v>
      </c>
      <c r="J110" s="1589">
        <f>IFERROR(GETPIVOTDATA("合計 / " &amp; $C110,【ピボット】事業所売上!$A$3,"年月",J$2,"事業所",$A110),0)</f>
        <v>1187409</v>
      </c>
      <c r="K110" s="1589">
        <f>IFERROR(GETPIVOTDATA("合計 / " &amp; $C110,【ピボット】事業所売上!$A$3,"年月",K$2,"事業所",$A110),0)</f>
        <v>998248</v>
      </c>
      <c r="L110" s="1589">
        <f>IFERROR(GETPIVOTDATA("合計 / " &amp; $C110,【ピボット】事業所売上!$A$3,"年月",L$2,"事業所",$A110),0)</f>
        <v>778040</v>
      </c>
      <c r="M110" s="1589">
        <f>IFERROR(GETPIVOTDATA("合計 / " &amp; $C110,【ピボット】事業所売上!$A$3,"年月",M$2,"事業所",$A110),0)</f>
        <v>710413</v>
      </c>
      <c r="N110" s="1589">
        <f>IFERROR(GETPIVOTDATA("合計 / " &amp; $C110,【ピボット】事業所売上!$A$3,"年月",N$2,"事業所",$A110),0)</f>
        <v>789390</v>
      </c>
      <c r="O110" s="1589">
        <f>IFERROR(GETPIVOTDATA("合計 / " &amp; $C110,【ピボット】事業所売上!$A$3,"年月",O$2,"事業所",$A110),0)</f>
        <v>777456</v>
      </c>
      <c r="P110" s="1589">
        <f>IFERROR(GETPIVOTDATA("合計 / " &amp; $C110,【ピボット】事業所売上!$A$3,"年月",P$2,"事業所",$A110),0)</f>
        <v>802372</v>
      </c>
      <c r="Q110" s="1589">
        <f>IFERROR(GETPIVOTDATA("合計 / " &amp; $C110,【ピボット】事業所売上!$A$3,"年月",Q$2,"事業所",$A110),0)</f>
        <v>517955</v>
      </c>
      <c r="R110" s="1589">
        <f>IFERROR(GETPIVOTDATA("合計 / " &amp; $C110,【ピボット】事業所売上!$A$3,"年月",R$2,"事業所",$A110),0)</f>
        <v>1128974</v>
      </c>
      <c r="S110" s="1589">
        <f>IFERROR(GETPIVOTDATA("合計 / " &amp; $C110,【ピボット】事業所売上!$A$3,"年月",S$2,"事業所",$A110),0)</f>
        <v>839546</v>
      </c>
      <c r="T110" s="1589">
        <f>IFERROR(GETPIVOTDATA("合計 / " &amp; $C110,【ピボット】事業所売上!$A$3,"年月",T$2,"事業所",$A110),0)</f>
        <v>813636</v>
      </c>
      <c r="U110" s="1589">
        <f>IFERROR(GETPIVOTDATA("合計 / " &amp; $C110,【ピボット】事業所売上!$A$3,"年月",U$2,"事業所",$A110),0)</f>
        <v>1101110</v>
      </c>
      <c r="V110" s="1589">
        <f>IFERROR(GETPIVOTDATA("合計 / " &amp; $C110,【ピボット】事業所売上!$A$3,"年月",V$2,"事業所",$A110),0)</f>
        <v>1073137</v>
      </c>
      <c r="W110" s="1589">
        <f>IFERROR(GETPIVOTDATA("合計 / " &amp; $C110,【ピボット】事業所売上!$A$3,"年月",W$2,"事業所",$A110),0)</f>
        <v>1107363</v>
      </c>
      <c r="X110" s="1589">
        <f>IFERROR(GETPIVOTDATA("合計 / " &amp; $C110,【ピボット】事業所売上!$A$3,"年月",X$2,"事業所",$A110),0)</f>
        <v>1107363</v>
      </c>
      <c r="Y110" s="1589">
        <f>IFERROR(GETPIVOTDATA("合計 / " &amp; $C110,【ピボット】事業所売上!$A$3,"年月",Y$2,"事業所",$A110),0)</f>
        <v>998423</v>
      </c>
      <c r="Z110" s="1589">
        <f>IFERROR(GETPIVOTDATA("合計 / " &amp; $C110,【ピボット】事業所売上!$A$3,"年月",Z$2,"事業所",$A110),0)</f>
        <v>982644</v>
      </c>
      <c r="AA110" s="1589">
        <f>IFERROR(GETPIVOTDATA("合計 / " &amp; $C110,【ピボット】事業所売上!$A$3,"年月",AA$2,"事業所",$A110),0)</f>
        <v>1025725</v>
      </c>
      <c r="AB110" s="1590">
        <f ca="1">SUM(OFFSET(AA110,0,当期月数):AA110)</f>
        <v>8209401</v>
      </c>
    </row>
    <row r="111" spans="1:28" ht="15.4" hidden="1" customHeight="1" outlineLevel="1" x14ac:dyDescent="0.15">
      <c r="A111" s="1511" t="s">
        <v>678</v>
      </c>
      <c r="B111" s="2052" t="s">
        <v>305</v>
      </c>
      <c r="C111" s="1599" t="s">
        <v>7</v>
      </c>
      <c r="D111" s="1623">
        <f>IFERROR(GETPIVOTDATA("合計 / " &amp; $C111,【ピボット】事業所売上!$A$3,"年月",D$2,"事業所",$A111),0)</f>
        <v>0</v>
      </c>
      <c r="E111" s="1623">
        <f>IFERROR(GETPIVOTDATA("合計 / " &amp; $C111,【ピボット】事業所売上!$A$3,"年月",E$2,"事業所",$A111),0)</f>
        <v>0</v>
      </c>
      <c r="F111" s="1623">
        <f>IFERROR(GETPIVOTDATA("合計 / " &amp; $C111,【ピボット】事業所売上!$A$3,"年月",F$2,"事業所",$A111),0)</f>
        <v>0</v>
      </c>
      <c r="G111" s="1623">
        <f>IFERROR(GETPIVOTDATA("合計 / " &amp; $C111,【ピボット】事業所売上!$A$3,"年月",G$2,"事業所",$A111),0)</f>
        <v>0</v>
      </c>
      <c r="H111" s="1623">
        <f>IFERROR(GETPIVOTDATA("合計 / " &amp; $C111,【ピボット】事業所売上!$A$3,"年月",H$2,"事業所",$A111),0)</f>
        <v>0</v>
      </c>
      <c r="I111" s="1623">
        <f>IFERROR(GETPIVOTDATA("合計 / " &amp; $C111,【ピボット】事業所売上!$A$3,"年月",I$2,"事業所",$A111),0)</f>
        <v>0</v>
      </c>
      <c r="J111" s="1623">
        <f>IFERROR(GETPIVOTDATA("合計 / " &amp; $C111,【ピボット】事業所売上!$A$3,"年月",J$2,"事業所",$A111),0)</f>
        <v>0</v>
      </c>
      <c r="K111" s="1623">
        <f>IFERROR(GETPIVOTDATA("合計 / " &amp; $C111,【ピボット】事業所売上!$A$3,"年月",K$2,"事業所",$A111),0)</f>
        <v>0</v>
      </c>
      <c r="L111" s="1623">
        <f>IFERROR(GETPIVOTDATA("合計 / " &amp; $C111,【ピボット】事業所売上!$A$3,"年月",L$2,"事業所",$A111),0)</f>
        <v>0</v>
      </c>
      <c r="M111" s="1623">
        <f>IFERROR(GETPIVOTDATA("合計 / " &amp; $C111,【ピボット】事業所売上!$A$3,"年月",M$2,"事業所",$A111),0)</f>
        <v>0</v>
      </c>
      <c r="N111" s="1623">
        <f>IFERROR(GETPIVOTDATA("合計 / " &amp; $C111,【ピボット】事業所売上!$A$3,"年月",N$2,"事業所",$A111),0)</f>
        <v>0</v>
      </c>
      <c r="O111" s="1623">
        <f>IFERROR(GETPIVOTDATA("合計 / " &amp; $C111,【ピボット】事業所売上!$A$3,"年月",O$2,"事業所",$A111),0)</f>
        <v>0</v>
      </c>
      <c r="P111" s="1623">
        <f>IFERROR(GETPIVOTDATA("合計 / " &amp; $C111,【ピボット】事業所売上!$A$3,"年月",P$2,"事業所",$A111),0)</f>
        <v>0</v>
      </c>
      <c r="Q111" s="1623">
        <f>IFERROR(GETPIVOTDATA("合計 / " &amp; $C111,【ピボット】事業所売上!$A$3,"年月",Q$2,"事業所",$A111),0)</f>
        <v>0</v>
      </c>
      <c r="R111" s="1623">
        <f>IFERROR(GETPIVOTDATA("合計 / " &amp; $C111,【ピボット】事業所売上!$A$3,"年月",R$2,"事業所",$A111),0)</f>
        <v>0</v>
      </c>
      <c r="S111" s="1623">
        <f>IFERROR(GETPIVOTDATA("合計 / " &amp; $C111,【ピボット】事業所売上!$A$3,"年月",S$2,"事業所",$A111),0)</f>
        <v>0</v>
      </c>
      <c r="T111" s="1623">
        <f>IFERROR(GETPIVOTDATA("合計 / " &amp; $C111,【ピボット】事業所売上!$A$3,"年月",T$2,"事業所",$A111),0)</f>
        <v>0</v>
      </c>
      <c r="U111" s="1623">
        <f>IFERROR(GETPIVOTDATA("合計 / " &amp; $C111,【ピボット】事業所売上!$A$3,"年月",U$2,"事業所",$A111),0)</f>
        <v>0</v>
      </c>
      <c r="V111" s="1623">
        <f>IFERROR(GETPIVOTDATA("合計 / " &amp; $C111,【ピボット】事業所売上!$A$3,"年月",V$2,"事業所",$A111),0)</f>
        <v>23800</v>
      </c>
      <c r="W111" s="1623">
        <f>IFERROR(GETPIVOTDATA("合計 / " &amp; $C111,【ピボット】事業所売上!$A$3,"年月",W$2,"事業所",$A111),0)</f>
        <v>30600</v>
      </c>
      <c r="X111" s="1623">
        <f>IFERROR(GETPIVOTDATA("合計 / " &amp; $C111,【ピボット】事業所売上!$A$3,"年月",X$2,"事業所",$A111),0)</f>
        <v>0</v>
      </c>
      <c r="Y111" s="1623">
        <f>IFERROR(GETPIVOTDATA("合計 / " &amp; $C111,【ピボット】事業所売上!$A$3,"年月",Y$2,"事業所",$A111),0)</f>
        <v>0</v>
      </c>
      <c r="Z111" s="1623">
        <f>IFERROR(GETPIVOTDATA("合計 / " &amp; $C111,【ピボット】事業所売上!$A$3,"年月",Z$2,"事業所",$A111),0)</f>
        <v>6800</v>
      </c>
      <c r="AA111" s="1623">
        <f>IFERROR(GETPIVOTDATA("合計 / " &amp; $C111,【ピボット】事業所売上!$A$3,"年月",AA$2,"事業所",$A111),0)</f>
        <v>0</v>
      </c>
      <c r="AB111" s="1561">
        <f ca="1">SUM(OFFSET(AA111,0,当期月数):AA111)</f>
        <v>61200</v>
      </c>
    </row>
    <row r="112" spans="1:28" ht="15.4" hidden="1" customHeight="1" outlineLevel="1" x14ac:dyDescent="0.15">
      <c r="A112" s="1511" t="s">
        <v>678</v>
      </c>
      <c r="B112" s="2052"/>
      <c r="C112" s="1599" t="s">
        <v>12</v>
      </c>
      <c r="D112" s="1623">
        <f>IFERROR(GETPIVOTDATA("合計 / " &amp; $C112,【ピボット】事業所売上!$A$3,"年月",D$2,"事業所",$A112),0)</f>
        <v>78000</v>
      </c>
      <c r="E112" s="1623">
        <f>IFERROR(GETPIVOTDATA("合計 / " &amp; $C112,【ピボット】事業所売上!$A$3,"年月",E$2,"事業所",$A112),0)</f>
        <v>78000</v>
      </c>
      <c r="F112" s="1623">
        <f>IFERROR(GETPIVOTDATA("合計 / " &amp; $C112,【ピボット】事業所売上!$A$3,"年月",F$2,"事業所",$A112),0)</f>
        <v>78000</v>
      </c>
      <c r="G112" s="1623">
        <f>IFERROR(GETPIVOTDATA("合計 / " &amp; $C112,【ピボット】事業所売上!$A$3,"年月",G$2,"事業所",$A112),0)</f>
        <v>78000</v>
      </c>
      <c r="H112" s="1623">
        <f>IFERROR(GETPIVOTDATA("合計 / " &amp; $C112,【ピボット】事業所売上!$A$3,"年月",H$2,"事業所",$A112),0)</f>
        <v>78000</v>
      </c>
      <c r="I112" s="1623">
        <f>IFERROR(GETPIVOTDATA("合計 / " &amp; $C112,【ピボット】事業所売上!$A$3,"年月",I$2,"事業所",$A112),0)</f>
        <v>78000</v>
      </c>
      <c r="J112" s="1623">
        <f>IFERROR(GETPIVOTDATA("合計 / " &amp; $C112,【ピボット】事業所売上!$A$3,"年月",J$2,"事業所",$A112),0)</f>
        <v>78000</v>
      </c>
      <c r="K112" s="1623">
        <f>IFERROR(GETPIVOTDATA("合計 / " &amp; $C112,【ピボット】事業所売上!$A$3,"年月",K$2,"事業所",$A112),0)</f>
        <v>78000</v>
      </c>
      <c r="L112" s="1623">
        <f>IFERROR(GETPIVOTDATA("合計 / " &amp; $C112,【ピボット】事業所売上!$A$3,"年月",L$2,"事業所",$A112),0)</f>
        <v>61000</v>
      </c>
      <c r="M112" s="1623">
        <f>IFERROR(GETPIVOTDATA("合計 / " &amp; $C112,【ピボット】事業所売上!$A$3,"年月",M$2,"事業所",$A112),0)</f>
        <v>61000</v>
      </c>
      <c r="N112" s="1623">
        <f>IFERROR(GETPIVOTDATA("合計 / " &amp; $C112,【ピボット】事業所売上!$A$3,"年月",N$2,"事業所",$A112),0)</f>
        <v>61000</v>
      </c>
      <c r="O112" s="1623">
        <f>IFERROR(GETPIVOTDATA("合計 / " &amp; $C112,【ピボット】事業所売上!$A$3,"年月",O$2,"事業所",$A112),0)</f>
        <v>61000</v>
      </c>
      <c r="P112" s="1623">
        <f>IFERROR(GETPIVOTDATA("合計 / " &amp; $C112,【ピボット】事業所売上!$A$3,"年月",P$2,"事業所",$A112),0)</f>
        <v>61000</v>
      </c>
      <c r="Q112" s="1623">
        <f>IFERROR(GETPIVOTDATA("合計 / " &amp; $C112,【ピボット】事業所売上!$A$3,"年月",Q$2,"事業所",$A112),0)</f>
        <v>61000</v>
      </c>
      <c r="R112" s="1623">
        <f>IFERROR(GETPIVOTDATA("合計 / " &amp; $C112,【ピボット】事業所売上!$A$3,"年月",R$2,"事業所",$A112),0)</f>
        <v>61000</v>
      </c>
      <c r="S112" s="1623">
        <f>IFERROR(GETPIVOTDATA("合計 / " &amp; $C112,【ピボット】事業所売上!$A$3,"年月",S$2,"事業所",$A112),0)</f>
        <v>61000</v>
      </c>
      <c r="T112" s="1623">
        <f>IFERROR(GETPIVOTDATA("合計 / " &amp; $C112,【ピボット】事業所売上!$A$3,"年月",T$2,"事業所",$A112),0)</f>
        <v>78000</v>
      </c>
      <c r="U112" s="1623">
        <f>IFERROR(GETPIVOTDATA("合計 / " &amp; $C112,【ピボット】事業所売上!$A$3,"年月",U$2,"事業所",$A112),0)</f>
        <v>78000</v>
      </c>
      <c r="V112" s="1623">
        <f>IFERROR(GETPIVOTDATA("合計 / " &amp; $C112,【ピボット】事業所売上!$A$3,"年月",V$2,"事業所",$A112),0)</f>
        <v>78000</v>
      </c>
      <c r="W112" s="1623">
        <f>IFERROR(GETPIVOTDATA("合計 / " &amp; $C112,【ピボット】事業所売上!$A$3,"年月",W$2,"事業所",$A112),0)</f>
        <v>78000</v>
      </c>
      <c r="X112" s="1623">
        <f>IFERROR(GETPIVOTDATA("合計 / " &amp; $C112,【ピボット】事業所売上!$A$3,"年月",X$2,"事業所",$A112),0)</f>
        <v>78000</v>
      </c>
      <c r="Y112" s="1623">
        <f>IFERROR(GETPIVOTDATA("合計 / " &amp; $C112,【ピボット】事業所売上!$A$3,"年月",Y$2,"事業所",$A112),0)</f>
        <v>78000</v>
      </c>
      <c r="Z112" s="1623">
        <f>IFERROR(GETPIVOTDATA("合計 / " &amp; $C112,【ピボット】事業所売上!$A$3,"年月",Z$2,"事業所",$A112),0)</f>
        <v>78000</v>
      </c>
      <c r="AA112" s="1623">
        <f>IFERROR(GETPIVOTDATA("合計 / " &amp; $C112,【ピボット】事業所売上!$A$3,"年月",AA$2,"事業所",$A112),0)</f>
        <v>78000</v>
      </c>
      <c r="AB112" s="1561">
        <f ca="1">SUM(OFFSET(AA112,0,当期月数):AA112)</f>
        <v>624000</v>
      </c>
    </row>
    <row r="113" spans="1:28" ht="15.4" hidden="1" customHeight="1" outlineLevel="1" x14ac:dyDescent="0.15">
      <c r="A113" s="1511" t="s">
        <v>678</v>
      </c>
      <c r="B113" s="2052"/>
      <c r="C113" s="1599" t="s">
        <v>469</v>
      </c>
      <c r="D113" s="1623">
        <f>IFERROR(GETPIVOTDATA("合計 / " &amp; $C113,【ピボット】事業所売上!$A$3,"年月",D$2,"事業所",$A113),0)</f>
        <v>-30000</v>
      </c>
      <c r="E113" s="1623">
        <f>IFERROR(GETPIVOTDATA("合計 / " &amp; $C113,【ピボット】事業所売上!$A$3,"年月",E$2,"事業所",$A113),0)</f>
        <v>-30000</v>
      </c>
      <c r="F113" s="1623">
        <f>IFERROR(GETPIVOTDATA("合計 / " &amp; $C113,【ピボット】事業所売上!$A$3,"年月",F$2,"事業所",$A113),0)</f>
        <v>-30000</v>
      </c>
      <c r="G113" s="1623">
        <f>IFERROR(GETPIVOTDATA("合計 / " &amp; $C113,【ピボット】事業所売上!$A$3,"年月",G$2,"事業所",$A113),0)</f>
        <v>-40000</v>
      </c>
      <c r="H113" s="1623">
        <f>IFERROR(GETPIVOTDATA("合計 / " &amp; $C113,【ピボット】事業所売上!$A$3,"年月",H$2,"事業所",$A113),0)</f>
        <v>-40000</v>
      </c>
      <c r="I113" s="1623">
        <f>IFERROR(GETPIVOTDATA("合計 / " &amp; $C113,【ピボット】事業所売上!$A$3,"年月",I$2,"事業所",$A113),0)</f>
        <v>-40000</v>
      </c>
      <c r="J113" s="1623">
        <f>IFERROR(GETPIVOTDATA("合計 / " &amp; $C113,【ピボット】事業所売上!$A$3,"年月",J$2,"事業所",$A113),0)</f>
        <v>-40000</v>
      </c>
      <c r="K113" s="1623">
        <f>IFERROR(GETPIVOTDATA("合計 / " &amp; $C113,【ピボット】事業所売上!$A$3,"年月",K$2,"事業所",$A113),0)</f>
        <v>-40000</v>
      </c>
      <c r="L113" s="1623">
        <f>IFERROR(GETPIVOTDATA("合計 / " &amp; $C113,【ピボット】事業所売上!$A$3,"年月",L$2,"事業所",$A113),0)</f>
        <v>-30000</v>
      </c>
      <c r="M113" s="1623">
        <f>IFERROR(GETPIVOTDATA("合計 / " &amp; $C113,【ピボット】事業所売上!$A$3,"年月",M$2,"事業所",$A113),0)</f>
        <v>-30000</v>
      </c>
      <c r="N113" s="1623">
        <f>IFERROR(GETPIVOTDATA("合計 / " &amp; $C113,【ピボット】事業所売上!$A$3,"年月",N$2,"事業所",$A113),0)</f>
        <v>-30000</v>
      </c>
      <c r="O113" s="1623">
        <f>IFERROR(GETPIVOTDATA("合計 / " &amp; $C113,【ピボット】事業所売上!$A$3,"年月",O$2,"事業所",$A113),0)</f>
        <v>-30000</v>
      </c>
      <c r="P113" s="1623">
        <f>IFERROR(GETPIVOTDATA("合計 / " &amp; $C113,【ピボット】事業所売上!$A$3,"年月",P$2,"事業所",$A113),0)</f>
        <v>-30000</v>
      </c>
      <c r="Q113" s="1623">
        <f>IFERROR(GETPIVOTDATA("合計 / " &amp; $C113,【ピボット】事業所売上!$A$3,"年月",Q$2,"事業所",$A113),0)</f>
        <v>-30000</v>
      </c>
      <c r="R113" s="1623">
        <f>IFERROR(GETPIVOTDATA("合計 / " &amp; $C113,【ピボット】事業所売上!$A$3,"年月",R$2,"事業所",$A113),0)</f>
        <v>-30000</v>
      </c>
      <c r="S113" s="1623">
        <f>IFERROR(GETPIVOTDATA("合計 / " &amp; $C113,【ピボット】事業所売上!$A$3,"年月",S$2,"事業所",$A113),0)</f>
        <v>-30000</v>
      </c>
      <c r="T113" s="1623">
        <f>IFERROR(GETPIVOTDATA("合計 / " &amp; $C113,【ピボット】事業所売上!$A$3,"年月",T$2,"事業所",$A113),0)</f>
        <v>-30000</v>
      </c>
      <c r="U113" s="1623">
        <f>IFERROR(GETPIVOTDATA("合計 / " &amp; $C113,【ピボット】事業所売上!$A$3,"年月",U$2,"事業所",$A113),0)</f>
        <v>-40000</v>
      </c>
      <c r="V113" s="1623">
        <f>IFERROR(GETPIVOTDATA("合計 / " &amp; $C113,【ピボット】事業所売上!$A$3,"年月",V$2,"事業所",$A113),0)</f>
        <v>-40000</v>
      </c>
      <c r="W113" s="1623">
        <f>IFERROR(GETPIVOTDATA("合計 / " &amp; $C113,【ピボット】事業所売上!$A$3,"年月",W$2,"事業所",$A113),0)</f>
        <v>-40000</v>
      </c>
      <c r="X113" s="1623">
        <f>IFERROR(GETPIVOTDATA("合計 / " &amp; $C113,【ピボット】事業所売上!$A$3,"年月",X$2,"事業所",$A113),0)</f>
        <v>-40000</v>
      </c>
      <c r="Y113" s="1623">
        <f>IFERROR(GETPIVOTDATA("合計 / " &amp; $C113,【ピボット】事業所売上!$A$3,"年月",Y$2,"事業所",$A113),0)</f>
        <v>-40000</v>
      </c>
      <c r="Z113" s="1623">
        <f>IFERROR(GETPIVOTDATA("合計 / " &amp; $C113,【ピボット】事業所売上!$A$3,"年月",Z$2,"事業所",$A113),0)</f>
        <v>-40000</v>
      </c>
      <c r="AA113" s="1623">
        <f>IFERROR(GETPIVOTDATA("合計 / " &amp; $C113,【ピボット】事業所売上!$A$3,"年月",AA$2,"事業所",$A113),0)</f>
        <v>-40000</v>
      </c>
      <c r="AB113" s="1561">
        <f ca="1">SUM(OFFSET(AA113,0,当期月数):AA113)</f>
        <v>-310000</v>
      </c>
    </row>
    <row r="114" spans="1:28" ht="15.4" hidden="1" customHeight="1" outlineLevel="1" x14ac:dyDescent="0.15">
      <c r="A114" s="1511" t="s">
        <v>678</v>
      </c>
      <c r="B114" s="2052"/>
      <c r="C114" s="1599" t="s">
        <v>400</v>
      </c>
      <c r="D114" s="1601">
        <f>IFERROR(GETPIVOTDATA("合計 / " &amp; $C114,【ピボット】事業所売上!$A$3,"年月",D$2,"事業所",$A114),0)</f>
        <v>360033</v>
      </c>
      <c r="E114" s="1601">
        <f>IFERROR(GETPIVOTDATA("合計 / " &amp; $C114,【ピボット】事業所売上!$A$3,"年月",E$2,"事業所",$A114),0)</f>
        <v>0</v>
      </c>
      <c r="F114" s="1601">
        <f>IFERROR(GETPIVOTDATA("合計 / " &amp; $C114,【ピボット】事業所売上!$A$3,"年月",F$2,"事業所",$A114),0)</f>
        <v>0</v>
      </c>
      <c r="G114" s="1601">
        <f>IFERROR(GETPIVOTDATA("合計 / " &amp; $C114,【ピボット】事業所売上!$A$3,"年月",G$2,"事業所",$A114),0)</f>
        <v>0</v>
      </c>
      <c r="H114" s="1601">
        <f>IFERROR(GETPIVOTDATA("合計 / " &amp; $C114,【ピボット】事業所売上!$A$3,"年月",H$2,"事業所",$A114),0)</f>
        <v>0</v>
      </c>
      <c r="I114" s="1601">
        <f>IFERROR(GETPIVOTDATA("合計 / " &amp; $C114,【ピボット】事業所売上!$A$3,"年月",I$2,"事業所",$A114),0)</f>
        <v>0</v>
      </c>
      <c r="J114" s="1601">
        <f>IFERROR(GETPIVOTDATA("合計 / " &amp; $C114,【ピボット】事業所売上!$A$3,"年月",J$2,"事業所",$A114),0)</f>
        <v>0</v>
      </c>
      <c r="K114" s="1601">
        <f>IFERROR(GETPIVOTDATA("合計 / " &amp; $C114,【ピボット】事業所売上!$A$3,"年月",K$2,"事業所",$A114),0)</f>
        <v>0</v>
      </c>
      <c r="L114" s="1601">
        <f>IFERROR(GETPIVOTDATA("合計 / " &amp; $C114,【ピボット】事業所売上!$A$3,"年月",L$2,"事業所",$A114),0)</f>
        <v>0</v>
      </c>
      <c r="M114" s="1601">
        <f>IFERROR(GETPIVOTDATA("合計 / " &amp; $C114,【ピボット】事業所売上!$A$3,"年月",M$2,"事業所",$A114),0)</f>
        <v>0</v>
      </c>
      <c r="N114" s="1601">
        <f>IFERROR(GETPIVOTDATA("合計 / " &amp; $C114,【ピボット】事業所売上!$A$3,"年月",N$2,"事業所",$A114),0)</f>
        <v>0</v>
      </c>
      <c r="O114" s="1601">
        <f>IFERROR(GETPIVOTDATA("合計 / " &amp; $C114,【ピボット】事業所売上!$A$3,"年月",O$2,"事業所",$A114),0)</f>
        <v>51304</v>
      </c>
      <c r="P114" s="1601">
        <f>IFERROR(GETPIVOTDATA("合計 / " &amp; $C114,【ピボット】事業所売上!$A$3,"年月",P$2,"事業所",$A114),0)</f>
        <v>533442</v>
      </c>
      <c r="Q114" s="1601">
        <f>IFERROR(GETPIVOTDATA("合計 / " &amp; $C114,【ピボット】事業所売上!$A$3,"年月",Q$2,"事業所",$A114),0)</f>
        <v>0</v>
      </c>
      <c r="R114" s="1601">
        <f>IFERROR(GETPIVOTDATA("合計 / " &amp; $C114,【ピボット】事業所売上!$A$3,"年月",R$2,"事業所",$A114),0)</f>
        <v>0</v>
      </c>
      <c r="S114" s="1601">
        <f>IFERROR(GETPIVOTDATA("合計 / " &amp; $C114,【ピボット】事業所売上!$A$3,"年月",S$2,"事業所",$A114),0)</f>
        <v>0</v>
      </c>
      <c r="T114" s="1601">
        <f>IFERROR(GETPIVOTDATA("合計 / " &amp; $C114,【ピボット】事業所売上!$A$3,"年月",T$2,"事業所",$A114),0)</f>
        <v>0</v>
      </c>
      <c r="U114" s="1601">
        <f>IFERROR(GETPIVOTDATA("合計 / " &amp; $C114,【ピボット】事業所売上!$A$3,"年月",U$2,"事業所",$A114),0)</f>
        <v>0</v>
      </c>
      <c r="V114" s="1601">
        <f>IFERROR(GETPIVOTDATA("合計 / " &amp; $C114,【ピボット】事業所売上!$A$3,"年月",V$2,"事業所",$A114),0)</f>
        <v>0</v>
      </c>
      <c r="W114" s="1601">
        <f>IFERROR(GETPIVOTDATA("合計 / " &amp; $C114,【ピボット】事業所売上!$A$3,"年月",W$2,"事業所",$A114),0)</f>
        <v>0</v>
      </c>
      <c r="X114" s="1601">
        <f>IFERROR(GETPIVOTDATA("合計 / " &amp; $C114,【ピボット】事業所売上!$A$3,"年月",X$2,"事業所",$A114),0)</f>
        <v>127000</v>
      </c>
      <c r="Y114" s="1601">
        <f>IFERROR(GETPIVOTDATA("合計 / " &amp; $C114,【ピボット】事業所売上!$A$3,"年月",Y$2,"事業所",$A114),0)</f>
        <v>0</v>
      </c>
      <c r="Z114" s="1601">
        <f>IFERROR(GETPIVOTDATA("合計 / " &amp; $C114,【ピボット】事業所売上!$A$3,"年月",Z$2,"事業所",$A114),0)</f>
        <v>0</v>
      </c>
      <c r="AA114" s="1601">
        <f>IFERROR(GETPIVOTDATA("合計 / " &amp; $C114,【ピボット】事業所売上!$A$3,"年月",AA$2,"事業所",$A114),0)</f>
        <v>13336</v>
      </c>
      <c r="AB114" s="1561">
        <f ca="1">SUM(OFFSET(AA114,0,当期月数):AA114)</f>
        <v>140336</v>
      </c>
    </row>
    <row r="115" spans="1:28" ht="15.4" hidden="1" customHeight="1" outlineLevel="1" thickBot="1" x14ac:dyDescent="0.2">
      <c r="B115" s="2055"/>
      <c r="C115" s="1606" t="s">
        <v>11</v>
      </c>
      <c r="D115" s="1607">
        <f t="shared" ref="D115:L115" si="41">SUM(D110:D114)</f>
        <v>408033</v>
      </c>
      <c r="E115" s="1607">
        <f t="shared" si="41"/>
        <v>2686373</v>
      </c>
      <c r="F115" s="1607">
        <f t="shared" si="41"/>
        <v>1273066</v>
      </c>
      <c r="G115" s="1607">
        <f t="shared" si="41"/>
        <v>1036363</v>
      </c>
      <c r="H115" s="1607">
        <f t="shared" si="41"/>
        <v>1236162</v>
      </c>
      <c r="I115" s="1607">
        <f t="shared" si="41"/>
        <v>1051496</v>
      </c>
      <c r="J115" s="1607">
        <f t="shared" si="41"/>
        <v>1225409</v>
      </c>
      <c r="K115" s="1607">
        <f t="shared" si="41"/>
        <v>1036248</v>
      </c>
      <c r="L115" s="1607">
        <f t="shared" si="41"/>
        <v>809040</v>
      </c>
      <c r="M115" s="1607">
        <f t="shared" ref="M115:AA115" si="42">SUM(M110:M114)</f>
        <v>741413</v>
      </c>
      <c r="N115" s="1607">
        <f t="shared" si="42"/>
        <v>820390</v>
      </c>
      <c r="O115" s="1607">
        <f t="shared" si="42"/>
        <v>859760</v>
      </c>
      <c r="P115" s="1607">
        <f t="shared" si="42"/>
        <v>1366814</v>
      </c>
      <c r="Q115" s="1607">
        <f t="shared" si="42"/>
        <v>548955</v>
      </c>
      <c r="R115" s="1607">
        <f t="shared" si="42"/>
        <v>1159974</v>
      </c>
      <c r="S115" s="1607">
        <f t="shared" si="42"/>
        <v>870546</v>
      </c>
      <c r="T115" s="1607">
        <f t="shared" si="42"/>
        <v>861636</v>
      </c>
      <c r="U115" s="1607">
        <f t="shared" si="42"/>
        <v>1139110</v>
      </c>
      <c r="V115" s="1607">
        <f t="shared" si="42"/>
        <v>1134937</v>
      </c>
      <c r="W115" s="1607">
        <f t="shared" si="42"/>
        <v>1175963</v>
      </c>
      <c r="X115" s="1607">
        <f t="shared" si="42"/>
        <v>1272363</v>
      </c>
      <c r="Y115" s="1607">
        <f t="shared" si="42"/>
        <v>1036423</v>
      </c>
      <c r="Z115" s="1607">
        <f t="shared" si="42"/>
        <v>1027444</v>
      </c>
      <c r="AA115" s="1607">
        <f t="shared" si="42"/>
        <v>1077061</v>
      </c>
      <c r="AB115" s="1608">
        <f ca="1">SUM(OFFSET(AA115,0,当期月数):AA115)</f>
        <v>8724937</v>
      </c>
    </row>
    <row r="116" spans="1:28" ht="15.4" hidden="1" customHeight="1" outlineLevel="1" x14ac:dyDescent="0.15">
      <c r="A116" s="1511" t="s">
        <v>679</v>
      </c>
      <c r="B116" s="2052" t="s">
        <v>310</v>
      </c>
      <c r="C116" s="1609" t="s">
        <v>139</v>
      </c>
      <c r="D116" s="1589">
        <f>IFERROR(GETPIVOTDATA("合計 / " &amp; $C116,【ピボット】事業所売上!$A$3,"年月",D$2,"事業所",$A116),0)</f>
        <v>0</v>
      </c>
      <c r="E116" s="1589">
        <f>IFERROR(GETPIVOTDATA("合計 / " &amp; $C116,【ピボット】事業所売上!$A$3,"年月",E$2,"事業所",$A116),0)</f>
        <v>2247072</v>
      </c>
      <c r="F116" s="1589">
        <f>IFERROR(GETPIVOTDATA("合計 / " &amp; $C116,【ピボット】事業所売上!$A$3,"年月",F$2,"事業所",$A116),0)</f>
        <v>983492</v>
      </c>
      <c r="G116" s="1589">
        <f>IFERROR(GETPIVOTDATA("合計 / " &amp; $C116,【ピボット】事業所売上!$A$3,"年月",G$2,"事業所",$A116),0)</f>
        <v>983492</v>
      </c>
      <c r="H116" s="1589">
        <f>IFERROR(GETPIVOTDATA("合計 / " &amp; $C116,【ピボット】事業所売上!$A$3,"年月",H$2,"事業所",$A116),0)</f>
        <v>937378</v>
      </c>
      <c r="I116" s="1589">
        <f>IFERROR(GETPIVOTDATA("合計 / " &amp; $C116,【ピボット】事業所売上!$A$3,"年月",I$2,"事業所",$A116),0)</f>
        <v>983492</v>
      </c>
      <c r="J116" s="1589">
        <f>IFERROR(GETPIVOTDATA("合計 / " &amp; $C116,【ピボット】事業所売上!$A$3,"年月",J$2,"事業所",$A116),0)</f>
        <v>922792</v>
      </c>
      <c r="K116" s="1589">
        <f>IFERROR(GETPIVOTDATA("合計 / " &amp; $C116,【ピボット】事業所売上!$A$3,"年月",K$2,"事業所",$A116),0)</f>
        <v>983492</v>
      </c>
      <c r="L116" s="1589">
        <f>IFERROR(GETPIVOTDATA("合計 / " &amp; $C116,【ピボット】事業所売上!$A$3,"年月",L$2,"事業所",$A116),0)</f>
        <v>938092</v>
      </c>
      <c r="M116" s="1589">
        <f>IFERROR(GETPIVOTDATA("合計 / " &amp; $C116,【ピボット】事業所売上!$A$3,"年月",M$2,"事業所",$A116),0)</f>
        <v>861922</v>
      </c>
      <c r="N116" s="1589">
        <f>IFERROR(GETPIVOTDATA("合計 / " &amp; $C116,【ピボット】事業所売上!$A$3,"年月",N$2,"事業所",$A116),0)</f>
        <v>847336</v>
      </c>
      <c r="O116" s="1589">
        <f>IFERROR(GETPIVOTDATA("合計 / " &amp; $C116,【ピボット】事業所売上!$A$3,"年月",O$2,"事業所",$A116),0)</f>
        <v>960460</v>
      </c>
      <c r="P116" s="1589">
        <f>IFERROR(GETPIVOTDATA("合計 / " &amp; $C116,【ピボット】事業所売上!$A$3,"年月",P$2,"事業所",$A116),0)</f>
        <v>1007268</v>
      </c>
      <c r="Q116" s="1589">
        <f>IFERROR(GETPIVOTDATA("合計 / " &amp; $C116,【ピボット】事業所売上!$A$3,"年月",Q$2,"事業所",$A116),0)</f>
        <v>976056</v>
      </c>
      <c r="R116" s="1589">
        <f>IFERROR(GETPIVOTDATA("合計 / " &amp; $C116,【ピボット】事業所売上!$A$3,"年月",R$2,"事業所",$A116),0)</f>
        <v>1007268</v>
      </c>
      <c r="S116" s="1589">
        <f>IFERROR(GETPIVOTDATA("合計 / " &amp; $C116,【ピボット】事業所売上!$A$3,"年月",S$2,"事業所",$A116),0)</f>
        <v>827999</v>
      </c>
      <c r="T116" s="1589">
        <f>IFERROR(GETPIVOTDATA("合計 / " &amp; $C116,【ピボット】事業所売上!$A$3,"年月",T$2,"事業所",$A116),0)</f>
        <v>1003585</v>
      </c>
      <c r="U116" s="1589">
        <f>IFERROR(GETPIVOTDATA("合計 / " &amp; $C116,【ピボット】事業所売上!$A$3,"年月",U$2,"事業所",$A116),0)</f>
        <v>1019657</v>
      </c>
      <c r="V116" s="1589">
        <f>IFERROR(GETPIVOTDATA("合計 / " &amp; $C116,【ピボット】事業所売上!$A$3,"年月",V$2,"事業所",$A116),0)</f>
        <v>1012236</v>
      </c>
      <c r="W116" s="1589">
        <f>IFERROR(GETPIVOTDATA("合計 / " &amp; $C116,【ピボット】事業所売上!$A$3,"年月",W$2,"事業所",$A116),0)</f>
        <v>1044442</v>
      </c>
      <c r="X116" s="1589">
        <f>IFERROR(GETPIVOTDATA("合計 / " &amp; $C116,【ピボット】事業所売上!$A$3,"年月",X$2,"事業所",$A116),0)</f>
        <v>1044442</v>
      </c>
      <c r="Y116" s="1589">
        <f>IFERROR(GETPIVOTDATA("合計 / " &amp; $C116,【ピボット】事業所売上!$A$3,"年月",Y$2,"事業所",$A116),0)</f>
        <v>937836</v>
      </c>
      <c r="Z116" s="1589">
        <f>IFERROR(GETPIVOTDATA("合計 / " &amp; $C116,【ピボット】事業所売上!$A$3,"年月",Z$2,"事業所",$A116),0)</f>
        <v>915793</v>
      </c>
      <c r="AA116" s="1589">
        <f>IFERROR(GETPIVOTDATA("合計 / " &amp; $C116,【ピボット】事業所売上!$A$3,"年月",AA$2,"事業所",$A116),0)</f>
        <v>746482</v>
      </c>
      <c r="AB116" s="1590">
        <f ca="1">SUM(OFFSET(AA116,0,当期月数):AA116)</f>
        <v>7724473</v>
      </c>
    </row>
    <row r="117" spans="1:28" ht="15.4" hidden="1" customHeight="1" outlineLevel="1" x14ac:dyDescent="0.15">
      <c r="A117" s="1511" t="s">
        <v>679</v>
      </c>
      <c r="B117" s="2052" t="s">
        <v>3</v>
      </c>
      <c r="C117" s="1599" t="s">
        <v>7</v>
      </c>
      <c r="D117" s="1623">
        <f>IFERROR(GETPIVOTDATA("合計 / " &amp; $C117,【ピボット】事業所売上!$A$3,"年月",D$2,"事業所",$A117),0)</f>
        <v>20000</v>
      </c>
      <c r="E117" s="1623">
        <f>IFERROR(GETPIVOTDATA("合計 / " &amp; $C117,【ピボット】事業所売上!$A$3,"年月",E$2,"事業所",$A117),0)</f>
        <v>20000</v>
      </c>
      <c r="F117" s="1623">
        <f>IFERROR(GETPIVOTDATA("合計 / " &amp; $C117,【ピボット】事業所売上!$A$3,"年月",F$2,"事業所",$A117),0)</f>
        <v>20000</v>
      </c>
      <c r="G117" s="1623">
        <f>IFERROR(GETPIVOTDATA("合計 / " &amp; $C117,【ピボット】事業所売上!$A$3,"年月",G$2,"事業所",$A117),0)</f>
        <v>20000</v>
      </c>
      <c r="H117" s="1623">
        <f>IFERROR(GETPIVOTDATA("合計 / " &amp; $C117,【ピボット】事業所売上!$A$3,"年月",H$2,"事業所",$A117),0)</f>
        <v>20000</v>
      </c>
      <c r="I117" s="1623">
        <f>IFERROR(GETPIVOTDATA("合計 / " &amp; $C117,【ピボット】事業所売上!$A$3,"年月",I$2,"事業所",$A117),0)</f>
        <v>20000</v>
      </c>
      <c r="J117" s="1623">
        <f>IFERROR(GETPIVOTDATA("合計 / " &amp; $C117,【ピボット】事業所売上!$A$3,"年月",J$2,"事業所",$A117),0)</f>
        <v>20000</v>
      </c>
      <c r="K117" s="1623">
        <f>IFERROR(GETPIVOTDATA("合計 / " &amp; $C117,【ピボット】事業所売上!$A$3,"年月",K$2,"事業所",$A117),0)</f>
        <v>20000</v>
      </c>
      <c r="L117" s="1623">
        <f>IFERROR(GETPIVOTDATA("合計 / " &amp; $C117,【ピボット】事業所売上!$A$3,"年月",L$2,"事業所",$A117),0)</f>
        <v>20000</v>
      </c>
      <c r="M117" s="1623">
        <f>IFERROR(GETPIVOTDATA("合計 / " &amp; $C117,【ピボット】事業所売上!$A$3,"年月",M$2,"事業所",$A117),0)</f>
        <v>20000</v>
      </c>
      <c r="N117" s="1623">
        <f>IFERROR(GETPIVOTDATA("合計 / " &amp; $C117,【ピボット】事業所売上!$A$3,"年月",N$2,"事業所",$A117),0)</f>
        <v>20000</v>
      </c>
      <c r="O117" s="1623">
        <f>IFERROR(GETPIVOTDATA("合計 / " &amp; $C117,【ピボット】事業所売上!$A$3,"年月",O$2,"事業所",$A117),0)</f>
        <v>20000</v>
      </c>
      <c r="P117" s="1623">
        <f>IFERROR(GETPIVOTDATA("合計 / " &amp; $C117,【ピボット】事業所売上!$A$3,"年月",P$2,"事業所",$A117),0)</f>
        <v>20000</v>
      </c>
      <c r="Q117" s="1623">
        <f>IFERROR(GETPIVOTDATA("合計 / " &amp; $C117,【ピボット】事業所売上!$A$3,"年月",Q$2,"事業所",$A117),0)</f>
        <v>20000</v>
      </c>
      <c r="R117" s="1623">
        <f>IFERROR(GETPIVOTDATA("合計 / " &amp; $C117,【ピボット】事業所売上!$A$3,"年月",R$2,"事業所",$A117),0)</f>
        <v>20000</v>
      </c>
      <c r="S117" s="1623">
        <f>IFERROR(GETPIVOTDATA("合計 / " &amp; $C117,【ピボット】事業所売上!$A$3,"年月",S$2,"事業所",$A117),0)</f>
        <v>38000</v>
      </c>
      <c r="T117" s="1623">
        <f>IFERROR(GETPIVOTDATA("合計 / " &amp; $C117,【ピボット】事業所売上!$A$3,"年月",T$2,"事業所",$A117),0)</f>
        <v>0</v>
      </c>
      <c r="U117" s="1623">
        <f>IFERROR(GETPIVOTDATA("合計 / " &amp; $C117,【ピボット】事業所売上!$A$3,"年月",U$2,"事業所",$A117),0)</f>
        <v>0</v>
      </c>
      <c r="V117" s="1623">
        <f>IFERROR(GETPIVOTDATA("合計 / " &amp; $C117,【ピボット】事業所売上!$A$3,"年月",V$2,"事業所",$A117),0)</f>
        <v>0</v>
      </c>
      <c r="W117" s="1623">
        <f>IFERROR(GETPIVOTDATA("合計 / " &amp; $C117,【ピボット】事業所売上!$A$3,"年月",W$2,"事業所",$A117),0)</f>
        <v>0</v>
      </c>
      <c r="X117" s="1623">
        <f>IFERROR(GETPIVOTDATA("合計 / " &amp; $C117,【ピボット】事業所売上!$A$3,"年月",X$2,"事業所",$A117),0)</f>
        <v>0</v>
      </c>
      <c r="Y117" s="1623">
        <f>IFERROR(GETPIVOTDATA("合計 / " &amp; $C117,【ピボット】事業所売上!$A$3,"年月",Y$2,"事業所",$A117),0)</f>
        <v>0</v>
      </c>
      <c r="Z117" s="1623">
        <f>IFERROR(GETPIVOTDATA("合計 / " &amp; $C117,【ピボット】事業所売上!$A$3,"年月",Z$2,"事業所",$A117),0)</f>
        <v>0</v>
      </c>
      <c r="AA117" s="1623">
        <f>IFERROR(GETPIVOTDATA("合計 / " &amp; $C117,【ピボット】事業所売上!$A$3,"年月",AA$2,"事業所",$A117),0)</f>
        <v>0</v>
      </c>
      <c r="AB117" s="1561">
        <f ca="1">SUM(OFFSET(AA117,0,当期月数):AA117)</f>
        <v>0</v>
      </c>
    </row>
    <row r="118" spans="1:28" ht="15.4" hidden="1" customHeight="1" outlineLevel="1" x14ac:dyDescent="0.15">
      <c r="A118" s="1511" t="s">
        <v>679</v>
      </c>
      <c r="B118" s="2052"/>
      <c r="C118" s="1599" t="s">
        <v>12</v>
      </c>
      <c r="D118" s="1623">
        <f>IFERROR(GETPIVOTDATA("合計 / " &amp; $C118,【ピボット】事業所売上!$A$3,"年月",D$2,"事業所",$A118),0)</f>
        <v>81300</v>
      </c>
      <c r="E118" s="1623">
        <f>IFERROR(GETPIVOTDATA("合計 / " &amp; $C118,【ピボット】事業所売上!$A$3,"年月",E$2,"事業所",$A118),0)</f>
        <v>98000</v>
      </c>
      <c r="F118" s="1623">
        <f>IFERROR(GETPIVOTDATA("合計 / " &amp; $C118,【ピボット】事業所売上!$A$3,"年月",F$2,"事業所",$A118),0)</f>
        <v>98000</v>
      </c>
      <c r="G118" s="1623">
        <f>IFERROR(GETPIVOTDATA("合計 / " &amp; $C118,【ピボット】事業所売上!$A$3,"年月",G$2,"事業所",$A118),0)</f>
        <v>98000</v>
      </c>
      <c r="H118" s="1623">
        <f>IFERROR(GETPIVOTDATA("合計 / " &amp; $C118,【ピボット】事業所売上!$A$3,"年月",H$2,"事業所",$A118),0)</f>
        <v>98000</v>
      </c>
      <c r="I118" s="1623">
        <f>IFERROR(GETPIVOTDATA("合計 / " &amp; $C118,【ピボット】事業所売上!$A$3,"年月",I$2,"事業所",$A118),0)</f>
        <v>98000</v>
      </c>
      <c r="J118" s="1623">
        <f>IFERROR(GETPIVOTDATA("合計 / " &amp; $C118,【ピボット】事業所売上!$A$3,"年月",J$2,"事業所",$A118),0)</f>
        <v>98000</v>
      </c>
      <c r="K118" s="1623">
        <f>IFERROR(GETPIVOTDATA("合計 / " &amp; $C118,【ピボット】事業所売上!$A$3,"年月",K$2,"事業所",$A118),0)</f>
        <v>98000</v>
      </c>
      <c r="L118" s="1623">
        <f>IFERROR(GETPIVOTDATA("合計 / " &amp; $C118,【ピボット】事業所売上!$A$3,"年月",L$2,"事業所",$A118),0)</f>
        <v>98000</v>
      </c>
      <c r="M118" s="1623">
        <f>IFERROR(GETPIVOTDATA("合計 / " &amp; $C118,【ピボット】事業所売上!$A$3,"年月",M$2,"事業所",$A118),0)</f>
        <v>98000</v>
      </c>
      <c r="N118" s="1623">
        <f>IFERROR(GETPIVOTDATA("合計 / " &amp; $C118,【ピボット】事業所売上!$A$3,"年月",N$2,"事業所",$A118),0)</f>
        <v>98000</v>
      </c>
      <c r="O118" s="1623">
        <f>IFERROR(GETPIVOTDATA("合計 / " &amp; $C118,【ピボット】事業所売上!$A$3,"年月",O$2,"事業所",$A118),0)</f>
        <v>98000</v>
      </c>
      <c r="P118" s="1623">
        <f>IFERROR(GETPIVOTDATA("合計 / " &amp; $C118,【ピボット】事業所売上!$A$3,"年月",P$2,"事業所",$A118),0)</f>
        <v>98000</v>
      </c>
      <c r="Q118" s="1623">
        <f>IFERROR(GETPIVOTDATA("合計 / " &amp; $C118,【ピボット】事業所売上!$A$3,"年月",Q$2,"事業所",$A118),0)</f>
        <v>98000</v>
      </c>
      <c r="R118" s="1623">
        <f>IFERROR(GETPIVOTDATA("合計 / " &amp; $C118,【ピボット】事業所売上!$A$3,"年月",R$2,"事業所",$A118),0)</f>
        <v>98000</v>
      </c>
      <c r="S118" s="1623">
        <f>IFERROR(GETPIVOTDATA("合計 / " &amp; $C118,【ピボット】事業所売上!$A$3,"年月",S$2,"事業所",$A118),0)</f>
        <v>98000</v>
      </c>
      <c r="T118" s="1623">
        <f>IFERROR(GETPIVOTDATA("合計 / " &amp; $C118,【ピボット】事業所売上!$A$3,"年月",T$2,"事業所",$A118),0)</f>
        <v>86500</v>
      </c>
      <c r="U118" s="1623">
        <f>IFERROR(GETPIVOTDATA("合計 / " &amp; $C118,【ピボット】事業所売上!$A$3,"年月",U$2,"事業所",$A118),0)</f>
        <v>98000</v>
      </c>
      <c r="V118" s="1623">
        <f>IFERROR(GETPIVOTDATA("合計 / " &amp; $C118,【ピボット】事業所売上!$A$3,"年月",V$2,"事業所",$A118),0)</f>
        <v>98000</v>
      </c>
      <c r="W118" s="1623">
        <f>IFERROR(GETPIVOTDATA("合計 / " &amp; $C118,【ピボット】事業所売上!$A$3,"年月",W$2,"事業所",$A118),0)</f>
        <v>98000</v>
      </c>
      <c r="X118" s="1623">
        <f>IFERROR(GETPIVOTDATA("合計 / " &amp; $C118,【ピボット】事業所売上!$A$3,"年月",X$2,"事業所",$A118),0)</f>
        <v>98000</v>
      </c>
      <c r="Y118" s="1623">
        <f>IFERROR(GETPIVOTDATA("合計 / " &amp; $C118,【ピボット】事業所売上!$A$3,"年月",Y$2,"事業所",$A118),0)</f>
        <v>98000</v>
      </c>
      <c r="Z118" s="1623">
        <f>IFERROR(GETPIVOTDATA("合計 / " &amp; $C118,【ピボット】事業所売上!$A$3,"年月",Z$2,"事業所",$A118),0)</f>
        <v>98000</v>
      </c>
      <c r="AA118" s="1623">
        <f>IFERROR(GETPIVOTDATA("合計 / " &amp; $C118,【ピボット】事業所売上!$A$3,"年月",AA$2,"事業所",$A118),0)</f>
        <v>81000</v>
      </c>
      <c r="AB118" s="1561">
        <f ca="1">SUM(OFFSET(AA118,0,当期月数):AA118)</f>
        <v>755500</v>
      </c>
    </row>
    <row r="119" spans="1:28" ht="15.4" hidden="1" customHeight="1" outlineLevel="1" x14ac:dyDescent="0.15">
      <c r="A119" s="1511" t="s">
        <v>679</v>
      </c>
      <c r="B119" s="2052"/>
      <c r="C119" s="1599" t="s">
        <v>469</v>
      </c>
      <c r="D119" s="1623">
        <f>IFERROR(GETPIVOTDATA("合計 / " &amp; $C119,【ピボット】事業所売上!$A$3,"年月",D$2,"事業所",$A119),0)</f>
        <v>0</v>
      </c>
      <c r="E119" s="1623">
        <f>IFERROR(GETPIVOTDATA("合計 / " &amp; $C119,【ピボット】事業所売上!$A$3,"年月",E$2,"事業所",$A119),0)</f>
        <v>-290000</v>
      </c>
      <c r="F119" s="1623">
        <f>IFERROR(GETPIVOTDATA("合計 / " &amp; $C119,【ピボット】事業所売上!$A$3,"年月",F$2,"事業所",$A119),0)</f>
        <v>0</v>
      </c>
      <c r="G119" s="1623">
        <f>IFERROR(GETPIVOTDATA("合計 / " &amp; $C119,【ピボット】事業所売上!$A$3,"年月",G$2,"事業所",$A119),0)</f>
        <v>-100000</v>
      </c>
      <c r="H119" s="1623">
        <f>IFERROR(GETPIVOTDATA("合計 / " &amp; $C119,【ピボット】事業所売上!$A$3,"年月",H$2,"事業所",$A119),0)</f>
        <v>-40000</v>
      </c>
      <c r="I119" s="1623">
        <f>IFERROR(GETPIVOTDATA("合計 / " &amp; $C119,【ピボット】事業所売上!$A$3,"年月",I$2,"事業所",$A119),0)</f>
        <v>-40000</v>
      </c>
      <c r="J119" s="1623">
        <f>IFERROR(GETPIVOTDATA("合計 / " &amp; $C119,【ピボット】事業所売上!$A$3,"年月",J$2,"事業所",$A119),0)</f>
        <v>-40000</v>
      </c>
      <c r="K119" s="1623">
        <f>IFERROR(GETPIVOTDATA("合計 / " &amp; $C119,【ピボット】事業所売上!$A$3,"年月",K$2,"事業所",$A119),0)</f>
        <v>-40000</v>
      </c>
      <c r="L119" s="1623">
        <f>IFERROR(GETPIVOTDATA("合計 / " &amp; $C119,【ピボット】事業所売上!$A$3,"年月",L$2,"事業所",$A119),0)</f>
        <v>-40000</v>
      </c>
      <c r="M119" s="1623">
        <f>IFERROR(GETPIVOTDATA("合計 / " &amp; $C119,【ピボット】事業所売上!$A$3,"年月",M$2,"事業所",$A119),0)</f>
        <v>-40000</v>
      </c>
      <c r="N119" s="1623">
        <f>IFERROR(GETPIVOTDATA("合計 / " &amp; $C119,【ピボット】事業所売上!$A$3,"年月",N$2,"事業所",$A119),0)</f>
        <v>-40000</v>
      </c>
      <c r="O119" s="1623">
        <f>IFERROR(GETPIVOTDATA("合計 / " &amp; $C119,【ピボット】事業所売上!$A$3,"年月",O$2,"事業所",$A119),0)</f>
        <v>-40000</v>
      </c>
      <c r="P119" s="1623">
        <f>IFERROR(GETPIVOTDATA("合計 / " &amp; $C119,【ピボット】事業所売上!$A$3,"年月",P$2,"事業所",$A119),0)</f>
        <v>-40000</v>
      </c>
      <c r="Q119" s="1623">
        <f>IFERROR(GETPIVOTDATA("合計 / " &amp; $C119,【ピボット】事業所売上!$A$3,"年月",Q$2,"事業所",$A119),0)</f>
        <v>-40000</v>
      </c>
      <c r="R119" s="1623">
        <f>IFERROR(GETPIVOTDATA("合計 / " &amp; $C119,【ピボット】事業所売上!$A$3,"年月",R$2,"事業所",$A119),0)</f>
        <v>-40000</v>
      </c>
      <c r="S119" s="1623">
        <f>IFERROR(GETPIVOTDATA("合計 / " &amp; $C119,【ピボット】事業所売上!$A$3,"年月",S$2,"事業所",$A119),0)</f>
        <v>-40000</v>
      </c>
      <c r="T119" s="1623">
        <f>IFERROR(GETPIVOTDATA("合計 / " &amp; $C119,【ピボット】事業所売上!$A$3,"年月",T$2,"事業所",$A119),0)</f>
        <v>-40000</v>
      </c>
      <c r="U119" s="1623">
        <f>IFERROR(GETPIVOTDATA("合計 / " &amp; $C119,【ピボット】事業所売上!$A$3,"年月",U$2,"事業所",$A119),0)</f>
        <v>-30000</v>
      </c>
      <c r="V119" s="1623">
        <f>IFERROR(GETPIVOTDATA("合計 / " &amp; $C119,【ピボット】事業所売上!$A$3,"年月",V$2,"事業所",$A119),0)</f>
        <v>-40000</v>
      </c>
      <c r="W119" s="1623">
        <f>IFERROR(GETPIVOTDATA("合計 / " &amp; $C119,【ピボット】事業所売上!$A$3,"年月",W$2,"事業所",$A119),0)</f>
        <v>-40000</v>
      </c>
      <c r="X119" s="1623">
        <f>IFERROR(GETPIVOTDATA("合計 / " &amp; $C119,【ピボット】事業所売上!$A$3,"年月",X$2,"事業所",$A119),0)</f>
        <v>-40000</v>
      </c>
      <c r="Y119" s="1623">
        <f>IFERROR(GETPIVOTDATA("合計 / " &amp; $C119,【ピボット】事業所売上!$A$3,"年月",Y$2,"事業所",$A119),0)</f>
        <v>-30000</v>
      </c>
      <c r="Z119" s="1623">
        <f>IFERROR(GETPIVOTDATA("合計 / " &amp; $C119,【ピボット】事業所売上!$A$3,"年月",Z$2,"事業所",$A119),0)</f>
        <v>-40000</v>
      </c>
      <c r="AA119" s="1623">
        <f>IFERROR(GETPIVOTDATA("合計 / " &amp; $C119,【ピボット】事業所売上!$A$3,"年月",AA$2,"事業所",$A119),0)</f>
        <v>-30000</v>
      </c>
      <c r="AB119" s="1561">
        <f ca="1">SUM(OFFSET(AA119,0,当期月数):AA119)</f>
        <v>-290000</v>
      </c>
    </row>
    <row r="120" spans="1:28" ht="15.4" hidden="1" customHeight="1" outlineLevel="1" x14ac:dyDescent="0.15">
      <c r="A120" s="1511" t="s">
        <v>679</v>
      </c>
      <c r="B120" s="2052"/>
      <c r="C120" s="1599" t="s">
        <v>400</v>
      </c>
      <c r="D120" s="1601">
        <f>IFERROR(GETPIVOTDATA("合計 / " &amp; $C120,【ピボット】事業所売上!$A$3,"年月",D$2,"事業所",$A120),0)</f>
        <v>1018331</v>
      </c>
      <c r="E120" s="1601">
        <f>IFERROR(GETPIVOTDATA("合計 / " &amp; $C120,【ピボット】事業所売上!$A$3,"年月",E$2,"事業所",$A120),0)</f>
        <v>0</v>
      </c>
      <c r="F120" s="1601">
        <f>IFERROR(GETPIVOTDATA("合計 / " &amp; $C120,【ピボット】事業所売上!$A$3,"年月",F$2,"事業所",$A120),0)</f>
        <v>0</v>
      </c>
      <c r="G120" s="1601">
        <f>IFERROR(GETPIVOTDATA("合計 / " &amp; $C120,【ピボット】事業所売上!$A$3,"年月",G$2,"事業所",$A120),0)</f>
        <v>0</v>
      </c>
      <c r="H120" s="1601">
        <f>IFERROR(GETPIVOTDATA("合計 / " &amp; $C120,【ピボット】事業所売上!$A$3,"年月",H$2,"事業所",$A120),0)</f>
        <v>0</v>
      </c>
      <c r="I120" s="1601">
        <f>IFERROR(GETPIVOTDATA("合計 / " &amp; $C120,【ピボット】事業所売上!$A$3,"年月",I$2,"事業所",$A120),0)</f>
        <v>0</v>
      </c>
      <c r="J120" s="1601">
        <f>IFERROR(GETPIVOTDATA("合計 / " &amp; $C120,【ピボット】事業所売上!$A$3,"年月",J$2,"事業所",$A120),0)</f>
        <v>0</v>
      </c>
      <c r="K120" s="1601">
        <f>IFERROR(GETPIVOTDATA("合計 / " &amp; $C120,【ピボット】事業所売上!$A$3,"年月",K$2,"事業所",$A120),0)</f>
        <v>0</v>
      </c>
      <c r="L120" s="1601">
        <f>IFERROR(GETPIVOTDATA("合計 / " &amp; $C120,【ピボット】事業所売上!$A$3,"年月",L$2,"事業所",$A120),0)</f>
        <v>0</v>
      </c>
      <c r="M120" s="1601">
        <f>IFERROR(GETPIVOTDATA("合計 / " &amp; $C120,【ピボット】事業所売上!$A$3,"年月",M$2,"事業所",$A120),0)</f>
        <v>0</v>
      </c>
      <c r="N120" s="1601">
        <f>IFERROR(GETPIVOTDATA("合計 / " &amp; $C120,【ピボット】事業所売上!$A$3,"年月",N$2,"事業所",$A120),0)</f>
        <v>280500</v>
      </c>
      <c r="O120" s="1601">
        <f>IFERROR(GETPIVOTDATA("合計 / " &amp; $C120,【ピボット】事業所売上!$A$3,"年月",O$2,"事業所",$A120),0)</f>
        <v>0</v>
      </c>
      <c r="P120" s="1601">
        <f>IFERROR(GETPIVOTDATA("合計 / " &amp; $C120,【ピボット】事業所売上!$A$3,"年月",P$2,"事業所",$A120),0)</f>
        <v>65527</v>
      </c>
      <c r="Q120" s="1601">
        <f>IFERROR(GETPIVOTDATA("合計 / " &amp; $C120,【ピボット】事業所売上!$A$3,"年月",Q$2,"事業所",$A120),0)</f>
        <v>0</v>
      </c>
      <c r="R120" s="1601">
        <f>IFERROR(GETPIVOTDATA("合計 / " &amp; $C120,【ピボット】事業所売上!$A$3,"年月",R$2,"事業所",$A120),0)</f>
        <v>0</v>
      </c>
      <c r="S120" s="1601">
        <f>IFERROR(GETPIVOTDATA("合計 / " &amp; $C120,【ピボット】事業所売上!$A$3,"年月",S$2,"事業所",$A120),0)</f>
        <v>0</v>
      </c>
      <c r="T120" s="1601">
        <f>IFERROR(GETPIVOTDATA("合計 / " &amp; $C120,【ピボット】事業所売上!$A$3,"年月",T$2,"事業所",$A120),0)</f>
        <v>0</v>
      </c>
      <c r="U120" s="1601">
        <f>IFERROR(GETPIVOTDATA("合計 / " &amp; $C120,【ピボット】事業所売上!$A$3,"年月",U$2,"事業所",$A120),0)</f>
        <v>0</v>
      </c>
      <c r="V120" s="1601">
        <f>IFERROR(GETPIVOTDATA("合計 / " &amp; $C120,【ピボット】事業所売上!$A$3,"年月",V$2,"事業所",$A120),0)</f>
        <v>0</v>
      </c>
      <c r="W120" s="1601">
        <f>IFERROR(GETPIVOTDATA("合計 / " &amp; $C120,【ピボット】事業所売上!$A$3,"年月",W$2,"事業所",$A120),0)</f>
        <v>0</v>
      </c>
      <c r="X120" s="1601">
        <f>IFERROR(GETPIVOTDATA("合計 / " &amp; $C120,【ピボット】事業所売上!$A$3,"年月",X$2,"事業所",$A120),0)</f>
        <v>254000</v>
      </c>
      <c r="Y120" s="1601">
        <f>IFERROR(GETPIVOTDATA("合計 / " &amp; $C120,【ピボット】事業所売上!$A$3,"年月",Y$2,"事業所",$A120),0)</f>
        <v>0</v>
      </c>
      <c r="Z120" s="1601">
        <f>IFERROR(GETPIVOTDATA("合計 / " &amp; $C120,【ピボット】事業所売上!$A$3,"年月",Z$2,"事業所",$A120),0)</f>
        <v>0</v>
      </c>
      <c r="AA120" s="1601">
        <f>IFERROR(GETPIVOTDATA("合計 / " &amp; $C120,【ピボット】事業所売上!$A$3,"年月",AA$2,"事業所",$A120),0)</f>
        <v>0</v>
      </c>
      <c r="AB120" s="1561">
        <f ca="1">SUM(OFFSET(AA120,0,当期月数):AA120)</f>
        <v>254000</v>
      </c>
    </row>
    <row r="121" spans="1:28" ht="15.4" hidden="1" customHeight="1" outlineLevel="1" thickBot="1" x14ac:dyDescent="0.2">
      <c r="B121" s="2055"/>
      <c r="C121" s="1606" t="s">
        <v>11</v>
      </c>
      <c r="D121" s="1607">
        <f t="shared" ref="D121:L121" si="43">SUM(D116:D120)</f>
        <v>1119631</v>
      </c>
      <c r="E121" s="1607">
        <f t="shared" si="43"/>
        <v>2075072</v>
      </c>
      <c r="F121" s="1607">
        <f t="shared" si="43"/>
        <v>1101492</v>
      </c>
      <c r="G121" s="1607">
        <f t="shared" si="43"/>
        <v>1001492</v>
      </c>
      <c r="H121" s="1607">
        <f t="shared" si="43"/>
        <v>1015378</v>
      </c>
      <c r="I121" s="1607">
        <f t="shared" si="43"/>
        <v>1061492</v>
      </c>
      <c r="J121" s="1607">
        <f t="shared" si="43"/>
        <v>1000792</v>
      </c>
      <c r="K121" s="1607">
        <f t="shared" si="43"/>
        <v>1061492</v>
      </c>
      <c r="L121" s="1607">
        <f t="shared" si="43"/>
        <v>1016092</v>
      </c>
      <c r="M121" s="1607">
        <f t="shared" ref="M121:AA121" si="44">SUM(M116:M120)</f>
        <v>939922</v>
      </c>
      <c r="N121" s="1607">
        <f t="shared" si="44"/>
        <v>1205836</v>
      </c>
      <c r="O121" s="1607">
        <f t="shared" si="44"/>
        <v>1038460</v>
      </c>
      <c r="P121" s="1607">
        <f t="shared" si="44"/>
        <v>1150795</v>
      </c>
      <c r="Q121" s="1607">
        <f t="shared" si="44"/>
        <v>1054056</v>
      </c>
      <c r="R121" s="1607">
        <f t="shared" si="44"/>
        <v>1085268</v>
      </c>
      <c r="S121" s="1607">
        <f t="shared" si="44"/>
        <v>923999</v>
      </c>
      <c r="T121" s="1607">
        <f t="shared" si="44"/>
        <v>1050085</v>
      </c>
      <c r="U121" s="1607">
        <f t="shared" si="44"/>
        <v>1087657</v>
      </c>
      <c r="V121" s="1607">
        <f t="shared" si="44"/>
        <v>1070236</v>
      </c>
      <c r="W121" s="1607">
        <f t="shared" si="44"/>
        <v>1102442</v>
      </c>
      <c r="X121" s="1607">
        <f t="shared" si="44"/>
        <v>1356442</v>
      </c>
      <c r="Y121" s="1607">
        <f t="shared" si="44"/>
        <v>1005836</v>
      </c>
      <c r="Z121" s="1607">
        <f t="shared" si="44"/>
        <v>973793</v>
      </c>
      <c r="AA121" s="1607">
        <f t="shared" si="44"/>
        <v>797482</v>
      </c>
      <c r="AB121" s="1608">
        <f ca="1">SUM(OFFSET(AA121,0,当期月数):AA121)</f>
        <v>8443973</v>
      </c>
    </row>
    <row r="122" spans="1:28" ht="15.4" hidden="1" customHeight="1" outlineLevel="1" x14ac:dyDescent="0.15">
      <c r="A122" s="1511" t="s">
        <v>685</v>
      </c>
      <c r="B122" s="2052" t="s">
        <v>310</v>
      </c>
      <c r="C122" s="1609" t="s">
        <v>139</v>
      </c>
      <c r="D122" s="1589">
        <f>IFERROR(GETPIVOTDATA("合計 / " &amp; $C122,【ピボット】事業所売上!$A$3,"年月",D$2,"事業所",$A122),0)</f>
        <v>0</v>
      </c>
      <c r="E122" s="1589">
        <f>IFERROR(GETPIVOTDATA("合計 / " &amp; $C122,【ピボット】事業所売上!$A$3,"年月",E$2,"事業所",$A122),0)</f>
        <v>1647056</v>
      </c>
      <c r="F122" s="1589">
        <f>IFERROR(GETPIVOTDATA("合計 / " &amp; $C122,【ピボット】事業所売上!$A$3,"年月",F$2,"事業所",$A122),0)</f>
        <v>1656941</v>
      </c>
      <c r="G122" s="1589">
        <f>IFERROR(GETPIVOTDATA("合計 / " &amp; $C122,【ピボット】事業所売上!$A$3,"年月",G$2,"事業所",$A122),0)</f>
        <v>1825197</v>
      </c>
      <c r="H122" s="1589">
        <f>IFERROR(GETPIVOTDATA("合計 / " &amp; $C122,【ピボット】事業所売上!$A$3,"年月",H$2,"事業所",$A122),0)</f>
        <v>1933548</v>
      </c>
      <c r="I122" s="1589">
        <f>IFERROR(GETPIVOTDATA("合計 / " &amp; $C122,【ピボット】事業所売上!$A$3,"年月",I$2,"事業所",$A122),0)</f>
        <v>3035498</v>
      </c>
      <c r="J122" s="1589">
        <f>IFERROR(GETPIVOTDATA("合計 / " &amp; $C122,【ピボット】事業所売上!$A$3,"年月",J$2,"事業所",$A122),0)</f>
        <v>2385860</v>
      </c>
      <c r="K122" s="1589">
        <f>IFERROR(GETPIVOTDATA("合計 / " &amp; $C122,【ピボット】事業所売上!$A$3,"年月",K$2,"事業所",$A122),0)</f>
        <v>2448469</v>
      </c>
      <c r="L122" s="1589">
        <f>IFERROR(GETPIVOTDATA("合計 / " &amp; $C122,【ピボット】事業所売上!$A$3,"年月",L$2,"事業所",$A122),0)</f>
        <v>2396635</v>
      </c>
      <c r="M122" s="1589">
        <f>IFERROR(GETPIVOTDATA("合計 / " &amp; $C122,【ピボット】事業所売上!$A$3,"年月",M$2,"事業所",$A122),0)</f>
        <v>2200178</v>
      </c>
      <c r="N122" s="1589">
        <f>IFERROR(GETPIVOTDATA("合計 / " &amp; $C122,【ピボット】事業所売上!$A$3,"年月",N$2,"事業所",$A122),0)</f>
        <v>2426031</v>
      </c>
      <c r="O122" s="1589">
        <f>IFERROR(GETPIVOTDATA("合計 / " &amp; $C122,【ピボット】事業所売上!$A$3,"年月",O$2,"事業所",$A122),0)</f>
        <v>2405342</v>
      </c>
      <c r="P122" s="1589">
        <f>IFERROR(GETPIVOTDATA("合計 / " &amp; $C122,【ピボット】事業所売上!$A$3,"年月",P$2,"事業所",$A122),0)</f>
        <v>2474409</v>
      </c>
      <c r="Q122" s="1589">
        <f>IFERROR(GETPIVOTDATA("合計 / " &amp; $C122,【ピボット】事業所売上!$A$3,"年月",Q$2,"事業所",$A122),0)</f>
        <v>2169018</v>
      </c>
      <c r="R122" s="1589">
        <f>IFERROR(GETPIVOTDATA("合計 / " &amp; $C122,【ピボット】事業所売上!$A$3,"年月",R$2,"事業所",$A122),0)</f>
        <v>2677988</v>
      </c>
      <c r="S122" s="1589">
        <f>IFERROR(GETPIVOTDATA("合計 / " &amp; $C122,【ピボット】事業所売上!$A$3,"年月",S$2,"事業所",$A122),0)</f>
        <v>2198275</v>
      </c>
      <c r="T122" s="1589">
        <f>IFERROR(GETPIVOTDATA("合計 / " &amp; $C122,【ピボット】事業所売上!$A$3,"年月",T$2,"事業所",$A122),0)</f>
        <v>2292635</v>
      </c>
      <c r="U122" s="1589">
        <f>IFERROR(GETPIVOTDATA("合計 / " &amp; $C122,【ピボット】事業所売上!$A$3,"年月",U$2,"事業所",$A122),0)</f>
        <v>2500912</v>
      </c>
      <c r="V122" s="1589">
        <f>IFERROR(GETPIVOTDATA("合計 / " &amp; $C122,【ピボット】事業所売上!$A$3,"年月",V$2,"事業所",$A122),0)</f>
        <v>2443866</v>
      </c>
      <c r="W122" s="1589">
        <f>IFERROR(GETPIVOTDATA("合計 / " &amp; $C122,【ピボット】事業所売上!$A$3,"年月",W$2,"事業所",$A122),0)</f>
        <v>2507684</v>
      </c>
      <c r="X122" s="1589">
        <f>IFERROR(GETPIVOTDATA("合計 / " &amp; $C122,【ピボット】事業所売上!$A$3,"年月",X$2,"事業所",$A122),0)</f>
        <v>2515481</v>
      </c>
      <c r="Y122" s="1589">
        <f>IFERROR(GETPIVOTDATA("合計 / " &amp; $C122,【ピボット】事業所売上!$A$3,"年月",Y$2,"事業所",$A122),0)</f>
        <v>1730172</v>
      </c>
      <c r="Z122" s="1589">
        <f>IFERROR(GETPIVOTDATA("合計 / " &amp; $C122,【ピボット】事業所売上!$A$3,"年月",Z$2,"事業所",$A122),0)</f>
        <v>1691368</v>
      </c>
      <c r="AA122" s="1589">
        <f>IFERROR(GETPIVOTDATA("合計 / " &amp; $C122,【ピボット】事業所売上!$A$3,"年月",AA$2,"事業所",$A122),0)</f>
        <v>2509810</v>
      </c>
      <c r="AB122" s="1590">
        <f ca="1">SUM(OFFSET(AA122,0,当期月数):AA122)</f>
        <v>18191928</v>
      </c>
    </row>
    <row r="123" spans="1:28" ht="15.4" hidden="1" customHeight="1" outlineLevel="1" x14ac:dyDescent="0.15">
      <c r="A123" s="1511" t="s">
        <v>685</v>
      </c>
      <c r="B123" s="2052" t="s">
        <v>376</v>
      </c>
      <c r="C123" s="1599" t="s">
        <v>7</v>
      </c>
      <c r="D123" s="1623">
        <f>IFERROR(GETPIVOTDATA("合計 / " &amp; $C123,【ピボット】事業所売上!$A$3,"年月",D$2,"事業所",$A123),0)</f>
        <v>0</v>
      </c>
      <c r="E123" s="1623">
        <f>IFERROR(GETPIVOTDATA("合計 / " &amp; $C123,【ピボット】事業所売上!$A$3,"年月",E$2,"事業所",$A123),0)</f>
        <v>0</v>
      </c>
      <c r="F123" s="1623">
        <f>IFERROR(GETPIVOTDATA("合計 / " &amp; $C123,【ピボット】事業所売上!$A$3,"年月",F$2,"事業所",$A123),0)</f>
        <v>0</v>
      </c>
      <c r="G123" s="1623">
        <f>IFERROR(GETPIVOTDATA("合計 / " &amp; $C123,【ピボット】事業所売上!$A$3,"年月",G$2,"事業所",$A123),0)</f>
        <v>0</v>
      </c>
      <c r="H123" s="1623">
        <f>IFERROR(GETPIVOTDATA("合計 / " &amp; $C123,【ピボット】事業所売上!$A$3,"年月",H$2,"事業所",$A123),0)</f>
        <v>0</v>
      </c>
      <c r="I123" s="1623">
        <f>IFERROR(GETPIVOTDATA("合計 / " &amp; $C123,【ピボット】事業所売上!$A$3,"年月",I$2,"事業所",$A123),0)</f>
        <v>0</v>
      </c>
      <c r="J123" s="1623">
        <f>IFERROR(GETPIVOTDATA("合計 / " &amp; $C123,【ピボット】事業所売上!$A$3,"年月",J$2,"事業所",$A123),0)</f>
        <v>0</v>
      </c>
      <c r="K123" s="1623">
        <f>IFERROR(GETPIVOTDATA("合計 / " &amp; $C123,【ピボット】事業所売上!$A$3,"年月",K$2,"事業所",$A123),0)</f>
        <v>0</v>
      </c>
      <c r="L123" s="1623">
        <f>IFERROR(GETPIVOTDATA("合計 / " &amp; $C123,【ピボット】事業所売上!$A$3,"年月",L$2,"事業所",$A123),0)</f>
        <v>0</v>
      </c>
      <c r="M123" s="1623">
        <f>IFERROR(GETPIVOTDATA("合計 / " &amp; $C123,【ピボット】事業所売上!$A$3,"年月",M$2,"事業所",$A123),0)</f>
        <v>0</v>
      </c>
      <c r="N123" s="1623">
        <f>IFERROR(GETPIVOTDATA("合計 / " &amp; $C123,【ピボット】事業所売上!$A$3,"年月",N$2,"事業所",$A123),0)</f>
        <v>0</v>
      </c>
      <c r="O123" s="1623">
        <f>IFERROR(GETPIVOTDATA("合計 / " &amp; $C123,【ピボット】事業所売上!$A$3,"年月",O$2,"事業所",$A123),0)</f>
        <v>0</v>
      </c>
      <c r="P123" s="1623">
        <f>IFERROR(GETPIVOTDATA("合計 / " &amp; $C123,【ピボット】事業所売上!$A$3,"年月",P$2,"事業所",$A123),0)</f>
        <v>0</v>
      </c>
      <c r="Q123" s="1623">
        <f>IFERROR(GETPIVOTDATA("合計 / " &amp; $C123,【ピボット】事業所売上!$A$3,"年月",Q$2,"事業所",$A123),0)</f>
        <v>0</v>
      </c>
      <c r="R123" s="1623">
        <f>IFERROR(GETPIVOTDATA("合計 / " &amp; $C123,【ピボット】事業所売上!$A$3,"年月",R$2,"事業所",$A123),0)</f>
        <v>0</v>
      </c>
      <c r="S123" s="1623">
        <f>IFERROR(GETPIVOTDATA("合計 / " &amp; $C123,【ピボット】事業所売上!$A$3,"年月",S$2,"事業所",$A123),0)</f>
        <v>0</v>
      </c>
      <c r="T123" s="1623">
        <f>IFERROR(GETPIVOTDATA("合計 / " &amp; $C123,【ピボット】事業所売上!$A$3,"年月",T$2,"事業所",$A123),0)</f>
        <v>0</v>
      </c>
      <c r="U123" s="1623">
        <f>IFERROR(GETPIVOTDATA("合計 / " &amp; $C123,【ピボット】事業所売上!$A$3,"年月",U$2,"事業所",$A123),0)</f>
        <v>0</v>
      </c>
      <c r="V123" s="1623">
        <f>IFERROR(GETPIVOTDATA("合計 / " &amp; $C123,【ピボット】事業所売上!$A$3,"年月",V$2,"事業所",$A123),0)</f>
        <v>0</v>
      </c>
      <c r="W123" s="1623">
        <f>IFERROR(GETPIVOTDATA("合計 / " &amp; $C123,【ピボット】事業所売上!$A$3,"年月",W$2,"事業所",$A123),0)</f>
        <v>0</v>
      </c>
      <c r="X123" s="1623">
        <f>IFERROR(GETPIVOTDATA("合計 / " &amp; $C123,【ピボット】事業所売上!$A$3,"年月",X$2,"事業所",$A123),0)</f>
        <v>0</v>
      </c>
      <c r="Y123" s="1623">
        <f>IFERROR(GETPIVOTDATA("合計 / " &amp; $C123,【ピボット】事業所売上!$A$3,"年月",Y$2,"事業所",$A123),0)</f>
        <v>0</v>
      </c>
      <c r="Z123" s="1623">
        <f>IFERROR(GETPIVOTDATA("合計 / " &amp; $C123,【ピボット】事業所売上!$A$3,"年月",Z$2,"事業所",$A123),0)</f>
        <v>10200</v>
      </c>
      <c r="AA123" s="1623">
        <f>IFERROR(GETPIVOTDATA("合計 / " &amp; $C123,【ピボット】事業所売上!$A$3,"年月",AA$2,"事業所",$A123),0)</f>
        <v>0</v>
      </c>
      <c r="AB123" s="1561">
        <f ca="1">SUM(OFFSET(AA123,0,当期月数):AA123)</f>
        <v>10200</v>
      </c>
    </row>
    <row r="124" spans="1:28" ht="15.4" hidden="1" customHeight="1" outlineLevel="1" x14ac:dyDescent="0.15">
      <c r="A124" s="1511" t="s">
        <v>685</v>
      </c>
      <c r="B124" s="2052"/>
      <c r="C124" s="1599" t="s">
        <v>12</v>
      </c>
      <c r="D124" s="1623">
        <f>IFERROR(GETPIVOTDATA("合計 / " &amp; $C124,【ピボット】事業所売上!$A$3,"年月",D$2,"事業所",$A124),0)</f>
        <v>0</v>
      </c>
      <c r="E124" s="1623">
        <f>IFERROR(GETPIVOTDATA("合計 / " &amp; $C124,【ピボット】事業所売上!$A$3,"年月",E$2,"事業所",$A124),0)</f>
        <v>293333</v>
      </c>
      <c r="F124" s="1623">
        <f>IFERROR(GETPIVOTDATA("合計 / " &amp; $C124,【ピボット】事業所売上!$A$3,"年月",F$2,"事業所",$A124),0)</f>
        <v>308387</v>
      </c>
      <c r="G124" s="1623">
        <f>IFERROR(GETPIVOTDATA("合計 / " &amp; $C124,【ピボット】事業所売上!$A$3,"年月",G$2,"事業所",$A124),0)</f>
        <v>320000</v>
      </c>
      <c r="H124" s="1623">
        <f>IFERROR(GETPIVOTDATA("合計 / " &amp; $C124,【ピボット】事業所売上!$A$3,"年月",H$2,"事業所",$A124),0)</f>
        <v>280000</v>
      </c>
      <c r="I124" s="1623">
        <f>IFERROR(GETPIVOTDATA("合計 / " &amp; $C124,【ピボット】事業所売上!$A$3,"年月",I$2,"事業所",$A124),0)</f>
        <v>320000</v>
      </c>
      <c r="J124" s="1623">
        <f>IFERROR(GETPIVOTDATA("合計 / " &amp; $C124,【ピボット】事業所売上!$A$3,"年月",J$2,"事業所",$A124),0)</f>
        <v>400000</v>
      </c>
      <c r="K124" s="1623">
        <f>IFERROR(GETPIVOTDATA("合計 / " &amp; $C124,【ピボット】事業所売上!$A$3,"年月",K$2,"事業所",$A124),0)</f>
        <v>400000</v>
      </c>
      <c r="L124" s="1623">
        <f>IFERROR(GETPIVOTDATA("合計 / " &amp; $C124,【ピボット】事業所売上!$A$3,"年月",L$2,"事業所",$A124),0)</f>
        <v>400000</v>
      </c>
      <c r="M124" s="1623">
        <f>IFERROR(GETPIVOTDATA("合計 / " &amp; $C124,【ピボット】事業所売上!$A$3,"年月",M$2,"事業所",$A124),0)</f>
        <v>400000</v>
      </c>
      <c r="N124" s="1623">
        <f>IFERROR(GETPIVOTDATA("合計 / " &amp; $C124,【ピボット】事業所売上!$A$3,"年月",N$2,"事業所",$A124),0)</f>
        <v>400000</v>
      </c>
      <c r="O124" s="1623">
        <f>IFERROR(GETPIVOTDATA("合計 / " &amp; $C124,【ピボット】事業所売上!$A$3,"年月",O$2,"事業所",$A124),0)</f>
        <v>400000</v>
      </c>
      <c r="P124" s="1623">
        <f>IFERROR(GETPIVOTDATA("合計 / " &amp; $C124,【ピボット】事業所売上!$A$3,"年月",P$2,"事業所",$A124),0)</f>
        <v>400000</v>
      </c>
      <c r="Q124" s="1623">
        <f>IFERROR(GETPIVOTDATA("合計 / " &amp; $C124,【ピボット】事業所売上!$A$3,"年月",Q$2,"事業所",$A124),0)</f>
        <v>400000</v>
      </c>
      <c r="R124" s="1623">
        <f>IFERROR(GETPIVOTDATA("合計 / " &amp; $C124,【ピボット】事業所売上!$A$3,"年月",R$2,"事業所",$A124),0)</f>
        <v>400000</v>
      </c>
      <c r="S124" s="1623">
        <f>IFERROR(GETPIVOTDATA("合計 / " &amp; $C124,【ピボット】事業所売上!$A$3,"年月",S$2,"事業所",$A124),0)</f>
        <v>360000</v>
      </c>
      <c r="T124" s="1623">
        <f>IFERROR(GETPIVOTDATA("合計 / " &amp; $C124,【ピボット】事業所売上!$A$3,"年月",T$2,"事業所",$A124),0)</f>
        <v>384750</v>
      </c>
      <c r="U124" s="1623">
        <f>IFERROR(GETPIVOTDATA("合計 / " &amp; $C124,【ピボット】事業所売上!$A$3,"年月",U$2,"事業所",$A124),0)</f>
        <v>400000</v>
      </c>
      <c r="V124" s="1623">
        <f>IFERROR(GETPIVOTDATA("合計 / " &amp; $C124,【ピボット】事業所売上!$A$3,"年月",V$2,"事業所",$A124),0)</f>
        <v>400000</v>
      </c>
      <c r="W124" s="1623">
        <f>IFERROR(GETPIVOTDATA("合計 / " &amp; $C124,【ピボット】事業所売上!$A$3,"年月",W$2,"事業所",$A124),0)</f>
        <v>400000</v>
      </c>
      <c r="X124" s="1623">
        <f>IFERROR(GETPIVOTDATA("合計 / " &amp; $C124,【ピボット】事業所売上!$A$3,"年月",X$2,"事業所",$A124),0)</f>
        <v>400000</v>
      </c>
      <c r="Y124" s="1623">
        <f>IFERROR(GETPIVOTDATA("合計 / " &amp; $C124,【ピボット】事業所売上!$A$3,"年月",Y$2,"事業所",$A124),0)</f>
        <v>360000</v>
      </c>
      <c r="Z124" s="1623">
        <f>IFERROR(GETPIVOTDATA("合計 / " &amp; $C124,【ピボット】事業所売上!$A$3,"年月",Z$2,"事業所",$A124),0)</f>
        <v>360000</v>
      </c>
      <c r="AA124" s="1623">
        <f>IFERROR(GETPIVOTDATA("合計 / " &amp; $C124,【ピボット】事業所売上!$A$3,"年月",AA$2,"事業所",$A124),0)</f>
        <v>400000</v>
      </c>
      <c r="AB124" s="1561">
        <f ca="1">SUM(OFFSET(AA124,0,当期月数):AA124)</f>
        <v>3104750</v>
      </c>
    </row>
    <row r="125" spans="1:28" ht="15.4" hidden="1" customHeight="1" outlineLevel="1" x14ac:dyDescent="0.15">
      <c r="A125" s="1511" t="s">
        <v>685</v>
      </c>
      <c r="B125" s="2052"/>
      <c r="C125" s="1599" t="s">
        <v>469</v>
      </c>
      <c r="D125" s="1623">
        <f>IFERROR(GETPIVOTDATA("合計 / " &amp; $C125,【ピボット】事業所売上!$A$3,"年月",D$2,"事業所",$A125),0)</f>
        <v>0</v>
      </c>
      <c r="E125" s="1623">
        <f>IFERROR(GETPIVOTDATA("合計 / " &amp; $C125,【ピボット】事業所売上!$A$3,"年月",E$2,"事業所",$A125),0)</f>
        <v>0</v>
      </c>
      <c r="F125" s="1623">
        <f>IFERROR(GETPIVOTDATA("合計 / " &amp; $C125,【ピボット】事業所売上!$A$3,"年月",F$2,"事業所",$A125),0)</f>
        <v>0</v>
      </c>
      <c r="G125" s="1623">
        <f>IFERROR(GETPIVOTDATA("合計 / " &amp; $C125,【ピボット】事業所売上!$A$3,"年月",G$2,"事業所",$A125),0)</f>
        <v>-150000</v>
      </c>
      <c r="H125" s="1623">
        <f>IFERROR(GETPIVOTDATA("合計 / " &amp; $C125,【ピボット】事業所売上!$A$3,"年月",H$2,"事業所",$A125),0)</f>
        <v>-80000</v>
      </c>
      <c r="I125" s="1623">
        <f>IFERROR(GETPIVOTDATA("合計 / " &amp; $C125,【ピボット】事業所売上!$A$3,"年月",I$2,"事業所",$A125),0)</f>
        <v>-80000</v>
      </c>
      <c r="J125" s="1623">
        <f>IFERROR(GETPIVOTDATA("合計 / " &amp; $C125,【ピボット】事業所売上!$A$3,"年月",J$2,"事業所",$A125),0)</f>
        <v>-80000</v>
      </c>
      <c r="K125" s="1623">
        <f>IFERROR(GETPIVOTDATA("合計 / " &amp; $C125,【ピボット】事業所売上!$A$3,"年月",K$2,"事業所",$A125),0)</f>
        <v>-100000</v>
      </c>
      <c r="L125" s="1623">
        <f>IFERROR(GETPIVOTDATA("合計 / " &amp; $C125,【ピボット】事業所売上!$A$3,"年月",L$2,"事業所",$A125),0)</f>
        <v>-100000</v>
      </c>
      <c r="M125" s="1623">
        <f>IFERROR(GETPIVOTDATA("合計 / " &amp; $C125,【ピボット】事業所売上!$A$3,"年月",M$2,"事業所",$A125),0)</f>
        <v>-100000</v>
      </c>
      <c r="N125" s="1623">
        <f>IFERROR(GETPIVOTDATA("合計 / " &amp; $C125,【ピボット】事業所売上!$A$3,"年月",N$2,"事業所",$A125),0)</f>
        <v>-100000</v>
      </c>
      <c r="O125" s="1623">
        <f>IFERROR(GETPIVOTDATA("合計 / " &amp; $C125,【ピボット】事業所売上!$A$3,"年月",O$2,"事業所",$A125),0)</f>
        <v>-100000</v>
      </c>
      <c r="P125" s="1623">
        <f>IFERROR(GETPIVOTDATA("合計 / " &amp; $C125,【ピボット】事業所売上!$A$3,"年月",P$2,"事業所",$A125),0)</f>
        <v>-100000</v>
      </c>
      <c r="Q125" s="1623">
        <f>IFERROR(GETPIVOTDATA("合計 / " &amp; $C125,【ピボット】事業所売上!$A$3,"年月",Q$2,"事業所",$A125),0)</f>
        <v>-100000</v>
      </c>
      <c r="R125" s="1623">
        <f>IFERROR(GETPIVOTDATA("合計 / " &amp; $C125,【ピボット】事業所売上!$A$3,"年月",R$2,"事業所",$A125),0)</f>
        <v>-100000</v>
      </c>
      <c r="S125" s="1623">
        <f>IFERROR(GETPIVOTDATA("合計 / " &amp; $C125,【ピボット】事業所売上!$A$3,"年月",S$2,"事業所",$A125),0)</f>
        <v>-90000</v>
      </c>
      <c r="T125" s="1623">
        <f>IFERROR(GETPIVOTDATA("合計 / " &amp; $C125,【ピボット】事業所売上!$A$3,"年月",T$2,"事業所",$A125),0)</f>
        <v>-90000</v>
      </c>
      <c r="U125" s="1623">
        <f>IFERROR(GETPIVOTDATA("合計 / " &amp; $C125,【ピボット】事業所売上!$A$3,"年月",U$2,"事業所",$A125),0)</f>
        <v>-100000</v>
      </c>
      <c r="V125" s="1623">
        <f>IFERROR(GETPIVOTDATA("合計 / " &amp; $C125,【ピボット】事業所売上!$A$3,"年月",V$2,"事業所",$A125),0)</f>
        <v>-100000</v>
      </c>
      <c r="W125" s="1623">
        <f>IFERROR(GETPIVOTDATA("合計 / " &amp; $C125,【ピボット】事業所売上!$A$3,"年月",W$2,"事業所",$A125),0)</f>
        <v>-100000</v>
      </c>
      <c r="X125" s="1623">
        <f>IFERROR(GETPIVOTDATA("合計 / " &amp; $C125,【ピボット】事業所売上!$A$3,"年月",X$2,"事業所",$A125),0)</f>
        <v>-100000</v>
      </c>
      <c r="Y125" s="1623">
        <f>IFERROR(GETPIVOTDATA("合計 / " &amp; $C125,【ピボット】事業所売上!$A$3,"年月",Y$2,"事業所",$A125),0)</f>
        <v>-90000</v>
      </c>
      <c r="Z125" s="1623">
        <f>IFERROR(GETPIVOTDATA("合計 / " &amp; $C125,【ピボット】事業所売上!$A$3,"年月",Z$2,"事業所",$A125),0)</f>
        <v>-90000</v>
      </c>
      <c r="AA125" s="1623">
        <f>IFERROR(GETPIVOTDATA("合計 / " &amp; $C125,【ピボット】事業所売上!$A$3,"年月",AA$2,"事業所",$A125),0)</f>
        <v>-100000</v>
      </c>
      <c r="AB125" s="1561">
        <f ca="1">SUM(OFFSET(AA125,0,当期月数):AA125)</f>
        <v>-770000</v>
      </c>
    </row>
    <row r="126" spans="1:28" ht="15.4" hidden="1" customHeight="1" outlineLevel="1" x14ac:dyDescent="0.15">
      <c r="A126" s="1511" t="s">
        <v>685</v>
      </c>
      <c r="B126" s="2052"/>
      <c r="C126" s="1599" t="s">
        <v>400</v>
      </c>
      <c r="D126" s="1601">
        <f>IFERROR(GETPIVOTDATA("合計 / " &amp; $C126,【ピボット】事業所売上!$A$3,"年月",D$2,"事業所",$A126),0)</f>
        <v>0</v>
      </c>
      <c r="E126" s="1601">
        <f>IFERROR(GETPIVOTDATA("合計 / " &amp; $C126,【ピボット】事業所売上!$A$3,"年月",E$2,"事業所",$A126),0)</f>
        <v>0</v>
      </c>
      <c r="F126" s="1601">
        <f>IFERROR(GETPIVOTDATA("合計 / " &amp; $C126,【ピボット】事業所売上!$A$3,"年月",F$2,"事業所",$A126),0)</f>
        <v>0</v>
      </c>
      <c r="G126" s="1601">
        <f>IFERROR(GETPIVOTDATA("合計 / " &amp; $C126,【ピボット】事業所売上!$A$3,"年月",G$2,"事業所",$A126),0)</f>
        <v>0</v>
      </c>
      <c r="H126" s="1601">
        <f>IFERROR(GETPIVOTDATA("合計 / " &amp; $C126,【ピボット】事業所売上!$A$3,"年月",H$2,"事業所",$A126),0)</f>
        <v>0</v>
      </c>
      <c r="I126" s="1601">
        <f>IFERROR(GETPIVOTDATA("合計 / " &amp; $C126,【ピボット】事業所売上!$A$3,"年月",I$2,"事業所",$A126),0)</f>
        <v>0</v>
      </c>
      <c r="J126" s="1601">
        <f>IFERROR(GETPIVOTDATA("合計 / " &amp; $C126,【ピボット】事業所売上!$A$3,"年月",J$2,"事業所",$A126),0)</f>
        <v>0</v>
      </c>
      <c r="K126" s="1601">
        <f>IFERROR(GETPIVOTDATA("合計 / " &amp; $C126,【ピボット】事業所売上!$A$3,"年月",K$2,"事業所",$A126),0)</f>
        <v>0</v>
      </c>
      <c r="L126" s="1601">
        <f>IFERROR(GETPIVOTDATA("合計 / " &amp; $C126,【ピボット】事業所売上!$A$3,"年月",L$2,"事業所",$A126),0)</f>
        <v>0</v>
      </c>
      <c r="M126" s="1601">
        <f>IFERROR(GETPIVOTDATA("合計 / " &amp; $C126,【ピボット】事業所売上!$A$3,"年月",M$2,"事業所",$A126),0)</f>
        <v>70141</v>
      </c>
      <c r="N126" s="1601">
        <f>IFERROR(GETPIVOTDATA("合計 / " &amp; $C126,【ピボット】事業所売上!$A$3,"年月",N$2,"事業所",$A126),0)</f>
        <v>93500</v>
      </c>
      <c r="O126" s="1601">
        <f>IFERROR(GETPIVOTDATA("合計 / " &amp; $C126,【ピボット】事業所売上!$A$3,"年月",O$2,"事業所",$A126),0)</f>
        <v>48890</v>
      </c>
      <c r="P126" s="1601">
        <f>IFERROR(GETPIVOTDATA("合計 / " &amp; $C126,【ピボット】事業所売上!$A$3,"年月",P$2,"事業所",$A126),0)</f>
        <v>996616</v>
      </c>
      <c r="Q126" s="1601">
        <f>IFERROR(GETPIVOTDATA("合計 / " &amp; $C126,【ピボット】事業所売上!$A$3,"年月",Q$2,"事業所",$A126),0)</f>
        <v>0</v>
      </c>
      <c r="R126" s="1601">
        <f>IFERROR(GETPIVOTDATA("合計 / " &amp; $C126,【ピボット】事業所売上!$A$3,"年月",R$2,"事業所",$A126),0)</f>
        <v>0</v>
      </c>
      <c r="S126" s="1601">
        <f>IFERROR(GETPIVOTDATA("合計 / " &amp; $C126,【ピボット】事業所売上!$A$3,"年月",S$2,"事業所",$A126),0)</f>
        <v>0</v>
      </c>
      <c r="T126" s="1601">
        <f>IFERROR(GETPIVOTDATA("合計 / " &amp; $C126,【ピボット】事業所売上!$A$3,"年月",T$2,"事業所",$A126),0)</f>
        <v>0</v>
      </c>
      <c r="U126" s="1601">
        <f>IFERROR(GETPIVOTDATA("合計 / " &amp; $C126,【ピボット】事業所売上!$A$3,"年月",U$2,"事業所",$A126),0)</f>
        <v>0</v>
      </c>
      <c r="V126" s="1601">
        <f>IFERROR(GETPIVOTDATA("合計 / " &amp; $C126,【ピボット】事業所売上!$A$3,"年月",V$2,"事業所",$A126),0)</f>
        <v>0</v>
      </c>
      <c r="W126" s="1601">
        <f>IFERROR(GETPIVOTDATA("合計 / " &amp; $C126,【ピボット】事業所売上!$A$3,"年月",W$2,"事業所",$A126),0)</f>
        <v>0</v>
      </c>
      <c r="X126" s="1601">
        <f>IFERROR(GETPIVOTDATA("合計 / " &amp; $C126,【ピボット】事業所売上!$A$3,"年月",X$2,"事業所",$A126),0)</f>
        <v>127000</v>
      </c>
      <c r="Y126" s="1601">
        <f>IFERROR(GETPIVOTDATA("合計 / " &amp; $C126,【ピボット】事業所売上!$A$3,"年月",Y$2,"事業所",$A126),0)</f>
        <v>118263</v>
      </c>
      <c r="Z126" s="1601">
        <f>IFERROR(GETPIVOTDATA("合計 / " &amp; $C126,【ピボット】事業所売上!$A$3,"年月",Z$2,"事業所",$A126),0)</f>
        <v>27939</v>
      </c>
      <c r="AA126" s="1601">
        <f>IFERROR(GETPIVOTDATA("合計 / " &amp; $C126,【ピボット】事業所売上!$A$3,"年月",AA$2,"事業所",$A126),0)</f>
        <v>22010</v>
      </c>
      <c r="AB126" s="1561">
        <f ca="1">SUM(OFFSET(AA126,0,当期月数):AA126)</f>
        <v>295212</v>
      </c>
    </row>
    <row r="127" spans="1:28" ht="15.4" hidden="1" customHeight="1" outlineLevel="1" thickBot="1" x14ac:dyDescent="0.2">
      <c r="B127" s="2055"/>
      <c r="C127" s="1606" t="s">
        <v>11</v>
      </c>
      <c r="D127" s="1607">
        <f t="shared" ref="D127:L127" si="45">SUM(D122:D126)</f>
        <v>0</v>
      </c>
      <c r="E127" s="1607">
        <f t="shared" si="45"/>
        <v>1940389</v>
      </c>
      <c r="F127" s="1607">
        <f t="shared" si="45"/>
        <v>1965328</v>
      </c>
      <c r="G127" s="1607">
        <f t="shared" si="45"/>
        <v>1995197</v>
      </c>
      <c r="H127" s="1607">
        <f t="shared" si="45"/>
        <v>2133548</v>
      </c>
      <c r="I127" s="1607">
        <f t="shared" si="45"/>
        <v>3275498</v>
      </c>
      <c r="J127" s="1607">
        <f t="shared" si="45"/>
        <v>2705860</v>
      </c>
      <c r="K127" s="1607">
        <f t="shared" si="45"/>
        <v>2748469</v>
      </c>
      <c r="L127" s="1607">
        <f t="shared" si="45"/>
        <v>2696635</v>
      </c>
      <c r="M127" s="1607">
        <f t="shared" ref="M127:AA127" si="46">SUM(M122:M126)</f>
        <v>2570319</v>
      </c>
      <c r="N127" s="1607">
        <f t="shared" si="46"/>
        <v>2819531</v>
      </c>
      <c r="O127" s="1607">
        <f t="shared" si="46"/>
        <v>2754232</v>
      </c>
      <c r="P127" s="1607">
        <f t="shared" si="46"/>
        <v>3771025</v>
      </c>
      <c r="Q127" s="1607">
        <f t="shared" si="46"/>
        <v>2469018</v>
      </c>
      <c r="R127" s="1607">
        <f t="shared" si="46"/>
        <v>2977988</v>
      </c>
      <c r="S127" s="1607">
        <f t="shared" si="46"/>
        <v>2468275</v>
      </c>
      <c r="T127" s="1607">
        <f>SUM(T122:T126)</f>
        <v>2587385</v>
      </c>
      <c r="U127" s="1607">
        <f t="shared" si="46"/>
        <v>2800912</v>
      </c>
      <c r="V127" s="1607">
        <f t="shared" si="46"/>
        <v>2743866</v>
      </c>
      <c r="W127" s="1607">
        <f t="shared" si="46"/>
        <v>2807684</v>
      </c>
      <c r="X127" s="1607">
        <f t="shared" si="46"/>
        <v>2942481</v>
      </c>
      <c r="Y127" s="1607">
        <f t="shared" si="46"/>
        <v>2118435</v>
      </c>
      <c r="Z127" s="1607">
        <f t="shared" si="46"/>
        <v>1999507</v>
      </c>
      <c r="AA127" s="1607">
        <f t="shared" si="46"/>
        <v>2831820</v>
      </c>
      <c r="AB127" s="1608">
        <f ca="1">SUM(OFFSET(AA127,0,当期月数):AA127)</f>
        <v>20832090</v>
      </c>
    </row>
    <row r="128" spans="1:28" ht="15.4" hidden="1" customHeight="1" outlineLevel="1" x14ac:dyDescent="0.15">
      <c r="A128" s="1511" t="s">
        <v>1493</v>
      </c>
      <c r="B128" s="2052" t="s">
        <v>304</v>
      </c>
      <c r="C128" s="1609" t="s">
        <v>139</v>
      </c>
      <c r="D128" s="1589">
        <f>IFERROR(GETPIVOTDATA("合計 / " &amp; $C128,【ピボット】事業所売上!$A$3,"年月",D$2,"事業所",$A128),0)</f>
        <v>0</v>
      </c>
      <c r="E128" s="1589">
        <f>IFERROR(GETPIVOTDATA("合計 / " &amp; $C128,【ピボット】事業所売上!$A$3,"年月",E$2,"事業所",$A128),0)</f>
        <v>0</v>
      </c>
      <c r="F128" s="1589">
        <f>IFERROR(GETPIVOTDATA("合計 / " &amp; $C128,【ピボット】事業所売上!$A$3,"年月",F$2,"事業所",$A128),0)</f>
        <v>0</v>
      </c>
      <c r="G128" s="1589">
        <f>IFERROR(GETPIVOTDATA("合計 / " &amp; $C128,【ピボット】事業所売上!$A$3,"年月",G$2,"事業所",$A128),0)</f>
        <v>0</v>
      </c>
      <c r="H128" s="1589">
        <f>IFERROR(GETPIVOTDATA("合計 / " &amp; $C128,【ピボット】事業所売上!$A$3,"年月",H$2,"事業所",$A128),0)</f>
        <v>0</v>
      </c>
      <c r="I128" s="1589">
        <f>IFERROR(GETPIVOTDATA("合計 / " &amp; $C128,【ピボット】事業所売上!$A$3,"年月",I$2,"事業所",$A128),0)</f>
        <v>0</v>
      </c>
      <c r="J128" s="1589">
        <f>IFERROR(GETPIVOTDATA("合計 / " &amp; $C128,【ピボット】事業所売上!$A$3,"年月",J$2,"事業所",$A128),0)</f>
        <v>0</v>
      </c>
      <c r="K128" s="1589">
        <f>IFERROR(GETPIVOTDATA("合計 / " &amp; $C128,【ピボット】事業所売上!$A$3,"年月",K$2,"事業所",$A128),0)</f>
        <v>0</v>
      </c>
      <c r="L128" s="1589">
        <f>IFERROR(GETPIVOTDATA("合計 / " &amp; $C128,【ピボット】事業所売上!$A$3,"年月",L$2,"事業所",$A128),0)</f>
        <v>0</v>
      </c>
      <c r="M128" s="1589">
        <f>IFERROR(GETPIVOTDATA("合計 / " &amp; $C128,【ピボット】事業所売上!$A$3,"年月",M$2,"事業所",$A128),0)</f>
        <v>0</v>
      </c>
      <c r="N128" s="1589">
        <f>IFERROR(GETPIVOTDATA("合計 / " &amp; $C128,【ピボット】事業所売上!$A$3,"年月",N$2,"事業所",$A128),0)</f>
        <v>0</v>
      </c>
      <c r="O128" s="1589">
        <f>IFERROR(GETPIVOTDATA("合計 / " &amp; $C128,【ピボット】事業所売上!$A$3,"年月",O$2,"事業所",$A128),0)</f>
        <v>0</v>
      </c>
      <c r="P128" s="1589">
        <f>IFERROR(GETPIVOTDATA("合計 / " &amp; $C128,【ピボット】事業所売上!$A$3,"年月",P$2,"事業所",$A128),0)</f>
        <v>0</v>
      </c>
      <c r="Q128" s="1589">
        <f>IFERROR(GETPIVOTDATA("合計 / " &amp; $C128,【ピボット】事業所売上!$A$3,"年月",Q$2,"事業所",$A128),0)</f>
        <v>0</v>
      </c>
      <c r="R128" s="1589">
        <f>IFERROR(GETPIVOTDATA("合計 / " &amp; $C128,【ピボット】事業所売上!$A$3,"年月",R$2,"事業所",$A128),0)</f>
        <v>0</v>
      </c>
      <c r="S128" s="1589">
        <f>IFERROR(GETPIVOTDATA("合計 / " &amp; $C128,【ピボット】事業所売上!$A$3,"年月",S$2,"事業所",$A128),0)</f>
        <v>0</v>
      </c>
      <c r="T128" s="1589">
        <f>IFERROR(GETPIVOTDATA("合計 / " &amp; $C128,【ピボット】事業所売上!$A$3,"年月",T$2,"事業所",$A128),0)</f>
        <v>0</v>
      </c>
      <c r="U128" s="1589">
        <f>IFERROR(GETPIVOTDATA("合計 / " &amp; $C128,【ピボット】事業所売上!$A$3,"年月",U$2,"事業所",$A128),0)</f>
        <v>0</v>
      </c>
      <c r="V128" s="1589">
        <f>IFERROR(GETPIVOTDATA("合計 / " &amp; $C128,【ピボット】事業所売上!$A$3,"年月",V$2,"事業所",$A128),0)</f>
        <v>0</v>
      </c>
      <c r="W128" s="1589">
        <f>IFERROR(GETPIVOTDATA("合計 / " &amp; $C128,【ピボット】事業所売上!$A$3,"年月",W$2,"事業所",$A128),0)</f>
        <v>0</v>
      </c>
      <c r="X128" s="1589">
        <f>IFERROR(GETPIVOTDATA("合計 / " &amp; $C128,【ピボット】事業所売上!$A$3,"年月",X$2,"事業所",$A128),0)</f>
        <v>0</v>
      </c>
      <c r="Y128" s="1589">
        <f>IFERROR(GETPIVOTDATA("合計 / " &amp; $C128,【ピボット】事業所売上!$A$3,"年月",Y$2,"事業所",$A128),0)</f>
        <v>1296188</v>
      </c>
      <c r="Z128" s="1589">
        <f>IFERROR(GETPIVOTDATA("合計 / " &amp; $C128,【ピボット】事業所売上!$A$3,"年月",Z$2,"事業所",$A128),0)</f>
        <v>1595131</v>
      </c>
      <c r="AA128" s="1589">
        <f>IFERROR(GETPIVOTDATA("合計 / " &amp; $C128,【ピボット】事業所売上!$A$3,"年月",AA$2,"事業所",$A128),0)</f>
        <v>1867332</v>
      </c>
      <c r="AB128" s="1590">
        <f ca="1">SUM(OFFSET(AA128,0,当期月数):AA128)</f>
        <v>4758651</v>
      </c>
    </row>
    <row r="129" spans="1:28" ht="15.4" hidden="1" customHeight="1" outlineLevel="1" x14ac:dyDescent="0.15">
      <c r="A129" s="1511" t="s">
        <v>1493</v>
      </c>
      <c r="B129" s="2052" t="s">
        <v>1492</v>
      </c>
      <c r="C129" s="1599" t="s">
        <v>7</v>
      </c>
      <c r="D129" s="1623">
        <f>IFERROR(GETPIVOTDATA("合計 / " &amp; $C129,【ピボット】事業所売上!$A$3,"年月",D$2,"事業所",$A129),0)</f>
        <v>0</v>
      </c>
      <c r="E129" s="1623">
        <f>IFERROR(GETPIVOTDATA("合計 / " &amp; $C129,【ピボット】事業所売上!$A$3,"年月",E$2,"事業所",$A129),0)</f>
        <v>0</v>
      </c>
      <c r="F129" s="1623">
        <f>IFERROR(GETPIVOTDATA("合計 / " &amp; $C129,【ピボット】事業所売上!$A$3,"年月",F$2,"事業所",$A129),0)</f>
        <v>0</v>
      </c>
      <c r="G129" s="1623">
        <f>IFERROR(GETPIVOTDATA("合計 / " &amp; $C129,【ピボット】事業所売上!$A$3,"年月",G$2,"事業所",$A129),0)</f>
        <v>0</v>
      </c>
      <c r="H129" s="1623">
        <f>IFERROR(GETPIVOTDATA("合計 / " &amp; $C129,【ピボット】事業所売上!$A$3,"年月",H$2,"事業所",$A129),0)</f>
        <v>0</v>
      </c>
      <c r="I129" s="1623">
        <f>IFERROR(GETPIVOTDATA("合計 / " &amp; $C129,【ピボット】事業所売上!$A$3,"年月",I$2,"事業所",$A129),0)</f>
        <v>0</v>
      </c>
      <c r="J129" s="1623">
        <f>IFERROR(GETPIVOTDATA("合計 / " &amp; $C129,【ピボット】事業所売上!$A$3,"年月",J$2,"事業所",$A129),0)</f>
        <v>0</v>
      </c>
      <c r="K129" s="1623">
        <f>IFERROR(GETPIVOTDATA("合計 / " &amp; $C129,【ピボット】事業所売上!$A$3,"年月",K$2,"事業所",$A129),0)</f>
        <v>0</v>
      </c>
      <c r="L129" s="1623">
        <f>IFERROR(GETPIVOTDATA("合計 / " &amp; $C129,【ピボット】事業所売上!$A$3,"年月",L$2,"事業所",$A129),0)</f>
        <v>0</v>
      </c>
      <c r="M129" s="1623">
        <f>IFERROR(GETPIVOTDATA("合計 / " &amp; $C129,【ピボット】事業所売上!$A$3,"年月",M$2,"事業所",$A129),0)</f>
        <v>0</v>
      </c>
      <c r="N129" s="1623">
        <f>IFERROR(GETPIVOTDATA("合計 / " &amp; $C129,【ピボット】事業所売上!$A$3,"年月",N$2,"事業所",$A129),0)</f>
        <v>0</v>
      </c>
      <c r="O129" s="1623">
        <f>IFERROR(GETPIVOTDATA("合計 / " &amp; $C129,【ピボット】事業所売上!$A$3,"年月",O$2,"事業所",$A129),0)</f>
        <v>0</v>
      </c>
      <c r="P129" s="1623">
        <f>IFERROR(GETPIVOTDATA("合計 / " &amp; $C129,【ピボット】事業所売上!$A$3,"年月",P$2,"事業所",$A129),0)</f>
        <v>0</v>
      </c>
      <c r="Q129" s="1623">
        <f>IFERROR(GETPIVOTDATA("合計 / " &amp; $C129,【ピボット】事業所売上!$A$3,"年月",Q$2,"事業所",$A129),0)</f>
        <v>0</v>
      </c>
      <c r="R129" s="1623">
        <f>IFERROR(GETPIVOTDATA("合計 / " &amp; $C129,【ピボット】事業所売上!$A$3,"年月",R$2,"事業所",$A129),0)</f>
        <v>0</v>
      </c>
      <c r="S129" s="1623">
        <f>IFERROR(GETPIVOTDATA("合計 / " &amp; $C129,【ピボット】事業所売上!$A$3,"年月",S$2,"事業所",$A129),0)</f>
        <v>0</v>
      </c>
      <c r="T129" s="1623">
        <f>IFERROR(GETPIVOTDATA("合計 / " &amp; $C129,【ピボット】事業所売上!$A$3,"年月",T$2,"事業所",$A129),0)</f>
        <v>0</v>
      </c>
      <c r="U129" s="1623">
        <f>IFERROR(GETPIVOTDATA("合計 / " &amp; $C129,【ピボット】事業所売上!$A$3,"年月",U$2,"事業所",$A129),0)</f>
        <v>0</v>
      </c>
      <c r="V129" s="1623">
        <f>IFERROR(GETPIVOTDATA("合計 / " &amp; $C129,【ピボット】事業所売上!$A$3,"年月",V$2,"事業所",$A129),0)</f>
        <v>0</v>
      </c>
      <c r="W129" s="1623">
        <f>IFERROR(GETPIVOTDATA("合計 / " &amp; $C129,【ピボット】事業所売上!$A$3,"年月",W$2,"事業所",$A129),0)</f>
        <v>0</v>
      </c>
      <c r="X129" s="1623">
        <f>IFERROR(GETPIVOTDATA("合計 / " &amp; $C129,【ピボット】事業所売上!$A$3,"年月",X$2,"事業所",$A129),0)</f>
        <v>0</v>
      </c>
      <c r="Y129" s="1623">
        <f>IFERROR(GETPIVOTDATA("合計 / " &amp; $C129,【ピボット】事業所売上!$A$3,"年月",Y$2,"事業所",$A129),0)</f>
        <v>0</v>
      </c>
      <c r="Z129" s="1623">
        <f>IFERROR(GETPIVOTDATA("合計 / " &amp; $C129,【ピボット】事業所売上!$A$3,"年月",Z$2,"事業所",$A129),0)</f>
        <v>0</v>
      </c>
      <c r="AA129" s="1623">
        <f>IFERROR(GETPIVOTDATA("合計 / " &amp; $C129,【ピボット】事業所売上!$A$3,"年月",AA$2,"事業所",$A129),0)</f>
        <v>0</v>
      </c>
      <c r="AB129" s="1561">
        <f ca="1">SUM(OFFSET(AA129,0,当期月数):AA129)</f>
        <v>0</v>
      </c>
    </row>
    <row r="130" spans="1:28" ht="15.4" hidden="1" customHeight="1" outlineLevel="1" x14ac:dyDescent="0.15">
      <c r="A130" s="1511" t="s">
        <v>1493</v>
      </c>
      <c r="B130" s="2052"/>
      <c r="C130" s="1599" t="s">
        <v>12</v>
      </c>
      <c r="D130" s="1623">
        <f>IFERROR(GETPIVOTDATA("合計 / " &amp; $C130,【ピボット】事業所売上!$A$3,"年月",D$2,"事業所",$A130),0)</f>
        <v>0</v>
      </c>
      <c r="E130" s="1623">
        <f>IFERROR(GETPIVOTDATA("合計 / " &amp; $C130,【ピボット】事業所売上!$A$3,"年月",E$2,"事業所",$A130),0)</f>
        <v>0</v>
      </c>
      <c r="F130" s="1623">
        <f>IFERROR(GETPIVOTDATA("合計 / " &amp; $C130,【ピボット】事業所売上!$A$3,"年月",F$2,"事業所",$A130),0)</f>
        <v>0</v>
      </c>
      <c r="G130" s="1623">
        <f>IFERROR(GETPIVOTDATA("合計 / " &amp; $C130,【ピボット】事業所売上!$A$3,"年月",G$2,"事業所",$A130),0)</f>
        <v>0</v>
      </c>
      <c r="H130" s="1623">
        <f>IFERROR(GETPIVOTDATA("合計 / " &amp; $C130,【ピボット】事業所売上!$A$3,"年月",H$2,"事業所",$A130),0)</f>
        <v>0</v>
      </c>
      <c r="I130" s="1623">
        <f>IFERROR(GETPIVOTDATA("合計 / " &amp; $C130,【ピボット】事業所売上!$A$3,"年月",I$2,"事業所",$A130),0)</f>
        <v>0</v>
      </c>
      <c r="J130" s="1623">
        <f>IFERROR(GETPIVOTDATA("合計 / " &amp; $C130,【ピボット】事業所売上!$A$3,"年月",J$2,"事業所",$A130),0)</f>
        <v>0</v>
      </c>
      <c r="K130" s="1623">
        <f>IFERROR(GETPIVOTDATA("合計 / " &amp; $C130,【ピボット】事業所売上!$A$3,"年月",K$2,"事業所",$A130),0)</f>
        <v>0</v>
      </c>
      <c r="L130" s="1623">
        <f>IFERROR(GETPIVOTDATA("合計 / " &amp; $C130,【ピボット】事業所売上!$A$3,"年月",L$2,"事業所",$A130),0)</f>
        <v>0</v>
      </c>
      <c r="M130" s="1623">
        <f>IFERROR(GETPIVOTDATA("合計 / " &amp; $C130,【ピボット】事業所売上!$A$3,"年月",M$2,"事業所",$A130),0)</f>
        <v>0</v>
      </c>
      <c r="N130" s="1623">
        <f>IFERROR(GETPIVOTDATA("合計 / " &amp; $C130,【ピボット】事業所売上!$A$3,"年月",N$2,"事業所",$A130),0)</f>
        <v>0</v>
      </c>
      <c r="O130" s="1623">
        <f>IFERROR(GETPIVOTDATA("合計 / " &amp; $C130,【ピボット】事業所売上!$A$3,"年月",O$2,"事業所",$A130),0)</f>
        <v>0</v>
      </c>
      <c r="P130" s="1623">
        <f>IFERROR(GETPIVOTDATA("合計 / " &amp; $C130,【ピボット】事業所売上!$A$3,"年月",P$2,"事業所",$A130),0)</f>
        <v>0</v>
      </c>
      <c r="Q130" s="1623">
        <f>IFERROR(GETPIVOTDATA("合計 / " &amp; $C130,【ピボット】事業所売上!$A$3,"年月",Q$2,"事業所",$A130),0)</f>
        <v>0</v>
      </c>
      <c r="R130" s="1623">
        <f>IFERROR(GETPIVOTDATA("合計 / " &amp; $C130,【ピボット】事業所売上!$A$3,"年月",R$2,"事業所",$A130),0)</f>
        <v>0</v>
      </c>
      <c r="S130" s="1623">
        <f>IFERROR(GETPIVOTDATA("合計 / " &amp; $C130,【ピボット】事業所売上!$A$3,"年月",S$2,"事業所",$A130),0)</f>
        <v>0</v>
      </c>
      <c r="T130" s="1623">
        <f>IFERROR(GETPIVOTDATA("合計 / " &amp; $C130,【ピボット】事業所売上!$A$3,"年月",T$2,"事業所",$A130),0)</f>
        <v>0</v>
      </c>
      <c r="U130" s="1623">
        <f>IFERROR(GETPIVOTDATA("合計 / " &amp; $C130,【ピボット】事業所売上!$A$3,"年月",U$2,"事業所",$A130),0)</f>
        <v>0</v>
      </c>
      <c r="V130" s="1623">
        <f>IFERROR(GETPIVOTDATA("合計 / " &amp; $C130,【ピボット】事業所売上!$A$3,"年月",V$2,"事業所",$A130),0)</f>
        <v>16000</v>
      </c>
      <c r="W130" s="1623">
        <f>IFERROR(GETPIVOTDATA("合計 / " &amp; $C130,【ピボット】事業所売上!$A$3,"年月",W$2,"事業所",$A130),0)</f>
        <v>40000</v>
      </c>
      <c r="X130" s="1623">
        <f>IFERROR(GETPIVOTDATA("合計 / " &amp; $C130,【ピボット】事業所売上!$A$3,"年月",X$2,"事業所",$A130),0)</f>
        <v>40000</v>
      </c>
      <c r="Y130" s="1623">
        <f>IFERROR(GETPIVOTDATA("合計 / " &amp; $C130,【ピボット】事業所売上!$A$3,"年月",Y$2,"事業所",$A130),0)</f>
        <v>240000</v>
      </c>
      <c r="Z130" s="1623">
        <f>IFERROR(GETPIVOTDATA("合計 / " &amp; $C130,【ピボット】事業所売上!$A$3,"年月",Z$2,"事業所",$A130),0)</f>
        <v>240000</v>
      </c>
      <c r="AA130" s="1623">
        <f>IFERROR(GETPIVOTDATA("合計 / " &amp; $C130,【ピボット】事業所売上!$A$3,"年月",AA$2,"事業所",$A130),0)</f>
        <v>280000</v>
      </c>
      <c r="AB130" s="1561">
        <f ca="1">SUM(OFFSET(AA130,0,当期月数):AA130)</f>
        <v>856000</v>
      </c>
    </row>
    <row r="131" spans="1:28" ht="15.4" hidden="1" customHeight="1" outlineLevel="1" x14ac:dyDescent="0.15">
      <c r="A131" s="1511" t="s">
        <v>1493</v>
      </c>
      <c r="B131" s="2052"/>
      <c r="C131" s="1599" t="s">
        <v>469</v>
      </c>
      <c r="D131" s="1623">
        <f>IFERROR(GETPIVOTDATA("合計 / " &amp; $C131,【ピボット】事業所売上!$A$3,"年月",D$2,"事業所",$A131),0)</f>
        <v>0</v>
      </c>
      <c r="E131" s="1623">
        <f>IFERROR(GETPIVOTDATA("合計 / " &amp; $C131,【ピボット】事業所売上!$A$3,"年月",E$2,"事業所",$A131),0)</f>
        <v>0</v>
      </c>
      <c r="F131" s="1623">
        <f>IFERROR(GETPIVOTDATA("合計 / " &amp; $C131,【ピボット】事業所売上!$A$3,"年月",F$2,"事業所",$A131),0)</f>
        <v>0</v>
      </c>
      <c r="G131" s="1623">
        <f>IFERROR(GETPIVOTDATA("合計 / " &amp; $C131,【ピボット】事業所売上!$A$3,"年月",G$2,"事業所",$A131),0)</f>
        <v>0</v>
      </c>
      <c r="H131" s="1623">
        <f>IFERROR(GETPIVOTDATA("合計 / " &amp; $C131,【ピボット】事業所売上!$A$3,"年月",H$2,"事業所",$A131),0)</f>
        <v>0</v>
      </c>
      <c r="I131" s="1623">
        <f>IFERROR(GETPIVOTDATA("合計 / " &amp; $C131,【ピボット】事業所売上!$A$3,"年月",I$2,"事業所",$A131),0)</f>
        <v>0</v>
      </c>
      <c r="J131" s="1623">
        <f>IFERROR(GETPIVOTDATA("合計 / " &amp; $C131,【ピボット】事業所売上!$A$3,"年月",J$2,"事業所",$A131),0)</f>
        <v>0</v>
      </c>
      <c r="K131" s="1623">
        <f>IFERROR(GETPIVOTDATA("合計 / " &amp; $C131,【ピボット】事業所売上!$A$3,"年月",K$2,"事業所",$A131),0)</f>
        <v>0</v>
      </c>
      <c r="L131" s="1623">
        <f>IFERROR(GETPIVOTDATA("合計 / " &amp; $C131,【ピボット】事業所売上!$A$3,"年月",L$2,"事業所",$A131),0)</f>
        <v>0</v>
      </c>
      <c r="M131" s="1623">
        <f>IFERROR(GETPIVOTDATA("合計 / " &amp; $C131,【ピボット】事業所売上!$A$3,"年月",M$2,"事業所",$A131),0)</f>
        <v>0</v>
      </c>
      <c r="N131" s="1623">
        <f>IFERROR(GETPIVOTDATA("合計 / " &amp; $C131,【ピボット】事業所売上!$A$3,"年月",N$2,"事業所",$A131),0)</f>
        <v>0</v>
      </c>
      <c r="O131" s="1623">
        <f>IFERROR(GETPIVOTDATA("合計 / " &amp; $C131,【ピボット】事業所売上!$A$3,"年月",O$2,"事業所",$A131),0)</f>
        <v>0</v>
      </c>
      <c r="P131" s="1623">
        <f>IFERROR(GETPIVOTDATA("合計 / " &amp; $C131,【ピボット】事業所売上!$A$3,"年月",P$2,"事業所",$A131),0)</f>
        <v>0</v>
      </c>
      <c r="Q131" s="1623">
        <f>IFERROR(GETPIVOTDATA("合計 / " &amp; $C131,【ピボット】事業所売上!$A$3,"年月",Q$2,"事業所",$A131),0)</f>
        <v>0</v>
      </c>
      <c r="R131" s="1623">
        <f>IFERROR(GETPIVOTDATA("合計 / " &amp; $C131,【ピボット】事業所売上!$A$3,"年月",R$2,"事業所",$A131),0)</f>
        <v>0</v>
      </c>
      <c r="S131" s="1623">
        <f>IFERROR(GETPIVOTDATA("合計 / " &amp; $C131,【ピボット】事業所売上!$A$3,"年月",S$2,"事業所",$A131),0)</f>
        <v>0</v>
      </c>
      <c r="T131" s="1623">
        <f>IFERROR(GETPIVOTDATA("合計 / " &amp; $C131,【ピボット】事業所売上!$A$3,"年月",T$2,"事業所",$A131),0)</f>
        <v>0</v>
      </c>
      <c r="U131" s="1623">
        <f>IFERROR(GETPIVOTDATA("合計 / " &amp; $C131,【ピボット】事業所売上!$A$3,"年月",U$2,"事業所",$A131),0)</f>
        <v>0</v>
      </c>
      <c r="V131" s="1623">
        <f>IFERROR(GETPIVOTDATA("合計 / " &amp; $C131,【ピボット】事業所売上!$A$3,"年月",V$2,"事業所",$A131),0)</f>
        <v>0</v>
      </c>
      <c r="W131" s="1623">
        <f>IFERROR(GETPIVOTDATA("合計 / " &amp; $C131,【ピボット】事業所売上!$A$3,"年月",W$2,"事業所",$A131),0)</f>
        <v>0</v>
      </c>
      <c r="X131" s="1623">
        <f>IFERROR(GETPIVOTDATA("合計 / " &amp; $C131,【ピボット】事業所売上!$A$3,"年月",X$2,"事業所",$A131),0)</f>
        <v>0</v>
      </c>
      <c r="Y131" s="1623">
        <f>IFERROR(GETPIVOTDATA("合計 / " &amp; $C131,【ピボット】事業所売上!$A$3,"年月",Y$2,"事業所",$A131),0)</f>
        <v>-60000</v>
      </c>
      <c r="Z131" s="1623">
        <f>IFERROR(GETPIVOTDATA("合計 / " &amp; $C131,【ピボット】事業所売上!$A$3,"年月",Z$2,"事業所",$A131),0)</f>
        <v>-60000</v>
      </c>
      <c r="AA131" s="1623">
        <f>IFERROR(GETPIVOTDATA("合計 / " &amp; $C131,【ピボット】事業所売上!$A$3,"年月",AA$2,"事業所",$A131),0)</f>
        <v>-70000</v>
      </c>
      <c r="AB131" s="1561">
        <f ca="1">SUM(OFFSET(AA131,0,当期月数):AA131)</f>
        <v>-190000</v>
      </c>
    </row>
    <row r="132" spans="1:28" ht="15.4" hidden="1" customHeight="1" outlineLevel="1" x14ac:dyDescent="0.15">
      <c r="A132" s="1511" t="s">
        <v>1493</v>
      </c>
      <c r="B132" s="2052"/>
      <c r="C132" s="1599" t="s">
        <v>400</v>
      </c>
      <c r="D132" s="1601">
        <f>IFERROR(GETPIVOTDATA("合計 / " &amp; $C132,【ピボット】事業所売上!$A$3,"年月",D$2,"事業所",$A132),0)</f>
        <v>0</v>
      </c>
      <c r="E132" s="1601">
        <f>IFERROR(GETPIVOTDATA("合計 / " &amp; $C132,【ピボット】事業所売上!$A$3,"年月",E$2,"事業所",$A132),0)</f>
        <v>0</v>
      </c>
      <c r="F132" s="1601">
        <f>IFERROR(GETPIVOTDATA("合計 / " &amp; $C132,【ピボット】事業所売上!$A$3,"年月",F$2,"事業所",$A132),0)</f>
        <v>0</v>
      </c>
      <c r="G132" s="1601">
        <f>IFERROR(GETPIVOTDATA("合計 / " &amp; $C132,【ピボット】事業所売上!$A$3,"年月",G$2,"事業所",$A132),0)</f>
        <v>0</v>
      </c>
      <c r="H132" s="1601">
        <f>IFERROR(GETPIVOTDATA("合計 / " &amp; $C132,【ピボット】事業所売上!$A$3,"年月",H$2,"事業所",$A132),0)</f>
        <v>0</v>
      </c>
      <c r="I132" s="1601">
        <f>IFERROR(GETPIVOTDATA("合計 / " &amp; $C132,【ピボット】事業所売上!$A$3,"年月",I$2,"事業所",$A132),0)</f>
        <v>0</v>
      </c>
      <c r="J132" s="1601">
        <f>IFERROR(GETPIVOTDATA("合計 / " &amp; $C132,【ピボット】事業所売上!$A$3,"年月",J$2,"事業所",$A132),0)</f>
        <v>0</v>
      </c>
      <c r="K132" s="1601">
        <f>IFERROR(GETPIVOTDATA("合計 / " &amp; $C132,【ピボット】事業所売上!$A$3,"年月",K$2,"事業所",$A132),0)</f>
        <v>0</v>
      </c>
      <c r="L132" s="1601">
        <f>IFERROR(GETPIVOTDATA("合計 / " &amp; $C132,【ピボット】事業所売上!$A$3,"年月",L$2,"事業所",$A132),0)</f>
        <v>0</v>
      </c>
      <c r="M132" s="1601">
        <f>IFERROR(GETPIVOTDATA("合計 / " &amp; $C132,【ピボット】事業所売上!$A$3,"年月",M$2,"事業所",$A132),0)</f>
        <v>0</v>
      </c>
      <c r="N132" s="1601">
        <f>IFERROR(GETPIVOTDATA("合計 / " &amp; $C132,【ピボット】事業所売上!$A$3,"年月",N$2,"事業所",$A132),0)</f>
        <v>0</v>
      </c>
      <c r="O132" s="1601">
        <f>IFERROR(GETPIVOTDATA("合計 / " &amp; $C132,【ピボット】事業所売上!$A$3,"年月",O$2,"事業所",$A132),0)</f>
        <v>0</v>
      </c>
      <c r="P132" s="1601">
        <f>IFERROR(GETPIVOTDATA("合計 / " &amp; $C132,【ピボット】事業所売上!$A$3,"年月",P$2,"事業所",$A132),0)</f>
        <v>0</v>
      </c>
      <c r="Q132" s="1601">
        <f>IFERROR(GETPIVOTDATA("合計 / " &amp; $C132,【ピボット】事業所売上!$A$3,"年月",Q$2,"事業所",$A132),0)</f>
        <v>0</v>
      </c>
      <c r="R132" s="1601">
        <f>IFERROR(GETPIVOTDATA("合計 / " &amp; $C132,【ピボット】事業所売上!$A$3,"年月",R$2,"事業所",$A132),0)</f>
        <v>0</v>
      </c>
      <c r="S132" s="1601">
        <f>IFERROR(GETPIVOTDATA("合計 / " &amp; $C132,【ピボット】事業所売上!$A$3,"年月",S$2,"事業所",$A132),0)</f>
        <v>0</v>
      </c>
      <c r="T132" s="1601">
        <f>IFERROR(GETPIVOTDATA("合計 / " &amp; $C132,【ピボット】事業所売上!$A$3,"年月",T$2,"事業所",$A132),0)</f>
        <v>0</v>
      </c>
      <c r="U132" s="1601">
        <f>IFERROR(GETPIVOTDATA("合計 / " &amp; $C132,【ピボット】事業所売上!$A$3,"年月",U$2,"事業所",$A132),0)</f>
        <v>0</v>
      </c>
      <c r="V132" s="1601">
        <f>IFERROR(GETPIVOTDATA("合計 / " &amp; $C132,【ピボット】事業所売上!$A$3,"年月",V$2,"事業所",$A132),0)</f>
        <v>0</v>
      </c>
      <c r="W132" s="1601">
        <f>IFERROR(GETPIVOTDATA("合計 / " &amp; $C132,【ピボット】事業所売上!$A$3,"年月",W$2,"事業所",$A132),0)</f>
        <v>0</v>
      </c>
      <c r="X132" s="1601">
        <f>IFERROR(GETPIVOTDATA("合計 / " &amp; $C132,【ピボット】事業所売上!$A$3,"年月",X$2,"事業所",$A132),0)</f>
        <v>0</v>
      </c>
      <c r="Y132" s="1601">
        <f>IFERROR(GETPIVOTDATA("合計 / " &amp; $C132,【ピボット】事業所売上!$A$3,"年月",Y$2,"事業所",$A132),0)</f>
        <v>0</v>
      </c>
      <c r="Z132" s="1601">
        <f>IFERROR(GETPIVOTDATA("合計 / " &amp; $C132,【ピボット】事業所売上!$A$3,"年月",Z$2,"事業所",$A132),0)</f>
        <v>0</v>
      </c>
      <c r="AA132" s="1601">
        <f>IFERROR(GETPIVOTDATA("合計 / " &amp; $C132,【ピボット】事業所売上!$A$3,"年月",AA$2,"事業所",$A132),0)</f>
        <v>0</v>
      </c>
      <c r="AB132" s="1561">
        <f ca="1">SUM(OFFSET(AA132,0,当期月数):AA132)</f>
        <v>0</v>
      </c>
    </row>
    <row r="133" spans="1:28" ht="15.4" hidden="1" customHeight="1" outlineLevel="1" thickBot="1" x14ac:dyDescent="0.2">
      <c r="B133" s="2055"/>
      <c r="C133" s="1606" t="s">
        <v>11</v>
      </c>
      <c r="D133" s="1607">
        <f t="shared" ref="D133:L133" si="47">SUM(D128:D132)</f>
        <v>0</v>
      </c>
      <c r="E133" s="1607">
        <f t="shared" si="47"/>
        <v>0</v>
      </c>
      <c r="F133" s="1607">
        <f t="shared" si="47"/>
        <v>0</v>
      </c>
      <c r="G133" s="1607">
        <f t="shared" si="47"/>
        <v>0</v>
      </c>
      <c r="H133" s="1607">
        <f t="shared" si="47"/>
        <v>0</v>
      </c>
      <c r="I133" s="1607">
        <f t="shared" si="47"/>
        <v>0</v>
      </c>
      <c r="J133" s="1607">
        <f t="shared" si="47"/>
        <v>0</v>
      </c>
      <c r="K133" s="1607">
        <f t="shared" si="47"/>
        <v>0</v>
      </c>
      <c r="L133" s="1607">
        <f t="shared" si="47"/>
        <v>0</v>
      </c>
      <c r="M133" s="1607">
        <f t="shared" ref="M133:S133" si="48">SUM(M128:M132)</f>
        <v>0</v>
      </c>
      <c r="N133" s="1607">
        <f t="shared" si="48"/>
        <v>0</v>
      </c>
      <c r="O133" s="1607">
        <f t="shared" si="48"/>
        <v>0</v>
      </c>
      <c r="P133" s="1607">
        <f t="shared" si="48"/>
        <v>0</v>
      </c>
      <c r="Q133" s="1607">
        <f t="shared" si="48"/>
        <v>0</v>
      </c>
      <c r="R133" s="1607">
        <f t="shared" si="48"/>
        <v>0</v>
      </c>
      <c r="S133" s="1607">
        <f t="shared" si="48"/>
        <v>0</v>
      </c>
      <c r="T133" s="1607">
        <f>SUM(T128:T132)</f>
        <v>0</v>
      </c>
      <c r="U133" s="1607">
        <f t="shared" ref="U133:AA133" si="49">SUM(U128:U132)</f>
        <v>0</v>
      </c>
      <c r="V133" s="1607">
        <f t="shared" si="49"/>
        <v>16000</v>
      </c>
      <c r="W133" s="1607">
        <f t="shared" si="49"/>
        <v>40000</v>
      </c>
      <c r="X133" s="1607">
        <f t="shared" si="49"/>
        <v>40000</v>
      </c>
      <c r="Y133" s="1607">
        <f t="shared" si="49"/>
        <v>1476188</v>
      </c>
      <c r="Z133" s="1607">
        <f t="shared" si="49"/>
        <v>1775131</v>
      </c>
      <c r="AA133" s="1607">
        <f t="shared" si="49"/>
        <v>2077332</v>
      </c>
      <c r="AB133" s="1608">
        <f ca="1">SUM(OFFSET(AA133,0,当期月数):AA133)</f>
        <v>5424651</v>
      </c>
    </row>
    <row r="134" spans="1:28" ht="15.4" customHeight="1" collapsed="1" x14ac:dyDescent="0.15">
      <c r="A134" s="1511" t="s">
        <v>1374</v>
      </c>
      <c r="B134" s="2052" t="s">
        <v>304</v>
      </c>
      <c r="C134" s="1609" t="s">
        <v>139</v>
      </c>
      <c r="D134" s="1589">
        <f>SUM(D110,D116,D122,D128)</f>
        <v>0</v>
      </c>
      <c r="E134" s="1589">
        <f t="shared" ref="E134:AA138" si="50">SUM(E110,E116,E122,E128)</f>
        <v>6532501</v>
      </c>
      <c r="F134" s="1589">
        <f t="shared" si="50"/>
        <v>3865499</v>
      </c>
      <c r="G134" s="1589">
        <f t="shared" si="50"/>
        <v>3807052</v>
      </c>
      <c r="H134" s="1589">
        <f t="shared" si="50"/>
        <v>4069088</v>
      </c>
      <c r="I134" s="1589">
        <f t="shared" si="50"/>
        <v>5032486</v>
      </c>
      <c r="J134" s="1589">
        <f t="shared" si="50"/>
        <v>4496061</v>
      </c>
      <c r="K134" s="1589">
        <f t="shared" si="50"/>
        <v>4430209</v>
      </c>
      <c r="L134" s="1589">
        <f t="shared" si="50"/>
        <v>4112767</v>
      </c>
      <c r="M134" s="1589">
        <f t="shared" si="50"/>
        <v>3772513</v>
      </c>
      <c r="N134" s="1589">
        <f t="shared" si="50"/>
        <v>4062757</v>
      </c>
      <c r="O134" s="1589">
        <f t="shared" si="50"/>
        <v>4143258</v>
      </c>
      <c r="P134" s="1589">
        <f t="shared" si="50"/>
        <v>4284049</v>
      </c>
      <c r="Q134" s="1589">
        <f t="shared" si="50"/>
        <v>3663029</v>
      </c>
      <c r="R134" s="1589">
        <f t="shared" si="50"/>
        <v>4814230</v>
      </c>
      <c r="S134" s="1589">
        <f t="shared" si="50"/>
        <v>3865820</v>
      </c>
      <c r="T134" s="1589">
        <f t="shared" si="50"/>
        <v>4109856</v>
      </c>
      <c r="U134" s="1589">
        <f t="shared" si="50"/>
        <v>4621679</v>
      </c>
      <c r="V134" s="1589">
        <f t="shared" si="50"/>
        <v>4529239</v>
      </c>
      <c r="W134" s="1589">
        <f t="shared" si="50"/>
        <v>4659489</v>
      </c>
      <c r="X134" s="1589">
        <f t="shared" si="50"/>
        <v>4667286</v>
      </c>
      <c r="Y134" s="1589">
        <f t="shared" si="50"/>
        <v>4962619</v>
      </c>
      <c r="Z134" s="1589">
        <f t="shared" si="50"/>
        <v>5184936</v>
      </c>
      <c r="AA134" s="1589">
        <f>SUM(AA110,AA116,AA122,AA128)</f>
        <v>6149349</v>
      </c>
      <c r="AB134" s="1590">
        <f ca="1">SUM(OFFSET(AA134,0,当期月数):AA134)</f>
        <v>38884453</v>
      </c>
    </row>
    <row r="135" spans="1:28" ht="15.4" customHeight="1" x14ac:dyDescent="0.15">
      <c r="A135" s="1511" t="s">
        <v>1374</v>
      </c>
      <c r="B135" s="2052" t="s">
        <v>1367</v>
      </c>
      <c r="C135" s="1599" t="s">
        <v>7</v>
      </c>
      <c r="D135" s="1623">
        <f t="shared" ref="D135:S138" si="51">SUM(D111,D117,D123,D129)</f>
        <v>20000</v>
      </c>
      <c r="E135" s="1623">
        <f t="shared" si="51"/>
        <v>20000</v>
      </c>
      <c r="F135" s="1623">
        <f t="shared" si="51"/>
        <v>20000</v>
      </c>
      <c r="G135" s="1623">
        <f t="shared" si="51"/>
        <v>20000</v>
      </c>
      <c r="H135" s="1623">
        <f t="shared" si="51"/>
        <v>20000</v>
      </c>
      <c r="I135" s="1623">
        <f t="shared" si="51"/>
        <v>20000</v>
      </c>
      <c r="J135" s="1623">
        <f t="shared" si="51"/>
        <v>20000</v>
      </c>
      <c r="K135" s="1623">
        <f t="shared" si="51"/>
        <v>20000</v>
      </c>
      <c r="L135" s="1623">
        <f t="shared" si="51"/>
        <v>20000</v>
      </c>
      <c r="M135" s="1623">
        <f t="shared" si="51"/>
        <v>20000</v>
      </c>
      <c r="N135" s="1623">
        <f t="shared" si="51"/>
        <v>20000</v>
      </c>
      <c r="O135" s="1623">
        <f t="shared" si="51"/>
        <v>20000</v>
      </c>
      <c r="P135" s="1623">
        <f t="shared" si="51"/>
        <v>20000</v>
      </c>
      <c r="Q135" s="1623">
        <f t="shared" si="51"/>
        <v>20000</v>
      </c>
      <c r="R135" s="1623">
        <f t="shared" si="51"/>
        <v>20000</v>
      </c>
      <c r="S135" s="1623">
        <f t="shared" si="51"/>
        <v>38000</v>
      </c>
      <c r="T135" s="1623">
        <f t="shared" si="50"/>
        <v>0</v>
      </c>
      <c r="U135" s="1623">
        <f t="shared" si="50"/>
        <v>0</v>
      </c>
      <c r="V135" s="1623">
        <f t="shared" si="50"/>
        <v>23800</v>
      </c>
      <c r="W135" s="1623">
        <f t="shared" si="50"/>
        <v>30600</v>
      </c>
      <c r="X135" s="1623">
        <f t="shared" si="50"/>
        <v>0</v>
      </c>
      <c r="Y135" s="1623">
        <f t="shared" si="50"/>
        <v>0</v>
      </c>
      <c r="Z135" s="1623">
        <f t="shared" si="50"/>
        <v>17000</v>
      </c>
      <c r="AA135" s="1623">
        <f t="shared" si="50"/>
        <v>0</v>
      </c>
      <c r="AB135" s="1561">
        <f ca="1">SUM(OFFSET(AA135,0,当期月数):AA135)</f>
        <v>71400</v>
      </c>
    </row>
    <row r="136" spans="1:28" ht="15.4" customHeight="1" x14ac:dyDescent="0.15">
      <c r="A136" s="1511" t="s">
        <v>1374</v>
      </c>
      <c r="B136" s="2052"/>
      <c r="C136" s="1599" t="s">
        <v>12</v>
      </c>
      <c r="D136" s="1623">
        <f t="shared" si="51"/>
        <v>159300</v>
      </c>
      <c r="E136" s="1623">
        <f t="shared" si="50"/>
        <v>469333</v>
      </c>
      <c r="F136" s="1623">
        <f t="shared" si="50"/>
        <v>484387</v>
      </c>
      <c r="G136" s="1623">
        <f t="shared" si="50"/>
        <v>496000</v>
      </c>
      <c r="H136" s="1623">
        <f t="shared" si="50"/>
        <v>456000</v>
      </c>
      <c r="I136" s="1623">
        <f t="shared" si="50"/>
        <v>496000</v>
      </c>
      <c r="J136" s="1623">
        <f t="shared" si="50"/>
        <v>576000</v>
      </c>
      <c r="K136" s="1623">
        <f t="shared" si="50"/>
        <v>576000</v>
      </c>
      <c r="L136" s="1623">
        <f t="shared" si="50"/>
        <v>559000</v>
      </c>
      <c r="M136" s="1623">
        <f t="shared" si="50"/>
        <v>559000</v>
      </c>
      <c r="N136" s="1623">
        <f t="shared" si="50"/>
        <v>559000</v>
      </c>
      <c r="O136" s="1623">
        <f t="shared" si="50"/>
        <v>559000</v>
      </c>
      <c r="P136" s="1623">
        <f t="shared" si="50"/>
        <v>559000</v>
      </c>
      <c r="Q136" s="1623">
        <f t="shared" si="50"/>
        <v>559000</v>
      </c>
      <c r="R136" s="1623">
        <f t="shared" si="50"/>
        <v>559000</v>
      </c>
      <c r="S136" s="1623">
        <f t="shared" si="50"/>
        <v>519000</v>
      </c>
      <c r="T136" s="1623">
        <f t="shared" si="50"/>
        <v>549250</v>
      </c>
      <c r="U136" s="1623">
        <f t="shared" si="50"/>
        <v>576000</v>
      </c>
      <c r="V136" s="1623">
        <f t="shared" si="50"/>
        <v>592000</v>
      </c>
      <c r="W136" s="1623">
        <f t="shared" si="50"/>
        <v>616000</v>
      </c>
      <c r="X136" s="1623">
        <f t="shared" si="50"/>
        <v>616000</v>
      </c>
      <c r="Y136" s="1623">
        <f t="shared" si="50"/>
        <v>776000</v>
      </c>
      <c r="Z136" s="1623">
        <f t="shared" si="50"/>
        <v>776000</v>
      </c>
      <c r="AA136" s="1623">
        <f t="shared" si="50"/>
        <v>839000</v>
      </c>
      <c r="AB136" s="1561">
        <f ca="1">SUM(OFFSET(AA136,0,当期月数):AA136)</f>
        <v>5340250</v>
      </c>
    </row>
    <row r="137" spans="1:28" ht="15.4" customHeight="1" x14ac:dyDescent="0.15">
      <c r="A137" s="1511" t="s">
        <v>1374</v>
      </c>
      <c r="B137" s="2052"/>
      <c r="C137" s="1599" t="s">
        <v>469</v>
      </c>
      <c r="D137" s="1623">
        <f t="shared" si="51"/>
        <v>-30000</v>
      </c>
      <c r="E137" s="1623">
        <f t="shared" si="50"/>
        <v>-320000</v>
      </c>
      <c r="F137" s="1623">
        <f t="shared" si="50"/>
        <v>-30000</v>
      </c>
      <c r="G137" s="1623">
        <f t="shared" si="50"/>
        <v>-290000</v>
      </c>
      <c r="H137" s="1623">
        <f t="shared" si="50"/>
        <v>-160000</v>
      </c>
      <c r="I137" s="1623">
        <f t="shared" si="50"/>
        <v>-160000</v>
      </c>
      <c r="J137" s="1623">
        <f t="shared" si="50"/>
        <v>-160000</v>
      </c>
      <c r="K137" s="1623">
        <f t="shared" si="50"/>
        <v>-180000</v>
      </c>
      <c r="L137" s="1623">
        <f t="shared" si="50"/>
        <v>-170000</v>
      </c>
      <c r="M137" s="1623">
        <f t="shared" si="50"/>
        <v>-170000</v>
      </c>
      <c r="N137" s="1623">
        <f t="shared" si="50"/>
        <v>-170000</v>
      </c>
      <c r="O137" s="1623">
        <f t="shared" si="50"/>
        <v>-170000</v>
      </c>
      <c r="P137" s="1623">
        <f t="shared" si="50"/>
        <v>-170000</v>
      </c>
      <c r="Q137" s="1623">
        <f t="shared" si="50"/>
        <v>-170000</v>
      </c>
      <c r="R137" s="1623">
        <f t="shared" si="50"/>
        <v>-170000</v>
      </c>
      <c r="S137" s="1623">
        <f t="shared" si="50"/>
        <v>-160000</v>
      </c>
      <c r="T137" s="1623">
        <f t="shared" si="50"/>
        <v>-160000</v>
      </c>
      <c r="U137" s="1623">
        <f t="shared" si="50"/>
        <v>-170000</v>
      </c>
      <c r="V137" s="1623">
        <f t="shared" si="50"/>
        <v>-180000</v>
      </c>
      <c r="W137" s="1623">
        <f t="shared" si="50"/>
        <v>-180000</v>
      </c>
      <c r="X137" s="1623">
        <f t="shared" si="50"/>
        <v>-180000</v>
      </c>
      <c r="Y137" s="1623">
        <f t="shared" si="50"/>
        <v>-220000</v>
      </c>
      <c r="Z137" s="1623">
        <f t="shared" si="50"/>
        <v>-230000</v>
      </c>
      <c r="AA137" s="1623">
        <f t="shared" si="50"/>
        <v>-240000</v>
      </c>
      <c r="AB137" s="1561">
        <f ca="1">SUM(OFFSET(AA137,0,当期月数):AA137)</f>
        <v>-1560000</v>
      </c>
    </row>
    <row r="138" spans="1:28" ht="15.4" customHeight="1" x14ac:dyDescent="0.15">
      <c r="A138" s="1511" t="s">
        <v>1374</v>
      </c>
      <c r="B138" s="2052"/>
      <c r="C138" s="1599" t="s">
        <v>400</v>
      </c>
      <c r="D138" s="1601">
        <f t="shared" si="51"/>
        <v>1378364</v>
      </c>
      <c r="E138" s="1601">
        <f t="shared" si="50"/>
        <v>0</v>
      </c>
      <c r="F138" s="1601">
        <f t="shared" si="50"/>
        <v>0</v>
      </c>
      <c r="G138" s="1601">
        <f t="shared" si="50"/>
        <v>0</v>
      </c>
      <c r="H138" s="1601">
        <f t="shared" si="50"/>
        <v>0</v>
      </c>
      <c r="I138" s="1601">
        <f t="shared" si="50"/>
        <v>0</v>
      </c>
      <c r="J138" s="1601">
        <f t="shared" si="50"/>
        <v>0</v>
      </c>
      <c r="K138" s="1601">
        <f t="shared" si="50"/>
        <v>0</v>
      </c>
      <c r="L138" s="1601">
        <f t="shared" si="50"/>
        <v>0</v>
      </c>
      <c r="M138" s="1601">
        <f t="shared" si="50"/>
        <v>70141</v>
      </c>
      <c r="N138" s="1601">
        <f t="shared" si="50"/>
        <v>374000</v>
      </c>
      <c r="O138" s="1601">
        <f t="shared" si="50"/>
        <v>100194</v>
      </c>
      <c r="P138" s="1601">
        <f t="shared" si="50"/>
        <v>1595585</v>
      </c>
      <c r="Q138" s="1601">
        <f t="shared" si="50"/>
        <v>0</v>
      </c>
      <c r="R138" s="1601">
        <f t="shared" si="50"/>
        <v>0</v>
      </c>
      <c r="S138" s="1601">
        <f t="shared" si="50"/>
        <v>0</v>
      </c>
      <c r="T138" s="1601">
        <f t="shared" si="50"/>
        <v>0</v>
      </c>
      <c r="U138" s="1601">
        <f t="shared" si="50"/>
        <v>0</v>
      </c>
      <c r="V138" s="1601">
        <f t="shared" si="50"/>
        <v>0</v>
      </c>
      <c r="W138" s="1601">
        <f t="shared" si="50"/>
        <v>0</v>
      </c>
      <c r="X138" s="1601">
        <f t="shared" si="50"/>
        <v>508000</v>
      </c>
      <c r="Y138" s="1601">
        <f t="shared" si="50"/>
        <v>118263</v>
      </c>
      <c r="Z138" s="1601">
        <f t="shared" si="50"/>
        <v>27939</v>
      </c>
      <c r="AA138" s="1601">
        <f t="shared" si="50"/>
        <v>35346</v>
      </c>
      <c r="AB138" s="1561">
        <f ca="1">SUM(OFFSET(AA138,0,当期月数):AA138)</f>
        <v>689548</v>
      </c>
    </row>
    <row r="139" spans="1:28" ht="15.4" customHeight="1" thickBot="1" x14ac:dyDescent="0.2">
      <c r="B139" s="2055"/>
      <c r="C139" s="1625" t="s">
        <v>11</v>
      </c>
      <c r="D139" s="1626">
        <f t="shared" ref="D139:L139" si="52">SUM(D134:D138)</f>
        <v>1527664</v>
      </c>
      <c r="E139" s="1626">
        <f t="shared" si="52"/>
        <v>6701834</v>
      </c>
      <c r="F139" s="1626">
        <f t="shared" si="52"/>
        <v>4339886</v>
      </c>
      <c r="G139" s="1626">
        <f t="shared" si="52"/>
        <v>4033052</v>
      </c>
      <c r="H139" s="1626">
        <f t="shared" si="52"/>
        <v>4385088</v>
      </c>
      <c r="I139" s="1626">
        <f t="shared" si="52"/>
        <v>5388486</v>
      </c>
      <c r="J139" s="1626">
        <f t="shared" si="52"/>
        <v>4932061</v>
      </c>
      <c r="K139" s="1626">
        <f t="shared" si="52"/>
        <v>4846209</v>
      </c>
      <c r="L139" s="1626">
        <f t="shared" si="52"/>
        <v>4521767</v>
      </c>
      <c r="M139" s="1626">
        <f t="shared" ref="M139:S139" si="53">SUM(M134:M138)</f>
        <v>4251654</v>
      </c>
      <c r="N139" s="1626">
        <f t="shared" si="53"/>
        <v>4845757</v>
      </c>
      <c r="O139" s="1626">
        <f t="shared" si="53"/>
        <v>4652452</v>
      </c>
      <c r="P139" s="1626">
        <f t="shared" si="53"/>
        <v>6288634</v>
      </c>
      <c r="Q139" s="1626">
        <f t="shared" si="53"/>
        <v>4072029</v>
      </c>
      <c r="R139" s="1626">
        <f t="shared" si="53"/>
        <v>5223230</v>
      </c>
      <c r="S139" s="1626">
        <f t="shared" si="53"/>
        <v>4262820</v>
      </c>
      <c r="T139" s="1626">
        <f>SUM(T134:T138)</f>
        <v>4499106</v>
      </c>
      <c r="U139" s="1626">
        <f t="shared" ref="U139:AA139" si="54">SUM(U134:U138)</f>
        <v>5027679</v>
      </c>
      <c r="V139" s="1626">
        <f t="shared" si="54"/>
        <v>4965039</v>
      </c>
      <c r="W139" s="1626">
        <f t="shared" si="54"/>
        <v>5126089</v>
      </c>
      <c r="X139" s="1626">
        <f t="shared" si="54"/>
        <v>5611286</v>
      </c>
      <c r="Y139" s="1626">
        <f t="shared" si="54"/>
        <v>5636882</v>
      </c>
      <c r="Z139" s="1626">
        <f t="shared" si="54"/>
        <v>5775875</v>
      </c>
      <c r="AA139" s="1626">
        <f t="shared" si="54"/>
        <v>6783695</v>
      </c>
      <c r="AB139" s="1627">
        <f ca="1">SUM(OFFSET(AA139,0,当期月数):AA139)</f>
        <v>43425651</v>
      </c>
    </row>
    <row r="140" spans="1:28" ht="15.4" customHeight="1" outlineLevel="1" x14ac:dyDescent="0.15">
      <c r="A140" s="1511" t="s">
        <v>686</v>
      </c>
      <c r="B140" s="2052" t="s">
        <v>3</v>
      </c>
      <c r="C140" s="1609" t="s">
        <v>10</v>
      </c>
      <c r="D140" s="1589">
        <f>IFERROR(GETPIVOTDATA("合計 / " &amp; $C140,【ピボット】事業所売上!$A$3,"年月",D$2,"事業所",$A140),0)</f>
        <v>1229514</v>
      </c>
      <c r="E140" s="1589">
        <f>IFERROR(GETPIVOTDATA("合計 / " &amp; $C140,【ピボット】事業所売上!$A$3,"年月",E$2,"事業所",$A140),0)</f>
        <v>1075853</v>
      </c>
      <c r="F140" s="1589">
        <f>IFERROR(GETPIVOTDATA("合計 / " &amp; $C140,【ピボット】事業所売上!$A$3,"年月",F$2,"事業所",$A140),0)</f>
        <v>1108582</v>
      </c>
      <c r="G140" s="1589">
        <f>IFERROR(GETPIVOTDATA("合計 / " &amp; $C140,【ピボット】事業所売上!$A$3,"年月",G$2,"事業所",$A140),0)</f>
        <v>1303828</v>
      </c>
      <c r="H140" s="1589">
        <f>IFERROR(GETPIVOTDATA("合計 / " &amp; $C140,【ピボット】事業所売上!$A$3,"年月",H$2,"事業所",$A140),0)</f>
        <v>1414506</v>
      </c>
      <c r="I140" s="1589">
        <f>IFERROR(GETPIVOTDATA("合計 / " &amp; $C140,【ピボット】事業所売上!$A$3,"年月",I$2,"事業所",$A140),0)</f>
        <v>1250104</v>
      </c>
      <c r="J140" s="1589">
        <f>IFERROR(GETPIVOTDATA("合計 / " &amp; $C140,【ピボット】事業所売上!$A$3,"年月",J$2,"事業所",$A140),0)</f>
        <v>1297254</v>
      </c>
      <c r="K140" s="1589">
        <f>IFERROR(GETPIVOTDATA("合計 / " &amp; $C140,【ピボット】事業所売上!$A$3,"年月",K$2,"事業所",$A140),0)</f>
        <v>1261043</v>
      </c>
      <c r="L140" s="1589">
        <f>IFERROR(GETPIVOTDATA("合計 / " &amp; $C140,【ピボット】事業所売上!$A$3,"年月",L$2,"事業所",$A140),0)</f>
        <v>924227</v>
      </c>
      <c r="M140" s="1589">
        <f>IFERROR(GETPIVOTDATA("合計 / " &amp; $C140,【ピボット】事業所売上!$A$3,"年月",M$2,"事業所",$A140),0)</f>
        <v>824973</v>
      </c>
      <c r="N140" s="1589">
        <f>IFERROR(GETPIVOTDATA("合計 / " &amp; $C140,【ピボット】事業所売上!$A$3,"年月",N$2,"事業所",$A140),0)</f>
        <v>784840</v>
      </c>
      <c r="O140" s="1589">
        <f>IFERROR(GETPIVOTDATA("合計 / " &amp; $C140,【ピボット】事業所売上!$A$3,"年月",O$2,"事業所",$A140),0)</f>
        <v>823704</v>
      </c>
      <c r="P140" s="1589">
        <f>IFERROR(GETPIVOTDATA("合計 / " &amp; $C140,【ピボット】事業所売上!$A$3,"年月",P$2,"事業所",$A140),0)</f>
        <v>865723</v>
      </c>
      <c r="Q140" s="1589">
        <f>IFERROR(GETPIVOTDATA("合計 / " &amp; $C140,【ピボット】事業所売上!$A$3,"年月",Q$2,"事業所",$A140),0)</f>
        <v>907116</v>
      </c>
      <c r="R140" s="1589">
        <f>IFERROR(GETPIVOTDATA("合計 / " &amp; $C140,【ピボット】事業所売上!$A$3,"年月",R$2,"事業所",$A140),0)</f>
        <v>745508</v>
      </c>
      <c r="S140" s="1589">
        <f>IFERROR(GETPIVOTDATA("合計 / " &amp; $C140,【ピボット】事業所売上!$A$3,"年月",S$2,"事業所",$A140),0)</f>
        <v>512163</v>
      </c>
      <c r="T140" s="1589">
        <f>IFERROR(GETPIVOTDATA("合計 / " &amp; $C140,【ピボット】事業所売上!$A$3,"年月",T$2,"事業所",$A140),0)</f>
        <v>379821</v>
      </c>
      <c r="U140" s="1589">
        <f>IFERROR(GETPIVOTDATA("合計 / " &amp; $C140,【ピボット】事業所売上!$A$3,"年月",U$2,"事業所",$A140),0)</f>
        <v>0</v>
      </c>
      <c r="V140" s="1589">
        <f>IFERROR(GETPIVOTDATA("合計 / " &amp; $C140,【ピボット】事業所売上!$A$3,"年月",V$2,"事業所",$A140),0)</f>
        <v>0</v>
      </c>
      <c r="W140" s="1589">
        <f>IFERROR(GETPIVOTDATA("合計 / " &amp; $C140,【ピボット】事業所売上!$A$3,"年月",W$2,"事業所",$A140),0)</f>
        <v>0</v>
      </c>
      <c r="X140" s="1589">
        <f>IFERROR(GETPIVOTDATA("合計 / " &amp; $C140,【ピボット】事業所売上!$A$3,"年月",X$2,"事業所",$A140),0)</f>
        <v>0</v>
      </c>
      <c r="Y140" s="1589">
        <f>IFERROR(GETPIVOTDATA("合計 / " &amp; $C140,【ピボット】事業所売上!$A$3,"年月",Y$2,"事業所",$A140),0)</f>
        <v>0</v>
      </c>
      <c r="Z140" s="1589">
        <f>IFERROR(GETPIVOTDATA("合計 / " &amp; $C140,【ピボット】事業所売上!$A$3,"年月",Z$2,"事業所",$A140),0)</f>
        <v>0</v>
      </c>
      <c r="AA140" s="1589">
        <f>IFERROR(GETPIVOTDATA("合計 / " &amp; $C140,【ピボット】事業所売上!$A$3,"年月",AA$2,"事業所",$A140),0)</f>
        <v>0</v>
      </c>
      <c r="AB140" s="1590">
        <f ca="1">SUM(OFFSET(AA140,0,当期月数):AA140)</f>
        <v>379821</v>
      </c>
    </row>
    <row r="141" spans="1:28" ht="15.4" customHeight="1" outlineLevel="1" x14ac:dyDescent="0.15">
      <c r="A141" s="1511" t="s">
        <v>686</v>
      </c>
      <c r="B141" s="2052" t="s">
        <v>334</v>
      </c>
      <c r="C141" s="1609" t="s">
        <v>8</v>
      </c>
      <c r="D141" s="1589">
        <f>IFERROR(GETPIVOTDATA("合計 / " &amp; $C141,【ピボット】事業所売上!$A$3,"年月",D$2,"事業所",$A141),0)</f>
        <v>10440</v>
      </c>
      <c r="E141" s="1589">
        <f>IFERROR(GETPIVOTDATA("合計 / " &amp; $C141,【ピボット】事業所売上!$A$3,"年月",E$2,"事業所",$A141),0)</f>
        <v>7122</v>
      </c>
      <c r="F141" s="1589">
        <f>IFERROR(GETPIVOTDATA("合計 / " &amp; $C141,【ピボット】事業所売上!$A$3,"年月",F$2,"事業所",$A141),0)</f>
        <v>5184</v>
      </c>
      <c r="G141" s="1589">
        <f>IFERROR(GETPIVOTDATA("合計 / " &amp; $C141,【ピボット】事業所売上!$A$3,"年月",G$2,"事業所",$A141),0)</f>
        <v>2592</v>
      </c>
      <c r="H141" s="1589">
        <f>IFERROR(GETPIVOTDATA("合計 / " &amp; $C141,【ピボット】事業所売上!$A$3,"年月",H$2,"事業所",$A141),0)</f>
        <v>0</v>
      </c>
      <c r="I141" s="1589">
        <f>IFERROR(GETPIVOTDATA("合計 / " &amp; $C141,【ピボット】事業所売上!$A$3,"年月",I$2,"事業所",$A141),0)</f>
        <v>0</v>
      </c>
      <c r="J141" s="1589">
        <f>IFERROR(GETPIVOTDATA("合計 / " &amp; $C141,【ピボット】事業所売上!$A$3,"年月",J$2,"事業所",$A141),0)</f>
        <v>4270</v>
      </c>
      <c r="K141" s="1589">
        <f>IFERROR(GETPIVOTDATA("合計 / " &amp; $C141,【ピボット】事業所売上!$A$3,"年月",K$2,"事業所",$A141),0)</f>
        <v>2592</v>
      </c>
      <c r="L141" s="1589">
        <f>IFERROR(GETPIVOTDATA("合計 / " &amp; $C141,【ピボット】事業所売上!$A$3,"年月",L$2,"事業所",$A141),0)</f>
        <v>23400</v>
      </c>
      <c r="M141" s="1589">
        <f>IFERROR(GETPIVOTDATA("合計 / " &amp; $C141,【ピボット】事業所売上!$A$3,"年月",M$2,"事業所",$A141),0)</f>
        <v>0</v>
      </c>
      <c r="N141" s="1589">
        <f>IFERROR(GETPIVOTDATA("合計 / " &amp; $C141,【ピボット】事業所売上!$A$3,"年月",N$2,"事業所",$A141),0)</f>
        <v>41560</v>
      </c>
      <c r="O141" s="1589">
        <f>IFERROR(GETPIVOTDATA("合計 / " &amp; $C141,【ピボット】事業所売上!$A$3,"年月",O$2,"事業所",$A141),0)</f>
        <v>89035</v>
      </c>
      <c r="P141" s="1589">
        <f>IFERROR(GETPIVOTDATA("合計 / " &amp; $C141,【ピボット】事業所売上!$A$3,"年月",P$2,"事業所",$A141),0)</f>
        <v>50890</v>
      </c>
      <c r="Q141" s="1589">
        <f>IFERROR(GETPIVOTDATA("合計 / " &amp; $C141,【ピボット】事業所売上!$A$3,"年月",Q$2,"事業所",$A141),0)</f>
        <v>26796</v>
      </c>
      <c r="R141" s="1589">
        <f>IFERROR(GETPIVOTDATA("合計 / " &amp; $C141,【ピボット】事業所売上!$A$3,"年月",R$2,"事業所",$A141),0)</f>
        <v>19440</v>
      </c>
      <c r="S141" s="1589">
        <f>IFERROR(GETPIVOTDATA("合計 / " &amp; $C141,【ピボット】事業所売上!$A$3,"年月",S$2,"事業所",$A141),0)</f>
        <v>52190</v>
      </c>
      <c r="T141" s="1589">
        <f>IFERROR(GETPIVOTDATA("合計 / " &amp; $C141,【ピボット】事業所売上!$A$3,"年月",T$2,"事業所",$A141),0)</f>
        <v>19400</v>
      </c>
      <c r="U141" s="1589">
        <f>IFERROR(GETPIVOTDATA("合計 / " &amp; $C141,【ピボット】事業所売上!$A$3,"年月",U$2,"事業所",$A141),0)</f>
        <v>0</v>
      </c>
      <c r="V141" s="1589">
        <f>IFERROR(GETPIVOTDATA("合計 / " &amp; $C141,【ピボット】事業所売上!$A$3,"年月",V$2,"事業所",$A141),0)</f>
        <v>0</v>
      </c>
      <c r="W141" s="1589">
        <f>IFERROR(GETPIVOTDATA("合計 / " &amp; $C141,【ピボット】事業所売上!$A$3,"年月",W$2,"事業所",$A141),0)</f>
        <v>0</v>
      </c>
      <c r="X141" s="1589">
        <f>IFERROR(GETPIVOTDATA("合計 / " &amp; $C141,【ピボット】事業所売上!$A$3,"年月",X$2,"事業所",$A141),0)</f>
        <v>0</v>
      </c>
      <c r="Y141" s="1589">
        <f>IFERROR(GETPIVOTDATA("合計 / " &amp; $C141,【ピボット】事業所売上!$A$3,"年月",Y$2,"事業所",$A141),0)</f>
        <v>0</v>
      </c>
      <c r="Z141" s="1589">
        <f>IFERROR(GETPIVOTDATA("合計 / " &amp; $C141,【ピボット】事業所売上!$A$3,"年月",Z$2,"事業所",$A141),0)</f>
        <v>0</v>
      </c>
      <c r="AA141" s="1589">
        <f>IFERROR(GETPIVOTDATA("合計 / " &amp; $C141,【ピボット】事業所売上!$A$3,"年月",AA$2,"事業所",$A141),0)</f>
        <v>0</v>
      </c>
      <c r="AB141" s="1590">
        <f ca="1">SUM(OFFSET(AA141,0,当期月数):AA141)</f>
        <v>19400</v>
      </c>
    </row>
    <row r="142" spans="1:28" ht="15.4" customHeight="1" outlineLevel="1" x14ac:dyDescent="0.15">
      <c r="A142" s="1511" t="s">
        <v>686</v>
      </c>
      <c r="B142" s="2052"/>
      <c r="C142" s="1609" t="s">
        <v>403</v>
      </c>
      <c r="D142" s="1628">
        <f>IFERROR(GETPIVOTDATA("合計 / " &amp; $C142,【ピボット】事業所売上!$A$3,"年月",D$2,"事業所",$A142),0)</f>
        <v>65520</v>
      </c>
      <c r="E142" s="1628">
        <f>IFERROR(GETPIVOTDATA("合計 / " &amp; $C142,【ピボット】事業所売上!$A$3,"年月",E$2,"事業所",$A142),0)</f>
        <v>9360</v>
      </c>
      <c r="F142" s="1628">
        <f>IFERROR(GETPIVOTDATA("合計 / " &amp; $C142,【ピボット】事業所売上!$A$3,"年月",F$2,"事業所",$A142),0)</f>
        <v>92040</v>
      </c>
      <c r="G142" s="1628">
        <f>IFERROR(GETPIVOTDATA("合計 / " &amp; $C142,【ピボット】事業所売上!$A$3,"年月",G$2,"事業所",$A142),0)</f>
        <v>70110</v>
      </c>
      <c r="H142" s="1628">
        <f>IFERROR(GETPIVOTDATA("合計 / " &amp; $C142,【ピボット】事業所売上!$A$3,"年月",H$2,"事業所",$A142),0)</f>
        <v>60840</v>
      </c>
      <c r="I142" s="1628">
        <f>IFERROR(GETPIVOTDATA("合計 / " &amp; $C142,【ピボット】事業所売上!$A$3,"年月",I$2,"事業所",$A142),0)</f>
        <v>66040</v>
      </c>
      <c r="J142" s="1628">
        <f>IFERROR(GETPIVOTDATA("合計 / " &amp; $C142,【ピボット】事業所売上!$A$3,"年月",J$2,"事業所",$A142),0)</f>
        <v>60840</v>
      </c>
      <c r="K142" s="1628">
        <f>IFERROR(GETPIVOTDATA("合計 / " &amp; $C142,【ピボット】事業所売上!$A$3,"年月",K$2,"事業所",$A142),0)</f>
        <v>60840</v>
      </c>
      <c r="L142" s="1628">
        <f>IFERROR(GETPIVOTDATA("合計 / " &amp; $C142,【ピボット】事業所売上!$A$3,"年月",L$2,"事業所",$A142),0)</f>
        <v>65520</v>
      </c>
      <c r="M142" s="1628">
        <f>IFERROR(GETPIVOTDATA("合計 / " &amp; $C142,【ピボット】事業所売上!$A$3,"年月",M$2,"事業所",$A142),0)</f>
        <v>56160</v>
      </c>
      <c r="N142" s="1628">
        <f>IFERROR(GETPIVOTDATA("合計 / " &amp; $C142,【ピボット】事業所売上!$A$3,"年月",N$2,"事業所",$A142),0)</f>
        <v>60840</v>
      </c>
      <c r="O142" s="1628">
        <f>IFERROR(GETPIVOTDATA("合計 / " &amp; $C142,【ピボット】事業所売上!$A$3,"年月",O$2,"事業所",$A142),0)</f>
        <v>60840</v>
      </c>
      <c r="P142" s="1628">
        <f>IFERROR(GETPIVOTDATA("合計 / " &amp; $C142,【ピボット】事業所売上!$A$3,"年月",P$2,"事業所",$A142),0)</f>
        <v>60840</v>
      </c>
      <c r="Q142" s="1628">
        <f>IFERROR(GETPIVOTDATA("合計 / " &amp; $C142,【ピボット】事業所売上!$A$3,"年月",Q$2,"事業所",$A142),0)</f>
        <v>60840</v>
      </c>
      <c r="R142" s="1628">
        <f>IFERROR(GETPIVOTDATA("合計 / " &amp; $C142,【ピボット】事業所売上!$A$3,"年月",R$2,"事業所",$A142),0)</f>
        <v>58500</v>
      </c>
      <c r="S142" s="1628">
        <f>IFERROR(GETPIVOTDATA("合計 / " &amp; $C142,【ピボット】事業所売上!$A$3,"年月",S$2,"事業所",$A142),0)</f>
        <v>14040</v>
      </c>
      <c r="T142" s="1628">
        <f>IFERROR(GETPIVOTDATA("合計 / " &amp; $C142,【ピボット】事業所売上!$A$3,"年月",T$2,"事業所",$A142),0)</f>
        <v>0</v>
      </c>
      <c r="U142" s="1628">
        <f>IFERROR(GETPIVOTDATA("合計 / " &amp; $C142,【ピボット】事業所売上!$A$3,"年月",U$2,"事業所",$A142),0)</f>
        <v>0</v>
      </c>
      <c r="V142" s="1628">
        <f>IFERROR(GETPIVOTDATA("合計 / " &amp; $C142,【ピボット】事業所売上!$A$3,"年月",V$2,"事業所",$A142),0)</f>
        <v>0</v>
      </c>
      <c r="W142" s="1628">
        <f>IFERROR(GETPIVOTDATA("合計 / " &amp; $C142,【ピボット】事業所売上!$A$3,"年月",W$2,"事業所",$A142),0)</f>
        <v>0</v>
      </c>
      <c r="X142" s="1628">
        <f>IFERROR(GETPIVOTDATA("合計 / " &amp; $C142,【ピボット】事業所売上!$A$3,"年月",X$2,"事業所",$A142),0)</f>
        <v>0</v>
      </c>
      <c r="Y142" s="1628">
        <f>IFERROR(GETPIVOTDATA("合計 / " &amp; $C142,【ピボット】事業所売上!$A$3,"年月",Y$2,"事業所",$A142),0)</f>
        <v>0</v>
      </c>
      <c r="Z142" s="1628">
        <f>IFERROR(GETPIVOTDATA("合計 / " &amp; $C142,【ピボット】事業所売上!$A$3,"年月",Z$2,"事業所",$A142),0)</f>
        <v>0</v>
      </c>
      <c r="AA142" s="1628">
        <f>IFERROR(GETPIVOTDATA("合計 / " &amp; $C142,【ピボット】事業所売上!$A$3,"年月",AA$2,"事業所",$A142),0)</f>
        <v>0</v>
      </c>
      <c r="AB142" s="1590">
        <f ca="1">SUM(OFFSET(AA142,0,当期月数):AA142)</f>
        <v>0</v>
      </c>
    </row>
    <row r="143" spans="1:28" ht="15.4" customHeight="1" outlineLevel="1" x14ac:dyDescent="0.15">
      <c r="A143" s="1511" t="s">
        <v>686</v>
      </c>
      <c r="B143" s="2052"/>
      <c r="C143" s="1599" t="s">
        <v>7</v>
      </c>
      <c r="D143" s="1623">
        <f>IFERROR(GETPIVOTDATA("合計 / " &amp; $C143,【ピボット】事業所売上!$A$3,"年月",D$2,"事業所",$A143),0)</f>
        <v>251400</v>
      </c>
      <c r="E143" s="1623">
        <f>IFERROR(GETPIVOTDATA("合計 / " &amp; $C143,【ピボット】事業所売上!$A$3,"年月",E$2,"事業所",$A143),0)</f>
        <v>281600</v>
      </c>
      <c r="F143" s="1623">
        <f>IFERROR(GETPIVOTDATA("合計 / " &amp; $C143,【ピボット】事業所売上!$A$3,"年月",F$2,"事業所",$A143),0)</f>
        <v>347900</v>
      </c>
      <c r="G143" s="1623">
        <f>IFERROR(GETPIVOTDATA("合計 / " &amp; $C143,【ピボット】事業所売上!$A$3,"年月",G$2,"事業所",$A143),0)</f>
        <v>343600</v>
      </c>
      <c r="H143" s="1623">
        <f>IFERROR(GETPIVOTDATA("合計 / " &amp; $C143,【ピボット】事業所売上!$A$3,"年月",H$2,"事業所",$A143),0)</f>
        <v>270470</v>
      </c>
      <c r="I143" s="1623">
        <f>IFERROR(GETPIVOTDATA("合計 / " &amp; $C143,【ピボット】事業所売上!$A$3,"年月",I$2,"事業所",$A143),0)</f>
        <v>354900</v>
      </c>
      <c r="J143" s="1623">
        <f>IFERROR(GETPIVOTDATA("合計 / " &amp; $C143,【ピボット】事業所売上!$A$3,"年月",J$2,"事業所",$A143),0)</f>
        <v>241800</v>
      </c>
      <c r="K143" s="1623">
        <f>IFERROR(GETPIVOTDATA("合計 / " &amp; $C143,【ピボット】事業所売上!$A$3,"年月",K$2,"事業所",$A143),0)</f>
        <v>270800</v>
      </c>
      <c r="L143" s="1623">
        <f>IFERROR(GETPIVOTDATA("合計 / " &amp; $C143,【ピボット】事業所売上!$A$3,"年月",L$2,"事業所",$A143),0)</f>
        <v>165100</v>
      </c>
      <c r="M143" s="1623">
        <f>IFERROR(GETPIVOTDATA("合計 / " &amp; $C143,【ピボット】事業所売上!$A$3,"年月",M$2,"事業所",$A143),0)</f>
        <v>142900</v>
      </c>
      <c r="N143" s="1623">
        <f>IFERROR(GETPIVOTDATA("合計 / " &amp; $C143,【ピボット】事業所売上!$A$3,"年月",N$2,"事業所",$A143),0)</f>
        <v>155500</v>
      </c>
      <c r="O143" s="1623">
        <f>IFERROR(GETPIVOTDATA("合計 / " &amp; $C143,【ピボット】事業所売上!$A$3,"年月",O$2,"事業所",$A143),0)</f>
        <v>97200</v>
      </c>
      <c r="P143" s="1623">
        <f>IFERROR(GETPIVOTDATA("合計 / " &amp; $C143,【ピボット】事業所売上!$A$3,"年月",P$2,"事業所",$A143),0)</f>
        <v>71300</v>
      </c>
      <c r="Q143" s="1623">
        <f>IFERROR(GETPIVOTDATA("合計 / " &amp; $C143,【ピボット】事業所売上!$A$3,"年月",Q$2,"事業所",$A143),0)</f>
        <v>56300</v>
      </c>
      <c r="R143" s="1623">
        <f>IFERROR(GETPIVOTDATA("合計 / " &amp; $C143,【ピボット】事業所売上!$A$3,"年月",R$2,"事業所",$A143),0)</f>
        <v>50600</v>
      </c>
      <c r="S143" s="1623">
        <f>IFERROR(GETPIVOTDATA("合計 / " &amp; $C143,【ピボット】事業所売上!$A$3,"年月",S$2,"事業所",$A143),0)</f>
        <v>75300</v>
      </c>
      <c r="T143" s="1623">
        <f>IFERROR(GETPIVOTDATA("合計 / " &amp; $C143,【ピボット】事業所売上!$A$3,"年月",T$2,"事業所",$A143),0)</f>
        <v>46800</v>
      </c>
      <c r="U143" s="1623">
        <f>IFERROR(GETPIVOTDATA("合計 / " &amp; $C143,【ピボット】事業所売上!$A$3,"年月",U$2,"事業所",$A143),0)</f>
        <v>0</v>
      </c>
      <c r="V143" s="1623">
        <f>IFERROR(GETPIVOTDATA("合計 / " &amp; $C143,【ピボット】事業所売上!$A$3,"年月",V$2,"事業所",$A143),0)</f>
        <v>0</v>
      </c>
      <c r="W143" s="1623">
        <f>IFERROR(GETPIVOTDATA("合計 / " &amp; $C143,【ピボット】事業所売上!$A$3,"年月",W$2,"事業所",$A143),0)</f>
        <v>0</v>
      </c>
      <c r="X143" s="1623">
        <f>IFERROR(GETPIVOTDATA("合計 / " &amp; $C143,【ピボット】事業所売上!$A$3,"年月",X$2,"事業所",$A143),0)</f>
        <v>0</v>
      </c>
      <c r="Y143" s="1623">
        <f>IFERROR(GETPIVOTDATA("合計 / " &amp; $C143,【ピボット】事業所売上!$A$3,"年月",Y$2,"事業所",$A143),0)</f>
        <v>0</v>
      </c>
      <c r="Z143" s="1623">
        <f>IFERROR(GETPIVOTDATA("合計 / " &amp; $C143,【ピボット】事業所売上!$A$3,"年月",Z$2,"事業所",$A143),0)</f>
        <v>0</v>
      </c>
      <c r="AA143" s="1623">
        <f>IFERROR(GETPIVOTDATA("合計 / " &amp; $C143,【ピボット】事業所売上!$A$3,"年月",AA$2,"事業所",$A143),0)</f>
        <v>0</v>
      </c>
      <c r="AB143" s="1561">
        <f ca="1">SUM(OFFSET(AA143,0,当期月数):AA143)</f>
        <v>46800</v>
      </c>
    </row>
    <row r="144" spans="1:28" ht="15.4" customHeight="1" outlineLevel="1" x14ac:dyDescent="0.15">
      <c r="A144" s="1511" t="s">
        <v>686</v>
      </c>
      <c r="B144" s="2052"/>
      <c r="C144" s="1599" t="s">
        <v>315</v>
      </c>
      <c r="D144" s="1601">
        <f>IFERROR(GETPIVOTDATA("合計 / " &amp; $C144,【ピボット】事業所売上!$A$3,"年月",D$2,"事業所",$A144),0)</f>
        <v>1454750</v>
      </c>
      <c r="E144" s="1601">
        <f>IFERROR(GETPIVOTDATA("合計 / " &amp; $C144,【ピボット】事業所売上!$A$3,"年月",E$2,"事業所",$A144),0)</f>
        <v>1438850</v>
      </c>
      <c r="F144" s="1601">
        <f>IFERROR(GETPIVOTDATA("合計 / " &amp; $C144,【ピボット】事業所売上!$A$3,"年月",F$2,"事業所",$A144),0)</f>
        <v>1662760</v>
      </c>
      <c r="G144" s="1601">
        <f>IFERROR(GETPIVOTDATA("合計 / " &amp; $C144,【ピボット】事業所売上!$A$3,"年月",G$2,"事業所",$A144),0)</f>
        <v>1409460</v>
      </c>
      <c r="H144" s="1601">
        <f>IFERROR(GETPIVOTDATA("合計 / " &amp; $C144,【ピボット】事業所売上!$A$3,"年月",H$2,"事業所",$A144),0)</f>
        <v>1439840</v>
      </c>
      <c r="I144" s="1601">
        <f>IFERROR(GETPIVOTDATA("合計 / " &amp; $C144,【ピボット】事業所売上!$A$3,"年月",I$2,"事業所",$A144),0)</f>
        <v>1524120</v>
      </c>
      <c r="J144" s="1601">
        <f>IFERROR(GETPIVOTDATA("合計 / " &amp; $C144,【ピボット】事業所売上!$A$3,"年月",J$2,"事業所",$A144),0)</f>
        <v>1529662</v>
      </c>
      <c r="K144" s="1601">
        <f>IFERROR(GETPIVOTDATA("合計 / " &amp; $C144,【ピボット】事業所売上!$A$3,"年月",K$2,"事業所",$A144),0)</f>
        <v>1524400</v>
      </c>
      <c r="L144" s="1601">
        <f>IFERROR(GETPIVOTDATA("合計 / " &amp; $C144,【ピボット】事業所売上!$A$3,"年月",L$2,"事業所",$A144),0)</f>
        <v>1167520</v>
      </c>
      <c r="M144" s="1601">
        <f>IFERROR(GETPIVOTDATA("合計 / " &amp; $C144,【ピボット】事業所売上!$A$3,"年月",M$2,"事業所",$A144),0)</f>
        <v>1145630</v>
      </c>
      <c r="N144" s="1601">
        <f>IFERROR(GETPIVOTDATA("合計 / " &amp; $C144,【ピボット】事業所売上!$A$3,"年月",N$2,"事業所",$A144),0)</f>
        <v>1213818</v>
      </c>
      <c r="O144" s="1601">
        <f>IFERROR(GETPIVOTDATA("合計 / " &amp; $C144,【ピボット】事業所売上!$A$3,"年月",O$2,"事業所",$A144),0)</f>
        <v>890170</v>
      </c>
      <c r="P144" s="1601">
        <f>IFERROR(GETPIVOTDATA("合計 / " &amp; $C144,【ピボット】事業所売上!$A$3,"年月",P$2,"事業所",$A144),0)</f>
        <v>906890</v>
      </c>
      <c r="Q144" s="1601">
        <f>IFERROR(GETPIVOTDATA("合計 / " &amp; $C144,【ピボット】事業所売上!$A$3,"年月",Q$2,"事業所",$A144),0)</f>
        <v>838490</v>
      </c>
      <c r="R144" s="1601">
        <f>IFERROR(GETPIVOTDATA("合計 / " &amp; $C144,【ピボット】事業所売上!$A$3,"年月",R$2,"事業所",$A144),0)</f>
        <v>740340</v>
      </c>
      <c r="S144" s="1601">
        <f>IFERROR(GETPIVOTDATA("合計 / " &amp; $C144,【ピボット】事業所売上!$A$3,"年月",S$2,"事業所",$A144),0)</f>
        <v>790830</v>
      </c>
      <c r="T144" s="1601">
        <f>IFERROR(GETPIVOTDATA("合計 / " &amp; $C144,【ピボット】事業所売上!$A$3,"年月",T$2,"事業所",$A144),0)</f>
        <v>682935</v>
      </c>
      <c r="U144" s="1601">
        <f>IFERROR(GETPIVOTDATA("合計 / " &amp; $C144,【ピボット】事業所売上!$A$3,"年月",U$2,"事業所",$A144),0)</f>
        <v>0</v>
      </c>
      <c r="V144" s="1601">
        <f>IFERROR(GETPIVOTDATA("合計 / " &amp; $C144,【ピボット】事業所売上!$A$3,"年月",V$2,"事業所",$A144),0)</f>
        <v>0</v>
      </c>
      <c r="W144" s="1601">
        <f>IFERROR(GETPIVOTDATA("合計 / " &amp; $C144,【ピボット】事業所売上!$A$3,"年月",W$2,"事業所",$A144),0)</f>
        <v>0</v>
      </c>
      <c r="X144" s="1601">
        <f>IFERROR(GETPIVOTDATA("合計 / " &amp; $C144,【ピボット】事業所売上!$A$3,"年月",X$2,"事業所",$A144),0)</f>
        <v>0</v>
      </c>
      <c r="Y144" s="1601">
        <f>IFERROR(GETPIVOTDATA("合計 / " &amp; $C144,【ピボット】事業所売上!$A$3,"年月",Y$2,"事業所",$A144),0)</f>
        <v>0</v>
      </c>
      <c r="Z144" s="1601">
        <f>IFERROR(GETPIVOTDATA("合計 / " &amp; $C144,【ピボット】事業所売上!$A$3,"年月",Z$2,"事業所",$A144),0)</f>
        <v>0</v>
      </c>
      <c r="AA144" s="1601">
        <f>IFERROR(GETPIVOTDATA("合計 / " &amp; $C144,【ピボット】事業所売上!$A$3,"年月",AA$2,"事業所",$A144),0)</f>
        <v>0</v>
      </c>
      <c r="AB144" s="1561">
        <f ca="1">SUM(OFFSET(AA144,0,当期月数):AA144)</f>
        <v>682935</v>
      </c>
    </row>
    <row r="145" spans="2:28" ht="15.4" customHeight="1" outlineLevel="1" thickBot="1" x14ac:dyDescent="0.2">
      <c r="B145" s="2055"/>
      <c r="C145" s="1606" t="s">
        <v>11</v>
      </c>
      <c r="D145" s="1607">
        <f t="shared" ref="D145:L145" si="55">SUM(D140:D144)</f>
        <v>3011624</v>
      </c>
      <c r="E145" s="1607">
        <f t="shared" si="55"/>
        <v>2812785</v>
      </c>
      <c r="F145" s="1607">
        <f t="shared" si="55"/>
        <v>3216466</v>
      </c>
      <c r="G145" s="1607">
        <f t="shared" si="55"/>
        <v>3129590</v>
      </c>
      <c r="H145" s="1607">
        <f t="shared" si="55"/>
        <v>3185656</v>
      </c>
      <c r="I145" s="1607">
        <f t="shared" si="55"/>
        <v>3195164</v>
      </c>
      <c r="J145" s="1607">
        <f t="shared" si="55"/>
        <v>3133826</v>
      </c>
      <c r="K145" s="1607">
        <f t="shared" si="55"/>
        <v>3119675</v>
      </c>
      <c r="L145" s="1607">
        <f t="shared" si="55"/>
        <v>2345767</v>
      </c>
      <c r="M145" s="1607">
        <f t="shared" ref="M145:AA145" si="56">SUM(M140:M144)</f>
        <v>2169663</v>
      </c>
      <c r="N145" s="1607">
        <f t="shared" si="56"/>
        <v>2256558</v>
      </c>
      <c r="O145" s="1607">
        <f t="shared" si="56"/>
        <v>1960949</v>
      </c>
      <c r="P145" s="1607">
        <f t="shared" si="56"/>
        <v>1955643</v>
      </c>
      <c r="Q145" s="1607">
        <f t="shared" si="56"/>
        <v>1889542</v>
      </c>
      <c r="R145" s="1607">
        <f t="shared" si="56"/>
        <v>1614388</v>
      </c>
      <c r="S145" s="1607">
        <f t="shared" si="56"/>
        <v>1444523</v>
      </c>
      <c r="T145" s="1607">
        <f t="shared" si="56"/>
        <v>1128956</v>
      </c>
      <c r="U145" s="1607">
        <f t="shared" si="56"/>
        <v>0</v>
      </c>
      <c r="V145" s="1607">
        <f t="shared" si="56"/>
        <v>0</v>
      </c>
      <c r="W145" s="1607">
        <f t="shared" si="56"/>
        <v>0</v>
      </c>
      <c r="X145" s="1607">
        <f t="shared" si="56"/>
        <v>0</v>
      </c>
      <c r="Y145" s="1607">
        <f t="shared" si="56"/>
        <v>0</v>
      </c>
      <c r="Z145" s="1607">
        <f t="shared" si="56"/>
        <v>0</v>
      </c>
      <c r="AA145" s="1607">
        <f t="shared" si="56"/>
        <v>0</v>
      </c>
      <c r="AB145" s="1608">
        <f ca="1">SUM(OFFSET(AA145,0,当期月数):AA145)</f>
        <v>1128956</v>
      </c>
    </row>
    <row r="146" spans="2:28" ht="15" customHeight="1" thickBot="1" x14ac:dyDescent="0.2">
      <c r="B146" s="1587"/>
      <c r="C146" s="1606" t="s">
        <v>5</v>
      </c>
      <c r="D146" s="1607">
        <f t="shared" ref="D146:Z146" si="57">SUM(D186:D201)</f>
        <v>32703033</v>
      </c>
      <c r="E146" s="1607">
        <f t="shared" si="57"/>
        <v>36915821</v>
      </c>
      <c r="F146" s="1607">
        <f t="shared" si="57"/>
        <v>36080296</v>
      </c>
      <c r="G146" s="1607">
        <f t="shared" si="57"/>
        <v>34899186</v>
      </c>
      <c r="H146" s="1607">
        <f t="shared" si="57"/>
        <v>35916200</v>
      </c>
      <c r="I146" s="1607">
        <f t="shared" si="57"/>
        <v>37696511</v>
      </c>
      <c r="J146" s="1607">
        <f t="shared" si="57"/>
        <v>35721077</v>
      </c>
      <c r="K146" s="1607">
        <f t="shared" si="57"/>
        <v>35713004</v>
      </c>
      <c r="L146" s="1607">
        <f t="shared" si="57"/>
        <v>34507019</v>
      </c>
      <c r="M146" s="1607">
        <f t="shared" si="57"/>
        <v>33718137</v>
      </c>
      <c r="N146" s="1607">
        <f t="shared" si="57"/>
        <v>35034097</v>
      </c>
      <c r="O146" s="1607">
        <f t="shared" si="57"/>
        <v>39122247</v>
      </c>
      <c r="P146" s="1607">
        <f t="shared" si="57"/>
        <v>39669030</v>
      </c>
      <c r="Q146" s="1607">
        <f t="shared" si="57"/>
        <v>36072718</v>
      </c>
      <c r="R146" s="1607">
        <f t="shared" si="57"/>
        <v>38549836</v>
      </c>
      <c r="S146" s="1607">
        <f t="shared" si="57"/>
        <v>36710781</v>
      </c>
      <c r="T146" s="1607">
        <f t="shared" si="57"/>
        <v>37521491</v>
      </c>
      <c r="U146" s="1607">
        <f t="shared" si="57"/>
        <v>41221792</v>
      </c>
      <c r="V146" s="1607">
        <f t="shared" si="57"/>
        <v>42264853</v>
      </c>
      <c r="W146" s="1607">
        <f t="shared" si="57"/>
        <v>40284538</v>
      </c>
      <c r="X146" s="1607">
        <f t="shared" si="57"/>
        <v>39982277</v>
      </c>
      <c r="Y146" s="1607">
        <f t="shared" si="57"/>
        <v>38690450</v>
      </c>
      <c r="Z146" s="1607">
        <f t="shared" si="57"/>
        <v>40045253</v>
      </c>
      <c r="AA146" s="1607">
        <f>SUM(AA186:AA201)</f>
        <v>41864718</v>
      </c>
      <c r="AB146" s="1629">
        <f ca="1">SUM(OFFSET(AA146,0,当期月数):AA146)</f>
        <v>321875372</v>
      </c>
    </row>
    <row r="147" spans="2:28" ht="15.4" customHeight="1" thickBot="1" x14ac:dyDescent="0.2">
      <c r="B147" s="1630"/>
      <c r="C147" s="1631" t="s">
        <v>148</v>
      </c>
      <c r="D147" s="1632">
        <f t="shared" ref="D147:Z147" si="58">D146-D53</f>
        <v>5134037</v>
      </c>
      <c r="E147" s="1632">
        <f t="shared" si="58"/>
        <v>3712773</v>
      </c>
      <c r="F147" s="1632">
        <f t="shared" si="58"/>
        <v>4524570</v>
      </c>
      <c r="G147" s="1632">
        <f t="shared" si="58"/>
        <v>3860212</v>
      </c>
      <c r="H147" s="1632">
        <f t="shared" si="58"/>
        <v>3728012</v>
      </c>
      <c r="I147" s="1632">
        <f t="shared" si="58"/>
        <v>4360281</v>
      </c>
      <c r="J147" s="1632">
        <f t="shared" si="58"/>
        <v>3840371</v>
      </c>
      <c r="K147" s="1632">
        <f t="shared" si="58"/>
        <v>4062228</v>
      </c>
      <c r="L147" s="1632">
        <f t="shared" si="58"/>
        <v>3510760</v>
      </c>
      <c r="M147" s="1632">
        <f t="shared" si="58"/>
        <v>3713221</v>
      </c>
      <c r="N147" s="1632">
        <f t="shared" si="58"/>
        <v>4479943</v>
      </c>
      <c r="O147" s="1632">
        <f t="shared" si="58"/>
        <v>3670055</v>
      </c>
      <c r="P147" s="1632">
        <f t="shared" si="58"/>
        <v>5345515</v>
      </c>
      <c r="Q147" s="1632">
        <f t="shared" si="58"/>
        <v>3288048</v>
      </c>
      <c r="R147" s="1632">
        <f t="shared" si="58"/>
        <v>3564464</v>
      </c>
      <c r="S147" s="1632">
        <f t="shared" si="58"/>
        <v>3290869</v>
      </c>
      <c r="T147" s="1632">
        <f t="shared" si="58"/>
        <v>3145015</v>
      </c>
      <c r="U147" s="1632">
        <f t="shared" si="58"/>
        <v>3188978</v>
      </c>
      <c r="V147" s="1632">
        <f t="shared" si="58"/>
        <v>3113936</v>
      </c>
      <c r="W147" s="1632">
        <f t="shared" si="58"/>
        <v>3149558</v>
      </c>
      <c r="X147" s="1632">
        <f t="shared" si="58"/>
        <v>3444578</v>
      </c>
      <c r="Y147" s="1632">
        <f t="shared" si="58"/>
        <v>3157534</v>
      </c>
      <c r="Z147" s="1632">
        <f t="shared" si="58"/>
        <v>3233964</v>
      </c>
      <c r="AA147" s="1632">
        <f>AA146-AA53</f>
        <v>3231874</v>
      </c>
      <c r="AB147" s="1633">
        <f ca="1">SUM(OFFSET(AA147,0,当期月数):AA147)</f>
        <v>25665437</v>
      </c>
    </row>
    <row r="148" spans="2:28" ht="15.4" customHeight="1" x14ac:dyDescent="0.15">
      <c r="C148" s="1634"/>
      <c r="D148" s="1635">
        <f>SUM(D189,D192,D193,D194,D195,D196,D197,D198,D199,D200,D201)</f>
        <v>5134037</v>
      </c>
      <c r="E148" s="1635"/>
      <c r="F148" s="1635"/>
      <c r="G148" s="1635"/>
      <c r="H148" s="1635"/>
      <c r="I148" s="1635"/>
      <c r="J148" s="1635"/>
      <c r="K148" s="1635"/>
      <c r="L148" s="1635"/>
      <c r="M148" s="1635"/>
      <c r="N148" s="1635"/>
      <c r="O148" s="1635"/>
      <c r="P148" s="1635"/>
      <c r="Q148" s="1635"/>
      <c r="R148" s="1635"/>
      <c r="S148" s="1635"/>
      <c r="T148" s="1635"/>
      <c r="U148" s="1635"/>
      <c r="V148" s="1635"/>
      <c r="W148" s="1635"/>
      <c r="X148" s="1635"/>
      <c r="Y148" s="1635"/>
      <c r="Z148" s="1635"/>
      <c r="AA148" s="1635"/>
      <c r="AB148" s="1635"/>
    </row>
    <row r="149" spans="2:28" ht="15.4" customHeight="1" thickBot="1" x14ac:dyDescent="0.2">
      <c r="C149" s="1512" t="s">
        <v>18</v>
      </c>
      <c r="D149" s="1636"/>
      <c r="E149" s="1636"/>
      <c r="F149" s="1636"/>
      <c r="G149" s="1636"/>
      <c r="H149" s="1636"/>
      <c r="I149" s="1636"/>
      <c r="J149" s="1636"/>
      <c r="K149" s="1636"/>
      <c r="L149" s="1636"/>
      <c r="M149" s="1637"/>
      <c r="N149" s="1637"/>
      <c r="O149" s="1637"/>
      <c r="P149" s="1637"/>
      <c r="Q149" s="1637"/>
      <c r="R149" s="1637"/>
      <c r="S149" s="1637"/>
      <c r="T149" s="1637"/>
      <c r="U149" s="1637"/>
      <c r="V149" s="1637"/>
      <c r="W149" s="1637"/>
      <c r="X149" s="1637"/>
      <c r="Y149" s="1637"/>
      <c r="Z149" s="1637"/>
      <c r="AA149" s="1637"/>
      <c r="AB149" s="1556"/>
    </row>
    <row r="150" spans="2:28" ht="15.4" customHeight="1" x14ac:dyDescent="0.15">
      <c r="C150" s="1583" t="s">
        <v>4</v>
      </c>
      <c r="D150" s="1638">
        <f t="shared" ref="D150:AA150" si="59">D$2</f>
        <v>42856</v>
      </c>
      <c r="E150" s="1638">
        <f t="shared" si="59"/>
        <v>42887</v>
      </c>
      <c r="F150" s="1639">
        <f t="shared" si="59"/>
        <v>42917</v>
      </c>
      <c r="G150" s="1639">
        <f t="shared" si="59"/>
        <v>42948</v>
      </c>
      <c r="H150" s="1639">
        <f t="shared" si="59"/>
        <v>42979</v>
      </c>
      <c r="I150" s="1639">
        <f t="shared" si="59"/>
        <v>43009</v>
      </c>
      <c r="J150" s="1639">
        <f t="shared" si="59"/>
        <v>43040</v>
      </c>
      <c r="K150" s="1639">
        <f t="shared" si="59"/>
        <v>43070</v>
      </c>
      <c r="L150" s="1639">
        <f t="shared" si="59"/>
        <v>43101</v>
      </c>
      <c r="M150" s="1639">
        <f t="shared" si="59"/>
        <v>43132</v>
      </c>
      <c r="N150" s="1640">
        <f t="shared" si="59"/>
        <v>43160</v>
      </c>
      <c r="O150" s="1640">
        <f t="shared" si="59"/>
        <v>43191</v>
      </c>
      <c r="P150" s="1640">
        <f t="shared" si="59"/>
        <v>43221</v>
      </c>
      <c r="Q150" s="1640">
        <f t="shared" si="59"/>
        <v>43252</v>
      </c>
      <c r="R150" s="1640">
        <f t="shared" si="59"/>
        <v>43282</v>
      </c>
      <c r="S150" s="1640">
        <f t="shared" si="59"/>
        <v>43313</v>
      </c>
      <c r="T150" s="1640">
        <f t="shared" si="59"/>
        <v>43344</v>
      </c>
      <c r="U150" s="1640">
        <f t="shared" si="59"/>
        <v>43374</v>
      </c>
      <c r="V150" s="1640">
        <f t="shared" si="59"/>
        <v>43405</v>
      </c>
      <c r="W150" s="1640">
        <f t="shared" si="59"/>
        <v>43435</v>
      </c>
      <c r="X150" s="1640">
        <f t="shared" si="59"/>
        <v>43466</v>
      </c>
      <c r="Y150" s="1640">
        <f t="shared" si="59"/>
        <v>43497</v>
      </c>
      <c r="Z150" s="1640">
        <f t="shared" si="59"/>
        <v>43525</v>
      </c>
      <c r="AA150" s="1640">
        <f t="shared" si="59"/>
        <v>43556</v>
      </c>
      <c r="AB150" s="1586">
        <f>AB2</f>
        <v>43344</v>
      </c>
    </row>
    <row r="151" spans="2:28" ht="15.4" customHeight="1" x14ac:dyDescent="0.15">
      <c r="C151" s="1537" t="s">
        <v>15</v>
      </c>
      <c r="D151" s="1641">
        <f>IFERROR(GETPIVOTDATA("合計 / "&amp;$C151,【ピボット】事業所収支!$A$3,"年月",D$2),0)</f>
        <v>20446982</v>
      </c>
      <c r="E151" s="1641">
        <f>IFERROR(GETPIVOTDATA("合計 / "&amp;$C151,【ピボット】事業所収支!$A$3,"年月",E$2),0)</f>
        <v>26586710</v>
      </c>
      <c r="F151" s="1641">
        <f>IFERROR(GETPIVOTDATA("合計 / "&amp;$C151,【ピボット】事業所収支!$A$3,"年月",F$2),0)</f>
        <v>24475968</v>
      </c>
      <c r="G151" s="1641">
        <f>IFERROR(GETPIVOTDATA("合計 / "&amp;$C151,【ピボット】事業所収支!$A$3,"年月",G$2),0)</f>
        <v>23752449</v>
      </c>
      <c r="H151" s="1641">
        <f>IFERROR(GETPIVOTDATA("合計 / "&amp;$C151,【ピボット】事業所収支!$A$3,"年月",H$2),0)</f>
        <v>22603261</v>
      </c>
      <c r="I151" s="1641">
        <f>IFERROR(GETPIVOTDATA("合計 / "&amp;$C151,【ピボット】事業所収支!$A$3,"年月",I$2),0)</f>
        <v>23743100</v>
      </c>
      <c r="J151" s="1641">
        <f>IFERROR(GETPIVOTDATA("合計 / "&amp;$C151,【ピボット】事業所収支!$A$3,"年月",J$2),0)</f>
        <v>24272152</v>
      </c>
      <c r="K151" s="1641">
        <f>IFERROR(GETPIVOTDATA("合計 / "&amp;$C151,【ピボット】事業所収支!$A$3,"年月",K$2),0)</f>
        <v>35562689</v>
      </c>
      <c r="L151" s="1641">
        <f>IFERROR(GETPIVOTDATA("合計 / "&amp;$C151,【ピボット】事業所収支!$A$3,"年月",L$2),0)</f>
        <v>28035865</v>
      </c>
      <c r="M151" s="1641">
        <f>IFERROR(GETPIVOTDATA("合計 / "&amp;$C151,【ピボット】事業所収支!$A$3,"年月",M$2),0)</f>
        <v>23265110</v>
      </c>
      <c r="N151" s="1641">
        <f>IFERROR(GETPIVOTDATA("合計 / "&amp;$C151,【ピボット】事業所収支!$A$3,"年月",N$2),0)</f>
        <v>24287584</v>
      </c>
      <c r="O151" s="1641">
        <f>IFERROR(GETPIVOTDATA("合計 / "&amp;$C151,【ピボット】事業所収支!$A$3,"年月",O$2),0)</f>
        <v>24212389</v>
      </c>
      <c r="P151" s="1641">
        <f>IFERROR(GETPIVOTDATA("合計 / "&amp;$C151,【ピボット】事業所収支!$A$3,"年月",P$2),0)</f>
        <v>23908066</v>
      </c>
      <c r="Q151" s="1641">
        <f>IFERROR(GETPIVOTDATA("合計 / "&amp;$C151,【ピボット】事業所収支!$A$3,"年月",Q$2),0)</f>
        <v>31697163</v>
      </c>
      <c r="R151" s="1641">
        <f>IFERROR(GETPIVOTDATA("合計 / "&amp;$C151,【ピボット】事業所収支!$A$3,"年月",R$2),0)</f>
        <v>27605792</v>
      </c>
      <c r="S151" s="1641">
        <f>IFERROR(GETPIVOTDATA("合計 / "&amp;$C151,【ピボット】事業所収支!$A$3,"年月",S$2),0)</f>
        <v>26520463</v>
      </c>
      <c r="T151" s="1641">
        <f>IFERROR(GETPIVOTDATA("合計 / "&amp;$C151,【ピボット】事業所収支!$A$3,"年月",T$2),0)</f>
        <v>25578188</v>
      </c>
      <c r="U151" s="1641">
        <f>IFERROR(GETPIVOTDATA("合計 / "&amp;$C151,【ピボット】事業所収支!$A$3,"年月",U$2),0)</f>
        <v>26917769</v>
      </c>
      <c r="V151" s="1641">
        <f>IFERROR(GETPIVOTDATA("合計 / "&amp;$C151,【ピボット】事業所収支!$A$3,"年月",V$2),0)</f>
        <v>28291290</v>
      </c>
      <c r="W151" s="1641">
        <f>IFERROR(GETPIVOTDATA("合計 / "&amp;$C151,【ピボット】事業所収支!$A$3,"年月",W$2),0)</f>
        <v>43000234</v>
      </c>
      <c r="X151" s="1641">
        <f>IFERROR(GETPIVOTDATA("合計 / "&amp;$C151,【ピボット】事業所収支!$A$3,"年月",X$2),0)</f>
        <v>27870072</v>
      </c>
      <c r="Y151" s="1641">
        <f>IFERROR(GETPIVOTDATA("合計 / "&amp;$C151,【ピボット】事業所収支!$A$3,"年月",Y$2),0)</f>
        <v>26853971</v>
      </c>
      <c r="Z151" s="1641">
        <f>IFERROR(GETPIVOTDATA("合計 / "&amp;$C151,【ピボット】事業所収支!$A$3,"年月",Z$2),0)</f>
        <v>26812659</v>
      </c>
      <c r="AA151" s="1641">
        <f>IFERROR(GETPIVOTDATA("合計 / "&amp;$C151,【ピボット】事業所収支!$A$3,"年月",AA$2),0)</f>
        <v>27716004</v>
      </c>
      <c r="AB151" s="1561">
        <f ca="1">SUM(OFFSET(AA151,0,当期月数):AA151)</f>
        <v>233040187</v>
      </c>
    </row>
    <row r="152" spans="2:28" ht="15.4" hidden="1" customHeight="1" outlineLevel="1" x14ac:dyDescent="0.15">
      <c r="C152" s="1537" t="s">
        <v>30</v>
      </c>
      <c r="D152" s="1641">
        <f>IFERROR(GETPIVOTDATA("合計 / "&amp;$C152,【ピボット】事業所収支!$A$3,"年月",D$2),0)</f>
        <v>8514882</v>
      </c>
      <c r="E152" s="1641">
        <f>IFERROR(GETPIVOTDATA("合計 / "&amp;$C152,【ピボット】事業所収支!$A$3,"年月",E$2),0)</f>
        <v>7494574</v>
      </c>
      <c r="F152" s="1641">
        <f>IFERROR(GETPIVOTDATA("合計 / "&amp;$C152,【ピボット】事業所収支!$A$3,"年月",F$2),0)</f>
        <v>6558277</v>
      </c>
      <c r="G152" s="1641">
        <f>IFERROR(GETPIVOTDATA("合計 / "&amp;$C152,【ピボット】事業所収支!$A$3,"年月",G$2),0)</f>
        <v>9486285</v>
      </c>
      <c r="H152" s="1641">
        <f>IFERROR(GETPIVOTDATA("合計 / "&amp;$C152,【ピボット】事業所収支!$A$3,"年月",H$2),0)</f>
        <v>7294393</v>
      </c>
      <c r="I152" s="1641">
        <f>IFERROR(GETPIVOTDATA("合計 / "&amp;$C152,【ピボット】事業所収支!$A$3,"年月",I$2),0)</f>
        <v>7306654</v>
      </c>
      <c r="J152" s="1641">
        <f>IFERROR(GETPIVOTDATA("合計 / "&amp;$C152,【ピボット】事業所収支!$A$3,"年月",J$2),0)</f>
        <v>8407030</v>
      </c>
      <c r="K152" s="1641">
        <f>IFERROR(GETPIVOTDATA("合計 / "&amp;$C152,【ピボット】事業所収支!$A$3,"年月",K$2),0)</f>
        <v>8808106</v>
      </c>
      <c r="L152" s="1641">
        <f>IFERROR(GETPIVOTDATA("合計 / "&amp;$C152,【ピボット】事業所収支!$A$3,"年月",L$2),0)</f>
        <v>8643529</v>
      </c>
      <c r="M152" s="1641">
        <f>IFERROR(GETPIVOTDATA("合計 / "&amp;$C152,【ピボット】事業所収支!$A$3,"年月",M$2),0)</f>
        <v>7897598</v>
      </c>
      <c r="N152" s="1641">
        <f>IFERROR(GETPIVOTDATA("合計 / "&amp;$C152,【ピボット】事業所収支!$A$3,"年月",N$2),0)</f>
        <v>10010113</v>
      </c>
      <c r="O152" s="1641">
        <f>IFERROR(GETPIVOTDATA("合計 / "&amp;$C152,【ピボット】事業所収支!$A$3,"年月",O$2),0)</f>
        <v>10161903</v>
      </c>
      <c r="P152" s="1641">
        <f>IFERROR(GETPIVOTDATA("合計 / "&amp;$C152,【ピボット】事業所収支!$A$3,"年月",P$2),0)</f>
        <v>10145671</v>
      </c>
      <c r="Q152" s="1641">
        <f>IFERROR(GETPIVOTDATA("合計 / "&amp;$C152,【ピボット】事業所収支!$A$3,"年月",Q$2),0)</f>
        <v>11159655</v>
      </c>
      <c r="R152" s="1641">
        <f>IFERROR(GETPIVOTDATA("合計 / "&amp;$C152,【ピボット】事業所収支!$A$3,"年月",R$2),0)</f>
        <v>10471398</v>
      </c>
      <c r="S152" s="1641">
        <f>IFERROR(GETPIVOTDATA("合計 / "&amp;$C152,【ピボット】事業所収支!$A$3,"年月",S$2),0)</f>
        <v>11936693</v>
      </c>
      <c r="T152" s="1641">
        <f>IFERROR(GETPIVOTDATA("合計 / "&amp;$C152,【ピボット】事業所収支!$A$3,"年月",T$2),0)</f>
        <v>10043798</v>
      </c>
      <c r="U152" s="1641">
        <f>IFERROR(GETPIVOTDATA("合計 / "&amp;$C152,【ピボット】事業所収支!$A$3,"年月",U$2),0)</f>
        <v>14042852</v>
      </c>
      <c r="V152" s="1641">
        <f>IFERROR(GETPIVOTDATA("合計 / "&amp;$C152,【ピボット】事業所収支!$A$3,"年月",V$2),0)</f>
        <v>9640020</v>
      </c>
      <c r="W152" s="1641">
        <f>IFERROR(GETPIVOTDATA("合計 / "&amp;$C152,【ピボット】事業所収支!$A$3,"年月",W$2),0)</f>
        <v>8518673</v>
      </c>
      <c r="X152" s="1641">
        <f>IFERROR(GETPIVOTDATA("合計 / "&amp;$C152,【ピボット】事業所収支!$A$3,"年月",X$2),0)</f>
        <v>9071210</v>
      </c>
      <c r="Y152" s="1641">
        <f>IFERROR(GETPIVOTDATA("合計 / "&amp;$C152,【ピボット】事業所収支!$A$3,"年月",Y$2),0)</f>
        <v>8902951</v>
      </c>
      <c r="Z152" s="1641">
        <f>IFERROR(GETPIVOTDATA("合計 / "&amp;$C152,【ピボット】事業所収支!$A$3,"年月",Z$2),0)</f>
        <v>8623987</v>
      </c>
      <c r="AA152" s="1641">
        <f>IFERROR(GETPIVOTDATA("合計 / "&amp;$C152,【ピボット】事業所収支!$A$3,"年月",AA$2),0)</f>
        <v>8586543</v>
      </c>
      <c r="AB152" s="1561">
        <f ca="1">SUM(OFFSET(AA152,0,当期月数):AA152)</f>
        <v>77430034</v>
      </c>
    </row>
    <row r="153" spans="2:28" ht="15.4" hidden="1" customHeight="1" outlineLevel="1" x14ac:dyDescent="0.15">
      <c r="C153" s="1537" t="s">
        <v>1228</v>
      </c>
      <c r="D153" s="1641">
        <f>IFERROR(GETPIVOTDATA("合計 / "&amp;$C153,【ピボット】事業所収支!$A$3,"年月",D$2),0)</f>
        <v>0</v>
      </c>
      <c r="E153" s="1641">
        <f>IFERROR(GETPIVOTDATA("合計 / "&amp;$C153,【ピボット】事業所収支!$A$3,"年月",E$2),0)</f>
        <v>0</v>
      </c>
      <c r="F153" s="1641">
        <f>IFERROR(GETPIVOTDATA("合計 / "&amp;$C153,【ピボット】事業所収支!$A$3,"年月",F$2),0)</f>
        <v>0</v>
      </c>
      <c r="G153" s="1641">
        <f>IFERROR(GETPIVOTDATA("合計 / "&amp;$C153,【ピボット】事業所収支!$A$3,"年月",G$2),0)</f>
        <v>0</v>
      </c>
      <c r="H153" s="1641">
        <f>IFERROR(GETPIVOTDATA("合計 / "&amp;$C153,【ピボット】事業所収支!$A$3,"年月",H$2),0)</f>
        <v>0</v>
      </c>
      <c r="I153" s="1641">
        <f>IFERROR(GETPIVOTDATA("合計 / "&amp;$C153,【ピボット】事業所収支!$A$3,"年月",I$2),0)</f>
        <v>0</v>
      </c>
      <c r="J153" s="1641">
        <f>IFERROR(GETPIVOTDATA("合計 / "&amp;$C153,【ピボット】事業所収支!$A$3,"年月",J$2),0)</f>
        <v>0</v>
      </c>
      <c r="K153" s="1641">
        <f>IFERROR(GETPIVOTDATA("合計 / "&amp;$C153,【ピボット】事業所収支!$A$3,"年月",K$2),0)</f>
        <v>0</v>
      </c>
      <c r="L153" s="1641">
        <f>IFERROR(GETPIVOTDATA("合計 / "&amp;$C153,【ピボット】事業所収支!$A$3,"年月",L$2),0)</f>
        <v>0</v>
      </c>
      <c r="M153" s="1641">
        <f>IFERROR(GETPIVOTDATA("合計 / "&amp;$C153,【ピボット】事業所収支!$A$3,"年月",M$2),0)</f>
        <v>34992</v>
      </c>
      <c r="N153" s="1641">
        <f>IFERROR(GETPIVOTDATA("合計 / "&amp;$C153,【ピボット】事業所収支!$A$3,"年月",N$2),0)</f>
        <v>54136</v>
      </c>
      <c r="O153" s="1641">
        <f>IFERROR(GETPIVOTDATA("合計 / "&amp;$C153,【ピボット】事業所収支!$A$3,"年月",O$2),0)</f>
        <v>69984</v>
      </c>
      <c r="P153" s="1641">
        <f>IFERROR(GETPIVOTDATA("合計 / "&amp;$C153,【ピボット】事業所収支!$A$3,"年月",P$2),0)</f>
        <v>69984</v>
      </c>
      <c r="Q153" s="1641">
        <f>IFERROR(GETPIVOTDATA("合計 / "&amp;$C153,【ピボット】事業所収支!$A$3,"年月",Q$2),0)</f>
        <v>93312</v>
      </c>
      <c r="R153" s="1641">
        <f>IFERROR(GETPIVOTDATA("合計 / "&amp;$C153,【ピボット】事業所収支!$A$3,"年月",R$2),0)</f>
        <v>69984</v>
      </c>
      <c r="S153" s="1641">
        <f>IFERROR(GETPIVOTDATA("合計 / "&amp;$C153,【ピボット】事業所収支!$A$3,"年月",S$2),0)</f>
        <v>93312</v>
      </c>
      <c r="T153" s="1641">
        <f>IFERROR(GETPIVOTDATA("合計 / "&amp;$C153,【ピボット】事業所収支!$A$3,"年月",T$2),0)</f>
        <v>110808</v>
      </c>
      <c r="U153" s="1641">
        <f>IFERROR(GETPIVOTDATA("合計 / "&amp;$C153,【ピボット】事業所収支!$A$3,"年月",U$2),0)</f>
        <v>107892</v>
      </c>
      <c r="V153" s="1641">
        <f>IFERROR(GETPIVOTDATA("合計 / "&amp;$C153,【ピボット】事業所収支!$A$3,"年月",V$2),0)</f>
        <v>87480</v>
      </c>
      <c r="W153" s="1641">
        <f>IFERROR(GETPIVOTDATA("合計 / "&amp;$C153,【ピボット】事業所収支!$A$3,"年月",W$2),0)</f>
        <v>69984</v>
      </c>
      <c r="X153" s="1641">
        <f>IFERROR(GETPIVOTDATA("合計 / "&amp;$C153,【ピボット】事業所収支!$A$3,"年月",X$2),0)</f>
        <v>102060</v>
      </c>
      <c r="Y153" s="1641">
        <f>IFERROR(GETPIVOTDATA("合計 / "&amp;$C153,【ピボット】事業所収支!$A$3,"年月",Y$2),0)</f>
        <v>96228</v>
      </c>
      <c r="Z153" s="1641">
        <f>IFERROR(GETPIVOTDATA("合計 / "&amp;$C153,【ピボット】事業所収支!$A$3,"年月",Z$2),0)</f>
        <v>32076</v>
      </c>
      <c r="AA153" s="1641">
        <f>IFERROR(GETPIVOTDATA("合計 / "&amp;$C153,【ピボット】事業所収支!$A$3,"年月",AA$2),0)</f>
        <v>61236</v>
      </c>
      <c r="AB153" s="1561">
        <f ca="1">SUM(OFFSET(AA153,0,当期月数):AA153)</f>
        <v>667764</v>
      </c>
    </row>
    <row r="154" spans="2:28" ht="15.4" customHeight="1" collapsed="1" x14ac:dyDescent="0.15">
      <c r="C154" s="1686" t="s">
        <v>97</v>
      </c>
      <c r="D154" s="1685">
        <f>SUM(D152:D153)</f>
        <v>8514882</v>
      </c>
      <c r="E154" s="1685">
        <f t="shared" ref="E154:AA154" si="60">SUM(E152:E153)</f>
        <v>7494574</v>
      </c>
      <c r="F154" s="1685">
        <f t="shared" si="60"/>
        <v>6558277</v>
      </c>
      <c r="G154" s="1685">
        <f t="shared" si="60"/>
        <v>9486285</v>
      </c>
      <c r="H154" s="1685">
        <f t="shared" si="60"/>
        <v>7294393</v>
      </c>
      <c r="I154" s="1685">
        <f t="shared" si="60"/>
        <v>7306654</v>
      </c>
      <c r="J154" s="1685">
        <f t="shared" si="60"/>
        <v>8407030</v>
      </c>
      <c r="K154" s="1685">
        <f t="shared" si="60"/>
        <v>8808106</v>
      </c>
      <c r="L154" s="1685">
        <f t="shared" si="60"/>
        <v>8643529</v>
      </c>
      <c r="M154" s="1685">
        <f t="shared" si="60"/>
        <v>7932590</v>
      </c>
      <c r="N154" s="1685">
        <f t="shared" si="60"/>
        <v>10064249</v>
      </c>
      <c r="O154" s="1685">
        <f t="shared" si="60"/>
        <v>10231887</v>
      </c>
      <c r="P154" s="1685">
        <f t="shared" si="60"/>
        <v>10215655</v>
      </c>
      <c r="Q154" s="1685">
        <f t="shared" si="60"/>
        <v>11252967</v>
      </c>
      <c r="R154" s="1685">
        <f t="shared" si="60"/>
        <v>10541382</v>
      </c>
      <c r="S154" s="1685">
        <f t="shared" si="60"/>
        <v>12030005</v>
      </c>
      <c r="T154" s="1685">
        <f t="shared" si="60"/>
        <v>10154606</v>
      </c>
      <c r="U154" s="1685">
        <f t="shared" si="60"/>
        <v>14150744</v>
      </c>
      <c r="V154" s="1685">
        <f t="shared" si="60"/>
        <v>9727500</v>
      </c>
      <c r="W154" s="1685">
        <f t="shared" si="60"/>
        <v>8588657</v>
      </c>
      <c r="X154" s="1685">
        <f t="shared" si="60"/>
        <v>9173270</v>
      </c>
      <c r="Y154" s="1685">
        <f t="shared" si="60"/>
        <v>8999179</v>
      </c>
      <c r="Z154" s="1685">
        <f t="shared" si="60"/>
        <v>8656063</v>
      </c>
      <c r="AA154" s="1685">
        <f t="shared" si="60"/>
        <v>8647779</v>
      </c>
      <c r="AB154" s="1687">
        <f ca="1">SUM(OFFSET(AA154,0,当期月数):AA154)</f>
        <v>78097798</v>
      </c>
    </row>
    <row r="155" spans="2:28" ht="15.4" hidden="1" customHeight="1" outlineLevel="1" x14ac:dyDescent="0.15">
      <c r="C155" s="1537" t="s">
        <v>1335</v>
      </c>
      <c r="D155" s="1641">
        <f>IFERROR(GETPIVOTDATA("合計 / "&amp;$C155,【ピボット】事業所収支!$A$3,"年月",D$2),0)</f>
        <v>0</v>
      </c>
      <c r="E155" s="1641">
        <f>IFERROR(GETPIVOTDATA("合計 / "&amp;$C155,【ピボット】事業所収支!$A$3,"年月",E$2),0)</f>
        <v>0</v>
      </c>
      <c r="F155" s="1641">
        <f>IFERROR(GETPIVOTDATA("合計 / "&amp;$C155,【ピボット】事業所収支!$A$3,"年月",F$2),0)</f>
        <v>0</v>
      </c>
      <c r="G155" s="1641">
        <f>IFERROR(GETPIVOTDATA("合計 / "&amp;$C155,【ピボット】事業所収支!$A$3,"年月",G$2),0)</f>
        <v>731894</v>
      </c>
      <c r="H155" s="1641">
        <f>IFERROR(GETPIVOTDATA("合計 / "&amp;$C155,【ピボット】事業所収支!$A$3,"年月",H$2),0)</f>
        <v>163183</v>
      </c>
      <c r="I155" s="1641">
        <f>IFERROR(GETPIVOTDATA("合計 / "&amp;$C155,【ピボット】事業所収支!$A$3,"年月",I$2),0)</f>
        <v>0</v>
      </c>
      <c r="J155" s="1641">
        <f>IFERROR(GETPIVOTDATA("合計 / "&amp;$C155,【ピボット】事業所収支!$A$3,"年月",J$2),0)</f>
        <v>0</v>
      </c>
      <c r="K155" s="1641">
        <f>IFERROR(GETPIVOTDATA("合計 / "&amp;$C155,【ピボット】事業所収支!$A$3,"年月",K$2),0)</f>
        <v>0</v>
      </c>
      <c r="L155" s="1641">
        <f>IFERROR(GETPIVOTDATA("合計 / "&amp;$C155,【ピボット】事業所収支!$A$3,"年月",L$2),0)</f>
        <v>0</v>
      </c>
      <c r="M155" s="1641">
        <f>IFERROR(GETPIVOTDATA("合計 / "&amp;$C155,【ピボット】事業所収支!$A$3,"年月",M$2),0)</f>
        <v>0</v>
      </c>
      <c r="N155" s="1641">
        <f>IFERROR(GETPIVOTDATA("合計 / "&amp;$C155,【ピボット】事業所収支!$A$3,"年月",N$2),0)</f>
        <v>0</v>
      </c>
      <c r="O155" s="1641">
        <f>IFERROR(GETPIVOTDATA("合計 / "&amp;$C155,【ピボット】事業所収支!$A$3,"年月",O$2),0)</f>
        <v>0</v>
      </c>
      <c r="P155" s="1641">
        <f>IFERROR(GETPIVOTDATA("合計 / "&amp;$C155,【ピボット】事業所収支!$A$3,"年月",P$2),0)</f>
        <v>0</v>
      </c>
      <c r="Q155" s="1641">
        <f>IFERROR(GETPIVOTDATA("合計 / "&amp;$C155,【ピボット】事業所収支!$A$3,"年月",Q$2),0)</f>
        <v>0</v>
      </c>
      <c r="R155" s="1641">
        <f>IFERROR(GETPIVOTDATA("合計 / "&amp;$C155,【ピボット】事業所収支!$A$3,"年月",R$2),0)</f>
        <v>0</v>
      </c>
      <c r="S155" s="1641">
        <f>IFERROR(GETPIVOTDATA("合計 / "&amp;$C155,【ピボット】事業所収支!$A$3,"年月",S$2),0)</f>
        <v>612665</v>
      </c>
      <c r="T155" s="1641">
        <f>IFERROR(GETPIVOTDATA("合計 / "&amp;$C155,【ピボット】事業所収支!$A$3,"年月",T$2),0)</f>
        <v>0</v>
      </c>
      <c r="U155" s="1641">
        <f>IFERROR(GETPIVOTDATA("合計 / "&amp;$C155,【ピボット】事業所収支!$A$3,"年月",U$2),0)</f>
        <v>0</v>
      </c>
      <c r="V155" s="1641">
        <f>IFERROR(GETPIVOTDATA("合計 / "&amp;$C155,【ピボット】事業所収支!$A$3,"年月",V$2),0)</f>
        <v>4167</v>
      </c>
      <c r="W155" s="1641">
        <f>IFERROR(GETPIVOTDATA("合計 / "&amp;$C155,【ピボット】事業所収支!$A$3,"年月",W$2),0)</f>
        <v>2198</v>
      </c>
      <c r="X155" s="1641">
        <f>IFERROR(GETPIVOTDATA("合計 / "&amp;$C155,【ピボット】事業所収支!$A$3,"年月",X$2),0)</f>
        <v>0</v>
      </c>
      <c r="Y155" s="1641">
        <f>IFERROR(GETPIVOTDATA("合計 / "&amp;$C155,【ピボット】事業所収支!$A$3,"年月",Y$2),0)</f>
        <v>-80616</v>
      </c>
      <c r="Z155" s="1641">
        <f>IFERROR(GETPIVOTDATA("合計 / "&amp;$C155,【ピボット】事業所収支!$A$3,"年月",Z$2),0)</f>
        <v>0</v>
      </c>
      <c r="AA155" s="1641">
        <f>IFERROR(GETPIVOTDATA("合計 / "&amp;$C155,【ピボット】事業所収支!$A$3,"年月",AA$2),0)</f>
        <v>0</v>
      </c>
      <c r="AB155" s="1561">
        <f ca="1">SUM(OFFSET(AA155,0,当期月数):AA155)</f>
        <v>-74251</v>
      </c>
    </row>
    <row r="156" spans="2:28" ht="15.4" hidden="1" customHeight="1" outlineLevel="1" x14ac:dyDescent="0.15">
      <c r="C156" s="1537" t="s">
        <v>1334</v>
      </c>
      <c r="D156" s="1641">
        <f>IFERROR(GETPIVOTDATA("合計 / "&amp;$C156,【ピボット】事業所収支!$A$3,"年月",D$2),0)</f>
        <v>0</v>
      </c>
      <c r="E156" s="1641">
        <f>IFERROR(GETPIVOTDATA("合計 / "&amp;$C156,【ピボット】事業所収支!$A$3,"年月",E$2),0)</f>
        <v>0</v>
      </c>
      <c r="F156" s="1641">
        <f>IFERROR(GETPIVOTDATA("合計 / "&amp;$C156,【ピボット】事業所収支!$A$3,"年月",F$2),0)</f>
        <v>0</v>
      </c>
      <c r="G156" s="1641">
        <f>IFERROR(GETPIVOTDATA("合計 / "&amp;$C156,【ピボット】事業所収支!$A$3,"年月",G$2),0)</f>
        <v>0</v>
      </c>
      <c r="H156" s="1641">
        <f>IFERROR(GETPIVOTDATA("合計 / "&amp;$C156,【ピボット】事業所収支!$A$3,"年月",H$2),0)</f>
        <v>0</v>
      </c>
      <c r="I156" s="1641">
        <f>IFERROR(GETPIVOTDATA("合計 / "&amp;$C156,【ピボット】事業所収支!$A$3,"年月",I$2),0)</f>
        <v>0</v>
      </c>
      <c r="J156" s="1641">
        <f>IFERROR(GETPIVOTDATA("合計 / "&amp;$C156,【ピボット】事業所収支!$A$3,"年月",J$2),0)</f>
        <v>0</v>
      </c>
      <c r="K156" s="1641">
        <f>IFERROR(GETPIVOTDATA("合計 / "&amp;$C156,【ピボット】事業所収支!$A$3,"年月",K$2),0)</f>
        <v>0</v>
      </c>
      <c r="L156" s="1641">
        <f>IFERROR(GETPIVOTDATA("合計 / "&amp;$C156,【ピボット】事業所収支!$A$3,"年月",L$2),0)</f>
        <v>0</v>
      </c>
      <c r="M156" s="1641">
        <f>IFERROR(GETPIVOTDATA("合計 / "&amp;$C156,【ピボット】事業所収支!$A$3,"年月",M$2),0)</f>
        <v>0</v>
      </c>
      <c r="N156" s="1641">
        <f>IFERROR(GETPIVOTDATA("合計 / "&amp;$C156,【ピボット】事業所収支!$A$3,"年月",N$2),0)</f>
        <v>0</v>
      </c>
      <c r="O156" s="1641">
        <f>IFERROR(GETPIVOTDATA("合計 / "&amp;$C156,【ピボット】事業所収支!$A$3,"年月",O$2),0)</f>
        <v>0</v>
      </c>
      <c r="P156" s="1641">
        <f>IFERROR(GETPIVOTDATA("合計 / "&amp;$C156,【ピボット】事業所収支!$A$3,"年月",P$2),0)</f>
        <v>0</v>
      </c>
      <c r="Q156" s="1641">
        <f>IFERROR(GETPIVOTDATA("合計 / "&amp;$C156,【ピボット】事業所収支!$A$3,"年月",Q$2),0)</f>
        <v>0</v>
      </c>
      <c r="R156" s="1641">
        <f>IFERROR(GETPIVOTDATA("合計 / "&amp;$C156,【ピボット】事業所収支!$A$3,"年月",R$2),0)</f>
        <v>0</v>
      </c>
      <c r="S156" s="1641">
        <f>IFERROR(GETPIVOTDATA("合計 / "&amp;$C156,【ピボット】事業所収支!$A$3,"年月",S$2),0)</f>
        <v>345170</v>
      </c>
      <c r="T156" s="1641">
        <f>IFERROR(GETPIVOTDATA("合計 / "&amp;$C156,【ピボット】事業所収支!$A$3,"年月",T$2),0)</f>
        <v>0</v>
      </c>
      <c r="U156" s="1641">
        <f>IFERROR(GETPIVOTDATA("合計 / "&amp;$C156,【ピボット】事業所収支!$A$3,"年月",U$2),0)</f>
        <v>0</v>
      </c>
      <c r="V156" s="1641">
        <f>IFERROR(GETPIVOTDATA("合計 / "&amp;$C156,【ピボット】事業所収支!$A$3,"年月",V$2),0)</f>
        <v>0</v>
      </c>
      <c r="W156" s="1641">
        <f>IFERROR(GETPIVOTDATA("合計 / "&amp;$C156,【ピボット】事業所収支!$A$3,"年月",W$2),0)</f>
        <v>0</v>
      </c>
      <c r="X156" s="1641">
        <f>IFERROR(GETPIVOTDATA("合計 / "&amp;$C156,【ピボット】事業所収支!$A$3,"年月",X$2),0)</f>
        <v>0</v>
      </c>
      <c r="Y156" s="1641">
        <f>IFERROR(GETPIVOTDATA("合計 / "&amp;$C156,【ピボット】事業所収支!$A$3,"年月",Y$2),0)</f>
        <v>0</v>
      </c>
      <c r="Z156" s="1641">
        <f>IFERROR(GETPIVOTDATA("合計 / "&amp;$C156,【ピボット】事業所収支!$A$3,"年月",Z$2),0)</f>
        <v>0</v>
      </c>
      <c r="AA156" s="1641">
        <f>IFERROR(GETPIVOTDATA("合計 / "&amp;$C156,【ピボット】事業所収支!$A$3,"年月",AA$2),0)</f>
        <v>0</v>
      </c>
      <c r="AB156" s="1561">
        <f ca="1">SUM(OFFSET(AA156,0,当期月数):AA156)</f>
        <v>0</v>
      </c>
    </row>
    <row r="157" spans="2:28" ht="15.4" hidden="1" customHeight="1" outlineLevel="1" x14ac:dyDescent="0.15">
      <c r="C157" s="1537" t="s">
        <v>1336</v>
      </c>
      <c r="D157" s="1641">
        <f>IFERROR(GETPIVOTDATA("合計 / "&amp;$C157,【ピボット】事業所収支!$A$3,"年月",D$2),0)</f>
        <v>0</v>
      </c>
      <c r="E157" s="1641">
        <f>IFERROR(GETPIVOTDATA("合計 / "&amp;$C157,【ピボット】事業所収支!$A$3,"年月",E$2),0)</f>
        <v>0</v>
      </c>
      <c r="F157" s="1641">
        <f>IFERROR(GETPIVOTDATA("合計 / "&amp;$C157,【ピボット】事業所収支!$A$3,"年月",F$2),0)</f>
        <v>0</v>
      </c>
      <c r="G157" s="1641">
        <f>IFERROR(GETPIVOTDATA("合計 / "&amp;$C157,【ピボット】事業所収支!$A$3,"年月",G$2),0)</f>
        <v>0</v>
      </c>
      <c r="H157" s="1641">
        <f>IFERROR(GETPIVOTDATA("合計 / "&amp;$C157,【ピボット】事業所収支!$A$3,"年月",H$2),0)</f>
        <v>0</v>
      </c>
      <c r="I157" s="1641">
        <f>IFERROR(GETPIVOTDATA("合計 / "&amp;$C157,【ピボット】事業所収支!$A$3,"年月",I$2),0)</f>
        <v>0</v>
      </c>
      <c r="J157" s="1641">
        <f>IFERROR(GETPIVOTDATA("合計 / "&amp;$C157,【ピボット】事業所収支!$A$3,"年月",J$2),0)</f>
        <v>0</v>
      </c>
      <c r="K157" s="1641">
        <f>IFERROR(GETPIVOTDATA("合計 / "&amp;$C157,【ピボット】事業所収支!$A$3,"年月",K$2),0)</f>
        <v>0</v>
      </c>
      <c r="L157" s="1641">
        <f>IFERROR(GETPIVOTDATA("合計 / "&amp;$C157,【ピボット】事業所収支!$A$3,"年月",L$2),0)</f>
        <v>0</v>
      </c>
      <c r="M157" s="1641">
        <f>IFERROR(GETPIVOTDATA("合計 / "&amp;$C157,【ピボット】事業所収支!$A$3,"年月",M$2),0)</f>
        <v>0</v>
      </c>
      <c r="N157" s="1641">
        <f>IFERROR(GETPIVOTDATA("合計 / "&amp;$C157,【ピボット】事業所収支!$A$3,"年月",N$2),0)</f>
        <v>0</v>
      </c>
      <c r="O157" s="1641">
        <f>IFERROR(GETPIVOTDATA("合計 / "&amp;$C157,【ピボット】事業所収支!$A$3,"年月",O$2),0)</f>
        <v>0</v>
      </c>
      <c r="P157" s="1641">
        <f>IFERROR(GETPIVOTDATA("合計 / "&amp;$C157,【ピボット】事業所収支!$A$3,"年月",P$2),0)</f>
        <v>0</v>
      </c>
      <c r="Q157" s="1641">
        <f>IFERROR(GETPIVOTDATA("合計 / "&amp;$C157,【ピボット】事業所収支!$A$3,"年月",Q$2),0)</f>
        <v>0</v>
      </c>
      <c r="R157" s="1641">
        <f>IFERROR(GETPIVOTDATA("合計 / "&amp;$C157,【ピボット】事業所収支!$A$3,"年月",R$2),0)</f>
        <v>0</v>
      </c>
      <c r="S157" s="1641">
        <f>IFERROR(GETPIVOTDATA("合計 / "&amp;$C157,【ピボット】事業所収支!$A$3,"年月",S$2),0)</f>
        <v>-464655</v>
      </c>
      <c r="T157" s="1641">
        <f>IFERROR(GETPIVOTDATA("合計 / "&amp;$C157,【ピボット】事業所収支!$A$3,"年月",T$2),0)</f>
        <v>0</v>
      </c>
      <c r="U157" s="1641">
        <f>IFERROR(GETPIVOTDATA("合計 / "&amp;$C157,【ピボット】事業所収支!$A$3,"年月",U$2),0)</f>
        <v>0</v>
      </c>
      <c r="V157" s="1641">
        <f>IFERROR(GETPIVOTDATA("合計 / "&amp;$C157,【ピボット】事業所収支!$A$3,"年月",V$2),0)</f>
        <v>0</v>
      </c>
      <c r="W157" s="1641">
        <f>IFERROR(GETPIVOTDATA("合計 / "&amp;$C157,【ピボット】事業所収支!$A$3,"年月",W$2),0)</f>
        <v>0</v>
      </c>
      <c r="X157" s="1641">
        <f>IFERROR(GETPIVOTDATA("合計 / "&amp;$C157,【ピボット】事業所収支!$A$3,"年月",X$2),0)</f>
        <v>0</v>
      </c>
      <c r="Y157" s="1641">
        <f>IFERROR(GETPIVOTDATA("合計 / "&amp;$C157,【ピボット】事業所収支!$A$3,"年月",Y$2),0)</f>
        <v>0</v>
      </c>
      <c r="Z157" s="1641">
        <f>IFERROR(GETPIVOTDATA("合計 / "&amp;$C157,【ピボット】事業所収支!$A$3,"年月",Z$2),0)</f>
        <v>0</v>
      </c>
      <c r="AA157" s="1641">
        <f>IFERROR(GETPIVOTDATA("合計 / "&amp;$C157,【ピボット】事業所収支!$A$3,"年月",AA$2),0)</f>
        <v>0</v>
      </c>
      <c r="AB157" s="1561">
        <f ca="1">SUM(OFFSET(AA157,0,当期月数):AA157)</f>
        <v>0</v>
      </c>
    </row>
    <row r="158" spans="2:28" ht="15.4" customHeight="1" collapsed="1" x14ac:dyDescent="0.15">
      <c r="C158" s="1686" t="s">
        <v>1340</v>
      </c>
      <c r="D158" s="1685">
        <f t="shared" ref="D158:Z158" si="61">D155-D156-D157</f>
        <v>0</v>
      </c>
      <c r="E158" s="1685">
        <f t="shared" si="61"/>
        <v>0</v>
      </c>
      <c r="F158" s="1685">
        <f t="shared" si="61"/>
        <v>0</v>
      </c>
      <c r="G158" s="1685">
        <f t="shared" si="61"/>
        <v>731894</v>
      </c>
      <c r="H158" s="1685">
        <f t="shared" si="61"/>
        <v>163183</v>
      </c>
      <c r="I158" s="1685">
        <f t="shared" si="61"/>
        <v>0</v>
      </c>
      <c r="J158" s="1685">
        <f t="shared" si="61"/>
        <v>0</v>
      </c>
      <c r="K158" s="1685">
        <f t="shared" si="61"/>
        <v>0</v>
      </c>
      <c r="L158" s="1685">
        <f t="shared" si="61"/>
        <v>0</v>
      </c>
      <c r="M158" s="1685">
        <f t="shared" si="61"/>
        <v>0</v>
      </c>
      <c r="N158" s="1685">
        <f t="shared" si="61"/>
        <v>0</v>
      </c>
      <c r="O158" s="1685">
        <f t="shared" si="61"/>
        <v>0</v>
      </c>
      <c r="P158" s="1685">
        <f t="shared" si="61"/>
        <v>0</v>
      </c>
      <c r="Q158" s="1685">
        <f t="shared" si="61"/>
        <v>0</v>
      </c>
      <c r="R158" s="1685">
        <f t="shared" si="61"/>
        <v>0</v>
      </c>
      <c r="S158" s="1685">
        <f t="shared" si="61"/>
        <v>732150</v>
      </c>
      <c r="T158" s="1685">
        <f t="shared" si="61"/>
        <v>0</v>
      </c>
      <c r="U158" s="1685">
        <f t="shared" si="61"/>
        <v>0</v>
      </c>
      <c r="V158" s="1685">
        <f t="shared" si="61"/>
        <v>4167</v>
      </c>
      <c r="W158" s="1685">
        <f t="shared" si="61"/>
        <v>2198</v>
      </c>
      <c r="X158" s="1685">
        <f t="shared" si="61"/>
        <v>0</v>
      </c>
      <c r="Y158" s="1685">
        <f t="shared" si="61"/>
        <v>-80616</v>
      </c>
      <c r="Z158" s="1685">
        <f t="shared" si="61"/>
        <v>0</v>
      </c>
      <c r="AA158" s="1685">
        <f>AA155-AA156-AA157</f>
        <v>0</v>
      </c>
      <c r="AB158" s="1687">
        <f ca="1">SUM(OFFSET(AA158,0,当期月数):AA158)</f>
        <v>-74251</v>
      </c>
    </row>
    <row r="159" spans="2:28" ht="15.4" customHeight="1" x14ac:dyDescent="0.15">
      <c r="C159" s="1642" t="s">
        <v>91</v>
      </c>
      <c r="D159" s="1643">
        <f t="shared" ref="D159:Z159" si="62">SUM(D151,D154)-D158</f>
        <v>28961864</v>
      </c>
      <c r="E159" s="1643">
        <f t="shared" si="62"/>
        <v>34081284</v>
      </c>
      <c r="F159" s="1643">
        <f t="shared" si="62"/>
        <v>31034245</v>
      </c>
      <c r="G159" s="1643">
        <f t="shared" si="62"/>
        <v>32506840</v>
      </c>
      <c r="H159" s="1643">
        <f t="shared" si="62"/>
        <v>29734471</v>
      </c>
      <c r="I159" s="1643">
        <f t="shared" si="62"/>
        <v>31049754</v>
      </c>
      <c r="J159" s="1643">
        <f t="shared" si="62"/>
        <v>32679182</v>
      </c>
      <c r="K159" s="1643">
        <f t="shared" si="62"/>
        <v>44370795</v>
      </c>
      <c r="L159" s="1643">
        <f t="shared" si="62"/>
        <v>36679394</v>
      </c>
      <c r="M159" s="1643">
        <f t="shared" si="62"/>
        <v>31197700</v>
      </c>
      <c r="N159" s="1643">
        <f t="shared" si="62"/>
        <v>34351833</v>
      </c>
      <c r="O159" s="1643">
        <f t="shared" si="62"/>
        <v>34444276</v>
      </c>
      <c r="P159" s="1643">
        <f t="shared" si="62"/>
        <v>34123721</v>
      </c>
      <c r="Q159" s="1643">
        <f t="shared" si="62"/>
        <v>42950130</v>
      </c>
      <c r="R159" s="1643">
        <f t="shared" si="62"/>
        <v>38147174</v>
      </c>
      <c r="S159" s="1643">
        <f t="shared" si="62"/>
        <v>37818318</v>
      </c>
      <c r="T159" s="1643">
        <f t="shared" si="62"/>
        <v>35732794</v>
      </c>
      <c r="U159" s="1643">
        <f t="shared" si="62"/>
        <v>41068513</v>
      </c>
      <c r="V159" s="1643">
        <f t="shared" si="62"/>
        <v>38014623</v>
      </c>
      <c r="W159" s="1643">
        <f t="shared" si="62"/>
        <v>51586693</v>
      </c>
      <c r="X159" s="1643">
        <f t="shared" si="62"/>
        <v>37043342</v>
      </c>
      <c r="Y159" s="1643">
        <f t="shared" si="62"/>
        <v>35933766</v>
      </c>
      <c r="Z159" s="1643">
        <f t="shared" si="62"/>
        <v>35468722</v>
      </c>
      <c r="AA159" s="1643">
        <f>SUM(AA151,AA154)-AA158</f>
        <v>36363783</v>
      </c>
      <c r="AB159" s="1644">
        <f ca="1">SUM(OFFSET(AA159,0,当期月数):AA159)</f>
        <v>311212236</v>
      </c>
    </row>
    <row r="160" spans="2:28" ht="15.4" customHeight="1" x14ac:dyDescent="0.15">
      <c r="C160" s="1642" t="s">
        <v>31</v>
      </c>
      <c r="D160" s="1643">
        <f t="shared" ref="D160:Z160" si="63">D146-D159</f>
        <v>3741169</v>
      </c>
      <c r="E160" s="1643">
        <f t="shared" si="63"/>
        <v>2834537</v>
      </c>
      <c r="F160" s="1643">
        <f t="shared" si="63"/>
        <v>5046051</v>
      </c>
      <c r="G160" s="1643">
        <f t="shared" si="63"/>
        <v>2392346</v>
      </c>
      <c r="H160" s="1643">
        <f t="shared" si="63"/>
        <v>6181729</v>
      </c>
      <c r="I160" s="1643">
        <f t="shared" si="63"/>
        <v>6646757</v>
      </c>
      <c r="J160" s="1643">
        <f t="shared" si="63"/>
        <v>3041895</v>
      </c>
      <c r="K160" s="1643">
        <f t="shared" si="63"/>
        <v>-8657791</v>
      </c>
      <c r="L160" s="1643">
        <f t="shared" si="63"/>
        <v>-2172375</v>
      </c>
      <c r="M160" s="1643">
        <f t="shared" si="63"/>
        <v>2520437</v>
      </c>
      <c r="N160" s="1643">
        <f t="shared" si="63"/>
        <v>682264</v>
      </c>
      <c r="O160" s="1643">
        <f t="shared" si="63"/>
        <v>4677971</v>
      </c>
      <c r="P160" s="1643">
        <f t="shared" si="63"/>
        <v>5545309</v>
      </c>
      <c r="Q160" s="1643">
        <f t="shared" si="63"/>
        <v>-6877412</v>
      </c>
      <c r="R160" s="1643">
        <f t="shared" si="63"/>
        <v>402662</v>
      </c>
      <c r="S160" s="1643">
        <f t="shared" si="63"/>
        <v>-1107537</v>
      </c>
      <c r="T160" s="1643">
        <f t="shared" si="63"/>
        <v>1788697</v>
      </c>
      <c r="U160" s="1643">
        <f t="shared" si="63"/>
        <v>153279</v>
      </c>
      <c r="V160" s="1643">
        <f t="shared" si="63"/>
        <v>4250230</v>
      </c>
      <c r="W160" s="1643">
        <f t="shared" si="63"/>
        <v>-11302155</v>
      </c>
      <c r="X160" s="1643">
        <f t="shared" si="63"/>
        <v>2938935</v>
      </c>
      <c r="Y160" s="1643">
        <f t="shared" si="63"/>
        <v>2756684</v>
      </c>
      <c r="Z160" s="1643">
        <f t="shared" si="63"/>
        <v>4576531</v>
      </c>
      <c r="AA160" s="1643">
        <f>AA146-AA159</f>
        <v>5500935</v>
      </c>
      <c r="AB160" s="1644">
        <f ca="1">SUM(OFFSET(AA160,0,当期月数):AA160)</f>
        <v>10663136</v>
      </c>
    </row>
    <row r="161" spans="3:32" ht="15.4" customHeight="1" x14ac:dyDescent="0.15">
      <c r="C161" s="1530" t="s">
        <v>46</v>
      </c>
      <c r="D161" s="1645">
        <f>IFERROR(GETPIVOTDATA("合計 / " &amp; $C161,【ピボット】事業所収支!$A$3,"年月",D$2),0)</f>
        <v>104315</v>
      </c>
      <c r="E161" s="1645">
        <f>IFERROR(GETPIVOTDATA("合計 / " &amp; $C161,【ピボット】事業所収支!$A$3,"年月",E$2),0)</f>
        <v>11460</v>
      </c>
      <c r="F161" s="1645">
        <f>IFERROR(GETPIVOTDATA("合計 / " &amp; $C161,【ピボット】事業所収支!$A$3,"年月",F$2),0)</f>
        <v>215737</v>
      </c>
      <c r="G161" s="1645">
        <f>IFERROR(GETPIVOTDATA("合計 / " &amp; $C161,【ピボット】事業所収支!$A$3,"年月",G$2),0)</f>
        <v>197365</v>
      </c>
      <c r="H161" s="1645">
        <f>IFERROR(GETPIVOTDATA("合計 / " &amp; $C161,【ピボット】事業所収支!$A$3,"年月",H$2),0)</f>
        <v>13417</v>
      </c>
      <c r="I161" s="1645">
        <f>IFERROR(GETPIVOTDATA("合計 / " &amp; $C161,【ピボット】事業所収支!$A$3,"年月",I$2),0)</f>
        <v>113702</v>
      </c>
      <c r="J161" s="1645">
        <f>IFERROR(GETPIVOTDATA("合計 / " &amp; $C161,【ピボット】事業所収支!$A$3,"年月",J$2),0)</f>
        <v>162234</v>
      </c>
      <c r="K161" s="1645">
        <f>IFERROR(GETPIVOTDATA("合計 / " &amp; $C161,【ピボット】事業所収支!$A$3,"年月",K$2),0)</f>
        <v>210977</v>
      </c>
      <c r="L161" s="1645">
        <f>IFERROR(GETPIVOTDATA("合計 / " &amp; $C161,【ピボット】事業所収支!$A$3,"年月",L$2),0)</f>
        <v>111637</v>
      </c>
      <c r="M161" s="1645">
        <f>IFERROR(GETPIVOTDATA("合計 / " &amp; $C161,【ピボット】事業所収支!$A$3,"年月",M$2),0)</f>
        <v>12196</v>
      </c>
      <c r="N161" s="1645">
        <f>IFERROR(GETPIVOTDATA("合計 / " &amp; $C161,【ピボット】事業所収支!$A$3,"年月",N$2),0)</f>
        <v>235621</v>
      </c>
      <c r="O161" s="1645">
        <f>IFERROR(GETPIVOTDATA("合計 / " &amp; $C161,【ピボット】事業所収支!$A$3,"年月",O$2),0)</f>
        <v>240455</v>
      </c>
      <c r="P161" s="1645">
        <f>IFERROR(GETPIVOTDATA("合計 / " &amp; $C161,【ピボット】事業所収支!$A$3,"年月",P$2),0)</f>
        <v>131692</v>
      </c>
      <c r="Q161" s="1645">
        <f>IFERROR(GETPIVOTDATA("合計 / " &amp; $C161,【ピボット】事業所収支!$A$3,"年月",Q$2),0)</f>
        <v>138866</v>
      </c>
      <c r="R161" s="1645">
        <f>IFERROR(GETPIVOTDATA("合計 / " &amp; $C161,【ピボット】事業所収支!$A$3,"年月",R$2),0)</f>
        <v>135812</v>
      </c>
      <c r="S161" s="1645">
        <f>IFERROR(GETPIVOTDATA("合計 / " &amp; $C161,【ピボット】事業所収支!$A$3,"年月",S$2),0)</f>
        <v>170257</v>
      </c>
      <c r="T161" s="1645">
        <f>IFERROR(GETPIVOTDATA("合計 / " &amp; $C161,【ピボット】事業所収支!$A$3,"年月",T$2),0)</f>
        <v>148771</v>
      </c>
      <c r="U161" s="1645">
        <f>IFERROR(GETPIVOTDATA("合計 / " &amp; $C161,【ピボット】事業所収支!$A$3,"年月",U$2),0)</f>
        <v>142298</v>
      </c>
      <c r="V161" s="1645">
        <f>IFERROR(GETPIVOTDATA("合計 / " &amp; $C161,【ピボット】事業所収支!$A$3,"年月",V$2),0)</f>
        <v>146805</v>
      </c>
      <c r="W161" s="1645">
        <f>IFERROR(GETPIVOTDATA("合計 / " &amp; $C161,【ピボット】事業所収支!$A$3,"年月",W$2),0)</f>
        <v>369915</v>
      </c>
      <c r="X161" s="1645">
        <f>IFERROR(GETPIVOTDATA("合計 / " &amp; $C161,【ピボット】事業所収支!$A$3,"年月",X$2),0)</f>
        <v>316282</v>
      </c>
      <c r="Y161" s="1645">
        <f>IFERROR(GETPIVOTDATA("合計 / " &amp; $C161,【ピボット】事業所収支!$A$3,"年月",Y$2),0)</f>
        <v>308518</v>
      </c>
      <c r="Z161" s="1645">
        <f>IFERROR(GETPIVOTDATA("合計 / " &amp; $C161,【ピボット】事業所収支!$A$3,"年月",Z$2),0)</f>
        <v>539685</v>
      </c>
      <c r="AA161" s="1645">
        <f>IFERROR(GETPIVOTDATA("合計 / " &amp; $C161,【ピボット】事業所収支!$A$3,"年月",AA$2),0)</f>
        <v>215222</v>
      </c>
      <c r="AB161" s="1561">
        <f ca="1">SUM(OFFSET(AA161,0,当期月数):AA161)</f>
        <v>2187496</v>
      </c>
    </row>
    <row r="162" spans="3:32" ht="15.4" customHeight="1" x14ac:dyDescent="0.15">
      <c r="C162" s="1530" t="s">
        <v>47</v>
      </c>
      <c r="D162" s="1645">
        <f>IFERROR(GETPIVOTDATA("合計 / " &amp; $C162,【ピボット】事業所収支!$A$3,"年月",D$2),0)</f>
        <v>371587</v>
      </c>
      <c r="E162" s="1645">
        <f>IFERROR(GETPIVOTDATA("合計 / " &amp; $C162,【ピボット】事業所収支!$A$3,"年月",E$2),0)</f>
        <v>330078</v>
      </c>
      <c r="F162" s="1645">
        <f>IFERROR(GETPIVOTDATA("合計 / " &amp; $C162,【ピボット】事業所収支!$A$3,"年月",F$2),0)</f>
        <v>246683</v>
      </c>
      <c r="G162" s="1645">
        <f>IFERROR(GETPIVOTDATA("合計 / " &amp; $C162,【ピボット】事業所収支!$A$3,"年月",G$2),0)</f>
        <v>1767380</v>
      </c>
      <c r="H162" s="1645">
        <f>IFERROR(GETPIVOTDATA("合計 / " &amp; $C162,【ピボット】事業所収支!$A$3,"年月",H$2),0)</f>
        <v>262718</v>
      </c>
      <c r="I162" s="1645">
        <f>IFERROR(GETPIVOTDATA("合計 / " &amp; $C162,【ピボット】事業所収支!$A$3,"年月",I$2),0)</f>
        <v>497938</v>
      </c>
      <c r="J162" s="1645">
        <f>IFERROR(GETPIVOTDATA("合計 / " &amp; $C162,【ピボット】事業所収支!$A$3,"年月",J$2),0)</f>
        <v>398466</v>
      </c>
      <c r="K162" s="1645">
        <f>IFERROR(GETPIVOTDATA("合計 / " &amp; $C162,【ピボット】事業所収支!$A$3,"年月",K$2),0)</f>
        <v>353206</v>
      </c>
      <c r="L162" s="1645">
        <f>IFERROR(GETPIVOTDATA("合計 / " &amp; $C162,【ピボット】事業所収支!$A$3,"年月",L$2),0)</f>
        <v>490477</v>
      </c>
      <c r="M162" s="1645">
        <f>IFERROR(GETPIVOTDATA("合計 / " &amp; $C162,【ピボット】事業所収支!$A$3,"年月",M$2),0)</f>
        <v>375068</v>
      </c>
      <c r="N162" s="1645">
        <f>IFERROR(GETPIVOTDATA("合計 / " &amp; $C162,【ピボット】事業所収支!$A$3,"年月",N$2),0)</f>
        <v>386869</v>
      </c>
      <c r="O162" s="1645">
        <f>IFERROR(GETPIVOTDATA("合計 / " &amp; $C162,【ピボット】事業所収支!$A$3,"年月",O$2),0)</f>
        <v>1728970</v>
      </c>
      <c r="P162" s="1645">
        <f>IFERROR(GETPIVOTDATA("合計 / " &amp; $C162,【ピボット】事業所収支!$A$3,"年月",P$2),0)</f>
        <v>523134</v>
      </c>
      <c r="Q162" s="1645">
        <f>IFERROR(GETPIVOTDATA("合計 / " &amp; $C162,【ピボット】事業所収支!$A$3,"年月",Q$2),0)</f>
        <v>507754</v>
      </c>
      <c r="R162" s="1645">
        <f>IFERROR(GETPIVOTDATA("合計 / " &amp; $C162,【ピボット】事業所収支!$A$3,"年月",R$2),0)</f>
        <v>677872</v>
      </c>
      <c r="S162" s="1645">
        <f>IFERROR(GETPIVOTDATA("合計 / " &amp; $C162,【ピボット】事業所収支!$A$3,"年月",S$2),0)</f>
        <v>1148727</v>
      </c>
      <c r="T162" s="1645">
        <f>IFERROR(GETPIVOTDATA("合計 / " &amp; $C162,【ピボット】事業所収支!$A$3,"年月",T$2),0)</f>
        <v>472801</v>
      </c>
      <c r="U162" s="1645">
        <f>IFERROR(GETPIVOTDATA("合計 / " &amp; $C162,【ピボット】事業所収支!$A$3,"年月",U$2),0)</f>
        <v>972358</v>
      </c>
      <c r="V162" s="1645">
        <f>IFERROR(GETPIVOTDATA("合計 / " &amp; $C162,【ピボット】事業所収支!$A$3,"年月",V$2),0)</f>
        <v>874139</v>
      </c>
      <c r="W162" s="1645">
        <f>IFERROR(GETPIVOTDATA("合計 / " &amp; $C162,【ピボット】事業所収支!$A$3,"年月",W$2),0)</f>
        <v>703823</v>
      </c>
      <c r="X162" s="1645">
        <f>IFERROR(GETPIVOTDATA("合計 / " &amp; $C162,【ピボット】事業所収支!$A$3,"年月",X$2),0)</f>
        <v>1196977</v>
      </c>
      <c r="Y162" s="1645">
        <f>IFERROR(GETPIVOTDATA("合計 / " &amp; $C162,【ピボット】事業所収支!$A$3,"年月",Y$2),0)</f>
        <v>977248</v>
      </c>
      <c r="Z162" s="1645">
        <f>IFERROR(GETPIVOTDATA("合計 / " &amp; $C162,【ピボット】事業所収支!$A$3,"年月",Z$2),0)</f>
        <v>532662</v>
      </c>
      <c r="AA162" s="1645">
        <f>IFERROR(GETPIVOTDATA("合計 / " &amp; $C162,【ピボット】事業所収支!$A$3,"年月",AA$2),0)</f>
        <v>665619</v>
      </c>
      <c r="AB162" s="1561">
        <f ca="1">SUM(OFFSET(AA162,0,当期月数):AA162)</f>
        <v>6395627</v>
      </c>
    </row>
    <row r="163" spans="3:32" ht="15.4" customHeight="1" thickBot="1" x14ac:dyDescent="0.2">
      <c r="C163" s="1646" t="s">
        <v>44</v>
      </c>
      <c r="D163" s="1647">
        <f t="shared" ref="D163:Z163" si="64">SUM(D160,D161,-D162)</f>
        <v>3473897</v>
      </c>
      <c r="E163" s="1647">
        <f t="shared" si="64"/>
        <v>2515919</v>
      </c>
      <c r="F163" s="1647">
        <f t="shared" si="64"/>
        <v>5015105</v>
      </c>
      <c r="G163" s="1647">
        <f t="shared" si="64"/>
        <v>822331</v>
      </c>
      <c r="H163" s="1647">
        <f t="shared" si="64"/>
        <v>5932428</v>
      </c>
      <c r="I163" s="1647">
        <f t="shared" si="64"/>
        <v>6262521</v>
      </c>
      <c r="J163" s="1647">
        <f t="shared" si="64"/>
        <v>2805663</v>
      </c>
      <c r="K163" s="1647">
        <f t="shared" si="64"/>
        <v>-8800020</v>
      </c>
      <c r="L163" s="1647">
        <f t="shared" si="64"/>
        <v>-2551215</v>
      </c>
      <c r="M163" s="1647">
        <f t="shared" si="64"/>
        <v>2157565</v>
      </c>
      <c r="N163" s="1647">
        <f t="shared" si="64"/>
        <v>531016</v>
      </c>
      <c r="O163" s="1647">
        <f t="shared" si="64"/>
        <v>3189456</v>
      </c>
      <c r="P163" s="1647">
        <f t="shared" si="64"/>
        <v>5153867</v>
      </c>
      <c r="Q163" s="1647">
        <f t="shared" si="64"/>
        <v>-7246300</v>
      </c>
      <c r="R163" s="1647">
        <f t="shared" si="64"/>
        <v>-139398</v>
      </c>
      <c r="S163" s="1647">
        <f t="shared" si="64"/>
        <v>-2086007</v>
      </c>
      <c r="T163" s="1647">
        <f t="shared" si="64"/>
        <v>1464667</v>
      </c>
      <c r="U163" s="1647">
        <f t="shared" si="64"/>
        <v>-676781</v>
      </c>
      <c r="V163" s="1647">
        <f t="shared" si="64"/>
        <v>3522896</v>
      </c>
      <c r="W163" s="1647">
        <f t="shared" si="64"/>
        <v>-11636063</v>
      </c>
      <c r="X163" s="1647">
        <f t="shared" si="64"/>
        <v>2058240</v>
      </c>
      <c r="Y163" s="1647">
        <f t="shared" si="64"/>
        <v>2087954</v>
      </c>
      <c r="Z163" s="1647">
        <f t="shared" si="64"/>
        <v>4583554</v>
      </c>
      <c r="AA163" s="1647">
        <f>SUM(AA160,AA161,-AA162)</f>
        <v>5050538</v>
      </c>
      <c r="AB163" s="1629">
        <f ca="1">SUM(OFFSET(AA163,0,当期月数):AA163)</f>
        <v>6455005</v>
      </c>
    </row>
    <row r="164" spans="3:32" ht="15.4" customHeight="1" x14ac:dyDescent="0.15">
      <c r="C164" s="1530" t="s">
        <v>397</v>
      </c>
      <c r="D164" s="1645">
        <f>IFERROR(GETPIVOTDATA("合計 / " &amp; $C164,【ピボット】事業所収支!$A$3,"年月",D$2),0)</f>
        <v>0</v>
      </c>
      <c r="E164" s="1645">
        <f>IFERROR(GETPIVOTDATA("合計 / " &amp; $C164,【ピボット】事業所収支!$A$3,"年月",E$2),0)</f>
        <v>0</v>
      </c>
      <c r="F164" s="1645">
        <f>IFERROR(GETPIVOTDATA("合計 / " &amp; $C164,【ピボット】事業所収支!$A$3,"年月",F$2),0)</f>
        <v>0</v>
      </c>
      <c r="G164" s="1645">
        <f>IFERROR(GETPIVOTDATA("合計 / " &amp; $C164,【ピボット】事業所収支!$A$3,"年月",G$2),0)</f>
        <v>-866465</v>
      </c>
      <c r="H164" s="1645">
        <f>IFERROR(GETPIVOTDATA("合計 / " &amp; $C164,【ピボット】事業所収支!$A$3,"年月",H$2),0)</f>
        <v>-201749</v>
      </c>
      <c r="I164" s="1645">
        <f>IFERROR(GETPIVOTDATA("合計 / " &amp; $C164,【ピボット】事業所収支!$A$3,"年月",I$2),0)</f>
        <v>0</v>
      </c>
      <c r="J164" s="1645">
        <f>IFERROR(GETPIVOTDATA("合計 / " &amp; $C164,【ピボット】事業所収支!$A$3,"年月",J$2),0)</f>
        <v>0</v>
      </c>
      <c r="K164" s="1645">
        <f>IFERROR(GETPIVOTDATA("合計 / " &amp; $C164,【ピボット】事業所収支!$A$3,"年月",K$2),0)</f>
        <v>0</v>
      </c>
      <c r="L164" s="1645">
        <f>IFERROR(GETPIVOTDATA("合計 / " &amp; $C164,【ピボット】事業所収支!$A$3,"年月",L$2),0)</f>
        <v>0</v>
      </c>
      <c r="M164" s="1645">
        <f>IFERROR(GETPIVOTDATA("合計 / " &amp; $C164,【ピボット】事業所収支!$A$3,"年月",M$2),0)</f>
        <v>0</v>
      </c>
      <c r="N164" s="1645">
        <f>IFERROR(GETPIVOTDATA("合計 / " &amp; $C164,【ピボット】事業所収支!$A$3,"年月",N$2),0)</f>
        <v>0</v>
      </c>
      <c r="O164" s="1645">
        <f>IFERROR(GETPIVOTDATA("合計 / " &amp; $C164,【ピボット】事業所収支!$A$3,"年月",O$2),0)</f>
        <v>0</v>
      </c>
      <c r="P164" s="1645">
        <f>IFERROR(GETPIVOTDATA("合計 / " &amp; $C164,【ピボット】事業所収支!$A$3,"年月",P$2),0)</f>
        <v>0</v>
      </c>
      <c r="Q164" s="1645">
        <f>IFERROR(GETPIVOTDATA("合計 / " &amp; $C164,【ピボット】事業所収支!$A$3,"年月",Q$2),0)</f>
        <v>0</v>
      </c>
      <c r="R164" s="1645">
        <f>IFERROR(GETPIVOTDATA("合計 / " &amp; $C164,【ピボット】事業所収支!$A$3,"年月",R$2),0)</f>
        <v>0</v>
      </c>
      <c r="S164" s="1645">
        <f>IFERROR(GETPIVOTDATA("合計 / " &amp; $C164,【ピボット】事業所収支!$A$3,"年月",S$2),0)</f>
        <v>-8673</v>
      </c>
      <c r="T164" s="1645">
        <f>IFERROR(GETPIVOTDATA("合計 / " &amp; $C164,【ピボット】事業所収支!$A$3,"年月",T$2),0)</f>
        <v>0</v>
      </c>
      <c r="U164" s="1645">
        <f>IFERROR(GETPIVOTDATA("合計 / " &amp; $C164,【ピボット】事業所収支!$A$3,"年月",U$2),0)</f>
        <v>0</v>
      </c>
      <c r="V164" s="1645">
        <f>IFERROR(GETPIVOTDATA("合計 / " &amp; $C164,【ピボット】事業所収支!$A$3,"年月",V$2),0)</f>
        <v>0</v>
      </c>
      <c r="W164" s="1645">
        <f>IFERROR(GETPIVOTDATA("合計 / " &amp; $C164,【ピボット】事業所収支!$A$3,"年月",W$2),0)</f>
        <v>0</v>
      </c>
      <c r="X164" s="1645">
        <f>IFERROR(GETPIVOTDATA("合計 / " &amp; $C164,【ピボット】事業所収支!$A$3,"年月",X$2),0)</f>
        <v>0</v>
      </c>
      <c r="Y164" s="1645">
        <f>IFERROR(GETPIVOTDATA("合計 / " &amp; $C164,【ピボット】事業所収支!$A$3,"年月",Y$2),0)</f>
        <v>0</v>
      </c>
      <c r="Z164" s="1645">
        <f>IFERROR(GETPIVOTDATA("合計 / " &amp; $C164,【ピボット】事業所収支!$A$3,"年月",Z$2),0)</f>
        <v>0</v>
      </c>
      <c r="AA164" s="1645">
        <f>IFERROR(GETPIVOTDATA("合計 / " &amp; $C164,【ピボット】事業所収支!$A$3,"年月",AA$2),0)</f>
        <v>0</v>
      </c>
      <c r="AB164" s="1561">
        <f ca="1">SUM(OFFSET(AA164,0,当期月数):AA164)</f>
        <v>0</v>
      </c>
    </row>
    <row r="165" spans="3:32" ht="15.4" customHeight="1" x14ac:dyDescent="0.15">
      <c r="C165" s="1538" t="s">
        <v>487</v>
      </c>
      <c r="D165" s="1645">
        <f>IFERROR(GETPIVOTDATA("合計 / " &amp; $C165,【ピボット】事業所収支!$A$3,"年月",D$2),0)</f>
        <v>0</v>
      </c>
      <c r="E165" s="1645">
        <f>IFERROR(GETPIVOTDATA("合計 / " &amp; $C165,【ピボット】事業所収支!$A$3,"年月",E$2),0)</f>
        <v>0</v>
      </c>
      <c r="F165" s="1645">
        <f>IFERROR(GETPIVOTDATA("合計 / " &amp; $C165,【ピボット】事業所収支!$A$3,"年月",F$2),0)</f>
        <v>0</v>
      </c>
      <c r="G165" s="1645">
        <f>IFERROR(GETPIVOTDATA("合計 / " &amp; $C165,【ピボット】事業所収支!$A$3,"年月",G$2),0)</f>
        <v>-1203300</v>
      </c>
      <c r="H165" s="1645">
        <f>IFERROR(GETPIVOTDATA("合計 / " &amp; $C165,【ピボット】事業所収支!$A$3,"年月",H$2),0)</f>
        <v>0</v>
      </c>
      <c r="I165" s="1645">
        <f>IFERROR(GETPIVOTDATA("合計 / " &amp; $C165,【ピボット】事業所収支!$A$3,"年月",I$2),0)</f>
        <v>0</v>
      </c>
      <c r="J165" s="1645">
        <f>IFERROR(GETPIVOTDATA("合計 / " &amp; $C165,【ピボット】事業所収支!$A$3,"年月",J$2),0)</f>
        <v>0</v>
      </c>
      <c r="K165" s="1645">
        <f>IFERROR(GETPIVOTDATA("合計 / " &amp; $C165,【ピボット】事業所収支!$A$3,"年月",K$2),0)</f>
        <v>0</v>
      </c>
      <c r="L165" s="1645">
        <f>IFERROR(GETPIVOTDATA("合計 / " &amp; $C165,【ピボット】事業所収支!$A$3,"年月",L$2),0)</f>
        <v>0</v>
      </c>
      <c r="M165" s="1645">
        <f>IFERROR(GETPIVOTDATA("合計 / " &amp; $C165,【ピボット】事業所収支!$A$3,"年月",M$2),0)</f>
        <v>0</v>
      </c>
      <c r="N165" s="1645">
        <f>IFERROR(GETPIVOTDATA("合計 / " &amp; $C165,【ピボット】事業所収支!$A$3,"年月",N$2),0)</f>
        <v>0</v>
      </c>
      <c r="O165" s="1645">
        <f>IFERROR(GETPIVOTDATA("合計 / " &amp; $C165,【ピボット】事業所収支!$A$3,"年月",O$2),0)</f>
        <v>-451900</v>
      </c>
      <c r="P165" s="1645">
        <f>IFERROR(GETPIVOTDATA("合計 / " &amp; $C165,【ピボット】事業所収支!$A$3,"年月",P$2),0)</f>
        <v>0</v>
      </c>
      <c r="Q165" s="1645">
        <f>IFERROR(GETPIVOTDATA("合計 / " &amp; $C165,【ピボット】事業所収支!$A$3,"年月",Q$2),0)</f>
        <v>0</v>
      </c>
      <c r="R165" s="1645">
        <f>IFERROR(GETPIVOTDATA("合計 / " &amp; $C165,【ピボット】事業所収支!$A$3,"年月",R$2),0)</f>
        <v>0</v>
      </c>
      <c r="S165" s="1645">
        <f>IFERROR(GETPIVOTDATA("合計 / " &amp; $C165,【ピボット】事業所収支!$A$3,"年月",S$2),0)</f>
        <v>-471000</v>
      </c>
      <c r="T165" s="1645">
        <f>IFERROR(GETPIVOTDATA("合計 / " &amp; $C165,【ピボット】事業所収支!$A$3,"年月",T$2),0)</f>
        <v>0</v>
      </c>
      <c r="U165" s="1645">
        <f>IFERROR(GETPIVOTDATA("合計 / " &amp; $C165,【ピボット】事業所収支!$A$3,"年月",U$2),0)</f>
        <v>0</v>
      </c>
      <c r="V165" s="1645">
        <f>IFERROR(GETPIVOTDATA("合計 / " &amp; $C165,【ピボット】事業所収支!$A$3,"年月",V$2),0)</f>
        <v>0</v>
      </c>
      <c r="W165" s="1645">
        <f>IFERROR(GETPIVOTDATA("合計 / " &amp; $C165,【ピボット】事業所収支!$A$3,"年月",W$2),0)</f>
        <v>0</v>
      </c>
      <c r="X165" s="1645">
        <f>IFERROR(GETPIVOTDATA("合計 / " &amp; $C165,【ピボット】事業所収支!$A$3,"年月",X$2),0)</f>
        <v>0</v>
      </c>
      <c r="Y165" s="1645">
        <f>IFERROR(GETPIVOTDATA("合計 / " &amp; $C165,【ピボット】事業所収支!$A$3,"年月",Y$2),0)</f>
        <v>0</v>
      </c>
      <c r="Z165" s="1645">
        <f>IFERROR(GETPIVOTDATA("合計 / " &amp; $C165,【ピボット】事業所収支!$A$3,"年月",Z$2),0)</f>
        <v>0</v>
      </c>
      <c r="AA165" s="1645">
        <f>IFERROR(GETPIVOTDATA("合計 / " &amp; $C165,【ピボット】事業所収支!$A$3,"年月",AA$2),0)</f>
        <v>0</v>
      </c>
      <c r="AB165" s="1564">
        <f ca="1">SUM(OFFSET(AA165,0,当期月数):AA165)</f>
        <v>0</v>
      </c>
    </row>
    <row r="166" spans="3:32" ht="15.4" customHeight="1" thickBot="1" x14ac:dyDescent="0.2">
      <c r="C166" s="1646" t="s">
        <v>396</v>
      </c>
      <c r="D166" s="1647">
        <f t="shared" ref="D166:Z166" si="65">SUM(D163,D164,D165)</f>
        <v>3473897</v>
      </c>
      <c r="E166" s="1647">
        <f t="shared" si="65"/>
        <v>2515919</v>
      </c>
      <c r="F166" s="1647">
        <f t="shared" si="65"/>
        <v>5015105</v>
      </c>
      <c r="G166" s="1647">
        <f t="shared" si="65"/>
        <v>-1247434</v>
      </c>
      <c r="H166" s="1647">
        <f t="shared" si="65"/>
        <v>5730679</v>
      </c>
      <c r="I166" s="1647">
        <f t="shared" si="65"/>
        <v>6262521</v>
      </c>
      <c r="J166" s="1647">
        <f t="shared" si="65"/>
        <v>2805663</v>
      </c>
      <c r="K166" s="1647">
        <f t="shared" si="65"/>
        <v>-8800020</v>
      </c>
      <c r="L166" s="1647">
        <f t="shared" si="65"/>
        <v>-2551215</v>
      </c>
      <c r="M166" s="1647">
        <f t="shared" si="65"/>
        <v>2157565</v>
      </c>
      <c r="N166" s="1647">
        <f t="shared" si="65"/>
        <v>531016</v>
      </c>
      <c r="O166" s="1647">
        <f t="shared" si="65"/>
        <v>2737556</v>
      </c>
      <c r="P166" s="1647">
        <f t="shared" si="65"/>
        <v>5153867</v>
      </c>
      <c r="Q166" s="1647">
        <f>SUM(Q163,Q164,Q165)</f>
        <v>-7246300</v>
      </c>
      <c r="R166" s="1647">
        <f t="shared" si="65"/>
        <v>-139398</v>
      </c>
      <c r="S166" s="1647">
        <f t="shared" si="65"/>
        <v>-2565680</v>
      </c>
      <c r="T166" s="1647">
        <f t="shared" si="65"/>
        <v>1464667</v>
      </c>
      <c r="U166" s="1647">
        <f t="shared" si="65"/>
        <v>-676781</v>
      </c>
      <c r="V166" s="1647">
        <f t="shared" si="65"/>
        <v>3522896</v>
      </c>
      <c r="W166" s="1647">
        <f t="shared" si="65"/>
        <v>-11636063</v>
      </c>
      <c r="X166" s="1647">
        <f t="shared" si="65"/>
        <v>2058240</v>
      </c>
      <c r="Y166" s="1647">
        <f t="shared" si="65"/>
        <v>2087954</v>
      </c>
      <c r="Z166" s="1647">
        <f t="shared" si="65"/>
        <v>4583554</v>
      </c>
      <c r="AA166" s="1647">
        <f>SUM(AA163,AA164,AA165)</f>
        <v>5050538</v>
      </c>
      <c r="AB166" s="1629">
        <f ca="1">SUM(OFFSET(AA166,0,当期月数):AA166)</f>
        <v>6455005</v>
      </c>
    </row>
    <row r="167" spans="3:32" ht="15.4" customHeight="1" thickBot="1" x14ac:dyDescent="0.2">
      <c r="C167" s="1648" t="s">
        <v>500</v>
      </c>
      <c r="D167" s="1649">
        <f>IFERROR(GETPIVOTDATA("合計 / "&amp;$C167,【ピボット】事業所収支!$A$3,"年月",D$2),0)</f>
        <v>0</v>
      </c>
      <c r="E167" s="1649">
        <f>IFERROR(GETPIVOTDATA("合計 / "&amp;$C167,【ピボット】事業所収支!$A$3,"年月",E$2),0)</f>
        <v>0</v>
      </c>
      <c r="F167" s="1649">
        <f>IFERROR(GETPIVOTDATA("合計 / "&amp;$C167,【ピボット】事業所収支!$A$3,"年月",F$2),0)</f>
        <v>0</v>
      </c>
      <c r="G167" s="1649">
        <f>IFERROR(GETPIVOTDATA("合計 / "&amp;$C167,【ピボット】事業所収支!$A$3,"年月",G$2),0)</f>
        <v>0</v>
      </c>
      <c r="H167" s="1649">
        <f>IFERROR(GETPIVOTDATA("合計 / "&amp;$C167,【ピボット】事業所収支!$A$3,"年月",H$2),0)</f>
        <v>73432</v>
      </c>
      <c r="I167" s="1649">
        <f>IFERROR(GETPIVOTDATA("合計 / "&amp;$C167,【ピボット】事業所収支!$A$3,"年月",I$2),0)</f>
        <v>77730</v>
      </c>
      <c r="J167" s="1649">
        <f>IFERROR(GETPIVOTDATA("合計 / "&amp;$C167,【ピボット】事業所収支!$A$3,"年月",J$2),0)</f>
        <v>78013</v>
      </c>
      <c r="K167" s="1649">
        <f>IFERROR(GETPIVOTDATA("合計 / "&amp;$C167,【ピボット】事業所収支!$A$3,"年月",K$2),0)</f>
        <v>77744</v>
      </c>
      <c r="L167" s="1649">
        <f>IFERROR(GETPIVOTDATA("合計 / "&amp;$C167,【ピボット】事業所収支!$A$3,"年月",L$2),0)</f>
        <v>59544</v>
      </c>
      <c r="M167" s="1649">
        <f>IFERROR(GETPIVOTDATA("合計 / "&amp;$C167,【ピボット】事業所収支!$A$3,"年月",M$2),0)</f>
        <v>58427</v>
      </c>
      <c r="N167" s="1649">
        <f>IFERROR(GETPIVOTDATA("合計 / "&amp;$C167,【ピボット】事業所収支!$A$3,"年月",N$2),0)</f>
        <v>61905</v>
      </c>
      <c r="O167" s="1649">
        <f>IFERROR(GETPIVOTDATA("合計 / "&amp;$C167,【ピボット】事業所収支!$A$3,"年月",O$2),0)</f>
        <v>45399</v>
      </c>
      <c r="P167" s="1649">
        <f>IFERROR(GETPIVOTDATA("合計 / "&amp;$C167,【ピボット】事業所収支!$A$3,"年月",P$2),0)</f>
        <v>46251</v>
      </c>
      <c r="Q167" s="1649">
        <f>IFERROR(GETPIVOTDATA("合計 / "&amp;$C167,【ピボット】事業所収支!$A$3,"年月",Q$2),0)</f>
        <v>42763</v>
      </c>
      <c r="R167" s="1649">
        <f>IFERROR(GETPIVOTDATA("合計 / "&amp;$C167,【ピボット】事業所収支!$A$3,"年月",R$2),0)</f>
        <v>37757</v>
      </c>
      <c r="S167" s="1649">
        <f>IFERROR(GETPIVOTDATA("合計 / "&amp;$C167,【ピボット】事業所収支!$A$3,"年月",S$2),0)</f>
        <v>40332</v>
      </c>
      <c r="T167" s="1649">
        <f>IFERROR(GETPIVOTDATA("合計 / "&amp;$C167,【ピボット】事業所収支!$A$3,"年月",T$2),0)</f>
        <v>34830</v>
      </c>
      <c r="U167" s="1649">
        <f>IFERROR(GETPIVOTDATA("合計 / "&amp;$C167,【ピボット】事業所収支!$A$3,"年月",U$2),0)</f>
        <v>0</v>
      </c>
      <c r="V167" s="1649">
        <f>IFERROR(GETPIVOTDATA("合計 / "&amp;$C167,【ピボット】事業所収支!$A$3,"年月",V$2),0)</f>
        <v>0</v>
      </c>
      <c r="W167" s="1649">
        <f>IFERROR(GETPIVOTDATA("合計 / "&amp;$C167,【ピボット】事業所収支!$A$3,"年月",W$2),0)</f>
        <v>0</v>
      </c>
      <c r="X167" s="1649">
        <f>IFERROR(GETPIVOTDATA("合計 / "&amp;$C167,【ピボット】事業所収支!$A$3,"年月",X$2),0)</f>
        <v>0</v>
      </c>
      <c r="Y167" s="1649">
        <f>IFERROR(GETPIVOTDATA("合計 / "&amp;$C167,【ピボット】事業所収支!$A$3,"年月",Y$2),0)</f>
        <v>0</v>
      </c>
      <c r="Z167" s="1649">
        <f>IFERROR(GETPIVOTDATA("合計 / "&amp;$C167,【ピボット】事業所収支!$A$3,"年月",Z$2),0)</f>
        <v>0</v>
      </c>
      <c r="AA167" s="1649">
        <f>IFERROR(GETPIVOTDATA("合計 / "&amp;$C167,【ピボット】事業所収支!$A$3,"年月",AA$2),0)</f>
        <v>0</v>
      </c>
      <c r="AB167" s="1633">
        <f ca="1">SUM(OFFSET(AA167,0,当期月数):AA167)</f>
        <v>34830</v>
      </c>
      <c r="AC167" s="1511" t="s">
        <v>958</v>
      </c>
    </row>
    <row r="168" spans="3:32" ht="14.25" thickBot="1" x14ac:dyDescent="0.2">
      <c r="D168" s="1650"/>
      <c r="E168" s="1650"/>
      <c r="F168" s="1650"/>
      <c r="G168" s="1650"/>
      <c r="H168" s="1650"/>
      <c r="I168" s="1650"/>
      <c r="J168" s="1650"/>
      <c r="K168" s="1650"/>
      <c r="L168" s="1650"/>
      <c r="M168" s="1650"/>
      <c r="N168" s="1650"/>
      <c r="O168" s="1650"/>
      <c r="P168" s="1650"/>
      <c r="Q168" s="1650"/>
      <c r="R168" s="1650"/>
      <c r="S168" s="1650"/>
    </row>
    <row r="169" spans="3:32" s="1656" customFormat="1" ht="14.25" thickBot="1" x14ac:dyDescent="0.2">
      <c r="C169" s="1515" t="s">
        <v>883</v>
      </c>
      <c r="D169" s="1652">
        <f t="shared" ref="D169:AA169" si="66">D2</f>
        <v>42856</v>
      </c>
      <c r="E169" s="1653">
        <f t="shared" si="66"/>
        <v>42887</v>
      </c>
      <c r="F169" s="1653">
        <f t="shared" si="66"/>
        <v>42917</v>
      </c>
      <c r="G169" s="1653">
        <f t="shared" si="66"/>
        <v>42948</v>
      </c>
      <c r="H169" s="1653">
        <f t="shared" si="66"/>
        <v>42979</v>
      </c>
      <c r="I169" s="1653">
        <f t="shared" si="66"/>
        <v>43009</v>
      </c>
      <c r="J169" s="1653">
        <f t="shared" si="66"/>
        <v>43040</v>
      </c>
      <c r="K169" s="1653">
        <f t="shared" si="66"/>
        <v>43070</v>
      </c>
      <c r="L169" s="1653">
        <f t="shared" si="66"/>
        <v>43101</v>
      </c>
      <c r="M169" s="1653">
        <f t="shared" si="66"/>
        <v>43132</v>
      </c>
      <c r="N169" s="1653">
        <f t="shared" si="66"/>
        <v>43160</v>
      </c>
      <c r="O169" s="1653">
        <f t="shared" si="66"/>
        <v>43191</v>
      </c>
      <c r="P169" s="1653">
        <f t="shared" si="66"/>
        <v>43221</v>
      </c>
      <c r="Q169" s="1653">
        <f t="shared" si="66"/>
        <v>43252</v>
      </c>
      <c r="R169" s="1653">
        <f t="shared" si="66"/>
        <v>43282</v>
      </c>
      <c r="S169" s="1653">
        <f t="shared" si="66"/>
        <v>43313</v>
      </c>
      <c r="T169" s="1653">
        <f t="shared" si="66"/>
        <v>43344</v>
      </c>
      <c r="U169" s="1653">
        <f t="shared" si="66"/>
        <v>43374</v>
      </c>
      <c r="V169" s="1653">
        <f t="shared" si="66"/>
        <v>43405</v>
      </c>
      <c r="W169" s="1653">
        <f t="shared" si="66"/>
        <v>43435</v>
      </c>
      <c r="X169" s="1653">
        <f t="shared" si="66"/>
        <v>43466</v>
      </c>
      <c r="Y169" s="1653">
        <f t="shared" si="66"/>
        <v>43497</v>
      </c>
      <c r="Z169" s="1653">
        <f t="shared" si="66"/>
        <v>43525</v>
      </c>
      <c r="AA169" s="1654">
        <f t="shared" si="66"/>
        <v>43556</v>
      </c>
      <c r="AB169" s="1655"/>
      <c r="AD169" s="1511"/>
      <c r="AE169" s="1511"/>
      <c r="AF169" s="1511"/>
    </row>
    <row r="170" spans="3:32" x14ac:dyDescent="0.15">
      <c r="C170" s="2088" t="s">
        <v>882</v>
      </c>
      <c r="D170" s="2091" t="str">
        <f t="shared" ref="D170:AA170" ca="1" si="67">IFERROR(VLOOKUP(D2,収支管理表メモ,2,FALSE),"")</f>
        <v/>
      </c>
      <c r="E170" s="2085" t="str">
        <f t="shared" ca="1" si="67"/>
        <v/>
      </c>
      <c r="F170" s="2085" t="str">
        <f t="shared" ca="1" si="67"/>
        <v/>
      </c>
      <c r="G170" s="2085" t="str">
        <f t="shared" ca="1" si="67"/>
        <v/>
      </c>
      <c r="H170" s="2085" t="str">
        <f t="shared" ca="1" si="67"/>
        <v/>
      </c>
      <c r="I170" s="2085" t="str">
        <f t="shared" ca="1" si="67"/>
        <v/>
      </c>
      <c r="J170" s="2085" t="str">
        <f t="shared" ca="1" si="67"/>
        <v/>
      </c>
      <c r="K170" s="2082" t="str">
        <f t="shared" ca="1" si="67"/>
        <v>白金訪問：入金額に不明点有り。返戻書類再取寄中。
誉田訪問：入金通知郵送申請中。
蘇我訪問：返戻通知抜け有り、確認中。</v>
      </c>
      <c r="L170" s="2082" t="str">
        <f t="shared" ca="1" si="67"/>
        <v>H29.12給与+賞与分の法定福利費が月ずれで計上されています。</v>
      </c>
      <c r="M170" s="2082" t="str">
        <f t="shared" ca="1" si="67"/>
        <v>白金経費には弁当の仕入高34,992円が含まれています。（暫定措置）
蘇我訪問売上に誤りあり。上記金額より+6,802円の予定。</v>
      </c>
      <c r="N170" s="2082" t="str">
        <f t="shared" ca="1" si="67"/>
        <v>白金経費には弁当の仕入高54,136円が含まれています。（暫定措置）</v>
      </c>
      <c r="O170" s="2082" t="str">
        <f t="shared" ca="1" si="67"/>
        <v>白金経費には弁当の仕入高69,984円が含まれています。（暫定措置）</v>
      </c>
      <c r="P170" s="2082" t="str">
        <f t="shared" ca="1" si="67"/>
        <v>白金経費には弁当の仕入高69,984円が含まれています。（暫定措置）</v>
      </c>
      <c r="Q170" s="2082" t="str">
        <f t="shared" ca="1" si="67"/>
        <v/>
      </c>
      <c r="R170" s="2082" t="str">
        <f t="shared" ca="1" si="67"/>
        <v/>
      </c>
      <c r="S170" s="2082" t="str">
        <f t="shared" ca="1" si="67"/>
        <v>人件費には、決算賞与1,700,000円が入っています。
経費着地が決算より347,525円少ないです。後日正しい数字をもらいます。</v>
      </c>
      <c r="T170" s="2082" t="str">
        <f t="shared" ca="1" si="67"/>
        <v/>
      </c>
      <c r="U170" s="2082" t="str">
        <f t="shared" ca="1" si="67"/>
        <v/>
      </c>
      <c r="V170" s="2082" t="str">
        <f t="shared" ca="1" si="67"/>
        <v/>
      </c>
      <c r="W170" s="2082" t="str">
        <f t="shared" ca="1" si="67"/>
        <v/>
      </c>
      <c r="X170" s="2082" t="str">
        <f t="shared" ca="1" si="67"/>
        <v/>
      </c>
      <c r="Y170" s="2082" t="str">
        <f t="shared" ca="1" si="67"/>
        <v/>
      </c>
      <c r="Z170" s="2082" t="str">
        <f t="shared" ca="1" si="67"/>
        <v/>
      </c>
      <c r="AA170" s="2079" t="str">
        <f t="shared" ca="1" si="67"/>
        <v/>
      </c>
    </row>
    <row r="171" spans="3:32" x14ac:dyDescent="0.15">
      <c r="C171" s="2089"/>
      <c r="D171" s="2092"/>
      <c r="E171" s="2086"/>
      <c r="F171" s="2086"/>
      <c r="G171" s="2086"/>
      <c r="H171" s="2086"/>
      <c r="I171" s="2086"/>
      <c r="J171" s="2086"/>
      <c r="K171" s="2083"/>
      <c r="L171" s="2083"/>
      <c r="M171" s="2083"/>
      <c r="N171" s="2083"/>
      <c r="O171" s="2083"/>
      <c r="P171" s="2083"/>
      <c r="Q171" s="2083"/>
      <c r="R171" s="2083"/>
      <c r="S171" s="2083"/>
      <c r="T171" s="2083"/>
      <c r="U171" s="2083"/>
      <c r="V171" s="2083"/>
      <c r="W171" s="2083"/>
      <c r="X171" s="2083"/>
      <c r="Y171" s="2083"/>
      <c r="Z171" s="2083"/>
      <c r="AA171" s="2080"/>
    </row>
    <row r="172" spans="3:32" x14ac:dyDescent="0.15">
      <c r="C172" s="2089"/>
      <c r="D172" s="2092"/>
      <c r="E172" s="2086"/>
      <c r="F172" s="2086"/>
      <c r="G172" s="2086"/>
      <c r="H172" s="2086"/>
      <c r="I172" s="2086"/>
      <c r="J172" s="2086"/>
      <c r="K172" s="2083"/>
      <c r="L172" s="2083"/>
      <c r="M172" s="2083"/>
      <c r="N172" s="2083"/>
      <c r="O172" s="2083"/>
      <c r="P172" s="2083"/>
      <c r="Q172" s="2083"/>
      <c r="R172" s="2083"/>
      <c r="S172" s="2083"/>
      <c r="T172" s="2083"/>
      <c r="U172" s="2083"/>
      <c r="V172" s="2083"/>
      <c r="W172" s="2083"/>
      <c r="X172" s="2083"/>
      <c r="Y172" s="2083"/>
      <c r="Z172" s="2083"/>
      <c r="AA172" s="2080"/>
    </row>
    <row r="173" spans="3:32" x14ac:dyDescent="0.15">
      <c r="C173" s="2089"/>
      <c r="D173" s="2092"/>
      <c r="E173" s="2086"/>
      <c r="F173" s="2086"/>
      <c r="G173" s="2086"/>
      <c r="H173" s="2086"/>
      <c r="I173" s="2086"/>
      <c r="J173" s="2086"/>
      <c r="K173" s="2083"/>
      <c r="L173" s="2083"/>
      <c r="M173" s="2083"/>
      <c r="N173" s="2083"/>
      <c r="O173" s="2083"/>
      <c r="P173" s="2083"/>
      <c r="Q173" s="2083"/>
      <c r="R173" s="2083"/>
      <c r="S173" s="2083"/>
      <c r="T173" s="2083"/>
      <c r="U173" s="2083"/>
      <c r="V173" s="2083"/>
      <c r="W173" s="2083"/>
      <c r="X173" s="2083"/>
      <c r="Y173" s="2083"/>
      <c r="Z173" s="2083"/>
      <c r="AA173" s="2080"/>
    </row>
    <row r="174" spans="3:32" x14ac:dyDescent="0.15">
      <c r="C174" s="2089"/>
      <c r="D174" s="2092"/>
      <c r="E174" s="2086"/>
      <c r="F174" s="2086"/>
      <c r="G174" s="2086"/>
      <c r="H174" s="2086"/>
      <c r="I174" s="2086"/>
      <c r="J174" s="2086"/>
      <c r="K174" s="2083"/>
      <c r="L174" s="2083"/>
      <c r="M174" s="2083"/>
      <c r="N174" s="2083"/>
      <c r="O174" s="2083"/>
      <c r="P174" s="2083"/>
      <c r="Q174" s="2083"/>
      <c r="R174" s="2083"/>
      <c r="S174" s="2083"/>
      <c r="T174" s="2083"/>
      <c r="U174" s="2083"/>
      <c r="V174" s="2083"/>
      <c r="W174" s="2083"/>
      <c r="X174" s="2083"/>
      <c r="Y174" s="2083"/>
      <c r="Z174" s="2083"/>
      <c r="AA174" s="2080"/>
    </row>
    <row r="175" spans="3:32" x14ac:dyDescent="0.15">
      <c r="C175" s="2089"/>
      <c r="D175" s="2092"/>
      <c r="E175" s="2086"/>
      <c r="F175" s="2086"/>
      <c r="G175" s="2086"/>
      <c r="H175" s="2086"/>
      <c r="I175" s="2086"/>
      <c r="J175" s="2086"/>
      <c r="K175" s="2083"/>
      <c r="L175" s="2083"/>
      <c r="M175" s="2083"/>
      <c r="N175" s="2083"/>
      <c r="O175" s="2083"/>
      <c r="P175" s="2083"/>
      <c r="Q175" s="2083"/>
      <c r="R175" s="2083"/>
      <c r="S175" s="2083"/>
      <c r="T175" s="2083"/>
      <c r="U175" s="2083"/>
      <c r="V175" s="2083"/>
      <c r="W175" s="2083"/>
      <c r="X175" s="2083"/>
      <c r="Y175" s="2083"/>
      <c r="Z175" s="2083"/>
      <c r="AA175" s="2080"/>
      <c r="AD175" s="1656"/>
      <c r="AE175" s="1656"/>
      <c r="AF175" s="1656"/>
    </row>
    <row r="176" spans="3:32" x14ac:dyDescent="0.15">
      <c r="C176" s="2089"/>
      <c r="D176" s="2092"/>
      <c r="E176" s="2086"/>
      <c r="F176" s="2086"/>
      <c r="G176" s="2086"/>
      <c r="H176" s="2086"/>
      <c r="I176" s="2086"/>
      <c r="J176" s="2086"/>
      <c r="K176" s="2083"/>
      <c r="L176" s="2083"/>
      <c r="M176" s="2083"/>
      <c r="N176" s="2083"/>
      <c r="O176" s="2083"/>
      <c r="P176" s="2083"/>
      <c r="Q176" s="2083"/>
      <c r="R176" s="2083"/>
      <c r="S176" s="2083"/>
      <c r="T176" s="2083"/>
      <c r="U176" s="2083"/>
      <c r="V176" s="2083"/>
      <c r="W176" s="2083"/>
      <c r="X176" s="2083"/>
      <c r="Y176" s="2083"/>
      <c r="Z176" s="2083"/>
      <c r="AA176" s="2080"/>
    </row>
    <row r="177" spans="2:28" x14ac:dyDescent="0.15">
      <c r="C177" s="2089"/>
      <c r="D177" s="2092"/>
      <c r="E177" s="2086"/>
      <c r="F177" s="2086"/>
      <c r="G177" s="2086"/>
      <c r="H177" s="2086"/>
      <c r="I177" s="2086"/>
      <c r="J177" s="2086"/>
      <c r="K177" s="2083"/>
      <c r="L177" s="2083"/>
      <c r="M177" s="2083"/>
      <c r="N177" s="2083"/>
      <c r="O177" s="2083"/>
      <c r="P177" s="2083"/>
      <c r="Q177" s="2083"/>
      <c r="R177" s="2083"/>
      <c r="S177" s="2083"/>
      <c r="T177" s="2083"/>
      <c r="U177" s="2083"/>
      <c r="V177" s="2083"/>
      <c r="W177" s="2083"/>
      <c r="X177" s="2083"/>
      <c r="Y177" s="2083"/>
      <c r="Z177" s="2083"/>
      <c r="AA177" s="2080"/>
    </row>
    <row r="178" spans="2:28" x14ac:dyDescent="0.15">
      <c r="C178" s="2089"/>
      <c r="D178" s="2092"/>
      <c r="E178" s="2086"/>
      <c r="F178" s="2086"/>
      <c r="G178" s="2086"/>
      <c r="H178" s="2086"/>
      <c r="I178" s="2086"/>
      <c r="J178" s="2086"/>
      <c r="K178" s="2083"/>
      <c r="L178" s="2083"/>
      <c r="M178" s="2083"/>
      <c r="N178" s="2083"/>
      <c r="O178" s="2083"/>
      <c r="P178" s="2083"/>
      <c r="Q178" s="2083"/>
      <c r="R178" s="2083"/>
      <c r="S178" s="2083"/>
      <c r="T178" s="2083"/>
      <c r="U178" s="2083"/>
      <c r="V178" s="2083"/>
      <c r="W178" s="2083"/>
      <c r="X178" s="2083"/>
      <c r="Y178" s="2083"/>
      <c r="Z178" s="2083"/>
      <c r="AA178" s="2080"/>
    </row>
    <row r="179" spans="2:28" x14ac:dyDescent="0.15">
      <c r="C179" s="2089"/>
      <c r="D179" s="2092"/>
      <c r="E179" s="2086"/>
      <c r="F179" s="2086"/>
      <c r="G179" s="2086"/>
      <c r="H179" s="2086"/>
      <c r="I179" s="2086"/>
      <c r="J179" s="2086"/>
      <c r="K179" s="2083"/>
      <c r="L179" s="2083"/>
      <c r="M179" s="2083"/>
      <c r="N179" s="2083"/>
      <c r="O179" s="2083"/>
      <c r="P179" s="2083"/>
      <c r="Q179" s="2083"/>
      <c r="R179" s="2083"/>
      <c r="S179" s="2083"/>
      <c r="T179" s="2083"/>
      <c r="U179" s="2083"/>
      <c r="V179" s="2083"/>
      <c r="W179" s="2083"/>
      <c r="X179" s="2083"/>
      <c r="Y179" s="2083"/>
      <c r="Z179" s="2083"/>
      <c r="AA179" s="2080"/>
    </row>
    <row r="180" spans="2:28" x14ac:dyDescent="0.15">
      <c r="C180" s="2089"/>
      <c r="D180" s="2092"/>
      <c r="E180" s="2086"/>
      <c r="F180" s="2086"/>
      <c r="G180" s="2086"/>
      <c r="H180" s="2086"/>
      <c r="I180" s="2086"/>
      <c r="J180" s="2086"/>
      <c r="K180" s="2083"/>
      <c r="L180" s="2083"/>
      <c r="M180" s="2083"/>
      <c r="N180" s="2083"/>
      <c r="O180" s="2083"/>
      <c r="P180" s="2083"/>
      <c r="Q180" s="2083"/>
      <c r="R180" s="2083"/>
      <c r="S180" s="2083"/>
      <c r="T180" s="2083"/>
      <c r="U180" s="2083"/>
      <c r="V180" s="2083"/>
      <c r="W180" s="2083"/>
      <c r="X180" s="2083"/>
      <c r="Y180" s="2083"/>
      <c r="Z180" s="2083"/>
      <c r="AA180" s="2080"/>
    </row>
    <row r="181" spans="2:28" x14ac:dyDescent="0.15">
      <c r="C181" s="2089"/>
      <c r="D181" s="2092"/>
      <c r="E181" s="2086"/>
      <c r="F181" s="2086"/>
      <c r="G181" s="2086"/>
      <c r="H181" s="2086"/>
      <c r="I181" s="2086"/>
      <c r="J181" s="2086"/>
      <c r="K181" s="2083"/>
      <c r="L181" s="2083"/>
      <c r="M181" s="2083"/>
      <c r="N181" s="2083"/>
      <c r="O181" s="2083"/>
      <c r="P181" s="2083"/>
      <c r="Q181" s="2083"/>
      <c r="R181" s="2083"/>
      <c r="S181" s="2083"/>
      <c r="T181" s="2083"/>
      <c r="U181" s="2083"/>
      <c r="V181" s="2083"/>
      <c r="W181" s="2083"/>
      <c r="X181" s="2083"/>
      <c r="Y181" s="2083"/>
      <c r="Z181" s="2083"/>
      <c r="AA181" s="2080"/>
    </row>
    <row r="182" spans="2:28" ht="14.25" thickBot="1" x14ac:dyDescent="0.2">
      <c r="C182" s="2090"/>
      <c r="D182" s="2093"/>
      <c r="E182" s="2087"/>
      <c r="F182" s="2087"/>
      <c r="G182" s="2087"/>
      <c r="H182" s="2087"/>
      <c r="I182" s="2087"/>
      <c r="J182" s="2087"/>
      <c r="K182" s="2084"/>
      <c r="L182" s="2084"/>
      <c r="M182" s="2084"/>
      <c r="N182" s="2084"/>
      <c r="O182" s="2084"/>
      <c r="P182" s="2084"/>
      <c r="Q182" s="2084"/>
      <c r="R182" s="2084"/>
      <c r="S182" s="2084"/>
      <c r="T182" s="2084"/>
      <c r="U182" s="2084"/>
      <c r="V182" s="2084"/>
      <c r="W182" s="2084"/>
      <c r="X182" s="2084"/>
      <c r="Y182" s="2084"/>
      <c r="Z182" s="2084"/>
      <c r="AA182" s="2081"/>
    </row>
    <row r="183" spans="2:28" x14ac:dyDescent="0.15">
      <c r="C183" s="1925"/>
      <c r="D183" s="1925"/>
      <c r="E183" s="1925"/>
      <c r="F183" s="1925"/>
      <c r="G183" s="1925"/>
      <c r="H183" s="1925"/>
      <c r="I183" s="1925"/>
      <c r="J183" s="1925"/>
      <c r="K183" s="1925"/>
      <c r="L183" s="1925"/>
      <c r="M183" s="1925"/>
      <c r="N183" s="1925"/>
      <c r="O183" s="1925"/>
      <c r="P183" s="1925"/>
      <c r="Q183" s="1925"/>
      <c r="R183" s="1925"/>
      <c r="S183" s="1925"/>
      <c r="T183" s="1925"/>
      <c r="U183" s="1925"/>
      <c r="V183" s="1925"/>
      <c r="W183" s="1925"/>
      <c r="X183" s="1925"/>
      <c r="Y183" s="1925"/>
      <c r="Z183" s="1925"/>
      <c r="AA183" s="1925"/>
      <c r="AB183" s="1925"/>
    </row>
    <row r="184" spans="2:28" ht="14.25" thickBot="1" x14ac:dyDescent="0.2"/>
    <row r="185" spans="2:28" ht="20.25" customHeight="1" thickBot="1" x14ac:dyDescent="0.2">
      <c r="B185" s="1579"/>
      <c r="C185" s="1583" t="s">
        <v>1283</v>
      </c>
      <c r="D185" s="1658">
        <f t="shared" ref="D185:AA185" si="68">D$2</f>
        <v>42856</v>
      </c>
      <c r="E185" s="1658">
        <f t="shared" si="68"/>
        <v>42887</v>
      </c>
      <c r="F185" s="1658">
        <f t="shared" si="68"/>
        <v>42917</v>
      </c>
      <c r="G185" s="1658">
        <f t="shared" si="68"/>
        <v>42948</v>
      </c>
      <c r="H185" s="1658">
        <f t="shared" si="68"/>
        <v>42979</v>
      </c>
      <c r="I185" s="1658">
        <f t="shared" si="68"/>
        <v>43009</v>
      </c>
      <c r="J185" s="1658">
        <f t="shared" si="68"/>
        <v>43040</v>
      </c>
      <c r="K185" s="1658">
        <f t="shared" si="68"/>
        <v>43070</v>
      </c>
      <c r="L185" s="1658">
        <f t="shared" si="68"/>
        <v>43101</v>
      </c>
      <c r="M185" s="1658">
        <f t="shared" si="68"/>
        <v>43132</v>
      </c>
      <c r="N185" s="1658">
        <f t="shared" si="68"/>
        <v>43160</v>
      </c>
      <c r="O185" s="1658">
        <f t="shared" si="68"/>
        <v>43191</v>
      </c>
      <c r="P185" s="1658">
        <f t="shared" si="68"/>
        <v>43221</v>
      </c>
      <c r="Q185" s="1658">
        <f t="shared" si="68"/>
        <v>43252</v>
      </c>
      <c r="R185" s="1658">
        <f t="shared" si="68"/>
        <v>43282</v>
      </c>
      <c r="S185" s="1658">
        <f t="shared" si="68"/>
        <v>43313</v>
      </c>
      <c r="T185" s="1658">
        <f t="shared" si="68"/>
        <v>43344</v>
      </c>
      <c r="U185" s="1658">
        <f t="shared" si="68"/>
        <v>43374</v>
      </c>
      <c r="V185" s="1658">
        <f t="shared" si="68"/>
        <v>43405</v>
      </c>
      <c r="W185" s="1658">
        <f t="shared" si="68"/>
        <v>43435</v>
      </c>
      <c r="X185" s="1658">
        <f t="shared" si="68"/>
        <v>43466</v>
      </c>
      <c r="Y185" s="1658">
        <f t="shared" si="68"/>
        <v>43497</v>
      </c>
      <c r="Z185" s="1658">
        <f t="shared" si="68"/>
        <v>43525</v>
      </c>
      <c r="AA185" s="1658">
        <f t="shared" si="68"/>
        <v>43556</v>
      </c>
      <c r="AB185" s="1659" t="s">
        <v>1281</v>
      </c>
    </row>
    <row r="186" spans="2:28" ht="20.25" customHeight="1" x14ac:dyDescent="0.15">
      <c r="B186" s="1579"/>
      <c r="C186" s="1660" t="s">
        <v>10</v>
      </c>
      <c r="D186" s="1661">
        <f t="shared" ref="D186:AA186" si="69">SUMIF($C$58:$C$145,"=" &amp; $C186,D$58:D$145)+SUMIF($C$58:$C$145,"=通所介護",D$58:D$145)</f>
        <v>22150731</v>
      </c>
      <c r="E186" s="1661">
        <f t="shared" si="69"/>
        <v>21038068</v>
      </c>
      <c r="F186" s="1661">
        <f t="shared" si="69"/>
        <v>21664968</v>
      </c>
      <c r="G186" s="1661">
        <f t="shared" si="69"/>
        <v>21633540</v>
      </c>
      <c r="H186" s="1661">
        <f t="shared" si="69"/>
        <v>22778678</v>
      </c>
      <c r="I186" s="1661">
        <f t="shared" si="69"/>
        <v>22816382</v>
      </c>
      <c r="J186" s="1661">
        <f t="shared" si="69"/>
        <v>22126185</v>
      </c>
      <c r="K186" s="1661">
        <f t="shared" si="69"/>
        <v>22283118</v>
      </c>
      <c r="L186" s="1661">
        <f t="shared" si="69"/>
        <v>21145666</v>
      </c>
      <c r="M186" s="1661">
        <f t="shared" si="69"/>
        <v>21154126</v>
      </c>
      <c r="N186" s="1661">
        <f t="shared" si="69"/>
        <v>21430513</v>
      </c>
      <c r="O186" s="1661">
        <f t="shared" si="69"/>
        <v>26318821</v>
      </c>
      <c r="P186" s="1661">
        <f t="shared" si="69"/>
        <v>25037923</v>
      </c>
      <c r="Q186" s="1661">
        <f t="shared" si="69"/>
        <v>23870184</v>
      </c>
      <c r="R186" s="1661">
        <f t="shared" si="69"/>
        <v>24597696</v>
      </c>
      <c r="S186" s="1661">
        <f t="shared" si="69"/>
        <v>24456622</v>
      </c>
      <c r="T186" s="1661">
        <f t="shared" si="69"/>
        <v>24386371</v>
      </c>
      <c r="U186" s="1661">
        <f t="shared" si="69"/>
        <v>27074512</v>
      </c>
      <c r="V186" s="1661">
        <f t="shared" si="69"/>
        <v>27767541</v>
      </c>
      <c r="W186" s="1661">
        <f t="shared" si="69"/>
        <v>25352408</v>
      </c>
      <c r="X186" s="1661">
        <f t="shared" si="69"/>
        <v>25168204</v>
      </c>
      <c r="Y186" s="1661">
        <f t="shared" si="69"/>
        <v>24443904</v>
      </c>
      <c r="Z186" s="1661">
        <f t="shared" si="69"/>
        <v>25264366</v>
      </c>
      <c r="AA186" s="1661">
        <f t="shared" si="69"/>
        <v>25045639</v>
      </c>
      <c r="AB186" s="1540">
        <f ca="1">SUM(OFFSET(AA186,0,当期月数):AA186)</f>
        <v>204502945</v>
      </c>
    </row>
    <row r="187" spans="2:28" ht="20.25" customHeight="1" x14ac:dyDescent="0.15">
      <c r="B187" s="1579"/>
      <c r="C187" s="1615" t="s">
        <v>9</v>
      </c>
      <c r="D187" s="1662">
        <f t="shared" ref="D187:AA187" si="70">SUMIF($C$58:$C$145,"=" &amp; $C187,D$58:D$145)</f>
        <v>1101953</v>
      </c>
      <c r="E187" s="1662">
        <f t="shared" si="70"/>
        <v>1114108</v>
      </c>
      <c r="F187" s="1662">
        <f t="shared" si="70"/>
        <v>1127093</v>
      </c>
      <c r="G187" s="1662">
        <f t="shared" si="70"/>
        <v>1160898</v>
      </c>
      <c r="H187" s="1662">
        <f t="shared" si="70"/>
        <v>1176748</v>
      </c>
      <c r="I187" s="1662">
        <f t="shared" si="70"/>
        <v>1124093</v>
      </c>
      <c r="J187" s="1662">
        <f t="shared" si="70"/>
        <v>1122175</v>
      </c>
      <c r="K187" s="1662">
        <f t="shared" si="70"/>
        <v>1165849</v>
      </c>
      <c r="L187" s="1662">
        <f t="shared" si="70"/>
        <v>1188622</v>
      </c>
      <c r="M187" s="1662">
        <f t="shared" si="70"/>
        <v>1207444</v>
      </c>
      <c r="N187" s="1662">
        <f t="shared" si="70"/>
        <v>1225006</v>
      </c>
      <c r="O187" s="1662">
        <f t="shared" si="70"/>
        <v>1125434</v>
      </c>
      <c r="P187" s="1662">
        <f t="shared" si="70"/>
        <v>1109325</v>
      </c>
      <c r="Q187" s="1662">
        <f t="shared" si="70"/>
        <v>1192723</v>
      </c>
      <c r="R187" s="1662">
        <f t="shared" si="70"/>
        <v>1273126</v>
      </c>
      <c r="S187" s="1662">
        <f t="shared" si="70"/>
        <v>1182858</v>
      </c>
      <c r="T187" s="1662">
        <f t="shared" si="70"/>
        <v>1206000</v>
      </c>
      <c r="U187" s="1662">
        <f t="shared" si="70"/>
        <v>1246074</v>
      </c>
      <c r="V187" s="1662">
        <f t="shared" si="70"/>
        <v>1330175</v>
      </c>
      <c r="W187" s="1662">
        <f t="shared" si="70"/>
        <v>1266055</v>
      </c>
      <c r="X187" s="1662">
        <f t="shared" si="70"/>
        <v>1266600</v>
      </c>
      <c r="Y187" s="1662">
        <f t="shared" si="70"/>
        <v>1286283</v>
      </c>
      <c r="Z187" s="1662">
        <f t="shared" si="70"/>
        <v>1320816</v>
      </c>
      <c r="AA187" s="1662">
        <f t="shared" si="70"/>
        <v>1414552</v>
      </c>
      <c r="AB187" s="1528">
        <f ca="1">SUM(OFFSET(AA187,0,当期月数):AA187)</f>
        <v>10336555</v>
      </c>
    </row>
    <row r="188" spans="2:28" ht="20.25" customHeight="1" x14ac:dyDescent="0.15">
      <c r="B188" s="1579"/>
      <c r="C188" s="1615" t="s">
        <v>8</v>
      </c>
      <c r="D188" s="1662">
        <f t="shared" ref="D188:Z188" si="71">SUMIF($C$58:$C$145,"=" &amp; $C188,D$58:D$145)+SUMIF($C$58:$C$145,"=相談支援",D$58:D$145)</f>
        <v>4316312</v>
      </c>
      <c r="E188" s="1662">
        <f t="shared" si="71"/>
        <v>4518371</v>
      </c>
      <c r="F188" s="1662">
        <f t="shared" si="71"/>
        <v>4898166</v>
      </c>
      <c r="G188" s="1662">
        <f t="shared" si="71"/>
        <v>4437484</v>
      </c>
      <c r="H188" s="1662">
        <f t="shared" si="71"/>
        <v>4163674</v>
      </c>
      <c r="I188" s="1662">
        <f t="shared" si="71"/>
        <v>4363269</v>
      </c>
      <c r="J188" s="1662">
        <f t="shared" si="71"/>
        <v>4136285</v>
      </c>
      <c r="K188" s="1662">
        <f t="shared" si="71"/>
        <v>3771600</v>
      </c>
      <c r="L188" s="1662">
        <f t="shared" si="71"/>
        <v>4549204</v>
      </c>
      <c r="M188" s="1662">
        <f t="shared" si="71"/>
        <v>3870833</v>
      </c>
      <c r="N188" s="1662">
        <f t="shared" si="71"/>
        <v>3835878</v>
      </c>
      <c r="O188" s="1662">
        <f t="shared" si="71"/>
        <v>3864679</v>
      </c>
      <c r="P188" s="1662">
        <f t="shared" si="71"/>
        <v>3892218</v>
      </c>
      <c r="Q188" s="1662">
        <f t="shared" si="71"/>
        <v>4058734</v>
      </c>
      <c r="R188" s="1662">
        <f t="shared" si="71"/>
        <v>4300320</v>
      </c>
      <c r="S188" s="1662">
        <f t="shared" si="71"/>
        <v>3914612</v>
      </c>
      <c r="T188" s="1662">
        <f t="shared" si="71"/>
        <v>4674249</v>
      </c>
      <c r="U188" s="1662">
        <f t="shared" si="71"/>
        <v>5090549</v>
      </c>
      <c r="V188" s="1662">
        <f t="shared" si="71"/>
        <v>5523962</v>
      </c>
      <c r="W188" s="1662">
        <f t="shared" si="71"/>
        <v>5857028</v>
      </c>
      <c r="X188" s="1662">
        <f t="shared" si="71"/>
        <v>5435609</v>
      </c>
      <c r="Y188" s="1662">
        <f t="shared" si="71"/>
        <v>4840110</v>
      </c>
      <c r="Z188" s="1662">
        <f t="shared" si="71"/>
        <v>5041171</v>
      </c>
      <c r="AA188" s="1662">
        <f>SUMIF($C$58:$C$145,"=" &amp; $C188,AA$58:AA$145)+SUMIF($C$58:$C$145,"=相談支援",AA$58:AA$145)</f>
        <v>6023304</v>
      </c>
      <c r="AB188" s="1528">
        <f ca="1">SUM(OFFSET(AA188,0,当期月数):AA188)</f>
        <v>42485982</v>
      </c>
    </row>
    <row r="189" spans="2:28" ht="20.25" customHeight="1" x14ac:dyDescent="0.15">
      <c r="B189" s="1579"/>
      <c r="C189" s="1615" t="s">
        <v>314</v>
      </c>
      <c r="D189" s="1662">
        <f t="shared" ref="D189:AA189" si="72">SUMIF($C$58:$C$145,"=" &amp; $C189,D$58:D$145)</f>
        <v>214540</v>
      </c>
      <c r="E189" s="1662">
        <f t="shared" si="72"/>
        <v>157390</v>
      </c>
      <c r="F189" s="1662">
        <f t="shared" si="72"/>
        <v>282950</v>
      </c>
      <c r="G189" s="1662">
        <f t="shared" si="72"/>
        <v>197850</v>
      </c>
      <c r="H189" s="1662">
        <f t="shared" si="72"/>
        <v>160038</v>
      </c>
      <c r="I189" s="1662">
        <f t="shared" si="72"/>
        <v>178938</v>
      </c>
      <c r="J189" s="1662">
        <f t="shared" si="72"/>
        <v>214440</v>
      </c>
      <c r="K189" s="1662">
        <f t="shared" si="72"/>
        <v>173187</v>
      </c>
      <c r="L189" s="1662">
        <f t="shared" si="72"/>
        <v>221604</v>
      </c>
      <c r="M189" s="1662">
        <f t="shared" si="72"/>
        <v>219822</v>
      </c>
      <c r="N189" s="1662">
        <f t="shared" si="72"/>
        <v>221526</v>
      </c>
      <c r="O189" s="1662">
        <f t="shared" si="72"/>
        <v>144485</v>
      </c>
      <c r="P189" s="1662">
        <f t="shared" si="72"/>
        <v>336030</v>
      </c>
      <c r="Q189" s="1662">
        <f t="shared" si="72"/>
        <v>215796</v>
      </c>
      <c r="R189" s="1662">
        <f t="shared" si="72"/>
        <v>234172</v>
      </c>
      <c r="S189" s="1662">
        <f t="shared" si="72"/>
        <v>160823</v>
      </c>
      <c r="T189" s="1662">
        <f t="shared" si="72"/>
        <v>226399</v>
      </c>
      <c r="U189" s="1662">
        <f t="shared" si="72"/>
        <v>207890</v>
      </c>
      <c r="V189" s="1662">
        <f t="shared" si="72"/>
        <v>286474</v>
      </c>
      <c r="W189" s="1662">
        <f t="shared" si="72"/>
        <v>257343</v>
      </c>
      <c r="X189" s="1662">
        <f t="shared" si="72"/>
        <v>275002</v>
      </c>
      <c r="Y189" s="1662">
        <f t="shared" si="72"/>
        <v>135678</v>
      </c>
      <c r="Z189" s="1662">
        <f t="shared" si="72"/>
        <v>255530</v>
      </c>
      <c r="AA189" s="1662">
        <f t="shared" si="72"/>
        <v>307309</v>
      </c>
      <c r="AB189" s="1528">
        <f ca="1">SUM(OFFSET(AA189,0,当期月数):AA189)</f>
        <v>1951625</v>
      </c>
    </row>
    <row r="190" spans="2:28" ht="20.25" customHeight="1" x14ac:dyDescent="0.15">
      <c r="B190" s="1579"/>
      <c r="C190" s="1615" t="s">
        <v>187</v>
      </c>
      <c r="D190" s="1662">
        <f t="shared" ref="D190:Z190" si="73">SUMIFS(D$58:D$145,$C$58:$C$145,"=" &amp; $C190,$A$58:$A$145,"&lt;&gt;GH合計")</f>
        <v>0</v>
      </c>
      <c r="E190" s="1662">
        <f t="shared" si="73"/>
        <v>6532501</v>
      </c>
      <c r="F190" s="1662">
        <f t="shared" si="73"/>
        <v>3865499</v>
      </c>
      <c r="G190" s="1662">
        <f t="shared" si="73"/>
        <v>3807052</v>
      </c>
      <c r="H190" s="1662">
        <f t="shared" si="73"/>
        <v>4069088</v>
      </c>
      <c r="I190" s="1662">
        <f t="shared" si="73"/>
        <v>5032486</v>
      </c>
      <c r="J190" s="1662">
        <f t="shared" si="73"/>
        <v>4496061</v>
      </c>
      <c r="K190" s="1662">
        <f t="shared" si="73"/>
        <v>4430209</v>
      </c>
      <c r="L190" s="1662">
        <f t="shared" si="73"/>
        <v>4112767</v>
      </c>
      <c r="M190" s="1662">
        <f t="shared" si="73"/>
        <v>3772513</v>
      </c>
      <c r="N190" s="1662">
        <f t="shared" si="73"/>
        <v>4062757</v>
      </c>
      <c r="O190" s="1662">
        <f t="shared" si="73"/>
        <v>4143258</v>
      </c>
      <c r="P190" s="1662">
        <f t="shared" si="73"/>
        <v>4284049</v>
      </c>
      <c r="Q190" s="1662">
        <f t="shared" si="73"/>
        <v>3663029</v>
      </c>
      <c r="R190" s="1662">
        <f t="shared" si="73"/>
        <v>4814230</v>
      </c>
      <c r="S190" s="1662">
        <f t="shared" si="73"/>
        <v>3865820</v>
      </c>
      <c r="T190" s="1662">
        <f t="shared" si="73"/>
        <v>4109856</v>
      </c>
      <c r="U190" s="1662">
        <f t="shared" si="73"/>
        <v>4621679</v>
      </c>
      <c r="V190" s="1662">
        <f t="shared" si="73"/>
        <v>4529239</v>
      </c>
      <c r="W190" s="1662">
        <f t="shared" si="73"/>
        <v>4659489</v>
      </c>
      <c r="X190" s="1662">
        <f t="shared" si="73"/>
        <v>4667286</v>
      </c>
      <c r="Y190" s="1662">
        <f t="shared" si="73"/>
        <v>4962619</v>
      </c>
      <c r="Z190" s="1662">
        <f t="shared" si="73"/>
        <v>5184936</v>
      </c>
      <c r="AA190" s="1662">
        <f>SUMIFS(AA$58:AA$145,$C$58:$C$145,"=" &amp; $C190,$A$58:$A$145,"&lt;&gt;GH合計")</f>
        <v>6149349</v>
      </c>
      <c r="AB190" s="1528">
        <f ca="1">SUM(OFFSET(AA190,0,当期月数):AA190)</f>
        <v>38884453</v>
      </c>
    </row>
    <row r="191" spans="2:28" ht="20.25" hidden="1" customHeight="1" x14ac:dyDescent="0.15">
      <c r="B191" s="1579"/>
      <c r="C191" s="1615" t="s">
        <v>87</v>
      </c>
      <c r="D191" s="1662">
        <f t="shared" ref="D191:AA191" si="74">SUMIF($C$58:$C$145,"=" &amp; $C191,D$58:D$145)</f>
        <v>0</v>
      </c>
      <c r="E191" s="1662">
        <f t="shared" si="74"/>
        <v>0</v>
      </c>
      <c r="F191" s="1662">
        <f t="shared" si="74"/>
        <v>0</v>
      </c>
      <c r="G191" s="1662">
        <f t="shared" si="74"/>
        <v>0</v>
      </c>
      <c r="H191" s="1662">
        <f t="shared" si="74"/>
        <v>0</v>
      </c>
      <c r="I191" s="1662">
        <f t="shared" si="74"/>
        <v>0</v>
      </c>
      <c r="J191" s="1662">
        <f t="shared" si="74"/>
        <v>0</v>
      </c>
      <c r="K191" s="1662">
        <f t="shared" si="74"/>
        <v>0</v>
      </c>
      <c r="L191" s="1662">
        <f t="shared" si="74"/>
        <v>0</v>
      </c>
      <c r="M191" s="1662">
        <f t="shared" si="74"/>
        <v>0</v>
      </c>
      <c r="N191" s="1662">
        <f t="shared" si="74"/>
        <v>0</v>
      </c>
      <c r="O191" s="1662">
        <f t="shared" si="74"/>
        <v>0</v>
      </c>
      <c r="P191" s="1662">
        <f t="shared" si="74"/>
        <v>0</v>
      </c>
      <c r="Q191" s="1662">
        <f t="shared" si="74"/>
        <v>0</v>
      </c>
      <c r="R191" s="1662">
        <f t="shared" si="74"/>
        <v>0</v>
      </c>
      <c r="S191" s="1662">
        <f t="shared" si="74"/>
        <v>0</v>
      </c>
      <c r="T191" s="1662">
        <f t="shared" si="74"/>
        <v>0</v>
      </c>
      <c r="U191" s="1662">
        <f t="shared" si="74"/>
        <v>0</v>
      </c>
      <c r="V191" s="1662">
        <f t="shared" si="74"/>
        <v>0</v>
      </c>
      <c r="W191" s="1662">
        <f t="shared" si="74"/>
        <v>0</v>
      </c>
      <c r="X191" s="1662">
        <f t="shared" si="74"/>
        <v>0</v>
      </c>
      <c r="Y191" s="1662">
        <f t="shared" si="74"/>
        <v>0</v>
      </c>
      <c r="Z191" s="1662">
        <f t="shared" si="74"/>
        <v>0</v>
      </c>
      <c r="AA191" s="1662">
        <f t="shared" si="74"/>
        <v>0</v>
      </c>
      <c r="AB191" s="1528">
        <f ca="1">SUM(OFFSET(AA191,0,当期月数):AA191)</f>
        <v>0</v>
      </c>
    </row>
    <row r="192" spans="2:28" ht="20.25" customHeight="1" x14ac:dyDescent="0.15">
      <c r="B192" s="1579"/>
      <c r="C192" s="1615" t="s">
        <v>7</v>
      </c>
      <c r="D192" s="1662">
        <f t="shared" ref="D192:J192" si="75">SUMIFS(D$58:D$145,$C$58:$C$145,"=" &amp; $C192,$A$58:$A$145,"&lt;&gt;GH合計")</f>
        <v>633714</v>
      </c>
      <c r="E192" s="1662">
        <f t="shared" si="75"/>
        <v>774249</v>
      </c>
      <c r="F192" s="1662">
        <f t="shared" si="75"/>
        <v>754399</v>
      </c>
      <c r="G192" s="1662">
        <f t="shared" si="75"/>
        <v>807628</v>
      </c>
      <c r="H192" s="1662">
        <f t="shared" si="75"/>
        <v>683727</v>
      </c>
      <c r="I192" s="1662">
        <f t="shared" si="75"/>
        <v>878464</v>
      </c>
      <c r="J192" s="1662">
        <f t="shared" si="75"/>
        <v>670359</v>
      </c>
      <c r="K192" s="1662">
        <f t="shared" ref="K192:Z192" si="76">SUMIFS(K$58:K$145,$C$58:$C$145,"=" &amp; $C192,$A$58:$A$145,"&lt;&gt;GH合計")</f>
        <v>791349</v>
      </c>
      <c r="L192" s="1662">
        <f t="shared" si="76"/>
        <v>636188</v>
      </c>
      <c r="M192" s="1662">
        <f t="shared" si="76"/>
        <v>585130</v>
      </c>
      <c r="N192" s="1662">
        <f t="shared" si="76"/>
        <v>874446</v>
      </c>
      <c r="O192" s="1662">
        <f t="shared" si="76"/>
        <v>781579</v>
      </c>
      <c r="P192" s="1662">
        <f t="shared" si="76"/>
        <v>704509</v>
      </c>
      <c r="Q192" s="1662">
        <f t="shared" si="76"/>
        <v>613891</v>
      </c>
      <c r="R192" s="1662">
        <f t="shared" si="76"/>
        <v>609713</v>
      </c>
      <c r="S192" s="1662">
        <f t="shared" si="76"/>
        <v>497927</v>
      </c>
      <c r="T192" s="1662">
        <f t="shared" si="76"/>
        <v>397051</v>
      </c>
      <c r="U192" s="1662">
        <f t="shared" si="76"/>
        <v>525927</v>
      </c>
      <c r="V192" s="1662">
        <f t="shared" si="76"/>
        <v>537866</v>
      </c>
      <c r="W192" s="1662">
        <f t="shared" si="76"/>
        <v>535023</v>
      </c>
      <c r="X192" s="1662">
        <f t="shared" si="76"/>
        <v>413145</v>
      </c>
      <c r="Y192" s="1662">
        <f t="shared" si="76"/>
        <v>523236</v>
      </c>
      <c r="Z192" s="1662">
        <f t="shared" si="76"/>
        <v>439539</v>
      </c>
      <c r="AA192" s="1662">
        <f>SUMIFS(AA$58:AA$145,$C$58:$C$145,"=" &amp; $C192,$A$58:$A$145,"&lt;&gt;GH合計")</f>
        <v>582304</v>
      </c>
      <c r="AB192" s="1528">
        <f ca="1">SUM(OFFSET(AA192,0,当期月数):AA192)</f>
        <v>3954091</v>
      </c>
    </row>
    <row r="193" spans="2:31" ht="20.25" customHeight="1" x14ac:dyDescent="0.15">
      <c r="B193" s="1579"/>
      <c r="C193" s="1615" t="s">
        <v>133</v>
      </c>
      <c r="D193" s="1662">
        <f t="shared" ref="D193:M194" si="77">SUMIF($C$58:$C$145,"=" &amp; $C193,D$58:D$145)</f>
        <v>179850</v>
      </c>
      <c r="E193" s="1662">
        <f t="shared" si="77"/>
        <v>182050</v>
      </c>
      <c r="F193" s="1662">
        <f t="shared" si="77"/>
        <v>192500</v>
      </c>
      <c r="G193" s="1662">
        <f t="shared" si="77"/>
        <v>170500</v>
      </c>
      <c r="H193" s="1662">
        <f t="shared" si="77"/>
        <v>167750</v>
      </c>
      <c r="I193" s="1662">
        <f t="shared" si="77"/>
        <v>165550</v>
      </c>
      <c r="J193" s="1662">
        <f t="shared" si="77"/>
        <v>187550</v>
      </c>
      <c r="K193" s="1662">
        <f t="shared" si="77"/>
        <v>174350</v>
      </c>
      <c r="L193" s="1662">
        <f t="shared" si="77"/>
        <v>176550</v>
      </c>
      <c r="M193" s="1662">
        <f t="shared" si="77"/>
        <v>178200</v>
      </c>
      <c r="N193" s="1662">
        <f t="shared" ref="N193:AA194" si="78">SUMIF($C$58:$C$145,"=" &amp; $C193,N$58:N$145)</f>
        <v>205150</v>
      </c>
      <c r="O193" s="1662">
        <f t="shared" si="78"/>
        <v>231550</v>
      </c>
      <c r="P193" s="1662">
        <f t="shared" si="78"/>
        <v>225500</v>
      </c>
      <c r="Q193" s="1662">
        <f t="shared" si="78"/>
        <v>225700</v>
      </c>
      <c r="R193" s="1662">
        <f t="shared" si="78"/>
        <v>246950</v>
      </c>
      <c r="S193" s="1662">
        <f t="shared" si="78"/>
        <v>264450</v>
      </c>
      <c r="T193" s="1662">
        <f t="shared" si="78"/>
        <v>232550</v>
      </c>
      <c r="U193" s="1662">
        <f t="shared" si="78"/>
        <v>239800</v>
      </c>
      <c r="V193" s="1662">
        <f t="shared" si="78"/>
        <v>241750</v>
      </c>
      <c r="W193" s="1662">
        <f t="shared" si="78"/>
        <v>322550</v>
      </c>
      <c r="X193" s="1662">
        <f t="shared" si="78"/>
        <v>262100</v>
      </c>
      <c r="Y193" s="1662">
        <f t="shared" si="78"/>
        <v>310200</v>
      </c>
      <c r="Z193" s="1662">
        <f t="shared" si="78"/>
        <v>330200</v>
      </c>
      <c r="AA193" s="1662">
        <f t="shared" si="78"/>
        <v>288000</v>
      </c>
      <c r="AB193" s="1528">
        <f ca="1">SUM(OFFSET(AA193,0,当期月数):AA193)</f>
        <v>2227150</v>
      </c>
    </row>
    <row r="194" spans="2:31" ht="20.25" customHeight="1" x14ac:dyDescent="0.15">
      <c r="B194" s="1579"/>
      <c r="C194" s="1615" t="s">
        <v>6</v>
      </c>
      <c r="D194" s="1662">
        <f t="shared" si="77"/>
        <v>205244</v>
      </c>
      <c r="E194" s="1662">
        <f t="shared" si="77"/>
        <v>223604</v>
      </c>
      <c r="F194" s="1662">
        <f t="shared" si="77"/>
        <v>219908</v>
      </c>
      <c r="G194" s="1662">
        <f t="shared" si="77"/>
        <v>222212</v>
      </c>
      <c r="H194" s="1662">
        <f t="shared" si="77"/>
        <v>246045</v>
      </c>
      <c r="I194" s="1662">
        <f t="shared" si="77"/>
        <v>250824</v>
      </c>
      <c r="J194" s="1662">
        <f t="shared" si="77"/>
        <v>237543</v>
      </c>
      <c r="K194" s="1662">
        <f t="shared" si="77"/>
        <v>253611</v>
      </c>
      <c r="L194" s="1662">
        <f t="shared" si="77"/>
        <v>250083</v>
      </c>
      <c r="M194" s="1662">
        <f t="shared" si="77"/>
        <v>257283</v>
      </c>
      <c r="N194" s="1662">
        <f t="shared" si="78"/>
        <v>247032</v>
      </c>
      <c r="O194" s="1662">
        <f t="shared" si="78"/>
        <v>237759</v>
      </c>
      <c r="P194" s="1662">
        <f t="shared" si="78"/>
        <v>280176</v>
      </c>
      <c r="Q194" s="1662">
        <f t="shared" si="78"/>
        <v>254478</v>
      </c>
      <c r="R194" s="1662">
        <f t="shared" si="78"/>
        <v>256278</v>
      </c>
      <c r="S194" s="1662">
        <f t="shared" si="78"/>
        <v>249699</v>
      </c>
      <c r="T194" s="1662">
        <f t="shared" si="78"/>
        <v>264516</v>
      </c>
      <c r="U194" s="1662">
        <f t="shared" si="78"/>
        <v>280797</v>
      </c>
      <c r="V194" s="1662">
        <f t="shared" si="78"/>
        <v>276597</v>
      </c>
      <c r="W194" s="1662">
        <f t="shared" si="78"/>
        <v>298329</v>
      </c>
      <c r="X194" s="1662">
        <f t="shared" si="78"/>
        <v>304542</v>
      </c>
      <c r="Y194" s="1662">
        <f t="shared" si="78"/>
        <v>309321</v>
      </c>
      <c r="Z194" s="1662">
        <f t="shared" si="78"/>
        <v>272588</v>
      </c>
      <c r="AA194" s="1662">
        <f t="shared" si="78"/>
        <v>282800</v>
      </c>
      <c r="AB194" s="1528">
        <f ca="1">SUM(OFFSET(AA194,0,当期月数):AA194)</f>
        <v>2289490</v>
      </c>
    </row>
    <row r="195" spans="2:31" ht="20.25" customHeight="1" x14ac:dyDescent="0.15">
      <c r="B195" s="1579"/>
      <c r="C195" s="1615" t="s">
        <v>12</v>
      </c>
      <c r="D195" s="1662">
        <f t="shared" ref="D195:Z195" si="79">SUMIFS(D$58:D$145,$C$58:$C$145,"=" &amp; $C195,$A$58:$A$145,"&lt;&gt;GH合計")</f>
        <v>1039886</v>
      </c>
      <c r="E195" s="1662">
        <f t="shared" si="79"/>
        <v>1172833</v>
      </c>
      <c r="F195" s="1662">
        <f t="shared" si="79"/>
        <v>1363900</v>
      </c>
      <c r="G195" s="1662">
        <f t="shared" si="79"/>
        <v>1292000</v>
      </c>
      <c r="H195" s="1662">
        <f t="shared" si="79"/>
        <v>1153840</v>
      </c>
      <c r="I195" s="1662">
        <f t="shared" si="79"/>
        <v>1338510</v>
      </c>
      <c r="J195" s="1662">
        <f t="shared" si="79"/>
        <v>1097768</v>
      </c>
      <c r="K195" s="1662">
        <f t="shared" si="79"/>
        <v>1272462</v>
      </c>
      <c r="L195" s="1662">
        <f t="shared" si="79"/>
        <v>1168640</v>
      </c>
      <c r="M195" s="1662">
        <f t="shared" si="79"/>
        <v>1310461</v>
      </c>
      <c r="N195" s="1662">
        <f t="shared" si="79"/>
        <v>1417082</v>
      </c>
      <c r="O195" s="1662">
        <f t="shared" si="79"/>
        <v>1350120</v>
      </c>
      <c r="P195" s="1662">
        <f t="shared" si="79"/>
        <v>1271737</v>
      </c>
      <c r="Q195" s="1662">
        <f t="shared" si="79"/>
        <v>1204681</v>
      </c>
      <c r="R195" s="1662">
        <f t="shared" si="79"/>
        <v>1458959</v>
      </c>
      <c r="S195" s="1662">
        <f t="shared" si="79"/>
        <v>1289580</v>
      </c>
      <c r="T195" s="1662">
        <f t="shared" si="79"/>
        <v>1328790</v>
      </c>
      <c r="U195" s="1662">
        <f t="shared" si="79"/>
        <v>1354680</v>
      </c>
      <c r="V195" s="1662">
        <f t="shared" si="79"/>
        <v>1378560</v>
      </c>
      <c r="W195" s="1662">
        <f t="shared" si="79"/>
        <v>1395540</v>
      </c>
      <c r="X195" s="1662">
        <f t="shared" si="79"/>
        <v>1398040</v>
      </c>
      <c r="Y195" s="1662">
        <f t="shared" si="79"/>
        <v>1556820</v>
      </c>
      <c r="Z195" s="1662">
        <f t="shared" si="79"/>
        <v>1558660</v>
      </c>
      <c r="AA195" s="1662">
        <f>SUMIFS(AA$58:AA$145,$C$58:$C$145,"=" &amp; $C195,$A$58:$A$145,"&lt;&gt;GH合計")</f>
        <v>1617420</v>
      </c>
      <c r="AB195" s="1528">
        <f ca="1">SUM(OFFSET(AA195,0,当期月数):AA195)</f>
        <v>11588510</v>
      </c>
    </row>
    <row r="196" spans="2:31" ht="20.25" customHeight="1" x14ac:dyDescent="0.15">
      <c r="B196" s="1579"/>
      <c r="C196" s="1615" t="s">
        <v>955</v>
      </c>
      <c r="D196" s="1662">
        <f t="shared" ref="D196:AA196" si="80">SUMIF($C$58:$C$145,"=" &amp; $C196,D$58:D$145)</f>
        <v>0</v>
      </c>
      <c r="E196" s="1662">
        <f t="shared" si="80"/>
        <v>0</v>
      </c>
      <c r="F196" s="1662">
        <f t="shared" si="80"/>
        <v>0</v>
      </c>
      <c r="G196" s="1662">
        <f t="shared" si="80"/>
        <v>0</v>
      </c>
      <c r="H196" s="1662">
        <f t="shared" si="80"/>
        <v>0</v>
      </c>
      <c r="I196" s="1662">
        <f t="shared" si="80"/>
        <v>0</v>
      </c>
      <c r="J196" s="1662">
        <f t="shared" si="80"/>
        <v>0</v>
      </c>
      <c r="K196" s="1662">
        <f t="shared" si="80"/>
        <v>0</v>
      </c>
      <c r="L196" s="1662">
        <f t="shared" si="80"/>
        <v>0</v>
      </c>
      <c r="M196" s="1662">
        <f t="shared" si="80"/>
        <v>20500</v>
      </c>
      <c r="N196" s="1662">
        <f t="shared" si="80"/>
        <v>37000</v>
      </c>
      <c r="O196" s="1662">
        <f t="shared" si="80"/>
        <v>33000</v>
      </c>
      <c r="P196" s="1662">
        <f t="shared" si="80"/>
        <v>95000</v>
      </c>
      <c r="Q196" s="1662">
        <f t="shared" si="80"/>
        <v>22000</v>
      </c>
      <c r="R196" s="1662">
        <f t="shared" si="80"/>
        <v>111000</v>
      </c>
      <c r="S196" s="1662">
        <f t="shared" si="80"/>
        <v>100560</v>
      </c>
      <c r="T196" s="1662">
        <f t="shared" si="80"/>
        <v>99180</v>
      </c>
      <c r="U196" s="1662">
        <f t="shared" si="80"/>
        <v>72000</v>
      </c>
      <c r="V196" s="1662">
        <f t="shared" si="80"/>
        <v>144180</v>
      </c>
      <c r="W196" s="1662">
        <f t="shared" si="80"/>
        <v>72900</v>
      </c>
      <c r="X196" s="1662">
        <f t="shared" si="80"/>
        <v>129060</v>
      </c>
      <c r="Y196" s="1662">
        <f t="shared" si="80"/>
        <v>56190</v>
      </c>
      <c r="Z196" s="1662">
        <f t="shared" si="80"/>
        <v>103680</v>
      </c>
      <c r="AA196" s="1662">
        <f t="shared" si="80"/>
        <v>72000</v>
      </c>
      <c r="AB196" s="1528">
        <f ca="1">SUM(OFFSET(AA196,0,当期月数):AA196)</f>
        <v>749190</v>
      </c>
    </row>
    <row r="197" spans="2:31" ht="20.25" customHeight="1" x14ac:dyDescent="0.15">
      <c r="B197" s="1579"/>
      <c r="C197" s="1615" t="s">
        <v>468</v>
      </c>
      <c r="D197" s="1662">
        <f t="shared" ref="D197:M198" si="81">SUMIFS(D$58:D$145,$C$58:$C$145,"=" &amp; $C197,$A$58:$A$145,"&lt;&gt;GH合計")</f>
        <v>-30000</v>
      </c>
      <c r="E197" s="1662">
        <f t="shared" si="81"/>
        <v>-320000</v>
      </c>
      <c r="F197" s="1662">
        <f t="shared" si="81"/>
        <v>-30000</v>
      </c>
      <c r="G197" s="1662">
        <f t="shared" si="81"/>
        <v>-290000</v>
      </c>
      <c r="H197" s="1662">
        <f t="shared" si="81"/>
        <v>-160000</v>
      </c>
      <c r="I197" s="1662">
        <f t="shared" si="81"/>
        <v>-160000</v>
      </c>
      <c r="J197" s="1662">
        <f t="shared" si="81"/>
        <v>-160000</v>
      </c>
      <c r="K197" s="1662">
        <f t="shared" si="81"/>
        <v>-180000</v>
      </c>
      <c r="L197" s="1662">
        <f t="shared" si="81"/>
        <v>-170000</v>
      </c>
      <c r="M197" s="1662">
        <f t="shared" si="81"/>
        <v>-170000</v>
      </c>
      <c r="N197" s="1662">
        <f t="shared" ref="N197:AA198" si="82">SUMIFS(N$58:N$145,$C$58:$C$145,"=" &amp; $C197,$A$58:$A$145,"&lt;&gt;GH合計")</f>
        <v>-170000</v>
      </c>
      <c r="O197" s="1662">
        <f t="shared" si="82"/>
        <v>-170000</v>
      </c>
      <c r="P197" s="1662">
        <f t="shared" si="82"/>
        <v>-170000</v>
      </c>
      <c r="Q197" s="1662">
        <f t="shared" si="82"/>
        <v>-170000</v>
      </c>
      <c r="R197" s="1662">
        <f t="shared" si="82"/>
        <v>-170000</v>
      </c>
      <c r="S197" s="1662">
        <f t="shared" si="82"/>
        <v>-160000</v>
      </c>
      <c r="T197" s="1662">
        <f t="shared" si="82"/>
        <v>-160000</v>
      </c>
      <c r="U197" s="1662">
        <f t="shared" si="82"/>
        <v>-170000</v>
      </c>
      <c r="V197" s="1662">
        <f t="shared" si="82"/>
        <v>-180000</v>
      </c>
      <c r="W197" s="1662">
        <f t="shared" si="82"/>
        <v>-180000</v>
      </c>
      <c r="X197" s="1662">
        <f t="shared" si="82"/>
        <v>-180000</v>
      </c>
      <c r="Y197" s="1662">
        <f t="shared" si="82"/>
        <v>-220000</v>
      </c>
      <c r="Z197" s="1662">
        <f t="shared" si="82"/>
        <v>-230000</v>
      </c>
      <c r="AA197" s="1662">
        <f>SUMIFS(AA$58:AA$145,$C$58:$C$145,"=" &amp; $C197,$A$58:$A$145,"&lt;&gt;GH合計")</f>
        <v>-240000</v>
      </c>
      <c r="AB197" s="1528">
        <f ca="1">SUM(OFFSET(AA197,0,当期月数):AA197)</f>
        <v>-1560000</v>
      </c>
    </row>
    <row r="198" spans="2:31" ht="20.25" customHeight="1" x14ac:dyDescent="0.15">
      <c r="B198" s="1579"/>
      <c r="C198" s="1615" t="s">
        <v>401</v>
      </c>
      <c r="D198" s="1662">
        <f t="shared" si="81"/>
        <v>1378364</v>
      </c>
      <c r="E198" s="1662">
        <f t="shared" si="81"/>
        <v>0</v>
      </c>
      <c r="F198" s="1662">
        <f t="shared" si="81"/>
        <v>0</v>
      </c>
      <c r="G198" s="1662">
        <f t="shared" si="81"/>
        <v>0</v>
      </c>
      <c r="H198" s="1662">
        <f t="shared" si="81"/>
        <v>0</v>
      </c>
      <c r="I198" s="1662">
        <f t="shared" si="81"/>
        <v>0</v>
      </c>
      <c r="J198" s="1662">
        <f t="shared" si="81"/>
        <v>0</v>
      </c>
      <c r="K198" s="1662">
        <f t="shared" si="81"/>
        <v>0</v>
      </c>
      <c r="L198" s="1662">
        <f t="shared" si="81"/>
        <v>0</v>
      </c>
      <c r="M198" s="1662">
        <f t="shared" si="81"/>
        <v>70141</v>
      </c>
      <c r="N198" s="1662">
        <f t="shared" si="82"/>
        <v>374000</v>
      </c>
      <c r="O198" s="1662">
        <f t="shared" si="82"/>
        <v>100194</v>
      </c>
      <c r="P198" s="1662">
        <f t="shared" si="82"/>
        <v>1595585</v>
      </c>
      <c r="Q198" s="1662">
        <f t="shared" si="82"/>
        <v>0</v>
      </c>
      <c r="R198" s="1662">
        <f t="shared" si="82"/>
        <v>0</v>
      </c>
      <c r="S198" s="1662">
        <f t="shared" si="82"/>
        <v>0</v>
      </c>
      <c r="T198" s="1662">
        <f t="shared" si="82"/>
        <v>0</v>
      </c>
      <c r="U198" s="1662">
        <f t="shared" si="82"/>
        <v>0</v>
      </c>
      <c r="V198" s="1662">
        <f t="shared" si="82"/>
        <v>0</v>
      </c>
      <c r="W198" s="1662">
        <f t="shared" si="82"/>
        <v>0</v>
      </c>
      <c r="X198" s="1662">
        <f t="shared" si="82"/>
        <v>508000</v>
      </c>
      <c r="Y198" s="1662">
        <f t="shared" si="82"/>
        <v>118263</v>
      </c>
      <c r="Z198" s="1662">
        <f t="shared" si="82"/>
        <v>27939</v>
      </c>
      <c r="AA198" s="1662">
        <f t="shared" si="82"/>
        <v>35346</v>
      </c>
      <c r="AB198" s="1528">
        <f ca="1">SUM(OFFSET(AA198,0,当期月数):AA198)</f>
        <v>689548</v>
      </c>
    </row>
    <row r="199" spans="2:31" ht="20.25" customHeight="1" x14ac:dyDescent="0.15">
      <c r="B199" s="1579"/>
      <c r="C199" s="1615" t="s">
        <v>315</v>
      </c>
      <c r="D199" s="1662">
        <f t="shared" ref="D199:M201" si="83">SUMIF($C$58:$C$145,"=" &amp; $C199,D$58:D$145)</f>
        <v>1499400</v>
      </c>
      <c r="E199" s="1662">
        <f t="shared" si="83"/>
        <v>1511760</v>
      </c>
      <c r="F199" s="1662">
        <f t="shared" si="83"/>
        <v>1724080</v>
      </c>
      <c r="G199" s="1662">
        <f t="shared" si="83"/>
        <v>1448180</v>
      </c>
      <c r="H199" s="1662">
        <f t="shared" si="83"/>
        <v>1464380</v>
      </c>
      <c r="I199" s="1662">
        <f t="shared" si="83"/>
        <v>1555030</v>
      </c>
      <c r="J199" s="1662">
        <f t="shared" si="83"/>
        <v>1578562</v>
      </c>
      <c r="K199" s="1662">
        <f t="shared" si="83"/>
        <v>1567372</v>
      </c>
      <c r="L199" s="1662">
        <f t="shared" si="83"/>
        <v>1218240</v>
      </c>
      <c r="M199" s="1662">
        <f t="shared" si="83"/>
        <v>1229882</v>
      </c>
      <c r="N199" s="1662">
        <f t="shared" ref="N199:AA201" si="84">SUMIF($C$58:$C$145,"=" &amp; $C199,N$58:N$145)</f>
        <v>1263038</v>
      </c>
      <c r="O199" s="1662">
        <f t="shared" si="84"/>
        <v>951130</v>
      </c>
      <c r="P199" s="1662">
        <f t="shared" si="84"/>
        <v>991640</v>
      </c>
      <c r="Q199" s="1662">
        <f t="shared" si="84"/>
        <v>913170</v>
      </c>
      <c r="R199" s="1662">
        <f t="shared" si="84"/>
        <v>805870</v>
      </c>
      <c r="S199" s="1662">
        <f t="shared" si="84"/>
        <v>873210</v>
      </c>
      <c r="T199" s="1662">
        <f t="shared" si="84"/>
        <v>743969</v>
      </c>
      <c r="U199" s="1662">
        <f t="shared" si="84"/>
        <v>665060</v>
      </c>
      <c r="V199" s="1662">
        <f t="shared" si="84"/>
        <v>412534</v>
      </c>
      <c r="W199" s="1662">
        <f t="shared" si="84"/>
        <v>433050</v>
      </c>
      <c r="X199" s="1662">
        <f t="shared" si="84"/>
        <v>322800</v>
      </c>
      <c r="Y199" s="1662">
        <f t="shared" si="84"/>
        <v>354130</v>
      </c>
      <c r="Z199" s="1662">
        <f t="shared" si="84"/>
        <v>320930</v>
      </c>
      <c r="AA199" s="1662">
        <f t="shared" si="84"/>
        <v>270210</v>
      </c>
      <c r="AB199" s="1528">
        <f ca="1">SUM(OFFSET(AA199,0,当期月数):AA199)</f>
        <v>3522683</v>
      </c>
    </row>
    <row r="200" spans="2:31" ht="20.25" customHeight="1" x14ac:dyDescent="0.15">
      <c r="B200" s="1579"/>
      <c r="C200" s="1615" t="s">
        <v>390</v>
      </c>
      <c r="D200" s="1662">
        <f t="shared" si="83"/>
        <v>13039</v>
      </c>
      <c r="E200" s="1662">
        <f t="shared" si="83"/>
        <v>10887</v>
      </c>
      <c r="F200" s="1662">
        <f t="shared" si="83"/>
        <v>16833</v>
      </c>
      <c r="G200" s="1662">
        <f t="shared" si="83"/>
        <v>11842</v>
      </c>
      <c r="H200" s="1662">
        <f t="shared" si="83"/>
        <v>12232</v>
      </c>
      <c r="I200" s="1662">
        <f t="shared" si="83"/>
        <v>12565</v>
      </c>
      <c r="J200" s="1662">
        <f t="shared" si="83"/>
        <v>14149</v>
      </c>
      <c r="K200" s="1662">
        <f t="shared" si="83"/>
        <v>9897</v>
      </c>
      <c r="L200" s="1662">
        <f t="shared" si="83"/>
        <v>9455</v>
      </c>
      <c r="M200" s="1662">
        <f t="shared" si="83"/>
        <v>11802</v>
      </c>
      <c r="N200" s="1662">
        <f t="shared" si="84"/>
        <v>10669</v>
      </c>
      <c r="O200" s="1662">
        <f t="shared" si="84"/>
        <v>10238</v>
      </c>
      <c r="P200" s="1662">
        <f t="shared" si="84"/>
        <v>15338</v>
      </c>
      <c r="Q200" s="1662">
        <f t="shared" si="84"/>
        <v>8332</v>
      </c>
      <c r="R200" s="1662">
        <f t="shared" si="84"/>
        <v>11522</v>
      </c>
      <c r="S200" s="1662">
        <f t="shared" si="84"/>
        <v>14620</v>
      </c>
      <c r="T200" s="1662">
        <f t="shared" si="84"/>
        <v>12560</v>
      </c>
      <c r="U200" s="1662">
        <f t="shared" si="84"/>
        <v>12824</v>
      </c>
      <c r="V200" s="1662">
        <f t="shared" si="84"/>
        <v>15975</v>
      </c>
      <c r="W200" s="1662">
        <f t="shared" si="84"/>
        <v>14823</v>
      </c>
      <c r="X200" s="1662">
        <f t="shared" si="84"/>
        <v>11889</v>
      </c>
      <c r="Y200" s="1662">
        <f t="shared" si="84"/>
        <v>13696</v>
      </c>
      <c r="Z200" s="1662">
        <f t="shared" si="84"/>
        <v>12338</v>
      </c>
      <c r="AA200" s="1662">
        <f t="shared" si="84"/>
        <v>16485</v>
      </c>
      <c r="AB200" s="1528">
        <f ca="1">SUM(OFFSET(AA200,0,当期月数):AA200)</f>
        <v>110590</v>
      </c>
    </row>
    <row r="201" spans="2:31" ht="20.25" customHeight="1" thickBot="1" x14ac:dyDescent="0.2">
      <c r="B201" s="1579"/>
      <c r="C201" s="1663" t="s">
        <v>688</v>
      </c>
      <c r="D201" s="1664">
        <f t="shared" si="83"/>
        <v>0</v>
      </c>
      <c r="E201" s="1664">
        <f t="shared" si="83"/>
        <v>0</v>
      </c>
      <c r="F201" s="1664">
        <f t="shared" si="83"/>
        <v>0</v>
      </c>
      <c r="G201" s="1664">
        <f t="shared" si="83"/>
        <v>0</v>
      </c>
      <c r="H201" s="1664">
        <f t="shared" si="83"/>
        <v>0</v>
      </c>
      <c r="I201" s="1664">
        <f t="shared" si="83"/>
        <v>140400</v>
      </c>
      <c r="J201" s="1664">
        <f t="shared" si="83"/>
        <v>0</v>
      </c>
      <c r="K201" s="1664">
        <f t="shared" si="83"/>
        <v>0</v>
      </c>
      <c r="L201" s="1664">
        <f t="shared" si="83"/>
        <v>0</v>
      </c>
      <c r="M201" s="1664">
        <f t="shared" si="83"/>
        <v>0</v>
      </c>
      <c r="N201" s="1664">
        <f t="shared" si="84"/>
        <v>0</v>
      </c>
      <c r="O201" s="1664">
        <f t="shared" si="84"/>
        <v>0</v>
      </c>
      <c r="P201" s="1664">
        <f t="shared" si="84"/>
        <v>0</v>
      </c>
      <c r="Q201" s="1664">
        <f t="shared" si="84"/>
        <v>0</v>
      </c>
      <c r="R201" s="1664">
        <f t="shared" si="84"/>
        <v>0</v>
      </c>
      <c r="S201" s="1664">
        <f t="shared" si="84"/>
        <v>0</v>
      </c>
      <c r="T201" s="1664">
        <f t="shared" si="84"/>
        <v>0</v>
      </c>
      <c r="U201" s="1664">
        <f t="shared" si="84"/>
        <v>0</v>
      </c>
      <c r="V201" s="1664">
        <f t="shared" si="84"/>
        <v>0</v>
      </c>
      <c r="W201" s="1664">
        <f t="shared" si="84"/>
        <v>0</v>
      </c>
      <c r="X201" s="1664">
        <f t="shared" si="84"/>
        <v>0</v>
      </c>
      <c r="Y201" s="1664">
        <f t="shared" si="84"/>
        <v>0</v>
      </c>
      <c r="Z201" s="1664">
        <f t="shared" si="84"/>
        <v>142560</v>
      </c>
      <c r="AA201" s="1664">
        <f t="shared" si="84"/>
        <v>0</v>
      </c>
      <c r="AB201" s="1522">
        <f ca="1">SUM(OFFSET(AA201,0,当期月数):AA201)</f>
        <v>142560</v>
      </c>
    </row>
    <row r="202" spans="2:31" ht="20.25" customHeight="1" thickBot="1" x14ac:dyDescent="0.2">
      <c r="B202" s="1579"/>
      <c r="C202" s="1665" t="s">
        <v>1280</v>
      </c>
      <c r="D202" s="1666">
        <f>SUMIF($C$58:$C$145,"=" &amp; $C202,D$58:D$145)</f>
        <v>0</v>
      </c>
      <c r="E202" s="1666">
        <f>SUM(E186:E201)</f>
        <v>36915821</v>
      </c>
      <c r="F202" s="1666">
        <f t="shared" ref="F202:Z202" si="85">SUM(F186:F201)</f>
        <v>36080296</v>
      </c>
      <c r="G202" s="1666">
        <f t="shared" si="85"/>
        <v>34899186</v>
      </c>
      <c r="H202" s="1666">
        <f t="shared" si="85"/>
        <v>35916200</v>
      </c>
      <c r="I202" s="1666">
        <f t="shared" si="85"/>
        <v>37696511</v>
      </c>
      <c r="J202" s="1666">
        <f t="shared" si="85"/>
        <v>35721077</v>
      </c>
      <c r="K202" s="1666">
        <f t="shared" si="85"/>
        <v>35713004</v>
      </c>
      <c r="L202" s="1666">
        <f t="shared" si="85"/>
        <v>34507019</v>
      </c>
      <c r="M202" s="1666">
        <f t="shared" si="85"/>
        <v>33718137</v>
      </c>
      <c r="N202" s="1666">
        <f t="shared" si="85"/>
        <v>35034097</v>
      </c>
      <c r="O202" s="1666">
        <f t="shared" si="85"/>
        <v>39122247</v>
      </c>
      <c r="P202" s="1666">
        <f t="shared" si="85"/>
        <v>39669030</v>
      </c>
      <c r="Q202" s="1666">
        <f t="shared" si="85"/>
        <v>36072718</v>
      </c>
      <c r="R202" s="1666">
        <f t="shared" si="85"/>
        <v>38549836</v>
      </c>
      <c r="S202" s="1666">
        <f t="shared" si="85"/>
        <v>36710781</v>
      </c>
      <c r="T202" s="1666">
        <f t="shared" si="85"/>
        <v>37521491</v>
      </c>
      <c r="U202" s="1666">
        <f t="shared" si="85"/>
        <v>41221792</v>
      </c>
      <c r="V202" s="1666">
        <f t="shared" si="85"/>
        <v>42264853</v>
      </c>
      <c r="W202" s="1666">
        <f t="shared" si="85"/>
        <v>40284538</v>
      </c>
      <c r="X202" s="1666">
        <f t="shared" si="85"/>
        <v>39982277</v>
      </c>
      <c r="Y202" s="1666">
        <f t="shared" si="85"/>
        <v>38690450</v>
      </c>
      <c r="Z202" s="1666">
        <f t="shared" si="85"/>
        <v>40045253</v>
      </c>
      <c r="AA202" s="1666">
        <f>SUM(AA186:AA201)</f>
        <v>41864718</v>
      </c>
      <c r="AB202" s="1667">
        <f ca="1">SUM(AB186:AB201)</f>
        <v>321875372</v>
      </c>
    </row>
    <row r="203" spans="2:31" ht="20.25" customHeight="1" x14ac:dyDescent="0.15">
      <c r="P203" s="1651"/>
      <c r="Q203" s="1651"/>
      <c r="R203" s="1651"/>
      <c r="S203" s="1651"/>
      <c r="T203" s="1651"/>
      <c r="U203" s="1651"/>
      <c r="V203" s="1651"/>
      <c r="W203" s="1651"/>
      <c r="X203" s="1651"/>
      <c r="Y203" s="1651"/>
      <c r="Z203" s="1651"/>
      <c r="AA203" s="1651"/>
    </row>
    <row r="207" spans="2:31" x14ac:dyDescent="0.15">
      <c r="AD207" s="1651"/>
    </row>
    <row r="208" spans="2:31" x14ac:dyDescent="0.15">
      <c r="AE208" s="1651"/>
    </row>
    <row r="245" spans="1:28" ht="14.25" thickBot="1" x14ac:dyDescent="0.2"/>
    <row r="246" spans="1:28" ht="20.25" customHeight="1" x14ac:dyDescent="0.15">
      <c r="C246" s="1583" t="s">
        <v>1282</v>
      </c>
      <c r="D246" s="1638">
        <f t="shared" ref="D246:AA246" si="86">D$2</f>
        <v>42856</v>
      </c>
      <c r="E246" s="1638">
        <f t="shared" si="86"/>
        <v>42887</v>
      </c>
      <c r="F246" s="1639">
        <f t="shared" si="86"/>
        <v>42917</v>
      </c>
      <c r="G246" s="1639">
        <f t="shared" si="86"/>
        <v>42948</v>
      </c>
      <c r="H246" s="1657">
        <f t="shared" si="86"/>
        <v>42979</v>
      </c>
      <c r="I246" s="1658">
        <f t="shared" si="86"/>
        <v>43009</v>
      </c>
      <c r="J246" s="1658">
        <f t="shared" si="86"/>
        <v>43040</v>
      </c>
      <c r="K246" s="1658">
        <f t="shared" si="86"/>
        <v>43070</v>
      </c>
      <c r="L246" s="1658">
        <f t="shared" si="86"/>
        <v>43101</v>
      </c>
      <c r="M246" s="1658">
        <f t="shared" si="86"/>
        <v>43132</v>
      </c>
      <c r="N246" s="1658">
        <f t="shared" si="86"/>
        <v>43160</v>
      </c>
      <c r="O246" s="1658">
        <f t="shared" si="86"/>
        <v>43191</v>
      </c>
      <c r="P246" s="1658">
        <f t="shared" si="86"/>
        <v>43221</v>
      </c>
      <c r="Q246" s="1658">
        <f t="shared" si="86"/>
        <v>43252</v>
      </c>
      <c r="R246" s="1658">
        <f t="shared" si="86"/>
        <v>43282</v>
      </c>
      <c r="S246" s="1658">
        <f t="shared" si="86"/>
        <v>43313</v>
      </c>
      <c r="T246" s="1658">
        <f t="shared" si="86"/>
        <v>43344</v>
      </c>
      <c r="U246" s="1658">
        <f t="shared" si="86"/>
        <v>43374</v>
      </c>
      <c r="V246" s="1658">
        <f t="shared" si="86"/>
        <v>43405</v>
      </c>
      <c r="W246" s="1658">
        <f t="shared" si="86"/>
        <v>43435</v>
      </c>
      <c r="X246" s="1658">
        <f t="shared" si="86"/>
        <v>43466</v>
      </c>
      <c r="Y246" s="1658">
        <f t="shared" si="86"/>
        <v>43497</v>
      </c>
      <c r="Z246" s="1658">
        <f t="shared" si="86"/>
        <v>43525</v>
      </c>
      <c r="AA246" s="1658">
        <f t="shared" si="86"/>
        <v>43556</v>
      </c>
      <c r="AB246" s="1659" t="s">
        <v>1281</v>
      </c>
    </row>
    <row r="247" spans="1:28" ht="20.25" customHeight="1" x14ac:dyDescent="0.15">
      <c r="C247" s="1668" t="s">
        <v>492</v>
      </c>
      <c r="D247" s="1669">
        <f t="shared" ref="D247:AA247" si="87">D60</f>
        <v>0</v>
      </c>
      <c r="E247" s="1669">
        <f t="shared" si="87"/>
        <v>0</v>
      </c>
      <c r="F247" s="1669">
        <f t="shared" si="87"/>
        <v>0</v>
      </c>
      <c r="G247" s="1669">
        <f t="shared" si="87"/>
        <v>0</v>
      </c>
      <c r="H247" s="1669">
        <f t="shared" si="87"/>
        <v>0</v>
      </c>
      <c r="I247" s="1669">
        <f t="shared" si="87"/>
        <v>140400</v>
      </c>
      <c r="J247" s="1669">
        <f t="shared" si="87"/>
        <v>0</v>
      </c>
      <c r="K247" s="1669">
        <f t="shared" si="87"/>
        <v>0</v>
      </c>
      <c r="L247" s="1669">
        <f t="shared" si="87"/>
        <v>0</v>
      </c>
      <c r="M247" s="1669">
        <f t="shared" si="87"/>
        <v>0</v>
      </c>
      <c r="N247" s="1669">
        <f t="shared" si="87"/>
        <v>0</v>
      </c>
      <c r="O247" s="1669">
        <f t="shared" si="87"/>
        <v>0</v>
      </c>
      <c r="P247" s="1669">
        <f t="shared" si="87"/>
        <v>0</v>
      </c>
      <c r="Q247" s="1669">
        <f t="shared" si="87"/>
        <v>0</v>
      </c>
      <c r="R247" s="1669">
        <f t="shared" si="87"/>
        <v>0</v>
      </c>
      <c r="S247" s="1669">
        <f t="shared" si="87"/>
        <v>0</v>
      </c>
      <c r="T247" s="1669">
        <f t="shared" si="87"/>
        <v>0</v>
      </c>
      <c r="U247" s="1669">
        <f t="shared" si="87"/>
        <v>0</v>
      </c>
      <c r="V247" s="1669">
        <f t="shared" si="87"/>
        <v>0</v>
      </c>
      <c r="W247" s="1669">
        <f t="shared" si="87"/>
        <v>0</v>
      </c>
      <c r="X247" s="1669">
        <f t="shared" si="87"/>
        <v>0</v>
      </c>
      <c r="Y247" s="1669">
        <f t="shared" si="87"/>
        <v>0</v>
      </c>
      <c r="Z247" s="1669">
        <f t="shared" si="87"/>
        <v>142560</v>
      </c>
      <c r="AA247" s="1669">
        <f t="shared" si="87"/>
        <v>0</v>
      </c>
      <c r="AB247" s="1590">
        <f ca="1">SUM(OFFSET(AA247,0,当期月数):AA247)</f>
        <v>142560</v>
      </c>
    </row>
    <row r="248" spans="1:28" ht="20.25" customHeight="1" x14ac:dyDescent="0.15">
      <c r="A248" s="1511" t="s">
        <v>3</v>
      </c>
      <c r="C248" s="1670" t="s">
        <v>3</v>
      </c>
      <c r="D248" s="1671">
        <f t="shared" ref="D248:AA248" si="88">D70</f>
        <v>10081728</v>
      </c>
      <c r="E248" s="1671">
        <f t="shared" si="88"/>
        <v>9528673</v>
      </c>
      <c r="F248" s="1671">
        <f t="shared" si="88"/>
        <v>10338554</v>
      </c>
      <c r="G248" s="1671">
        <f t="shared" si="88"/>
        <v>10004240</v>
      </c>
      <c r="H248" s="1671">
        <f t="shared" si="88"/>
        <v>10291903</v>
      </c>
      <c r="I248" s="1671">
        <f t="shared" si="88"/>
        <v>10634528</v>
      </c>
      <c r="J248" s="1671">
        <f t="shared" si="88"/>
        <v>9718481</v>
      </c>
      <c r="K248" s="1671">
        <f t="shared" si="88"/>
        <v>10007332</v>
      </c>
      <c r="L248" s="1671">
        <f t="shared" si="88"/>
        <v>10050857</v>
      </c>
      <c r="M248" s="1671">
        <f t="shared" si="88"/>
        <v>9647827</v>
      </c>
      <c r="N248" s="1671">
        <f t="shared" si="88"/>
        <v>10237581</v>
      </c>
      <c r="O248" s="1671">
        <f t="shared" si="88"/>
        <v>10301194</v>
      </c>
      <c r="P248" s="1671">
        <f t="shared" si="88"/>
        <v>10772827</v>
      </c>
      <c r="Q248" s="1671">
        <f t="shared" si="88"/>
        <v>9835106</v>
      </c>
      <c r="R248" s="1671">
        <f t="shared" si="88"/>
        <v>11042771</v>
      </c>
      <c r="S248" s="1671">
        <f t="shared" si="88"/>
        <v>9842755</v>
      </c>
      <c r="T248" s="1671">
        <f t="shared" si="88"/>
        <v>11239510</v>
      </c>
      <c r="U248" s="1671">
        <f t="shared" si="88"/>
        <v>12511332</v>
      </c>
      <c r="V248" s="1671">
        <f t="shared" si="88"/>
        <v>12778671</v>
      </c>
      <c r="W248" s="1671">
        <f t="shared" si="88"/>
        <v>12163091</v>
      </c>
      <c r="X248" s="1671">
        <f t="shared" si="88"/>
        <v>12668826</v>
      </c>
      <c r="Y248" s="1671">
        <f t="shared" si="88"/>
        <v>11458207</v>
      </c>
      <c r="Z248" s="1671">
        <f t="shared" si="88"/>
        <v>12821396</v>
      </c>
      <c r="AA248" s="1671">
        <f t="shared" si="88"/>
        <v>12901588</v>
      </c>
      <c r="AB248" s="1561">
        <f ca="1">SUM(OFFSET(AA248,0,当期月数):AA248)</f>
        <v>98542621</v>
      </c>
    </row>
    <row r="249" spans="1:28" ht="20.25" customHeight="1" x14ac:dyDescent="0.15">
      <c r="A249" s="1511" t="s">
        <v>2</v>
      </c>
      <c r="C249" s="1670" t="s">
        <v>2</v>
      </c>
      <c r="D249" s="1671">
        <f t="shared" ref="D249:AA249" si="89">D78</f>
        <v>5342987</v>
      </c>
      <c r="E249" s="1671">
        <f t="shared" si="89"/>
        <v>5683733</v>
      </c>
      <c r="F249" s="1671">
        <f t="shared" si="89"/>
        <v>5487698</v>
      </c>
      <c r="G249" s="1671">
        <f t="shared" si="89"/>
        <v>5643961</v>
      </c>
      <c r="H249" s="1671">
        <f t="shared" si="89"/>
        <v>6023613</v>
      </c>
      <c r="I249" s="1671">
        <f t="shared" si="89"/>
        <v>6290993</v>
      </c>
      <c r="J249" s="1671">
        <f t="shared" si="89"/>
        <v>5954408</v>
      </c>
      <c r="K249" s="1671">
        <f t="shared" si="89"/>
        <v>5963920</v>
      </c>
      <c r="L249" s="1671">
        <f t="shared" si="89"/>
        <v>5489569</v>
      </c>
      <c r="M249" s="1671">
        <f t="shared" si="89"/>
        <v>5383737</v>
      </c>
      <c r="N249" s="1671">
        <f t="shared" si="89"/>
        <v>5385437</v>
      </c>
      <c r="O249" s="1671">
        <f t="shared" si="89"/>
        <v>7729590</v>
      </c>
      <c r="P249" s="1671">
        <f t="shared" si="89"/>
        <v>6731026</v>
      </c>
      <c r="Q249" s="1671">
        <f t="shared" si="89"/>
        <v>6530234</v>
      </c>
      <c r="R249" s="1671">
        <f t="shared" si="89"/>
        <v>6075758</v>
      </c>
      <c r="S249" s="1671">
        <f t="shared" si="89"/>
        <v>6170804</v>
      </c>
      <c r="T249" s="1671">
        <f t="shared" si="89"/>
        <v>6157056</v>
      </c>
      <c r="U249" s="1671">
        <f t="shared" si="89"/>
        <v>7557882</v>
      </c>
      <c r="V249" s="1671">
        <f t="shared" si="89"/>
        <v>7285298</v>
      </c>
      <c r="W249" s="1671">
        <f t="shared" si="89"/>
        <v>6678253</v>
      </c>
      <c r="X249" s="1671">
        <f t="shared" si="89"/>
        <v>5940817</v>
      </c>
      <c r="Y249" s="1671">
        <f t="shared" si="89"/>
        <v>6270597</v>
      </c>
      <c r="Z249" s="1671">
        <f t="shared" si="89"/>
        <v>5457771</v>
      </c>
      <c r="AA249" s="1671">
        <f t="shared" si="89"/>
        <v>6262229</v>
      </c>
      <c r="AB249" s="1561">
        <f ca="1">SUM(OFFSET(AA249,0,当期月数):AA249)</f>
        <v>51609903</v>
      </c>
    </row>
    <row r="250" spans="1:28" ht="20.25" customHeight="1" x14ac:dyDescent="0.15">
      <c r="A250" s="1511" t="s">
        <v>67</v>
      </c>
      <c r="C250" s="1670" t="s">
        <v>93</v>
      </c>
      <c r="D250" s="1671">
        <f t="shared" ref="D250:AA250" si="90">D85</f>
        <v>5374919</v>
      </c>
      <c r="E250" s="1671">
        <f t="shared" si="90"/>
        <v>5697582</v>
      </c>
      <c r="F250" s="1671">
        <f t="shared" si="90"/>
        <v>5897081</v>
      </c>
      <c r="G250" s="1671">
        <f t="shared" si="90"/>
        <v>5788645</v>
      </c>
      <c r="H250" s="1671">
        <f t="shared" si="90"/>
        <v>5817896</v>
      </c>
      <c r="I250" s="1671">
        <f t="shared" si="90"/>
        <v>5787410</v>
      </c>
      <c r="J250" s="1671">
        <f t="shared" si="90"/>
        <v>5899891</v>
      </c>
      <c r="K250" s="1671">
        <f t="shared" si="90"/>
        <v>5629984</v>
      </c>
      <c r="L250" s="1671">
        <f t="shared" si="90"/>
        <v>6168362</v>
      </c>
      <c r="M250" s="1671">
        <f t="shared" si="90"/>
        <v>5709957</v>
      </c>
      <c r="N250" s="1671">
        <f t="shared" si="90"/>
        <v>5793244</v>
      </c>
      <c r="O250" s="1671">
        <f t="shared" si="90"/>
        <v>6587828</v>
      </c>
      <c r="P250" s="1671">
        <f t="shared" si="90"/>
        <v>6479560</v>
      </c>
      <c r="Q250" s="1671">
        <f t="shared" si="90"/>
        <v>6806472</v>
      </c>
      <c r="R250" s="1671">
        <f t="shared" si="90"/>
        <v>6915528</v>
      </c>
      <c r="S250" s="1671">
        <f t="shared" si="90"/>
        <v>7519354</v>
      </c>
      <c r="T250" s="1671">
        <f t="shared" si="90"/>
        <v>6774361</v>
      </c>
      <c r="U250" s="1671">
        <f t="shared" si="90"/>
        <v>7419604</v>
      </c>
      <c r="V250" s="1671">
        <f t="shared" si="90"/>
        <v>7099035</v>
      </c>
      <c r="W250" s="1671">
        <f t="shared" si="90"/>
        <v>7065580</v>
      </c>
      <c r="X250" s="1671">
        <f t="shared" si="90"/>
        <v>7041908</v>
      </c>
      <c r="Y250" s="1671">
        <f t="shared" si="90"/>
        <v>6369053</v>
      </c>
      <c r="Z250" s="1671">
        <f t="shared" si="90"/>
        <v>6979599</v>
      </c>
      <c r="AA250" s="1671">
        <f t="shared" si="90"/>
        <v>7110420</v>
      </c>
      <c r="AB250" s="1561">
        <f ca="1">SUM(OFFSET(AA250,0,当期月数):AA250)</f>
        <v>55859560</v>
      </c>
    </row>
    <row r="251" spans="1:28" ht="20.25" customHeight="1" x14ac:dyDescent="0.15">
      <c r="A251" s="1511" t="s">
        <v>975</v>
      </c>
      <c r="C251" s="1670" t="s">
        <v>976</v>
      </c>
      <c r="D251" s="1671">
        <f t="shared" ref="D251:AA251" si="91">D91</f>
        <v>0</v>
      </c>
      <c r="E251" s="1671">
        <f t="shared" si="91"/>
        <v>0</v>
      </c>
      <c r="F251" s="1671">
        <f t="shared" si="91"/>
        <v>0</v>
      </c>
      <c r="G251" s="1671">
        <f t="shared" si="91"/>
        <v>0</v>
      </c>
      <c r="H251" s="1671">
        <f t="shared" si="91"/>
        <v>0</v>
      </c>
      <c r="I251" s="1671">
        <f t="shared" si="91"/>
        <v>0</v>
      </c>
      <c r="J251" s="1671">
        <f t="shared" si="91"/>
        <v>0</v>
      </c>
      <c r="K251" s="1671">
        <f t="shared" si="91"/>
        <v>0</v>
      </c>
      <c r="L251" s="1671">
        <f t="shared" si="91"/>
        <v>0</v>
      </c>
      <c r="M251" s="1671">
        <f t="shared" si="91"/>
        <v>0</v>
      </c>
      <c r="N251" s="1671">
        <f t="shared" si="91"/>
        <v>0</v>
      </c>
      <c r="O251" s="1671">
        <f t="shared" si="91"/>
        <v>0</v>
      </c>
      <c r="P251" s="1671">
        <f t="shared" si="91"/>
        <v>0</v>
      </c>
      <c r="Q251" s="1671">
        <f t="shared" si="91"/>
        <v>100885</v>
      </c>
      <c r="R251" s="1671">
        <f t="shared" si="91"/>
        <v>663080</v>
      </c>
      <c r="S251" s="1671">
        <f t="shared" si="91"/>
        <v>624826</v>
      </c>
      <c r="T251" s="1671">
        <f t="shared" si="91"/>
        <v>1193278</v>
      </c>
      <c r="U251" s="1671">
        <f t="shared" si="91"/>
        <v>1631546</v>
      </c>
      <c r="V251" s="1671">
        <f t="shared" si="91"/>
        <v>1296114</v>
      </c>
      <c r="W251" s="1671">
        <f t="shared" si="91"/>
        <v>1520846</v>
      </c>
      <c r="X251" s="1671">
        <f t="shared" si="91"/>
        <v>1160774</v>
      </c>
      <c r="Y251" s="1671">
        <f t="shared" si="91"/>
        <v>903949</v>
      </c>
      <c r="Z251" s="1671">
        <f t="shared" si="91"/>
        <v>0</v>
      </c>
      <c r="AA251" s="1671">
        <f t="shared" si="91"/>
        <v>13148</v>
      </c>
      <c r="AB251" s="1561">
        <f ca="1">SUM(OFFSET(AA251,0,当期月数):AA251)</f>
        <v>7719655</v>
      </c>
    </row>
    <row r="252" spans="1:28" ht="20.25" customHeight="1" x14ac:dyDescent="0.15">
      <c r="A252" s="1511" t="s">
        <v>1208</v>
      </c>
      <c r="C252" s="1670" t="s">
        <v>1208</v>
      </c>
      <c r="D252" s="1671">
        <f t="shared" ref="D252:AA252" si="92">D97</f>
        <v>0</v>
      </c>
      <c r="E252" s="1671">
        <f t="shared" si="92"/>
        <v>0</v>
      </c>
      <c r="F252" s="1671">
        <f t="shared" si="92"/>
        <v>0</v>
      </c>
      <c r="G252" s="1671">
        <f t="shared" si="92"/>
        <v>0</v>
      </c>
      <c r="H252" s="1671">
        <f t="shared" si="92"/>
        <v>0</v>
      </c>
      <c r="I252" s="1671">
        <f t="shared" si="92"/>
        <v>0</v>
      </c>
      <c r="J252" s="1671">
        <f t="shared" si="92"/>
        <v>0</v>
      </c>
      <c r="K252" s="1671">
        <f t="shared" si="92"/>
        <v>0</v>
      </c>
      <c r="L252" s="1671">
        <f t="shared" si="92"/>
        <v>0</v>
      </c>
      <c r="M252" s="1671">
        <f t="shared" si="92"/>
        <v>0</v>
      </c>
      <c r="N252" s="1671">
        <f t="shared" si="92"/>
        <v>0</v>
      </c>
      <c r="O252" s="1671">
        <f t="shared" si="92"/>
        <v>0</v>
      </c>
      <c r="P252" s="1671">
        <f t="shared" si="92"/>
        <v>0</v>
      </c>
      <c r="Q252" s="1671">
        <f t="shared" si="92"/>
        <v>0</v>
      </c>
      <c r="R252" s="1671">
        <f t="shared" si="92"/>
        <v>0</v>
      </c>
      <c r="S252" s="1671">
        <f t="shared" si="92"/>
        <v>0</v>
      </c>
      <c r="T252" s="1671">
        <f t="shared" si="92"/>
        <v>0</v>
      </c>
      <c r="U252" s="1671">
        <f t="shared" si="92"/>
        <v>234284</v>
      </c>
      <c r="V252" s="1671">
        <f t="shared" si="92"/>
        <v>485638</v>
      </c>
      <c r="W252" s="1671">
        <f t="shared" si="92"/>
        <v>701720</v>
      </c>
      <c r="X252" s="1671">
        <f t="shared" si="92"/>
        <v>810680</v>
      </c>
      <c r="Y252" s="1671">
        <f t="shared" si="92"/>
        <v>1060746</v>
      </c>
      <c r="Z252" s="1671">
        <f t="shared" si="92"/>
        <v>1438607</v>
      </c>
      <c r="AA252" s="1671">
        <f t="shared" si="92"/>
        <v>1905194</v>
      </c>
      <c r="AB252" s="1561">
        <f ca="1">SUM(OFFSET(AA252,0,当期月数):AA252)</f>
        <v>6636869</v>
      </c>
    </row>
    <row r="253" spans="1:28" ht="20.25" customHeight="1" x14ac:dyDescent="0.15">
      <c r="A253" s="1511" t="s">
        <v>687</v>
      </c>
      <c r="C253" s="1670" t="s">
        <v>687</v>
      </c>
      <c r="D253" s="1671">
        <f t="shared" ref="D253:AA253" si="93">D101</f>
        <v>3549708</v>
      </c>
      <c r="E253" s="1671">
        <f t="shared" si="93"/>
        <v>3597785</v>
      </c>
      <c r="F253" s="1671">
        <f t="shared" si="93"/>
        <v>3616139</v>
      </c>
      <c r="G253" s="1671">
        <f t="shared" si="93"/>
        <v>3174804</v>
      </c>
      <c r="H253" s="1671">
        <f t="shared" si="93"/>
        <v>3130698</v>
      </c>
      <c r="I253" s="1671">
        <f t="shared" si="93"/>
        <v>3270391</v>
      </c>
      <c r="J253" s="1671">
        <f t="shared" si="93"/>
        <v>3507733</v>
      </c>
      <c r="K253" s="1671">
        <f t="shared" si="93"/>
        <v>3292348</v>
      </c>
      <c r="L253" s="1671">
        <f t="shared" si="93"/>
        <v>3313516</v>
      </c>
      <c r="M253" s="1671">
        <f t="shared" si="93"/>
        <v>3497339</v>
      </c>
      <c r="N253" s="1671">
        <f t="shared" si="93"/>
        <v>3458623</v>
      </c>
      <c r="O253" s="1671">
        <f t="shared" si="93"/>
        <v>4706520</v>
      </c>
      <c r="P253" s="1671">
        <f t="shared" si="93"/>
        <v>4419633</v>
      </c>
      <c r="Q253" s="1671">
        <f t="shared" si="93"/>
        <v>4146272</v>
      </c>
      <c r="R253" s="1671">
        <f t="shared" si="93"/>
        <v>4468494</v>
      </c>
      <c r="S253" s="1671">
        <f t="shared" si="93"/>
        <v>4494230</v>
      </c>
      <c r="T253" s="1671">
        <f t="shared" si="93"/>
        <v>4417151</v>
      </c>
      <c r="U253" s="1671">
        <f t="shared" si="93"/>
        <v>4442200</v>
      </c>
      <c r="V253" s="1671">
        <f t="shared" si="93"/>
        <v>4833081</v>
      </c>
      <c r="W253" s="1671">
        <f t="shared" si="93"/>
        <v>4422644</v>
      </c>
      <c r="X253" s="1671">
        <f t="shared" si="93"/>
        <v>4120917</v>
      </c>
      <c r="Y253" s="1671">
        <f t="shared" si="93"/>
        <v>4475893</v>
      </c>
      <c r="Z253" s="1671">
        <f t="shared" si="93"/>
        <v>4931183</v>
      </c>
      <c r="AA253" s="1671">
        <f t="shared" si="93"/>
        <v>4425975</v>
      </c>
      <c r="AB253" s="1561">
        <f ca="1">SUM(OFFSET(AA253,0,当期月数):AA253)</f>
        <v>36069044</v>
      </c>
    </row>
    <row r="254" spans="1:28" ht="20.25" customHeight="1" x14ac:dyDescent="0.15">
      <c r="A254" s="1511" t="s">
        <v>1</v>
      </c>
      <c r="C254" s="1670" t="s">
        <v>1</v>
      </c>
      <c r="D254" s="1671">
        <f t="shared" ref="D254:AA254" si="94">D105</f>
        <v>3218370</v>
      </c>
      <c r="E254" s="1671">
        <f t="shared" si="94"/>
        <v>2893429</v>
      </c>
      <c r="F254" s="1671">
        <f t="shared" si="94"/>
        <v>3184472</v>
      </c>
      <c r="G254" s="1671">
        <f t="shared" si="94"/>
        <v>3124894</v>
      </c>
      <c r="H254" s="1671">
        <f t="shared" si="94"/>
        <v>3081346</v>
      </c>
      <c r="I254" s="1671">
        <f t="shared" si="94"/>
        <v>2989139</v>
      </c>
      <c r="J254" s="1671">
        <f t="shared" si="94"/>
        <v>2574677</v>
      </c>
      <c r="K254" s="1671">
        <f t="shared" si="94"/>
        <v>2853536</v>
      </c>
      <c r="L254" s="1671">
        <f t="shared" si="94"/>
        <v>2617181</v>
      </c>
      <c r="M254" s="1671">
        <f t="shared" si="94"/>
        <v>3057960</v>
      </c>
      <c r="N254" s="1671">
        <f t="shared" si="94"/>
        <v>3056897</v>
      </c>
      <c r="O254" s="1671">
        <f t="shared" si="94"/>
        <v>3183714</v>
      </c>
      <c r="P254" s="1671">
        <f t="shared" si="94"/>
        <v>3021707</v>
      </c>
      <c r="Q254" s="1671">
        <f t="shared" si="94"/>
        <v>2692178</v>
      </c>
      <c r="R254" s="1671">
        <f t="shared" si="94"/>
        <v>2546587</v>
      </c>
      <c r="S254" s="1671">
        <f t="shared" si="94"/>
        <v>2351469</v>
      </c>
      <c r="T254" s="1671">
        <f t="shared" si="94"/>
        <v>2112073</v>
      </c>
      <c r="U254" s="1671">
        <f t="shared" si="94"/>
        <v>2397265</v>
      </c>
      <c r="V254" s="1671">
        <f t="shared" si="94"/>
        <v>3521977</v>
      </c>
      <c r="W254" s="1671">
        <f t="shared" si="94"/>
        <v>2606315</v>
      </c>
      <c r="X254" s="1671">
        <f t="shared" si="94"/>
        <v>2627069</v>
      </c>
      <c r="Y254" s="1671">
        <f t="shared" si="94"/>
        <v>2515123</v>
      </c>
      <c r="Z254" s="1671">
        <f t="shared" si="94"/>
        <v>2498262</v>
      </c>
      <c r="AA254" s="1671">
        <f t="shared" si="94"/>
        <v>2462469</v>
      </c>
      <c r="AB254" s="1561">
        <f ca="1">SUM(OFFSET(AA254,0,当期月数):AA254)</f>
        <v>20740553</v>
      </c>
    </row>
    <row r="255" spans="1:28" ht="20.25" hidden="1" customHeight="1" x14ac:dyDescent="0.15">
      <c r="A255" s="1511" t="s">
        <v>0</v>
      </c>
      <c r="C255" s="1670" t="s">
        <v>0</v>
      </c>
      <c r="D255" s="1671">
        <f t="shared" ref="D255:AA255" si="95">D109</f>
        <v>596033</v>
      </c>
      <c r="E255" s="1671">
        <f t="shared" si="95"/>
        <v>0</v>
      </c>
      <c r="F255" s="1671">
        <f t="shared" si="95"/>
        <v>0</v>
      </c>
      <c r="G255" s="1671">
        <f t="shared" si="95"/>
        <v>0</v>
      </c>
      <c r="H255" s="1671">
        <f t="shared" si="95"/>
        <v>0</v>
      </c>
      <c r="I255" s="1671">
        <f t="shared" si="95"/>
        <v>0</v>
      </c>
      <c r="J255" s="1671">
        <f t="shared" si="95"/>
        <v>0</v>
      </c>
      <c r="K255" s="1671">
        <f t="shared" si="95"/>
        <v>0</v>
      </c>
      <c r="L255" s="1671">
        <f t="shared" si="95"/>
        <v>0</v>
      </c>
      <c r="M255" s="1671">
        <f t="shared" si="95"/>
        <v>0</v>
      </c>
      <c r="N255" s="1671">
        <f t="shared" si="95"/>
        <v>0</v>
      </c>
      <c r="O255" s="1671">
        <f t="shared" si="95"/>
        <v>0</v>
      </c>
      <c r="P255" s="1671">
        <f t="shared" si="95"/>
        <v>0</v>
      </c>
      <c r="Q255" s="1671">
        <f t="shared" si="95"/>
        <v>0</v>
      </c>
      <c r="R255" s="1671">
        <f t="shared" si="95"/>
        <v>0</v>
      </c>
      <c r="S255" s="1671">
        <f t="shared" si="95"/>
        <v>0</v>
      </c>
      <c r="T255" s="1671">
        <f t="shared" si="95"/>
        <v>0</v>
      </c>
      <c r="U255" s="1671">
        <f t="shared" si="95"/>
        <v>0</v>
      </c>
      <c r="V255" s="1671">
        <f t="shared" si="95"/>
        <v>0</v>
      </c>
      <c r="W255" s="1671">
        <f t="shared" si="95"/>
        <v>0</v>
      </c>
      <c r="X255" s="1671">
        <f t="shared" si="95"/>
        <v>0</v>
      </c>
      <c r="Y255" s="1671">
        <f t="shared" si="95"/>
        <v>0</v>
      </c>
      <c r="Z255" s="1671">
        <f t="shared" si="95"/>
        <v>0</v>
      </c>
      <c r="AA255" s="1671">
        <f t="shared" si="95"/>
        <v>0</v>
      </c>
      <c r="AB255" s="1561">
        <f ca="1">SUM(OFFSET(AA255,0,当期月数):AA255)</f>
        <v>0</v>
      </c>
    </row>
    <row r="256" spans="1:28" ht="20.25" customHeight="1" x14ac:dyDescent="0.15">
      <c r="A256" s="1511" t="s">
        <v>306</v>
      </c>
      <c r="C256" s="1670" t="s">
        <v>306</v>
      </c>
      <c r="D256" s="1671">
        <f t="shared" ref="D256:AA256" si="96">D115</f>
        <v>408033</v>
      </c>
      <c r="E256" s="1671">
        <f t="shared" si="96"/>
        <v>2686373</v>
      </c>
      <c r="F256" s="1671">
        <f t="shared" si="96"/>
        <v>1273066</v>
      </c>
      <c r="G256" s="1671">
        <f t="shared" si="96"/>
        <v>1036363</v>
      </c>
      <c r="H256" s="1671">
        <f t="shared" si="96"/>
        <v>1236162</v>
      </c>
      <c r="I256" s="1671">
        <f t="shared" si="96"/>
        <v>1051496</v>
      </c>
      <c r="J256" s="1671">
        <f t="shared" si="96"/>
        <v>1225409</v>
      </c>
      <c r="K256" s="1671">
        <f t="shared" si="96"/>
        <v>1036248</v>
      </c>
      <c r="L256" s="1671">
        <f t="shared" si="96"/>
        <v>809040</v>
      </c>
      <c r="M256" s="1671">
        <f t="shared" si="96"/>
        <v>741413</v>
      </c>
      <c r="N256" s="1671">
        <f t="shared" si="96"/>
        <v>820390</v>
      </c>
      <c r="O256" s="1671">
        <f t="shared" si="96"/>
        <v>859760</v>
      </c>
      <c r="P256" s="1671">
        <f t="shared" si="96"/>
        <v>1366814</v>
      </c>
      <c r="Q256" s="1671">
        <f t="shared" si="96"/>
        <v>548955</v>
      </c>
      <c r="R256" s="1671">
        <f t="shared" si="96"/>
        <v>1159974</v>
      </c>
      <c r="S256" s="1671">
        <f t="shared" si="96"/>
        <v>870546</v>
      </c>
      <c r="T256" s="1671">
        <f t="shared" si="96"/>
        <v>861636</v>
      </c>
      <c r="U256" s="1671">
        <f t="shared" si="96"/>
        <v>1139110</v>
      </c>
      <c r="V256" s="1671">
        <f t="shared" si="96"/>
        <v>1134937</v>
      </c>
      <c r="W256" s="1671">
        <f t="shared" si="96"/>
        <v>1175963</v>
      </c>
      <c r="X256" s="1671">
        <f t="shared" si="96"/>
        <v>1272363</v>
      </c>
      <c r="Y256" s="1671">
        <f t="shared" si="96"/>
        <v>1036423</v>
      </c>
      <c r="Z256" s="1671">
        <f t="shared" si="96"/>
        <v>1027444</v>
      </c>
      <c r="AA256" s="1671">
        <f t="shared" si="96"/>
        <v>1077061</v>
      </c>
      <c r="AB256" s="1561">
        <f ca="1">SUM(OFFSET(AA256,0,当期月数):AA256)</f>
        <v>8724937</v>
      </c>
    </row>
    <row r="257" spans="1:32" ht="20.25" customHeight="1" x14ac:dyDescent="0.15">
      <c r="A257" s="1511" t="s">
        <v>307</v>
      </c>
      <c r="C257" s="1670" t="s">
        <v>307</v>
      </c>
      <c r="D257" s="1671">
        <f t="shared" ref="D257:AA257" si="97">D121</f>
        <v>1119631</v>
      </c>
      <c r="E257" s="1671">
        <f t="shared" si="97"/>
        <v>2075072</v>
      </c>
      <c r="F257" s="1671">
        <f t="shared" si="97"/>
        <v>1101492</v>
      </c>
      <c r="G257" s="1671">
        <f t="shared" si="97"/>
        <v>1001492</v>
      </c>
      <c r="H257" s="1671">
        <f t="shared" si="97"/>
        <v>1015378</v>
      </c>
      <c r="I257" s="1671">
        <f t="shared" si="97"/>
        <v>1061492</v>
      </c>
      <c r="J257" s="1671">
        <f t="shared" si="97"/>
        <v>1000792</v>
      </c>
      <c r="K257" s="1671">
        <f t="shared" si="97"/>
        <v>1061492</v>
      </c>
      <c r="L257" s="1671">
        <f t="shared" si="97"/>
        <v>1016092</v>
      </c>
      <c r="M257" s="1671">
        <f t="shared" si="97"/>
        <v>939922</v>
      </c>
      <c r="N257" s="1671">
        <f t="shared" si="97"/>
        <v>1205836</v>
      </c>
      <c r="O257" s="1671">
        <f t="shared" si="97"/>
        <v>1038460</v>
      </c>
      <c r="P257" s="1671">
        <f t="shared" si="97"/>
        <v>1150795</v>
      </c>
      <c r="Q257" s="1671">
        <f t="shared" si="97"/>
        <v>1054056</v>
      </c>
      <c r="R257" s="1671">
        <f t="shared" si="97"/>
        <v>1085268</v>
      </c>
      <c r="S257" s="1671">
        <f t="shared" si="97"/>
        <v>923999</v>
      </c>
      <c r="T257" s="1671">
        <f t="shared" si="97"/>
        <v>1050085</v>
      </c>
      <c r="U257" s="1671">
        <f t="shared" si="97"/>
        <v>1087657</v>
      </c>
      <c r="V257" s="1671">
        <f t="shared" si="97"/>
        <v>1070236</v>
      </c>
      <c r="W257" s="1671">
        <f t="shared" si="97"/>
        <v>1102442</v>
      </c>
      <c r="X257" s="1671">
        <f t="shared" si="97"/>
        <v>1356442</v>
      </c>
      <c r="Y257" s="1671">
        <f t="shared" si="97"/>
        <v>1005836</v>
      </c>
      <c r="Z257" s="1671">
        <f t="shared" si="97"/>
        <v>973793</v>
      </c>
      <c r="AA257" s="1671">
        <f t="shared" si="97"/>
        <v>797482</v>
      </c>
      <c r="AB257" s="1561">
        <f ca="1">SUM(OFFSET(AA257,0,当期月数):AA257)</f>
        <v>8443973</v>
      </c>
    </row>
    <row r="258" spans="1:32" ht="20.25" customHeight="1" x14ac:dyDescent="0.15">
      <c r="A258" s="1511" t="s">
        <v>372</v>
      </c>
      <c r="C258" s="1670" t="s">
        <v>372</v>
      </c>
      <c r="D258" s="1671">
        <f t="shared" ref="D258:AA258" si="98">D127</f>
        <v>0</v>
      </c>
      <c r="E258" s="1671">
        <f t="shared" si="98"/>
        <v>1940389</v>
      </c>
      <c r="F258" s="1671">
        <f t="shared" si="98"/>
        <v>1965328</v>
      </c>
      <c r="G258" s="1671">
        <f t="shared" si="98"/>
        <v>1995197</v>
      </c>
      <c r="H258" s="1671">
        <f t="shared" si="98"/>
        <v>2133548</v>
      </c>
      <c r="I258" s="1671">
        <f t="shared" si="98"/>
        <v>3275498</v>
      </c>
      <c r="J258" s="1671">
        <f t="shared" si="98"/>
        <v>2705860</v>
      </c>
      <c r="K258" s="1671">
        <f t="shared" si="98"/>
        <v>2748469</v>
      </c>
      <c r="L258" s="1671">
        <f t="shared" si="98"/>
        <v>2696635</v>
      </c>
      <c r="M258" s="1671">
        <f t="shared" si="98"/>
        <v>2570319</v>
      </c>
      <c r="N258" s="1671">
        <f t="shared" si="98"/>
        <v>2819531</v>
      </c>
      <c r="O258" s="1671">
        <f t="shared" si="98"/>
        <v>2754232</v>
      </c>
      <c r="P258" s="1671">
        <f t="shared" si="98"/>
        <v>3771025</v>
      </c>
      <c r="Q258" s="1671">
        <f t="shared" si="98"/>
        <v>2469018</v>
      </c>
      <c r="R258" s="1671">
        <f t="shared" si="98"/>
        <v>2977988</v>
      </c>
      <c r="S258" s="1671">
        <f t="shared" si="98"/>
        <v>2468275</v>
      </c>
      <c r="T258" s="1671">
        <f t="shared" si="98"/>
        <v>2587385</v>
      </c>
      <c r="U258" s="1671">
        <f t="shared" si="98"/>
        <v>2800912</v>
      </c>
      <c r="V258" s="1671">
        <f t="shared" si="98"/>
        <v>2743866</v>
      </c>
      <c r="W258" s="1671">
        <f t="shared" si="98"/>
        <v>2807684</v>
      </c>
      <c r="X258" s="1671">
        <f t="shared" si="98"/>
        <v>2942481</v>
      </c>
      <c r="Y258" s="1671">
        <f t="shared" si="98"/>
        <v>2118435</v>
      </c>
      <c r="Z258" s="1671">
        <f t="shared" si="98"/>
        <v>1999507</v>
      </c>
      <c r="AA258" s="1671">
        <f t="shared" si="98"/>
        <v>2831820</v>
      </c>
      <c r="AB258" s="1561">
        <f ca="1">SUM(OFFSET(AA258,0,当期月数):AA258)</f>
        <v>20832090</v>
      </c>
    </row>
    <row r="259" spans="1:32" ht="20.25" customHeight="1" x14ac:dyDescent="0.15">
      <c r="A259" s="1511" t="s">
        <v>372</v>
      </c>
      <c r="C259" s="1670" t="s">
        <v>1494</v>
      </c>
      <c r="D259" s="1671">
        <f t="shared" ref="D259:AA259" si="99">D133</f>
        <v>0</v>
      </c>
      <c r="E259" s="1671">
        <f t="shared" si="99"/>
        <v>0</v>
      </c>
      <c r="F259" s="1671">
        <f t="shared" si="99"/>
        <v>0</v>
      </c>
      <c r="G259" s="1671">
        <f t="shared" si="99"/>
        <v>0</v>
      </c>
      <c r="H259" s="1671">
        <f t="shared" si="99"/>
        <v>0</v>
      </c>
      <c r="I259" s="1671">
        <f t="shared" si="99"/>
        <v>0</v>
      </c>
      <c r="J259" s="1671">
        <f t="shared" si="99"/>
        <v>0</v>
      </c>
      <c r="K259" s="1671">
        <f t="shared" si="99"/>
        <v>0</v>
      </c>
      <c r="L259" s="1671">
        <f t="shared" si="99"/>
        <v>0</v>
      </c>
      <c r="M259" s="1671">
        <f t="shared" si="99"/>
        <v>0</v>
      </c>
      <c r="N259" s="1671">
        <f t="shared" si="99"/>
        <v>0</v>
      </c>
      <c r="O259" s="1671">
        <f t="shared" si="99"/>
        <v>0</v>
      </c>
      <c r="P259" s="1671">
        <f t="shared" si="99"/>
        <v>0</v>
      </c>
      <c r="Q259" s="1671">
        <f t="shared" si="99"/>
        <v>0</v>
      </c>
      <c r="R259" s="1671">
        <f t="shared" si="99"/>
        <v>0</v>
      </c>
      <c r="S259" s="1671">
        <f t="shared" si="99"/>
        <v>0</v>
      </c>
      <c r="T259" s="1671">
        <f t="shared" si="99"/>
        <v>0</v>
      </c>
      <c r="U259" s="1671">
        <f t="shared" si="99"/>
        <v>0</v>
      </c>
      <c r="V259" s="1671">
        <f t="shared" si="99"/>
        <v>16000</v>
      </c>
      <c r="W259" s="1671">
        <f t="shared" si="99"/>
        <v>40000</v>
      </c>
      <c r="X259" s="1671">
        <f t="shared" si="99"/>
        <v>40000</v>
      </c>
      <c r="Y259" s="1671">
        <f t="shared" si="99"/>
        <v>1476188</v>
      </c>
      <c r="Z259" s="1671">
        <f t="shared" si="99"/>
        <v>1775131</v>
      </c>
      <c r="AA259" s="1671">
        <f t="shared" si="99"/>
        <v>2077332</v>
      </c>
      <c r="AB259" s="1561">
        <f ca="1">SUM(OFFSET(AA259,0,当期月数):AA259)</f>
        <v>5424651</v>
      </c>
    </row>
    <row r="260" spans="1:32" ht="20.25" customHeight="1" x14ac:dyDescent="0.15">
      <c r="A260" s="1511" t="s">
        <v>339</v>
      </c>
      <c r="C260" s="1670" t="s">
        <v>339</v>
      </c>
      <c r="D260" s="1671">
        <f t="shared" ref="D260:AA260" si="100">D145</f>
        <v>3011624</v>
      </c>
      <c r="E260" s="1671">
        <f t="shared" si="100"/>
        <v>2812785</v>
      </c>
      <c r="F260" s="1671">
        <f t="shared" si="100"/>
        <v>3216466</v>
      </c>
      <c r="G260" s="1671">
        <f t="shared" si="100"/>
        <v>3129590</v>
      </c>
      <c r="H260" s="1671">
        <f t="shared" si="100"/>
        <v>3185656</v>
      </c>
      <c r="I260" s="1671">
        <f t="shared" si="100"/>
        <v>3195164</v>
      </c>
      <c r="J260" s="1671">
        <f t="shared" si="100"/>
        <v>3133826</v>
      </c>
      <c r="K260" s="1671">
        <f t="shared" si="100"/>
        <v>3119675</v>
      </c>
      <c r="L260" s="1671">
        <f t="shared" si="100"/>
        <v>2345767</v>
      </c>
      <c r="M260" s="1671">
        <f t="shared" si="100"/>
        <v>2169663</v>
      </c>
      <c r="N260" s="1671">
        <f t="shared" si="100"/>
        <v>2256558</v>
      </c>
      <c r="O260" s="1671">
        <f t="shared" si="100"/>
        <v>1960949</v>
      </c>
      <c r="P260" s="1671">
        <f t="shared" si="100"/>
        <v>1955643</v>
      </c>
      <c r="Q260" s="1671">
        <f t="shared" si="100"/>
        <v>1889542</v>
      </c>
      <c r="R260" s="1671">
        <f t="shared" si="100"/>
        <v>1614388</v>
      </c>
      <c r="S260" s="1671">
        <f t="shared" si="100"/>
        <v>1444523</v>
      </c>
      <c r="T260" s="1671">
        <f t="shared" si="100"/>
        <v>1128956</v>
      </c>
      <c r="U260" s="1671">
        <f t="shared" si="100"/>
        <v>0</v>
      </c>
      <c r="V260" s="1671">
        <f t="shared" si="100"/>
        <v>0</v>
      </c>
      <c r="W260" s="1671">
        <f t="shared" si="100"/>
        <v>0</v>
      </c>
      <c r="X260" s="1671">
        <f t="shared" si="100"/>
        <v>0</v>
      </c>
      <c r="Y260" s="1671">
        <f t="shared" si="100"/>
        <v>0</v>
      </c>
      <c r="Z260" s="1671">
        <f t="shared" si="100"/>
        <v>0</v>
      </c>
      <c r="AA260" s="1671">
        <f t="shared" si="100"/>
        <v>0</v>
      </c>
      <c r="AB260" s="1561">
        <f ca="1">SUM(OFFSET(AA260,0,当期月数):AA260)</f>
        <v>1128956</v>
      </c>
    </row>
    <row r="261" spans="1:32" s="1651" customFormat="1" ht="20.25" customHeight="1" x14ac:dyDescent="0.15">
      <c r="B261" s="1672"/>
      <c r="C261" s="1673" t="s">
        <v>14</v>
      </c>
      <c r="D261" s="1643">
        <f t="shared" ref="D261:L261" si="101">SUM(D247:D260)</f>
        <v>32703033</v>
      </c>
      <c r="E261" s="1643">
        <f t="shared" si="101"/>
        <v>36915821</v>
      </c>
      <c r="F261" s="1643">
        <f t="shared" si="101"/>
        <v>36080296</v>
      </c>
      <c r="G261" s="1643">
        <f t="shared" si="101"/>
        <v>34899186</v>
      </c>
      <c r="H261" s="1643">
        <f t="shared" si="101"/>
        <v>35916200</v>
      </c>
      <c r="I261" s="1643">
        <f>SUM(I247:I260)</f>
        <v>37696511</v>
      </c>
      <c r="J261" s="1643">
        <f t="shared" si="101"/>
        <v>35721077</v>
      </c>
      <c r="K261" s="1643">
        <f t="shared" si="101"/>
        <v>35713004</v>
      </c>
      <c r="L261" s="1643">
        <f t="shared" si="101"/>
        <v>34507019</v>
      </c>
      <c r="M261" s="1643">
        <f t="shared" ref="M261:R261" si="102">SUM(M247:M260)</f>
        <v>33718137</v>
      </c>
      <c r="N261" s="1643">
        <f t="shared" si="102"/>
        <v>35034097</v>
      </c>
      <c r="O261" s="1643">
        <f t="shared" si="102"/>
        <v>39122247</v>
      </c>
      <c r="P261" s="1643">
        <f t="shared" si="102"/>
        <v>39669030</v>
      </c>
      <c r="Q261" s="1643">
        <f t="shared" si="102"/>
        <v>36072718</v>
      </c>
      <c r="R261" s="1643">
        <f t="shared" si="102"/>
        <v>38549836</v>
      </c>
      <c r="S261" s="1643">
        <f>SUM(S247:S260)</f>
        <v>36710781</v>
      </c>
      <c r="T261" s="1643">
        <f t="shared" ref="T261:Z261" si="103">SUM(T247:T260)</f>
        <v>37521491</v>
      </c>
      <c r="U261" s="1643">
        <f t="shared" si="103"/>
        <v>41221792</v>
      </c>
      <c r="V261" s="1643">
        <f t="shared" si="103"/>
        <v>42264853</v>
      </c>
      <c r="W261" s="1643">
        <f t="shared" si="103"/>
        <v>40284538</v>
      </c>
      <c r="X261" s="1643">
        <f t="shared" si="103"/>
        <v>39982277</v>
      </c>
      <c r="Y261" s="1643">
        <f t="shared" si="103"/>
        <v>38690450</v>
      </c>
      <c r="Z261" s="1643">
        <f t="shared" si="103"/>
        <v>40045253</v>
      </c>
      <c r="AA261" s="1643">
        <f>SUM(AA247:AA260)</f>
        <v>41864718</v>
      </c>
      <c r="AB261" s="1644">
        <f ca="1">SUM(OFFSET(AA261,0,当期月数):AA261)</f>
        <v>321875372</v>
      </c>
      <c r="AD261" s="1511"/>
      <c r="AE261" s="1511"/>
      <c r="AF261" s="1511"/>
    </row>
    <row r="262" spans="1:32" ht="20.25" customHeight="1" x14ac:dyDescent="0.15"/>
    <row r="267" spans="1:32" x14ac:dyDescent="0.15">
      <c r="AD267" s="1651"/>
      <c r="AE267" s="1651"/>
      <c r="AF267" s="1651"/>
    </row>
  </sheetData>
  <sheetProtection formatColumns="0" formatRows="0"/>
  <mergeCells count="53">
    <mergeCell ref="B4:B8"/>
    <mergeCell ref="B9:B13"/>
    <mergeCell ref="B14:B17"/>
    <mergeCell ref="B28:B29"/>
    <mergeCell ref="B26:B27"/>
    <mergeCell ref="B18:B21"/>
    <mergeCell ref="B22:B25"/>
    <mergeCell ref="B38:C38"/>
    <mergeCell ref="B40:C40"/>
    <mergeCell ref="B39:C39"/>
    <mergeCell ref="B30:B31"/>
    <mergeCell ref="B32:B33"/>
    <mergeCell ref="B36:C36"/>
    <mergeCell ref="B34:B35"/>
    <mergeCell ref="B41:C41"/>
    <mergeCell ref="B53:C53"/>
    <mergeCell ref="B42:C42"/>
    <mergeCell ref="B45:C45"/>
    <mergeCell ref="B46:C46"/>
    <mergeCell ref="B50:C50"/>
    <mergeCell ref="B52:C52"/>
    <mergeCell ref="B47:C47"/>
    <mergeCell ref="B48:C48"/>
    <mergeCell ref="B43:C43"/>
    <mergeCell ref="B44:C44"/>
    <mergeCell ref="B49:C49"/>
    <mergeCell ref="C170:C182"/>
    <mergeCell ref="D170:D182"/>
    <mergeCell ref="E170:E182"/>
    <mergeCell ref="F170:F182"/>
    <mergeCell ref="B51:C51"/>
    <mergeCell ref="G170:G182"/>
    <mergeCell ref="H170:H182"/>
    <mergeCell ref="I170:I182"/>
    <mergeCell ref="J170:J182"/>
    <mergeCell ref="K170:K182"/>
    <mergeCell ref="L170:L182"/>
    <mergeCell ref="M170:M182"/>
    <mergeCell ref="N170:N182"/>
    <mergeCell ref="O170:O182"/>
    <mergeCell ref="P170:P182"/>
    <mergeCell ref="Q170:Q182"/>
    <mergeCell ref="R170:R182"/>
    <mergeCell ref="S170:S182"/>
    <mergeCell ref="T170:T182"/>
    <mergeCell ref="U170:U182"/>
    <mergeCell ref="AE5:AE7"/>
    <mergeCell ref="AA170:AA182"/>
    <mergeCell ref="V170:V182"/>
    <mergeCell ref="W170:W182"/>
    <mergeCell ref="X170:X182"/>
    <mergeCell ref="Y170:Y182"/>
    <mergeCell ref="Z170:Z182"/>
  </mergeCells>
  <phoneticPr fontId="41"/>
  <conditionalFormatting sqref="D4:AA17 AB148 D39:AA43 D247:AA251 D98:AA127 D253:AA258 D151:AA167 D140:AA148 D186:AA201 D260:AA261 D58:AA91 D26:AA36 D45:AA53">
    <cfRule type="expression" dxfId="362" priority="12">
      <formula>D4=0</formula>
    </cfRule>
  </conditionalFormatting>
  <conditionalFormatting sqref="D170:AA182">
    <cfRule type="expression" dxfId="361" priority="11">
      <formula>D$170&lt;&gt;""</formula>
    </cfRule>
  </conditionalFormatting>
  <conditionalFormatting sqref="D18:AA21">
    <cfRule type="expression" dxfId="360" priority="10">
      <formula>D18=0</formula>
    </cfRule>
  </conditionalFormatting>
  <conditionalFormatting sqref="D92:AA97">
    <cfRule type="expression" dxfId="359" priority="8">
      <formula>D92=0</formula>
    </cfRule>
  </conditionalFormatting>
  <conditionalFormatting sqref="D22:AA25">
    <cfRule type="expression" dxfId="358" priority="7">
      <formula>D22=0</formula>
    </cfRule>
  </conditionalFormatting>
  <conditionalFormatting sqref="D44:AA44">
    <cfRule type="expression" dxfId="357" priority="6">
      <formula>D44=0</formula>
    </cfRule>
  </conditionalFormatting>
  <conditionalFormatting sqref="D252:AA252">
    <cfRule type="expression" dxfId="356" priority="5">
      <formula>D252=0</formula>
    </cfRule>
  </conditionalFormatting>
  <conditionalFormatting sqref="D202:AB202">
    <cfRule type="expression" dxfId="355" priority="4">
      <formula>D202=0</formula>
    </cfRule>
  </conditionalFormatting>
  <conditionalFormatting sqref="D134:AA139">
    <cfRule type="expression" dxfId="354" priority="3">
      <formula>D134=0</formula>
    </cfRule>
  </conditionalFormatting>
  <conditionalFormatting sqref="D128:AA133">
    <cfRule type="expression" dxfId="353" priority="2">
      <formula>D128=0</formula>
    </cfRule>
  </conditionalFormatting>
  <conditionalFormatting sqref="D259:AA259">
    <cfRule type="expression" dxfId="352" priority="1">
      <formula>D259=0</formula>
    </cfRule>
  </conditionalFormatting>
  <pageMargins left="0.27559055118110237" right="0.19685039370078741" top="0.39370078740157483" bottom="0.15748031496062992" header="0.19685039370078741" footer="0.19685039370078741"/>
  <pageSetup paperSize="8" scale="55" orientation="portrait" r:id="rId1"/>
  <headerFooter>
    <oddHeader xml:space="preserve">&amp;L&amp;A&amp;R&amp;D 印刷 </oddHeader>
    <oddFooter>&amp;L介護サービス友乃家&amp;C&amp;P／&amp;N&amp;R&amp;F</oddFooter>
  </headerFooter>
  <rowBreaks count="1" manualBreakCount="1">
    <brk id="183" min="1" max="27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A1:W100"/>
  <sheetViews>
    <sheetView zoomScale="80" zoomScaleNormal="80" workbookViewId="0">
      <pane xSplit="1" ySplit="2" topLeftCell="B51" activePane="bottomRight" state="frozen"/>
      <selection pane="topRight" activeCell="B1" sqref="B1"/>
      <selection pane="bottomLeft" activeCell="A3" sqref="A3"/>
      <selection pane="bottomRight" activeCell="N61" sqref="N61"/>
    </sheetView>
  </sheetViews>
  <sheetFormatPr defaultColWidth="10" defaultRowHeight="13.5" x14ac:dyDescent="0.15"/>
  <cols>
    <col min="1" max="1" width="14.125" style="16" customWidth="1"/>
    <col min="2" max="18" width="13.625" style="16" customWidth="1"/>
    <col min="19" max="19" width="13.625" style="16" hidden="1" customWidth="1"/>
    <col min="20" max="20" width="22.875" style="16" customWidth="1"/>
    <col min="21" max="21" width="9.375" style="16" customWidth="1"/>
    <col min="22" max="22" width="9.75" style="16" bestFit="1" customWidth="1"/>
    <col min="23" max="23" width="11.25" style="16" customWidth="1"/>
    <col min="24" max="16384" width="10" style="16"/>
  </cols>
  <sheetData>
    <row r="1" spans="1:23" ht="42" customHeight="1" x14ac:dyDescent="0.15">
      <c r="A1" s="15" t="s">
        <v>193</v>
      </c>
    </row>
    <row r="2" spans="1:23" ht="19.5" customHeight="1" x14ac:dyDescent="0.15">
      <c r="A2" s="17" t="s">
        <v>68</v>
      </c>
      <c r="B2" s="17" t="s">
        <v>69</v>
      </c>
      <c r="C2" s="17" t="s">
        <v>70</v>
      </c>
      <c r="D2" s="17" t="s">
        <v>71</v>
      </c>
      <c r="E2" s="17" t="s">
        <v>72</v>
      </c>
      <c r="F2" s="17" t="s">
        <v>73</v>
      </c>
      <c r="G2" s="17" t="s">
        <v>74</v>
      </c>
      <c r="H2" s="18" t="s">
        <v>75</v>
      </c>
      <c r="I2" s="672" t="s">
        <v>765</v>
      </c>
      <c r="J2" s="544" t="s">
        <v>506</v>
      </c>
      <c r="K2" s="190" t="s">
        <v>507</v>
      </c>
      <c r="L2" s="18" t="s">
        <v>76</v>
      </c>
      <c r="M2" s="194" t="s">
        <v>274</v>
      </c>
      <c r="N2" s="194" t="s">
        <v>275</v>
      </c>
      <c r="O2" s="18" t="s">
        <v>276</v>
      </c>
      <c r="P2" s="18" t="s">
        <v>277</v>
      </c>
      <c r="Q2" s="194" t="s">
        <v>278</v>
      </c>
      <c r="R2" s="544" t="s">
        <v>499</v>
      </c>
      <c r="S2" s="1927" t="s">
        <v>1489</v>
      </c>
      <c r="T2" s="22" t="s">
        <v>77</v>
      </c>
    </row>
    <row r="3" spans="1:23" ht="19.5" customHeight="1" x14ac:dyDescent="0.15">
      <c r="A3" s="666">
        <f>EDATE(A4,-1)</f>
        <v>41760</v>
      </c>
      <c r="B3" s="202">
        <f>IFERROR(GETPIVOTDATA("合計 / " &amp; B$2 &amp; "給与",【ピボット】事業所収支!$A$3,"年月",$A3),#N/A)</f>
        <v>6921646</v>
      </c>
      <c r="C3" s="202">
        <f>IFERROR(GETPIVOTDATA("合計 / " &amp; C$2 &amp; "給与",【ピボット】事業所収支!$A$3,"年月",$A3),#N/A)</f>
        <v>7295649</v>
      </c>
      <c r="D3" s="202">
        <f>IFERROR(GETPIVOTDATA("合計 / " &amp; D$2,【ピボット】事業所収支!$A$3,"年月",$A3),#N/A)</f>
        <v>0</v>
      </c>
      <c r="E3" s="202">
        <f>IFERROR(GETPIVOTDATA("合計 / " &amp; E$2 &amp; "給与",【ピボット】事業所収支!$A$3,"年月",$A3),#N/A)</f>
        <v>950000</v>
      </c>
      <c r="F3" s="202">
        <f>IFERROR(GETPIVOTDATA("合計 / " &amp; F$2,【ピボット】事業所収支!$A$3,"年月",$A3),#N/A)</f>
        <v>36725</v>
      </c>
      <c r="G3" s="202">
        <f>IFERROR(GETPIVOTDATA("合計 / " &amp; G$2,【ピボット】事業所収支!$A$3,"年月",$A3),#N/A)</f>
        <v>1176289</v>
      </c>
      <c r="H3" s="19">
        <f>IFERROR(GETPIVOTDATA("合計 / " &amp; H$2,【ピボット】事業所収支!$A$3,"年月",$A3),#N/A)</f>
        <v>16380309</v>
      </c>
      <c r="I3" s="19">
        <f>IFERROR(GETPIVOTDATA("合計 / " &amp; I$2&amp;"計",【ピボット】事業所収支!$A$3,"年月",$A3),#N/A)</f>
        <v>6360821</v>
      </c>
      <c r="J3" s="19">
        <f>IFERROR(GETPIVOTDATA("合計 / " &amp; J$2,【ピボット】事業所収支!$A$3,"年月",$A3),#N/A)</f>
        <v>0</v>
      </c>
      <c r="K3" s="191">
        <f>SUM(H3:I3)-J3</f>
        <v>22741130</v>
      </c>
      <c r="L3" s="19">
        <f>IFERROR(GETPIVOTDATA("合計 / " &amp; L$2,【ピボット】事業所収支!$A$3,"年月",$A3),#N/A)</f>
        <v>21720031</v>
      </c>
      <c r="M3" s="201">
        <f t="shared" ref="M3:M34" si="0">IFERROR(H3/L3,#N/A)</f>
        <v>0.75415679655337509</v>
      </c>
      <c r="N3" s="191">
        <f>L3-K3</f>
        <v>-1021099</v>
      </c>
      <c r="O3" s="19">
        <f>IFERROR(GETPIVOTDATA("合計 / " &amp; O$2,【ピボット】事業所収支!$A$3,"年月",$A3),#N/A)</f>
        <v>10805</v>
      </c>
      <c r="P3" s="19">
        <f>IFERROR(GETPIVOTDATA("合計 / " &amp; P$2,【ピボット】事業所収支!$A$3,"年月",$A3),#N/A)</f>
        <v>179638</v>
      </c>
      <c r="Q3" s="191">
        <f>N3+O3-P3</f>
        <v>-1189932</v>
      </c>
      <c r="R3" s="19">
        <f>IFERROR(GETPIVOTDATA("合計 / " &amp; R$2,【ピボット】事業所収支!$A$3,"年月",$A3),#N/A)</f>
        <v>0</v>
      </c>
      <c r="S3" s="19">
        <f ca="1">L$64</f>
        <v>39406478.083333336</v>
      </c>
      <c r="T3" s="21"/>
      <c r="V3" s="195"/>
    </row>
    <row r="4" spans="1:23" ht="19.5" customHeight="1" x14ac:dyDescent="0.15">
      <c r="A4" s="666">
        <f>EDATE(A5,-1)</f>
        <v>41791</v>
      </c>
      <c r="B4" s="202">
        <f>IFERROR(GETPIVOTDATA("合計 / " &amp; B$2 &amp; "給与",【ピボット】事業所収支!$A$3,"年月",$A4),#N/A)</f>
        <v>6812061.5</v>
      </c>
      <c r="C4" s="202">
        <f>IFERROR(GETPIVOTDATA("合計 / " &amp; C$2 &amp; "給与",【ピボット】事業所収支!$A$3,"年月",$A4),#N/A)</f>
        <v>6422270</v>
      </c>
      <c r="D4" s="202">
        <f>IFERROR(GETPIVOTDATA("合計 / " &amp; D$2,【ピボット】事業所収支!$A$3,"年月",$A4),#N/A)</f>
        <v>3540000</v>
      </c>
      <c r="E4" s="202">
        <f>IFERROR(GETPIVOTDATA("合計 / " &amp; E$2 &amp; "給与",【ピボット】事業所収支!$A$3,"年月",$A4),#N/A)</f>
        <v>950000</v>
      </c>
      <c r="F4" s="202">
        <f>IFERROR(GETPIVOTDATA("合計 / " &amp; F$2,【ピボット】事業所収支!$A$3,"年月",$A4),#N/A)</f>
        <v>42981</v>
      </c>
      <c r="G4" s="202">
        <f>IFERROR(GETPIVOTDATA("合計 / " &amp; G$2,【ピボット】事業所収支!$A$3,"年月",$A4),#N/A)</f>
        <v>658822</v>
      </c>
      <c r="H4" s="19">
        <f>IFERROR(GETPIVOTDATA("合計 / " &amp; H$2,【ピボット】事業所収支!$A$3,"年月",$A4),#N/A)</f>
        <v>18426134.5</v>
      </c>
      <c r="I4" s="19">
        <f>IFERROR(GETPIVOTDATA("合計 / " &amp; I$2&amp;"計",【ピボット】事業所収支!$A$3,"年月",$A4),#N/A)</f>
        <v>5885914</v>
      </c>
      <c r="J4" s="19">
        <f>IFERROR(GETPIVOTDATA("合計 / " &amp; J$2,【ピボット】事業所収支!$A$3,"年月",$A4),#N/A)</f>
        <v>0</v>
      </c>
      <c r="K4" s="191">
        <f t="shared" ref="K4:K62" si="1">SUM(H4:I4)-J4</f>
        <v>24312048.5</v>
      </c>
      <c r="L4" s="19">
        <f>IFERROR(GETPIVOTDATA("合計 / " &amp; L$2,【ピボット】事業所収支!$A$3,"年月",$A4),#N/A)</f>
        <v>24686903</v>
      </c>
      <c r="M4" s="201">
        <f t="shared" si="0"/>
        <v>0.74639311784066231</v>
      </c>
      <c r="N4" s="191">
        <f>L4-K4</f>
        <v>374854.5</v>
      </c>
      <c r="O4" s="19">
        <f>IFERROR(GETPIVOTDATA("合計 / " &amp; O$2,【ピボット】事業所収支!$A$3,"年月",$A4),#N/A)</f>
        <v>6725</v>
      </c>
      <c r="P4" s="19">
        <f>IFERROR(GETPIVOTDATA("合計 / " &amp; P$2,【ピボット】事業所収支!$A$3,"年月",$A4),#N/A)</f>
        <v>184799</v>
      </c>
      <c r="Q4" s="191">
        <f>N4+O4-P4</f>
        <v>196780.5</v>
      </c>
      <c r="R4" s="19">
        <f>IFERROR(GETPIVOTDATA("合計 / " &amp; R$2,【ピボット】事業所収支!$A$3,"年月",$A4),#N/A)</f>
        <v>0</v>
      </c>
      <c r="S4" s="19">
        <f t="shared" ref="S4:S62" ca="1" si="2">L$64</f>
        <v>39406478.083333336</v>
      </c>
      <c r="T4" s="25"/>
      <c r="U4" s="671"/>
      <c r="V4" s="195"/>
    </row>
    <row r="5" spans="1:23" ht="19.5" customHeight="1" x14ac:dyDescent="0.15">
      <c r="A5" s="666">
        <f>EDATE(A6,-1)</f>
        <v>41821</v>
      </c>
      <c r="B5" s="202">
        <f>IFERROR(GETPIVOTDATA("合計 / " &amp; B$2 &amp; "給与",【ピボット】事業所収支!$A$3,"年月",$A5),#N/A)</f>
        <v>7280295</v>
      </c>
      <c r="C5" s="202">
        <f>IFERROR(GETPIVOTDATA("合計 / " &amp; C$2 &amp; "給与",【ピボット】事業所収支!$A$3,"年月",$A5),#N/A)</f>
        <v>6282143</v>
      </c>
      <c r="D5" s="202">
        <f>IFERROR(GETPIVOTDATA("合計 / " &amp; D$2,【ピボット】事業所収支!$A$3,"年月",$A5),#N/A)</f>
        <v>0</v>
      </c>
      <c r="E5" s="202">
        <f>IFERROR(GETPIVOTDATA("合計 / " &amp; E$2 &amp; "給与",【ピボット】事業所収支!$A$3,"年月",$A5),#N/A)</f>
        <v>950000</v>
      </c>
      <c r="F5" s="202">
        <f>IFERROR(GETPIVOTDATA("合計 / " &amp; F$2,【ピボット】事業所収支!$A$3,"年月",$A5),#N/A)</f>
        <v>285471</v>
      </c>
      <c r="G5" s="202">
        <f>IFERROR(GETPIVOTDATA("合計 / " &amp; G$2,【ピボット】事業所収支!$A$3,"年月",$A5),#N/A)</f>
        <v>2937839</v>
      </c>
      <c r="H5" s="19">
        <f>IFERROR(GETPIVOTDATA("合計 / " &amp; H$2,【ピボット】事業所収支!$A$3,"年月",$A5),#N/A)</f>
        <v>17735748</v>
      </c>
      <c r="I5" s="19">
        <f>IFERROR(GETPIVOTDATA("合計 / " &amp; I$2&amp;"計",【ピボット】事業所収支!$A$3,"年月",$A5),#N/A)</f>
        <v>5839285</v>
      </c>
      <c r="J5" s="19">
        <f>IFERROR(GETPIVOTDATA("合計 / " &amp; J$2,【ピボット】事業所収支!$A$3,"年月",$A5),#N/A)</f>
        <v>0</v>
      </c>
      <c r="K5" s="191">
        <f t="shared" si="1"/>
        <v>23575033</v>
      </c>
      <c r="L5" s="19">
        <f>IFERROR(GETPIVOTDATA("合計 / " &amp; L$2,【ピボット】事業所収支!$A$3,"年月",$A5),#N/A)</f>
        <v>21453898</v>
      </c>
      <c r="M5" s="201">
        <f t="shared" si="0"/>
        <v>0.82669116819703348</v>
      </c>
      <c r="N5" s="191">
        <f t="shared" ref="N5:N27" si="3">L5-K5</f>
        <v>-2121135</v>
      </c>
      <c r="O5" s="19">
        <f>IFERROR(GETPIVOTDATA("合計 / " &amp; O$2,【ピボット】事業所収支!$A$3,"年月",$A5),#N/A)</f>
        <v>4989</v>
      </c>
      <c r="P5" s="19">
        <f>IFERROR(GETPIVOTDATA("合計 / " &amp; P$2,【ピボット】事業所収支!$A$3,"年月",$A5),#N/A)</f>
        <v>165917</v>
      </c>
      <c r="Q5" s="191">
        <f t="shared" ref="Q5:Q13" si="4">N5+O5-P5</f>
        <v>-2282063</v>
      </c>
      <c r="R5" s="19">
        <f>IFERROR(GETPIVOTDATA("合計 / " &amp; R$2,【ピボット】事業所収支!$A$3,"年月",$A5),#N/A)</f>
        <v>0</v>
      </c>
      <c r="S5" s="19">
        <f t="shared" ca="1" si="2"/>
        <v>39406478.083333336</v>
      </c>
      <c r="T5" s="23"/>
      <c r="U5" s="671"/>
      <c r="V5" s="195"/>
    </row>
    <row r="6" spans="1:23" ht="19.5" customHeight="1" x14ac:dyDescent="0.15">
      <c r="A6" s="666">
        <f>EDATE(A7,-1)</f>
        <v>41852</v>
      </c>
      <c r="B6" s="202">
        <f>IFERROR(GETPIVOTDATA("合計 / " &amp; B$2 &amp; "給与",【ピボット】事業所収支!$A$3,"年月",$A6),#N/A)</f>
        <v>7084049</v>
      </c>
      <c r="C6" s="202">
        <f>IFERROR(GETPIVOTDATA("合計 / " &amp; C$2 &amp; "給与",【ピボット】事業所収支!$A$3,"年月",$A6),#N/A)</f>
        <v>6942709</v>
      </c>
      <c r="D6" s="202">
        <f>IFERROR(GETPIVOTDATA("合計 / " &amp; D$2,【ピボット】事業所収支!$A$3,"年月",$A6),#N/A)</f>
        <v>0</v>
      </c>
      <c r="E6" s="202">
        <f>IFERROR(GETPIVOTDATA("合計 / " &amp; E$2 &amp; "給与",【ピボット】事業所収支!$A$3,"年月",$A6),#N/A)</f>
        <v>950000</v>
      </c>
      <c r="F6" s="202">
        <f>IFERROR(GETPIVOTDATA("合計 / " &amp; F$2,【ピボット】事業所収支!$A$3,"年月",$A6),#N/A)</f>
        <v>14407</v>
      </c>
      <c r="G6" s="202">
        <f>IFERROR(GETPIVOTDATA("合計 / " &amp; G$2,【ピボット】事業所収支!$A$3,"年月",$A6),#N/A)</f>
        <v>1007674</v>
      </c>
      <c r="H6" s="19">
        <f>IFERROR(GETPIVOTDATA("合計 / " &amp; H$2,【ピボット】事業所収支!$A$3,"年月",$A6),#N/A)</f>
        <v>15998839</v>
      </c>
      <c r="I6" s="19">
        <f>IFERROR(GETPIVOTDATA("合計 / " &amp; I$2&amp;"計",【ピボット】事業所収支!$A$3,"年月",$A6),#N/A)</f>
        <v>5828265</v>
      </c>
      <c r="J6" s="19">
        <f>IFERROR(GETPIVOTDATA("合計 / " &amp; J$2,【ピボット】事業所収支!$A$3,"年月",$A6),#N/A)</f>
        <v>0</v>
      </c>
      <c r="K6" s="191">
        <f t="shared" si="1"/>
        <v>21827104</v>
      </c>
      <c r="L6" s="19">
        <f>IFERROR(GETPIVOTDATA("合計 / " &amp; L$2,【ピボット】事業所収支!$A$3,"年月",$A6),#N/A)</f>
        <v>22666809</v>
      </c>
      <c r="M6" s="201">
        <f t="shared" si="0"/>
        <v>0.70582670017645621</v>
      </c>
      <c r="N6" s="191">
        <f t="shared" si="3"/>
        <v>839705</v>
      </c>
      <c r="O6" s="19">
        <f>IFERROR(GETPIVOTDATA("合計 / " &amp; O$2,【ピボット】事業所収支!$A$3,"年月",$A6),#N/A)</f>
        <v>8538</v>
      </c>
      <c r="P6" s="19">
        <f>IFERROR(GETPIVOTDATA("合計 / " &amp; P$2,【ピボット】事業所収支!$A$3,"年月",$A6),#N/A)</f>
        <v>206545</v>
      </c>
      <c r="Q6" s="191">
        <f t="shared" si="4"/>
        <v>641698</v>
      </c>
      <c r="R6" s="19">
        <f>IFERROR(GETPIVOTDATA("合計 / " &amp; R$2,【ピボット】事業所収支!$A$3,"年月",$A6),#N/A)</f>
        <v>0</v>
      </c>
      <c r="S6" s="19">
        <f t="shared" ca="1" si="2"/>
        <v>39406478.083333336</v>
      </c>
      <c r="T6" s="23"/>
      <c r="U6" s="671"/>
    </row>
    <row r="7" spans="1:23" ht="19.5" customHeight="1" x14ac:dyDescent="0.15">
      <c r="A7" s="666">
        <f t="shared" ref="A7:A60" si="5">EDATE(A8,-1)</f>
        <v>41883</v>
      </c>
      <c r="B7" s="202">
        <f>IFERROR(GETPIVOTDATA("合計 / " &amp; B$2 &amp; "給与",【ピボット】事業所収支!$A$3,"年月",$A7),#N/A)</f>
        <v>6573757.5</v>
      </c>
      <c r="C7" s="202">
        <f>IFERROR(GETPIVOTDATA("合計 / " &amp; C$2 &amp; "給与",【ピボット】事業所収支!$A$3,"年月",$A7),#N/A)</f>
        <v>7747679</v>
      </c>
      <c r="D7" s="202">
        <f>IFERROR(GETPIVOTDATA("合計 / " &amp; D$2,【ピボット】事業所収支!$A$3,"年月",$A7),#N/A)</f>
        <v>0</v>
      </c>
      <c r="E7" s="202">
        <f>IFERROR(GETPIVOTDATA("合計 / " &amp; E$2 &amp; "給与",【ピボット】事業所収支!$A$3,"年月",$A7),#N/A)</f>
        <v>950000</v>
      </c>
      <c r="F7" s="202">
        <f>IFERROR(GETPIVOTDATA("合計 / " &amp; F$2,【ピボット】事業所収支!$A$3,"年月",$A7),#N/A)</f>
        <v>48639</v>
      </c>
      <c r="G7" s="202">
        <f>IFERROR(GETPIVOTDATA("合計 / " &amp; G$2,【ピボット】事業所収支!$A$3,"年月",$A7),#N/A)</f>
        <v>1097303</v>
      </c>
      <c r="H7" s="19">
        <f>IFERROR(GETPIVOTDATA("合計 / " &amp; H$2,【ピボット】事業所収支!$A$3,"年月",$A7),#N/A)</f>
        <v>16417378.5</v>
      </c>
      <c r="I7" s="19">
        <f>IFERROR(GETPIVOTDATA("合計 / " &amp; I$2&amp;"計",【ピボット】事業所収支!$A$3,"年月",$A7),#N/A)</f>
        <v>5491669</v>
      </c>
      <c r="J7" s="19">
        <f>IFERROR(GETPIVOTDATA("合計 / " &amp; J$2,【ピボット】事業所収支!$A$3,"年月",$A7),#N/A)</f>
        <v>0</v>
      </c>
      <c r="K7" s="191">
        <f t="shared" si="1"/>
        <v>21909047.5</v>
      </c>
      <c r="L7" s="19">
        <f>IFERROR(GETPIVOTDATA("合計 / " &amp; L$2,【ピボット】事業所収支!$A$3,"年月",$A7),#N/A)</f>
        <v>21435923</v>
      </c>
      <c r="M7" s="201">
        <f t="shared" si="0"/>
        <v>0.76588157645462718</v>
      </c>
      <c r="N7" s="191">
        <f t="shared" si="3"/>
        <v>-473124.5</v>
      </c>
      <c r="O7" s="19">
        <f>IFERROR(GETPIVOTDATA("合計 / " &amp; O$2,【ピボット】事業所収支!$A$3,"年月",$A7),#N/A)</f>
        <v>11478</v>
      </c>
      <c r="P7" s="19">
        <f>IFERROR(GETPIVOTDATA("合計 / " &amp; P$2,【ピボット】事業所収支!$A$3,"年月",$A7),#N/A)</f>
        <v>198632</v>
      </c>
      <c r="Q7" s="191">
        <f t="shared" si="4"/>
        <v>-660278.5</v>
      </c>
      <c r="R7" s="19">
        <f>IFERROR(GETPIVOTDATA("合計 / " &amp; R$2,【ピボット】事業所収支!$A$3,"年月",$A7),#N/A)</f>
        <v>0</v>
      </c>
      <c r="S7" s="19">
        <f t="shared" ca="1" si="2"/>
        <v>39406478.083333336</v>
      </c>
      <c r="T7" s="23"/>
      <c r="U7" s="671"/>
    </row>
    <row r="8" spans="1:23" ht="19.5" customHeight="1" x14ac:dyDescent="0.15">
      <c r="A8" s="666">
        <f t="shared" si="5"/>
        <v>41913</v>
      </c>
      <c r="B8" s="202">
        <f>IFERROR(GETPIVOTDATA("合計 / " &amp; B$2 &amp; "給与",【ピボット】事業所収支!$A$3,"年月",$A8),#N/A)</f>
        <v>6686957</v>
      </c>
      <c r="C8" s="202">
        <f>IFERROR(GETPIVOTDATA("合計 / " &amp; C$2 &amp; "給与",【ピボット】事業所収支!$A$3,"年月",$A8),#N/A)</f>
        <v>7579988</v>
      </c>
      <c r="D8" s="202">
        <f>IFERROR(GETPIVOTDATA("合計 / " &amp; D$2,【ピボット】事業所収支!$A$3,"年月",$A8),#N/A)</f>
        <v>0</v>
      </c>
      <c r="E8" s="202">
        <f>IFERROR(GETPIVOTDATA("合計 / " &amp; E$2 &amp; "給与",【ピボット】事業所収支!$A$3,"年月",$A8),#N/A)</f>
        <v>950000</v>
      </c>
      <c r="F8" s="202">
        <f>IFERROR(GETPIVOTDATA("合計 / " &amp; F$2,【ピボット】事業所収支!$A$3,"年月",$A8),#N/A)</f>
        <v>200379</v>
      </c>
      <c r="G8" s="202">
        <f>IFERROR(GETPIVOTDATA("合計 / " &amp; G$2,【ピボット】事業所収支!$A$3,"年月",$A8),#N/A)</f>
        <v>1864134.0000000002</v>
      </c>
      <c r="H8" s="19">
        <f>IFERROR(GETPIVOTDATA("合計 / " &amp; H$2,【ピボット】事業所収支!$A$3,"年月",$A8),#N/A)</f>
        <v>17281458</v>
      </c>
      <c r="I8" s="19">
        <f>IFERROR(GETPIVOTDATA("合計 / " &amp; I$2&amp;"計",【ピボット】事業所収支!$A$3,"年月",$A8),#N/A)</f>
        <v>5493239</v>
      </c>
      <c r="J8" s="19">
        <f>IFERROR(GETPIVOTDATA("合計 / " &amp; J$2,【ピボット】事業所収支!$A$3,"年月",$A8),#N/A)</f>
        <v>0</v>
      </c>
      <c r="K8" s="191">
        <f t="shared" si="1"/>
        <v>22774697</v>
      </c>
      <c r="L8" s="19">
        <f>IFERROR(GETPIVOTDATA("合計 / " &amp; L$2,【ピボット】事業所収支!$A$3,"年月",$A8),#N/A)</f>
        <v>21930282</v>
      </c>
      <c r="M8" s="201">
        <f t="shared" si="0"/>
        <v>0.78801804737394621</v>
      </c>
      <c r="N8" s="191">
        <f t="shared" si="3"/>
        <v>-844415</v>
      </c>
      <c r="O8" s="19">
        <f>IFERROR(GETPIVOTDATA("合計 / " &amp; O$2,【ピボット】事業所収支!$A$3,"年月",$A8),#N/A)</f>
        <v>4419</v>
      </c>
      <c r="P8" s="19">
        <f>IFERROR(GETPIVOTDATA("合計 / " &amp; P$2,【ピボット】事業所収支!$A$3,"年月",$A8),#N/A)</f>
        <v>186051</v>
      </c>
      <c r="Q8" s="191">
        <f t="shared" si="4"/>
        <v>-1026047</v>
      </c>
      <c r="R8" s="19">
        <f>IFERROR(GETPIVOTDATA("合計 / " &amp; R$2,【ピボット】事業所収支!$A$3,"年月",$A8),#N/A)</f>
        <v>0</v>
      </c>
      <c r="S8" s="19">
        <f t="shared" ca="1" si="2"/>
        <v>39406478.083333336</v>
      </c>
      <c r="T8" s="21"/>
      <c r="U8" s="671"/>
    </row>
    <row r="9" spans="1:23" ht="19.5" customHeight="1" x14ac:dyDescent="0.15">
      <c r="A9" s="666">
        <f t="shared" si="5"/>
        <v>41944</v>
      </c>
      <c r="B9" s="202">
        <f>IFERROR(GETPIVOTDATA("合計 / " &amp; B$2 &amp; "給与",【ピボット】事業所収支!$A$3,"年月",$A9),#N/A)</f>
        <v>6372684.5</v>
      </c>
      <c r="C9" s="202">
        <f>IFERROR(GETPIVOTDATA("合計 / " &amp; C$2 &amp; "給与",【ピボット】事業所収支!$A$3,"年月",$A9),#N/A)</f>
        <v>7842555</v>
      </c>
      <c r="D9" s="202">
        <f>IFERROR(GETPIVOTDATA("合計 / " &amp; D$2,【ピボット】事業所収支!$A$3,"年月",$A9),#N/A)</f>
        <v>0</v>
      </c>
      <c r="E9" s="202">
        <f>IFERROR(GETPIVOTDATA("合計 / " &amp; E$2 &amp; "給与",【ピボット】事業所収支!$A$3,"年月",$A9),#N/A)</f>
        <v>950000</v>
      </c>
      <c r="F9" s="202">
        <f>IFERROR(GETPIVOTDATA("合計 / " &amp; F$2,【ピボット】事業所収支!$A$3,"年月",$A9),#N/A)</f>
        <v>37826</v>
      </c>
      <c r="G9" s="202">
        <f>IFERROR(GETPIVOTDATA("合計 / " &amp; G$2,【ピボット】事業所収支!$A$3,"年月",$A9),#N/A)</f>
        <v>1279021</v>
      </c>
      <c r="H9" s="19">
        <f>IFERROR(GETPIVOTDATA("合計 / " &amp; H$2,【ピボット】事業所収支!$A$3,"年月",$A9),#N/A)</f>
        <v>16482086.5</v>
      </c>
      <c r="I9" s="19">
        <f>IFERROR(GETPIVOTDATA("合計 / " &amp; I$2&amp;"計",【ピボット】事業所収支!$A$3,"年月",$A9),#N/A)</f>
        <v>5260921</v>
      </c>
      <c r="J9" s="19">
        <f>IFERROR(GETPIVOTDATA("合計 / " &amp; J$2,【ピボット】事業所収支!$A$3,"年月",$A9),#N/A)</f>
        <v>0</v>
      </c>
      <c r="K9" s="191">
        <f t="shared" si="1"/>
        <v>21743007.5</v>
      </c>
      <c r="L9" s="19">
        <f>IFERROR(GETPIVOTDATA("合計 / " &amp; L$2,【ピボット】事業所収支!$A$3,"年月",$A9),#N/A)</f>
        <v>23533934</v>
      </c>
      <c r="M9" s="201">
        <f t="shared" si="0"/>
        <v>0.70035407169918973</v>
      </c>
      <c r="N9" s="191">
        <f t="shared" si="3"/>
        <v>1790926.5</v>
      </c>
      <c r="O9" s="19">
        <f>IFERROR(GETPIVOTDATA("合計 / " &amp; O$2,【ピボット】事業所収支!$A$3,"年月",$A9),#N/A)</f>
        <v>5111</v>
      </c>
      <c r="P9" s="19">
        <f>IFERROR(GETPIVOTDATA("合計 / " &amp; P$2,【ピボット】事業所収支!$A$3,"年月",$A9),#N/A)</f>
        <v>184183</v>
      </c>
      <c r="Q9" s="191">
        <f t="shared" si="4"/>
        <v>1611854.5</v>
      </c>
      <c r="R9" s="19">
        <f>IFERROR(GETPIVOTDATA("合計 / " &amp; R$2,【ピボット】事業所収支!$A$3,"年月",$A9),#N/A)</f>
        <v>0</v>
      </c>
      <c r="S9" s="19">
        <f t="shared" ca="1" si="2"/>
        <v>39406478.083333336</v>
      </c>
      <c r="T9" s="21"/>
      <c r="U9" s="671"/>
    </row>
    <row r="10" spans="1:23" ht="19.5" customHeight="1" x14ac:dyDescent="0.15">
      <c r="A10" s="666">
        <f t="shared" si="5"/>
        <v>41974</v>
      </c>
      <c r="B10" s="202">
        <f>IFERROR(GETPIVOTDATA("合計 / " &amp; B$2 &amp; "給与",【ピボット】事業所収支!$A$3,"年月",$A10),#N/A)</f>
        <v>7293219</v>
      </c>
      <c r="C10" s="202">
        <f>IFERROR(GETPIVOTDATA("合計 / " &amp; C$2 &amp; "給与",【ピボット】事業所収支!$A$3,"年月",$A10),#N/A)</f>
        <v>7596436</v>
      </c>
      <c r="D10" s="202">
        <f>IFERROR(GETPIVOTDATA("合計 / " &amp; D$2,【ピボット】事業所収支!$A$3,"年月",$A10),#N/A)</f>
        <v>3555920</v>
      </c>
      <c r="E10" s="202">
        <f>IFERROR(GETPIVOTDATA("合計 / " &amp; E$2 &amp; "給与",【ピボット】事業所収支!$A$3,"年月",$A10),#N/A)</f>
        <v>950000</v>
      </c>
      <c r="F10" s="202">
        <f>IFERROR(GETPIVOTDATA("合計 / " &amp; F$2,【ピボット】事業所収支!$A$3,"年月",$A10),#N/A)</f>
        <v>57393</v>
      </c>
      <c r="G10" s="202">
        <f>IFERROR(GETPIVOTDATA("合計 / " &amp; G$2,【ピボット】事業所収支!$A$3,"年月",$A10),#N/A)</f>
        <v>756748</v>
      </c>
      <c r="H10" s="19">
        <f>IFERROR(GETPIVOTDATA("合計 / " &amp; H$2,【ピボット】事業所収支!$A$3,"年月",$A10),#N/A)</f>
        <v>20209716</v>
      </c>
      <c r="I10" s="19">
        <f>IFERROR(GETPIVOTDATA("合計 / " &amp; I$2&amp;"計",【ピボット】事業所収支!$A$3,"年月",$A10),#N/A)</f>
        <v>6366695</v>
      </c>
      <c r="J10" s="19">
        <f>IFERROR(GETPIVOTDATA("合計 / " &amp; J$2,【ピボット】事業所収支!$A$3,"年月",$A10),#N/A)</f>
        <v>0</v>
      </c>
      <c r="K10" s="191">
        <f t="shared" si="1"/>
        <v>26576411</v>
      </c>
      <c r="L10" s="19">
        <f>IFERROR(GETPIVOTDATA("合計 / " &amp; L$2,【ピボット】事業所収支!$A$3,"年月",$A10),#N/A)</f>
        <v>23584633</v>
      </c>
      <c r="M10" s="201">
        <f t="shared" si="0"/>
        <v>0.85690186487107944</v>
      </c>
      <c r="N10" s="191">
        <f t="shared" si="3"/>
        <v>-2991778</v>
      </c>
      <c r="O10" s="19">
        <f>IFERROR(GETPIVOTDATA("合計 / " &amp; O$2,【ピボット】事業所収支!$A$3,"年月",$A10),#N/A)</f>
        <v>122898</v>
      </c>
      <c r="P10" s="19">
        <f>IFERROR(GETPIVOTDATA("合計 / " &amp; P$2,【ピボット】事業所収支!$A$3,"年月",$A10),#N/A)</f>
        <v>185796</v>
      </c>
      <c r="Q10" s="191">
        <f t="shared" si="4"/>
        <v>-3054676</v>
      </c>
      <c r="R10" s="19">
        <f>IFERROR(GETPIVOTDATA("合計 / " &amp; R$2,【ピボット】事業所収支!$A$3,"年月",$A10),#N/A)</f>
        <v>0</v>
      </c>
      <c r="S10" s="19">
        <f t="shared" ca="1" si="2"/>
        <v>39406478.083333336</v>
      </c>
      <c r="T10" s="23"/>
      <c r="U10" s="671"/>
    </row>
    <row r="11" spans="1:23" ht="19.5" customHeight="1" x14ac:dyDescent="0.15">
      <c r="A11" s="666">
        <f t="shared" si="5"/>
        <v>42005</v>
      </c>
      <c r="B11" s="202">
        <f>IFERROR(GETPIVOTDATA("合計 / " &amp; B$2 &amp; "給与",【ピボット】事業所収支!$A$3,"年月",$A11),#N/A)</f>
        <v>6724628.5</v>
      </c>
      <c r="C11" s="202">
        <f>IFERROR(GETPIVOTDATA("合計 / " &amp; C$2 &amp; "給与",【ピボット】事業所収支!$A$3,"年月",$A11),#N/A)</f>
        <v>7822814</v>
      </c>
      <c r="D11" s="202">
        <f>IFERROR(GETPIVOTDATA("合計 / " &amp; D$2,【ピボット】事業所収支!$A$3,"年月",$A11),#N/A)</f>
        <v>0</v>
      </c>
      <c r="E11" s="202">
        <f>IFERROR(GETPIVOTDATA("合計 / " &amp; E$2 &amp; "給与",【ピボット】事業所収支!$A$3,"年月",$A11),#N/A)</f>
        <v>950000</v>
      </c>
      <c r="F11" s="202">
        <f>IFERROR(GETPIVOTDATA("合計 / " &amp; F$2,【ピボット】事業所収支!$A$3,"年月",$A11),#N/A)</f>
        <v>379534</v>
      </c>
      <c r="G11" s="202">
        <f>IFERROR(GETPIVOTDATA("合計 / " &amp; G$2,【ピボット】事業所収支!$A$3,"年月",$A11),#N/A)</f>
        <v>2750005</v>
      </c>
      <c r="H11" s="19">
        <f>IFERROR(GETPIVOTDATA("合計 / " &amp; H$2,【ピボット】事業所収支!$A$3,"年月",$A11),#N/A)</f>
        <v>18626981.5</v>
      </c>
      <c r="I11" s="39">
        <f>IFERROR(GETPIVOTDATA("合計 / " &amp; I$2&amp;"計",【ピボット】事業所収支!$A$3,"年月",$A11),#N/A)</f>
        <v>5240866</v>
      </c>
      <c r="J11" s="39">
        <f>IFERROR(GETPIVOTDATA("合計 / " &amp; J$2,【ピボット】事業所収支!$A$3,"年月",$A11),#N/A)</f>
        <v>0</v>
      </c>
      <c r="K11" s="192">
        <f t="shared" si="1"/>
        <v>23867847.5</v>
      </c>
      <c r="L11" s="19">
        <f>IFERROR(GETPIVOTDATA("合計 / " &amp; L$2,【ピボット】事業所収支!$A$3,"年月",$A11),#N/A)</f>
        <v>23881357</v>
      </c>
      <c r="M11" s="201">
        <f t="shared" si="0"/>
        <v>0.77998002793559851</v>
      </c>
      <c r="N11" s="191">
        <f t="shared" si="3"/>
        <v>13509.5</v>
      </c>
      <c r="O11" s="19">
        <f>IFERROR(GETPIVOTDATA("合計 / " &amp; O$2,【ピボット】事業所収支!$A$3,"年月",$A11),#N/A)</f>
        <v>28900</v>
      </c>
      <c r="P11" s="19">
        <f>IFERROR(GETPIVOTDATA("合計 / " &amp; P$2,【ピボット】事業所収支!$A$3,"年月",$A11),#N/A)</f>
        <v>180381</v>
      </c>
      <c r="Q11" s="191">
        <f t="shared" si="4"/>
        <v>-137971.5</v>
      </c>
      <c r="R11" s="39">
        <f>IFERROR(GETPIVOTDATA("合計 / " &amp; R$2,【ピボット】事業所収支!$A$3,"年月",$A11),#N/A)</f>
        <v>0</v>
      </c>
      <c r="S11" s="19">
        <f t="shared" ca="1" si="2"/>
        <v>39406478.083333336</v>
      </c>
      <c r="T11" s="40"/>
      <c r="U11" s="671"/>
    </row>
    <row r="12" spans="1:23" ht="19.5" customHeight="1" x14ac:dyDescent="0.15">
      <c r="A12" s="666">
        <f t="shared" si="5"/>
        <v>42036</v>
      </c>
      <c r="B12" s="202">
        <f>IFERROR(GETPIVOTDATA("合計 / " &amp; B$2 &amp; "給与",【ピボット】事業所収支!$A$3,"年月",$A12),#N/A)</f>
        <v>6280975.5</v>
      </c>
      <c r="C12" s="202">
        <f>IFERROR(GETPIVOTDATA("合計 / " &amp; C$2 &amp; "給与",【ピボット】事業所収支!$A$3,"年月",$A12),#N/A)</f>
        <v>7552347</v>
      </c>
      <c r="D12" s="202">
        <f>IFERROR(GETPIVOTDATA("合計 / " &amp; D$2,【ピボット】事業所収支!$A$3,"年月",$A12),#N/A)</f>
        <v>0</v>
      </c>
      <c r="E12" s="202">
        <f>IFERROR(GETPIVOTDATA("合計 / " &amp; E$2 &amp; "給与",【ピボット】事業所収支!$A$3,"年月",$A12),#N/A)</f>
        <v>950000</v>
      </c>
      <c r="F12" s="202">
        <f>IFERROR(GETPIVOTDATA("合計 / " &amp; F$2,【ピボット】事業所収支!$A$3,"年月",$A12),#N/A)</f>
        <v>184391</v>
      </c>
      <c r="G12" s="202">
        <f>IFERROR(GETPIVOTDATA("合計 / " &amp; G$2,【ピボット】事業所収支!$A$3,"年月",$A12),#N/A)</f>
        <v>1239871</v>
      </c>
      <c r="H12" s="19">
        <f>IFERROR(GETPIVOTDATA("合計 / " &amp; H$2,【ピボット】事業所収支!$A$3,"年月",$A12),#N/A)</f>
        <v>16207584.5</v>
      </c>
      <c r="I12" s="39">
        <f>IFERROR(GETPIVOTDATA("合計 / " &amp; I$2&amp;"計",【ピボット】事業所収支!$A$3,"年月",$A12),#N/A)</f>
        <v>5686606</v>
      </c>
      <c r="J12" s="39">
        <f>IFERROR(GETPIVOTDATA("合計 / " &amp; J$2,【ピボット】事業所収支!$A$3,"年月",$A12),#N/A)</f>
        <v>0</v>
      </c>
      <c r="K12" s="192">
        <f t="shared" si="1"/>
        <v>21894190.5</v>
      </c>
      <c r="L12" s="19">
        <f>IFERROR(GETPIVOTDATA("合計 / " &amp; L$2,【ピボット】事業所収支!$A$3,"年月",$A12),#N/A)</f>
        <v>21197082</v>
      </c>
      <c r="M12" s="201">
        <f t="shared" si="0"/>
        <v>0.76461394544777439</v>
      </c>
      <c r="N12" s="191">
        <f t="shared" si="3"/>
        <v>-697108.5</v>
      </c>
      <c r="O12" s="19">
        <f>IFERROR(GETPIVOTDATA("合計 / " &amp; O$2,【ピボット】事業所収支!$A$3,"年月",$A12),#N/A)</f>
        <v>6485</v>
      </c>
      <c r="P12" s="19">
        <f>IFERROR(GETPIVOTDATA("合計 / " &amp; P$2,【ピボット】事業所収支!$A$3,"年月",$A12),#N/A)</f>
        <v>162589</v>
      </c>
      <c r="Q12" s="191">
        <f t="shared" si="4"/>
        <v>-853212.5</v>
      </c>
      <c r="R12" s="39">
        <f>IFERROR(GETPIVOTDATA("合計 / " &amp; R$2,【ピボット】事業所収支!$A$3,"年月",$A12),#N/A)</f>
        <v>0</v>
      </c>
      <c r="S12" s="19">
        <f t="shared" ca="1" si="2"/>
        <v>39406478.083333336</v>
      </c>
      <c r="T12" s="40"/>
      <c r="U12" s="671"/>
      <c r="V12" s="24"/>
      <c r="W12" s="24"/>
    </row>
    <row r="13" spans="1:23" ht="19.5" customHeight="1" x14ac:dyDescent="0.15">
      <c r="A13" s="666">
        <f t="shared" si="5"/>
        <v>42064</v>
      </c>
      <c r="B13" s="202">
        <f>IFERROR(GETPIVOTDATA("合計 / " &amp; B$2 &amp; "給与",【ピボット】事業所収支!$A$3,"年月",$A13),#N/A)</f>
        <v>7046907</v>
      </c>
      <c r="C13" s="202">
        <f>IFERROR(GETPIVOTDATA("合計 / " &amp; C$2 &amp; "給与",【ピボット】事業所収支!$A$3,"年月",$A13),#N/A)</f>
        <v>7256111</v>
      </c>
      <c r="D13" s="202">
        <f>IFERROR(GETPIVOTDATA("合計 / " &amp; D$2,【ピボット】事業所収支!$A$3,"年月",$A13),#N/A)</f>
        <v>0</v>
      </c>
      <c r="E13" s="202">
        <f>IFERROR(GETPIVOTDATA("合計 / " &amp; E$2 &amp; "給与",【ピボット】事業所収支!$A$3,"年月",$A13),#N/A)</f>
        <v>950000</v>
      </c>
      <c r="F13" s="202">
        <f>IFERROR(GETPIVOTDATA("合計 / " &amp; F$2,【ピボット】事業所収支!$A$3,"年月",$A13),#N/A)</f>
        <v>107816</v>
      </c>
      <c r="G13" s="202">
        <f>IFERROR(GETPIVOTDATA("合計 / " &amp; G$2,【ピボット】事業所収支!$A$3,"年月",$A13),#N/A)</f>
        <v>1151698</v>
      </c>
      <c r="H13" s="19">
        <f>IFERROR(GETPIVOTDATA("合計 / " &amp; H$2,【ピボット】事業所収支!$A$3,"年月",$A13),#N/A)</f>
        <v>16512532</v>
      </c>
      <c r="I13" s="39">
        <f>IFERROR(GETPIVOTDATA("合計 / " &amp; I$2&amp;"計",【ピボット】事業所収支!$A$3,"年月",$A13),#N/A)</f>
        <v>5776034</v>
      </c>
      <c r="J13" s="39">
        <f>IFERROR(GETPIVOTDATA("合計 / " &amp; J$2,【ピボット】事業所収支!$A$3,"年月",$A13),#N/A)</f>
        <v>0</v>
      </c>
      <c r="K13" s="192">
        <f t="shared" si="1"/>
        <v>22288566</v>
      </c>
      <c r="L13" s="19">
        <f>IFERROR(GETPIVOTDATA("合計 / " &amp; L$2,【ピボット】事業所収支!$A$3,"年月",$A13),#N/A)</f>
        <v>24839254</v>
      </c>
      <c r="M13" s="201">
        <f t="shared" si="0"/>
        <v>0.66477568126643416</v>
      </c>
      <c r="N13" s="191">
        <f t="shared" si="3"/>
        <v>2550688</v>
      </c>
      <c r="O13" s="19">
        <f>IFERROR(GETPIVOTDATA("合計 / " &amp; O$2,【ピボット】事業所収支!$A$3,"年月",$A13),#N/A)</f>
        <v>299959</v>
      </c>
      <c r="P13" s="19">
        <f>IFERROR(GETPIVOTDATA("合計 / " &amp; P$2,【ピボット】事業所収支!$A$3,"年月",$A13),#N/A)</f>
        <v>177242</v>
      </c>
      <c r="Q13" s="191">
        <f t="shared" si="4"/>
        <v>2673405</v>
      </c>
      <c r="R13" s="39">
        <f>IFERROR(GETPIVOTDATA("合計 / " &amp; R$2,【ピボット】事業所収支!$A$3,"年月",$A13),#N/A)</f>
        <v>0</v>
      </c>
      <c r="S13" s="19">
        <f t="shared" ca="1" si="2"/>
        <v>39406478.083333336</v>
      </c>
      <c r="T13" s="61"/>
      <c r="U13" s="671"/>
      <c r="V13" s="24"/>
      <c r="W13" s="24"/>
    </row>
    <row r="14" spans="1:23" ht="19.5" customHeight="1" x14ac:dyDescent="0.15">
      <c r="A14" s="666">
        <f t="shared" si="5"/>
        <v>42095</v>
      </c>
      <c r="B14" s="202">
        <f>IFERROR(GETPIVOTDATA("合計 / " &amp; B$2 &amp; "給与",【ピボット】事業所収支!$A$3,"年月",$A14),#N/A)</f>
        <v>6997702.5</v>
      </c>
      <c r="C14" s="202">
        <f>IFERROR(GETPIVOTDATA("合計 / " &amp; C$2 &amp; "給与",【ピボット】事業所収支!$A$3,"年月",$A14),#N/A)</f>
        <v>6880159</v>
      </c>
      <c r="D14" s="202">
        <f>IFERROR(GETPIVOTDATA("合計 / " &amp; D$2,【ピボット】事業所収支!$A$3,"年月",$A14),#N/A)</f>
        <v>0</v>
      </c>
      <c r="E14" s="202">
        <f>IFERROR(GETPIVOTDATA("合計 / " &amp; E$2 &amp; "給与",【ピボット】事業所収支!$A$3,"年月",$A14),#N/A)</f>
        <v>950000</v>
      </c>
      <c r="F14" s="202">
        <f>IFERROR(GETPIVOTDATA("合計 / " &amp; F$2,【ピボット】事業所収支!$A$3,"年月",$A14),#N/A)</f>
        <v>21973</v>
      </c>
      <c r="G14" s="202">
        <f>IFERROR(GETPIVOTDATA("合計 / " &amp; G$2,【ピボット】事業所収支!$A$3,"年月",$A14),#N/A)</f>
        <v>1128401</v>
      </c>
      <c r="H14" s="19">
        <f>IFERROR(GETPIVOTDATA("合計 / " &amp; H$2,【ピボット】事業所収支!$A$3,"年月",$A14),#N/A)</f>
        <v>15978235.5</v>
      </c>
      <c r="I14" s="39">
        <f>IFERROR(GETPIVOTDATA("合計 / " &amp; I$2&amp;"計",【ピボット】事業所収支!$A$3,"年月",$A14),#N/A)</f>
        <v>5510538</v>
      </c>
      <c r="J14" s="39">
        <f>IFERROR(GETPIVOTDATA("合計 / " &amp; J$2,【ピボット】事業所収支!$A$3,"年月",$A14),#N/A)</f>
        <v>0</v>
      </c>
      <c r="K14" s="192">
        <f t="shared" si="1"/>
        <v>21488773.5</v>
      </c>
      <c r="L14" s="19">
        <f>IFERROR(GETPIVOTDATA("合計 / " &amp; L$2,【ピボット】事業所収支!$A$3,"年月",$A14),#N/A)</f>
        <v>24624365</v>
      </c>
      <c r="M14" s="201">
        <f t="shared" si="0"/>
        <v>0.64887908784652926</v>
      </c>
      <c r="N14" s="191">
        <f t="shared" si="3"/>
        <v>3135591.5</v>
      </c>
      <c r="O14" s="19">
        <f>IFERROR(GETPIVOTDATA("合計 / " &amp; O$2,【ピボット】事業所収支!$A$3,"年月",$A14),#N/A)</f>
        <v>4562</v>
      </c>
      <c r="P14" s="19">
        <f>IFERROR(GETPIVOTDATA("合計 / " &amp; P$2,【ピボット】事業所収支!$A$3,"年月",$A14),#N/A)</f>
        <v>179458</v>
      </c>
      <c r="Q14" s="191">
        <f t="shared" ref="Q14:Q24" si="6">N14+O14-P14</f>
        <v>2960695.5</v>
      </c>
      <c r="R14" s="39">
        <f>IFERROR(GETPIVOTDATA("合計 / " &amp; R$2,【ピボット】事業所収支!$A$3,"年月",$A14),#N/A)</f>
        <v>0</v>
      </c>
      <c r="S14" s="19">
        <f t="shared" ca="1" si="2"/>
        <v>39406478.083333336</v>
      </c>
      <c r="T14" s="61"/>
      <c r="U14" s="671"/>
      <c r="V14" s="24"/>
      <c r="W14" s="24"/>
    </row>
    <row r="15" spans="1:23" ht="19.5" customHeight="1" x14ac:dyDescent="0.15">
      <c r="A15" s="666">
        <f t="shared" si="5"/>
        <v>42125</v>
      </c>
      <c r="B15" s="202">
        <f>IFERROR(GETPIVOTDATA("合計 / " &amp; B$2 &amp; "給与",【ピボット】事業所収支!$A$3,"年月",$A15),#N/A)</f>
        <v>7060328</v>
      </c>
      <c r="C15" s="202">
        <f>IFERROR(GETPIVOTDATA("合計 / " &amp; C$2 &amp; "給与",【ピボット】事業所収支!$A$3,"年月",$A15),#N/A)</f>
        <v>6280018</v>
      </c>
      <c r="D15" s="202">
        <f>IFERROR(GETPIVOTDATA("合計 / " &amp; D$2,【ピボット】事業所収支!$A$3,"年月",$A15),#N/A)</f>
        <v>0</v>
      </c>
      <c r="E15" s="202">
        <f>IFERROR(GETPIVOTDATA("合計 / " &amp; E$2 &amp; "給与",【ピボット】事業所収支!$A$3,"年月",$A15),#N/A)</f>
        <v>950000</v>
      </c>
      <c r="F15" s="202">
        <f>IFERROR(GETPIVOTDATA("合計 / " &amp; F$2,【ピボット】事業所収支!$A$3,"年月",$A15),#N/A)</f>
        <v>3100</v>
      </c>
      <c r="G15" s="202">
        <f>IFERROR(GETPIVOTDATA("合計 / " &amp; G$2,【ピボット】事業所収支!$A$3,"年月",$A15),#N/A)</f>
        <v>1088157</v>
      </c>
      <c r="H15" s="19">
        <f>IFERROR(GETPIVOTDATA("合計 / " &amp; H$2,【ピボット】事業所収支!$A$3,"年月",$A15),#N/A)</f>
        <v>15381603</v>
      </c>
      <c r="I15" s="77">
        <f>IFERROR(GETPIVOTDATA("合計 / " &amp; I$2&amp;"計",【ピボット】事業所収支!$A$3,"年月",$A15),#N/A)</f>
        <v>5340410</v>
      </c>
      <c r="J15" s="77">
        <f>IFERROR(GETPIVOTDATA("合計 / " &amp; J$2,【ピボット】事業所収支!$A$3,"年月",$A15),#N/A)</f>
        <v>0</v>
      </c>
      <c r="K15" s="193">
        <f t="shared" si="1"/>
        <v>20722013</v>
      </c>
      <c r="L15" s="19">
        <f>IFERROR(GETPIVOTDATA("合計 / " &amp; L$2,【ピボット】事業所収支!$A$3,"年月",$A15),#N/A)</f>
        <v>23452608</v>
      </c>
      <c r="M15" s="201">
        <f t="shared" si="0"/>
        <v>0.65585895607004563</v>
      </c>
      <c r="N15" s="191">
        <f t="shared" si="3"/>
        <v>2730595</v>
      </c>
      <c r="O15" s="19">
        <f>IFERROR(GETPIVOTDATA("合計 / " &amp; O$2,【ピボット】事業所収支!$A$3,"年月",$A15),#N/A)</f>
        <v>3752</v>
      </c>
      <c r="P15" s="19">
        <f>IFERROR(GETPIVOTDATA("合計 / " &amp; P$2,【ピボット】事業所収支!$A$3,"年月",$A15),#N/A)</f>
        <v>185890</v>
      </c>
      <c r="Q15" s="191">
        <f t="shared" si="6"/>
        <v>2548457</v>
      </c>
      <c r="R15" s="77">
        <f>IFERROR(GETPIVOTDATA("合計 / " &amp; R$2,【ピボット】事業所収支!$A$3,"年月",$A15),#N/A)</f>
        <v>0</v>
      </c>
      <c r="S15" s="19">
        <f t="shared" ca="1" si="2"/>
        <v>39406478.083333336</v>
      </c>
      <c r="T15" s="78"/>
      <c r="U15" s="671"/>
      <c r="V15" s="24"/>
      <c r="W15" s="24"/>
    </row>
    <row r="16" spans="1:23" ht="19.5" customHeight="1" x14ac:dyDescent="0.15">
      <c r="A16" s="666">
        <f t="shared" si="5"/>
        <v>42156</v>
      </c>
      <c r="B16" s="202">
        <f>IFERROR(GETPIVOTDATA("合計 / " &amp; B$2 &amp; "給与",【ピボット】事業所収支!$A$3,"年月",$A16),#N/A)</f>
        <v>7453412.5</v>
      </c>
      <c r="C16" s="202">
        <f>IFERROR(GETPIVOTDATA("合計 / " &amp; C$2 &amp; "給与",【ピボット】事業所収支!$A$3,"年月",$A16),#N/A)</f>
        <v>6661581</v>
      </c>
      <c r="D16" s="202">
        <f>IFERROR(GETPIVOTDATA("合計 / " &amp; D$2,【ピボット】事業所収支!$A$3,"年月",$A16),#N/A)</f>
        <v>4288547</v>
      </c>
      <c r="E16" s="202">
        <f>IFERROR(GETPIVOTDATA("合計 / " &amp; E$2 &amp; "給与",【ピボット】事業所収支!$A$3,"年月",$A16),#N/A)</f>
        <v>950000</v>
      </c>
      <c r="F16" s="202">
        <f>IFERROR(GETPIVOTDATA("合計 / " &amp; F$2,【ピボット】事業所収支!$A$3,"年月",$A16),#N/A)</f>
        <v>29571</v>
      </c>
      <c r="G16" s="202">
        <f>IFERROR(GETPIVOTDATA("合計 / " &amp; G$2,【ピボット】事業所収支!$A$3,"年月",$A16),#N/A)</f>
        <v>2561200</v>
      </c>
      <c r="H16" s="19">
        <f>IFERROR(GETPIVOTDATA("合計 / " &amp; H$2,【ピボット】事業所収支!$A$3,"年月",$A16),#N/A)</f>
        <v>21944311.5</v>
      </c>
      <c r="I16" s="77">
        <f>IFERROR(GETPIVOTDATA("合計 / " &amp; I$2&amp;"計",【ピボット】事業所収支!$A$3,"年月",$A16),#N/A)</f>
        <v>5544030</v>
      </c>
      <c r="J16" s="77">
        <f>IFERROR(GETPIVOTDATA("合計 / " &amp; J$2,【ピボット】事業所収支!$A$3,"年月",$A16),#N/A)</f>
        <v>0</v>
      </c>
      <c r="K16" s="193">
        <f t="shared" si="1"/>
        <v>27488341.5</v>
      </c>
      <c r="L16" s="19">
        <f>IFERROR(GETPIVOTDATA("合計 / " &amp; L$2,【ピボット】事業所収支!$A$3,"年月",$A16),#N/A)</f>
        <v>25915317</v>
      </c>
      <c r="M16" s="201">
        <f t="shared" si="0"/>
        <v>0.84676994304179265</v>
      </c>
      <c r="N16" s="191">
        <f t="shared" si="3"/>
        <v>-1573024.5</v>
      </c>
      <c r="O16" s="19">
        <f>IFERROR(GETPIVOTDATA("合計 / " &amp; O$2,【ピボット】事業所収支!$A$3,"年月",$A16),#N/A)</f>
        <v>6659</v>
      </c>
      <c r="P16" s="19">
        <f>IFERROR(GETPIVOTDATA("合計 / " &amp; P$2,【ピボット】事業所収支!$A$3,"年月",$A16),#N/A)</f>
        <v>185547</v>
      </c>
      <c r="Q16" s="191">
        <f t="shared" si="6"/>
        <v>-1751912.5</v>
      </c>
      <c r="R16" s="77">
        <f>IFERROR(GETPIVOTDATA("合計 / " &amp; R$2,【ピボット】事業所収支!$A$3,"年月",$A16),#N/A)</f>
        <v>0</v>
      </c>
      <c r="S16" s="19">
        <f t="shared" ca="1" si="2"/>
        <v>39406478.083333336</v>
      </c>
      <c r="T16" s="79"/>
      <c r="U16" s="671"/>
      <c r="V16" s="24"/>
      <c r="W16" s="24"/>
    </row>
    <row r="17" spans="1:23" ht="19.5" customHeight="1" x14ac:dyDescent="0.15">
      <c r="A17" s="666">
        <f t="shared" si="5"/>
        <v>42186</v>
      </c>
      <c r="B17" s="202">
        <f>IFERROR(GETPIVOTDATA("合計 / " &amp; B$2 &amp; "給与",【ピボット】事業所収支!$A$3,"年月",$A17),#N/A)</f>
        <v>7357788</v>
      </c>
      <c r="C17" s="202">
        <f>IFERROR(GETPIVOTDATA("合計 / " &amp; C$2 &amp; "給与",【ピボット】事業所収支!$A$3,"年月",$A17),#N/A)</f>
        <v>6855020</v>
      </c>
      <c r="D17" s="202">
        <f>IFERROR(GETPIVOTDATA("合計 / " &amp; D$2,【ピボット】事業所収支!$A$3,"年月",$A17),#N/A)</f>
        <v>0</v>
      </c>
      <c r="E17" s="202">
        <f>IFERROR(GETPIVOTDATA("合計 / " &amp; E$2 &amp; "給与",【ピボット】事業所収支!$A$3,"年月",$A17),#N/A)</f>
        <v>950000</v>
      </c>
      <c r="F17" s="202">
        <f>IFERROR(GETPIVOTDATA("合計 / " &amp; F$2,【ピボット】事業所収支!$A$3,"年月",$A17),#N/A)</f>
        <v>95780</v>
      </c>
      <c r="G17" s="202">
        <f>IFERROR(GETPIVOTDATA("合計 / " &amp; G$2,【ピボット】事業所収支!$A$3,"年月",$A17),#N/A)</f>
        <v>2712263.0000000005</v>
      </c>
      <c r="H17" s="19">
        <f>IFERROR(GETPIVOTDATA("合計 / " &amp; H$2,【ピボット】事業所収支!$A$3,"年月",$A17),#N/A)</f>
        <v>17970851</v>
      </c>
      <c r="I17" s="77">
        <f>IFERROR(GETPIVOTDATA("合計 / " &amp; I$2&amp;"計",【ピボット】事業所収支!$A$3,"年月",$A17),#N/A)</f>
        <v>5707416</v>
      </c>
      <c r="J17" s="77">
        <f>IFERROR(GETPIVOTDATA("合計 / " &amp; J$2,【ピボット】事業所収支!$A$3,"年月",$A17),#N/A)</f>
        <v>0</v>
      </c>
      <c r="K17" s="193">
        <f t="shared" si="1"/>
        <v>23678267</v>
      </c>
      <c r="L17" s="19">
        <f>IFERROR(GETPIVOTDATA("合計 / " &amp; L$2,【ピボット】事業所収支!$A$3,"年月",$A17),#N/A)</f>
        <v>24770526</v>
      </c>
      <c r="M17" s="201">
        <f t="shared" si="0"/>
        <v>0.72549331411048756</v>
      </c>
      <c r="N17" s="191">
        <f t="shared" si="3"/>
        <v>1092259</v>
      </c>
      <c r="O17" s="19">
        <f>IFERROR(GETPIVOTDATA("合計 / " &amp; O$2,【ピボット】事業所収支!$A$3,"年月",$A17),#N/A)</f>
        <v>85300</v>
      </c>
      <c r="P17" s="19">
        <f>IFERROR(GETPIVOTDATA("合計 / " &amp; P$2,【ピボット】事業所収支!$A$3,"年月",$A17),#N/A)</f>
        <v>172017</v>
      </c>
      <c r="Q17" s="191">
        <f t="shared" si="6"/>
        <v>1005542</v>
      </c>
      <c r="R17" s="77">
        <f>IFERROR(GETPIVOTDATA("合計 / " &amp; R$2,【ピボット】事業所収支!$A$3,"年月",$A17),#N/A)</f>
        <v>0</v>
      </c>
      <c r="S17" s="19">
        <f t="shared" ca="1" si="2"/>
        <v>39406478.083333336</v>
      </c>
      <c r="T17" s="79"/>
      <c r="V17" s="24"/>
      <c r="W17" s="24"/>
    </row>
    <row r="18" spans="1:23" ht="19.5" customHeight="1" x14ac:dyDescent="0.15">
      <c r="A18" s="666">
        <f t="shared" si="5"/>
        <v>42217</v>
      </c>
      <c r="B18" s="202">
        <f>IFERROR(GETPIVOTDATA("合計 / " &amp; B$2 &amp; "給与",【ピボット】事業所収支!$A$3,"年月",$A18),#N/A)</f>
        <v>7227508.5</v>
      </c>
      <c r="C18" s="202">
        <f>IFERROR(GETPIVOTDATA("合計 / " &amp; C$2 &amp; "給与",【ピボット】事業所収支!$A$3,"年月",$A18),#N/A)</f>
        <v>6975212</v>
      </c>
      <c r="D18" s="202">
        <f>IFERROR(GETPIVOTDATA("合計 / " &amp; D$2,【ピボット】事業所収支!$A$3,"年月",$A18),#N/A)</f>
        <v>0</v>
      </c>
      <c r="E18" s="202">
        <f>IFERROR(GETPIVOTDATA("合計 / " &amp; E$2 &amp; "給与",【ピボット】事業所収支!$A$3,"年月",$A18),#N/A)</f>
        <v>950000</v>
      </c>
      <c r="F18" s="202">
        <f>IFERROR(GETPIVOTDATA("合計 / " &amp; F$2,【ピボット】事業所収支!$A$3,"年月",$A18),#N/A)</f>
        <v>136042</v>
      </c>
      <c r="G18" s="202">
        <f>IFERROR(GETPIVOTDATA("合計 / " &amp; G$2,【ピボット】事業所収支!$A$3,"年月",$A18),#N/A)</f>
        <v>973676</v>
      </c>
      <c r="H18" s="19">
        <f>IFERROR(GETPIVOTDATA("合計 / " &amp; H$2,【ピボット】事業所収支!$A$3,"年月",$A18),#N/A)</f>
        <v>16262438.5</v>
      </c>
      <c r="I18" s="39">
        <f>IFERROR(GETPIVOTDATA("合計 / " &amp; I$2&amp;"計",【ピボット】事業所収支!$A$3,"年月",$A18),#N/A)</f>
        <v>6110806</v>
      </c>
      <c r="J18" s="39">
        <f>IFERROR(GETPIVOTDATA("合計 / " &amp; J$2,【ピボット】事業所収支!$A$3,"年月",$A18),#N/A)</f>
        <v>0</v>
      </c>
      <c r="K18" s="192">
        <f t="shared" si="1"/>
        <v>22373244.5</v>
      </c>
      <c r="L18" s="19">
        <f>IFERROR(GETPIVOTDATA("合計 / " &amp; L$2,【ピボット】事業所収支!$A$3,"年月",$A18),#N/A)</f>
        <v>22736259</v>
      </c>
      <c r="M18" s="201">
        <f t="shared" si="0"/>
        <v>0.71526448128515774</v>
      </c>
      <c r="N18" s="191">
        <f t="shared" si="3"/>
        <v>363014.5</v>
      </c>
      <c r="O18" s="19">
        <f>IFERROR(GETPIVOTDATA("合計 / " &amp; O$2,【ピボット】事業所収支!$A$3,"年月",$A18),#N/A)</f>
        <v>6744</v>
      </c>
      <c r="P18" s="19">
        <f>IFERROR(GETPIVOTDATA("合計 / " &amp; P$2,【ピボット】事業所収支!$A$3,"年月",$A18),#N/A)</f>
        <v>181841</v>
      </c>
      <c r="Q18" s="191">
        <f t="shared" si="6"/>
        <v>187917.5</v>
      </c>
      <c r="R18" s="39">
        <f>IFERROR(GETPIVOTDATA("合計 / " &amp; R$2,【ピボット】事業所収支!$A$3,"年月",$A18),#N/A)</f>
        <v>0</v>
      </c>
      <c r="S18" s="19">
        <f t="shared" ca="1" si="2"/>
        <v>39406478.083333336</v>
      </c>
      <c r="T18" s="102"/>
      <c r="V18" s="24"/>
      <c r="W18" s="24"/>
    </row>
    <row r="19" spans="1:23" ht="19.5" customHeight="1" x14ac:dyDescent="0.15">
      <c r="A19" s="666">
        <f t="shared" si="5"/>
        <v>42248</v>
      </c>
      <c r="B19" s="202">
        <f>IFERROR(GETPIVOTDATA("合計 / " &amp; B$2 &amp; "給与",【ピボット】事業所収支!$A$3,"年月",$A19),#N/A)</f>
        <v>7302559</v>
      </c>
      <c r="C19" s="202">
        <f>IFERROR(GETPIVOTDATA("合計 / " &amp; C$2 &amp; "給与",【ピボット】事業所収支!$A$3,"年月",$A19),#N/A)</f>
        <v>5985683</v>
      </c>
      <c r="D19" s="202">
        <f>IFERROR(GETPIVOTDATA("合計 / " &amp; D$2,【ピボット】事業所収支!$A$3,"年月",$A19),#N/A)</f>
        <v>0</v>
      </c>
      <c r="E19" s="202">
        <f>IFERROR(GETPIVOTDATA("合計 / " &amp; E$2 &amp; "給与",【ピボット】事業所収支!$A$3,"年月",$A19),#N/A)</f>
        <v>1600000</v>
      </c>
      <c r="F19" s="202">
        <f>IFERROR(GETPIVOTDATA("合計 / " &amp; F$2,【ピボット】事業所収支!$A$3,"年月",$A19),#N/A)</f>
        <v>18296</v>
      </c>
      <c r="G19" s="202">
        <f>IFERROR(GETPIVOTDATA("合計 / " &amp; G$2,【ピボット】事業所収支!$A$3,"年月",$A19),#N/A)</f>
        <v>1014210</v>
      </c>
      <c r="H19" s="19">
        <f>IFERROR(GETPIVOTDATA("合計 / " &amp; H$2,【ピボット】事業所収支!$A$3,"年月",$A19),#N/A)</f>
        <v>15920748</v>
      </c>
      <c r="I19" s="39">
        <f>IFERROR(GETPIVOTDATA("合計 / " &amp; I$2&amp;"計",【ピボット】事業所収支!$A$3,"年月",$A19),#N/A)</f>
        <v>5431909</v>
      </c>
      <c r="J19" s="39">
        <f>IFERROR(GETPIVOTDATA("合計 / " &amp; J$2,【ピボット】事業所収支!$A$3,"年月",$A19),#N/A)</f>
        <v>0</v>
      </c>
      <c r="K19" s="192">
        <f t="shared" si="1"/>
        <v>21352657</v>
      </c>
      <c r="L19" s="19">
        <f>IFERROR(GETPIVOTDATA("合計 / " &amp; L$2,【ピボット】事業所収支!$A$3,"年月",$A19),#N/A)</f>
        <v>24183832</v>
      </c>
      <c r="M19" s="201">
        <f t="shared" si="0"/>
        <v>0.65832197312650864</v>
      </c>
      <c r="N19" s="191">
        <f t="shared" si="3"/>
        <v>2831175</v>
      </c>
      <c r="O19" s="19">
        <f>IFERROR(GETPIVOTDATA("合計 / " &amp; O$2,【ピボット】事業所収支!$A$3,"年月",$A19),#N/A)</f>
        <v>7034</v>
      </c>
      <c r="P19" s="19">
        <f>IFERROR(GETPIVOTDATA("合計 / " &amp; P$2,【ピボット】事業所収支!$A$3,"年月",$A19),#N/A)</f>
        <v>160811</v>
      </c>
      <c r="Q19" s="191">
        <f t="shared" si="6"/>
        <v>2677398</v>
      </c>
      <c r="R19" s="39">
        <f>IFERROR(GETPIVOTDATA("合計 / " &amp; R$2,【ピボット】事業所収支!$A$3,"年月",$A19),#N/A)</f>
        <v>0</v>
      </c>
      <c r="S19" s="19">
        <f t="shared" ca="1" si="2"/>
        <v>39406478.083333336</v>
      </c>
      <c r="T19" s="40"/>
      <c r="V19" s="24"/>
      <c r="W19" s="24"/>
    </row>
    <row r="20" spans="1:23" ht="19.5" customHeight="1" x14ac:dyDescent="0.15">
      <c r="A20" s="666">
        <f t="shared" si="5"/>
        <v>42278</v>
      </c>
      <c r="B20" s="202">
        <f>IFERROR(GETPIVOTDATA("合計 / " &amp; B$2 &amp; "給与",【ピボット】事業所収支!$A$3,"年月",$A20),#N/A)</f>
        <v>7637522</v>
      </c>
      <c r="C20" s="202">
        <f>IFERROR(GETPIVOTDATA("合計 / " &amp; C$2 &amp; "給与",【ピボット】事業所収支!$A$3,"年月",$A20),#N/A)</f>
        <v>6282091</v>
      </c>
      <c r="D20" s="202">
        <f>IFERROR(GETPIVOTDATA("合計 / " &amp; D$2,【ピボット】事業所収支!$A$3,"年月",$A20),#N/A)</f>
        <v>0</v>
      </c>
      <c r="E20" s="202">
        <f>IFERROR(GETPIVOTDATA("合計 / " &amp; E$2 &amp; "給与",【ピボット】事業所収支!$A$3,"年月",$A20),#N/A)</f>
        <v>1600000</v>
      </c>
      <c r="F20" s="202">
        <f>IFERROR(GETPIVOTDATA("合計 / " &amp; F$2,【ピボット】事業所収支!$A$3,"年月",$A20),#N/A)</f>
        <v>469676</v>
      </c>
      <c r="G20" s="202">
        <f>IFERROR(GETPIVOTDATA("合計 / " &amp; G$2,【ピボット】事業所収支!$A$3,"年月",$A20),#N/A)</f>
        <v>1716594</v>
      </c>
      <c r="H20" s="19">
        <f>IFERROR(GETPIVOTDATA("合計 / " &amp; H$2,【ピボット】事業所収支!$A$3,"年月",$A20),#N/A)</f>
        <v>17705883</v>
      </c>
      <c r="I20" s="39">
        <f>IFERROR(GETPIVOTDATA("合計 / " &amp; I$2&amp;"計",【ピボット】事業所収支!$A$3,"年月",$A20),#N/A)</f>
        <v>7207855</v>
      </c>
      <c r="J20" s="39">
        <f>IFERROR(GETPIVOTDATA("合計 / " &amp; J$2,【ピボット】事業所収支!$A$3,"年月",$A20),#N/A)</f>
        <v>0</v>
      </c>
      <c r="K20" s="192">
        <f t="shared" si="1"/>
        <v>24913738</v>
      </c>
      <c r="L20" s="19">
        <f>IFERROR(GETPIVOTDATA("合計 / " &amp; L$2,【ピボット】事業所収支!$A$3,"年月",$A20),#N/A)</f>
        <v>25209324</v>
      </c>
      <c r="M20" s="201">
        <f t="shared" si="0"/>
        <v>0.70235453358447852</v>
      </c>
      <c r="N20" s="191">
        <f t="shared" si="3"/>
        <v>295586</v>
      </c>
      <c r="O20" s="19">
        <f>IFERROR(GETPIVOTDATA("合計 / " &amp; O$2,【ピボット】事業所収支!$A$3,"年月",$A20),#N/A)</f>
        <v>5668</v>
      </c>
      <c r="P20" s="19">
        <f>IFERROR(GETPIVOTDATA("合計 / " &amp; P$2,【ピボット】事業所収支!$A$3,"年月",$A20),#N/A)</f>
        <v>164158</v>
      </c>
      <c r="Q20" s="191">
        <f t="shared" si="6"/>
        <v>137096</v>
      </c>
      <c r="R20" s="39">
        <f>IFERROR(GETPIVOTDATA("合計 / " &amp; R$2,【ピボット】事業所収支!$A$3,"年月",$A20),#N/A)</f>
        <v>0</v>
      </c>
      <c r="S20" s="19">
        <f t="shared" ca="1" si="2"/>
        <v>39406478.083333336</v>
      </c>
      <c r="T20" s="102"/>
      <c r="V20" s="24"/>
      <c r="W20" s="24"/>
    </row>
    <row r="21" spans="1:23" ht="19.5" customHeight="1" x14ac:dyDescent="0.15">
      <c r="A21" s="666">
        <f t="shared" si="5"/>
        <v>42309</v>
      </c>
      <c r="B21" s="202">
        <f>IFERROR(GETPIVOTDATA("合計 / " &amp; B$2 &amp; "給与",【ピボット】事業所収支!$A$3,"年月",$A21),#N/A)</f>
        <v>7459224</v>
      </c>
      <c r="C21" s="202">
        <f>IFERROR(GETPIVOTDATA("合計 / " &amp; C$2 &amp; "給与",【ピボット】事業所収支!$A$3,"年月",$A21),#N/A)</f>
        <v>6382566</v>
      </c>
      <c r="D21" s="202">
        <f>IFERROR(GETPIVOTDATA("合計 / " &amp; D$2,【ピボット】事業所収支!$A$3,"年月",$A21),#N/A)</f>
        <v>0</v>
      </c>
      <c r="E21" s="202">
        <f>IFERROR(GETPIVOTDATA("合計 / " &amp; E$2 &amp; "給与",【ピボット】事業所収支!$A$3,"年月",$A21),#N/A)</f>
        <v>2150000</v>
      </c>
      <c r="F21" s="202">
        <f>IFERROR(GETPIVOTDATA("合計 / " &amp; F$2,【ピボット】事業所収支!$A$3,"年月",$A21),#N/A)</f>
        <v>64809</v>
      </c>
      <c r="G21" s="202">
        <f>IFERROR(GETPIVOTDATA("合計 / " &amp; G$2,【ピボット】事業所収支!$A$3,"年月",$A21),#N/A)</f>
        <v>1100436</v>
      </c>
      <c r="H21" s="19">
        <f>IFERROR(GETPIVOTDATA("合計 / " &amp; H$2,【ピボット】事業所収支!$A$3,"年月",$A21),#N/A)</f>
        <v>17157035</v>
      </c>
      <c r="I21" s="39">
        <f>IFERROR(GETPIVOTDATA("合計 / " &amp; I$2&amp;"計",【ピボット】事業所収支!$A$3,"年月",$A21),#N/A)</f>
        <v>6483122</v>
      </c>
      <c r="J21" s="39">
        <f>IFERROR(GETPIVOTDATA("合計 / " &amp; J$2,【ピボット】事業所収支!$A$3,"年月",$A21),#N/A)</f>
        <v>0</v>
      </c>
      <c r="K21" s="192">
        <f t="shared" si="1"/>
        <v>23640157</v>
      </c>
      <c r="L21" s="19">
        <f>IFERROR(GETPIVOTDATA("合計 / " &amp; L$2,【ピボット】事業所収支!$A$3,"年月",$A21),#N/A)</f>
        <v>24327588</v>
      </c>
      <c r="M21" s="201">
        <f t="shared" si="0"/>
        <v>0.705250146459238</v>
      </c>
      <c r="N21" s="191">
        <f t="shared" si="3"/>
        <v>687431</v>
      </c>
      <c r="O21" s="19">
        <f>IFERROR(GETPIVOTDATA("合計 / " &amp; O$2,【ピボット】事業所収支!$A$3,"年月",$A21),#N/A)</f>
        <v>6605</v>
      </c>
      <c r="P21" s="19">
        <f>IFERROR(GETPIVOTDATA("合計 / " &amp; P$2,【ピボット】事業所収支!$A$3,"年月",$A21),#N/A)</f>
        <v>163520</v>
      </c>
      <c r="Q21" s="191">
        <f t="shared" si="6"/>
        <v>530516</v>
      </c>
      <c r="R21" s="39">
        <f>IFERROR(GETPIVOTDATA("合計 / " &amp; R$2,【ピボット】事業所収支!$A$3,"年月",$A21),#N/A)</f>
        <v>0</v>
      </c>
      <c r="S21" s="19">
        <f t="shared" ca="1" si="2"/>
        <v>39406478.083333336</v>
      </c>
      <c r="T21" s="102"/>
      <c r="V21" s="24"/>
      <c r="W21" s="24"/>
    </row>
    <row r="22" spans="1:23" ht="19.5" customHeight="1" x14ac:dyDescent="0.15">
      <c r="A22" s="666">
        <f t="shared" si="5"/>
        <v>42339</v>
      </c>
      <c r="B22" s="202">
        <f>IFERROR(GETPIVOTDATA("合計 / " &amp; B$2 &amp; "給与",【ピボット】事業所収支!$A$3,"年月",$A22),#N/A)</f>
        <v>8689429</v>
      </c>
      <c r="C22" s="202">
        <f>IFERROR(GETPIVOTDATA("合計 / " &amp; C$2 &amp; "給与",【ピボット】事業所収支!$A$3,"年月",$A22),#N/A)</f>
        <v>7077423</v>
      </c>
      <c r="D22" s="202">
        <f>IFERROR(GETPIVOTDATA("合計 / " &amp; D$2,【ピボット】事業所収支!$A$3,"年月",$A22),#N/A)</f>
        <v>7159778</v>
      </c>
      <c r="E22" s="202">
        <f>IFERROR(GETPIVOTDATA("合計 / " &amp; E$2 &amp; "給与",【ピボット】事業所収支!$A$3,"年月",$A22),#N/A)</f>
        <v>2150000</v>
      </c>
      <c r="F22" s="202">
        <f>IFERROR(GETPIVOTDATA("合計 / " &amp; F$2,【ピボット】事業所収支!$A$3,"年月",$A22),#N/A)</f>
        <v>754129</v>
      </c>
      <c r="G22" s="202">
        <f>IFERROR(GETPIVOTDATA("合計 / " &amp; G$2,【ピボット】事業所収支!$A$3,"年月",$A22),#N/A)</f>
        <v>136932</v>
      </c>
      <c r="H22" s="19">
        <f>IFERROR(GETPIVOTDATA("合計 / " &amp; H$2,【ピボット】事業所収支!$A$3,"年月",$A22),#N/A)</f>
        <v>25967691</v>
      </c>
      <c r="I22" s="19">
        <f>IFERROR(GETPIVOTDATA("合計 / " &amp; I$2&amp;"計",【ピボット】事業所収支!$A$3,"年月",$A22),#N/A)</f>
        <v>6330094</v>
      </c>
      <c r="J22" s="19">
        <f>IFERROR(GETPIVOTDATA("合計 / " &amp; J$2,【ピボット】事業所収支!$A$3,"年月",$A22),#N/A)</f>
        <v>0</v>
      </c>
      <c r="K22" s="191">
        <f t="shared" si="1"/>
        <v>32297785</v>
      </c>
      <c r="L22" s="19">
        <f>IFERROR(GETPIVOTDATA("合計 / " &amp; L$2,【ピボット】事業所収支!$A$3,"年月",$A22),#N/A)</f>
        <v>25066638</v>
      </c>
      <c r="M22" s="201">
        <f t="shared" si="0"/>
        <v>1.0359463044066779</v>
      </c>
      <c r="N22" s="191">
        <f t="shared" si="3"/>
        <v>-7231147</v>
      </c>
      <c r="O22" s="19">
        <f>IFERROR(GETPIVOTDATA("合計 / " &amp; O$2,【ピボット】事業所収支!$A$3,"年月",$A22),#N/A)</f>
        <v>4094</v>
      </c>
      <c r="P22" s="19">
        <f>IFERROR(GETPIVOTDATA("合計 / " &amp; P$2,【ピボット】事業所収支!$A$3,"年月",$A22),#N/A)</f>
        <v>245115</v>
      </c>
      <c r="Q22" s="191">
        <f t="shared" si="6"/>
        <v>-7472168</v>
      </c>
      <c r="R22" s="19">
        <f>IFERROR(GETPIVOTDATA("合計 / " &amp; R$2,【ピボット】事業所収支!$A$3,"年月",$A22),#N/A)</f>
        <v>0</v>
      </c>
      <c r="S22" s="19">
        <f t="shared" ca="1" si="2"/>
        <v>39406478.083333336</v>
      </c>
      <c r="T22" s="127"/>
      <c r="U22" s="50"/>
      <c r="V22" s="24"/>
      <c r="W22" s="24"/>
    </row>
    <row r="23" spans="1:23" ht="19.5" customHeight="1" x14ac:dyDescent="0.15">
      <c r="A23" s="666">
        <f t="shared" si="5"/>
        <v>42370</v>
      </c>
      <c r="B23" s="202">
        <f>IFERROR(GETPIVOTDATA("合計 / " &amp; B$2 &amp; "給与",【ピボット】事業所収支!$A$3,"年月",$A23),#N/A)</f>
        <v>8181596</v>
      </c>
      <c r="C23" s="202">
        <f>IFERROR(GETPIVOTDATA("合計 / " &amp; C$2 &amp; "給与",【ピボット】事業所収支!$A$3,"年月",$A23),#N/A)</f>
        <v>6684531</v>
      </c>
      <c r="D23" s="202">
        <f>IFERROR(GETPIVOTDATA("合計 / " &amp; D$2,【ピボット】事業所収支!$A$3,"年月",$A23),#N/A)</f>
        <v>0</v>
      </c>
      <c r="E23" s="202">
        <f>IFERROR(GETPIVOTDATA("合計 / " &amp; E$2 &amp; "給与",【ピボット】事業所収支!$A$3,"年月",$A23),#N/A)</f>
        <v>2150000</v>
      </c>
      <c r="F23" s="202">
        <f>IFERROR(GETPIVOTDATA("合計 / " &amp; F$2,【ピボット】事業所収支!$A$3,"年月",$A23),#N/A)</f>
        <v>157534</v>
      </c>
      <c r="G23" s="202">
        <f>IFERROR(GETPIVOTDATA("合計 / " &amp; G$2,【ピボット】事業所収支!$A$3,"年月",$A23),#N/A)</f>
        <v>3791051</v>
      </c>
      <c r="H23" s="19">
        <f>IFERROR(GETPIVOTDATA("合計 / " &amp; H$2,【ピボット】事業所収支!$A$3,"年月",$A23),#N/A)</f>
        <v>20964712</v>
      </c>
      <c r="I23" s="39">
        <f>IFERROR(GETPIVOTDATA("合計 / " &amp; I$2&amp;"計",【ピボット】事業所収支!$A$3,"年月",$A23),#N/A)</f>
        <v>5855995</v>
      </c>
      <c r="J23" s="39">
        <f>IFERROR(GETPIVOTDATA("合計 / " &amp; J$2,【ピボット】事業所収支!$A$3,"年月",$A23),#N/A)</f>
        <v>0</v>
      </c>
      <c r="K23" s="192">
        <f t="shared" si="1"/>
        <v>26820707</v>
      </c>
      <c r="L23" s="19">
        <f>IFERROR(GETPIVOTDATA("合計 / " &amp; L$2,【ピボット】事業所収支!$A$3,"年月",$A23),#N/A)</f>
        <v>24726456</v>
      </c>
      <c r="M23" s="201">
        <f t="shared" si="0"/>
        <v>0.84786562214981398</v>
      </c>
      <c r="N23" s="191">
        <f t="shared" si="3"/>
        <v>-2094251</v>
      </c>
      <c r="O23" s="19">
        <f>IFERROR(GETPIVOTDATA("合計 / " &amp; O$2,【ピボット】事業所収支!$A$3,"年月",$A23),#N/A)</f>
        <v>24483</v>
      </c>
      <c r="P23" s="19">
        <f>IFERROR(GETPIVOTDATA("合計 / " &amp; P$2,【ピボット】事業所収支!$A$3,"年月",$A23),#N/A)</f>
        <v>185448</v>
      </c>
      <c r="Q23" s="191">
        <f t="shared" si="6"/>
        <v>-2255216</v>
      </c>
      <c r="R23" s="39">
        <f>IFERROR(GETPIVOTDATA("合計 / " &amp; R$2,【ピボット】事業所収支!$A$3,"年月",$A23),#N/A)</f>
        <v>0</v>
      </c>
      <c r="S23" s="19">
        <f t="shared" ca="1" si="2"/>
        <v>39406478.083333336</v>
      </c>
      <c r="T23" s="127"/>
      <c r="U23" s="50"/>
      <c r="V23" s="24"/>
      <c r="W23" s="24"/>
    </row>
    <row r="24" spans="1:23" ht="19.5" customHeight="1" x14ac:dyDescent="0.15">
      <c r="A24" s="666">
        <f t="shared" si="5"/>
        <v>42401</v>
      </c>
      <c r="B24" s="202">
        <f>IFERROR(GETPIVOTDATA("合計 / " &amp; B$2 &amp; "給与",【ピボット】事業所収支!$A$3,"年月",$A24),#N/A)</f>
        <v>8007802</v>
      </c>
      <c r="C24" s="202">
        <f>IFERROR(GETPIVOTDATA("合計 / " &amp; C$2 &amp; "給与",【ピボット】事業所収支!$A$3,"年月",$A24),#N/A)</f>
        <v>6664051</v>
      </c>
      <c r="D24" s="202">
        <f>IFERROR(GETPIVOTDATA("合計 / " &amp; D$2,【ピボット】事業所収支!$A$3,"年月",$A24),#N/A)</f>
        <v>0</v>
      </c>
      <c r="E24" s="202">
        <f>IFERROR(GETPIVOTDATA("合計 / " &amp; E$2 &amp; "給与",【ピボット】事業所収支!$A$3,"年月",$A24),#N/A)</f>
        <v>2150000</v>
      </c>
      <c r="F24" s="202">
        <f>IFERROR(GETPIVOTDATA("合計 / " &amp; F$2,【ピボット】事業所収支!$A$3,"年月",$A24),#N/A)</f>
        <v>229776</v>
      </c>
      <c r="G24" s="202">
        <f>IFERROR(GETPIVOTDATA("合計 / " &amp; G$2,【ピボット】事業所収支!$A$3,"年月",$A24),#N/A)</f>
        <v>1094134</v>
      </c>
      <c r="H24" s="19">
        <f>IFERROR(GETPIVOTDATA("合計 / " &amp; H$2,【ピボット】事業所収支!$A$3,"年月",$A24),#N/A)</f>
        <v>18145763</v>
      </c>
      <c r="I24" s="39">
        <f>IFERROR(GETPIVOTDATA("合計 / " &amp; I$2&amp;"計",【ピボット】事業所収支!$A$3,"年月",$A24),#N/A)</f>
        <v>6303902</v>
      </c>
      <c r="J24" s="39">
        <f>IFERROR(GETPIVOTDATA("合計 / " &amp; J$2,【ピボット】事業所収支!$A$3,"年月",$A24),#N/A)</f>
        <v>0</v>
      </c>
      <c r="K24" s="192">
        <f t="shared" si="1"/>
        <v>24449665</v>
      </c>
      <c r="L24" s="19">
        <f>IFERROR(GETPIVOTDATA("合計 / " &amp; L$2,【ピボット】事業所収支!$A$3,"年月",$A24),#N/A)</f>
        <v>25728423</v>
      </c>
      <c r="M24" s="201">
        <f t="shared" si="0"/>
        <v>0.70528080947674099</v>
      </c>
      <c r="N24" s="191">
        <f t="shared" si="3"/>
        <v>1278758</v>
      </c>
      <c r="O24" s="19">
        <f>IFERROR(GETPIVOTDATA("合計 / " &amp; O$2,【ピボット】事業所収支!$A$3,"年月",$A24),#N/A)</f>
        <v>5406</v>
      </c>
      <c r="P24" s="19">
        <f>IFERROR(GETPIVOTDATA("合計 / " &amp; P$2,【ピボット】事業所収支!$A$3,"年月",$A24),#N/A)</f>
        <v>177994</v>
      </c>
      <c r="Q24" s="191">
        <f t="shared" si="6"/>
        <v>1106170</v>
      </c>
      <c r="R24" s="39">
        <f>IFERROR(GETPIVOTDATA("合計 / " &amp; R$2,【ピボット】事業所収支!$A$3,"年月",$A24),#N/A)</f>
        <v>0</v>
      </c>
      <c r="S24" s="19">
        <f t="shared" ca="1" si="2"/>
        <v>39406478.083333336</v>
      </c>
      <c r="T24" s="127"/>
      <c r="U24" s="42"/>
      <c r="V24" s="24"/>
      <c r="W24" s="24"/>
    </row>
    <row r="25" spans="1:23" ht="19.5" customHeight="1" x14ac:dyDescent="0.15">
      <c r="A25" s="666">
        <f t="shared" si="5"/>
        <v>42430</v>
      </c>
      <c r="B25" s="202">
        <f>IFERROR(GETPIVOTDATA("合計 / " &amp; B$2 &amp; "給与",【ピボット】事業所収支!$A$3,"年月",$A25),#N/A)</f>
        <v>8183667</v>
      </c>
      <c r="C25" s="202">
        <f>IFERROR(GETPIVOTDATA("合計 / " &amp; C$2 &amp; "給与",【ピボット】事業所収支!$A$3,"年月",$A25),#N/A)</f>
        <v>6680143</v>
      </c>
      <c r="D25" s="202">
        <f>IFERROR(GETPIVOTDATA("合計 / " &amp; D$2,【ピボット】事業所収支!$A$3,"年月",$A25),#N/A)</f>
        <v>0</v>
      </c>
      <c r="E25" s="202">
        <f>IFERROR(GETPIVOTDATA("合計 / " &amp; E$2 &amp; "給与",【ピボット】事業所収支!$A$3,"年月",$A25),#N/A)</f>
        <v>2150000</v>
      </c>
      <c r="F25" s="202">
        <f>IFERROR(GETPIVOTDATA("合計 / " &amp; F$2,【ピボット】事業所収支!$A$3,"年月",$A25),#N/A)</f>
        <v>137383</v>
      </c>
      <c r="G25" s="202">
        <f>IFERROR(GETPIVOTDATA("合計 / " &amp; G$2,【ピボット】事業所収支!$A$3,"年月",$A25),#N/A)</f>
        <v>1056702</v>
      </c>
      <c r="H25" s="19">
        <f>IFERROR(GETPIVOTDATA("合計 / " &amp; H$2,【ピボット】事業所収支!$A$3,"年月",$A25),#N/A)</f>
        <v>18207895</v>
      </c>
      <c r="I25" s="39">
        <f>IFERROR(GETPIVOTDATA("合計 / " &amp; I$2&amp;"計",【ピボット】事業所収支!$A$3,"年月",$A25),#N/A)</f>
        <v>6930716</v>
      </c>
      <c r="J25" s="39">
        <f>IFERROR(GETPIVOTDATA("合計 / " &amp; J$2,【ピボット】事業所収支!$A$3,"年月",$A25),#N/A)</f>
        <v>0</v>
      </c>
      <c r="K25" s="192">
        <f t="shared" si="1"/>
        <v>25138611</v>
      </c>
      <c r="L25" s="19">
        <f>IFERROR(GETPIVOTDATA("合計 / " &amp; L$2,【ピボット】事業所収支!$A$3,"年月",$A25),#N/A)</f>
        <v>28422503</v>
      </c>
      <c r="M25" s="201">
        <f t="shared" si="0"/>
        <v>0.64061546585112505</v>
      </c>
      <c r="N25" s="191">
        <f t="shared" si="3"/>
        <v>3283892</v>
      </c>
      <c r="O25" s="19">
        <f>IFERROR(GETPIVOTDATA("合計 / " &amp; O$2,【ピボット】事業所収支!$A$3,"年月",$A25),#N/A)</f>
        <v>220123</v>
      </c>
      <c r="P25" s="19">
        <f>IFERROR(GETPIVOTDATA("合計 / " &amp; P$2,【ピボット】事業所収支!$A$3,"年月",$A25),#N/A)</f>
        <v>168038</v>
      </c>
      <c r="Q25" s="191">
        <f t="shared" ref="Q25:Q30" si="7">N25+O25-P25</f>
        <v>3335977</v>
      </c>
      <c r="R25" s="39">
        <f>IFERROR(GETPIVOTDATA("合計 / " &amp; R$2,【ピボット】事業所収支!$A$3,"年月",$A25),#N/A)</f>
        <v>0</v>
      </c>
      <c r="S25" s="19">
        <f t="shared" ca="1" si="2"/>
        <v>39406478.083333336</v>
      </c>
      <c r="T25" s="127"/>
      <c r="U25" s="42"/>
      <c r="V25" s="24"/>
      <c r="W25" s="24"/>
    </row>
    <row r="26" spans="1:23" ht="19.5" customHeight="1" x14ac:dyDescent="0.15">
      <c r="A26" s="666">
        <f t="shared" si="5"/>
        <v>42461</v>
      </c>
      <c r="B26" s="202">
        <f>IFERROR(GETPIVOTDATA("合計 / " &amp; B$2 &amp; "給与",【ピボット】事業所収支!$A$3,"年月",$A26),#N/A)</f>
        <v>7818980</v>
      </c>
      <c r="C26" s="202">
        <f>IFERROR(GETPIVOTDATA("合計 / " &amp; C$2 &amp; "給与",【ピボット】事業所収支!$A$3,"年月",$A26),#N/A)</f>
        <v>7593208</v>
      </c>
      <c r="D26" s="202">
        <f>IFERROR(GETPIVOTDATA("合計 / " &amp; D$2,【ピボット】事業所収支!$A$3,"年月",$A26),#N/A)</f>
        <v>0</v>
      </c>
      <c r="E26" s="202">
        <f>IFERROR(GETPIVOTDATA("合計 / " &amp; E$2 &amp; "給与",【ピボット】事業所収支!$A$3,"年月",$A26),#N/A)</f>
        <v>2150000</v>
      </c>
      <c r="F26" s="202">
        <f>IFERROR(GETPIVOTDATA("合計 / " &amp; F$2,【ピボット】事業所収支!$A$3,"年月",$A26),#N/A)</f>
        <v>61551</v>
      </c>
      <c r="G26" s="202">
        <f>IFERROR(GETPIVOTDATA("合計 / " &amp; G$2,【ピボット】事業所収支!$A$3,"年月",$A26),#N/A)</f>
        <v>1076053</v>
      </c>
      <c r="H26" s="19">
        <f>IFERROR(GETPIVOTDATA("合計 / " &amp; H$2,【ピボット】事業所収支!$A$3,"年月",$A26),#N/A)</f>
        <v>18699792</v>
      </c>
      <c r="I26" s="39">
        <f>IFERROR(GETPIVOTDATA("合計 / " &amp; I$2&amp;"計",【ピボット】事業所収支!$A$3,"年月",$A26),#N/A)</f>
        <v>5942711</v>
      </c>
      <c r="J26" s="39">
        <f>IFERROR(GETPIVOTDATA("合計 / " &amp; J$2,【ピボット】事業所収支!$A$3,"年月",$A26),#N/A)</f>
        <v>0</v>
      </c>
      <c r="K26" s="192">
        <f t="shared" si="1"/>
        <v>24642503</v>
      </c>
      <c r="L26" s="19">
        <f>IFERROR(GETPIVOTDATA("合計 / " &amp; L$2,【ピボット】事業所収支!$A$3,"年月",$A26),#N/A)</f>
        <v>27348721</v>
      </c>
      <c r="M26" s="201">
        <f t="shared" si="0"/>
        <v>0.68375380333142455</v>
      </c>
      <c r="N26" s="191">
        <f t="shared" si="3"/>
        <v>2706218</v>
      </c>
      <c r="O26" s="19">
        <f>IFERROR(GETPIVOTDATA("合計 / " &amp; O$2,【ピボット】事業所収支!$A$3,"年月",$A26),#N/A)</f>
        <v>3631</v>
      </c>
      <c r="P26" s="19">
        <f>IFERROR(GETPIVOTDATA("合計 / " &amp; P$2,【ピボット】事業所収支!$A$3,"年月",$A26),#N/A)</f>
        <v>168798</v>
      </c>
      <c r="Q26" s="191">
        <f t="shared" si="7"/>
        <v>2541051</v>
      </c>
      <c r="R26" s="39">
        <f>IFERROR(GETPIVOTDATA("合計 / " &amp; R$2,【ピボット】事業所収支!$A$3,"年月",$A26),#N/A)</f>
        <v>0</v>
      </c>
      <c r="S26" s="19">
        <f t="shared" ca="1" si="2"/>
        <v>39406478.083333336</v>
      </c>
      <c r="T26" s="127"/>
      <c r="U26" s="42"/>
      <c r="V26" s="24"/>
      <c r="W26" s="24"/>
    </row>
    <row r="27" spans="1:23" ht="19.5" customHeight="1" x14ac:dyDescent="0.15">
      <c r="A27" s="666">
        <f t="shared" si="5"/>
        <v>42491</v>
      </c>
      <c r="B27" s="202">
        <f>IFERROR(GETPIVOTDATA("合計 / " &amp; B$2 &amp; "給与",【ピボット】事業所収支!$A$3,"年月",$A27),#N/A)</f>
        <v>8507615</v>
      </c>
      <c r="C27" s="202">
        <f>IFERROR(GETPIVOTDATA("合計 / " &amp; C$2 &amp; "給与",【ピボット】事業所収支!$A$3,"年月",$A27),#N/A)</f>
        <v>7717245</v>
      </c>
      <c r="D27" s="202">
        <f>IFERROR(GETPIVOTDATA("合計 / " &amp; D$2,【ピボット】事業所収支!$A$3,"年月",$A27),#N/A)</f>
        <v>0</v>
      </c>
      <c r="E27" s="202">
        <f>IFERROR(GETPIVOTDATA("合計 / " &amp; E$2 &amp; "給与",【ピボット】事業所収支!$A$3,"年月",$A27),#N/A)</f>
        <v>2150000</v>
      </c>
      <c r="F27" s="202">
        <f>IFERROR(GETPIVOTDATA("合計 / " &amp; F$2,【ピボット】事業所収支!$A$3,"年月",$A27),#N/A)</f>
        <v>54651</v>
      </c>
      <c r="G27" s="202">
        <f>IFERROR(GETPIVOTDATA("合計 / " &amp; G$2,【ピボット】事業所収支!$A$3,"年月",$A27),#N/A)</f>
        <v>1323246</v>
      </c>
      <c r="H27" s="19">
        <f>IFERROR(GETPIVOTDATA("合計 / " &amp; H$2,【ピボット】事業所収支!$A$3,"年月",$A27),#N/A)</f>
        <v>19752757</v>
      </c>
      <c r="I27" s="77">
        <f>IFERROR(GETPIVOTDATA("合計 / " &amp; I$2&amp;"計",【ピボット】事業所収支!$A$3,"年月",$A27),#N/A)</f>
        <v>6903595</v>
      </c>
      <c r="J27" s="77">
        <f>IFERROR(GETPIVOTDATA("合計 / " &amp; J$2,【ピボット】事業所収支!$A$3,"年月",$A27),#N/A)</f>
        <v>0</v>
      </c>
      <c r="K27" s="193">
        <f t="shared" si="1"/>
        <v>26656352</v>
      </c>
      <c r="L27" s="19">
        <f>IFERROR(GETPIVOTDATA("合計 / " &amp; L$2,【ピボット】事業所収支!$A$3,"年月",$A27),#N/A)</f>
        <v>28544663</v>
      </c>
      <c r="M27" s="201">
        <f t="shared" si="0"/>
        <v>0.6919947522239096</v>
      </c>
      <c r="N27" s="191">
        <f t="shared" si="3"/>
        <v>1888311</v>
      </c>
      <c r="O27" s="19">
        <f>IFERROR(GETPIVOTDATA("合計 / " &amp; O$2,【ピボット】事業所収支!$A$3,"年月",$A27),#N/A)</f>
        <v>585595</v>
      </c>
      <c r="P27" s="19">
        <f>IFERROR(GETPIVOTDATA("合計 / " &amp; P$2,【ピボット】事業所収支!$A$3,"年月",$A27),#N/A)</f>
        <v>172111</v>
      </c>
      <c r="Q27" s="191">
        <f t="shared" si="7"/>
        <v>2301795</v>
      </c>
      <c r="R27" s="77">
        <f>IFERROR(GETPIVOTDATA("合計 / " &amp; R$2,【ピボット】事業所収支!$A$3,"年月",$A27),#N/A)</f>
        <v>0</v>
      </c>
      <c r="S27" s="19">
        <f t="shared" ca="1" si="2"/>
        <v>39406478.083333336</v>
      </c>
      <c r="T27" s="128"/>
      <c r="U27" s="42"/>
      <c r="V27" s="24"/>
      <c r="W27" s="24"/>
    </row>
    <row r="28" spans="1:23" ht="19.5" customHeight="1" x14ac:dyDescent="0.15">
      <c r="A28" s="666">
        <f t="shared" si="5"/>
        <v>42522</v>
      </c>
      <c r="B28" s="202">
        <f>IFERROR(GETPIVOTDATA("合計 / " &amp; B$2 &amp; "給与",【ピボット】事業所収支!$A$3,"年月",$A28),#N/A)</f>
        <v>8597952</v>
      </c>
      <c r="C28" s="202">
        <f>IFERROR(GETPIVOTDATA("合計 / " &amp; C$2 &amp; "給与",【ピボット】事業所収支!$A$3,"年月",$A28),#N/A)</f>
        <v>8092266</v>
      </c>
      <c r="D28" s="202">
        <f>IFERROR(GETPIVOTDATA("合計 / " &amp; D$2,【ピボット】事業所収支!$A$3,"年月",$A28),#N/A)</f>
        <v>9125386</v>
      </c>
      <c r="E28" s="202">
        <f>IFERROR(GETPIVOTDATA("合計 / " &amp; E$2 &amp; "給与",【ピボット】事業所収支!$A$3,"年月",$A28),#N/A)</f>
        <v>2150000</v>
      </c>
      <c r="F28" s="202">
        <f>IFERROR(GETPIVOTDATA("合計 / " &amp; F$2,【ピボット】事業所収支!$A$3,"年月",$A28),#N/A)</f>
        <v>366066</v>
      </c>
      <c r="G28" s="202">
        <f>IFERROR(GETPIVOTDATA("合計 / " &amp; G$2,【ピボット】事業所収支!$A$3,"年月",$A28),#N/A)</f>
        <v>2535230</v>
      </c>
      <c r="H28" s="19">
        <f>IFERROR(GETPIVOTDATA("合計 / " &amp; H$2,【ピボット】事業所収支!$A$3,"年月",$A28),#N/A)</f>
        <v>30866900</v>
      </c>
      <c r="I28" s="77">
        <f>IFERROR(GETPIVOTDATA("合計 / " &amp; I$2&amp;"計",【ピボット】事業所収支!$A$3,"年月",$A28),#N/A)</f>
        <v>6511699</v>
      </c>
      <c r="J28" s="77">
        <f>IFERROR(GETPIVOTDATA("合計 / " &amp; J$2,【ピボット】事業所収支!$A$3,"年月",$A28),#N/A)</f>
        <v>0</v>
      </c>
      <c r="K28" s="193">
        <f t="shared" si="1"/>
        <v>37378599</v>
      </c>
      <c r="L28" s="39">
        <f>IFERROR(GETPIVOTDATA("合計 / " &amp; L$2,【ピボット】事業所収支!$A$3,"年月",$A28),#N/A)</f>
        <v>24559188</v>
      </c>
      <c r="M28" s="201">
        <f t="shared" si="0"/>
        <v>1.2568371560167217</v>
      </c>
      <c r="N28" s="192">
        <f t="shared" ref="N28:N33" si="8">L28-K28</f>
        <v>-12819411</v>
      </c>
      <c r="O28" s="39">
        <f>IFERROR(GETPIVOTDATA("合計 / " &amp; O$2,【ピボット】事業所収支!$A$3,"年月",$A28),#N/A)</f>
        <v>16801</v>
      </c>
      <c r="P28" s="39">
        <f>IFERROR(GETPIVOTDATA("合計 / " &amp; P$2,【ピボット】事業所収支!$A$3,"年月",$A28),#N/A)</f>
        <v>286789</v>
      </c>
      <c r="Q28" s="192">
        <f t="shared" si="7"/>
        <v>-13089399</v>
      </c>
      <c r="R28" s="77">
        <f>IFERROR(GETPIVOTDATA("合計 / " &amp; R$2,【ピボット】事業所収支!$A$3,"年月",$A28),#N/A)</f>
        <v>0</v>
      </c>
      <c r="S28" s="19">
        <f t="shared" ca="1" si="2"/>
        <v>39406478.083333336</v>
      </c>
      <c r="T28" s="135"/>
      <c r="U28" s="42"/>
      <c r="V28" s="24"/>
      <c r="W28" s="24"/>
    </row>
    <row r="29" spans="1:23" ht="19.5" customHeight="1" x14ac:dyDescent="0.15">
      <c r="A29" s="666">
        <f t="shared" si="5"/>
        <v>42552</v>
      </c>
      <c r="B29" s="202">
        <f>IFERROR(GETPIVOTDATA("合計 / " &amp; B$2 &amp; "給与",【ピボット】事業所収支!$A$3,"年月",$A29),#N/A)</f>
        <v>8310087</v>
      </c>
      <c r="C29" s="202">
        <f>IFERROR(GETPIVOTDATA("合計 / " &amp; C$2 &amp; "給与",【ピボット】事業所収支!$A$3,"年月",$A29),#N/A)</f>
        <v>8279471</v>
      </c>
      <c r="D29" s="202">
        <f>IFERROR(GETPIVOTDATA("合計 / " &amp; D$2,【ピボット】事業所収支!$A$3,"年月",$A29),#N/A)</f>
        <v>0</v>
      </c>
      <c r="E29" s="202">
        <f>IFERROR(GETPIVOTDATA("合計 / " &amp; E$2 &amp; "給与",【ピボット】事業所収支!$A$3,"年月",$A29),#N/A)</f>
        <v>2150000</v>
      </c>
      <c r="F29" s="202">
        <f>IFERROR(GETPIVOTDATA("合計 / " &amp; F$2,【ピボット】事業所収支!$A$3,"年月",$A29),#N/A)</f>
        <v>176235</v>
      </c>
      <c r="G29" s="202">
        <f>IFERROR(GETPIVOTDATA("合計 / " &amp; G$2,【ピボット】事業所収支!$A$3,"年月",$A29),#N/A)</f>
        <v>1854441</v>
      </c>
      <c r="H29" s="19">
        <f>IFERROR(GETPIVOTDATA("合計 / " &amp; H$2,【ピボット】事業所収支!$A$3,"年月",$A29),#N/A)</f>
        <v>20770234</v>
      </c>
      <c r="I29" s="39">
        <f>IFERROR(GETPIVOTDATA("合計 / " &amp; I$2&amp;"計",【ピボット】事業所収支!$A$3,"年月",$A29),#N/A)</f>
        <v>7199649</v>
      </c>
      <c r="J29" s="39">
        <f>IFERROR(GETPIVOTDATA("合計 / " &amp; J$2,【ピボット】事業所収支!$A$3,"年月",$A29),#N/A)</f>
        <v>0</v>
      </c>
      <c r="K29" s="192">
        <f t="shared" si="1"/>
        <v>27969883</v>
      </c>
      <c r="L29" s="39">
        <f>IFERROR(GETPIVOTDATA("合計 / " &amp; L$2,【ピボット】事業所収支!$A$3,"年月",$A29),#N/A)</f>
        <v>30880551</v>
      </c>
      <c r="M29" s="201">
        <f t="shared" si="0"/>
        <v>0.67259920329789458</v>
      </c>
      <c r="N29" s="192">
        <f t="shared" si="8"/>
        <v>2910668</v>
      </c>
      <c r="O29" s="39">
        <f>IFERROR(GETPIVOTDATA("合計 / " &amp; O$2,【ピボット】事業所収支!$A$3,"年月",$A29),#N/A)</f>
        <v>6378</v>
      </c>
      <c r="P29" s="39">
        <f>IFERROR(GETPIVOTDATA("合計 / " &amp; P$2,【ピボット】事業所収支!$A$3,"年月",$A29),#N/A)</f>
        <v>518722</v>
      </c>
      <c r="Q29" s="192">
        <f t="shared" si="7"/>
        <v>2398324</v>
      </c>
      <c r="R29" s="39">
        <f>IFERROR(GETPIVOTDATA("合計 / " &amp; R$2,【ピボット】事業所収支!$A$3,"年月",$A29),#N/A)</f>
        <v>0</v>
      </c>
      <c r="S29" s="19">
        <f t="shared" ca="1" si="2"/>
        <v>39406478.083333336</v>
      </c>
      <c r="T29" s="135"/>
      <c r="U29" s="42"/>
      <c r="V29" s="24"/>
      <c r="W29" s="24"/>
    </row>
    <row r="30" spans="1:23" ht="19.5" customHeight="1" x14ac:dyDescent="0.15">
      <c r="A30" s="666">
        <f t="shared" si="5"/>
        <v>42583</v>
      </c>
      <c r="B30" s="202">
        <f>IFERROR(GETPIVOTDATA("合計 / " &amp; B$2 &amp; "給与",【ピボット】事業所収支!$A$3,"年月",$A30),#N/A)</f>
        <v>8395958</v>
      </c>
      <c r="C30" s="202">
        <f>IFERROR(GETPIVOTDATA("合計 / " &amp; C$2 &amp; "給与",【ピボット】事業所収支!$A$3,"年月",$A30),#N/A)</f>
        <v>8514142</v>
      </c>
      <c r="D30" s="202">
        <f>IFERROR(GETPIVOTDATA("合計 / " &amp; D$2,【ピボット】事業所収支!$A$3,"年月",$A30),#N/A)</f>
        <v>0</v>
      </c>
      <c r="E30" s="202">
        <f>IFERROR(GETPIVOTDATA("合計 / " &amp; E$2 &amp; "給与",【ピボット】事業所収支!$A$3,"年月",$A30),#N/A)</f>
        <v>2150000</v>
      </c>
      <c r="F30" s="202">
        <f>IFERROR(GETPIVOTDATA("合計 / " &amp; F$2,【ピボット】事業所収支!$A$3,"年月",$A30),#N/A)</f>
        <v>202388</v>
      </c>
      <c r="G30" s="202">
        <f>IFERROR(GETPIVOTDATA("合計 / " &amp; G$2,【ピボット】事業所収支!$A$3,"年月",$A30),#N/A)</f>
        <v>1388481</v>
      </c>
      <c r="H30" s="19">
        <f>IFERROR(GETPIVOTDATA("合計 / " &amp; H$2,【ピボット】事業所収支!$A$3,"年月",$A30),#N/A)</f>
        <v>20650969</v>
      </c>
      <c r="I30" s="39">
        <f>IFERROR(GETPIVOTDATA("合計 / " &amp; I$2&amp;"計",【ピボット】事業所収支!$A$3,"年月",$A30),#N/A)</f>
        <v>6610405</v>
      </c>
      <c r="J30" s="39">
        <f>IFERROR(GETPIVOTDATA("合計 / " &amp; J$2,【ピボット】事業所収支!$A$3,"年月",$A30),#N/A)</f>
        <v>0</v>
      </c>
      <c r="K30" s="192">
        <f t="shared" si="1"/>
        <v>27261374</v>
      </c>
      <c r="L30" s="39">
        <f>IFERROR(GETPIVOTDATA("合計 / " &amp; L$2,【ピボット】事業所収支!$A$3,"年月",$A30),#N/A)</f>
        <v>26366462</v>
      </c>
      <c r="M30" s="201">
        <f t="shared" si="0"/>
        <v>0.78322867133254359</v>
      </c>
      <c r="N30" s="192">
        <f t="shared" si="8"/>
        <v>-894912</v>
      </c>
      <c r="O30" s="39">
        <f>IFERROR(GETPIVOTDATA("合計 / " &amp; O$2,【ピボット】事業所収支!$A$3,"年月",$A30),#N/A)</f>
        <v>6962</v>
      </c>
      <c r="P30" s="39">
        <f>IFERROR(GETPIVOTDATA("合計 / " &amp; P$2,【ピボット】事業所収支!$A$3,"年月",$A30),#N/A)</f>
        <v>253070</v>
      </c>
      <c r="Q30" s="192">
        <f t="shared" si="7"/>
        <v>-1141020</v>
      </c>
      <c r="R30" s="39">
        <f>IFERROR(GETPIVOTDATA("合計 / " &amp; R$2,【ピボット】事業所収支!$A$3,"年月",$A30),#N/A)</f>
        <v>0</v>
      </c>
      <c r="S30" s="19">
        <f t="shared" ca="1" si="2"/>
        <v>39406478.083333336</v>
      </c>
      <c r="T30" s="135"/>
      <c r="U30" s="42"/>
      <c r="V30" s="24"/>
      <c r="W30" s="24"/>
    </row>
    <row r="31" spans="1:23" ht="19.5" customHeight="1" x14ac:dyDescent="0.15">
      <c r="A31" s="666">
        <f t="shared" si="5"/>
        <v>42614</v>
      </c>
      <c r="B31" s="202">
        <f>IFERROR(GETPIVOTDATA("合計 / " &amp; B$2 &amp; "給与",【ピボット】事業所収支!$A$3,"年月",$A31),#N/A)</f>
        <v>8421241</v>
      </c>
      <c r="C31" s="202">
        <f>IFERROR(GETPIVOTDATA("合計 / " &amp; C$2 &amp; "給与",【ピボット】事業所収支!$A$3,"年月",$A31),#N/A)</f>
        <v>8551503</v>
      </c>
      <c r="D31" s="202">
        <f>IFERROR(GETPIVOTDATA("合計 / " &amp; D$2,【ピボット】事業所収支!$A$3,"年月",$A31),#N/A)</f>
        <v>0</v>
      </c>
      <c r="E31" s="202">
        <f>IFERROR(GETPIVOTDATA("合計 / " &amp; E$2 &amp; "給与",【ピボット】事業所収支!$A$3,"年月",$A31),#N/A)</f>
        <v>2150000</v>
      </c>
      <c r="F31" s="202">
        <f>IFERROR(GETPIVOTDATA("合計 / " &amp; F$2,【ピボット】事業所収支!$A$3,"年月",$A31),#N/A)</f>
        <v>798811</v>
      </c>
      <c r="G31" s="202">
        <f>IFERROR(GETPIVOTDATA("合計 / " &amp; G$2,【ピボット】事業所収支!$A$3,"年月",$A31),#N/A)</f>
        <v>1287715</v>
      </c>
      <c r="H31" s="19">
        <f>IFERROR(GETPIVOTDATA("合計 / " &amp; H$2,【ピボット】事業所収支!$A$3,"年月",$A31),#N/A)</f>
        <v>21209270</v>
      </c>
      <c r="I31" s="19">
        <f>IFERROR(GETPIVOTDATA("合計 / " &amp; I$2&amp;"計",【ピボット】事業所収支!$A$3,"年月",$A31),#N/A)</f>
        <v>7176217</v>
      </c>
      <c r="J31" s="19">
        <f>IFERROR(GETPIVOTDATA("合計 / " &amp; J$2,【ピボット】事業所収支!$A$3,"年月",$A31),#N/A)</f>
        <v>0</v>
      </c>
      <c r="K31" s="191">
        <f t="shared" si="1"/>
        <v>28385487</v>
      </c>
      <c r="L31" s="19">
        <f>IFERROR(GETPIVOTDATA("合計 / " &amp; L$2,【ピボット】事業所収支!$A$3,"年月",$A31),#N/A)</f>
        <v>26564445</v>
      </c>
      <c r="M31" s="201">
        <f t="shared" si="0"/>
        <v>0.79840817302977718</v>
      </c>
      <c r="N31" s="191">
        <f t="shared" si="8"/>
        <v>-1821042</v>
      </c>
      <c r="O31" s="19">
        <f>IFERROR(GETPIVOTDATA("合計 / " &amp; O$2,【ピボット】事業所収支!$A$3,"年月",$A31),#N/A)</f>
        <v>31120</v>
      </c>
      <c r="P31" s="19">
        <f>IFERROR(GETPIVOTDATA("合計 / " &amp; P$2,【ピボット】事業所収支!$A$3,"年月",$A31),#N/A)</f>
        <v>157516</v>
      </c>
      <c r="Q31" s="191">
        <f t="shared" ref="Q31:Q36" si="9">N31+O31-P31</f>
        <v>-1947438</v>
      </c>
      <c r="R31" s="19">
        <f>IFERROR(GETPIVOTDATA("合計 / " &amp; R$2,【ピボット】事業所収支!$A$3,"年月",$A31),#N/A)</f>
        <v>0</v>
      </c>
      <c r="S31" s="19">
        <f t="shared" ca="1" si="2"/>
        <v>39406478.083333336</v>
      </c>
      <c r="T31" s="128"/>
      <c r="U31" s="42"/>
      <c r="V31" s="24"/>
      <c r="W31" s="24"/>
    </row>
    <row r="32" spans="1:23" ht="19.5" customHeight="1" x14ac:dyDescent="0.15">
      <c r="A32" s="666">
        <f t="shared" si="5"/>
        <v>42644</v>
      </c>
      <c r="B32" s="202">
        <f>IFERROR(GETPIVOTDATA("合計 / " &amp; B$2 &amp; "給与",【ピボット】事業所収支!$A$3,"年月",$A32),#N/A)</f>
        <v>7999869</v>
      </c>
      <c r="C32" s="202">
        <f>IFERROR(GETPIVOTDATA("合計 / " &amp; C$2 &amp; "給与",【ピボット】事業所収支!$A$3,"年月",$A32),#N/A)</f>
        <v>8087876</v>
      </c>
      <c r="D32" s="202">
        <f>IFERROR(GETPIVOTDATA("合計 / " &amp; D$2,【ピボット】事業所収支!$A$3,"年月",$A32),#N/A)</f>
        <v>0</v>
      </c>
      <c r="E32" s="202">
        <f>IFERROR(GETPIVOTDATA("合計 / " &amp; E$2 &amp; "給与",【ピボット】事業所収支!$A$3,"年月",$A32),#N/A)</f>
        <v>2000000</v>
      </c>
      <c r="F32" s="202">
        <f>IFERROR(GETPIVOTDATA("合計 / " &amp; F$2,【ピボット】事業所収支!$A$3,"年月",$A32),#N/A)</f>
        <v>177807</v>
      </c>
      <c r="G32" s="202">
        <f>IFERROR(GETPIVOTDATA("合計 / " &amp; G$2,【ピボット】事業所収支!$A$3,"年月",$A32),#N/A)</f>
        <v>1803707</v>
      </c>
      <c r="H32" s="19">
        <f>IFERROR(GETPIVOTDATA("合計 / " &amp; H$2,【ピボット】事業所収支!$A$3,"年月",$A32),#N/A)</f>
        <v>20069259</v>
      </c>
      <c r="I32" s="39">
        <f>IFERROR(GETPIVOTDATA("合計 / " &amp; I$2&amp;"計",【ピボット】事業所収支!$A$3,"年月",$A32),#N/A)</f>
        <v>6976872</v>
      </c>
      <c r="J32" s="39">
        <f>IFERROR(GETPIVOTDATA("合計 / " &amp; J$2,【ピボット】事業所収支!$A$3,"年月",$A32),#N/A)</f>
        <v>0</v>
      </c>
      <c r="K32" s="192">
        <f t="shared" si="1"/>
        <v>27046131</v>
      </c>
      <c r="L32" s="39">
        <f>IFERROR(GETPIVOTDATA("合計 / " &amp; L$2,【ピボット】事業所収支!$A$3,"年月",$A32),#N/A)</f>
        <v>29654017</v>
      </c>
      <c r="M32" s="201">
        <f t="shared" si="0"/>
        <v>0.67678045102624718</v>
      </c>
      <c r="N32" s="192">
        <f t="shared" si="8"/>
        <v>2607886</v>
      </c>
      <c r="O32" s="39">
        <f>IFERROR(GETPIVOTDATA("合計 / " &amp; O$2,【ピボット】事業所収支!$A$3,"年月",$A32),#N/A)</f>
        <v>9910</v>
      </c>
      <c r="P32" s="39">
        <f>IFERROR(GETPIVOTDATA("合計 / " &amp; P$2,【ピボット】事業所収支!$A$3,"年月",$A32),#N/A)</f>
        <v>181403</v>
      </c>
      <c r="Q32" s="192">
        <f t="shared" si="9"/>
        <v>2436393</v>
      </c>
      <c r="R32" s="39">
        <f>IFERROR(GETPIVOTDATA("合計 / " &amp; R$2,【ピボット】事業所収支!$A$3,"年月",$A32),#N/A)</f>
        <v>0</v>
      </c>
      <c r="S32" s="19">
        <f t="shared" ca="1" si="2"/>
        <v>39406478.083333336</v>
      </c>
      <c r="T32" s="135"/>
      <c r="U32" s="42"/>
      <c r="V32" s="24"/>
      <c r="W32" s="24"/>
    </row>
    <row r="33" spans="1:23" ht="19.5" customHeight="1" x14ac:dyDescent="0.15">
      <c r="A33" s="666">
        <f t="shared" si="5"/>
        <v>42675</v>
      </c>
      <c r="B33" s="202">
        <f>IFERROR(GETPIVOTDATA("合計 / " &amp; B$2 &amp; "給与",【ピボット】事業所収支!$A$3,"年月",$A33),#N/A)</f>
        <v>7888862</v>
      </c>
      <c r="C33" s="202">
        <f>IFERROR(GETPIVOTDATA("合計 / " &amp; C$2 &amp; "給与",【ピボット】事業所収支!$A$3,"年月",$A33),#N/A)</f>
        <v>7916605</v>
      </c>
      <c r="D33" s="202">
        <f>IFERROR(GETPIVOTDATA("合計 / " &amp; D$2,【ピボット】事業所収支!$A$3,"年月",$A33),#N/A)</f>
        <v>0</v>
      </c>
      <c r="E33" s="202">
        <f>IFERROR(GETPIVOTDATA("合計 / " &amp; E$2 &amp; "給与",【ピボット】事業所収支!$A$3,"年月",$A33),#N/A)</f>
        <v>2000000</v>
      </c>
      <c r="F33" s="202">
        <f>IFERROR(GETPIVOTDATA("合計 / " &amp; F$2,【ピボット】事業所収支!$A$3,"年月",$A33),#N/A)</f>
        <v>70614</v>
      </c>
      <c r="G33" s="202">
        <f>IFERROR(GETPIVOTDATA("合計 / " &amp; G$2,【ピボット】事業所収支!$A$3,"年月",$A33),#N/A)</f>
        <v>1440015</v>
      </c>
      <c r="H33" s="19">
        <f>IFERROR(GETPIVOTDATA("合計 / " &amp; H$2,【ピボット】事業所収支!$A$3,"年月",$A33),#N/A)</f>
        <v>19316096</v>
      </c>
      <c r="I33" s="77">
        <f>IFERROR(GETPIVOTDATA("合計 / " &amp; I$2&amp;"計",【ピボット】事業所収支!$A$3,"年月",$A33),#N/A)</f>
        <v>6056701</v>
      </c>
      <c r="J33" s="77">
        <f>IFERROR(GETPIVOTDATA("合計 / " &amp; J$2,【ピボット】事業所収支!$A$3,"年月",$A33),#N/A)</f>
        <v>0</v>
      </c>
      <c r="K33" s="193">
        <f t="shared" si="1"/>
        <v>25372797</v>
      </c>
      <c r="L33" s="200">
        <f>IFERROR(GETPIVOTDATA("合計 / " &amp; L$2,【ピボット】事業所収支!$A$3,"年月",$A33),#N/A)</f>
        <v>29850908</v>
      </c>
      <c r="M33" s="201">
        <f t="shared" si="0"/>
        <v>0.64708571008962279</v>
      </c>
      <c r="N33" s="228">
        <f t="shared" si="8"/>
        <v>4478111</v>
      </c>
      <c r="O33" s="200">
        <f>IFERROR(GETPIVOTDATA("合計 / " &amp; O$2,【ピボット】事業所収支!$A$3,"年月",$A33),#N/A)</f>
        <v>7897</v>
      </c>
      <c r="P33" s="200">
        <f>IFERROR(GETPIVOTDATA("合計 / " &amp; P$2,【ピボット】事業所収支!$A$3,"年月",$A33),#N/A)</f>
        <v>166430</v>
      </c>
      <c r="Q33" s="228">
        <f t="shared" si="9"/>
        <v>4319578</v>
      </c>
      <c r="R33" s="77">
        <f>IFERROR(GETPIVOTDATA("合計 / " &amp; R$2,【ピボット】事業所収支!$A$3,"年月",$A33),#N/A)</f>
        <v>0</v>
      </c>
      <c r="S33" s="19">
        <f t="shared" ca="1" si="2"/>
        <v>39406478.083333336</v>
      </c>
      <c r="T33" s="229"/>
      <c r="U33" s="42"/>
      <c r="V33" s="24"/>
      <c r="W33" s="24"/>
    </row>
    <row r="34" spans="1:23" ht="19.5" customHeight="1" x14ac:dyDescent="0.15">
      <c r="A34" s="666">
        <f t="shared" si="5"/>
        <v>42705</v>
      </c>
      <c r="B34" s="202">
        <f>IFERROR(GETPIVOTDATA("合計 / " &amp; B$2 &amp; "給与",【ピボット】事業所収支!$A$3,"年月",$A34),#N/A)</f>
        <v>9257860</v>
      </c>
      <c r="C34" s="202">
        <f>IFERROR(GETPIVOTDATA("合計 / " &amp; C$2 &amp; "給与",【ピボット】事業所収支!$A$3,"年月",$A34),#N/A)</f>
        <v>8342551</v>
      </c>
      <c r="D34" s="202">
        <f>IFERROR(GETPIVOTDATA("合計 / " &amp; D$2,【ピボット】事業所収支!$A$3,"年月",$A34),#N/A)</f>
        <v>7183300</v>
      </c>
      <c r="E34" s="202">
        <f>IFERROR(GETPIVOTDATA("合計 / " &amp; E$2 &amp; "給与",【ピボット】事業所収支!$A$3,"年月",$A34),#N/A)</f>
        <v>2000000</v>
      </c>
      <c r="F34" s="202">
        <f>IFERROR(GETPIVOTDATA("合計 / " &amp; F$2,【ピボット】事業所収支!$A$3,"年月",$A34),#N/A)</f>
        <v>1031616</v>
      </c>
      <c r="G34" s="202">
        <f>IFERROR(GETPIVOTDATA("合計 / " &amp; G$2,【ピボット】事業所収支!$A$3,"年月",$A34),#N/A)</f>
        <v>411035</v>
      </c>
      <c r="H34" s="19">
        <f>IFERROR(GETPIVOTDATA("合計 / " &amp; H$2,【ピボット】事業所収支!$A$3,"年月",$A34),#N/A)</f>
        <v>28226362</v>
      </c>
      <c r="I34" s="39">
        <f>IFERROR(GETPIVOTDATA("合計 / " &amp; I$2&amp;"計",【ピボット】事業所収支!$A$3,"年月",$A34),#N/A)</f>
        <v>6968765</v>
      </c>
      <c r="J34" s="39">
        <f>IFERROR(GETPIVOTDATA("合計 / " &amp; J$2,【ピボット】事業所収支!$A$3,"年月",$A34),#N/A)</f>
        <v>0</v>
      </c>
      <c r="K34" s="192">
        <f t="shared" si="1"/>
        <v>35195127</v>
      </c>
      <c r="L34" s="19">
        <f>IFERROR(GETPIVOTDATA("合計 / " &amp; L$2,【ピボット】事業所収支!$A$3,"年月",$A34),#N/A)</f>
        <v>32519274</v>
      </c>
      <c r="M34" s="201">
        <f t="shared" si="0"/>
        <v>0.86798868880037117</v>
      </c>
      <c r="N34" s="191">
        <f t="shared" ref="N34:N39" si="10">L34-K34</f>
        <v>-2675853</v>
      </c>
      <c r="O34" s="19">
        <f>IFERROR(GETPIVOTDATA("合計 / " &amp; O$2,【ピボット】事業所収支!$A$3,"年月",$A34),#N/A)</f>
        <v>5835</v>
      </c>
      <c r="P34" s="19">
        <f>IFERROR(GETPIVOTDATA("合計 / " &amp; P$2,【ピボット】事業所収支!$A$3,"年月",$A34),#N/A)</f>
        <v>288359</v>
      </c>
      <c r="Q34" s="191">
        <f t="shared" si="9"/>
        <v>-2958377</v>
      </c>
      <c r="R34" s="39">
        <f>IFERROR(GETPIVOTDATA("合計 / " &amp; R$2,【ピボット】事業所収支!$A$3,"年月",$A34),#N/A)</f>
        <v>0</v>
      </c>
      <c r="S34" s="19">
        <f t="shared" ca="1" si="2"/>
        <v>39406478.083333336</v>
      </c>
      <c r="T34" s="230"/>
      <c r="U34" s="42"/>
      <c r="V34" s="24"/>
      <c r="W34" s="24"/>
    </row>
    <row r="35" spans="1:23" ht="19.5" customHeight="1" x14ac:dyDescent="0.15">
      <c r="A35" s="666">
        <f t="shared" si="5"/>
        <v>42736</v>
      </c>
      <c r="B35" s="202">
        <f>IFERROR(GETPIVOTDATA("合計 / " &amp; B$2 &amp; "給与",【ピボット】事業所収支!$A$3,"年月",$A35),#N/A)</f>
        <v>9298008</v>
      </c>
      <c r="C35" s="202">
        <f>IFERROR(GETPIVOTDATA("合計 / " &amp; C$2 &amp; "給与",【ピボット】事業所収支!$A$3,"年月",$A35),#N/A)</f>
        <v>8350476</v>
      </c>
      <c r="D35" s="202">
        <f>IFERROR(GETPIVOTDATA("合計 / " &amp; D$2,【ピボット】事業所収支!$A$3,"年月",$A35),#N/A)</f>
        <v>0</v>
      </c>
      <c r="E35" s="202">
        <f>IFERROR(GETPIVOTDATA("合計 / " &amp; E$2 &amp; "給与",【ピボット】事業所収支!$A$3,"年月",$A35),#N/A)</f>
        <v>2000000</v>
      </c>
      <c r="F35" s="202">
        <f>IFERROR(GETPIVOTDATA("合計 / " &amp; F$2,【ピボット】事業所収支!$A$3,"年月",$A35),#N/A)</f>
        <v>86091</v>
      </c>
      <c r="G35" s="202">
        <f>IFERROR(GETPIVOTDATA("合計 / " &amp; G$2,【ピボット】事業所収支!$A$3,"年月",$A35),#N/A)</f>
        <v>3971571</v>
      </c>
      <c r="H35" s="19">
        <f>IFERROR(GETPIVOTDATA("合計 / " &amp; H$2,【ピボット】事業所収支!$A$3,"年月",$A35),#N/A)</f>
        <v>23706146</v>
      </c>
      <c r="I35" s="39">
        <f>IFERROR(GETPIVOTDATA("合計 / " &amp; I$2&amp;"計",【ピボット】事業所収支!$A$3,"年月",$A35),#N/A)</f>
        <v>7978846</v>
      </c>
      <c r="J35" s="39">
        <f>IFERROR(GETPIVOTDATA("合計 / " &amp; J$2,【ピボット】事業所収支!$A$3,"年月",$A35),#N/A)</f>
        <v>0</v>
      </c>
      <c r="K35" s="192">
        <f t="shared" si="1"/>
        <v>31684992</v>
      </c>
      <c r="L35" s="39">
        <f>IFERROR(GETPIVOTDATA("合計 / " &amp; L$2,【ピボット】事業所収支!$A$3,"年月",$A35),#N/A)</f>
        <v>29234717</v>
      </c>
      <c r="M35" s="698">
        <f t="shared" ref="M35:M62" si="11">IFERROR(H35/L35,#N/A)</f>
        <v>0.81089021658735405</v>
      </c>
      <c r="N35" s="192">
        <f t="shared" si="10"/>
        <v>-2450275</v>
      </c>
      <c r="O35" s="39">
        <f>IFERROR(GETPIVOTDATA("合計 / " &amp; O$2,【ピボット】事業所収支!$A$3,"年月",$A35),#N/A)</f>
        <v>6823</v>
      </c>
      <c r="P35" s="39">
        <f>IFERROR(GETPIVOTDATA("合計 / " &amp; P$2,【ピボット】事業所収支!$A$3,"年月",$A35),#N/A)</f>
        <v>718794</v>
      </c>
      <c r="Q35" s="192">
        <f t="shared" si="9"/>
        <v>-3162246</v>
      </c>
      <c r="R35" s="39">
        <f>IFERROR(GETPIVOTDATA("合計 / " &amp; R$2,【ピボット】事業所収支!$A$3,"年月",$A35),#N/A)</f>
        <v>0</v>
      </c>
      <c r="S35" s="19">
        <f t="shared" ca="1" si="2"/>
        <v>39406478.083333336</v>
      </c>
      <c r="T35" s="230"/>
      <c r="U35" s="42"/>
      <c r="V35" s="24"/>
      <c r="W35" s="24"/>
    </row>
    <row r="36" spans="1:23" ht="19.5" customHeight="1" x14ac:dyDescent="0.15">
      <c r="A36" s="666">
        <f t="shared" si="5"/>
        <v>42767</v>
      </c>
      <c r="B36" s="202">
        <f>IFERROR(GETPIVOTDATA("合計 / " &amp; B$2 &amp; "給与",【ピボット】事業所収支!$A$3,"年月",$A36),#N/A)</f>
        <v>8581832</v>
      </c>
      <c r="C36" s="202">
        <f>IFERROR(GETPIVOTDATA("合計 / " &amp; C$2 &amp; "給与",【ピボット】事業所収支!$A$3,"年月",$A36),#N/A)</f>
        <v>8110340</v>
      </c>
      <c r="D36" s="202">
        <f>IFERROR(GETPIVOTDATA("合計 / " &amp; D$2,【ピボット】事業所収支!$A$3,"年月",$A36),#N/A)</f>
        <v>0</v>
      </c>
      <c r="E36" s="202">
        <f>IFERROR(GETPIVOTDATA("合計 / " &amp; E$2 &amp; "給与",【ピボット】事業所収支!$A$3,"年月",$A36),#N/A)</f>
        <v>2000000</v>
      </c>
      <c r="F36" s="202">
        <f>IFERROR(GETPIVOTDATA("合計 / " &amp; F$2,【ピボット】事業所収支!$A$3,"年月",$A36),#N/A)</f>
        <v>130746</v>
      </c>
      <c r="G36" s="202">
        <f>IFERROR(GETPIVOTDATA("合計 / " &amp; G$2,【ピボット】事業所収支!$A$3,"年月",$A36),#N/A)</f>
        <v>1387414</v>
      </c>
      <c r="H36" s="19">
        <f>IFERROR(GETPIVOTDATA("合計 / " &amp; H$2,【ピボット】事業所収支!$A$3,"年月",$A36),#N/A)</f>
        <v>20210332</v>
      </c>
      <c r="I36" s="39">
        <f>IFERROR(GETPIVOTDATA("合計 / " &amp; I$2&amp;"計",【ピボット】事業所収支!$A$3,"年月",$A36),#N/A)</f>
        <v>7572251</v>
      </c>
      <c r="J36" s="39">
        <f>IFERROR(GETPIVOTDATA("合計 / " &amp; J$2,【ピボット】事業所収支!$A$3,"年月",$A36),#N/A)</f>
        <v>0</v>
      </c>
      <c r="K36" s="192">
        <f t="shared" si="1"/>
        <v>27782583</v>
      </c>
      <c r="L36" s="19">
        <f>IFERROR(GETPIVOTDATA("合計 / " &amp; L$2,【ピボット】事業所収支!$A$3,"年月",$A36),#N/A)</f>
        <v>29289578</v>
      </c>
      <c r="M36" s="699">
        <f t="shared" si="11"/>
        <v>0.69001786232631968</v>
      </c>
      <c r="N36" s="191">
        <f t="shared" si="10"/>
        <v>1506995</v>
      </c>
      <c r="O36" s="19">
        <f>IFERROR(GETPIVOTDATA("合計 / " &amp; O$2,【ピボット】事業所収支!$A$3,"年月",$A36),#N/A)</f>
        <v>6434</v>
      </c>
      <c r="P36" s="19">
        <f>IFERROR(GETPIVOTDATA("合計 / " &amp; P$2,【ピボット】事業所収支!$A$3,"年月",$A36),#N/A)</f>
        <v>173112</v>
      </c>
      <c r="Q36" s="191">
        <f t="shared" si="9"/>
        <v>1340317</v>
      </c>
      <c r="R36" s="39">
        <f>IFERROR(GETPIVOTDATA("合計 / " &amp; R$2,【ピボット】事業所収支!$A$3,"年月",$A36),#N/A)</f>
        <v>0</v>
      </c>
      <c r="S36" s="19">
        <f t="shared" ca="1" si="2"/>
        <v>39406478.083333336</v>
      </c>
      <c r="T36" s="135"/>
      <c r="U36" s="42"/>
      <c r="V36" s="24"/>
      <c r="W36" s="24"/>
    </row>
    <row r="37" spans="1:23" ht="19.5" customHeight="1" x14ac:dyDescent="0.15">
      <c r="A37" s="666">
        <f t="shared" si="5"/>
        <v>42795</v>
      </c>
      <c r="B37" s="202">
        <f>IFERROR(GETPIVOTDATA("合計 / " &amp; B$2 &amp; "給与",【ピボット】事業所収支!$A$3,"年月",$A37),#N/A)</f>
        <v>9496637</v>
      </c>
      <c r="C37" s="202">
        <f>IFERROR(GETPIVOTDATA("合計 / " &amp; C$2 &amp; "給与",【ピボット】事業所収支!$A$3,"年月",$A37),#N/A)</f>
        <v>8561138</v>
      </c>
      <c r="D37" s="202">
        <f>IFERROR(GETPIVOTDATA("合計 / " &amp; D$2,【ピボット】事業所収支!$A$3,"年月",$A37),#N/A)</f>
        <v>0</v>
      </c>
      <c r="E37" s="202">
        <f>IFERROR(GETPIVOTDATA("合計 / " &amp; E$2 &amp; "給与",【ピボット】事業所収支!$A$3,"年月",$A37),#N/A)</f>
        <v>2000000</v>
      </c>
      <c r="F37" s="202">
        <f>IFERROR(GETPIVOTDATA("合計 / " &amp; F$2,【ピボット】事業所収支!$A$3,"年月",$A37),#N/A)</f>
        <v>196885</v>
      </c>
      <c r="G37" s="202">
        <f>IFERROR(GETPIVOTDATA("合計 / " &amp; G$2,【ピボット】事業所収支!$A$3,"年月",$A37),#N/A)</f>
        <v>1422229</v>
      </c>
      <c r="H37" s="19">
        <f>IFERROR(GETPIVOTDATA("合計 / " &amp; H$2,【ピボット】事業所収支!$A$3,"年月",$A37),#N/A)</f>
        <v>21676889</v>
      </c>
      <c r="I37" s="39">
        <f>IFERROR(GETPIVOTDATA("合計 / " &amp; I$2&amp;"計",【ピボット】事業所収支!$A$3,"年月",$A37),#N/A)</f>
        <v>8593509</v>
      </c>
      <c r="J37" s="39">
        <f>IFERROR(GETPIVOTDATA("合計 / " &amp; J$2,【ピボット】事業所収支!$A$3,"年月",$A37),#N/A)</f>
        <v>0</v>
      </c>
      <c r="K37" s="192">
        <f t="shared" si="1"/>
        <v>30270398</v>
      </c>
      <c r="L37" s="19">
        <f>IFERROR(GETPIVOTDATA("合計 / " &amp; L$2,【ピボット】事業所収支!$A$3,"年月",$A37),#N/A)</f>
        <v>31229016</v>
      </c>
      <c r="M37" s="201">
        <f t="shared" si="11"/>
        <v>0.69412654564588261</v>
      </c>
      <c r="N37" s="191">
        <f t="shared" si="10"/>
        <v>958618</v>
      </c>
      <c r="O37" s="19">
        <f>IFERROR(GETPIVOTDATA("合計 / " &amp; O$2,【ピボット】事業所収支!$A$3,"年月",$A37),#N/A)</f>
        <v>700432</v>
      </c>
      <c r="P37" s="19">
        <f>IFERROR(GETPIVOTDATA("合計 / " &amp; P$2,【ピボット】事業所収支!$A$3,"年月",$A37),#N/A)</f>
        <v>146394</v>
      </c>
      <c r="Q37" s="191">
        <f t="shared" ref="Q37:Q42" si="12">N37+O37-P37</f>
        <v>1512656</v>
      </c>
      <c r="R37" s="39">
        <f>IFERROR(GETPIVOTDATA("合計 / " &amp; R$2,【ピボット】事業所収支!$A$3,"年月",$A37),#N/A)</f>
        <v>0</v>
      </c>
      <c r="S37" s="19">
        <f t="shared" ca="1" si="2"/>
        <v>39406478.083333336</v>
      </c>
      <c r="T37" s="135"/>
      <c r="U37" s="42"/>
      <c r="V37" s="24"/>
      <c r="W37" s="24"/>
    </row>
    <row r="38" spans="1:23" ht="19.5" customHeight="1" x14ac:dyDescent="0.15">
      <c r="A38" s="666">
        <f t="shared" si="5"/>
        <v>42826</v>
      </c>
      <c r="B38" s="202">
        <f>IFERROR(GETPIVOTDATA("合計 / " &amp; B$2 &amp; "給与",【ピボット】事業所収支!$A$3,"年月",$A38),#N/A)</f>
        <v>9162799</v>
      </c>
      <c r="C38" s="202">
        <f>IFERROR(GETPIVOTDATA("合計 / " &amp; C$2 &amp; "給与",【ピボット】事業所収支!$A$3,"年月",$A38),#N/A)</f>
        <v>8027584</v>
      </c>
      <c r="D38" s="202">
        <f>IFERROR(GETPIVOTDATA("合計 / " &amp; D$2,【ピボット】事業所収支!$A$3,"年月",$A38),#N/A)</f>
        <v>0</v>
      </c>
      <c r="E38" s="202">
        <f>IFERROR(GETPIVOTDATA("合計 / " &amp; E$2 &amp; "給与",【ピボット】事業所収支!$A$3,"年月",$A38),#N/A)</f>
        <v>2000000</v>
      </c>
      <c r="F38" s="202">
        <f>IFERROR(GETPIVOTDATA("合計 / " &amp; F$2,【ピボット】事業所収支!$A$3,"年月",$A38),#N/A)</f>
        <v>69822</v>
      </c>
      <c r="G38" s="202">
        <f>IFERROR(GETPIVOTDATA("合計 / " &amp; G$2,【ピボット】事業所収支!$A$3,"年月",$A38),#N/A)</f>
        <v>1432801</v>
      </c>
      <c r="H38" s="19">
        <f>IFERROR(GETPIVOTDATA("合計 / " &amp; H$2,【ピボット】事業所収支!$A$3,"年月",$A38),#N/A)</f>
        <v>20693006</v>
      </c>
      <c r="I38" s="39">
        <f>IFERROR(GETPIVOTDATA("合計 / " &amp; I$2&amp;"計",【ピボット】事業所収支!$A$3,"年月",$A38),#N/A)</f>
        <v>8610109</v>
      </c>
      <c r="J38" s="39">
        <f>IFERROR(GETPIVOTDATA("合計 / " &amp; J$2,【ピボット】事業所収支!$A$3,"年月",$A38),#N/A)</f>
        <v>0</v>
      </c>
      <c r="K38" s="192">
        <f t="shared" si="1"/>
        <v>29303115</v>
      </c>
      <c r="L38" s="19">
        <f>IFERROR(GETPIVOTDATA("合計 / " &amp; L$2,【ピボット】事業所収支!$A$3,"年月",$A38),#N/A)</f>
        <v>29432948</v>
      </c>
      <c r="M38" s="201">
        <f t="shared" si="11"/>
        <v>0.70305584068575122</v>
      </c>
      <c r="N38" s="191">
        <f t="shared" si="10"/>
        <v>129833</v>
      </c>
      <c r="O38" s="19">
        <f>IFERROR(GETPIVOTDATA("合計 / " &amp; O$2,【ピボット】事業所収支!$A$3,"年月",$A38),#N/A)</f>
        <v>205117</v>
      </c>
      <c r="P38" s="19">
        <f>IFERROR(GETPIVOTDATA("合計 / " &amp; P$2,【ピボット】事業所収支!$A$3,"年月",$A38),#N/A)</f>
        <v>135703</v>
      </c>
      <c r="Q38" s="191">
        <f t="shared" si="12"/>
        <v>199247</v>
      </c>
      <c r="R38" s="39">
        <f>IFERROR(GETPIVOTDATA("合計 / " &amp; R$2,【ピボット】事業所収支!$A$3,"年月",$A38),#N/A)</f>
        <v>0</v>
      </c>
      <c r="S38" s="19">
        <f t="shared" ca="1" si="2"/>
        <v>39406478.083333336</v>
      </c>
      <c r="T38" s="135"/>
      <c r="U38" s="42"/>
      <c r="V38" s="24"/>
      <c r="W38" s="24"/>
    </row>
    <row r="39" spans="1:23" ht="19.5" customHeight="1" x14ac:dyDescent="0.15">
      <c r="A39" s="666">
        <f t="shared" si="5"/>
        <v>42856</v>
      </c>
      <c r="B39" s="202">
        <f>IFERROR(GETPIVOTDATA("合計 / " &amp; B$2 &amp; "給与",【ピボット】事業所収支!$A$3,"年月",$A39),#N/A)</f>
        <v>9509943</v>
      </c>
      <c r="C39" s="202">
        <f>IFERROR(GETPIVOTDATA("合計 / " &amp; C$2 &amp; "給与",【ピボット】事業所収支!$A$3,"年月",$A39),#N/A)</f>
        <v>7398936</v>
      </c>
      <c r="D39" s="202">
        <f>IFERROR(GETPIVOTDATA("合計 / " &amp; D$2,【ピボット】事業所収支!$A$3,"年月",$A39),#N/A)</f>
        <v>0</v>
      </c>
      <c r="E39" s="202">
        <f>IFERROR(GETPIVOTDATA("合計 / " &amp; E$2 &amp; "給与",【ピボット】事業所収支!$A$3,"年月",$A39),#N/A)</f>
        <v>2000000</v>
      </c>
      <c r="F39" s="202">
        <f>IFERROR(GETPIVOTDATA("合計 / " &amp; F$2,【ピボット】事業所収支!$A$3,"年月",$A39),#N/A)</f>
        <v>62525</v>
      </c>
      <c r="G39" s="202">
        <f>IFERROR(GETPIVOTDATA("合計 / " &amp; G$2,【ピボット】事業所収支!$A$3,"年月",$A39),#N/A)</f>
        <v>1475578</v>
      </c>
      <c r="H39" s="19">
        <f>IFERROR(GETPIVOTDATA("合計 / " &amp; H$2,【ピボット】事業所収支!$A$3,"年月",$A39),#N/A)</f>
        <v>20446982</v>
      </c>
      <c r="I39" s="39">
        <f>IFERROR(GETPIVOTDATA("合計 / " &amp; I$2&amp;"計",【ピボット】事業所収支!$A$3,"年月",$A39),#N/A)</f>
        <v>8514882</v>
      </c>
      <c r="J39" s="39">
        <f>IFERROR(GETPIVOTDATA("合計 / " &amp; J$2,【ピボット】事業所収支!$A$3,"年月",$A39),#N/A)</f>
        <v>0</v>
      </c>
      <c r="K39" s="1163">
        <f t="shared" si="1"/>
        <v>28961864</v>
      </c>
      <c r="L39" s="19">
        <f>IFERROR(GETPIVOTDATA("合計 / " &amp; L$2,【ピボット】事業所収支!$A$3,"年月",$A39),#N/A)</f>
        <v>32703033</v>
      </c>
      <c r="M39" s="201">
        <f t="shared" si="11"/>
        <v>0.62523197771900851</v>
      </c>
      <c r="N39" s="191">
        <f t="shared" si="10"/>
        <v>3741169</v>
      </c>
      <c r="O39" s="19">
        <f>IFERROR(GETPIVOTDATA("合計 / " &amp; O$2,【ピボット】事業所収支!$A$3,"年月",$A39),#N/A)</f>
        <v>104315</v>
      </c>
      <c r="P39" s="19">
        <f>IFERROR(GETPIVOTDATA("合計 / " &amp; P$2,【ピボット】事業所収支!$A$3,"年月",$A39),#N/A)</f>
        <v>371587</v>
      </c>
      <c r="Q39" s="191">
        <f t="shared" si="12"/>
        <v>3473897</v>
      </c>
      <c r="R39" s="39">
        <f>IFERROR(GETPIVOTDATA("合計 / " &amp; R$2,【ピボット】事業所収支!$A$3,"年月",$A39),#N/A)</f>
        <v>0</v>
      </c>
      <c r="S39" s="19">
        <f t="shared" ca="1" si="2"/>
        <v>39406478.083333336</v>
      </c>
      <c r="T39" s="135"/>
      <c r="U39" s="42"/>
      <c r="V39" s="24"/>
      <c r="W39" s="24"/>
    </row>
    <row r="40" spans="1:23" ht="19.5" customHeight="1" x14ac:dyDescent="0.15">
      <c r="A40" s="666">
        <f t="shared" si="5"/>
        <v>42887</v>
      </c>
      <c r="B40" s="202">
        <f>IFERROR(GETPIVOTDATA("合計 / " &amp; B$2 &amp; "給与",【ピボット】事業所収支!$A$3,"年月",$A40),#N/A)</f>
        <v>10064298</v>
      </c>
      <c r="C40" s="202">
        <f>IFERROR(GETPIVOTDATA("合計 / " &amp; C$2 &amp; "給与",【ピボット】事業所収支!$A$3,"年月",$A40),#N/A)</f>
        <v>8544718</v>
      </c>
      <c r="D40" s="202">
        <f>IFERROR(GETPIVOTDATA("合計 / " &amp; D$2,【ピボット】事業所収支!$A$3,"年月",$A40),#N/A)</f>
        <v>4031000</v>
      </c>
      <c r="E40" s="202">
        <f>IFERROR(GETPIVOTDATA("合計 / " &amp; E$2 &amp; "給与",【ピボット】事業所収支!$A$3,"年月",$A40),#N/A)</f>
        <v>2000000</v>
      </c>
      <c r="F40" s="202">
        <f>IFERROR(GETPIVOTDATA("合計 / " &amp; F$2,【ピボット】事業所収支!$A$3,"年月",$A40),#N/A)</f>
        <v>207374</v>
      </c>
      <c r="G40" s="202">
        <f>IFERROR(GETPIVOTDATA("合計 / " &amp; G$2,【ピボット】事業所収支!$A$3,"年月",$A40),#N/A)</f>
        <v>1739320</v>
      </c>
      <c r="H40" s="19">
        <f>IFERROR(GETPIVOTDATA("合計 / " &amp; H$2,【ピボット】事業所収支!$A$3,"年月",$A40),#N/A)</f>
        <v>26586710</v>
      </c>
      <c r="I40" s="39">
        <f>IFERROR(GETPIVOTDATA("合計 / " &amp; I$2&amp;"計",【ピボット】事業所収支!$A$3,"年月",$A40),#N/A)</f>
        <v>7494574</v>
      </c>
      <c r="J40" s="39">
        <f>IFERROR(GETPIVOTDATA("合計 / " &amp; J$2,【ピボット】事業所収支!$A$3,"年月",$A40),#N/A)</f>
        <v>0</v>
      </c>
      <c r="K40" s="1163">
        <f t="shared" si="1"/>
        <v>34081284</v>
      </c>
      <c r="L40" s="39">
        <f>IFERROR(GETPIVOTDATA("合計 / " &amp; L$2,【ピボット】事業所収支!$A$3,"年月",$A40),#N/A)</f>
        <v>36915821</v>
      </c>
      <c r="M40" s="201">
        <f t="shared" si="11"/>
        <v>0.72019825862737819</v>
      </c>
      <c r="N40" s="191">
        <f>L40-K40</f>
        <v>2834537</v>
      </c>
      <c r="O40" s="19">
        <f>IFERROR(GETPIVOTDATA("合計 / " &amp; O$2,【ピボット】事業所収支!$A$3,"年月",$A40),#N/A)</f>
        <v>11460</v>
      </c>
      <c r="P40" s="19">
        <f>IFERROR(GETPIVOTDATA("合計 / " &amp; P$2,【ピボット】事業所収支!$A$3,"年月",$A40),#N/A)</f>
        <v>330078</v>
      </c>
      <c r="Q40" s="191">
        <f t="shared" si="12"/>
        <v>2515919</v>
      </c>
      <c r="R40" s="39">
        <f>IFERROR(GETPIVOTDATA("合計 / " &amp; R$2,【ピボット】事業所収支!$A$3,"年月",$A40),#N/A)</f>
        <v>0</v>
      </c>
      <c r="S40" s="19">
        <f t="shared" ca="1" si="2"/>
        <v>39406478.083333336</v>
      </c>
      <c r="T40" s="135"/>
      <c r="U40" s="42"/>
      <c r="V40" s="24"/>
      <c r="W40" s="24"/>
    </row>
    <row r="41" spans="1:23" ht="19.5" customHeight="1" x14ac:dyDescent="0.15">
      <c r="A41" s="666">
        <f t="shared" si="5"/>
        <v>42917</v>
      </c>
      <c r="B41" s="202">
        <f>IFERROR(GETPIVOTDATA("合計 / " &amp; B$2 &amp; "給与",【ピボット】事業所収支!$A$3,"年月",$A41),#N/A)</f>
        <v>10753859</v>
      </c>
      <c r="C41" s="202">
        <f>IFERROR(GETPIVOTDATA("合計 / " &amp; C$2 &amp; "給与",【ピボット】事業所収支!$A$3,"年月",$A41),#N/A)</f>
        <v>8579143</v>
      </c>
      <c r="D41" s="202">
        <f>IFERROR(GETPIVOTDATA("合計 / " &amp; D$2,【ピボット】事業所収支!$A$3,"年月",$A41),#N/A)</f>
        <v>0</v>
      </c>
      <c r="E41" s="202">
        <f>IFERROR(GETPIVOTDATA("合計 / " &amp; E$2 &amp; "給与",【ピボット】事業所収支!$A$3,"年月",$A41),#N/A)</f>
        <v>2000000</v>
      </c>
      <c r="F41" s="202">
        <f>IFERROR(GETPIVOTDATA("合計 / " &amp; F$2,【ピボット】事業所収支!$A$3,"年月",$A41),#N/A)</f>
        <v>400236</v>
      </c>
      <c r="G41" s="202">
        <f>IFERROR(GETPIVOTDATA("合計 / " &amp; G$2,【ピボット】事業所収支!$A$3,"年月",$A41),#N/A)</f>
        <v>2742730</v>
      </c>
      <c r="H41" s="19">
        <f>IFERROR(GETPIVOTDATA("合計 / " &amp; H$2,【ピボット】事業所収支!$A$3,"年月",$A41),#N/A)</f>
        <v>24475968</v>
      </c>
      <c r="I41" s="200">
        <f>IFERROR(GETPIVOTDATA("合計 / " &amp; I$2&amp;"計",【ピボット】事業所収支!$A$3,"年月",$A41),#N/A)</f>
        <v>6558277</v>
      </c>
      <c r="J41" s="200">
        <f>IFERROR(GETPIVOTDATA("合計 / " &amp; J$2,【ピボット】事業所収支!$A$3,"年月",$A41),#N/A)</f>
        <v>0</v>
      </c>
      <c r="K41" s="1164">
        <f t="shared" si="1"/>
        <v>31034245</v>
      </c>
      <c r="L41" s="200">
        <f>IFERROR(GETPIVOTDATA("合計 / " &amp; L$2,【ピボット】事業所収支!$A$3,"年月",$A41),#N/A)</f>
        <v>36080296</v>
      </c>
      <c r="M41" s="201">
        <f t="shared" si="11"/>
        <v>0.6783749224230311</v>
      </c>
      <c r="N41" s="191">
        <f>L41-K41</f>
        <v>5046051</v>
      </c>
      <c r="O41" s="19">
        <f>IFERROR(GETPIVOTDATA("合計 / " &amp; O$2,【ピボット】事業所収支!$A$3,"年月",$A41),#N/A)</f>
        <v>215737</v>
      </c>
      <c r="P41" s="19">
        <f>IFERROR(GETPIVOTDATA("合計 / " &amp; P$2,【ピボット】事業所収支!$A$3,"年月",$A41),#N/A)</f>
        <v>246683</v>
      </c>
      <c r="Q41" s="191">
        <f t="shared" si="12"/>
        <v>5015105</v>
      </c>
      <c r="R41" s="200">
        <f>IFERROR(GETPIVOTDATA("合計 / " &amp; R$2,【ピボット】事業所収支!$A$3,"年月",$A41),#N/A)</f>
        <v>0</v>
      </c>
      <c r="S41" s="19">
        <f t="shared" ca="1" si="2"/>
        <v>39406478.083333336</v>
      </c>
      <c r="T41" s="128"/>
      <c r="U41" s="42"/>
      <c r="V41" s="24"/>
      <c r="W41" s="24"/>
    </row>
    <row r="42" spans="1:23" ht="19.5" customHeight="1" x14ac:dyDescent="0.15">
      <c r="A42" s="666">
        <f t="shared" si="5"/>
        <v>42948</v>
      </c>
      <c r="B42" s="202">
        <f>IFERROR(GETPIVOTDATA("合計 / " &amp; B$2 &amp; "給与",【ピボット】事業所収支!$A$3,"年月",$A42),#N/A)</f>
        <v>10728350</v>
      </c>
      <c r="C42" s="202">
        <f>IFERROR(GETPIVOTDATA("合計 / " &amp; C$2 &amp; "給与",【ピボット】事業所収支!$A$3,"年月",$A42),#N/A)</f>
        <v>8552830</v>
      </c>
      <c r="D42" s="202">
        <f>IFERROR(GETPIVOTDATA("合計 / " &amp; D$2,【ピボット】事業所収支!$A$3,"年月",$A42),#N/A)</f>
        <v>930000</v>
      </c>
      <c r="E42" s="202">
        <f>IFERROR(GETPIVOTDATA("合計 / " &amp; E$2 &amp; "給与",【ピボット】事業所収支!$A$3,"年月",$A42),#N/A)</f>
        <v>2000000</v>
      </c>
      <c r="F42" s="202">
        <f>IFERROR(GETPIVOTDATA("合計 / " &amp; F$2,【ピボット】事業所収支!$A$3,"年月",$A42),#N/A)</f>
        <v>70443</v>
      </c>
      <c r="G42" s="202">
        <f>IFERROR(GETPIVOTDATA("合計 / " &amp; G$2,【ピボット】事業所収支!$A$3,"年月",$A42),#N/A)</f>
        <v>1470826</v>
      </c>
      <c r="H42" s="19">
        <f>IFERROR(GETPIVOTDATA("合計 / " &amp; H$2,【ピボット】事業所収支!$A$3,"年月",$A42),#N/A)</f>
        <v>23752449</v>
      </c>
      <c r="I42" s="200">
        <f>IFERROR(GETPIVOTDATA("合計 / " &amp; I$2&amp;"計",【ピボット】事業所収支!$A$3,"年月",$A42),#N/A)</f>
        <v>9486285</v>
      </c>
      <c r="J42" s="200">
        <f>IFERROR(GETPIVOTDATA("合計 / " &amp; J$2,【ピボット】事業所収支!$A$3,"年月",$A42),#N/A)</f>
        <v>731894</v>
      </c>
      <c r="K42" s="1164">
        <f t="shared" si="1"/>
        <v>32506840</v>
      </c>
      <c r="L42" s="200">
        <f>IFERROR(GETPIVOTDATA("合計 / " &amp; L$2,【ピボット】事業所収支!$A$3,"年月",$A42),#N/A)</f>
        <v>34899186</v>
      </c>
      <c r="M42" s="201">
        <f t="shared" si="11"/>
        <v>0.68060180544039051</v>
      </c>
      <c r="N42" s="191">
        <f>L42-K42</f>
        <v>2392346</v>
      </c>
      <c r="O42" s="19">
        <f>IFERROR(GETPIVOTDATA("合計 / " &amp; O$2,【ピボット】事業所収支!$A$3,"年月",$A42),#N/A)</f>
        <v>197365</v>
      </c>
      <c r="P42" s="19">
        <f>IFERROR(GETPIVOTDATA("合計 / " &amp; P$2,【ピボット】事業所収支!$A$3,"年月",$A42),#N/A)</f>
        <v>1767380</v>
      </c>
      <c r="Q42" s="191">
        <f t="shared" si="12"/>
        <v>822331</v>
      </c>
      <c r="R42" s="200">
        <f>IFERROR(GETPIVOTDATA("合計 / " &amp; R$2,【ピボット】事業所収支!$A$3,"年月",$A42),#N/A)</f>
        <v>0</v>
      </c>
      <c r="S42" s="19">
        <f t="shared" ca="1" si="2"/>
        <v>39406478.083333336</v>
      </c>
      <c r="T42" s="128"/>
      <c r="U42" s="42"/>
      <c r="V42" s="24"/>
      <c r="W42" s="24"/>
    </row>
    <row r="43" spans="1:23" ht="19.5" customHeight="1" x14ac:dyDescent="0.15">
      <c r="A43" s="666">
        <f t="shared" si="5"/>
        <v>42979</v>
      </c>
      <c r="B43" s="202">
        <f>IFERROR(GETPIVOTDATA("合計 / " &amp; B$2 &amp; "給与",【ピボット】事業所収支!$A$3,"年月",$A43),#N/A)</f>
        <v>10857414</v>
      </c>
      <c r="C43" s="202">
        <f>IFERROR(GETPIVOTDATA("合計 / " &amp; C$2 &amp; "給与",【ピボット】事業所収支!$A$3,"年月",$A43),#N/A)</f>
        <v>8345335</v>
      </c>
      <c r="D43" s="202">
        <f>IFERROR(GETPIVOTDATA("合計 / " &amp; D$2,【ピボット】事業所収支!$A$3,"年月",$A43),#N/A)</f>
        <v>0</v>
      </c>
      <c r="E43" s="202">
        <f>IFERROR(GETPIVOTDATA("合計 / " &amp; E$2 &amp; "給与",【ピボット】事業所収支!$A$3,"年月",$A43),#N/A)</f>
        <v>2000000</v>
      </c>
      <c r="F43" s="202">
        <f>IFERROR(GETPIVOTDATA("合計 / " &amp; F$2,【ピボット】事業所収支!$A$3,"年月",$A43),#N/A)</f>
        <v>72910</v>
      </c>
      <c r="G43" s="202">
        <f>IFERROR(GETPIVOTDATA("合計 / " &amp; G$2,【ピボット】事業所収支!$A$3,"年月",$A43),#N/A)</f>
        <v>1327602</v>
      </c>
      <c r="H43" s="19">
        <f>IFERROR(GETPIVOTDATA("合計 / " &amp; H$2,【ピボット】事業所収支!$A$3,"年月",$A43),#N/A)</f>
        <v>22603261</v>
      </c>
      <c r="I43" s="200">
        <f>IFERROR(GETPIVOTDATA("合計 / " &amp; I$2&amp;"計",【ピボット】事業所収支!$A$3,"年月",$A43),#N/A)</f>
        <v>7294393</v>
      </c>
      <c r="J43" s="200">
        <f>IFERROR(GETPIVOTDATA("合計 / " &amp; J$2,【ピボット】事業所収支!$A$3,"年月",$A43),#N/A)</f>
        <v>163183</v>
      </c>
      <c r="K43" s="1164">
        <f t="shared" si="1"/>
        <v>29734471</v>
      </c>
      <c r="L43" s="200">
        <f>IFERROR(GETPIVOTDATA("合計 / " &amp; L$2,【ピボット】事業所収支!$A$3,"年月",$A43),#N/A)</f>
        <v>35916200</v>
      </c>
      <c r="M43" s="201">
        <f t="shared" si="11"/>
        <v>0.62933330920308939</v>
      </c>
      <c r="N43" s="191">
        <f>L43-K43</f>
        <v>6181729</v>
      </c>
      <c r="O43" s="19">
        <f>IFERROR(GETPIVOTDATA("合計 / " &amp; O$2,【ピボット】事業所収支!$A$3,"年月",$A43),#N/A)</f>
        <v>13417</v>
      </c>
      <c r="P43" s="19">
        <f>IFERROR(GETPIVOTDATA("合計 / " &amp; P$2,【ピボット】事業所収支!$A$3,"年月",$A43),#N/A)</f>
        <v>262718</v>
      </c>
      <c r="Q43" s="191">
        <f t="shared" ref="Q43:Q52" si="13">N43+O43-P43</f>
        <v>5932428</v>
      </c>
      <c r="R43" s="200">
        <f>IFERROR(GETPIVOTDATA("合計 / " &amp; R$2,【ピボット】事業所収支!$A$3,"年月",$A43),#N/A)</f>
        <v>73432</v>
      </c>
      <c r="S43" s="19">
        <f t="shared" ca="1" si="2"/>
        <v>39406478.083333336</v>
      </c>
      <c r="T43" s="128"/>
      <c r="U43" s="42"/>
      <c r="V43" s="24"/>
      <c r="W43" s="24"/>
    </row>
    <row r="44" spans="1:23" ht="19.5" customHeight="1" x14ac:dyDescent="0.15">
      <c r="A44" s="666">
        <f t="shared" si="5"/>
        <v>43009</v>
      </c>
      <c r="B44" s="202">
        <f>IFERROR(GETPIVOTDATA("合計 / " &amp; B$2 &amp; "給与",【ピボット】事業所収支!$A$3,"年月",$A44),#N/A)</f>
        <v>10859304</v>
      </c>
      <c r="C44" s="202">
        <f>IFERROR(GETPIVOTDATA("合計 / " &amp; C$2 &amp; "給与",【ピボット】事業所収支!$A$3,"年月",$A44),#N/A)</f>
        <v>8690927</v>
      </c>
      <c r="D44" s="202">
        <f>IFERROR(GETPIVOTDATA("合計 / " &amp; D$2,【ピボット】事業所収支!$A$3,"年月",$A44),#N/A)</f>
        <v>0</v>
      </c>
      <c r="E44" s="202">
        <f>IFERROR(GETPIVOTDATA("合計 / " &amp; E$2 &amp; "給与",【ピボット】事業所収支!$A$3,"年月",$A44),#N/A)</f>
        <v>2000000</v>
      </c>
      <c r="F44" s="202">
        <f>IFERROR(GETPIVOTDATA("合計 / " &amp; F$2,【ピボット】事業所収支!$A$3,"年月",$A44),#N/A)</f>
        <v>218866</v>
      </c>
      <c r="G44" s="202">
        <f>IFERROR(GETPIVOTDATA("合計 / " &amp; G$2,【ピボット】事業所収支!$A$3,"年月",$A44),#N/A)</f>
        <v>1974003</v>
      </c>
      <c r="H44" s="19">
        <f>IFERROR(GETPIVOTDATA("合計 / " &amp; H$2,【ピボット】事業所収支!$A$3,"年月",$A44),#N/A)</f>
        <v>23743100</v>
      </c>
      <c r="I44" s="200">
        <f>IFERROR(GETPIVOTDATA("合計 / " &amp; I$2&amp;"計",【ピボット】事業所収支!$A$3,"年月",$A44),#N/A)</f>
        <v>7306654</v>
      </c>
      <c r="J44" s="200">
        <f>IFERROR(GETPIVOTDATA("合計 / " &amp; J$2,【ピボット】事業所収支!$A$3,"年月",$A44),#N/A)</f>
        <v>0</v>
      </c>
      <c r="K44" s="1164">
        <f t="shared" si="1"/>
        <v>31049754</v>
      </c>
      <c r="L44" s="200">
        <f>IFERROR(GETPIVOTDATA("合計 / " &amp; L$2,【ピボット】事業所収支!$A$3,"年月",$A44),#N/A)</f>
        <v>37696511</v>
      </c>
      <c r="M44" s="201">
        <f t="shared" si="11"/>
        <v>0.62984874117395107</v>
      </c>
      <c r="N44" s="191">
        <f>L44-K44</f>
        <v>6646757</v>
      </c>
      <c r="O44" s="19">
        <f>IFERROR(GETPIVOTDATA("合計 / " &amp; O$2,【ピボット】事業所収支!$A$3,"年月",$A44),#N/A)</f>
        <v>113702</v>
      </c>
      <c r="P44" s="19">
        <f>IFERROR(GETPIVOTDATA("合計 / " &amp; P$2,【ピボット】事業所収支!$A$3,"年月",$A44),#N/A)</f>
        <v>497938</v>
      </c>
      <c r="Q44" s="191">
        <f t="shared" si="13"/>
        <v>6262521</v>
      </c>
      <c r="R44" s="200">
        <f>IFERROR(GETPIVOTDATA("合計 / " &amp; R$2,【ピボット】事業所収支!$A$3,"年月",$A44),#N/A)</f>
        <v>77730</v>
      </c>
      <c r="S44" s="19">
        <f t="shared" ca="1" si="2"/>
        <v>39406478.083333336</v>
      </c>
      <c r="T44" s="128"/>
      <c r="U44" s="42"/>
      <c r="V44" s="24"/>
      <c r="W44" s="24"/>
    </row>
    <row r="45" spans="1:23" ht="19.5" customHeight="1" x14ac:dyDescent="0.15">
      <c r="A45" s="666">
        <f t="shared" si="5"/>
        <v>43040</v>
      </c>
      <c r="B45" s="202">
        <f>IFERROR(GETPIVOTDATA("合計 / " &amp; B$2 &amp; "給与",【ピボット】事業所収支!$A$3,"年月",$A45),#N/A)</f>
        <v>10338031</v>
      </c>
      <c r="C45" s="202">
        <f>IFERROR(GETPIVOTDATA("合計 / " &amp; C$2 &amp; "給与",【ピボット】事業所収支!$A$3,"年月",$A45),#N/A)</f>
        <v>8895447</v>
      </c>
      <c r="D45" s="202">
        <f>IFERROR(GETPIVOTDATA("合計 / " &amp; D$2,【ピボット】事業所収支!$A$3,"年月",$A45),#N/A)</f>
        <v>0</v>
      </c>
      <c r="E45" s="202">
        <f>IFERROR(GETPIVOTDATA("合計 / " &amp; E$2 &amp; "給与",【ピボット】事業所収支!$A$3,"年月",$A45),#N/A)</f>
        <v>2500000</v>
      </c>
      <c r="F45" s="202">
        <f>IFERROR(GETPIVOTDATA("合計 / " &amp; F$2,【ピボット】事業所収支!$A$3,"年月",$A45),#N/A)</f>
        <v>759025</v>
      </c>
      <c r="G45" s="202">
        <f>IFERROR(GETPIVOTDATA("合計 / " &amp; G$2,【ピボット】事業所収支!$A$3,"年月",$A45),#N/A)</f>
        <v>1779649</v>
      </c>
      <c r="H45" s="19">
        <f>IFERROR(GETPIVOTDATA("合計 / " &amp; H$2,【ピボット】事業所収支!$A$3,"年月",$A45),#N/A)</f>
        <v>24272152</v>
      </c>
      <c r="I45" s="200">
        <f>IFERROR(GETPIVOTDATA("合計 / " &amp; I$2&amp;"計",【ピボット】事業所収支!$A$3,"年月",$A45),#N/A)</f>
        <v>8407030</v>
      </c>
      <c r="J45" s="200">
        <f>IFERROR(GETPIVOTDATA("合計 / " &amp; J$2,【ピボット】事業所収支!$A$3,"年月",$A45),#N/A)</f>
        <v>0</v>
      </c>
      <c r="K45" s="1164">
        <f t="shared" si="1"/>
        <v>32679182</v>
      </c>
      <c r="L45" s="200">
        <f>IFERROR(GETPIVOTDATA("合計 / " &amp; L$2,【ピボット】事業所収支!$A$3,"年月",$A45),#N/A)</f>
        <v>35721077</v>
      </c>
      <c r="M45" s="201">
        <f t="shared" si="11"/>
        <v>0.67949104670052363</v>
      </c>
      <c r="N45" s="212">
        <f t="shared" ref="N45:N50" si="14">L45-K45</f>
        <v>3041895</v>
      </c>
      <c r="O45" s="19">
        <f>IFERROR(GETPIVOTDATA("合計 / " &amp; O$2,【ピボット】事業所収支!$A$3,"年月",$A45),#N/A)</f>
        <v>162234</v>
      </c>
      <c r="P45" s="19">
        <f>IFERROR(GETPIVOTDATA("合計 / " &amp; P$2,【ピボット】事業所収支!$A$3,"年月",$A45),#N/A)</f>
        <v>398466</v>
      </c>
      <c r="Q45" s="212">
        <f t="shared" si="13"/>
        <v>2805663</v>
      </c>
      <c r="R45" s="200">
        <f>IFERROR(GETPIVOTDATA("合計 / " &amp; R$2,【ピボット】事業所収支!$A$3,"年月",$A45),#N/A)</f>
        <v>78013</v>
      </c>
      <c r="S45" s="19">
        <f t="shared" ca="1" si="2"/>
        <v>39406478.083333336</v>
      </c>
      <c r="T45" s="128"/>
      <c r="U45" s="42"/>
      <c r="V45" s="24"/>
      <c r="W45" s="24"/>
    </row>
    <row r="46" spans="1:23" ht="19.5" customHeight="1" x14ac:dyDescent="0.15">
      <c r="A46" s="666">
        <f t="shared" si="5"/>
        <v>43070</v>
      </c>
      <c r="B46" s="202">
        <f>IFERROR(GETPIVOTDATA("合計 / " &amp; B$2 &amp; "給与",【ピボット】事業所収支!$A$3,"年月",$A46),#N/A)</f>
        <v>11035387</v>
      </c>
      <c r="C46" s="202">
        <f>IFERROR(GETPIVOTDATA("合計 / " &amp; C$2 &amp; "給与",【ピボット】事業所収支!$A$3,"年月",$A46),#N/A)</f>
        <v>9005928</v>
      </c>
      <c r="D46" s="202">
        <f>IFERROR(GETPIVOTDATA("合計 / " &amp; D$2,【ピボット】事業所収支!$A$3,"年月",$A46),#N/A)</f>
        <v>12389750</v>
      </c>
      <c r="E46" s="202">
        <f>IFERROR(GETPIVOTDATA("合計 / " &amp; E$2 &amp; "給与",【ピボット】事業所収支!$A$3,"年月",$A46),#N/A)</f>
        <v>2500000</v>
      </c>
      <c r="F46" s="202">
        <f>IFERROR(GETPIVOTDATA("合計 / " &amp; F$2,【ピボット】事業所収支!$A$3,"年月",$A46),#N/A)</f>
        <v>906783</v>
      </c>
      <c r="G46" s="202">
        <f>IFERROR(GETPIVOTDATA("合計 / " &amp; G$2,【ピボット】事業所収支!$A$3,"年月",$A46),#N/A)</f>
        <v>-275159</v>
      </c>
      <c r="H46" s="19">
        <f>IFERROR(GETPIVOTDATA("合計 / " &amp; H$2,【ピボット】事業所収支!$A$3,"年月",$A46),#N/A)</f>
        <v>35562689</v>
      </c>
      <c r="I46" s="200">
        <f>IFERROR(GETPIVOTDATA("合計 / " &amp; I$2&amp;"計",【ピボット】事業所収支!$A$3,"年月",$A46),#N/A)</f>
        <v>8808106</v>
      </c>
      <c r="J46" s="200">
        <f>IFERROR(GETPIVOTDATA("合計 / " &amp; J$2,【ピボット】事業所収支!$A$3,"年月",$A46),#N/A)</f>
        <v>0</v>
      </c>
      <c r="K46" s="1164">
        <f t="shared" si="1"/>
        <v>44370795</v>
      </c>
      <c r="L46" s="200">
        <f>IFERROR(GETPIVOTDATA("合計 / " &amp; L$2,【ピボット】事業所収支!$A$3,"年月",$A46),#N/A)</f>
        <v>35713004</v>
      </c>
      <c r="M46" s="201">
        <f t="shared" si="11"/>
        <v>0.99579102894844695</v>
      </c>
      <c r="N46" s="216">
        <f t="shared" si="14"/>
        <v>-8657791</v>
      </c>
      <c r="O46" s="19">
        <f>IFERROR(GETPIVOTDATA("合計 / " &amp; O$2,【ピボット】事業所収支!$A$3,"年月",$A46),#N/A)</f>
        <v>210977</v>
      </c>
      <c r="P46" s="19">
        <f>IFERROR(GETPIVOTDATA("合計 / " &amp; P$2,【ピボット】事業所収支!$A$3,"年月",$A46),#N/A)</f>
        <v>353206</v>
      </c>
      <c r="Q46" s="216">
        <f t="shared" si="13"/>
        <v>-8800020</v>
      </c>
      <c r="R46" s="200">
        <f>IFERROR(GETPIVOTDATA("合計 / " &amp; R$2,【ピボット】事業所収支!$A$3,"年月",$A46),#N/A)</f>
        <v>77744</v>
      </c>
      <c r="S46" s="19">
        <f t="shared" ca="1" si="2"/>
        <v>39406478.083333336</v>
      </c>
      <c r="T46" s="128"/>
      <c r="U46" s="42"/>
      <c r="V46" s="24"/>
      <c r="W46" s="24"/>
    </row>
    <row r="47" spans="1:23" ht="19.5" customHeight="1" x14ac:dyDescent="0.15">
      <c r="A47" s="666">
        <f t="shared" si="5"/>
        <v>43101</v>
      </c>
      <c r="B47" s="202">
        <f>IFERROR(GETPIVOTDATA("合計 / " &amp; B$2 &amp; "給与",【ピボット】事業所収支!$A$3,"年月",$A47),#N/A)</f>
        <v>10849660</v>
      </c>
      <c r="C47" s="202">
        <f>IFERROR(GETPIVOTDATA("合計 / " &amp; C$2 &amp; "給与",【ピボット】事業所収支!$A$3,"年月",$A47),#N/A)</f>
        <v>8664832</v>
      </c>
      <c r="D47" s="202">
        <f>IFERROR(GETPIVOTDATA("合計 / " &amp; D$2,【ピボット】事業所収支!$A$3,"年月",$A47),#N/A)</f>
        <v>0</v>
      </c>
      <c r="E47" s="202">
        <f>IFERROR(GETPIVOTDATA("合計 / " &amp; E$2 &amp; "給与",【ピボット】事業所収支!$A$3,"年月",$A47),#N/A)</f>
        <v>2500000</v>
      </c>
      <c r="F47" s="202">
        <f>IFERROR(GETPIVOTDATA("合計 / " &amp; F$2,【ピボット】事業所収支!$A$3,"年月",$A47),#N/A)</f>
        <v>213701</v>
      </c>
      <c r="G47" s="202">
        <f>IFERROR(GETPIVOTDATA("合計 / " &amp; G$2,【ピボット】事業所収支!$A$3,"年月",$A47),#N/A)</f>
        <v>5807672</v>
      </c>
      <c r="H47" s="19">
        <f>IFERROR(GETPIVOTDATA("合計 / " &amp; H$2,【ピボット】事業所収支!$A$3,"年月",$A47),#N/A)</f>
        <v>28035865</v>
      </c>
      <c r="I47" s="200">
        <f>IFERROR(GETPIVOTDATA("合計 / " &amp; I$2&amp;"計",【ピボット】事業所収支!$A$3,"年月",$A47),#N/A)</f>
        <v>8643529</v>
      </c>
      <c r="J47" s="200">
        <f>IFERROR(GETPIVOTDATA("合計 / " &amp; J$2,【ピボット】事業所収支!$A$3,"年月",$A47),#N/A)</f>
        <v>0</v>
      </c>
      <c r="K47" s="1164">
        <f t="shared" si="1"/>
        <v>36679394</v>
      </c>
      <c r="L47" s="200">
        <f>IFERROR(GETPIVOTDATA("合計 / " &amp; L$2,【ピボット】事業所収支!$A$3,"年月",$A47),#N/A)</f>
        <v>34507019</v>
      </c>
      <c r="M47" s="201">
        <f t="shared" si="11"/>
        <v>0.81246847199406014</v>
      </c>
      <c r="N47" s="216">
        <f t="shared" si="14"/>
        <v>-2172375</v>
      </c>
      <c r="O47" s="19">
        <f>IFERROR(GETPIVOTDATA("合計 / " &amp; O$2,【ピボット】事業所収支!$A$3,"年月",$A47),#N/A)</f>
        <v>111637</v>
      </c>
      <c r="P47" s="19">
        <f>IFERROR(GETPIVOTDATA("合計 / " &amp; P$2,【ピボット】事業所収支!$A$3,"年月",$A47),#N/A)</f>
        <v>490477</v>
      </c>
      <c r="Q47" s="216">
        <f t="shared" si="13"/>
        <v>-2551215</v>
      </c>
      <c r="R47" s="200">
        <f>IFERROR(GETPIVOTDATA("合計 / " &amp; R$2,【ピボット】事業所収支!$A$3,"年月",$A47),#N/A)</f>
        <v>59544</v>
      </c>
      <c r="S47" s="19">
        <f t="shared" ca="1" si="2"/>
        <v>39406478.083333336</v>
      </c>
      <c r="T47" s="128"/>
      <c r="U47" s="42"/>
      <c r="V47" s="24"/>
      <c r="W47" s="24"/>
    </row>
    <row r="48" spans="1:23" ht="19.5" customHeight="1" x14ac:dyDescent="0.15">
      <c r="A48" s="666">
        <f t="shared" si="5"/>
        <v>43132</v>
      </c>
      <c r="B48" s="202">
        <f>IFERROR(GETPIVOTDATA("合計 / " &amp; B$2 &amp; "給与",【ピボット】事業所収支!$A$3,"年月",$A48),#N/A)</f>
        <v>10316489</v>
      </c>
      <c r="C48" s="202">
        <f>IFERROR(GETPIVOTDATA("合計 / " &amp; C$2 &amp; "給与",【ピボット】事業所収支!$A$3,"年月",$A48),#N/A)</f>
        <v>8889046</v>
      </c>
      <c r="D48" s="202">
        <f>IFERROR(GETPIVOTDATA("合計 / " &amp; D$2,【ピボット】事業所収支!$A$3,"年月",$A48),#N/A)</f>
        <v>0</v>
      </c>
      <c r="E48" s="202">
        <f>IFERROR(GETPIVOTDATA("合計 / " &amp; E$2 &amp; "給与",【ピボット】事業所収支!$A$3,"年月",$A48),#N/A)</f>
        <v>2500000</v>
      </c>
      <c r="F48" s="202">
        <f>IFERROR(GETPIVOTDATA("合計 / " &amp; F$2,【ピボット】事業所収支!$A$3,"年月",$A48),#N/A)</f>
        <v>38613</v>
      </c>
      <c r="G48" s="202">
        <f>IFERROR(GETPIVOTDATA("合計 / " &amp; G$2,【ピボット】事業所収支!$A$3,"年月",$A48),#N/A)</f>
        <v>1520962</v>
      </c>
      <c r="H48" s="19">
        <f>IFERROR(GETPIVOTDATA("合計 / " &amp; H$2,【ピボット】事業所収支!$A$3,"年月",$A48),#N/A)</f>
        <v>23265110</v>
      </c>
      <c r="I48" s="200">
        <f>IFERROR(GETPIVOTDATA("合計 / " &amp; I$2&amp;"計",【ピボット】事業所収支!$A$3,"年月",$A48),#N/A)</f>
        <v>7932590</v>
      </c>
      <c r="J48" s="200">
        <f>IFERROR(GETPIVOTDATA("合計 / " &amp; J$2,【ピボット】事業所収支!$A$3,"年月",$A48),#N/A)</f>
        <v>0</v>
      </c>
      <c r="K48" s="1164">
        <f t="shared" si="1"/>
        <v>31197700</v>
      </c>
      <c r="L48" s="200">
        <f>IFERROR(GETPIVOTDATA("合計 / " &amp; L$2,【ピボット】事業所収支!$A$3,"年月",$A48),#N/A)</f>
        <v>33718137</v>
      </c>
      <c r="M48" s="201">
        <f t="shared" si="11"/>
        <v>0.68998800259931325</v>
      </c>
      <c r="N48" s="216">
        <f>L48-K48</f>
        <v>2520437</v>
      </c>
      <c r="O48" s="19">
        <f>IFERROR(GETPIVOTDATA("合計 / " &amp; O$2,【ピボット】事業所収支!$A$3,"年月",$A48),#N/A)</f>
        <v>12196</v>
      </c>
      <c r="P48" s="19">
        <f>IFERROR(GETPIVOTDATA("合計 / " &amp; P$2,【ピボット】事業所収支!$A$3,"年月",$A48),#N/A)</f>
        <v>375068</v>
      </c>
      <c r="Q48" s="216">
        <f t="shared" si="13"/>
        <v>2157565</v>
      </c>
      <c r="R48" s="200">
        <f>IFERROR(GETPIVOTDATA("合計 / " &amp; R$2,【ピボット】事業所収支!$A$3,"年月",$A48),#N/A)</f>
        <v>58427</v>
      </c>
      <c r="S48" s="19">
        <f t="shared" ca="1" si="2"/>
        <v>39406478.083333336</v>
      </c>
      <c r="T48" s="128"/>
      <c r="U48" s="42"/>
      <c r="V48" s="24"/>
      <c r="W48" s="24"/>
    </row>
    <row r="49" spans="1:23" ht="19.5" customHeight="1" x14ac:dyDescent="0.15">
      <c r="A49" s="666">
        <f t="shared" si="5"/>
        <v>43160</v>
      </c>
      <c r="B49" s="202">
        <f>IFERROR(GETPIVOTDATA("合計 / " &amp; B$2 &amp; "給与",【ピボット】事業所収支!$A$3,"年月",$A49),#N/A)</f>
        <v>11381089</v>
      </c>
      <c r="C49" s="202">
        <f>IFERROR(GETPIVOTDATA("合計 / " &amp; C$2 &amp; "給与",【ピボット】事業所収支!$A$3,"年月",$A49),#N/A)</f>
        <v>8461687</v>
      </c>
      <c r="D49" s="202">
        <f>IFERROR(GETPIVOTDATA("合計 / " &amp; D$2,【ピボット】事業所収支!$A$3,"年月",$A49),#N/A)</f>
        <v>0</v>
      </c>
      <c r="E49" s="202">
        <f>IFERROR(GETPIVOTDATA("合計 / " &amp; E$2 &amp; "給与",【ピボット】事業所収支!$A$3,"年月",$A49),#N/A)</f>
        <v>2500000</v>
      </c>
      <c r="F49" s="202">
        <f>IFERROR(GETPIVOTDATA("合計 / " &amp; F$2,【ピボット】事業所収支!$A$3,"年月",$A49),#N/A)</f>
        <v>140170</v>
      </c>
      <c r="G49" s="202">
        <f>IFERROR(GETPIVOTDATA("合計 / " &amp; G$2,【ピボット】事業所収支!$A$3,"年月",$A49),#N/A)</f>
        <v>1804638</v>
      </c>
      <c r="H49" s="19">
        <f>IFERROR(GETPIVOTDATA("合計 / " &amp; H$2,【ピボット】事業所収支!$A$3,"年月",$A49),#N/A)</f>
        <v>24287584</v>
      </c>
      <c r="I49" s="200">
        <f>IFERROR(GETPIVOTDATA("合計 / " &amp; I$2&amp;"計",【ピボット】事業所収支!$A$3,"年月",$A49),#N/A)</f>
        <v>10064249</v>
      </c>
      <c r="J49" s="200">
        <f>IFERROR(GETPIVOTDATA("合計 / " &amp; J$2,【ピボット】事業所収支!$A$3,"年月",$A49),#N/A)</f>
        <v>0</v>
      </c>
      <c r="K49" s="1164">
        <f t="shared" si="1"/>
        <v>34351833</v>
      </c>
      <c r="L49" s="200">
        <f>IFERROR(GETPIVOTDATA("合計 / " &amp; L$2,【ピボット】事業所収支!$A$3,"年月",$A49),#N/A)</f>
        <v>35034097</v>
      </c>
      <c r="M49" s="201">
        <f t="shared" si="11"/>
        <v>0.6932556018212771</v>
      </c>
      <c r="N49" s="216">
        <f t="shared" si="14"/>
        <v>682264</v>
      </c>
      <c r="O49" s="19">
        <f>IFERROR(GETPIVOTDATA("合計 / " &amp; O$2,【ピボット】事業所収支!$A$3,"年月",$A49),#N/A)</f>
        <v>235621</v>
      </c>
      <c r="P49" s="19">
        <f>IFERROR(GETPIVOTDATA("合計 / " &amp; P$2,【ピボット】事業所収支!$A$3,"年月",$A49),#N/A)</f>
        <v>386869</v>
      </c>
      <c r="Q49" s="216">
        <f t="shared" si="13"/>
        <v>531016</v>
      </c>
      <c r="R49" s="200">
        <f>IFERROR(GETPIVOTDATA("合計 / " &amp; R$2,【ピボット】事業所収支!$A$3,"年月",$A49),#N/A)</f>
        <v>61905</v>
      </c>
      <c r="S49" s="19">
        <f t="shared" ca="1" si="2"/>
        <v>39406478.083333336</v>
      </c>
      <c r="T49" s="128"/>
      <c r="U49" s="42"/>
      <c r="V49" s="24"/>
      <c r="W49" s="24"/>
    </row>
    <row r="50" spans="1:23" ht="19.5" customHeight="1" x14ac:dyDescent="0.15">
      <c r="A50" s="666">
        <f t="shared" si="5"/>
        <v>43191</v>
      </c>
      <c r="B50" s="202">
        <f>IFERROR(GETPIVOTDATA("合計 / " &amp; B$2 &amp; "給与",【ピボット】事業所収支!$A$3,"年月",$A50),#N/A)</f>
        <v>11273885</v>
      </c>
      <c r="C50" s="202">
        <f>IFERROR(GETPIVOTDATA("合計 / " &amp; C$2 &amp; "給与",【ピボット】事業所収支!$A$3,"年月",$A50),#N/A)</f>
        <v>8684025</v>
      </c>
      <c r="D50" s="202">
        <f>IFERROR(GETPIVOTDATA("合計 / " &amp; D$2,【ピボット】事業所収支!$A$3,"年月",$A50),#N/A)</f>
        <v>0</v>
      </c>
      <c r="E50" s="202">
        <f>IFERROR(GETPIVOTDATA("合計 / " &amp; E$2 &amp; "給与",【ピボット】事業所収支!$A$3,"年月",$A50),#N/A)</f>
        <v>2500000</v>
      </c>
      <c r="F50" s="202">
        <f>IFERROR(GETPIVOTDATA("合計 / " &amp; F$2,【ピボット】事業所収支!$A$3,"年月",$A50),#N/A)</f>
        <v>65881</v>
      </c>
      <c r="G50" s="202">
        <f>IFERROR(GETPIVOTDATA("合計 / " &amp; G$2,【ピボット】事業所収支!$A$3,"年月",$A50),#N/A)</f>
        <v>1688598</v>
      </c>
      <c r="H50" s="19">
        <f>IFERROR(GETPIVOTDATA("合計 / " &amp; H$2,【ピボット】事業所収支!$A$3,"年月",$A50),#N/A)</f>
        <v>24212389</v>
      </c>
      <c r="I50" s="200">
        <f>IFERROR(GETPIVOTDATA("合計 / " &amp; I$2&amp;"計",【ピボット】事業所収支!$A$3,"年月",$A50),#N/A)</f>
        <v>10231887</v>
      </c>
      <c r="J50" s="200">
        <f>IFERROR(GETPIVOTDATA("合計 / " &amp; J$2,【ピボット】事業所収支!$A$3,"年月",$A50),#N/A)</f>
        <v>0</v>
      </c>
      <c r="K50" s="1164">
        <f t="shared" si="1"/>
        <v>34444276</v>
      </c>
      <c r="L50" s="200">
        <f>IFERROR(GETPIVOTDATA("合計 / " &amp; L$2,【ピボット】事業所収支!$A$3,"年月",$A50),#N/A)</f>
        <v>39122247</v>
      </c>
      <c r="M50" s="201">
        <f t="shared" si="11"/>
        <v>0.61889055094407031</v>
      </c>
      <c r="N50" s="216">
        <f t="shared" si="14"/>
        <v>4677971</v>
      </c>
      <c r="O50" s="19">
        <f>IFERROR(GETPIVOTDATA("合計 / " &amp; O$2,【ピボット】事業所収支!$A$3,"年月",$A50),#N/A)</f>
        <v>240455</v>
      </c>
      <c r="P50" s="19">
        <f>IFERROR(GETPIVOTDATA("合計 / " &amp; P$2,【ピボット】事業所収支!$A$3,"年月",$A50),#N/A)</f>
        <v>1728970</v>
      </c>
      <c r="Q50" s="216">
        <f t="shared" si="13"/>
        <v>3189456</v>
      </c>
      <c r="R50" s="200">
        <f>IFERROR(GETPIVOTDATA("合計 / " &amp; R$2,【ピボット】事業所収支!$A$3,"年月",$A50),#N/A)</f>
        <v>45399</v>
      </c>
      <c r="S50" s="19">
        <f t="shared" ca="1" si="2"/>
        <v>39406478.083333336</v>
      </c>
      <c r="T50" s="128"/>
      <c r="U50" s="42"/>
      <c r="V50" s="24"/>
      <c r="W50" s="24"/>
    </row>
    <row r="51" spans="1:23" ht="19.5" customHeight="1" x14ac:dyDescent="0.15">
      <c r="A51" s="666">
        <f t="shared" si="5"/>
        <v>43221</v>
      </c>
      <c r="B51" s="202">
        <f>IFERROR(GETPIVOTDATA("合計 / " &amp; B$2 &amp; "給与",【ピボット】事業所収支!$A$3,"年月",$A51),#N/A)</f>
        <v>11438888</v>
      </c>
      <c r="C51" s="202">
        <f>IFERROR(GETPIVOTDATA("合計 / " &amp; C$2 &amp; "給与",【ピボット】事業所収支!$A$3,"年月",$A51),#N/A)</f>
        <v>8288378</v>
      </c>
      <c r="D51" s="202">
        <f>IFERROR(GETPIVOTDATA("合計 / " &amp; D$2,【ピボット】事業所収支!$A$3,"年月",$A51),#N/A)</f>
        <v>0</v>
      </c>
      <c r="E51" s="202">
        <f>IFERROR(GETPIVOTDATA("合計 / " &amp; E$2 &amp; "給与",【ピボット】事業所収支!$A$3,"年月",$A51),#N/A)</f>
        <v>2500000</v>
      </c>
      <c r="F51" s="202">
        <f>IFERROR(GETPIVOTDATA("合計 / " &amp; F$2,【ピボット】事業所収支!$A$3,"年月",$A51),#N/A)</f>
        <v>29519</v>
      </c>
      <c r="G51" s="202">
        <f>IFERROR(GETPIVOTDATA("合計 / " &amp; G$2,【ピボット】事業所収支!$A$3,"年月",$A51),#N/A)</f>
        <v>1651281</v>
      </c>
      <c r="H51" s="19">
        <f>IFERROR(GETPIVOTDATA("合計 / " &amp; H$2,【ピボット】事業所収支!$A$3,"年月",$A51),#N/A)</f>
        <v>23908066</v>
      </c>
      <c r="I51" s="200">
        <f>IFERROR(GETPIVOTDATA("合計 / " &amp; I$2&amp;"計",【ピボット】事業所収支!$A$3,"年月",$A51),#N/A)</f>
        <v>10215655</v>
      </c>
      <c r="J51" s="200">
        <f>IFERROR(GETPIVOTDATA("合計 / " &amp; J$2,【ピボット】事業所収支!$A$3,"年月",$A51),#N/A)</f>
        <v>0</v>
      </c>
      <c r="K51" s="1164">
        <f t="shared" si="1"/>
        <v>34123721</v>
      </c>
      <c r="L51" s="200">
        <f>IFERROR(GETPIVOTDATA("合計 / " &amp; L$2,【ピボット】事業所収支!$A$3,"年月",$A51),#N/A)</f>
        <v>39669030</v>
      </c>
      <c r="M51" s="201">
        <f t="shared" si="11"/>
        <v>0.60268844486492357</v>
      </c>
      <c r="N51" s="216">
        <f t="shared" ref="N51:N56" si="15">L51-K51</f>
        <v>5545309</v>
      </c>
      <c r="O51" s="19">
        <f>IFERROR(GETPIVOTDATA("合計 / " &amp; O$2,【ピボット】事業所収支!$A$3,"年月",$A51),#N/A)</f>
        <v>131692</v>
      </c>
      <c r="P51" s="19">
        <f>IFERROR(GETPIVOTDATA("合計 / " &amp; P$2,【ピボット】事業所収支!$A$3,"年月",$A51),#N/A)</f>
        <v>523134</v>
      </c>
      <c r="Q51" s="216">
        <f t="shared" si="13"/>
        <v>5153867</v>
      </c>
      <c r="R51" s="200">
        <f>IFERROR(GETPIVOTDATA("合計 / " &amp; R$2,【ピボット】事業所収支!$A$3,"年月",$A51),#N/A)</f>
        <v>46251</v>
      </c>
      <c r="S51" s="19">
        <f t="shared" ca="1" si="2"/>
        <v>39406478.083333336</v>
      </c>
      <c r="T51" s="128"/>
      <c r="U51" s="42"/>
      <c r="V51" s="24"/>
      <c r="W51" s="24"/>
    </row>
    <row r="52" spans="1:23" ht="19.5" customHeight="1" x14ac:dyDescent="0.15">
      <c r="A52" s="666">
        <f t="shared" si="5"/>
        <v>43252</v>
      </c>
      <c r="B52" s="202">
        <f>IFERROR(GETPIVOTDATA("合計 / " &amp; B$2 &amp; "給与",【ピボット】事業所収支!$A$3,"年月",$A52),#N/A)</f>
        <v>11402626</v>
      </c>
      <c r="C52" s="202">
        <f>IFERROR(GETPIVOTDATA("合計 / " &amp; C$2 &amp; "給与",【ピボット】事業所収支!$A$3,"年月",$A52),#N/A)</f>
        <v>8964240</v>
      </c>
      <c r="D52" s="202">
        <f>IFERROR(GETPIVOTDATA("合計 / " &amp; D$2,【ピボット】事業所収支!$A$3,"年月",$A52),#N/A)</f>
        <v>7225300</v>
      </c>
      <c r="E52" s="202">
        <f>IFERROR(GETPIVOTDATA("合計 / " &amp; E$2 &amp; "給与",【ピボット】事業所収支!$A$3,"年月",$A52),#N/A)</f>
        <v>2500000</v>
      </c>
      <c r="F52" s="202">
        <f>IFERROR(GETPIVOTDATA("合計 / " &amp; F$2,【ピボット】事業所収支!$A$3,"年月",$A52),#N/A)</f>
        <v>119909</v>
      </c>
      <c r="G52" s="202">
        <f>IFERROR(GETPIVOTDATA("合計 / " &amp; G$2,【ピボット】事業所収支!$A$3,"年月",$A52),#N/A)</f>
        <v>1485088</v>
      </c>
      <c r="H52" s="19">
        <f>IFERROR(GETPIVOTDATA("合計 / " &amp; H$2,【ピボット】事業所収支!$A$3,"年月",$A52),#N/A)</f>
        <v>31697163</v>
      </c>
      <c r="I52" s="200">
        <f>IFERROR(GETPIVOTDATA("合計 / " &amp; I$2&amp;"計",【ピボット】事業所収支!$A$3,"年月",$A52),#N/A)</f>
        <v>11252967</v>
      </c>
      <c r="J52" s="200">
        <f>IFERROR(GETPIVOTDATA("合計 / " &amp; J$2,【ピボット】事業所収支!$A$3,"年月",$A52),#N/A)</f>
        <v>0</v>
      </c>
      <c r="K52" s="1164">
        <f t="shared" si="1"/>
        <v>42950130</v>
      </c>
      <c r="L52" s="200">
        <f>IFERROR(GETPIVOTDATA("合計 / " &amp; L$2,【ピボット】事業所収支!$A$3,"年月",$A52),#N/A)</f>
        <v>36072718</v>
      </c>
      <c r="M52" s="201">
        <f t="shared" si="11"/>
        <v>0.87870182113806894</v>
      </c>
      <c r="N52" s="216">
        <f t="shared" si="15"/>
        <v>-6877412</v>
      </c>
      <c r="O52" s="19">
        <f>IFERROR(GETPIVOTDATA("合計 / " &amp; O$2,【ピボット】事業所収支!$A$3,"年月",$A52),#N/A)</f>
        <v>138866</v>
      </c>
      <c r="P52" s="19">
        <f>IFERROR(GETPIVOTDATA("合計 / " &amp; P$2,【ピボット】事業所収支!$A$3,"年月",$A52),#N/A)</f>
        <v>507754</v>
      </c>
      <c r="Q52" s="216">
        <f t="shared" si="13"/>
        <v>-7246300</v>
      </c>
      <c r="R52" s="200">
        <f>IFERROR(GETPIVOTDATA("合計 / " &amp; R$2,【ピボット】事業所収支!$A$3,"年月",$A52),#N/A)</f>
        <v>42763</v>
      </c>
      <c r="S52" s="19">
        <f t="shared" ca="1" si="2"/>
        <v>39406478.083333336</v>
      </c>
      <c r="T52" s="128"/>
      <c r="U52" s="42"/>
      <c r="V52" s="24"/>
      <c r="W52" s="24"/>
    </row>
    <row r="53" spans="1:23" ht="19.5" customHeight="1" x14ac:dyDescent="0.15">
      <c r="A53" s="666">
        <f t="shared" si="5"/>
        <v>43282</v>
      </c>
      <c r="B53" s="202">
        <f>IFERROR(GETPIVOTDATA("合計 / " &amp; B$2 &amp; "給与",【ピボット】事業所収支!$A$3,"年月",$A53),#N/A)</f>
        <v>11376064</v>
      </c>
      <c r="C53" s="202">
        <f>IFERROR(GETPIVOTDATA("合計 / " &amp; C$2 &amp; "給与",【ピボット】事業所収支!$A$3,"年月",$A53),#N/A)</f>
        <v>9256512</v>
      </c>
      <c r="D53" s="202">
        <f>IFERROR(GETPIVOTDATA("合計 / " &amp; D$2,【ピボット】事業所収支!$A$3,"年月",$A53),#N/A)</f>
        <v>0</v>
      </c>
      <c r="E53" s="202">
        <f>IFERROR(GETPIVOTDATA("合計 / " &amp; E$2 &amp; "給与",【ピボット】事業所収支!$A$3,"年月",$A53),#N/A)</f>
        <v>2500000</v>
      </c>
      <c r="F53" s="202">
        <f>IFERROR(GETPIVOTDATA("合計 / " &amp; F$2,【ピボット】事業所収支!$A$3,"年月",$A53),#N/A)</f>
        <v>637192</v>
      </c>
      <c r="G53" s="202">
        <f>IFERROR(GETPIVOTDATA("合計 / " &amp; G$2,【ピボット】事業所収支!$A$3,"年月",$A53),#N/A)</f>
        <v>3836024</v>
      </c>
      <c r="H53" s="19">
        <f>IFERROR(GETPIVOTDATA("合計 / " &amp; H$2,【ピボット】事業所収支!$A$3,"年月",$A53),#N/A)</f>
        <v>27605792</v>
      </c>
      <c r="I53" s="200">
        <f>IFERROR(GETPIVOTDATA("合計 / " &amp; I$2&amp;"計",【ピボット】事業所収支!$A$3,"年月",$A53),#N/A)</f>
        <v>10541382</v>
      </c>
      <c r="J53" s="200">
        <f>IFERROR(GETPIVOTDATA("合計 / " &amp; J$2,【ピボット】事業所収支!$A$3,"年月",$A53),#N/A)</f>
        <v>0</v>
      </c>
      <c r="K53" s="1164">
        <f t="shared" si="1"/>
        <v>38147174</v>
      </c>
      <c r="L53" s="200">
        <f>IFERROR(GETPIVOTDATA("合計 / " &amp; L$2,【ピボット】事業所収支!$A$3,"年月",$A53),#N/A)</f>
        <v>38549836</v>
      </c>
      <c r="M53" s="201">
        <f t="shared" si="11"/>
        <v>0.71610660029785855</v>
      </c>
      <c r="N53" s="216">
        <f t="shared" si="15"/>
        <v>402662</v>
      </c>
      <c r="O53" s="19">
        <f>IFERROR(GETPIVOTDATA("合計 / " &amp; O$2,【ピボット】事業所収支!$A$3,"年月",$A53),#N/A)</f>
        <v>135812</v>
      </c>
      <c r="P53" s="19">
        <f>IFERROR(GETPIVOTDATA("合計 / " &amp; P$2,【ピボット】事業所収支!$A$3,"年月",$A53),#N/A)</f>
        <v>677872</v>
      </c>
      <c r="Q53" s="216">
        <f t="shared" ref="Q53:Q58" si="16">N53+O53-P53</f>
        <v>-139398</v>
      </c>
      <c r="R53" s="200">
        <f>IFERROR(GETPIVOTDATA("合計 / " &amp; R$2,【ピボット】事業所収支!$A$3,"年月",$A53),#N/A)</f>
        <v>37757</v>
      </c>
      <c r="S53" s="19">
        <f t="shared" ca="1" si="2"/>
        <v>39406478.083333336</v>
      </c>
      <c r="T53" s="128"/>
      <c r="U53" s="42"/>
      <c r="V53" s="24"/>
      <c r="W53" s="24"/>
    </row>
    <row r="54" spans="1:23" ht="19.5" customHeight="1" x14ac:dyDescent="0.15">
      <c r="A54" s="666">
        <f t="shared" si="5"/>
        <v>43313</v>
      </c>
      <c r="B54" s="202">
        <f>IFERROR(GETPIVOTDATA("合計 / " &amp; B$2 &amp; "給与",【ピボット】事業所収支!$A$3,"年月",$A54),#N/A)</f>
        <v>10604177</v>
      </c>
      <c r="C54" s="202">
        <f>IFERROR(GETPIVOTDATA("合計 / " &amp; C$2 &amp; "給与",【ピボット】事業所収支!$A$3,"年月",$A54),#N/A)</f>
        <v>9900617</v>
      </c>
      <c r="D54" s="202">
        <f>IFERROR(GETPIVOTDATA("合計 / " &amp; D$2,【ピボット】事業所収支!$A$3,"年月",$A54),#N/A)</f>
        <v>1700000</v>
      </c>
      <c r="E54" s="202">
        <f>IFERROR(GETPIVOTDATA("合計 / " &amp; E$2 &amp; "給与",【ピボット】事業所収支!$A$3,"年月",$A54),#N/A)</f>
        <v>2500000</v>
      </c>
      <c r="F54" s="202">
        <f>IFERROR(GETPIVOTDATA("合計 / " &amp; F$2,【ピボット】事業所収支!$A$3,"年月",$A54),#N/A)</f>
        <v>218408</v>
      </c>
      <c r="G54" s="202">
        <f>IFERROR(GETPIVOTDATA("合計 / " &amp; G$2,【ピボット】事業所収支!$A$3,"年月",$A54),#N/A)</f>
        <v>1597261</v>
      </c>
      <c r="H54" s="19">
        <f>IFERROR(GETPIVOTDATA("合計 / " &amp; H$2,【ピボット】事業所収支!$A$3,"年月",$A54),#N/A)</f>
        <v>26520463</v>
      </c>
      <c r="I54" s="200">
        <f>IFERROR(GETPIVOTDATA("合計 / " &amp; I$2&amp;"計",【ピボット】事業所収支!$A$3,"年月",$A54),#N/A)</f>
        <v>12030005</v>
      </c>
      <c r="J54" s="200">
        <f>IFERROR(GETPIVOTDATA("合計 / " &amp; J$2,【ピボット】事業所収支!$A$3,"年月",$A54),#N/A)</f>
        <v>732150</v>
      </c>
      <c r="K54" s="1164">
        <f t="shared" si="1"/>
        <v>37818318</v>
      </c>
      <c r="L54" s="200">
        <f>IFERROR(GETPIVOTDATA("合計 / " &amp; L$2,【ピボット】事業所収支!$A$3,"年月",$A54),#N/A)</f>
        <v>36710781</v>
      </c>
      <c r="M54" s="201">
        <f t="shared" si="11"/>
        <v>0.72241620247741389</v>
      </c>
      <c r="N54" s="216">
        <f t="shared" si="15"/>
        <v>-1107537</v>
      </c>
      <c r="O54" s="19">
        <f>IFERROR(GETPIVOTDATA("合計 / " &amp; O$2,【ピボット】事業所収支!$A$3,"年月",$A54),#N/A)</f>
        <v>170257</v>
      </c>
      <c r="P54" s="19">
        <f>IFERROR(GETPIVOTDATA("合計 / " &amp; P$2,【ピボット】事業所収支!$A$3,"年月",$A54),#N/A)</f>
        <v>1148727</v>
      </c>
      <c r="Q54" s="216">
        <f t="shared" si="16"/>
        <v>-2086007</v>
      </c>
      <c r="R54" s="200">
        <f>IFERROR(GETPIVOTDATA("合計 / " &amp; R$2,【ピボット】事業所収支!$A$3,"年月",$A54),#N/A)</f>
        <v>40332</v>
      </c>
      <c r="S54" s="19">
        <f t="shared" ca="1" si="2"/>
        <v>39406478.083333336</v>
      </c>
      <c r="T54" s="128"/>
      <c r="U54" s="42"/>
      <c r="V54" s="24"/>
      <c r="W54" s="24"/>
    </row>
    <row r="55" spans="1:23" ht="19.5" customHeight="1" x14ac:dyDescent="0.15">
      <c r="A55" s="666">
        <f t="shared" si="5"/>
        <v>43344</v>
      </c>
      <c r="B55" s="202">
        <f>IFERROR(GETPIVOTDATA("合計 / " &amp; B$2 &amp; "給与",【ピボット】事業所収支!$A$3,"年月",$A55),#N/A)</f>
        <v>11183917</v>
      </c>
      <c r="C55" s="202">
        <f>IFERROR(GETPIVOTDATA("合計 / " &amp; C$2 &amp; "給与",【ピボット】事業所収支!$A$3,"年月",$A55),#N/A)</f>
        <v>9607681</v>
      </c>
      <c r="D55" s="202">
        <f>IFERROR(GETPIVOTDATA("合計 / " &amp; D$2,【ピボット】事業所収支!$A$3,"年月",$A55),#N/A)</f>
        <v>0</v>
      </c>
      <c r="E55" s="202">
        <f>IFERROR(GETPIVOTDATA("合計 / " &amp; E$2 &amp; "給与",【ピボット】事業所収支!$A$3,"年月",$A55),#N/A)</f>
        <v>2500000</v>
      </c>
      <c r="F55" s="202">
        <f>IFERROR(GETPIVOTDATA("合計 / " &amp; F$2,【ピボット】事業所収支!$A$3,"年月",$A55),#N/A)</f>
        <v>212240</v>
      </c>
      <c r="G55" s="202">
        <f>IFERROR(GETPIVOTDATA("合計 / " &amp; G$2,【ピボット】事業所収支!$A$3,"年月",$A55),#N/A)</f>
        <v>2074350</v>
      </c>
      <c r="H55" s="19">
        <f>IFERROR(GETPIVOTDATA("合計 / " &amp; H$2,【ピボット】事業所収支!$A$3,"年月",$A55),#N/A)</f>
        <v>25578188</v>
      </c>
      <c r="I55" s="200">
        <f>IFERROR(GETPIVOTDATA("合計 / " &amp; I$2&amp;"計",【ピボット】事業所収支!$A$3,"年月",$A55),#N/A)</f>
        <v>10154606</v>
      </c>
      <c r="J55" s="200">
        <f>IFERROR(GETPIVOTDATA("合計 / " &amp; J$2,【ピボット】事業所収支!$A$3,"年月",$A55),#N/A)</f>
        <v>0</v>
      </c>
      <c r="K55" s="1164">
        <f>SUM(H55:I55)-J55</f>
        <v>35732794</v>
      </c>
      <c r="L55" s="200">
        <f>IFERROR(GETPIVOTDATA("合計 / " &amp; L$2,【ピボット】事業所収支!$A$3,"年月",$A55),#N/A)</f>
        <v>37521491</v>
      </c>
      <c r="M55" s="201">
        <f t="shared" si="11"/>
        <v>0.68169433885236597</v>
      </c>
      <c r="N55" s="216">
        <f t="shared" si="15"/>
        <v>1788697</v>
      </c>
      <c r="O55" s="19">
        <f>IFERROR(GETPIVOTDATA("合計 / " &amp; O$2,【ピボット】事業所収支!$A$3,"年月",$A55),#N/A)</f>
        <v>148771</v>
      </c>
      <c r="P55" s="19">
        <f>IFERROR(GETPIVOTDATA("合計 / " &amp; P$2,【ピボット】事業所収支!$A$3,"年月",$A55),#N/A)</f>
        <v>472801</v>
      </c>
      <c r="Q55" s="216">
        <f t="shared" si="16"/>
        <v>1464667</v>
      </c>
      <c r="R55" s="200">
        <f>IFERROR(GETPIVOTDATA("合計 / " &amp; R$2,【ピボット】事業所収支!$A$3,"年月",$A55),#N/A)</f>
        <v>34830</v>
      </c>
      <c r="S55" s="19">
        <f t="shared" ca="1" si="2"/>
        <v>39406478.083333336</v>
      </c>
      <c r="T55" s="128"/>
      <c r="U55" s="42"/>
      <c r="V55" s="24"/>
      <c r="W55" s="24"/>
    </row>
    <row r="56" spans="1:23" ht="19.5" customHeight="1" x14ac:dyDescent="0.15">
      <c r="A56" s="666">
        <f t="shared" si="5"/>
        <v>43374</v>
      </c>
      <c r="B56" s="202">
        <f>IFERROR(GETPIVOTDATA("合計 / " &amp; B$2 &amp; "給与",【ピボット】事業所収支!$A$3,"年月",$A56),#N/A)</f>
        <v>11578203</v>
      </c>
      <c r="C56" s="202">
        <f>IFERROR(GETPIVOTDATA("合計 / " &amp; C$2 &amp; "給与",【ピボット】事業所収支!$A$3,"年月",$A56),#N/A)</f>
        <v>10038624</v>
      </c>
      <c r="D56" s="202">
        <f>IFERROR(GETPIVOTDATA("合計 / " &amp; D$2,【ピボット】事業所収支!$A$3,"年月",$A56),#N/A)</f>
        <v>0</v>
      </c>
      <c r="E56" s="202">
        <f>IFERROR(GETPIVOTDATA("合計 / " &amp; E$2 &amp; "給与",【ピボット】事業所収支!$A$3,"年月",$A56),#N/A)</f>
        <v>3000000</v>
      </c>
      <c r="F56" s="202">
        <f>IFERROR(GETPIVOTDATA("合計 / " &amp; F$2,【ピボット】事業所収支!$A$3,"年月",$A56),#N/A)</f>
        <v>193010</v>
      </c>
      <c r="G56" s="202">
        <f>IFERROR(GETPIVOTDATA("合計 / " &amp; G$2,【ピボット】事業所収支!$A$3,"年月",$A56),#N/A)</f>
        <v>2107932</v>
      </c>
      <c r="H56" s="19">
        <f>IFERROR(GETPIVOTDATA("合計 / " &amp; H$2,【ピボット】事業所収支!$A$3,"年月",$A56),#N/A)</f>
        <v>26917769</v>
      </c>
      <c r="I56" s="200">
        <f>IFERROR(GETPIVOTDATA("合計 / " &amp; I$2&amp;"計",【ピボット】事業所収支!$A$3,"年月",$A56),#N/A)</f>
        <v>14150744</v>
      </c>
      <c r="J56" s="200">
        <f>IFERROR(GETPIVOTDATA("合計 / " &amp; J$2,【ピボット】事業所収支!$A$3,"年月",$A56),#N/A)</f>
        <v>0</v>
      </c>
      <c r="K56" s="1164">
        <f t="shared" si="1"/>
        <v>41068513</v>
      </c>
      <c r="L56" s="200">
        <f>IFERROR(GETPIVOTDATA("合計 / " &amp; L$2,【ピボット】事業所収支!$A$3,"年月",$A56),#N/A)</f>
        <v>41221792</v>
      </c>
      <c r="M56" s="201">
        <f t="shared" si="11"/>
        <v>0.65299851593060287</v>
      </c>
      <c r="N56" s="216">
        <f t="shared" si="15"/>
        <v>153279</v>
      </c>
      <c r="O56" s="19">
        <f>IFERROR(GETPIVOTDATA("合計 / " &amp; O$2,【ピボット】事業所収支!$A$3,"年月",$A56),#N/A)</f>
        <v>142298</v>
      </c>
      <c r="P56" s="19">
        <f>IFERROR(GETPIVOTDATA("合計 / " &amp; P$2,【ピボット】事業所収支!$A$3,"年月",$A56),#N/A)</f>
        <v>972358</v>
      </c>
      <c r="Q56" s="216">
        <f t="shared" si="16"/>
        <v>-676781</v>
      </c>
      <c r="R56" s="200">
        <f>IFERROR(GETPIVOTDATA("合計 / " &amp; R$2,【ピボット】事業所収支!$A$3,"年月",$A56),#N/A)</f>
        <v>0</v>
      </c>
      <c r="S56" s="19">
        <f t="shared" ca="1" si="2"/>
        <v>39406478.083333336</v>
      </c>
      <c r="T56" s="128"/>
      <c r="U56" s="42"/>
      <c r="V56" s="24"/>
      <c r="W56" s="638"/>
    </row>
    <row r="57" spans="1:23" ht="19.5" customHeight="1" x14ac:dyDescent="0.15">
      <c r="A57" s="666">
        <f t="shared" si="5"/>
        <v>43405</v>
      </c>
      <c r="B57" s="202">
        <f>IFERROR(GETPIVOTDATA("合計 / " &amp; B$2 &amp; "給与",【ピボット】事業所収支!$A$3,"年月",$A57),#N/A)</f>
        <v>11425873</v>
      </c>
      <c r="C57" s="202">
        <f>IFERROR(GETPIVOTDATA("合計 / " &amp; C$2 &amp; "給与",【ピボット】事業所収支!$A$3,"年月",$A57),#N/A)</f>
        <v>10939950</v>
      </c>
      <c r="D57" s="202">
        <f>IFERROR(GETPIVOTDATA("合計 / " &amp; D$2,【ピボット】事業所収支!$A$3,"年月",$A57),#N/A)</f>
        <v>0</v>
      </c>
      <c r="E57" s="202">
        <f>IFERROR(GETPIVOTDATA("合計 / " &amp; E$2 &amp; "給与",【ピボット】事業所収支!$A$3,"年月",$A57),#N/A)</f>
        <v>3000000</v>
      </c>
      <c r="F57" s="202">
        <f>IFERROR(GETPIVOTDATA("合計 / " &amp; F$2,【ピボット】事業所収支!$A$3,"年月",$A57),#N/A)</f>
        <v>1124906</v>
      </c>
      <c r="G57" s="202">
        <f>IFERROR(GETPIVOTDATA("合計 / " &amp; G$2,【ピボット】事業所収支!$A$3,"年月",$A57),#N/A)</f>
        <v>1800561</v>
      </c>
      <c r="H57" s="19">
        <f>IFERROR(GETPIVOTDATA("合計 / " &amp; H$2,【ピボット】事業所収支!$A$3,"年月",$A57),#N/A)</f>
        <v>28291290</v>
      </c>
      <c r="I57" s="200">
        <f>IFERROR(GETPIVOTDATA("合計 / " &amp; I$2&amp;"計",【ピボット】事業所収支!$A$3,"年月",$A57),#N/A)</f>
        <v>9727500</v>
      </c>
      <c r="J57" s="200">
        <f>IFERROR(GETPIVOTDATA("合計 / " &amp; J$2,【ピボット】事業所収支!$A$3,"年月",$A57),#N/A)</f>
        <v>4167</v>
      </c>
      <c r="K57" s="1164">
        <f t="shared" si="1"/>
        <v>38014623</v>
      </c>
      <c r="L57" s="200">
        <f>IFERROR(GETPIVOTDATA("合計 / " &amp; L$2,【ピボット】事業所収支!$A$3,"年月",$A57),#N/A)</f>
        <v>42264853</v>
      </c>
      <c r="M57" s="201">
        <f t="shared" si="11"/>
        <v>0.66938101026874508</v>
      </c>
      <c r="N57" s="216">
        <f t="shared" ref="N57:N61" si="17">L57-K57</f>
        <v>4250230</v>
      </c>
      <c r="O57" s="19">
        <f>IFERROR(GETPIVOTDATA("合計 / " &amp; O$2,【ピボット】事業所収支!$A$3,"年月",$A57),#N/A)</f>
        <v>146805</v>
      </c>
      <c r="P57" s="19">
        <f>IFERROR(GETPIVOTDATA("合計 / " &amp; P$2,【ピボット】事業所収支!$A$3,"年月",$A57),#N/A)</f>
        <v>874139</v>
      </c>
      <c r="Q57" s="216">
        <f t="shared" si="16"/>
        <v>3522896</v>
      </c>
      <c r="R57" s="200">
        <f>IFERROR(GETPIVOTDATA("合計 / " &amp; R$2,【ピボット】事業所収支!$A$3,"年月",$A57),#N/A)</f>
        <v>0</v>
      </c>
      <c r="S57" s="19">
        <f t="shared" ca="1" si="2"/>
        <v>39406478.083333336</v>
      </c>
      <c r="T57" s="128"/>
      <c r="U57" s="42"/>
      <c r="V57" s="24"/>
      <c r="W57" s="24"/>
    </row>
    <row r="58" spans="1:23" ht="19.5" customHeight="1" x14ac:dyDescent="0.15">
      <c r="A58" s="666">
        <f t="shared" si="5"/>
        <v>43435</v>
      </c>
      <c r="B58" s="202">
        <f>IFERROR(GETPIVOTDATA("合計 / " &amp; B$2 &amp; "給与",【ピボット】事業所収支!$A$3,"年月",$A58),#N/A)</f>
        <v>11489865</v>
      </c>
      <c r="C58" s="202">
        <f>IFERROR(GETPIVOTDATA("合計 / " &amp; C$2 &amp; "給与",【ピボット】事業所収支!$A$3,"年月",$A58),#N/A)</f>
        <v>11268578</v>
      </c>
      <c r="D58" s="202">
        <f>IFERROR(GETPIVOTDATA("合計 / " &amp; D$2,【ピボット】事業所収支!$A$3,"年月",$A58),#N/A)</f>
        <v>12454095</v>
      </c>
      <c r="E58" s="202">
        <f>IFERROR(GETPIVOTDATA("合計 / " &amp; E$2 &amp; "給与",【ピボット】事業所収支!$A$3,"年月",$A58),#N/A)</f>
        <v>3000000</v>
      </c>
      <c r="F58" s="202">
        <f>IFERROR(GETPIVOTDATA("合計 / " &amp; F$2,【ピボット】事業所収支!$A$3,"年月",$A58),#N/A)</f>
        <v>937790</v>
      </c>
      <c r="G58" s="202">
        <f>IFERROR(GETPIVOTDATA("合計 / " &amp; G$2,【ピボット】事業所収支!$A$3,"年月",$A58),#N/A)</f>
        <v>3849906</v>
      </c>
      <c r="H58" s="19">
        <f>IFERROR(GETPIVOTDATA("合計 / " &amp; H$2,【ピボット】事業所収支!$A$3,"年月",$A58),#N/A)</f>
        <v>43000234</v>
      </c>
      <c r="I58" s="200">
        <f>IFERROR(GETPIVOTDATA("合計 / " &amp; I$2&amp;"計",【ピボット】事業所収支!$A$3,"年月",$A58),#N/A)</f>
        <v>8588657</v>
      </c>
      <c r="J58" s="200">
        <f>IFERROR(GETPIVOTDATA("合計 / " &amp; J$2,【ピボット】事業所収支!$A$3,"年月",$A58),#N/A)</f>
        <v>2198</v>
      </c>
      <c r="K58" s="1164">
        <f t="shared" si="1"/>
        <v>51586693</v>
      </c>
      <c r="L58" s="200">
        <f>IFERROR(GETPIVOTDATA("合計 / " &amp; L$2,【ピボット】事業所収支!$A$3,"年月",$A58),#N/A)</f>
        <v>40284538</v>
      </c>
      <c r="M58" s="201">
        <f t="shared" si="11"/>
        <v>1.0674128619769698</v>
      </c>
      <c r="N58" s="216">
        <f t="shared" si="17"/>
        <v>-11302155</v>
      </c>
      <c r="O58" s="19">
        <f>IFERROR(GETPIVOTDATA("合計 / " &amp; O$2,【ピボット】事業所収支!$A$3,"年月",$A58),#N/A)</f>
        <v>369915</v>
      </c>
      <c r="P58" s="19">
        <f>IFERROR(GETPIVOTDATA("合計 / " &amp; P$2,【ピボット】事業所収支!$A$3,"年月",$A58),#N/A)</f>
        <v>703823</v>
      </c>
      <c r="Q58" s="216">
        <f t="shared" si="16"/>
        <v>-11636063</v>
      </c>
      <c r="R58" s="200">
        <f>IFERROR(GETPIVOTDATA("合計 / " &amp; R$2,【ピボット】事業所収支!$A$3,"年月",$A58),#N/A)</f>
        <v>0</v>
      </c>
      <c r="S58" s="19">
        <f t="shared" ca="1" si="2"/>
        <v>39406478.083333336</v>
      </c>
      <c r="T58" s="128"/>
      <c r="U58" s="42"/>
      <c r="V58" s="24"/>
      <c r="W58" s="24"/>
    </row>
    <row r="59" spans="1:23" ht="19.5" customHeight="1" x14ac:dyDescent="0.15">
      <c r="A59" s="666">
        <f t="shared" si="5"/>
        <v>43466</v>
      </c>
      <c r="B59" s="202">
        <f>IFERROR(GETPIVOTDATA("合計 / " &amp; B$2 &amp; "給与",【ピボット】事業所収支!$A$3,"年月",$A59),#N/A)</f>
        <v>11852991</v>
      </c>
      <c r="C59" s="202">
        <f>IFERROR(GETPIVOTDATA("合計 / " &amp; C$2 &amp; "給与",【ピボット】事業所収支!$A$3,"年月",$A59),#N/A)</f>
        <v>10749965</v>
      </c>
      <c r="D59" s="202">
        <f>IFERROR(GETPIVOTDATA("合計 / " &amp; D$2,【ピボット】事業所収支!$A$3,"年月",$A59),#N/A)</f>
        <v>0</v>
      </c>
      <c r="E59" s="202">
        <f>IFERROR(GETPIVOTDATA("合計 / " &amp; E$2 &amp; "給与",【ピボット】事業所収支!$A$3,"年月",$A59),#N/A)</f>
        <v>3000000</v>
      </c>
      <c r="F59" s="202">
        <f>IFERROR(GETPIVOTDATA("合計 / " &amp; F$2,【ピボット】事業所収支!$A$3,"年月",$A59),#N/A)</f>
        <v>424415</v>
      </c>
      <c r="G59" s="202">
        <f>IFERROR(GETPIVOTDATA("合計 / " &amp; G$2,【ピボット】事業所収支!$A$3,"年月",$A59),#N/A)</f>
        <v>1842701</v>
      </c>
      <c r="H59" s="19">
        <f>IFERROR(GETPIVOTDATA("合計 / " &amp; H$2,【ピボット】事業所収支!$A$3,"年月",$A59),#N/A)</f>
        <v>27870072</v>
      </c>
      <c r="I59" s="200">
        <f>IFERROR(GETPIVOTDATA("合計 / " &amp; I$2&amp;"計",【ピボット】事業所収支!$A$3,"年月",$A59),#N/A)</f>
        <v>9173270</v>
      </c>
      <c r="J59" s="200">
        <f>IFERROR(GETPIVOTDATA("合計 / " &amp; J$2,【ピボット】事業所収支!$A$3,"年月",$A59),#N/A)</f>
        <v>0</v>
      </c>
      <c r="K59" s="1164">
        <f t="shared" si="1"/>
        <v>37043342</v>
      </c>
      <c r="L59" s="200">
        <f>IFERROR(GETPIVOTDATA("合計 / " &amp; L$2,【ピボット】事業所収支!$A$3,"年月",$A59),#N/A)</f>
        <v>39982277</v>
      </c>
      <c r="M59" s="201">
        <f t="shared" si="11"/>
        <v>0.69706065014756413</v>
      </c>
      <c r="N59" s="216">
        <f t="shared" si="17"/>
        <v>2938935</v>
      </c>
      <c r="O59" s="19">
        <f>IFERROR(GETPIVOTDATA("合計 / " &amp; O$2,【ピボット】事業所収支!$A$3,"年月",$A59),#N/A)</f>
        <v>316282</v>
      </c>
      <c r="P59" s="19">
        <f>IFERROR(GETPIVOTDATA("合計 / " &amp; P$2,【ピボット】事業所収支!$A$3,"年月",$A59),#N/A)</f>
        <v>1196977</v>
      </c>
      <c r="Q59" s="216">
        <f>N59+O59-P59</f>
        <v>2058240</v>
      </c>
      <c r="R59" s="200">
        <f>IFERROR(GETPIVOTDATA("合計 / " &amp; R$2,【ピボット】事業所収支!$A$3,"年月",$A59),#N/A)</f>
        <v>0</v>
      </c>
      <c r="S59" s="19">
        <f t="shared" ca="1" si="2"/>
        <v>39406478.083333336</v>
      </c>
      <c r="T59" s="128"/>
      <c r="U59" s="42"/>
      <c r="V59" s="24"/>
      <c r="W59" s="24"/>
    </row>
    <row r="60" spans="1:23" ht="19.5" customHeight="1" x14ac:dyDescent="0.15">
      <c r="A60" s="666">
        <f t="shared" si="5"/>
        <v>43497</v>
      </c>
      <c r="B60" s="202">
        <f>IFERROR(GETPIVOTDATA("合計 / " &amp; B$2 &amp; "給与",【ピボット】事業所収支!$A$3,"年月",$A60),#N/A)</f>
        <v>10969098</v>
      </c>
      <c r="C60" s="202">
        <f>IFERROR(GETPIVOTDATA("合計 / " &amp; C$2 &amp; "給与",【ピボット】事業所収支!$A$3,"年月",$A60),#N/A)</f>
        <v>10929140</v>
      </c>
      <c r="D60" s="202">
        <f>IFERROR(GETPIVOTDATA("合計 / " &amp; D$2,【ピボット】事業所収支!$A$3,"年月",$A60),#N/A)</f>
        <v>0</v>
      </c>
      <c r="E60" s="202">
        <f>IFERROR(GETPIVOTDATA("合計 / " &amp; E$2 &amp; "給与",【ピボット】事業所収支!$A$3,"年月",$A60),#N/A)</f>
        <v>3000000</v>
      </c>
      <c r="F60" s="202">
        <f>IFERROR(GETPIVOTDATA("合計 / " &amp; F$2,【ピボット】事業所収支!$A$3,"年月",$A60),#N/A)</f>
        <v>102132</v>
      </c>
      <c r="G60" s="202">
        <f>IFERROR(GETPIVOTDATA("合計 / " &amp; G$2,【ピボット】事業所収支!$A$3,"年月",$A60),#N/A)</f>
        <v>1853601</v>
      </c>
      <c r="H60" s="19">
        <f>IFERROR(GETPIVOTDATA("合計 / " &amp; H$2,【ピボット】事業所収支!$A$3,"年月",$A60),#N/A)</f>
        <v>26853971</v>
      </c>
      <c r="I60" s="200">
        <f>IFERROR(GETPIVOTDATA("合計 / " &amp; I$2&amp;"計",【ピボット】事業所収支!$A$3,"年月",$A60),#N/A)</f>
        <v>8999179</v>
      </c>
      <c r="J60" s="200">
        <f>IFERROR(GETPIVOTDATA("合計 / " &amp; J$2,【ピボット】事業所収支!$A$3,"年月",$A60),#N/A)</f>
        <v>-80616</v>
      </c>
      <c r="K60" s="1164">
        <f t="shared" si="1"/>
        <v>35933766</v>
      </c>
      <c r="L60" s="200">
        <f>IFERROR(GETPIVOTDATA("合計 / " &amp; L$2,【ピボット】事業所収支!$A$3,"年月",$A60),#N/A)</f>
        <v>38690450</v>
      </c>
      <c r="M60" s="201">
        <f t="shared" si="11"/>
        <v>0.69407233567973492</v>
      </c>
      <c r="N60" s="216">
        <f t="shared" si="17"/>
        <v>2756684</v>
      </c>
      <c r="O60" s="19">
        <f>IFERROR(GETPIVOTDATA("合計 / " &amp; O$2,【ピボット】事業所収支!$A$3,"年月",$A60),#N/A)</f>
        <v>308518</v>
      </c>
      <c r="P60" s="19">
        <f>IFERROR(GETPIVOTDATA("合計 / " &amp; P$2,【ピボット】事業所収支!$A$3,"年月",$A60),#N/A)</f>
        <v>977248</v>
      </c>
      <c r="Q60" s="216">
        <f>N60+O60-P60</f>
        <v>2087954</v>
      </c>
      <c r="R60" s="200">
        <f>IFERROR(GETPIVOTDATA("合計 / " &amp; R$2,【ピボット】事業所収支!$A$3,"年月",$A60),#N/A)</f>
        <v>0</v>
      </c>
      <c r="S60" s="19">
        <f t="shared" ca="1" si="2"/>
        <v>39406478.083333336</v>
      </c>
      <c r="T60" s="128"/>
      <c r="U60" s="42"/>
      <c r="V60" s="24"/>
      <c r="W60" s="24"/>
    </row>
    <row r="61" spans="1:23" ht="19.5" customHeight="1" x14ac:dyDescent="0.15">
      <c r="A61" s="666">
        <f>EDATE(A62,-1)</f>
        <v>43525</v>
      </c>
      <c r="B61" s="202">
        <f>IFERROR(GETPIVOTDATA("合計 / " &amp; B$2 &amp; "給与",【ピボット】事業所収支!$A$3,"年月",$A61),#N/A)</f>
        <v>12221347</v>
      </c>
      <c r="C61" s="202">
        <f>IFERROR(GETPIVOTDATA("合計 / " &amp; C$2 &amp; "給与",【ピボット】事業所収支!$A$3,"年月",$A61),#N/A)</f>
        <v>9786251</v>
      </c>
      <c r="D61" s="202">
        <f>IFERROR(GETPIVOTDATA("合計 / " &amp; D$2,【ピボット】事業所収支!$A$3,"年月",$A61),#N/A)</f>
        <v>0</v>
      </c>
      <c r="E61" s="202">
        <f>IFERROR(GETPIVOTDATA("合計 / " &amp; E$2 &amp; "給与",【ピボット】事業所収支!$A$3,"年月",$A61),#N/A)</f>
        <v>3000000</v>
      </c>
      <c r="F61" s="202">
        <f>IFERROR(GETPIVOTDATA("合計 / " &amp; F$2,【ピボット】事業所収支!$A$3,"年月",$A61),#N/A)</f>
        <v>73717</v>
      </c>
      <c r="G61" s="202">
        <f>IFERROR(GETPIVOTDATA("合計 / " &amp; G$2,【ピボット】事業所収支!$A$3,"年月",$A61),#N/A)</f>
        <v>1731344</v>
      </c>
      <c r="H61" s="19">
        <f>IFERROR(GETPIVOTDATA("合計 / " &amp; H$2,【ピボット】事業所収支!$A$3,"年月",$A61),#N/A)</f>
        <v>26812659</v>
      </c>
      <c r="I61" s="200">
        <f>IFERROR(GETPIVOTDATA("合計 / " &amp; I$2&amp;"計",【ピボット】事業所収支!$A$3,"年月",$A61),#N/A)</f>
        <v>8656063</v>
      </c>
      <c r="J61" s="200">
        <f>IFERROR(GETPIVOTDATA("合計 / " &amp; J$2,【ピボット】事業所収支!$A$3,"年月",$A61),#N/A)</f>
        <v>0</v>
      </c>
      <c r="K61" s="1164">
        <f t="shared" si="1"/>
        <v>35468722</v>
      </c>
      <c r="L61" s="200">
        <f>IFERROR(GETPIVOTDATA("合計 / " &amp; L$2,【ピボット】事業所収支!$A$3,"年月",$A61),#N/A)</f>
        <v>40045253</v>
      </c>
      <c r="M61" s="201">
        <f t="shared" si="11"/>
        <v>0.6695589861799599</v>
      </c>
      <c r="N61" s="216">
        <f t="shared" si="17"/>
        <v>4576531</v>
      </c>
      <c r="O61" s="19">
        <f>IFERROR(GETPIVOTDATA("合計 / " &amp; O$2,【ピボット】事業所収支!$A$3,"年月",$A61),#N/A)</f>
        <v>539685</v>
      </c>
      <c r="P61" s="19">
        <f>IFERROR(GETPIVOTDATA("合計 / " &amp; P$2,【ピボット】事業所収支!$A$3,"年月",$A61),#N/A)</f>
        <v>532662</v>
      </c>
      <c r="Q61" s="216">
        <f>N61+O61-P61</f>
        <v>4583554</v>
      </c>
      <c r="R61" s="200">
        <f>IFERROR(GETPIVOTDATA("合計 / " &amp; R$2,【ピボット】事業所収支!$A$3,"年月",$A61),#N/A)</f>
        <v>0</v>
      </c>
      <c r="S61" s="19">
        <f t="shared" ca="1" si="2"/>
        <v>39406478.083333336</v>
      </c>
      <c r="T61" s="128"/>
      <c r="U61" s="42"/>
      <c r="V61" s="24"/>
      <c r="W61" s="24"/>
    </row>
    <row r="62" spans="1:23" ht="19.5" customHeight="1" x14ac:dyDescent="0.15">
      <c r="A62" s="666">
        <f>推移!AA2</f>
        <v>43556</v>
      </c>
      <c r="B62" s="202">
        <f>IFERROR(GETPIVOTDATA("合計 / " &amp; B$2 &amp; "給与",【ピボット】事業所収支!$A$3,"年月",$A62),#N/A)</f>
        <v>12107299</v>
      </c>
      <c r="C62" s="202">
        <f>IFERROR(GETPIVOTDATA("合計 / " &amp; C$2 &amp; "給与",【ピボット】事業所収支!$A$3,"年月",$A62),#N/A)</f>
        <v>9740290</v>
      </c>
      <c r="D62" s="202">
        <f>IFERROR(GETPIVOTDATA("合計 / " &amp; D$2,【ピボット】事業所収支!$A$3,"年月",$A62),#N/A)</f>
        <v>0</v>
      </c>
      <c r="E62" s="202">
        <f>IFERROR(GETPIVOTDATA("合計 / " &amp; E$2 &amp; "給与",【ピボット】事業所収支!$A$3,"年月",$A62),#N/A)</f>
        <v>3700000</v>
      </c>
      <c r="F62" s="202">
        <f>IFERROR(GETPIVOTDATA("合計 / " &amp; F$2,【ピボット】事業所収支!$A$3,"年月",$A62),#N/A)</f>
        <v>246024</v>
      </c>
      <c r="G62" s="202">
        <f>IFERROR(GETPIVOTDATA("合計 / " &amp; G$2,【ピボット】事業所収支!$A$3,"年月",$A62),#N/A)</f>
        <v>1922391</v>
      </c>
      <c r="H62" s="19">
        <f>IFERROR(GETPIVOTDATA("合計 / " &amp; H$2,【ピボット】事業所収支!$A$3,"年月",$A62),#N/A)</f>
        <v>27716004</v>
      </c>
      <c r="I62" s="200">
        <f>IFERROR(GETPIVOTDATA("合計 / " &amp; I$2&amp;"計",【ピボット】事業所収支!$A$3,"年月",$A62),#N/A)</f>
        <v>8647779</v>
      </c>
      <c r="J62" s="200">
        <f>IFERROR(GETPIVOTDATA("合計 / " &amp; J$2,【ピボット】事業所収支!$A$3,"年月",$A62),#N/A)</f>
        <v>0</v>
      </c>
      <c r="K62" s="1164">
        <f t="shared" si="1"/>
        <v>36363783</v>
      </c>
      <c r="L62" s="200">
        <f>IFERROR(GETPIVOTDATA("合計 / " &amp; L$2,【ピボット】事業所収支!$A$3,"年月",$A62),#N/A)</f>
        <v>41864718</v>
      </c>
      <c r="M62" s="201">
        <f t="shared" si="11"/>
        <v>0.66203727921922229</v>
      </c>
      <c r="N62" s="216">
        <f>L62-K62</f>
        <v>5500935</v>
      </c>
      <c r="O62" s="19">
        <f>IFERROR(GETPIVOTDATA("合計 / " &amp; O$2,【ピボット】事業所収支!$A$3,"年月",$A62),#N/A)</f>
        <v>215222</v>
      </c>
      <c r="P62" s="19">
        <f>IFERROR(GETPIVOTDATA("合計 / " &amp; P$2,【ピボット】事業所収支!$A$3,"年月",$A62),#N/A)</f>
        <v>665619</v>
      </c>
      <c r="Q62" s="216">
        <f>N62+O62-P62</f>
        <v>5050538</v>
      </c>
      <c r="R62" s="200">
        <f>IFERROR(GETPIVOTDATA("合計 / " &amp; R$2,【ピボット】事業所収支!$A$3,"年月",$A62),#N/A)</f>
        <v>0</v>
      </c>
      <c r="S62" s="19">
        <f t="shared" ca="1" si="2"/>
        <v>39406478.083333336</v>
      </c>
      <c r="T62" s="128" t="s">
        <v>1407</v>
      </c>
      <c r="U62" s="42"/>
      <c r="V62" s="24"/>
      <c r="W62" s="24"/>
    </row>
    <row r="63" spans="1:23" ht="28.5" customHeight="1" x14ac:dyDescent="0.15">
      <c r="A63" s="198" t="s">
        <v>195</v>
      </c>
      <c r="B63" s="550">
        <f t="array" aca="1" ref="B63" ca="1">SUM(IF(ISERROR(OFFSET(B62,-11,0):B62)=FALSE,OFFSET(B62,-11,0):B62))</f>
        <v>137650348</v>
      </c>
      <c r="C63" s="550">
        <f t="array" aca="1" ref="C63" ca="1">SUM(IF(ISERROR(OFFSET(C62,-11,0):C62)=FALSE,OFFSET(C62,-11,0):C62))</f>
        <v>119470226</v>
      </c>
      <c r="D63" s="550">
        <f t="array" aca="1" ref="D63" ca="1">SUM(IF(ISERROR(OFFSET(D62,-11,0):D62)=FALSE,OFFSET(D62,-11,0):D62))</f>
        <v>21379395</v>
      </c>
      <c r="E63" s="550">
        <f t="array" aca="1" ref="E63" ca="1">SUM(IF(ISERROR(OFFSET(E62,-11,0):E62)=FALSE,OFFSET(E62,-11,0):E62))</f>
        <v>34200000</v>
      </c>
      <c r="F63" s="550">
        <f t="array" aca="1" ref="F63" ca="1">SUM(IF(ISERROR(OFFSET(F62,-11,0):F62)=FALSE,OFFSET(F62,-11,0):F62))</f>
        <v>4319262</v>
      </c>
      <c r="G63" s="550">
        <f t="array" aca="1" ref="G63" ca="1">SUM(IF(ISERROR(OFFSET(G62,-11,0):G62)=FALSE,OFFSET(G62,-11,0):G62))</f>
        <v>25752440</v>
      </c>
      <c r="H63" s="550">
        <f t="array" aca="1" ref="H63" ca="1">SUM(IF(ISERROR(OFFSET(H62,-11,0):H62)=FALSE,OFFSET(H62,-11,0):H62))</f>
        <v>342771671</v>
      </c>
      <c r="I63" s="550">
        <f t="array" aca="1" ref="I63" ca="1">SUM(IF(ISERROR(OFFSET(I62,-11,0):I62)=FALSE,OFFSET(I62,-11,0):I62))</f>
        <v>122137807</v>
      </c>
      <c r="J63" s="550">
        <f t="array" aca="1" ref="J63" ca="1">SUM(IF(ISERROR(OFFSET(J62,-11,0):J62)=FALSE,OFFSET(J62,-11,0):J62))</f>
        <v>657899</v>
      </c>
      <c r="K63" s="550">
        <f t="array" aca="1" ref="K63" ca="1">SUM(IF(ISERROR(OFFSET(K62,-11,0):K62)=FALSE,OFFSET(K62,-11,0):K62))</f>
        <v>464251579</v>
      </c>
      <c r="L63" s="550">
        <f t="array" aca="1" ref="L63" ca="1">SUM(IF(ISERROR(OFFSET(L62,-11,0):L62)=FALSE,OFFSET(L62,-11,0):L62))</f>
        <v>472877737</v>
      </c>
      <c r="M63" s="546">
        <f ca="1">H63/L63</f>
        <v>0.72486320285363737</v>
      </c>
      <c r="N63" s="547">
        <f t="array" aca="1" ref="N63" ca="1">SUM(IF(ISERROR(OFFSET(N62,-11,0):N62)=FALSE,OFFSET(N62,-11,0):N62))</f>
        <v>8626158</v>
      </c>
      <c r="O63" s="545">
        <f t="array" aca="1" ref="O63" ca="1">SUM(IF(ISERROR(OFFSET(O62,-11,0):O62)=FALSE,OFFSET(O62,-11,0):O62))</f>
        <v>2764123</v>
      </c>
      <c r="P63" s="545">
        <f t="array" aca="1" ref="P63" ca="1">SUM(IF(ISERROR(OFFSET(P62,-11,0):P62)=FALSE,OFFSET(P62,-11,0):P62))</f>
        <v>9253114</v>
      </c>
      <c r="Q63" s="1930">
        <f t="array" aca="1" ref="Q63" ca="1">SUM(IF(ISERROR(OFFSET(Q62,-11,0):Q62)=FALSE,OFFSET(Q62,-11,0):Q62))</f>
        <v>2137167</v>
      </c>
      <c r="R63" s="545">
        <f t="array" aca="1" ref="R63" ca="1">SUM(IF(ISERROR(OFFSET(R62,-11,0):R62)=FALSE,OFFSET(R62,-11,0):R62))</f>
        <v>201933</v>
      </c>
      <c r="S63" s="1928"/>
      <c r="T63" s="700"/>
      <c r="V63" s="24"/>
    </row>
    <row r="64" spans="1:23" ht="28.5" customHeight="1" thickBot="1" x14ac:dyDescent="0.2">
      <c r="A64" s="196" t="s">
        <v>196</v>
      </c>
      <c r="B64" s="548">
        <f t="array" aca="1" ref="B64" ca="1">AVERAGE(IF(ISERROR(OFFSET(B62,-11,0):B62)=FALSE,OFFSET(B62,-11,0):B62))</f>
        <v>11470862.333333334</v>
      </c>
      <c r="C64" s="548">
        <f t="array" aca="1" ref="C64" ca="1">AVERAGE(IF(ISERROR(OFFSET(C62,-11,0):C62)=FALSE,OFFSET(C62,-11,0):C62))</f>
        <v>9955852.166666666</v>
      </c>
      <c r="D64" s="548">
        <f t="array" aca="1" ref="D64" ca="1">AVERAGE(IF(ISERROR(OFFSET(D62,-11,0):D62)=FALSE,OFFSET(D62,-11,0):D62))</f>
        <v>1781616.25</v>
      </c>
      <c r="E64" s="548">
        <f t="array" aca="1" ref="E64" ca="1">AVERAGE(IF(ISERROR(OFFSET(E62,-11,0):E62)=FALSE,OFFSET(E62,-11,0):E62))</f>
        <v>2850000</v>
      </c>
      <c r="F64" s="548">
        <f t="array" aca="1" ref="F64" ca="1">AVERAGE(IF(ISERROR(OFFSET(F62,-11,0):F62)=FALSE,OFFSET(F62,-11,0):F62))</f>
        <v>359938.5</v>
      </c>
      <c r="G64" s="548">
        <f t="array" aca="1" ref="G64" ca="1">AVERAGE(IF(ISERROR(OFFSET(G62,-11,0):G62)=FALSE,OFFSET(G62,-11,0):G62))</f>
        <v>2146036.6666666665</v>
      </c>
      <c r="H64" s="548">
        <f t="array" aca="1" ref="H64" ca="1">AVERAGE(IF(ISERROR(OFFSET(H62,-11,0):H62)=FALSE,OFFSET(H62,-11,0):H62))</f>
        <v>28564305.916666668</v>
      </c>
      <c r="I64" s="548">
        <f t="array" aca="1" ref="I64" ca="1">AVERAGE(IF(ISERROR(OFFSET(I62,-11,0):I62)=FALSE,OFFSET(I62,-11,0):I62))</f>
        <v>10178150.583333334</v>
      </c>
      <c r="J64" s="548">
        <f t="array" aca="1" ref="J64" ca="1">AVERAGE(IF(ISERROR(OFFSET(J62,-11,0):J62)=FALSE,OFFSET(J62,-11,0):J62))</f>
        <v>54824.916666666664</v>
      </c>
      <c r="K64" s="548">
        <f t="array" aca="1" ref="K64" ca="1">AVERAGE(IF(ISERROR(OFFSET(K62,-11,0):K62)=FALSE,OFFSET(K62,-11,0):K62))</f>
        <v>38687631.583333336</v>
      </c>
      <c r="L64" s="548">
        <f t="array" aca="1" ref="L64" ca="1">AVERAGE(IF(ISERROR(OFFSET(L62,-11,0):L62)=FALSE,OFFSET(L62,-11,0):L62))</f>
        <v>39406478.083333336</v>
      </c>
      <c r="M64" s="549">
        <f ca="1">H64/L64</f>
        <v>0.72486320285363737</v>
      </c>
      <c r="N64" s="548">
        <f t="array" aca="1" ref="N64" ca="1">AVERAGE(IF(ISERROR(OFFSET(N62,-11,0):N62)=FALSE,OFFSET(N62,-11,0):N62))</f>
        <v>718846.5</v>
      </c>
      <c r="O64" s="548">
        <f t="array" aca="1" ref="O64" ca="1">AVERAGE(IF(ISERROR(OFFSET(O62,-11,0):O62)=FALSE,OFFSET(O62,-11,0):O62))</f>
        <v>230343.58333333334</v>
      </c>
      <c r="P64" s="548">
        <f t="array" aca="1" ref="P64" ca="1">AVERAGE(IF(ISERROR(OFFSET(P62,-11,0):P62)=FALSE,OFFSET(P62,-11,0):P62))</f>
        <v>771092.83333333337</v>
      </c>
      <c r="Q64" s="548">
        <f t="array" aca="1" ref="Q64" ca="1">AVERAGE(IF(ISERROR(OFFSET(Q62,-11,0):Q62)=FALSE,OFFSET(Q62,-11,0):Q62))</f>
        <v>178097.25</v>
      </c>
      <c r="R64" s="548">
        <f t="array" aca="1" ref="R64" ca="1">AVERAGE(IF(ISERROR(OFFSET(R62,-11,0):R62)=FALSE,OFFSET(R62,-11,0):R62))</f>
        <v>16827.75</v>
      </c>
      <c r="S64" s="1929"/>
      <c r="T64" s="701"/>
    </row>
    <row r="65" spans="2:19" x14ac:dyDescent="0.15"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330"/>
      <c r="N65" s="24"/>
      <c r="O65" s="24"/>
      <c r="P65" s="24"/>
      <c r="Q65" s="24"/>
      <c r="R65" s="24"/>
      <c r="S65" s="24"/>
    </row>
    <row r="66" spans="2:19" ht="26.25" customHeight="1" x14ac:dyDescent="0.15">
      <c r="E66" s="24"/>
    </row>
    <row r="67" spans="2:19" x14ac:dyDescent="0.15">
      <c r="F67" s="24">
        <f>SUM(B22:E33)</f>
        <v>232646686</v>
      </c>
      <c r="G67" s="24">
        <f>SUM(G22:G33)</f>
        <v>18787707</v>
      </c>
      <c r="H67" s="16">
        <f>G67/F67</f>
        <v>8.0756392119851639E-2</v>
      </c>
    </row>
    <row r="87" spans="17:17" x14ac:dyDescent="0.15">
      <c r="Q87" s="27"/>
    </row>
    <row r="99" spans="3:3" x14ac:dyDescent="0.15">
      <c r="C99" s="28"/>
    </row>
    <row r="100" spans="3:3" x14ac:dyDescent="0.15">
      <c r="C100" s="28"/>
    </row>
  </sheetData>
  <phoneticPr fontId="40"/>
  <conditionalFormatting sqref="B3:G62">
    <cfRule type="expression" dxfId="351" priority="3">
      <formula>ISERROR(B3)=TRUE</formula>
    </cfRule>
  </conditionalFormatting>
  <conditionalFormatting sqref="L3:L62 O3:P62 H3:J62 R3:S62">
    <cfRule type="expression" dxfId="350" priority="2">
      <formula>ISERROR(H3)=TRUE</formula>
    </cfRule>
  </conditionalFormatting>
  <conditionalFormatting sqref="K3:K62 M3:N62 Q3:Q62">
    <cfRule type="expression" dxfId="349" priority="1">
      <formula>ISERROR(K3)=TRUE</formula>
    </cfRule>
  </conditionalFormatting>
  <pageMargins left="0.27" right="0.34" top="0.6" bottom="0.36" header="0.31496062992125984" footer="0.2"/>
  <pageSetup paperSize="8" scale="53" orientation="portrait" r:id="rId1"/>
  <headerFooter>
    <oddHeader>&amp;L&amp;A&amp;R&amp;D 印刷</oddHeader>
    <oddFooter>&amp;L介護サービス友乃家&amp;C&amp;P／&amp;N&amp;R&amp;F</oddFooter>
  </headerFooter>
  <rowBreaks count="1" manualBreakCount="1">
    <brk id="64" max="16383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V416"/>
  <sheetViews>
    <sheetView zoomScale="70" zoomScaleNormal="70" workbookViewId="0">
      <pane xSplit="2" ySplit="3" topLeftCell="C4" activePane="bottomRight" state="frozen"/>
      <selection activeCell="B1" sqref="B1"/>
      <selection pane="topRight" activeCell="C1" sqref="C1"/>
      <selection pane="bottomLeft" activeCell="B4" sqref="B4"/>
      <selection pane="bottomRight" activeCell="X13" activeCellId="1" sqref="X5:X11 X13:X16"/>
    </sheetView>
  </sheetViews>
  <sheetFormatPr defaultColWidth="12.375" defaultRowHeight="13.5" outlineLevelRow="1" x14ac:dyDescent="0.15"/>
  <cols>
    <col min="1" max="1" width="12.375" hidden="1" customWidth="1"/>
    <col min="27" max="33" width="15.125" customWidth="1"/>
  </cols>
  <sheetData>
    <row r="1" spans="1:33" ht="22.5" customHeight="1" x14ac:dyDescent="0.15">
      <c r="B1" t="s">
        <v>20</v>
      </c>
    </row>
    <row r="2" spans="1:33" ht="22.5" customHeight="1" thickBot="1" x14ac:dyDescent="0.2"/>
    <row r="3" spans="1:33" ht="36" customHeight="1" thickBot="1" x14ac:dyDescent="0.2">
      <c r="B3" s="62" t="s">
        <v>188</v>
      </c>
      <c r="C3" s="667">
        <f t="shared" ref="C3:W3" si="0">EDATE(D3,-1)</f>
        <v>42856</v>
      </c>
      <c r="D3" s="667">
        <f t="shared" si="0"/>
        <v>42887</v>
      </c>
      <c r="E3" s="667">
        <f t="shared" si="0"/>
        <v>42917</v>
      </c>
      <c r="F3" s="667">
        <f t="shared" si="0"/>
        <v>42948</v>
      </c>
      <c r="G3" s="667">
        <f t="shared" si="0"/>
        <v>42979</v>
      </c>
      <c r="H3" s="667">
        <f t="shared" si="0"/>
        <v>43009</v>
      </c>
      <c r="I3" s="667">
        <f t="shared" si="0"/>
        <v>43040</v>
      </c>
      <c r="J3" s="667">
        <f t="shared" si="0"/>
        <v>43070</v>
      </c>
      <c r="K3" s="667">
        <f t="shared" si="0"/>
        <v>43101</v>
      </c>
      <c r="L3" s="667">
        <f t="shared" si="0"/>
        <v>43132</v>
      </c>
      <c r="M3" s="667">
        <f t="shared" si="0"/>
        <v>43160</v>
      </c>
      <c r="N3" s="667">
        <f t="shared" si="0"/>
        <v>43191</v>
      </c>
      <c r="O3" s="667">
        <f t="shared" si="0"/>
        <v>43221</v>
      </c>
      <c r="P3" s="667">
        <f t="shared" si="0"/>
        <v>43252</v>
      </c>
      <c r="Q3" s="667">
        <f t="shared" si="0"/>
        <v>43282</v>
      </c>
      <c r="R3" s="667">
        <f t="shared" si="0"/>
        <v>43313</v>
      </c>
      <c r="S3" s="667">
        <f t="shared" si="0"/>
        <v>43344</v>
      </c>
      <c r="T3" s="667">
        <f t="shared" si="0"/>
        <v>43374</v>
      </c>
      <c r="U3" s="667">
        <f t="shared" si="0"/>
        <v>43405</v>
      </c>
      <c r="V3" s="667">
        <f t="shared" si="0"/>
        <v>43435</v>
      </c>
      <c r="W3" s="667">
        <f t="shared" si="0"/>
        <v>43466</v>
      </c>
      <c r="X3" s="667">
        <f>EDATE(Y3,-1)</f>
        <v>43497</v>
      </c>
      <c r="Y3" s="667">
        <f>EDATE(Z3,-1)</f>
        <v>43525</v>
      </c>
      <c r="Z3" s="705">
        <f>推移!AA2</f>
        <v>43556</v>
      </c>
      <c r="AA3" s="183" t="s">
        <v>195</v>
      </c>
      <c r="AB3" s="184" t="s">
        <v>196</v>
      </c>
      <c r="AC3" s="187" t="s">
        <v>265</v>
      </c>
      <c r="AD3" s="188" t="s">
        <v>930</v>
      </c>
      <c r="AE3" s="185" t="s">
        <v>267</v>
      </c>
      <c r="AF3" s="188" t="s">
        <v>269</v>
      </c>
      <c r="AG3" s="186" t="s">
        <v>268</v>
      </c>
    </row>
    <row r="4" spans="1:33" ht="36" customHeight="1" x14ac:dyDescent="0.15">
      <c r="A4" t="s">
        <v>805</v>
      </c>
      <c r="B4" s="541" t="s">
        <v>489</v>
      </c>
      <c r="C4" s="1998">
        <f>IFERROR(GETPIVOTDATA("合計 / 売上",【ピボット】事業所収支!$A$3,"年月",C$3,"事業所",$A4),0)</f>
        <v>0</v>
      </c>
      <c r="D4" s="1998">
        <f>IFERROR(GETPIVOTDATA("合計 / 売上",【ピボット】事業所収支!$A$3,"年月",D$3,"事業所",$A4),0)</f>
        <v>0</v>
      </c>
      <c r="E4" s="1998">
        <f>IFERROR(GETPIVOTDATA("合計 / 売上",【ピボット】事業所収支!$A$3,"年月",E$3,"事業所",$A4),0)</f>
        <v>0</v>
      </c>
      <c r="F4" s="1998">
        <f>IFERROR(GETPIVOTDATA("合計 / 売上",【ピボット】事業所収支!$A$3,"年月",F$3,"事業所",$A4),0)</f>
        <v>0</v>
      </c>
      <c r="G4" s="1998">
        <f>IFERROR(GETPIVOTDATA("合計 / 売上",【ピボット】事業所収支!$A$3,"年月",G$3,"事業所",$A4),0)</f>
        <v>0</v>
      </c>
      <c r="H4" s="1998">
        <f>IFERROR(GETPIVOTDATA("合計 / 売上",【ピボット】事業所収支!$A$3,"年月",H$3,"事業所",$A4),0)</f>
        <v>140400</v>
      </c>
      <c r="I4" s="1998">
        <f>IFERROR(GETPIVOTDATA("合計 / 売上",【ピボット】事業所収支!$A$3,"年月",I$3,"事業所",$A4),0)</f>
        <v>0</v>
      </c>
      <c r="J4" s="1998">
        <f>IFERROR(GETPIVOTDATA("合計 / 売上",【ピボット】事業所収支!$A$3,"年月",J$3,"事業所",$A4),0)</f>
        <v>0</v>
      </c>
      <c r="K4" s="1998">
        <f>IFERROR(GETPIVOTDATA("合計 / 売上",【ピボット】事業所収支!$A$3,"年月",K$3,"事業所",$A4),0)</f>
        <v>0</v>
      </c>
      <c r="L4" s="1998">
        <f>IFERROR(GETPIVOTDATA("合計 / 売上",【ピボット】事業所収支!$A$3,"年月",L$3,"事業所",$A4),0)</f>
        <v>0</v>
      </c>
      <c r="M4" s="1998"/>
      <c r="N4" s="1998">
        <f>IFERROR(GETPIVOTDATA("合計 / 売上",【ピボット】事業所収支!$A$3,"年月",N$3,"事業所",$A4),0)</f>
        <v>0</v>
      </c>
      <c r="O4" s="1998">
        <f>IFERROR(GETPIVOTDATA("合計 / 売上",【ピボット】事業所収支!$A$3,"年月",O$3,"事業所",$A4),0)</f>
        <v>0</v>
      </c>
      <c r="P4" s="1998">
        <f>IFERROR(GETPIVOTDATA("合計 / 売上",【ピボット】事業所収支!$A$3,"年月",P$3,"事業所",$A4),0)</f>
        <v>0</v>
      </c>
      <c r="Q4" s="1998">
        <f>IFERROR(GETPIVOTDATA("合計 / 売上",【ピボット】事業所収支!$A$3,"年月",Q$3,"事業所",$A4),0)</f>
        <v>0</v>
      </c>
      <c r="R4" s="1998">
        <f>IFERROR(GETPIVOTDATA("合計 / 売上",【ピボット】事業所収支!$A$3,"年月",R$3,"事業所",$A4),0)</f>
        <v>0</v>
      </c>
      <c r="S4" s="1998">
        <f>IFERROR(GETPIVOTDATA("合計 / 売上",【ピボット】事業所収支!$A$3,"年月",S$3,"事業所",$A4),0)</f>
        <v>0</v>
      </c>
      <c r="T4" s="1998">
        <f>IFERROR(GETPIVOTDATA("合計 / 売上",【ピボット】事業所収支!$A$3,"年月",T$3,"事業所",$A4),0)</f>
        <v>0</v>
      </c>
      <c r="U4" s="1998">
        <f>IFERROR(GETPIVOTDATA("合計 / 売上",【ピボット】事業所収支!$A$3,"年月",U$3,"事業所",$A4),0)</f>
        <v>0</v>
      </c>
      <c r="V4" s="1998">
        <f>IFERROR(GETPIVOTDATA("合計 / 売上",【ピボット】事業所収支!$A$3,"年月",V$3,"事業所",$A4),0)</f>
        <v>0</v>
      </c>
      <c r="W4" s="1998">
        <f>IFERROR(GETPIVOTDATA("合計 / 売上",【ピボット】事業所収支!$A$3,"年月",W$3,"事業所",$A4),0)</f>
        <v>0</v>
      </c>
      <c r="X4" s="1998">
        <f>IFERROR(GETPIVOTDATA("合計 / 売上",【ピボット】事業所収支!$A$3,"年月",X$3,"事業所",$A4),0)</f>
        <v>0</v>
      </c>
      <c r="Y4" s="1998">
        <f>IFERROR(GETPIVOTDATA("合計 / 売上",【ピボット】事業所収支!$A$3,"年月",Y$3,"事業所",$A4),0)</f>
        <v>142560</v>
      </c>
      <c r="Z4" s="1998">
        <f>IFERROR(GETPIVOTDATA("合計 / 売上",【ピボット】事業所収支!$A$3,"年月",Z$3,"事業所",$A4),0)</f>
        <v>0</v>
      </c>
      <c r="AA4" s="560">
        <f>SUM(O4:Z4)</f>
        <v>142560</v>
      </c>
      <c r="AB4" s="561">
        <f>AVERAGE(O4:Z4)</f>
        <v>11880</v>
      </c>
      <c r="AC4" s="562">
        <f t="shared" ref="AC4:AC21" si="1">AVERAGE(C4:N4)</f>
        <v>12763.636363636364</v>
      </c>
      <c r="AD4" s="563">
        <f>AVERAGE(O4:T4)</f>
        <v>0</v>
      </c>
      <c r="AE4" s="563">
        <f>AVERAGE(U4:Z4)</f>
        <v>23760</v>
      </c>
      <c r="AF4" s="564">
        <f>AVERAGE(U4:W4)</f>
        <v>0</v>
      </c>
      <c r="AG4" s="565">
        <f>AVERAGE(X4:Z4)</f>
        <v>47520</v>
      </c>
    </row>
    <row r="5" spans="1:33" ht="36" customHeight="1" x14ac:dyDescent="0.15">
      <c r="A5" t="s">
        <v>3</v>
      </c>
      <c r="B5" s="311" t="s">
        <v>3</v>
      </c>
      <c r="C5" s="1999">
        <f>IFERROR(GETPIVOTDATA("合計 / 売上",【ピボット】事業所収支!$A$3,"年月",C$3,"事業所",$A5),0)</f>
        <v>10081728</v>
      </c>
      <c r="D5" s="1999">
        <f>IFERROR(GETPIVOTDATA("合計 / 売上",【ピボット】事業所収支!$A$3,"年月",D$3,"事業所",$A5),0)</f>
        <v>9528673</v>
      </c>
      <c r="E5" s="1999">
        <f>IFERROR(GETPIVOTDATA("合計 / 売上",【ピボット】事業所収支!$A$3,"年月",E$3,"事業所",$A5),0)</f>
        <v>10338554</v>
      </c>
      <c r="F5" s="1999">
        <f>IFERROR(GETPIVOTDATA("合計 / 売上",【ピボット】事業所収支!$A$3,"年月",F$3,"事業所",$A5),0)</f>
        <v>10004240</v>
      </c>
      <c r="G5" s="1999">
        <f>IFERROR(GETPIVOTDATA("合計 / 売上",【ピボット】事業所収支!$A$3,"年月",G$3,"事業所",$A5),0)</f>
        <v>10291903</v>
      </c>
      <c r="H5" s="1999">
        <f>IFERROR(GETPIVOTDATA("合計 / 売上",【ピボット】事業所収支!$A$3,"年月",H$3,"事業所",$A5),0)</f>
        <v>10634528</v>
      </c>
      <c r="I5" s="1999">
        <f>IFERROR(GETPIVOTDATA("合計 / 売上",【ピボット】事業所収支!$A$3,"年月",I$3,"事業所",$A5),0)</f>
        <v>9718481</v>
      </c>
      <c r="J5" s="1999">
        <f>IFERROR(GETPIVOTDATA("合計 / 売上",【ピボット】事業所収支!$A$3,"年月",J$3,"事業所",$A5),0)</f>
        <v>10007332</v>
      </c>
      <c r="K5" s="1999">
        <f>IFERROR(GETPIVOTDATA("合計 / 売上",【ピボット】事業所収支!$A$3,"年月",K$3,"事業所",$A5),0)</f>
        <v>10050857</v>
      </c>
      <c r="L5" s="1999">
        <f>IFERROR(GETPIVOTDATA("合計 / 売上",【ピボット】事業所収支!$A$3,"年月",L$3,"事業所",$A5),0)</f>
        <v>9647827</v>
      </c>
      <c r="M5" s="1999">
        <f>IFERROR(GETPIVOTDATA("合計 / 売上",【ピボット】事業所収支!$A$3,"年月",M$3,"事業所",$A5),0)</f>
        <v>10237581</v>
      </c>
      <c r="N5" s="1999">
        <f>IFERROR(GETPIVOTDATA("合計 / 売上",【ピボット】事業所収支!$A$3,"年月",N$3,"事業所",$A5),0)</f>
        <v>10301194</v>
      </c>
      <c r="O5" s="1999">
        <f>IFERROR(GETPIVOTDATA("合計 / 売上",【ピボット】事業所収支!$A$3,"年月",O$3,"事業所",$A5),0)</f>
        <v>10772827</v>
      </c>
      <c r="P5" s="1999">
        <f>IFERROR(GETPIVOTDATA("合計 / 売上",【ピボット】事業所収支!$A$3,"年月",P$3,"事業所",$A5),0)</f>
        <v>9835106</v>
      </c>
      <c r="Q5" s="1999">
        <f>IFERROR(GETPIVOTDATA("合計 / 売上",【ピボット】事業所収支!$A$3,"年月",Q$3,"事業所",$A5),0)</f>
        <v>11042771</v>
      </c>
      <c r="R5" s="1999">
        <f>IFERROR(GETPIVOTDATA("合計 / 売上",【ピボット】事業所収支!$A$3,"年月",R$3,"事業所",$A5),0)</f>
        <v>9842755</v>
      </c>
      <c r="S5" s="1999">
        <f>IFERROR(GETPIVOTDATA("合計 / 売上",【ピボット】事業所収支!$A$3,"年月",S$3,"事業所",$A5),0)</f>
        <v>11239510</v>
      </c>
      <c r="T5" s="1999">
        <f>IFERROR(GETPIVOTDATA("合計 / 売上",【ピボット】事業所収支!$A$3,"年月",T$3,"事業所",$A5),0)</f>
        <v>12511332</v>
      </c>
      <c r="U5" s="1999">
        <f>IFERROR(GETPIVOTDATA("合計 / 売上",【ピボット】事業所収支!$A$3,"年月",U$3,"事業所",$A5),0)</f>
        <v>12778671</v>
      </c>
      <c r="V5" s="1999">
        <f>IFERROR(GETPIVOTDATA("合計 / 売上",【ピボット】事業所収支!$A$3,"年月",V$3,"事業所",$A5),0)</f>
        <v>12163091</v>
      </c>
      <c r="W5" s="1999">
        <f>IFERROR(GETPIVOTDATA("合計 / 売上",【ピボット】事業所収支!$A$3,"年月",W$3,"事業所",$A5),0)</f>
        <v>12668826</v>
      </c>
      <c r="X5" s="1999">
        <f>IFERROR(GETPIVOTDATA("合計 / 売上",【ピボット】事業所収支!$A$3,"年月",X$3,"事業所",$A5),0)</f>
        <v>11458207</v>
      </c>
      <c r="Y5" s="1999">
        <f>IFERROR(GETPIVOTDATA("合計 / 売上",【ピボット】事業所収支!$A$3,"年月",Y$3,"事業所",$A5),0)</f>
        <v>12821396</v>
      </c>
      <c r="Z5" s="1999">
        <f>IFERROR(GETPIVOTDATA("合計 / 売上",【ピボット】事業所収支!$A$3,"年月",Z$3,"事業所",$A5),0)</f>
        <v>12901588</v>
      </c>
      <c r="AA5" s="566">
        <f>SUM(O5:Z5)</f>
        <v>140036080</v>
      </c>
      <c r="AB5" s="567">
        <f t="shared" ref="AB5:AB21" si="2">AVERAGE(O5:Z5)</f>
        <v>11669673.333333334</v>
      </c>
      <c r="AC5" s="568">
        <f t="shared" si="1"/>
        <v>10070241.5</v>
      </c>
      <c r="AD5" s="569">
        <f t="shared" ref="AD5:AD21" si="3">AVERAGE(O5:T5)</f>
        <v>10874050.166666666</v>
      </c>
      <c r="AE5" s="569">
        <f t="shared" ref="AE5:AE21" si="4">AVERAGE(U5:Z5)</f>
        <v>12465296.5</v>
      </c>
      <c r="AF5" s="570">
        <f t="shared" ref="AF5:AF21" si="5">AVERAGE(U5:W5)</f>
        <v>12536862.666666666</v>
      </c>
      <c r="AG5" s="571">
        <f t="shared" ref="AG5:AG21" si="6">AVERAGE(X5:Z5)</f>
        <v>12393730.333333334</v>
      </c>
    </row>
    <row r="6" spans="1:33" ht="36" customHeight="1" x14ac:dyDescent="0.15">
      <c r="A6" t="s">
        <v>2</v>
      </c>
      <c r="B6" s="311" t="s">
        <v>2</v>
      </c>
      <c r="C6" s="1999">
        <f>IFERROR(GETPIVOTDATA("合計 / 売上",【ピボット】事業所収支!$A$3,"年月",C$3,"事業所",$A6),0)</f>
        <v>5342987</v>
      </c>
      <c r="D6" s="1999">
        <f>IFERROR(GETPIVOTDATA("合計 / 売上",【ピボット】事業所収支!$A$3,"年月",D$3,"事業所",$A6),0)</f>
        <v>5683733</v>
      </c>
      <c r="E6" s="1999">
        <f>IFERROR(GETPIVOTDATA("合計 / 売上",【ピボット】事業所収支!$A$3,"年月",E$3,"事業所",$A6),0)</f>
        <v>5487698</v>
      </c>
      <c r="F6" s="1999">
        <f>IFERROR(GETPIVOTDATA("合計 / 売上",【ピボット】事業所収支!$A$3,"年月",F$3,"事業所",$A6),0)</f>
        <v>5643961</v>
      </c>
      <c r="G6" s="1999">
        <f>IFERROR(GETPIVOTDATA("合計 / 売上",【ピボット】事業所収支!$A$3,"年月",G$3,"事業所",$A6),0)</f>
        <v>6023613</v>
      </c>
      <c r="H6" s="1999">
        <f>IFERROR(GETPIVOTDATA("合計 / 売上",【ピボット】事業所収支!$A$3,"年月",H$3,"事業所",$A6),0)</f>
        <v>6290993</v>
      </c>
      <c r="I6" s="1999">
        <f>IFERROR(GETPIVOTDATA("合計 / 売上",【ピボット】事業所収支!$A$3,"年月",I$3,"事業所",$A6),0)</f>
        <v>5954408</v>
      </c>
      <c r="J6" s="1999">
        <f>IFERROR(GETPIVOTDATA("合計 / 売上",【ピボット】事業所収支!$A$3,"年月",J$3,"事業所",$A6),0)</f>
        <v>5963920</v>
      </c>
      <c r="K6" s="1999">
        <f>IFERROR(GETPIVOTDATA("合計 / 売上",【ピボット】事業所収支!$A$3,"年月",K$3,"事業所",$A6),0)</f>
        <v>5489569</v>
      </c>
      <c r="L6" s="1999">
        <f>IFERROR(GETPIVOTDATA("合計 / 売上",【ピボット】事業所収支!$A$3,"年月",L$3,"事業所",$A6),0)</f>
        <v>5383737</v>
      </c>
      <c r="M6" s="1999">
        <f>IFERROR(GETPIVOTDATA("合計 / 売上",【ピボット】事業所収支!$A$3,"年月",M$3,"事業所",$A6),0)</f>
        <v>5385437</v>
      </c>
      <c r="N6" s="1999">
        <f>IFERROR(GETPIVOTDATA("合計 / 売上",【ピボット】事業所収支!$A$3,"年月",N$3,"事業所",$A6),0)</f>
        <v>7729590</v>
      </c>
      <c r="O6" s="1999">
        <f>IFERROR(GETPIVOTDATA("合計 / 売上",【ピボット】事業所収支!$A$3,"年月",O$3,"事業所",$A6),0)</f>
        <v>6731026</v>
      </c>
      <c r="P6" s="1999">
        <f>IFERROR(GETPIVOTDATA("合計 / 売上",【ピボット】事業所収支!$A$3,"年月",P$3,"事業所",$A6),0)</f>
        <v>6530234</v>
      </c>
      <c r="Q6" s="1999">
        <f>IFERROR(GETPIVOTDATA("合計 / 売上",【ピボット】事業所収支!$A$3,"年月",Q$3,"事業所",$A6),0)</f>
        <v>6075758</v>
      </c>
      <c r="R6" s="1999">
        <f>IFERROR(GETPIVOTDATA("合計 / 売上",【ピボット】事業所収支!$A$3,"年月",R$3,"事業所",$A6),0)</f>
        <v>6170804</v>
      </c>
      <c r="S6" s="1999">
        <f>IFERROR(GETPIVOTDATA("合計 / 売上",【ピボット】事業所収支!$A$3,"年月",S$3,"事業所",$A6),0)</f>
        <v>6157056</v>
      </c>
      <c r="T6" s="1999">
        <f>IFERROR(GETPIVOTDATA("合計 / 売上",【ピボット】事業所収支!$A$3,"年月",T$3,"事業所",$A6),0)</f>
        <v>7557882</v>
      </c>
      <c r="U6" s="1999">
        <f>IFERROR(GETPIVOTDATA("合計 / 売上",【ピボット】事業所収支!$A$3,"年月",U$3,"事業所",$A6),0)</f>
        <v>7285298</v>
      </c>
      <c r="V6" s="1999">
        <f>IFERROR(GETPIVOTDATA("合計 / 売上",【ピボット】事業所収支!$A$3,"年月",V$3,"事業所",$A6),0)</f>
        <v>6678253</v>
      </c>
      <c r="W6" s="1999">
        <f>IFERROR(GETPIVOTDATA("合計 / 売上",【ピボット】事業所収支!$A$3,"年月",W$3,"事業所",$A6),0)</f>
        <v>5940817</v>
      </c>
      <c r="X6" s="1999">
        <f>IFERROR(GETPIVOTDATA("合計 / 売上",【ピボット】事業所収支!$A$3,"年月",X$3,"事業所",$A6),0)</f>
        <v>6270597</v>
      </c>
      <c r="Y6" s="1999">
        <f>IFERROR(GETPIVOTDATA("合計 / 売上",【ピボット】事業所収支!$A$3,"年月",Y$3,"事業所",$A6),0)</f>
        <v>5457771</v>
      </c>
      <c r="Z6" s="1999">
        <f>IFERROR(GETPIVOTDATA("合計 / 売上",【ピボット】事業所収支!$A$3,"年月",Z$3,"事業所",$A6),0)</f>
        <v>6262229</v>
      </c>
      <c r="AA6" s="566">
        <f t="shared" ref="AA6:AA21" si="7">SUM(O6:Z6)</f>
        <v>77117725</v>
      </c>
      <c r="AB6" s="567">
        <f t="shared" si="2"/>
        <v>6426477.083333333</v>
      </c>
      <c r="AC6" s="568">
        <f t="shared" si="1"/>
        <v>5864970.5</v>
      </c>
      <c r="AD6" s="569">
        <f t="shared" si="3"/>
        <v>6537126.666666667</v>
      </c>
      <c r="AE6" s="569">
        <f t="shared" si="4"/>
        <v>6315827.5</v>
      </c>
      <c r="AF6" s="570">
        <f t="shared" si="5"/>
        <v>6634789.333333333</v>
      </c>
      <c r="AG6" s="571">
        <f t="shared" si="6"/>
        <v>5996865.666666667</v>
      </c>
    </row>
    <row r="7" spans="1:33" ht="36" customHeight="1" x14ac:dyDescent="0.15">
      <c r="A7" t="s">
        <v>66</v>
      </c>
      <c r="B7" s="311" t="s">
        <v>92</v>
      </c>
      <c r="C7" s="1999">
        <f>IFERROR(GETPIVOTDATA("合計 / 売上",【ピボット】事業所収支!$A$3,"年月",C$3,"事業所",$A7),0)</f>
        <v>5374919</v>
      </c>
      <c r="D7" s="1999">
        <f>IFERROR(GETPIVOTDATA("合計 / 売上",【ピボット】事業所収支!$A$3,"年月",D$3,"事業所",$A7),0)</f>
        <v>5697582</v>
      </c>
      <c r="E7" s="1999">
        <f>IFERROR(GETPIVOTDATA("合計 / 売上",【ピボット】事業所収支!$A$3,"年月",E$3,"事業所",$A7),0)</f>
        <v>5897081</v>
      </c>
      <c r="F7" s="1999">
        <f>IFERROR(GETPIVOTDATA("合計 / 売上",【ピボット】事業所収支!$A$3,"年月",F$3,"事業所",$A7),0)</f>
        <v>5788645</v>
      </c>
      <c r="G7" s="1999">
        <f>IFERROR(GETPIVOTDATA("合計 / 売上",【ピボット】事業所収支!$A$3,"年月",G$3,"事業所",$A7),0)</f>
        <v>5817896</v>
      </c>
      <c r="H7" s="1999">
        <f>IFERROR(GETPIVOTDATA("合計 / 売上",【ピボット】事業所収支!$A$3,"年月",H$3,"事業所",$A7),0)</f>
        <v>5787410</v>
      </c>
      <c r="I7" s="1999">
        <f>IFERROR(GETPIVOTDATA("合計 / 売上",【ピボット】事業所収支!$A$3,"年月",I$3,"事業所",$A7),0)</f>
        <v>5899891</v>
      </c>
      <c r="J7" s="1999">
        <f>IFERROR(GETPIVOTDATA("合計 / 売上",【ピボット】事業所収支!$A$3,"年月",J$3,"事業所",$A7),0)</f>
        <v>5629984</v>
      </c>
      <c r="K7" s="1999">
        <f>IFERROR(GETPIVOTDATA("合計 / 売上",【ピボット】事業所収支!$A$3,"年月",K$3,"事業所",$A7),0)</f>
        <v>6168362</v>
      </c>
      <c r="L7" s="1999">
        <f>IFERROR(GETPIVOTDATA("合計 / 売上",【ピボット】事業所収支!$A$3,"年月",L$3,"事業所",$A7),0)</f>
        <v>5709957</v>
      </c>
      <c r="M7" s="1999">
        <f>IFERROR(GETPIVOTDATA("合計 / 売上",【ピボット】事業所収支!$A$3,"年月",M$3,"事業所",$A7),0)</f>
        <v>5793244</v>
      </c>
      <c r="N7" s="1999">
        <f>IFERROR(GETPIVOTDATA("合計 / 売上",【ピボット】事業所収支!$A$3,"年月",N$3,"事業所",$A7),0)</f>
        <v>6587828</v>
      </c>
      <c r="O7" s="1999">
        <f>IFERROR(GETPIVOTDATA("合計 / 売上",【ピボット】事業所収支!$A$3,"年月",O$3,"事業所",$A7),0)</f>
        <v>6479560</v>
      </c>
      <c r="P7" s="1999">
        <f>IFERROR(GETPIVOTDATA("合計 / 売上",【ピボット】事業所収支!$A$3,"年月",P$3,"事業所",$A7),0)</f>
        <v>6806472</v>
      </c>
      <c r="Q7" s="1999">
        <f>IFERROR(GETPIVOTDATA("合計 / 売上",【ピボット】事業所収支!$A$3,"年月",Q$3,"事業所",$A7),0)</f>
        <v>6915528</v>
      </c>
      <c r="R7" s="1999">
        <f>IFERROR(GETPIVOTDATA("合計 / 売上",【ピボット】事業所収支!$A$3,"年月",R$3,"事業所",$A7),0)</f>
        <v>7519354</v>
      </c>
      <c r="S7" s="1999">
        <f>IFERROR(GETPIVOTDATA("合計 / 売上",【ピボット】事業所収支!$A$3,"年月",S$3,"事業所",$A7),0)</f>
        <v>6774361</v>
      </c>
      <c r="T7" s="1999">
        <f>IFERROR(GETPIVOTDATA("合計 / 売上",【ピボット】事業所収支!$A$3,"年月",T$3,"事業所",$A7),0)</f>
        <v>7419604</v>
      </c>
      <c r="U7" s="1999">
        <f>IFERROR(GETPIVOTDATA("合計 / 売上",【ピボット】事業所収支!$A$3,"年月",U$3,"事業所",$A7),0)</f>
        <v>7099035</v>
      </c>
      <c r="V7" s="1999">
        <f>IFERROR(GETPIVOTDATA("合計 / 売上",【ピボット】事業所収支!$A$3,"年月",V$3,"事業所",$A7),0)</f>
        <v>7065580</v>
      </c>
      <c r="W7" s="1999">
        <f>IFERROR(GETPIVOTDATA("合計 / 売上",【ピボット】事業所収支!$A$3,"年月",W$3,"事業所",$A7),0)</f>
        <v>7041908</v>
      </c>
      <c r="X7" s="1999">
        <f>IFERROR(GETPIVOTDATA("合計 / 売上",【ピボット】事業所収支!$A$3,"年月",X$3,"事業所",$A7),0)</f>
        <v>6369053</v>
      </c>
      <c r="Y7" s="1999">
        <f>IFERROR(GETPIVOTDATA("合計 / 売上",【ピボット】事業所収支!$A$3,"年月",Y$3,"事業所",$A7),0)</f>
        <v>6979599</v>
      </c>
      <c r="Z7" s="1999">
        <f>IFERROR(GETPIVOTDATA("合計 / 売上",【ピボット】事業所収支!$A$3,"年月",Z$3,"事業所",$A7),0)</f>
        <v>7110420</v>
      </c>
      <c r="AA7" s="566">
        <f t="shared" si="7"/>
        <v>83580474</v>
      </c>
      <c r="AB7" s="567">
        <f t="shared" si="2"/>
        <v>6965039.5</v>
      </c>
      <c r="AC7" s="568">
        <f t="shared" si="1"/>
        <v>5846066.583333333</v>
      </c>
      <c r="AD7" s="569">
        <f t="shared" si="3"/>
        <v>6985813.166666667</v>
      </c>
      <c r="AE7" s="569">
        <f t="shared" si="4"/>
        <v>6944265.833333333</v>
      </c>
      <c r="AF7" s="570">
        <f t="shared" si="5"/>
        <v>7068841</v>
      </c>
      <c r="AG7" s="571">
        <f t="shared" si="6"/>
        <v>6819690.666666667</v>
      </c>
    </row>
    <row r="8" spans="1:33" ht="36" customHeight="1" x14ac:dyDescent="0.15">
      <c r="A8" t="s">
        <v>978</v>
      </c>
      <c r="B8" s="311" t="s">
        <v>977</v>
      </c>
      <c r="C8" s="1999">
        <f>IFERROR(GETPIVOTDATA("合計 / 売上",【ピボット】事業所収支!$A$3,"年月",C$3,"事業所",$A8),0)</f>
        <v>0</v>
      </c>
      <c r="D8" s="1999">
        <f>IFERROR(GETPIVOTDATA("合計 / 売上",【ピボット】事業所収支!$A$3,"年月",D$3,"事業所",$A8),0)</f>
        <v>0</v>
      </c>
      <c r="E8" s="1999">
        <f>IFERROR(GETPIVOTDATA("合計 / 売上",【ピボット】事業所収支!$A$3,"年月",E$3,"事業所",$A8),0)</f>
        <v>0</v>
      </c>
      <c r="F8" s="1999">
        <f>IFERROR(GETPIVOTDATA("合計 / 売上",【ピボット】事業所収支!$A$3,"年月",F$3,"事業所",$A8),0)</f>
        <v>0</v>
      </c>
      <c r="G8" s="1999">
        <f>IFERROR(GETPIVOTDATA("合計 / 売上",【ピボット】事業所収支!$A$3,"年月",G$3,"事業所",$A8),0)</f>
        <v>0</v>
      </c>
      <c r="H8" s="1999">
        <f>IFERROR(GETPIVOTDATA("合計 / 売上",【ピボット】事業所収支!$A$3,"年月",H$3,"事業所",$A8),0)</f>
        <v>0</v>
      </c>
      <c r="I8" s="1999">
        <f>IFERROR(GETPIVOTDATA("合計 / 売上",【ピボット】事業所収支!$A$3,"年月",I$3,"事業所",$A8),0)</f>
        <v>0</v>
      </c>
      <c r="J8" s="1999">
        <f>IFERROR(GETPIVOTDATA("合計 / 売上",【ピボット】事業所収支!$A$3,"年月",J$3,"事業所",$A8),0)</f>
        <v>0</v>
      </c>
      <c r="K8" s="1999">
        <f>IFERROR(GETPIVOTDATA("合計 / 売上",【ピボット】事業所収支!$A$3,"年月",K$3,"事業所",$A8),0)</f>
        <v>0</v>
      </c>
      <c r="L8" s="1999">
        <f>IFERROR(GETPIVOTDATA("合計 / 売上",【ピボット】事業所収支!$A$3,"年月",L$3,"事業所",$A8),0)</f>
        <v>0</v>
      </c>
      <c r="M8" s="1999">
        <f>IFERROR(GETPIVOTDATA("合計 / 売上",【ピボット】事業所収支!$A$3,"年月",M$3,"事業所",$A8),0)</f>
        <v>0</v>
      </c>
      <c r="N8" s="1999">
        <f>IFERROR(GETPIVOTDATA("合計 / 売上",【ピボット】事業所収支!$A$3,"年月",N$3,"事業所",$A8),0)</f>
        <v>0</v>
      </c>
      <c r="O8" s="1999">
        <f>IFERROR(GETPIVOTDATA("合計 / 売上",【ピボット】事業所収支!$A$3,"年月",O$3,"事業所",$A8),0)</f>
        <v>0</v>
      </c>
      <c r="P8" s="1999">
        <f>IFERROR(GETPIVOTDATA("合計 / 売上",【ピボット】事業所収支!$A$3,"年月",P$3,"事業所",$A8),0)</f>
        <v>100885</v>
      </c>
      <c r="Q8" s="1999">
        <f>IFERROR(GETPIVOTDATA("合計 / 売上",【ピボット】事業所収支!$A$3,"年月",Q$3,"事業所",$A8),0)</f>
        <v>663080</v>
      </c>
      <c r="R8" s="1999">
        <f>IFERROR(GETPIVOTDATA("合計 / 売上",【ピボット】事業所収支!$A$3,"年月",R$3,"事業所",$A8),0)</f>
        <v>624826</v>
      </c>
      <c r="S8" s="1999">
        <f>IFERROR(GETPIVOTDATA("合計 / 売上",【ピボット】事業所収支!$A$3,"年月",S$3,"事業所",$A8),0)</f>
        <v>1193278</v>
      </c>
      <c r="T8" s="1999">
        <f>IFERROR(GETPIVOTDATA("合計 / 売上",【ピボット】事業所収支!$A$3,"年月",T$3,"事業所",$A8),0)</f>
        <v>1631546</v>
      </c>
      <c r="U8" s="1999">
        <f>IFERROR(GETPIVOTDATA("合計 / 売上",【ピボット】事業所収支!$A$3,"年月",U$3,"事業所",$A8),0)</f>
        <v>1296114</v>
      </c>
      <c r="V8" s="1999">
        <f>IFERROR(GETPIVOTDATA("合計 / 売上",【ピボット】事業所収支!$A$3,"年月",V$3,"事業所",$A8),0)</f>
        <v>1520846</v>
      </c>
      <c r="W8" s="1999">
        <f>IFERROR(GETPIVOTDATA("合計 / 売上",【ピボット】事業所収支!$A$3,"年月",W$3,"事業所",$A8),0)</f>
        <v>1160774</v>
      </c>
      <c r="X8" s="1999">
        <f>IFERROR(GETPIVOTDATA("合計 / 売上",【ピボット】事業所収支!$A$3,"年月",X$3,"事業所",$A8),0)</f>
        <v>903949</v>
      </c>
      <c r="Y8" s="1999">
        <f>IFERROR(GETPIVOTDATA("合計 / 売上",【ピボット】事業所収支!$A$3,"年月",Y$3,"事業所",$A8),0)</f>
        <v>0</v>
      </c>
      <c r="Z8" s="1999">
        <f>IFERROR(GETPIVOTDATA("合計 / 売上",【ピボット】事業所収支!$A$3,"年月",Z$3,"事業所",$A8),0)</f>
        <v>13148</v>
      </c>
      <c r="AA8" s="566">
        <f>SUM(O8:Z8)</f>
        <v>9108446</v>
      </c>
      <c r="AB8" s="567">
        <f>AVERAGE(O8:Z8)</f>
        <v>759037.16666666663</v>
      </c>
      <c r="AC8" s="568">
        <f>AVERAGE(C8:N8)</f>
        <v>0</v>
      </c>
      <c r="AD8" s="569">
        <f>AVERAGE(O8:T8)</f>
        <v>702269.16666666663</v>
      </c>
      <c r="AE8" s="569">
        <f>AVERAGE(U8:Z8)</f>
        <v>815805.16666666663</v>
      </c>
      <c r="AF8" s="570">
        <f>AVERAGE(U8:W8)</f>
        <v>1325911.3333333333</v>
      </c>
      <c r="AG8" s="571">
        <f>AVERAGE(X8:Z8)</f>
        <v>305699</v>
      </c>
    </row>
    <row r="9" spans="1:33" ht="36" customHeight="1" x14ac:dyDescent="0.15">
      <c r="A9" t="s">
        <v>1211</v>
      </c>
      <c r="B9" s="311" t="s">
        <v>1212</v>
      </c>
      <c r="C9" s="1999">
        <f>IFERROR(GETPIVOTDATA("合計 / 売上",【ピボット】事業所収支!$A$3,"年月",C$3,"事業所",$A9),0)</f>
        <v>0</v>
      </c>
      <c r="D9" s="1999">
        <f>IFERROR(GETPIVOTDATA("合計 / 売上",【ピボット】事業所収支!$A$3,"年月",D$3,"事業所",$A9),0)</f>
        <v>0</v>
      </c>
      <c r="E9" s="1999">
        <f>IFERROR(GETPIVOTDATA("合計 / 売上",【ピボット】事業所収支!$A$3,"年月",E$3,"事業所",$A9),0)</f>
        <v>0</v>
      </c>
      <c r="F9" s="1999">
        <f>IFERROR(GETPIVOTDATA("合計 / 売上",【ピボット】事業所収支!$A$3,"年月",F$3,"事業所",$A9),0)</f>
        <v>0</v>
      </c>
      <c r="G9" s="1999">
        <f>IFERROR(GETPIVOTDATA("合計 / 売上",【ピボット】事業所収支!$A$3,"年月",G$3,"事業所",$A9),0)</f>
        <v>0</v>
      </c>
      <c r="H9" s="1999">
        <f>IFERROR(GETPIVOTDATA("合計 / 売上",【ピボット】事業所収支!$A$3,"年月",H$3,"事業所",$A9),0)</f>
        <v>0</v>
      </c>
      <c r="I9" s="1999">
        <f>IFERROR(GETPIVOTDATA("合計 / 売上",【ピボット】事業所収支!$A$3,"年月",I$3,"事業所",$A9),0)</f>
        <v>0</v>
      </c>
      <c r="J9" s="1999">
        <f>IFERROR(GETPIVOTDATA("合計 / 売上",【ピボット】事業所収支!$A$3,"年月",J$3,"事業所",$A9),0)</f>
        <v>0</v>
      </c>
      <c r="K9" s="1999">
        <f>IFERROR(GETPIVOTDATA("合計 / 売上",【ピボット】事業所収支!$A$3,"年月",K$3,"事業所",$A9),0)</f>
        <v>0</v>
      </c>
      <c r="L9" s="1999">
        <f>IFERROR(GETPIVOTDATA("合計 / 売上",【ピボット】事業所収支!$A$3,"年月",L$3,"事業所",$A9),0)</f>
        <v>0</v>
      </c>
      <c r="M9" s="1999">
        <f>IFERROR(GETPIVOTDATA("合計 / 売上",【ピボット】事業所収支!$A$3,"年月",M$3,"事業所",$A9),0)</f>
        <v>0</v>
      </c>
      <c r="N9" s="1999">
        <f>IFERROR(GETPIVOTDATA("合計 / 売上",【ピボット】事業所収支!$A$3,"年月",N$3,"事業所",$A9),0)</f>
        <v>0</v>
      </c>
      <c r="O9" s="1999">
        <f>IFERROR(GETPIVOTDATA("合計 / 売上",【ピボット】事業所収支!$A$3,"年月",O$3,"事業所",$A9),0)</f>
        <v>0</v>
      </c>
      <c r="P9" s="1999">
        <f>IFERROR(GETPIVOTDATA("合計 / 売上",【ピボット】事業所収支!$A$3,"年月",P$3,"事業所",$A9),0)</f>
        <v>0</v>
      </c>
      <c r="Q9" s="1999">
        <f>IFERROR(GETPIVOTDATA("合計 / 売上",【ピボット】事業所収支!$A$3,"年月",Q$3,"事業所",$A9),0)</f>
        <v>0</v>
      </c>
      <c r="R9" s="1999">
        <f>IFERROR(GETPIVOTDATA("合計 / 売上",【ピボット】事業所収支!$A$3,"年月",R$3,"事業所",$A9),0)</f>
        <v>0</v>
      </c>
      <c r="S9" s="1999">
        <f>IFERROR(GETPIVOTDATA("合計 / 売上",【ピボット】事業所収支!$A$3,"年月",S$3,"事業所",$A9),0)</f>
        <v>0</v>
      </c>
      <c r="T9" s="1999">
        <f>IFERROR(GETPIVOTDATA("合計 / 売上",【ピボット】事業所収支!$A$3,"年月",T$3,"事業所",$A9),0)</f>
        <v>234284</v>
      </c>
      <c r="U9" s="1999">
        <f>IFERROR(GETPIVOTDATA("合計 / 売上",【ピボット】事業所収支!$A$3,"年月",U$3,"事業所",$A9),0)</f>
        <v>485638</v>
      </c>
      <c r="V9" s="1999">
        <f>IFERROR(GETPIVOTDATA("合計 / 売上",【ピボット】事業所収支!$A$3,"年月",V$3,"事業所",$A9),0)</f>
        <v>701720</v>
      </c>
      <c r="W9" s="1999">
        <f>IFERROR(GETPIVOTDATA("合計 / 売上",【ピボット】事業所収支!$A$3,"年月",W$3,"事業所",$A9),0)</f>
        <v>810680</v>
      </c>
      <c r="X9" s="1999">
        <f>IFERROR(GETPIVOTDATA("合計 / 売上",【ピボット】事業所収支!$A$3,"年月",X$3,"事業所",$A9),0)</f>
        <v>1060746</v>
      </c>
      <c r="Y9" s="1999">
        <f>IFERROR(GETPIVOTDATA("合計 / 売上",【ピボット】事業所収支!$A$3,"年月",Y$3,"事業所",$A9),0)</f>
        <v>1438607</v>
      </c>
      <c r="Z9" s="1999">
        <f>IFERROR(GETPIVOTDATA("合計 / 売上",【ピボット】事業所収支!$A$3,"年月",Z$3,"事業所",$A9),0)</f>
        <v>1905194</v>
      </c>
      <c r="AA9" s="566">
        <f>SUM(O9:Z9)</f>
        <v>6636869</v>
      </c>
      <c r="AB9" s="567">
        <f>AVERAGE(O9:Z9)</f>
        <v>553072.41666666663</v>
      </c>
      <c r="AC9" s="568">
        <f>AVERAGE(C9:N9)</f>
        <v>0</v>
      </c>
      <c r="AD9" s="569">
        <f>AVERAGE(O9:T9)</f>
        <v>39047.333333333336</v>
      </c>
      <c r="AE9" s="569">
        <f>AVERAGE(U9:Z9)</f>
        <v>1067097.5</v>
      </c>
      <c r="AF9" s="570">
        <f>AVERAGE(U9:W9)</f>
        <v>666012.66666666663</v>
      </c>
      <c r="AG9" s="571">
        <f>AVERAGE(X9:Z9)</f>
        <v>1468182.3333333333</v>
      </c>
    </row>
    <row r="10" spans="1:33" ht="36" customHeight="1" x14ac:dyDescent="0.15">
      <c r="A10" t="s">
        <v>358</v>
      </c>
      <c r="B10" s="311" t="s">
        <v>358</v>
      </c>
      <c r="C10" s="1999">
        <f>IFERROR(GETPIVOTDATA("合計 / 売上",【ピボット】事業所収支!$A$3,"年月",C$3,"事業所",$A10),0)</f>
        <v>3549708</v>
      </c>
      <c r="D10" s="1999">
        <f>IFERROR(GETPIVOTDATA("合計 / 売上",【ピボット】事業所収支!$A$3,"年月",D$3,"事業所",$A10),0)</f>
        <v>3597785</v>
      </c>
      <c r="E10" s="1999">
        <f>IFERROR(GETPIVOTDATA("合計 / 売上",【ピボット】事業所収支!$A$3,"年月",E$3,"事業所",$A10),0)</f>
        <v>3616139</v>
      </c>
      <c r="F10" s="1999">
        <f>IFERROR(GETPIVOTDATA("合計 / 売上",【ピボット】事業所収支!$A$3,"年月",F$3,"事業所",$A10),0)</f>
        <v>3174804</v>
      </c>
      <c r="G10" s="1999">
        <f>IFERROR(GETPIVOTDATA("合計 / 売上",【ピボット】事業所収支!$A$3,"年月",G$3,"事業所",$A10),0)</f>
        <v>3130698</v>
      </c>
      <c r="H10" s="1999">
        <f>IFERROR(GETPIVOTDATA("合計 / 売上",【ピボット】事業所収支!$A$3,"年月",H$3,"事業所",$A10),0)</f>
        <v>3270391</v>
      </c>
      <c r="I10" s="1999">
        <f>IFERROR(GETPIVOTDATA("合計 / 売上",【ピボット】事業所収支!$A$3,"年月",I$3,"事業所",$A10),0)</f>
        <v>3507733</v>
      </c>
      <c r="J10" s="1999">
        <f>IFERROR(GETPIVOTDATA("合計 / 売上",【ピボット】事業所収支!$A$3,"年月",J$3,"事業所",$A10),0)</f>
        <v>3292348</v>
      </c>
      <c r="K10" s="1999">
        <f>IFERROR(GETPIVOTDATA("合計 / 売上",【ピボット】事業所収支!$A$3,"年月",K$3,"事業所",$A10),0)</f>
        <v>3313516</v>
      </c>
      <c r="L10" s="1999">
        <f>IFERROR(GETPIVOTDATA("合計 / 売上",【ピボット】事業所収支!$A$3,"年月",L$3,"事業所",$A10),0)</f>
        <v>3497339</v>
      </c>
      <c r="M10" s="1999">
        <f>IFERROR(GETPIVOTDATA("合計 / 売上",【ピボット】事業所収支!$A$3,"年月",M$3,"事業所",$A10),0)</f>
        <v>3458623</v>
      </c>
      <c r="N10" s="1999">
        <f>IFERROR(GETPIVOTDATA("合計 / 売上",【ピボット】事業所収支!$A$3,"年月",N$3,"事業所",$A10),0)</f>
        <v>4706520</v>
      </c>
      <c r="O10" s="1999">
        <f>IFERROR(GETPIVOTDATA("合計 / 売上",【ピボット】事業所収支!$A$3,"年月",O$3,"事業所",$A10),0)</f>
        <v>4419633</v>
      </c>
      <c r="P10" s="1999">
        <f>IFERROR(GETPIVOTDATA("合計 / 売上",【ピボット】事業所収支!$A$3,"年月",P$3,"事業所",$A10),0)</f>
        <v>4146272</v>
      </c>
      <c r="Q10" s="1999">
        <f>IFERROR(GETPIVOTDATA("合計 / 売上",【ピボット】事業所収支!$A$3,"年月",Q$3,"事業所",$A10),0)</f>
        <v>4468494</v>
      </c>
      <c r="R10" s="1999">
        <f>IFERROR(GETPIVOTDATA("合計 / 売上",【ピボット】事業所収支!$A$3,"年月",R$3,"事業所",$A10),0)</f>
        <v>4494230</v>
      </c>
      <c r="S10" s="1999">
        <f>IFERROR(GETPIVOTDATA("合計 / 売上",【ピボット】事業所収支!$A$3,"年月",S$3,"事業所",$A10),0)</f>
        <v>4417151</v>
      </c>
      <c r="T10" s="1999">
        <f>IFERROR(GETPIVOTDATA("合計 / 売上",【ピボット】事業所収支!$A$3,"年月",T$3,"事業所",$A10),0)</f>
        <v>4442200</v>
      </c>
      <c r="U10" s="1999">
        <f>IFERROR(GETPIVOTDATA("合計 / 売上",【ピボット】事業所収支!$A$3,"年月",U$3,"事業所",$A10),0)</f>
        <v>4833081</v>
      </c>
      <c r="V10" s="1999">
        <f>IFERROR(GETPIVOTDATA("合計 / 売上",【ピボット】事業所収支!$A$3,"年月",V$3,"事業所",$A10),0)</f>
        <v>4422644</v>
      </c>
      <c r="W10" s="1999">
        <f>IFERROR(GETPIVOTDATA("合計 / 売上",【ピボット】事業所収支!$A$3,"年月",W$3,"事業所",$A10),0)</f>
        <v>4120917</v>
      </c>
      <c r="X10" s="1999">
        <f>IFERROR(GETPIVOTDATA("合計 / 売上",【ピボット】事業所収支!$A$3,"年月",X$3,"事業所",$A10),0)</f>
        <v>4475893</v>
      </c>
      <c r="Y10" s="1999">
        <f>IFERROR(GETPIVOTDATA("合計 / 売上",【ピボット】事業所収支!$A$3,"年月",Y$3,"事業所",$A10),0)</f>
        <v>4931183</v>
      </c>
      <c r="Z10" s="1999">
        <f>IFERROR(GETPIVOTDATA("合計 / 売上",【ピボット】事業所収支!$A$3,"年月",Z$3,"事業所",$A10),0)</f>
        <v>4425975</v>
      </c>
      <c r="AA10" s="566">
        <f t="shared" si="7"/>
        <v>53597673</v>
      </c>
      <c r="AB10" s="567">
        <f t="shared" si="2"/>
        <v>4466472.75</v>
      </c>
      <c r="AC10" s="568">
        <f t="shared" si="1"/>
        <v>3509633.6666666665</v>
      </c>
      <c r="AD10" s="569">
        <f t="shared" si="3"/>
        <v>4397996.666666667</v>
      </c>
      <c r="AE10" s="569">
        <f t="shared" si="4"/>
        <v>4534948.833333333</v>
      </c>
      <c r="AF10" s="570">
        <f t="shared" si="5"/>
        <v>4458880.666666667</v>
      </c>
      <c r="AG10" s="571">
        <f t="shared" si="6"/>
        <v>4611017</v>
      </c>
    </row>
    <row r="11" spans="1:33" ht="36" customHeight="1" x14ac:dyDescent="0.15">
      <c r="A11" t="s">
        <v>63</v>
      </c>
      <c r="B11" s="311" t="s">
        <v>63</v>
      </c>
      <c r="C11" s="1999">
        <f>IFERROR(GETPIVOTDATA("合計 / 売上",【ピボット】事業所収支!$A$3,"年月",C$3,"事業所",$A11),0)</f>
        <v>3218370</v>
      </c>
      <c r="D11" s="1999">
        <f>IFERROR(GETPIVOTDATA("合計 / 売上",【ピボット】事業所収支!$A$3,"年月",D$3,"事業所",$A11),0)</f>
        <v>2893429</v>
      </c>
      <c r="E11" s="1999">
        <f>IFERROR(GETPIVOTDATA("合計 / 売上",【ピボット】事業所収支!$A$3,"年月",E$3,"事業所",$A11),0)</f>
        <v>3184472</v>
      </c>
      <c r="F11" s="1999">
        <f>IFERROR(GETPIVOTDATA("合計 / 売上",【ピボット】事業所収支!$A$3,"年月",F$3,"事業所",$A11),0)</f>
        <v>3124894</v>
      </c>
      <c r="G11" s="1999">
        <f>IFERROR(GETPIVOTDATA("合計 / 売上",【ピボット】事業所収支!$A$3,"年月",G$3,"事業所",$A11),0)</f>
        <v>3081346</v>
      </c>
      <c r="H11" s="1999">
        <f>IFERROR(GETPIVOTDATA("合計 / 売上",【ピボット】事業所収支!$A$3,"年月",H$3,"事業所",$A11),0)</f>
        <v>2989139</v>
      </c>
      <c r="I11" s="1999">
        <f>IFERROR(GETPIVOTDATA("合計 / 売上",【ピボット】事業所収支!$A$3,"年月",I$3,"事業所",$A11),0)</f>
        <v>2574677</v>
      </c>
      <c r="J11" s="1999">
        <f>IFERROR(GETPIVOTDATA("合計 / 売上",【ピボット】事業所収支!$A$3,"年月",J$3,"事業所",$A11),0)</f>
        <v>2853536</v>
      </c>
      <c r="K11" s="1999">
        <f>IFERROR(GETPIVOTDATA("合計 / 売上",【ピボット】事業所収支!$A$3,"年月",K$3,"事業所",$A11),0)</f>
        <v>2617181</v>
      </c>
      <c r="L11" s="1999">
        <f>IFERROR(GETPIVOTDATA("合計 / 売上",【ピボット】事業所収支!$A$3,"年月",L$3,"事業所",$A11),0)</f>
        <v>3057960</v>
      </c>
      <c r="M11" s="1999">
        <f>IFERROR(GETPIVOTDATA("合計 / 売上",【ピボット】事業所収支!$A$3,"年月",M$3,"事業所",$A11),0)</f>
        <v>3056897</v>
      </c>
      <c r="N11" s="1999">
        <f>IFERROR(GETPIVOTDATA("合計 / 売上",【ピボット】事業所収支!$A$3,"年月",N$3,"事業所",$A11),0)</f>
        <v>3183714</v>
      </c>
      <c r="O11" s="1999">
        <f>IFERROR(GETPIVOTDATA("合計 / 売上",【ピボット】事業所収支!$A$3,"年月",O$3,"事業所",$A11),0)</f>
        <v>3021707</v>
      </c>
      <c r="P11" s="1999">
        <f>IFERROR(GETPIVOTDATA("合計 / 売上",【ピボット】事業所収支!$A$3,"年月",P$3,"事業所",$A11),0)</f>
        <v>2692178</v>
      </c>
      <c r="Q11" s="1999">
        <f>IFERROR(GETPIVOTDATA("合計 / 売上",【ピボット】事業所収支!$A$3,"年月",Q$3,"事業所",$A11),0)</f>
        <v>2546587</v>
      </c>
      <c r="R11" s="1999">
        <f>IFERROR(GETPIVOTDATA("合計 / 売上",【ピボット】事業所収支!$A$3,"年月",R$3,"事業所",$A11),0)</f>
        <v>2351469</v>
      </c>
      <c r="S11" s="1999">
        <f>IFERROR(GETPIVOTDATA("合計 / 売上",【ピボット】事業所収支!$A$3,"年月",S$3,"事業所",$A11),0)</f>
        <v>2112073</v>
      </c>
      <c r="T11" s="1999">
        <f>IFERROR(GETPIVOTDATA("合計 / 売上",【ピボット】事業所収支!$A$3,"年月",T$3,"事業所",$A11),0)</f>
        <v>2397265</v>
      </c>
      <c r="U11" s="1999">
        <f>IFERROR(GETPIVOTDATA("合計 / 売上",【ピボット】事業所収支!$A$3,"年月",U$3,"事業所",$A11),0)</f>
        <v>3521977</v>
      </c>
      <c r="V11" s="1999">
        <f>IFERROR(GETPIVOTDATA("合計 / 売上",【ピボット】事業所収支!$A$3,"年月",V$3,"事業所",$A11),0)</f>
        <v>2606315</v>
      </c>
      <c r="W11" s="1999">
        <f>IFERROR(GETPIVOTDATA("合計 / 売上",【ピボット】事業所収支!$A$3,"年月",W$3,"事業所",$A11),0)</f>
        <v>2627069</v>
      </c>
      <c r="X11" s="1999">
        <f>IFERROR(GETPIVOTDATA("合計 / 売上",【ピボット】事業所収支!$A$3,"年月",X$3,"事業所",$A11),0)</f>
        <v>2515123</v>
      </c>
      <c r="Y11" s="1999">
        <f>IFERROR(GETPIVOTDATA("合計 / 売上",【ピボット】事業所収支!$A$3,"年月",Y$3,"事業所",$A11),0)</f>
        <v>2498262</v>
      </c>
      <c r="Z11" s="1999">
        <f>IFERROR(GETPIVOTDATA("合計 / 売上",【ピボット】事業所収支!$A$3,"年月",Z$3,"事業所",$A11),0)</f>
        <v>2462469</v>
      </c>
      <c r="AA11" s="566">
        <f t="shared" si="7"/>
        <v>31352494</v>
      </c>
      <c r="AB11" s="567">
        <f t="shared" si="2"/>
        <v>2612707.8333333335</v>
      </c>
      <c r="AC11" s="568">
        <f t="shared" si="1"/>
        <v>2986301.25</v>
      </c>
      <c r="AD11" s="569">
        <f t="shared" si="3"/>
        <v>2520213.1666666665</v>
      </c>
      <c r="AE11" s="569">
        <f t="shared" si="4"/>
        <v>2705202.5</v>
      </c>
      <c r="AF11" s="570">
        <f t="shared" si="5"/>
        <v>2918453.6666666665</v>
      </c>
      <c r="AG11" s="571">
        <f t="shared" si="6"/>
        <v>2491951.3333333335</v>
      </c>
    </row>
    <row r="12" spans="1:33" ht="36" hidden="1" customHeight="1" x14ac:dyDescent="0.15">
      <c r="A12" t="s">
        <v>0</v>
      </c>
      <c r="B12" s="311" t="s">
        <v>0</v>
      </c>
      <c r="C12" s="1999">
        <f>IFERROR(GETPIVOTDATA("合計 / 売上",【ピボット】事業所収支!$A$3,"年月",C$3,"事業所",$A12),0)</f>
        <v>596033</v>
      </c>
      <c r="D12" s="1999">
        <f>IFERROR(GETPIVOTDATA("合計 / 売上",【ピボット】事業所収支!$A$3,"年月",D$3,"事業所",$A12),0)</f>
        <v>0</v>
      </c>
      <c r="E12" s="1999">
        <f>IFERROR(GETPIVOTDATA("合計 / 売上",【ピボット】事業所収支!$A$3,"年月",E$3,"事業所",$A12),0)</f>
        <v>0</v>
      </c>
      <c r="F12" s="1999">
        <f>IFERROR(GETPIVOTDATA("合計 / 売上",【ピボット】事業所収支!$A$3,"年月",F$3,"事業所",$A12),0)</f>
        <v>0</v>
      </c>
      <c r="G12" s="1999">
        <f>IFERROR(GETPIVOTDATA("合計 / 売上",【ピボット】事業所収支!$A$3,"年月",G$3,"事業所",$A12),0)</f>
        <v>0</v>
      </c>
      <c r="H12" s="1999">
        <f>IFERROR(GETPIVOTDATA("合計 / 売上",【ピボット】事業所収支!$A$3,"年月",H$3,"事業所",$A12),0)</f>
        <v>0</v>
      </c>
      <c r="I12" s="1999">
        <f>IFERROR(GETPIVOTDATA("合計 / 売上",【ピボット】事業所収支!$A$3,"年月",I$3,"事業所",$A12),0)</f>
        <v>0</v>
      </c>
      <c r="J12" s="1999">
        <f>IFERROR(GETPIVOTDATA("合計 / 売上",【ピボット】事業所収支!$A$3,"年月",J$3,"事業所",$A12),0)</f>
        <v>0</v>
      </c>
      <c r="K12" s="1999">
        <f>IFERROR(GETPIVOTDATA("合計 / 売上",【ピボット】事業所収支!$A$3,"年月",K$3,"事業所",$A12),0)</f>
        <v>0</v>
      </c>
      <c r="L12" s="1999">
        <f>IFERROR(GETPIVOTDATA("合計 / 売上",【ピボット】事業所収支!$A$3,"年月",L$3,"事業所",$A12),0)</f>
        <v>0</v>
      </c>
      <c r="M12" s="1999">
        <f>IFERROR(GETPIVOTDATA("合計 / 売上",【ピボット】事業所収支!$A$3,"年月",M$3,"事業所",$A12),0)</f>
        <v>0</v>
      </c>
      <c r="N12" s="1999">
        <f>IFERROR(GETPIVOTDATA("合計 / 売上",【ピボット】事業所収支!$A$3,"年月",N$3,"事業所",$A12),0)</f>
        <v>0</v>
      </c>
      <c r="O12" s="1999">
        <f>IFERROR(GETPIVOTDATA("合計 / 売上",【ピボット】事業所収支!$A$3,"年月",O$3,"事業所",$A12),0)</f>
        <v>0</v>
      </c>
      <c r="P12" s="1999">
        <f>IFERROR(GETPIVOTDATA("合計 / 売上",【ピボット】事業所収支!$A$3,"年月",P$3,"事業所",$A12),0)</f>
        <v>0</v>
      </c>
      <c r="Q12" s="1999">
        <f>IFERROR(GETPIVOTDATA("合計 / 売上",【ピボット】事業所収支!$A$3,"年月",Q$3,"事業所",$A12),0)</f>
        <v>0</v>
      </c>
      <c r="R12" s="1999">
        <f>IFERROR(GETPIVOTDATA("合計 / 売上",【ピボット】事業所収支!$A$3,"年月",R$3,"事業所",$A12),0)</f>
        <v>0</v>
      </c>
      <c r="S12" s="1999">
        <f>IFERROR(GETPIVOTDATA("合計 / 売上",【ピボット】事業所収支!$A$3,"年月",S$3,"事業所",$A12),0)</f>
        <v>0</v>
      </c>
      <c r="T12" s="1999">
        <f>IFERROR(GETPIVOTDATA("合計 / 売上",【ピボット】事業所収支!$A$3,"年月",T$3,"事業所",$A12),0)</f>
        <v>0</v>
      </c>
      <c r="U12" s="2000">
        <f>IFERROR(GETPIVOTDATA("合計 / 売上",【ピボット】事業所収支!$A$3,"年月",U$3,"事業所",$A12),0)</f>
        <v>0</v>
      </c>
      <c r="V12" s="2000">
        <f>IFERROR(GETPIVOTDATA("合計 / 売上",【ピボット】事業所収支!$A$3,"年月",V$3,"事業所",$A12),0)</f>
        <v>0</v>
      </c>
      <c r="W12" s="2000">
        <f>IFERROR(GETPIVOTDATA("合計 / 売上",【ピボット】事業所収支!$A$3,"年月",W$3,"事業所",$A12),0)</f>
        <v>0</v>
      </c>
      <c r="X12" s="2000">
        <f>IFERROR(GETPIVOTDATA("合計 / 売上",【ピボット】事業所収支!$A$3,"年月",X$3,"事業所",$A12),0)</f>
        <v>0</v>
      </c>
      <c r="Y12" s="2000">
        <f>IFERROR(GETPIVOTDATA("合計 / 売上",【ピボット】事業所収支!$A$3,"年月",Y$3,"事業所",$A12),0)</f>
        <v>0</v>
      </c>
      <c r="Z12" s="2000">
        <f>IFERROR(GETPIVOTDATA("合計 / 売上",【ピボット】事業所収支!$A$3,"年月",Z$3,"事業所",$A12),0)</f>
        <v>0</v>
      </c>
      <c r="AA12" s="681">
        <f t="shared" si="7"/>
        <v>0</v>
      </c>
      <c r="AB12" s="567">
        <f t="shared" si="2"/>
        <v>0</v>
      </c>
      <c r="AC12" s="568">
        <f t="shared" si="1"/>
        <v>49669.416666666664</v>
      </c>
      <c r="AD12" s="569">
        <f t="shared" si="3"/>
        <v>0</v>
      </c>
      <c r="AE12" s="569">
        <f t="shared" si="4"/>
        <v>0</v>
      </c>
      <c r="AF12" s="570">
        <f t="shared" si="5"/>
        <v>0</v>
      </c>
      <c r="AG12" s="571">
        <f t="shared" si="6"/>
        <v>0</v>
      </c>
    </row>
    <row r="13" spans="1:33" ht="36" customHeight="1" x14ac:dyDescent="0.15">
      <c r="A13" t="s">
        <v>119</v>
      </c>
      <c r="B13" s="311" t="s">
        <v>119</v>
      </c>
      <c r="C13" s="1999">
        <f>IFERROR(GETPIVOTDATA("合計 / 売上",【ピボット】事業所収支!$A$3,"年月",C$3,"事業所",$A13),0)</f>
        <v>408033</v>
      </c>
      <c r="D13" s="1999">
        <f>IFERROR(GETPIVOTDATA("合計 / 売上",【ピボット】事業所収支!$A$3,"年月",D$3,"事業所",$A13),0)</f>
        <v>2686373</v>
      </c>
      <c r="E13" s="1999">
        <f>IFERROR(GETPIVOTDATA("合計 / 売上",【ピボット】事業所収支!$A$3,"年月",E$3,"事業所",$A13),0)</f>
        <v>1273066</v>
      </c>
      <c r="F13" s="1999">
        <f>IFERROR(GETPIVOTDATA("合計 / 売上",【ピボット】事業所収支!$A$3,"年月",F$3,"事業所",$A13),0)</f>
        <v>1036363</v>
      </c>
      <c r="G13" s="1999">
        <f>IFERROR(GETPIVOTDATA("合計 / 売上",【ピボット】事業所収支!$A$3,"年月",G$3,"事業所",$A13),0)</f>
        <v>1236162</v>
      </c>
      <c r="H13" s="1999">
        <f>IFERROR(GETPIVOTDATA("合計 / 売上",【ピボット】事業所収支!$A$3,"年月",H$3,"事業所",$A13),0)</f>
        <v>1051496</v>
      </c>
      <c r="I13" s="1999">
        <f>IFERROR(GETPIVOTDATA("合計 / 売上",【ピボット】事業所収支!$A$3,"年月",I$3,"事業所",$A13),0)</f>
        <v>1225409</v>
      </c>
      <c r="J13" s="1999">
        <f>IFERROR(GETPIVOTDATA("合計 / 売上",【ピボット】事業所収支!$A$3,"年月",J$3,"事業所",$A13),0)</f>
        <v>1036248</v>
      </c>
      <c r="K13" s="1999">
        <f>IFERROR(GETPIVOTDATA("合計 / 売上",【ピボット】事業所収支!$A$3,"年月",K$3,"事業所",$A13),0)</f>
        <v>809040</v>
      </c>
      <c r="L13" s="1999">
        <f>IFERROR(GETPIVOTDATA("合計 / 売上",【ピボット】事業所収支!$A$3,"年月",L$3,"事業所",$A13),0)</f>
        <v>741413</v>
      </c>
      <c r="M13" s="1999">
        <f>IFERROR(GETPIVOTDATA("合計 / 売上",【ピボット】事業所収支!$A$3,"年月",M$3,"事業所",$A13),0)</f>
        <v>820390</v>
      </c>
      <c r="N13" s="1999">
        <f>IFERROR(GETPIVOTDATA("合計 / 売上",【ピボット】事業所収支!$A$3,"年月",N$3,"事業所",$A13),0)</f>
        <v>859760</v>
      </c>
      <c r="O13" s="1999">
        <f>IFERROR(GETPIVOTDATA("合計 / 売上",【ピボット】事業所収支!$A$3,"年月",O$3,"事業所",$A13),0)</f>
        <v>1366814</v>
      </c>
      <c r="P13" s="1999">
        <f>IFERROR(GETPIVOTDATA("合計 / 売上",【ピボット】事業所収支!$A$3,"年月",P$3,"事業所",$A13),0)</f>
        <v>548955</v>
      </c>
      <c r="Q13" s="1999">
        <f>IFERROR(GETPIVOTDATA("合計 / 売上",【ピボット】事業所収支!$A$3,"年月",Q$3,"事業所",$A13),0)</f>
        <v>1159974</v>
      </c>
      <c r="R13" s="1999">
        <f>IFERROR(GETPIVOTDATA("合計 / 売上",【ピボット】事業所収支!$A$3,"年月",R$3,"事業所",$A13),0)</f>
        <v>870546</v>
      </c>
      <c r="S13" s="1999">
        <f>IFERROR(GETPIVOTDATA("合計 / 売上",【ピボット】事業所収支!$A$3,"年月",S$3,"事業所",$A13),0)</f>
        <v>861636</v>
      </c>
      <c r="T13" s="1999">
        <f>IFERROR(GETPIVOTDATA("合計 / 売上",【ピボット】事業所収支!$A$3,"年月",T$3,"事業所",$A13),0)</f>
        <v>1139110</v>
      </c>
      <c r="U13" s="1999">
        <f>IFERROR(GETPIVOTDATA("合計 / 売上",【ピボット】事業所収支!$A$3,"年月",U$3,"事業所",$A13),0)</f>
        <v>1134937</v>
      </c>
      <c r="V13" s="1999">
        <f>IFERROR(GETPIVOTDATA("合計 / 売上",【ピボット】事業所収支!$A$3,"年月",V$3,"事業所",$A13),0)</f>
        <v>1175963</v>
      </c>
      <c r="W13" s="1999">
        <f>IFERROR(GETPIVOTDATA("合計 / 売上",【ピボット】事業所収支!$A$3,"年月",W$3,"事業所",$A13),0)</f>
        <v>1272363</v>
      </c>
      <c r="X13" s="1999">
        <f>IFERROR(GETPIVOTDATA("合計 / 売上",【ピボット】事業所収支!$A$3,"年月",X$3,"事業所",$A13),0)</f>
        <v>1036423</v>
      </c>
      <c r="Y13" s="1999">
        <f>IFERROR(GETPIVOTDATA("合計 / 売上",【ピボット】事業所収支!$A$3,"年月",Y$3,"事業所",$A13),0)</f>
        <v>1027444</v>
      </c>
      <c r="Z13" s="1999">
        <f>IFERROR(GETPIVOTDATA("合計 / 売上",【ピボット】事業所収支!$A$3,"年月",Z$3,"事業所",$A13),0)</f>
        <v>1077061</v>
      </c>
      <c r="AA13" s="566">
        <f t="shared" si="7"/>
        <v>12671226</v>
      </c>
      <c r="AB13" s="567">
        <f t="shared" si="2"/>
        <v>1055935.5</v>
      </c>
      <c r="AC13" s="568">
        <f t="shared" si="1"/>
        <v>1098646.0833333333</v>
      </c>
      <c r="AD13" s="569">
        <f t="shared" si="3"/>
        <v>991172.5</v>
      </c>
      <c r="AE13" s="569">
        <f t="shared" si="4"/>
        <v>1120698.5</v>
      </c>
      <c r="AF13" s="570">
        <f t="shared" si="5"/>
        <v>1194421</v>
      </c>
      <c r="AG13" s="571">
        <f t="shared" si="6"/>
        <v>1046976</v>
      </c>
    </row>
    <row r="14" spans="1:33" ht="36" customHeight="1" x14ac:dyDescent="0.15">
      <c r="A14" t="s">
        <v>189</v>
      </c>
      <c r="B14" s="311" t="s">
        <v>189</v>
      </c>
      <c r="C14" s="1999">
        <f>IFERROR(GETPIVOTDATA("合計 / 売上",【ピボット】事業所収支!$A$3,"年月",C$3,"事業所",$A14),0)</f>
        <v>1119631</v>
      </c>
      <c r="D14" s="1999">
        <f>IFERROR(GETPIVOTDATA("合計 / 売上",【ピボット】事業所収支!$A$3,"年月",D$3,"事業所",$A14),0)</f>
        <v>2075072</v>
      </c>
      <c r="E14" s="1999">
        <f>IFERROR(GETPIVOTDATA("合計 / 売上",【ピボット】事業所収支!$A$3,"年月",E$3,"事業所",$A14),0)</f>
        <v>1101492</v>
      </c>
      <c r="F14" s="1999">
        <f>IFERROR(GETPIVOTDATA("合計 / 売上",【ピボット】事業所収支!$A$3,"年月",F$3,"事業所",$A14),0)</f>
        <v>1001492</v>
      </c>
      <c r="G14" s="1999">
        <f>IFERROR(GETPIVOTDATA("合計 / 売上",【ピボット】事業所収支!$A$3,"年月",G$3,"事業所",$A14),0)</f>
        <v>1015378</v>
      </c>
      <c r="H14" s="1999">
        <f>IFERROR(GETPIVOTDATA("合計 / 売上",【ピボット】事業所収支!$A$3,"年月",H$3,"事業所",$A14),0)</f>
        <v>1061492</v>
      </c>
      <c r="I14" s="1999">
        <f>IFERROR(GETPIVOTDATA("合計 / 売上",【ピボット】事業所収支!$A$3,"年月",I$3,"事業所",$A14),0)</f>
        <v>1000792</v>
      </c>
      <c r="J14" s="1999">
        <f>IFERROR(GETPIVOTDATA("合計 / 売上",【ピボット】事業所収支!$A$3,"年月",J$3,"事業所",$A14),0)</f>
        <v>1061492</v>
      </c>
      <c r="K14" s="1999">
        <f>IFERROR(GETPIVOTDATA("合計 / 売上",【ピボット】事業所収支!$A$3,"年月",K$3,"事業所",$A14),0)</f>
        <v>1016092</v>
      </c>
      <c r="L14" s="1999">
        <f>IFERROR(GETPIVOTDATA("合計 / 売上",【ピボット】事業所収支!$A$3,"年月",L$3,"事業所",$A14),0)</f>
        <v>939922</v>
      </c>
      <c r="M14" s="1999">
        <f>IFERROR(GETPIVOTDATA("合計 / 売上",【ピボット】事業所収支!$A$3,"年月",M$3,"事業所",$A14),0)</f>
        <v>1205836</v>
      </c>
      <c r="N14" s="1999">
        <f>IFERROR(GETPIVOTDATA("合計 / 売上",【ピボット】事業所収支!$A$3,"年月",N$3,"事業所",$A14),0)</f>
        <v>1038460</v>
      </c>
      <c r="O14" s="1999">
        <f>IFERROR(GETPIVOTDATA("合計 / 売上",【ピボット】事業所収支!$A$3,"年月",O$3,"事業所",$A14),0)</f>
        <v>1150795</v>
      </c>
      <c r="P14" s="1999">
        <f>IFERROR(GETPIVOTDATA("合計 / 売上",【ピボット】事業所収支!$A$3,"年月",P$3,"事業所",$A14),0)</f>
        <v>1054056</v>
      </c>
      <c r="Q14" s="1999">
        <f>IFERROR(GETPIVOTDATA("合計 / 売上",【ピボット】事業所収支!$A$3,"年月",Q$3,"事業所",$A14),0)</f>
        <v>1085268</v>
      </c>
      <c r="R14" s="1999">
        <f>IFERROR(GETPIVOTDATA("合計 / 売上",【ピボット】事業所収支!$A$3,"年月",R$3,"事業所",$A14),0)</f>
        <v>923999</v>
      </c>
      <c r="S14" s="1999">
        <f>IFERROR(GETPIVOTDATA("合計 / 売上",【ピボット】事業所収支!$A$3,"年月",S$3,"事業所",$A14),0)</f>
        <v>1050085</v>
      </c>
      <c r="T14" s="1999">
        <f>IFERROR(GETPIVOTDATA("合計 / 売上",【ピボット】事業所収支!$A$3,"年月",T$3,"事業所",$A14),0)</f>
        <v>1087657</v>
      </c>
      <c r="U14" s="1999">
        <f>IFERROR(GETPIVOTDATA("合計 / 売上",【ピボット】事業所収支!$A$3,"年月",U$3,"事業所",$A14),0)</f>
        <v>1070236</v>
      </c>
      <c r="V14" s="1999">
        <f>IFERROR(GETPIVOTDATA("合計 / 売上",【ピボット】事業所収支!$A$3,"年月",V$3,"事業所",$A14),0)</f>
        <v>1102442</v>
      </c>
      <c r="W14" s="1999">
        <f>IFERROR(GETPIVOTDATA("合計 / 売上",【ピボット】事業所収支!$A$3,"年月",W$3,"事業所",$A14),0)</f>
        <v>1356442</v>
      </c>
      <c r="X14" s="1999">
        <f>IFERROR(GETPIVOTDATA("合計 / 売上",【ピボット】事業所収支!$A$3,"年月",X$3,"事業所",$A14),0)</f>
        <v>1005836</v>
      </c>
      <c r="Y14" s="1999">
        <f>IFERROR(GETPIVOTDATA("合計 / 売上",【ピボット】事業所収支!$A$3,"年月",Y$3,"事業所",$A14),0)</f>
        <v>973793</v>
      </c>
      <c r="Z14" s="1999">
        <f>IFERROR(GETPIVOTDATA("合計 / 売上",【ピボット】事業所収支!$A$3,"年月",Z$3,"事業所",$A14),0)</f>
        <v>797482</v>
      </c>
      <c r="AA14" s="566">
        <f>SUM(O14:Z14)</f>
        <v>12658091</v>
      </c>
      <c r="AB14" s="567">
        <f t="shared" si="2"/>
        <v>1054840.9166666667</v>
      </c>
      <c r="AC14" s="568">
        <f t="shared" si="1"/>
        <v>1136429.25</v>
      </c>
      <c r="AD14" s="569">
        <f t="shared" si="3"/>
        <v>1058643.3333333333</v>
      </c>
      <c r="AE14" s="569">
        <f t="shared" si="4"/>
        <v>1051038.5</v>
      </c>
      <c r="AF14" s="570">
        <f t="shared" si="5"/>
        <v>1176373.3333333333</v>
      </c>
      <c r="AG14" s="571">
        <f t="shared" si="6"/>
        <v>925703.66666666663</v>
      </c>
    </row>
    <row r="15" spans="1:33" ht="36" customHeight="1" x14ac:dyDescent="0.15">
      <c r="A15" t="s">
        <v>329</v>
      </c>
      <c r="B15" s="311" t="s">
        <v>329</v>
      </c>
      <c r="C15" s="1999">
        <f>IFERROR(GETPIVOTDATA("合計 / 売上",【ピボット】事業所収支!$A$3,"年月",C$3,"事業所",$A15),0)</f>
        <v>0</v>
      </c>
      <c r="D15" s="1999">
        <f>IFERROR(GETPIVOTDATA("合計 / 売上",【ピボット】事業所収支!$A$3,"年月",D$3,"事業所",$A15),0)</f>
        <v>1940389</v>
      </c>
      <c r="E15" s="1999">
        <f>IFERROR(GETPIVOTDATA("合計 / 売上",【ピボット】事業所収支!$A$3,"年月",E$3,"事業所",$A15),0)</f>
        <v>1965328</v>
      </c>
      <c r="F15" s="1999">
        <f>IFERROR(GETPIVOTDATA("合計 / 売上",【ピボット】事業所収支!$A$3,"年月",F$3,"事業所",$A15),0)</f>
        <v>1995197</v>
      </c>
      <c r="G15" s="1999">
        <f>IFERROR(GETPIVOTDATA("合計 / 売上",【ピボット】事業所収支!$A$3,"年月",G$3,"事業所",$A15),0)</f>
        <v>2133548</v>
      </c>
      <c r="H15" s="1999">
        <f>IFERROR(GETPIVOTDATA("合計 / 売上",【ピボット】事業所収支!$A$3,"年月",H$3,"事業所",$A15),0)</f>
        <v>3275498</v>
      </c>
      <c r="I15" s="1999">
        <f>IFERROR(GETPIVOTDATA("合計 / 売上",【ピボット】事業所収支!$A$3,"年月",I$3,"事業所",$A15),0)</f>
        <v>2705860</v>
      </c>
      <c r="J15" s="1999">
        <f>IFERROR(GETPIVOTDATA("合計 / 売上",【ピボット】事業所収支!$A$3,"年月",J$3,"事業所",$A15),0)</f>
        <v>2748469</v>
      </c>
      <c r="K15" s="1999">
        <f>IFERROR(GETPIVOTDATA("合計 / 売上",【ピボット】事業所収支!$A$3,"年月",K$3,"事業所",$A15),0)</f>
        <v>2696635</v>
      </c>
      <c r="L15" s="1999">
        <f>IFERROR(GETPIVOTDATA("合計 / 売上",【ピボット】事業所収支!$A$3,"年月",L$3,"事業所",$A15),0)</f>
        <v>2570319</v>
      </c>
      <c r="M15" s="1999">
        <f>IFERROR(GETPIVOTDATA("合計 / 売上",【ピボット】事業所収支!$A$3,"年月",M$3,"事業所",$A15),0)</f>
        <v>2819531</v>
      </c>
      <c r="N15" s="1999">
        <f>IFERROR(GETPIVOTDATA("合計 / 売上",【ピボット】事業所収支!$A$3,"年月",N$3,"事業所",$A15),0)</f>
        <v>2754232</v>
      </c>
      <c r="O15" s="1999">
        <f>IFERROR(GETPIVOTDATA("合計 / 売上",【ピボット】事業所収支!$A$3,"年月",O$3,"事業所",$A15),0)</f>
        <v>3771025</v>
      </c>
      <c r="P15" s="1999">
        <f>IFERROR(GETPIVOTDATA("合計 / 売上",【ピボット】事業所収支!$A$3,"年月",P$3,"事業所",$A15),0)</f>
        <v>2469018</v>
      </c>
      <c r="Q15" s="1999">
        <f>IFERROR(GETPIVOTDATA("合計 / 売上",【ピボット】事業所収支!$A$3,"年月",Q$3,"事業所",$A15),0)</f>
        <v>2977988</v>
      </c>
      <c r="R15" s="1999">
        <f>IFERROR(GETPIVOTDATA("合計 / 売上",【ピボット】事業所収支!$A$3,"年月",R$3,"事業所",$A15),0)</f>
        <v>2468275</v>
      </c>
      <c r="S15" s="1999">
        <f>IFERROR(GETPIVOTDATA("合計 / 売上",【ピボット】事業所収支!$A$3,"年月",S$3,"事業所",$A15),0)</f>
        <v>2587385</v>
      </c>
      <c r="T15" s="1999">
        <f>IFERROR(GETPIVOTDATA("合計 / 売上",【ピボット】事業所収支!$A$3,"年月",T$3,"事業所",$A15),0)</f>
        <v>2800912</v>
      </c>
      <c r="U15" s="1999">
        <f>IFERROR(GETPIVOTDATA("合計 / 売上",【ピボット】事業所収支!$A$3,"年月",U$3,"事業所",$A15),0)</f>
        <v>2743866</v>
      </c>
      <c r="V15" s="1999">
        <f>IFERROR(GETPIVOTDATA("合計 / 売上",【ピボット】事業所収支!$A$3,"年月",V$3,"事業所",$A15),0)</f>
        <v>2807684</v>
      </c>
      <c r="W15" s="1999">
        <f>IFERROR(GETPIVOTDATA("合計 / 売上",【ピボット】事業所収支!$A$3,"年月",W$3,"事業所",$A15),0)</f>
        <v>2942481</v>
      </c>
      <c r="X15" s="1999">
        <f>IFERROR(GETPIVOTDATA("合計 / 売上",【ピボット】事業所収支!$A$3,"年月",X$3,"事業所",$A15),0)</f>
        <v>2118435</v>
      </c>
      <c r="Y15" s="1999">
        <f>IFERROR(GETPIVOTDATA("合計 / 売上",【ピボット】事業所収支!$A$3,"年月",Y$3,"事業所",$A15),0)</f>
        <v>1999507</v>
      </c>
      <c r="Z15" s="1999">
        <f>IFERROR(GETPIVOTDATA("合計 / 売上",【ピボット】事業所収支!$A$3,"年月",Z$3,"事業所",$A15),0)</f>
        <v>2831820</v>
      </c>
      <c r="AA15" s="566">
        <f t="shared" si="7"/>
        <v>32518396</v>
      </c>
      <c r="AB15" s="567">
        <f t="shared" si="2"/>
        <v>2709866.3333333335</v>
      </c>
      <c r="AC15" s="568">
        <f t="shared" si="1"/>
        <v>2300417.1666666665</v>
      </c>
      <c r="AD15" s="569">
        <f t="shared" si="3"/>
        <v>2845767.1666666665</v>
      </c>
      <c r="AE15" s="569">
        <f t="shared" si="4"/>
        <v>2573965.5</v>
      </c>
      <c r="AF15" s="570">
        <f t="shared" si="5"/>
        <v>2831343.6666666665</v>
      </c>
      <c r="AG15" s="571">
        <f t="shared" si="6"/>
        <v>2316587.3333333335</v>
      </c>
    </row>
    <row r="16" spans="1:33" ht="36" customHeight="1" x14ac:dyDescent="0.15">
      <c r="A16" t="s">
        <v>1223</v>
      </c>
      <c r="B16" s="311" t="s">
        <v>1223</v>
      </c>
      <c r="C16" s="1999">
        <f>IFERROR(GETPIVOTDATA("合計 / 売上",【ピボット】事業所収支!$A$3,"年月",C$3,"事業所",$A16),0)</f>
        <v>0</v>
      </c>
      <c r="D16" s="1999">
        <f>IFERROR(GETPIVOTDATA("合計 / 売上",【ピボット】事業所収支!$A$3,"年月",D$3,"事業所",$A16),0)</f>
        <v>0</v>
      </c>
      <c r="E16" s="1999">
        <f>IFERROR(GETPIVOTDATA("合計 / 売上",【ピボット】事業所収支!$A$3,"年月",E$3,"事業所",$A16),0)</f>
        <v>0</v>
      </c>
      <c r="F16" s="1999">
        <f>IFERROR(GETPIVOTDATA("合計 / 売上",【ピボット】事業所収支!$A$3,"年月",F$3,"事業所",$A16),0)</f>
        <v>0</v>
      </c>
      <c r="G16" s="1999">
        <f>IFERROR(GETPIVOTDATA("合計 / 売上",【ピボット】事業所収支!$A$3,"年月",G$3,"事業所",$A16),0)</f>
        <v>0</v>
      </c>
      <c r="H16" s="1999">
        <f>IFERROR(GETPIVOTDATA("合計 / 売上",【ピボット】事業所収支!$A$3,"年月",H$3,"事業所",$A16),0)</f>
        <v>0</v>
      </c>
      <c r="I16" s="1999">
        <f>IFERROR(GETPIVOTDATA("合計 / 売上",【ピボット】事業所収支!$A$3,"年月",I$3,"事業所",$A16),0)</f>
        <v>0</v>
      </c>
      <c r="J16" s="1999">
        <f>IFERROR(GETPIVOTDATA("合計 / 売上",【ピボット】事業所収支!$A$3,"年月",J$3,"事業所",$A16),0)</f>
        <v>0</v>
      </c>
      <c r="K16" s="1999">
        <f>IFERROR(GETPIVOTDATA("合計 / 売上",【ピボット】事業所収支!$A$3,"年月",K$3,"事業所",$A16),0)</f>
        <v>0</v>
      </c>
      <c r="L16" s="1999">
        <f>IFERROR(GETPIVOTDATA("合計 / 売上",【ピボット】事業所収支!$A$3,"年月",L$3,"事業所",$A16),0)</f>
        <v>0</v>
      </c>
      <c r="M16" s="1999">
        <f>IFERROR(GETPIVOTDATA("合計 / 売上",【ピボット】事業所収支!$A$3,"年月",M$3,"事業所",$A16),0)</f>
        <v>0</v>
      </c>
      <c r="N16" s="1999">
        <f>IFERROR(GETPIVOTDATA("合計 / 売上",【ピボット】事業所収支!$A$3,"年月",N$3,"事業所",$A16),0)</f>
        <v>0</v>
      </c>
      <c r="O16" s="1999">
        <f>IFERROR(GETPIVOTDATA("合計 / 売上",【ピボット】事業所収支!$A$3,"年月",O$3,"事業所",$A16),0)</f>
        <v>0</v>
      </c>
      <c r="P16" s="1999">
        <f>IFERROR(GETPIVOTDATA("合計 / 売上",【ピボット】事業所収支!$A$3,"年月",P$3,"事業所",$A16),0)</f>
        <v>0</v>
      </c>
      <c r="Q16" s="1999">
        <f>IFERROR(GETPIVOTDATA("合計 / 売上",【ピボット】事業所収支!$A$3,"年月",Q$3,"事業所",$A16),0)</f>
        <v>0</v>
      </c>
      <c r="R16" s="1999">
        <f>IFERROR(GETPIVOTDATA("合計 / 売上",【ピボット】事業所収支!$A$3,"年月",R$3,"事業所",$A16),0)</f>
        <v>0</v>
      </c>
      <c r="S16" s="1999">
        <f>IFERROR(GETPIVOTDATA("合計 / 売上",【ピボット】事業所収支!$A$3,"年月",S$3,"事業所",$A16),0)</f>
        <v>0</v>
      </c>
      <c r="T16" s="1999">
        <f>IFERROR(GETPIVOTDATA("合計 / 売上",【ピボット】事業所収支!$A$3,"年月",T$3,"事業所",$A16),0)</f>
        <v>0</v>
      </c>
      <c r="U16" s="1999">
        <f>IFERROR(GETPIVOTDATA("合計 / 売上",【ピボット】事業所収支!$A$3,"年月",U$3,"事業所",$A16),0)</f>
        <v>16000</v>
      </c>
      <c r="V16" s="1999">
        <f>IFERROR(GETPIVOTDATA("合計 / 売上",【ピボット】事業所収支!$A$3,"年月",V$3,"事業所",$A16),0)</f>
        <v>40000</v>
      </c>
      <c r="W16" s="1999">
        <f>IFERROR(GETPIVOTDATA("合計 / 売上",【ピボット】事業所収支!$A$3,"年月",W$3,"事業所",$A16),0)</f>
        <v>40000</v>
      </c>
      <c r="X16" s="1999">
        <f>IFERROR(GETPIVOTDATA("合計 / 売上",【ピボット】事業所収支!$A$3,"年月",X$3,"事業所",$A16),0)</f>
        <v>1476188</v>
      </c>
      <c r="Y16" s="1999">
        <f>IFERROR(GETPIVOTDATA("合計 / 売上",【ピボット】事業所収支!$A$3,"年月",Y$3,"事業所",$A16),0)</f>
        <v>1775131</v>
      </c>
      <c r="Z16" s="1999">
        <f>IFERROR(GETPIVOTDATA("合計 / 売上",【ピボット】事業所収支!$A$3,"年月",Z$3,"事業所",$A16),0)</f>
        <v>2077332</v>
      </c>
      <c r="AA16" s="566">
        <f t="shared" ref="AA16" si="8">SUM(O16:Z16)</f>
        <v>5424651</v>
      </c>
      <c r="AB16" s="567">
        <f t="shared" ref="AB16" si="9">AVERAGE(O16:Z16)</f>
        <v>452054.25</v>
      </c>
      <c r="AC16" s="568">
        <f t="shared" ref="AC16" si="10">AVERAGE(C16:N16)</f>
        <v>0</v>
      </c>
      <c r="AD16" s="569">
        <f t="shared" ref="AD16" si="11">AVERAGE(O16:T16)</f>
        <v>0</v>
      </c>
      <c r="AE16" s="569">
        <f t="shared" ref="AE16" si="12">AVERAGE(U16:Z16)</f>
        <v>904108.5</v>
      </c>
      <c r="AF16" s="570">
        <f t="shared" ref="AF16" si="13">AVERAGE(U16:W16)</f>
        <v>32000</v>
      </c>
      <c r="AG16" s="571">
        <f t="shared" ref="AG16" si="14">AVERAGE(X16:Z16)</f>
        <v>1776217</v>
      </c>
    </row>
    <row r="17" spans="1:48" ht="36" customHeight="1" outlineLevel="1" x14ac:dyDescent="0.15">
      <c r="B17" s="1675" t="s">
        <v>1382</v>
      </c>
      <c r="C17" s="2001">
        <f>SUM(C13:C16)</f>
        <v>1527664</v>
      </c>
      <c r="D17" s="2001">
        <f t="shared" ref="D17:Y17" si="15">SUM(D13:D16)</f>
        <v>6701834</v>
      </c>
      <c r="E17" s="2001">
        <f t="shared" si="15"/>
        <v>4339886</v>
      </c>
      <c r="F17" s="2001">
        <f t="shared" si="15"/>
        <v>4033052</v>
      </c>
      <c r="G17" s="2001">
        <f t="shared" si="15"/>
        <v>4385088</v>
      </c>
      <c r="H17" s="2001">
        <f t="shared" si="15"/>
        <v>5388486</v>
      </c>
      <c r="I17" s="2001">
        <f t="shared" si="15"/>
        <v>4932061</v>
      </c>
      <c r="J17" s="2001">
        <f t="shared" si="15"/>
        <v>4846209</v>
      </c>
      <c r="K17" s="2001">
        <f t="shared" si="15"/>
        <v>4521767</v>
      </c>
      <c r="L17" s="2001">
        <f t="shared" si="15"/>
        <v>4251654</v>
      </c>
      <c r="M17" s="2001">
        <f t="shared" si="15"/>
        <v>4845757</v>
      </c>
      <c r="N17" s="2001">
        <f t="shared" si="15"/>
        <v>4652452</v>
      </c>
      <c r="O17" s="2001">
        <f t="shared" si="15"/>
        <v>6288634</v>
      </c>
      <c r="P17" s="2001">
        <f t="shared" si="15"/>
        <v>4072029</v>
      </c>
      <c r="Q17" s="2001">
        <f t="shared" si="15"/>
        <v>5223230</v>
      </c>
      <c r="R17" s="2001">
        <f t="shared" si="15"/>
        <v>4262820</v>
      </c>
      <c r="S17" s="2001">
        <f t="shared" si="15"/>
        <v>4499106</v>
      </c>
      <c r="T17" s="2001">
        <f t="shared" si="15"/>
        <v>5027679</v>
      </c>
      <c r="U17" s="2001">
        <f t="shared" si="15"/>
        <v>4965039</v>
      </c>
      <c r="V17" s="2001">
        <f t="shared" si="15"/>
        <v>5126089</v>
      </c>
      <c r="W17" s="2001">
        <f t="shared" si="15"/>
        <v>5611286</v>
      </c>
      <c r="X17" s="2001">
        <f t="shared" si="15"/>
        <v>5636882</v>
      </c>
      <c r="Y17" s="2001">
        <f t="shared" si="15"/>
        <v>5775875</v>
      </c>
      <c r="Z17" s="2001">
        <f>SUM(Z13:Z16)</f>
        <v>6783695</v>
      </c>
      <c r="AA17" s="1676">
        <f t="shared" ref="AA17" si="16">SUM(AA13:AA16)</f>
        <v>63272364</v>
      </c>
      <c r="AB17" s="1677">
        <f t="shared" ref="AB17" si="17">SUM(AB13:AB16)</f>
        <v>5272697</v>
      </c>
      <c r="AC17" s="1678">
        <f t="shared" ref="AC17" si="18">SUM(AC13:AC16)</f>
        <v>4535492.5</v>
      </c>
      <c r="AD17" s="1679">
        <f t="shared" ref="AD17" si="19">SUM(AD13:AD16)</f>
        <v>4895583</v>
      </c>
      <c r="AE17" s="1679">
        <f t="shared" ref="AE17" si="20">SUM(AE13:AE16)</f>
        <v>5649811</v>
      </c>
      <c r="AF17" s="1680">
        <f t="shared" ref="AF17" si="21">SUM(AF13:AF16)</f>
        <v>5234138</v>
      </c>
      <c r="AG17" s="1681">
        <f t="shared" ref="AG17" si="22">SUM(AG13:AG16)</f>
        <v>6065484</v>
      </c>
    </row>
    <row r="18" spans="1:48" ht="36" customHeight="1" thickBot="1" x14ac:dyDescent="0.2">
      <c r="A18" t="s">
        <v>336</v>
      </c>
      <c r="B18" s="542" t="s">
        <v>337</v>
      </c>
      <c r="C18" s="2002">
        <f>IFERROR(GETPIVOTDATA("合計 / 売上",【ピボット】事業所収支!$A$3,"年月",C$3,"事業所",$A18),0)</f>
        <v>3011624</v>
      </c>
      <c r="D18" s="2002">
        <f>IFERROR(GETPIVOTDATA("合計 / 売上",【ピボット】事業所収支!$A$3,"年月",D$3,"事業所",$A18),0)</f>
        <v>2812785</v>
      </c>
      <c r="E18" s="2002">
        <f>IFERROR(GETPIVOTDATA("合計 / 売上",【ピボット】事業所収支!$A$3,"年月",E$3,"事業所",$A18),0)</f>
        <v>3216466</v>
      </c>
      <c r="F18" s="2002">
        <f>IFERROR(GETPIVOTDATA("合計 / 売上",【ピボット】事業所収支!$A$3,"年月",F$3,"事業所",$A18),0)</f>
        <v>3129590</v>
      </c>
      <c r="G18" s="2002">
        <f>IFERROR(GETPIVOTDATA("合計 / 売上",【ピボット】事業所収支!$A$3,"年月",G$3,"事業所",$A18),0)</f>
        <v>3185656</v>
      </c>
      <c r="H18" s="2002">
        <f>IFERROR(GETPIVOTDATA("合計 / 売上",【ピボット】事業所収支!$A$3,"年月",H$3,"事業所",$A18),0)</f>
        <v>3195164</v>
      </c>
      <c r="I18" s="2002">
        <f>IFERROR(GETPIVOTDATA("合計 / 売上",【ピボット】事業所収支!$A$3,"年月",I$3,"事業所",$A18),0)</f>
        <v>3133826</v>
      </c>
      <c r="J18" s="2002">
        <f>IFERROR(GETPIVOTDATA("合計 / 売上",【ピボット】事業所収支!$A$3,"年月",J$3,"事業所",$A18),0)</f>
        <v>3119675</v>
      </c>
      <c r="K18" s="2002">
        <f>IFERROR(GETPIVOTDATA("合計 / 売上",【ピボット】事業所収支!$A$3,"年月",K$3,"事業所",$A18),0)</f>
        <v>2345767</v>
      </c>
      <c r="L18" s="2002">
        <f>IFERROR(GETPIVOTDATA("合計 / 売上",【ピボット】事業所収支!$A$3,"年月",L$3,"事業所",$A18),0)</f>
        <v>2169663</v>
      </c>
      <c r="M18" s="2002">
        <f>IFERROR(GETPIVOTDATA("合計 / 売上",【ピボット】事業所収支!$A$3,"年月",M$3,"事業所",$A18),0)</f>
        <v>2256558</v>
      </c>
      <c r="N18" s="2002">
        <f>IFERROR(GETPIVOTDATA("合計 / 売上",【ピボット】事業所収支!$A$3,"年月",N$3,"事業所",$A18),0)</f>
        <v>1960949</v>
      </c>
      <c r="O18" s="2002">
        <f>IFERROR(GETPIVOTDATA("合計 / 売上",【ピボット】事業所収支!$A$3,"年月",O$3,"事業所",$A18),0)</f>
        <v>1955643</v>
      </c>
      <c r="P18" s="2002">
        <f>IFERROR(GETPIVOTDATA("合計 / 売上",【ピボット】事業所収支!$A$3,"年月",P$3,"事業所",$A18),0)</f>
        <v>1889542</v>
      </c>
      <c r="Q18" s="2002">
        <f>IFERROR(GETPIVOTDATA("合計 / 売上",【ピボット】事業所収支!$A$3,"年月",Q$3,"事業所",$A18),0)</f>
        <v>1614388</v>
      </c>
      <c r="R18" s="2002">
        <f>IFERROR(GETPIVOTDATA("合計 / 売上",【ピボット】事業所収支!$A$3,"年月",R$3,"事業所",$A18),0)</f>
        <v>1444523</v>
      </c>
      <c r="S18" s="2002">
        <f>IFERROR(GETPIVOTDATA("合計 / 売上",【ピボット】事業所収支!$A$3,"年月",S$3,"事業所",$A18),0)</f>
        <v>1128956</v>
      </c>
      <c r="T18" s="2002">
        <f>IFERROR(GETPIVOTDATA("合計 / 売上",【ピボット】事業所収支!$A$3,"年月",T$3,"事業所",$A18),0)</f>
        <v>0</v>
      </c>
      <c r="U18" s="2002">
        <f>IFERROR(GETPIVOTDATA("合計 / 売上",【ピボット】事業所収支!$A$3,"年月",U$3,"事業所",$A18),0)</f>
        <v>0</v>
      </c>
      <c r="V18" s="2002">
        <f>IFERROR(GETPIVOTDATA("合計 / 売上",【ピボット】事業所収支!$A$3,"年月",V$3,"事業所",$A18),0)</f>
        <v>0</v>
      </c>
      <c r="W18" s="2002">
        <f>IFERROR(GETPIVOTDATA("合計 / 売上",【ピボット】事業所収支!$A$3,"年月",W$3,"事業所",$A18),0)</f>
        <v>0</v>
      </c>
      <c r="X18" s="2002">
        <f>IFERROR(GETPIVOTDATA("合計 / 売上",【ピボット】事業所収支!$A$3,"年月",X$3,"事業所",$A18),0)</f>
        <v>0</v>
      </c>
      <c r="Y18" s="2002">
        <f>IFERROR(GETPIVOTDATA("合計 / 売上",【ピボット】事業所収支!$A$3,"年月",Y$3,"事業所",$A18),0)</f>
        <v>0</v>
      </c>
      <c r="Z18" s="2002">
        <f>IFERROR(GETPIVOTDATA("合計 / 売上",【ピボット】事業所収支!$A$3,"年月",Z$3,"事業所",$A18),0)</f>
        <v>0</v>
      </c>
      <c r="AA18" s="572">
        <f t="shared" si="7"/>
        <v>8033052</v>
      </c>
      <c r="AB18" s="573">
        <f t="shared" si="2"/>
        <v>669421</v>
      </c>
      <c r="AC18" s="574">
        <f t="shared" si="1"/>
        <v>2794810.25</v>
      </c>
      <c r="AD18" s="575">
        <f t="shared" si="3"/>
        <v>1338842</v>
      </c>
      <c r="AE18" s="575">
        <f t="shared" si="4"/>
        <v>0</v>
      </c>
      <c r="AF18" s="576">
        <f t="shared" si="5"/>
        <v>0</v>
      </c>
      <c r="AG18" s="577">
        <f t="shared" si="6"/>
        <v>0</v>
      </c>
    </row>
    <row r="19" spans="1:48" ht="36" customHeight="1" thickBot="1" x14ac:dyDescent="0.2">
      <c r="B19" s="62" t="s">
        <v>64</v>
      </c>
      <c r="C19" s="2003">
        <f t="shared" ref="C19:Y19" si="23">SUM(C4:C16,C18)</f>
        <v>32703033</v>
      </c>
      <c r="D19" s="2003">
        <f t="shared" si="23"/>
        <v>36915821</v>
      </c>
      <c r="E19" s="2003">
        <f t="shared" si="23"/>
        <v>36080296</v>
      </c>
      <c r="F19" s="2003">
        <f t="shared" si="23"/>
        <v>34899186</v>
      </c>
      <c r="G19" s="2003">
        <f t="shared" si="23"/>
        <v>35916200</v>
      </c>
      <c r="H19" s="2003">
        <f t="shared" si="23"/>
        <v>37696511</v>
      </c>
      <c r="I19" s="2003">
        <f t="shared" si="23"/>
        <v>35721077</v>
      </c>
      <c r="J19" s="2003">
        <f t="shared" si="23"/>
        <v>35713004</v>
      </c>
      <c r="K19" s="2003">
        <f t="shared" si="23"/>
        <v>34507019</v>
      </c>
      <c r="L19" s="2003">
        <f t="shared" si="23"/>
        <v>33718137</v>
      </c>
      <c r="M19" s="2003">
        <f t="shared" si="23"/>
        <v>35034097</v>
      </c>
      <c r="N19" s="2003">
        <f t="shared" si="23"/>
        <v>39122247</v>
      </c>
      <c r="O19" s="2003">
        <f t="shared" si="23"/>
        <v>39669030</v>
      </c>
      <c r="P19" s="2003">
        <f t="shared" si="23"/>
        <v>36072718</v>
      </c>
      <c r="Q19" s="2003">
        <f t="shared" si="23"/>
        <v>38549836</v>
      </c>
      <c r="R19" s="2004">
        <f t="shared" si="23"/>
        <v>36710781</v>
      </c>
      <c r="S19" s="2004">
        <f t="shared" si="23"/>
        <v>37521491</v>
      </c>
      <c r="T19" s="2004">
        <f t="shared" si="23"/>
        <v>41221792</v>
      </c>
      <c r="U19" s="2004">
        <f t="shared" si="23"/>
        <v>42264853</v>
      </c>
      <c r="V19" s="2004">
        <f t="shared" si="23"/>
        <v>40284538</v>
      </c>
      <c r="W19" s="2004">
        <f t="shared" si="23"/>
        <v>39982277</v>
      </c>
      <c r="X19" s="2004">
        <f>SUM(X4:X16,X18)</f>
        <v>38690450</v>
      </c>
      <c r="Y19" s="2004">
        <f t="shared" si="23"/>
        <v>40045253</v>
      </c>
      <c r="Z19" s="2004">
        <f>SUM(Z4:Z16,Z18)</f>
        <v>41864718</v>
      </c>
      <c r="AA19" s="578">
        <f>SUM(O19:Z19)</f>
        <v>472877737</v>
      </c>
      <c r="AB19" s="561">
        <f>AVERAGE(O19:Z19)</f>
        <v>39406478.083333336</v>
      </c>
      <c r="AC19" s="562">
        <f>AVERAGE(C19:N19)</f>
        <v>35668885.666666664</v>
      </c>
      <c r="AD19" s="563">
        <f>AVERAGE(O19:T19)</f>
        <v>38290941.333333336</v>
      </c>
      <c r="AE19" s="563">
        <f>AVERAGE(U19:Z19)</f>
        <v>40522014.833333336</v>
      </c>
      <c r="AF19" s="564">
        <f>AVERAGE(U19:W19)</f>
        <v>40843889.333333336</v>
      </c>
      <c r="AG19" s="565">
        <f>AVERAGE(X19:Z19)</f>
        <v>40200140.333333336</v>
      </c>
    </row>
    <row r="20" spans="1:48" ht="36" customHeight="1" thickBot="1" x14ac:dyDescent="0.2">
      <c r="B20" s="1996" t="s">
        <v>1142</v>
      </c>
      <c r="C20" s="2003">
        <f>IFERROR(GETPIVOTDATA("合計 / 人件費",【ピボット】事業所収支!$A$3,"年月",C$3),0)
+IFERROR(GETPIVOTDATA("合計 / 事業所経費計",【ピボット】事業所収支!$A$3,"年月",C$3),0)
-IFERROR(GETPIVOTDATA("合計 / 期末調整",【ピボット】事業所収支!$A$3,"年月",C$3),0)</f>
        <v>28961864</v>
      </c>
      <c r="D20" s="2003">
        <f>IFERROR(GETPIVOTDATA("合計 / 人件費",【ピボット】事業所収支!$A$3,"年月",D$3),0)
+IFERROR(GETPIVOTDATA("合計 / 事業所経費計",【ピボット】事業所収支!$A$3,"年月",D$3),0)
-IFERROR(GETPIVOTDATA("合計 / 期末調整",【ピボット】事業所収支!$A$3,"年月",D$3),0)</f>
        <v>34081284</v>
      </c>
      <c r="E20" s="2003">
        <f>IFERROR(GETPIVOTDATA("合計 / 人件費",【ピボット】事業所収支!$A$3,"年月",E$3),0)
+IFERROR(GETPIVOTDATA("合計 / 事業所経費計",【ピボット】事業所収支!$A$3,"年月",E$3),0)
-IFERROR(GETPIVOTDATA("合計 / 期末調整",【ピボット】事業所収支!$A$3,"年月",E$3),0)</f>
        <v>31034245</v>
      </c>
      <c r="F20" s="2003">
        <f>IFERROR(GETPIVOTDATA("合計 / 人件費",【ピボット】事業所収支!$A$3,"年月",F$3),0)
+IFERROR(GETPIVOTDATA("合計 / 事業所経費計",【ピボット】事業所収支!$A$3,"年月",F$3),0)
-IFERROR(GETPIVOTDATA("合計 / 期末調整",【ピボット】事業所収支!$A$3,"年月",F$3),0)</f>
        <v>32506840</v>
      </c>
      <c r="G20" s="2003">
        <f>IFERROR(GETPIVOTDATA("合計 / 人件費",【ピボット】事業所収支!$A$3,"年月",G$3),0)
+IFERROR(GETPIVOTDATA("合計 / 事業所経費計",【ピボット】事業所収支!$A$3,"年月",G$3),0)
-IFERROR(GETPIVOTDATA("合計 / 期末調整",【ピボット】事業所収支!$A$3,"年月",G$3),0)</f>
        <v>29734471</v>
      </c>
      <c r="H20" s="2003">
        <f>IFERROR(GETPIVOTDATA("合計 / 人件費",【ピボット】事業所収支!$A$3,"年月",H$3),0)
+IFERROR(GETPIVOTDATA("合計 / 事業所経費計",【ピボット】事業所収支!$A$3,"年月",H$3),0)
-IFERROR(GETPIVOTDATA("合計 / 期末調整",【ピボット】事業所収支!$A$3,"年月",H$3),0)</f>
        <v>31049754</v>
      </c>
      <c r="I20" s="2003">
        <f>IFERROR(GETPIVOTDATA("合計 / 人件費",【ピボット】事業所収支!$A$3,"年月",I$3),0)
+IFERROR(GETPIVOTDATA("合計 / 事業所経費計",【ピボット】事業所収支!$A$3,"年月",I$3),0)
-IFERROR(GETPIVOTDATA("合計 / 期末調整",【ピボット】事業所収支!$A$3,"年月",I$3),0)</f>
        <v>32679182</v>
      </c>
      <c r="J20" s="2003">
        <f>IFERROR(GETPIVOTDATA("合計 / 人件費",【ピボット】事業所収支!$A$3,"年月",J$3),0)
+IFERROR(GETPIVOTDATA("合計 / 事業所経費計",【ピボット】事業所収支!$A$3,"年月",J$3),0)
-IFERROR(GETPIVOTDATA("合計 / 期末調整",【ピボット】事業所収支!$A$3,"年月",J$3),0)</f>
        <v>44370795</v>
      </c>
      <c r="K20" s="2003">
        <f>IFERROR(GETPIVOTDATA("合計 / 人件費",【ピボット】事業所収支!$A$3,"年月",K$3),0)
+IFERROR(GETPIVOTDATA("合計 / 事業所経費計",【ピボット】事業所収支!$A$3,"年月",K$3),0)
-IFERROR(GETPIVOTDATA("合計 / 期末調整",【ピボット】事業所収支!$A$3,"年月",K$3),0)</f>
        <v>36679394</v>
      </c>
      <c r="L20" s="2003">
        <f>IFERROR(GETPIVOTDATA("合計 / 人件費",【ピボット】事業所収支!$A$3,"年月",L$3),0)
+IFERROR(GETPIVOTDATA("合計 / 事業所経費計",【ピボット】事業所収支!$A$3,"年月",L$3),0)
-IFERROR(GETPIVOTDATA("合計 / 期末調整",【ピボット】事業所収支!$A$3,"年月",L$3),0)</f>
        <v>31197700</v>
      </c>
      <c r="M20" s="2003">
        <f>IFERROR(GETPIVOTDATA("合計 / 人件費",【ピボット】事業所収支!$A$3,"年月",M$3),0)
+IFERROR(GETPIVOTDATA("合計 / 事業所経費計",【ピボット】事業所収支!$A$3,"年月",M$3),0)
-IFERROR(GETPIVOTDATA("合計 / 期末調整",【ピボット】事業所収支!$A$3,"年月",M$3),0)</f>
        <v>34351833</v>
      </c>
      <c r="N20" s="2003">
        <f>IFERROR(GETPIVOTDATA("合計 / 人件費",【ピボット】事業所収支!$A$3,"年月",N$3),0)
+IFERROR(GETPIVOTDATA("合計 / 事業所経費計",【ピボット】事業所収支!$A$3,"年月",N$3),0)
-IFERROR(GETPIVOTDATA("合計 / 期末調整",【ピボット】事業所収支!$A$3,"年月",N$3),0)</f>
        <v>34444276</v>
      </c>
      <c r="O20" s="2003">
        <f>IFERROR(GETPIVOTDATA("合計 / 人件費",【ピボット】事業所収支!$A$3,"年月",O$3),0)
+IFERROR(GETPIVOTDATA("合計 / 事業所経費計",【ピボット】事業所収支!$A$3,"年月",O$3),0)
-IFERROR(GETPIVOTDATA("合計 / 期末調整",【ピボット】事業所収支!$A$3,"年月",O$3),0)</f>
        <v>34123721</v>
      </c>
      <c r="P20" s="2003">
        <f>IFERROR(GETPIVOTDATA("合計 / 人件費",【ピボット】事業所収支!$A$3,"年月",P$3),0)
+IFERROR(GETPIVOTDATA("合計 / 事業所経費計",【ピボット】事業所収支!$A$3,"年月",P$3),0)
-IFERROR(GETPIVOTDATA("合計 / 期末調整",【ピボット】事業所収支!$A$3,"年月",P$3),0)</f>
        <v>42950130</v>
      </c>
      <c r="Q20" s="2003">
        <f>IFERROR(GETPIVOTDATA("合計 / 人件費",【ピボット】事業所収支!$A$3,"年月",Q$3),0)
+IFERROR(GETPIVOTDATA("合計 / 事業所経費計",【ピボット】事業所収支!$A$3,"年月",Q$3),0)
-IFERROR(GETPIVOTDATA("合計 / 期末調整",【ピボット】事業所収支!$A$3,"年月",Q$3),0)</f>
        <v>38147174</v>
      </c>
      <c r="R20" s="2004">
        <f>IFERROR(GETPIVOTDATA("合計 / 人件費",【ピボット】事業所収支!$A$3,"年月",R$3),0)
+IFERROR(GETPIVOTDATA("合計 / 事業所経費計",【ピボット】事業所収支!$A$3,"年月",R$3),0)
-IFERROR(GETPIVOTDATA("合計 / 期末調整",【ピボット】事業所収支!$A$3,"年月",R$3),0)</f>
        <v>37818318</v>
      </c>
      <c r="S20" s="2004">
        <f>IFERROR(GETPIVOTDATA("合計 / 人件費",【ピボット】事業所収支!$A$3,"年月",S$3),0)
+IFERROR(GETPIVOTDATA("合計 / 事業所経費計",【ピボット】事業所収支!$A$3,"年月",S$3),0)
-IFERROR(GETPIVOTDATA("合計 / 期末調整",【ピボット】事業所収支!$A$3,"年月",S$3),0)</f>
        <v>35732794</v>
      </c>
      <c r="T20" s="2004">
        <f>IFERROR(GETPIVOTDATA("合計 / 人件費",【ピボット】事業所収支!$A$3,"年月",T$3),0)
+IFERROR(GETPIVOTDATA("合計 / 事業所経費計",【ピボット】事業所収支!$A$3,"年月",T$3),0)
-IFERROR(GETPIVOTDATA("合計 / 期末調整",【ピボット】事業所収支!$A$3,"年月",T$3),0)</f>
        <v>41068513</v>
      </c>
      <c r="U20" s="2004">
        <f>IFERROR(GETPIVOTDATA("合計 / 人件費",【ピボット】事業所収支!$A$3,"年月",U$3),0)
+IFERROR(GETPIVOTDATA("合計 / 事業所経費計",【ピボット】事業所収支!$A$3,"年月",U$3),0)
-IFERROR(GETPIVOTDATA("合計 / 期末調整",【ピボット】事業所収支!$A$3,"年月",U$3),0)</f>
        <v>38014623</v>
      </c>
      <c r="V20" s="2004">
        <f>IFERROR(GETPIVOTDATA("合計 / 人件費",【ピボット】事業所収支!$A$3,"年月",V$3),0)
+IFERROR(GETPIVOTDATA("合計 / 事業所経費計",【ピボット】事業所収支!$A$3,"年月",V$3),0)
-IFERROR(GETPIVOTDATA("合計 / 期末調整",【ピボット】事業所収支!$A$3,"年月",V$3),0)</f>
        <v>51586693</v>
      </c>
      <c r="W20" s="2004">
        <f>IFERROR(GETPIVOTDATA("合計 / 人件費",【ピボット】事業所収支!$A$3,"年月",W$3),0)
+IFERROR(GETPIVOTDATA("合計 / 事業所経費計",【ピボット】事業所収支!$A$3,"年月",W$3),0)
-IFERROR(GETPIVOTDATA("合計 / 期末調整",【ピボット】事業所収支!$A$3,"年月",W$3),0)</f>
        <v>37043342</v>
      </c>
      <c r="X20" s="2004">
        <f>IFERROR(GETPIVOTDATA("合計 / 人件費",【ピボット】事業所収支!$A$3,"年月",X$3),0)
+IFERROR(GETPIVOTDATA("合計 / 事業所経費計",【ピボット】事業所収支!$A$3,"年月",X$3),0)
-IFERROR(GETPIVOTDATA("合計 / 期末調整",【ピボット】事業所収支!$A$3,"年月",X$3),0)</f>
        <v>35933766</v>
      </c>
      <c r="Y20" s="2004">
        <f>IFERROR(GETPIVOTDATA("合計 / 人件費",【ピボット】事業所収支!$A$3,"年月",Y$3),0)
+IFERROR(GETPIVOTDATA("合計 / 事業所経費計",【ピボット】事業所収支!$A$3,"年月",Y$3),0)
-IFERROR(GETPIVOTDATA("合計 / 期末調整",【ピボット】事業所収支!$A$3,"年月",Y$3),0)</f>
        <v>35468722</v>
      </c>
      <c r="Z20" s="2004">
        <f>IFERROR(GETPIVOTDATA("合計 / 人件費",【ピボット】事業所収支!$A$3,"年月",Z$3),0)
+IFERROR(GETPIVOTDATA("合計 / 事業所経費計",【ピボット】事業所収支!$A$3,"年月",Z$3),0)
-IFERROR(GETPIVOTDATA("合計 / 期末調整",【ピボット】事業所収支!$A$3,"年月",Z$3),0)</f>
        <v>36363783</v>
      </c>
      <c r="AA20" s="578">
        <f>SUM(O20:Z20)</f>
        <v>464251579</v>
      </c>
      <c r="AB20" s="561">
        <f t="shared" si="2"/>
        <v>38687631.583333336</v>
      </c>
      <c r="AC20" s="562">
        <f t="shared" si="1"/>
        <v>33424303.166666668</v>
      </c>
      <c r="AD20" s="563">
        <f t="shared" si="3"/>
        <v>38306775</v>
      </c>
      <c r="AE20" s="563">
        <f t="shared" si="4"/>
        <v>39068488.166666664</v>
      </c>
      <c r="AF20" s="564">
        <f t="shared" si="5"/>
        <v>42214886</v>
      </c>
      <c r="AG20" s="565">
        <f t="shared" si="6"/>
        <v>35922090.333333336</v>
      </c>
    </row>
    <row r="21" spans="1:48" ht="36" customHeight="1" thickBot="1" x14ac:dyDescent="0.2">
      <c r="B21" s="63" t="s">
        <v>65</v>
      </c>
      <c r="C21" s="2005">
        <f>C19-C20</f>
        <v>3741169</v>
      </c>
      <c r="D21" s="2005">
        <f t="shared" ref="D21:K21" si="24">D19-D20</f>
        <v>2834537</v>
      </c>
      <c r="E21" s="2005">
        <f t="shared" si="24"/>
        <v>5046051</v>
      </c>
      <c r="F21" s="2005">
        <f t="shared" si="24"/>
        <v>2392346</v>
      </c>
      <c r="G21" s="2005">
        <f t="shared" si="24"/>
        <v>6181729</v>
      </c>
      <c r="H21" s="2005">
        <f>H19-H20</f>
        <v>6646757</v>
      </c>
      <c r="I21" s="2005">
        <f>I19-I20</f>
        <v>3041895</v>
      </c>
      <c r="J21" s="2005">
        <f t="shared" si="24"/>
        <v>-8657791</v>
      </c>
      <c r="K21" s="2005">
        <f t="shared" si="24"/>
        <v>-2172375</v>
      </c>
      <c r="L21" s="2005">
        <f>L19-L20</f>
        <v>2520437</v>
      </c>
      <c r="M21" s="2005">
        <f t="shared" ref="M21:U21" si="25">M19-M20</f>
        <v>682264</v>
      </c>
      <c r="N21" s="2005">
        <f t="shared" si="25"/>
        <v>4677971</v>
      </c>
      <c r="O21" s="2005">
        <f t="shared" si="25"/>
        <v>5545309</v>
      </c>
      <c r="P21" s="2005">
        <f t="shared" si="25"/>
        <v>-6877412</v>
      </c>
      <c r="Q21" s="2005">
        <f t="shared" si="25"/>
        <v>402662</v>
      </c>
      <c r="R21" s="2006">
        <f t="shared" si="25"/>
        <v>-1107537</v>
      </c>
      <c r="S21" s="2006">
        <f t="shared" si="25"/>
        <v>1788697</v>
      </c>
      <c r="T21" s="2006">
        <f t="shared" si="25"/>
        <v>153279</v>
      </c>
      <c r="U21" s="2006">
        <f t="shared" si="25"/>
        <v>4250230</v>
      </c>
      <c r="V21" s="2006">
        <f>V19-V20</f>
        <v>-11302155</v>
      </c>
      <c r="W21" s="2006">
        <f>W19-W20</f>
        <v>2938935</v>
      </c>
      <c r="X21" s="2006">
        <f>X19-X20</f>
        <v>2756684</v>
      </c>
      <c r="Y21" s="2006">
        <f>Y19-Y20</f>
        <v>4576531</v>
      </c>
      <c r="Z21" s="2006">
        <f>Z19-Z20</f>
        <v>5500935</v>
      </c>
      <c r="AA21" s="579">
        <f t="shared" si="7"/>
        <v>8626158</v>
      </c>
      <c r="AB21" s="580">
        <f t="shared" si="2"/>
        <v>718846.5</v>
      </c>
      <c r="AC21" s="581">
        <f t="shared" si="1"/>
        <v>2244582.5</v>
      </c>
      <c r="AD21" s="582">
        <f t="shared" si="3"/>
        <v>-15833.666666666666</v>
      </c>
      <c r="AE21" s="582">
        <f t="shared" si="4"/>
        <v>1453526.6666666667</v>
      </c>
      <c r="AF21" s="583">
        <f t="shared" si="5"/>
        <v>-1370996.6666666667</v>
      </c>
      <c r="AG21" s="584">
        <f t="shared" si="6"/>
        <v>4278050</v>
      </c>
    </row>
    <row r="22" spans="1:48" ht="36" customHeight="1" thickBot="1" x14ac:dyDescent="0.2">
      <c r="B22" s="1997" t="s">
        <v>1490</v>
      </c>
      <c r="C22" s="2005">
        <f>$AB19</f>
        <v>39406478.083333336</v>
      </c>
      <c r="D22" s="2005">
        <f t="shared" ref="D22:Z22" si="26">$AB19</f>
        <v>39406478.083333336</v>
      </c>
      <c r="E22" s="2005">
        <f t="shared" si="26"/>
        <v>39406478.083333336</v>
      </c>
      <c r="F22" s="2005">
        <f t="shared" si="26"/>
        <v>39406478.083333336</v>
      </c>
      <c r="G22" s="2005">
        <f t="shared" si="26"/>
        <v>39406478.083333336</v>
      </c>
      <c r="H22" s="2005">
        <f t="shared" si="26"/>
        <v>39406478.083333336</v>
      </c>
      <c r="I22" s="2005">
        <f t="shared" si="26"/>
        <v>39406478.083333336</v>
      </c>
      <c r="J22" s="2005">
        <f t="shared" si="26"/>
        <v>39406478.083333336</v>
      </c>
      <c r="K22" s="2005">
        <f t="shared" si="26"/>
        <v>39406478.083333336</v>
      </c>
      <c r="L22" s="2005">
        <f t="shared" si="26"/>
        <v>39406478.083333336</v>
      </c>
      <c r="M22" s="2005">
        <f t="shared" si="26"/>
        <v>39406478.083333336</v>
      </c>
      <c r="N22" s="2005">
        <f t="shared" si="26"/>
        <v>39406478.083333336</v>
      </c>
      <c r="O22" s="2005">
        <f t="shared" si="26"/>
        <v>39406478.083333336</v>
      </c>
      <c r="P22" s="2005">
        <f t="shared" si="26"/>
        <v>39406478.083333336</v>
      </c>
      <c r="Q22" s="2005">
        <f t="shared" si="26"/>
        <v>39406478.083333336</v>
      </c>
      <c r="R22" s="2006">
        <f t="shared" si="26"/>
        <v>39406478.083333336</v>
      </c>
      <c r="S22" s="2006">
        <f t="shared" si="26"/>
        <v>39406478.083333336</v>
      </c>
      <c r="T22" s="2006">
        <f t="shared" si="26"/>
        <v>39406478.083333336</v>
      </c>
      <c r="U22" s="2006">
        <f t="shared" si="26"/>
        <v>39406478.083333336</v>
      </c>
      <c r="V22" s="2006">
        <f t="shared" si="26"/>
        <v>39406478.083333336</v>
      </c>
      <c r="W22" s="2006">
        <f t="shared" si="26"/>
        <v>39406478.083333336</v>
      </c>
      <c r="X22" s="2006">
        <f t="shared" si="26"/>
        <v>39406478.083333336</v>
      </c>
      <c r="Y22" s="2006">
        <f t="shared" si="26"/>
        <v>39406478.083333336</v>
      </c>
      <c r="Z22" s="2006">
        <f t="shared" si="26"/>
        <v>39406478.083333336</v>
      </c>
      <c r="AA22" s="2007"/>
      <c r="AB22" s="2008"/>
      <c r="AC22" s="2009"/>
      <c r="AD22" s="2010"/>
      <c r="AE22" s="2010"/>
      <c r="AF22" s="2011"/>
      <c r="AG22" s="2012"/>
    </row>
    <row r="23" spans="1:48" ht="18.75" customHeight="1" x14ac:dyDescent="0.15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</row>
    <row r="24" spans="1:48" ht="30" customHeight="1" x14ac:dyDescent="0.15">
      <c r="C24" s="54" t="s">
        <v>80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</row>
    <row r="25" spans="1:48" x14ac:dyDescent="0.15">
      <c r="AS25" t="s">
        <v>281</v>
      </c>
    </row>
    <row r="26" spans="1:48" x14ac:dyDescent="0.15">
      <c r="AV26" t="s">
        <v>282</v>
      </c>
    </row>
    <row r="29" spans="1:48" x14ac:dyDescent="0.15">
      <c r="AQ29" t="s">
        <v>485</v>
      </c>
    </row>
    <row r="30" spans="1:48" x14ac:dyDescent="0.15">
      <c r="AQ30" t="s">
        <v>486</v>
      </c>
    </row>
    <row r="58" ht="43.5" customHeight="1" x14ac:dyDescent="0.15"/>
    <row r="65" spans="3:3" ht="54.75" customHeight="1" x14ac:dyDescent="0.15"/>
    <row r="67" spans="3:3" ht="31.5" customHeight="1" x14ac:dyDescent="0.15">
      <c r="C67" s="20" t="s">
        <v>134</v>
      </c>
    </row>
    <row r="104" ht="18" hidden="1" customHeight="1" x14ac:dyDescent="0.15"/>
    <row r="105" ht="18" hidden="1" customHeight="1" x14ac:dyDescent="0.15"/>
    <row r="106" ht="18" hidden="1" customHeight="1" x14ac:dyDescent="0.15"/>
    <row r="107" ht="18" hidden="1" customHeight="1" x14ac:dyDescent="0.15"/>
    <row r="108" ht="18" hidden="1" customHeight="1" x14ac:dyDescent="0.15"/>
    <row r="109" ht="18" hidden="1" customHeight="1" x14ac:dyDescent="0.15"/>
    <row r="110" ht="18" hidden="1" customHeight="1" x14ac:dyDescent="0.15"/>
    <row r="111" ht="18" hidden="1" customHeight="1" x14ac:dyDescent="0.15"/>
    <row r="112" ht="18" hidden="1" customHeight="1" x14ac:dyDescent="0.15"/>
    <row r="113" ht="18" hidden="1" customHeight="1" x14ac:dyDescent="0.15"/>
    <row r="114" ht="18" hidden="1" customHeight="1" x14ac:dyDescent="0.15"/>
    <row r="115" ht="18" hidden="1" customHeight="1" x14ac:dyDescent="0.15"/>
    <row r="116" ht="18" hidden="1" customHeight="1" x14ac:dyDescent="0.15"/>
    <row r="117" ht="18" hidden="1" customHeight="1" x14ac:dyDescent="0.15"/>
    <row r="127" ht="18.75" customHeight="1" x14ac:dyDescent="0.15"/>
    <row r="128" ht="18.75" customHeight="1" x14ac:dyDescent="0.15"/>
    <row r="129" spans="18:21" ht="18.75" customHeight="1" x14ac:dyDescent="0.15"/>
    <row r="130" spans="18:21" ht="18.75" customHeight="1" x14ac:dyDescent="0.15"/>
    <row r="131" spans="18:21" ht="18.75" customHeight="1" x14ac:dyDescent="0.15"/>
    <row r="132" spans="18:21" ht="18.75" customHeight="1" x14ac:dyDescent="0.15">
      <c r="R132" s="2031" t="s">
        <v>257</v>
      </c>
      <c r="S132" s="2034"/>
      <c r="T132" s="2034"/>
      <c r="U132" s="2034"/>
    </row>
    <row r="133" spans="18:21" ht="18.75" customHeight="1" x14ac:dyDescent="0.15">
      <c r="R133" s="2032" t="s">
        <v>263</v>
      </c>
      <c r="S133" s="2032" t="s">
        <v>261</v>
      </c>
      <c r="T133" s="2032" t="s">
        <v>262</v>
      </c>
      <c r="U133" s="2032" t="s">
        <v>257</v>
      </c>
    </row>
    <row r="134" spans="18:21" ht="18.75" customHeight="1" x14ac:dyDescent="0.15">
      <c r="R134" s="2033" t="s">
        <v>258</v>
      </c>
      <c r="S134" s="2035">
        <f>AC5</f>
        <v>10070241.5</v>
      </c>
      <c r="T134" s="2035">
        <f>AB5</f>
        <v>11669673.333333334</v>
      </c>
      <c r="U134" s="2036">
        <f>T134/S134-1</f>
        <v>0.15882755476453414</v>
      </c>
    </row>
    <row r="135" spans="18:21" ht="18.75" customHeight="1" x14ac:dyDescent="0.15">
      <c r="R135" s="2033" t="s">
        <v>259</v>
      </c>
      <c r="S135" s="2035">
        <f>AD5</f>
        <v>10874050.166666666</v>
      </c>
      <c r="T135" s="2035">
        <f>AE5</f>
        <v>12465296.5</v>
      </c>
      <c r="U135" s="2036">
        <f>T135/S135-1</f>
        <v>0.14633428289775074</v>
      </c>
    </row>
    <row r="136" spans="18:21" ht="18.75" customHeight="1" x14ac:dyDescent="0.15">
      <c r="R136" s="2033" t="s">
        <v>260</v>
      </c>
      <c r="S136" s="2035">
        <f>AF5</f>
        <v>12536862.666666666</v>
      </c>
      <c r="T136" s="2035">
        <f>AG5</f>
        <v>12393730.333333334</v>
      </c>
      <c r="U136" s="2036">
        <f>T136/S136-1</f>
        <v>-1.1416918023190559E-2</v>
      </c>
    </row>
    <row r="137" spans="18:21" ht="18.75" customHeight="1" x14ac:dyDescent="0.15">
      <c r="R137" s="2033" t="s">
        <v>264</v>
      </c>
      <c r="S137" s="2035">
        <f>T134</f>
        <v>11669673.333333334</v>
      </c>
      <c r="T137" s="2035">
        <f>T136</f>
        <v>12393730.333333334</v>
      </c>
      <c r="U137" s="2036">
        <f>T137/S137-1</f>
        <v>6.2046038420955574E-2</v>
      </c>
    </row>
    <row r="138" spans="18:21" ht="18.75" customHeight="1" x14ac:dyDescent="0.15">
      <c r="R138" s="1468"/>
      <c r="S138" s="1468"/>
      <c r="T138" s="1468"/>
      <c r="U138" s="1468"/>
    </row>
    <row r="139" spans="18:21" ht="18.75" customHeight="1" x14ac:dyDescent="0.15">
      <c r="R139" s="1468"/>
      <c r="S139" s="1468"/>
      <c r="T139" s="1468"/>
      <c r="U139" s="1468"/>
    </row>
    <row r="140" spans="18:21" ht="18.75" customHeight="1" x14ac:dyDescent="0.15">
      <c r="R140" s="1468"/>
      <c r="S140" s="1468"/>
      <c r="T140" s="1468"/>
      <c r="U140" s="1468"/>
    </row>
    <row r="141" spans="18:21" ht="18.75" customHeight="1" x14ac:dyDescent="0.15">
      <c r="R141" s="1468"/>
      <c r="S141" s="1468"/>
      <c r="T141" s="1468"/>
      <c r="U141" s="1468"/>
    </row>
    <row r="142" spans="18:21" ht="18.75" customHeight="1" x14ac:dyDescent="0.15">
      <c r="R142" s="1468"/>
      <c r="S142" s="1468"/>
      <c r="T142" s="1468"/>
      <c r="U142" s="1468"/>
    </row>
    <row r="143" spans="18:21" ht="18.75" customHeight="1" x14ac:dyDescent="0.15">
      <c r="R143" s="1468"/>
      <c r="S143" s="1468"/>
      <c r="T143" s="1468"/>
      <c r="U143" s="1468"/>
    </row>
    <row r="144" spans="18:21" ht="18.75" customHeight="1" x14ac:dyDescent="0.15">
      <c r="R144" s="1468"/>
      <c r="S144" s="1468"/>
      <c r="T144" s="1468"/>
      <c r="U144" s="1468"/>
    </row>
    <row r="145" spans="18:21" ht="18.75" customHeight="1" x14ac:dyDescent="0.15">
      <c r="R145" s="1468"/>
      <c r="S145" s="1468"/>
      <c r="T145" s="1468"/>
      <c r="U145" s="1468"/>
    </row>
    <row r="146" spans="18:21" ht="18.75" customHeight="1" x14ac:dyDescent="0.15">
      <c r="R146" s="1468"/>
      <c r="S146" s="1468"/>
      <c r="T146" s="1468"/>
      <c r="U146" s="1468"/>
    </row>
    <row r="147" spans="18:21" ht="18.75" customHeight="1" x14ac:dyDescent="0.15">
      <c r="R147" s="1468"/>
      <c r="S147" s="1468"/>
      <c r="T147" s="1468"/>
      <c r="U147" s="1468"/>
    </row>
    <row r="148" spans="18:21" ht="18.75" customHeight="1" x14ac:dyDescent="0.15">
      <c r="R148" s="1468"/>
      <c r="S148" s="1468"/>
      <c r="T148" s="1468"/>
      <c r="U148" s="1468"/>
    </row>
    <row r="149" spans="18:21" ht="18.75" customHeight="1" x14ac:dyDescent="0.15">
      <c r="R149" s="1468"/>
      <c r="S149" s="1468"/>
      <c r="T149" s="1468"/>
      <c r="U149" s="1468"/>
    </row>
    <row r="150" spans="18:21" ht="18.75" customHeight="1" x14ac:dyDescent="0.15">
      <c r="R150" s="2031" t="s">
        <v>257</v>
      </c>
      <c r="S150" s="2034"/>
      <c r="T150" s="2034"/>
      <c r="U150" s="2034"/>
    </row>
    <row r="151" spans="18:21" ht="18.75" customHeight="1" x14ac:dyDescent="0.15">
      <c r="R151" s="2032" t="s">
        <v>263</v>
      </c>
      <c r="S151" s="2032" t="s">
        <v>261</v>
      </c>
      <c r="T151" s="2032" t="s">
        <v>262</v>
      </c>
      <c r="U151" s="2032" t="s">
        <v>257</v>
      </c>
    </row>
    <row r="152" spans="18:21" ht="18.75" customHeight="1" x14ac:dyDescent="0.15">
      <c r="R152" s="2033" t="s">
        <v>258</v>
      </c>
      <c r="S152" s="2035">
        <f>AC6</f>
        <v>5864970.5</v>
      </c>
      <c r="T152" s="2035">
        <f>AB6</f>
        <v>6426477.083333333</v>
      </c>
      <c r="U152" s="2036">
        <f>T152/S152-1</f>
        <v>9.5739029434731782E-2</v>
      </c>
    </row>
    <row r="153" spans="18:21" ht="18.75" customHeight="1" x14ac:dyDescent="0.15">
      <c r="R153" s="2033" t="s">
        <v>259</v>
      </c>
      <c r="S153" s="2035">
        <f>AD6</f>
        <v>6537126.666666667</v>
      </c>
      <c r="T153" s="2035">
        <f>AE6</f>
        <v>6315827.5</v>
      </c>
      <c r="U153" s="2036">
        <f>T153/S153-1</f>
        <v>-3.3852666156078848E-2</v>
      </c>
    </row>
    <row r="154" spans="18:21" ht="18.75" customHeight="1" x14ac:dyDescent="0.15">
      <c r="R154" s="2033" t="s">
        <v>260</v>
      </c>
      <c r="S154" s="2035">
        <f>AF6</f>
        <v>6634789.333333333</v>
      </c>
      <c r="T154" s="2035">
        <f>AG6</f>
        <v>5996865.666666667</v>
      </c>
      <c r="U154" s="2036">
        <f>T154/S154-1</f>
        <v>-9.6148292676260683E-2</v>
      </c>
    </row>
    <row r="155" spans="18:21" ht="18.75" customHeight="1" x14ac:dyDescent="0.15">
      <c r="R155" s="2033" t="s">
        <v>264</v>
      </c>
      <c r="S155" s="2035">
        <f>T152</f>
        <v>6426477.083333333</v>
      </c>
      <c r="T155" s="2035">
        <f>T154</f>
        <v>5996865.666666667</v>
      </c>
      <c r="U155" s="2036">
        <f>T155/S155-1</f>
        <v>-6.6850221528189424E-2</v>
      </c>
    </row>
    <row r="156" spans="18:21" ht="18.75" customHeight="1" x14ac:dyDescent="0.15">
      <c r="R156" s="1468"/>
      <c r="S156" s="1468"/>
      <c r="T156" s="1468"/>
      <c r="U156" s="1468"/>
    </row>
    <row r="157" spans="18:21" ht="18.75" customHeight="1" x14ac:dyDescent="0.15">
      <c r="R157" s="1468"/>
      <c r="S157" s="1468"/>
      <c r="T157" s="1468"/>
      <c r="U157" s="1468"/>
    </row>
    <row r="158" spans="18:21" ht="18.75" customHeight="1" x14ac:dyDescent="0.15">
      <c r="R158" s="1468"/>
      <c r="S158" s="1468"/>
      <c r="T158" s="1468"/>
      <c r="U158" s="1468"/>
    </row>
    <row r="159" spans="18:21" ht="18.75" customHeight="1" x14ac:dyDescent="0.15">
      <c r="R159" s="1468"/>
      <c r="S159" s="1468"/>
      <c r="T159" s="1468"/>
      <c r="U159" s="1468"/>
    </row>
    <row r="160" spans="18:21" ht="18.75" customHeight="1" x14ac:dyDescent="0.15">
      <c r="R160" s="1468"/>
      <c r="S160" s="1468"/>
      <c r="T160" s="1468"/>
      <c r="U160" s="1468"/>
    </row>
    <row r="161" spans="18:21" ht="18.75" customHeight="1" x14ac:dyDescent="0.15">
      <c r="R161" s="1468"/>
      <c r="S161" s="1468"/>
      <c r="T161" s="1468"/>
      <c r="U161" s="1468"/>
    </row>
    <row r="162" spans="18:21" ht="18.75" customHeight="1" x14ac:dyDescent="0.15">
      <c r="R162" s="1468"/>
      <c r="S162" s="1468"/>
      <c r="T162" s="1468"/>
      <c r="U162" s="1468"/>
    </row>
    <row r="163" spans="18:21" ht="18.75" customHeight="1" x14ac:dyDescent="0.15">
      <c r="R163" s="1468"/>
      <c r="S163" s="1468"/>
      <c r="T163" s="1468"/>
      <c r="U163" s="1468"/>
    </row>
    <row r="164" spans="18:21" ht="18.75" customHeight="1" x14ac:dyDescent="0.15">
      <c r="R164" s="1468"/>
      <c r="S164" s="1468"/>
      <c r="T164" s="1468"/>
      <c r="U164" s="1468"/>
    </row>
    <row r="165" spans="18:21" ht="18.75" customHeight="1" x14ac:dyDescent="0.15">
      <c r="R165" s="1468"/>
      <c r="S165" s="1468"/>
      <c r="T165" s="1468"/>
      <c r="U165" s="1468"/>
    </row>
    <row r="166" spans="18:21" ht="18.75" customHeight="1" x14ac:dyDescent="0.15">
      <c r="R166" s="1468"/>
      <c r="S166" s="1468"/>
      <c r="T166" s="1468"/>
      <c r="U166" s="1468"/>
    </row>
    <row r="167" spans="18:21" ht="18.75" customHeight="1" x14ac:dyDescent="0.15">
      <c r="R167" s="1468"/>
      <c r="S167" s="1468"/>
      <c r="T167" s="1468"/>
      <c r="U167" s="1468"/>
    </row>
    <row r="168" spans="18:21" ht="18.75" customHeight="1" x14ac:dyDescent="0.15">
      <c r="R168" s="2031" t="s">
        <v>257</v>
      </c>
      <c r="S168" s="2034"/>
      <c r="T168" s="2034"/>
      <c r="U168" s="2034"/>
    </row>
    <row r="169" spans="18:21" ht="18.75" customHeight="1" x14ac:dyDescent="0.15">
      <c r="R169" s="2032" t="s">
        <v>263</v>
      </c>
      <c r="S169" s="2032" t="s">
        <v>261</v>
      </c>
      <c r="T169" s="2032" t="s">
        <v>262</v>
      </c>
      <c r="U169" s="2032" t="s">
        <v>257</v>
      </c>
    </row>
    <row r="170" spans="18:21" ht="18.75" customHeight="1" x14ac:dyDescent="0.15">
      <c r="R170" s="2033" t="s">
        <v>258</v>
      </c>
      <c r="S170" s="2035">
        <f>AC7</f>
        <v>5846066.583333333</v>
      </c>
      <c r="T170" s="2035">
        <f>AB7</f>
        <v>6965039.5</v>
      </c>
      <c r="U170" s="2036">
        <f>T170/S170-1</f>
        <v>0.19140611909155614</v>
      </c>
    </row>
    <row r="171" spans="18:21" ht="18.75" customHeight="1" x14ac:dyDescent="0.15">
      <c r="R171" s="2033" t="s">
        <v>259</v>
      </c>
      <c r="S171" s="2035">
        <f>AD7</f>
        <v>6985813.166666667</v>
      </c>
      <c r="T171" s="2035">
        <f>AE7</f>
        <v>6944265.833333333</v>
      </c>
      <c r="U171" s="2036">
        <f>T171/S171-1</f>
        <v>-5.9473868456116907E-3</v>
      </c>
    </row>
    <row r="172" spans="18:21" ht="18.75" customHeight="1" x14ac:dyDescent="0.15">
      <c r="R172" s="2033" t="s">
        <v>260</v>
      </c>
      <c r="S172" s="2035">
        <f>AF7</f>
        <v>7068841</v>
      </c>
      <c r="T172" s="2035">
        <f>AG7</f>
        <v>6819690.666666667</v>
      </c>
      <c r="U172" s="2036">
        <f>T172/S172-1</f>
        <v>-3.524627776085687E-2</v>
      </c>
    </row>
    <row r="173" spans="18:21" ht="18.75" customHeight="1" x14ac:dyDescent="0.15">
      <c r="R173" s="2033" t="s">
        <v>264</v>
      </c>
      <c r="S173" s="2035">
        <f>T170</f>
        <v>6965039.5</v>
      </c>
      <c r="T173" s="2035">
        <f>T172</f>
        <v>6819690.666666667</v>
      </c>
      <c r="U173" s="2036">
        <f>T173/S173-1</f>
        <v>-2.0868343005568502E-2</v>
      </c>
    </row>
    <row r="174" spans="18:21" ht="18.75" customHeight="1" x14ac:dyDescent="0.15">
      <c r="R174" s="1468"/>
      <c r="S174" s="1468"/>
      <c r="T174" s="1468"/>
      <c r="U174" s="1468"/>
    </row>
    <row r="175" spans="18:21" ht="18.75" customHeight="1" x14ac:dyDescent="0.15">
      <c r="R175" s="1468"/>
      <c r="S175" s="1468"/>
      <c r="T175" s="1468"/>
      <c r="U175" s="1468"/>
    </row>
    <row r="176" spans="18:21" ht="18.75" customHeight="1" x14ac:dyDescent="0.15">
      <c r="R176" s="1468"/>
      <c r="S176" s="1468"/>
      <c r="T176" s="1468"/>
      <c r="U176" s="1468"/>
    </row>
    <row r="177" spans="18:21" ht="18.75" customHeight="1" x14ac:dyDescent="0.15">
      <c r="R177" s="1468"/>
      <c r="S177" s="1468"/>
      <c r="T177" s="1468"/>
      <c r="U177" s="1468"/>
    </row>
    <row r="178" spans="18:21" ht="18.75" customHeight="1" x14ac:dyDescent="0.15">
      <c r="R178" s="1468"/>
      <c r="S178" s="1468"/>
      <c r="T178" s="1468"/>
      <c r="U178" s="1468"/>
    </row>
    <row r="179" spans="18:21" ht="18.75" customHeight="1" x14ac:dyDescent="0.15">
      <c r="R179" s="1468"/>
      <c r="S179" s="1468"/>
      <c r="T179" s="1468"/>
      <c r="U179" s="1468"/>
    </row>
    <row r="180" spans="18:21" ht="18.75" customHeight="1" x14ac:dyDescent="0.15">
      <c r="R180" s="1468"/>
      <c r="S180" s="1468"/>
      <c r="T180" s="1468"/>
      <c r="U180" s="1468"/>
    </row>
    <row r="181" spans="18:21" ht="18.75" customHeight="1" x14ac:dyDescent="0.15">
      <c r="R181" s="1468"/>
      <c r="S181" s="1468"/>
      <c r="T181" s="1468"/>
      <c r="U181" s="1468"/>
    </row>
    <row r="182" spans="18:21" ht="18.75" customHeight="1" x14ac:dyDescent="0.15">
      <c r="R182" s="1468"/>
      <c r="S182" s="1468"/>
      <c r="T182" s="1468"/>
      <c r="U182" s="1468"/>
    </row>
    <row r="183" spans="18:21" ht="18.75" customHeight="1" x14ac:dyDescent="0.15">
      <c r="R183" s="1468"/>
      <c r="S183" s="1468"/>
      <c r="T183" s="1468"/>
      <c r="U183" s="1468"/>
    </row>
    <row r="184" spans="18:21" ht="18.75" customHeight="1" x14ac:dyDescent="0.15">
      <c r="R184" s="1468"/>
      <c r="S184" s="1468"/>
      <c r="T184" s="1468"/>
      <c r="U184" s="1468"/>
    </row>
    <row r="185" spans="18:21" ht="18.75" customHeight="1" x14ac:dyDescent="0.15">
      <c r="R185" s="1468"/>
      <c r="S185" s="1468"/>
      <c r="T185" s="1468"/>
      <c r="U185" s="1468"/>
    </row>
    <row r="186" spans="18:21" ht="18.75" customHeight="1" x14ac:dyDescent="0.15">
      <c r="R186" s="2031" t="s">
        <v>257</v>
      </c>
      <c r="S186" s="2034"/>
      <c r="T186" s="2034"/>
      <c r="U186" s="2034"/>
    </row>
    <row r="187" spans="18:21" ht="18.75" customHeight="1" x14ac:dyDescent="0.15">
      <c r="R187" s="2032" t="s">
        <v>263</v>
      </c>
      <c r="S187" s="2032" t="s">
        <v>261</v>
      </c>
      <c r="T187" s="2032" t="s">
        <v>262</v>
      </c>
      <c r="U187" s="2032" t="s">
        <v>257</v>
      </c>
    </row>
    <row r="188" spans="18:21" ht="18.75" customHeight="1" x14ac:dyDescent="0.15">
      <c r="R188" s="2033" t="s">
        <v>258</v>
      </c>
      <c r="S188" s="2035">
        <f>AC8</f>
        <v>0</v>
      </c>
      <c r="T188" s="2035">
        <f>AB8</f>
        <v>759037.16666666663</v>
      </c>
      <c r="U188" s="2036" t="e">
        <f>T188/S188-1</f>
        <v>#DIV/0!</v>
      </c>
    </row>
    <row r="189" spans="18:21" ht="18.75" customHeight="1" x14ac:dyDescent="0.15">
      <c r="R189" s="2033" t="s">
        <v>259</v>
      </c>
      <c r="S189" s="2035">
        <f>AD8</f>
        <v>702269.16666666663</v>
      </c>
      <c r="T189" s="2035">
        <f>AE8</f>
        <v>815805.16666666663</v>
      </c>
      <c r="U189" s="2036">
        <f>T189/S189-1</f>
        <v>0.16167020480039107</v>
      </c>
    </row>
    <row r="190" spans="18:21" ht="18.75" customHeight="1" x14ac:dyDescent="0.15">
      <c r="R190" s="2033" t="s">
        <v>260</v>
      </c>
      <c r="S190" s="2035">
        <f>AF8</f>
        <v>1325911.3333333333</v>
      </c>
      <c r="T190" s="2035">
        <f>AG8</f>
        <v>305699</v>
      </c>
      <c r="U190" s="2036">
        <f>T190/S190-1</f>
        <v>-0.76944235084598422</v>
      </c>
    </row>
    <row r="191" spans="18:21" ht="18.75" customHeight="1" x14ac:dyDescent="0.15">
      <c r="R191" s="2033" t="s">
        <v>264</v>
      </c>
      <c r="S191" s="2035">
        <f>T188</f>
        <v>759037.16666666663</v>
      </c>
      <c r="T191" s="2035">
        <f>T190</f>
        <v>305699</v>
      </c>
      <c r="U191" s="2036">
        <f>T191/S191-1</f>
        <v>-0.59725424073436895</v>
      </c>
    </row>
    <row r="192" spans="18:21" ht="18.75" customHeight="1" x14ac:dyDescent="0.15">
      <c r="R192" s="1468"/>
      <c r="S192" s="1468"/>
      <c r="T192" s="1468"/>
      <c r="U192" s="1468"/>
    </row>
    <row r="193" spans="18:21" ht="18.75" customHeight="1" x14ac:dyDescent="0.15">
      <c r="R193" s="1468"/>
      <c r="S193" s="1468"/>
      <c r="T193" s="1468"/>
      <c r="U193" s="1468"/>
    </row>
    <row r="194" spans="18:21" ht="18.75" customHeight="1" x14ac:dyDescent="0.15">
      <c r="R194" s="1468"/>
      <c r="S194" s="1468"/>
      <c r="T194" s="1468"/>
      <c r="U194" s="1468"/>
    </row>
    <row r="195" spans="18:21" ht="18.75" customHeight="1" x14ac:dyDescent="0.15">
      <c r="R195" s="1468"/>
      <c r="S195" s="1468"/>
      <c r="T195" s="1468"/>
      <c r="U195" s="1468"/>
    </row>
    <row r="196" spans="18:21" ht="18.75" customHeight="1" x14ac:dyDescent="0.15">
      <c r="R196" s="1468"/>
      <c r="S196" s="1468"/>
      <c r="T196" s="1468"/>
      <c r="U196" s="1468"/>
    </row>
    <row r="197" spans="18:21" ht="18.75" customHeight="1" x14ac:dyDescent="0.15">
      <c r="R197" s="1468"/>
      <c r="S197" s="1468"/>
      <c r="T197" s="1468"/>
      <c r="U197" s="1468"/>
    </row>
    <row r="198" spans="18:21" ht="18.75" customHeight="1" x14ac:dyDescent="0.15">
      <c r="R198" s="1468"/>
      <c r="S198" s="1468"/>
      <c r="T198" s="1468"/>
      <c r="U198" s="1468"/>
    </row>
    <row r="199" spans="18:21" ht="18.75" customHeight="1" x14ac:dyDescent="0.15">
      <c r="R199" s="1468"/>
      <c r="S199" s="1468"/>
      <c r="T199" s="1468"/>
      <c r="U199" s="1468"/>
    </row>
    <row r="200" spans="18:21" ht="18.75" customHeight="1" x14ac:dyDescent="0.15">
      <c r="R200" s="1468"/>
      <c r="S200" s="1468"/>
      <c r="T200" s="1468"/>
      <c r="U200" s="1468"/>
    </row>
    <row r="201" spans="18:21" ht="18.75" customHeight="1" x14ac:dyDescent="0.15">
      <c r="R201" s="1468"/>
      <c r="S201" s="1468"/>
      <c r="T201" s="1468"/>
      <c r="U201" s="1468"/>
    </row>
    <row r="202" spans="18:21" ht="18.75" customHeight="1" x14ac:dyDescent="0.15">
      <c r="R202" s="1468"/>
      <c r="S202" s="1468"/>
      <c r="T202" s="1468"/>
      <c r="U202" s="1468"/>
    </row>
    <row r="203" spans="18:21" ht="18.75" customHeight="1" x14ac:dyDescent="0.15">
      <c r="R203" s="1468"/>
      <c r="S203" s="1468"/>
      <c r="T203" s="1468"/>
      <c r="U203" s="1468"/>
    </row>
    <row r="204" spans="18:21" ht="18.75" customHeight="1" x14ac:dyDescent="0.15">
      <c r="R204" s="2031" t="s">
        <v>257</v>
      </c>
      <c r="S204" s="2034"/>
      <c r="T204" s="2034"/>
      <c r="U204" s="2034"/>
    </row>
    <row r="205" spans="18:21" ht="18.75" customHeight="1" x14ac:dyDescent="0.15">
      <c r="R205" s="2032" t="s">
        <v>263</v>
      </c>
      <c r="S205" s="2032" t="s">
        <v>261</v>
      </c>
      <c r="T205" s="2032" t="s">
        <v>262</v>
      </c>
      <c r="U205" s="2032" t="s">
        <v>257</v>
      </c>
    </row>
    <row r="206" spans="18:21" ht="18.75" customHeight="1" x14ac:dyDescent="0.15">
      <c r="R206" s="2033" t="s">
        <v>258</v>
      </c>
      <c r="S206" s="2035">
        <f>AC9</f>
        <v>0</v>
      </c>
      <c r="T206" s="2035">
        <f>AB9</f>
        <v>553072.41666666663</v>
      </c>
      <c r="U206" s="2036" t="e">
        <f>T206/S206-1</f>
        <v>#DIV/0!</v>
      </c>
    </row>
    <row r="207" spans="18:21" ht="18.75" customHeight="1" x14ac:dyDescent="0.15">
      <c r="R207" s="2033" t="s">
        <v>259</v>
      </c>
      <c r="S207" s="2035">
        <f>AD9</f>
        <v>39047.333333333336</v>
      </c>
      <c r="T207" s="2035">
        <f>AE9</f>
        <v>1067097.5</v>
      </c>
      <c r="U207" s="2036">
        <f>T207/S207-1</f>
        <v>26.328306670536612</v>
      </c>
    </row>
    <row r="208" spans="18:21" ht="18.75" customHeight="1" x14ac:dyDescent="0.15">
      <c r="R208" s="2033" t="s">
        <v>260</v>
      </c>
      <c r="S208" s="2035">
        <f>AF9</f>
        <v>666012.66666666663</v>
      </c>
      <c r="T208" s="2035">
        <f>AG9</f>
        <v>1468182.3333333333</v>
      </c>
      <c r="U208" s="2036">
        <f>T208/S208-1</f>
        <v>1.2044360517667831</v>
      </c>
    </row>
    <row r="209" spans="18:21" ht="18.75" customHeight="1" x14ac:dyDescent="0.15">
      <c r="R209" s="2033" t="s">
        <v>264</v>
      </c>
      <c r="S209" s="2035">
        <f>T206</f>
        <v>553072.41666666663</v>
      </c>
      <c r="T209" s="2035">
        <f>T208</f>
        <v>1468182.3333333333</v>
      </c>
      <c r="U209" s="2036">
        <f>T209/S209-1</f>
        <v>1.65459330295656</v>
      </c>
    </row>
    <row r="210" spans="18:21" ht="18.75" customHeight="1" x14ac:dyDescent="0.15">
      <c r="R210" s="1468"/>
      <c r="S210" s="1468"/>
      <c r="T210" s="1468"/>
      <c r="U210" s="1468"/>
    </row>
    <row r="211" spans="18:21" ht="18.75" customHeight="1" x14ac:dyDescent="0.15">
      <c r="R211" s="1468"/>
      <c r="S211" s="1468"/>
      <c r="T211" s="1468"/>
      <c r="U211" s="1468"/>
    </row>
    <row r="212" spans="18:21" ht="18.75" customHeight="1" x14ac:dyDescent="0.15">
      <c r="R212" s="1468"/>
      <c r="S212" s="1468"/>
      <c r="T212" s="1468"/>
      <c r="U212" s="1468"/>
    </row>
    <row r="213" spans="18:21" ht="18.75" customHeight="1" x14ac:dyDescent="0.15">
      <c r="R213" s="1468"/>
      <c r="S213" s="1468"/>
      <c r="T213" s="1468"/>
      <c r="U213" s="1468"/>
    </row>
    <row r="214" spans="18:21" ht="18.75" customHeight="1" x14ac:dyDescent="0.15">
      <c r="R214" s="1468"/>
      <c r="S214" s="1468"/>
      <c r="T214" s="1468"/>
      <c r="U214" s="1468"/>
    </row>
    <row r="215" spans="18:21" ht="18.75" customHeight="1" x14ac:dyDescent="0.15">
      <c r="R215" s="1468"/>
      <c r="S215" s="1468"/>
      <c r="T215" s="1468"/>
      <c r="U215" s="1468"/>
    </row>
    <row r="216" spans="18:21" ht="18.75" customHeight="1" x14ac:dyDescent="0.15">
      <c r="R216" s="1468"/>
      <c r="S216" s="1468"/>
      <c r="T216" s="1468"/>
      <c r="U216" s="1468"/>
    </row>
    <row r="217" spans="18:21" ht="18.75" customHeight="1" x14ac:dyDescent="0.15">
      <c r="R217" s="1468"/>
      <c r="S217" s="1468"/>
      <c r="T217" s="1468"/>
      <c r="U217" s="1468"/>
    </row>
    <row r="218" spans="18:21" ht="18.75" customHeight="1" x14ac:dyDescent="0.15">
      <c r="R218" s="1468"/>
      <c r="S218" s="1468"/>
      <c r="T218" s="1468"/>
      <c r="U218" s="1468"/>
    </row>
    <row r="219" spans="18:21" ht="18.75" customHeight="1" x14ac:dyDescent="0.15">
      <c r="R219" s="1468"/>
      <c r="S219" s="1468"/>
      <c r="T219" s="1468"/>
      <c r="U219" s="1468"/>
    </row>
    <row r="220" spans="18:21" ht="18.75" customHeight="1" x14ac:dyDescent="0.15">
      <c r="R220" s="1468"/>
      <c r="S220" s="1468"/>
      <c r="T220" s="1468"/>
      <c r="U220" s="1468"/>
    </row>
    <row r="221" spans="18:21" ht="18.75" customHeight="1" x14ac:dyDescent="0.15">
      <c r="R221" s="1468"/>
      <c r="S221" s="1468"/>
      <c r="T221" s="1468"/>
      <c r="U221" s="1468"/>
    </row>
    <row r="222" spans="18:21" ht="18.75" customHeight="1" x14ac:dyDescent="0.15">
      <c r="R222" s="2031" t="s">
        <v>257</v>
      </c>
      <c r="S222" s="2034"/>
      <c r="T222" s="2034"/>
      <c r="U222" s="2034"/>
    </row>
    <row r="223" spans="18:21" ht="18.75" customHeight="1" x14ac:dyDescent="0.15">
      <c r="R223" s="2032" t="s">
        <v>263</v>
      </c>
      <c r="S223" s="2032" t="s">
        <v>261</v>
      </c>
      <c r="T223" s="2032" t="s">
        <v>262</v>
      </c>
      <c r="U223" s="2032" t="s">
        <v>257</v>
      </c>
    </row>
    <row r="224" spans="18:21" ht="18.75" customHeight="1" x14ac:dyDescent="0.15">
      <c r="R224" s="2033" t="s">
        <v>258</v>
      </c>
      <c r="S224" s="2035">
        <f>AC10</f>
        <v>3509633.6666666665</v>
      </c>
      <c r="T224" s="2035">
        <f>AB10</f>
        <v>4466472.75</v>
      </c>
      <c r="U224" s="2036">
        <f>T224/S224-1</f>
        <v>0.27263218164934799</v>
      </c>
    </row>
    <row r="225" spans="18:21" ht="18.75" customHeight="1" x14ac:dyDescent="0.15">
      <c r="R225" s="2033" t="s">
        <v>259</v>
      </c>
      <c r="S225" s="2035">
        <f>AD10</f>
        <v>4397996.666666667</v>
      </c>
      <c r="T225" s="2035">
        <f>AE10</f>
        <v>4534948.833333333</v>
      </c>
      <c r="U225" s="2036">
        <f>T225/S225-1</f>
        <v>3.1139670410542886E-2</v>
      </c>
    </row>
    <row r="226" spans="18:21" ht="18.75" customHeight="1" x14ac:dyDescent="0.15">
      <c r="R226" s="2033" t="s">
        <v>260</v>
      </c>
      <c r="S226" s="2035">
        <f>AF10</f>
        <v>4458880.666666667</v>
      </c>
      <c r="T226" s="2035">
        <f>AG10</f>
        <v>4611017</v>
      </c>
      <c r="U226" s="2036">
        <f>T226/S226-1</f>
        <v>3.4119848613725301E-2</v>
      </c>
    </row>
    <row r="227" spans="18:21" ht="18.75" customHeight="1" x14ac:dyDescent="0.15">
      <c r="R227" s="2033" t="s">
        <v>264</v>
      </c>
      <c r="S227" s="2035">
        <f>T224</f>
        <v>4466472.75</v>
      </c>
      <c r="T227" s="2035">
        <f>T226</f>
        <v>4611017</v>
      </c>
      <c r="U227" s="2036">
        <f>T227/S227-1</f>
        <v>3.2362057957254997E-2</v>
      </c>
    </row>
    <row r="228" spans="18:21" ht="18.75" customHeight="1" x14ac:dyDescent="0.15">
      <c r="R228" s="1468"/>
      <c r="S228" s="1468"/>
      <c r="T228" s="1468"/>
      <c r="U228" s="1468"/>
    </row>
    <row r="229" spans="18:21" ht="18.75" customHeight="1" x14ac:dyDescent="0.15">
      <c r="R229" s="1468"/>
      <c r="S229" s="1468"/>
      <c r="T229" s="1468"/>
      <c r="U229" s="1468"/>
    </row>
    <row r="230" spans="18:21" ht="18.75" customHeight="1" x14ac:dyDescent="0.15">
      <c r="R230" s="1468"/>
      <c r="S230" s="1468"/>
      <c r="T230" s="1468"/>
      <c r="U230" s="1468"/>
    </row>
    <row r="231" spans="18:21" ht="18.75" customHeight="1" x14ac:dyDescent="0.15">
      <c r="R231" s="1468"/>
      <c r="S231" s="1468"/>
      <c r="T231" s="1468"/>
      <c r="U231" s="1468"/>
    </row>
    <row r="232" spans="18:21" ht="18.75" customHeight="1" x14ac:dyDescent="0.15">
      <c r="R232" s="1468"/>
      <c r="S232" s="1468"/>
      <c r="T232" s="1468"/>
      <c r="U232" s="1468"/>
    </row>
    <row r="233" spans="18:21" ht="18.75" customHeight="1" x14ac:dyDescent="0.15">
      <c r="R233" s="1468"/>
      <c r="S233" s="1468"/>
      <c r="T233" s="1468"/>
      <c r="U233" s="1468"/>
    </row>
    <row r="234" spans="18:21" ht="18.75" customHeight="1" x14ac:dyDescent="0.15">
      <c r="R234" s="1468"/>
      <c r="S234" s="1468"/>
      <c r="T234" s="1468"/>
      <c r="U234" s="1468"/>
    </row>
    <row r="235" spans="18:21" ht="18.75" customHeight="1" x14ac:dyDescent="0.15">
      <c r="R235" s="1468"/>
      <c r="S235" s="1468"/>
      <c r="T235" s="1468"/>
      <c r="U235" s="1468"/>
    </row>
    <row r="236" spans="18:21" ht="18.75" customHeight="1" x14ac:dyDescent="0.15">
      <c r="R236" s="1468"/>
      <c r="S236" s="1468"/>
      <c r="T236" s="1468"/>
      <c r="U236" s="1468"/>
    </row>
    <row r="237" spans="18:21" ht="18.75" customHeight="1" x14ac:dyDescent="0.15">
      <c r="R237" s="1468"/>
      <c r="S237" s="1468"/>
      <c r="T237" s="1468"/>
      <c r="U237" s="1468"/>
    </row>
    <row r="238" spans="18:21" ht="18.75" customHeight="1" x14ac:dyDescent="0.15">
      <c r="R238" s="1468"/>
      <c r="S238" s="1468"/>
      <c r="T238" s="1468"/>
      <c r="U238" s="1468"/>
    </row>
    <row r="239" spans="18:21" ht="18.75" customHeight="1" x14ac:dyDescent="0.15">
      <c r="R239" s="1468"/>
      <c r="S239" s="1468"/>
      <c r="T239" s="1468"/>
      <c r="U239" s="1468"/>
    </row>
    <row r="240" spans="18:21" ht="18.75" customHeight="1" x14ac:dyDescent="0.15">
      <c r="R240" s="2031" t="s">
        <v>257</v>
      </c>
      <c r="S240" s="2034"/>
      <c r="T240" s="2034"/>
      <c r="U240" s="2034"/>
    </row>
    <row r="241" spans="18:21" ht="18.75" customHeight="1" x14ac:dyDescent="0.15">
      <c r="R241" s="2032" t="s">
        <v>263</v>
      </c>
      <c r="S241" s="2032" t="s">
        <v>261</v>
      </c>
      <c r="T241" s="2032" t="s">
        <v>262</v>
      </c>
      <c r="U241" s="2032" t="s">
        <v>257</v>
      </c>
    </row>
    <row r="242" spans="18:21" ht="18.75" customHeight="1" x14ac:dyDescent="0.15">
      <c r="R242" s="2033" t="s">
        <v>258</v>
      </c>
      <c r="S242" s="2035">
        <f>AC11</f>
        <v>2986301.25</v>
      </c>
      <c r="T242" s="2035">
        <f>AB11</f>
        <v>2612707.8333333335</v>
      </c>
      <c r="U242" s="2036">
        <f>T242/S242-1</f>
        <v>-0.12510238766657134</v>
      </c>
    </row>
    <row r="243" spans="18:21" ht="18.75" customHeight="1" x14ac:dyDescent="0.15">
      <c r="R243" s="2033" t="s">
        <v>259</v>
      </c>
      <c r="S243" s="2035">
        <f>AD11</f>
        <v>2520213.1666666665</v>
      </c>
      <c r="T243" s="2035">
        <f>AE11</f>
        <v>2705202.5</v>
      </c>
      <c r="U243" s="2036">
        <f>T243/S243-1</f>
        <v>7.3402256515470832E-2</v>
      </c>
    </row>
    <row r="244" spans="18:21" ht="18.75" customHeight="1" x14ac:dyDescent="0.15">
      <c r="R244" s="2033" t="s">
        <v>260</v>
      </c>
      <c r="S244" s="2035">
        <f>AF11</f>
        <v>2918453.6666666665</v>
      </c>
      <c r="T244" s="2035">
        <f>AG11</f>
        <v>2491951.3333333335</v>
      </c>
      <c r="U244" s="2036">
        <f>T244/S244-1</f>
        <v>-0.14613983364021188</v>
      </c>
    </row>
    <row r="245" spans="18:21" ht="18.75" customHeight="1" x14ac:dyDescent="0.15">
      <c r="R245" s="2033" t="s">
        <v>264</v>
      </c>
      <c r="S245" s="2035">
        <f>T242</f>
        <v>2612707.8333333335</v>
      </c>
      <c r="T245" s="2035">
        <f>T244</f>
        <v>2491951.3333333335</v>
      </c>
      <c r="U245" s="2036">
        <f>T245/S245-1</f>
        <v>-4.6218906859530895E-2</v>
      </c>
    </row>
    <row r="246" spans="18:21" ht="18.75" customHeight="1" x14ac:dyDescent="0.15">
      <c r="R246" s="1468"/>
      <c r="S246" s="1468"/>
      <c r="T246" s="1468"/>
      <c r="U246" s="1468"/>
    </row>
    <row r="247" spans="18:21" ht="18.75" customHeight="1" x14ac:dyDescent="0.15">
      <c r="R247" s="1468"/>
      <c r="S247" s="1468"/>
      <c r="T247" s="1468"/>
      <c r="U247" s="1468"/>
    </row>
    <row r="248" spans="18:21" ht="18.75" customHeight="1" x14ac:dyDescent="0.15">
      <c r="R248" s="1468"/>
      <c r="S248" s="1468"/>
      <c r="T248" s="1468"/>
      <c r="U248" s="1468"/>
    </row>
    <row r="249" spans="18:21" ht="18.75" customHeight="1" x14ac:dyDescent="0.15">
      <c r="R249" s="1468"/>
      <c r="S249" s="1468"/>
      <c r="T249" s="1468"/>
      <c r="U249" s="1468"/>
    </row>
    <row r="250" spans="18:21" ht="18.75" customHeight="1" x14ac:dyDescent="0.15">
      <c r="R250" s="1468"/>
      <c r="S250" s="1468"/>
      <c r="T250" s="1468"/>
      <c r="U250" s="1468"/>
    </row>
    <row r="251" spans="18:21" ht="18.75" customHeight="1" x14ac:dyDescent="0.15">
      <c r="R251" s="1468"/>
      <c r="S251" s="1468"/>
      <c r="T251" s="1468"/>
      <c r="U251" s="1468"/>
    </row>
    <row r="252" spans="18:21" ht="18.75" customHeight="1" x14ac:dyDescent="0.15">
      <c r="R252" s="1468"/>
      <c r="S252" s="1468"/>
      <c r="T252" s="1468"/>
      <c r="U252" s="1468"/>
    </row>
    <row r="253" spans="18:21" ht="18.75" customHeight="1" x14ac:dyDescent="0.15">
      <c r="R253" s="1468"/>
      <c r="S253" s="1468"/>
      <c r="T253" s="1468"/>
      <c r="U253" s="1468"/>
    </row>
    <row r="254" spans="18:21" ht="18.75" customHeight="1" x14ac:dyDescent="0.15">
      <c r="R254" s="1468"/>
      <c r="S254" s="1468"/>
      <c r="T254" s="1468"/>
      <c r="U254" s="1468"/>
    </row>
    <row r="255" spans="18:21" ht="18.75" customHeight="1" x14ac:dyDescent="0.15">
      <c r="R255" s="1468"/>
      <c r="S255" s="1468"/>
      <c r="T255" s="1468"/>
      <c r="U255" s="1468"/>
    </row>
    <row r="256" spans="18:21" ht="18.75" customHeight="1" x14ac:dyDescent="0.15">
      <c r="R256" s="1468"/>
      <c r="S256" s="1468"/>
      <c r="T256" s="1468"/>
      <c r="U256" s="1468"/>
    </row>
    <row r="257" spans="18:21" ht="18.75" customHeight="1" x14ac:dyDescent="0.15">
      <c r="R257" s="1468"/>
      <c r="S257" s="1468"/>
      <c r="T257" s="1468"/>
      <c r="U257" s="1468"/>
    </row>
    <row r="258" spans="18:21" ht="18.75" customHeight="1" x14ac:dyDescent="0.15">
      <c r="R258" s="1468"/>
      <c r="S258" s="1468"/>
      <c r="T258" s="1468"/>
      <c r="U258" s="1468"/>
    </row>
    <row r="259" spans="18:21" ht="18.75" customHeight="1" x14ac:dyDescent="0.15">
      <c r="R259" s="1468"/>
      <c r="S259" s="1468"/>
      <c r="T259" s="1468"/>
      <c r="U259" s="1468"/>
    </row>
    <row r="260" spans="18:21" ht="18.75" customHeight="1" x14ac:dyDescent="0.15">
      <c r="R260" s="2031" t="s">
        <v>257</v>
      </c>
      <c r="S260" s="2034"/>
      <c r="T260" s="2034"/>
      <c r="U260" s="2034"/>
    </row>
    <row r="261" spans="18:21" ht="18.75" customHeight="1" x14ac:dyDescent="0.15">
      <c r="R261" s="2032" t="s">
        <v>263</v>
      </c>
      <c r="S261" s="2032" t="s">
        <v>261</v>
      </c>
      <c r="T261" s="2032" t="s">
        <v>262</v>
      </c>
      <c r="U261" s="2032" t="s">
        <v>257</v>
      </c>
    </row>
    <row r="262" spans="18:21" ht="18.75" customHeight="1" x14ac:dyDescent="0.15">
      <c r="R262" s="2033" t="s">
        <v>258</v>
      </c>
      <c r="S262" s="2035">
        <f>AC17</f>
        <v>4535492.5</v>
      </c>
      <c r="T262" s="2035">
        <f>AB17</f>
        <v>5272697</v>
      </c>
      <c r="U262" s="2036">
        <f>T262/S262-1</f>
        <v>0.16254122347242328</v>
      </c>
    </row>
    <row r="263" spans="18:21" ht="18.75" customHeight="1" x14ac:dyDescent="0.15">
      <c r="R263" s="2033" t="s">
        <v>259</v>
      </c>
      <c r="S263" s="2035">
        <f>AD17</f>
        <v>4895583</v>
      </c>
      <c r="T263" s="2035">
        <f>AE17</f>
        <v>5649811</v>
      </c>
      <c r="U263" s="2036">
        <f>T263/S263-1</f>
        <v>0.15406295838514028</v>
      </c>
    </row>
    <row r="264" spans="18:21" ht="18.75" customHeight="1" x14ac:dyDescent="0.15">
      <c r="R264" s="2033" t="s">
        <v>260</v>
      </c>
      <c r="S264" s="2035">
        <f>AF17</f>
        <v>5234138</v>
      </c>
      <c r="T264" s="2035">
        <f>AG17</f>
        <v>6065484</v>
      </c>
      <c r="U264" s="2036">
        <f>T264/S264-1</f>
        <v>0.15883150195887086</v>
      </c>
    </row>
    <row r="265" spans="18:21" ht="18.75" customHeight="1" x14ac:dyDescent="0.15">
      <c r="R265" s="2033" t="s">
        <v>264</v>
      </c>
      <c r="S265" s="2035">
        <f>T262</f>
        <v>5272697</v>
      </c>
      <c r="T265" s="2035">
        <f>T264</f>
        <v>6065484</v>
      </c>
      <c r="U265" s="2036">
        <f>T265/S265-1</f>
        <v>0.15035701842908855</v>
      </c>
    </row>
    <row r="266" spans="18:21" ht="18.75" customHeight="1" x14ac:dyDescent="0.15">
      <c r="R266" s="1468"/>
      <c r="S266" s="1468"/>
      <c r="T266" s="1468"/>
      <c r="U266" s="1468"/>
    </row>
    <row r="267" spans="18:21" ht="18.75" customHeight="1" x14ac:dyDescent="0.15">
      <c r="R267" s="1468"/>
      <c r="S267" s="1468"/>
      <c r="T267" s="1468"/>
      <c r="U267" s="1468"/>
    </row>
    <row r="268" spans="18:21" ht="18.75" customHeight="1" x14ac:dyDescent="0.15">
      <c r="R268" s="1468"/>
      <c r="S268" s="1468"/>
      <c r="T268" s="1468"/>
      <c r="U268" s="1468"/>
    </row>
    <row r="269" spans="18:21" ht="18.75" customHeight="1" x14ac:dyDescent="0.15">
      <c r="R269" s="1468"/>
      <c r="S269" s="1468"/>
      <c r="T269" s="1468"/>
      <c r="U269" s="1468"/>
    </row>
    <row r="270" spans="18:21" ht="18.75" customHeight="1" x14ac:dyDescent="0.15">
      <c r="R270" s="1468"/>
      <c r="S270" s="1468"/>
      <c r="T270" s="1468"/>
      <c r="U270" s="1468"/>
    </row>
    <row r="271" spans="18:21" ht="18.75" customHeight="1" x14ac:dyDescent="0.15">
      <c r="R271" s="1468"/>
      <c r="S271" s="1468"/>
      <c r="T271" s="1468"/>
      <c r="U271" s="1468"/>
    </row>
    <row r="272" spans="18:21" ht="18.75" customHeight="1" x14ac:dyDescent="0.15">
      <c r="R272" s="1468"/>
      <c r="S272" s="1468"/>
      <c r="T272" s="1468"/>
      <c r="U272" s="1468"/>
    </row>
    <row r="273" spans="18:21" ht="18.75" customHeight="1" x14ac:dyDescent="0.15">
      <c r="R273" s="1468"/>
      <c r="S273" s="1468"/>
      <c r="T273" s="1468"/>
      <c r="U273" s="1468"/>
    </row>
    <row r="274" spans="18:21" ht="18.75" customHeight="1" x14ac:dyDescent="0.15">
      <c r="R274" s="1468"/>
      <c r="S274" s="1468"/>
      <c r="T274" s="1468"/>
      <c r="U274" s="1468"/>
    </row>
    <row r="275" spans="18:21" ht="18.75" customHeight="1" x14ac:dyDescent="0.15">
      <c r="R275" s="1468"/>
      <c r="S275" s="1468"/>
      <c r="T275" s="1468"/>
      <c r="U275" s="1468"/>
    </row>
    <row r="276" spans="18:21" ht="18.75" customHeight="1" x14ac:dyDescent="0.15">
      <c r="R276" s="1468"/>
      <c r="S276" s="1468"/>
      <c r="T276" s="1468"/>
      <c r="U276" s="1468"/>
    </row>
    <row r="277" spans="18:21" ht="18.75" customHeight="1" x14ac:dyDescent="0.15">
      <c r="R277" s="2031" t="s">
        <v>257</v>
      </c>
      <c r="S277" s="2034"/>
      <c r="T277" s="2034"/>
      <c r="U277" s="2034"/>
    </row>
    <row r="278" spans="18:21" ht="18.75" customHeight="1" x14ac:dyDescent="0.15">
      <c r="R278" s="2032" t="s">
        <v>263</v>
      </c>
      <c r="S278" s="2032" t="s">
        <v>261</v>
      </c>
      <c r="T278" s="2032" t="s">
        <v>262</v>
      </c>
      <c r="U278" s="2032" t="s">
        <v>257</v>
      </c>
    </row>
    <row r="279" spans="18:21" ht="18.75" customHeight="1" x14ac:dyDescent="0.15">
      <c r="R279" s="2033" t="s">
        <v>258</v>
      </c>
      <c r="S279" s="2035">
        <f>AC18</f>
        <v>2794810.25</v>
      </c>
      <c r="T279" s="2035">
        <f>AB18</f>
        <v>669421</v>
      </c>
      <c r="U279" s="2036">
        <f>T279/S279-1</f>
        <v>-0.76047712004777424</v>
      </c>
    </row>
    <row r="280" spans="18:21" ht="18.75" customHeight="1" x14ac:dyDescent="0.15">
      <c r="R280" s="2033" t="s">
        <v>259</v>
      </c>
      <c r="S280" s="2035">
        <f>AD18</f>
        <v>1338842</v>
      </c>
      <c r="T280" s="2035">
        <f>AE18</f>
        <v>0</v>
      </c>
      <c r="U280" s="2036">
        <f>T280/S280-1</f>
        <v>-1</v>
      </c>
    </row>
    <row r="281" spans="18:21" ht="18.75" customHeight="1" x14ac:dyDescent="0.15">
      <c r="R281" s="2033" t="s">
        <v>260</v>
      </c>
      <c r="S281" s="2035">
        <f>AF18</f>
        <v>0</v>
      </c>
      <c r="T281" s="2035">
        <f>AG18</f>
        <v>0</v>
      </c>
      <c r="U281" s="2036" t="e">
        <f>T281/S281-1</f>
        <v>#DIV/0!</v>
      </c>
    </row>
    <row r="282" spans="18:21" ht="18.75" customHeight="1" x14ac:dyDescent="0.15">
      <c r="R282" s="2033" t="s">
        <v>264</v>
      </c>
      <c r="S282" s="2035">
        <f>T279</f>
        <v>669421</v>
      </c>
      <c r="T282" s="2035">
        <f>T281</f>
        <v>0</v>
      </c>
      <c r="U282" s="2036">
        <f>T282/S282-1</f>
        <v>-1</v>
      </c>
    </row>
    <row r="283" spans="18:21" ht="18.75" customHeight="1" x14ac:dyDescent="0.15">
      <c r="R283" s="1468"/>
      <c r="S283" s="1468"/>
      <c r="T283" s="1468"/>
      <c r="U283" s="1468"/>
    </row>
    <row r="284" spans="18:21" ht="18.75" customHeight="1" x14ac:dyDescent="0.15">
      <c r="R284" s="1468"/>
      <c r="S284" s="1468"/>
      <c r="T284" s="1468"/>
      <c r="U284" s="1468"/>
    </row>
    <row r="285" spans="18:21" ht="18.75" customHeight="1" x14ac:dyDescent="0.15">
      <c r="R285" s="1468"/>
      <c r="S285" s="1468"/>
      <c r="T285" s="1468"/>
      <c r="U285" s="1468"/>
    </row>
    <row r="286" spans="18:21" ht="18.75" customHeight="1" x14ac:dyDescent="0.15">
      <c r="R286" s="1468"/>
      <c r="S286" s="1468"/>
      <c r="T286" s="1468"/>
      <c r="U286" s="1468"/>
    </row>
    <row r="287" spans="18:21" ht="18.75" customHeight="1" x14ac:dyDescent="0.15">
      <c r="R287" s="1468"/>
      <c r="S287" s="1468"/>
      <c r="T287" s="1468"/>
      <c r="U287" s="1468"/>
    </row>
    <row r="288" spans="18:21" ht="18.75" customHeight="1" x14ac:dyDescent="0.15">
      <c r="R288" s="1468"/>
      <c r="S288" s="1468"/>
      <c r="T288" s="1468"/>
      <c r="U288" s="1468"/>
    </row>
    <row r="289" spans="18:21" ht="18.75" customHeight="1" x14ac:dyDescent="0.15">
      <c r="R289" s="1468"/>
      <c r="S289" s="1468"/>
      <c r="T289" s="1468"/>
      <c r="U289" s="1468"/>
    </row>
    <row r="290" spans="18:21" ht="18.75" customHeight="1" x14ac:dyDescent="0.15">
      <c r="R290" s="1468"/>
      <c r="S290" s="1468"/>
      <c r="T290" s="1468"/>
      <c r="U290" s="1468"/>
    </row>
    <row r="291" spans="18:21" ht="18.75" customHeight="1" x14ac:dyDescent="0.15">
      <c r="R291" s="1468"/>
      <c r="S291" s="1468"/>
      <c r="T291" s="1468"/>
      <c r="U291" s="1468"/>
    </row>
    <row r="292" spans="18:21" ht="18.75" customHeight="1" x14ac:dyDescent="0.15">
      <c r="R292" s="1468"/>
      <c r="S292" s="1468"/>
      <c r="T292" s="1468"/>
      <c r="U292" s="1468"/>
    </row>
    <row r="293" spans="18:21" ht="18.75" customHeight="1" x14ac:dyDescent="0.15">
      <c r="R293" s="1468"/>
      <c r="S293" s="1468"/>
      <c r="T293" s="1468"/>
      <c r="U293" s="1468"/>
    </row>
    <row r="294" spans="18:21" ht="18.75" customHeight="1" x14ac:dyDescent="0.15">
      <c r="R294" s="1468"/>
      <c r="S294" s="1468"/>
      <c r="T294" s="1468"/>
      <c r="U294" s="1468"/>
    </row>
    <row r="295" spans="18:21" ht="18.75" customHeight="1" x14ac:dyDescent="0.15">
      <c r="R295" s="2031" t="s">
        <v>257</v>
      </c>
      <c r="S295" s="2034"/>
      <c r="T295" s="2034"/>
      <c r="U295" s="2034"/>
    </row>
    <row r="296" spans="18:21" ht="18.75" customHeight="1" x14ac:dyDescent="0.15">
      <c r="R296" s="2032" t="s">
        <v>263</v>
      </c>
      <c r="S296" s="2032" t="s">
        <v>261</v>
      </c>
      <c r="T296" s="2032" t="s">
        <v>262</v>
      </c>
      <c r="U296" s="2032" t="s">
        <v>257</v>
      </c>
    </row>
    <row r="297" spans="18:21" ht="18.75" customHeight="1" x14ac:dyDescent="0.15">
      <c r="R297" s="2033" t="s">
        <v>258</v>
      </c>
      <c r="S297" s="2035">
        <f>AC19</f>
        <v>35668885.666666664</v>
      </c>
      <c r="T297" s="2035">
        <f>AB19</f>
        <v>39406478.083333336</v>
      </c>
      <c r="U297" s="2036">
        <f>T297/S297-1</f>
        <v>0.10478579150454181</v>
      </c>
    </row>
    <row r="298" spans="18:21" ht="18.75" customHeight="1" x14ac:dyDescent="0.15">
      <c r="R298" s="2033" t="s">
        <v>259</v>
      </c>
      <c r="S298" s="2035">
        <f>AD19</f>
        <v>38290941.333333336</v>
      </c>
      <c r="T298" s="2035">
        <f>AE19</f>
        <v>40522014.833333336</v>
      </c>
      <c r="U298" s="2036">
        <f>T298/S298-1</f>
        <v>5.8266352884299266E-2</v>
      </c>
    </row>
    <row r="299" spans="18:21" ht="18.75" customHeight="1" x14ac:dyDescent="0.15">
      <c r="R299" s="2033" t="s">
        <v>260</v>
      </c>
      <c r="S299" s="2035">
        <f>AF19</f>
        <v>40843889.333333336</v>
      </c>
      <c r="T299" s="2035">
        <f>AG19</f>
        <v>40200140.333333336</v>
      </c>
      <c r="U299" s="2036">
        <f>T299/S299-1</f>
        <v>-1.5761207135448485E-2</v>
      </c>
    </row>
    <row r="300" spans="18:21" ht="18.75" customHeight="1" x14ac:dyDescent="0.15">
      <c r="R300" s="2033" t="s">
        <v>264</v>
      </c>
      <c r="S300" s="2035">
        <f>T297</f>
        <v>39406478.083333336</v>
      </c>
      <c r="T300" s="2035">
        <f>T299</f>
        <v>40200140.333333336</v>
      </c>
      <c r="U300" s="2036">
        <f>T300/S300-1</f>
        <v>2.0140400477343778E-2</v>
      </c>
    </row>
    <row r="301" spans="18:21" ht="18.75" customHeight="1" x14ac:dyDescent="0.15">
      <c r="R301" s="1468"/>
      <c r="S301" s="1468"/>
      <c r="T301" s="1468"/>
      <c r="U301" s="1468"/>
    </row>
    <row r="302" spans="18:21" ht="18.75" customHeight="1" x14ac:dyDescent="0.15">
      <c r="R302" s="1468"/>
      <c r="S302" s="1468"/>
      <c r="T302" s="1468"/>
      <c r="U302" s="1468"/>
    </row>
    <row r="303" spans="18:21" ht="18.75" customHeight="1" x14ac:dyDescent="0.15">
      <c r="R303" s="1468"/>
      <c r="S303" s="1468"/>
      <c r="T303" s="1468"/>
      <c r="U303" s="1468"/>
    </row>
    <row r="304" spans="18:21" ht="18.75" customHeight="1" x14ac:dyDescent="0.15">
      <c r="R304" s="1468"/>
      <c r="S304" s="1468"/>
      <c r="T304" s="1468"/>
      <c r="U304" s="1468"/>
    </row>
    <row r="305" spans="18:21" ht="18.75" customHeight="1" x14ac:dyDescent="0.15">
      <c r="R305" s="1468"/>
      <c r="S305" s="1468"/>
      <c r="T305" s="1468"/>
      <c r="U305" s="1468"/>
    </row>
    <row r="306" spans="18:21" ht="18.75" customHeight="1" x14ac:dyDescent="0.15">
      <c r="R306" s="1468"/>
      <c r="S306" s="1468"/>
      <c r="T306" s="1468"/>
      <c r="U306" s="1468"/>
    </row>
    <row r="307" spans="18:21" ht="18.75" customHeight="1" x14ac:dyDescent="0.15">
      <c r="R307" s="1468"/>
      <c r="S307" s="1468"/>
      <c r="T307" s="1468"/>
      <c r="U307" s="1468"/>
    </row>
    <row r="308" spans="18:21" ht="18.75" customHeight="1" x14ac:dyDescent="0.15">
      <c r="R308" s="1468"/>
      <c r="S308" s="1468"/>
      <c r="T308" s="1468"/>
      <c r="U308" s="1468"/>
    </row>
    <row r="309" spans="18:21" ht="18.75" customHeight="1" x14ac:dyDescent="0.15">
      <c r="R309" s="1468"/>
      <c r="S309" s="1468"/>
      <c r="T309" s="1468"/>
      <c r="U309" s="1468"/>
    </row>
    <row r="310" spans="18:21" ht="18.75" customHeight="1" x14ac:dyDescent="0.15">
      <c r="R310" s="1468"/>
      <c r="S310" s="1468"/>
      <c r="T310" s="1468"/>
      <c r="U310" s="1468"/>
    </row>
    <row r="311" spans="18:21" ht="18.75" customHeight="1" x14ac:dyDescent="0.15">
      <c r="R311" s="1468"/>
      <c r="S311" s="1468"/>
      <c r="T311" s="1468"/>
      <c r="U311" s="1468"/>
    </row>
    <row r="312" spans="18:21" ht="18.75" customHeight="1" x14ac:dyDescent="0.15">
      <c r="R312" s="1468"/>
      <c r="S312" s="1468"/>
      <c r="T312" s="1468"/>
      <c r="U312" s="1468"/>
    </row>
    <row r="313" spans="18:21" ht="18.75" customHeight="1" x14ac:dyDescent="0.15">
      <c r="R313" s="2037" t="s">
        <v>1323</v>
      </c>
      <c r="S313" s="2034"/>
      <c r="T313" s="2034"/>
      <c r="U313" s="2034"/>
    </row>
    <row r="314" spans="18:21" ht="18.75" customHeight="1" x14ac:dyDescent="0.15">
      <c r="R314" s="2032" t="s">
        <v>263</v>
      </c>
      <c r="S314" s="2032" t="s">
        <v>261</v>
      </c>
      <c r="T314" s="2032" t="s">
        <v>262</v>
      </c>
      <c r="U314" s="2038" t="s">
        <v>1323</v>
      </c>
    </row>
    <row r="315" spans="18:21" ht="18.75" customHeight="1" x14ac:dyDescent="0.15">
      <c r="R315" s="2033" t="s">
        <v>258</v>
      </c>
      <c r="S315" s="2035">
        <f>AC20</f>
        <v>33424303.166666668</v>
      </c>
      <c r="T315" s="2035">
        <f>AB20</f>
        <v>38687631.583333336</v>
      </c>
      <c r="U315" s="2036">
        <f>T315/S315-1</f>
        <v>0.15747010163298403</v>
      </c>
    </row>
    <row r="316" spans="18:21" ht="18.75" customHeight="1" x14ac:dyDescent="0.15">
      <c r="R316" s="2033" t="s">
        <v>259</v>
      </c>
      <c r="S316" s="2035">
        <f>AD20</f>
        <v>38306775</v>
      </c>
      <c r="T316" s="2035">
        <f>AE20</f>
        <v>39068488.166666664</v>
      </c>
      <c r="U316" s="2036">
        <f>T316/S316-1</f>
        <v>1.9884554799161958E-2</v>
      </c>
    </row>
    <row r="317" spans="18:21" ht="18.75" customHeight="1" x14ac:dyDescent="0.15">
      <c r="R317" s="2033" t="s">
        <v>260</v>
      </c>
      <c r="S317" s="2035">
        <f>AF20</f>
        <v>42214886</v>
      </c>
      <c r="T317" s="2035">
        <f>AG20</f>
        <v>35922090.333333336</v>
      </c>
      <c r="U317" s="2036">
        <f>T317/S317-1</f>
        <v>-0.14906579794309205</v>
      </c>
    </row>
    <row r="318" spans="18:21" ht="18.75" customHeight="1" x14ac:dyDescent="0.15">
      <c r="R318" s="2033" t="s">
        <v>264</v>
      </c>
      <c r="S318" s="2035">
        <f>T315</f>
        <v>38687631.583333336</v>
      </c>
      <c r="T318" s="2035">
        <f>T317</f>
        <v>35922090.333333336</v>
      </c>
      <c r="U318" s="2036">
        <f>T318/S318-1</f>
        <v>-7.1483860262756327E-2</v>
      </c>
    </row>
    <row r="319" spans="18:21" ht="18.75" customHeight="1" x14ac:dyDescent="0.15"/>
    <row r="320" spans="18:21" ht="18.75" customHeight="1" x14ac:dyDescent="0.15"/>
    <row r="321" ht="18.75" customHeight="1" x14ac:dyDescent="0.15"/>
    <row r="322" ht="18.75" customHeight="1" x14ac:dyDescent="0.15"/>
    <row r="323" ht="18.75" customHeight="1" x14ac:dyDescent="0.15"/>
    <row r="324" ht="18.75" customHeight="1" x14ac:dyDescent="0.15"/>
    <row r="325" ht="18.75" customHeight="1" x14ac:dyDescent="0.15"/>
    <row r="326" ht="18.75" customHeight="1" x14ac:dyDescent="0.15"/>
    <row r="327" ht="18.75" customHeight="1" x14ac:dyDescent="0.15"/>
    <row r="328" ht="18.75" customHeight="1" x14ac:dyDescent="0.15"/>
    <row r="329" ht="18.75" customHeight="1" x14ac:dyDescent="0.15"/>
    <row r="330" ht="18.75" customHeight="1" x14ac:dyDescent="0.15"/>
    <row r="331" ht="18.75" customHeight="1" x14ac:dyDescent="0.15"/>
    <row r="332" ht="18.75" customHeight="1" x14ac:dyDescent="0.15"/>
    <row r="333" ht="18.75" customHeight="1" x14ac:dyDescent="0.15"/>
    <row r="334" ht="18.75" customHeight="1" x14ac:dyDescent="0.15"/>
    <row r="335" ht="18.75" customHeight="1" x14ac:dyDescent="0.15"/>
    <row r="336" ht="18.75" customHeight="1" x14ac:dyDescent="0.15"/>
    <row r="337" ht="18.75" customHeight="1" x14ac:dyDescent="0.15"/>
    <row r="338" ht="18.75" customHeight="1" x14ac:dyDescent="0.15"/>
    <row r="339" ht="18.75" customHeight="1" x14ac:dyDescent="0.15"/>
    <row r="340" ht="18.75" customHeight="1" x14ac:dyDescent="0.15"/>
    <row r="341" ht="18.75" customHeight="1" x14ac:dyDescent="0.15"/>
    <row r="342" ht="18.75" customHeight="1" x14ac:dyDescent="0.15"/>
    <row r="343" ht="18.75" customHeight="1" x14ac:dyDescent="0.15"/>
    <row r="344" ht="18.75" customHeight="1" x14ac:dyDescent="0.15"/>
    <row r="345" ht="18.75" customHeight="1" x14ac:dyDescent="0.15"/>
    <row r="346" ht="18.75" customHeight="1" x14ac:dyDescent="0.15"/>
    <row r="347" ht="18.75" customHeight="1" x14ac:dyDescent="0.15"/>
    <row r="348" ht="18.75" customHeight="1" x14ac:dyDescent="0.15"/>
    <row r="349" ht="18.75" customHeight="1" x14ac:dyDescent="0.15"/>
    <row r="350" ht="18.75" customHeight="1" x14ac:dyDescent="0.15"/>
    <row r="351" ht="18.75" customHeight="1" x14ac:dyDescent="0.15"/>
    <row r="352" ht="18.75" customHeight="1" x14ac:dyDescent="0.15"/>
    <row r="353" ht="18.75" customHeight="1" x14ac:dyDescent="0.15"/>
    <row r="354" ht="18.75" customHeight="1" x14ac:dyDescent="0.15"/>
    <row r="355" ht="18.75" customHeight="1" x14ac:dyDescent="0.15"/>
    <row r="356" ht="18.75" customHeight="1" x14ac:dyDescent="0.15"/>
    <row r="357" ht="18.75" customHeight="1" x14ac:dyDescent="0.15"/>
    <row r="358" ht="18.75" customHeight="1" x14ac:dyDescent="0.15"/>
    <row r="359" ht="18.75" customHeight="1" x14ac:dyDescent="0.15"/>
    <row r="360" ht="18.75" customHeight="1" x14ac:dyDescent="0.15"/>
    <row r="361" ht="18.75" customHeight="1" x14ac:dyDescent="0.15"/>
    <row r="362" ht="18.75" customHeight="1" x14ac:dyDescent="0.15"/>
    <row r="363" ht="18.75" customHeight="1" x14ac:dyDescent="0.15"/>
    <row r="364" ht="18.75" customHeight="1" x14ac:dyDescent="0.15"/>
    <row r="365" ht="18.75" customHeight="1" x14ac:dyDescent="0.15"/>
    <row r="366" ht="18.75" customHeight="1" x14ac:dyDescent="0.15"/>
    <row r="367" ht="18.75" customHeight="1" x14ac:dyDescent="0.15"/>
    <row r="368" ht="18.75" customHeight="1" x14ac:dyDescent="0.15"/>
    <row r="369" ht="18.75" customHeight="1" x14ac:dyDescent="0.15"/>
    <row r="370" ht="18.75" customHeight="1" x14ac:dyDescent="0.15"/>
    <row r="371" ht="18.75" customHeight="1" x14ac:dyDescent="0.15"/>
    <row r="372" ht="18.75" customHeight="1" x14ac:dyDescent="0.15"/>
    <row r="373" ht="18.75" customHeight="1" x14ac:dyDescent="0.15"/>
    <row r="374" ht="18.75" customHeight="1" x14ac:dyDescent="0.15"/>
    <row r="375" ht="18.75" customHeight="1" x14ac:dyDescent="0.15"/>
    <row r="376" ht="18.75" customHeight="1" x14ac:dyDescent="0.15"/>
    <row r="377" ht="18.75" customHeight="1" x14ac:dyDescent="0.15"/>
    <row r="378" ht="18.75" customHeight="1" x14ac:dyDescent="0.15"/>
    <row r="379" ht="18.75" customHeight="1" x14ac:dyDescent="0.15"/>
    <row r="380" ht="18.75" customHeight="1" x14ac:dyDescent="0.15"/>
    <row r="381" ht="18.75" customHeight="1" x14ac:dyDescent="0.15"/>
    <row r="382" ht="18.75" customHeight="1" x14ac:dyDescent="0.15"/>
    <row r="383" ht="18.75" customHeight="1" x14ac:dyDescent="0.15"/>
    <row r="384" ht="18.75" customHeight="1" x14ac:dyDescent="0.15"/>
    <row r="385" ht="18.75" customHeight="1" x14ac:dyDescent="0.15"/>
    <row r="386" ht="18.75" customHeight="1" x14ac:dyDescent="0.15"/>
    <row r="387" ht="18.75" customHeight="1" x14ac:dyDescent="0.15"/>
    <row r="388" ht="18.75" customHeight="1" x14ac:dyDescent="0.15"/>
    <row r="389" ht="18.75" customHeight="1" x14ac:dyDescent="0.15"/>
    <row r="390" ht="18.75" customHeight="1" x14ac:dyDescent="0.15"/>
    <row r="391" ht="18.75" customHeight="1" x14ac:dyDescent="0.15"/>
    <row r="392" ht="18.75" customHeight="1" x14ac:dyDescent="0.15"/>
    <row r="393" ht="18.75" customHeight="1" x14ac:dyDescent="0.15"/>
    <row r="394" ht="18.75" customHeight="1" x14ac:dyDescent="0.15"/>
    <row r="395" ht="18.75" customHeight="1" x14ac:dyDescent="0.15"/>
    <row r="396" ht="18.75" customHeight="1" x14ac:dyDescent="0.15"/>
    <row r="397" ht="18.75" customHeight="1" x14ac:dyDescent="0.15"/>
    <row r="398" ht="18.75" customHeight="1" x14ac:dyDescent="0.15"/>
    <row r="399" ht="18.75" customHeight="1" x14ac:dyDescent="0.15"/>
    <row r="400" ht="18.75" customHeight="1" x14ac:dyDescent="0.15"/>
    <row r="401" ht="18.75" customHeight="1" x14ac:dyDescent="0.15"/>
    <row r="402" ht="18.75" customHeight="1" x14ac:dyDescent="0.15"/>
    <row r="403" ht="18.75" customHeight="1" x14ac:dyDescent="0.15"/>
    <row r="404" ht="18.75" customHeight="1" x14ac:dyDescent="0.15"/>
    <row r="405" ht="18.75" customHeight="1" x14ac:dyDescent="0.15"/>
    <row r="406" ht="18.75" customHeight="1" x14ac:dyDescent="0.15"/>
    <row r="407" ht="18.75" customHeight="1" x14ac:dyDescent="0.15"/>
    <row r="408" ht="18.75" customHeight="1" x14ac:dyDescent="0.15"/>
    <row r="409" ht="18.75" customHeight="1" x14ac:dyDescent="0.15"/>
    <row r="410" ht="18.75" customHeight="1" x14ac:dyDescent="0.15"/>
    <row r="411" ht="18.75" customHeight="1" x14ac:dyDescent="0.15"/>
    <row r="412" ht="18.75" customHeight="1" x14ac:dyDescent="0.15"/>
    <row r="413" ht="18.75" customHeight="1" x14ac:dyDescent="0.15"/>
    <row r="414" ht="18.75" customHeight="1" x14ac:dyDescent="0.15"/>
    <row r="415" ht="18.75" customHeight="1" x14ac:dyDescent="0.15"/>
    <row r="416" ht="18.75" customHeight="1" x14ac:dyDescent="0.15"/>
  </sheetData>
  <phoneticPr fontId="40"/>
  <conditionalFormatting sqref="C3:Z3">
    <cfRule type="expression" dxfId="348" priority="1">
      <formula>C$3&lt;DATE(2016,8,31)</formula>
    </cfRule>
  </conditionalFormatting>
  <pageMargins left="0.55118110236220474" right="0.35433070866141736" top="0.47244094488188981" bottom="0.35433070866141736" header="0.31496062992125984" footer="0.19685039370078741"/>
  <pageSetup paperSize="8" scale="62" fitToWidth="2" fitToHeight="2" orientation="portrait" r:id="rId1"/>
  <headerFooter>
    <oddHeader>&amp;L&amp;A&amp;R&amp;D 印刷</oddHeader>
    <oddFooter>&amp;L介護サービス友乃家&amp;C&amp;P／&amp;N&amp;R&amp;F</oddFooter>
  </headerFooter>
  <rowBreaks count="1" manualBreakCount="1">
    <brk id="236" min="3" max="18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BG366"/>
  <sheetViews>
    <sheetView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U14" sqref="U14"/>
    </sheetView>
  </sheetViews>
  <sheetFormatPr defaultColWidth="10" defaultRowHeight="13.5" x14ac:dyDescent="0.15"/>
  <cols>
    <col min="1" max="1" width="14.75" style="32" customWidth="1"/>
    <col min="2" max="25" width="11.75" style="32" customWidth="1"/>
    <col min="26" max="31" width="13.625" style="32" customWidth="1"/>
    <col min="32" max="36" width="13.625" customWidth="1"/>
    <col min="37" max="16384" width="10" style="32"/>
  </cols>
  <sheetData>
    <row r="1" spans="1:36" ht="33.75" customHeight="1" x14ac:dyDescent="0.15">
      <c r="A1" s="31" t="s">
        <v>194</v>
      </c>
      <c r="X1" s="417"/>
      <c r="Y1" s="417"/>
      <c r="Z1" s="417"/>
      <c r="AA1" s="417"/>
      <c r="AB1" s="417"/>
      <c r="AC1" s="417"/>
    </row>
    <row r="2" spans="1:36" ht="19.5" customHeight="1" thickBot="1" x14ac:dyDescent="0.2">
      <c r="A2" s="33"/>
    </row>
    <row r="3" spans="1:36" ht="34.5" customHeight="1" thickBot="1" x14ac:dyDescent="0.2">
      <c r="A3" s="34" t="s">
        <v>100</v>
      </c>
      <c r="B3" s="684">
        <f t="shared" ref="B3:W3" si="0">EDATE(C3,-1)</f>
        <v>42856</v>
      </c>
      <c r="C3" s="684">
        <f t="shared" si="0"/>
        <v>42887</v>
      </c>
      <c r="D3" s="684">
        <f t="shared" si="0"/>
        <v>42917</v>
      </c>
      <c r="E3" s="684">
        <f t="shared" si="0"/>
        <v>42948</v>
      </c>
      <c r="F3" s="684">
        <f t="shared" si="0"/>
        <v>42979</v>
      </c>
      <c r="G3" s="684">
        <f t="shared" si="0"/>
        <v>43009</v>
      </c>
      <c r="H3" s="684">
        <f t="shared" si="0"/>
        <v>43040</v>
      </c>
      <c r="I3" s="684">
        <f t="shared" si="0"/>
        <v>43070</v>
      </c>
      <c r="J3" s="684">
        <f t="shared" si="0"/>
        <v>43101</v>
      </c>
      <c r="K3" s="684">
        <f t="shared" si="0"/>
        <v>43132</v>
      </c>
      <c r="L3" s="684">
        <f t="shared" si="0"/>
        <v>43160</v>
      </c>
      <c r="M3" s="684">
        <f t="shared" si="0"/>
        <v>43191</v>
      </c>
      <c r="N3" s="684">
        <f t="shared" si="0"/>
        <v>43221</v>
      </c>
      <c r="O3" s="684">
        <f t="shared" si="0"/>
        <v>43252</v>
      </c>
      <c r="P3" s="684">
        <f t="shared" si="0"/>
        <v>43282</v>
      </c>
      <c r="Q3" s="684">
        <f t="shared" si="0"/>
        <v>43313</v>
      </c>
      <c r="R3" s="684">
        <f t="shared" si="0"/>
        <v>43344</v>
      </c>
      <c r="S3" s="684">
        <f t="shared" si="0"/>
        <v>43374</v>
      </c>
      <c r="T3" s="684">
        <f t="shared" si="0"/>
        <v>43405</v>
      </c>
      <c r="U3" s="684">
        <f t="shared" si="0"/>
        <v>43435</v>
      </c>
      <c r="V3" s="684">
        <f t="shared" si="0"/>
        <v>43466</v>
      </c>
      <c r="W3" s="684">
        <f t="shared" si="0"/>
        <v>43497</v>
      </c>
      <c r="X3" s="684">
        <f>EDATE(Y3,-1)</f>
        <v>43525</v>
      </c>
      <c r="Y3" s="706">
        <f>推移!AA2</f>
        <v>43556</v>
      </c>
      <c r="Z3" s="151" t="s">
        <v>195</v>
      </c>
      <c r="AA3" s="151" t="s">
        <v>196</v>
      </c>
      <c r="AB3" s="187" t="s">
        <v>265</v>
      </c>
      <c r="AC3" s="188" t="s">
        <v>266</v>
      </c>
      <c r="AD3" s="185" t="s">
        <v>267</v>
      </c>
      <c r="AE3" s="188" t="s">
        <v>269</v>
      </c>
      <c r="AF3" s="186" t="s">
        <v>268</v>
      </c>
      <c r="AG3" s="32"/>
      <c r="AH3" s="32"/>
      <c r="AI3" s="32"/>
      <c r="AJ3" s="32"/>
    </row>
    <row r="4" spans="1:36" ht="24" customHeight="1" x14ac:dyDescent="0.15">
      <c r="A4" s="685" t="s">
        <v>856</v>
      </c>
      <c r="B4" s="36">
        <f>IFERROR(GETPIVOTDATA("合計 / 請求",【ピボット】国保連売上!$A$3,"年月",B$3,"事業所","管理部","請求区分","単月"),0)</f>
        <v>0</v>
      </c>
      <c r="C4" s="36">
        <f>IFERROR(GETPIVOTDATA("合計 / 請求",【ピボット】国保連売上!$A$3,"年月",C$3,"事業所","管理部","請求区分","単月"),0)</f>
        <v>0</v>
      </c>
      <c r="D4" s="36">
        <f>IFERROR(GETPIVOTDATA("合計 / 請求",【ピボット】国保連売上!$A$3,"年月",D$3,"事業所","管理部","請求区分","単月"),0)</f>
        <v>0</v>
      </c>
      <c r="E4" s="36">
        <f>IFERROR(GETPIVOTDATA("合計 / 請求",【ピボット】国保連売上!$A$3,"年月",E$3,"事業所","管理部","請求区分","単月"),0)</f>
        <v>0</v>
      </c>
      <c r="F4" s="36">
        <f>IFERROR(GETPIVOTDATA("合計 / 請求",【ピボット】国保連売上!$A$3,"年月",F$3,"事業所","管理部","請求区分","単月"),0)</f>
        <v>0</v>
      </c>
      <c r="G4" s="36">
        <f>IFERROR(GETPIVOTDATA("合計 / 請求",【ピボット】国保連売上!$A$3,"年月",G$3,"事業所","管理部","請求区分","単月"),0)</f>
        <v>0</v>
      </c>
      <c r="H4" s="36">
        <f>IFERROR(GETPIVOTDATA("合計 / 請求",【ピボット】国保連売上!$A$3,"年月",H$3,"事業所","管理部","請求区分","単月"),0)</f>
        <v>0</v>
      </c>
      <c r="I4" s="36">
        <f>IFERROR(GETPIVOTDATA("合計 / 請求",【ピボット】国保連売上!$A$3,"年月",I$3,"事業所","管理部","請求区分","単月"),0)</f>
        <v>0</v>
      </c>
      <c r="J4" s="36">
        <f>IFERROR(GETPIVOTDATA("合計 / 請求",【ピボット】国保連売上!$A$3,"年月",J$3,"事業所","管理部","請求区分","単月"),0)</f>
        <v>0</v>
      </c>
      <c r="K4" s="36">
        <f>IFERROR(GETPIVOTDATA("合計 / 請求",【ピボット】国保連売上!$A$3,"年月",K$3,"事業所","管理部","請求区分","単月"),0)</f>
        <v>0</v>
      </c>
      <c r="L4" s="36">
        <f>IFERROR(GETPIVOTDATA("合計 / 請求",【ピボット】国保連売上!$A$3,"年月",L$3,"事業所","管理部","請求区分","単月"),0)</f>
        <v>0</v>
      </c>
      <c r="M4" s="36">
        <f>IFERROR(GETPIVOTDATA("合計 / 請求",【ピボット】国保連売上!$A$3,"年月",M$3,"事業所","管理部","請求区分","単月"),0)</f>
        <v>0</v>
      </c>
      <c r="N4" s="36">
        <f>IFERROR(GETPIVOTDATA("合計 / 請求",【ピボット】国保連売上!$A$3,"年月",N$3,"事業所","管理部","請求区分","単月"),0)</f>
        <v>0</v>
      </c>
      <c r="O4" s="36">
        <f>IFERROR(GETPIVOTDATA("合計 / 請求",【ピボット】国保連売上!$A$3,"年月",O$3,"事業所","管理部","請求区分","単月"),0)</f>
        <v>0</v>
      </c>
      <c r="P4" s="36">
        <f>IFERROR(GETPIVOTDATA("合計 / 請求",【ピボット】国保連売上!$A$3,"年月",P$3,"事業所","管理部","請求区分","単月"),0)</f>
        <v>0</v>
      </c>
      <c r="Q4" s="36">
        <f>IFERROR(GETPIVOTDATA("合計 / 請求",【ピボット】国保連売上!$A$3,"年月",Q$3,"事業所","管理部","請求区分","単月"),0)</f>
        <v>0</v>
      </c>
      <c r="R4" s="36">
        <f>IFERROR(GETPIVOTDATA("合計 / 請求",【ピボット】国保連売上!$A$3,"年月",R$3,"事業所","管理部","請求区分","単月"),0)</f>
        <v>0</v>
      </c>
      <c r="S4" s="36">
        <f>IFERROR(GETPIVOTDATA("合計 / 請求",【ピボット】国保連売上!$A$3,"年月",S$3,"事業所","管理部","請求区分","単月"),0)</f>
        <v>0</v>
      </c>
      <c r="T4" s="36">
        <f>IFERROR(GETPIVOTDATA("合計 / 請求",【ピボット】国保連売上!$A$3,"年月",T$3,"事業所","管理部","請求区分","単月"),0)</f>
        <v>0</v>
      </c>
      <c r="U4" s="36">
        <f>IFERROR(GETPIVOTDATA("合計 / 請求",【ピボット】国保連売上!$A$3,"年月",U$3,"事業所","管理部","請求区分","単月"),0)</f>
        <v>0</v>
      </c>
      <c r="V4" s="36">
        <f>IFERROR(GETPIVOTDATA("合計 / 請求",【ピボット】国保連売上!$A$3,"年月",V$3,"事業所","管理部","請求区分","単月"),0)</f>
        <v>0</v>
      </c>
      <c r="W4" s="36">
        <f>IFERROR(GETPIVOTDATA("合計 / 請求",【ピボット】国保連売上!$A$3,"年月",W$3,"事業所","管理部","請求区分","単月"),0)</f>
        <v>0</v>
      </c>
      <c r="X4" s="36">
        <f>IFERROR(GETPIVOTDATA("合計 / 請求",【ピボット】国保連売上!$A$3,"年月",X$3,"事業所","管理部","請求区分","単月"),0)</f>
        <v>0</v>
      </c>
      <c r="Y4" s="36">
        <f>IFERROR(GETPIVOTDATA("合計 / 請求",【ピボット】国保連売上!$A$3,"年月",Y$3,"事業所","管理部","請求区分","単月"),0)</f>
        <v>0</v>
      </c>
      <c r="Z4" s="36">
        <f>SUM(K4:V4)</f>
        <v>0</v>
      </c>
      <c r="AA4" s="36">
        <f>AVERAGE(K4:V4)</f>
        <v>0</v>
      </c>
      <c r="AB4" s="182">
        <f>AVERAGE(B4:J4)</f>
        <v>0</v>
      </c>
      <c r="AC4" s="64">
        <f>AVERAGE(K4:P4)</f>
        <v>0</v>
      </c>
      <c r="AD4" s="64">
        <f>AVERAGE(Q4:V4)</f>
        <v>0</v>
      </c>
      <c r="AE4" s="70">
        <f>AVERAGE(Q4:S4)</f>
        <v>0</v>
      </c>
      <c r="AF4" s="129">
        <f>AVERAGE(T4:V4)</f>
        <v>0</v>
      </c>
      <c r="AG4" s="32"/>
      <c r="AH4" s="32"/>
      <c r="AI4" s="32"/>
      <c r="AJ4" s="32"/>
    </row>
    <row r="5" spans="1:36" ht="24" customHeight="1" x14ac:dyDescent="0.15">
      <c r="A5" s="35" t="s">
        <v>102</v>
      </c>
      <c r="B5" s="36">
        <f>IFERROR(GETPIVOTDATA("合計 / 請求",【ピボット】国保連売上!$A$3,"年月",B$3,"事業所",$A5,"請求区分","単月"),0)</f>
        <v>9992832</v>
      </c>
      <c r="C5" s="36">
        <f>IFERROR(GETPIVOTDATA("合計 / 請求",【ピボット】国保連売上!$A$3,"年月",C$3,"事業所",$A5,"請求区分","単月"),0)</f>
        <v>9227912</v>
      </c>
      <c r="D5" s="36">
        <f>IFERROR(GETPIVOTDATA("合計 / 請求",【ピボット】国保連売上!$A$3,"年月",D$3,"事業所",$A5,"請求区分","単月"),0)</f>
        <v>9776465</v>
      </c>
      <c r="E5" s="36">
        <f>IFERROR(GETPIVOTDATA("合計 / 請求",【ピボット】国保連売上!$A$3,"年月",E$3,"事業所",$A5,"請求区分","単月"),0)</f>
        <v>9774030</v>
      </c>
      <c r="F5" s="36">
        <f>IFERROR(GETPIVOTDATA("合計 / 請求",【ピボット】国保連売上!$A$3,"年月",F$3,"事業所",$A5,"請求区分","単月"),0)</f>
        <v>10148554</v>
      </c>
      <c r="G5" s="36">
        <f>IFERROR(GETPIVOTDATA("合計 / 請求",【ピボット】国保連売上!$A$3,"年月",G$3,"事業所",$A5,"請求区分","単月"),0)</f>
        <v>10092092</v>
      </c>
      <c r="H5" s="36">
        <f>IFERROR(GETPIVOTDATA("合計 / 請求",【ピボット】国保連売上!$A$3,"年月",H$3,"事業所",$A5,"請求区分","単月"),0)</f>
        <v>9892697</v>
      </c>
      <c r="I5" s="36">
        <f>IFERROR(GETPIVOTDATA("合計 / 請求",【ピボット】国保連売上!$A$3,"年月",I$3,"事業所",$A5,"請求区分","単月"),0)</f>
        <v>9393626</v>
      </c>
      <c r="J5" s="36">
        <f>IFERROR(GETPIVOTDATA("合計 / 請求",【ピボット】国保連売上!$A$3,"年月",J$3,"事業所",$A5,"請求区分","単月"),0)</f>
        <v>9350432</v>
      </c>
      <c r="K5" s="36">
        <f>IFERROR(GETPIVOTDATA("合計 / 請求",【ピボット】国保連売上!$A$3,"年月",K$3,"事業所",$A5,"請求区分","単月"),0)</f>
        <v>8832032</v>
      </c>
      <c r="L5" s="36">
        <f>IFERROR(GETPIVOTDATA("合計 / 請求",【ピボット】国保連売上!$A$3,"年月",L$3,"事業所",$A5,"請求区分","単月"),0)</f>
        <v>9878804</v>
      </c>
      <c r="M5" s="36">
        <f>IFERROR(GETPIVOTDATA("合計 / 請求",【ピボット】国保連売上!$A$3,"年月",M$3,"事業所",$A5,"請求区分","単月"),0)</f>
        <v>9791668</v>
      </c>
      <c r="N5" s="36">
        <f>IFERROR(GETPIVOTDATA("合計 / 請求",【ピボット】国保連売上!$A$3,"年月",N$3,"事業所",$A5,"請求区分","単月"),0)</f>
        <v>10087423</v>
      </c>
      <c r="O5" s="36">
        <f>IFERROR(GETPIVOTDATA("合計 / 請求",【ピボット】国保連売上!$A$3,"年月",O$3,"事業所",$A5,"請求区分","単月"),0)</f>
        <v>9535609</v>
      </c>
      <c r="P5" s="36">
        <f>IFERROR(GETPIVOTDATA("合計 / 請求",【ピボット】国保連売上!$A$3,"年月",P$3,"事業所",$A5,"請求区分","単月"),0)</f>
        <v>10429329</v>
      </c>
      <c r="Q5" s="36">
        <f>IFERROR(GETPIVOTDATA("合計 / 請求",【ピボット】国保連売上!$A$3,"年月",Q$3,"事業所",$A5,"請求区分","単月"),0)</f>
        <v>9914852</v>
      </c>
      <c r="R5" s="36">
        <f>IFERROR(GETPIVOTDATA("合計 / 請求",【ピボット】国保連売上!$A$3,"年月",R$3,"事業所",$A5,"請求区分","単月"),0)</f>
        <v>10606419</v>
      </c>
      <c r="S5" s="36">
        <f>IFERROR(GETPIVOTDATA("合計 / 請求",【ピボット】国保連売上!$A$3,"年月",S$3,"事業所",$A5,"請求区分","単月"),0)</f>
        <v>11523231</v>
      </c>
      <c r="T5" s="36">
        <f>IFERROR(GETPIVOTDATA("合計 / 請求",【ピボット】国保連売上!$A$3,"年月",T$3,"事業所",$A5,"請求区分","単月"),0)</f>
        <v>11643262</v>
      </c>
      <c r="U5" s="36">
        <f>IFERROR(GETPIVOTDATA("合計 / 請求",【ピボット】国保連売上!$A$3,"年月",U$3,"事業所",$A5,"請求区分","単月"),0)</f>
        <v>11201961</v>
      </c>
      <c r="V5" s="36">
        <f>IFERROR(GETPIVOTDATA("合計 / 請求",【ピボット】国保連売上!$A$3,"年月",V$3,"事業所",$A5,"請求区分","単月"),0)</f>
        <v>11414498</v>
      </c>
      <c r="W5" s="36">
        <f>IFERROR(GETPIVOTDATA("合計 / 請求",【ピボット】国保連売上!$A$3,"年月",W$3,"事業所",$A5,"請求区分","単月"),0)</f>
        <v>10739184</v>
      </c>
      <c r="X5" s="36">
        <f>IFERROR(GETPIVOTDATA("合計 / 請求",【ピボット】国保連売上!$A$3,"年月",X$3,"事業所",$A5,"請求区分","単月"),0)</f>
        <v>11842205</v>
      </c>
      <c r="Y5" s="36">
        <f>IFERROR(GETPIVOTDATA("合計 / 請求",【ピボット】国保連売上!$A$3,"年月",Y$3,"事業所",$A5,"請求区分","単月"),0)</f>
        <v>12074847</v>
      </c>
      <c r="Z5" s="36">
        <f>SUM(N5:Y5)</f>
        <v>131012820</v>
      </c>
      <c r="AA5" s="36">
        <f>AVERAGE(N5:Y5)</f>
        <v>10917735</v>
      </c>
      <c r="AB5" s="182">
        <f>AVERAGE(B5:M5)</f>
        <v>9679262</v>
      </c>
      <c r="AC5" s="64">
        <f>AVERAGE(N5:S5)</f>
        <v>10349477.166666666</v>
      </c>
      <c r="AD5" s="64">
        <f>AVERAGE(T5:Y5)</f>
        <v>11485992.833333334</v>
      </c>
      <c r="AE5" s="70">
        <f>AVERAGE(T5:V5)</f>
        <v>11419907</v>
      </c>
      <c r="AF5" s="129">
        <f>AVERAGE(W5:Y5)</f>
        <v>11552078.666666666</v>
      </c>
      <c r="AG5" s="32"/>
      <c r="AH5" s="32"/>
      <c r="AI5" s="32"/>
      <c r="AJ5" s="32"/>
    </row>
    <row r="6" spans="1:36" ht="24" customHeight="1" x14ac:dyDescent="0.15">
      <c r="A6" s="35" t="s">
        <v>104</v>
      </c>
      <c r="B6" s="36">
        <f>IFERROR(GETPIVOTDATA("合計 / 請求",【ピボット】国保連売上!$A$3,"年月",B$3,"事業所",$A6,"請求区分","単月"),0)</f>
        <v>5213822</v>
      </c>
      <c r="C6" s="36">
        <f>IFERROR(GETPIVOTDATA("合計 / 請求",【ピボット】国保連売上!$A$3,"年月",C$3,"事業所",$A6,"請求区分","単月"),0)</f>
        <v>5409924</v>
      </c>
      <c r="D6" s="36">
        <f>IFERROR(GETPIVOTDATA("合計 / 請求",【ピボット】国保連売上!$A$3,"年月",D$3,"事業所",$A6,"請求区分","単月"),0)</f>
        <v>5466967</v>
      </c>
      <c r="E6" s="36">
        <f>IFERROR(GETPIVOTDATA("合計 / 請求",【ピボット】国保連売上!$A$3,"年月",E$3,"事業所",$A6,"請求区分","単月"),0)</f>
        <v>5136732</v>
      </c>
      <c r="F6" s="36">
        <f>IFERROR(GETPIVOTDATA("合計 / 請求",【ピボット】国保連売上!$A$3,"年月",F$3,"事業所",$A6,"請求区分","単月"),0)</f>
        <v>5672933</v>
      </c>
      <c r="G6" s="36">
        <f>IFERROR(GETPIVOTDATA("合計 / 請求",【ピボット】国保連売上!$A$3,"年月",G$3,"事業所",$A6,"請求区分","単月"),0)</f>
        <v>5571798</v>
      </c>
      <c r="H6" s="36">
        <f>IFERROR(GETPIVOTDATA("合計 / 請求",【ピボット】国保連売上!$A$3,"年月",H$3,"事業所",$A6,"請求区分","単月"),0)</f>
        <v>5606848</v>
      </c>
      <c r="I6" s="36">
        <f>IFERROR(GETPIVOTDATA("合計 / 請求",【ピボット】国保連売上!$A$3,"年月",I$3,"事業所",$A6,"請求区分","単月"),0)</f>
        <v>5773883</v>
      </c>
      <c r="J6" s="36">
        <f>IFERROR(GETPIVOTDATA("合計 / 請求",【ピボット】国保連売上!$A$3,"年月",J$3,"事業所",$A6,"請求区分","単月"),0)</f>
        <v>5390166</v>
      </c>
      <c r="K6" s="36">
        <f>IFERROR(GETPIVOTDATA("合計 / 請求",【ピボット】国保連売上!$A$3,"年月",K$3,"事業所",$A6,"請求区分","単月"),0)</f>
        <v>5121995</v>
      </c>
      <c r="L6" s="36">
        <f>IFERROR(GETPIVOTDATA("合計 / 請求",【ピボット】国保連売上!$A$3,"年月",L$3,"事業所",$A6,"請求区分","単月"),0)</f>
        <v>6135424</v>
      </c>
      <c r="M6" s="36">
        <f>IFERROR(GETPIVOTDATA("合計 / 請求",【ピボット】国保連売上!$A$3,"年月",M$3,"事業所",$A6,"請求区分","単月"),0)</f>
        <v>6044536</v>
      </c>
      <c r="N6" s="36">
        <f>IFERROR(GETPIVOTDATA("合計 / 請求",【ピボット】国保連売上!$A$3,"年月",N$3,"事業所",$A6,"請求区分","単月"),0)</f>
        <v>6228871</v>
      </c>
      <c r="O6" s="36">
        <f>IFERROR(GETPIVOTDATA("合計 / 請求",【ピボット】国保連売上!$A$3,"年月",O$3,"事業所",$A6,"請求区分","単月"),0)</f>
        <v>5692633</v>
      </c>
      <c r="P6" s="36">
        <f>IFERROR(GETPIVOTDATA("合計 / 請求",【ピボット】国保連売上!$A$3,"年月",P$3,"事業所",$A6,"請求区分","単月"),0)</f>
        <v>5595832</v>
      </c>
      <c r="Q6" s="36">
        <f>IFERROR(GETPIVOTDATA("合計 / 請求",【ピボット】国保連売上!$A$3,"年月",Q$3,"事業所",$A6,"請求区分","単月"),0)</f>
        <v>5869880</v>
      </c>
      <c r="R6" s="36">
        <f>IFERROR(GETPIVOTDATA("合計 / 請求",【ピボット】国保連売上!$A$3,"年月",R$3,"事業所",$A6,"請求区分","単月"),0)</f>
        <v>6084510</v>
      </c>
      <c r="S6" s="36">
        <f>IFERROR(GETPIVOTDATA("合計 / 請求",【ピボット】国保連売上!$A$3,"年月",S$3,"事業所",$A6,"請求区分","単月"),0)</f>
        <v>6977480</v>
      </c>
      <c r="T6" s="36">
        <f>IFERROR(GETPIVOTDATA("合計 / 請求",【ピボット】国保連売上!$A$3,"年月",T$3,"事業所",$A6,"請求区分","単月"),0)</f>
        <v>6704768</v>
      </c>
      <c r="U6" s="36">
        <f>IFERROR(GETPIVOTDATA("合計 / 請求",【ピボット】国保連売上!$A$3,"年月",U$3,"事業所",$A6,"請求区分","単月"),0)</f>
        <v>6361705</v>
      </c>
      <c r="V6" s="36">
        <f>IFERROR(GETPIVOTDATA("合計 / 請求",【ピボット】国保連売上!$A$3,"年月",V$3,"事業所",$A6,"請求区分","単月"),0)</f>
        <v>5979274</v>
      </c>
      <c r="W6" s="36">
        <f>IFERROR(GETPIVOTDATA("合計 / 請求",【ピボット】国保連売上!$A$3,"年月",W$3,"事業所",$A6,"請求区分","単月"),0)</f>
        <v>5457691</v>
      </c>
      <c r="X6" s="36">
        <f>IFERROR(GETPIVOTDATA("合計 / 請求",【ピボット】国保連売上!$A$3,"年月",X$3,"事業所",$A6,"請求区分","単月"),0)</f>
        <v>5358259</v>
      </c>
      <c r="Y6" s="36">
        <f>IFERROR(GETPIVOTDATA("合計 / 請求",【ピボット】国保連売上!$A$3,"年月",Y$3,"事業所",$A6,"請求区分","単月"),0)</f>
        <v>5176349</v>
      </c>
      <c r="Z6" s="36">
        <f t="shared" ref="Z6:Z17" si="1">SUM(N6:Y6)</f>
        <v>71487252</v>
      </c>
      <c r="AA6" s="36">
        <f t="shared" ref="AA6:AA18" si="2">AVERAGE(N6:Y6)</f>
        <v>5957271</v>
      </c>
      <c r="AB6" s="182">
        <f t="shared" ref="AB6:AB17" si="3">AVERAGE(B6:M6)</f>
        <v>5545419</v>
      </c>
      <c r="AC6" s="64">
        <f t="shared" ref="AC6:AC18" si="4">AVERAGE(N6:S6)</f>
        <v>6074867.666666667</v>
      </c>
      <c r="AD6" s="64">
        <f t="shared" ref="AD6:AD18" si="5">AVERAGE(T6:Y6)</f>
        <v>5839674.333333333</v>
      </c>
      <c r="AE6" s="70">
        <f t="shared" ref="AE6:AE18" si="6">AVERAGE(T6:V6)</f>
        <v>6348582.333333333</v>
      </c>
      <c r="AF6" s="129">
        <f t="shared" ref="AF6:AF18" si="7">AVERAGE(W6:Y6)</f>
        <v>5330766.333333333</v>
      </c>
      <c r="AG6" s="32"/>
      <c r="AH6" s="32"/>
      <c r="AI6" s="32"/>
      <c r="AJ6" s="32"/>
    </row>
    <row r="7" spans="1:36" ht="24" customHeight="1" x14ac:dyDescent="0.15">
      <c r="A7" s="35" t="s">
        <v>105</v>
      </c>
      <c r="B7" s="36">
        <f>IFERROR(GETPIVOTDATA("合計 / 請求",【ピボット】国保連売上!$A$3,"年月",B$3,"事業所",$A7,"請求区分","単月"),0)</f>
        <v>5033064</v>
      </c>
      <c r="C7" s="36">
        <f>IFERROR(GETPIVOTDATA("合計 / 請求",【ピボット】国保連売上!$A$3,"年月",C$3,"事業所",$A7,"請求区分","単月"),0)</f>
        <v>5204172</v>
      </c>
      <c r="D7" s="36">
        <f>IFERROR(GETPIVOTDATA("合計 / 請求",【ピボット】国保連売上!$A$3,"年月",D$3,"事業所",$A7,"請求区分","単月"),0)</f>
        <v>5570174</v>
      </c>
      <c r="E7" s="36">
        <f>IFERROR(GETPIVOTDATA("合計 / 請求",【ピボット】国保連売上!$A$3,"年月",E$3,"事業所",$A7,"請求区分","単月"),0)</f>
        <v>5618999</v>
      </c>
      <c r="F7" s="36">
        <f>IFERROR(GETPIVOTDATA("合計 / 請求",【ピボット】国保連売上!$A$3,"年月",F$3,"事業所",$A7,"請求区分","単月"),0)</f>
        <v>5432726</v>
      </c>
      <c r="G7" s="36">
        <f>IFERROR(GETPIVOTDATA("合計 / 請求",【ピボット】国保連売上!$A$3,"年月",G$3,"事業所",$A7,"請求区分","単月"),0)</f>
        <v>5686031</v>
      </c>
      <c r="H7" s="36">
        <f>IFERROR(GETPIVOTDATA("合計 / 請求",【ピボット】国保連売上!$A$3,"年月",H$3,"事業所",$A7,"請求区分","単月"),0)</f>
        <v>5565370</v>
      </c>
      <c r="I7" s="36">
        <f>IFERROR(GETPIVOTDATA("合計 / 請求",【ピボット】国保連売上!$A$3,"年月",I$3,"事業所",$A7,"請求区分","単月"),0)</f>
        <v>5827289</v>
      </c>
      <c r="J7" s="36">
        <f>IFERROR(GETPIVOTDATA("合計 / 請求",【ピボット】国保連売上!$A$3,"年月",J$3,"事業所",$A7,"請求区分","単月"),0)</f>
        <v>5430789</v>
      </c>
      <c r="K7" s="36">
        <f>IFERROR(GETPIVOTDATA("合計 / 請求",【ピボット】国保連売上!$A$3,"年月",K$3,"事業所",$A7,"請求区分","単月"),0)</f>
        <v>5281596</v>
      </c>
      <c r="L7" s="36">
        <f>IFERROR(GETPIVOTDATA("合計 / 請求",【ピボット】国保連売上!$A$3,"年月",L$3,"事業所",$A7,"請求区分","単月"),0)</f>
        <v>5995527</v>
      </c>
      <c r="M7" s="36">
        <f>IFERROR(GETPIVOTDATA("合計 / 請求",【ピボット】国保連売上!$A$3,"年月",M$3,"事業所",$A7,"請求区分","単月"),0)</f>
        <v>5782508</v>
      </c>
      <c r="N7" s="36">
        <f>IFERROR(GETPIVOTDATA("合計 / 請求",【ピボット】国保連売上!$A$3,"年月",N$3,"事業所",$A7,"請求区分","単月"),0)</f>
        <v>5788351</v>
      </c>
      <c r="O7" s="36">
        <f>IFERROR(GETPIVOTDATA("合計 / 請求",【ピボット】国保連売上!$A$3,"年月",O$3,"事業所",$A7,"請求区分","単月"),0)</f>
        <v>6328226</v>
      </c>
      <c r="P7" s="36">
        <f>IFERROR(GETPIVOTDATA("合計 / 請求",【ピボット】国保連売上!$A$3,"年月",P$3,"事業所",$A7,"請求区分","単月"),0)</f>
        <v>6679327</v>
      </c>
      <c r="Q7" s="36">
        <f>IFERROR(GETPIVOTDATA("合計 / 請求",【ピボット】国保連売上!$A$3,"年月",Q$3,"事業所",$A7,"請求区分","単月"),0)</f>
        <v>7184853</v>
      </c>
      <c r="R7" s="36">
        <f>IFERROR(GETPIVOTDATA("合計 / 請求",【ピボット】国保連売上!$A$3,"年月",R$3,"事業所",$A7,"請求区分","単月"),0)</f>
        <v>6541496</v>
      </c>
      <c r="S7" s="36">
        <f>IFERROR(GETPIVOTDATA("合計 / 請求",【ピボット】国保連売上!$A$3,"年月",S$3,"事業所",$A7,"請求区分","単月"),0)</f>
        <v>6956494</v>
      </c>
      <c r="T7" s="36">
        <f>IFERROR(GETPIVOTDATA("合計 / 請求",【ピボット】国保連売上!$A$3,"年月",T$3,"事業所",$A7,"請求区分","単月"),0)</f>
        <v>6408565</v>
      </c>
      <c r="U7" s="36">
        <f>IFERROR(GETPIVOTDATA("合計 / 請求",【ピボット】国保連売上!$A$3,"年月",U$3,"事業所",$A7,"請求区分","単月"),0)</f>
        <v>6288422</v>
      </c>
      <c r="V7" s="36">
        <f>IFERROR(GETPIVOTDATA("合計 / 請求",【ピボット】国保連売上!$A$3,"年月",V$3,"事業所",$A7,"請求区分","単月"),0)</f>
        <v>6473943</v>
      </c>
      <c r="W7" s="36">
        <f>IFERROR(GETPIVOTDATA("合計 / 請求",【ピボット】国保連売上!$A$3,"年月",W$3,"事業所",$A7,"請求区分","単月"),0)</f>
        <v>6078716</v>
      </c>
      <c r="X7" s="36">
        <f>IFERROR(GETPIVOTDATA("合計 / 請求",【ピボット】国保連売上!$A$3,"年月",X$3,"事業所",$A7,"請求区分","単月"),0)</f>
        <v>6761944</v>
      </c>
      <c r="Y7" s="36">
        <f>IFERROR(GETPIVOTDATA("合計 / 請求",【ピボット】国保連売上!$A$3,"年月",Y$3,"事業所",$A7,"請求区分","単月"),0)</f>
        <v>6527702</v>
      </c>
      <c r="Z7" s="36">
        <f t="shared" si="1"/>
        <v>78018039</v>
      </c>
      <c r="AA7" s="36">
        <f t="shared" si="2"/>
        <v>6501503.25</v>
      </c>
      <c r="AB7" s="182">
        <f t="shared" si="3"/>
        <v>5535687.083333333</v>
      </c>
      <c r="AC7" s="64">
        <f t="shared" si="4"/>
        <v>6579791.166666667</v>
      </c>
      <c r="AD7" s="64">
        <f t="shared" si="5"/>
        <v>6423215.333333333</v>
      </c>
      <c r="AE7" s="70">
        <f t="shared" si="6"/>
        <v>6390310</v>
      </c>
      <c r="AF7" s="129">
        <f t="shared" si="7"/>
        <v>6456120.666666667</v>
      </c>
      <c r="AG7" s="32"/>
      <c r="AH7" s="32"/>
      <c r="AI7" s="32"/>
      <c r="AJ7" s="32"/>
    </row>
    <row r="8" spans="1:36" ht="24" customHeight="1" x14ac:dyDescent="0.15">
      <c r="A8" s="683" t="s">
        <v>977</v>
      </c>
      <c r="B8" s="36">
        <f>IFERROR(GETPIVOTDATA("合計 / 請求",【ピボット】国保連売上!$A$3,"年月",B$3,"事業所",$A8,"請求区分","単月"),0)</f>
        <v>0</v>
      </c>
      <c r="C8" s="36">
        <f>IFERROR(GETPIVOTDATA("合計 / 請求",【ピボット】国保連売上!$A$3,"年月",C$3,"事業所",$A8,"請求区分","単月"),0)</f>
        <v>0</v>
      </c>
      <c r="D8" s="36">
        <f>IFERROR(GETPIVOTDATA("合計 / 請求",【ピボット】国保連売上!$A$3,"年月",D$3,"事業所",$A8,"請求区分","単月"),0)</f>
        <v>0</v>
      </c>
      <c r="E8" s="36">
        <f>IFERROR(GETPIVOTDATA("合計 / 請求",【ピボット】国保連売上!$A$3,"年月",E$3,"事業所",$A8,"請求区分","単月"),0)</f>
        <v>0</v>
      </c>
      <c r="F8" s="36">
        <f>IFERROR(GETPIVOTDATA("合計 / 請求",【ピボット】国保連売上!$A$3,"年月",F$3,"事業所",$A8,"請求区分","単月"),0)</f>
        <v>0</v>
      </c>
      <c r="G8" s="36">
        <f>IFERROR(GETPIVOTDATA("合計 / 請求",【ピボット】国保連売上!$A$3,"年月",G$3,"事業所",$A8,"請求区分","単月"),0)</f>
        <v>0</v>
      </c>
      <c r="H8" s="36">
        <f>IFERROR(GETPIVOTDATA("合計 / 請求",【ピボット】国保連売上!$A$3,"年月",H$3,"事業所",$A8,"請求区分","単月"),0)</f>
        <v>0</v>
      </c>
      <c r="I8" s="36">
        <f>IFERROR(GETPIVOTDATA("合計 / 請求",【ピボット】国保連売上!$A$3,"年月",I$3,"事業所",$A8,"請求区分","単月"),0)</f>
        <v>0</v>
      </c>
      <c r="J8" s="36">
        <f>IFERROR(GETPIVOTDATA("合計 / 請求",【ピボット】国保連売上!$A$3,"年月",J$3,"事業所",$A8,"請求区分","単月"),0)</f>
        <v>0</v>
      </c>
      <c r="K8" s="36">
        <f>IFERROR(GETPIVOTDATA("合計 / 請求",【ピボット】国保連売上!$A$3,"年月",K$3,"事業所",$A8,"請求区分","単月"),0)</f>
        <v>0</v>
      </c>
      <c r="L8" s="36">
        <f>IFERROR(GETPIVOTDATA("合計 / 請求",【ピボット】国保連売上!$A$3,"年月",L$3,"事業所",$A8,"請求区分","単月"),0)</f>
        <v>0</v>
      </c>
      <c r="M8" s="36">
        <f>IFERROR(GETPIVOTDATA("合計 / 請求",【ピボット】国保連売上!$A$3,"年月",M$3,"事業所",$A8,"請求区分","単月"),0)</f>
        <v>0</v>
      </c>
      <c r="N8" s="36">
        <f>IFERROR(GETPIVOTDATA("合計 / 請求",【ピボット】国保連売上!$A$3,"年月",N$3,"事業所",$A8,"請求区分","単月"),0)</f>
        <v>0</v>
      </c>
      <c r="O8" s="36">
        <f>IFERROR(GETPIVOTDATA("合計 / 請求",【ピボット】国保連売上!$A$3,"年月",O$3,"事業所",$A8,"請求区分","単月"),0)</f>
        <v>362472</v>
      </c>
      <c r="P8" s="36">
        <f>IFERROR(GETPIVOTDATA("合計 / 請求",【ピボット】国保連売上!$A$3,"年月",P$3,"事業所",$A8,"請求区分","単月"),0)</f>
        <v>421112</v>
      </c>
      <c r="Q8" s="36">
        <f>IFERROR(GETPIVOTDATA("合計 / 請求",【ピボット】国保連売上!$A$3,"年月",Q$3,"事業所",$A8,"請求区分","単月"),0)</f>
        <v>920765</v>
      </c>
      <c r="R8" s="36">
        <f>IFERROR(GETPIVOTDATA("合計 / 請求",【ピボット】国保連売上!$A$3,"年月",R$3,"事業所",$A8,"請求区分","単月"),0)</f>
        <v>1137667</v>
      </c>
      <c r="S8" s="36">
        <f>IFERROR(GETPIVOTDATA("合計 / 請求",【ピボット】国保連売上!$A$3,"年月",S$3,"事業所",$A8,"請求区分","単月"),0)</f>
        <v>1658360</v>
      </c>
      <c r="T8" s="36">
        <f>IFERROR(GETPIVOTDATA("合計 / 請求",【ピボット】国保連売上!$A$3,"年月",T$3,"事業所",$A8,"請求区分","単月"),0)</f>
        <v>1287209</v>
      </c>
      <c r="U8" s="36">
        <f>IFERROR(GETPIVOTDATA("合計 / 請求",【ピボット】国保連売上!$A$3,"年月",U$3,"事業所",$A8,"請求区分","単月"),0)</f>
        <v>1066153</v>
      </c>
      <c r="V8" s="36">
        <f>IFERROR(GETPIVOTDATA("合計 / 請求",【ピボット】国保連売上!$A$3,"年月",V$3,"事業所",$A8,"請求区分","単月"),0)</f>
        <v>1134172</v>
      </c>
      <c r="W8" s="36">
        <f>IFERROR(GETPIVOTDATA("合計 / 請求",【ピボット】国保連売上!$A$3,"年月",W$3,"事業所",$A8,"請求区分","単月"),0)</f>
        <v>892569</v>
      </c>
      <c r="X8" s="36">
        <f>IFERROR(GETPIVOTDATA("合計 / 請求",【ピボット】国保連売上!$A$3,"年月",X$3,"事業所",$A8,"請求区分","単月"),0)</f>
        <v>0</v>
      </c>
      <c r="Y8" s="36">
        <f>IFERROR(GETPIVOTDATA("合計 / 請求",【ピボット】国保連売上!$A$3,"年月",Y$3,"事業所",$A8,"請求区分","単月"),0)</f>
        <v>0</v>
      </c>
      <c r="Z8" s="36">
        <f>SUM(N8:Y8)</f>
        <v>8880479</v>
      </c>
      <c r="AA8" s="36">
        <f>AVERAGE(N8:Y8)</f>
        <v>740039.91666666663</v>
      </c>
      <c r="AB8" s="182">
        <f>AVERAGE(B8:M8)</f>
        <v>0</v>
      </c>
      <c r="AC8" s="64">
        <f>AVERAGE(N8:S8)</f>
        <v>750062.66666666663</v>
      </c>
      <c r="AD8" s="64">
        <f>AVERAGE(T8:Y8)</f>
        <v>730017.16666666663</v>
      </c>
      <c r="AE8" s="70">
        <f>AVERAGE(T8:V8)</f>
        <v>1162511.3333333333</v>
      </c>
      <c r="AF8" s="129">
        <f>AVERAGE(W8:Y8)</f>
        <v>297523</v>
      </c>
      <c r="AG8" s="32"/>
      <c r="AH8" s="32"/>
      <c r="AI8" s="32"/>
      <c r="AJ8" s="32"/>
    </row>
    <row r="9" spans="1:36" ht="24" customHeight="1" x14ac:dyDescent="0.15">
      <c r="A9" s="1159" t="s">
        <v>1213</v>
      </c>
      <c r="B9" s="36">
        <f>IFERROR(GETPIVOTDATA("合計 / 請求",【ピボット】国保連売上!$A$3,"年月",B$3,"事業所",$A9,"請求区分","単月"),0)</f>
        <v>0</v>
      </c>
      <c r="C9" s="36">
        <f>IFERROR(GETPIVOTDATA("合計 / 請求",【ピボット】国保連売上!$A$3,"年月",C$3,"事業所",$A9,"請求区分","単月"),0)</f>
        <v>0</v>
      </c>
      <c r="D9" s="36">
        <f>IFERROR(GETPIVOTDATA("合計 / 請求",【ピボット】国保連売上!$A$3,"年月",D$3,"事業所",$A9,"請求区分","単月"),0)</f>
        <v>0</v>
      </c>
      <c r="E9" s="36">
        <f>IFERROR(GETPIVOTDATA("合計 / 請求",【ピボット】国保連売上!$A$3,"年月",E$3,"事業所",$A9,"請求区分","単月"),0)</f>
        <v>0</v>
      </c>
      <c r="F9" s="36">
        <f>IFERROR(GETPIVOTDATA("合計 / 請求",【ピボット】国保連売上!$A$3,"年月",F$3,"事業所",$A9,"請求区分","単月"),0)</f>
        <v>0</v>
      </c>
      <c r="G9" s="36">
        <f>IFERROR(GETPIVOTDATA("合計 / 請求",【ピボット】国保連売上!$A$3,"年月",G$3,"事業所",$A9,"請求区分","単月"),0)</f>
        <v>0</v>
      </c>
      <c r="H9" s="36">
        <f>IFERROR(GETPIVOTDATA("合計 / 請求",【ピボット】国保連売上!$A$3,"年月",H$3,"事業所",$A9,"請求区分","単月"),0)</f>
        <v>0</v>
      </c>
      <c r="I9" s="36">
        <f>IFERROR(GETPIVOTDATA("合計 / 請求",【ピボット】国保連売上!$A$3,"年月",I$3,"事業所",$A9,"請求区分","単月"),0)</f>
        <v>0</v>
      </c>
      <c r="J9" s="36">
        <f>IFERROR(GETPIVOTDATA("合計 / 請求",【ピボット】国保連売上!$A$3,"年月",J$3,"事業所",$A9,"請求区分","単月"),0)</f>
        <v>0</v>
      </c>
      <c r="K9" s="36">
        <f>IFERROR(GETPIVOTDATA("合計 / 請求",【ピボット】国保連売上!$A$3,"年月",K$3,"事業所",$A9,"請求区分","単月"),0)</f>
        <v>0</v>
      </c>
      <c r="L9" s="36">
        <f>IFERROR(GETPIVOTDATA("合計 / 請求",【ピボット】国保連売上!$A$3,"年月",L$3,"事業所",$A9,"請求区分","単月"),0)</f>
        <v>0</v>
      </c>
      <c r="M9" s="36">
        <f>IFERROR(GETPIVOTDATA("合計 / 請求",【ピボット】国保連売上!$A$3,"年月",M$3,"事業所",$A9,"請求区分","単月"),0)</f>
        <v>0</v>
      </c>
      <c r="N9" s="36">
        <f>IFERROR(GETPIVOTDATA("合計 / 請求",【ピボット】国保連売上!$A$3,"年月",N$3,"事業所",$A9,"請求区分","単月"),0)</f>
        <v>0</v>
      </c>
      <c r="O9" s="36">
        <f>IFERROR(GETPIVOTDATA("合計 / 請求",【ピボット】国保連売上!$A$3,"年月",O$3,"事業所",$A9,"請求区分","単月"),0)</f>
        <v>0</v>
      </c>
      <c r="P9" s="36">
        <f>IFERROR(GETPIVOTDATA("合計 / 請求",【ピボット】国保連売上!$A$3,"年月",P$3,"事業所",$A9,"請求区分","単月"),0)</f>
        <v>0</v>
      </c>
      <c r="Q9" s="36">
        <f>IFERROR(GETPIVOTDATA("合計 / 請求",【ピボット】国保連売上!$A$3,"年月",Q$3,"事業所",$A9,"請求区分","単月"),0)</f>
        <v>0</v>
      </c>
      <c r="R9" s="36">
        <f>IFERROR(GETPIVOTDATA("合計 / 請求",【ピボット】国保連売上!$A$3,"年月",R$3,"事業所",$A9,"請求区分","単月"),0)</f>
        <v>0</v>
      </c>
      <c r="S9" s="36">
        <f>IFERROR(GETPIVOTDATA("合計 / 請求",【ピボット】国保連売上!$A$3,"年月",S$3,"事業所",$A9,"請求区分","単月"),0)</f>
        <v>279190</v>
      </c>
      <c r="T9" s="36">
        <f>IFERROR(GETPIVOTDATA("合計 / 請求",【ピボット】国保連売上!$A$3,"年月",T$3,"事業所",$A9,"請求区分","単月"),0)</f>
        <v>443026</v>
      </c>
      <c r="U9" s="36">
        <f>IFERROR(GETPIVOTDATA("合計 / 請求",【ピボット】国保連売上!$A$3,"年月",U$3,"事業所",$A9,"請求区分","単月"),0)</f>
        <v>556533</v>
      </c>
      <c r="V9" s="36">
        <f>IFERROR(GETPIVOTDATA("合計 / 請求",【ピボット】国保連売上!$A$3,"年月",V$3,"事業所",$A9,"請求区分","単月"),0)</f>
        <v>793498</v>
      </c>
      <c r="W9" s="36">
        <f>IFERROR(GETPIVOTDATA("合計 / 請求",【ピボット】国保連売上!$A$3,"年月",W$3,"事業所",$A9,"請求区分","単月"),0)</f>
        <v>974812</v>
      </c>
      <c r="X9" s="36">
        <f>IFERROR(GETPIVOTDATA("合計 / 請求",【ピボット】国保連売上!$A$3,"年月",X$3,"事業所",$A9,"請求区分","単月"),0)</f>
        <v>1412447</v>
      </c>
      <c r="Y9" s="36">
        <f>IFERROR(GETPIVOTDATA("合計 / 請求",【ピボット】国保連売上!$A$3,"年月",Y$3,"事業所",$A9,"請求区分","単月"),0)</f>
        <v>1799519</v>
      </c>
      <c r="Z9" s="36">
        <f>SUM(N9:Y9)</f>
        <v>6259025</v>
      </c>
      <c r="AA9" s="36">
        <f>AVERAGE(N9:Y9)</f>
        <v>521585.41666666669</v>
      </c>
      <c r="AB9" s="182">
        <f>AVERAGE(B9:M9)</f>
        <v>0</v>
      </c>
      <c r="AC9" s="64">
        <f>AVERAGE(N9:S9)</f>
        <v>46531.666666666664</v>
      </c>
      <c r="AD9" s="64">
        <f>AVERAGE(T9:Y9)</f>
        <v>996639.16666666663</v>
      </c>
      <c r="AE9" s="70">
        <f>AVERAGE(T9:V9)</f>
        <v>597685.66666666663</v>
      </c>
      <c r="AF9" s="129">
        <f>AVERAGE(W9:Y9)</f>
        <v>1395592.6666666667</v>
      </c>
      <c r="AG9" s="32"/>
      <c r="AH9" s="32"/>
      <c r="AI9" s="32"/>
      <c r="AJ9" s="32"/>
    </row>
    <row r="10" spans="1:36" ht="24" customHeight="1" x14ac:dyDescent="0.15">
      <c r="A10" s="683" t="s">
        <v>536</v>
      </c>
      <c r="B10" s="36">
        <f>IFERROR(GETPIVOTDATA("合計 / 請求",【ピボット】国保連売上!$A$3,"年月",B$3,"事業所",$A10,"請求区分","単月"),0)</f>
        <v>3159951</v>
      </c>
      <c r="C10" s="36">
        <f>IFERROR(GETPIVOTDATA("合計 / 請求",【ピボット】国保連売上!$A$3,"年月",C$3,"事業所",$A10,"請求区分","単月"),0)</f>
        <v>3136628</v>
      </c>
      <c r="D10" s="36">
        <f>IFERROR(GETPIVOTDATA("合計 / 請求",【ピボット】国保連売上!$A$3,"年月",D$3,"事業所",$A10,"請求区分","単月"),0)</f>
        <v>3426262</v>
      </c>
      <c r="E10" s="36">
        <f>IFERROR(GETPIVOTDATA("合計 / 請求",【ピボット】国保連売上!$A$3,"年月",E$3,"事業所",$A10,"請求区分","単月"),0)</f>
        <v>3078216</v>
      </c>
      <c r="F10" s="36">
        <f>IFERROR(GETPIVOTDATA("合計 / 請求",【ピボット】国保連売上!$A$3,"年月",F$3,"事業所",$A10,"請求区分","単月"),0)</f>
        <v>2955968</v>
      </c>
      <c r="G10" s="36">
        <f>IFERROR(GETPIVOTDATA("合計 / 請求",【ピボット】国保連売上!$A$3,"年月",G$3,"事業所",$A10,"請求区分","単月"),0)</f>
        <v>3076553</v>
      </c>
      <c r="H10" s="36">
        <f>IFERROR(GETPIVOTDATA("合計 / 請求",【ピボット】国保連売上!$A$3,"年月",H$3,"事業所",$A10,"請求区分","単月"),0)</f>
        <v>3271508</v>
      </c>
      <c r="I10" s="36">
        <f>IFERROR(GETPIVOTDATA("合計 / 請求",【ピボット】国保連売上!$A$3,"年月",I$3,"事業所",$A10,"請求区分","単月"),0)</f>
        <v>3149307</v>
      </c>
      <c r="J10" s="36">
        <f>IFERROR(GETPIVOTDATA("合計 / 請求",【ピボット】国保連売上!$A$3,"年月",J$3,"事業所",$A10,"請求区分","単月"),0)</f>
        <v>3148868</v>
      </c>
      <c r="K10" s="36">
        <f>IFERROR(GETPIVOTDATA("合計 / 請求",【ピボット】国保連売上!$A$3,"年月",K$3,"事業所",$A10,"請求区分","単月"),0)</f>
        <v>3235791</v>
      </c>
      <c r="L10" s="36">
        <f>IFERROR(GETPIVOTDATA("合計 / 請求",【ピボット】国保連売上!$A$3,"年月",L$3,"事業所",$A10,"請求区分","単月"),0)</f>
        <v>3678425</v>
      </c>
      <c r="M10" s="36">
        <f>IFERROR(GETPIVOTDATA("合計 / 請求",【ピボット】国保連売上!$A$3,"年月",M$3,"事業所",$A10,"請求区分","単月"),0)</f>
        <v>4198450</v>
      </c>
      <c r="N10" s="36">
        <f>IFERROR(GETPIVOTDATA("合計 / 請求",【ピボット】国保連売上!$A$3,"年月",N$3,"事業所",$A10,"請求区分","単月"),0)</f>
        <v>4098308</v>
      </c>
      <c r="O10" s="36">
        <f>IFERROR(GETPIVOTDATA("合計 / 請求",【ピボット】国保連売上!$A$3,"年月",O$3,"事業所",$A10,"請求区分","単月"),0)</f>
        <v>3928452</v>
      </c>
      <c r="P10" s="36">
        <f>IFERROR(GETPIVOTDATA("合計 / 請求",【ピボット】国保連売上!$A$3,"年月",P$3,"事業所",$A10,"請求区分","単月"),0)</f>
        <v>4234658</v>
      </c>
      <c r="Q10" s="36">
        <f>IFERROR(GETPIVOTDATA("合計 / 請求",【ピボット】国保連売上!$A$3,"年月",Q$3,"事業所",$A10,"請求区分","単月"),0)</f>
        <v>4173142</v>
      </c>
      <c r="R10" s="36">
        <f>IFERROR(GETPIVOTDATA("合計 / 請求",【ピボット】国保連売上!$A$3,"年月",R$3,"事業所",$A10,"請求区分","単月"),0)</f>
        <v>3905307</v>
      </c>
      <c r="S10" s="36">
        <f>IFERROR(GETPIVOTDATA("合計 / 請求",【ピボット】国保連売上!$A$3,"年月",S$3,"事業所",$A10,"請求区分","単月"),0)</f>
        <v>4207155</v>
      </c>
      <c r="T10" s="36">
        <f>IFERROR(GETPIVOTDATA("合計 / 請求",【ピボット】国保連売上!$A$3,"年月",T$3,"事業所",$A10,"請求区分","単月"),0)</f>
        <v>4195626</v>
      </c>
      <c r="U10" s="36">
        <f>IFERROR(GETPIVOTDATA("合計 / 請求",【ピボット】国保連売上!$A$3,"年月",U$3,"事業所",$A10,"請求区分","単月"),0)</f>
        <v>4236747</v>
      </c>
      <c r="V10" s="36">
        <f>IFERROR(GETPIVOTDATA("合計 / 請求",【ピボット】国保連売上!$A$3,"年月",V$3,"事業所",$A10,"請求区分","単月"),0)</f>
        <v>3824966</v>
      </c>
      <c r="W10" s="36">
        <f>IFERROR(GETPIVOTDATA("合計 / 請求",【ピボット】国保連売上!$A$3,"年月",W$3,"事業所",$A10,"請求区分","単月"),0)</f>
        <v>4029418</v>
      </c>
      <c r="X10" s="36">
        <f>IFERROR(GETPIVOTDATA("合計 / 請求",【ピボット】国保連売上!$A$3,"年月",X$3,"事業所",$A10,"請求区分","単月"),0)</f>
        <v>4596566</v>
      </c>
      <c r="Y10" s="36">
        <f>IFERROR(GETPIVOTDATA("合計 / 請求",【ピボット】国保連売上!$A$3,"年月",Y$3,"事業所",$A10,"請求区分","単月"),0)</f>
        <v>4062911</v>
      </c>
      <c r="Z10" s="36">
        <f t="shared" si="1"/>
        <v>49493256</v>
      </c>
      <c r="AA10" s="36">
        <f t="shared" si="2"/>
        <v>4124438</v>
      </c>
      <c r="AB10" s="182">
        <f t="shared" si="3"/>
        <v>3292993.9166666665</v>
      </c>
      <c r="AC10" s="64">
        <f t="shared" si="4"/>
        <v>4091170.3333333335</v>
      </c>
      <c r="AD10" s="64">
        <f t="shared" si="5"/>
        <v>4157705.6666666665</v>
      </c>
      <c r="AE10" s="70">
        <f t="shared" si="6"/>
        <v>4085779.6666666665</v>
      </c>
      <c r="AF10" s="129">
        <f t="shared" si="7"/>
        <v>4229631.666666667</v>
      </c>
      <c r="AG10" s="32"/>
      <c r="AH10" s="32"/>
      <c r="AI10" s="32"/>
      <c r="AJ10" s="32"/>
    </row>
    <row r="11" spans="1:36" ht="24" customHeight="1" x14ac:dyDescent="0.15">
      <c r="A11" s="35" t="s">
        <v>106</v>
      </c>
      <c r="B11" s="36">
        <f>IFERROR(GETPIVOTDATA("合計 / 請求",【ピボット】国保連売上!$A$3,"年月",B$3,"事業所",$A11,"請求区分","単月"),0)</f>
        <v>2221926</v>
      </c>
      <c r="C11" s="36">
        <f>IFERROR(GETPIVOTDATA("合計 / 請求",【ピボット】国保連売上!$A$3,"年月",C$3,"事業所",$A11,"請求区分","単月"),0)</f>
        <v>2170929</v>
      </c>
      <c r="D11" s="36">
        <f>IFERROR(GETPIVOTDATA("合計 / 請求",【ピボット】国保連売上!$A$3,"年月",D$3,"事業所",$A11,"請求区分","単月"),0)</f>
        <v>2304959</v>
      </c>
      <c r="E11" s="36">
        <f>IFERROR(GETPIVOTDATA("合計 / 請求",【ピボット】国保連売上!$A$3,"年月",E$3,"事業所",$A11,"請求区分","単月"),0)</f>
        <v>2326894</v>
      </c>
      <c r="F11" s="36">
        <f>IFERROR(GETPIVOTDATA("合計 / 請求",【ピボット】国保連売上!$A$3,"年月",F$3,"事業所",$A11,"請求区分","単月"),0)</f>
        <v>2383506</v>
      </c>
      <c r="G11" s="36">
        <f>IFERROR(GETPIVOTDATA("合計 / 請求",【ピボット】国保連売上!$A$3,"年月",G$3,"事業所",$A11,"請求区分","単月"),0)</f>
        <v>2140629</v>
      </c>
      <c r="H11" s="36">
        <f>IFERROR(GETPIVOTDATA("合計 / 請求",【ピボット】国保連売上!$A$3,"年月",H$3,"事業所",$A11,"請求区分","単月"),0)</f>
        <v>2052909</v>
      </c>
      <c r="I11" s="36">
        <f>IFERROR(GETPIVOTDATA("合計 / 請求",【ピボット】国保連売上!$A$3,"年月",I$3,"事業所",$A11,"請求区分","単月"),0)</f>
        <v>2157074</v>
      </c>
      <c r="J11" s="36">
        <f>IFERROR(GETPIVOTDATA("合計 / 請求",【ピボット】国保連売上!$A$3,"年月",J$3,"事業所",$A11,"請求区分","単月"),0)</f>
        <v>2007541</v>
      </c>
      <c r="K11" s="36">
        <f>IFERROR(GETPIVOTDATA("合計 / 請求",【ピボット】国保連売上!$A$3,"年月",K$3,"事業所",$A11,"請求区分","単月"),0)</f>
        <v>2306499</v>
      </c>
      <c r="L11" s="36">
        <f>IFERROR(GETPIVOTDATA("合計 / 請求",【ピボット】国保連売上!$A$3,"年月",L$3,"事業所",$A11,"請求区分","単月"),0)</f>
        <v>2198815</v>
      </c>
      <c r="M11" s="36">
        <f>IFERROR(GETPIVOTDATA("合計 / 請求",【ピボット】国保連売上!$A$3,"年月",M$3,"事業所",$A11,"請求区分","単月"),0)</f>
        <v>2291722</v>
      </c>
      <c r="N11" s="36">
        <f>IFERROR(GETPIVOTDATA("合計 / 請求",【ピボット】国保連売上!$A$3,"年月",N$3,"事業所",$A11,"請求区分","単月"),0)</f>
        <v>2293370</v>
      </c>
      <c r="O11" s="36">
        <f>IFERROR(GETPIVOTDATA("合計 / 請求",【ピボット】国保連売上!$A$3,"年月",O$3,"事業所",$A11,"請求区分","単月"),0)</f>
        <v>2039297</v>
      </c>
      <c r="P11" s="36">
        <f>IFERROR(GETPIVOTDATA("合計 / 請求",【ピボット】国保連売上!$A$3,"年月",P$3,"事業所",$A11,"請求区分","単月"),0)</f>
        <v>1697883</v>
      </c>
      <c r="Q11" s="36">
        <f>IFERROR(GETPIVOTDATA("合計 / 請求",【ピボット】国保連売上!$A$3,"年月",Q$3,"事業所",$A11,"請求区分","単月"),0)</f>
        <v>1573689</v>
      </c>
      <c r="R11" s="36">
        <f>IFERROR(GETPIVOTDATA("合計 / 請求",【ピボット】国保連売上!$A$3,"年月",R$3,"事業所",$A11,"請求区分","単月"),0)</f>
        <v>1331333</v>
      </c>
      <c r="S11" s="36">
        <f>IFERROR(GETPIVOTDATA("合計 / 請求",【ピボット】国保連売上!$A$3,"年月",S$3,"事業所",$A11,"請求区分","単月"),0)</f>
        <v>1489051</v>
      </c>
      <c r="T11" s="36">
        <f>IFERROR(GETPIVOTDATA("合計 / 請求",【ピボット】国保連売上!$A$3,"年月",T$3,"事業所",$A11,"請求区分","単月"),0)</f>
        <v>1819338</v>
      </c>
      <c r="U11" s="36">
        <f>IFERROR(GETPIVOTDATA("合計 / 請求",【ピボット】国保連売上!$A$3,"年月",U$3,"事業所",$A11,"請求区分","単月"),0)</f>
        <v>1826775</v>
      </c>
      <c r="V11" s="36">
        <f>IFERROR(GETPIVOTDATA("合計 / 請求",【ピボット】国保連売上!$A$3,"年月",V$3,"事業所",$A11,"請求区分","単月"),0)</f>
        <v>1845029</v>
      </c>
      <c r="W11" s="36">
        <f>IFERROR(GETPIVOTDATA("合計 / 請求",【ピボット】国保連売上!$A$3,"年月",W$3,"事業所",$A11,"請求区分","単月"),0)</f>
        <v>1715603</v>
      </c>
      <c r="X11" s="36">
        <f>IFERROR(GETPIVOTDATA("合計 / 請求",【ピボット】国保連売上!$A$3,"年月",X$3,"事業所",$A11,"請求区分","単月"),0)</f>
        <v>1715602</v>
      </c>
      <c r="Y11" s="36">
        <f>IFERROR(GETPIVOTDATA("合計 / 請求",【ピボット】国保連売上!$A$3,"年月",Y$3,"事業所",$A11,"請求区分","単月"),0)</f>
        <v>1684049</v>
      </c>
      <c r="Z11" s="36">
        <f t="shared" si="1"/>
        <v>21031019</v>
      </c>
      <c r="AA11" s="36">
        <f t="shared" si="2"/>
        <v>1752584.9166666667</v>
      </c>
      <c r="AB11" s="182">
        <f t="shared" si="3"/>
        <v>2213616.9166666665</v>
      </c>
      <c r="AC11" s="64">
        <f t="shared" si="4"/>
        <v>1737437.1666666667</v>
      </c>
      <c r="AD11" s="64">
        <f t="shared" si="5"/>
        <v>1767732.6666666667</v>
      </c>
      <c r="AE11" s="70">
        <f t="shared" si="6"/>
        <v>1830380.6666666667</v>
      </c>
      <c r="AF11" s="129">
        <f t="shared" si="7"/>
        <v>1705084.6666666667</v>
      </c>
      <c r="AG11" s="32"/>
      <c r="AH11" s="32"/>
      <c r="AI11" s="32"/>
      <c r="AJ11" s="32"/>
    </row>
    <row r="12" spans="1:36" ht="24" hidden="1" customHeight="1" x14ac:dyDescent="0.15">
      <c r="A12" s="35" t="s">
        <v>107</v>
      </c>
      <c r="B12" s="36">
        <f>IFERROR(GETPIVOTDATA("合計 / 請求",【ピボット】国保連売上!$A$3,"年月",B$3,"事業所",$A12,"請求区分","単月"),0)</f>
        <v>421867</v>
      </c>
      <c r="C12" s="36">
        <f>IFERROR(GETPIVOTDATA("合計 / 請求",【ピボット】国保連売上!$A$3,"年月",C$3,"事業所",$A12,"請求区分","単月"),0)</f>
        <v>0</v>
      </c>
      <c r="D12" s="36">
        <f>IFERROR(GETPIVOTDATA("合計 / 請求",【ピボット】国保連売上!$A$3,"年月",D$3,"事業所",$A12,"請求区分","単月"),0)</f>
        <v>0</v>
      </c>
      <c r="E12" s="36">
        <f>IFERROR(GETPIVOTDATA("合計 / 請求",【ピボット】国保連売上!$A$3,"年月",E$3,"事業所",$A12,"請求区分","単月"),0)</f>
        <v>0</v>
      </c>
      <c r="F12" s="36">
        <f>IFERROR(GETPIVOTDATA("合計 / 請求",【ピボット】国保連売上!$A$3,"年月",F$3,"事業所",$A12,"請求区分","単月"),0)</f>
        <v>0</v>
      </c>
      <c r="G12" s="36">
        <f>IFERROR(GETPIVOTDATA("合計 / 請求",【ピボット】国保連売上!$A$3,"年月",G$3,"事業所",$A12,"請求区分","単月"),0)</f>
        <v>0</v>
      </c>
      <c r="H12" s="36">
        <f>IFERROR(GETPIVOTDATA("合計 / 請求",【ピボット】国保連売上!$A$3,"年月",H$3,"事業所",$A12,"請求区分","単月"),0)</f>
        <v>0</v>
      </c>
      <c r="I12" s="36">
        <f>IFERROR(GETPIVOTDATA("合計 / 請求",【ピボット】国保連売上!$A$3,"年月",I$3,"事業所",$A12,"請求区分","単月"),0)</f>
        <v>0</v>
      </c>
      <c r="J12" s="36">
        <f>IFERROR(GETPIVOTDATA("合計 / 請求",【ピボット】国保連売上!$A$3,"年月",J$3,"事業所",$A12,"請求区分","単月"),0)</f>
        <v>0</v>
      </c>
      <c r="K12" s="36">
        <f>IFERROR(GETPIVOTDATA("合計 / 請求",【ピボット】国保連売上!$A$3,"年月",K$3,"事業所",$A12,"請求区分","単月"),0)</f>
        <v>0</v>
      </c>
      <c r="L12" s="36">
        <f>IFERROR(GETPIVOTDATA("合計 / 請求",【ピボット】国保連売上!$A$3,"年月",L$3,"事業所",$A12,"請求区分","単月"),0)</f>
        <v>0</v>
      </c>
      <c r="M12" s="36">
        <f>IFERROR(GETPIVOTDATA("合計 / 請求",【ピボット】国保連売上!$A$3,"年月",M$3,"事業所",$A12,"請求区分","単月"),0)</f>
        <v>0</v>
      </c>
      <c r="N12" s="36">
        <f>IFERROR(GETPIVOTDATA("合計 / 請求",【ピボット】国保連売上!$A$3,"年月",N$3,"事業所",$A12,"請求区分","単月"),0)</f>
        <v>0</v>
      </c>
      <c r="O12" s="36">
        <f>IFERROR(GETPIVOTDATA("合計 / 請求",【ピボット】国保連売上!$A$3,"年月",O$3,"事業所",$A12,"請求区分","単月"),0)</f>
        <v>0</v>
      </c>
      <c r="P12" s="36">
        <f>IFERROR(GETPIVOTDATA("合計 / 請求",【ピボット】国保連売上!$A$3,"年月",P$3,"事業所",$A12,"請求区分","単月"),0)</f>
        <v>0</v>
      </c>
      <c r="Q12" s="36">
        <f>IFERROR(GETPIVOTDATA("合計 / 請求",【ピボット】国保連売上!$A$3,"年月",Q$3,"事業所",$A12,"請求区分","単月"),0)</f>
        <v>0</v>
      </c>
      <c r="R12" s="686">
        <f>IFERROR(GETPIVOTDATA("合計 / 請求",【ピボット】国保連売上!$A$3,"年月",R$3,"事業所",$A12,"請求区分","単月"),0)</f>
        <v>0</v>
      </c>
      <c r="S12" s="686">
        <f>IFERROR(GETPIVOTDATA("合計 / 請求",【ピボット】国保連売上!$A$3,"年月",S$3,"事業所",$A12,"請求区分","単月"),0)</f>
        <v>0</v>
      </c>
      <c r="T12" s="686">
        <f>IFERROR(GETPIVOTDATA("合計 / 請求",【ピボット】国保連売上!$A$3,"年月",T$3,"事業所",$A12,"請求区分","単月"),0)</f>
        <v>0</v>
      </c>
      <c r="U12" s="686">
        <f>IFERROR(GETPIVOTDATA("合計 / 請求",【ピボット】国保連売上!$A$3,"年月",U$3,"事業所",$A12,"請求区分","単月"),0)</f>
        <v>0</v>
      </c>
      <c r="V12" s="686">
        <f>IFERROR(GETPIVOTDATA("合計 / 請求",【ピボット】国保連売上!$A$3,"年月",V$3,"事業所",$A12,"請求区分","単月"),0)</f>
        <v>0</v>
      </c>
      <c r="W12" s="686">
        <f>IFERROR(GETPIVOTDATA("合計 / 請求",【ピボット】国保連売上!$A$3,"年月",W$3,"事業所",$A12,"請求区分","単月"),0)</f>
        <v>0</v>
      </c>
      <c r="X12" s="686">
        <f>IFERROR(GETPIVOTDATA("合計 / 請求",【ピボット】国保連売上!$A$3,"年月",X$3,"事業所",$A12,"請求区分","単月"),0)</f>
        <v>0</v>
      </c>
      <c r="Y12" s="686">
        <f>IFERROR(GETPIVOTDATA("合計 / 請求",【ピボット】国保連売上!$A$3,"年月",Y$3,"事業所",$A12,"請求区分","単月"),0)</f>
        <v>0</v>
      </c>
      <c r="Z12" s="686">
        <f t="shared" si="1"/>
        <v>0</v>
      </c>
      <c r="AA12" s="686">
        <f t="shared" si="2"/>
        <v>0</v>
      </c>
      <c r="AB12" s="182">
        <f t="shared" si="3"/>
        <v>35155.583333333336</v>
      </c>
      <c r="AC12" s="64">
        <f t="shared" si="4"/>
        <v>0</v>
      </c>
      <c r="AD12" s="64">
        <f t="shared" si="5"/>
        <v>0</v>
      </c>
      <c r="AE12" s="70">
        <f t="shared" si="6"/>
        <v>0</v>
      </c>
      <c r="AF12" s="129">
        <f t="shared" si="7"/>
        <v>0</v>
      </c>
      <c r="AG12" s="32"/>
      <c r="AH12" s="32"/>
      <c r="AI12" s="32"/>
      <c r="AJ12" s="32"/>
    </row>
    <row r="13" spans="1:36" ht="24" customHeight="1" x14ac:dyDescent="0.15">
      <c r="A13" s="210" t="s">
        <v>308</v>
      </c>
      <c r="B13" s="36">
        <f>IFERROR(GETPIVOTDATA("合計 / 請求",【ピボット】国保連売上!$A$3,"年月",B$3,"事業所",$A13,"請求区分","単月"),0)</f>
        <v>901284</v>
      </c>
      <c r="C13" s="36">
        <f>IFERROR(GETPIVOTDATA("合計 / 請求",【ピボット】国保連売上!$A$3,"年月",C$3,"事業所",$A13,"請求区分","単月"),0)</f>
        <v>978154</v>
      </c>
      <c r="D13" s="36">
        <f>IFERROR(GETPIVOTDATA("合計 / 請求",【ピボット】国保連売上!$A$3,"年月",D$3,"事業所",$A13,"請求区分","単月"),0)</f>
        <v>1019564</v>
      </c>
      <c r="E13" s="36">
        <f>IFERROR(GETPIVOTDATA("合計 / 請求",【ピボット】国保連売上!$A$3,"年月",E$3,"事業所",$A13,"請求区分","単月"),0)</f>
        <v>998363</v>
      </c>
      <c r="F13" s="36">
        <f>IFERROR(GETPIVOTDATA("合計 / 請求",【ピボット】国保連売上!$A$3,"年月",F$3,"事業所",$A13,"請求区分","単月"),0)</f>
        <v>982096</v>
      </c>
      <c r="G13" s="36">
        <f>IFERROR(GETPIVOTDATA("合計 / 請求",【ピボット】国保連売上!$A$3,"年月",G$3,"事業所",$A13,"請求区分","単月"),0)</f>
        <v>1013496</v>
      </c>
      <c r="H13" s="36">
        <f>IFERROR(GETPIVOTDATA("合計 / 請求",【ピボット】国保連売上!$A$3,"年月",H$3,"事業所",$A13,"請求区分","単月"),0)</f>
        <v>978313</v>
      </c>
      <c r="I13" s="36">
        <f>IFERROR(GETPIVOTDATA("合計 / 請求",【ピボット】国保連売上!$A$3,"年月",I$3,"事業所",$A13,"請求区分","単月"),0)</f>
        <v>998248</v>
      </c>
      <c r="J13" s="36">
        <f>IFERROR(GETPIVOTDATA("合計 / 請求",【ピボット】国保連売上!$A$3,"年月",J$3,"事業所",$A13,"請求区分","単月"),0)</f>
        <v>778040</v>
      </c>
      <c r="K13" s="36">
        <f>IFERROR(GETPIVOTDATA("合計 / 請求",【ピボット】国保連売上!$A$3,"年月",K$3,"事業所",$A13,"請求区分","単月"),0)</f>
        <v>710413</v>
      </c>
      <c r="L13" s="36">
        <f>IFERROR(GETPIVOTDATA("合計 / 請求",【ピボット】国保連売上!$A$3,"年月",L$3,"事業所",$A13,"請求区分","単月"),0)</f>
        <v>789390</v>
      </c>
      <c r="M13" s="36">
        <f>IFERROR(GETPIVOTDATA("合計 / 請求",【ピボット】国保連売上!$A$3,"年月",M$3,"事業所",$A13,"請求区分","単月"),0)</f>
        <v>777456</v>
      </c>
      <c r="N13" s="36">
        <f>IFERROR(GETPIVOTDATA("合計 / 請求",【ピボット】国保連売上!$A$3,"年月",N$3,"事業所",$A13,"請求区分","単月"),0)</f>
        <v>802372</v>
      </c>
      <c r="O13" s="36">
        <f>IFERROR(GETPIVOTDATA("合計 / 請求",【ピボット】国保連売上!$A$3,"年月",O$3,"事業所",$A13,"請求区分","単月"),0)</f>
        <v>777456</v>
      </c>
      <c r="P13" s="36">
        <f>IFERROR(GETPIVOTDATA("合計 / 請求",【ピボット】国保連売上!$A$3,"年月",P$3,"事業所",$A13,"請求区分","単月"),0)</f>
        <v>839546</v>
      </c>
      <c r="Q13" s="36">
        <f>IFERROR(GETPIVOTDATA("合計 / 請求",【ピボット】国保連売上!$A$3,"年月",Q$3,"事業所",$A13,"請求区分","単月"),0)</f>
        <v>839546</v>
      </c>
      <c r="R13" s="36">
        <f>IFERROR(GETPIVOTDATA("合計 / 請求",【ピボット】国保連売上!$A$3,"年月",R$3,"事業所",$A13,"請求区分","単月"),0)</f>
        <v>813636</v>
      </c>
      <c r="S13" s="36">
        <f>IFERROR(GETPIVOTDATA("合計 / 請求",【ピボット】国保連売上!$A$3,"年月",S$3,"事業所",$A13,"請求区分","単月"),0)</f>
        <v>1101110</v>
      </c>
      <c r="T13" s="36">
        <f>IFERROR(GETPIVOTDATA("合計 / 請求",【ピボット】国保連売上!$A$3,"年月",T$3,"事業所",$A13,"請求区分","単月"),0)</f>
        <v>1073137</v>
      </c>
      <c r="U13" s="36">
        <f>IFERROR(GETPIVOTDATA("合計 / 請求",【ピボット】国保連売上!$A$3,"年月",U$3,"事業所",$A13,"請求区分","単月"),0)</f>
        <v>1107363</v>
      </c>
      <c r="V13" s="36">
        <f>IFERROR(GETPIVOTDATA("合計 / 請求",【ピボット】国保連売上!$A$3,"年月",V$3,"事業所",$A13,"請求区分","単月"),0)</f>
        <v>1107363</v>
      </c>
      <c r="W13" s="36">
        <f>IFERROR(GETPIVOTDATA("合計 / 請求",【ピボット】国保連売上!$A$3,"年月",W$3,"事業所",$A13,"請求区分","単月"),0)</f>
        <v>998423</v>
      </c>
      <c r="X13" s="36">
        <f>IFERROR(GETPIVOTDATA("合計 / 請求",【ピボット】国保連売上!$A$3,"年月",X$3,"事業所",$A13,"請求区分","単月"),0)</f>
        <v>982644</v>
      </c>
      <c r="Y13" s="36">
        <f>IFERROR(GETPIVOTDATA("合計 / 請求",【ピボット】国保連売上!$A$3,"年月",Y$3,"事業所",$A13,"請求区分","単月"),0)</f>
        <v>1025725</v>
      </c>
      <c r="Z13" s="36">
        <f t="shared" si="1"/>
        <v>11468321</v>
      </c>
      <c r="AA13" s="36">
        <f t="shared" si="2"/>
        <v>955693.41666666663</v>
      </c>
      <c r="AB13" s="182">
        <f t="shared" si="3"/>
        <v>910401.41666666663</v>
      </c>
      <c r="AC13" s="64">
        <f t="shared" si="4"/>
        <v>862277.66666666663</v>
      </c>
      <c r="AD13" s="64">
        <f t="shared" si="5"/>
        <v>1049109.1666666667</v>
      </c>
      <c r="AE13" s="70">
        <f t="shared" si="6"/>
        <v>1095954.3333333333</v>
      </c>
      <c r="AF13" s="129">
        <f t="shared" si="7"/>
        <v>1002264</v>
      </c>
      <c r="AG13" s="32"/>
      <c r="AH13" s="32"/>
      <c r="AI13" s="32"/>
      <c r="AJ13" s="32"/>
    </row>
    <row r="14" spans="1:36" ht="24" customHeight="1" x14ac:dyDescent="0.15">
      <c r="A14" s="210" t="s">
        <v>309</v>
      </c>
      <c r="B14" s="36">
        <f>IFERROR(GETPIVOTDATA("合計 / 請求",【ピボット】国保連売上!$A$3,"年月",B$3,"事業所",$A14,"請求区分","単月"),0)</f>
        <v>739665</v>
      </c>
      <c r="C14" s="36">
        <f>IFERROR(GETPIVOTDATA("合計 / 請求",【ピボット】国保連売上!$A$3,"年月",C$3,"事業所",$A14,"請求区分","単月"),0)</f>
        <v>943056</v>
      </c>
      <c r="D14" s="36">
        <f>IFERROR(GETPIVOTDATA("合計 / 請求",【ピボット】国保連売上!$A$3,"年月",D$3,"事業所",$A14,"請求区分","単月"),0)</f>
        <v>983492</v>
      </c>
      <c r="E14" s="36">
        <f>IFERROR(GETPIVOTDATA("合計 / 請求",【ピボット】国保連売上!$A$3,"年月",E$3,"事業所",$A14,"請求区分","単月"),0)</f>
        <v>983492</v>
      </c>
      <c r="F14" s="36">
        <f>IFERROR(GETPIVOTDATA("合計 / 請求",【ピボット】国保連売上!$A$3,"年月",F$3,"事業所",$A14,"請求区分","単月"),0)</f>
        <v>937378</v>
      </c>
      <c r="G14" s="36">
        <f>IFERROR(GETPIVOTDATA("合計 / 請求",【ピボット】国保連売上!$A$3,"年月",G$3,"事業所",$A14,"請求区分","単月"),0)</f>
        <v>983492</v>
      </c>
      <c r="H14" s="36">
        <f>IFERROR(GETPIVOTDATA("合計 / 請求",【ピボット】国保連売上!$A$3,"年月",H$3,"事業所",$A14,"請求区分","単月"),0)</f>
        <v>922792</v>
      </c>
      <c r="I14" s="36">
        <f>IFERROR(GETPIVOTDATA("合計 / 請求",【ピボット】国保連売上!$A$3,"年月",I$3,"事業所",$A14,"請求区分","単月"),0)</f>
        <v>983492</v>
      </c>
      <c r="J14" s="36">
        <f>IFERROR(GETPIVOTDATA("合計 / 請求",【ピボット】国保連売上!$A$3,"年月",J$3,"事業所",$A14,"請求区分","単月"),0)</f>
        <v>938092</v>
      </c>
      <c r="K14" s="36">
        <f>IFERROR(GETPIVOTDATA("合計 / 請求",【ピボット】国保連売上!$A$3,"年月",K$3,"事業所",$A14,"請求区分","単月"),0)</f>
        <v>861922</v>
      </c>
      <c r="L14" s="36">
        <f>IFERROR(GETPIVOTDATA("合計 / 請求",【ピボット】国保連売上!$A$3,"年月",L$3,"事業所",$A14,"請求区分","単月"),0)</f>
        <v>847336</v>
      </c>
      <c r="M14" s="36">
        <f>IFERROR(GETPIVOTDATA("合計 / 請求",【ピボット】国保連売上!$A$3,"年月",M$3,"事業所",$A14,"請求区分","単月"),0)</f>
        <v>960460</v>
      </c>
      <c r="N14" s="36">
        <f>IFERROR(GETPIVOTDATA("合計 / 請求",【ピボット】国保連売上!$A$3,"年月",N$3,"事業所",$A14,"請求区分","単月"),0)</f>
        <v>1007268</v>
      </c>
      <c r="O14" s="36">
        <f>IFERROR(GETPIVOTDATA("合計 / 請求",【ピボット】国保連売上!$A$3,"年月",O$3,"事業所",$A14,"請求区分","単月"),0)</f>
        <v>976056</v>
      </c>
      <c r="P14" s="36">
        <f>IFERROR(GETPIVOTDATA("合計 / 請求",【ピボット】国保連売上!$A$3,"年月",P$3,"事業所",$A14,"請求区分","単月"),0)</f>
        <v>1007268</v>
      </c>
      <c r="Q14" s="36">
        <f>IFERROR(GETPIVOTDATA("合計 / 請求",【ピボット】国保連売上!$A$3,"年月",Q$3,"事業所",$A14,"請求区分","単月"),0)</f>
        <v>827999</v>
      </c>
      <c r="R14" s="36">
        <f>IFERROR(GETPIVOTDATA("合計 / 請求",【ピボット】国保連売上!$A$3,"年月",R$3,"事業所",$A14,"請求区分","単月"),0)</f>
        <v>1003585</v>
      </c>
      <c r="S14" s="36">
        <f>IFERROR(GETPIVOTDATA("合計 / 請求",【ピボット】国保連売上!$A$3,"年月",S$3,"事業所",$A14,"請求区分","単月"),0)</f>
        <v>1019657</v>
      </c>
      <c r="T14" s="36">
        <f>IFERROR(GETPIVOTDATA("合計 / 請求",【ピボット】国保連売上!$A$3,"年月",T$3,"事業所",$A14,"請求区分","単月"),0)</f>
        <v>1012236</v>
      </c>
      <c r="U14" s="36">
        <f>IFERROR(GETPIVOTDATA("合計 / 請求",【ピボット】国保連売上!$A$3,"年月",U$3,"事業所",$A14,"請求区分","単月"),0)</f>
        <v>1044442</v>
      </c>
      <c r="V14" s="36">
        <f>IFERROR(GETPIVOTDATA("合計 / 請求",【ピボット】国保連売上!$A$3,"年月",V$3,"事業所",$A14,"請求区分","単月"),0)</f>
        <v>1044442</v>
      </c>
      <c r="W14" s="36">
        <f>IFERROR(GETPIVOTDATA("合計 / 請求",【ピボット】国保連売上!$A$3,"年月",W$3,"事業所",$A14,"請求区分","単月"),0)</f>
        <v>937836</v>
      </c>
      <c r="X14" s="36">
        <f>IFERROR(GETPIVOTDATA("合計 / 請求",【ピボット】国保連売上!$A$3,"年月",X$3,"事業所",$A14,"請求区分","単月"),0)</f>
        <v>915793</v>
      </c>
      <c r="Y14" s="36">
        <f>IFERROR(GETPIVOTDATA("合計 / 請求",【ピボット】国保連売上!$A$3,"年月",Y$3,"事業所",$A14,"請求区分","単月"),0)</f>
        <v>746482</v>
      </c>
      <c r="Z14" s="36">
        <f t="shared" si="1"/>
        <v>11543064</v>
      </c>
      <c r="AA14" s="36">
        <f t="shared" si="2"/>
        <v>961922</v>
      </c>
      <c r="AB14" s="182">
        <f t="shared" si="3"/>
        <v>923722.41666666663</v>
      </c>
      <c r="AC14" s="64">
        <f t="shared" si="4"/>
        <v>973638.83333333337</v>
      </c>
      <c r="AD14" s="64">
        <f t="shared" si="5"/>
        <v>950205.16666666663</v>
      </c>
      <c r="AE14" s="70">
        <f t="shared" si="6"/>
        <v>1033706.6666666666</v>
      </c>
      <c r="AF14" s="129">
        <f t="shared" si="7"/>
        <v>866703.66666666663</v>
      </c>
      <c r="AG14" s="32"/>
      <c r="AH14" s="32"/>
      <c r="AI14" s="197" t="s">
        <v>284</v>
      </c>
      <c r="AJ14" s="32"/>
    </row>
    <row r="15" spans="1:36" ht="24" customHeight="1" x14ac:dyDescent="0.15">
      <c r="A15" s="310" t="s">
        <v>373</v>
      </c>
      <c r="B15" s="36">
        <f>IFERROR(GETPIVOTDATA("合計 / 請求",【ピボット】国保連売上!$A$3,"年月",B$3,"事業所",$A15,"請求区分","単月"),0)</f>
        <v>0</v>
      </c>
      <c r="C15" s="36">
        <f>IFERROR(GETPIVOTDATA("合計 / 請求",【ピボット】国保連売上!$A$3,"年月",C$3,"事業所",$A15,"請求区分","単月"),0)</f>
        <v>1647056</v>
      </c>
      <c r="D15" s="36">
        <f>IFERROR(GETPIVOTDATA("合計 / 請求",【ピボット】国保連売上!$A$3,"年月",D$3,"事業所",$A15,"請求区分","単月"),0)</f>
        <v>1874549</v>
      </c>
      <c r="E15" s="36">
        <f>IFERROR(GETPIVOTDATA("合計 / 請求",【ピボット】国保連売上!$A$3,"年月",E$3,"事業所",$A15,"請求区分","単月"),0)</f>
        <v>2107435</v>
      </c>
      <c r="F15" s="36">
        <f>IFERROR(GETPIVOTDATA("合計 / 請求",【ピボット】国保連売上!$A$3,"年月",F$3,"事業所",$A15,"請求区分","単月"),0)</f>
        <v>2099753</v>
      </c>
      <c r="G15" s="36">
        <f>IFERROR(GETPIVOTDATA("合計 / 請求",【ピボット】国保連売上!$A$3,"年月",G$3,"事業所",$A15,"請求区分","単月"),0)</f>
        <v>2389370</v>
      </c>
      <c r="H15" s="36">
        <f>IFERROR(GETPIVOTDATA("合計 / 請求",【ピボット】国保連売上!$A$3,"年月",H$3,"事業所",$A15,"請求区分","単月"),0)</f>
        <v>2385860</v>
      </c>
      <c r="I15" s="36">
        <f>IFERROR(GETPIVOTDATA("合計 / 請求",【ピボット】国保連売上!$A$3,"年月",I$3,"事業所",$A15,"請求区分","単月"),0)</f>
        <v>2448469</v>
      </c>
      <c r="J15" s="36">
        <f>IFERROR(GETPIVOTDATA("合計 / 請求",【ピボット】国保連売上!$A$3,"年月",J$3,"事業所",$A15,"請求区分","単月"),0)</f>
        <v>2396635</v>
      </c>
      <c r="K15" s="36">
        <f>IFERROR(GETPIVOTDATA("合計 / 請求",【ピボット】国保連売上!$A$3,"年月",K$3,"事業所",$A15,"請求区分","単月"),0)</f>
        <v>2200178</v>
      </c>
      <c r="L15" s="36">
        <f>IFERROR(GETPIVOTDATA("合計 / 請求",【ピボット】国保連売上!$A$3,"年月",L$3,"事業所",$A15,"請求区分","単月"),0)</f>
        <v>2426031</v>
      </c>
      <c r="M15" s="36">
        <f>IFERROR(GETPIVOTDATA("合計 / 請求",【ピボット】国保連売上!$A$3,"年月",M$3,"事業所",$A15,"請求区分","単月"),0)</f>
        <v>2405342</v>
      </c>
      <c r="N15" s="36">
        <f>IFERROR(GETPIVOTDATA("合計 / 請求",【ピボット】国保連売上!$A$3,"年月",N$3,"事業所",$A15,"請求区分","単月"),0)</f>
        <v>2474409</v>
      </c>
      <c r="O15" s="36">
        <f>IFERROR(GETPIVOTDATA("合計 / 請求",【ピボット】国保連売上!$A$3,"年月",O$3,"事業所",$A15,"請求区分","単月"),0)</f>
        <v>2397545</v>
      </c>
      <c r="P15" s="36">
        <f>IFERROR(GETPIVOTDATA("合計 / 請求",【ピボット】国保連売上!$A$3,"年月",P$3,"事業所",$A15,"請求区分","単月"),0)</f>
        <v>2449461</v>
      </c>
      <c r="Q15" s="36">
        <f>IFERROR(GETPIVOTDATA("合計 / 請求",【ピボット】国保連売上!$A$3,"年月",Q$3,"事業所",$A15,"請求区分","単月"),0)</f>
        <v>2198275</v>
      </c>
      <c r="R15" s="36">
        <f>IFERROR(GETPIVOTDATA("合計 / 請求",【ピボット】国保連売上!$A$3,"年月",R$3,"事業所",$A15,"請求区分","単月"),0)</f>
        <v>2292635</v>
      </c>
      <c r="S15" s="36">
        <f>IFERROR(GETPIVOTDATA("合計 / 請求",【ピボット】国保連売上!$A$3,"年月",S$3,"事業所",$A15,"請求区分","単月"),0)</f>
        <v>2500912</v>
      </c>
      <c r="T15" s="36">
        <f>IFERROR(GETPIVOTDATA("合計 / 請求",【ピボット】国保連売上!$A$3,"年月",T$3,"事業所",$A15,"請求区分","単月"),0)</f>
        <v>2443866</v>
      </c>
      <c r="U15" s="36">
        <f>IFERROR(GETPIVOTDATA("合計 / 請求",【ピボット】国保連売上!$A$3,"年月",U$3,"事業所",$A15,"請求区分","単月"),0)</f>
        <v>2507684</v>
      </c>
      <c r="V15" s="36">
        <f>IFERROR(GETPIVOTDATA("合計 / 請求",【ピボット】国保連売上!$A$3,"年月",V$3,"事業所",$A15,"請求区分","単月"),0)</f>
        <v>2515481</v>
      </c>
      <c r="W15" s="36">
        <f>IFERROR(GETPIVOTDATA("合計 / 請求",【ピボット】国保連売上!$A$3,"年月",W$3,"事業所",$A15,"請求区分","単月"),0)</f>
        <v>1944130</v>
      </c>
      <c r="X15" s="36">
        <f>IFERROR(GETPIVOTDATA("合計 / 請求",【ピボット】国保連売上!$A$3,"年月",X$3,"事業所",$A15,"請求区分","単月"),0)</f>
        <v>1927185</v>
      </c>
      <c r="Y15" s="36">
        <f>IFERROR(GETPIVOTDATA("合計 / 請求",【ピボット】国保連売上!$A$3,"年月",Y$3,"事業所",$A15,"請求区分","単月"),0)</f>
        <v>2032333</v>
      </c>
      <c r="Z15" s="36">
        <f t="shared" si="1"/>
        <v>27683916</v>
      </c>
      <c r="AA15" s="36">
        <f t="shared" si="2"/>
        <v>2306993</v>
      </c>
      <c r="AB15" s="182">
        <f t="shared" si="3"/>
        <v>2031723.1666666667</v>
      </c>
      <c r="AC15" s="64">
        <f t="shared" si="4"/>
        <v>2385539.5</v>
      </c>
      <c r="AD15" s="64">
        <f t="shared" si="5"/>
        <v>2228446.5</v>
      </c>
      <c r="AE15" s="70">
        <f t="shared" si="6"/>
        <v>2489010.3333333335</v>
      </c>
      <c r="AF15" s="129">
        <f t="shared" si="7"/>
        <v>1967882.6666666667</v>
      </c>
      <c r="AG15" s="32"/>
      <c r="AH15" s="32"/>
      <c r="AI15" s="197"/>
      <c r="AJ15" s="32"/>
    </row>
    <row r="16" spans="1:36" ht="24" customHeight="1" x14ac:dyDescent="0.15">
      <c r="A16" s="1941" t="s">
        <v>1516</v>
      </c>
      <c r="B16" s="36">
        <f>IFERROR(GETPIVOTDATA("合計 / 請求",【ピボット】国保連売上!$A$3,"年月",B$3,"事業所",$A16,"請求区分","単月"),0)</f>
        <v>0</v>
      </c>
      <c r="C16" s="36">
        <f>IFERROR(GETPIVOTDATA("合計 / 請求",【ピボット】国保連売上!$A$3,"年月",C$3,"事業所",$A16,"請求区分","単月"),0)</f>
        <v>0</v>
      </c>
      <c r="D16" s="36">
        <f>IFERROR(GETPIVOTDATA("合計 / 請求",【ピボット】国保連売上!$A$3,"年月",D$3,"事業所",$A16,"請求区分","単月"),0)</f>
        <v>0</v>
      </c>
      <c r="E16" s="36">
        <f>IFERROR(GETPIVOTDATA("合計 / 請求",【ピボット】国保連売上!$A$3,"年月",E$3,"事業所",$A16,"請求区分","単月"),0)</f>
        <v>0</v>
      </c>
      <c r="F16" s="36">
        <f>IFERROR(GETPIVOTDATA("合計 / 請求",【ピボット】国保連売上!$A$3,"年月",F$3,"事業所",$A16,"請求区分","単月"),0)</f>
        <v>0</v>
      </c>
      <c r="G16" s="36">
        <f>IFERROR(GETPIVOTDATA("合計 / 請求",【ピボット】国保連売上!$A$3,"年月",G$3,"事業所",$A16,"請求区分","単月"),0)</f>
        <v>0</v>
      </c>
      <c r="H16" s="36">
        <f>IFERROR(GETPIVOTDATA("合計 / 請求",【ピボット】国保連売上!$A$3,"年月",H$3,"事業所",$A16,"請求区分","単月"),0)</f>
        <v>0</v>
      </c>
      <c r="I16" s="36">
        <f>IFERROR(GETPIVOTDATA("合計 / 請求",【ピボット】国保連売上!$A$3,"年月",I$3,"事業所",$A16,"請求区分","単月"),0)</f>
        <v>0</v>
      </c>
      <c r="J16" s="36">
        <f>IFERROR(GETPIVOTDATA("合計 / 請求",【ピボット】国保連売上!$A$3,"年月",J$3,"事業所",$A16,"請求区分","単月"),0)</f>
        <v>0</v>
      </c>
      <c r="K16" s="36">
        <f>IFERROR(GETPIVOTDATA("合計 / 請求",【ピボット】国保連売上!$A$3,"年月",K$3,"事業所",$A16,"請求区分","単月"),0)</f>
        <v>0</v>
      </c>
      <c r="L16" s="36">
        <f>IFERROR(GETPIVOTDATA("合計 / 請求",【ピボット】国保連売上!$A$3,"年月",L$3,"事業所",$A16,"請求区分","単月"),0)</f>
        <v>0</v>
      </c>
      <c r="M16" s="36">
        <f>IFERROR(GETPIVOTDATA("合計 / 請求",【ピボット】国保連売上!$A$3,"年月",M$3,"事業所",$A16,"請求区分","単月"),0)</f>
        <v>0</v>
      </c>
      <c r="N16" s="36">
        <f>IFERROR(GETPIVOTDATA("合計 / 請求",【ピボット】国保連売上!$A$3,"年月",N$3,"事業所",$A16,"請求区分","単月"),0)</f>
        <v>0</v>
      </c>
      <c r="O16" s="36">
        <f>IFERROR(GETPIVOTDATA("合計 / 請求",【ピボット】国保連売上!$A$3,"年月",O$3,"事業所",$A16,"請求区分","単月"),0)</f>
        <v>0</v>
      </c>
      <c r="P16" s="36">
        <f>IFERROR(GETPIVOTDATA("合計 / 請求",【ピボット】国保連売上!$A$3,"年月",P$3,"事業所",$A16,"請求区分","単月"),0)</f>
        <v>0</v>
      </c>
      <c r="Q16" s="36">
        <f>IFERROR(GETPIVOTDATA("合計 / 請求",【ピボット】国保連売上!$A$3,"年月",Q$3,"事業所",$A16,"請求区分","単月"),0)</f>
        <v>0</v>
      </c>
      <c r="R16" s="36">
        <f>IFERROR(GETPIVOTDATA("合計 / 請求",【ピボット】国保連売上!$A$3,"年月",R$3,"事業所",$A16,"請求区分","単月"),0)</f>
        <v>0</v>
      </c>
      <c r="S16" s="36">
        <f>IFERROR(GETPIVOTDATA("合計 / 請求",【ピボット】国保連売上!$A$3,"年月",S$3,"事業所",$A16,"請求区分","単月"),0)</f>
        <v>0</v>
      </c>
      <c r="T16" s="36">
        <f>IFERROR(GETPIVOTDATA("合計 / 請求",【ピボット】国保連売上!$A$3,"年月",T$3,"事業所",$A16,"請求区分","単月"),0)</f>
        <v>0</v>
      </c>
      <c r="U16" s="36">
        <f>IFERROR(GETPIVOTDATA("合計 / 請求",【ピボット】国保連売上!$A$3,"年月",U$3,"事業所",$A16,"請求区分","単月"),0)</f>
        <v>0</v>
      </c>
      <c r="V16" s="36">
        <f>IFERROR(GETPIVOTDATA("合計 / 請求",【ピボット】国保連売上!$A$3,"年月",V$3,"事業所",$A16,"請求区分","単月"),0)</f>
        <v>0</v>
      </c>
      <c r="W16" s="36">
        <f>IFERROR(GETPIVOTDATA("合計 / 請求",【ピボット】国保連売上!$A$3,"年月",W$3,"事業所",$A16,"請求区分","単月"),0)</f>
        <v>1493913</v>
      </c>
      <c r="X16" s="36">
        <f>IFERROR(GETPIVOTDATA("合計 / 請求",【ピボット】国保連売上!$A$3,"年月",X$3,"事業所",$A16,"請求区分","単月"),0)</f>
        <v>1605823</v>
      </c>
      <c r="Y16" s="36">
        <f>IFERROR(GETPIVOTDATA("合計 / 請求",【ピボット】国保連売上!$A$3,"年月",Y$3,"事業所",$A16,"請求区分","単月"),0)</f>
        <v>1631515</v>
      </c>
      <c r="Z16" s="36">
        <f t="shared" ref="Z16" si="8">SUM(N16:Y16)</f>
        <v>4731251</v>
      </c>
      <c r="AA16" s="36">
        <f t="shared" ref="AA16" si="9">AVERAGE(N16:Y16)</f>
        <v>394270.91666666669</v>
      </c>
      <c r="AB16" s="182">
        <f t="shared" ref="AB16" si="10">AVERAGE(B16:M16)</f>
        <v>0</v>
      </c>
      <c r="AC16" s="64">
        <f t="shared" ref="AC16" si="11">AVERAGE(N16:S16)</f>
        <v>0</v>
      </c>
      <c r="AD16" s="64">
        <f t="shared" ref="AD16" si="12">AVERAGE(T16:Y16)</f>
        <v>788541.83333333337</v>
      </c>
      <c r="AE16" s="70">
        <f t="shared" ref="AE16" si="13">AVERAGE(T16:V16)</f>
        <v>0</v>
      </c>
      <c r="AF16" s="129">
        <f t="shared" ref="AF16" si="14">AVERAGE(W16:Y16)</f>
        <v>1577083.6666666667</v>
      </c>
      <c r="AG16" s="32"/>
      <c r="AH16" s="32"/>
      <c r="AI16" s="197"/>
      <c r="AJ16" s="32"/>
    </row>
    <row r="17" spans="1:36" ht="24" customHeight="1" x14ac:dyDescent="0.15">
      <c r="A17" s="235" t="s">
        <v>333</v>
      </c>
      <c r="B17" s="36">
        <f>IFERROR(GETPIVOTDATA("合計 / 請求",【ピボット】国保連売上!$A$3,"年月",B$3,"事業所",$A17,"請求区分","単月"),0)</f>
        <v>1223635</v>
      </c>
      <c r="C17" s="36">
        <f>IFERROR(GETPIVOTDATA("合計 / 請求",【ピボット】国保連売上!$A$3,"年月",C$3,"事業所",$A17,"請求区分","単月"),0)</f>
        <v>1067354</v>
      </c>
      <c r="D17" s="36">
        <f>IFERROR(GETPIVOTDATA("合計 / 請求",【ピボット】国保連売上!$A$3,"年月",D$3,"事業所",$A17,"請求区分","単月"),0)</f>
        <v>1141415</v>
      </c>
      <c r="E17" s="36">
        <f>IFERROR(GETPIVOTDATA("合計 / 請求",【ピボット】国保連売上!$A$3,"年月",E$3,"事業所",$A17,"請求区分","単月"),0)</f>
        <v>1272256</v>
      </c>
      <c r="F17" s="36">
        <f>IFERROR(GETPIVOTDATA("合計 / 請求",【ピボット】国保連売上!$A$3,"年月",F$3,"事業所",$A17,"請求区分","単月"),0)</f>
        <v>1407947</v>
      </c>
      <c r="G17" s="36">
        <f>IFERROR(GETPIVOTDATA("合計 / 請求",【ピボット】国保連売上!$A$3,"年月",G$3,"事業所",$A17,"請求区分","単月"),0)</f>
        <v>1243781</v>
      </c>
      <c r="H17" s="36">
        <f>IFERROR(GETPIVOTDATA("合計 / 請求",【ピボット】国保連売上!$A$3,"年月",H$3,"事業所",$A17,"請求区分","単月"),0)</f>
        <v>1292173</v>
      </c>
      <c r="I17" s="36">
        <f>IFERROR(GETPIVOTDATA("合計 / 請求",【ピボット】国保連売上!$A$3,"年月",I$3,"事業所",$A17,"請求区分","単月"),0)</f>
        <v>1246620</v>
      </c>
      <c r="J17" s="36">
        <f>IFERROR(GETPIVOTDATA("合計 / 請求",【ピボット】国保連売上!$A$3,"年月",J$3,"事業所",$A17,"請求区分","単月"),0)</f>
        <v>958455</v>
      </c>
      <c r="K17" s="36">
        <f>IFERROR(GETPIVOTDATA("合計 / 請求",【ピボット】国保連売上!$A$3,"年月",K$3,"事業所",$A17,"請求区分","単月"),0)</f>
        <v>795848</v>
      </c>
      <c r="L17" s="36">
        <f>IFERROR(GETPIVOTDATA("合計 / 請求",【ピボット】国保連売上!$A$3,"年月",L$3,"事業所",$A17,"請求区分","単月"),0)</f>
        <v>824207</v>
      </c>
      <c r="M17" s="36">
        <f>IFERROR(GETPIVOTDATA("合計 / 請求",【ピボット】国保連売上!$A$3,"年月",M$3,"事業所",$A17,"請求区分","単月"),0)</f>
        <v>884104</v>
      </c>
      <c r="N17" s="36">
        <f>IFERROR(GETPIVOTDATA("合計 / 請求",【ピボット】国保連売上!$A$3,"年月",N$3,"事業所",$A17,"請求区分","単月"),0)</f>
        <v>915308</v>
      </c>
      <c r="O17" s="36">
        <f>IFERROR(GETPIVOTDATA("合計 / 請求",【ピボット】国保連売上!$A$3,"年月",O$3,"事業所",$A17,"請求区分","単月"),0)</f>
        <v>914203</v>
      </c>
      <c r="P17" s="36">
        <f>IFERROR(GETPIVOTDATA("合計 / 請求",【ピボット】国保連売上!$A$3,"年月",P$3,"事業所",$A17,"請求区分","単月"),0)</f>
        <v>764948</v>
      </c>
      <c r="Q17" s="36">
        <f>IFERROR(GETPIVOTDATA("合計 / 請求",【ピボット】国保連売上!$A$3,"年月",Q$3,"事業所",$A17,"請求区分","単月"),0)</f>
        <v>564353</v>
      </c>
      <c r="R17" s="36">
        <f>IFERROR(GETPIVOTDATA("合計 / 請求",【ピボット】国保連売上!$A$3,"年月",R$3,"事業所",$A17,"請求区分","単月"),0)</f>
        <v>399221</v>
      </c>
      <c r="S17" s="36">
        <f>IFERROR(GETPIVOTDATA("合計 / 請求",【ピボット】国保連売上!$A$3,"年月",S$3,"事業所",$A17,"請求区分","単月"),0)</f>
        <v>0</v>
      </c>
      <c r="T17" s="36">
        <f>IFERROR(GETPIVOTDATA("合計 / 請求",【ピボット】国保連売上!$A$3,"年月",T$3,"事業所",$A17,"請求区分","単月"),0)</f>
        <v>0</v>
      </c>
      <c r="U17" s="36">
        <f>IFERROR(GETPIVOTDATA("合計 / 請求",【ピボット】国保連売上!$A$3,"年月",U$3,"事業所",$A17,"請求区分","単月"),0)</f>
        <v>0</v>
      </c>
      <c r="V17" s="36">
        <f>IFERROR(GETPIVOTDATA("合計 / 請求",【ピボット】国保連売上!$A$3,"年月",V$3,"事業所",$A17,"請求区分","単月"),0)</f>
        <v>0</v>
      </c>
      <c r="W17" s="36">
        <f>IFERROR(GETPIVOTDATA("合計 / 請求",【ピボット】国保連売上!$A$3,"年月",W$3,"事業所",$A17,"請求区分","単月"),0)</f>
        <v>0</v>
      </c>
      <c r="X17" s="36">
        <f>IFERROR(GETPIVOTDATA("合計 / 請求",【ピボット】国保連売上!$A$3,"年月",X$3,"事業所",$A17,"請求区分","単月"),0)</f>
        <v>0</v>
      </c>
      <c r="Y17" s="36">
        <f>IFERROR(GETPIVOTDATA("合計 / 請求",【ピボット】国保連売上!$A$3,"年月",Y$3,"事業所",$A17,"請求区分","単月"),0)</f>
        <v>0</v>
      </c>
      <c r="Z17" s="36">
        <f t="shared" si="1"/>
        <v>3558033</v>
      </c>
      <c r="AA17" s="36">
        <f t="shared" si="2"/>
        <v>296502.75</v>
      </c>
      <c r="AB17" s="182">
        <f t="shared" si="3"/>
        <v>1113149.5833333333</v>
      </c>
      <c r="AC17" s="64">
        <f t="shared" si="4"/>
        <v>593005.5</v>
      </c>
      <c r="AD17" s="64">
        <f t="shared" si="5"/>
        <v>0</v>
      </c>
      <c r="AE17" s="70">
        <f t="shared" si="6"/>
        <v>0</v>
      </c>
      <c r="AF17" s="129">
        <f t="shared" si="7"/>
        <v>0</v>
      </c>
      <c r="AG17" s="32"/>
      <c r="AH17" s="32"/>
      <c r="AI17" s="32"/>
      <c r="AJ17" s="32"/>
    </row>
    <row r="18" spans="1:36" ht="24" customHeight="1" thickBot="1" x14ac:dyDescent="0.2">
      <c r="A18" s="179" t="s">
        <v>149</v>
      </c>
      <c r="B18" s="36">
        <f>SUM(B4:B17)</f>
        <v>28908046</v>
      </c>
      <c r="C18" s="36">
        <f t="shared" ref="C18:R18" si="15">SUM(C4:C17)</f>
        <v>29785185</v>
      </c>
      <c r="D18" s="36">
        <f t="shared" si="15"/>
        <v>31563847</v>
      </c>
      <c r="E18" s="36">
        <f t="shared" si="15"/>
        <v>31296417</v>
      </c>
      <c r="F18" s="36">
        <f>SUM(F4:F17)</f>
        <v>32020861</v>
      </c>
      <c r="G18" s="36">
        <f>SUM(G4:G17)</f>
        <v>32197242</v>
      </c>
      <c r="H18" s="36">
        <f t="shared" si="15"/>
        <v>31968470</v>
      </c>
      <c r="I18" s="36">
        <f t="shared" si="15"/>
        <v>31978008</v>
      </c>
      <c r="J18" s="36">
        <f t="shared" si="15"/>
        <v>30399018</v>
      </c>
      <c r="K18" s="36">
        <f t="shared" si="15"/>
        <v>29346274</v>
      </c>
      <c r="L18" s="36">
        <f t="shared" si="15"/>
        <v>32773959</v>
      </c>
      <c r="M18" s="36">
        <f t="shared" si="15"/>
        <v>33136246</v>
      </c>
      <c r="N18" s="36">
        <f t="shared" si="15"/>
        <v>33695680</v>
      </c>
      <c r="O18" s="36">
        <f t="shared" si="15"/>
        <v>32951949</v>
      </c>
      <c r="P18" s="36">
        <f t="shared" si="15"/>
        <v>34119364</v>
      </c>
      <c r="Q18" s="36">
        <f t="shared" si="15"/>
        <v>34067354</v>
      </c>
      <c r="R18" s="36">
        <f t="shared" si="15"/>
        <v>34115809</v>
      </c>
      <c r="S18" s="36">
        <f t="shared" ref="S18:X18" si="16">SUM(S4:S17)</f>
        <v>37712640</v>
      </c>
      <c r="T18" s="36">
        <f t="shared" si="16"/>
        <v>37031033</v>
      </c>
      <c r="U18" s="36">
        <f t="shared" si="16"/>
        <v>36197785</v>
      </c>
      <c r="V18" s="36">
        <f t="shared" si="16"/>
        <v>36132666</v>
      </c>
      <c r="W18" s="36">
        <f t="shared" si="16"/>
        <v>35262295</v>
      </c>
      <c r="X18" s="36">
        <f t="shared" si="16"/>
        <v>37118468</v>
      </c>
      <c r="Y18" s="36">
        <f>SUM(Y4:Y17)</f>
        <v>36761432</v>
      </c>
      <c r="Z18" s="36">
        <f>SUM(N18:Y18)</f>
        <v>425166475</v>
      </c>
      <c r="AA18" s="36">
        <f t="shared" si="2"/>
        <v>35430539.583333336</v>
      </c>
      <c r="AB18" s="1276">
        <f>AVERAGE(B18:M18)</f>
        <v>31281131.083333332</v>
      </c>
      <c r="AC18" s="1277">
        <f t="shared" si="4"/>
        <v>34443799.333333336</v>
      </c>
      <c r="AD18" s="1277">
        <f t="shared" si="5"/>
        <v>36417279.833333336</v>
      </c>
      <c r="AE18" s="1278">
        <f t="shared" si="6"/>
        <v>36453828</v>
      </c>
      <c r="AF18" s="1279">
        <f t="shared" si="7"/>
        <v>36380731.666666664</v>
      </c>
      <c r="AG18" s="32"/>
      <c r="AH18" s="32"/>
      <c r="AI18" s="32"/>
      <c r="AJ18" s="32"/>
    </row>
    <row r="19" spans="1:36" x14ac:dyDescent="0.15"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F19" s="5"/>
      <c r="AG19" s="32"/>
      <c r="AH19" s="32"/>
      <c r="AI19" s="32"/>
      <c r="AJ19" s="32"/>
    </row>
    <row r="20" spans="1:36" x14ac:dyDescent="0.15">
      <c r="B20" s="38" t="s">
        <v>111</v>
      </c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F20" s="5"/>
      <c r="AG20" s="32"/>
      <c r="AH20" s="32"/>
      <c r="AI20" s="32"/>
      <c r="AJ20" s="32"/>
    </row>
    <row r="21" spans="1:36" hidden="1" x14ac:dyDescent="0.15">
      <c r="A21" s="32" t="s">
        <v>108</v>
      </c>
      <c r="AG21" s="32"/>
      <c r="AH21" s="32"/>
      <c r="AI21" s="32"/>
      <c r="AJ21" s="32"/>
    </row>
    <row r="22" spans="1:36" hidden="1" x14ac:dyDescent="0.15">
      <c r="A22" s="32" t="s">
        <v>109</v>
      </c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G22" s="32"/>
      <c r="AH22" s="32"/>
      <c r="AI22" s="32"/>
      <c r="AJ22" s="32"/>
    </row>
    <row r="23" spans="1:36" hidden="1" x14ac:dyDescent="0.15">
      <c r="A23" s="32" t="s">
        <v>110</v>
      </c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G23" s="32"/>
      <c r="AH23" s="32"/>
      <c r="AI23" s="32"/>
      <c r="AJ23" s="32"/>
    </row>
    <row r="24" spans="1:36" x14ac:dyDescent="0.15">
      <c r="AE24" s="197" t="s">
        <v>283</v>
      </c>
      <c r="AG24" s="32"/>
      <c r="AH24" s="32"/>
      <c r="AI24" s="32"/>
      <c r="AJ24" s="32"/>
    </row>
    <row r="25" spans="1:36" x14ac:dyDescent="0.15">
      <c r="AF25" s="32"/>
      <c r="AG25" s="32"/>
      <c r="AH25" s="32"/>
      <c r="AI25" s="32"/>
      <c r="AJ25" s="32"/>
    </row>
    <row r="26" spans="1:36" x14ac:dyDescent="0.15">
      <c r="AF26" s="32"/>
      <c r="AG26" s="32"/>
      <c r="AH26" s="32"/>
      <c r="AI26" s="32"/>
      <c r="AJ26" s="32"/>
    </row>
    <row r="27" spans="1:36" x14ac:dyDescent="0.15">
      <c r="AF27" s="32"/>
      <c r="AG27" s="32"/>
      <c r="AH27" s="32"/>
      <c r="AI27" s="32"/>
      <c r="AJ27" s="32"/>
    </row>
    <row r="28" spans="1:36" x14ac:dyDescent="0.15">
      <c r="AF28" s="32"/>
      <c r="AG28" s="32"/>
      <c r="AH28" s="32"/>
      <c r="AI28" s="32"/>
      <c r="AJ28" s="32"/>
    </row>
    <row r="29" spans="1:36" x14ac:dyDescent="0.15">
      <c r="AF29" s="32"/>
      <c r="AG29" s="32"/>
      <c r="AH29" s="32"/>
      <c r="AI29" s="32"/>
      <c r="AJ29" s="32"/>
    </row>
    <row r="30" spans="1:36" x14ac:dyDescent="0.15">
      <c r="AF30" s="32"/>
      <c r="AG30" s="32"/>
      <c r="AH30" s="32"/>
      <c r="AI30" s="32"/>
      <c r="AJ30" s="32"/>
    </row>
    <row r="31" spans="1:36" x14ac:dyDescent="0.15">
      <c r="AF31" s="32"/>
      <c r="AG31" s="32"/>
      <c r="AH31" s="32"/>
      <c r="AI31" s="32"/>
      <c r="AJ31" s="32"/>
    </row>
    <row r="105" spans="13:52" x14ac:dyDescent="0.15">
      <c r="AF105" s="32"/>
      <c r="AG105" s="32"/>
      <c r="AH105" s="32"/>
    </row>
    <row r="106" spans="13:52" x14ac:dyDescent="0.15">
      <c r="AF106" s="32"/>
      <c r="AG106" s="32"/>
      <c r="AH106" s="32"/>
      <c r="AI106" s="32"/>
      <c r="AJ106" s="32"/>
      <c r="AR106"/>
      <c r="AS106"/>
      <c r="AT106"/>
      <c r="AU106"/>
      <c r="AV106"/>
    </row>
    <row r="107" spans="13:52" x14ac:dyDescent="0.15">
      <c r="AF107" s="32"/>
      <c r="AG107" s="32"/>
      <c r="AH107" s="32"/>
      <c r="AI107" s="32"/>
      <c r="AJ107" s="32"/>
      <c r="AV107"/>
      <c r="AW107"/>
      <c r="AX107"/>
      <c r="AY107"/>
      <c r="AZ107"/>
    </row>
    <row r="108" spans="13:52" x14ac:dyDescent="0.15">
      <c r="AF108" s="32"/>
      <c r="AG108" s="32"/>
      <c r="AH108" s="32"/>
      <c r="AI108" s="32"/>
      <c r="AJ108" s="32"/>
      <c r="AV108"/>
      <c r="AW108"/>
      <c r="AX108"/>
      <c r="AY108"/>
      <c r="AZ108"/>
    </row>
    <row r="109" spans="13:52" x14ac:dyDescent="0.15">
      <c r="AF109" s="32"/>
      <c r="AG109" s="32"/>
      <c r="AH109" s="32"/>
      <c r="AI109" s="32"/>
      <c r="AJ109" s="32"/>
      <c r="AV109"/>
      <c r="AW109"/>
      <c r="AX109"/>
      <c r="AY109"/>
      <c r="AZ109"/>
    </row>
    <row r="110" spans="13:52" x14ac:dyDescent="0.15">
      <c r="M110" s="2031" t="s">
        <v>257</v>
      </c>
      <c r="AF110" s="32"/>
      <c r="AG110" s="32"/>
      <c r="AH110" s="32"/>
      <c r="AI110" s="32"/>
      <c r="AJ110" s="32"/>
      <c r="AV110"/>
      <c r="AW110"/>
      <c r="AX110"/>
      <c r="AY110"/>
      <c r="AZ110"/>
    </row>
    <row r="111" spans="13:52" x14ac:dyDescent="0.15">
      <c r="M111" s="2032" t="s">
        <v>263</v>
      </c>
      <c r="N111" s="180" t="s">
        <v>261</v>
      </c>
      <c r="O111" s="180" t="s">
        <v>262</v>
      </c>
      <c r="P111" s="180" t="s">
        <v>257</v>
      </c>
      <c r="AF111" s="32"/>
      <c r="AG111" s="32"/>
      <c r="AH111" s="32"/>
      <c r="AI111" s="32"/>
      <c r="AJ111" s="32"/>
      <c r="AV111"/>
      <c r="AW111"/>
      <c r="AX111"/>
      <c r="AY111"/>
      <c r="AZ111"/>
    </row>
    <row r="112" spans="13:52" x14ac:dyDescent="0.15">
      <c r="M112" s="2033" t="s">
        <v>258</v>
      </c>
      <c r="N112" s="36">
        <f>AB$5</f>
        <v>9679262</v>
      </c>
      <c r="O112" s="36">
        <f>AA$5</f>
        <v>10917735</v>
      </c>
      <c r="P112" s="181">
        <f>O112/N112-1</f>
        <v>0.12795118057554378</v>
      </c>
      <c r="AF112" s="32"/>
      <c r="AG112" s="32"/>
      <c r="AH112" s="32"/>
      <c r="AI112" s="32"/>
      <c r="AJ112" s="32"/>
      <c r="AV112"/>
      <c r="AW112"/>
      <c r="AX112"/>
      <c r="AY112"/>
      <c r="AZ112"/>
    </row>
    <row r="113" spans="13:52" x14ac:dyDescent="0.15">
      <c r="M113" s="2033" t="s">
        <v>259</v>
      </c>
      <c r="N113" s="36">
        <f>AC$5</f>
        <v>10349477.166666666</v>
      </c>
      <c r="O113" s="36">
        <f>AD$5</f>
        <v>11485992.833333334</v>
      </c>
      <c r="P113" s="181">
        <f>O113/N113-1</f>
        <v>0.10981382425067121</v>
      </c>
      <c r="AF113" s="32"/>
      <c r="AG113" s="32"/>
      <c r="AH113" s="32"/>
      <c r="AI113" s="32"/>
      <c r="AJ113" s="32"/>
      <c r="AV113"/>
      <c r="AW113"/>
      <c r="AX113"/>
      <c r="AY113"/>
      <c r="AZ113"/>
    </row>
    <row r="114" spans="13:52" x14ac:dyDescent="0.15">
      <c r="M114" s="2033" t="s">
        <v>260</v>
      </c>
      <c r="N114" s="36">
        <f>AE$5</f>
        <v>11419907</v>
      </c>
      <c r="O114" s="36">
        <f>AF$5</f>
        <v>11552078.666666666</v>
      </c>
      <c r="P114" s="181">
        <f>O114/N114-1</f>
        <v>1.1573795361614181E-2</v>
      </c>
      <c r="AF114" s="32"/>
      <c r="AG114" s="32"/>
      <c r="AH114" s="32"/>
      <c r="AI114" s="32"/>
      <c r="AJ114" s="32"/>
      <c r="AV114"/>
      <c r="AW114"/>
      <c r="AX114"/>
      <c r="AY114"/>
      <c r="AZ114"/>
    </row>
    <row r="115" spans="13:52" x14ac:dyDescent="0.15">
      <c r="M115" s="2033" t="s">
        <v>264</v>
      </c>
      <c r="N115" s="36">
        <f>O112</f>
        <v>10917735</v>
      </c>
      <c r="O115" s="36">
        <f>O114</f>
        <v>11552078.666666666</v>
      </c>
      <c r="P115" s="181">
        <f>O115/N115-1</f>
        <v>5.8102130768576732E-2</v>
      </c>
      <c r="AF115" s="32"/>
      <c r="AG115" s="32"/>
      <c r="AH115" s="32"/>
      <c r="AI115" s="32"/>
      <c r="AJ115" s="32"/>
      <c r="AV115"/>
      <c r="AW115"/>
      <c r="AX115"/>
      <c r="AY115"/>
      <c r="AZ115"/>
    </row>
    <row r="116" spans="13:52" x14ac:dyDescent="0.15">
      <c r="M116" s="2034"/>
      <c r="AF116" s="32"/>
      <c r="AG116" s="32"/>
      <c r="AH116" s="32"/>
      <c r="AI116" s="32"/>
      <c r="AJ116" s="32"/>
      <c r="AV116"/>
      <c r="AW116"/>
      <c r="AX116"/>
      <c r="AY116"/>
      <c r="AZ116"/>
    </row>
    <row r="117" spans="13:52" x14ac:dyDescent="0.15">
      <c r="M117" s="2034"/>
      <c r="AF117" s="32"/>
      <c r="AG117" s="32"/>
      <c r="AH117" s="32"/>
      <c r="AI117" s="32"/>
      <c r="AJ117" s="32"/>
      <c r="AV117"/>
      <c r="AW117"/>
      <c r="AX117"/>
      <c r="AY117"/>
      <c r="AZ117"/>
    </row>
    <row r="118" spans="13:52" x14ac:dyDescent="0.15">
      <c r="M118" s="2034"/>
      <c r="AF118" s="32"/>
      <c r="AG118" s="32"/>
      <c r="AH118" s="32"/>
      <c r="AI118" s="32"/>
      <c r="AJ118" s="32"/>
      <c r="AV118"/>
      <c r="AW118"/>
      <c r="AX118"/>
      <c r="AY118"/>
      <c r="AZ118"/>
    </row>
    <row r="119" spans="13:52" x14ac:dyDescent="0.15">
      <c r="M119" s="2034"/>
      <c r="AF119" s="32"/>
      <c r="AG119" s="32"/>
      <c r="AH119" s="32"/>
      <c r="AI119" s="32"/>
      <c r="AJ119" s="32"/>
      <c r="AV119"/>
      <c r="AW119"/>
      <c r="AX119"/>
      <c r="AY119"/>
      <c r="AZ119"/>
    </row>
    <row r="120" spans="13:52" x14ac:dyDescent="0.15">
      <c r="M120" s="2034"/>
      <c r="AF120" s="32"/>
      <c r="AG120" s="32"/>
      <c r="AH120" s="32"/>
      <c r="AI120" s="32"/>
      <c r="AJ120" s="32"/>
      <c r="AV120"/>
      <c r="AW120"/>
      <c r="AX120"/>
      <c r="AY120"/>
      <c r="AZ120"/>
    </row>
    <row r="121" spans="13:52" x14ac:dyDescent="0.15">
      <c r="M121" s="2034"/>
      <c r="AF121" s="32"/>
      <c r="AG121" s="32"/>
      <c r="AH121" s="32"/>
      <c r="AI121" s="32"/>
      <c r="AJ121" s="32"/>
      <c r="AV121"/>
      <c r="AW121"/>
      <c r="AX121"/>
      <c r="AY121"/>
      <c r="AZ121"/>
    </row>
    <row r="122" spans="13:52" x14ac:dyDescent="0.15">
      <c r="M122" s="2034"/>
      <c r="AF122" s="32"/>
      <c r="AG122" s="32"/>
      <c r="AH122" s="32"/>
      <c r="AI122" s="32"/>
      <c r="AJ122" s="32"/>
      <c r="AV122"/>
      <c r="AW122"/>
      <c r="AX122"/>
      <c r="AY122"/>
      <c r="AZ122"/>
    </row>
    <row r="123" spans="13:52" x14ac:dyDescent="0.15">
      <c r="M123" s="2034"/>
      <c r="AF123" s="32"/>
      <c r="AG123" s="32"/>
      <c r="AH123" s="32"/>
      <c r="AI123" s="32"/>
      <c r="AJ123" s="32"/>
      <c r="AV123"/>
      <c r="AW123"/>
      <c r="AX123"/>
      <c r="AY123"/>
      <c r="AZ123"/>
    </row>
    <row r="124" spans="13:52" x14ac:dyDescent="0.15">
      <c r="M124" s="2034"/>
      <c r="AF124" s="32"/>
      <c r="AG124" s="32"/>
      <c r="AH124" s="32"/>
      <c r="AI124" s="32"/>
      <c r="AJ124" s="32"/>
      <c r="AV124"/>
      <c r="AW124"/>
      <c r="AX124"/>
      <c r="AY124"/>
      <c r="AZ124"/>
    </row>
    <row r="125" spans="13:52" x14ac:dyDescent="0.15">
      <c r="M125" s="2034"/>
      <c r="AF125" s="32"/>
      <c r="AG125" s="32"/>
      <c r="AH125" s="32"/>
      <c r="AI125" s="32"/>
      <c r="AJ125" s="32"/>
      <c r="AV125"/>
      <c r="AW125"/>
      <c r="AX125"/>
      <c r="AY125"/>
      <c r="AZ125"/>
    </row>
    <row r="126" spans="13:52" x14ac:dyDescent="0.15">
      <c r="M126" s="2031" t="s">
        <v>257</v>
      </c>
      <c r="AF126" s="32"/>
      <c r="AG126" s="32"/>
      <c r="AH126" s="32"/>
      <c r="AI126" s="32"/>
      <c r="AJ126" s="32"/>
      <c r="AV126"/>
      <c r="AW126"/>
      <c r="AX126"/>
      <c r="AY126"/>
      <c r="AZ126"/>
    </row>
    <row r="127" spans="13:52" x14ac:dyDescent="0.15">
      <c r="M127" s="2032" t="s">
        <v>263</v>
      </c>
      <c r="N127" s="180" t="s">
        <v>261</v>
      </c>
      <c r="O127" s="180" t="s">
        <v>262</v>
      </c>
      <c r="P127" s="180" t="s">
        <v>257</v>
      </c>
      <c r="AF127" s="32"/>
      <c r="AG127" s="32"/>
      <c r="AH127" s="32"/>
      <c r="AI127" s="32"/>
      <c r="AJ127" s="32"/>
      <c r="AV127"/>
      <c r="AW127"/>
      <c r="AX127"/>
      <c r="AY127"/>
      <c r="AZ127"/>
    </row>
    <row r="128" spans="13:52" x14ac:dyDescent="0.15">
      <c r="M128" s="2033" t="s">
        <v>258</v>
      </c>
      <c r="N128" s="36">
        <f>AB$6</f>
        <v>5545419</v>
      </c>
      <c r="O128" s="36">
        <f>AA$6</f>
        <v>5957271</v>
      </c>
      <c r="P128" s="181">
        <f>O128/N128-1</f>
        <v>7.4268869493901102E-2</v>
      </c>
      <c r="AF128" s="32"/>
      <c r="AG128" s="32"/>
      <c r="AH128" s="32"/>
      <c r="AI128" s="32"/>
      <c r="AJ128" s="32"/>
      <c r="AV128"/>
      <c r="AW128"/>
      <c r="AX128"/>
      <c r="AY128"/>
      <c r="AZ128"/>
    </row>
    <row r="129" spans="13:52" x14ac:dyDescent="0.15">
      <c r="M129" s="2033" t="s">
        <v>259</v>
      </c>
      <c r="N129" s="36">
        <f>AC$6</f>
        <v>6074867.666666667</v>
      </c>
      <c r="O129" s="36">
        <f>AD$6</f>
        <v>5839674.333333333</v>
      </c>
      <c r="P129" s="181">
        <f>O129/N129-1</f>
        <v>-3.8715795345446002E-2</v>
      </c>
      <c r="AF129" s="32"/>
      <c r="AG129" s="32"/>
      <c r="AH129" s="32"/>
      <c r="AI129" s="32"/>
      <c r="AJ129" s="32"/>
      <c r="AV129"/>
      <c r="AW129"/>
      <c r="AX129"/>
      <c r="AY129"/>
      <c r="AZ129"/>
    </row>
    <row r="130" spans="13:52" x14ac:dyDescent="0.15">
      <c r="M130" s="2033" t="s">
        <v>260</v>
      </c>
      <c r="N130" s="36">
        <f>AE$6</f>
        <v>6348582.333333333</v>
      </c>
      <c r="O130" s="36">
        <f>AF$6</f>
        <v>5330766.333333333</v>
      </c>
      <c r="P130" s="181">
        <f>O130/N130-1</f>
        <v>-0.16032177682503079</v>
      </c>
      <c r="AF130" s="32"/>
      <c r="AG130" s="32"/>
      <c r="AH130" s="32"/>
      <c r="AI130" s="32"/>
      <c r="AJ130" s="32"/>
      <c r="AV130"/>
      <c r="AW130"/>
      <c r="AX130"/>
      <c r="AY130"/>
      <c r="AZ130"/>
    </row>
    <row r="131" spans="13:52" x14ac:dyDescent="0.15">
      <c r="M131" s="2033" t="s">
        <v>264</v>
      </c>
      <c r="N131" s="36">
        <f>O128</f>
        <v>5957271</v>
      </c>
      <c r="O131" s="36">
        <f>O130</f>
        <v>5330766.333333333</v>
      </c>
      <c r="P131" s="181">
        <f>O131/N131-1</f>
        <v>-0.10516638686852875</v>
      </c>
      <c r="AF131" s="32"/>
      <c r="AG131" s="32"/>
      <c r="AH131" s="32"/>
      <c r="AI131" s="32"/>
      <c r="AJ131" s="32"/>
      <c r="AV131"/>
      <c r="AW131"/>
      <c r="AX131"/>
      <c r="AY131"/>
      <c r="AZ131"/>
    </row>
    <row r="132" spans="13:52" x14ac:dyDescent="0.15">
      <c r="M132" s="2034"/>
      <c r="AF132" s="32"/>
      <c r="AG132" s="32"/>
      <c r="AH132" s="32"/>
      <c r="AI132" s="32"/>
      <c r="AJ132" s="32"/>
      <c r="AV132"/>
      <c r="AW132"/>
      <c r="AX132"/>
      <c r="AY132"/>
      <c r="AZ132"/>
    </row>
    <row r="133" spans="13:52" x14ac:dyDescent="0.15">
      <c r="M133" s="2034"/>
      <c r="AF133" s="32"/>
      <c r="AG133" s="32"/>
      <c r="AH133" s="32"/>
      <c r="AI133" s="32"/>
      <c r="AJ133" s="32"/>
      <c r="AV133"/>
      <c r="AW133"/>
      <c r="AX133"/>
      <c r="AY133"/>
      <c r="AZ133"/>
    </row>
    <row r="134" spans="13:52" x14ac:dyDescent="0.15">
      <c r="M134" s="2034"/>
      <c r="AF134" s="32"/>
      <c r="AG134" s="32"/>
      <c r="AH134" s="32"/>
      <c r="AI134" s="32"/>
      <c r="AJ134" s="32"/>
      <c r="AV134"/>
      <c r="AW134"/>
      <c r="AX134"/>
      <c r="AY134"/>
      <c r="AZ134"/>
    </row>
    <row r="135" spans="13:52" x14ac:dyDescent="0.15">
      <c r="M135" s="2034"/>
      <c r="AF135" s="32"/>
      <c r="AG135" s="32"/>
      <c r="AH135" s="32"/>
      <c r="AI135" s="32"/>
      <c r="AJ135" s="32"/>
      <c r="AV135"/>
      <c r="AW135"/>
      <c r="AX135"/>
      <c r="AY135"/>
      <c r="AZ135"/>
    </row>
    <row r="136" spans="13:52" x14ac:dyDescent="0.15">
      <c r="M136" s="2034"/>
      <c r="AF136" s="32"/>
      <c r="AG136" s="32"/>
      <c r="AH136" s="32"/>
      <c r="AI136" s="32"/>
      <c r="AJ136" s="32"/>
      <c r="AV136"/>
      <c r="AW136"/>
      <c r="AX136"/>
      <c r="AY136"/>
      <c r="AZ136"/>
    </row>
    <row r="137" spans="13:52" x14ac:dyDescent="0.15">
      <c r="M137" s="2034"/>
      <c r="AF137" s="32"/>
      <c r="AG137" s="32"/>
      <c r="AH137" s="32"/>
      <c r="AI137" s="32"/>
      <c r="AJ137" s="32"/>
      <c r="AV137"/>
      <c r="AW137"/>
      <c r="AX137"/>
      <c r="AY137"/>
      <c r="AZ137"/>
    </row>
    <row r="138" spans="13:52" x14ac:dyDescent="0.15">
      <c r="M138" s="2034"/>
      <c r="AF138" s="32"/>
      <c r="AG138" s="32"/>
      <c r="AH138" s="32"/>
      <c r="AI138" s="32"/>
      <c r="AJ138" s="32"/>
      <c r="AV138"/>
      <c r="AW138"/>
      <c r="AX138"/>
      <c r="AY138"/>
      <c r="AZ138"/>
    </row>
    <row r="139" spans="13:52" x14ac:dyDescent="0.15">
      <c r="M139" s="2034"/>
      <c r="AF139" s="32"/>
      <c r="AG139" s="32"/>
      <c r="AH139" s="32"/>
      <c r="AI139" s="32"/>
      <c r="AJ139" s="32"/>
      <c r="AV139"/>
      <c r="AW139"/>
      <c r="AX139"/>
      <c r="AY139"/>
      <c r="AZ139"/>
    </row>
    <row r="140" spans="13:52" x14ac:dyDescent="0.15">
      <c r="M140" s="2034"/>
      <c r="AF140" s="32"/>
      <c r="AG140" s="32"/>
      <c r="AH140" s="32"/>
      <c r="AI140" s="32"/>
      <c r="AJ140" s="32"/>
      <c r="AV140"/>
      <c r="AW140"/>
      <c r="AX140"/>
      <c r="AY140"/>
      <c r="AZ140"/>
    </row>
    <row r="141" spans="13:52" x14ac:dyDescent="0.15">
      <c r="M141" s="2034"/>
      <c r="AF141" s="32"/>
      <c r="AG141" s="32"/>
      <c r="AH141" s="32"/>
      <c r="AI141" s="32"/>
      <c r="AJ141" s="32"/>
      <c r="AV141"/>
      <c r="AW141"/>
      <c r="AX141"/>
      <c r="AY141"/>
      <c r="AZ141"/>
    </row>
    <row r="142" spans="13:52" x14ac:dyDescent="0.15">
      <c r="M142" s="2034"/>
      <c r="AF142" s="32"/>
      <c r="AG142" s="32"/>
      <c r="AH142" s="32"/>
      <c r="AI142" s="32"/>
      <c r="AJ142" s="32"/>
      <c r="AV142"/>
      <c r="AW142"/>
      <c r="AX142"/>
      <c r="AY142"/>
      <c r="AZ142"/>
    </row>
    <row r="143" spans="13:52" x14ac:dyDescent="0.15">
      <c r="M143" s="2034"/>
      <c r="AF143" s="32"/>
      <c r="AG143" s="32"/>
      <c r="AH143" s="32"/>
      <c r="AI143" s="32"/>
      <c r="AJ143" s="32"/>
      <c r="AV143"/>
      <c r="AW143"/>
      <c r="AX143"/>
      <c r="AY143"/>
      <c r="AZ143"/>
    </row>
    <row r="144" spans="13:52" x14ac:dyDescent="0.15">
      <c r="M144" s="2031" t="s">
        <v>257</v>
      </c>
      <c r="AF144" s="32"/>
      <c r="AG144" s="32"/>
      <c r="AH144" s="32"/>
      <c r="AI144" s="32"/>
      <c r="AJ144" s="32"/>
      <c r="AV144"/>
      <c r="AW144"/>
      <c r="AX144"/>
      <c r="AY144"/>
      <c r="AZ144"/>
    </row>
    <row r="145" spans="13:52" x14ac:dyDescent="0.15">
      <c r="M145" s="2032" t="s">
        <v>263</v>
      </c>
      <c r="N145" s="180" t="s">
        <v>261</v>
      </c>
      <c r="O145" s="180" t="s">
        <v>262</v>
      </c>
      <c r="P145" s="180" t="s">
        <v>257</v>
      </c>
      <c r="AF145" s="32"/>
      <c r="AG145" s="32"/>
      <c r="AH145" s="32"/>
      <c r="AI145" s="32"/>
      <c r="AJ145" s="32"/>
      <c r="AV145"/>
      <c r="AW145"/>
      <c r="AX145"/>
      <c r="AY145"/>
      <c r="AZ145"/>
    </row>
    <row r="146" spans="13:52" x14ac:dyDescent="0.15">
      <c r="M146" s="2033" t="s">
        <v>258</v>
      </c>
      <c r="N146" s="36">
        <f>AB$7</f>
        <v>5535687.083333333</v>
      </c>
      <c r="O146" s="36">
        <f>AA$7</f>
        <v>6501503.25</v>
      </c>
      <c r="P146" s="181">
        <f>O146/N146-1</f>
        <v>0.17447087455042665</v>
      </c>
      <c r="AF146" s="32"/>
      <c r="AG146" s="32"/>
      <c r="AH146" s="32"/>
      <c r="AI146" s="32"/>
      <c r="AJ146" s="32"/>
      <c r="AV146"/>
      <c r="AW146"/>
      <c r="AX146"/>
      <c r="AY146"/>
      <c r="AZ146"/>
    </row>
    <row r="147" spans="13:52" x14ac:dyDescent="0.15">
      <c r="M147" s="2033" t="s">
        <v>259</v>
      </c>
      <c r="N147" s="36">
        <f>AC$7</f>
        <v>6579791.166666667</v>
      </c>
      <c r="O147" s="36">
        <f>AD$7</f>
        <v>6423215.333333333</v>
      </c>
      <c r="P147" s="181">
        <f>O147/N147-1</f>
        <v>-2.3796474594292572E-2</v>
      </c>
      <c r="AF147" s="32"/>
      <c r="AG147" s="32"/>
      <c r="AH147" s="32"/>
      <c r="AI147" s="32"/>
      <c r="AJ147" s="32"/>
      <c r="AV147"/>
      <c r="AW147"/>
      <c r="AX147"/>
      <c r="AY147"/>
      <c r="AZ147"/>
    </row>
    <row r="148" spans="13:52" x14ac:dyDescent="0.15">
      <c r="M148" s="2033" t="s">
        <v>260</v>
      </c>
      <c r="N148" s="36">
        <f>AE$7</f>
        <v>6390310</v>
      </c>
      <c r="O148" s="36">
        <f>AF$7</f>
        <v>6456120.666666667</v>
      </c>
      <c r="P148" s="181">
        <f>O148/N148-1</f>
        <v>1.0298509253333199E-2</v>
      </c>
      <c r="AF148" s="32"/>
      <c r="AG148" s="32"/>
      <c r="AH148" s="32"/>
      <c r="AI148" s="32"/>
      <c r="AJ148" s="32"/>
      <c r="AV148"/>
      <c r="AW148"/>
      <c r="AX148"/>
      <c r="AY148"/>
      <c r="AZ148"/>
    </row>
    <row r="149" spans="13:52" x14ac:dyDescent="0.15">
      <c r="M149" s="2033" t="s">
        <v>264</v>
      </c>
      <c r="N149" s="36">
        <f>O146</f>
        <v>6501503.25</v>
      </c>
      <c r="O149" s="36">
        <f>O148</f>
        <v>6456120.666666667</v>
      </c>
      <c r="P149" s="181">
        <f>O149/N149-1</f>
        <v>-6.9803215638372107E-3</v>
      </c>
      <c r="AF149" s="32"/>
      <c r="AG149" s="32"/>
      <c r="AH149" s="32"/>
      <c r="AI149" s="32"/>
      <c r="AJ149" s="32"/>
      <c r="AV149"/>
      <c r="AW149"/>
      <c r="AX149"/>
      <c r="AY149"/>
      <c r="AZ149"/>
    </row>
    <row r="150" spans="13:52" x14ac:dyDescent="0.15">
      <c r="M150" s="2034"/>
      <c r="AF150" s="32"/>
      <c r="AG150" s="32"/>
      <c r="AH150" s="32"/>
      <c r="AI150" s="32"/>
      <c r="AJ150" s="32"/>
      <c r="AV150"/>
      <c r="AW150"/>
      <c r="AX150"/>
      <c r="AY150"/>
      <c r="AZ150"/>
    </row>
    <row r="151" spans="13:52" x14ac:dyDescent="0.15">
      <c r="M151" s="2034"/>
      <c r="AF151" s="32"/>
      <c r="AG151" s="32"/>
      <c r="AH151" s="32"/>
      <c r="AI151" s="32"/>
      <c r="AJ151" s="32"/>
      <c r="AV151"/>
      <c r="AW151"/>
      <c r="AX151"/>
      <c r="AY151"/>
      <c r="AZ151"/>
    </row>
    <row r="152" spans="13:52" x14ac:dyDescent="0.15">
      <c r="M152" s="2034"/>
      <c r="AF152" s="32"/>
      <c r="AG152" s="32"/>
      <c r="AH152" s="32"/>
      <c r="AI152" s="32"/>
      <c r="AJ152" s="32"/>
      <c r="AV152"/>
      <c r="AW152"/>
      <c r="AX152"/>
      <c r="AY152"/>
      <c r="AZ152"/>
    </row>
    <row r="153" spans="13:52" x14ac:dyDescent="0.15">
      <c r="M153" s="2034"/>
      <c r="AF153" s="32"/>
      <c r="AG153" s="32"/>
      <c r="AH153" s="32"/>
      <c r="AI153" s="32"/>
      <c r="AJ153" s="32"/>
      <c r="AV153"/>
      <c r="AW153"/>
      <c r="AX153"/>
      <c r="AY153"/>
      <c r="AZ153"/>
    </row>
    <row r="154" spans="13:52" x14ac:dyDescent="0.15">
      <c r="M154" s="2034"/>
      <c r="AF154" s="32"/>
      <c r="AG154" s="32"/>
      <c r="AH154" s="32"/>
      <c r="AI154" s="32"/>
      <c r="AJ154" s="32"/>
      <c r="AV154"/>
      <c r="AW154"/>
      <c r="AX154"/>
      <c r="AY154"/>
      <c r="AZ154"/>
    </row>
    <row r="155" spans="13:52" x14ac:dyDescent="0.15">
      <c r="M155" s="2034"/>
      <c r="AF155" s="32"/>
      <c r="AG155" s="32"/>
      <c r="AH155" s="32"/>
      <c r="AI155" s="32"/>
      <c r="AJ155" s="32"/>
      <c r="AV155"/>
      <c r="AW155"/>
      <c r="AX155"/>
      <c r="AY155"/>
      <c r="AZ155"/>
    </row>
    <row r="156" spans="13:52" x14ac:dyDescent="0.15">
      <c r="M156" s="2034"/>
      <c r="AF156" s="32"/>
      <c r="AG156" s="32"/>
      <c r="AH156" s="32"/>
      <c r="AI156" s="32"/>
      <c r="AJ156" s="32"/>
      <c r="AV156"/>
      <c r="AW156"/>
      <c r="AX156"/>
      <c r="AY156"/>
      <c r="AZ156"/>
    </row>
    <row r="157" spans="13:52" x14ac:dyDescent="0.15">
      <c r="M157" s="2034"/>
      <c r="AF157" s="32"/>
      <c r="AG157" s="32"/>
      <c r="AH157" s="32"/>
      <c r="AI157" s="32"/>
      <c r="AJ157" s="32"/>
      <c r="AV157"/>
      <c r="AW157"/>
      <c r="AX157"/>
      <c r="AY157"/>
      <c r="AZ157"/>
    </row>
    <row r="158" spans="13:52" x14ac:dyDescent="0.15">
      <c r="M158" s="2034"/>
      <c r="AF158" s="32"/>
      <c r="AG158" s="32"/>
      <c r="AH158" s="32"/>
      <c r="AI158" s="32"/>
      <c r="AJ158" s="32"/>
      <c r="AV158"/>
      <c r="AW158"/>
      <c r="AX158"/>
      <c r="AY158"/>
      <c r="AZ158"/>
    </row>
    <row r="159" spans="13:52" x14ac:dyDescent="0.15">
      <c r="M159" s="2034"/>
      <c r="AF159" s="32"/>
      <c r="AG159" s="32"/>
      <c r="AH159" s="32"/>
      <c r="AI159" s="32"/>
      <c r="AJ159" s="32"/>
      <c r="AV159"/>
      <c r="AW159"/>
      <c r="AX159"/>
      <c r="AY159"/>
      <c r="AZ159"/>
    </row>
    <row r="160" spans="13:52" x14ac:dyDescent="0.15">
      <c r="M160" s="2034"/>
      <c r="AF160" s="32"/>
      <c r="AG160" s="32"/>
      <c r="AH160" s="32"/>
      <c r="AI160" s="32"/>
      <c r="AJ160" s="32"/>
      <c r="AV160"/>
      <c r="AW160"/>
      <c r="AX160"/>
      <c r="AY160"/>
      <c r="AZ160"/>
    </row>
    <row r="161" spans="13:52" x14ac:dyDescent="0.15">
      <c r="M161" s="2034"/>
      <c r="AF161" s="32"/>
      <c r="AG161" s="32"/>
      <c r="AH161" s="32"/>
      <c r="AI161" s="32"/>
      <c r="AJ161" s="32"/>
      <c r="AV161"/>
      <c r="AW161"/>
      <c r="AX161"/>
      <c r="AY161"/>
      <c r="AZ161"/>
    </row>
    <row r="162" spans="13:52" x14ac:dyDescent="0.15">
      <c r="M162" s="2031" t="s">
        <v>257</v>
      </c>
      <c r="AF162" s="32"/>
      <c r="AG162" s="32"/>
      <c r="AH162" s="32"/>
      <c r="AI162" s="32"/>
      <c r="AJ162" s="32"/>
      <c r="AV162"/>
      <c r="AW162"/>
      <c r="AX162"/>
      <c r="AY162"/>
      <c r="AZ162"/>
    </row>
    <row r="163" spans="13:52" x14ac:dyDescent="0.15">
      <c r="M163" s="2032" t="s">
        <v>263</v>
      </c>
      <c r="N163" s="180" t="s">
        <v>261</v>
      </c>
      <c r="O163" s="180" t="s">
        <v>262</v>
      </c>
      <c r="P163" s="180" t="s">
        <v>257</v>
      </c>
      <c r="AF163" s="32"/>
      <c r="AG163" s="32"/>
      <c r="AH163" s="32"/>
      <c r="AI163" s="32"/>
      <c r="AJ163" s="32"/>
      <c r="AV163"/>
      <c r="AW163"/>
      <c r="AX163"/>
      <c r="AY163"/>
      <c r="AZ163"/>
    </row>
    <row r="164" spans="13:52" x14ac:dyDescent="0.15">
      <c r="M164" s="2033" t="s">
        <v>258</v>
      </c>
      <c r="N164" s="36">
        <f>AB$8</f>
        <v>0</v>
      </c>
      <c r="O164" s="36">
        <f>AA$8</f>
        <v>740039.91666666663</v>
      </c>
      <c r="P164" s="181" t="e">
        <f>O164/N164-1</f>
        <v>#DIV/0!</v>
      </c>
      <c r="AF164" s="32"/>
      <c r="AG164" s="32"/>
      <c r="AH164" s="32"/>
      <c r="AI164" s="32"/>
      <c r="AJ164" s="32"/>
      <c r="AV164"/>
      <c r="AW164"/>
      <c r="AX164"/>
      <c r="AY164"/>
      <c r="AZ164"/>
    </row>
    <row r="165" spans="13:52" x14ac:dyDescent="0.15">
      <c r="M165" s="2033" t="s">
        <v>259</v>
      </c>
      <c r="N165" s="36">
        <f>AC$8</f>
        <v>750062.66666666663</v>
      </c>
      <c r="O165" s="36">
        <f>AD$8</f>
        <v>730017.16666666663</v>
      </c>
      <c r="P165" s="181">
        <f>O165/N165-1</f>
        <v>-2.6725100302730231E-2</v>
      </c>
      <c r="AF165" s="32"/>
      <c r="AG165" s="32"/>
      <c r="AH165" s="32"/>
      <c r="AI165" s="32"/>
      <c r="AJ165" s="32"/>
      <c r="AV165"/>
      <c r="AW165"/>
      <c r="AX165"/>
      <c r="AY165"/>
      <c r="AZ165"/>
    </row>
    <row r="166" spans="13:52" x14ac:dyDescent="0.15">
      <c r="M166" s="2033" t="s">
        <v>260</v>
      </c>
      <c r="N166" s="36">
        <f>AE$8</f>
        <v>1162511.3333333333</v>
      </c>
      <c r="O166" s="36">
        <f>AF$8</f>
        <v>297523</v>
      </c>
      <c r="P166" s="181">
        <f>O166/N166-1</f>
        <v>-0.74406873165967702</v>
      </c>
      <c r="AF166" s="32"/>
      <c r="AG166" s="32"/>
      <c r="AH166" s="32"/>
      <c r="AI166" s="32"/>
      <c r="AJ166" s="32"/>
      <c r="AV166"/>
      <c r="AW166"/>
      <c r="AX166"/>
      <c r="AY166"/>
      <c r="AZ166"/>
    </row>
    <row r="167" spans="13:52" x14ac:dyDescent="0.15">
      <c r="M167" s="2033" t="s">
        <v>264</v>
      </c>
      <c r="N167" s="36">
        <f>O164</f>
        <v>740039.91666666663</v>
      </c>
      <c r="O167" s="36">
        <f>O166</f>
        <v>297523</v>
      </c>
      <c r="P167" s="181">
        <f>O167/N167-1</f>
        <v>-0.59796357831598945</v>
      </c>
      <c r="AF167" s="32"/>
      <c r="AG167" s="32"/>
      <c r="AH167" s="32"/>
      <c r="AI167" s="32"/>
      <c r="AJ167" s="32"/>
      <c r="AV167"/>
      <c r="AW167"/>
      <c r="AX167"/>
      <c r="AY167"/>
      <c r="AZ167"/>
    </row>
    <row r="168" spans="13:52" x14ac:dyDescent="0.15">
      <c r="M168" s="2034"/>
      <c r="AF168" s="32"/>
      <c r="AG168" s="32"/>
      <c r="AH168" s="32"/>
      <c r="AI168" s="32"/>
      <c r="AJ168" s="32"/>
      <c r="AV168"/>
      <c r="AW168"/>
      <c r="AX168"/>
      <c r="AY168"/>
      <c r="AZ168"/>
    </row>
    <row r="169" spans="13:52" x14ac:dyDescent="0.15">
      <c r="M169" s="2034"/>
      <c r="AF169" s="32"/>
      <c r="AG169" s="32"/>
      <c r="AH169" s="32"/>
      <c r="AI169" s="32"/>
      <c r="AJ169" s="32"/>
      <c r="AV169"/>
      <c r="AW169"/>
      <c r="AX169"/>
      <c r="AY169"/>
      <c r="AZ169"/>
    </row>
    <row r="170" spans="13:52" x14ac:dyDescent="0.15">
      <c r="M170" s="2034"/>
      <c r="AF170" s="32"/>
      <c r="AG170" s="32"/>
      <c r="AH170" s="32"/>
      <c r="AI170" s="32"/>
      <c r="AJ170" s="32"/>
      <c r="AV170"/>
      <c r="AW170"/>
      <c r="AX170"/>
      <c r="AY170"/>
      <c r="AZ170"/>
    </row>
    <row r="171" spans="13:52" x14ac:dyDescent="0.15">
      <c r="M171" s="2034"/>
      <c r="AF171" s="32"/>
      <c r="AG171" s="32"/>
      <c r="AH171" s="32"/>
      <c r="AI171" s="32"/>
      <c r="AJ171" s="32"/>
      <c r="AV171"/>
      <c r="AW171"/>
      <c r="AX171"/>
      <c r="AY171"/>
      <c r="AZ171"/>
    </row>
    <row r="172" spans="13:52" x14ac:dyDescent="0.15">
      <c r="M172" s="2034"/>
      <c r="AF172" s="32"/>
      <c r="AG172" s="32"/>
      <c r="AH172" s="32"/>
      <c r="AI172" s="32"/>
      <c r="AJ172" s="32"/>
      <c r="AV172"/>
      <c r="AW172"/>
      <c r="AX172"/>
      <c r="AY172"/>
      <c r="AZ172"/>
    </row>
    <row r="173" spans="13:52" x14ac:dyDescent="0.15">
      <c r="M173" s="2034"/>
      <c r="AF173" s="32"/>
      <c r="AG173" s="32"/>
      <c r="AH173" s="32"/>
      <c r="AI173" s="32"/>
      <c r="AJ173" s="32"/>
      <c r="AV173"/>
      <c r="AW173"/>
      <c r="AX173"/>
      <c r="AY173"/>
      <c r="AZ173"/>
    </row>
    <row r="174" spans="13:52" x14ac:dyDescent="0.15">
      <c r="M174" s="2034"/>
      <c r="AF174" s="32"/>
      <c r="AG174" s="32"/>
      <c r="AH174" s="32"/>
      <c r="AI174" s="32"/>
      <c r="AJ174" s="32"/>
      <c r="AV174"/>
      <c r="AW174"/>
      <c r="AX174"/>
      <c r="AY174"/>
      <c r="AZ174"/>
    </row>
    <row r="175" spans="13:52" x14ac:dyDescent="0.15">
      <c r="M175" s="2034"/>
      <c r="AF175" s="32"/>
      <c r="AG175" s="32"/>
      <c r="AH175" s="32"/>
      <c r="AI175" s="32"/>
      <c r="AJ175" s="32"/>
      <c r="AV175"/>
      <c r="AW175"/>
      <c r="AX175"/>
      <c r="AY175"/>
      <c r="AZ175"/>
    </row>
    <row r="176" spans="13:52" x14ac:dyDescent="0.15">
      <c r="M176" s="2034"/>
      <c r="AF176" s="32"/>
      <c r="AG176" s="32"/>
      <c r="AH176" s="32"/>
      <c r="AI176" s="32"/>
      <c r="AJ176" s="32"/>
      <c r="AV176"/>
      <c r="AW176"/>
      <c r="AX176"/>
      <c r="AY176"/>
      <c r="AZ176"/>
    </row>
    <row r="177" spans="13:52" x14ac:dyDescent="0.15">
      <c r="M177" s="2034"/>
      <c r="AF177" s="32"/>
      <c r="AG177" s="32"/>
      <c r="AH177" s="32"/>
      <c r="AI177" s="32"/>
      <c r="AJ177" s="32"/>
      <c r="AV177"/>
      <c r="AW177"/>
      <c r="AX177"/>
      <c r="AY177"/>
      <c r="AZ177"/>
    </row>
    <row r="178" spans="13:52" x14ac:dyDescent="0.15">
      <c r="M178" s="2034"/>
      <c r="AF178" s="32"/>
      <c r="AG178" s="32"/>
      <c r="AH178" s="32"/>
      <c r="AI178" s="32"/>
      <c r="AJ178" s="32"/>
      <c r="AV178"/>
      <c r="AW178"/>
      <c r="AX178"/>
      <c r="AY178"/>
      <c r="AZ178"/>
    </row>
    <row r="179" spans="13:52" x14ac:dyDescent="0.15">
      <c r="M179" s="2034"/>
      <c r="AF179" s="32"/>
      <c r="AG179" s="32"/>
      <c r="AH179" s="32"/>
      <c r="AI179" s="32"/>
      <c r="AJ179" s="32"/>
      <c r="AV179"/>
      <c r="AW179"/>
      <c r="AX179"/>
      <c r="AY179"/>
      <c r="AZ179"/>
    </row>
    <row r="180" spans="13:52" x14ac:dyDescent="0.15">
      <c r="M180" s="2031" t="s">
        <v>257</v>
      </c>
      <c r="AF180" s="32"/>
      <c r="AG180" s="32"/>
      <c r="AH180" s="32"/>
      <c r="AI180" s="32"/>
      <c r="AJ180" s="32"/>
      <c r="AV180"/>
      <c r="AW180"/>
      <c r="AX180"/>
      <c r="AY180"/>
      <c r="AZ180"/>
    </row>
    <row r="181" spans="13:52" x14ac:dyDescent="0.15">
      <c r="M181" s="2032" t="s">
        <v>263</v>
      </c>
      <c r="N181" s="180" t="s">
        <v>261</v>
      </c>
      <c r="O181" s="180" t="s">
        <v>262</v>
      </c>
      <c r="P181" s="180" t="s">
        <v>257</v>
      </c>
      <c r="AF181" s="32"/>
      <c r="AG181" s="32"/>
      <c r="AH181" s="32"/>
      <c r="AI181" s="32"/>
      <c r="AJ181" s="32"/>
      <c r="AV181"/>
      <c r="AW181"/>
      <c r="AX181"/>
      <c r="AY181"/>
      <c r="AZ181"/>
    </row>
    <row r="182" spans="13:52" x14ac:dyDescent="0.15">
      <c r="M182" s="2033" t="s">
        <v>258</v>
      </c>
      <c r="N182" s="36">
        <f>AB$9</f>
        <v>0</v>
      </c>
      <c r="O182" s="36">
        <f>AA$9</f>
        <v>521585.41666666669</v>
      </c>
      <c r="P182" s="181" t="e">
        <f>O182/N182-1</f>
        <v>#DIV/0!</v>
      </c>
      <c r="AF182" s="32"/>
      <c r="AG182" s="32"/>
      <c r="AH182" s="32"/>
      <c r="AI182" s="32"/>
      <c r="AJ182" s="32"/>
      <c r="AV182"/>
      <c r="AW182"/>
      <c r="AX182"/>
      <c r="AY182"/>
      <c r="AZ182"/>
    </row>
    <row r="183" spans="13:52" x14ac:dyDescent="0.15">
      <c r="M183" s="2033" t="s">
        <v>259</v>
      </c>
      <c r="N183" s="36">
        <f>AC$9</f>
        <v>46531.666666666664</v>
      </c>
      <c r="O183" s="36">
        <f>AD$9</f>
        <v>996639.16666666663</v>
      </c>
      <c r="P183" s="181">
        <f>O183/N183-1</f>
        <v>20.418514273433864</v>
      </c>
      <c r="AF183" s="32"/>
      <c r="AG183" s="32"/>
      <c r="AH183" s="32"/>
      <c r="AI183" s="32"/>
      <c r="AJ183" s="32"/>
      <c r="AV183"/>
      <c r="AW183"/>
      <c r="AX183"/>
      <c r="AY183"/>
      <c r="AZ183"/>
    </row>
    <row r="184" spans="13:52" x14ac:dyDescent="0.15">
      <c r="M184" s="2033" t="s">
        <v>260</v>
      </c>
      <c r="N184" s="36">
        <f>AE$9</f>
        <v>597685.66666666663</v>
      </c>
      <c r="O184" s="36">
        <f>AF$9</f>
        <v>1395592.6666666667</v>
      </c>
      <c r="P184" s="181">
        <f>O184/N184-1</f>
        <v>1.3349943699503144</v>
      </c>
      <c r="AF184" s="32"/>
      <c r="AG184" s="32"/>
      <c r="AH184" s="32"/>
      <c r="AI184" s="32"/>
      <c r="AJ184" s="32"/>
      <c r="AV184"/>
      <c r="AW184"/>
      <c r="AX184"/>
      <c r="AY184"/>
      <c r="AZ184"/>
    </row>
    <row r="185" spans="13:52" x14ac:dyDescent="0.15">
      <c r="M185" s="2033" t="s">
        <v>264</v>
      </c>
      <c r="N185" s="36">
        <f>O182</f>
        <v>521585.41666666669</v>
      </c>
      <c r="O185" s="36">
        <f>O184</f>
        <v>1395592.6666666667</v>
      </c>
      <c r="P185" s="181">
        <f>O185/N185-1</f>
        <v>1.6756742463882155</v>
      </c>
      <c r="AF185" s="32"/>
      <c r="AG185" s="32"/>
      <c r="AH185" s="32"/>
      <c r="AI185" s="32"/>
      <c r="AJ185" s="32"/>
      <c r="AV185"/>
      <c r="AW185"/>
      <c r="AX185"/>
      <c r="AY185"/>
      <c r="AZ185"/>
    </row>
    <row r="186" spans="13:52" x14ac:dyDescent="0.15">
      <c r="M186" s="2034"/>
      <c r="AF186" s="32"/>
      <c r="AG186" s="32"/>
      <c r="AH186" s="32"/>
      <c r="AI186" s="32"/>
      <c r="AJ186" s="32"/>
      <c r="AV186"/>
      <c r="AW186"/>
      <c r="AX186"/>
      <c r="AY186"/>
      <c r="AZ186"/>
    </row>
    <row r="187" spans="13:52" x14ac:dyDescent="0.15">
      <c r="M187" s="2034"/>
      <c r="AF187" s="32"/>
      <c r="AG187" s="32"/>
      <c r="AH187" s="32"/>
      <c r="AI187" s="32"/>
      <c r="AJ187" s="32"/>
      <c r="AV187"/>
      <c r="AW187"/>
      <c r="AX187"/>
      <c r="AY187"/>
      <c r="AZ187"/>
    </row>
    <row r="188" spans="13:52" x14ac:dyDescent="0.15">
      <c r="M188" s="2034"/>
      <c r="AF188" s="32"/>
      <c r="AG188" s="32"/>
      <c r="AH188" s="32"/>
      <c r="AI188" s="32"/>
      <c r="AJ188" s="32"/>
      <c r="AV188"/>
      <c r="AW188"/>
      <c r="AX188"/>
      <c r="AY188"/>
      <c r="AZ188"/>
    </row>
    <row r="189" spans="13:52" x14ac:dyDescent="0.15">
      <c r="M189" s="2034"/>
      <c r="AF189" s="32"/>
      <c r="AG189" s="32"/>
      <c r="AH189" s="32"/>
      <c r="AI189" s="32"/>
      <c r="AJ189" s="32"/>
      <c r="AV189"/>
      <c r="AW189"/>
      <c r="AX189"/>
      <c r="AY189"/>
      <c r="AZ189"/>
    </row>
    <row r="190" spans="13:52" x14ac:dyDescent="0.15">
      <c r="M190" s="2034"/>
      <c r="AF190" s="32"/>
      <c r="AG190" s="32"/>
      <c r="AH190" s="32"/>
      <c r="AI190" s="32"/>
      <c r="AJ190" s="32"/>
      <c r="AV190"/>
      <c r="AW190"/>
      <c r="AX190"/>
      <c r="AY190"/>
      <c r="AZ190"/>
    </row>
    <row r="191" spans="13:52" x14ac:dyDescent="0.15">
      <c r="M191" s="2034"/>
      <c r="AF191" s="32"/>
      <c r="AG191" s="32"/>
      <c r="AH191" s="32"/>
      <c r="AI191" s="32"/>
      <c r="AJ191" s="32"/>
      <c r="AV191"/>
      <c r="AW191"/>
      <c r="AX191"/>
      <c r="AY191"/>
      <c r="AZ191"/>
    </row>
    <row r="192" spans="13:52" x14ac:dyDescent="0.15">
      <c r="M192" s="2034"/>
      <c r="AF192" s="32"/>
      <c r="AG192" s="32"/>
      <c r="AH192" s="32"/>
      <c r="AI192" s="32"/>
      <c r="AJ192" s="32"/>
      <c r="AV192"/>
      <c r="AW192"/>
      <c r="AX192"/>
      <c r="AY192"/>
      <c r="AZ192"/>
    </row>
    <row r="193" spans="13:52" x14ac:dyDescent="0.15">
      <c r="M193" s="2034"/>
      <c r="AF193" s="32"/>
      <c r="AG193" s="32"/>
      <c r="AH193" s="32"/>
      <c r="AI193" s="32"/>
      <c r="AJ193" s="32"/>
      <c r="AV193"/>
      <c r="AW193"/>
      <c r="AX193"/>
      <c r="AY193"/>
      <c r="AZ193"/>
    </row>
    <row r="194" spans="13:52" x14ac:dyDescent="0.15">
      <c r="M194" s="2034"/>
      <c r="AF194" s="32"/>
      <c r="AG194" s="32"/>
      <c r="AH194" s="32"/>
      <c r="AI194" s="32"/>
      <c r="AJ194" s="32"/>
      <c r="AV194"/>
      <c r="AW194"/>
      <c r="AX194"/>
      <c r="AY194"/>
      <c r="AZ194"/>
    </row>
    <row r="195" spans="13:52" x14ac:dyDescent="0.15">
      <c r="M195" s="2034"/>
      <c r="AF195" s="32"/>
      <c r="AG195" s="32"/>
      <c r="AH195" s="32"/>
      <c r="AI195" s="32"/>
      <c r="AJ195" s="32"/>
      <c r="AV195"/>
      <c r="AW195"/>
      <c r="AX195"/>
      <c r="AY195"/>
      <c r="AZ195"/>
    </row>
    <row r="196" spans="13:52" x14ac:dyDescent="0.15">
      <c r="M196" s="2034"/>
      <c r="AF196" s="32"/>
      <c r="AG196" s="32"/>
      <c r="AH196" s="32"/>
      <c r="AI196" s="32"/>
      <c r="AJ196" s="32"/>
      <c r="AV196"/>
      <c r="AW196"/>
      <c r="AX196"/>
      <c r="AY196"/>
      <c r="AZ196"/>
    </row>
    <row r="197" spans="13:52" x14ac:dyDescent="0.15">
      <c r="M197" s="2034"/>
      <c r="AF197" s="32"/>
      <c r="AG197" s="32"/>
      <c r="AH197" s="32"/>
      <c r="AI197" s="32"/>
      <c r="AJ197" s="32"/>
      <c r="AV197"/>
      <c r="AW197"/>
      <c r="AX197"/>
      <c r="AY197"/>
      <c r="AZ197"/>
    </row>
    <row r="198" spans="13:52" x14ac:dyDescent="0.15">
      <c r="M198" s="2034"/>
      <c r="AF198" s="32"/>
      <c r="AG198" s="32"/>
      <c r="AH198" s="32"/>
      <c r="AI198" s="32"/>
      <c r="AJ198" s="32"/>
      <c r="AV198"/>
      <c r="AW198"/>
      <c r="AX198"/>
      <c r="AY198"/>
      <c r="AZ198"/>
    </row>
    <row r="199" spans="13:52" x14ac:dyDescent="0.15">
      <c r="M199" s="2031" t="s">
        <v>257</v>
      </c>
      <c r="AF199" s="32"/>
      <c r="AG199" s="32"/>
      <c r="AH199" s="32"/>
      <c r="AI199" s="32"/>
      <c r="AJ199" s="32"/>
      <c r="AV199"/>
      <c r="AW199"/>
      <c r="AX199"/>
      <c r="AY199"/>
      <c r="AZ199"/>
    </row>
    <row r="200" spans="13:52" x14ac:dyDescent="0.15">
      <c r="M200" s="2032" t="s">
        <v>263</v>
      </c>
      <c r="N200" s="180" t="s">
        <v>261</v>
      </c>
      <c r="O200" s="180" t="s">
        <v>262</v>
      </c>
      <c r="P200" s="180" t="s">
        <v>257</v>
      </c>
      <c r="AF200" s="32"/>
      <c r="AG200" s="32"/>
      <c r="AH200" s="32"/>
      <c r="AI200" s="32"/>
      <c r="AJ200" s="32"/>
      <c r="AV200"/>
      <c r="AW200"/>
      <c r="AX200"/>
      <c r="AY200"/>
      <c r="AZ200"/>
    </row>
    <row r="201" spans="13:52" x14ac:dyDescent="0.15">
      <c r="M201" s="2033" t="s">
        <v>258</v>
      </c>
      <c r="N201" s="36">
        <f>AB$10</f>
        <v>3292993.9166666665</v>
      </c>
      <c r="O201" s="36">
        <f>AA$10</f>
        <v>4124438</v>
      </c>
      <c r="P201" s="181">
        <f>O201/N201-1</f>
        <v>0.25248880027539289</v>
      </c>
      <c r="AF201" s="32"/>
      <c r="AG201" s="32"/>
      <c r="AH201" s="32"/>
      <c r="AI201" s="32"/>
      <c r="AJ201" s="32"/>
      <c r="AV201"/>
      <c r="AW201"/>
      <c r="AX201"/>
      <c r="AY201"/>
      <c r="AZ201"/>
    </row>
    <row r="202" spans="13:52" x14ac:dyDescent="0.15">
      <c r="M202" s="2033" t="s">
        <v>259</v>
      </c>
      <c r="N202" s="36">
        <f>AC$10</f>
        <v>4091170.3333333335</v>
      </c>
      <c r="O202" s="36">
        <f>AD$10</f>
        <v>4157705.6666666665</v>
      </c>
      <c r="P202" s="181">
        <f>O202/N202-1</f>
        <v>1.6263154039622307E-2</v>
      </c>
      <c r="AF202" s="32"/>
      <c r="AG202" s="32"/>
      <c r="AH202" s="32"/>
      <c r="AI202" s="32"/>
      <c r="AJ202" s="32"/>
      <c r="AV202"/>
      <c r="AW202"/>
      <c r="AX202"/>
      <c r="AY202"/>
      <c r="AZ202"/>
    </row>
    <row r="203" spans="13:52" x14ac:dyDescent="0.15">
      <c r="M203" s="2033" t="s">
        <v>260</v>
      </c>
      <c r="N203" s="36">
        <f>AE$10</f>
        <v>4085779.6666666665</v>
      </c>
      <c r="O203" s="36">
        <f>AF$10</f>
        <v>4229631.666666667</v>
      </c>
      <c r="P203" s="181">
        <f>O203/N203-1</f>
        <v>3.520796805897275E-2</v>
      </c>
      <c r="AF203" s="32"/>
      <c r="AG203" s="32"/>
      <c r="AH203" s="32"/>
      <c r="AI203" s="32"/>
      <c r="AJ203" s="32"/>
      <c r="AV203"/>
      <c r="AW203"/>
      <c r="AX203"/>
      <c r="AY203"/>
      <c r="AZ203"/>
    </row>
    <row r="204" spans="13:52" x14ac:dyDescent="0.15">
      <c r="M204" s="2033" t="s">
        <v>264</v>
      </c>
      <c r="N204" s="36">
        <f>O201</f>
        <v>4124438</v>
      </c>
      <c r="O204" s="36">
        <f>O203</f>
        <v>4229631.666666667</v>
      </c>
      <c r="P204" s="181">
        <f>O204/N204-1</f>
        <v>2.5504969808411992E-2</v>
      </c>
      <c r="AF204" s="32"/>
      <c r="AG204" s="32"/>
      <c r="AH204" s="32"/>
      <c r="AI204" s="32"/>
      <c r="AJ204" s="32"/>
      <c r="AV204"/>
      <c r="AW204"/>
      <c r="AX204"/>
      <c r="AY204"/>
      <c r="AZ204"/>
    </row>
    <row r="205" spans="13:52" x14ac:dyDescent="0.15">
      <c r="M205" s="2034"/>
      <c r="AF205" s="32"/>
      <c r="AG205" s="32"/>
      <c r="AH205" s="32"/>
      <c r="AI205" s="32"/>
      <c r="AJ205" s="32"/>
      <c r="AV205"/>
      <c r="AW205"/>
      <c r="AX205"/>
      <c r="AY205"/>
      <c r="AZ205"/>
    </row>
    <row r="206" spans="13:52" x14ac:dyDescent="0.15">
      <c r="M206" s="2034"/>
      <c r="AF206" s="32"/>
      <c r="AG206" s="32"/>
      <c r="AH206" s="32"/>
      <c r="AI206" s="32"/>
      <c r="AJ206" s="32"/>
      <c r="AV206"/>
      <c r="AW206"/>
      <c r="AX206"/>
      <c r="AY206"/>
      <c r="AZ206"/>
    </row>
    <row r="207" spans="13:52" x14ac:dyDescent="0.15">
      <c r="M207" s="2034"/>
      <c r="AF207" s="32"/>
      <c r="AG207" s="32"/>
      <c r="AH207" s="32"/>
      <c r="AI207" s="32"/>
      <c r="AJ207" s="32"/>
      <c r="AV207"/>
      <c r="AW207"/>
      <c r="AX207"/>
      <c r="AY207"/>
      <c r="AZ207"/>
    </row>
    <row r="208" spans="13:52" x14ac:dyDescent="0.15">
      <c r="M208" s="2034"/>
      <c r="AF208" s="32"/>
      <c r="AG208" s="32"/>
      <c r="AH208" s="32"/>
      <c r="AI208" s="32"/>
      <c r="AJ208" s="32"/>
      <c r="AV208"/>
      <c r="AW208"/>
      <c r="AX208"/>
      <c r="AY208"/>
      <c r="AZ208"/>
    </row>
    <row r="209" spans="13:52" x14ac:dyDescent="0.15">
      <c r="M209" s="2034"/>
      <c r="AF209" s="32"/>
      <c r="AG209" s="32"/>
      <c r="AH209" s="32"/>
      <c r="AI209" s="32"/>
      <c r="AJ209" s="32"/>
      <c r="AV209"/>
      <c r="AW209"/>
      <c r="AX209"/>
      <c r="AY209"/>
      <c r="AZ209"/>
    </row>
    <row r="210" spans="13:52" x14ac:dyDescent="0.15">
      <c r="M210" s="2034"/>
      <c r="AF210" s="32"/>
      <c r="AG210" s="32"/>
      <c r="AH210" s="32"/>
      <c r="AI210" s="32"/>
      <c r="AJ210" s="32"/>
      <c r="AV210"/>
      <c r="AW210"/>
      <c r="AX210"/>
      <c r="AY210"/>
      <c r="AZ210"/>
    </row>
    <row r="211" spans="13:52" x14ac:dyDescent="0.15">
      <c r="M211" s="2034"/>
      <c r="AF211" s="32"/>
      <c r="AG211" s="32"/>
      <c r="AH211" s="32"/>
      <c r="AI211" s="32"/>
      <c r="AJ211" s="32"/>
      <c r="AV211"/>
      <c r="AW211"/>
      <c r="AX211"/>
      <c r="AY211"/>
      <c r="AZ211"/>
    </row>
    <row r="212" spans="13:52" x14ac:dyDescent="0.15">
      <c r="M212" s="2034"/>
      <c r="AF212" s="32"/>
      <c r="AG212" s="32"/>
      <c r="AH212" s="32"/>
      <c r="AI212" s="32"/>
      <c r="AJ212" s="32"/>
      <c r="AV212"/>
      <c r="AW212"/>
      <c r="AX212"/>
      <c r="AY212"/>
      <c r="AZ212"/>
    </row>
    <row r="213" spans="13:52" x14ac:dyDescent="0.15">
      <c r="M213" s="2034"/>
      <c r="AF213" s="32"/>
      <c r="AG213" s="32"/>
      <c r="AH213" s="32"/>
      <c r="AI213" s="32"/>
      <c r="AJ213" s="32"/>
      <c r="AV213"/>
      <c r="AW213"/>
      <c r="AX213"/>
      <c r="AY213"/>
      <c r="AZ213"/>
    </row>
    <row r="214" spans="13:52" x14ac:dyDescent="0.15">
      <c r="M214" s="2034"/>
      <c r="AF214" s="32"/>
      <c r="AG214" s="32"/>
      <c r="AH214" s="32"/>
      <c r="AI214" s="32"/>
      <c r="AJ214" s="32"/>
      <c r="AV214"/>
      <c r="AW214"/>
      <c r="AX214"/>
      <c r="AY214"/>
      <c r="AZ214"/>
    </row>
    <row r="215" spans="13:52" x14ac:dyDescent="0.15">
      <c r="M215" s="2034"/>
      <c r="AF215" s="32"/>
      <c r="AG215" s="32"/>
      <c r="AH215" s="32"/>
      <c r="AI215" s="32"/>
      <c r="AJ215" s="32"/>
      <c r="AV215"/>
      <c r="AW215"/>
      <c r="AX215"/>
      <c r="AY215"/>
      <c r="AZ215"/>
    </row>
    <row r="216" spans="13:52" x14ac:dyDescent="0.15">
      <c r="M216" s="2034"/>
      <c r="AF216" s="32"/>
      <c r="AG216" s="32"/>
      <c r="AH216" s="32"/>
      <c r="AI216" s="32"/>
      <c r="AJ216" s="32"/>
      <c r="AV216"/>
      <c r="AW216"/>
      <c r="AX216"/>
      <c r="AY216"/>
      <c r="AZ216"/>
    </row>
    <row r="217" spans="13:52" x14ac:dyDescent="0.15">
      <c r="M217" s="2034"/>
      <c r="AF217" s="32"/>
      <c r="AG217" s="32"/>
      <c r="AH217" s="32"/>
      <c r="AI217" s="32"/>
      <c r="AJ217" s="32"/>
      <c r="AV217"/>
      <c r="AW217"/>
      <c r="AX217"/>
      <c r="AY217"/>
      <c r="AZ217"/>
    </row>
    <row r="218" spans="13:52" x14ac:dyDescent="0.15">
      <c r="M218" s="2031" t="s">
        <v>257</v>
      </c>
      <c r="AF218" s="32"/>
      <c r="AG218" s="32"/>
      <c r="AH218" s="32"/>
      <c r="AI218" s="32"/>
      <c r="AJ218" s="32"/>
      <c r="AV218"/>
      <c r="AW218"/>
      <c r="AX218"/>
      <c r="AY218"/>
      <c r="AZ218"/>
    </row>
    <row r="219" spans="13:52" x14ac:dyDescent="0.15">
      <c r="M219" s="2032" t="s">
        <v>263</v>
      </c>
      <c r="N219" s="180" t="s">
        <v>261</v>
      </c>
      <c r="O219" s="180" t="s">
        <v>262</v>
      </c>
      <c r="P219" s="180" t="s">
        <v>257</v>
      </c>
      <c r="AF219" s="32"/>
      <c r="AG219" s="32"/>
      <c r="AH219" s="32"/>
      <c r="AI219" s="32"/>
      <c r="AJ219" s="32"/>
      <c r="AV219"/>
      <c r="AW219"/>
      <c r="AX219"/>
      <c r="AY219"/>
      <c r="AZ219"/>
    </row>
    <row r="220" spans="13:52" x14ac:dyDescent="0.15">
      <c r="M220" s="2033" t="s">
        <v>258</v>
      </c>
      <c r="N220" s="36">
        <f>AB$11</f>
        <v>2213616.9166666665</v>
      </c>
      <c r="O220" s="36">
        <f>AA$11</f>
        <v>1752584.9166666667</v>
      </c>
      <c r="P220" s="181">
        <f>O220/N220-1</f>
        <v>-0.20827090565165907</v>
      </c>
      <c r="AF220" s="32"/>
      <c r="AG220" s="32"/>
      <c r="AH220" s="32"/>
      <c r="AI220" s="32"/>
      <c r="AJ220" s="32"/>
      <c r="AV220"/>
      <c r="AW220"/>
      <c r="AX220"/>
      <c r="AY220"/>
      <c r="AZ220"/>
    </row>
    <row r="221" spans="13:52" x14ac:dyDescent="0.15">
      <c r="M221" s="2033" t="s">
        <v>259</v>
      </c>
      <c r="N221" s="36">
        <f>AC$11</f>
        <v>1737437.1666666667</v>
      </c>
      <c r="O221" s="36">
        <f>AD$11</f>
        <v>1767732.6666666667</v>
      </c>
      <c r="P221" s="181">
        <f>O221/N221-1</f>
        <v>1.7436889564255598E-2</v>
      </c>
      <c r="AF221" s="32"/>
      <c r="AG221" s="32"/>
      <c r="AH221" s="32"/>
      <c r="AI221" s="32"/>
      <c r="AJ221" s="32"/>
      <c r="AV221"/>
      <c r="AW221"/>
      <c r="AX221"/>
      <c r="AY221"/>
      <c r="AZ221"/>
    </row>
    <row r="222" spans="13:52" x14ac:dyDescent="0.15">
      <c r="M222" s="2033" t="s">
        <v>260</v>
      </c>
      <c r="N222" s="36">
        <f>AE$11</f>
        <v>1830380.6666666667</v>
      </c>
      <c r="O222" s="36">
        <f>AF$11</f>
        <v>1705084.6666666667</v>
      </c>
      <c r="P222" s="181">
        <f>O222/N222-1</f>
        <v>-6.8453520233131782E-2</v>
      </c>
      <c r="AF222" s="32"/>
      <c r="AG222" s="32"/>
      <c r="AH222" s="32"/>
      <c r="AI222" s="32"/>
      <c r="AJ222" s="32"/>
      <c r="AV222"/>
      <c r="AW222"/>
      <c r="AX222"/>
      <c r="AY222"/>
      <c r="AZ222"/>
    </row>
    <row r="223" spans="13:52" x14ac:dyDescent="0.15">
      <c r="M223" s="2033" t="s">
        <v>264</v>
      </c>
      <c r="N223" s="36">
        <f>O220</f>
        <v>1752584.9166666667</v>
      </c>
      <c r="O223" s="36">
        <f>O222</f>
        <v>1705084.6666666667</v>
      </c>
      <c r="P223" s="181">
        <f>O223/N223-1</f>
        <v>-2.7102966337484657E-2</v>
      </c>
      <c r="AF223" s="32"/>
      <c r="AG223" s="32"/>
      <c r="AH223" s="32"/>
      <c r="AI223" s="32"/>
      <c r="AJ223" s="32"/>
      <c r="AV223"/>
      <c r="AW223"/>
      <c r="AX223"/>
      <c r="AY223"/>
      <c r="AZ223"/>
    </row>
    <row r="224" spans="13:52" x14ac:dyDescent="0.15">
      <c r="M224" s="2034"/>
      <c r="AF224" s="32"/>
      <c r="AG224" s="32"/>
      <c r="AH224" s="32"/>
      <c r="AI224" s="32"/>
      <c r="AJ224" s="32"/>
      <c r="AV224"/>
      <c r="AW224"/>
      <c r="AX224"/>
      <c r="AY224"/>
      <c r="AZ224"/>
    </row>
    <row r="225" spans="13:52" x14ac:dyDescent="0.15">
      <c r="M225" s="2034"/>
      <c r="AF225" s="32"/>
      <c r="AG225" s="32"/>
      <c r="AH225" s="32"/>
      <c r="AI225" s="32"/>
      <c r="AJ225" s="32"/>
      <c r="AV225"/>
      <c r="AW225"/>
      <c r="AX225"/>
      <c r="AY225"/>
      <c r="AZ225"/>
    </row>
    <row r="226" spans="13:52" x14ac:dyDescent="0.15">
      <c r="M226" s="2034"/>
      <c r="AF226" s="32"/>
      <c r="AG226" s="32"/>
      <c r="AH226" s="32"/>
      <c r="AI226" s="32"/>
      <c r="AJ226" s="32"/>
      <c r="AV226"/>
      <c r="AW226"/>
      <c r="AX226"/>
      <c r="AY226"/>
      <c r="AZ226"/>
    </row>
    <row r="227" spans="13:52" x14ac:dyDescent="0.15">
      <c r="M227" s="2034"/>
      <c r="AF227" s="32"/>
      <c r="AG227" s="32"/>
      <c r="AH227" s="32"/>
      <c r="AI227" s="32"/>
      <c r="AJ227" s="32"/>
      <c r="AV227"/>
      <c r="AW227"/>
      <c r="AX227"/>
      <c r="AY227"/>
      <c r="AZ227"/>
    </row>
    <row r="228" spans="13:52" x14ac:dyDescent="0.15">
      <c r="M228" s="2034"/>
      <c r="AF228" s="32"/>
      <c r="AG228" s="32"/>
      <c r="AH228" s="32"/>
      <c r="AI228" s="32"/>
      <c r="AJ228" s="32"/>
      <c r="AV228"/>
      <c r="AW228"/>
      <c r="AX228"/>
      <c r="AY228"/>
      <c r="AZ228"/>
    </row>
    <row r="229" spans="13:52" x14ac:dyDescent="0.15">
      <c r="M229" s="2034"/>
      <c r="AF229" s="32"/>
      <c r="AG229" s="32"/>
      <c r="AH229" s="32"/>
      <c r="AI229" s="32"/>
      <c r="AJ229" s="32"/>
      <c r="AV229"/>
      <c r="AW229"/>
      <c r="AX229"/>
      <c r="AY229"/>
      <c r="AZ229"/>
    </row>
    <row r="230" spans="13:52" x14ac:dyDescent="0.15">
      <c r="M230" s="2034"/>
      <c r="AF230" s="32"/>
      <c r="AG230" s="32"/>
      <c r="AH230" s="32"/>
      <c r="AI230" s="32"/>
      <c r="AJ230" s="32"/>
      <c r="AV230"/>
      <c r="AW230"/>
      <c r="AX230"/>
      <c r="AY230"/>
      <c r="AZ230"/>
    </row>
    <row r="231" spans="13:52" x14ac:dyDescent="0.15">
      <c r="M231" s="2034"/>
      <c r="AF231" s="32"/>
      <c r="AG231" s="32"/>
      <c r="AH231" s="32"/>
      <c r="AI231" s="32"/>
      <c r="AJ231" s="32"/>
      <c r="AV231"/>
      <c r="AW231"/>
      <c r="AX231"/>
      <c r="AY231"/>
      <c r="AZ231"/>
    </row>
    <row r="232" spans="13:52" x14ac:dyDescent="0.15">
      <c r="M232" s="2034"/>
      <c r="AF232" s="32"/>
      <c r="AG232" s="32"/>
      <c r="AH232" s="32"/>
      <c r="AI232" s="32"/>
      <c r="AJ232" s="32"/>
      <c r="AV232"/>
      <c r="AW232"/>
      <c r="AX232"/>
      <c r="AY232"/>
      <c r="AZ232"/>
    </row>
    <row r="233" spans="13:52" hidden="1" x14ac:dyDescent="0.15">
      <c r="M233" s="2034"/>
      <c r="AF233" s="32"/>
      <c r="AG233" s="32"/>
      <c r="AH233" s="32"/>
      <c r="AI233" s="32"/>
      <c r="AJ233" s="32"/>
      <c r="AV233"/>
      <c r="AW233"/>
      <c r="AX233"/>
      <c r="AY233"/>
      <c r="AZ233"/>
    </row>
    <row r="234" spans="13:52" hidden="1" x14ac:dyDescent="0.15">
      <c r="M234" s="2034"/>
      <c r="AF234" s="32"/>
      <c r="AG234" s="32"/>
      <c r="AH234" s="32"/>
      <c r="AI234" s="32"/>
      <c r="AJ234" s="32"/>
      <c r="AV234"/>
      <c r="AW234"/>
      <c r="AX234"/>
      <c r="AY234"/>
      <c r="AZ234"/>
    </row>
    <row r="235" spans="13:52" hidden="1" x14ac:dyDescent="0.15">
      <c r="M235" s="2034"/>
      <c r="AF235" s="32"/>
      <c r="AG235" s="32"/>
      <c r="AH235" s="32"/>
      <c r="AI235" s="32"/>
      <c r="AJ235" s="32"/>
      <c r="AV235"/>
      <c r="AW235"/>
      <c r="AX235"/>
      <c r="AY235"/>
      <c r="AZ235"/>
    </row>
    <row r="236" spans="13:52" hidden="1" x14ac:dyDescent="0.15">
      <c r="M236" s="2031" t="s">
        <v>257</v>
      </c>
      <c r="AF236" s="32"/>
      <c r="AG236" s="32"/>
      <c r="AH236" s="32"/>
      <c r="AI236" s="32"/>
      <c r="AJ236" s="32"/>
      <c r="AV236"/>
      <c r="AW236"/>
      <c r="AX236"/>
      <c r="AY236"/>
      <c r="AZ236"/>
    </row>
    <row r="237" spans="13:52" hidden="1" x14ac:dyDescent="0.15">
      <c r="M237" s="2032" t="s">
        <v>263</v>
      </c>
      <c r="N237" s="180" t="s">
        <v>261</v>
      </c>
      <c r="O237" s="180" t="s">
        <v>262</v>
      </c>
      <c r="P237" s="180" t="s">
        <v>257</v>
      </c>
      <c r="AF237" s="32"/>
      <c r="AG237" s="32"/>
      <c r="AH237" s="32"/>
      <c r="AI237" s="32"/>
      <c r="AJ237" s="32"/>
      <c r="AV237"/>
      <c r="AW237"/>
      <c r="AX237"/>
      <c r="AY237"/>
      <c r="AZ237"/>
    </row>
    <row r="238" spans="13:52" hidden="1" x14ac:dyDescent="0.15">
      <c r="M238" s="2033" t="s">
        <v>258</v>
      </c>
      <c r="N238" s="36">
        <f>AB$12</f>
        <v>35155.583333333336</v>
      </c>
      <c r="O238" s="36">
        <f>AA$12</f>
        <v>0</v>
      </c>
      <c r="P238" s="181">
        <f>O238/N238-1</f>
        <v>-1</v>
      </c>
      <c r="AF238" s="32"/>
      <c r="AG238" s="32"/>
      <c r="AH238" s="32"/>
      <c r="AI238" s="32"/>
      <c r="AJ238" s="32"/>
      <c r="AV238"/>
      <c r="AW238"/>
      <c r="AX238"/>
      <c r="AY238"/>
      <c r="AZ238"/>
    </row>
    <row r="239" spans="13:52" hidden="1" x14ac:dyDescent="0.15">
      <c r="M239" s="2033" t="s">
        <v>259</v>
      </c>
      <c r="N239" s="36">
        <f>AC$12</f>
        <v>0</v>
      </c>
      <c r="O239" s="36">
        <f>AD$12</f>
        <v>0</v>
      </c>
      <c r="P239" s="181" t="e">
        <f>O239/N239-1</f>
        <v>#DIV/0!</v>
      </c>
      <c r="AF239" s="32"/>
      <c r="AG239" s="32"/>
      <c r="AH239" s="32"/>
      <c r="AI239" s="32"/>
      <c r="AJ239" s="32"/>
      <c r="AV239"/>
      <c r="AW239"/>
      <c r="AX239"/>
      <c r="AY239"/>
      <c r="AZ239"/>
    </row>
    <row r="240" spans="13:52" hidden="1" x14ac:dyDescent="0.15">
      <c r="M240" s="2033" t="s">
        <v>260</v>
      </c>
      <c r="N240" s="36">
        <f>AE$12</f>
        <v>0</v>
      </c>
      <c r="O240" s="36">
        <f>AF$12</f>
        <v>0</v>
      </c>
      <c r="P240" s="181" t="e">
        <f>O240/N240-1</f>
        <v>#DIV/0!</v>
      </c>
      <c r="AF240" s="32"/>
      <c r="AG240" s="32"/>
      <c r="AH240" s="32"/>
      <c r="AI240" s="32"/>
      <c r="AJ240" s="32"/>
      <c r="AV240"/>
      <c r="AW240"/>
      <c r="AX240"/>
      <c r="AY240"/>
      <c r="AZ240"/>
    </row>
    <row r="241" spans="13:52" hidden="1" x14ac:dyDescent="0.15">
      <c r="M241" s="2033" t="s">
        <v>264</v>
      </c>
      <c r="N241" s="36">
        <f>O238</f>
        <v>0</v>
      </c>
      <c r="O241" s="36">
        <f>O240</f>
        <v>0</v>
      </c>
      <c r="P241" s="181" t="e">
        <f>O241/N241-1</f>
        <v>#DIV/0!</v>
      </c>
      <c r="AF241" s="32"/>
      <c r="AG241" s="32"/>
      <c r="AH241" s="32"/>
      <c r="AI241" s="32"/>
      <c r="AJ241" s="32"/>
      <c r="AV241"/>
      <c r="AW241"/>
      <c r="AX241"/>
      <c r="AY241"/>
      <c r="AZ241"/>
    </row>
    <row r="242" spans="13:52" hidden="1" x14ac:dyDescent="0.15">
      <c r="M242" s="2034"/>
      <c r="AF242" s="32"/>
      <c r="AG242" s="32"/>
      <c r="AH242" s="32"/>
      <c r="AI242" s="32"/>
      <c r="AJ242" s="32"/>
      <c r="AV242"/>
      <c r="AW242"/>
      <c r="AX242"/>
      <c r="AY242"/>
      <c r="AZ242"/>
    </row>
    <row r="243" spans="13:52" hidden="1" x14ac:dyDescent="0.15">
      <c r="M243" s="2034"/>
      <c r="AF243" s="32"/>
      <c r="AG243" s="32"/>
      <c r="AH243" s="32"/>
      <c r="AI243" s="32"/>
      <c r="AJ243" s="32"/>
      <c r="AV243"/>
      <c r="AW243"/>
      <c r="AX243"/>
      <c r="AY243"/>
      <c r="AZ243"/>
    </row>
    <row r="244" spans="13:52" hidden="1" x14ac:dyDescent="0.15">
      <c r="M244" s="2034"/>
      <c r="AF244" s="32"/>
      <c r="AG244" s="32"/>
      <c r="AH244" s="32"/>
      <c r="AI244" s="32"/>
      <c r="AJ244" s="32"/>
      <c r="AV244"/>
      <c r="AW244"/>
      <c r="AX244"/>
      <c r="AY244"/>
      <c r="AZ244"/>
    </row>
    <row r="245" spans="13:52" hidden="1" x14ac:dyDescent="0.15">
      <c r="M245" s="2034"/>
      <c r="AF245" s="32"/>
      <c r="AG245" s="32"/>
      <c r="AH245" s="32"/>
      <c r="AI245" s="32"/>
      <c r="AJ245" s="32"/>
      <c r="AV245"/>
      <c r="AW245"/>
      <c r="AX245"/>
      <c r="AY245"/>
      <c r="AZ245"/>
    </row>
    <row r="246" spans="13:52" hidden="1" x14ac:dyDescent="0.15">
      <c r="M246" s="2034"/>
      <c r="AF246" s="32"/>
      <c r="AG246" s="32"/>
      <c r="AH246" s="32"/>
      <c r="AI246" s="32"/>
      <c r="AJ246" s="32"/>
      <c r="AV246"/>
      <c r="AW246"/>
      <c r="AX246"/>
      <c r="AY246"/>
      <c r="AZ246"/>
    </row>
    <row r="247" spans="13:52" hidden="1" x14ac:dyDescent="0.15">
      <c r="M247" s="2034"/>
      <c r="AF247" s="32"/>
      <c r="AG247" s="32"/>
      <c r="AH247" s="32"/>
      <c r="AI247" s="32"/>
      <c r="AJ247" s="32"/>
      <c r="AV247"/>
      <c r="AW247"/>
      <c r="AX247"/>
      <c r="AY247"/>
      <c r="AZ247"/>
    </row>
    <row r="248" spans="13:52" hidden="1" x14ac:dyDescent="0.15">
      <c r="M248" s="2034"/>
      <c r="AF248" s="32"/>
      <c r="AG248" s="32"/>
      <c r="AH248" s="32"/>
      <c r="AI248" s="32"/>
      <c r="AJ248" s="32"/>
      <c r="AV248"/>
      <c r="AW248"/>
      <c r="AX248"/>
      <c r="AY248"/>
      <c r="AZ248"/>
    </row>
    <row r="249" spans="13:52" hidden="1" x14ac:dyDescent="0.15">
      <c r="M249" s="2034"/>
      <c r="AF249" s="32"/>
      <c r="AG249" s="32"/>
      <c r="AH249" s="32"/>
      <c r="AI249" s="32"/>
      <c r="AJ249" s="32"/>
      <c r="AV249"/>
      <c r="AW249"/>
      <c r="AX249"/>
      <c r="AY249"/>
      <c r="AZ249"/>
    </row>
    <row r="250" spans="13:52" hidden="1" x14ac:dyDescent="0.15">
      <c r="M250" s="2034"/>
      <c r="AF250" s="32"/>
      <c r="AG250" s="32"/>
      <c r="AH250" s="32"/>
      <c r="AI250" s="32"/>
      <c r="AJ250" s="32"/>
      <c r="AV250"/>
      <c r="AW250"/>
      <c r="AX250"/>
      <c r="AY250"/>
      <c r="AZ250"/>
    </row>
    <row r="251" spans="13:52" x14ac:dyDescent="0.15">
      <c r="M251" s="2034"/>
      <c r="AF251" s="32"/>
      <c r="AG251" s="32"/>
      <c r="AH251" s="32"/>
      <c r="AI251" s="32"/>
      <c r="AJ251" s="32"/>
      <c r="AV251"/>
      <c r="AW251"/>
      <c r="AX251"/>
      <c r="AY251"/>
      <c r="AZ251"/>
    </row>
    <row r="252" spans="13:52" x14ac:dyDescent="0.15">
      <c r="M252" s="2034"/>
      <c r="AF252" s="32"/>
      <c r="AG252" s="32"/>
      <c r="AH252" s="32"/>
      <c r="AI252" s="32"/>
      <c r="AJ252" s="32"/>
      <c r="AV252"/>
      <c r="AW252"/>
      <c r="AX252"/>
      <c r="AY252"/>
      <c r="AZ252"/>
    </row>
    <row r="253" spans="13:52" x14ac:dyDescent="0.15">
      <c r="M253" s="2034"/>
      <c r="AF253" s="32"/>
      <c r="AG253" s="32"/>
      <c r="AH253" s="32"/>
      <c r="AI253" s="32"/>
      <c r="AJ253" s="32"/>
      <c r="AV253"/>
      <c r="AW253"/>
      <c r="AX253"/>
      <c r="AY253"/>
      <c r="AZ253"/>
    </row>
    <row r="254" spans="13:52" x14ac:dyDescent="0.15">
      <c r="M254" s="2031" t="s">
        <v>257</v>
      </c>
      <c r="AF254" s="32"/>
      <c r="AG254" s="32"/>
      <c r="AH254" s="32"/>
      <c r="AI254" s="32"/>
      <c r="AJ254" s="32"/>
      <c r="AV254"/>
      <c r="AW254"/>
      <c r="AX254"/>
      <c r="AY254"/>
      <c r="AZ254"/>
    </row>
    <row r="255" spans="13:52" x14ac:dyDescent="0.15">
      <c r="M255" s="2032" t="s">
        <v>263</v>
      </c>
      <c r="N255" s="180" t="s">
        <v>261</v>
      </c>
      <c r="O255" s="180" t="s">
        <v>262</v>
      </c>
      <c r="P255" s="180" t="s">
        <v>257</v>
      </c>
      <c r="AF255" s="32"/>
      <c r="AG255" s="32"/>
      <c r="AH255" s="32"/>
      <c r="AI255" s="32"/>
      <c r="AJ255" s="32"/>
      <c r="AV255"/>
      <c r="AW255"/>
      <c r="AX255"/>
      <c r="AY255"/>
      <c r="AZ255"/>
    </row>
    <row r="256" spans="13:52" x14ac:dyDescent="0.15">
      <c r="M256" s="2033" t="s">
        <v>258</v>
      </c>
      <c r="N256" s="36">
        <f>AB$13</f>
        <v>910401.41666666663</v>
      </c>
      <c r="O256" s="36">
        <f>AA$13</f>
        <v>955693.41666666663</v>
      </c>
      <c r="P256" s="181">
        <f>O256/N256-1</f>
        <v>4.9749483217888191E-2</v>
      </c>
      <c r="AF256" s="32"/>
      <c r="AG256" s="32"/>
      <c r="AH256" s="32"/>
      <c r="AI256" s="32"/>
      <c r="AJ256" s="32"/>
      <c r="AV256"/>
      <c r="AW256"/>
      <c r="AX256"/>
      <c r="AY256"/>
      <c r="AZ256"/>
    </row>
    <row r="257" spans="13:52" x14ac:dyDescent="0.15">
      <c r="M257" s="2033" t="s">
        <v>259</v>
      </c>
      <c r="N257" s="36">
        <f>AC$13</f>
        <v>862277.66666666663</v>
      </c>
      <c r="O257" s="36">
        <f>AD$13</f>
        <v>1049109.1666666667</v>
      </c>
      <c r="P257" s="181">
        <f>O257/N257-1</f>
        <v>0.21667208513267</v>
      </c>
      <c r="AF257" s="32"/>
      <c r="AG257" s="32"/>
      <c r="AH257" s="32"/>
      <c r="AI257" s="32"/>
      <c r="AJ257" s="32"/>
      <c r="AV257"/>
      <c r="AW257"/>
      <c r="AX257"/>
      <c r="AY257"/>
      <c r="AZ257"/>
    </row>
    <row r="258" spans="13:52" x14ac:dyDescent="0.15">
      <c r="M258" s="2033" t="s">
        <v>260</v>
      </c>
      <c r="N258" s="36">
        <f>AE$13</f>
        <v>1095954.3333333333</v>
      </c>
      <c r="O258" s="36">
        <f>AF$13</f>
        <v>1002264</v>
      </c>
      <c r="P258" s="181">
        <f>O258/N258-1</f>
        <v>-8.5487442755370235E-2</v>
      </c>
      <c r="AF258" s="32"/>
      <c r="AG258" s="32"/>
      <c r="AH258" s="32"/>
      <c r="AI258" s="32"/>
      <c r="AJ258" s="32"/>
      <c r="AV258"/>
      <c r="AW258"/>
      <c r="AX258"/>
      <c r="AY258"/>
      <c r="AZ258"/>
    </row>
    <row r="259" spans="13:52" x14ac:dyDescent="0.15">
      <c r="M259" s="2033" t="s">
        <v>264</v>
      </c>
      <c r="N259" s="36">
        <f>O256</f>
        <v>955693.41666666663</v>
      </c>
      <c r="O259" s="36">
        <f>O258</f>
        <v>1002264</v>
      </c>
      <c r="P259" s="181">
        <f>O259/N259-1</f>
        <v>4.8729626594860687E-2</v>
      </c>
      <c r="AF259" s="32"/>
      <c r="AG259" s="32"/>
      <c r="AH259" s="32"/>
      <c r="AI259" s="32"/>
      <c r="AJ259" s="32"/>
      <c r="AV259"/>
      <c r="AW259"/>
      <c r="AX259"/>
      <c r="AY259"/>
      <c r="AZ259"/>
    </row>
    <row r="260" spans="13:52" x14ac:dyDescent="0.15">
      <c r="M260" s="2034"/>
      <c r="AF260" s="32"/>
      <c r="AG260" s="32"/>
      <c r="AH260" s="32"/>
      <c r="AI260" s="32"/>
      <c r="AJ260" s="32"/>
      <c r="AV260"/>
      <c r="AW260"/>
      <c r="AX260"/>
      <c r="AY260"/>
      <c r="AZ260"/>
    </row>
    <row r="261" spans="13:52" x14ac:dyDescent="0.15">
      <c r="M261" s="2034"/>
      <c r="AF261" s="32"/>
      <c r="AG261" s="32"/>
      <c r="AH261" s="32"/>
      <c r="AI261" s="32"/>
      <c r="AJ261" s="32"/>
      <c r="AV261"/>
      <c r="AW261"/>
      <c r="AX261"/>
      <c r="AY261"/>
      <c r="AZ261"/>
    </row>
    <row r="262" spans="13:52" x14ac:dyDescent="0.15">
      <c r="M262" s="2034"/>
      <c r="AF262" s="32"/>
      <c r="AG262" s="32"/>
      <c r="AH262" s="32"/>
      <c r="AI262" s="32"/>
      <c r="AJ262" s="32"/>
      <c r="AV262"/>
      <c r="AW262"/>
      <c r="AX262"/>
      <c r="AY262"/>
      <c r="AZ262"/>
    </row>
    <row r="263" spans="13:52" x14ac:dyDescent="0.15">
      <c r="M263" s="2034"/>
      <c r="AF263" s="32"/>
      <c r="AG263" s="32"/>
      <c r="AH263" s="32"/>
      <c r="AI263" s="32"/>
      <c r="AJ263" s="32"/>
      <c r="AV263"/>
      <c r="AW263"/>
      <c r="AX263"/>
      <c r="AY263"/>
      <c r="AZ263"/>
    </row>
    <row r="264" spans="13:52" x14ac:dyDescent="0.15">
      <c r="M264" s="2034"/>
      <c r="AF264" s="32"/>
      <c r="AG264" s="32"/>
      <c r="AH264" s="32"/>
      <c r="AI264" s="32"/>
      <c r="AJ264" s="32"/>
      <c r="AV264"/>
      <c r="AW264"/>
      <c r="AX264"/>
      <c r="AY264"/>
      <c r="AZ264"/>
    </row>
    <row r="265" spans="13:52" x14ac:dyDescent="0.15">
      <c r="M265" s="2034"/>
      <c r="AF265" s="32"/>
      <c r="AG265" s="32"/>
      <c r="AH265" s="32"/>
      <c r="AI265" s="32"/>
      <c r="AJ265" s="32"/>
      <c r="AV265"/>
      <c r="AW265"/>
      <c r="AX265"/>
      <c r="AY265"/>
      <c r="AZ265"/>
    </row>
    <row r="266" spans="13:52" x14ac:dyDescent="0.15">
      <c r="M266" s="2034"/>
      <c r="AF266" s="32"/>
      <c r="AG266" s="32"/>
      <c r="AH266" s="32"/>
      <c r="AI266" s="32"/>
      <c r="AJ266" s="32"/>
      <c r="AV266"/>
      <c r="AW266"/>
      <c r="AX266"/>
      <c r="AY266"/>
      <c r="AZ266"/>
    </row>
    <row r="267" spans="13:52" x14ac:dyDescent="0.15">
      <c r="M267" s="2034"/>
      <c r="AF267" s="32"/>
      <c r="AG267" s="32"/>
      <c r="AH267" s="32"/>
      <c r="AI267" s="32"/>
      <c r="AJ267" s="32"/>
      <c r="AV267"/>
      <c r="AW267"/>
      <c r="AX267"/>
      <c r="AY267"/>
      <c r="AZ267"/>
    </row>
    <row r="268" spans="13:52" x14ac:dyDescent="0.15">
      <c r="M268" s="2034"/>
      <c r="AF268" s="32"/>
      <c r="AG268" s="32"/>
      <c r="AH268" s="32"/>
      <c r="AI268" s="32"/>
      <c r="AJ268" s="32"/>
      <c r="AV268"/>
      <c r="AW268"/>
      <c r="AX268"/>
      <c r="AY268"/>
      <c r="AZ268"/>
    </row>
    <row r="269" spans="13:52" x14ac:dyDescent="0.15">
      <c r="M269" s="2034"/>
      <c r="AF269" s="32"/>
      <c r="AG269" s="32"/>
      <c r="AH269" s="32"/>
      <c r="AI269" s="32"/>
      <c r="AJ269" s="32"/>
      <c r="AV269"/>
      <c r="AW269"/>
      <c r="AX269"/>
      <c r="AY269"/>
      <c r="AZ269"/>
    </row>
    <row r="270" spans="13:52" x14ac:dyDescent="0.15">
      <c r="M270" s="2034"/>
      <c r="AF270" s="32"/>
      <c r="AG270" s="32"/>
      <c r="AH270" s="32"/>
      <c r="AI270" s="32"/>
      <c r="AJ270" s="32"/>
      <c r="AV270"/>
      <c r="AW270"/>
      <c r="AX270"/>
      <c r="AY270"/>
      <c r="AZ270"/>
    </row>
    <row r="271" spans="13:52" x14ac:dyDescent="0.15">
      <c r="M271" s="2034"/>
      <c r="AF271" s="32"/>
      <c r="AG271" s="32"/>
      <c r="AH271" s="32"/>
      <c r="AI271" s="32"/>
      <c r="AJ271" s="32"/>
      <c r="AV271"/>
      <c r="AW271"/>
      <c r="AX271"/>
      <c r="AY271"/>
      <c r="AZ271"/>
    </row>
    <row r="272" spans="13:52" x14ac:dyDescent="0.15">
      <c r="M272" s="2031" t="s">
        <v>257</v>
      </c>
      <c r="AF272" s="32"/>
      <c r="AG272" s="32"/>
      <c r="AH272" s="32"/>
      <c r="AI272" s="32"/>
      <c r="AJ272" s="32"/>
      <c r="AV272"/>
      <c r="AW272"/>
      <c r="AX272"/>
      <c r="AY272"/>
      <c r="AZ272"/>
    </row>
    <row r="273" spans="13:52" x14ac:dyDescent="0.15">
      <c r="M273" s="2032" t="s">
        <v>263</v>
      </c>
      <c r="N273" s="180" t="s">
        <v>261</v>
      </c>
      <c r="O273" s="180" t="s">
        <v>262</v>
      </c>
      <c r="P273" s="180" t="s">
        <v>257</v>
      </c>
      <c r="AF273" s="32"/>
      <c r="AG273" s="32"/>
      <c r="AH273" s="32"/>
      <c r="AI273" s="32"/>
      <c r="AJ273" s="32"/>
      <c r="AV273"/>
      <c r="AW273"/>
      <c r="AX273"/>
      <c r="AY273"/>
      <c r="AZ273"/>
    </row>
    <row r="274" spans="13:52" x14ac:dyDescent="0.15">
      <c r="M274" s="2033" t="s">
        <v>258</v>
      </c>
      <c r="N274" s="36">
        <f>AB$14</f>
        <v>923722.41666666663</v>
      </c>
      <c r="O274" s="36">
        <f>AA$14</f>
        <v>961922</v>
      </c>
      <c r="P274" s="181">
        <f>O274/N274-1</f>
        <v>4.1353963749391154E-2</v>
      </c>
      <c r="AF274" s="32"/>
      <c r="AG274" s="32"/>
      <c r="AH274" s="32"/>
      <c r="AI274" s="32"/>
      <c r="AJ274" s="32"/>
      <c r="AV274"/>
      <c r="AW274"/>
      <c r="AX274"/>
      <c r="AY274"/>
      <c r="AZ274"/>
    </row>
    <row r="275" spans="13:52" x14ac:dyDescent="0.15">
      <c r="M275" s="2033" t="s">
        <v>259</v>
      </c>
      <c r="N275" s="36">
        <f>AC$14</f>
        <v>973638.83333333337</v>
      </c>
      <c r="O275" s="36">
        <f>AD$14</f>
        <v>950205.16666666663</v>
      </c>
      <c r="P275" s="181">
        <f>O275/N275-1</f>
        <v>-2.4068130670630294E-2</v>
      </c>
      <c r="AF275" s="32"/>
      <c r="AG275" s="32"/>
      <c r="AH275" s="32"/>
      <c r="AI275" s="32"/>
      <c r="AJ275" s="32"/>
      <c r="AV275"/>
      <c r="AW275"/>
      <c r="AX275"/>
      <c r="AY275"/>
      <c r="AZ275"/>
    </row>
    <row r="276" spans="13:52" x14ac:dyDescent="0.15">
      <c r="M276" s="2033" t="s">
        <v>260</v>
      </c>
      <c r="N276" s="36">
        <f>AE$14</f>
        <v>1033706.6666666666</v>
      </c>
      <c r="O276" s="36">
        <f>AF$14</f>
        <v>866703.66666666663</v>
      </c>
      <c r="P276" s="181">
        <f>O276/N276-1</f>
        <v>-0.16155743731297079</v>
      </c>
      <c r="AF276" s="32"/>
      <c r="AG276" s="32"/>
      <c r="AH276" s="32"/>
      <c r="AI276" s="32"/>
      <c r="AJ276" s="32"/>
      <c r="AV276"/>
      <c r="AW276"/>
      <c r="AX276"/>
      <c r="AY276"/>
      <c r="AZ276"/>
    </row>
    <row r="277" spans="13:52" x14ac:dyDescent="0.15">
      <c r="M277" s="2033" t="s">
        <v>264</v>
      </c>
      <c r="N277" s="36">
        <f>O274</f>
        <v>961922</v>
      </c>
      <c r="O277" s="36">
        <f>O276</f>
        <v>866703.66666666663</v>
      </c>
      <c r="P277" s="181">
        <f>O277/N277-1</f>
        <v>-9.8987582499759252E-2</v>
      </c>
      <c r="AF277" s="32"/>
      <c r="AG277" s="32"/>
      <c r="AH277" s="32"/>
      <c r="AI277" s="32"/>
      <c r="AJ277" s="32"/>
      <c r="AV277"/>
      <c r="AW277"/>
      <c r="AX277"/>
      <c r="AY277"/>
      <c r="AZ277"/>
    </row>
    <row r="278" spans="13:52" x14ac:dyDescent="0.15">
      <c r="M278" s="2034"/>
      <c r="AF278" s="32"/>
      <c r="AG278" s="32"/>
      <c r="AH278" s="32"/>
      <c r="AI278" s="32"/>
      <c r="AJ278" s="32"/>
      <c r="AV278"/>
      <c r="AW278"/>
      <c r="AX278"/>
      <c r="AY278"/>
      <c r="AZ278"/>
    </row>
    <row r="279" spans="13:52" x14ac:dyDescent="0.15">
      <c r="M279" s="2034"/>
      <c r="AF279" s="32"/>
      <c r="AG279" s="32"/>
      <c r="AH279" s="32"/>
      <c r="AI279" s="32"/>
      <c r="AJ279" s="32"/>
      <c r="AV279"/>
      <c r="AW279"/>
      <c r="AX279"/>
      <c r="AY279"/>
      <c r="AZ279"/>
    </row>
    <row r="280" spans="13:52" x14ac:dyDescent="0.15">
      <c r="M280" s="2034"/>
      <c r="AF280" s="32"/>
      <c r="AG280" s="32"/>
      <c r="AH280" s="32"/>
      <c r="AI280" s="32"/>
      <c r="AJ280" s="32"/>
      <c r="AV280"/>
      <c r="AW280"/>
      <c r="AX280"/>
      <c r="AY280"/>
      <c r="AZ280"/>
    </row>
    <row r="281" spans="13:52" x14ac:dyDescent="0.15">
      <c r="M281" s="2034"/>
      <c r="AF281" s="32"/>
      <c r="AG281" s="32"/>
      <c r="AH281" s="32"/>
      <c r="AI281" s="32"/>
      <c r="AJ281" s="32"/>
      <c r="AV281"/>
      <c r="AW281"/>
      <c r="AX281"/>
      <c r="AY281"/>
      <c r="AZ281"/>
    </row>
    <row r="282" spans="13:52" x14ac:dyDescent="0.15">
      <c r="M282" s="2034"/>
      <c r="AF282" s="32"/>
      <c r="AG282" s="32"/>
      <c r="AH282" s="32"/>
      <c r="AI282" s="32"/>
      <c r="AJ282" s="32"/>
      <c r="AV282"/>
      <c r="AW282"/>
      <c r="AX282"/>
      <c r="AY282"/>
      <c r="AZ282"/>
    </row>
    <row r="283" spans="13:52" x14ac:dyDescent="0.15">
      <c r="M283" s="2034"/>
      <c r="AF283" s="32"/>
      <c r="AG283" s="32"/>
      <c r="AH283" s="32"/>
      <c r="AI283" s="32"/>
      <c r="AJ283" s="32"/>
      <c r="AV283"/>
      <c r="AW283"/>
      <c r="AX283"/>
      <c r="AY283"/>
      <c r="AZ283"/>
    </row>
    <row r="284" spans="13:52" x14ac:dyDescent="0.15">
      <c r="M284" s="2034"/>
      <c r="AF284" s="32"/>
      <c r="AG284" s="32"/>
      <c r="AH284" s="32"/>
      <c r="AI284" s="32"/>
      <c r="AJ284" s="32"/>
      <c r="AV284"/>
      <c r="AW284"/>
      <c r="AX284"/>
      <c r="AY284"/>
      <c r="AZ284"/>
    </row>
    <row r="285" spans="13:52" x14ac:dyDescent="0.15">
      <c r="M285" s="2034"/>
      <c r="AF285" s="32"/>
      <c r="AG285" s="32"/>
      <c r="AH285" s="32"/>
      <c r="AI285" s="32"/>
      <c r="AJ285" s="32"/>
      <c r="AV285"/>
      <c r="AW285"/>
      <c r="AX285"/>
      <c r="AY285"/>
      <c r="AZ285"/>
    </row>
    <row r="286" spans="13:52" x14ac:dyDescent="0.15">
      <c r="M286" s="2034"/>
      <c r="AF286" s="32"/>
      <c r="AG286" s="32"/>
      <c r="AH286" s="32"/>
      <c r="AI286" s="32"/>
      <c r="AJ286" s="32"/>
      <c r="AV286"/>
      <c r="AW286"/>
      <c r="AX286"/>
      <c r="AY286"/>
      <c r="AZ286"/>
    </row>
    <row r="287" spans="13:52" x14ac:dyDescent="0.15">
      <c r="M287" s="2034"/>
      <c r="AF287" s="32"/>
      <c r="AG287" s="32"/>
      <c r="AH287" s="32"/>
      <c r="AI287" s="32"/>
      <c r="AJ287" s="32"/>
      <c r="AV287"/>
      <c r="AW287"/>
      <c r="AX287"/>
      <c r="AY287"/>
      <c r="AZ287"/>
    </row>
    <row r="288" spans="13:52" x14ac:dyDescent="0.15">
      <c r="M288" s="2034"/>
      <c r="AF288" s="32"/>
      <c r="AG288" s="32"/>
      <c r="AH288" s="32"/>
      <c r="AI288" s="32"/>
      <c r="AJ288" s="32"/>
      <c r="AV288"/>
      <c r="AW288"/>
      <c r="AX288"/>
      <c r="AY288"/>
      <c r="AZ288"/>
    </row>
    <row r="289" spans="13:52" x14ac:dyDescent="0.15">
      <c r="M289" s="2034"/>
      <c r="AF289" s="32"/>
      <c r="AG289" s="32"/>
      <c r="AH289" s="32"/>
      <c r="AI289" s="32"/>
      <c r="AJ289" s="32"/>
      <c r="AV289"/>
      <c r="AW289"/>
      <c r="AX289"/>
      <c r="AY289"/>
      <c r="AZ289"/>
    </row>
    <row r="290" spans="13:52" x14ac:dyDescent="0.15">
      <c r="M290" s="2031" t="s">
        <v>257</v>
      </c>
      <c r="AF290" s="32"/>
      <c r="AG290" s="32"/>
      <c r="AH290" s="32"/>
      <c r="AI290" s="32"/>
      <c r="AJ290" s="32"/>
      <c r="AV290"/>
      <c r="AW290"/>
      <c r="AX290"/>
      <c r="AY290"/>
      <c r="AZ290"/>
    </row>
    <row r="291" spans="13:52" x14ac:dyDescent="0.15">
      <c r="M291" s="2032" t="s">
        <v>263</v>
      </c>
      <c r="N291" s="180" t="s">
        <v>261</v>
      </c>
      <c r="O291" s="180" t="s">
        <v>262</v>
      </c>
      <c r="P291" s="180" t="s">
        <v>257</v>
      </c>
      <c r="AF291" s="32"/>
      <c r="AG291" s="32"/>
      <c r="AH291" s="32"/>
      <c r="AI291" s="32"/>
      <c r="AJ291" s="32"/>
      <c r="AV291"/>
      <c r="AW291"/>
      <c r="AX291"/>
      <c r="AY291"/>
      <c r="AZ291"/>
    </row>
    <row r="292" spans="13:52" x14ac:dyDescent="0.15">
      <c r="M292" s="2033" t="s">
        <v>258</v>
      </c>
      <c r="N292" s="36">
        <f>AB$15</f>
        <v>2031723.1666666667</v>
      </c>
      <c r="O292" s="36">
        <f>AA$15</f>
        <v>2306993</v>
      </c>
      <c r="P292" s="181">
        <f>O292/N292-1</f>
        <v>0.13548589583931991</v>
      </c>
      <c r="AF292" s="32"/>
      <c r="AG292" s="32"/>
      <c r="AH292" s="32"/>
      <c r="AI292" s="32"/>
      <c r="AJ292" s="32"/>
      <c r="AV292"/>
      <c r="AW292"/>
      <c r="AX292"/>
      <c r="AY292"/>
      <c r="AZ292"/>
    </row>
    <row r="293" spans="13:52" x14ac:dyDescent="0.15">
      <c r="M293" s="2033" t="s">
        <v>259</v>
      </c>
      <c r="N293" s="36">
        <f>AC$15</f>
        <v>2385539.5</v>
      </c>
      <c r="O293" s="36">
        <f>AD$15</f>
        <v>2228446.5</v>
      </c>
      <c r="P293" s="181">
        <f>O293/N293-1</f>
        <v>-6.5852189829596175E-2</v>
      </c>
      <c r="AF293" s="32"/>
      <c r="AG293" s="32"/>
      <c r="AH293" s="32"/>
      <c r="AI293" s="32"/>
      <c r="AJ293" s="32"/>
      <c r="AV293"/>
      <c r="AW293"/>
      <c r="AX293"/>
      <c r="AY293"/>
      <c r="AZ293"/>
    </row>
    <row r="294" spans="13:52" x14ac:dyDescent="0.15">
      <c r="M294" s="2033" t="s">
        <v>260</v>
      </c>
      <c r="N294" s="36">
        <f>AE$15</f>
        <v>2489010.3333333335</v>
      </c>
      <c r="O294" s="36">
        <f>AF$15</f>
        <v>1967882.6666666667</v>
      </c>
      <c r="P294" s="181">
        <f>O294/N294-1</f>
        <v>-0.20937143558129068</v>
      </c>
      <c r="AF294" s="32"/>
      <c r="AG294" s="32"/>
      <c r="AH294" s="32"/>
      <c r="AI294" s="32"/>
      <c r="AJ294" s="32"/>
      <c r="AV294"/>
      <c r="AW294"/>
      <c r="AX294"/>
      <c r="AY294"/>
      <c r="AZ294"/>
    </row>
    <row r="295" spans="13:52" x14ac:dyDescent="0.15">
      <c r="M295" s="2033" t="s">
        <v>264</v>
      </c>
      <c r="N295" s="36">
        <f>O292</f>
        <v>2306993</v>
      </c>
      <c r="O295" s="36">
        <f>O294</f>
        <v>1967882.6666666667</v>
      </c>
      <c r="P295" s="181">
        <f>O295/N295-1</f>
        <v>-0.14699235469432859</v>
      </c>
      <c r="AF295" s="32"/>
      <c r="AG295" s="32"/>
      <c r="AH295" s="32"/>
      <c r="AI295" s="32"/>
      <c r="AJ295" s="32"/>
      <c r="AV295"/>
      <c r="AW295"/>
      <c r="AX295"/>
      <c r="AY295"/>
      <c r="AZ295"/>
    </row>
    <row r="296" spans="13:52" x14ac:dyDescent="0.15">
      <c r="M296" s="2034"/>
      <c r="AF296" s="32"/>
      <c r="AG296" s="32"/>
      <c r="AH296" s="32"/>
      <c r="AI296" s="32"/>
      <c r="AJ296" s="32"/>
      <c r="AV296"/>
      <c r="AW296"/>
      <c r="AX296"/>
      <c r="AY296"/>
      <c r="AZ296"/>
    </row>
    <row r="297" spans="13:52" x14ac:dyDescent="0.15">
      <c r="M297" s="2034"/>
      <c r="AF297" s="32"/>
      <c r="AG297" s="32"/>
      <c r="AH297" s="32"/>
      <c r="AI297" s="32"/>
      <c r="AJ297" s="32"/>
      <c r="AV297"/>
      <c r="AW297"/>
      <c r="AX297"/>
      <c r="AY297"/>
      <c r="AZ297"/>
    </row>
    <row r="298" spans="13:52" x14ac:dyDescent="0.15">
      <c r="M298" s="2034"/>
      <c r="AF298" s="32"/>
      <c r="AG298" s="32"/>
      <c r="AH298" s="32"/>
      <c r="AI298" s="32"/>
      <c r="AJ298" s="32"/>
      <c r="AV298"/>
      <c r="AW298"/>
      <c r="AX298"/>
      <c r="AY298"/>
      <c r="AZ298"/>
    </row>
    <row r="299" spans="13:52" x14ac:dyDescent="0.15">
      <c r="M299" s="2034"/>
      <c r="AF299" s="32"/>
      <c r="AG299" s="32"/>
      <c r="AH299" s="32"/>
      <c r="AI299" s="32"/>
      <c r="AJ299" s="32"/>
      <c r="AV299"/>
      <c r="AW299"/>
      <c r="AX299"/>
      <c r="AY299"/>
      <c r="AZ299"/>
    </row>
    <row r="300" spans="13:52" x14ac:dyDescent="0.15">
      <c r="M300" s="2034"/>
      <c r="AF300" s="32"/>
      <c r="AG300" s="32"/>
      <c r="AH300" s="32"/>
      <c r="AI300" s="32"/>
      <c r="AJ300" s="32"/>
      <c r="AV300"/>
      <c r="AW300"/>
      <c r="AX300"/>
      <c r="AY300"/>
      <c r="AZ300"/>
    </row>
    <row r="301" spans="13:52" x14ac:dyDescent="0.15">
      <c r="M301" s="2034"/>
      <c r="AF301" s="32"/>
      <c r="AG301" s="32"/>
      <c r="AH301" s="32"/>
      <c r="AI301" s="32"/>
      <c r="AJ301" s="32"/>
      <c r="AV301"/>
      <c r="AW301"/>
      <c r="AX301"/>
      <c r="AY301"/>
      <c r="AZ301"/>
    </row>
    <row r="302" spans="13:52" x14ac:dyDescent="0.15">
      <c r="M302" s="2034"/>
      <c r="AF302" s="32"/>
      <c r="AG302" s="32"/>
      <c r="AH302" s="32"/>
      <c r="AI302" s="32"/>
      <c r="AJ302" s="32"/>
      <c r="AV302"/>
      <c r="AW302"/>
      <c r="AX302"/>
      <c r="AY302"/>
      <c r="AZ302"/>
    </row>
    <row r="303" spans="13:52" x14ac:dyDescent="0.15">
      <c r="M303" s="2034"/>
      <c r="AF303" s="32"/>
      <c r="AG303" s="32"/>
      <c r="AH303" s="32"/>
      <c r="AI303" s="32"/>
      <c r="AJ303" s="32"/>
      <c r="AV303"/>
      <c r="AW303"/>
      <c r="AX303"/>
      <c r="AY303"/>
      <c r="AZ303"/>
    </row>
    <row r="304" spans="13:52" x14ac:dyDescent="0.15">
      <c r="M304" s="2034"/>
      <c r="AF304" s="32"/>
      <c r="AG304" s="32"/>
      <c r="AH304" s="32"/>
      <c r="AI304" s="32"/>
      <c r="AJ304" s="32"/>
      <c r="AV304"/>
      <c r="AW304"/>
      <c r="AX304"/>
      <c r="AY304"/>
      <c r="AZ304"/>
    </row>
    <row r="305" spans="13:52" x14ac:dyDescent="0.15">
      <c r="M305" s="2034"/>
      <c r="AF305" s="32"/>
      <c r="AG305" s="32"/>
      <c r="AH305" s="32"/>
      <c r="AI305" s="32"/>
      <c r="AJ305" s="32"/>
      <c r="AV305"/>
      <c r="AW305"/>
      <c r="AX305"/>
      <c r="AY305"/>
      <c r="AZ305"/>
    </row>
    <row r="306" spans="13:52" x14ac:dyDescent="0.15">
      <c r="M306" s="2034"/>
      <c r="AF306" s="32"/>
      <c r="AG306" s="32"/>
      <c r="AH306" s="32"/>
      <c r="AI306" s="32"/>
      <c r="AJ306" s="32"/>
      <c r="AV306"/>
      <c r="AW306"/>
      <c r="AX306"/>
      <c r="AY306"/>
      <c r="AZ306"/>
    </row>
    <row r="307" spans="13:52" x14ac:dyDescent="0.15">
      <c r="M307" s="2034"/>
      <c r="AF307" s="32"/>
      <c r="AG307" s="32"/>
      <c r="AH307" s="32"/>
      <c r="AI307" s="32"/>
      <c r="AJ307" s="32"/>
      <c r="AV307"/>
      <c r="AW307"/>
      <c r="AX307"/>
      <c r="AY307"/>
      <c r="AZ307"/>
    </row>
    <row r="308" spans="13:52" x14ac:dyDescent="0.15">
      <c r="M308" s="2031" t="s">
        <v>257</v>
      </c>
      <c r="AF308" s="32"/>
      <c r="AG308" s="32"/>
      <c r="AH308" s="32"/>
      <c r="AI308" s="32"/>
      <c r="AJ308" s="32"/>
      <c r="AV308"/>
      <c r="AW308"/>
      <c r="AX308"/>
      <c r="AY308"/>
      <c r="AZ308"/>
    </row>
    <row r="309" spans="13:52" x14ac:dyDescent="0.15">
      <c r="M309" s="2032" t="s">
        <v>263</v>
      </c>
      <c r="N309" s="180" t="s">
        <v>261</v>
      </c>
      <c r="O309" s="180" t="s">
        <v>262</v>
      </c>
      <c r="P309" s="180" t="s">
        <v>257</v>
      </c>
      <c r="AF309" s="32"/>
      <c r="AG309" s="32"/>
      <c r="AH309" s="32"/>
      <c r="AI309" s="32"/>
      <c r="AJ309" s="32"/>
      <c r="AV309"/>
      <c r="AW309"/>
      <c r="AX309"/>
      <c r="AY309"/>
      <c r="AZ309"/>
    </row>
    <row r="310" spans="13:52" x14ac:dyDescent="0.15">
      <c r="M310" s="2033" t="s">
        <v>258</v>
      </c>
      <c r="N310" s="36">
        <f>AB$16</f>
        <v>0</v>
      </c>
      <c r="O310" s="36">
        <f>AA$16</f>
        <v>394270.91666666669</v>
      </c>
      <c r="P310" s="181" t="e">
        <f>O310/N310-1</f>
        <v>#DIV/0!</v>
      </c>
      <c r="AF310" s="32"/>
      <c r="AG310" s="32"/>
      <c r="AH310" s="32"/>
      <c r="AI310" s="32"/>
      <c r="AJ310" s="32"/>
      <c r="AV310"/>
      <c r="AW310"/>
      <c r="AX310"/>
      <c r="AY310"/>
      <c r="AZ310"/>
    </row>
    <row r="311" spans="13:52" x14ac:dyDescent="0.15">
      <c r="M311" s="2033" t="s">
        <v>259</v>
      </c>
      <c r="N311" s="36">
        <f>AC$16</f>
        <v>0</v>
      </c>
      <c r="O311" s="36">
        <f>AD$16</f>
        <v>788541.83333333337</v>
      </c>
      <c r="P311" s="181" t="e">
        <f>O311/N311-1</f>
        <v>#DIV/0!</v>
      </c>
      <c r="AF311" s="32"/>
      <c r="AG311" s="32"/>
      <c r="AH311" s="32"/>
      <c r="AI311" s="32"/>
      <c r="AJ311" s="32"/>
      <c r="AV311"/>
      <c r="AW311"/>
      <c r="AX311"/>
      <c r="AY311"/>
      <c r="AZ311"/>
    </row>
    <row r="312" spans="13:52" x14ac:dyDescent="0.15">
      <c r="M312" s="2033" t="s">
        <v>260</v>
      </c>
      <c r="N312" s="36">
        <f>AE$16</f>
        <v>0</v>
      </c>
      <c r="O312" s="36">
        <f>AF$16</f>
        <v>1577083.6666666667</v>
      </c>
      <c r="P312" s="181" t="e">
        <f>O312/N312-1</f>
        <v>#DIV/0!</v>
      </c>
      <c r="AF312" s="32"/>
      <c r="AG312" s="32"/>
      <c r="AH312" s="32"/>
      <c r="AI312" s="32"/>
      <c r="AJ312" s="32"/>
      <c r="AV312"/>
      <c r="AW312"/>
      <c r="AX312"/>
      <c r="AY312"/>
      <c r="AZ312"/>
    </row>
    <row r="313" spans="13:52" x14ac:dyDescent="0.15">
      <c r="M313" s="2033" t="s">
        <v>264</v>
      </c>
      <c r="N313" s="36">
        <f>O310</f>
        <v>394270.91666666669</v>
      </c>
      <c r="O313" s="36">
        <f>O312</f>
        <v>1577083.6666666667</v>
      </c>
      <c r="P313" s="181">
        <f>O313/N313-1</f>
        <v>3</v>
      </c>
      <c r="AF313" s="32"/>
      <c r="AG313" s="32"/>
      <c r="AH313" s="32"/>
      <c r="AI313" s="32"/>
      <c r="AJ313" s="32"/>
      <c r="AV313"/>
      <c r="AW313"/>
      <c r="AX313"/>
      <c r="AY313"/>
      <c r="AZ313"/>
    </row>
    <row r="314" spans="13:52" x14ac:dyDescent="0.15">
      <c r="M314" s="2034"/>
      <c r="AF314" s="32"/>
      <c r="AG314" s="32"/>
      <c r="AH314" s="32"/>
      <c r="AI314" s="32"/>
      <c r="AJ314" s="32"/>
      <c r="AV314"/>
      <c r="AW314"/>
      <c r="AX314"/>
      <c r="AY314"/>
      <c r="AZ314"/>
    </row>
    <row r="315" spans="13:52" x14ac:dyDescent="0.15">
      <c r="M315" s="2034"/>
      <c r="AF315" s="32"/>
      <c r="AG315" s="32"/>
      <c r="AH315" s="32"/>
      <c r="AI315" s="32"/>
      <c r="AJ315" s="32"/>
      <c r="AV315"/>
      <c r="AW315"/>
      <c r="AX315"/>
      <c r="AY315"/>
      <c r="AZ315"/>
    </row>
    <row r="316" spans="13:52" x14ac:dyDescent="0.15">
      <c r="M316" s="2034"/>
      <c r="AF316" s="32"/>
      <c r="AG316" s="32"/>
      <c r="AH316" s="32"/>
      <c r="AI316" s="32"/>
      <c r="AJ316" s="32"/>
      <c r="AV316"/>
      <c r="AW316"/>
      <c r="AX316"/>
      <c r="AY316"/>
      <c r="AZ316"/>
    </row>
    <row r="317" spans="13:52" x14ac:dyDescent="0.15">
      <c r="M317" s="2034"/>
      <c r="AF317" s="32"/>
      <c r="AG317" s="32"/>
      <c r="AH317" s="32"/>
      <c r="AI317" s="32"/>
      <c r="AJ317" s="32"/>
      <c r="AV317"/>
      <c r="AW317"/>
      <c r="AX317"/>
      <c r="AY317"/>
      <c r="AZ317"/>
    </row>
    <row r="318" spans="13:52" x14ac:dyDescent="0.15">
      <c r="M318" s="2034"/>
      <c r="AF318" s="32"/>
      <c r="AG318" s="32"/>
      <c r="AH318" s="32"/>
      <c r="AI318" s="32"/>
      <c r="AJ318" s="32"/>
      <c r="AV318"/>
      <c r="AW318"/>
      <c r="AX318"/>
      <c r="AY318"/>
      <c r="AZ318"/>
    </row>
    <row r="319" spans="13:52" x14ac:dyDescent="0.15">
      <c r="M319" s="2034"/>
      <c r="AF319" s="32"/>
      <c r="AG319" s="32"/>
      <c r="AH319" s="32"/>
      <c r="AI319" s="32"/>
      <c r="AJ319" s="32"/>
      <c r="AV319"/>
      <c r="AW319"/>
      <c r="AX319"/>
      <c r="AY319"/>
      <c r="AZ319"/>
    </row>
    <row r="320" spans="13:52" x14ac:dyDescent="0.15">
      <c r="M320" s="2034"/>
      <c r="AF320" s="32"/>
      <c r="AG320" s="32"/>
      <c r="AH320" s="32"/>
      <c r="AI320" s="32"/>
      <c r="AJ320" s="32"/>
      <c r="AV320"/>
      <c r="AW320"/>
      <c r="AX320"/>
      <c r="AY320"/>
      <c r="AZ320"/>
    </row>
    <row r="321" spans="13:52" x14ac:dyDescent="0.15">
      <c r="M321" s="2034"/>
      <c r="AF321" s="32"/>
      <c r="AG321" s="32"/>
      <c r="AH321" s="32"/>
      <c r="AI321" s="32"/>
      <c r="AJ321" s="32"/>
      <c r="AV321"/>
      <c r="AW321"/>
      <c r="AX321"/>
      <c r="AY321"/>
      <c r="AZ321"/>
    </row>
    <row r="322" spans="13:52" x14ac:dyDescent="0.15">
      <c r="M322" s="2034"/>
      <c r="AF322" s="32"/>
      <c r="AG322" s="32"/>
      <c r="AH322" s="32"/>
      <c r="AI322" s="32"/>
      <c r="AJ322" s="32"/>
      <c r="AV322"/>
      <c r="AW322"/>
      <c r="AX322"/>
      <c r="AY322"/>
      <c r="AZ322"/>
    </row>
    <row r="323" spans="13:52" x14ac:dyDescent="0.15">
      <c r="M323" s="2034"/>
      <c r="AF323" s="32"/>
      <c r="AG323" s="32"/>
      <c r="AH323" s="32"/>
      <c r="AI323" s="32"/>
      <c r="AJ323" s="32"/>
      <c r="AV323"/>
      <c r="AW323"/>
      <c r="AX323"/>
      <c r="AY323"/>
      <c r="AZ323"/>
    </row>
    <row r="324" spans="13:52" x14ac:dyDescent="0.15">
      <c r="M324" s="2034"/>
      <c r="AF324" s="32"/>
      <c r="AG324" s="32"/>
      <c r="AH324" s="32"/>
      <c r="AI324" s="32"/>
      <c r="AJ324" s="32"/>
      <c r="AV324"/>
      <c r="AW324"/>
      <c r="AX324"/>
      <c r="AY324"/>
      <c r="AZ324"/>
    </row>
    <row r="325" spans="13:52" x14ac:dyDescent="0.15">
      <c r="M325" s="2034"/>
      <c r="AF325" s="32"/>
      <c r="AG325" s="32"/>
      <c r="AH325" s="32"/>
      <c r="AI325" s="32"/>
      <c r="AJ325" s="32"/>
      <c r="AV325"/>
      <c r="AW325"/>
      <c r="AX325"/>
      <c r="AY325"/>
      <c r="AZ325"/>
    </row>
    <row r="326" spans="13:52" x14ac:dyDescent="0.15">
      <c r="M326" s="2031" t="s">
        <v>257</v>
      </c>
      <c r="AF326" s="32"/>
      <c r="AG326" s="32"/>
      <c r="AH326" s="32"/>
      <c r="AI326" s="32"/>
      <c r="AJ326" s="32"/>
      <c r="AV326"/>
      <c r="AW326"/>
      <c r="AX326"/>
      <c r="AY326"/>
      <c r="AZ326"/>
    </row>
    <row r="327" spans="13:52" x14ac:dyDescent="0.15">
      <c r="M327" s="2032" t="s">
        <v>263</v>
      </c>
      <c r="N327" s="180" t="s">
        <v>261</v>
      </c>
      <c r="O327" s="180" t="s">
        <v>262</v>
      </c>
      <c r="P327" s="180" t="s">
        <v>257</v>
      </c>
      <c r="AF327" s="32"/>
      <c r="AG327" s="32"/>
      <c r="AH327" s="32"/>
      <c r="AI327" s="32"/>
      <c r="AJ327" s="32"/>
      <c r="AV327"/>
      <c r="AW327"/>
      <c r="AX327"/>
      <c r="AY327"/>
      <c r="AZ327"/>
    </row>
    <row r="328" spans="13:52" x14ac:dyDescent="0.15">
      <c r="M328" s="2033" t="s">
        <v>258</v>
      </c>
      <c r="N328" s="36">
        <f>AB$17</f>
        <v>1113149.5833333333</v>
      </c>
      <c r="O328" s="36">
        <f>AA$17</f>
        <v>296502.75</v>
      </c>
      <c r="P328" s="181">
        <f>O328/N328-1</f>
        <v>-0.73363620268165519</v>
      </c>
      <c r="AF328" s="32"/>
      <c r="AG328" s="32"/>
      <c r="AH328" s="32"/>
      <c r="AI328" s="32"/>
      <c r="AJ328" s="32"/>
      <c r="AV328"/>
      <c r="AW328"/>
      <c r="AX328"/>
      <c r="AY328"/>
      <c r="AZ328"/>
    </row>
    <row r="329" spans="13:52" x14ac:dyDescent="0.15">
      <c r="M329" s="2033" t="s">
        <v>259</v>
      </c>
      <c r="N329" s="36">
        <f>AC$17</f>
        <v>593005.5</v>
      </c>
      <c r="O329" s="36">
        <f>AD$17</f>
        <v>0</v>
      </c>
      <c r="P329" s="181">
        <f>O329/N329-1</f>
        <v>-1</v>
      </c>
      <c r="AF329" s="32"/>
      <c r="AG329" s="32"/>
      <c r="AH329" s="32"/>
      <c r="AI329" s="32"/>
      <c r="AJ329" s="32"/>
      <c r="AV329"/>
      <c r="AW329"/>
      <c r="AX329"/>
      <c r="AY329"/>
      <c r="AZ329"/>
    </row>
    <row r="330" spans="13:52" x14ac:dyDescent="0.15">
      <c r="M330" s="2033" t="s">
        <v>260</v>
      </c>
      <c r="N330" s="36">
        <f>AE$17</f>
        <v>0</v>
      </c>
      <c r="O330" s="36">
        <f>AF$17</f>
        <v>0</v>
      </c>
      <c r="P330" s="181" t="e">
        <f>O330/N330-1</f>
        <v>#DIV/0!</v>
      </c>
      <c r="AF330" s="32"/>
      <c r="AG330" s="32"/>
      <c r="AH330" s="32"/>
      <c r="AI330" s="32"/>
      <c r="AJ330" s="32"/>
      <c r="AV330"/>
      <c r="AW330"/>
      <c r="AX330"/>
      <c r="AY330"/>
      <c r="AZ330"/>
    </row>
    <row r="331" spans="13:52" x14ac:dyDescent="0.15">
      <c r="M331" s="2033" t="s">
        <v>264</v>
      </c>
      <c r="N331" s="36">
        <f>O328</f>
        <v>296502.75</v>
      </c>
      <c r="O331" s="36">
        <f>O330</f>
        <v>0</v>
      </c>
      <c r="P331" s="181">
        <f>O331/N331-1</f>
        <v>-1</v>
      </c>
      <c r="AF331" s="32"/>
      <c r="AG331" s="32"/>
      <c r="AH331" s="32"/>
      <c r="AI331" s="32"/>
      <c r="AJ331" s="32"/>
      <c r="AV331"/>
      <c r="AW331"/>
      <c r="AX331"/>
      <c r="AY331"/>
      <c r="AZ331"/>
    </row>
    <row r="332" spans="13:52" x14ac:dyDescent="0.15">
      <c r="M332" s="2034"/>
      <c r="AF332" s="32"/>
      <c r="AG332" s="32"/>
      <c r="AH332" s="32"/>
      <c r="AI332" s="32"/>
      <c r="AJ332" s="32"/>
      <c r="AV332"/>
      <c r="AW332"/>
      <c r="AX332"/>
      <c r="AY332"/>
      <c r="AZ332"/>
    </row>
    <row r="333" spans="13:52" x14ac:dyDescent="0.15">
      <c r="M333" s="2034"/>
      <c r="AF333" s="32"/>
      <c r="AG333" s="32"/>
      <c r="AH333" s="32"/>
      <c r="AI333" s="32"/>
      <c r="AJ333" s="32"/>
      <c r="AV333"/>
      <c r="AW333"/>
      <c r="AX333"/>
      <c r="AY333"/>
      <c r="AZ333"/>
    </row>
    <row r="334" spans="13:52" x14ac:dyDescent="0.15">
      <c r="M334" s="2034"/>
      <c r="AF334" s="32"/>
      <c r="AG334" s="32"/>
      <c r="AH334" s="32"/>
      <c r="AI334" s="32"/>
      <c r="AJ334" s="32"/>
      <c r="AV334"/>
      <c r="AW334"/>
      <c r="AX334"/>
      <c r="AY334"/>
      <c r="AZ334"/>
    </row>
    <row r="335" spans="13:52" x14ac:dyDescent="0.15">
      <c r="M335" s="2034"/>
      <c r="AF335" s="32"/>
      <c r="AG335" s="32"/>
      <c r="AH335" s="32"/>
      <c r="AI335" s="32"/>
      <c r="AJ335" s="32"/>
      <c r="AV335"/>
      <c r="AW335"/>
      <c r="AX335"/>
      <c r="AY335"/>
      <c r="AZ335"/>
    </row>
    <row r="336" spans="13:52" x14ac:dyDescent="0.15">
      <c r="M336" s="2034"/>
      <c r="AF336" s="32"/>
      <c r="AG336" s="32"/>
      <c r="AH336" s="32"/>
      <c r="AI336" s="32"/>
      <c r="AJ336" s="32"/>
      <c r="AV336"/>
      <c r="AW336"/>
      <c r="AX336"/>
      <c r="AY336"/>
      <c r="AZ336"/>
    </row>
    <row r="337" spans="13:52" x14ac:dyDescent="0.15">
      <c r="M337" s="2034"/>
      <c r="AF337" s="32"/>
      <c r="AG337" s="32"/>
      <c r="AH337" s="32"/>
      <c r="AI337" s="32"/>
      <c r="AJ337" s="32"/>
      <c r="AV337"/>
      <c r="AW337"/>
      <c r="AX337"/>
      <c r="AY337"/>
      <c r="AZ337"/>
    </row>
    <row r="338" spans="13:52" x14ac:dyDescent="0.15">
      <c r="M338" s="2034"/>
      <c r="AF338" s="32"/>
      <c r="AG338" s="32"/>
      <c r="AH338" s="32"/>
      <c r="AI338" s="32"/>
      <c r="AJ338" s="32"/>
      <c r="AV338"/>
      <c r="AW338"/>
      <c r="AX338"/>
      <c r="AY338"/>
      <c r="AZ338"/>
    </row>
    <row r="339" spans="13:52" x14ac:dyDescent="0.15">
      <c r="M339" s="2034"/>
      <c r="AF339" s="32"/>
      <c r="AG339" s="32"/>
      <c r="AH339" s="32"/>
      <c r="AI339" s="32"/>
      <c r="AJ339" s="32"/>
      <c r="AV339"/>
      <c r="AW339"/>
      <c r="AX339"/>
      <c r="AY339"/>
      <c r="AZ339"/>
    </row>
    <row r="340" spans="13:52" x14ac:dyDescent="0.15">
      <c r="M340" s="2034"/>
      <c r="AF340" s="32"/>
      <c r="AG340" s="32"/>
      <c r="AH340" s="32"/>
      <c r="AI340" s="32"/>
      <c r="AJ340" s="32"/>
      <c r="AV340"/>
      <c r="AW340"/>
      <c r="AX340"/>
      <c r="AY340"/>
      <c r="AZ340"/>
    </row>
    <row r="341" spans="13:52" x14ac:dyDescent="0.15">
      <c r="M341" s="2034"/>
      <c r="AF341" s="32"/>
      <c r="AG341" s="32"/>
      <c r="AH341" s="32"/>
      <c r="AI341" s="32"/>
      <c r="AJ341" s="32"/>
      <c r="AV341"/>
      <c r="AW341"/>
      <c r="AX341"/>
      <c r="AY341"/>
      <c r="AZ341"/>
    </row>
    <row r="342" spans="13:52" x14ac:dyDescent="0.15">
      <c r="M342" s="2034"/>
      <c r="AF342" s="32"/>
      <c r="AG342" s="32"/>
      <c r="AH342" s="32"/>
      <c r="AI342" s="32"/>
      <c r="AJ342" s="32"/>
      <c r="AV342"/>
      <c r="AW342"/>
      <c r="AX342"/>
      <c r="AY342"/>
      <c r="AZ342"/>
    </row>
    <row r="343" spans="13:52" x14ac:dyDescent="0.15">
      <c r="M343" s="2034"/>
      <c r="AF343" s="32"/>
      <c r="AG343" s="32"/>
      <c r="AH343" s="32"/>
      <c r="AI343" s="32"/>
      <c r="AJ343" s="32"/>
      <c r="AV343"/>
      <c r="AW343"/>
      <c r="AX343"/>
      <c r="AY343"/>
      <c r="AZ343"/>
    </row>
    <row r="344" spans="13:52" x14ac:dyDescent="0.15">
      <c r="M344" s="2031" t="s">
        <v>257</v>
      </c>
      <c r="AF344" s="32"/>
      <c r="AG344" s="32"/>
      <c r="AH344" s="32"/>
      <c r="AI344" s="32"/>
      <c r="AJ344" s="32"/>
      <c r="AV344"/>
      <c r="AW344"/>
      <c r="AX344"/>
      <c r="AY344"/>
      <c r="AZ344"/>
    </row>
    <row r="345" spans="13:52" x14ac:dyDescent="0.15">
      <c r="M345" s="2032" t="s">
        <v>263</v>
      </c>
      <c r="N345" s="180" t="s">
        <v>261</v>
      </c>
      <c r="O345" s="180" t="s">
        <v>262</v>
      </c>
      <c r="P345" s="180" t="s">
        <v>257</v>
      </c>
      <c r="AF345" s="32"/>
      <c r="AG345" s="32"/>
      <c r="AH345" s="32"/>
      <c r="AI345" s="32"/>
      <c r="AJ345" s="32"/>
      <c r="AV345"/>
      <c r="AW345"/>
      <c r="AX345"/>
      <c r="AY345"/>
      <c r="AZ345"/>
    </row>
    <row r="346" spans="13:52" x14ac:dyDescent="0.15">
      <c r="M346" s="2033" t="s">
        <v>258</v>
      </c>
      <c r="N346" s="36">
        <f>AB$18</f>
        <v>31281131.083333332</v>
      </c>
      <c r="O346" s="36">
        <f>AA$18</f>
        <v>35430539.583333336</v>
      </c>
      <c r="P346" s="181">
        <f>O346/N346-1</f>
        <v>0.13264892784554139</v>
      </c>
      <c r="AF346" s="32"/>
      <c r="AG346" s="32"/>
      <c r="AH346" s="32"/>
      <c r="AI346" s="32"/>
      <c r="AJ346" s="32"/>
      <c r="AV346"/>
      <c r="AW346"/>
      <c r="AX346"/>
      <c r="AY346"/>
      <c r="AZ346"/>
    </row>
    <row r="347" spans="13:52" x14ac:dyDescent="0.15">
      <c r="M347" s="2033" t="s">
        <v>259</v>
      </c>
      <c r="N347" s="36">
        <f>AC$18</f>
        <v>34443799.333333336</v>
      </c>
      <c r="O347" s="36">
        <f>AD$18</f>
        <v>36417279.833333336</v>
      </c>
      <c r="P347" s="181">
        <f>O347/N347-1</f>
        <v>5.7295668253709353E-2</v>
      </c>
      <c r="AF347" s="32"/>
      <c r="AG347" s="32"/>
      <c r="AH347" s="32"/>
      <c r="AI347" s="32"/>
      <c r="AJ347" s="32"/>
      <c r="AV347"/>
      <c r="AW347"/>
      <c r="AX347"/>
      <c r="AY347"/>
      <c r="AZ347"/>
    </row>
    <row r="348" spans="13:52" x14ac:dyDescent="0.15">
      <c r="M348" s="2033" t="s">
        <v>260</v>
      </c>
      <c r="N348" s="36">
        <f>AE$18</f>
        <v>36453828</v>
      </c>
      <c r="O348" s="36">
        <f>AF$18</f>
        <v>36380731.666666664</v>
      </c>
      <c r="P348" s="181">
        <f>O348/N348-1</f>
        <v>-2.0051757893118083E-3</v>
      </c>
      <c r="AF348" s="32"/>
      <c r="AG348" s="32"/>
      <c r="AH348" s="32"/>
      <c r="AI348" s="32"/>
      <c r="AJ348" s="32"/>
      <c r="AV348"/>
      <c r="AW348"/>
      <c r="AX348"/>
      <c r="AY348"/>
      <c r="AZ348"/>
    </row>
    <row r="349" spans="13:52" x14ac:dyDescent="0.15">
      <c r="M349" s="2033" t="s">
        <v>264</v>
      </c>
      <c r="N349" s="36">
        <f>O346</f>
        <v>35430539.583333336</v>
      </c>
      <c r="O349" s="36">
        <f>O348</f>
        <v>36380731.666666664</v>
      </c>
      <c r="P349" s="181">
        <f>O349/N349-1</f>
        <v>2.6818447997340122E-2</v>
      </c>
      <c r="AF349" s="32"/>
      <c r="AG349" s="32"/>
      <c r="AH349" s="32"/>
      <c r="AI349" s="32"/>
      <c r="AJ349" s="32"/>
      <c r="AV349"/>
      <c r="AW349"/>
      <c r="AX349"/>
      <c r="AY349"/>
      <c r="AZ349"/>
    </row>
    <row r="350" spans="13:52" x14ac:dyDescent="0.15">
      <c r="AF350" s="32"/>
      <c r="AG350" s="32"/>
      <c r="AH350" s="32"/>
      <c r="AI350" s="32"/>
      <c r="AJ350" s="32"/>
      <c r="AV350"/>
      <c r="AW350"/>
      <c r="AX350"/>
      <c r="AY350"/>
      <c r="AZ350"/>
    </row>
    <row r="351" spans="13:52" x14ac:dyDescent="0.15">
      <c r="AF351" s="32"/>
      <c r="AG351" s="32"/>
      <c r="AH351" s="32"/>
      <c r="AI351" s="32"/>
      <c r="AJ351" s="32"/>
      <c r="AV351"/>
      <c r="AW351"/>
      <c r="AX351"/>
      <c r="AY351"/>
      <c r="AZ351"/>
    </row>
    <row r="352" spans="13:52" x14ac:dyDescent="0.15">
      <c r="AF352" s="32"/>
      <c r="AG352" s="32"/>
      <c r="AH352" s="32"/>
      <c r="AI352" s="32"/>
      <c r="AJ352" s="32"/>
      <c r="AV352"/>
      <c r="AW352"/>
      <c r="AX352"/>
      <c r="AY352"/>
      <c r="AZ352"/>
    </row>
    <row r="353" spans="32:59" x14ac:dyDescent="0.15">
      <c r="AF353" s="32"/>
      <c r="AG353" s="32"/>
      <c r="AH353" s="32"/>
      <c r="AI353" s="32"/>
      <c r="AJ353" s="32"/>
      <c r="AV353"/>
      <c r="AW353"/>
      <c r="AX353"/>
      <c r="AY353"/>
      <c r="AZ353"/>
    </row>
    <row r="354" spans="32:59" x14ac:dyDescent="0.15">
      <c r="AF354" s="32"/>
      <c r="AG354" s="32"/>
      <c r="AH354" s="32"/>
      <c r="AI354" s="32"/>
      <c r="AJ354" s="32"/>
      <c r="AV354"/>
      <c r="AW354"/>
      <c r="AX354"/>
      <c r="AY354"/>
      <c r="AZ354"/>
    </row>
    <row r="355" spans="32:59" x14ac:dyDescent="0.15">
      <c r="AF355" s="32"/>
      <c r="AG355" s="32"/>
      <c r="AH355" s="32"/>
      <c r="AI355" s="32"/>
      <c r="AJ355" s="32"/>
      <c r="AV355"/>
      <c r="AW355"/>
      <c r="AX355"/>
      <c r="AY355"/>
      <c r="AZ355"/>
    </row>
    <row r="356" spans="32:59" x14ac:dyDescent="0.15">
      <c r="AF356" s="32"/>
      <c r="AG356" s="32"/>
      <c r="AH356" s="32"/>
      <c r="AI356" s="32"/>
      <c r="AJ356" s="32"/>
      <c r="AV356"/>
      <c r="AW356"/>
      <c r="AX356"/>
      <c r="AY356"/>
      <c r="AZ356"/>
    </row>
    <row r="357" spans="32:59" x14ac:dyDescent="0.15">
      <c r="AF357" s="32"/>
      <c r="AG357" s="32"/>
      <c r="AH357" s="32"/>
      <c r="AI357" s="32"/>
      <c r="AJ357" s="32"/>
      <c r="AV357"/>
      <c r="AW357"/>
      <c r="AX357"/>
      <c r="AY357"/>
      <c r="AZ357"/>
    </row>
    <row r="358" spans="32:59" x14ac:dyDescent="0.15">
      <c r="AF358" s="32"/>
      <c r="AG358" s="32"/>
      <c r="AH358" s="32"/>
      <c r="AI358" s="32"/>
      <c r="AJ358" s="32"/>
      <c r="AR358"/>
      <c r="AS358"/>
      <c r="AT358"/>
      <c r="AU358"/>
      <c r="AV358"/>
    </row>
    <row r="359" spans="32:59" x14ac:dyDescent="0.15">
      <c r="AF359" s="32"/>
      <c r="AG359" s="32"/>
      <c r="AH359" s="32"/>
      <c r="AI359" s="32"/>
      <c r="AJ359" s="32"/>
      <c r="AR359"/>
      <c r="AS359"/>
      <c r="AT359"/>
      <c r="AU359"/>
      <c r="AV359"/>
    </row>
    <row r="360" spans="32:59" x14ac:dyDescent="0.15">
      <c r="AF360" s="32"/>
      <c r="AG360" s="32"/>
      <c r="AH360" s="32"/>
      <c r="AI360" s="32"/>
      <c r="AJ360" s="32"/>
      <c r="AR360"/>
      <c r="AS360"/>
      <c r="AT360"/>
      <c r="AU360"/>
      <c r="AV360"/>
    </row>
    <row r="361" spans="32:59" x14ac:dyDescent="0.15">
      <c r="AF361" s="32"/>
      <c r="AG361" s="32"/>
      <c r="AH361" s="32"/>
      <c r="AI361" s="32"/>
      <c r="AJ361" s="32"/>
      <c r="AR361"/>
      <c r="AS361"/>
      <c r="AT361"/>
      <c r="AU361"/>
      <c r="AV361"/>
    </row>
    <row r="362" spans="32:59" x14ac:dyDescent="0.15">
      <c r="AF362" s="32"/>
      <c r="AG362" s="32"/>
      <c r="AH362" s="32"/>
      <c r="AI362" s="32"/>
      <c r="AJ362" s="32"/>
      <c r="AR362"/>
      <c r="AS362"/>
      <c r="AT362"/>
      <c r="AU362"/>
      <c r="AV362"/>
    </row>
    <row r="363" spans="32:59" x14ac:dyDescent="0.15">
      <c r="AF363" s="32"/>
      <c r="AG363" s="32"/>
      <c r="AH363" s="32"/>
      <c r="AI363" s="32"/>
      <c r="AJ363" s="32"/>
      <c r="AR363"/>
      <c r="AS363"/>
      <c r="AT363"/>
      <c r="AU363"/>
      <c r="AV363"/>
    </row>
    <row r="364" spans="32:59" x14ac:dyDescent="0.15">
      <c r="AF364" s="32"/>
      <c r="AG364" s="32"/>
      <c r="AH364" s="32"/>
      <c r="AI364" s="32"/>
      <c r="AJ364" s="32"/>
      <c r="AX364"/>
      <c r="AY364"/>
      <c r="AZ364"/>
      <c r="BA364"/>
      <c r="BB364"/>
    </row>
    <row r="365" spans="32:59" x14ac:dyDescent="0.15">
      <c r="AF365" s="32"/>
      <c r="AG365" s="32"/>
      <c r="AH365" s="32"/>
      <c r="AI365" s="32"/>
      <c r="AJ365" s="32"/>
      <c r="AX365"/>
      <c r="AY365"/>
      <c r="AZ365"/>
      <c r="BA365"/>
      <c r="BB365"/>
    </row>
    <row r="366" spans="32:59" x14ac:dyDescent="0.15">
      <c r="AI366" s="32"/>
      <c r="AJ366" s="32"/>
      <c r="BC366"/>
      <c r="BD366"/>
      <c r="BE366"/>
      <c r="BF366"/>
      <c r="BG366"/>
    </row>
  </sheetData>
  <phoneticPr fontId="40"/>
  <conditionalFormatting sqref="B3:Y3">
    <cfRule type="expression" dxfId="347" priority="1">
      <formula>B$3&lt;DATE(2016,8,31)</formula>
    </cfRule>
  </conditionalFormatting>
  <pageMargins left="0.51181102362204722" right="0.35433070866141736" top="0.51181102362204722" bottom="0.47244094488188981" header="0.31496062992125984" footer="0.31496062992125984"/>
  <pageSetup paperSize="8" scale="52" orientation="landscape" r:id="rId1"/>
  <headerFooter>
    <oddHeader>&amp;L&amp;A&amp;R&amp;D 印刷</oddHeader>
    <oddFooter>&amp;L介護サービス友乃家&amp;C&amp;P/&amp;N&amp;R&amp;F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AJ121"/>
  <sheetViews>
    <sheetView zoomScale="80" zoomScaleNormal="80" workbookViewId="0">
      <pane xSplit="4" ySplit="1" topLeftCell="E2" activePane="bottomRight" state="frozen"/>
      <selection activeCell="C1" sqref="C1"/>
      <selection pane="topRight" activeCell="E1" sqref="E1"/>
      <selection pane="bottomLeft" activeCell="C2" sqref="C2"/>
      <selection pane="bottomRight" activeCell="I103" sqref="I103"/>
    </sheetView>
  </sheetViews>
  <sheetFormatPr defaultRowHeight="14.25" x14ac:dyDescent="0.15"/>
  <cols>
    <col min="1" max="2" width="9" hidden="1" customWidth="1"/>
    <col min="3" max="3" width="9.375" customWidth="1"/>
    <col min="4" max="4" width="38.625" customWidth="1"/>
    <col min="5" max="30" width="15.625" style="435" customWidth="1"/>
  </cols>
  <sheetData>
    <row r="1" spans="1:36" ht="19.5" customHeight="1" thickBot="1" x14ac:dyDescent="0.2">
      <c r="C1" s="66" t="s">
        <v>33</v>
      </c>
      <c r="D1" s="66" t="s">
        <v>131</v>
      </c>
      <c r="E1" s="676">
        <f t="shared" ref="E1:Y1" si="0">EDATE(F1,-1)</f>
        <v>42856</v>
      </c>
      <c r="F1" s="676">
        <f t="shared" si="0"/>
        <v>42887</v>
      </c>
      <c r="G1" s="676">
        <f t="shared" si="0"/>
        <v>42917</v>
      </c>
      <c r="H1" s="676">
        <f t="shared" si="0"/>
        <v>42948</v>
      </c>
      <c r="I1" s="676">
        <f t="shared" si="0"/>
        <v>42979</v>
      </c>
      <c r="J1" s="676">
        <f t="shared" si="0"/>
        <v>43009</v>
      </c>
      <c r="K1" s="676">
        <f t="shared" si="0"/>
        <v>43040</v>
      </c>
      <c r="L1" s="676">
        <f t="shared" si="0"/>
        <v>43070</v>
      </c>
      <c r="M1" s="676">
        <f t="shared" si="0"/>
        <v>43101</v>
      </c>
      <c r="N1" s="676">
        <f t="shared" si="0"/>
        <v>43132</v>
      </c>
      <c r="O1" s="676">
        <f t="shared" si="0"/>
        <v>43160</v>
      </c>
      <c r="P1" s="676">
        <f t="shared" si="0"/>
        <v>43191</v>
      </c>
      <c r="Q1" s="676">
        <f t="shared" si="0"/>
        <v>43221</v>
      </c>
      <c r="R1" s="676">
        <f t="shared" si="0"/>
        <v>43252</v>
      </c>
      <c r="S1" s="676">
        <f t="shared" si="0"/>
        <v>43282</v>
      </c>
      <c r="T1" s="676">
        <f t="shared" si="0"/>
        <v>43313</v>
      </c>
      <c r="U1" s="676">
        <f t="shared" si="0"/>
        <v>43344</v>
      </c>
      <c r="V1" s="676">
        <f t="shared" si="0"/>
        <v>43374</v>
      </c>
      <c r="W1" s="676">
        <f t="shared" si="0"/>
        <v>43405</v>
      </c>
      <c r="X1" s="676">
        <f t="shared" si="0"/>
        <v>43435</v>
      </c>
      <c r="Y1" s="676">
        <f t="shared" si="0"/>
        <v>43466</v>
      </c>
      <c r="Z1" s="676">
        <f>EDATE(AA1,-1)</f>
        <v>43497</v>
      </c>
      <c r="AA1" s="676">
        <f>EDATE(AB1,-1)</f>
        <v>43525</v>
      </c>
      <c r="AB1" s="707">
        <f>推移!AA2</f>
        <v>43556</v>
      </c>
      <c r="AC1" s="418" t="s">
        <v>195</v>
      </c>
      <c r="AD1" s="418" t="s">
        <v>196</v>
      </c>
    </row>
    <row r="2" spans="1:36" ht="19.5" customHeight="1" x14ac:dyDescent="0.15">
      <c r="A2" t="s">
        <v>857</v>
      </c>
      <c r="B2" t="s">
        <v>860</v>
      </c>
      <c r="C2" s="107" t="s">
        <v>493</v>
      </c>
      <c r="D2" s="67" t="s">
        <v>126</v>
      </c>
      <c r="E2" s="419">
        <v>0</v>
      </c>
      <c r="F2" s="419">
        <f>IFERROR(GETPIVOTDATA("合計 / " &amp; $B2,【ピボット】国保連売上!$A$3,"年月",F$1,"事業所",$A2,"請求区分","単月"),0)</f>
        <v>0</v>
      </c>
      <c r="G2" s="419">
        <f>IFERROR(GETPIVOTDATA("合計 / " &amp; $B2,【ピボット】国保連売上!$A$3,"年月",G$1,"事業所",$A2,"請求区分","単月"),0)</f>
        <v>0</v>
      </c>
      <c r="H2" s="419">
        <f>IFERROR(GETPIVOTDATA("合計 / " &amp; $B2,【ピボット】国保連売上!$A$3,"年月",H$1,"事業所",$A2,"請求区分","単月"),0)</f>
        <v>0</v>
      </c>
      <c r="I2" s="419">
        <f>IFERROR(GETPIVOTDATA("合計 / " &amp; $B2,【ピボット】国保連売上!$A$3,"年月",I$1,"事業所",$A2,"請求区分","単月"),0)</f>
        <v>0</v>
      </c>
      <c r="J2" s="419">
        <f>IFERROR(GETPIVOTDATA("合計 / " &amp; $B2,【ピボット】国保連売上!$A$3,"年月",J$1,"事業所",$A2,"請求区分","単月"),0)</f>
        <v>0</v>
      </c>
      <c r="K2" s="419">
        <f>IFERROR(GETPIVOTDATA("合計 / " &amp; $B2,【ピボット】国保連売上!$A$3,"年月",K$1,"事業所",$A2,"請求区分","単月"),0)</f>
        <v>0</v>
      </c>
      <c r="L2" s="419">
        <f>IFERROR(GETPIVOTDATA("合計 / " &amp; $B2,【ピボット】国保連売上!$A$3,"年月",L$1,"事業所",$A2,"請求区分","単月"),0)</f>
        <v>0</v>
      </c>
      <c r="M2" s="419">
        <f>IFERROR(GETPIVOTDATA("合計 / " &amp; $B2,【ピボット】国保連売上!$A$3,"年月",M$1,"事業所",$A2,"請求区分","単月"),0)</f>
        <v>0</v>
      </c>
      <c r="N2" s="419">
        <f>IFERROR(GETPIVOTDATA("合計 / " &amp; $B2,【ピボット】国保連売上!$A$3,"年月",N$1,"事業所",$A2,"請求区分","単月"),0)</f>
        <v>0</v>
      </c>
      <c r="O2" s="419">
        <f>IFERROR(GETPIVOTDATA("合計 / " &amp; $B2,【ピボット】国保連売上!$A$3,"年月",O$1,"事業所",$A2,"請求区分","単月"),0)</f>
        <v>0</v>
      </c>
      <c r="P2" s="419">
        <f>IFERROR(GETPIVOTDATA("合計 / " &amp; $B2,【ピボット】国保連売上!$A$3,"年月",P$1,"事業所",$A2,"請求区分","単月"),0)</f>
        <v>0</v>
      </c>
      <c r="Q2" s="419">
        <f>IFERROR(GETPIVOTDATA("合計 / " &amp; $B2,【ピボット】国保連売上!$A$3,"年月",Q$1,"事業所",$A2,"請求区分","単月"),0)</f>
        <v>0</v>
      </c>
      <c r="R2" s="419">
        <f>IFERROR(GETPIVOTDATA("合計 / " &amp; $B2,【ピボット】国保連売上!$A$3,"年月",R$1,"事業所",$A2,"請求区分","単月"),0)</f>
        <v>0</v>
      </c>
      <c r="S2" s="419">
        <f>IFERROR(GETPIVOTDATA("合計 / " &amp; $B2,【ピボット】国保連売上!$A$3,"年月",S$1,"事業所",$A2,"請求区分","単月"),0)</f>
        <v>0</v>
      </c>
      <c r="T2" s="419">
        <f>IFERROR(GETPIVOTDATA("合計 / " &amp; $B2,【ピボット】国保連売上!$A$3,"年月",T$1,"事業所",$A2,"請求区分","単月"),0)</f>
        <v>0</v>
      </c>
      <c r="U2" s="419">
        <f>IFERROR(GETPIVOTDATA("合計 / " &amp; $B2,【ピボット】国保連売上!$A$3,"年月",U$1,"事業所",$A2,"請求区分","単月"),0)</f>
        <v>0</v>
      </c>
      <c r="V2" s="419">
        <f>IFERROR(GETPIVOTDATA("合計 / " &amp; $B2,【ピボット】国保連売上!$A$3,"年月",V$1,"事業所",$A2,"請求区分","単月"),0)</f>
        <v>0</v>
      </c>
      <c r="W2" s="419">
        <f>IFERROR(GETPIVOTDATA("合計 / " &amp; $B2,【ピボット】国保連売上!$A$3,"年月",W$1,"事業所",$A2,"請求区分","単月"),0)</f>
        <v>0</v>
      </c>
      <c r="X2" s="419">
        <f>IFERROR(GETPIVOTDATA("合計 / " &amp; $B2,【ピボット】国保連売上!$A$3,"年月",X$1,"事業所",$A2,"請求区分","単月"),0)</f>
        <v>0</v>
      </c>
      <c r="Y2" s="419">
        <f>IFERROR(GETPIVOTDATA("合計 / " &amp; $B2,【ピボット】国保連売上!$A$3,"年月",Y$1,"事業所",$A2,"請求区分","単月"),0)</f>
        <v>0</v>
      </c>
      <c r="Z2" s="419">
        <f>IFERROR(GETPIVOTDATA("合計 / " &amp; $B2,【ピボット】国保連売上!$A$3,"年月",Z$1,"事業所",$A2,"請求区分","単月"),0)</f>
        <v>0</v>
      </c>
      <c r="AA2" s="419">
        <f>IFERROR(GETPIVOTDATA("合計 / " &amp; $B2,【ピボット】国保連売上!$A$3,"年月",AA$1,"事業所",$A2,"請求区分","単月"),0)</f>
        <v>0</v>
      </c>
      <c r="AB2" s="419">
        <f>IFERROR(GETPIVOTDATA("合計 / " &amp; $B2,【ピボット】国保連売上!$A$3,"年月",AB$1,"事業所",$A2,"請求区分","単月"),0)</f>
        <v>0</v>
      </c>
      <c r="AC2" s="420">
        <f>SUM(Q2:AB2)</f>
        <v>0</v>
      </c>
      <c r="AD2" s="420">
        <f t="shared" ref="AD2:AD33" si="1">AVERAGE(Q2:AB2)</f>
        <v>0</v>
      </c>
      <c r="AF2" t="s">
        <v>285</v>
      </c>
    </row>
    <row r="3" spans="1:36" ht="19.5" customHeight="1" x14ac:dyDescent="0.15">
      <c r="A3" t="s">
        <v>857</v>
      </c>
      <c r="B3" t="s">
        <v>861</v>
      </c>
      <c r="C3" s="108" t="s">
        <v>490</v>
      </c>
      <c r="D3" s="69" t="s">
        <v>137</v>
      </c>
      <c r="E3" s="421">
        <v>0</v>
      </c>
      <c r="F3" s="421">
        <f>IFERROR(GETPIVOTDATA("合計 / " &amp; $B3,【ピボット】国保連売上!$A$3,"年月",F$1,"事業所",$A3,"請求区分","単月"),0)</f>
        <v>0</v>
      </c>
      <c r="G3" s="421">
        <f>IFERROR(GETPIVOTDATA("合計 / " &amp; $B3,【ピボット】国保連売上!$A$3,"年月",G$1,"事業所",$A3,"請求区分","単月"),0)</f>
        <v>0</v>
      </c>
      <c r="H3" s="421">
        <f>IFERROR(GETPIVOTDATA("合計 / " &amp; $B3,【ピボット】国保連売上!$A$3,"年月",H$1,"事業所",$A3,"請求区分","単月"),0)</f>
        <v>0</v>
      </c>
      <c r="I3" s="421">
        <f>IFERROR(GETPIVOTDATA("合計 / " &amp; $B3,【ピボット】国保連売上!$A$3,"年月",I$1,"事業所",$A3,"請求区分","単月"),0)</f>
        <v>0</v>
      </c>
      <c r="J3" s="421">
        <f>IFERROR(GETPIVOTDATA("合計 / " &amp; $B3,【ピボット】国保連売上!$A$3,"年月",J$1,"事業所",$A3,"請求区分","単月"),0)</f>
        <v>0</v>
      </c>
      <c r="K3" s="421">
        <f>IFERROR(GETPIVOTDATA("合計 / " &amp; $B3,【ピボット】国保連売上!$A$3,"年月",K$1,"事業所",$A3,"請求区分","単月"),0)</f>
        <v>0</v>
      </c>
      <c r="L3" s="421">
        <f>IFERROR(GETPIVOTDATA("合計 / " &amp; $B3,【ピボット】国保連売上!$A$3,"年月",L$1,"事業所",$A3,"請求区分","単月"),0)</f>
        <v>0</v>
      </c>
      <c r="M3" s="421">
        <f>IFERROR(GETPIVOTDATA("合計 / " &amp; $B3,【ピボット】国保連売上!$A$3,"年月",M$1,"事業所",$A3,"請求区分","単月"),0)</f>
        <v>0</v>
      </c>
      <c r="N3" s="421">
        <f>IFERROR(GETPIVOTDATA("合計 / " &amp; $B3,【ピボット】国保連売上!$A$3,"年月",N$1,"事業所",$A3,"請求区分","単月"),0)</f>
        <v>0</v>
      </c>
      <c r="O3" s="421">
        <f>IFERROR(GETPIVOTDATA("合計 / " &amp; $B3,【ピボット】国保連売上!$A$3,"年月",O$1,"事業所",$A3,"請求区分","単月"),0)</f>
        <v>0</v>
      </c>
      <c r="P3" s="421">
        <f>IFERROR(GETPIVOTDATA("合計 / " &amp; $B3,【ピボット】国保連売上!$A$3,"年月",P$1,"事業所",$A3,"請求区分","単月"),0)</f>
        <v>0</v>
      </c>
      <c r="Q3" s="421">
        <f>IFERROR(GETPIVOTDATA("合計 / " &amp; $B3,【ピボット】国保連売上!$A$3,"年月",Q$1,"事業所",$A3,"請求区分","単月"),0)</f>
        <v>0</v>
      </c>
      <c r="R3" s="421">
        <f>IFERROR(GETPIVOTDATA("合計 / " &amp; $B3,【ピボット】国保連売上!$A$3,"年月",R$1,"事業所",$A3,"請求区分","単月"),0)</f>
        <v>0</v>
      </c>
      <c r="S3" s="421">
        <f>IFERROR(GETPIVOTDATA("合計 / " &amp; $B3,【ピボット】国保連売上!$A$3,"年月",S$1,"事業所",$A3,"請求区分","単月"),0)</f>
        <v>0</v>
      </c>
      <c r="T3" s="421">
        <f>IFERROR(GETPIVOTDATA("合計 / " &amp; $B3,【ピボット】国保連売上!$A$3,"年月",T$1,"事業所",$A3,"請求区分","単月"),0)</f>
        <v>0</v>
      </c>
      <c r="U3" s="421">
        <f>IFERROR(GETPIVOTDATA("合計 / " &amp; $B3,【ピボット】国保連売上!$A$3,"年月",U$1,"事業所",$A3,"請求区分","単月"),0)</f>
        <v>0</v>
      </c>
      <c r="V3" s="421">
        <f>IFERROR(GETPIVOTDATA("合計 / " &amp; $B3,【ピボット】国保連売上!$A$3,"年月",V$1,"事業所",$A3,"請求区分","単月"),0)</f>
        <v>0</v>
      </c>
      <c r="W3" s="421">
        <f>IFERROR(GETPIVOTDATA("合計 / " &amp; $B3,【ピボット】国保連売上!$A$3,"年月",W$1,"事業所",$A3,"請求区分","単月"),0)</f>
        <v>0</v>
      </c>
      <c r="X3" s="421">
        <f>IFERROR(GETPIVOTDATA("合計 / " &amp; $B3,【ピボット】国保連売上!$A$3,"年月",X$1,"事業所",$A3,"請求区分","単月"),0)</f>
        <v>0</v>
      </c>
      <c r="Y3" s="421">
        <f>IFERROR(GETPIVOTDATA("合計 / " &amp; $B3,【ピボット】国保連売上!$A$3,"年月",Y$1,"事業所",$A3,"請求区分","単月"),0)</f>
        <v>0</v>
      </c>
      <c r="Z3" s="421">
        <f>IFERROR(GETPIVOTDATA("合計 / " &amp; $B3,【ピボット】国保連売上!$A$3,"年月",Z$1,"事業所",$A3,"請求区分","単月"),0)</f>
        <v>0</v>
      </c>
      <c r="AA3" s="421">
        <f>IFERROR(GETPIVOTDATA("合計 / " &amp; $B3,【ピボット】国保連売上!$A$3,"年月",AA$1,"事業所",$A3,"請求区分","単月"),0)</f>
        <v>0</v>
      </c>
      <c r="AB3" s="421">
        <f>IFERROR(GETPIVOTDATA("合計 / " &amp; $B3,【ピボット】国保連売上!$A$3,"年月",AB$1,"事業所",$A3,"請求区分","単月"),0)</f>
        <v>0</v>
      </c>
      <c r="AC3" s="422">
        <f t="shared" ref="AC3:AC33" si="2">SUM(Q3:AB3)</f>
        <v>0</v>
      </c>
      <c r="AD3" s="422">
        <f t="shared" si="1"/>
        <v>0</v>
      </c>
      <c r="AF3" t="s">
        <v>286</v>
      </c>
    </row>
    <row r="4" spans="1:36" ht="19.5" customHeight="1" x14ac:dyDescent="0.15">
      <c r="A4" t="s">
        <v>857</v>
      </c>
      <c r="B4" t="s">
        <v>862</v>
      </c>
      <c r="C4" s="109"/>
      <c r="D4" s="68" t="s">
        <v>127</v>
      </c>
      <c r="E4" s="423">
        <v>0</v>
      </c>
      <c r="F4" s="423">
        <f>IFERROR(GETPIVOTDATA("合計 / " &amp; $B4,【ピボット】国保連売上!$A$3,"年月",F$1,"事業所",$A4,"請求区分","単月"),0)</f>
        <v>0</v>
      </c>
      <c r="G4" s="423">
        <f>IFERROR(GETPIVOTDATA("合計 / " &amp; $B4,【ピボット】国保連売上!$A$3,"年月",G$1,"事業所",$A4,"請求区分","単月"),0)</f>
        <v>0</v>
      </c>
      <c r="H4" s="423">
        <f>IFERROR(GETPIVOTDATA("合計 / " &amp; $B4,【ピボット】国保連売上!$A$3,"年月",H$1,"事業所",$A4,"請求区分","単月"),0)</f>
        <v>0</v>
      </c>
      <c r="I4" s="423">
        <f>IFERROR(GETPIVOTDATA("合計 / " &amp; $B4,【ピボット】国保連売上!$A$3,"年月",I$1,"事業所",$A4,"請求区分","単月"),0)</f>
        <v>0</v>
      </c>
      <c r="J4" s="423">
        <f>IFERROR(GETPIVOTDATA("合計 / " &amp; $B4,【ピボット】国保連売上!$A$3,"年月",J$1,"事業所",$A4,"請求区分","単月"),0)</f>
        <v>0</v>
      </c>
      <c r="K4" s="423">
        <f>IFERROR(GETPIVOTDATA("合計 / " &amp; $B4,【ピボット】国保連売上!$A$3,"年月",K$1,"事業所",$A4,"請求区分","単月"),0)</f>
        <v>0</v>
      </c>
      <c r="L4" s="423">
        <f>IFERROR(GETPIVOTDATA("合計 / " &amp; $B4,【ピボット】国保連売上!$A$3,"年月",L$1,"事業所",$A4,"請求区分","単月"),0)</f>
        <v>0</v>
      </c>
      <c r="M4" s="423">
        <f>IFERROR(GETPIVOTDATA("合計 / " &amp; $B4,【ピボット】国保連売上!$A$3,"年月",M$1,"事業所",$A4,"請求区分","単月"),0)</f>
        <v>0</v>
      </c>
      <c r="N4" s="423">
        <f>IFERROR(GETPIVOTDATA("合計 / " &amp; $B4,【ピボット】国保連売上!$A$3,"年月",N$1,"事業所",$A4,"請求区分","単月"),0)</f>
        <v>0</v>
      </c>
      <c r="O4" s="423">
        <f>IFERROR(GETPIVOTDATA("合計 / " &amp; $B4,【ピボット】国保連売上!$A$3,"年月",O$1,"事業所",$A4,"請求区分","単月"),0)</f>
        <v>0</v>
      </c>
      <c r="P4" s="423">
        <f>IFERROR(GETPIVOTDATA("合計 / " &amp; $B4,【ピボット】国保連売上!$A$3,"年月",P$1,"事業所",$A4,"請求区分","単月"),0)</f>
        <v>0</v>
      </c>
      <c r="Q4" s="423">
        <f>IFERROR(GETPIVOTDATA("合計 / " &amp; $B4,【ピボット】国保連売上!$A$3,"年月",Q$1,"事業所",$A4,"請求区分","単月"),0)</f>
        <v>0</v>
      </c>
      <c r="R4" s="423">
        <f>IFERROR(GETPIVOTDATA("合計 / " &amp; $B4,【ピボット】国保連売上!$A$3,"年月",R$1,"事業所",$A4,"請求区分","単月"),0)</f>
        <v>0</v>
      </c>
      <c r="S4" s="423">
        <f>IFERROR(GETPIVOTDATA("合計 / " &amp; $B4,【ピボット】国保連売上!$A$3,"年月",S$1,"事業所",$A4,"請求区分","単月"),0)</f>
        <v>0</v>
      </c>
      <c r="T4" s="423">
        <f>IFERROR(GETPIVOTDATA("合計 / " &amp; $B4,【ピボット】国保連売上!$A$3,"年月",T$1,"事業所",$A4,"請求区分","単月"),0)</f>
        <v>0</v>
      </c>
      <c r="U4" s="423">
        <f>IFERROR(GETPIVOTDATA("合計 / " &amp; $B4,【ピボット】国保連売上!$A$3,"年月",U$1,"事業所",$A4,"請求区分","単月"),0)</f>
        <v>0</v>
      </c>
      <c r="V4" s="423">
        <f>IFERROR(GETPIVOTDATA("合計 / " &amp; $B4,【ピボット】国保連売上!$A$3,"年月",V$1,"事業所",$A4,"請求区分","単月"),0)</f>
        <v>0</v>
      </c>
      <c r="W4" s="423">
        <f>IFERROR(GETPIVOTDATA("合計 / " &amp; $B4,【ピボット】国保連売上!$A$3,"年月",W$1,"事業所",$A4,"請求区分","単月"),0)</f>
        <v>0</v>
      </c>
      <c r="X4" s="423">
        <f>IFERROR(GETPIVOTDATA("合計 / " &amp; $B4,【ピボット】国保連売上!$A$3,"年月",X$1,"事業所",$A4,"請求区分","単月"),0)</f>
        <v>0</v>
      </c>
      <c r="Y4" s="423">
        <f>IFERROR(GETPIVOTDATA("合計 / " &amp; $B4,【ピボット】国保連売上!$A$3,"年月",Y$1,"事業所",$A4,"請求区分","単月"),0)</f>
        <v>0</v>
      </c>
      <c r="Z4" s="423">
        <f>IFERROR(GETPIVOTDATA("合計 / " &amp; $B4,【ピボット】国保連売上!$A$3,"年月",Z$1,"事業所",$A4,"請求区分","単月"),0)</f>
        <v>0</v>
      </c>
      <c r="AA4" s="423">
        <f>IFERROR(GETPIVOTDATA("合計 / " &amp; $B4,【ピボット】国保連売上!$A$3,"年月",AA$1,"事業所",$A4,"請求区分","単月"),0)</f>
        <v>0</v>
      </c>
      <c r="AB4" s="421">
        <f>IFERROR(GETPIVOTDATA("合計 / " &amp; $B4,【ピボット】国保連売上!$A$3,"年月",AB$1,"事業所",$A4,"請求区分","単月"),0)</f>
        <v>0</v>
      </c>
      <c r="AC4" s="424">
        <f t="shared" si="2"/>
        <v>0</v>
      </c>
      <c r="AD4" s="424">
        <f t="shared" si="1"/>
        <v>0</v>
      </c>
      <c r="AF4" t="s">
        <v>287</v>
      </c>
    </row>
    <row r="5" spans="1:36" ht="19.5" customHeight="1" x14ac:dyDescent="0.15">
      <c r="A5" t="s">
        <v>754</v>
      </c>
      <c r="B5" t="s">
        <v>817</v>
      </c>
      <c r="C5" s="109"/>
      <c r="D5" s="68" t="s">
        <v>128</v>
      </c>
      <c r="E5" s="423">
        <v>0</v>
      </c>
      <c r="F5" s="423">
        <f>IFERROR(GETPIVOTDATA("合計 / " &amp; $B5,【ピボット】事業所売上!$A$3,"年月",F$1,"事業所",$A5),0)</f>
        <v>0</v>
      </c>
      <c r="G5" s="423">
        <f>IFERROR(GETPIVOTDATA("合計 / " &amp; $B5,【ピボット】事業所売上!$A$3,"年月",G$1,"事業所",$A5),0)</f>
        <v>0</v>
      </c>
      <c r="H5" s="423">
        <f>IFERROR(GETPIVOTDATA("合計 / " &amp; $B5,【ピボット】事業所売上!$A$3,"年月",H$1,"事業所",$A5),0)</f>
        <v>0</v>
      </c>
      <c r="I5" s="423">
        <f>IFERROR(GETPIVOTDATA("合計 / " &amp; $B5,【ピボット】事業所売上!$A$3,"年月",I$1,"事業所",$A5),0)</f>
        <v>0</v>
      </c>
      <c r="J5" s="423">
        <f>IFERROR(GETPIVOTDATA("合計 / " &amp; $B5,【ピボット】事業所売上!$A$3,"年月",J$1,"事業所",$A5),0)</f>
        <v>140400</v>
      </c>
      <c r="K5" s="423">
        <f>IFERROR(GETPIVOTDATA("合計 / " &amp; $B5,【ピボット】事業所売上!$A$3,"年月",K$1,"事業所",$A5),0)</f>
        <v>0</v>
      </c>
      <c r="L5" s="423">
        <f>IFERROR(GETPIVOTDATA("合計 / " &amp; $B5,【ピボット】事業所売上!$A$3,"年月",L$1,"事業所",$A5),0)</f>
        <v>0</v>
      </c>
      <c r="M5" s="423">
        <f>IFERROR(GETPIVOTDATA("合計 / " &amp; $B5,【ピボット】事業所売上!$A$3,"年月",M$1,"事業所",$A5),0)</f>
        <v>0</v>
      </c>
      <c r="N5" s="423">
        <f>IFERROR(GETPIVOTDATA("合計 / " &amp; $B5,【ピボット】事業所売上!$A$3,"年月",N$1,"事業所",$A5),0)</f>
        <v>0</v>
      </c>
      <c r="O5" s="423">
        <f>IFERROR(GETPIVOTDATA("合計 / " &amp; $B5,【ピボット】事業所売上!$A$3,"年月",O$1,"事業所",$A5),0)</f>
        <v>0</v>
      </c>
      <c r="P5" s="423">
        <f>IFERROR(GETPIVOTDATA("合計 / " &amp; $B5,【ピボット】事業所売上!$A$3,"年月",P$1,"事業所",$A5),0)</f>
        <v>0</v>
      </c>
      <c r="Q5" s="423">
        <f>IFERROR(GETPIVOTDATA("合計 / " &amp; $B5,【ピボット】事業所売上!$A$3,"年月",Q$1,"事業所",$A5),0)</f>
        <v>0</v>
      </c>
      <c r="R5" s="423">
        <f>IFERROR(GETPIVOTDATA("合計 / " &amp; $B5,【ピボット】事業所売上!$A$3,"年月",R$1,"事業所",$A5),0)</f>
        <v>0</v>
      </c>
      <c r="S5" s="423">
        <f>IFERROR(GETPIVOTDATA("合計 / " &amp; $B5,【ピボット】事業所売上!$A$3,"年月",S$1,"事業所",$A5),0)</f>
        <v>0</v>
      </c>
      <c r="T5" s="423">
        <f>IFERROR(GETPIVOTDATA("合計 / " &amp; $B5,【ピボット】事業所売上!$A$3,"年月",T$1,"事業所",$A5),0)</f>
        <v>0</v>
      </c>
      <c r="U5" s="423">
        <f>IFERROR(GETPIVOTDATA("合計 / " &amp; $B5,【ピボット】事業所売上!$A$3,"年月",U$1,"事業所",$A5),0)</f>
        <v>0</v>
      </c>
      <c r="V5" s="423">
        <f>IFERROR(GETPIVOTDATA("合計 / " &amp; $B5,【ピボット】事業所売上!$A$3,"年月",V$1,"事業所",$A5),0)</f>
        <v>0</v>
      </c>
      <c r="W5" s="423">
        <f>IFERROR(GETPIVOTDATA("合計 / " &amp; $B5,【ピボット】事業所売上!$A$3,"年月",W$1,"事業所",$A5),0)</f>
        <v>0</v>
      </c>
      <c r="X5" s="423">
        <f>IFERROR(GETPIVOTDATA("合計 / " &amp; $B5,【ピボット】事業所売上!$A$3,"年月",X$1,"事業所",$A5),0)</f>
        <v>0</v>
      </c>
      <c r="Y5" s="423">
        <f>IFERROR(GETPIVOTDATA("合計 / " &amp; $B5,【ピボット】事業所売上!$A$3,"年月",Y$1,"事業所",$A5),0)</f>
        <v>0</v>
      </c>
      <c r="Z5" s="423">
        <f>IFERROR(GETPIVOTDATA("合計 / " &amp; $B5,【ピボット】事業所売上!$A$3,"年月",Z$1,"事業所",$A5),0)</f>
        <v>0</v>
      </c>
      <c r="AA5" s="423">
        <f>IFERROR(GETPIVOTDATA("合計 / " &amp; $B5,【ピボット】事業所売上!$A$3,"年月",AA$1,"事業所",$A5),0)</f>
        <v>142560</v>
      </c>
      <c r="AB5" s="423">
        <f>IFERROR(GETPIVOTDATA("合計 / " &amp; $B5,【ピボット】事業所売上!$A$3,"年月",AB$1,"事業所",$A5),0)</f>
        <v>0</v>
      </c>
      <c r="AC5" s="424">
        <f>SUM(Q5:AB5)</f>
        <v>142560</v>
      </c>
      <c r="AD5" s="424">
        <f t="shared" si="1"/>
        <v>11880</v>
      </c>
      <c r="AF5" t="s">
        <v>288</v>
      </c>
    </row>
    <row r="6" spans="1:36" ht="19.5" customHeight="1" x14ac:dyDescent="0.15">
      <c r="A6" t="s">
        <v>490</v>
      </c>
      <c r="C6" s="109"/>
      <c r="D6" s="112" t="str">
        <f>C2 &amp; C3 &amp; "売上合計"</f>
        <v>本部・管理部売上合計</v>
      </c>
      <c r="E6" s="425">
        <v>0</v>
      </c>
      <c r="F6" s="425">
        <f>SUM(F2:F5)</f>
        <v>0</v>
      </c>
      <c r="G6" s="425">
        <f t="shared" ref="G6:L6" si="3">SUM(G2:G5)</f>
        <v>0</v>
      </c>
      <c r="H6" s="425">
        <f t="shared" si="3"/>
        <v>0</v>
      </c>
      <c r="I6" s="425">
        <f t="shared" si="3"/>
        <v>0</v>
      </c>
      <c r="J6" s="425">
        <f t="shared" si="3"/>
        <v>140400</v>
      </c>
      <c r="K6" s="425">
        <f t="shared" si="3"/>
        <v>0</v>
      </c>
      <c r="L6" s="425">
        <f t="shared" si="3"/>
        <v>0</v>
      </c>
      <c r="M6" s="425">
        <f t="shared" ref="M6:AA6" si="4">SUM(M2:M5)</f>
        <v>0</v>
      </c>
      <c r="N6" s="425">
        <f t="shared" si="4"/>
        <v>0</v>
      </c>
      <c r="O6" s="425">
        <f t="shared" si="4"/>
        <v>0</v>
      </c>
      <c r="P6" s="425">
        <f t="shared" si="4"/>
        <v>0</v>
      </c>
      <c r="Q6" s="425">
        <f t="shared" si="4"/>
        <v>0</v>
      </c>
      <c r="R6" s="425">
        <f t="shared" si="4"/>
        <v>0</v>
      </c>
      <c r="S6" s="425">
        <f t="shared" si="4"/>
        <v>0</v>
      </c>
      <c r="T6" s="425">
        <f t="shared" si="4"/>
        <v>0</v>
      </c>
      <c r="U6" s="425">
        <f t="shared" si="4"/>
        <v>0</v>
      </c>
      <c r="V6" s="425">
        <f t="shared" si="4"/>
        <v>0</v>
      </c>
      <c r="W6" s="425">
        <f t="shared" si="4"/>
        <v>0</v>
      </c>
      <c r="X6" s="425">
        <f t="shared" si="4"/>
        <v>0</v>
      </c>
      <c r="Y6" s="425">
        <f t="shared" si="4"/>
        <v>0</v>
      </c>
      <c r="Z6" s="425">
        <f t="shared" si="4"/>
        <v>0</v>
      </c>
      <c r="AA6" s="425">
        <f t="shared" si="4"/>
        <v>142560</v>
      </c>
      <c r="AB6" s="425">
        <f>SUM(AB2:AB5)</f>
        <v>0</v>
      </c>
      <c r="AC6" s="426">
        <f t="shared" si="2"/>
        <v>142560</v>
      </c>
      <c r="AD6" s="426">
        <f t="shared" si="1"/>
        <v>11880</v>
      </c>
    </row>
    <row r="7" spans="1:36" ht="19.5" customHeight="1" x14ac:dyDescent="0.15">
      <c r="A7" t="s">
        <v>754</v>
      </c>
      <c r="B7" t="s">
        <v>814</v>
      </c>
      <c r="C7" s="109"/>
      <c r="D7" s="68" t="s">
        <v>129</v>
      </c>
      <c r="E7" s="423">
        <v>3842548</v>
      </c>
      <c r="F7" s="423">
        <f>IFERROR(GETPIVOTDATA("合計 / " &amp; $B7,【ピボット】事業所収支!$A$3,"年月",F$1,"事業所",$A7),0)</f>
        <v>3574531</v>
      </c>
      <c r="G7" s="423">
        <f>IFERROR(GETPIVOTDATA("合計 / " &amp; $B7,【ピボット】事業所収支!$A$3,"年月",G$1,"事業所",$A7),0)</f>
        <v>3876049</v>
      </c>
      <c r="H7" s="423">
        <f>IFERROR(GETPIVOTDATA("合計 / " &amp; $B7,【ピボット】事業所収支!$A$3,"年月",H$1,"事業所",$A7),0)</f>
        <v>3444751</v>
      </c>
      <c r="I7" s="423">
        <f>IFERROR(GETPIVOTDATA("合計 / " &amp; $B7,【ピボット】事業所収支!$A$3,"年月",I$1,"事業所",$A7),0)</f>
        <v>3361765</v>
      </c>
      <c r="J7" s="423">
        <f>IFERROR(GETPIVOTDATA("合計 / " &amp; $B7,【ピボット】事業所収支!$A$3,"年月",J$1,"事業所",$A7),0)</f>
        <v>3416511</v>
      </c>
      <c r="K7" s="423">
        <f>IFERROR(GETPIVOTDATA("合計 / " &amp; $B7,【ピボット】事業所収支!$A$3,"年月",K$1,"事業所",$A7),0)</f>
        <v>4465097</v>
      </c>
      <c r="L7" s="423">
        <f>IFERROR(GETPIVOTDATA("合計 / " &amp; $B7,【ピボット】事業所収支!$A$3,"年月",L$1,"事業所",$A7),0)</f>
        <v>5487649.7577564418</v>
      </c>
      <c r="M7" s="423">
        <f>IFERROR(GETPIVOTDATA("合計 / " &amp; $B7,【ピボット】事業所収支!$A$3,"年月",M$1,"事業所",$A7),0)</f>
        <v>4509811</v>
      </c>
      <c r="N7" s="423">
        <f>IFERROR(GETPIVOTDATA("合計 / " &amp; $B7,【ピボット】事業所収支!$A$3,"年月",N$1,"事業所",$A7),0)</f>
        <v>3654892</v>
      </c>
      <c r="O7" s="423">
        <f>IFERROR(GETPIVOTDATA("合計 / " &amp; $B7,【ピボット】事業所収支!$A$3,"年月",O$1,"事業所",$A7),0)</f>
        <v>3762282</v>
      </c>
      <c r="P7" s="423">
        <f>IFERROR(GETPIVOTDATA("合計 / " &amp; $B7,【ピボット】事業所収支!$A$3,"年月",P$1,"事業所",$A7),0)</f>
        <v>3755392</v>
      </c>
      <c r="Q7" s="423">
        <f>IFERROR(GETPIVOTDATA("合計 / " &amp; $B7,【ピボット】事業所収支!$A$3,"年月",Q$1,"事業所",$A7),0)</f>
        <v>3762490</v>
      </c>
      <c r="R7" s="423">
        <f>IFERROR(GETPIVOTDATA("合計 / " &amp; $B7,【ピボット】事業所収支!$A$3,"年月",R$1,"事業所",$A7),0)</f>
        <v>4982819</v>
      </c>
      <c r="S7" s="423">
        <f>IFERROR(GETPIVOTDATA("合計 / " &amp; $B7,【ピボット】事業所収支!$A$3,"年月",S$1,"事業所",$A7),0)</f>
        <v>4691807</v>
      </c>
      <c r="T7" s="423">
        <f>IFERROR(GETPIVOTDATA("合計 / " &amp; $B7,【ピボット】事業所収支!$A$3,"年月",T$1,"事業所",$A7),0)</f>
        <v>4057264</v>
      </c>
      <c r="U7" s="423">
        <f>IFERROR(GETPIVOTDATA("合計 / " &amp; $B7,【ピボット】事業所収支!$A$3,"年月",U$1,"事業所",$A7),0)</f>
        <v>4275862</v>
      </c>
      <c r="V7" s="423">
        <f>IFERROR(GETPIVOTDATA("合計 / " &amp; $B7,【ピボット】事業所収支!$A$3,"年月",V$1,"事業所",$A7),0)</f>
        <v>4742462</v>
      </c>
      <c r="W7" s="423">
        <f>IFERROR(GETPIVOTDATA("合計 / " &amp; $B7,【ピボット】事業所収支!$A$3,"年月",W$1,"事業所",$A7),0)</f>
        <v>5751671</v>
      </c>
      <c r="X7" s="423">
        <f>IFERROR(GETPIVOTDATA("合計 / " &amp; $B7,【ピボット】事業所収支!$A$3,"年月",X$1,"事業所",$A7),0)</f>
        <v>8276517</v>
      </c>
      <c r="Y7" s="423">
        <f>IFERROR(GETPIVOTDATA("合計 / " &amp; $B7,【ピボット】事業所収支!$A$3,"年月",Y$1,"事業所",$A7),0)</f>
        <v>4804576</v>
      </c>
      <c r="Z7" s="423">
        <f>IFERROR(GETPIVOTDATA("合計 / " &amp; $B7,【ピボット】事業所収支!$A$3,"年月",Z$1,"事業所",$A7),0)</f>
        <v>5356414</v>
      </c>
      <c r="AA7" s="423">
        <f>IFERROR(GETPIVOTDATA("合計 / " &amp; $B7,【ピボット】事業所収支!$A$3,"年月",AA$1,"事業所",$A7),0)</f>
        <v>4480730</v>
      </c>
      <c r="AB7" s="423">
        <f>IFERROR(GETPIVOTDATA("合計 / " &amp; $B7,【ピボット】事業所収支!$A$3,"年月",AB$1,"事業所",$A7),0)</f>
        <v>5414831</v>
      </c>
      <c r="AC7" s="424">
        <f t="shared" si="2"/>
        <v>60597443</v>
      </c>
      <c r="AD7" s="424">
        <f t="shared" si="1"/>
        <v>5049786.916666667</v>
      </c>
      <c r="AF7" t="s">
        <v>289</v>
      </c>
    </row>
    <row r="8" spans="1:36" ht="19.5" customHeight="1" x14ac:dyDescent="0.15">
      <c r="A8" t="s">
        <v>754</v>
      </c>
      <c r="B8" t="s">
        <v>1230</v>
      </c>
      <c r="C8" s="109"/>
      <c r="D8" s="68" t="s">
        <v>130</v>
      </c>
      <c r="E8" s="423">
        <v>1704567</v>
      </c>
      <c r="F8" s="423">
        <f>IFERROR(GETPIVOTDATA("合計 / " &amp; $B8,【ピボット】事業所収支!$A$3,"年月",F$1,"事業所",$A8),0)</f>
        <v>1345014</v>
      </c>
      <c r="G8" s="423">
        <f>IFERROR(GETPIVOTDATA("合計 / " &amp; $B8,【ピボット】事業所収支!$A$3,"年月",G$1,"事業所",$A8),0)</f>
        <v>1234610</v>
      </c>
      <c r="H8" s="423">
        <f>IFERROR(GETPIVOTDATA("合計 / " &amp; $B8,【ピボット】事業所収支!$A$3,"年月",H$1,"事業所",$A8),0)</f>
        <v>3226453</v>
      </c>
      <c r="I8" s="423">
        <f>IFERROR(GETPIVOTDATA("合計 / " &amp; $B8,【ピボット】事業所収支!$A$3,"年月",I$1,"事業所",$A8),0)</f>
        <v>1655232</v>
      </c>
      <c r="J8" s="423">
        <f>IFERROR(GETPIVOTDATA("合計 / " &amp; $B8,【ピボット】事業所収支!$A$3,"年月",J$1,"事業所",$A8),0)</f>
        <v>1563805</v>
      </c>
      <c r="K8" s="423">
        <f>IFERROR(GETPIVOTDATA("合計 / " &amp; $B8,【ピボット】事業所収支!$A$3,"年月",K$1,"事業所",$A8),0)</f>
        <v>2425654</v>
      </c>
      <c r="L8" s="423">
        <f>IFERROR(GETPIVOTDATA("合計 / " &amp; $B8,【ピボット】事業所収支!$A$3,"年月",L$1,"事業所",$A8),0)</f>
        <v>2104595</v>
      </c>
      <c r="M8" s="423">
        <f>IFERROR(GETPIVOTDATA("合計 / " &amp; $B8,【ピボット】事業所収支!$A$3,"年月",M$1,"事業所",$A8),0)</f>
        <v>2318665</v>
      </c>
      <c r="N8" s="423">
        <f>IFERROR(GETPIVOTDATA("合計 / " &amp; $B8,【ピボット】事業所収支!$A$3,"年月",N$1,"事業所",$A8),0)</f>
        <v>1654867</v>
      </c>
      <c r="O8" s="423">
        <f>IFERROR(GETPIVOTDATA("合計 / " &amp; $B8,【ピボット】事業所収支!$A$3,"年月",O$1,"事業所",$A8),0)</f>
        <v>2685780</v>
      </c>
      <c r="P8" s="423">
        <f>IFERROR(GETPIVOTDATA("合計 / " &amp; $B8,【ピボット】事業所収支!$A$3,"年月",P$1,"事業所",$A8),0)</f>
        <v>3392629</v>
      </c>
      <c r="Q8" s="423">
        <f>IFERROR(GETPIVOTDATA("合計 / " &amp; $B8,【ピボット】事業所収支!$A$3,"年月",Q$1,"事業所",$A8),0)</f>
        <v>2776985</v>
      </c>
      <c r="R8" s="423">
        <f>IFERROR(GETPIVOTDATA("合計 / " &amp; $B8,【ピボット】事業所収支!$A$3,"年月",R$1,"事業所",$A8),0)</f>
        <v>4225191</v>
      </c>
      <c r="S8" s="423">
        <f>IFERROR(GETPIVOTDATA("合計 / " &amp; $B8,【ピボット】事業所収支!$A$3,"年月",S$1,"事業所",$A8),0)</f>
        <v>2631277</v>
      </c>
      <c r="T8" s="423">
        <f>IFERROR(GETPIVOTDATA("合計 / " &amp; $B8,【ピボット】事業所収支!$A$3,"年月",T$1,"事業所",$A8),0)</f>
        <v>3953352</v>
      </c>
      <c r="U8" s="423">
        <f>IFERROR(GETPIVOTDATA("合計 / " &amp; $B8,【ピボット】事業所収支!$A$3,"年月",U$1,"事業所",$A8),0)</f>
        <v>3234033</v>
      </c>
      <c r="V8" s="423">
        <f>IFERROR(GETPIVOTDATA("合計 / " &amp; $B8,【ピボット】事業所収支!$A$3,"年月",V$1,"事業所",$A8),0)</f>
        <v>5282133</v>
      </c>
      <c r="W8" s="423">
        <f>IFERROR(GETPIVOTDATA("合計 / " &amp; $B8,【ピボット】事業所収支!$A$3,"年月",W$1,"事業所",$A8),0)</f>
        <v>2864700</v>
      </c>
      <c r="X8" s="423">
        <f>IFERROR(GETPIVOTDATA("合計 / " &amp; $B8,【ピボット】事業所収支!$A$3,"年月",X$1,"事業所",$A8),0)</f>
        <v>1950921</v>
      </c>
      <c r="Y8" s="423">
        <f>IFERROR(GETPIVOTDATA("合計 / " &amp; $B8,【ピボット】事業所収支!$A$3,"年月",Y$1,"事業所",$A8),0)</f>
        <v>1758723</v>
      </c>
      <c r="Z8" s="423">
        <f>IFERROR(GETPIVOTDATA("合計 / " &amp; $B8,【ピボット】事業所収支!$A$3,"年月",Z$1,"事業所",$A8),0)</f>
        <v>2554606</v>
      </c>
      <c r="AA8" s="423">
        <f>IFERROR(GETPIVOTDATA("合計 / " &amp; $B8,【ピボット】事業所収支!$A$3,"年月",AA$1,"事業所",$A8),0)</f>
        <v>2293024</v>
      </c>
      <c r="AB8" s="423">
        <f>IFERROR(GETPIVOTDATA("合計 / " &amp; $B8,【ピボット】事業所収支!$A$3,"年月",AB$1,"事業所",$A8),0)</f>
        <v>2444410</v>
      </c>
      <c r="AC8" s="424">
        <f t="shared" si="2"/>
        <v>35969355</v>
      </c>
      <c r="AD8" s="424">
        <f t="shared" si="1"/>
        <v>2997446.25</v>
      </c>
      <c r="AF8" t="s">
        <v>289</v>
      </c>
    </row>
    <row r="9" spans="1:36" ht="19.5" customHeight="1" thickBot="1" x14ac:dyDescent="0.2">
      <c r="C9" s="110"/>
      <c r="D9" s="113" t="s">
        <v>138</v>
      </c>
      <c r="E9" s="427">
        <v>-5547115</v>
      </c>
      <c r="F9" s="427">
        <f>SUM(F6)-SUM(F7:F8)</f>
        <v>-4919545</v>
      </c>
      <c r="G9" s="427">
        <f t="shared" ref="G9:L9" si="5">SUM(G6)-SUM(G7:G8)</f>
        <v>-5110659</v>
      </c>
      <c r="H9" s="427">
        <f t="shared" si="5"/>
        <v>-6671204</v>
      </c>
      <c r="I9" s="427">
        <f t="shared" si="5"/>
        <v>-5016997</v>
      </c>
      <c r="J9" s="427">
        <f t="shared" si="5"/>
        <v>-4839916</v>
      </c>
      <c r="K9" s="427">
        <f t="shared" si="5"/>
        <v>-6890751</v>
      </c>
      <c r="L9" s="427">
        <f t="shared" si="5"/>
        <v>-7592244.7577564418</v>
      </c>
      <c r="M9" s="427">
        <f t="shared" ref="M9:AA9" si="6">SUM(M6)-SUM(M7:M8)</f>
        <v>-6828476</v>
      </c>
      <c r="N9" s="427">
        <f t="shared" si="6"/>
        <v>-5309759</v>
      </c>
      <c r="O9" s="427">
        <f t="shared" si="6"/>
        <v>-6448062</v>
      </c>
      <c r="P9" s="427">
        <f t="shared" si="6"/>
        <v>-7148021</v>
      </c>
      <c r="Q9" s="427">
        <f t="shared" si="6"/>
        <v>-6539475</v>
      </c>
      <c r="R9" s="427">
        <f t="shared" si="6"/>
        <v>-9208010</v>
      </c>
      <c r="S9" s="427">
        <f t="shared" si="6"/>
        <v>-7323084</v>
      </c>
      <c r="T9" s="427">
        <f t="shared" si="6"/>
        <v>-8010616</v>
      </c>
      <c r="U9" s="427">
        <f t="shared" si="6"/>
        <v>-7509895</v>
      </c>
      <c r="V9" s="427">
        <f t="shared" si="6"/>
        <v>-10024595</v>
      </c>
      <c r="W9" s="427">
        <f t="shared" si="6"/>
        <v>-8616371</v>
      </c>
      <c r="X9" s="427">
        <f t="shared" si="6"/>
        <v>-10227438</v>
      </c>
      <c r="Y9" s="427">
        <f t="shared" si="6"/>
        <v>-6563299</v>
      </c>
      <c r="Z9" s="427">
        <f t="shared" si="6"/>
        <v>-7911020</v>
      </c>
      <c r="AA9" s="427">
        <f t="shared" si="6"/>
        <v>-6631194</v>
      </c>
      <c r="AB9" s="427">
        <f>SUM(AB6)-SUM(AB7:AB8)</f>
        <v>-7859241</v>
      </c>
      <c r="AC9" s="428">
        <f t="shared" si="2"/>
        <v>-96424238</v>
      </c>
      <c r="AD9" s="428">
        <f t="shared" si="1"/>
        <v>-8035353.166666667</v>
      </c>
    </row>
    <row r="10" spans="1:36" ht="19.5" customHeight="1" x14ac:dyDescent="0.15">
      <c r="A10" t="s">
        <v>34</v>
      </c>
      <c r="B10" t="s">
        <v>860</v>
      </c>
      <c r="C10" s="108" t="s">
        <v>34</v>
      </c>
      <c r="D10" s="69" t="s">
        <v>126</v>
      </c>
      <c r="E10" s="421">
        <v>8386692</v>
      </c>
      <c r="F10" s="421">
        <f>IFERROR(GETPIVOTDATA("合計 / " &amp; $B10,【ピボット】国保連売上!$A$3,"年月",F$1,"事業所",$A10,"請求区分","単月"),0)</f>
        <v>9227912</v>
      </c>
      <c r="G10" s="421">
        <f>IFERROR(GETPIVOTDATA("合計 / " &amp; $B10,【ピボット】国保連売上!$A$3,"年月",G$1,"事業所",$A10,"請求区分","単月"),0)</f>
        <v>9776465</v>
      </c>
      <c r="H10" s="421">
        <f>IFERROR(GETPIVOTDATA("合計 / " &amp; $B10,【ピボット】国保連売上!$A$3,"年月",H$1,"事業所",$A10,"請求区分","単月"),0)</f>
        <v>9774030</v>
      </c>
      <c r="I10" s="421">
        <f>IFERROR(GETPIVOTDATA("合計 / " &amp; $B10,【ピボット】国保連売上!$A$3,"年月",I$1,"事業所",$A10,"請求区分","単月"),0)</f>
        <v>10148554</v>
      </c>
      <c r="J10" s="421">
        <f>IFERROR(GETPIVOTDATA("合計 / " &amp; $B10,【ピボット】国保連売上!$A$3,"年月",J$1,"事業所",$A10,"請求区分","単月"),0)</f>
        <v>10092092</v>
      </c>
      <c r="K10" s="421">
        <f>IFERROR(GETPIVOTDATA("合計 / " &amp; $B10,【ピボット】国保連売上!$A$3,"年月",K$1,"事業所",$A10,"請求区分","単月"),0)</f>
        <v>9892697</v>
      </c>
      <c r="L10" s="421">
        <f>IFERROR(GETPIVOTDATA("合計 / " &amp; $B10,【ピボット】国保連売上!$A$3,"年月",L$1,"事業所",$A10,"請求区分","単月"),0)</f>
        <v>9393626</v>
      </c>
      <c r="M10" s="421">
        <f>IFERROR(GETPIVOTDATA("合計 / " &amp; $B10,【ピボット】国保連売上!$A$3,"年月",M$1,"事業所",$A10,"請求区分","単月"),0)</f>
        <v>9350432</v>
      </c>
      <c r="N10" s="421">
        <f>IFERROR(GETPIVOTDATA("合計 / " &amp; $B10,【ピボット】国保連売上!$A$3,"年月",N$1,"事業所",$A10,"請求区分","単月"),0)</f>
        <v>8832032</v>
      </c>
      <c r="O10" s="421">
        <f>IFERROR(GETPIVOTDATA("合計 / " &amp; $B10,【ピボット】国保連売上!$A$3,"年月",O$1,"事業所",$A10,"請求区分","単月"),0)</f>
        <v>9878804</v>
      </c>
      <c r="P10" s="421">
        <f>IFERROR(GETPIVOTDATA("合計 / " &amp; $B10,【ピボット】国保連売上!$A$3,"年月",P$1,"事業所",$A10,"請求区分","単月"),0)</f>
        <v>9791668</v>
      </c>
      <c r="Q10" s="421">
        <f>IFERROR(GETPIVOTDATA("合計 / " &amp; $B10,【ピボット】国保連売上!$A$3,"年月",Q$1,"事業所",$A10,"請求区分","単月"),0)</f>
        <v>10087423</v>
      </c>
      <c r="R10" s="421">
        <f>IFERROR(GETPIVOTDATA("合計 / " &amp; $B10,【ピボット】国保連売上!$A$3,"年月",R$1,"事業所",$A10,"請求区分","単月"),0)</f>
        <v>9535609</v>
      </c>
      <c r="S10" s="421">
        <f>IFERROR(GETPIVOTDATA("合計 / " &amp; $B10,【ピボット】国保連売上!$A$3,"年月",S$1,"事業所",$A10,"請求区分","単月"),0)</f>
        <v>10429329</v>
      </c>
      <c r="T10" s="421">
        <f>IFERROR(GETPIVOTDATA("合計 / " &amp; $B10,【ピボット】国保連売上!$A$3,"年月",T$1,"事業所",$A10,"請求区分","単月"),0)</f>
        <v>9914852</v>
      </c>
      <c r="U10" s="421">
        <f>IFERROR(GETPIVOTDATA("合計 / " &amp; $B10,【ピボット】国保連売上!$A$3,"年月",U$1,"事業所",$A10,"請求区分","単月"),0)</f>
        <v>10606419</v>
      </c>
      <c r="V10" s="421">
        <f>IFERROR(GETPIVOTDATA("合計 / " &amp; $B10,【ピボット】国保連売上!$A$3,"年月",V$1,"事業所",$A10,"請求区分","単月"),0)</f>
        <v>11523231</v>
      </c>
      <c r="W10" s="421">
        <f>IFERROR(GETPIVOTDATA("合計 / " &amp; $B10,【ピボット】国保連売上!$A$3,"年月",W$1,"事業所",$A10,"請求区分","単月"),0)</f>
        <v>11643262</v>
      </c>
      <c r="X10" s="421">
        <f>IFERROR(GETPIVOTDATA("合計 / " &amp; $B10,【ピボット】国保連売上!$A$3,"年月",X$1,"事業所",$A10,"請求区分","単月"),0)</f>
        <v>11201961</v>
      </c>
      <c r="Y10" s="421">
        <f>IFERROR(GETPIVOTDATA("合計 / " &amp; $B10,【ピボット】国保連売上!$A$3,"年月",Y$1,"事業所",$A10,"請求区分","単月"),0)</f>
        <v>11414498</v>
      </c>
      <c r="Z10" s="421">
        <f>IFERROR(GETPIVOTDATA("合計 / " &amp; $B10,【ピボット】国保連売上!$A$3,"年月",Z$1,"事業所",$A10,"請求区分","単月"),0)</f>
        <v>10739184</v>
      </c>
      <c r="AA10" s="421">
        <f>IFERROR(GETPIVOTDATA("合計 / " &amp; $B10,【ピボット】国保連売上!$A$3,"年月",AA$1,"事業所",$A10,"請求区分","単月"),0)</f>
        <v>11842205</v>
      </c>
      <c r="AB10" s="419">
        <f>IFERROR(GETPIVOTDATA("合計 / " &amp; $B10,【ピボット】国保連売上!$A$3,"年月",AB$1,"事業所",$A10,"請求区分","単月"),0)</f>
        <v>12074847</v>
      </c>
      <c r="AC10" s="422">
        <f t="shared" si="2"/>
        <v>131012820</v>
      </c>
      <c r="AD10" s="422">
        <f t="shared" si="1"/>
        <v>10917735</v>
      </c>
    </row>
    <row r="11" spans="1:36" ht="19.5" customHeight="1" x14ac:dyDescent="0.15">
      <c r="A11" t="s">
        <v>34</v>
      </c>
      <c r="B11" t="s">
        <v>861</v>
      </c>
      <c r="C11" s="108"/>
      <c r="D11" s="69" t="s">
        <v>137</v>
      </c>
      <c r="E11" s="421">
        <v>87190</v>
      </c>
      <c r="F11" s="421">
        <f>IFERROR(GETPIVOTDATA("合計 / " &amp; $B11,【ピボット】国保連売上!$A$3,"年月",F$1,"事業所",$A11,"請求区分","単月"),0)</f>
        <v>62413</v>
      </c>
      <c r="G11" s="421">
        <f>IFERROR(GETPIVOTDATA("合計 / " &amp; $B11,【ピボット】国保連売上!$A$3,"年月",G$1,"事業所",$A11,"請求区分","単月"),0)</f>
        <v>98567</v>
      </c>
      <c r="H11" s="421">
        <f>IFERROR(GETPIVOTDATA("合計 / " &amp; $B11,【ピボット】国保連売上!$A$3,"年月",H$1,"事業所",$A11,"請求区分","単月"),0)</f>
        <v>100152</v>
      </c>
      <c r="I11" s="421">
        <f>IFERROR(GETPIVOTDATA("合計 / " &amp; $B11,【ピボット】国保連売上!$A$3,"年月",I$1,"事業所",$A11,"請求区分","単月"),0)</f>
        <v>0</v>
      </c>
      <c r="J11" s="421">
        <f>IFERROR(GETPIVOTDATA("合計 / " &amp; $B11,【ピボット】国保連売上!$A$3,"年月",J$1,"事業所",$A11,"請求区分","単月"),0)</f>
        <v>148364</v>
      </c>
      <c r="K11" s="421">
        <f>IFERROR(GETPIVOTDATA("合計 / " &amp; $B11,【ピボット】国保連売上!$A$3,"年月",K$1,"事業所",$A11,"請求区分","単月"),0)</f>
        <v>42286</v>
      </c>
      <c r="L11" s="421">
        <f>IFERROR(GETPIVOTDATA("合計 / " &amp; $B11,【ピボット】国保連売上!$A$3,"年月",L$1,"事業所",$A11,"請求区分","単月"),0)</f>
        <v>273727</v>
      </c>
      <c r="M11" s="421">
        <f>IFERROR(GETPIVOTDATA("合計 / " &amp; $B11,【ピボット】国保連売上!$A$3,"年月",M$1,"事業所",$A11,"請求区分","単月"),0)</f>
        <v>15717</v>
      </c>
      <c r="N11" s="421">
        <f>IFERROR(GETPIVOTDATA("合計 / " &amp; $B11,【ピボット】国保連売上!$A$3,"年月",N$1,"事業所",$A11,"請求区分","単月"),0)</f>
        <v>139955</v>
      </c>
      <c r="O11" s="421">
        <f>IFERROR(GETPIVOTDATA("合計 / " &amp; $B11,【ピボット】国保連売上!$A$3,"年月",O$1,"事業所",$A11,"請求区分","単月"),0)</f>
        <v>163806</v>
      </c>
      <c r="P11" s="421">
        <f>IFERROR(GETPIVOTDATA("合計 / " &amp; $B11,【ピボット】国保連売上!$A$3,"年月",P$1,"事業所",$A11,"請求区分","単月"),0)</f>
        <v>111322</v>
      </c>
      <c r="Q11" s="421">
        <f>IFERROR(GETPIVOTDATA("合計 / " &amp; $B11,【ピボット】国保連売上!$A$3,"年月",Q$1,"事業所",$A11,"請求区分","単月"),0)</f>
        <v>205284</v>
      </c>
      <c r="R11" s="421">
        <f>IFERROR(GETPIVOTDATA("合計 / " &amp; $B11,【ピボット】国保連売上!$A$3,"年月",R$1,"事業所",$A11,"請求区分","単月"),0)</f>
        <v>0</v>
      </c>
      <c r="S11" s="421">
        <f>IFERROR(GETPIVOTDATA("合計 / " &amp; $B11,【ピボット】国保連売上!$A$3,"年月",S$1,"事業所",$A11,"請求区分","単月"),0)</f>
        <v>0</v>
      </c>
      <c r="T11" s="421">
        <f>IFERROR(GETPIVOTDATA("合計 / " &amp; $B11,【ピボット】国保連売上!$A$3,"年月",T$1,"事業所",$A11,"請求区分","単月"),0)</f>
        <v>97380</v>
      </c>
      <c r="U11" s="421">
        <f>IFERROR(GETPIVOTDATA("合計 / " &amp; $B11,【ピボット】国保連売上!$A$3,"年月",U$1,"事業所",$A11,"請求区分","単月"),0)</f>
        <v>76204</v>
      </c>
      <c r="V11" s="421">
        <f>IFERROR(GETPIVOTDATA("合計 / " &amp; $B11,【ピボット】国保連売上!$A$3,"年月",V$1,"事業所",$A11,"請求区分","単月"),0)</f>
        <v>376139</v>
      </c>
      <c r="W11" s="421">
        <f>IFERROR(GETPIVOTDATA("合計 / " &amp; $B11,【ピボット】国保連売上!$A$3,"年月",W$1,"事業所",$A11,"請求区分","単月"),0)</f>
        <v>143142</v>
      </c>
      <c r="X11" s="421">
        <f>IFERROR(GETPIVOTDATA("合計 / " &amp; $B11,【ピボット】国保連売上!$A$3,"年月",X$1,"事業所",$A11,"請求区分","単月"),0)</f>
        <v>87499</v>
      </c>
      <c r="Y11" s="421">
        <f>IFERROR(GETPIVOTDATA("合計 / " &amp; $B11,【ピボット】国保連売上!$A$3,"年月",Y$1,"事業所",$A11,"請求区分","単月"),0)</f>
        <v>158772</v>
      </c>
      <c r="Z11" s="421">
        <f>IFERROR(GETPIVOTDATA("合計 / " &amp; $B11,【ピボット】国保連売上!$A$3,"年月",Z$1,"事業所",$A11,"請求区分","単月"),0)</f>
        <v>102654</v>
      </c>
      <c r="AA11" s="421">
        <f>IFERROR(GETPIVOTDATA("合計 / " &amp; $B11,【ピボット】国保連売上!$A$3,"年月",AA$1,"事業所",$A11,"請求区分","単月"),0)</f>
        <v>152121</v>
      </c>
      <c r="AB11" s="421">
        <f>IFERROR(GETPIVOTDATA("合計 / " &amp; $B11,【ピボット】国保連売上!$A$3,"年月",AB$1,"事業所",$A11,"請求区分","単月"),0)</f>
        <v>28408</v>
      </c>
      <c r="AC11" s="422">
        <f t="shared" si="2"/>
        <v>1427603</v>
      </c>
      <c r="AD11" s="422">
        <f t="shared" si="1"/>
        <v>118966.91666666667</v>
      </c>
    </row>
    <row r="12" spans="1:36" ht="19.5" customHeight="1" x14ac:dyDescent="0.15">
      <c r="A12" t="s">
        <v>34</v>
      </c>
      <c r="B12" t="s">
        <v>862</v>
      </c>
      <c r="C12" s="109"/>
      <c r="D12" s="68" t="s">
        <v>127</v>
      </c>
      <c r="E12" s="423">
        <v>-299941</v>
      </c>
      <c r="F12" s="423">
        <f>IFERROR(GETPIVOTDATA("合計 / " &amp; $B12,【ピボット】国保連売上!$A$3,"年月",F$1,"事業所",$A12,"請求区分","単月"),0)</f>
        <v>-126967</v>
      </c>
      <c r="G12" s="423">
        <f>IFERROR(GETPIVOTDATA("合計 / " &amp; $B12,【ピボット】国保連売上!$A$3,"年月",G$1,"事業所",$A12,"請求区分","単月"),0)</f>
        <v>0</v>
      </c>
      <c r="H12" s="423">
        <f>IFERROR(GETPIVOTDATA("合計 / " &amp; $B12,【ピボット】国保連売上!$A$3,"年月",H$1,"事業所",$A12,"請求区分","単月"),0)</f>
        <v>-120466</v>
      </c>
      <c r="I12" s="423">
        <f>IFERROR(GETPIVOTDATA("合計 / " &amp; $B12,【ピボット】国保連売上!$A$3,"年月",I$1,"事業所",$A12,"請求区分","単月"),0)</f>
        <v>-245734</v>
      </c>
      <c r="J12" s="423">
        <f>IFERROR(GETPIVOTDATA("合計 / " &amp; $B12,【ピボット】国保連売上!$A$3,"年月",J$1,"事業所",$A12,"請求区分","単月"),0)</f>
        <v>-14209</v>
      </c>
      <c r="K12" s="423">
        <f>IFERROR(GETPIVOTDATA("合計 / " &amp; $B12,【ピボット】国保連売上!$A$3,"年月",K$1,"事業所",$A12,"請求区分","単月"),0)</f>
        <v>-605946</v>
      </c>
      <c r="L12" s="423">
        <f>IFERROR(GETPIVOTDATA("合計 / " &amp; $B12,【ピボット】国保連売上!$A$3,"年月",L$1,"事業所",$A12,"請求区分","単月"),0)</f>
        <v>-30847</v>
      </c>
      <c r="M12" s="423">
        <f>IFERROR(GETPIVOTDATA("合計 / " &amp; $B12,【ピボット】国保連売上!$A$3,"年月",M$1,"事業所",$A12,"請求区分","単月"),0)</f>
        <v>-152025</v>
      </c>
      <c r="N12" s="423">
        <f>IFERROR(GETPIVOTDATA("合計 / " &amp; $B12,【ピボット】国保連売上!$A$3,"年月",N$1,"事業所",$A12,"請求区分","単月"),0)</f>
        <v>-11149</v>
      </c>
      <c r="O12" s="423">
        <f>IFERROR(GETPIVOTDATA("合計 / " &amp; $B12,【ピボット】国保連売上!$A$3,"年月",O$1,"事業所",$A12,"請求区分","単月"),0)</f>
        <v>-293478</v>
      </c>
      <c r="P12" s="423">
        <f>IFERROR(GETPIVOTDATA("合計 / " &amp; $B12,【ピボット】国保連売上!$A$3,"年月",P$1,"事業所",$A12,"請求区分","単月"),0)</f>
        <v>-138940</v>
      </c>
      <c r="Q12" s="423">
        <f>IFERROR(GETPIVOTDATA("合計 / " &amp; $B12,【ピボット】国保連売上!$A$3,"年月",Q$1,"事業所",$A12,"請求区分","単月"),0)</f>
        <v>-16841</v>
      </c>
      <c r="R12" s="423">
        <f>IFERROR(GETPIVOTDATA("合計 / " &amp; $B12,【ピボット】国保連売上!$A$3,"年月",R$1,"事業所",$A12,"請求区分","単月"),0)</f>
        <v>-30827</v>
      </c>
      <c r="S12" s="423">
        <f>IFERROR(GETPIVOTDATA("合計 / " &amp; $B12,【ピボット】国保連売上!$A$3,"年月",S$1,"事業所",$A12,"請求区分","単月"),0)</f>
        <v>-227859</v>
      </c>
      <c r="T12" s="423">
        <f>IFERROR(GETPIVOTDATA("合計 / " &amp; $B12,【ピボット】国保連売上!$A$3,"年月",T$1,"事業所",$A12,"請求区分","単月"),0)</f>
        <v>-673974</v>
      </c>
      <c r="U12" s="423">
        <f>IFERROR(GETPIVOTDATA("合計 / " &amp; $B12,【ピボット】国保連売上!$A$3,"年月",U$1,"事業所",$A12,"請求区分","単月"),0)</f>
        <v>-374991</v>
      </c>
      <c r="V12" s="423">
        <f>IFERROR(GETPIVOTDATA("合計 / " &amp; $B12,【ピボット】国保連売上!$A$3,"年月",V$1,"事業所",$A12,"請求区分","単月"),0)</f>
        <v>-536942</v>
      </c>
      <c r="W12" s="423">
        <f>IFERROR(GETPIVOTDATA("合計 / " &amp; $B12,【ピボット】国保連売上!$A$3,"年月",W$1,"事業所",$A12,"請求区分","単月"),0)</f>
        <v>-586393</v>
      </c>
      <c r="X12" s="423">
        <f>IFERROR(GETPIVOTDATA("合計 / " &amp; $B12,【ピボット】国保連売上!$A$3,"年月",X$1,"事業所",$A12,"請求区分","単月"),0)</f>
        <v>-136658</v>
      </c>
      <c r="Y12" s="423">
        <f>IFERROR(GETPIVOTDATA("合計 / " &amp; $B12,【ピボット】国保連売上!$A$3,"年月",Y$1,"事業所",$A12,"請求区分","単月"),0)</f>
        <v>-86049</v>
      </c>
      <c r="Z12" s="423">
        <f>IFERROR(GETPIVOTDATA("合計 / " &amp; $B12,【ピボット】国保連売上!$A$3,"年月",Z$1,"事業所",$A12,"請求区分","単月"),0)</f>
        <v>-303879</v>
      </c>
      <c r="AA12" s="423">
        <f>IFERROR(GETPIVOTDATA("合計 / " &amp; $B12,【ピボット】国保連売上!$A$3,"年月",AA$1,"事業所",$A12,"請求区分","単月"),0)</f>
        <v>-177796</v>
      </c>
      <c r="AB12" s="421">
        <f>IFERROR(GETPIVOTDATA("合計 / " &amp; $B12,【ピボット】国保連売上!$A$3,"年月",AB$1,"事業所",$A12,"請求区分","単月"),0)</f>
        <v>0</v>
      </c>
      <c r="AC12" s="424">
        <f t="shared" si="2"/>
        <v>-3152209</v>
      </c>
      <c r="AD12" s="424">
        <f t="shared" si="1"/>
        <v>-262684.08333333331</v>
      </c>
    </row>
    <row r="13" spans="1:36" ht="19.5" customHeight="1" x14ac:dyDescent="0.15">
      <c r="A13" t="s">
        <v>744</v>
      </c>
      <c r="B13" t="s">
        <v>815</v>
      </c>
      <c r="C13" s="109"/>
      <c r="D13" s="68" t="s">
        <v>128</v>
      </c>
      <c r="E13" s="423">
        <v>346466</v>
      </c>
      <c r="F13" s="423">
        <f>IFERROR(GETPIVOTDATA("合計 / " &amp; $B13,【ピボット】事業所売上!$A$3,"年月",F$1,"事業所",$A13),0)</f>
        <v>217000</v>
      </c>
      <c r="G13" s="423">
        <f>IFERROR(GETPIVOTDATA("合計 / " &amp; $B13,【ピボット】事業所売上!$A$3,"年月",G$1,"事業所",$A13),0)</f>
        <v>200475</v>
      </c>
      <c r="H13" s="423">
        <f>IFERROR(GETPIVOTDATA("合計 / " &amp; $B13,【ピボット】事業所売上!$A$3,"年月",H$1,"事業所",$A13),0)</f>
        <v>227921</v>
      </c>
      <c r="I13" s="423">
        <f>IFERROR(GETPIVOTDATA("合計 / " &amp; $B13,【ピボット】事業所売上!$A$3,"年月",I$1,"事業所",$A13),0)</f>
        <v>283099</v>
      </c>
      <c r="J13" s="423">
        <f>IFERROR(GETPIVOTDATA("合計 / " &amp; $B13,【ピボット】事業所売上!$A$3,"年月",J$1,"事業所",$A13),0)</f>
        <v>294283</v>
      </c>
      <c r="K13" s="423">
        <f>IFERROR(GETPIVOTDATA("合計 / " &amp; $B13,【ピボット】事業所売上!$A$3,"年月",K$1,"事業所",$A13),0)</f>
        <v>371416</v>
      </c>
      <c r="L13" s="423">
        <f>IFERROR(GETPIVOTDATA("合計 / " &amp; $B13,【ピボット】事業所売上!$A$3,"年月",L$1,"事業所",$A13),0)</f>
        <v>386451</v>
      </c>
      <c r="M13" s="423">
        <f>IFERROR(GETPIVOTDATA("合計 / " &amp; $B13,【ピボット】事業所売上!$A$3,"年月",M$1,"事業所",$A13),0)</f>
        <v>338071</v>
      </c>
      <c r="N13" s="423">
        <f>IFERROR(GETPIVOTDATA("合計 / " &amp; $B13,【ピボット】事業所売上!$A$3,"年月",N$1,"事業所",$A13),0)</f>
        <v>337294</v>
      </c>
      <c r="O13" s="423">
        <f>IFERROR(GETPIVOTDATA("合計 / " &amp; $B13,【ピボット】事業所売上!$A$3,"年月",O$1,"事業所",$A13),0)</f>
        <v>486674</v>
      </c>
      <c r="P13" s="423">
        <f>IFERROR(GETPIVOTDATA("合計 / " &amp; $B13,【ピボット】事業所売上!$A$3,"年月",P$1,"事業所",$A13),0)</f>
        <v>429749</v>
      </c>
      <c r="Q13" s="423">
        <f>IFERROR(GETPIVOTDATA("合計 / " &amp; $B13,【ピボット】事業所売上!$A$3,"年月",Q$1,"事業所",$A13),0)</f>
        <v>426073</v>
      </c>
      <c r="R13" s="423">
        <f>IFERROR(GETPIVOTDATA("合計 / " &amp; $B13,【ピボット】事業所売上!$A$3,"年月",R$1,"事業所",$A13),0)</f>
        <v>287001</v>
      </c>
      <c r="S13" s="423">
        <f>IFERROR(GETPIVOTDATA("合計 / " &amp; $B13,【ピボット】事業所売上!$A$3,"年月",S$1,"事業所",$A13),0)</f>
        <v>365258</v>
      </c>
      <c r="T13" s="423">
        <f>IFERROR(GETPIVOTDATA("合計 / " &amp; $B13,【ピボット】事業所売上!$A$3,"年月",T$1,"事業所",$A13),0)</f>
        <v>337923</v>
      </c>
      <c r="U13" s="423">
        <f>IFERROR(GETPIVOTDATA("合計 / " &amp; $B13,【ピボット】事業所売上!$A$3,"年月",U$1,"事業所",$A13),0)</f>
        <v>334744</v>
      </c>
      <c r="V13" s="423">
        <f>IFERROR(GETPIVOTDATA("合計 / " &amp; $B13,【ピボット】事業所売上!$A$3,"年月",V$1,"事業所",$A13),0)</f>
        <v>948938</v>
      </c>
      <c r="W13" s="423">
        <f>IFERROR(GETPIVOTDATA("合計 / " &amp; $B13,【ピボット】事業所売上!$A$3,"年月",W$1,"事業所",$A13),0)</f>
        <v>822899</v>
      </c>
      <c r="X13" s="423">
        <f>IFERROR(GETPIVOTDATA("合計 / " &amp; $B13,【ピボット】事業所売上!$A$3,"年月",X$1,"事業所",$A13),0)</f>
        <v>699329</v>
      </c>
      <c r="Y13" s="423">
        <f>IFERROR(GETPIVOTDATA("合計 / " &amp; $B13,【ピボット】事業所売上!$A$3,"年月",Y$1,"事業所",$A13),0)</f>
        <v>703749</v>
      </c>
      <c r="Z13" s="423">
        <f>IFERROR(GETPIVOTDATA("合計 / " &amp; $B13,【ピボット】事業所売上!$A$3,"年月",Z$1,"事業所",$A13),0)</f>
        <v>753388</v>
      </c>
      <c r="AA13" s="423">
        <f>IFERROR(GETPIVOTDATA("合計 / " &amp; $B13,【ピボット】事業所売上!$A$3,"年月",AA$1,"事業所",$A13),0)</f>
        <v>669992</v>
      </c>
      <c r="AB13" s="423">
        <f>IFERROR(GETPIVOTDATA("合計 / " &amp; $B13,【ピボット】事業所売上!$A$3,"年月",AB$1,"事業所",$A13),0)</f>
        <v>656704</v>
      </c>
      <c r="AC13" s="424">
        <f t="shared" si="2"/>
        <v>7005998</v>
      </c>
      <c r="AD13" s="424">
        <f t="shared" si="1"/>
        <v>583833.16666666663</v>
      </c>
      <c r="AJ13" t="s">
        <v>363</v>
      </c>
    </row>
    <row r="14" spans="1:36" ht="19.5" customHeight="1" x14ac:dyDescent="0.15">
      <c r="A14" t="s">
        <v>34</v>
      </c>
      <c r="C14" s="109"/>
      <c r="D14" s="112" t="str">
        <f>C10 &amp; "売上合計"</f>
        <v>白金売上合計</v>
      </c>
      <c r="E14" s="425">
        <v>8520407</v>
      </c>
      <c r="F14" s="425">
        <f t="shared" ref="F14:K14" si="7">SUM(F10:F13)</f>
        <v>9380358</v>
      </c>
      <c r="G14" s="425">
        <f t="shared" si="7"/>
        <v>10075507</v>
      </c>
      <c r="H14" s="425">
        <f t="shared" si="7"/>
        <v>9981637</v>
      </c>
      <c r="I14" s="425">
        <f t="shared" si="7"/>
        <v>10185919</v>
      </c>
      <c r="J14" s="425">
        <f t="shared" si="7"/>
        <v>10520530</v>
      </c>
      <c r="K14" s="425">
        <f t="shared" si="7"/>
        <v>9700453</v>
      </c>
      <c r="L14" s="425">
        <f t="shared" ref="L14:AB14" si="8">SUM(L10:L13)</f>
        <v>10022957</v>
      </c>
      <c r="M14" s="425">
        <f t="shared" si="8"/>
        <v>9552195</v>
      </c>
      <c r="N14" s="425">
        <f t="shared" si="8"/>
        <v>9298132</v>
      </c>
      <c r="O14" s="425">
        <f t="shared" si="8"/>
        <v>10235806</v>
      </c>
      <c r="P14" s="425">
        <f t="shared" si="8"/>
        <v>10193799</v>
      </c>
      <c r="Q14" s="425">
        <f t="shared" si="8"/>
        <v>10701939</v>
      </c>
      <c r="R14" s="425">
        <f t="shared" si="8"/>
        <v>9791783</v>
      </c>
      <c r="S14" s="425">
        <f t="shared" si="8"/>
        <v>10566728</v>
      </c>
      <c r="T14" s="425">
        <f t="shared" si="8"/>
        <v>9676181</v>
      </c>
      <c r="U14" s="425">
        <f t="shared" si="8"/>
        <v>10642376</v>
      </c>
      <c r="V14" s="425">
        <f t="shared" si="8"/>
        <v>12311366</v>
      </c>
      <c r="W14" s="425">
        <f t="shared" si="8"/>
        <v>12022910</v>
      </c>
      <c r="X14" s="425">
        <f t="shared" si="8"/>
        <v>11852131</v>
      </c>
      <c r="Y14" s="425">
        <f t="shared" si="8"/>
        <v>12190970</v>
      </c>
      <c r="Z14" s="425">
        <f t="shared" si="8"/>
        <v>11291347</v>
      </c>
      <c r="AA14" s="425">
        <f t="shared" si="8"/>
        <v>12486522</v>
      </c>
      <c r="AB14" s="425">
        <f t="shared" si="8"/>
        <v>12759959</v>
      </c>
      <c r="AC14" s="426">
        <f t="shared" si="2"/>
        <v>136294212</v>
      </c>
      <c r="AD14" s="426">
        <f t="shared" si="1"/>
        <v>11357851</v>
      </c>
    </row>
    <row r="15" spans="1:36" ht="19.5" customHeight="1" x14ac:dyDescent="0.15">
      <c r="A15" t="s">
        <v>744</v>
      </c>
      <c r="B15" t="s">
        <v>15</v>
      </c>
      <c r="C15" s="109"/>
      <c r="D15" s="68" t="s">
        <v>129</v>
      </c>
      <c r="E15" s="423">
        <v>5481361</v>
      </c>
      <c r="F15" s="423">
        <f>IFERROR(GETPIVOTDATA("合計 / " &amp; $B15,【ピボット】事業所収支!$A$3,"年月",F$1,"事業所",$A15),0)</f>
        <v>8389900</v>
      </c>
      <c r="G15" s="423">
        <f>IFERROR(GETPIVOTDATA("合計 / " &amp; $B15,【ピボット】事業所収支!$A$3,"年月",G$1,"事業所",$A15),0)</f>
        <v>5963451</v>
      </c>
      <c r="H15" s="423">
        <f>IFERROR(GETPIVOTDATA("合計 / " &amp; $B15,【ピボット】事業所収支!$A$3,"年月",H$1,"事業所",$A15),0)</f>
        <v>5945104</v>
      </c>
      <c r="I15" s="423">
        <f>IFERROR(GETPIVOTDATA("合計 / " &amp; $B15,【ピボット】事業所収支!$A$3,"年月",I$1,"事業所",$A15),0)</f>
        <v>5686858</v>
      </c>
      <c r="J15" s="423">
        <f>IFERROR(GETPIVOTDATA("合計 / " &amp; $B15,【ピボット】事業所収支!$A$3,"年月",J$1,"事業所",$A15),0)</f>
        <v>5926745</v>
      </c>
      <c r="K15" s="423">
        <f>IFERROR(GETPIVOTDATA("合計 / " &amp; $B15,【ピボット】事業所収支!$A$3,"年月",K$1,"事業所",$A15),0)</f>
        <v>5874921</v>
      </c>
      <c r="L15" s="423">
        <f>IFERROR(GETPIVOTDATA("合計 / " &amp; $B15,【ピボット】事業所収支!$A$3,"年月",L$1,"事業所",$A15),0)</f>
        <v>9246413.5809065793</v>
      </c>
      <c r="M15" s="423">
        <f>IFERROR(GETPIVOTDATA("合計 / " &amp; $B15,【ピボット】事業所収支!$A$3,"年月",M$1,"事業所",$A15),0)</f>
        <v>6117998</v>
      </c>
      <c r="N15" s="423">
        <f>IFERROR(GETPIVOTDATA("合計 / " &amp; $B15,【ピボット】事業所収支!$A$3,"年月",N$1,"事業所",$A15),0)</f>
        <v>5099734</v>
      </c>
      <c r="O15" s="423">
        <f>IFERROR(GETPIVOTDATA("合計 / " &amp; $B15,【ピボット】事業所収支!$A$3,"年月",O$1,"事業所",$A15),0)</f>
        <v>5529722</v>
      </c>
      <c r="P15" s="423">
        <f>IFERROR(GETPIVOTDATA("合計 / " &amp; $B15,【ピボット】事業所収支!$A$3,"年月",P$1,"事業所",$A15),0)</f>
        <v>5610054</v>
      </c>
      <c r="Q15" s="423">
        <f>IFERROR(GETPIVOTDATA("合計 / " &amp; $B15,【ピボット】事業所収支!$A$3,"年月",Q$1,"事業所",$A15),0)</f>
        <v>5597651</v>
      </c>
      <c r="R15" s="423">
        <f>IFERROR(GETPIVOTDATA("合計 / " &amp; $B15,【ピボット】事業所収支!$A$3,"年月",R$1,"事業所",$A15),0)</f>
        <v>8343946</v>
      </c>
      <c r="S15" s="423">
        <f>IFERROR(GETPIVOTDATA("合計 / " &amp; $B15,【ピボット】事業所収支!$A$3,"年月",S$1,"事業所",$A15),0)</f>
        <v>6323797</v>
      </c>
      <c r="T15" s="423">
        <f>IFERROR(GETPIVOTDATA("合計 / " &amp; $B15,【ピボット】事業所収支!$A$3,"年月",T$1,"事業所",$A15),0)</f>
        <v>6012816</v>
      </c>
      <c r="U15" s="423">
        <f>IFERROR(GETPIVOTDATA("合計 / " &amp; $B15,【ピボット】事業所収支!$A$3,"年月",U$1,"事業所",$A15),0)</f>
        <v>5728498</v>
      </c>
      <c r="V15" s="423">
        <f>IFERROR(GETPIVOTDATA("合計 / " &amp; $B15,【ピボット】事業所収支!$A$3,"年月",V$1,"事業所",$A15),0)</f>
        <v>6850522</v>
      </c>
      <c r="W15" s="423">
        <f>IFERROR(GETPIVOTDATA("合計 / " &amp; $B15,【ピボット】事業所収支!$A$3,"年月",W$1,"事業所",$A15),0)</f>
        <v>6898249</v>
      </c>
      <c r="X15" s="423">
        <f>IFERROR(GETPIVOTDATA("合計 / " &amp; $B15,【ピボット】事業所収支!$A$3,"年月",X$1,"事業所",$A15),0)</f>
        <v>10396961</v>
      </c>
      <c r="Y15" s="423">
        <f>IFERROR(GETPIVOTDATA("合計 / " &amp; $B15,【ピボット】事業所収支!$A$3,"年月",Y$1,"事業所",$A15),0)</f>
        <v>7106379</v>
      </c>
      <c r="Z15" s="423">
        <f>IFERROR(GETPIVOTDATA("合計 / " &amp; $B15,【ピボット】事業所収支!$A$3,"年月",Z$1,"事業所",$A15),0)</f>
        <v>6977171</v>
      </c>
      <c r="AA15" s="423">
        <f>IFERROR(GETPIVOTDATA("合計 / " &amp; $B15,【ピボット】事業所収支!$A$3,"年月",AA$1,"事業所",$A15),0)</f>
        <v>7175183</v>
      </c>
      <c r="AB15" s="423">
        <f>IFERROR(GETPIVOTDATA("合計 / " &amp; $B15,【ピボット】事業所収支!$A$3,"年月",AB$1,"事業所",$A15),0)</f>
        <v>6591671</v>
      </c>
      <c r="AC15" s="424">
        <f t="shared" si="2"/>
        <v>84002844</v>
      </c>
      <c r="AD15" s="424">
        <f t="shared" si="1"/>
        <v>7000237</v>
      </c>
    </row>
    <row r="16" spans="1:36" ht="19.5" customHeight="1" x14ac:dyDescent="0.15">
      <c r="A16" t="s">
        <v>806</v>
      </c>
      <c r="B16" t="s">
        <v>1231</v>
      </c>
      <c r="C16" s="109"/>
      <c r="D16" s="68" t="s">
        <v>130</v>
      </c>
      <c r="E16" s="423">
        <v>761590</v>
      </c>
      <c r="F16" s="423">
        <f>IFERROR(GETPIVOTDATA("合計 / " &amp; $B16,【ピボット】事業所収支!$A$3,"年月",F$1,"事業所",$A16),0)</f>
        <v>687623</v>
      </c>
      <c r="G16" s="423">
        <f>IFERROR(GETPIVOTDATA("合計 / " &amp; $B16,【ピボット】事業所収支!$A$3,"年月",G$1,"事業所",$A16),0)</f>
        <v>686383</v>
      </c>
      <c r="H16" s="423">
        <f>IFERROR(GETPIVOTDATA("合計 / " &amp; $B16,【ピボット】事業所収支!$A$3,"年月",H$1,"事業所",$A16),0)</f>
        <v>815869</v>
      </c>
      <c r="I16" s="423">
        <f>IFERROR(GETPIVOTDATA("合計 / " &amp; $B16,【ピボット】事業所収支!$A$3,"年月",I$1,"事業所",$A16),0)</f>
        <v>693471</v>
      </c>
      <c r="J16" s="423">
        <f>IFERROR(GETPIVOTDATA("合計 / " &amp; $B16,【ピボット】事業所収支!$A$3,"年月",J$1,"事業所",$A16),0)</f>
        <v>731238</v>
      </c>
      <c r="K16" s="423">
        <f>IFERROR(GETPIVOTDATA("合計 / " &amp; $B16,【ピボット】事業所収支!$A$3,"年月",K$1,"事業所",$A16),0)</f>
        <v>718518</v>
      </c>
      <c r="L16" s="423">
        <f>IFERROR(GETPIVOTDATA("合計 / " &amp; $B16,【ピボット】事業所収支!$A$3,"年月",L$1,"事業所",$A16),0)</f>
        <v>1226343</v>
      </c>
      <c r="M16" s="423">
        <f>IFERROR(GETPIVOTDATA("合計 / " &amp; $B16,【ピボット】事業所収支!$A$3,"年月",M$1,"事業所",$A16),0)</f>
        <v>748654</v>
      </c>
      <c r="N16" s="423">
        <f>IFERROR(GETPIVOTDATA("合計 / " &amp; $B16,【ピボット】事業所収支!$A$3,"年月",N$1,"事業所",$A16),0)</f>
        <v>865331</v>
      </c>
      <c r="O16" s="423">
        <f>IFERROR(GETPIVOTDATA("合計 / " &amp; $B16,【ピボット】事業所収支!$A$3,"年月",O$1,"事業所",$A16),0)</f>
        <v>1009607</v>
      </c>
      <c r="P16" s="423">
        <f>IFERROR(GETPIVOTDATA("合計 / " &amp; $B16,【ピボット】事業所収支!$A$3,"年月",P$1,"事業所",$A16),0)</f>
        <v>923174</v>
      </c>
      <c r="Q16" s="423">
        <f>IFERROR(GETPIVOTDATA("合計 / " &amp; $B16,【ピボット】事業所収支!$A$3,"年月",Q$1,"事業所",$A16),0)</f>
        <v>1100663</v>
      </c>
      <c r="R16" s="423">
        <f>IFERROR(GETPIVOTDATA("合計 / " &amp; $B16,【ピボット】事業所収支!$A$3,"年月",R$1,"事業所",$A16),0)</f>
        <v>816030</v>
      </c>
      <c r="S16" s="423">
        <f>IFERROR(GETPIVOTDATA("合計 / " &amp; $B16,【ピボット】事業所収支!$A$3,"年月",S$1,"事業所",$A16),0)</f>
        <v>1023675</v>
      </c>
      <c r="T16" s="423">
        <f>IFERROR(GETPIVOTDATA("合計 / " &amp; $B16,【ピボット】事業所収支!$A$3,"年月",T$1,"事業所",$A16),0)</f>
        <v>1058189</v>
      </c>
      <c r="U16" s="423">
        <f>IFERROR(GETPIVOTDATA("合計 / " &amp; $B16,【ピボット】事業所収支!$A$3,"年月",U$1,"事業所",$A16),0)</f>
        <v>830297</v>
      </c>
      <c r="V16" s="423">
        <f>IFERROR(GETPIVOTDATA("合計 / " &amp; $B16,【ピボット】事業所収支!$A$3,"年月",V$1,"事業所",$A16),0)</f>
        <v>1854621</v>
      </c>
      <c r="W16" s="423">
        <f>IFERROR(GETPIVOTDATA("合計 / " &amp; $B16,【ピボット】事業所収支!$A$3,"年月",W$1,"事業所",$A16),0)</f>
        <v>1365541</v>
      </c>
      <c r="X16" s="423">
        <f>IFERROR(GETPIVOTDATA("合計 / " &amp; $B16,【ピボット】事業所収支!$A$3,"年月",X$1,"事業所",$A16),0)</f>
        <v>1361625</v>
      </c>
      <c r="Y16" s="423">
        <f>IFERROR(GETPIVOTDATA("合計 / " &amp; $B16,【ピボット】事業所収支!$A$3,"年月",Y$1,"事業所",$A16),0)</f>
        <v>1548843</v>
      </c>
      <c r="Z16" s="423">
        <f>IFERROR(GETPIVOTDATA("合計 / " &amp; $B16,【ピボット】事業所収支!$A$3,"年月",Z$1,"事業所",$A16),0)</f>
        <v>1273886</v>
      </c>
      <c r="AA16" s="423">
        <f>IFERROR(GETPIVOTDATA("合計 / " &amp; $B16,【ピボット】事業所収支!$A$3,"年月",AA$1,"事業所",$A16),0)</f>
        <v>1155405</v>
      </c>
      <c r="AB16" s="423">
        <f>IFERROR(GETPIVOTDATA("合計 / " &amp; $B16,【ピボット】事業所収支!$A$3,"年月",AB$1,"事業所",$A16),0)</f>
        <v>1067661</v>
      </c>
      <c r="AC16" s="424">
        <f t="shared" si="2"/>
        <v>14456436</v>
      </c>
      <c r="AD16" s="424">
        <f t="shared" si="1"/>
        <v>1204703</v>
      </c>
    </row>
    <row r="17" spans="1:30" ht="19.5" customHeight="1" thickBot="1" x14ac:dyDescent="0.2">
      <c r="C17" s="111"/>
      <c r="D17" s="113" t="s">
        <v>138</v>
      </c>
      <c r="E17" s="427">
        <v>2277456</v>
      </c>
      <c r="F17" s="427">
        <f t="shared" ref="F17:K17" si="9">SUM(F14)-SUM(F15:F16)</f>
        <v>302835</v>
      </c>
      <c r="G17" s="427">
        <f t="shared" si="9"/>
        <v>3425673</v>
      </c>
      <c r="H17" s="427">
        <f t="shared" si="9"/>
        <v>3220664</v>
      </c>
      <c r="I17" s="427">
        <f t="shared" si="9"/>
        <v>3805590</v>
      </c>
      <c r="J17" s="427">
        <f t="shared" si="9"/>
        <v>3862547</v>
      </c>
      <c r="K17" s="427">
        <f t="shared" si="9"/>
        <v>3107014</v>
      </c>
      <c r="L17" s="427">
        <f t="shared" ref="L17:AB17" si="10">SUM(L14)-SUM(L15:L16)</f>
        <v>-449799.58090657927</v>
      </c>
      <c r="M17" s="427">
        <f t="shared" si="10"/>
        <v>2685543</v>
      </c>
      <c r="N17" s="427">
        <f t="shared" si="10"/>
        <v>3333067</v>
      </c>
      <c r="O17" s="427">
        <f t="shared" si="10"/>
        <v>3696477</v>
      </c>
      <c r="P17" s="427">
        <f t="shared" si="10"/>
        <v>3660571</v>
      </c>
      <c r="Q17" s="427">
        <f t="shared" si="10"/>
        <v>4003625</v>
      </c>
      <c r="R17" s="427">
        <f t="shared" si="10"/>
        <v>631807</v>
      </c>
      <c r="S17" s="427">
        <f t="shared" si="10"/>
        <v>3219256</v>
      </c>
      <c r="T17" s="427">
        <f t="shared" si="10"/>
        <v>2605176</v>
      </c>
      <c r="U17" s="427">
        <f t="shared" si="10"/>
        <v>4083581</v>
      </c>
      <c r="V17" s="427">
        <f t="shared" si="10"/>
        <v>3606223</v>
      </c>
      <c r="W17" s="427">
        <f t="shared" si="10"/>
        <v>3759120</v>
      </c>
      <c r="X17" s="427">
        <f t="shared" si="10"/>
        <v>93545</v>
      </c>
      <c r="Y17" s="427">
        <f t="shared" si="10"/>
        <v>3535748</v>
      </c>
      <c r="Z17" s="427">
        <f t="shared" si="10"/>
        <v>3040290</v>
      </c>
      <c r="AA17" s="427">
        <f t="shared" si="10"/>
        <v>4155934</v>
      </c>
      <c r="AB17" s="427">
        <f t="shared" si="10"/>
        <v>5100627</v>
      </c>
      <c r="AC17" s="428">
        <f t="shared" si="2"/>
        <v>37834932</v>
      </c>
      <c r="AD17" s="428">
        <f t="shared" si="1"/>
        <v>3152911</v>
      </c>
    </row>
    <row r="18" spans="1:30" ht="19.5" customHeight="1" x14ac:dyDescent="0.15">
      <c r="A18" t="s">
        <v>37</v>
      </c>
      <c r="B18" t="s">
        <v>860</v>
      </c>
      <c r="C18" s="107" t="s">
        <v>37</v>
      </c>
      <c r="D18" s="67" t="s">
        <v>126</v>
      </c>
      <c r="E18" s="429">
        <v>4581976</v>
      </c>
      <c r="F18" s="429">
        <f>IFERROR(GETPIVOTDATA("合計 / " &amp; $B18,【ピボット】国保連売上!$A$3,"年月",F$1,"事業所",$A18,"請求区分","単月"),0)</f>
        <v>5409924</v>
      </c>
      <c r="G18" s="429">
        <f>IFERROR(GETPIVOTDATA("合計 / " &amp; $B18,【ピボット】国保連売上!$A$3,"年月",G$1,"事業所",$A18,"請求区分","単月"),0)</f>
        <v>5466967</v>
      </c>
      <c r="H18" s="429">
        <f>IFERROR(GETPIVOTDATA("合計 / " &amp; $B18,【ピボット】国保連売上!$A$3,"年月",H$1,"事業所",$A18,"請求区分","単月"),0)</f>
        <v>5136732</v>
      </c>
      <c r="I18" s="429">
        <f>IFERROR(GETPIVOTDATA("合計 / " &amp; $B18,【ピボット】国保連売上!$A$3,"年月",I$1,"事業所",$A18,"請求区分","単月"),0)</f>
        <v>5672933</v>
      </c>
      <c r="J18" s="429">
        <f>IFERROR(GETPIVOTDATA("合計 / " &amp; $B18,【ピボット】国保連売上!$A$3,"年月",J$1,"事業所",$A18,"請求区分","単月"),0)</f>
        <v>5571798</v>
      </c>
      <c r="K18" s="429">
        <f>IFERROR(GETPIVOTDATA("合計 / " &amp; $B18,【ピボット】国保連売上!$A$3,"年月",K$1,"事業所",$A18,"請求区分","単月"),0)</f>
        <v>5606848</v>
      </c>
      <c r="L18" s="429">
        <f>IFERROR(GETPIVOTDATA("合計 / " &amp; $B18,【ピボット】国保連売上!$A$3,"年月",L$1,"事業所",$A18,"請求区分","単月"),0)</f>
        <v>5773883</v>
      </c>
      <c r="M18" s="429">
        <f>IFERROR(GETPIVOTDATA("合計 / " &amp; $B18,【ピボット】国保連売上!$A$3,"年月",M$1,"事業所",$A18,"請求区分","単月"),0)</f>
        <v>5390166</v>
      </c>
      <c r="N18" s="429">
        <f>IFERROR(GETPIVOTDATA("合計 / " &amp; $B18,【ピボット】国保連売上!$A$3,"年月",N$1,"事業所",$A18,"請求区分","単月"),0)</f>
        <v>5121995</v>
      </c>
      <c r="O18" s="429">
        <f>IFERROR(GETPIVOTDATA("合計 / " &amp; $B18,【ピボット】国保連売上!$A$3,"年月",O$1,"事業所",$A18,"請求区分","単月"),0)</f>
        <v>6135424</v>
      </c>
      <c r="P18" s="429">
        <f>IFERROR(GETPIVOTDATA("合計 / " &amp; $B18,【ピボット】国保連売上!$A$3,"年月",P$1,"事業所",$A18,"請求区分","単月"),0)</f>
        <v>6044536</v>
      </c>
      <c r="Q18" s="429">
        <f>IFERROR(GETPIVOTDATA("合計 / " &amp; $B18,【ピボット】国保連売上!$A$3,"年月",Q$1,"事業所",$A18,"請求区分","単月"),0)</f>
        <v>6228871</v>
      </c>
      <c r="R18" s="429">
        <f>IFERROR(GETPIVOTDATA("合計 / " &amp; $B18,【ピボット】国保連売上!$A$3,"年月",R$1,"事業所",$A18,"請求区分","単月"),0)</f>
        <v>5692633</v>
      </c>
      <c r="S18" s="429">
        <f>IFERROR(GETPIVOTDATA("合計 / " &amp; $B18,【ピボット】国保連売上!$A$3,"年月",S$1,"事業所",$A18,"請求区分","単月"),0)</f>
        <v>5595832</v>
      </c>
      <c r="T18" s="429">
        <f>IFERROR(GETPIVOTDATA("合計 / " &amp; $B18,【ピボット】国保連売上!$A$3,"年月",T$1,"事業所",$A18,"請求区分","単月"),0)</f>
        <v>5869880</v>
      </c>
      <c r="U18" s="429">
        <f>IFERROR(GETPIVOTDATA("合計 / " &amp; $B18,【ピボット】国保連売上!$A$3,"年月",U$1,"事業所",$A18,"請求区分","単月"),0)</f>
        <v>6084510</v>
      </c>
      <c r="V18" s="429">
        <f>IFERROR(GETPIVOTDATA("合計 / " &amp; $B18,【ピボット】国保連売上!$A$3,"年月",V$1,"事業所",$A18,"請求区分","単月"),0)</f>
        <v>6977480</v>
      </c>
      <c r="W18" s="429">
        <f>IFERROR(GETPIVOTDATA("合計 / " &amp; $B18,【ピボット】国保連売上!$A$3,"年月",W$1,"事業所",$A18,"請求区分","単月"),0)</f>
        <v>6704768</v>
      </c>
      <c r="X18" s="429">
        <f>IFERROR(GETPIVOTDATA("合計 / " &amp; $B18,【ピボット】国保連売上!$A$3,"年月",X$1,"事業所",$A18,"請求区分","単月"),0)</f>
        <v>6361705</v>
      </c>
      <c r="Y18" s="429">
        <f>IFERROR(GETPIVOTDATA("合計 / " &amp; $B18,【ピボット】国保連売上!$A$3,"年月",Y$1,"事業所",$A18,"請求区分","単月"),0)</f>
        <v>5979274</v>
      </c>
      <c r="Z18" s="429">
        <f>IFERROR(GETPIVOTDATA("合計 / " &amp; $B18,【ピボット】国保連売上!$A$3,"年月",Z$1,"事業所",$A18,"請求区分","単月"),0)</f>
        <v>5457691</v>
      </c>
      <c r="AA18" s="429">
        <f>IFERROR(GETPIVOTDATA("合計 / " &amp; $B18,【ピボット】国保連売上!$A$3,"年月",AA$1,"事業所",$A18,"請求区分","単月"),0)</f>
        <v>5358259</v>
      </c>
      <c r="AB18" s="419">
        <f>IFERROR(GETPIVOTDATA("合計 / " &amp; $B18,【ピボット】国保連売上!$A$3,"年月",AB$1,"事業所",$A18,"請求区分","単月"),0)</f>
        <v>5176349</v>
      </c>
      <c r="AC18" s="420">
        <f t="shared" si="2"/>
        <v>71487252</v>
      </c>
      <c r="AD18" s="420">
        <f t="shared" si="1"/>
        <v>5957271</v>
      </c>
    </row>
    <row r="19" spans="1:30" ht="19.5" customHeight="1" x14ac:dyDescent="0.15">
      <c r="A19" t="s">
        <v>37</v>
      </c>
      <c r="B19" t="s">
        <v>861</v>
      </c>
      <c r="C19" s="108"/>
      <c r="D19" s="69" t="s">
        <v>137</v>
      </c>
      <c r="E19" s="421">
        <v>0</v>
      </c>
      <c r="F19" s="421">
        <f>IFERROR(GETPIVOTDATA("合計 / " &amp; $B19,【ピボット】国保連売上!$A$3,"年月",F$1,"事業所",$A19,"請求区分","単月"),0)</f>
        <v>23193</v>
      </c>
      <c r="G19" s="421">
        <f>IFERROR(GETPIVOTDATA("合計 / " &amp; $B19,【ピボット】国保連売上!$A$3,"年月",G$1,"事業所",$A19,"請求区分","単月"),0)</f>
        <v>0</v>
      </c>
      <c r="H19" s="421">
        <f>IFERROR(GETPIVOTDATA("合計 / " &amp; $B19,【ピボット】国保連売上!$A$3,"年月",H$1,"事業所",$A19,"請求区分","単月"),0)</f>
        <v>0</v>
      </c>
      <c r="I19" s="421">
        <f>IFERROR(GETPIVOTDATA("合計 / " &amp; $B19,【ピボット】国保連売上!$A$3,"年月",I$1,"事業所",$A19,"請求区分","単月"),0)</f>
        <v>0</v>
      </c>
      <c r="J19" s="421">
        <f>IFERROR(GETPIVOTDATA("合計 / " &amp; $B19,【ピボット】国保連売上!$A$3,"年月",J$1,"事業所",$A19,"請求区分","単月"),0)</f>
        <v>0</v>
      </c>
      <c r="K19" s="421">
        <f>IFERROR(GETPIVOTDATA("合計 / " &amp; $B19,【ピボット】国保連売上!$A$3,"年月",K$1,"事業所",$A19,"請求区分","単月"),0)</f>
        <v>0</v>
      </c>
      <c r="L19" s="421">
        <f>IFERROR(GETPIVOTDATA("合計 / " &amp; $B19,【ピボット】国保連売上!$A$3,"年月",L$1,"事業所",$A19,"請求区分","単月"),0)</f>
        <v>0</v>
      </c>
      <c r="M19" s="421">
        <f>IFERROR(GETPIVOTDATA("合計 / " &amp; $B19,【ピボット】国保連売上!$A$3,"年月",M$1,"事業所",$A19,"請求区分","単月"),0)</f>
        <v>19989</v>
      </c>
      <c r="N19" s="421">
        <f>IFERROR(GETPIVOTDATA("合計 / " &amp; $B19,【ピボット】国保連売上!$A$3,"年月",N$1,"事業所",$A19,"請求区分","単月"),0)</f>
        <v>314016</v>
      </c>
      <c r="O19" s="421">
        <f>IFERROR(GETPIVOTDATA("合計 / " &amp; $B19,【ピボット】国保連売上!$A$3,"年月",O$1,"事業所",$A19,"請求区分","単月"),0)</f>
        <v>20066</v>
      </c>
      <c r="P19" s="421">
        <f>IFERROR(GETPIVOTDATA("合計 / " &amp; $B19,【ピボット】国保連売上!$A$3,"年月",P$1,"事業所",$A19,"請求区分","単月"),0)</f>
        <v>0</v>
      </c>
      <c r="Q19" s="421">
        <f>IFERROR(GETPIVOTDATA("合計 / " &amp; $B19,【ピボット】国保連売上!$A$3,"年月",Q$1,"事業所",$A19,"請求区分","単月"),0)</f>
        <v>0</v>
      </c>
      <c r="R19" s="421">
        <f>IFERROR(GETPIVOTDATA("合計 / " &amp; $B19,【ピボット】国保連売上!$A$3,"年月",R$1,"事業所",$A19,"請求区分","単月"),0)</f>
        <v>161539</v>
      </c>
      <c r="S19" s="421">
        <f>IFERROR(GETPIVOTDATA("合計 / " &amp; $B19,【ピボット】国保連売上!$A$3,"年月",S$1,"事業所",$A19,"請求区分","単月"),0)</f>
        <v>360099</v>
      </c>
      <c r="T19" s="421">
        <f>IFERROR(GETPIVOTDATA("合計 / " &amp; $B19,【ピボット】国保連売上!$A$3,"年月",T$1,"事業所",$A19,"請求区分","単月"),0)</f>
        <v>43367</v>
      </c>
      <c r="U19" s="421">
        <f>IFERROR(GETPIVOTDATA("合計 / " &amp; $B19,【ピボット】国保連売上!$A$3,"年月",U$1,"事業所",$A19,"請求区分","単月"),0)</f>
        <v>111008</v>
      </c>
      <c r="V19" s="421">
        <f>IFERROR(GETPIVOTDATA("合計 / " &amp; $B19,【ピボット】国保連売上!$A$3,"年月",V$1,"事業所",$A19,"請求区分","単月"),0)</f>
        <v>55307</v>
      </c>
      <c r="W19" s="421">
        <f>IFERROR(GETPIVOTDATA("合計 / " &amp; $B19,【ピボット】国保連売上!$A$3,"年月",W$1,"事業所",$A19,"請求区分","単月"),0)</f>
        <v>87823</v>
      </c>
      <c r="X19" s="421">
        <f>IFERROR(GETPIVOTDATA("合計 / " &amp; $B19,【ピボット】国保連売上!$A$3,"年月",X$1,"事業所",$A19,"請求区分","単月"),0)</f>
        <v>125059</v>
      </c>
      <c r="Y19" s="421">
        <f>IFERROR(GETPIVOTDATA("合計 / " &amp; $B19,【ピボット】国保連売上!$A$3,"年月",Y$1,"事業所",$A19,"請求区分","単月"),0)</f>
        <v>8710</v>
      </c>
      <c r="Z19" s="421">
        <f>IFERROR(GETPIVOTDATA("合計 / " &amp; $B19,【ピボット】国保連売上!$A$3,"年月",Z$1,"事業所",$A19,"請求区分","単月"),0)</f>
        <v>23402.3</v>
      </c>
      <c r="AA19" s="421">
        <f>IFERROR(GETPIVOTDATA("合計 / " &amp; $B19,【ピボット】国保連売上!$A$3,"年月",AA$1,"事業所",$A19,"請求区分","単月"),0)</f>
        <v>453868</v>
      </c>
      <c r="AB19" s="421">
        <f>IFERROR(GETPIVOTDATA("合計 / " &amp; $B19,【ピボット】国保連売上!$A$3,"年月",AB$1,"事業所",$A19,"請求区分","単月"),0)</f>
        <v>52202</v>
      </c>
      <c r="AC19" s="422">
        <f t="shared" si="2"/>
        <v>1482384.3</v>
      </c>
      <c r="AD19" s="422">
        <f t="shared" si="1"/>
        <v>123532.02500000001</v>
      </c>
    </row>
    <row r="20" spans="1:30" ht="19.5" customHeight="1" x14ac:dyDescent="0.15">
      <c r="A20" t="s">
        <v>37</v>
      </c>
      <c r="B20" t="s">
        <v>862</v>
      </c>
      <c r="C20" s="109"/>
      <c r="D20" s="68" t="s">
        <v>127</v>
      </c>
      <c r="E20" s="423">
        <v>-146035</v>
      </c>
      <c r="F20" s="423">
        <f>IFERROR(GETPIVOTDATA("合計 / " &amp; $B20,【ピボット】国保連売上!$A$3,"年月",F$1,"事業所",$A20,"請求区分","単月"),0)</f>
        <v>-190167</v>
      </c>
      <c r="G20" s="423">
        <f>IFERROR(GETPIVOTDATA("合計 / " &amp; $B20,【ピボット】国保連売上!$A$3,"年月",G$1,"事業所",$A20,"請求区分","単月"),0)</f>
        <v>-134471</v>
      </c>
      <c r="H20" s="423">
        <f>IFERROR(GETPIVOTDATA("合計 / " &amp; $B20,【ピボット】国保連売上!$A$3,"年月",H$1,"事業所",$A20,"請求区分","単月"),0)</f>
        <v>-79864</v>
      </c>
      <c r="I20" s="423">
        <f>IFERROR(GETPIVOTDATA("合計 / " &amp; $B20,【ピボット】国保連売上!$A$3,"年月",I$1,"事業所",$A20,"請求区分","単月"),0)</f>
        <v>-5635</v>
      </c>
      <c r="J20" s="423">
        <f>IFERROR(GETPIVOTDATA("合計 / " &amp; $B20,【ピボット】国保連売上!$A$3,"年月",J$1,"事業所",$A20,"請求区分","単月"),0)</f>
        <v>0</v>
      </c>
      <c r="K20" s="423">
        <f>IFERROR(GETPIVOTDATA("合計 / " &amp; $B20,【ピボット】国保連売上!$A$3,"年月",K$1,"事業所",$A20,"請求区分","単月"),0)</f>
        <v>0</v>
      </c>
      <c r="L20" s="423">
        <f>IFERROR(GETPIVOTDATA("合計 / " &amp; $B20,【ピボット】国保連売上!$A$3,"年月",L$1,"事業所",$A20,"請求区分","単月"),0)</f>
        <v>-157538</v>
      </c>
      <c r="M20" s="423">
        <f>IFERROR(GETPIVOTDATA("合計 / " &amp; $B20,【ピボット】国保連売上!$A$3,"年月",M$1,"事業所",$A20,"請求区分","単月"),0)</f>
        <v>-235456</v>
      </c>
      <c r="N20" s="423">
        <f>IFERROR(GETPIVOTDATA("合計 / " &amp; $B20,【ピボット】国保連売上!$A$3,"年月",N$1,"事業所",$A20,"請求区分","単月"),0)</f>
        <v>-170180</v>
      </c>
      <c r="O20" s="423">
        <f>IFERROR(GETPIVOTDATA("合計 / " &amp; $B20,【ピボット】国保連売上!$A$3,"年月",O$1,"事業所",$A20,"請求区分","単月"),0)</f>
        <v>-385077</v>
      </c>
      <c r="P20" s="423">
        <f>IFERROR(GETPIVOTDATA("合計 / " &amp; $B20,【ピボット】国保連売上!$A$3,"年月",P$1,"事業所",$A20,"請求区分","単月"),0)</f>
        <v>-169169</v>
      </c>
      <c r="Q20" s="423">
        <f>IFERROR(GETPIVOTDATA("合計 / " &amp; $B20,【ピボット】国保連売上!$A$3,"年月",Q$1,"事業所",$A20,"請求区分","単月"),0)</f>
        <v>-110364</v>
      </c>
      <c r="R20" s="423">
        <f>IFERROR(GETPIVOTDATA("合計 / " &amp; $B20,【ピボット】国保連売上!$A$3,"年月",R$1,"事業所",$A20,"請求区分","単月"),0)</f>
        <v>-236128</v>
      </c>
      <c r="S20" s="423">
        <f>IFERROR(GETPIVOTDATA("合計 / " &amp; $B20,【ピボット】国保連売上!$A$3,"年月",S$1,"事業所",$A20,"請求区分","単月"),0)</f>
        <v>-76785</v>
      </c>
      <c r="T20" s="423">
        <f>IFERROR(GETPIVOTDATA("合計 / " &amp; $B20,【ピボット】国保連売上!$A$3,"年月",T$1,"事業所",$A20,"請求区分","単月"),0)</f>
        <v>-393881</v>
      </c>
      <c r="U20" s="423">
        <f>IFERROR(GETPIVOTDATA("合計 / " &amp; $B20,【ピボット】国保連売上!$A$3,"年月",U$1,"事業所",$A20,"請求区分","単月"),0)</f>
        <v>-566982</v>
      </c>
      <c r="V20" s="423">
        <f>IFERROR(GETPIVOTDATA("合計 / " &amp; $B20,【ピボット】国保連売上!$A$3,"年月",V$1,"事業所",$A20,"請求区分","単月"),0)</f>
        <v>-400110</v>
      </c>
      <c r="W20" s="423">
        <f>IFERROR(GETPIVOTDATA("合計 / " &amp; $B20,【ピボット】国保連売上!$A$3,"年月",W$1,"事業所",$A20,"請求区分","単月"),0)</f>
        <v>-219999</v>
      </c>
      <c r="X20" s="423">
        <f>IFERROR(GETPIVOTDATA("合計 / " &amp; $B20,【ピボット】国保連売上!$A$3,"年月",X$1,"事業所",$A20,"請求区分","単月"),0)</f>
        <v>-213911</v>
      </c>
      <c r="Y20" s="423">
        <f>IFERROR(GETPIVOTDATA("合計 / " &amp; $B20,【ピボット】国保連売上!$A$3,"年月",Y$1,"事業所",$A20,"請求区分","単月"),0)</f>
        <v>-175419</v>
      </c>
      <c r="Z20" s="423">
        <f>IFERROR(GETPIVOTDATA("合計 / " &amp; $B20,【ピボット】国保連売上!$A$3,"年月",Z$1,"事業所",$A20,"請求区分","単月"),0)</f>
        <v>-163217</v>
      </c>
      <c r="AA20" s="423">
        <f>IFERROR(GETPIVOTDATA("合計 / " &amp; $B20,【ピボット】国保連売上!$A$3,"年月",AA$1,"事業所",$A20,"請求区分","単月"),0)</f>
        <v>-78356</v>
      </c>
      <c r="AB20" s="421">
        <f>IFERROR(GETPIVOTDATA("合計 / " &amp; $B20,【ピボット】国保連売上!$A$3,"年月",AB$1,"事業所",$A20,"請求区分","単月"),0)</f>
        <v>0</v>
      </c>
      <c r="AC20" s="424">
        <f t="shared" si="2"/>
        <v>-2635152</v>
      </c>
      <c r="AD20" s="424">
        <f t="shared" si="1"/>
        <v>-219596</v>
      </c>
    </row>
    <row r="21" spans="1:30" ht="19.5" customHeight="1" x14ac:dyDescent="0.15">
      <c r="A21" t="s">
        <v>37</v>
      </c>
      <c r="B21" t="s">
        <v>815</v>
      </c>
      <c r="C21" s="109"/>
      <c r="D21" s="68" t="s">
        <v>128</v>
      </c>
      <c r="E21" s="423">
        <v>172447</v>
      </c>
      <c r="F21" s="423">
        <f>IFERROR(GETPIVOTDATA("合計 / " &amp; $B21,【ピボット】事業所売上!$A$3,"年月",F$1,"事業所",$A21),0)</f>
        <v>396718</v>
      </c>
      <c r="G21" s="423">
        <f>IFERROR(GETPIVOTDATA("合計 / " &amp; $B21,【ピボット】事業所売上!$A$3,"年月",G$1,"事業所",$A21),0)</f>
        <v>368796</v>
      </c>
      <c r="H21" s="423">
        <f>IFERROR(GETPIVOTDATA("合計 / " &amp; $B21,【ピボット】事業所売上!$A$3,"年月",H$1,"事業所",$A21),0)</f>
        <v>379260</v>
      </c>
      <c r="I21" s="423">
        <f>IFERROR(GETPIVOTDATA("合計 / " &amp; $B21,【ピボット】事業所売上!$A$3,"年月",I$1,"事業所",$A21),0)</f>
        <v>268245</v>
      </c>
      <c r="J21" s="423">
        <f>IFERROR(GETPIVOTDATA("合計 / " &amp; $B21,【ピボット】事業所売上!$A$3,"年月",J$1,"事業所",$A21),0)</f>
        <v>388732</v>
      </c>
      <c r="K21" s="423">
        <f>IFERROR(GETPIVOTDATA("合計 / " &amp; $B21,【ピボット】事業所売上!$A$3,"年月",K$1,"事業所",$A21),0)</f>
        <v>258787</v>
      </c>
      <c r="L21" s="423">
        <f>IFERROR(GETPIVOTDATA("合計 / " &amp; $B21,【ピボット】事業所売上!$A$3,"年月",L$1,"事業所",$A21),0)</f>
        <v>300858</v>
      </c>
      <c r="M21" s="423">
        <f>IFERROR(GETPIVOTDATA("合計 / " &amp; $B21,【ピボット】事業所売上!$A$3,"年月",M$1,"事業所",$A21),0)</f>
        <v>334859</v>
      </c>
      <c r="N21" s="423">
        <f>IFERROR(GETPIVOTDATA("合計 / " &amp; $B21,【ピボット】事業所売上!$A$3,"年月",N$1,"事業所",$A21),0)</f>
        <v>358717</v>
      </c>
      <c r="O21" s="423">
        <f>IFERROR(GETPIVOTDATA("合計 / " &amp; $B21,【ピボット】事業所売上!$A$3,"年月",O$1,"事業所",$A21),0)</f>
        <v>455539</v>
      </c>
      <c r="P21" s="423">
        <f>IFERROR(GETPIVOTDATA("合計 / " &amp; $B21,【ピボット】事業所売上!$A$3,"年月",P$1,"事業所",$A21),0)</f>
        <v>497306</v>
      </c>
      <c r="Q21" s="423">
        <f>IFERROR(GETPIVOTDATA("合計 / " &amp; $B21,【ピボット】事業所売上!$A$3,"年月",Q$1,"事業所",$A21),0)</f>
        <v>500057</v>
      </c>
      <c r="R21" s="423">
        <f>IFERROR(GETPIVOTDATA("合計 / " &amp; $B21,【ピボット】事業所売上!$A$3,"年月",R$1,"事業所",$A21),0)</f>
        <v>460912</v>
      </c>
      <c r="S21" s="423">
        <f>IFERROR(GETPIVOTDATA("合計 / " &amp; $B21,【ピボット】事業所売上!$A$3,"年月",S$1,"事業所",$A21),0)</f>
        <v>513862</v>
      </c>
      <c r="T21" s="423">
        <f>IFERROR(GETPIVOTDATA("合計 / " &amp; $B21,【ピボット】事業所売上!$A$3,"年月",T$1,"事業所",$A21),0)</f>
        <v>344442</v>
      </c>
      <c r="U21" s="423">
        <f>IFERROR(GETPIVOTDATA("合計 / " &amp; $B21,【ピボット】事業所売上!$A$3,"年月",U$1,"事業所",$A21),0)</f>
        <v>363530</v>
      </c>
      <c r="V21" s="423">
        <f>IFERROR(GETPIVOTDATA("合計 / " &amp; $B21,【ピボット】事業所売上!$A$3,"年月",V$1,"事業所",$A21),0)</f>
        <v>400180</v>
      </c>
      <c r="W21" s="423">
        <f>IFERROR(GETPIVOTDATA("合計 / " &amp; $B21,【ピボット】事業所売上!$A$3,"年月",W$1,"事業所",$A21),0)</f>
        <v>388843</v>
      </c>
      <c r="X21" s="423">
        <f>IFERROR(GETPIVOTDATA("合計 / " &amp; $B21,【ピボット】事業所売上!$A$3,"年月",X$1,"事業所",$A21),0)</f>
        <v>352276</v>
      </c>
      <c r="Y21" s="423">
        <f>IFERROR(GETPIVOTDATA("合計 / " &amp; $B21,【ピボット】事業所売上!$A$3,"年月",Y$1,"事業所",$A21),0)</f>
        <v>310820</v>
      </c>
      <c r="Z21" s="423">
        <f>IFERROR(GETPIVOTDATA("合計 / " &amp; $B21,【ピボット】事業所売上!$A$3,"年月",Z$1,"事業所",$A21),0)</f>
        <v>291562</v>
      </c>
      <c r="AA21" s="423">
        <f>IFERROR(GETPIVOTDATA("合計 / " &amp; $B21,【ピボット】事業所売上!$A$3,"年月",AA$1,"事業所",$A21),0)</f>
        <v>367157</v>
      </c>
      <c r="AB21" s="423">
        <f>IFERROR(GETPIVOTDATA("合計 / " &amp; $B21,【ピボット】事業所売上!$A$3,"年月",AB$1,"事業所",$A21),0)</f>
        <v>442441</v>
      </c>
      <c r="AC21" s="424">
        <f t="shared" si="2"/>
        <v>4736082</v>
      </c>
      <c r="AD21" s="424">
        <f t="shared" si="1"/>
        <v>394673.5</v>
      </c>
    </row>
    <row r="22" spans="1:30" ht="19.5" customHeight="1" x14ac:dyDescent="0.15">
      <c r="A22" t="s">
        <v>37</v>
      </c>
      <c r="C22" s="109"/>
      <c r="D22" s="112" t="str">
        <f>C18 &amp; "売上合計"</f>
        <v>蘇我売上合計</v>
      </c>
      <c r="E22" s="425">
        <v>4608388</v>
      </c>
      <c r="F22" s="425">
        <f>SUM(F18:F21)</f>
        <v>5639668</v>
      </c>
      <c r="G22" s="425">
        <f t="shared" ref="G22:L22" si="11">SUM(G18:G21)</f>
        <v>5701292</v>
      </c>
      <c r="H22" s="425">
        <f t="shared" si="11"/>
        <v>5436128</v>
      </c>
      <c r="I22" s="425">
        <f t="shared" si="11"/>
        <v>5935543</v>
      </c>
      <c r="J22" s="425">
        <f t="shared" si="11"/>
        <v>5960530</v>
      </c>
      <c r="K22" s="425">
        <f t="shared" si="11"/>
        <v>5865635</v>
      </c>
      <c r="L22" s="425">
        <f t="shared" si="11"/>
        <v>5917203</v>
      </c>
      <c r="M22" s="425">
        <f t="shared" ref="M22:AA22" si="12">SUM(M18:M21)</f>
        <v>5509558</v>
      </c>
      <c r="N22" s="425">
        <f t="shared" si="12"/>
        <v>5624548</v>
      </c>
      <c r="O22" s="425">
        <f t="shared" si="12"/>
        <v>6225952</v>
      </c>
      <c r="P22" s="425">
        <f t="shared" si="12"/>
        <v>6372673</v>
      </c>
      <c r="Q22" s="425">
        <f t="shared" si="12"/>
        <v>6618564</v>
      </c>
      <c r="R22" s="425">
        <f t="shared" si="12"/>
        <v>6078956</v>
      </c>
      <c r="S22" s="425">
        <f t="shared" si="12"/>
        <v>6393008</v>
      </c>
      <c r="T22" s="425">
        <f t="shared" si="12"/>
        <v>5863808</v>
      </c>
      <c r="U22" s="425">
        <f t="shared" si="12"/>
        <v>5992066</v>
      </c>
      <c r="V22" s="425">
        <f t="shared" si="12"/>
        <v>7032857</v>
      </c>
      <c r="W22" s="425">
        <f t="shared" si="12"/>
        <v>6961435</v>
      </c>
      <c r="X22" s="425">
        <f t="shared" si="12"/>
        <v>6625129</v>
      </c>
      <c r="Y22" s="425">
        <f t="shared" si="12"/>
        <v>6123385</v>
      </c>
      <c r="Z22" s="425">
        <f t="shared" si="12"/>
        <v>5609438.2999999998</v>
      </c>
      <c r="AA22" s="425">
        <f t="shared" si="12"/>
        <v>6100928</v>
      </c>
      <c r="AB22" s="425">
        <f>SUM(AB18:AB21)</f>
        <v>5670992</v>
      </c>
      <c r="AC22" s="426">
        <f t="shared" si="2"/>
        <v>75070566.299999997</v>
      </c>
      <c r="AD22" s="426">
        <f t="shared" si="1"/>
        <v>6255880.5249999994</v>
      </c>
    </row>
    <row r="23" spans="1:30" ht="19.5" customHeight="1" x14ac:dyDescent="0.15">
      <c r="A23" t="s">
        <v>37</v>
      </c>
      <c r="B23" t="s">
        <v>15</v>
      </c>
      <c r="C23" s="109"/>
      <c r="D23" s="68" t="s">
        <v>129</v>
      </c>
      <c r="E23" s="423">
        <f>IFERROR(GETPIVOTDATA("合計 / " &amp; $B23,【ピボット】事業所収支!$A$3,"年月",E$1,"事業所",$A23),0)</f>
        <v>3104378</v>
      </c>
      <c r="F23" s="423">
        <f>IFERROR(GETPIVOTDATA("合計 / " &amp; $B23,【ピボット】事業所収支!$A$3,"年月",F$1,"事業所",$A23),0)</f>
        <v>3572171</v>
      </c>
      <c r="G23" s="423">
        <f>IFERROR(GETPIVOTDATA("合計 / " &amp; $B23,【ピボット】事業所収支!$A$3,"年月",G$1,"事業所",$A23),0)</f>
        <v>3752045</v>
      </c>
      <c r="H23" s="423">
        <f>IFERROR(GETPIVOTDATA("合計 / " &amp; $B23,【ピボット】事業所収支!$A$3,"年月",H$1,"事業所",$A23),0)</f>
        <v>3740910</v>
      </c>
      <c r="I23" s="423">
        <f>IFERROR(GETPIVOTDATA("合計 / " &amp; $B23,【ピボット】事業所収支!$A$3,"年月",I$1,"事業所",$A23),0)</f>
        <v>3526461</v>
      </c>
      <c r="J23" s="423">
        <f>IFERROR(GETPIVOTDATA("合計 / " &amp; $B23,【ピボット】事業所収支!$A$3,"年月",J$1,"事業所",$A23),0)</f>
        <v>3995529</v>
      </c>
      <c r="K23" s="423">
        <f>IFERROR(GETPIVOTDATA("合計 / " &amp; $B23,【ピボット】事業所収支!$A$3,"年月",K$1,"事業所",$A23),0)</f>
        <v>3856901</v>
      </c>
      <c r="L23" s="423">
        <f>IFERROR(GETPIVOTDATA("合計 / " &amp; $B23,【ピボット】事業所収支!$A$3,"年月",L$1,"事業所",$A23),0)</f>
        <v>6896121.9664213415</v>
      </c>
      <c r="M23" s="423">
        <f>IFERROR(GETPIVOTDATA("合計 / " &amp; $B23,【ピボット】事業所収支!$A$3,"年月",M$1,"事業所",$A23),0)</f>
        <v>4873990</v>
      </c>
      <c r="N23" s="423">
        <f>IFERROR(GETPIVOTDATA("合計 / " &amp; $B23,【ピボット】事業所収支!$A$3,"年月",N$1,"事業所",$A23),0)</f>
        <v>4190881</v>
      </c>
      <c r="O23" s="423">
        <f>IFERROR(GETPIVOTDATA("合計 / " &amp; $B23,【ピボット】事業所収支!$A$3,"年月",O$1,"事業所",$A23),0)</f>
        <v>4189364</v>
      </c>
      <c r="P23" s="423">
        <f>IFERROR(GETPIVOTDATA("合計 / " &amp; $B23,【ピボット】事業所収支!$A$3,"年月",P$1,"事業所",$A23),0)</f>
        <v>4150320</v>
      </c>
      <c r="Q23" s="423">
        <f>IFERROR(GETPIVOTDATA("合計 / " &amp; $B23,【ピボット】事業所収支!$A$3,"年月",Q$1,"事業所",$A23),0)</f>
        <v>3950891</v>
      </c>
      <c r="R23" s="423">
        <f>IFERROR(GETPIVOTDATA("合計 / " &amp; $B23,【ピボット】事業所収支!$A$3,"年月",R$1,"事業所",$A23),0)</f>
        <v>4746420</v>
      </c>
      <c r="S23" s="423">
        <f>IFERROR(GETPIVOTDATA("合計 / " &amp; $B23,【ピボット】事業所収支!$A$3,"年月",S$1,"事業所",$A23),0)</f>
        <v>4651239</v>
      </c>
      <c r="T23" s="423">
        <f>IFERROR(GETPIVOTDATA("合計 / " &amp; $B23,【ピボット】事業所収支!$A$3,"年月",T$1,"事業所",$A23),0)</f>
        <v>4848520</v>
      </c>
      <c r="U23" s="423">
        <f>IFERROR(GETPIVOTDATA("合計 / " &amp; $B23,【ピボット】事業所収支!$A$3,"年月",U$1,"事業所",$A23),0)</f>
        <v>4414583</v>
      </c>
      <c r="V23" s="423">
        <f>IFERROR(GETPIVOTDATA("合計 / " &amp; $B23,【ピボット】事業所収支!$A$3,"年月",V$1,"事業所",$A23),0)</f>
        <v>4314050</v>
      </c>
      <c r="W23" s="423">
        <f>IFERROR(GETPIVOTDATA("合計 / " &amp; $B23,【ピボット】事業所収支!$A$3,"年月",W$1,"事業所",$A23),0)</f>
        <v>4376006</v>
      </c>
      <c r="X23" s="423">
        <f>IFERROR(GETPIVOTDATA("合計 / " &amp; $B23,【ピボット】事業所収支!$A$3,"年月",X$1,"事業所",$A23),0)</f>
        <v>7308069</v>
      </c>
      <c r="Y23" s="423">
        <f>IFERROR(GETPIVOTDATA("合計 / " &amp; $B23,【ピボット】事業所収支!$A$3,"年月",Y$1,"事業所",$A23),0)</f>
        <v>4007265</v>
      </c>
      <c r="Z23" s="423">
        <f>IFERROR(GETPIVOTDATA("合計 / " &amp; $B23,【ピボット】事業所収支!$A$3,"年月",Z$1,"事業所",$A23),0)</f>
        <v>3563976</v>
      </c>
      <c r="AA23" s="423">
        <f>IFERROR(GETPIVOTDATA("合計 / " &amp; $B23,【ピボット】事業所収支!$A$3,"年月",AA$1,"事業所",$A23),0)</f>
        <v>3399432</v>
      </c>
      <c r="AB23" s="423">
        <f>IFERROR(GETPIVOTDATA("合計 / " &amp; $B23,【ピボット】事業所収支!$A$3,"年月",AB$1,"事業所",$A23),0)</f>
        <v>3585412</v>
      </c>
      <c r="AC23" s="424">
        <f t="shared" si="2"/>
        <v>53165863</v>
      </c>
      <c r="AD23" s="424">
        <f t="shared" si="1"/>
        <v>4430488.583333333</v>
      </c>
    </row>
    <row r="24" spans="1:30" ht="19.5" customHeight="1" x14ac:dyDescent="0.15">
      <c r="A24" t="s">
        <v>753</v>
      </c>
      <c r="B24" t="s">
        <v>1232</v>
      </c>
      <c r="C24" s="109"/>
      <c r="D24" s="68" t="s">
        <v>130</v>
      </c>
      <c r="E24" s="423">
        <f>IFERROR(GETPIVOTDATA("合計 / " &amp; $B24,【ピボット】事業所収支!$A$3,"年月",E$1,"事業所",$A24),0)</f>
        <v>866374</v>
      </c>
      <c r="F24" s="423">
        <f>IFERROR(GETPIVOTDATA("合計 / " &amp; $B24,【ピボット】事業所収支!$A$3,"年月",F$1,"事業所",$A24),0)</f>
        <v>984939</v>
      </c>
      <c r="G24" s="423">
        <f>IFERROR(GETPIVOTDATA("合計 / " &amp; $B24,【ピボット】事業所収支!$A$3,"年月",G$1,"事業所",$A24),0)</f>
        <v>908008</v>
      </c>
      <c r="H24" s="423">
        <f>IFERROR(GETPIVOTDATA("合計 / " &amp; $B24,【ピボット】事業所収支!$A$3,"年月",H$1,"事業所",$A24),0)</f>
        <v>1109072</v>
      </c>
      <c r="I24" s="423">
        <f>IFERROR(GETPIVOTDATA("合計 / " &amp; $B24,【ピボット】事業所収支!$A$3,"年月",I$1,"事業所",$A24),0)</f>
        <v>942537</v>
      </c>
      <c r="J24" s="423">
        <f>IFERROR(GETPIVOTDATA("合計 / " &amp; $B24,【ピボット】事業所収支!$A$3,"年月",J$1,"事業所",$A24),0)</f>
        <v>879489</v>
      </c>
      <c r="K24" s="423">
        <f>IFERROR(GETPIVOTDATA("合計 / " &amp; $B24,【ピボット】事業所収支!$A$3,"年月",K$1,"事業所",$A24),0)</f>
        <v>1009541</v>
      </c>
      <c r="L24" s="423">
        <f>IFERROR(GETPIVOTDATA("合計 / " &amp; $B24,【ピボット】事業所収支!$A$3,"年月",L$1,"事業所",$A24),0)</f>
        <v>894494</v>
      </c>
      <c r="M24" s="423">
        <f>IFERROR(GETPIVOTDATA("合計 / " &amp; $B24,【ピボット】事業所収支!$A$3,"年月",M$1,"事業所",$A24),0)</f>
        <v>973495</v>
      </c>
      <c r="N24" s="423">
        <f>IFERROR(GETPIVOTDATA("合計 / " &amp; $B24,【ピボット】事業所収支!$A$3,"年月",N$1,"事業所",$A24),0)</f>
        <v>981443</v>
      </c>
      <c r="O24" s="423">
        <f>IFERROR(GETPIVOTDATA("合計 / " &amp; $B24,【ピボット】事業所収支!$A$3,"年月",O$1,"事業所",$A24),0)</f>
        <v>1138983</v>
      </c>
      <c r="P24" s="423">
        <f>IFERROR(GETPIVOTDATA("合計 / " &amp; $B24,【ピボット】事業所収支!$A$3,"年月",P$1,"事業所",$A24),0)</f>
        <v>1027364</v>
      </c>
      <c r="Q24" s="423">
        <f>IFERROR(GETPIVOTDATA("合計 / " &amp; $B24,【ピボット】事業所収支!$A$3,"年月",Q$1,"事業所",$A24),0)</f>
        <v>1004094</v>
      </c>
      <c r="R24" s="423">
        <f>IFERROR(GETPIVOTDATA("合計 / " &amp; $B24,【ピボット】事業所収支!$A$3,"年月",R$1,"事業所",$A24),0)</f>
        <v>1000461</v>
      </c>
      <c r="S24" s="423">
        <f>IFERROR(GETPIVOTDATA("合計 / " &amp; $B24,【ピボット】事業所収支!$A$3,"年月",S$1,"事業所",$A24),0)</f>
        <v>1024705</v>
      </c>
      <c r="T24" s="423">
        <f>IFERROR(GETPIVOTDATA("合計 / " &amp; $B24,【ピボット】事業所収支!$A$3,"年月",T$1,"事業所",$A24),0)</f>
        <v>972141</v>
      </c>
      <c r="U24" s="423">
        <f>IFERROR(GETPIVOTDATA("合計 / " &amp; $B24,【ピボット】事業所収支!$A$3,"年月",U$1,"事業所",$A24),0)</f>
        <v>1096851</v>
      </c>
      <c r="V24" s="423">
        <f>IFERROR(GETPIVOTDATA("合計 / " &amp; $B24,【ピボット】事業所収支!$A$3,"年月",V$1,"事業所",$A24),0)</f>
        <v>1080585</v>
      </c>
      <c r="W24" s="423">
        <f>IFERROR(GETPIVOTDATA("合計 / " &amp; $B24,【ピボット】事業所収支!$A$3,"年月",W$1,"事業所",$A24),0)</f>
        <v>906143</v>
      </c>
      <c r="X24" s="423">
        <f>IFERROR(GETPIVOTDATA("合計 / " &amp; $B24,【ピボット】事業所収支!$A$3,"年月",X$1,"事業所",$A24),0)</f>
        <v>864935</v>
      </c>
      <c r="Y24" s="423">
        <f>IFERROR(GETPIVOTDATA("合計 / " &amp; $B24,【ピボット】事業所収支!$A$3,"年月",Y$1,"事業所",$A24),0)</f>
        <v>894137</v>
      </c>
      <c r="Z24" s="423">
        <f>IFERROR(GETPIVOTDATA("合計 / " &amp; $B24,【ピボット】事業所収支!$A$3,"年月",Z$1,"事業所",$A24),0)</f>
        <v>861953</v>
      </c>
      <c r="AA24" s="423">
        <f>IFERROR(GETPIVOTDATA("合計 / " &amp; $B24,【ピボット】事業所収支!$A$3,"年月",AA$1,"事業所",$A24),0)</f>
        <v>817415</v>
      </c>
      <c r="AB24" s="423">
        <f>IFERROR(GETPIVOTDATA("合計 / " &amp; $B24,【ピボット】事業所収支!$A$3,"年月",AB$1,"事業所",$A24),0)</f>
        <v>946371</v>
      </c>
      <c r="AC24" s="424">
        <f t="shared" si="2"/>
        <v>11469791</v>
      </c>
      <c r="AD24" s="424">
        <f t="shared" si="1"/>
        <v>955815.91666666663</v>
      </c>
    </row>
    <row r="25" spans="1:30" ht="19.5" customHeight="1" thickBot="1" x14ac:dyDescent="0.2">
      <c r="C25" s="110"/>
      <c r="D25" s="113" t="s">
        <v>138</v>
      </c>
      <c r="E25" s="427">
        <f t="shared" ref="E25:K25" si="13">SUM(E22)-SUM(E23:E24)</f>
        <v>637636</v>
      </c>
      <c r="F25" s="427">
        <f t="shared" si="13"/>
        <v>1082558</v>
      </c>
      <c r="G25" s="427">
        <f t="shared" si="13"/>
        <v>1041239</v>
      </c>
      <c r="H25" s="427">
        <f t="shared" si="13"/>
        <v>586146</v>
      </c>
      <c r="I25" s="427">
        <f t="shared" si="13"/>
        <v>1466545</v>
      </c>
      <c r="J25" s="427">
        <f t="shared" si="13"/>
        <v>1085512</v>
      </c>
      <c r="K25" s="427">
        <f t="shared" si="13"/>
        <v>999193</v>
      </c>
      <c r="L25" s="427">
        <f t="shared" ref="L25:AB25" si="14">SUM(L22)-SUM(L23:L24)</f>
        <v>-1873412.9664213415</v>
      </c>
      <c r="M25" s="427">
        <f t="shared" si="14"/>
        <v>-337927</v>
      </c>
      <c r="N25" s="427">
        <f t="shared" si="14"/>
        <v>452224</v>
      </c>
      <c r="O25" s="427">
        <f t="shared" si="14"/>
        <v>897605</v>
      </c>
      <c r="P25" s="427">
        <f t="shared" si="14"/>
        <v>1194989</v>
      </c>
      <c r="Q25" s="427">
        <f t="shared" si="14"/>
        <v>1663579</v>
      </c>
      <c r="R25" s="427">
        <f t="shared" si="14"/>
        <v>332075</v>
      </c>
      <c r="S25" s="427">
        <f t="shared" si="14"/>
        <v>717064</v>
      </c>
      <c r="T25" s="427">
        <f t="shared" si="14"/>
        <v>43147</v>
      </c>
      <c r="U25" s="427">
        <f t="shared" si="14"/>
        <v>480632</v>
      </c>
      <c r="V25" s="427">
        <f t="shared" si="14"/>
        <v>1638222</v>
      </c>
      <c r="W25" s="427">
        <f t="shared" si="14"/>
        <v>1679286</v>
      </c>
      <c r="X25" s="427">
        <f t="shared" si="14"/>
        <v>-1547875</v>
      </c>
      <c r="Y25" s="427">
        <f t="shared" si="14"/>
        <v>1221983</v>
      </c>
      <c r="Z25" s="427">
        <f t="shared" si="14"/>
        <v>1183509.2999999998</v>
      </c>
      <c r="AA25" s="427">
        <f t="shared" si="14"/>
        <v>1884081</v>
      </c>
      <c r="AB25" s="427">
        <f t="shared" si="14"/>
        <v>1139209</v>
      </c>
      <c r="AC25" s="428">
        <f t="shared" si="2"/>
        <v>10434912.300000001</v>
      </c>
      <c r="AD25" s="428">
        <f t="shared" si="1"/>
        <v>869576.02500000002</v>
      </c>
    </row>
    <row r="26" spans="1:30" ht="19.5" customHeight="1" x14ac:dyDescent="0.15">
      <c r="A26" t="s">
        <v>807</v>
      </c>
      <c r="B26" t="s">
        <v>860</v>
      </c>
      <c r="C26" s="108" t="s">
        <v>66</v>
      </c>
      <c r="D26" s="69" t="s">
        <v>126</v>
      </c>
      <c r="E26" s="421">
        <f>IFERROR(GETPIVOTDATA("合計 / " &amp; $B26,【ピボット】国保連売上!$A$3,"年月",E$1,"事業所",$A26,"請求区分","単月"),0)</f>
        <v>5033064</v>
      </c>
      <c r="F26" s="421">
        <f>IFERROR(GETPIVOTDATA("合計 / " &amp; $B26,【ピボット】国保連売上!$A$3,"年月",F$1,"事業所",$A26,"請求区分","単月"),0)</f>
        <v>5204172</v>
      </c>
      <c r="G26" s="421">
        <f>IFERROR(GETPIVOTDATA("合計 / " &amp; $B26,【ピボット】国保連売上!$A$3,"年月",G$1,"事業所",$A26,"請求区分","単月"),0)</f>
        <v>5570174</v>
      </c>
      <c r="H26" s="421">
        <f>IFERROR(GETPIVOTDATA("合計 / " &amp; $B26,【ピボット】国保連売上!$A$3,"年月",H$1,"事業所",$A26,"請求区分","単月"),0)</f>
        <v>5618999</v>
      </c>
      <c r="I26" s="421">
        <f>IFERROR(GETPIVOTDATA("合計 / " &amp; $B26,【ピボット】国保連売上!$A$3,"年月",I$1,"事業所",$A26,"請求区分","単月"),0)</f>
        <v>5432726</v>
      </c>
      <c r="J26" s="421">
        <f>IFERROR(GETPIVOTDATA("合計 / " &amp; $B26,【ピボット】国保連売上!$A$3,"年月",J$1,"事業所",$A26,"請求区分","単月"),0)</f>
        <v>5686031</v>
      </c>
      <c r="K26" s="421">
        <f>IFERROR(GETPIVOTDATA("合計 / " &amp; $B26,【ピボット】国保連売上!$A$3,"年月",K$1,"事業所",$A26,"請求区分","単月"),0)</f>
        <v>5565370</v>
      </c>
      <c r="L26" s="421">
        <f>IFERROR(GETPIVOTDATA("合計 / " &amp; $B26,【ピボット】国保連売上!$A$3,"年月",L$1,"事業所",$A26,"請求区分","単月"),0)</f>
        <v>5827289</v>
      </c>
      <c r="M26" s="421">
        <f>IFERROR(GETPIVOTDATA("合計 / " &amp; $B26,【ピボット】国保連売上!$A$3,"年月",M$1,"事業所",$A26,"請求区分","単月"),0)</f>
        <v>5430789</v>
      </c>
      <c r="N26" s="421">
        <f>IFERROR(GETPIVOTDATA("合計 / " &amp; $B26,【ピボット】国保連売上!$A$3,"年月",N$1,"事業所",$A26,"請求区分","単月"),0)</f>
        <v>5281596</v>
      </c>
      <c r="O26" s="421">
        <f>IFERROR(GETPIVOTDATA("合計 / " &amp; $B26,【ピボット】国保連売上!$A$3,"年月",O$1,"事業所",$A26,"請求区分","単月"),0)</f>
        <v>5995527</v>
      </c>
      <c r="P26" s="421">
        <f>IFERROR(GETPIVOTDATA("合計 / " &amp; $B26,【ピボット】国保連売上!$A$3,"年月",P$1,"事業所",$A26,"請求区分","単月"),0)</f>
        <v>5782508</v>
      </c>
      <c r="Q26" s="421">
        <f>IFERROR(GETPIVOTDATA("合計 / " &amp; $B26,【ピボット】国保連売上!$A$3,"年月",Q$1,"事業所",$A26,"請求区分","単月"),0)</f>
        <v>5788351</v>
      </c>
      <c r="R26" s="421">
        <f>IFERROR(GETPIVOTDATA("合計 / " &amp; $B26,【ピボット】国保連売上!$A$3,"年月",R$1,"事業所",$A26,"請求区分","単月"),0)</f>
        <v>6328226</v>
      </c>
      <c r="S26" s="421">
        <f>IFERROR(GETPIVOTDATA("合計 / " &amp; $B26,【ピボット】国保連売上!$A$3,"年月",S$1,"事業所",$A26,"請求区分","単月"),0)</f>
        <v>6679327</v>
      </c>
      <c r="T26" s="421">
        <f>IFERROR(GETPIVOTDATA("合計 / " &amp; $B26,【ピボット】国保連売上!$A$3,"年月",T$1,"事業所",$A26,"請求区分","単月"),0)</f>
        <v>7184853</v>
      </c>
      <c r="U26" s="421">
        <f>IFERROR(GETPIVOTDATA("合計 / " &amp; $B26,【ピボット】国保連売上!$A$3,"年月",U$1,"事業所",$A26,"請求区分","単月"),0)</f>
        <v>6541496</v>
      </c>
      <c r="V26" s="421">
        <f>IFERROR(GETPIVOTDATA("合計 / " &amp; $B26,【ピボット】国保連売上!$A$3,"年月",V$1,"事業所",$A26,"請求区分","単月"),0)</f>
        <v>6956494</v>
      </c>
      <c r="W26" s="421">
        <f>IFERROR(GETPIVOTDATA("合計 / " &amp; $B26,【ピボット】国保連売上!$A$3,"年月",W$1,"事業所",$A26,"請求区分","単月"),0)</f>
        <v>6408565</v>
      </c>
      <c r="X26" s="421">
        <f>IFERROR(GETPIVOTDATA("合計 / " &amp; $B26,【ピボット】国保連売上!$A$3,"年月",X$1,"事業所",$A26,"請求区分","単月"),0)</f>
        <v>6288422</v>
      </c>
      <c r="Y26" s="421">
        <f>IFERROR(GETPIVOTDATA("合計 / " &amp; $B26,【ピボット】国保連売上!$A$3,"年月",Y$1,"事業所",$A26,"請求区分","単月"),0)</f>
        <v>6473943</v>
      </c>
      <c r="Z26" s="421">
        <f>IFERROR(GETPIVOTDATA("合計 / " &amp; $B26,【ピボット】国保連売上!$A$3,"年月",Z$1,"事業所",$A26,"請求区分","単月"),0)</f>
        <v>6078716</v>
      </c>
      <c r="AA26" s="421">
        <f>IFERROR(GETPIVOTDATA("合計 / " &amp; $B26,【ピボット】国保連売上!$A$3,"年月",AA$1,"事業所",$A26,"請求区分","単月"),0)</f>
        <v>6761944</v>
      </c>
      <c r="AB26" s="419">
        <f>IFERROR(GETPIVOTDATA("合計 / " &amp; $B26,【ピボット】国保連売上!$A$3,"年月",AB$1,"事業所",$A26,"請求区分","単月"),0)</f>
        <v>6527702</v>
      </c>
      <c r="AC26" s="422">
        <f t="shared" si="2"/>
        <v>78018039</v>
      </c>
      <c r="AD26" s="422">
        <f t="shared" si="1"/>
        <v>6501503.25</v>
      </c>
    </row>
    <row r="27" spans="1:30" ht="19.5" customHeight="1" x14ac:dyDescent="0.15">
      <c r="A27" t="s">
        <v>807</v>
      </c>
      <c r="B27" t="s">
        <v>861</v>
      </c>
      <c r="C27" s="108"/>
      <c r="D27" s="69" t="s">
        <v>137</v>
      </c>
      <c r="E27" s="421">
        <f>IFERROR(GETPIVOTDATA("合計 / " &amp; $B27,【ピボット】国保連売上!$A$3,"年月",E$1,"事業所",$A27,"請求区分","単月"),0)</f>
        <v>0</v>
      </c>
      <c r="F27" s="421">
        <f>IFERROR(GETPIVOTDATA("合計 / " &amp; $B27,【ピボット】国保連売上!$A$3,"年月",F$1,"事業所",$A27,"請求区分","単月"),0)</f>
        <v>67758</v>
      </c>
      <c r="G27" s="421">
        <f>IFERROR(GETPIVOTDATA("合計 / " &amp; $B27,【ピボット】国保連売上!$A$3,"年月",G$1,"事業所",$A27,"請求区分","単月"),0)</f>
        <v>6210</v>
      </c>
      <c r="H27" s="421">
        <f>IFERROR(GETPIVOTDATA("合計 / " &amp; $B27,【ピボット】国保連売上!$A$3,"年月",H$1,"事業所",$A27,"請求区分","単月"),0)</f>
        <v>0</v>
      </c>
      <c r="I27" s="421">
        <f>IFERROR(GETPIVOTDATA("合計 / " &amp; $B27,【ピボット】国保連売上!$A$3,"年月",I$1,"事業所",$A27,"請求区分","単月"),0)</f>
        <v>22575</v>
      </c>
      <c r="J27" s="421">
        <f>IFERROR(GETPIVOTDATA("合計 / " &amp; $B27,【ピボット】国保連売上!$A$3,"年月",J$1,"事業所",$A27,"請求区分","単月"),0)</f>
        <v>14674</v>
      </c>
      <c r="K27" s="421">
        <f>IFERROR(GETPIVOTDATA("合計 / " &amp; $B27,【ピボット】国保連売上!$A$3,"年月",K$1,"事業所",$A27,"請求区分","単月"),0)</f>
        <v>119605</v>
      </c>
      <c r="L27" s="421">
        <f>IFERROR(GETPIVOTDATA("合計 / " &amp; $B27,【ピボット】国保連売上!$A$3,"年月",L$1,"事業所",$A27,"請求区分","単月"),0)</f>
        <v>0</v>
      </c>
      <c r="M27" s="421">
        <f>IFERROR(GETPIVOTDATA("合計 / " &amp; $B27,【ピボット】国保連売上!$A$3,"年月",M$1,"事業所",$A27,"請求区分","単月"),0)</f>
        <v>29138</v>
      </c>
      <c r="N27" s="421">
        <f>IFERROR(GETPIVOTDATA("合計 / " &amp; $B27,【ピボット】国保連売上!$A$3,"年月",N$1,"事業所",$A27,"請求区分","単月"),0)</f>
        <v>122401</v>
      </c>
      <c r="O27" s="421">
        <f>IFERROR(GETPIVOTDATA("合計 / " &amp; $B27,【ピボット】国保連売上!$A$3,"年月",O$1,"事業所",$A27,"請求区分","単月"),0)</f>
        <v>232399</v>
      </c>
      <c r="P27" s="421">
        <f>IFERROR(GETPIVOTDATA("合計 / " &amp; $B27,【ピボット】国保連売上!$A$3,"年月",P$1,"事業所",$A27,"請求区分","単月"),0)</f>
        <v>266062</v>
      </c>
      <c r="Q27" s="421">
        <f>IFERROR(GETPIVOTDATA("合計 / " &amp; $B27,【ピボット】国保連売上!$A$3,"年月",Q$1,"事業所",$A27,"請求区分","単月"),0)</f>
        <v>8133</v>
      </c>
      <c r="R27" s="421">
        <f>IFERROR(GETPIVOTDATA("合計 / " &amp; $B27,【ピボット】国保連売上!$A$3,"年月",R$1,"事業所",$A27,"請求区分","単月"),0)</f>
        <v>10210</v>
      </c>
      <c r="S27" s="421">
        <f>IFERROR(GETPIVOTDATA("合計 / " &amp; $B27,【ピボット】国保連売上!$A$3,"年月",S$1,"事業所",$A27,"請求区分","単月"),0)</f>
        <v>60145</v>
      </c>
      <c r="T27" s="421">
        <f>IFERROR(GETPIVOTDATA("合計 / " &amp; $B27,【ピボット】国保連売上!$A$3,"年月",T$1,"事業所",$A27,"請求区分","単月"),0)</f>
        <v>18409</v>
      </c>
      <c r="U27" s="421">
        <f>IFERROR(GETPIVOTDATA("合計 / " &amp; $B27,【ピボット】国保連売上!$A$3,"年月",U$1,"事業所",$A27,"請求区分","単月"),0)</f>
        <v>84533</v>
      </c>
      <c r="V27" s="421">
        <f>IFERROR(GETPIVOTDATA("合計 / " &amp; $B27,【ピボット】国保連売上!$A$3,"年月",V$1,"事業所",$A27,"請求区分","単月"),0)</f>
        <v>425856</v>
      </c>
      <c r="W27" s="421">
        <f>IFERROR(GETPIVOTDATA("合計 / " &amp; $B27,【ピボット】国保連売上!$A$3,"年月",W$1,"事業所",$A27,"請求区分","単月"),0)</f>
        <v>26133</v>
      </c>
      <c r="X27" s="421">
        <f>IFERROR(GETPIVOTDATA("合計 / " &amp; $B27,【ピボット】国保連売上!$A$3,"年月",X$1,"事業所",$A27,"請求区分","単月"),0)</f>
        <v>222242</v>
      </c>
      <c r="Y27" s="421">
        <f>IFERROR(GETPIVOTDATA("合計 / " &amp; $B27,【ピボット】国保連売上!$A$3,"年月",Y$1,"事業所",$A27,"請求区分","単月"),0)</f>
        <v>0</v>
      </c>
      <c r="Z27" s="421">
        <f>IFERROR(GETPIVOTDATA("合計 / " &amp; $B27,【ピボット】国保連売上!$A$3,"年月",Z$1,"事業所",$A27,"請求区分","単月"),0)</f>
        <v>72996</v>
      </c>
      <c r="AA27" s="421">
        <f>IFERROR(GETPIVOTDATA("合計 / " &amp; $B27,【ピボット】国保連売上!$A$3,"年月",AA$1,"事業所",$A27,"請求区分","単月"),0)</f>
        <v>144180</v>
      </c>
      <c r="AB27" s="421">
        <f>IFERROR(GETPIVOTDATA("合計 / " &amp; $B27,【ピボット】国保連売上!$A$3,"年月",AB$1,"事業所",$A27,"請求区分","単月"),0)</f>
        <v>164777</v>
      </c>
      <c r="AC27" s="422">
        <f t="shared" si="2"/>
        <v>1237614</v>
      </c>
      <c r="AD27" s="422">
        <f t="shared" si="1"/>
        <v>103134.5</v>
      </c>
    </row>
    <row r="28" spans="1:30" ht="19.5" customHeight="1" x14ac:dyDescent="0.15">
      <c r="A28" t="s">
        <v>807</v>
      </c>
      <c r="B28" t="s">
        <v>862</v>
      </c>
      <c r="C28" s="109"/>
      <c r="D28" s="68" t="s">
        <v>127</v>
      </c>
      <c r="E28" s="423">
        <f>IFERROR(GETPIVOTDATA("合計 / " &amp; $B28,【ピボット】国保連売上!$A$3,"年月",E$1,"事業所",$A28,"請求区分","単月"),0)</f>
        <v>-221085</v>
      </c>
      <c r="F28" s="423">
        <f>IFERROR(GETPIVOTDATA("合計 / " &amp; $B28,【ピボット】国保連売上!$A$3,"年月",F$1,"事業所",$A28,"請求区分","単月"),0)</f>
        <v>-34078</v>
      </c>
      <c r="G28" s="423">
        <f>IFERROR(GETPIVOTDATA("合計 / " &amp; $B28,【ピボット】国保連売上!$A$3,"年月",G$1,"事業所",$A28,"請求区分","単月"),0)</f>
        <v>-43746</v>
      </c>
      <c r="H28" s="423">
        <f>IFERROR(GETPIVOTDATA("合計 / " &amp; $B28,【ピボット】国保連売上!$A$3,"年月",H$1,"事業所",$A28,"請求区分","単月"),0)</f>
        <v>-124522</v>
      </c>
      <c r="I28" s="423">
        <f>IFERROR(GETPIVOTDATA("合計 / " &amp; $B28,【ピボット】国保連売上!$A$3,"年月",I$1,"事業所",$A28,"請求区分","単月"),0)</f>
        <v>0</v>
      </c>
      <c r="J28" s="423">
        <f>IFERROR(GETPIVOTDATA("合計 / " &amp; $B28,【ピボット】国保連売上!$A$3,"年月",J$1,"事業所",$A28,"請求区分","単月"),0)</f>
        <v>-106798</v>
      </c>
      <c r="K28" s="423">
        <f>IFERROR(GETPIVOTDATA("合計 / " &amp; $B28,【ピボット】国保連売上!$A$3,"年月",K$1,"事業所",$A28,"請求区分","単月"),0)</f>
        <v>-41265</v>
      </c>
      <c r="L28" s="423">
        <f>IFERROR(GETPIVOTDATA("合計 / " &amp; $B28,【ピボット】国保連売上!$A$3,"年月",L$1,"事業所",$A28,"請求区分","単月"),0)</f>
        <v>-425255</v>
      </c>
      <c r="M28" s="423">
        <f>IFERROR(GETPIVOTDATA("合計 / " &amp; $B28,【ピボット】国保連売上!$A$3,"年月",M$1,"事業所",$A28,"請求区分","単月"),0)</f>
        <v>-39403</v>
      </c>
      <c r="N28" s="423">
        <f>IFERROR(GETPIVOTDATA("合計 / " &amp; $B28,【ピボット】国保連売上!$A$3,"年月",N$1,"事業所",$A28,"請求区分","単月"),0)</f>
        <v>-54034</v>
      </c>
      <c r="O28" s="423">
        <f>IFERROR(GETPIVOTDATA("合計 / " &amp; $B28,【ピボット】国保連売上!$A$3,"年月",O$1,"事業所",$A28,"請求区分","単月"),0)</f>
        <v>-255693</v>
      </c>
      <c r="P28" s="423">
        <f>IFERROR(GETPIVOTDATA("合計 / " &amp; $B28,【ピボット】国保連売上!$A$3,"年月",P$1,"事業所",$A28,"請求区分","単月"),0)</f>
        <v>-105403</v>
      </c>
      <c r="Q28" s="423">
        <f>IFERROR(GETPIVOTDATA("合計 / " &amp; $B28,【ピボット】国保連売上!$A$3,"年月",Q$1,"事業所",$A28,"請求区分","単月"),0)</f>
        <v>-163451</v>
      </c>
      <c r="R28" s="423">
        <f>IFERROR(GETPIVOTDATA("合計 / " &amp; $B28,【ピボット】国保連売上!$A$3,"年月",R$1,"事業所",$A28,"請求区分","単月"),0)</f>
        <v>-243</v>
      </c>
      <c r="S28" s="423">
        <f>IFERROR(GETPIVOTDATA("合計 / " &amp; $B28,【ピボット】国保連売上!$A$3,"年月",S$1,"事業所",$A28,"請求区分","単月"),0)</f>
        <v>-41934</v>
      </c>
      <c r="T28" s="423">
        <f>IFERROR(GETPIVOTDATA("合計 / " &amp; $B28,【ピボット】国保連売上!$A$3,"年月",T$1,"事業所",$A28,"請求区分","単月"),0)</f>
        <v>-5878</v>
      </c>
      <c r="U28" s="423">
        <f>IFERROR(GETPIVOTDATA("合計 / " &amp; $B28,【ピボット】国保連売上!$A$3,"年月",U$1,"事業所",$A28,"請求区分","単月"),0)</f>
        <v>-102377</v>
      </c>
      <c r="V28" s="423">
        <f>IFERROR(GETPIVOTDATA("合計 / " &amp; $B28,【ピボット】国保連売上!$A$3,"年月",V$1,"事業所",$A28,"請求区分","単月"),0)</f>
        <v>-115768</v>
      </c>
      <c r="W28" s="423">
        <f>IFERROR(GETPIVOTDATA("合計 / " &amp; $B28,【ピボット】国保連売上!$A$3,"年月",W$1,"事業所",$A28,"請求区分","単月"),0)</f>
        <v>-283388</v>
      </c>
      <c r="X28" s="423">
        <f>IFERROR(GETPIVOTDATA("合計 / " &amp; $B28,【ピボット】国保連売上!$A$3,"年月",X$1,"事業所",$A28,"請求区分","単月"),0)</f>
        <v>-7469</v>
      </c>
      <c r="Y28" s="423">
        <f>IFERROR(GETPIVOTDATA("合計 / " &amp; $B28,【ピボット】国保連売上!$A$3,"年月",Y$1,"事業所",$A28,"請求区分","単月"),0)</f>
        <v>-2630</v>
      </c>
      <c r="Z28" s="423">
        <f>IFERROR(GETPIVOTDATA("合計 / " &amp; $B28,【ピボット】国保連売上!$A$3,"年月",Z$1,"事業所",$A28,"請求区分","単月"),0)</f>
        <v>0</v>
      </c>
      <c r="AA28" s="423">
        <f>IFERROR(GETPIVOTDATA("合計 / " &amp; $B28,【ピボット】国保連売上!$A$3,"年月",AA$1,"事業所",$A28,"請求区分","単月"),0)</f>
        <v>-140162</v>
      </c>
      <c r="AB28" s="421">
        <f>IFERROR(GETPIVOTDATA("合計 / " &amp; $B28,【ピボット】国保連売上!$A$3,"年月",AB$1,"事業所",$A28,"請求区分","単月"),0)</f>
        <v>0</v>
      </c>
      <c r="AC28" s="424">
        <f t="shared" si="2"/>
        <v>-863300</v>
      </c>
      <c r="AD28" s="424">
        <f t="shared" si="1"/>
        <v>-71941.666666666672</v>
      </c>
    </row>
    <row r="29" spans="1:30" ht="19.5" customHeight="1" x14ac:dyDescent="0.15">
      <c r="A29" t="s">
        <v>807</v>
      </c>
      <c r="B29" t="s">
        <v>815</v>
      </c>
      <c r="C29" s="109"/>
      <c r="D29" s="68" t="s">
        <v>128</v>
      </c>
      <c r="E29" s="423">
        <f>IFERROR(GETPIVOTDATA("合計 / " &amp; $B29,【ピボット】事業所売上!$A$3,"年月",E$1,"事業所",$A29),0)</f>
        <v>322162</v>
      </c>
      <c r="F29" s="423">
        <f>IFERROR(GETPIVOTDATA("合計 / " &amp; $B29,【ピボット】事業所売上!$A$3,"年月",F$1,"事業所",$A29),0)</f>
        <v>295362</v>
      </c>
      <c r="G29" s="423">
        <f>IFERROR(GETPIVOTDATA("合計 / " &amp; $B29,【ピボット】事業所売上!$A$3,"年月",G$1,"事業所",$A29),0)</f>
        <v>306199</v>
      </c>
      <c r="H29" s="423">
        <f>IFERROR(GETPIVOTDATA("合計 / " &amp; $B29,【ピボット】事業所売上!$A$3,"年月",H$1,"事業所",$A29),0)</f>
        <v>235361</v>
      </c>
      <c r="I29" s="423">
        <f>IFERROR(GETPIVOTDATA("合計 / " &amp; $B29,【ピボット】事業所売上!$A$3,"年月",I$1,"事業所",$A29),0)</f>
        <v>218328</v>
      </c>
      <c r="J29" s="423">
        <f>IFERROR(GETPIVOTDATA("合計 / " &amp; $B29,【ピボット】事業所売上!$A$3,"年月",J$1,"事業所",$A29),0)</f>
        <v>221746</v>
      </c>
      <c r="K29" s="423">
        <f>IFERROR(GETPIVOTDATA("合計 / " &amp; $B29,【ピボット】事業所売上!$A$3,"年月",K$1,"事業所",$A29),0)</f>
        <v>232548</v>
      </c>
      <c r="L29" s="423">
        <f>IFERROR(GETPIVOTDATA("合計 / " &amp; $B29,【ピボット】事業所売上!$A$3,"年月",L$1,"事業所",$A29),0)</f>
        <v>227950</v>
      </c>
      <c r="M29" s="423">
        <f>IFERROR(GETPIVOTDATA("合計 / " &amp; $B29,【ピボット】事業所売上!$A$3,"年月",M$1,"事業所",$A29),0)</f>
        <v>241700</v>
      </c>
      <c r="N29" s="423">
        <f>IFERROR(GETPIVOTDATA("合計 / " &amp; $B29,【ピボット】事業所売上!$A$3,"年月",N$1,"事業所",$A29),0)</f>
        <v>263718</v>
      </c>
      <c r="O29" s="423">
        <f>IFERROR(GETPIVOTDATA("合計 / " &amp; $B29,【ピボット】事業所売上!$A$3,"年月",O$1,"事業所",$A29),0)</f>
        <v>253137</v>
      </c>
      <c r="P29" s="423">
        <f>IFERROR(GETPIVOTDATA("合計 / " &amp; $B29,【ピボット】事業所売上!$A$3,"年月",P$1,"事業所",$A29),0)</f>
        <v>156221</v>
      </c>
      <c r="Q29" s="423">
        <f>IFERROR(GETPIVOTDATA("合計 / " &amp; $B29,【ピボット】事業所売上!$A$3,"年月",Q$1,"事業所",$A29),0)</f>
        <v>418688</v>
      </c>
      <c r="R29" s="423">
        <f>IFERROR(GETPIVOTDATA("合計 / " &amp; $B29,【ピボット】事業所売上!$A$3,"年月",R$1,"事業所",$A29),0)</f>
        <v>293171</v>
      </c>
      <c r="S29" s="423">
        <f>IFERROR(GETPIVOTDATA("合計 / " &amp; $B29,【ピボット】事業所売上!$A$3,"年月",S$1,"事業所",$A29),0)</f>
        <v>266522</v>
      </c>
      <c r="T29" s="423">
        <f>IFERROR(GETPIVOTDATA("合計 / " &amp; $B29,【ピボット】事業所売上!$A$3,"年月",T$1,"事業所",$A29),0)</f>
        <v>278102</v>
      </c>
      <c r="U29" s="423">
        <f>IFERROR(GETPIVOTDATA("合計 / " &amp; $B29,【ピボット】事業所売上!$A$3,"年月",U$1,"事業所",$A29),0)</f>
        <v>310866</v>
      </c>
      <c r="V29" s="423">
        <f>IFERROR(GETPIVOTDATA("合計 / " &amp; $B29,【ピボット】事業所売上!$A$3,"年月",V$1,"事業所",$A29),0)</f>
        <v>410280</v>
      </c>
      <c r="W29" s="423">
        <f>IFERROR(GETPIVOTDATA("合計 / " &amp; $B29,【ピボット】事業所売上!$A$3,"年月",W$1,"事業所",$A29),0)</f>
        <v>362024</v>
      </c>
      <c r="X29" s="423">
        <f>IFERROR(GETPIVOTDATA("合計 / " &amp; $B29,【ピボット】事業所売上!$A$3,"年月",X$1,"事業所",$A29),0)</f>
        <v>471526</v>
      </c>
      <c r="Y29" s="423">
        <f>IFERROR(GETPIVOTDATA("合計 / " &amp; $B29,【ピボット】事業所売上!$A$3,"年月",Y$1,"事業所",$A29),0)</f>
        <v>331002</v>
      </c>
      <c r="Z29" s="423">
        <f>IFERROR(GETPIVOTDATA("合計 / " &amp; $B29,【ピボット】事業所売上!$A$3,"年月",Z$1,"事業所",$A29),0)</f>
        <v>287707</v>
      </c>
      <c r="AA29" s="423">
        <f>IFERROR(GETPIVOTDATA("合計 / " &amp; $B29,【ピボット】事業所売上!$A$3,"年月",AA$1,"事業所",$A29),0)</f>
        <v>274821</v>
      </c>
      <c r="AB29" s="423">
        <f>IFERROR(GETPIVOTDATA("合計 / " &amp; $B29,【ピボット】事業所売上!$A$3,"年月",AB$1,"事業所",$A29),0)</f>
        <v>360305</v>
      </c>
      <c r="AC29" s="424">
        <f t="shared" si="2"/>
        <v>4065014</v>
      </c>
      <c r="AD29" s="424">
        <f t="shared" si="1"/>
        <v>338751.16666666669</v>
      </c>
    </row>
    <row r="30" spans="1:30" ht="19.5" customHeight="1" x14ac:dyDescent="0.15">
      <c r="A30" t="s">
        <v>807</v>
      </c>
      <c r="C30" s="109"/>
      <c r="D30" s="112" t="str">
        <f>C26 &amp; "売上合計"</f>
        <v>誉田売上合計</v>
      </c>
      <c r="E30" s="425">
        <f t="shared" ref="E30:K30" si="15">SUM(E26:E29)</f>
        <v>5134141</v>
      </c>
      <c r="F30" s="425">
        <f t="shared" si="15"/>
        <v>5533214</v>
      </c>
      <c r="G30" s="425">
        <f t="shared" si="15"/>
        <v>5838837</v>
      </c>
      <c r="H30" s="425">
        <f t="shared" si="15"/>
        <v>5729838</v>
      </c>
      <c r="I30" s="425">
        <f t="shared" si="15"/>
        <v>5673629</v>
      </c>
      <c r="J30" s="425">
        <f t="shared" si="15"/>
        <v>5815653</v>
      </c>
      <c r="K30" s="425">
        <f t="shared" si="15"/>
        <v>5876258</v>
      </c>
      <c r="L30" s="425">
        <f t="shared" ref="L30:AB30" si="16">SUM(L26:L29)</f>
        <v>5629984</v>
      </c>
      <c r="M30" s="425">
        <f t="shared" si="16"/>
        <v>5662224</v>
      </c>
      <c r="N30" s="425">
        <f t="shared" si="16"/>
        <v>5613681</v>
      </c>
      <c r="O30" s="425">
        <f t="shared" si="16"/>
        <v>6225370</v>
      </c>
      <c r="P30" s="425">
        <f t="shared" si="16"/>
        <v>6099388</v>
      </c>
      <c r="Q30" s="425">
        <f t="shared" si="16"/>
        <v>6051721</v>
      </c>
      <c r="R30" s="425">
        <f t="shared" si="16"/>
        <v>6631364</v>
      </c>
      <c r="S30" s="425">
        <f t="shared" si="16"/>
        <v>6964060</v>
      </c>
      <c r="T30" s="425">
        <f t="shared" si="16"/>
        <v>7475486</v>
      </c>
      <c r="U30" s="425">
        <f t="shared" si="16"/>
        <v>6834518</v>
      </c>
      <c r="V30" s="425">
        <f t="shared" si="16"/>
        <v>7676862</v>
      </c>
      <c r="W30" s="425">
        <f t="shared" si="16"/>
        <v>6513334</v>
      </c>
      <c r="X30" s="425">
        <f t="shared" si="16"/>
        <v>6974721</v>
      </c>
      <c r="Y30" s="425">
        <f t="shared" si="16"/>
        <v>6802315</v>
      </c>
      <c r="Z30" s="425">
        <f t="shared" si="16"/>
        <v>6439419</v>
      </c>
      <c r="AA30" s="425">
        <f t="shared" si="16"/>
        <v>7040783</v>
      </c>
      <c r="AB30" s="425">
        <f t="shared" si="16"/>
        <v>7052784</v>
      </c>
      <c r="AC30" s="426">
        <f t="shared" si="2"/>
        <v>82457367</v>
      </c>
      <c r="AD30" s="426">
        <f t="shared" si="1"/>
        <v>6871447.25</v>
      </c>
    </row>
    <row r="31" spans="1:30" ht="19.5" customHeight="1" x14ac:dyDescent="0.15">
      <c r="A31" t="s">
        <v>807</v>
      </c>
      <c r="B31" t="s">
        <v>15</v>
      </c>
      <c r="C31" s="109"/>
      <c r="D31" s="68" t="s">
        <v>129</v>
      </c>
      <c r="E31" s="423">
        <f>IFERROR(GETPIVOTDATA("合計 / " &amp; $B31,【ピボット】事業所収支!$A$3,"年月",E$1,"事業所",$A31),0)</f>
        <v>3199018</v>
      </c>
      <c r="F31" s="423">
        <f>IFERROR(GETPIVOTDATA("合計 / " &amp; $B31,【ピボット】事業所収支!$A$3,"年月",F$1,"事業所",$A31),0)</f>
        <v>4327172</v>
      </c>
      <c r="G31" s="423">
        <f>IFERROR(GETPIVOTDATA("合計 / " &amp; $B31,【ピボット】事業所収支!$A$3,"年月",G$1,"事業所",$A31),0)</f>
        <v>3670064</v>
      </c>
      <c r="H31" s="423">
        <f>IFERROR(GETPIVOTDATA("合計 / " &amp; $B31,【ピボット】事業所収支!$A$3,"年月",H$1,"事業所",$A31),0)</f>
        <v>3534203</v>
      </c>
      <c r="I31" s="423">
        <f>IFERROR(GETPIVOTDATA("合計 / " &amp; $B31,【ピボット】事業所収支!$A$3,"年月",I$1,"事業所",$A31),0)</f>
        <v>3371743</v>
      </c>
      <c r="J31" s="423">
        <f>IFERROR(GETPIVOTDATA("合計 / " &amp; $B31,【ピボット】事業所収支!$A$3,"年月",J$1,"事業所",$A31),0)</f>
        <v>3465713</v>
      </c>
      <c r="K31" s="423">
        <f>IFERROR(GETPIVOTDATA("合計 / " &amp; $B31,【ピボット】事業所収支!$A$3,"年月",K$1,"事業所",$A31),0)</f>
        <v>3520452</v>
      </c>
      <c r="L31" s="423">
        <f>IFERROR(GETPIVOTDATA("合計 / " &amp; $B31,【ピボット】事業所収支!$A$3,"年月",L$1,"事業所",$A31),0)</f>
        <v>6051985.9444993129</v>
      </c>
      <c r="M31" s="423">
        <f>IFERROR(GETPIVOTDATA("合計 / " &amp; $B31,【ピボット】事業所収支!$A$3,"年月",M$1,"事業所",$A31),0)</f>
        <v>4209055</v>
      </c>
      <c r="N31" s="423">
        <f>IFERROR(GETPIVOTDATA("合計 / " &amp; $B31,【ピボット】事業所収支!$A$3,"年月",N$1,"事業所",$A31),0)</f>
        <v>3969445</v>
      </c>
      <c r="O31" s="423">
        <f>IFERROR(GETPIVOTDATA("合計 / " &amp; $B31,【ピボット】事業所収支!$A$3,"年月",O$1,"事業所",$A31),0)</f>
        <v>3828677</v>
      </c>
      <c r="P31" s="423">
        <f>IFERROR(GETPIVOTDATA("合計 / " &amp; $B31,【ピボット】事業所収支!$A$3,"年月",P$1,"事業所",$A31),0)</f>
        <v>3878385</v>
      </c>
      <c r="Q31" s="423">
        <f>IFERROR(GETPIVOTDATA("合計 / " &amp; $B31,【ピボット】事業所収支!$A$3,"年月",Q$1,"事業所",$A31),0)</f>
        <v>3840302</v>
      </c>
      <c r="R31" s="423">
        <f>IFERROR(GETPIVOTDATA("合計 / " &amp; $B31,【ピボット】事業所収支!$A$3,"年月",R$1,"事業所",$A31),0)</f>
        <v>5731123</v>
      </c>
      <c r="S31" s="423">
        <f>IFERROR(GETPIVOTDATA("合計 / " &amp; $B31,【ピボット】事業所収支!$A$3,"年月",S$1,"事業所",$A31),0)</f>
        <v>4502052</v>
      </c>
      <c r="T31" s="423">
        <f>IFERROR(GETPIVOTDATA("合計 / " &amp; $B31,【ピボット】事業所収支!$A$3,"年月",T$1,"事業所",$A31),0)</f>
        <v>4507594</v>
      </c>
      <c r="U31" s="423">
        <f>IFERROR(GETPIVOTDATA("合計 / " &amp; $B31,【ピボット】事業所収支!$A$3,"年月",U$1,"事業所",$A31),0)</f>
        <v>4297759</v>
      </c>
      <c r="V31" s="423">
        <f>IFERROR(GETPIVOTDATA("合計 / " &amp; $B31,【ピボット】事業所収支!$A$3,"年月",V$1,"事業所",$A31),0)</f>
        <v>4521609</v>
      </c>
      <c r="W31" s="423">
        <f>IFERROR(GETPIVOTDATA("合計 / " &amp; $B31,【ピボット】事業所収支!$A$3,"年月",W$1,"事業所",$A31),0)</f>
        <v>4825792</v>
      </c>
      <c r="X31" s="423">
        <f>IFERROR(GETPIVOTDATA("合計 / " &amp; $B31,【ピボット】事業所収支!$A$3,"年月",X$1,"事業所",$A31),0)</f>
        <v>8175324</v>
      </c>
      <c r="Y31" s="423">
        <f>IFERROR(GETPIVOTDATA("合計 / " &amp; $B31,【ピボット】事業所収支!$A$3,"年月",Y$1,"事業所",$A31),0)</f>
        <v>4942279</v>
      </c>
      <c r="Z31" s="423">
        <f>IFERROR(GETPIVOTDATA("合計 / " &amp; $B31,【ピボット】事業所収支!$A$3,"年月",Z$1,"事業所",$A31),0)</f>
        <v>4273487</v>
      </c>
      <c r="AA31" s="423">
        <f>IFERROR(GETPIVOTDATA("合計 / " &amp; $B31,【ピボット】事業所収支!$A$3,"年月",AA$1,"事業所",$A31),0)</f>
        <v>4516581</v>
      </c>
      <c r="AB31" s="423">
        <f>IFERROR(GETPIVOTDATA("合計 / " &amp; $B31,【ピボット】事業所収支!$A$3,"年月",AB$1,"事業所",$A31),0)</f>
        <v>4643324</v>
      </c>
      <c r="AC31" s="424">
        <f t="shared" si="2"/>
        <v>58777226</v>
      </c>
      <c r="AD31" s="424">
        <f t="shared" si="1"/>
        <v>4898102.166666667</v>
      </c>
    </row>
    <row r="32" spans="1:30" ht="19.5" customHeight="1" x14ac:dyDescent="0.15">
      <c r="A32" t="s">
        <v>807</v>
      </c>
      <c r="B32" t="s">
        <v>1232</v>
      </c>
      <c r="C32" s="109"/>
      <c r="D32" s="68" t="s">
        <v>130</v>
      </c>
      <c r="E32" s="423">
        <f>IFERROR(GETPIVOTDATA("合計 / " &amp; $B32,【ピボット】事業所収支!$A$3,"年月",E$1,"事業所",$A32),0)</f>
        <v>827102</v>
      </c>
      <c r="F32" s="423">
        <f>IFERROR(GETPIVOTDATA("合計 / " &amp; $B32,【ピボット】事業所収支!$A$3,"年月",F$1,"事業所",$A32),0)</f>
        <v>718514</v>
      </c>
      <c r="G32" s="423">
        <f>IFERROR(GETPIVOTDATA("合計 / " &amp; $B32,【ピボット】事業所収支!$A$3,"年月",G$1,"事業所",$A32),0)</f>
        <v>729566</v>
      </c>
      <c r="H32" s="423">
        <f>IFERROR(GETPIVOTDATA("合計 / " &amp; $B32,【ピボット】事業所収支!$A$3,"年月",H$1,"事業所",$A32),0)</f>
        <v>846397</v>
      </c>
      <c r="I32" s="423">
        <f>IFERROR(GETPIVOTDATA("合計 / " &amp; $B32,【ピボット】事業所収支!$A$3,"年月",I$1,"事業所",$A32),0)</f>
        <v>744536</v>
      </c>
      <c r="J32" s="423">
        <f>IFERROR(GETPIVOTDATA("合計 / " &amp; $B32,【ピボット】事業所収支!$A$3,"年月",J$1,"事業所",$A32),0)</f>
        <v>902306</v>
      </c>
      <c r="K32" s="423">
        <f>IFERROR(GETPIVOTDATA("合計 / " &amp; $B32,【ピボット】事業所収支!$A$3,"年月",K$1,"事業所",$A32),0)</f>
        <v>829374</v>
      </c>
      <c r="L32" s="423">
        <f>IFERROR(GETPIVOTDATA("合計 / " &amp; $B32,【ピボット】事業所収支!$A$3,"年月",L$1,"事業所",$A32),0)</f>
        <v>997975</v>
      </c>
      <c r="M32" s="423">
        <f>IFERROR(GETPIVOTDATA("合計 / " &amp; $B32,【ピボット】事業所収支!$A$3,"年月",M$1,"事業所",$A32),0)</f>
        <v>927618</v>
      </c>
      <c r="N32" s="423">
        <f>IFERROR(GETPIVOTDATA("合計 / " &amp; $B32,【ピボット】事業所収支!$A$3,"年月",N$1,"事業所",$A32),0)</f>
        <v>785358</v>
      </c>
      <c r="O32" s="423">
        <f>IFERROR(GETPIVOTDATA("合計 / " &amp; $B32,【ピボット】事業所収支!$A$3,"年月",O$1,"事業所",$A32),0)</f>
        <v>859073</v>
      </c>
      <c r="P32" s="423">
        <f>IFERROR(GETPIVOTDATA("合計 / " &amp; $B32,【ピボット】事業所収支!$A$3,"年月",P$1,"事業所",$A32),0)</f>
        <v>777798</v>
      </c>
      <c r="Q32" s="423">
        <f>IFERROR(GETPIVOTDATA("合計 / " &amp; $B32,【ピボット】事業所収支!$A$3,"年月",Q$1,"事業所",$A32),0)</f>
        <v>870485</v>
      </c>
      <c r="R32" s="423">
        <f>IFERROR(GETPIVOTDATA("合計 / " &amp; $B32,【ピボット】事業所収支!$A$3,"年月",R$1,"事業所",$A32),0)</f>
        <v>946985</v>
      </c>
      <c r="S32" s="423">
        <f>IFERROR(GETPIVOTDATA("合計 / " &amp; $B32,【ピボット】事業所収支!$A$3,"年月",S$1,"事業所",$A32),0)</f>
        <v>817228</v>
      </c>
      <c r="T32" s="423">
        <f>IFERROR(GETPIVOTDATA("合計 / " &amp; $B32,【ピボット】事業所収支!$A$3,"年月",T$1,"事業所",$A32),0)</f>
        <v>1126297</v>
      </c>
      <c r="U32" s="423">
        <f>IFERROR(GETPIVOTDATA("合計 / " &amp; $B32,【ピボット】事業所収支!$A$3,"年月",U$1,"事業所",$A32),0)</f>
        <v>801389</v>
      </c>
      <c r="V32" s="423">
        <f>IFERROR(GETPIVOTDATA("合計 / " &amp; $B32,【ピボット】事業所収支!$A$3,"年月",V$1,"事業所",$A32),0)</f>
        <v>1522750</v>
      </c>
      <c r="W32" s="423">
        <f>IFERROR(GETPIVOTDATA("合計 / " &amp; $B32,【ピボット】事業所収支!$A$3,"年月",W$1,"事業所",$A32),0)</f>
        <v>937541</v>
      </c>
      <c r="X32" s="423">
        <f>IFERROR(GETPIVOTDATA("合計 / " &amp; $B32,【ピボット】事業所収支!$A$3,"年月",X$1,"事業所",$A32),0)</f>
        <v>844228</v>
      </c>
      <c r="Y32" s="423">
        <f>IFERROR(GETPIVOTDATA("合計 / " &amp; $B32,【ピボット】事業所収支!$A$3,"年月",Y$1,"事業所",$A32),0)</f>
        <v>1033335</v>
      </c>
      <c r="Z32" s="423">
        <f>IFERROR(GETPIVOTDATA("合計 / " &amp; $B32,【ピボット】事業所収支!$A$3,"年月",Z$1,"事業所",$A32),0)</f>
        <v>773129</v>
      </c>
      <c r="AA32" s="423">
        <f>IFERROR(GETPIVOTDATA("合計 / " &amp; $B32,【ピボット】事業所収支!$A$3,"年月",AA$1,"事業所",$A32),0)</f>
        <v>726515</v>
      </c>
      <c r="AB32" s="423">
        <f>IFERROR(GETPIVOTDATA("合計 / " &amp; $B32,【ピボット】事業所収支!$A$3,"年月",AB$1,"事業所",$A32),0)</f>
        <v>738059</v>
      </c>
      <c r="AC32" s="424">
        <f t="shared" si="2"/>
        <v>11137941</v>
      </c>
      <c r="AD32" s="424">
        <f t="shared" si="1"/>
        <v>928161.75</v>
      </c>
    </row>
    <row r="33" spans="1:30" ht="19.5" customHeight="1" thickBot="1" x14ac:dyDescent="0.2">
      <c r="C33" s="111"/>
      <c r="D33" s="113" t="s">
        <v>138</v>
      </c>
      <c r="E33" s="427">
        <f t="shared" ref="E33:K33" si="17">SUM(E30)-SUM(E31:E32)</f>
        <v>1108021</v>
      </c>
      <c r="F33" s="427">
        <f t="shared" si="17"/>
        <v>487528</v>
      </c>
      <c r="G33" s="427">
        <f t="shared" si="17"/>
        <v>1439207</v>
      </c>
      <c r="H33" s="427">
        <f t="shared" si="17"/>
        <v>1349238</v>
      </c>
      <c r="I33" s="427">
        <f t="shared" si="17"/>
        <v>1557350</v>
      </c>
      <c r="J33" s="427">
        <f t="shared" si="17"/>
        <v>1447634</v>
      </c>
      <c r="K33" s="427">
        <f t="shared" si="17"/>
        <v>1526432</v>
      </c>
      <c r="L33" s="427">
        <f t="shared" ref="L33:AB33" si="18">SUM(L30)-SUM(L31:L32)</f>
        <v>-1419976.9444993129</v>
      </c>
      <c r="M33" s="427">
        <f t="shared" si="18"/>
        <v>525551</v>
      </c>
      <c r="N33" s="427">
        <f t="shared" si="18"/>
        <v>858878</v>
      </c>
      <c r="O33" s="427">
        <f t="shared" si="18"/>
        <v>1537620</v>
      </c>
      <c r="P33" s="427">
        <f t="shared" si="18"/>
        <v>1443205</v>
      </c>
      <c r="Q33" s="427">
        <f t="shared" si="18"/>
        <v>1340934</v>
      </c>
      <c r="R33" s="427">
        <f t="shared" si="18"/>
        <v>-46744</v>
      </c>
      <c r="S33" s="427">
        <f t="shared" si="18"/>
        <v>1644780</v>
      </c>
      <c r="T33" s="427">
        <f t="shared" si="18"/>
        <v>1841595</v>
      </c>
      <c r="U33" s="427">
        <f t="shared" si="18"/>
        <v>1735370</v>
      </c>
      <c r="V33" s="427">
        <f t="shared" si="18"/>
        <v>1632503</v>
      </c>
      <c r="W33" s="427">
        <f t="shared" si="18"/>
        <v>750001</v>
      </c>
      <c r="X33" s="427">
        <f t="shared" si="18"/>
        <v>-2044831</v>
      </c>
      <c r="Y33" s="427">
        <f t="shared" si="18"/>
        <v>826701</v>
      </c>
      <c r="Z33" s="427">
        <f t="shared" si="18"/>
        <v>1392803</v>
      </c>
      <c r="AA33" s="427">
        <f t="shared" si="18"/>
        <v>1797687</v>
      </c>
      <c r="AB33" s="427">
        <f t="shared" si="18"/>
        <v>1671401</v>
      </c>
      <c r="AC33" s="428">
        <f t="shared" si="2"/>
        <v>12542200</v>
      </c>
      <c r="AD33" s="428">
        <f t="shared" si="1"/>
        <v>1045183.3333333334</v>
      </c>
    </row>
    <row r="34" spans="1:30" ht="19.5" customHeight="1" x14ac:dyDescent="0.15">
      <c r="A34" t="s">
        <v>967</v>
      </c>
      <c r="B34" t="s">
        <v>554</v>
      </c>
      <c r="C34" s="107" t="s">
        <v>967</v>
      </c>
      <c r="D34" s="69" t="s">
        <v>126</v>
      </c>
      <c r="E34" s="423">
        <f>IFERROR(GETPIVOTDATA("合計 / " &amp; $B34,【ピボット】国保連売上!$A$3,"年月",E$1,"事業所",$A34,"請求区分","単月"),0)</f>
        <v>0</v>
      </c>
      <c r="F34" s="421">
        <f>IFERROR(GETPIVOTDATA("合計 / " &amp; $B34,【ピボット】国保連売上!$A$3,"年月",F$1,"事業所",$A34,"請求区分","単月"),0)</f>
        <v>0</v>
      </c>
      <c r="G34" s="421">
        <f>IFERROR(GETPIVOTDATA("合計 / " &amp; $B34,【ピボット】国保連売上!$A$3,"年月",G$1,"事業所",$A34,"請求区分","単月"),0)</f>
        <v>0</v>
      </c>
      <c r="H34" s="421">
        <f>IFERROR(GETPIVOTDATA("合計 / " &amp; $B34,【ピボット】国保連売上!$A$3,"年月",H$1,"事業所",$A34,"請求区分","単月"),0)</f>
        <v>0</v>
      </c>
      <c r="I34" s="421">
        <f>IFERROR(GETPIVOTDATA("合計 / " &amp; $B34,【ピボット】国保連売上!$A$3,"年月",I$1,"事業所",$A34,"請求区分","単月"),0)</f>
        <v>0</v>
      </c>
      <c r="J34" s="421">
        <f>IFERROR(GETPIVOTDATA("合計 / " &amp; $B34,【ピボット】国保連売上!$A$3,"年月",J$1,"事業所",$A34,"請求区分","単月"),0)</f>
        <v>0</v>
      </c>
      <c r="K34" s="421">
        <f>IFERROR(GETPIVOTDATA("合計 / " &amp; $B34,【ピボット】国保連売上!$A$3,"年月",K$1,"事業所",$A34,"請求区分","単月"),0)</f>
        <v>0</v>
      </c>
      <c r="L34" s="421">
        <f>IFERROR(GETPIVOTDATA("合計 / " &amp; $B34,【ピボット】国保連売上!$A$3,"年月",L$1,"事業所",$A34,"請求区分","単月"),0)</f>
        <v>0</v>
      </c>
      <c r="M34" s="421">
        <f>IFERROR(GETPIVOTDATA("合計 / " &amp; $B34,【ピボット】国保連売上!$A$3,"年月",M$1,"事業所",$A34,"請求区分","単月"),0)</f>
        <v>0</v>
      </c>
      <c r="N34" s="421">
        <f>IFERROR(GETPIVOTDATA("合計 / " &amp; $B34,【ピボット】国保連売上!$A$3,"年月",N$1,"事業所",$A34,"請求区分","単月"),0)</f>
        <v>0</v>
      </c>
      <c r="O34" s="421">
        <f>IFERROR(GETPIVOTDATA("合計 / " &amp; $B34,【ピボット】国保連売上!$A$3,"年月",O$1,"事業所",$A34,"請求区分","単月"),0)</f>
        <v>0</v>
      </c>
      <c r="P34" s="421">
        <f>IFERROR(GETPIVOTDATA("合計 / " &amp; $B34,【ピボット】国保連売上!$A$3,"年月",P$1,"事業所",$A34,"請求区分","単月"),0)</f>
        <v>0</v>
      </c>
      <c r="Q34" s="421">
        <f>IFERROR(GETPIVOTDATA("合計 / " &amp; $B34,【ピボット】国保連売上!$A$3,"年月",Q$1,"事業所",$A34,"請求区分","単月"),0)</f>
        <v>0</v>
      </c>
      <c r="R34" s="421">
        <f>IFERROR(GETPIVOTDATA("合計 / " &amp; $B34,【ピボット】国保連売上!$A$3,"年月",R$1,"事業所",$A34,"請求区分","単月"),0)</f>
        <v>362472</v>
      </c>
      <c r="S34" s="421">
        <f>IFERROR(GETPIVOTDATA("合計 / " &amp; $B34,【ピボット】国保連売上!$A$3,"年月",S$1,"事業所",$A34,"請求区分","単月"),0)</f>
        <v>421112</v>
      </c>
      <c r="T34" s="421">
        <f>IFERROR(GETPIVOTDATA("合計 / " &amp; $B34,【ピボット】国保連売上!$A$3,"年月",T$1,"事業所",$A34,"請求区分","単月"),0)</f>
        <v>920765</v>
      </c>
      <c r="U34" s="421">
        <f>IFERROR(GETPIVOTDATA("合計 / " &amp; $B34,【ピボット】国保連売上!$A$3,"年月",U$1,"事業所",$A34,"請求区分","単月"),0)</f>
        <v>1137667</v>
      </c>
      <c r="V34" s="421">
        <f>IFERROR(GETPIVOTDATA("合計 / " &amp; $B34,【ピボット】国保連売上!$A$3,"年月",V$1,"事業所",$A34,"請求区分","単月"),0)</f>
        <v>1658360</v>
      </c>
      <c r="W34" s="421">
        <f>IFERROR(GETPIVOTDATA("合計 / " &amp; $B34,【ピボット】国保連売上!$A$3,"年月",W$1,"事業所",$A34,"請求区分","単月"),0)</f>
        <v>1287209</v>
      </c>
      <c r="X34" s="421">
        <f>IFERROR(GETPIVOTDATA("合計 / " &amp; $B34,【ピボット】国保連売上!$A$3,"年月",X$1,"事業所",$A34,"請求区分","単月"),0)</f>
        <v>1066153</v>
      </c>
      <c r="Y34" s="421">
        <f>IFERROR(GETPIVOTDATA("合計 / " &amp; $B34,【ピボット】国保連売上!$A$3,"年月",Y$1,"事業所",$A34,"請求区分","単月"),0)</f>
        <v>1134172</v>
      </c>
      <c r="Z34" s="421">
        <f>IFERROR(GETPIVOTDATA("合計 / " &amp; $B34,【ピボット】国保連売上!$A$3,"年月",Z$1,"事業所",$A34,"請求区分","単月"),0)</f>
        <v>892569</v>
      </c>
      <c r="AA34" s="421">
        <f>IFERROR(GETPIVOTDATA("合計 / " &amp; $B34,【ピボット】国保連売上!$A$3,"年月",AA$1,"事業所",$A34,"請求区分","単月"),0)</f>
        <v>0</v>
      </c>
      <c r="AB34" s="419">
        <f>IFERROR(GETPIVOTDATA("合計 / " &amp; $B34,【ピボット】国保連売上!$A$3,"年月",AB$1,"事業所",$A34,"請求区分","単月"),0)</f>
        <v>0</v>
      </c>
      <c r="AC34" s="422">
        <f t="shared" ref="AC34:AC41" si="19">SUM(Q34:AB34)</f>
        <v>8880479</v>
      </c>
      <c r="AD34" s="422">
        <f t="shared" ref="AD34:AD41" si="20">AVERAGE(Q34:AB34)</f>
        <v>740039.91666666663</v>
      </c>
    </row>
    <row r="35" spans="1:30" ht="19.5" customHeight="1" x14ac:dyDescent="0.15">
      <c r="A35" t="s">
        <v>967</v>
      </c>
      <c r="B35" t="s">
        <v>861</v>
      </c>
      <c r="C35" s="108"/>
      <c r="D35" s="69" t="s">
        <v>137</v>
      </c>
      <c r="E35" s="423">
        <f>IFERROR(GETPIVOTDATA("合計 / " &amp; $B35,【ピボット】国保連売上!$A$3,"年月",E$1,"事業所",$A35,"請求区分","単月"),0)</f>
        <v>0</v>
      </c>
      <c r="F35" s="421">
        <f>IFERROR(GETPIVOTDATA("合計 / " &amp; $B35,【ピボット】国保連売上!$A$3,"年月",F$1,"事業所",$A35,"請求区分","単月"),0)</f>
        <v>0</v>
      </c>
      <c r="G35" s="421">
        <f>IFERROR(GETPIVOTDATA("合計 / " &amp; $B35,【ピボット】国保連売上!$A$3,"年月",G$1,"事業所",$A35,"請求区分","単月"),0)</f>
        <v>0</v>
      </c>
      <c r="H35" s="421">
        <f>IFERROR(GETPIVOTDATA("合計 / " &amp; $B35,【ピボット】国保連売上!$A$3,"年月",H$1,"事業所",$A35,"請求区分","単月"),0)</f>
        <v>0</v>
      </c>
      <c r="I35" s="421">
        <f>IFERROR(GETPIVOTDATA("合計 / " &amp; $B35,【ピボット】国保連売上!$A$3,"年月",I$1,"事業所",$A35,"請求区分","単月"),0)</f>
        <v>0</v>
      </c>
      <c r="J35" s="421">
        <f>IFERROR(GETPIVOTDATA("合計 / " &amp; $B35,【ピボット】国保連売上!$A$3,"年月",J$1,"事業所",$A35,"請求区分","単月"),0)</f>
        <v>0</v>
      </c>
      <c r="K35" s="421">
        <f>IFERROR(GETPIVOTDATA("合計 / " &amp; $B35,【ピボット】国保連売上!$A$3,"年月",K$1,"事業所",$A35,"請求区分","単月"),0)</f>
        <v>0</v>
      </c>
      <c r="L35" s="421">
        <f>IFERROR(GETPIVOTDATA("合計 / " &amp; $B35,【ピボット】国保連売上!$A$3,"年月",L$1,"事業所",$A35,"請求区分","単月"),0)</f>
        <v>0</v>
      </c>
      <c r="M35" s="421">
        <f>IFERROR(GETPIVOTDATA("合計 / " &amp; $B35,【ピボット】国保連売上!$A$3,"年月",M$1,"事業所",$A35,"請求区分","単月"),0)</f>
        <v>0</v>
      </c>
      <c r="N35" s="421">
        <f>IFERROR(GETPIVOTDATA("合計 / " &amp; $B35,【ピボット】国保連売上!$A$3,"年月",N$1,"事業所",$A35,"請求区分","単月"),0)</f>
        <v>0</v>
      </c>
      <c r="O35" s="421">
        <f>IFERROR(GETPIVOTDATA("合計 / " &amp; $B35,【ピボット】国保連売上!$A$3,"年月",O$1,"事業所",$A35,"請求区分","単月"),0)</f>
        <v>0</v>
      </c>
      <c r="P35" s="421">
        <f>IFERROR(GETPIVOTDATA("合計 / " &amp; $B35,【ピボット】国保連売上!$A$3,"年月",P$1,"事業所",$A35,"請求区分","単月"),0)</f>
        <v>0</v>
      </c>
      <c r="Q35" s="421">
        <f>IFERROR(GETPIVOTDATA("合計 / " &amp; $B35,【ピボット】国保連売上!$A$3,"年月",Q$1,"事業所",$A35,"請求区分","単月"),0)</f>
        <v>0</v>
      </c>
      <c r="R35" s="421">
        <f>IFERROR(GETPIVOTDATA("合計 / " &amp; $B35,【ピボット】国保連売上!$A$3,"年月",R$1,"事業所",$A35,"請求区分","単月"),0)</f>
        <v>0</v>
      </c>
      <c r="S35" s="421">
        <f>IFERROR(GETPIVOTDATA("合計 / " &amp; $B35,【ピボット】国保連売上!$A$3,"年月",S$1,"事業所",$A35,"請求区分","単月"),0)</f>
        <v>0</v>
      </c>
      <c r="T35" s="421">
        <f>IFERROR(GETPIVOTDATA("合計 / " &amp; $B35,【ピボット】国保連売上!$A$3,"年月",T$1,"事業所",$A35,"請求区分","単月"),0)</f>
        <v>211817</v>
      </c>
      <c r="U35" s="421">
        <f>IFERROR(GETPIVOTDATA("合計 / " &amp; $B35,【ピボット】国保連売上!$A$3,"年月",U$1,"事業所",$A35,"請求区分","単月"),0)</f>
        <v>578401</v>
      </c>
      <c r="V35" s="421">
        <f>IFERROR(GETPIVOTDATA("合計 / " &amp; $B35,【ピボット】国保連売上!$A$3,"年月",V$1,"事業所",$A35,"請求区分","単月"),0)</f>
        <v>23350</v>
      </c>
      <c r="W35" s="421">
        <f>IFERROR(GETPIVOTDATA("合計 / " &amp; $B35,【ピボット】国保連売上!$A$3,"年月",W$1,"事業所",$A35,"請求区分","単月"),0)</f>
        <v>0</v>
      </c>
      <c r="X35" s="421">
        <f>IFERROR(GETPIVOTDATA("合計 / " &amp; $B35,【ピボット】国保連売上!$A$3,"年月",X$1,"事業所",$A35,"請求区分","単月"),0)</f>
        <v>0</v>
      </c>
      <c r="Y35" s="421">
        <f>IFERROR(GETPIVOTDATA("合計 / " &amp; $B35,【ピボット】国保連売上!$A$3,"年月",Y$1,"事業所",$A35,"請求区分","単月"),0)</f>
        <v>0</v>
      </c>
      <c r="Z35" s="421">
        <f>IFERROR(GETPIVOTDATA("合計 / " &amp; $B35,【ピボット】国保連売上!$A$3,"年月",Z$1,"事業所",$A35,"請求区分","単月"),0)</f>
        <v>0</v>
      </c>
      <c r="AA35" s="421">
        <f>IFERROR(GETPIVOTDATA("合計 / " &amp; $B35,【ピボット】国保連売上!$A$3,"年月",AA$1,"事業所",$A35,"請求区分","単月"),0)</f>
        <v>0</v>
      </c>
      <c r="AB35" s="421">
        <f>IFERROR(GETPIVOTDATA("合計 / " &amp; $B35,【ピボット】国保連売上!$A$3,"年月",AB$1,"事業所",$A35,"請求区分","単月"),0)</f>
        <v>0</v>
      </c>
      <c r="AC35" s="422">
        <f t="shared" si="19"/>
        <v>813568</v>
      </c>
      <c r="AD35" s="422">
        <f t="shared" si="20"/>
        <v>67797.333333333328</v>
      </c>
    </row>
    <row r="36" spans="1:30" ht="19.5" customHeight="1" x14ac:dyDescent="0.15">
      <c r="A36" t="s">
        <v>967</v>
      </c>
      <c r="B36" t="s">
        <v>862</v>
      </c>
      <c r="C36" s="109"/>
      <c r="D36" s="68" t="s">
        <v>127</v>
      </c>
      <c r="E36" s="423">
        <f>IFERROR(GETPIVOTDATA("合計 / " &amp; $B36,【ピボット】国保連売上!$A$3,"年月",E$1,"事業所",$A36,"請求区分","単月"),0)</f>
        <v>0</v>
      </c>
      <c r="F36" s="423">
        <f>IFERROR(GETPIVOTDATA("合計 / " &amp; $B36,【ピボット】国保連売上!$A$3,"年月",F$1,"事業所",$A36,"請求区分","単月"),0)</f>
        <v>0</v>
      </c>
      <c r="G36" s="423">
        <f>IFERROR(GETPIVOTDATA("合計 / " &amp; $B36,【ピボット】国保連売上!$A$3,"年月",G$1,"事業所",$A36,"請求区分","単月"),0)</f>
        <v>0</v>
      </c>
      <c r="H36" s="423">
        <f>IFERROR(GETPIVOTDATA("合計 / " &amp; $B36,【ピボット】国保連売上!$A$3,"年月",H$1,"事業所",$A36,"請求区分","単月"),0)</f>
        <v>0</v>
      </c>
      <c r="I36" s="423">
        <f>IFERROR(GETPIVOTDATA("合計 / " &amp; $B36,【ピボット】国保連売上!$A$3,"年月",I$1,"事業所",$A36,"請求区分","単月"),0)</f>
        <v>0</v>
      </c>
      <c r="J36" s="423">
        <f>IFERROR(GETPIVOTDATA("合計 / " &amp; $B36,【ピボット】国保連売上!$A$3,"年月",J$1,"事業所",$A36,"請求区分","単月"),0)</f>
        <v>0</v>
      </c>
      <c r="K36" s="423">
        <f>IFERROR(GETPIVOTDATA("合計 / " &amp; $B36,【ピボット】国保連売上!$A$3,"年月",K$1,"事業所",$A36,"請求区分","単月"),0)</f>
        <v>0</v>
      </c>
      <c r="L36" s="423">
        <f>IFERROR(GETPIVOTDATA("合計 / " &amp; $B36,【ピボット】国保連売上!$A$3,"年月",L$1,"事業所",$A36,"請求区分","単月"),0)</f>
        <v>0</v>
      </c>
      <c r="M36" s="423">
        <f>IFERROR(GETPIVOTDATA("合計 / " &amp; $B36,【ピボット】国保連売上!$A$3,"年月",M$1,"事業所",$A36,"請求区分","単月"),0)</f>
        <v>0</v>
      </c>
      <c r="N36" s="423">
        <f>IFERROR(GETPIVOTDATA("合計 / " &amp; $B36,【ピボット】国保連売上!$A$3,"年月",N$1,"事業所",$A36,"請求区分","単月"),0)</f>
        <v>0</v>
      </c>
      <c r="O36" s="423">
        <f>IFERROR(GETPIVOTDATA("合計 / " &amp; $B36,【ピボット】国保連売上!$A$3,"年月",O$1,"事業所",$A36,"請求区分","単月"),0)</f>
        <v>0</v>
      </c>
      <c r="P36" s="423">
        <f>IFERROR(GETPIVOTDATA("合計 / " &amp; $B36,【ピボット】国保連売上!$A$3,"年月",P$1,"事業所",$A36,"請求区分","単月"),0)</f>
        <v>0</v>
      </c>
      <c r="Q36" s="423">
        <f>IFERROR(GETPIVOTDATA("合計 / " &amp; $B36,【ピボット】国保連売上!$A$3,"年月",Q$1,"事業所",$A36,"請求区分","単月"),0)</f>
        <v>0</v>
      </c>
      <c r="R36" s="423">
        <f>IFERROR(GETPIVOTDATA("合計 / " &amp; $B36,【ピボット】国保連売上!$A$3,"年月",R$1,"事業所",$A36,"請求区分","単月"),0)</f>
        <v>-264787</v>
      </c>
      <c r="S36" s="423">
        <f>IFERROR(GETPIVOTDATA("合計 / " &amp; $B36,【ピボット】国保連売上!$A$3,"年月",S$1,"事業所",$A36,"請求区分","単月"),0)</f>
        <v>0</v>
      </c>
      <c r="T36" s="423">
        <f>IFERROR(GETPIVOTDATA("合計 / " &amp; $B36,【ピボット】国保連売上!$A$3,"年月",T$1,"事業所",$A36,"請求区分","単月"),0)</f>
        <v>-201562</v>
      </c>
      <c r="U36" s="423">
        <f>IFERROR(GETPIVOTDATA("合計 / " &amp; $B36,【ピボット】国保連売上!$A$3,"年月",U$1,"事業所",$A36,"請求区分","単月"),0)</f>
        <v>-47568</v>
      </c>
      <c r="V36" s="423">
        <f>IFERROR(GETPIVOTDATA("合計 / " &amp; $B36,【ピボット】国保連売上!$A$3,"年月",V$1,"事業所",$A36,"請求区分","単月"),0)</f>
        <v>-371367</v>
      </c>
      <c r="W36" s="423">
        <f>IFERROR(GETPIVOTDATA("合計 / " &amp; $B36,【ピボット】国保連売上!$A$3,"年月",W$1,"事業所",$A36,"請求区分","単月"),0)</f>
        <v>-69349</v>
      </c>
      <c r="X36" s="423">
        <f>IFERROR(GETPIVOTDATA("合計 / " &amp; $B36,【ピボット】国保連売上!$A$3,"年月",X$1,"事業所",$A36,"請求区分","単月"),0)</f>
        <v>0</v>
      </c>
      <c r="Y36" s="423">
        <f>IFERROR(GETPIVOTDATA("合計 / " &amp; $B36,【ピボット】国保連売上!$A$3,"年月",Y$1,"事業所",$A36,"請求区分","単月"),0)</f>
        <v>-13148</v>
      </c>
      <c r="Z36" s="423">
        <f>IFERROR(GETPIVOTDATA("合計 / " &amp; $B36,【ピボット】国保連売上!$A$3,"年月",Z$1,"事業所",$A36,"請求区分","単月"),0)</f>
        <v>-8409</v>
      </c>
      <c r="AA36" s="423">
        <f>IFERROR(GETPIVOTDATA("合計 / " &amp; $B36,【ピボット】国保連売上!$A$3,"年月",AA$1,"事業所",$A36,"請求区分","単月"),0)</f>
        <v>0</v>
      </c>
      <c r="AB36" s="421">
        <f>IFERROR(GETPIVOTDATA("合計 / " &amp; $B36,【ピボット】国保連売上!$A$3,"年月",AB$1,"事業所",$A36,"請求区分","単月"),0)</f>
        <v>0</v>
      </c>
      <c r="AC36" s="424">
        <f t="shared" si="19"/>
        <v>-976190</v>
      </c>
      <c r="AD36" s="424">
        <f t="shared" si="20"/>
        <v>-81349.166666666672</v>
      </c>
    </row>
    <row r="37" spans="1:30" ht="19.5" customHeight="1" x14ac:dyDescent="0.15">
      <c r="A37" t="s">
        <v>967</v>
      </c>
      <c r="B37" t="s">
        <v>815</v>
      </c>
      <c r="C37" s="109"/>
      <c r="D37" s="68" t="s">
        <v>128</v>
      </c>
      <c r="E37" s="423">
        <f>IFERROR(GETPIVOTDATA("合計 / " &amp; $B37,【ピボット】事業所売上!$A$3,"年月",E$1,"事業所",$A37),0)</f>
        <v>0</v>
      </c>
      <c r="F37" s="423">
        <f>IFERROR(GETPIVOTDATA("合計 / " &amp; $B37,【ピボット】事業所売上!$A$3,"年月",F$1,"事業所",$A37),0)</f>
        <v>0</v>
      </c>
      <c r="G37" s="423">
        <f>IFERROR(GETPIVOTDATA("合計 / " &amp; $B37,【ピボット】事業所売上!$A$3,"年月",G$1,"事業所",$A37),0)</f>
        <v>0</v>
      </c>
      <c r="H37" s="423">
        <f>IFERROR(GETPIVOTDATA("合計 / " &amp; $B37,【ピボット】事業所売上!$A$3,"年月",H$1,"事業所",$A37),0)</f>
        <v>0</v>
      </c>
      <c r="I37" s="423">
        <f>IFERROR(GETPIVOTDATA("合計 / " &amp; $B37,【ピボット】事業所売上!$A$3,"年月",I$1,"事業所",$A37),0)</f>
        <v>0</v>
      </c>
      <c r="J37" s="423">
        <f>IFERROR(GETPIVOTDATA("合計 / " &amp; $B37,【ピボット】事業所売上!$A$3,"年月",J$1,"事業所",$A37),0)</f>
        <v>0</v>
      </c>
      <c r="K37" s="423">
        <f>IFERROR(GETPIVOTDATA("合計 / " &amp; $B37,【ピボット】事業所売上!$A$3,"年月",K$1,"事業所",$A37),0)</f>
        <v>0</v>
      </c>
      <c r="L37" s="423">
        <f>IFERROR(GETPIVOTDATA("合計 / " &amp; $B37,【ピボット】事業所売上!$A$3,"年月",L$1,"事業所",$A37),0)</f>
        <v>0</v>
      </c>
      <c r="M37" s="423">
        <f>IFERROR(GETPIVOTDATA("合計 / " &amp; $B37,【ピボット】事業所売上!$A$3,"年月",M$1,"事業所",$A37),0)</f>
        <v>0</v>
      </c>
      <c r="N37" s="423">
        <f>IFERROR(GETPIVOTDATA("合計 / " &amp; $B37,【ピボット】事業所売上!$A$3,"年月",N$1,"事業所",$A37),0)</f>
        <v>0</v>
      </c>
      <c r="O37" s="423">
        <f>IFERROR(GETPIVOTDATA("合計 / " &amp; $B37,【ピボット】事業所売上!$A$3,"年月",O$1,"事業所",$A37),0)</f>
        <v>0</v>
      </c>
      <c r="P37" s="423">
        <f>IFERROR(GETPIVOTDATA("合計 / " &amp; $B37,【ピボット】事業所売上!$A$3,"年月",P$1,"事業所",$A37),0)</f>
        <v>0</v>
      </c>
      <c r="Q37" s="423">
        <f>IFERROR(GETPIVOTDATA("合計 / " &amp; $B37,【ピボット】事業所売上!$A$3,"年月",Q$1,"事業所",$A37),0)</f>
        <v>0</v>
      </c>
      <c r="R37" s="423">
        <f>IFERROR(GETPIVOTDATA("合計 / " &amp; $B37,【ピボット】事業所売上!$A$3,"年月",R$1,"事業所",$A37),0)</f>
        <v>3200</v>
      </c>
      <c r="S37" s="423">
        <f>IFERROR(GETPIVOTDATA("合計 / " &amp; $B37,【ピボット】事業所売上!$A$3,"年月",S$1,"事業所",$A37),0)</f>
        <v>430</v>
      </c>
      <c r="T37" s="423">
        <f>IFERROR(GETPIVOTDATA("合計 / " &amp; $B37,【ピボット】事業所売上!$A$3,"年月",T$1,"事業所",$A37),0)</f>
        <v>9957</v>
      </c>
      <c r="U37" s="423">
        <f>IFERROR(GETPIVOTDATA("合計 / " &amp; $B37,【ピボット】事業所売上!$A$3,"年月",U$1,"事業所",$A37),0)</f>
        <v>3600</v>
      </c>
      <c r="V37" s="423">
        <f>IFERROR(GETPIVOTDATA("合計 / " &amp; $B37,【ピボット】事業所売上!$A$3,"年月",V$1,"事業所",$A37),0)</f>
        <v>5100</v>
      </c>
      <c r="W37" s="423">
        <f>IFERROR(GETPIVOTDATA("合計 / " &amp; $B37,【ピボット】事業所売上!$A$3,"年月",W$1,"事業所",$A37),0)</f>
        <v>22050</v>
      </c>
      <c r="X37" s="423">
        <f>IFERROR(GETPIVOTDATA("合計 / " &amp; $B37,【ピボット】事業所売上!$A$3,"年月",X$1,"事業所",$A37),0)</f>
        <v>24783</v>
      </c>
      <c r="Y37" s="423">
        <f>IFERROR(GETPIVOTDATA("合計 / " &amp; $B37,【ピボット】事業所売上!$A$3,"年月",Y$1,"事業所",$A37),0)</f>
        <v>39750</v>
      </c>
      <c r="Z37" s="423">
        <f>IFERROR(GETPIVOTDATA("合計 / " &amp; $B37,【ピボット】事業所売上!$A$3,"年月",Z$1,"事業所",$A37),0)</f>
        <v>11900</v>
      </c>
      <c r="AA37" s="423">
        <f>IFERROR(GETPIVOTDATA("合計 / " &amp; $B37,【ピボット】事業所売上!$A$3,"年月",AA$1,"事業所",$A37),0)</f>
        <v>0</v>
      </c>
      <c r="AB37" s="423">
        <f>IFERROR(GETPIVOTDATA("合計 / " &amp; $B37,【ピボット】事業所売上!$A$3,"年月",AB$1,"事業所",$A37),0)</f>
        <v>0</v>
      </c>
      <c r="AC37" s="424">
        <f t="shared" si="19"/>
        <v>120770</v>
      </c>
      <c r="AD37" s="424">
        <f t="shared" si="20"/>
        <v>10064.166666666666</v>
      </c>
    </row>
    <row r="38" spans="1:30" ht="19.5" customHeight="1" x14ac:dyDescent="0.15">
      <c r="A38" t="s">
        <v>967</v>
      </c>
      <c r="C38" s="109"/>
      <c r="D38" s="112" t="str">
        <f>C34 &amp; "売上合計"</f>
        <v>千葉東売上合計</v>
      </c>
      <c r="E38" s="425">
        <f t="shared" ref="E38:K38" si="21">SUM(E34:E37)</f>
        <v>0</v>
      </c>
      <c r="F38" s="425">
        <f t="shared" si="21"/>
        <v>0</v>
      </c>
      <c r="G38" s="425">
        <f t="shared" si="21"/>
        <v>0</v>
      </c>
      <c r="H38" s="425">
        <f t="shared" si="21"/>
        <v>0</v>
      </c>
      <c r="I38" s="425">
        <f t="shared" si="21"/>
        <v>0</v>
      </c>
      <c r="J38" s="425">
        <f t="shared" si="21"/>
        <v>0</v>
      </c>
      <c r="K38" s="425">
        <f t="shared" si="21"/>
        <v>0</v>
      </c>
      <c r="L38" s="425">
        <f t="shared" ref="L38:AB38" si="22">SUM(L34:L37)</f>
        <v>0</v>
      </c>
      <c r="M38" s="425">
        <f t="shared" si="22"/>
        <v>0</v>
      </c>
      <c r="N38" s="425">
        <f t="shared" si="22"/>
        <v>0</v>
      </c>
      <c r="O38" s="425">
        <f t="shared" si="22"/>
        <v>0</v>
      </c>
      <c r="P38" s="425">
        <f t="shared" si="22"/>
        <v>0</v>
      </c>
      <c r="Q38" s="425">
        <f t="shared" si="22"/>
        <v>0</v>
      </c>
      <c r="R38" s="425">
        <f t="shared" si="22"/>
        <v>100885</v>
      </c>
      <c r="S38" s="425">
        <f t="shared" si="22"/>
        <v>421542</v>
      </c>
      <c r="T38" s="425">
        <f t="shared" si="22"/>
        <v>940977</v>
      </c>
      <c r="U38" s="425">
        <f t="shared" si="22"/>
        <v>1672100</v>
      </c>
      <c r="V38" s="425">
        <f t="shared" si="22"/>
        <v>1315443</v>
      </c>
      <c r="W38" s="425">
        <f t="shared" si="22"/>
        <v>1239910</v>
      </c>
      <c r="X38" s="425">
        <f t="shared" si="22"/>
        <v>1090936</v>
      </c>
      <c r="Y38" s="425">
        <f t="shared" si="22"/>
        <v>1160774</v>
      </c>
      <c r="Z38" s="425">
        <f t="shared" si="22"/>
        <v>896060</v>
      </c>
      <c r="AA38" s="425">
        <f t="shared" si="22"/>
        <v>0</v>
      </c>
      <c r="AB38" s="425">
        <f t="shared" si="22"/>
        <v>0</v>
      </c>
      <c r="AC38" s="426">
        <f t="shared" si="19"/>
        <v>8838627</v>
      </c>
      <c r="AD38" s="426">
        <f t="shared" si="20"/>
        <v>736552.25</v>
      </c>
    </row>
    <row r="39" spans="1:30" ht="19.5" customHeight="1" x14ac:dyDescent="0.15">
      <c r="A39" t="s">
        <v>967</v>
      </c>
      <c r="B39" t="s">
        <v>15</v>
      </c>
      <c r="C39" s="109"/>
      <c r="D39" s="68" t="s">
        <v>129</v>
      </c>
      <c r="E39" s="423">
        <f>IFERROR(GETPIVOTDATA("合計 / " &amp; $B39,【ピボット】事業所収支!$A$3,"年月",E$1,"事業所",$A39),0)</f>
        <v>0</v>
      </c>
      <c r="F39" s="423">
        <f>IFERROR(GETPIVOTDATA("合計 / " &amp; $B39,【ピボット】事業所収支!$A$3,"年月",F$1,"事業所",$A39),0)</f>
        <v>0</v>
      </c>
      <c r="G39" s="423">
        <f>IFERROR(GETPIVOTDATA("合計 / " &amp; $B39,【ピボット】事業所収支!$A$3,"年月",G$1,"事業所",$A39),0)</f>
        <v>0</v>
      </c>
      <c r="H39" s="423">
        <f>IFERROR(GETPIVOTDATA("合計 / " &amp; $B39,【ピボット】事業所収支!$A$3,"年月",H$1,"事業所",$A39),0)</f>
        <v>0</v>
      </c>
      <c r="I39" s="423">
        <f>IFERROR(GETPIVOTDATA("合計 / " &amp; $B39,【ピボット】事業所収支!$A$3,"年月",I$1,"事業所",$A39),0)</f>
        <v>0</v>
      </c>
      <c r="J39" s="423">
        <f>IFERROR(GETPIVOTDATA("合計 / " &amp; $B39,【ピボット】事業所収支!$A$3,"年月",J$1,"事業所",$A39),0)</f>
        <v>0</v>
      </c>
      <c r="K39" s="423">
        <f>IFERROR(GETPIVOTDATA("合計 / " &amp; $B39,【ピボット】事業所収支!$A$3,"年月",K$1,"事業所",$A39),0)</f>
        <v>0</v>
      </c>
      <c r="L39" s="423">
        <f>IFERROR(GETPIVOTDATA("合計 / " &amp; $B39,【ピボット】事業所収支!$A$3,"年月",L$1,"事業所",$A39),0)</f>
        <v>0</v>
      </c>
      <c r="M39" s="423">
        <f>IFERROR(GETPIVOTDATA("合計 / " &amp; $B39,【ピボット】事業所収支!$A$3,"年月",M$1,"事業所",$A39),0)</f>
        <v>0</v>
      </c>
      <c r="N39" s="423">
        <f>IFERROR(GETPIVOTDATA("合計 / " &amp; $B39,【ピボット】事業所収支!$A$3,"年月",N$1,"事業所",$A39),0)</f>
        <v>0</v>
      </c>
      <c r="O39" s="423">
        <f>IFERROR(GETPIVOTDATA("合計 / " &amp; $B39,【ピボット】事業所収支!$A$3,"年月",O$1,"事業所",$A39),0)</f>
        <v>0</v>
      </c>
      <c r="P39" s="423">
        <f>IFERROR(GETPIVOTDATA("合計 / " &amp; $B39,【ピボット】事業所収支!$A$3,"年月",P$1,"事業所",$A39),0)</f>
        <v>0</v>
      </c>
      <c r="Q39" s="423">
        <f>IFERROR(GETPIVOTDATA("合計 / " &amp; $B39,【ピボット】事業所収支!$A$3,"年月",Q$1,"事業所",$A39),0)</f>
        <v>394863</v>
      </c>
      <c r="R39" s="423">
        <f>IFERROR(GETPIVOTDATA("合計 / " &amp; $B39,【ピボット】事業所収支!$A$3,"年月",R$1,"事業所",$A39),0)</f>
        <v>845708</v>
      </c>
      <c r="S39" s="423">
        <f>IFERROR(GETPIVOTDATA("合計 / " &amp; $B39,【ピボット】事業所収支!$A$3,"年月",S$1,"事業所",$A39),0)</f>
        <v>534698</v>
      </c>
      <c r="T39" s="423">
        <f>IFERROR(GETPIVOTDATA("合計 / " &amp; $B39,【ピボット】事業所収支!$A$3,"年月",T$1,"事業所",$A39),0)</f>
        <v>636291</v>
      </c>
      <c r="U39" s="423">
        <f>IFERROR(GETPIVOTDATA("合計 / " &amp; $B39,【ピボット】事業所収支!$A$3,"年月",U$1,"事業所",$A39),0)</f>
        <v>1097703</v>
      </c>
      <c r="V39" s="423">
        <f>IFERROR(GETPIVOTDATA("合計 / " &amp; $B39,【ピボット】事業所収支!$A$3,"年月",V$1,"事業所",$A39),0)</f>
        <v>834332</v>
      </c>
      <c r="W39" s="423">
        <f>IFERROR(GETPIVOTDATA("合計 / " &amp; $B39,【ピボット】事業所収支!$A$3,"年月",W$1,"事業所",$A39),0)</f>
        <v>657648</v>
      </c>
      <c r="X39" s="423">
        <f>IFERROR(GETPIVOTDATA("合計 / " &amp; $B39,【ピボット】事業所収支!$A$3,"年月",X$1,"事業所",$A39),0)</f>
        <v>1225203</v>
      </c>
      <c r="Y39" s="423">
        <f>IFERROR(GETPIVOTDATA("合計 / " &amp; $B39,【ピボット】事業所収支!$A$3,"年月",Y$1,"事業所",$A39),0)</f>
        <v>643986</v>
      </c>
      <c r="Z39" s="423">
        <f>IFERROR(GETPIVOTDATA("合計 / " &amp; $B39,【ピボット】事業所収支!$A$3,"年月",Z$1,"事業所",$A39),0)</f>
        <v>588032</v>
      </c>
      <c r="AA39" s="423">
        <f>IFERROR(GETPIVOTDATA("合計 / " &amp; $B39,【ピボット】事業所収支!$A$3,"年月",AA$1,"事業所",$A39),0)</f>
        <v>0</v>
      </c>
      <c r="AB39" s="423">
        <f>IFERROR(GETPIVOTDATA("合計 / " &amp; $B39,【ピボット】事業所収支!$A$3,"年月",AB$1,"事業所",$A39),0)</f>
        <v>0</v>
      </c>
      <c r="AC39" s="424">
        <f t="shared" si="19"/>
        <v>7458464</v>
      </c>
      <c r="AD39" s="424">
        <f t="shared" si="20"/>
        <v>621538.66666666663</v>
      </c>
    </row>
    <row r="40" spans="1:30" ht="19.5" customHeight="1" x14ac:dyDescent="0.15">
      <c r="A40" t="s">
        <v>967</v>
      </c>
      <c r="B40" t="s">
        <v>1232</v>
      </c>
      <c r="C40" s="109"/>
      <c r="D40" s="68" t="s">
        <v>130</v>
      </c>
      <c r="E40" s="423">
        <f>IFERROR(GETPIVOTDATA("合計 / " &amp; $B40,【ピボット】事業所収支!$A$3,"年月",E$1,"事業所",$A40),0)</f>
        <v>0</v>
      </c>
      <c r="F40" s="423">
        <f>IFERROR(GETPIVOTDATA("合計 / " &amp; $B40,【ピボット】事業所収支!$A$3,"年月",F$1,"事業所",$A40),0)</f>
        <v>0</v>
      </c>
      <c r="G40" s="423">
        <f>IFERROR(GETPIVOTDATA("合計 / " &amp; $B40,【ピボット】事業所収支!$A$3,"年月",G$1,"事業所",$A40),0)</f>
        <v>0</v>
      </c>
      <c r="H40" s="423">
        <f>IFERROR(GETPIVOTDATA("合計 / " &amp; $B40,【ピボット】事業所収支!$A$3,"年月",H$1,"事業所",$A40),0)</f>
        <v>0</v>
      </c>
      <c r="I40" s="423">
        <f>IFERROR(GETPIVOTDATA("合計 / " &amp; $B40,【ピボット】事業所収支!$A$3,"年月",I$1,"事業所",$A40),0)</f>
        <v>0</v>
      </c>
      <c r="J40" s="423">
        <f>IFERROR(GETPIVOTDATA("合計 / " &amp; $B40,【ピボット】事業所収支!$A$3,"年月",J$1,"事業所",$A40),0)</f>
        <v>0</v>
      </c>
      <c r="K40" s="423">
        <f>IFERROR(GETPIVOTDATA("合計 / " &amp; $B40,【ピボット】事業所収支!$A$3,"年月",K$1,"事業所",$A40),0)</f>
        <v>0</v>
      </c>
      <c r="L40" s="423">
        <f>IFERROR(GETPIVOTDATA("合計 / " &amp; $B40,【ピボット】事業所収支!$A$3,"年月",L$1,"事業所",$A40),0)</f>
        <v>0</v>
      </c>
      <c r="M40" s="423">
        <f>IFERROR(GETPIVOTDATA("合計 / " &amp; $B40,【ピボット】事業所収支!$A$3,"年月",M$1,"事業所",$A40),0)</f>
        <v>0</v>
      </c>
      <c r="N40" s="423">
        <f>IFERROR(GETPIVOTDATA("合計 / " &amp; $B40,【ピボット】事業所収支!$A$3,"年月",N$1,"事業所",$A40),0)</f>
        <v>0</v>
      </c>
      <c r="O40" s="423">
        <f>IFERROR(GETPIVOTDATA("合計 / " &amp; $B40,【ピボット】事業所収支!$A$3,"年月",O$1,"事業所",$A40),0)</f>
        <v>793800</v>
      </c>
      <c r="P40" s="423">
        <f>IFERROR(GETPIVOTDATA("合計 / " &amp; $B40,【ピボット】事業所収支!$A$3,"年月",P$1,"事業所",$A40),0)</f>
        <v>741095</v>
      </c>
      <c r="Q40" s="423">
        <f>IFERROR(GETPIVOTDATA("合計 / " &amp; $B40,【ピボット】事業所収支!$A$3,"年月",Q$1,"事業所",$A40),0)</f>
        <v>690320</v>
      </c>
      <c r="R40" s="423">
        <f>IFERROR(GETPIVOTDATA("合計 / " &amp; $B40,【ピボット】事業所収支!$A$3,"年月",R$1,"事業所",$A40),0)</f>
        <v>759192</v>
      </c>
      <c r="S40" s="423">
        <f>IFERROR(GETPIVOTDATA("合計 / " &amp; $B40,【ピボット】事業所収支!$A$3,"年月",S$1,"事業所",$A40),0)</f>
        <v>713868</v>
      </c>
      <c r="T40" s="423">
        <f>IFERROR(GETPIVOTDATA("合計 / " &amp; $B40,【ピボット】事業所収支!$A$3,"年月",T$1,"事業所",$A40),0)</f>
        <v>683798</v>
      </c>
      <c r="U40" s="423">
        <f>IFERROR(GETPIVOTDATA("合計 / " &amp; $B40,【ピボット】事業所収支!$A$3,"年月",U$1,"事業所",$A40),0)</f>
        <v>600303</v>
      </c>
      <c r="V40" s="423">
        <f>IFERROR(GETPIVOTDATA("合計 / " &amp; $B40,【ピボット】事業所収支!$A$3,"年月",V$1,"事業所",$A40),0)</f>
        <v>606856</v>
      </c>
      <c r="W40" s="423">
        <f>IFERROR(GETPIVOTDATA("合計 / " &amp; $B40,【ピボット】事業所収支!$A$3,"年月",W$1,"事業所",$A40),0)</f>
        <v>530155</v>
      </c>
      <c r="X40" s="423">
        <f>IFERROR(GETPIVOTDATA("合計 / " &amp; $B40,【ピボット】事業所収支!$A$3,"年月",X$1,"事業所",$A40),0)</f>
        <v>544701</v>
      </c>
      <c r="Y40" s="423">
        <f>IFERROR(GETPIVOTDATA("合計 / " &amp; $B40,【ピボット】事業所収支!$A$3,"年月",Y$1,"事業所",$A40),0)</f>
        <v>476615</v>
      </c>
      <c r="Z40" s="423">
        <f>IFERROR(GETPIVOTDATA("合計 / " &amp; $B40,【ピボット】事業所収支!$A$3,"年月",Z$1,"事業所",$A40),0)</f>
        <v>364736</v>
      </c>
      <c r="AA40" s="423">
        <f>IFERROR(GETPIVOTDATA("合計 / " &amp; $B40,【ピボット】事業所収支!$A$3,"年月",AA$1,"事業所",$A40),0)</f>
        <v>329510</v>
      </c>
      <c r="AB40" s="423">
        <f>IFERROR(GETPIVOTDATA("合計 / " &amp; $B40,【ピボット】事業所収支!$A$3,"年月",AB$1,"事業所",$A40),0)</f>
        <v>275106</v>
      </c>
      <c r="AC40" s="424">
        <f t="shared" si="19"/>
        <v>6575160</v>
      </c>
      <c r="AD40" s="424">
        <f t="shared" si="20"/>
        <v>547930</v>
      </c>
    </row>
    <row r="41" spans="1:30" ht="19.5" customHeight="1" thickBot="1" x14ac:dyDescent="0.2">
      <c r="C41" s="111"/>
      <c r="D41" s="113" t="s">
        <v>138</v>
      </c>
      <c r="E41" s="427">
        <f t="shared" ref="E41:K41" si="23">SUM(E38)-SUM(E39:E40)</f>
        <v>0</v>
      </c>
      <c r="F41" s="427">
        <f t="shared" si="23"/>
        <v>0</v>
      </c>
      <c r="G41" s="427">
        <f t="shared" si="23"/>
        <v>0</v>
      </c>
      <c r="H41" s="427">
        <f t="shared" si="23"/>
        <v>0</v>
      </c>
      <c r="I41" s="427">
        <f t="shared" si="23"/>
        <v>0</v>
      </c>
      <c r="J41" s="427">
        <f t="shared" si="23"/>
        <v>0</v>
      </c>
      <c r="K41" s="427">
        <f t="shared" si="23"/>
        <v>0</v>
      </c>
      <c r="L41" s="427">
        <f t="shared" ref="L41:AB41" si="24">SUM(L38)-SUM(L39:L40)</f>
        <v>0</v>
      </c>
      <c r="M41" s="427">
        <f t="shared" si="24"/>
        <v>0</v>
      </c>
      <c r="N41" s="427">
        <f t="shared" si="24"/>
        <v>0</v>
      </c>
      <c r="O41" s="427">
        <f t="shared" si="24"/>
        <v>-793800</v>
      </c>
      <c r="P41" s="427">
        <f t="shared" si="24"/>
        <v>-741095</v>
      </c>
      <c r="Q41" s="427">
        <f t="shared" si="24"/>
        <v>-1085183</v>
      </c>
      <c r="R41" s="427">
        <f t="shared" si="24"/>
        <v>-1504015</v>
      </c>
      <c r="S41" s="427">
        <f t="shared" si="24"/>
        <v>-827024</v>
      </c>
      <c r="T41" s="427">
        <f t="shared" si="24"/>
        <v>-379112</v>
      </c>
      <c r="U41" s="427">
        <f t="shared" si="24"/>
        <v>-25906</v>
      </c>
      <c r="V41" s="427">
        <f t="shared" si="24"/>
        <v>-125745</v>
      </c>
      <c r="W41" s="427">
        <f t="shared" si="24"/>
        <v>52107</v>
      </c>
      <c r="X41" s="427">
        <f t="shared" si="24"/>
        <v>-678968</v>
      </c>
      <c r="Y41" s="427">
        <f t="shared" si="24"/>
        <v>40173</v>
      </c>
      <c r="Z41" s="427">
        <f t="shared" si="24"/>
        <v>-56708</v>
      </c>
      <c r="AA41" s="427">
        <f t="shared" si="24"/>
        <v>-329510</v>
      </c>
      <c r="AB41" s="427">
        <f t="shared" si="24"/>
        <v>-275106</v>
      </c>
      <c r="AC41" s="428">
        <f t="shared" si="19"/>
        <v>-5194997</v>
      </c>
      <c r="AD41" s="428">
        <f t="shared" si="20"/>
        <v>-432916.41666666669</v>
      </c>
    </row>
    <row r="42" spans="1:30" ht="19.5" customHeight="1" x14ac:dyDescent="0.15">
      <c r="A42" t="s">
        <v>1212</v>
      </c>
      <c r="B42" t="s">
        <v>554</v>
      </c>
      <c r="C42" s="107" t="s">
        <v>1212</v>
      </c>
      <c r="D42" s="69" t="s">
        <v>126</v>
      </c>
      <c r="E42" s="423">
        <f>IFERROR(GETPIVOTDATA("合計 / " &amp; $B42,【ピボット】国保連売上!$A$3,"年月",E$1,"事業所",$A42,"請求区分","単月"),0)</f>
        <v>0</v>
      </c>
      <c r="F42" s="421">
        <f>IFERROR(GETPIVOTDATA("合計 / " &amp; $B42,【ピボット】国保連売上!$A$3,"年月",F$1,"事業所",$A42,"請求区分","単月"),0)</f>
        <v>0</v>
      </c>
      <c r="G42" s="421">
        <f>IFERROR(GETPIVOTDATA("合計 / " &amp; $B42,【ピボット】国保連売上!$A$3,"年月",G$1,"事業所",$A42,"請求区分","単月"),0)</f>
        <v>0</v>
      </c>
      <c r="H42" s="421">
        <f>IFERROR(GETPIVOTDATA("合計 / " &amp; $B42,【ピボット】国保連売上!$A$3,"年月",H$1,"事業所",$A42,"請求区分","単月"),0)</f>
        <v>0</v>
      </c>
      <c r="I42" s="421">
        <f>IFERROR(GETPIVOTDATA("合計 / " &amp; $B42,【ピボット】国保連売上!$A$3,"年月",I$1,"事業所",$A42,"請求区分","単月"),0)</f>
        <v>0</v>
      </c>
      <c r="J42" s="421">
        <f>IFERROR(GETPIVOTDATA("合計 / " &amp; $B42,【ピボット】国保連売上!$A$3,"年月",J$1,"事業所",$A42,"請求区分","単月"),0)</f>
        <v>0</v>
      </c>
      <c r="K42" s="421">
        <f>IFERROR(GETPIVOTDATA("合計 / " &amp; $B42,【ピボット】国保連売上!$A$3,"年月",K$1,"事業所",$A42,"請求区分","単月"),0)</f>
        <v>0</v>
      </c>
      <c r="L42" s="421">
        <f>IFERROR(GETPIVOTDATA("合計 / " &amp; $B42,【ピボット】国保連売上!$A$3,"年月",L$1,"事業所",$A42,"請求区分","単月"),0)</f>
        <v>0</v>
      </c>
      <c r="M42" s="421">
        <f>IFERROR(GETPIVOTDATA("合計 / " &amp; $B42,【ピボット】国保連売上!$A$3,"年月",M$1,"事業所",$A42,"請求区分","単月"),0)</f>
        <v>0</v>
      </c>
      <c r="N42" s="421">
        <f>IFERROR(GETPIVOTDATA("合計 / " &amp; $B42,【ピボット】国保連売上!$A$3,"年月",N$1,"事業所",$A42,"請求区分","単月"),0)</f>
        <v>0</v>
      </c>
      <c r="O42" s="421">
        <f>IFERROR(GETPIVOTDATA("合計 / " &amp; $B42,【ピボット】国保連売上!$A$3,"年月",O$1,"事業所",$A42,"請求区分","単月"),0)</f>
        <v>0</v>
      </c>
      <c r="P42" s="421">
        <f>IFERROR(GETPIVOTDATA("合計 / " &amp; $B42,【ピボット】国保連売上!$A$3,"年月",P$1,"事業所",$A42,"請求区分","単月"),0)</f>
        <v>0</v>
      </c>
      <c r="Q42" s="421">
        <f>IFERROR(GETPIVOTDATA("合計 / " &amp; $B42,【ピボット】国保連売上!$A$3,"年月",Q$1,"事業所",$A42,"請求区分","単月"),0)</f>
        <v>0</v>
      </c>
      <c r="R42" s="421">
        <f>IFERROR(GETPIVOTDATA("合計 / " &amp; $B42,【ピボット】国保連売上!$A$3,"年月",R$1,"事業所",$A42,"請求区分","単月"),0)</f>
        <v>0</v>
      </c>
      <c r="S42" s="421">
        <f>IFERROR(GETPIVOTDATA("合計 / " &amp; $B42,【ピボット】国保連売上!$A$3,"年月",S$1,"事業所",$A42,"請求区分","単月"),0)</f>
        <v>0</v>
      </c>
      <c r="T42" s="421">
        <f>IFERROR(GETPIVOTDATA("合計 / " &amp; $B42,【ピボット】国保連売上!$A$3,"年月",T$1,"事業所",$A42,"請求区分","単月"),0)</f>
        <v>0</v>
      </c>
      <c r="U42" s="421">
        <f>IFERROR(GETPIVOTDATA("合計 / " &amp; $B42,【ピボット】国保連売上!$A$3,"年月",U$1,"事業所",$A42,"請求区分","単月"),0)</f>
        <v>0</v>
      </c>
      <c r="V42" s="421">
        <f>IFERROR(GETPIVOTDATA("合計 / " &amp; $B42,【ピボット】国保連売上!$A$3,"年月",V$1,"事業所",$A42,"請求区分","単月"),0)</f>
        <v>279190</v>
      </c>
      <c r="W42" s="421">
        <f>IFERROR(GETPIVOTDATA("合計 / " &amp; $B42,【ピボット】国保連売上!$A$3,"年月",W$1,"事業所",$A42,"請求区分","単月"),0)</f>
        <v>443026</v>
      </c>
      <c r="X42" s="421">
        <f>IFERROR(GETPIVOTDATA("合計 / " &amp; $B42,【ピボット】国保連売上!$A$3,"年月",X$1,"事業所",$A42,"請求区分","単月"),0)</f>
        <v>556533</v>
      </c>
      <c r="Y42" s="421">
        <f>IFERROR(GETPIVOTDATA("合計 / " &amp; $B42,【ピボット】国保連売上!$A$3,"年月",Y$1,"事業所",$A42,"請求区分","単月"),0)</f>
        <v>793498</v>
      </c>
      <c r="Z42" s="421">
        <f>IFERROR(GETPIVOTDATA("合計 / " &amp; $B42,【ピボット】国保連売上!$A$3,"年月",Z$1,"事業所",$A42,"請求区分","単月"),0)</f>
        <v>974812</v>
      </c>
      <c r="AA42" s="421">
        <f>IFERROR(GETPIVOTDATA("合計 / " &amp; $B42,【ピボット】国保連売上!$A$3,"年月",AA$1,"事業所",$A42,"請求区分","単月"),0)</f>
        <v>1412447</v>
      </c>
      <c r="AB42" s="419">
        <f>IFERROR(GETPIVOTDATA("合計 / " &amp; $B42,【ピボット】国保連売上!$A$3,"年月",AB$1,"事業所",$A42,"請求区分","単月"),0)</f>
        <v>1799519</v>
      </c>
      <c r="AC42" s="422">
        <f t="shared" ref="AC42:AC49" si="25">SUM(Q42:AB42)</f>
        <v>6259025</v>
      </c>
      <c r="AD42" s="422">
        <f t="shared" ref="AD42:AD49" si="26">AVERAGE(Q42:AB42)</f>
        <v>521585.41666666669</v>
      </c>
    </row>
    <row r="43" spans="1:30" ht="19.5" customHeight="1" x14ac:dyDescent="0.15">
      <c r="A43" t="s">
        <v>1212</v>
      </c>
      <c r="B43" t="s">
        <v>861</v>
      </c>
      <c r="C43" s="108"/>
      <c r="D43" s="69" t="s">
        <v>137</v>
      </c>
      <c r="E43" s="423">
        <f>IFERROR(GETPIVOTDATA("合計 / " &amp; $B43,【ピボット】国保連売上!$A$3,"年月",E$1,"事業所",$A43,"請求区分","単月"),0)</f>
        <v>0</v>
      </c>
      <c r="F43" s="421">
        <f>IFERROR(GETPIVOTDATA("合計 / " &amp; $B43,【ピボット】国保連売上!$A$3,"年月",F$1,"事業所",$A43,"請求区分","単月"),0)</f>
        <v>0</v>
      </c>
      <c r="G43" s="421">
        <f>IFERROR(GETPIVOTDATA("合計 / " &amp; $B43,【ピボット】国保連売上!$A$3,"年月",G$1,"事業所",$A43,"請求区分","単月"),0)</f>
        <v>0</v>
      </c>
      <c r="H43" s="421">
        <f>IFERROR(GETPIVOTDATA("合計 / " &amp; $B43,【ピボット】国保連売上!$A$3,"年月",H$1,"事業所",$A43,"請求区分","単月"),0)</f>
        <v>0</v>
      </c>
      <c r="I43" s="421">
        <f>IFERROR(GETPIVOTDATA("合計 / " &amp; $B43,【ピボット】国保連売上!$A$3,"年月",I$1,"事業所",$A43,"請求区分","単月"),0)</f>
        <v>0</v>
      </c>
      <c r="J43" s="421">
        <f>IFERROR(GETPIVOTDATA("合計 / " &amp; $B43,【ピボット】国保連売上!$A$3,"年月",J$1,"事業所",$A43,"請求区分","単月"),0)</f>
        <v>0</v>
      </c>
      <c r="K43" s="421">
        <f>IFERROR(GETPIVOTDATA("合計 / " &amp; $B43,【ピボット】国保連売上!$A$3,"年月",K$1,"事業所",$A43,"請求区分","単月"),0)</f>
        <v>0</v>
      </c>
      <c r="L43" s="421">
        <f>IFERROR(GETPIVOTDATA("合計 / " &amp; $B43,【ピボット】国保連売上!$A$3,"年月",L$1,"事業所",$A43,"請求区分","単月"),0)</f>
        <v>0</v>
      </c>
      <c r="M43" s="421">
        <f>IFERROR(GETPIVOTDATA("合計 / " &amp; $B43,【ピボット】国保連売上!$A$3,"年月",M$1,"事業所",$A43,"請求区分","単月"),0)</f>
        <v>0</v>
      </c>
      <c r="N43" s="421">
        <f>IFERROR(GETPIVOTDATA("合計 / " &amp; $B43,【ピボット】国保連売上!$A$3,"年月",N$1,"事業所",$A43,"請求区分","単月"),0)</f>
        <v>0</v>
      </c>
      <c r="O43" s="421">
        <f>IFERROR(GETPIVOTDATA("合計 / " &amp; $B43,【ピボット】国保連売上!$A$3,"年月",O$1,"事業所",$A43,"請求区分","単月"),0)</f>
        <v>0</v>
      </c>
      <c r="P43" s="421">
        <f>IFERROR(GETPIVOTDATA("合計 / " &amp; $B43,【ピボット】国保連売上!$A$3,"年月",P$1,"事業所",$A43,"請求区分","単月"),0)</f>
        <v>0</v>
      </c>
      <c r="Q43" s="421">
        <f>IFERROR(GETPIVOTDATA("合計 / " &amp; $B43,【ピボット】国保連売上!$A$3,"年月",Q$1,"事業所",$A43,"請求区分","単月"),0)</f>
        <v>0</v>
      </c>
      <c r="R43" s="421">
        <f>IFERROR(GETPIVOTDATA("合計 / " &amp; $B43,【ピボット】国保連売上!$A$3,"年月",R$1,"事業所",$A43,"請求区分","単月"),0)</f>
        <v>0</v>
      </c>
      <c r="S43" s="421">
        <f>IFERROR(GETPIVOTDATA("合計 / " &amp; $B43,【ピボット】国保連売上!$A$3,"年月",S$1,"事業所",$A43,"請求区分","単月"),0)</f>
        <v>0</v>
      </c>
      <c r="T43" s="421">
        <f>IFERROR(GETPIVOTDATA("合計 / " &amp; $B43,【ピボット】国保連売上!$A$3,"年月",T$1,"事業所",$A43,"請求区分","単月"),0)</f>
        <v>0</v>
      </c>
      <c r="U43" s="421">
        <f>IFERROR(GETPIVOTDATA("合計 / " &amp; $B43,【ピボット】国保連売上!$A$3,"年月",U$1,"事業所",$A43,"請求区分","単月"),0)</f>
        <v>0</v>
      </c>
      <c r="V43" s="421">
        <f>IFERROR(GETPIVOTDATA("合計 / " &amp; $B43,【ピボット】国保連売上!$A$3,"年月",V$1,"事業所",$A43,"請求区分","単月"),0)</f>
        <v>0</v>
      </c>
      <c r="W43" s="421">
        <f>IFERROR(GETPIVOTDATA("合計 / " &amp; $B43,【ピボット】国保連売上!$A$3,"年月",W$1,"事業所",$A43,"請求区分","単月"),0)</f>
        <v>23249</v>
      </c>
      <c r="X43" s="421">
        <f>IFERROR(GETPIVOTDATA("合計 / " &amp; $B43,【ピボット】国保連売上!$A$3,"年月",X$1,"事業所",$A43,"請求区分","単月"),0)</f>
        <v>30133</v>
      </c>
      <c r="Y43" s="421">
        <f>IFERROR(GETPIVOTDATA("合計 / " &amp; $B43,【ピボット】国保連売上!$A$3,"年月",Y$1,"事業所",$A43,"請求区分","単月"),0)</f>
        <v>0</v>
      </c>
      <c r="Z43" s="421">
        <f>IFERROR(GETPIVOTDATA("合計 / " &amp; $B43,【ピボット】国保連売上!$A$3,"年月",Z$1,"事業所",$A43,"請求区分","単月"),0)</f>
        <v>0</v>
      </c>
      <c r="AA43" s="421">
        <f>IFERROR(GETPIVOTDATA("合計 / " &amp; $B43,【ピボット】国保連売上!$A$3,"年月",AA$1,"事業所",$A43,"請求区分","単月"),0)</f>
        <v>0</v>
      </c>
      <c r="AB43" s="421">
        <f>IFERROR(GETPIVOTDATA("合計 / " &amp; $B43,【ピボット】国保連売上!$A$3,"年月",AB$1,"事業所",$A43,"請求区分","単月"),0)</f>
        <v>41540</v>
      </c>
      <c r="AC43" s="422">
        <f t="shared" si="25"/>
        <v>94922</v>
      </c>
      <c r="AD43" s="422">
        <f t="shared" si="26"/>
        <v>7910.166666666667</v>
      </c>
    </row>
    <row r="44" spans="1:30" ht="19.5" customHeight="1" x14ac:dyDescent="0.15">
      <c r="A44" t="s">
        <v>1212</v>
      </c>
      <c r="B44" t="s">
        <v>862</v>
      </c>
      <c r="C44" s="109"/>
      <c r="D44" s="68" t="s">
        <v>127</v>
      </c>
      <c r="E44" s="423">
        <f>IFERROR(GETPIVOTDATA("合計 / " &amp; $B44,【ピボット】国保連売上!$A$3,"年月",E$1,"事業所",$A44,"請求区分","単月"),0)</f>
        <v>0</v>
      </c>
      <c r="F44" s="423">
        <f>IFERROR(GETPIVOTDATA("合計 / " &amp; $B44,【ピボット】国保連売上!$A$3,"年月",F$1,"事業所",$A44,"請求区分","単月"),0)</f>
        <v>0</v>
      </c>
      <c r="G44" s="423">
        <f>IFERROR(GETPIVOTDATA("合計 / " &amp; $B44,【ピボット】国保連売上!$A$3,"年月",G$1,"事業所",$A44,"請求区分","単月"),0)</f>
        <v>0</v>
      </c>
      <c r="H44" s="423">
        <f>IFERROR(GETPIVOTDATA("合計 / " &amp; $B44,【ピボット】国保連売上!$A$3,"年月",H$1,"事業所",$A44,"請求区分","単月"),0)</f>
        <v>0</v>
      </c>
      <c r="I44" s="423">
        <f>IFERROR(GETPIVOTDATA("合計 / " &amp; $B44,【ピボット】国保連売上!$A$3,"年月",I$1,"事業所",$A44,"請求区分","単月"),0)</f>
        <v>0</v>
      </c>
      <c r="J44" s="423">
        <f>IFERROR(GETPIVOTDATA("合計 / " &amp; $B44,【ピボット】国保連売上!$A$3,"年月",J$1,"事業所",$A44,"請求区分","単月"),0)</f>
        <v>0</v>
      </c>
      <c r="K44" s="423">
        <f>IFERROR(GETPIVOTDATA("合計 / " &amp; $B44,【ピボット】国保連売上!$A$3,"年月",K$1,"事業所",$A44,"請求区分","単月"),0)</f>
        <v>0</v>
      </c>
      <c r="L44" s="423">
        <f>IFERROR(GETPIVOTDATA("合計 / " &amp; $B44,【ピボット】国保連売上!$A$3,"年月",L$1,"事業所",$A44,"請求区分","単月"),0)</f>
        <v>0</v>
      </c>
      <c r="M44" s="423">
        <f>IFERROR(GETPIVOTDATA("合計 / " &amp; $B44,【ピボット】国保連売上!$A$3,"年月",M$1,"事業所",$A44,"請求区分","単月"),0)</f>
        <v>0</v>
      </c>
      <c r="N44" s="423">
        <f>IFERROR(GETPIVOTDATA("合計 / " &amp; $B44,【ピボット】国保連売上!$A$3,"年月",N$1,"事業所",$A44,"請求区分","単月"),0)</f>
        <v>0</v>
      </c>
      <c r="O44" s="423">
        <f>IFERROR(GETPIVOTDATA("合計 / " &amp; $B44,【ピボット】国保連売上!$A$3,"年月",O$1,"事業所",$A44,"請求区分","単月"),0)</f>
        <v>0</v>
      </c>
      <c r="P44" s="423">
        <f>IFERROR(GETPIVOTDATA("合計 / " &amp; $B44,【ピボット】国保連売上!$A$3,"年月",P$1,"事業所",$A44,"請求区分","単月"),0)</f>
        <v>0</v>
      </c>
      <c r="Q44" s="423">
        <f>IFERROR(GETPIVOTDATA("合計 / " &amp; $B44,【ピボット】国保連売上!$A$3,"年月",Q$1,"事業所",$A44,"請求区分","単月"),0)</f>
        <v>0</v>
      </c>
      <c r="R44" s="423">
        <f>IFERROR(GETPIVOTDATA("合計 / " &amp; $B44,【ピボット】国保連売上!$A$3,"年月",R$1,"事業所",$A44,"請求区分","単月"),0)</f>
        <v>0</v>
      </c>
      <c r="S44" s="423">
        <f>IFERROR(GETPIVOTDATA("合計 / " &amp; $B44,【ピボット】国保連売上!$A$3,"年月",S$1,"事業所",$A44,"請求区分","単月"),0)</f>
        <v>0</v>
      </c>
      <c r="T44" s="423">
        <f>IFERROR(GETPIVOTDATA("合計 / " &amp; $B44,【ピボット】国保連売上!$A$3,"年月",T$1,"事業所",$A44,"請求区分","単月"),0)</f>
        <v>0</v>
      </c>
      <c r="U44" s="423">
        <f>IFERROR(GETPIVOTDATA("合計 / " &amp; $B44,【ピボット】国保連売上!$A$3,"年月",U$1,"事業所",$A44,"請求区分","単月"),0)</f>
        <v>0</v>
      </c>
      <c r="V44" s="423">
        <f>IFERROR(GETPIVOTDATA("合計 / " &amp; $B44,【ピボット】国保連売上!$A$3,"年月",V$1,"事業所",$A44,"請求区分","単月"),0)</f>
        <v>-44906</v>
      </c>
      <c r="W44" s="423">
        <f>IFERROR(GETPIVOTDATA("合計 / " &amp; $B44,【ピボット】国保連売上!$A$3,"年月",W$1,"事業所",$A44,"請求区分","単月"),0)</f>
        <v>-96663</v>
      </c>
      <c r="X44" s="423">
        <f>IFERROR(GETPIVOTDATA("合計 / " &amp; $B44,【ピボット】国保連売上!$A$3,"年月",X$1,"事業所",$A44,"請求区分","単月"),0)</f>
        <v>-18508</v>
      </c>
      <c r="Y44" s="423">
        <f>IFERROR(GETPIVOTDATA("合計 / " &amp; $B44,【ピボット】国保連売上!$A$3,"年月",Y$1,"事業所",$A44,"請求区分","単月"),0)</f>
        <v>-57923</v>
      </c>
      <c r="Z44" s="423">
        <f>IFERROR(GETPIVOTDATA("合計 / " &amp; $B44,【ピボット】国保連売上!$A$3,"年月",Z$1,"事業所",$A44,"請求区分","単月"),0)</f>
        <v>-9094</v>
      </c>
      <c r="AA44" s="423">
        <f>IFERROR(GETPIVOTDATA("合計 / " &amp; $B44,【ピボット】国保連売上!$A$3,"年月",AA$1,"事業所",$A44,"請求区分","単月"),0)</f>
        <v>-43017</v>
      </c>
      <c r="AB44" s="421">
        <f>IFERROR(GETPIVOTDATA("合計 / " &amp; $B44,【ピボット】国保連売上!$A$3,"年月",AB$1,"事業所",$A44,"請求区分","単月"),0)</f>
        <v>0</v>
      </c>
      <c r="AC44" s="424">
        <f t="shared" si="25"/>
        <v>-270111</v>
      </c>
      <c r="AD44" s="424">
        <f t="shared" si="26"/>
        <v>-22509.25</v>
      </c>
    </row>
    <row r="45" spans="1:30" ht="19.5" customHeight="1" x14ac:dyDescent="0.15">
      <c r="A45" t="s">
        <v>1212</v>
      </c>
      <c r="B45" t="s">
        <v>815</v>
      </c>
      <c r="C45" s="109"/>
      <c r="D45" s="68" t="s">
        <v>128</v>
      </c>
      <c r="E45" s="423">
        <f>IFERROR(GETPIVOTDATA("合計 / " &amp; $B45,【ピボット】事業所売上!$A$3,"年月",E$1,"事業所",$A45),0)</f>
        <v>0</v>
      </c>
      <c r="F45" s="423">
        <f>IFERROR(GETPIVOTDATA("合計 / " &amp; $B45,【ピボット】事業所売上!$A$3,"年月",F$1,"事業所",$A45),0)</f>
        <v>0</v>
      </c>
      <c r="G45" s="423">
        <f>IFERROR(GETPIVOTDATA("合計 / " &amp; $B45,【ピボット】事業所売上!$A$3,"年月",G$1,"事業所",$A45),0)</f>
        <v>0</v>
      </c>
      <c r="H45" s="423">
        <f>IFERROR(GETPIVOTDATA("合計 / " &amp; $B45,【ピボット】事業所売上!$A$3,"年月",H$1,"事業所",$A45),0)</f>
        <v>0</v>
      </c>
      <c r="I45" s="423">
        <f>IFERROR(GETPIVOTDATA("合計 / " &amp; $B45,【ピボット】事業所売上!$A$3,"年月",I$1,"事業所",$A45),0)</f>
        <v>0</v>
      </c>
      <c r="J45" s="423">
        <f>IFERROR(GETPIVOTDATA("合計 / " &amp; $B45,【ピボット】事業所売上!$A$3,"年月",J$1,"事業所",$A45),0)</f>
        <v>0</v>
      </c>
      <c r="K45" s="423">
        <f>IFERROR(GETPIVOTDATA("合計 / " &amp; $B45,【ピボット】事業所売上!$A$3,"年月",K$1,"事業所",$A45),0)</f>
        <v>0</v>
      </c>
      <c r="L45" s="423">
        <f>IFERROR(GETPIVOTDATA("合計 / " &amp; $B45,【ピボット】事業所売上!$A$3,"年月",L$1,"事業所",$A45),0)</f>
        <v>0</v>
      </c>
      <c r="M45" s="423">
        <f>IFERROR(GETPIVOTDATA("合計 / " &amp; $B45,【ピボット】事業所売上!$A$3,"年月",M$1,"事業所",$A45),0)</f>
        <v>0</v>
      </c>
      <c r="N45" s="423">
        <f>IFERROR(GETPIVOTDATA("合計 / " &amp; $B45,【ピボット】事業所売上!$A$3,"年月",N$1,"事業所",$A45),0)</f>
        <v>0</v>
      </c>
      <c r="O45" s="423">
        <f>IFERROR(GETPIVOTDATA("合計 / " &amp; $B45,【ピボット】事業所売上!$A$3,"年月",O$1,"事業所",$A45),0)</f>
        <v>0</v>
      </c>
      <c r="P45" s="423">
        <f>IFERROR(GETPIVOTDATA("合計 / " &amp; $B45,【ピボット】事業所売上!$A$3,"年月",P$1,"事業所",$A45),0)</f>
        <v>0</v>
      </c>
      <c r="Q45" s="423">
        <f>IFERROR(GETPIVOTDATA("合計 / " &amp; $B45,【ピボット】事業所売上!$A$3,"年月",Q$1,"事業所",$A45),0)</f>
        <v>0</v>
      </c>
      <c r="R45" s="423">
        <f>IFERROR(GETPIVOTDATA("合計 / " &amp; $B45,【ピボット】事業所売上!$A$3,"年月",R$1,"事業所",$A45),0)</f>
        <v>0</v>
      </c>
      <c r="S45" s="423">
        <f>IFERROR(GETPIVOTDATA("合計 / " &amp; $B45,【ピボット】事業所売上!$A$3,"年月",S$1,"事業所",$A45),0)</f>
        <v>0</v>
      </c>
      <c r="T45" s="423">
        <f>IFERROR(GETPIVOTDATA("合計 / " &amp; $B45,【ピボット】事業所売上!$A$3,"年月",T$1,"事業所",$A45),0)</f>
        <v>0</v>
      </c>
      <c r="U45" s="423">
        <f>IFERROR(GETPIVOTDATA("合計 / " &amp; $B45,【ピボット】事業所売上!$A$3,"年月",U$1,"事業所",$A45),0)</f>
        <v>0</v>
      </c>
      <c r="V45" s="423">
        <f>IFERROR(GETPIVOTDATA("合計 / " &amp; $B45,【ピボット】事業所売上!$A$3,"年月",V$1,"事業所",$A45),0)</f>
        <v>0</v>
      </c>
      <c r="W45" s="423">
        <f>IFERROR(GETPIVOTDATA("合計 / " &amp; $B45,【ピボット】事業所売上!$A$3,"年月",W$1,"事業所",$A45),0)</f>
        <v>53010</v>
      </c>
      <c r="X45" s="423">
        <f>IFERROR(GETPIVOTDATA("合計 / " &amp; $B45,【ピボット】事業所売上!$A$3,"年月",X$1,"事業所",$A45),0)</f>
        <v>32954</v>
      </c>
      <c r="Y45" s="423">
        <f>IFERROR(GETPIVOTDATA("合計 / " &amp; $B45,【ピボット】事業所売上!$A$3,"年月",Y$1,"事業所",$A45),0)</f>
        <v>59117</v>
      </c>
      <c r="Z45" s="423">
        <f>IFERROR(GETPIVOTDATA("合計 / " &amp; $B45,【ピボット】事業所売上!$A$3,"年月",Z$1,"事業所",$A45),0)</f>
        <v>8994</v>
      </c>
      <c r="AA45" s="423">
        <f>IFERROR(GETPIVOTDATA("合計 / " &amp; $B45,【ピボット】事業所売上!$A$3,"年月",AA$1,"事業所",$A45),0)</f>
        <v>64635</v>
      </c>
      <c r="AB45" s="423">
        <f>IFERROR(GETPIVOTDATA("合計 / " &amp; $B45,【ピボット】事業所売上!$A$3,"年月",AB$1,"事業所",$A45),0)</f>
        <v>62658</v>
      </c>
      <c r="AC45" s="424">
        <f t="shared" si="25"/>
        <v>281368</v>
      </c>
      <c r="AD45" s="424">
        <f t="shared" si="26"/>
        <v>23447.333333333332</v>
      </c>
    </row>
    <row r="46" spans="1:30" ht="19.5" customHeight="1" x14ac:dyDescent="0.15">
      <c r="A46" t="s">
        <v>1214</v>
      </c>
      <c r="C46" s="109"/>
      <c r="D46" s="112" t="str">
        <f>C42 &amp; "売上合計"</f>
        <v>千葉西売上合計</v>
      </c>
      <c r="E46" s="425">
        <f>SUM(E42:E45)</f>
        <v>0</v>
      </c>
      <c r="F46" s="425">
        <f>SUM(F42:F45)</f>
        <v>0</v>
      </c>
      <c r="G46" s="425">
        <f>SUM(G42:G45)</f>
        <v>0</v>
      </c>
      <c r="H46" s="425">
        <f t="shared" ref="H46:AB46" si="27">SUM(H42:H45)</f>
        <v>0</v>
      </c>
      <c r="I46" s="425">
        <f t="shared" si="27"/>
        <v>0</v>
      </c>
      <c r="J46" s="425">
        <f t="shared" si="27"/>
        <v>0</v>
      </c>
      <c r="K46" s="425">
        <f t="shared" si="27"/>
        <v>0</v>
      </c>
      <c r="L46" s="425">
        <f t="shared" si="27"/>
        <v>0</v>
      </c>
      <c r="M46" s="425">
        <f t="shared" si="27"/>
        <v>0</v>
      </c>
      <c r="N46" s="425">
        <f t="shared" si="27"/>
        <v>0</v>
      </c>
      <c r="O46" s="425">
        <f t="shared" si="27"/>
        <v>0</v>
      </c>
      <c r="P46" s="425">
        <f t="shared" si="27"/>
        <v>0</v>
      </c>
      <c r="Q46" s="425">
        <f t="shared" si="27"/>
        <v>0</v>
      </c>
      <c r="R46" s="425">
        <f t="shared" si="27"/>
        <v>0</v>
      </c>
      <c r="S46" s="425">
        <f t="shared" si="27"/>
        <v>0</v>
      </c>
      <c r="T46" s="425">
        <f t="shared" si="27"/>
        <v>0</v>
      </c>
      <c r="U46" s="425">
        <f t="shared" si="27"/>
        <v>0</v>
      </c>
      <c r="V46" s="425">
        <f t="shared" si="27"/>
        <v>234284</v>
      </c>
      <c r="W46" s="425">
        <f t="shared" si="27"/>
        <v>422622</v>
      </c>
      <c r="X46" s="425">
        <f t="shared" si="27"/>
        <v>601112</v>
      </c>
      <c r="Y46" s="425">
        <f t="shared" si="27"/>
        <v>794692</v>
      </c>
      <c r="Z46" s="425">
        <f t="shared" si="27"/>
        <v>974712</v>
      </c>
      <c r="AA46" s="425">
        <f t="shared" si="27"/>
        <v>1434065</v>
      </c>
      <c r="AB46" s="425">
        <f t="shared" si="27"/>
        <v>1903717</v>
      </c>
      <c r="AC46" s="426">
        <f t="shared" si="25"/>
        <v>6365204</v>
      </c>
      <c r="AD46" s="426">
        <f t="shared" si="26"/>
        <v>530433.66666666663</v>
      </c>
    </row>
    <row r="47" spans="1:30" ht="19.5" customHeight="1" x14ac:dyDescent="0.15">
      <c r="A47" t="s">
        <v>1215</v>
      </c>
      <c r="B47" t="s">
        <v>15</v>
      </c>
      <c r="C47" s="109"/>
      <c r="D47" s="68" t="s">
        <v>129</v>
      </c>
      <c r="E47" s="423">
        <f>IFERROR(GETPIVOTDATA("合計 / " &amp; $B47,【ピボット】事業所収支!$A$3,"年月",E$1,"事業所",$A47),0)</f>
        <v>0</v>
      </c>
      <c r="F47" s="423">
        <f>IFERROR(GETPIVOTDATA("合計 / " &amp; $B47,【ピボット】事業所収支!$A$3,"年月",F$1,"事業所",$A47),0)</f>
        <v>0</v>
      </c>
      <c r="G47" s="423">
        <f>IFERROR(GETPIVOTDATA("合計 / " &amp; $B47,【ピボット】事業所収支!$A$3,"年月",G$1,"事業所",$A47),0)</f>
        <v>0</v>
      </c>
      <c r="H47" s="423">
        <f>IFERROR(GETPIVOTDATA("合計 / " &amp; $B47,【ピボット】事業所収支!$A$3,"年月",H$1,"事業所",$A47),0)</f>
        <v>0</v>
      </c>
      <c r="I47" s="423">
        <f>IFERROR(GETPIVOTDATA("合計 / " &amp; $B47,【ピボット】事業所収支!$A$3,"年月",I$1,"事業所",$A47),0)</f>
        <v>0</v>
      </c>
      <c r="J47" s="423">
        <f>IFERROR(GETPIVOTDATA("合計 / " &amp; $B47,【ピボット】事業所収支!$A$3,"年月",J$1,"事業所",$A47),0)</f>
        <v>0</v>
      </c>
      <c r="K47" s="423">
        <f>IFERROR(GETPIVOTDATA("合計 / " &amp; $B47,【ピボット】事業所収支!$A$3,"年月",K$1,"事業所",$A47),0)</f>
        <v>0</v>
      </c>
      <c r="L47" s="423">
        <f>IFERROR(GETPIVOTDATA("合計 / " &amp; $B47,【ピボット】事業所収支!$A$3,"年月",L$1,"事業所",$A47),0)</f>
        <v>0</v>
      </c>
      <c r="M47" s="423">
        <f>IFERROR(GETPIVOTDATA("合計 / " &amp; $B47,【ピボット】事業所収支!$A$3,"年月",M$1,"事業所",$A47),0)</f>
        <v>0</v>
      </c>
      <c r="N47" s="423">
        <f>IFERROR(GETPIVOTDATA("合計 / " &amp; $B47,【ピボット】事業所収支!$A$3,"年月",N$1,"事業所",$A47),0)</f>
        <v>0</v>
      </c>
      <c r="O47" s="423">
        <f>IFERROR(GETPIVOTDATA("合計 / " &amp; $B47,【ピボット】事業所収支!$A$3,"年月",O$1,"事業所",$A47),0)</f>
        <v>0</v>
      </c>
      <c r="P47" s="423">
        <f>IFERROR(GETPIVOTDATA("合計 / " &amp; $B47,【ピボット】事業所収支!$A$3,"年月",P$1,"事業所",$A47),0)</f>
        <v>0</v>
      </c>
      <c r="Q47" s="423">
        <f>IFERROR(GETPIVOTDATA("合計 / " &amp; $B47,【ピボット】事業所収支!$A$3,"年月",Q$1,"事業所",$A47),0)</f>
        <v>0</v>
      </c>
      <c r="R47" s="423">
        <f>IFERROR(GETPIVOTDATA("合計 / " &amp; $B47,【ピボット】事業所収支!$A$3,"年月",R$1,"事業所",$A47),0)</f>
        <v>0</v>
      </c>
      <c r="S47" s="423">
        <f>IFERROR(GETPIVOTDATA("合計 / " &amp; $B47,【ピボット】事業所収支!$A$3,"年月",S$1,"事業所",$A47),0)</f>
        <v>0</v>
      </c>
      <c r="T47" s="423">
        <f>IFERROR(GETPIVOTDATA("合計 / " &amp; $B47,【ピボット】事業所収支!$A$3,"年月",T$1,"事業所",$A47),0)</f>
        <v>0</v>
      </c>
      <c r="U47" s="423">
        <f>IFERROR(GETPIVOTDATA("合計 / " &amp; $B47,【ピボット】事業所収支!$A$3,"年月",U$1,"事業所",$A47),0)</f>
        <v>56395</v>
      </c>
      <c r="V47" s="423">
        <f>IFERROR(GETPIVOTDATA("合計 / " &amp; $B47,【ピボット】事業所収支!$A$3,"年月",V$1,"事業所",$A47),0)</f>
        <v>433580</v>
      </c>
      <c r="W47" s="423">
        <f>IFERROR(GETPIVOTDATA("合計 / " &amp; $B47,【ピボット】事業所収支!$A$3,"年月",W$1,"事業所",$A47),0)</f>
        <v>488250</v>
      </c>
      <c r="X47" s="423">
        <f>IFERROR(GETPIVOTDATA("合計 / " &amp; $B47,【ピボット】事業所収支!$A$3,"年月",X$1,"事業所",$A47),0)</f>
        <v>561749</v>
      </c>
      <c r="Y47" s="423">
        <f>IFERROR(GETPIVOTDATA("合計 / " &amp; $B47,【ピボット】事業所収支!$A$3,"年月",Y$1,"事業所",$A47),0)</f>
        <v>692404</v>
      </c>
      <c r="Z47" s="423">
        <f>IFERROR(GETPIVOTDATA("合計 / " &amp; $B47,【ピボット】事業所収支!$A$3,"年月",Z$1,"事業所",$A47),0)</f>
        <v>691176</v>
      </c>
      <c r="AA47" s="423">
        <f>IFERROR(GETPIVOTDATA("合計 / " &amp; $B47,【ピボット】事業所収支!$A$3,"年月",AA$1,"事業所",$A47),0)</f>
        <v>1124832</v>
      </c>
      <c r="AB47" s="423">
        <f>IFERROR(GETPIVOTDATA("合計 / " &amp; $B47,【ピボット】事業所収支!$A$3,"年月",AB$1,"事業所",$A47),0)</f>
        <v>1318589</v>
      </c>
      <c r="AC47" s="424">
        <f t="shared" si="25"/>
        <v>5366975</v>
      </c>
      <c r="AD47" s="424">
        <f t="shared" si="26"/>
        <v>447247.91666666669</v>
      </c>
    </row>
    <row r="48" spans="1:30" ht="19.5" customHeight="1" x14ac:dyDescent="0.15">
      <c r="A48" t="s">
        <v>1212</v>
      </c>
      <c r="B48" t="s">
        <v>1232</v>
      </c>
      <c r="C48" s="109"/>
      <c r="D48" s="68" t="s">
        <v>130</v>
      </c>
      <c r="E48" s="423">
        <f>IFERROR(GETPIVOTDATA("合計 / " &amp; $B48,【ピボット】事業所収支!$A$3,"年月",E$1,"事業所",$A48),0)</f>
        <v>0</v>
      </c>
      <c r="F48" s="423">
        <f>IFERROR(GETPIVOTDATA("合計 / " &amp; $B48,【ピボット】事業所収支!$A$3,"年月",F$1,"事業所",$A48),0)</f>
        <v>0</v>
      </c>
      <c r="G48" s="423">
        <f>IFERROR(GETPIVOTDATA("合計 / " &amp; $B48,【ピボット】事業所収支!$A$3,"年月",G$1,"事業所",$A48),0)</f>
        <v>0</v>
      </c>
      <c r="H48" s="423">
        <f>IFERROR(GETPIVOTDATA("合計 / " &amp; $B48,【ピボット】事業所収支!$A$3,"年月",H$1,"事業所",$A48),0)</f>
        <v>0</v>
      </c>
      <c r="I48" s="423">
        <f>IFERROR(GETPIVOTDATA("合計 / " &amp; $B48,【ピボット】事業所収支!$A$3,"年月",I$1,"事業所",$A48),0)</f>
        <v>0</v>
      </c>
      <c r="J48" s="423">
        <f>IFERROR(GETPIVOTDATA("合計 / " &amp; $B48,【ピボット】事業所収支!$A$3,"年月",J$1,"事業所",$A48),0)</f>
        <v>0</v>
      </c>
      <c r="K48" s="423">
        <f>IFERROR(GETPIVOTDATA("合計 / " &amp; $B48,【ピボット】事業所収支!$A$3,"年月",K$1,"事業所",$A48),0)</f>
        <v>0</v>
      </c>
      <c r="L48" s="423">
        <f>IFERROR(GETPIVOTDATA("合計 / " &amp; $B48,【ピボット】事業所収支!$A$3,"年月",L$1,"事業所",$A48),0)</f>
        <v>0</v>
      </c>
      <c r="M48" s="423">
        <f>IFERROR(GETPIVOTDATA("合計 / " &amp; $B48,【ピボット】事業所収支!$A$3,"年月",M$1,"事業所",$A48),0)</f>
        <v>0</v>
      </c>
      <c r="N48" s="423">
        <f>IFERROR(GETPIVOTDATA("合計 / " &amp; $B48,【ピボット】事業所収支!$A$3,"年月",N$1,"事業所",$A48),0)</f>
        <v>0</v>
      </c>
      <c r="O48" s="423">
        <f>IFERROR(GETPIVOTDATA("合計 / " &amp; $B48,【ピボット】事業所収支!$A$3,"年月",O$1,"事業所",$A48),0)</f>
        <v>0</v>
      </c>
      <c r="P48" s="423">
        <f>IFERROR(GETPIVOTDATA("合計 / " &amp; $B48,【ピボット】事業所収支!$A$3,"年月",P$1,"事業所",$A48),0)</f>
        <v>0</v>
      </c>
      <c r="Q48" s="423">
        <f>IFERROR(GETPIVOTDATA("合計 / " &amp; $B48,【ピボット】事業所収支!$A$3,"年月",Q$1,"事業所",$A48),0)</f>
        <v>0</v>
      </c>
      <c r="R48" s="423">
        <f>IFERROR(GETPIVOTDATA("合計 / " &amp; $B48,【ピボット】事業所収支!$A$3,"年月",R$1,"事業所",$A48),0)</f>
        <v>0</v>
      </c>
      <c r="S48" s="423">
        <f>IFERROR(GETPIVOTDATA("合計 / " &amp; $B48,【ピボット】事業所収支!$A$3,"年月",S$1,"事業所",$A48),0)</f>
        <v>835563</v>
      </c>
      <c r="T48" s="423">
        <f>IFERROR(GETPIVOTDATA("合計 / " &amp; $B48,【ピボット】事業所収支!$A$3,"年月",T$1,"事業所",$A48),0)</f>
        <v>752125</v>
      </c>
      <c r="U48" s="423">
        <f>IFERROR(GETPIVOTDATA("合計 / " &amp; $B48,【ピボット】事業所収支!$A$3,"年月",U$1,"事業所",$A48),0)</f>
        <v>740398</v>
      </c>
      <c r="V48" s="423">
        <f>IFERROR(GETPIVOTDATA("合計 / " &amp; $B48,【ピボット】事業所収支!$A$3,"年月",V$1,"事業所",$A48),0)</f>
        <v>704776</v>
      </c>
      <c r="W48" s="423">
        <f>IFERROR(GETPIVOTDATA("合計 / " &amp; $B48,【ピボット】事業所収支!$A$3,"年月",W$1,"事業所",$A48),0)</f>
        <v>533896</v>
      </c>
      <c r="X48" s="423">
        <f>IFERROR(GETPIVOTDATA("合計 / " &amp; $B48,【ピボット】事業所収支!$A$3,"年月",X$1,"事業所",$A48),0)</f>
        <v>395245</v>
      </c>
      <c r="Y48" s="423">
        <f>IFERROR(GETPIVOTDATA("合計 / " &amp; $B48,【ピボット】事業所収支!$A$3,"年月",Y$1,"事業所",$A48),0)</f>
        <v>438641</v>
      </c>
      <c r="Z48" s="423">
        <f>IFERROR(GETPIVOTDATA("合計 / " &amp; $B48,【ピボット】事業所収支!$A$3,"年月",Z$1,"事業所",$A48),0)</f>
        <v>383687</v>
      </c>
      <c r="AA48" s="423">
        <f>IFERROR(GETPIVOTDATA("合計 / " &amp; $B48,【ピボット】事業所収支!$A$3,"年月",AA$1,"事業所",$A48),0)</f>
        <v>410646</v>
      </c>
      <c r="AB48" s="423">
        <f>IFERROR(GETPIVOTDATA("合計 / " &amp; $B48,【ピボット】事業所収支!$A$3,"年月",AB$1,"事業所",$A48),0)</f>
        <v>458741</v>
      </c>
      <c r="AC48" s="424">
        <f t="shared" si="25"/>
        <v>5653718</v>
      </c>
      <c r="AD48" s="424">
        <f t="shared" si="26"/>
        <v>471143.16666666669</v>
      </c>
    </row>
    <row r="49" spans="1:30" ht="19.5" customHeight="1" thickBot="1" x14ac:dyDescent="0.2">
      <c r="C49" s="111"/>
      <c r="D49" s="113" t="s">
        <v>138</v>
      </c>
      <c r="E49" s="427">
        <f>SUM(E46)-SUM(E47:E48)</f>
        <v>0</v>
      </c>
      <c r="F49" s="427">
        <f>SUM(F46)-SUM(F47:F48)</f>
        <v>0</v>
      </c>
      <c r="G49" s="427">
        <f>SUM(G46)-SUM(G47:G48)</f>
        <v>0</v>
      </c>
      <c r="H49" s="427">
        <f>SUM(H46)-SUM(H47:H48)</f>
        <v>0</v>
      </c>
      <c r="I49" s="427">
        <f>SUM(I46)-SUM(I47:I48)</f>
        <v>0</v>
      </c>
      <c r="J49" s="427">
        <f t="shared" ref="J49:AB49" si="28">SUM(J46)-SUM(J47:J48)</f>
        <v>0</v>
      </c>
      <c r="K49" s="427">
        <f t="shared" si="28"/>
        <v>0</v>
      </c>
      <c r="L49" s="427">
        <f t="shared" si="28"/>
        <v>0</v>
      </c>
      <c r="M49" s="427">
        <f t="shared" si="28"/>
        <v>0</v>
      </c>
      <c r="N49" s="427">
        <f t="shared" si="28"/>
        <v>0</v>
      </c>
      <c r="O49" s="427">
        <f t="shared" si="28"/>
        <v>0</v>
      </c>
      <c r="P49" s="427">
        <f t="shared" si="28"/>
        <v>0</v>
      </c>
      <c r="Q49" s="427">
        <f t="shared" si="28"/>
        <v>0</v>
      </c>
      <c r="R49" s="427">
        <f t="shared" si="28"/>
        <v>0</v>
      </c>
      <c r="S49" s="427">
        <f t="shared" si="28"/>
        <v>-835563</v>
      </c>
      <c r="T49" s="427">
        <f t="shared" si="28"/>
        <v>-752125</v>
      </c>
      <c r="U49" s="427">
        <f t="shared" si="28"/>
        <v>-796793</v>
      </c>
      <c r="V49" s="427">
        <f t="shared" si="28"/>
        <v>-904072</v>
      </c>
      <c r="W49" s="427">
        <f t="shared" si="28"/>
        <v>-599524</v>
      </c>
      <c r="X49" s="427">
        <f t="shared" si="28"/>
        <v>-355882</v>
      </c>
      <c r="Y49" s="427">
        <f t="shared" si="28"/>
        <v>-336353</v>
      </c>
      <c r="Z49" s="427">
        <f t="shared" si="28"/>
        <v>-100151</v>
      </c>
      <c r="AA49" s="427">
        <f t="shared" si="28"/>
        <v>-101413</v>
      </c>
      <c r="AB49" s="427">
        <f t="shared" si="28"/>
        <v>126387</v>
      </c>
      <c r="AC49" s="428">
        <f t="shared" si="25"/>
        <v>-4655489</v>
      </c>
      <c r="AD49" s="428">
        <f t="shared" si="26"/>
        <v>-387957.41666666669</v>
      </c>
    </row>
    <row r="50" spans="1:30" ht="19.5" customHeight="1" x14ac:dyDescent="0.15">
      <c r="A50" t="s">
        <v>808</v>
      </c>
      <c r="B50" t="s">
        <v>860</v>
      </c>
      <c r="C50" s="107" t="s">
        <v>36</v>
      </c>
      <c r="D50" s="67" t="s">
        <v>126</v>
      </c>
      <c r="E50" s="429">
        <f>IFERROR(GETPIVOTDATA("合計 / " &amp; $B50,【ピボット】国保連売上!$A$3,"年月",E$1,"事業所",$A50,"請求区分","単月"),0)</f>
        <v>3159951</v>
      </c>
      <c r="F50" s="429">
        <f>IFERROR(GETPIVOTDATA("合計 / " &amp; $B50,【ピボット】国保連売上!$A$3,"年月",F$1,"事業所",$A50,"請求区分","単月"),0)</f>
        <v>3136628</v>
      </c>
      <c r="G50" s="429">
        <f>IFERROR(GETPIVOTDATA("合計 / " &amp; $B50,【ピボット】国保連売上!$A$3,"年月",G$1,"事業所",$A50,"請求区分","単月"),0)</f>
        <v>3426262</v>
      </c>
      <c r="H50" s="429">
        <f>IFERROR(GETPIVOTDATA("合計 / " &amp; $B50,【ピボット】国保連売上!$A$3,"年月",H$1,"事業所",$A50,"請求区分","単月"),0)</f>
        <v>3078216</v>
      </c>
      <c r="I50" s="429">
        <f>IFERROR(GETPIVOTDATA("合計 / " &amp; $B50,【ピボット】国保連売上!$A$3,"年月",I$1,"事業所",$A50,"請求区分","単月"),0)</f>
        <v>2955968</v>
      </c>
      <c r="J50" s="429">
        <f>IFERROR(GETPIVOTDATA("合計 / " &amp; $B50,【ピボット】国保連売上!$A$3,"年月",J$1,"事業所",$A50,"請求区分","単月"),0)</f>
        <v>3076553</v>
      </c>
      <c r="K50" s="429">
        <f>IFERROR(GETPIVOTDATA("合計 / " &amp; $B50,【ピボット】国保連売上!$A$3,"年月",K$1,"事業所",$A50,"請求区分","単月"),0)</f>
        <v>3271508</v>
      </c>
      <c r="L50" s="429">
        <f>IFERROR(GETPIVOTDATA("合計 / " &amp; $B50,【ピボット】国保連売上!$A$3,"年月",L$1,"事業所",$A50,"請求区分","単月"),0)</f>
        <v>3149307</v>
      </c>
      <c r="M50" s="429">
        <f>IFERROR(GETPIVOTDATA("合計 / " &amp; $B50,【ピボット】国保連売上!$A$3,"年月",M$1,"事業所",$A50,"請求区分","単月"),0)</f>
        <v>3148868</v>
      </c>
      <c r="N50" s="429">
        <f>IFERROR(GETPIVOTDATA("合計 / " &amp; $B50,【ピボット】国保連売上!$A$3,"年月",N$1,"事業所",$A50,"請求区分","単月"),0)</f>
        <v>3235791</v>
      </c>
      <c r="O50" s="429">
        <f>IFERROR(GETPIVOTDATA("合計 / " &amp; $B50,【ピボット】国保連売上!$A$3,"年月",O$1,"事業所",$A50,"請求区分","単月"),0)</f>
        <v>3678425</v>
      </c>
      <c r="P50" s="429">
        <f>IFERROR(GETPIVOTDATA("合計 / " &amp; $B50,【ピボット】国保連売上!$A$3,"年月",P$1,"事業所",$A50,"請求区分","単月"),0)</f>
        <v>4198450</v>
      </c>
      <c r="Q50" s="429">
        <f>IFERROR(GETPIVOTDATA("合計 / " &amp; $B50,【ピボット】国保連売上!$A$3,"年月",Q$1,"事業所",$A50,"請求区分","単月"),0)</f>
        <v>4098308</v>
      </c>
      <c r="R50" s="429">
        <f>IFERROR(GETPIVOTDATA("合計 / " &amp; $B50,【ピボット】国保連売上!$A$3,"年月",R$1,"事業所",$A50,"請求区分","単月"),0)</f>
        <v>3928452</v>
      </c>
      <c r="S50" s="429">
        <f>IFERROR(GETPIVOTDATA("合計 / " &amp; $B50,【ピボット】国保連売上!$A$3,"年月",S$1,"事業所",$A50,"請求区分","単月"),0)</f>
        <v>4234658</v>
      </c>
      <c r="T50" s="429">
        <f>IFERROR(GETPIVOTDATA("合計 / " &amp; $B50,【ピボット】国保連売上!$A$3,"年月",T$1,"事業所",$A50,"請求区分","単月"),0)</f>
        <v>4173142</v>
      </c>
      <c r="U50" s="429">
        <f>IFERROR(GETPIVOTDATA("合計 / " &amp; $B50,【ピボット】国保連売上!$A$3,"年月",U$1,"事業所",$A50,"請求区分","単月"),0)</f>
        <v>3905307</v>
      </c>
      <c r="V50" s="429">
        <f>IFERROR(GETPIVOTDATA("合計 / " &amp; $B50,【ピボット】国保連売上!$A$3,"年月",V$1,"事業所",$A50,"請求区分","単月"),0)</f>
        <v>4207155</v>
      </c>
      <c r="W50" s="429">
        <f>IFERROR(GETPIVOTDATA("合計 / " &amp; $B50,【ピボット】国保連売上!$A$3,"年月",W$1,"事業所",$A50,"請求区分","単月"),0)</f>
        <v>4195626</v>
      </c>
      <c r="X50" s="429">
        <f>IFERROR(GETPIVOTDATA("合計 / " &amp; $B50,【ピボット】国保連売上!$A$3,"年月",X$1,"事業所",$A50,"請求区分","単月"),0)</f>
        <v>4236747</v>
      </c>
      <c r="Y50" s="429">
        <f>IFERROR(GETPIVOTDATA("合計 / " &amp; $B50,【ピボット】国保連売上!$A$3,"年月",Y$1,"事業所",$A50,"請求区分","単月"),0)</f>
        <v>3824966</v>
      </c>
      <c r="Z50" s="429">
        <f>IFERROR(GETPIVOTDATA("合計 / " &amp; $B50,【ピボット】国保連売上!$A$3,"年月",Z$1,"事業所",$A50,"請求区分","単月"),0)</f>
        <v>4029418</v>
      </c>
      <c r="AA50" s="429">
        <f>IFERROR(GETPIVOTDATA("合計 / " &amp; $B50,【ピボット】国保連売上!$A$3,"年月",AA$1,"事業所",$A50,"請求区分","単月"),0)</f>
        <v>4596566</v>
      </c>
      <c r="AB50" s="419">
        <f>IFERROR(GETPIVOTDATA("合計 / " &amp; $B50,【ピボット】国保連売上!$A$3,"年月",AB$1,"事業所",$A50,"請求区分","単月"),0)</f>
        <v>4062911</v>
      </c>
      <c r="AC50" s="420">
        <f t="shared" ref="AC50:AC81" si="29">SUM(Q50:AB50)</f>
        <v>49493256</v>
      </c>
      <c r="AD50" s="420">
        <f t="shared" ref="AD50:AD81" si="30">AVERAGE(Q50:AB50)</f>
        <v>4124438</v>
      </c>
    </row>
    <row r="51" spans="1:30" ht="19.5" customHeight="1" x14ac:dyDescent="0.15">
      <c r="A51" t="s">
        <v>808</v>
      </c>
      <c r="B51" t="s">
        <v>861</v>
      </c>
      <c r="C51" s="108"/>
      <c r="D51" s="69" t="s">
        <v>137</v>
      </c>
      <c r="E51" s="421">
        <f>IFERROR(GETPIVOTDATA("合計 / " &amp; $B51,【ピボット】国保連売上!$A$3,"年月",E$1,"事業所",$A51,"請求区分","単月"),0)</f>
        <v>55593</v>
      </c>
      <c r="F51" s="421">
        <f>IFERROR(GETPIVOTDATA("合計 / " &amp; $B51,【ピボット】国保連売上!$A$3,"年月",F$1,"事業所",$A51,"請求区分","単月"),0)</f>
        <v>0</v>
      </c>
      <c r="G51" s="421">
        <f>IFERROR(GETPIVOTDATA("合計 / " &amp; $B51,【ピボット】国保連売上!$A$3,"年月",G$1,"事業所",$A51,"請求区分","単月"),0)</f>
        <v>0</v>
      </c>
      <c r="H51" s="421">
        <f>IFERROR(GETPIVOTDATA("合計 / " &amp; $B51,【ピボット】国保連売上!$A$3,"年月",H$1,"事業所",$A51,"請求区分","単月"),0)</f>
        <v>0</v>
      </c>
      <c r="I51" s="421">
        <f>IFERROR(GETPIVOTDATA("合計 / " &amp; $B51,【ピボット】国保連売上!$A$3,"年月",I$1,"事業所",$A51,"請求区分","単月"),0)</f>
        <v>0</v>
      </c>
      <c r="J51" s="421">
        <f>IFERROR(GETPIVOTDATA("合計 / " &amp; $B51,【ピボット】国保連売上!$A$3,"年月",J$1,"事業所",$A51,"請求区分","単月"),0)</f>
        <v>0</v>
      </c>
      <c r="K51" s="421">
        <f>IFERROR(GETPIVOTDATA("合計 / " &amp; $B51,【ピボット】国保連売上!$A$3,"年月",K$1,"事業所",$A51,"請求区分","単月"),0)</f>
        <v>57391</v>
      </c>
      <c r="L51" s="421">
        <f>IFERROR(GETPIVOTDATA("合計 / " &amp; $B51,【ピボット】国保連売上!$A$3,"年月",L$1,"事業所",$A51,"請求区分","単月"),0)</f>
        <v>71446</v>
      </c>
      <c r="M51" s="421">
        <f>IFERROR(GETPIVOTDATA("合計 / " &amp; $B51,【ピボット】国保連売上!$A$3,"年月",M$1,"事業所",$A51,"請求区分","単月"),0)</f>
        <v>11902</v>
      </c>
      <c r="N51" s="421">
        <f>IFERROR(GETPIVOTDATA("合計 / " &amp; $B51,【ピボット】国保連売上!$A$3,"年月",N$1,"事業所",$A51,"請求区分","単月"),0)</f>
        <v>0</v>
      </c>
      <c r="O51" s="421">
        <f>IFERROR(GETPIVOTDATA("合計 / " &amp; $B51,【ピボット】国保連売上!$A$3,"年月",O$1,"事業所",$A51,"請求区分","単月"),0)</f>
        <v>0</v>
      </c>
      <c r="P51" s="421">
        <f>IFERROR(GETPIVOTDATA("合計 / " &amp; $B51,【ピボット】国保連売上!$A$3,"年月",P$1,"事業所",$A51,"請求区分","単月"),0)</f>
        <v>0</v>
      </c>
      <c r="Q51" s="421">
        <f>IFERROR(GETPIVOTDATA("合計 / " &amp; $B51,【ピボット】国保連売上!$A$3,"年月",Q$1,"事業所",$A51,"請求区分","単月"),0)</f>
        <v>0</v>
      </c>
      <c r="R51" s="421">
        <f>IFERROR(GETPIVOTDATA("合計 / " &amp; $B51,【ピボット】国保連売上!$A$3,"年月",R$1,"事業所",$A51,"請求区分","単月"),0)</f>
        <v>0</v>
      </c>
      <c r="S51" s="421">
        <f>IFERROR(GETPIVOTDATA("合計 / " &amp; $B51,【ピボット】国保連売上!$A$3,"年月",S$1,"事業所",$A51,"請求区分","単月"),0)</f>
        <v>0</v>
      </c>
      <c r="T51" s="421">
        <f>IFERROR(GETPIVOTDATA("合計 / " &amp; $B51,【ピボット】国保連売上!$A$3,"年月",T$1,"事業所",$A51,"請求区分","単月"),0)</f>
        <v>0</v>
      </c>
      <c r="U51" s="421">
        <f>IFERROR(GETPIVOTDATA("合計 / " &amp; $B51,【ピボット】国保連売上!$A$3,"年月",U$1,"事業所",$A51,"請求区分","単月"),0)</f>
        <v>266055</v>
      </c>
      <c r="V51" s="421">
        <f>IFERROR(GETPIVOTDATA("合計 / " &amp; $B51,【ピボット】国保連売上!$A$3,"年月",V$1,"事業所",$A51,"請求区分","単月"),0)</f>
        <v>0</v>
      </c>
      <c r="W51" s="421">
        <f>IFERROR(GETPIVOTDATA("合計 / " &amp; $B51,【ピボット】国保連売上!$A$3,"年月",W$1,"事業所",$A51,"請求区分","単月"),0)</f>
        <v>0</v>
      </c>
      <c r="X51" s="421">
        <f>IFERROR(GETPIVOTDATA("合計 / " &amp; $B51,【ピボット】国保連売上!$A$3,"年月",X$1,"事業所",$A51,"請求区分","単月"),0)</f>
        <v>0</v>
      </c>
      <c r="Y51" s="421">
        <f>IFERROR(GETPIVOTDATA("合計 / " &amp; $B51,【ピボット】国保連売上!$A$3,"年月",Y$1,"事業所",$A51,"請求区分","単月"),0)</f>
        <v>0</v>
      </c>
      <c r="Z51" s="421">
        <f>IFERROR(GETPIVOTDATA("合計 / " &amp; $B51,【ピボット】国保連売上!$A$3,"年月",Z$1,"事業所",$A51,"請求区分","単月"),0)</f>
        <v>0</v>
      </c>
      <c r="AA51" s="421">
        <f>IFERROR(GETPIVOTDATA("合計 / " &amp; $B51,【ピボット】国保連売上!$A$3,"年月",AA$1,"事業所",$A51,"請求区分","単月"),0)</f>
        <v>0</v>
      </c>
      <c r="AB51" s="421">
        <f>IFERROR(GETPIVOTDATA("合計 / " &amp; $B51,【ピボット】国保連売上!$A$3,"年月",AB$1,"事業所",$A51,"請求区分","単月"),0)</f>
        <v>0</v>
      </c>
      <c r="AC51" s="422">
        <f t="shared" si="29"/>
        <v>266055</v>
      </c>
      <c r="AD51" s="422">
        <f t="shared" si="30"/>
        <v>22171.25</v>
      </c>
    </row>
    <row r="52" spans="1:30" ht="19.5" customHeight="1" x14ac:dyDescent="0.15">
      <c r="A52" t="s">
        <v>808</v>
      </c>
      <c r="B52" t="s">
        <v>862</v>
      </c>
      <c r="C52" s="109"/>
      <c r="D52" s="68" t="s">
        <v>127</v>
      </c>
      <c r="E52" s="423">
        <f>IFERROR(GETPIVOTDATA("合計 / " &amp; $B52,【ピボット】国保連売上!$A$3,"年月",E$1,"事業所",$A52,"請求区分","単月"),0)</f>
        <v>-88919</v>
      </c>
      <c r="F52" s="423">
        <f>IFERROR(GETPIVOTDATA("合計 / " &amp; $B52,【ピボット】国保連売上!$A$3,"年月",F$1,"事業所",$A52,"請求区分","単月"),0)</f>
        <v>0</v>
      </c>
      <c r="G52" s="423">
        <f>IFERROR(GETPIVOTDATA("合計 / " &amp; $B52,【ピボット】国保連売上!$A$3,"年月",G$1,"事業所",$A52,"請求区分","単月"),0)</f>
        <v>-37369</v>
      </c>
      <c r="H52" s="423">
        <f>IFERROR(GETPIVOTDATA("合計 / " &amp; $B52,【ピボット】国保連売上!$A$3,"年月",H$1,"事業所",$A52,"請求区分","単月"),0)</f>
        <v>-73912</v>
      </c>
      <c r="I52" s="423">
        <f>IFERROR(GETPIVOTDATA("合計 / " &amp; $B52,【ピボット】国保連売上!$A$3,"年月",I$1,"事業所",$A52,"請求区分","単月"),0)</f>
        <v>-90611</v>
      </c>
      <c r="J52" s="423">
        <f>IFERROR(GETPIVOTDATA("合計 / " &amp; $B52,【ピボット】国保連売上!$A$3,"年月",J$1,"事業所",$A52,"請求区分","単月"),0)</f>
        <v>-50755</v>
      </c>
      <c r="K52" s="423">
        <f>IFERROR(GETPIVOTDATA("合計 / " &amp; $B52,【ピボット】国保連売上!$A$3,"年月",K$1,"事業所",$A52,"請求区分","単月"),0)</f>
        <v>-2080</v>
      </c>
      <c r="L52" s="423">
        <f>IFERROR(GETPIVOTDATA("合計 / " &amp; $B52,【ピボット】国保連売上!$A$3,"年月",L$1,"事業所",$A52,"請求区分","単月"),0)</f>
        <v>-5225</v>
      </c>
      <c r="M52" s="423">
        <f>IFERROR(GETPIVOTDATA("合計 / " &amp; $B52,【ピボット】国保連売上!$A$3,"年月",M$1,"事業所",$A52,"請求区分","単月"),0)</f>
        <v>-14702</v>
      </c>
      <c r="N52" s="423">
        <f>IFERROR(GETPIVOTDATA("合計 / " &amp; $B52,【ピボット】国保連売上!$A$3,"年月",N$1,"事業所",$A52,"請求区分","単月"),0)</f>
        <v>0</v>
      </c>
      <c r="O52" s="423">
        <f>IFERROR(GETPIVOTDATA("合計 / " &amp; $B52,【ピボット】国保連売上!$A$3,"年月",O$1,"事業所",$A52,"請求区分","単月"),0)</f>
        <v>-98971</v>
      </c>
      <c r="P52" s="423">
        <f>IFERROR(GETPIVOTDATA("合計 / " &amp; $B52,【ピボット】国保連売上!$A$3,"年月",P$1,"事業所",$A52,"請求区分","単月"),0)</f>
        <v>-2592</v>
      </c>
      <c r="Q52" s="423">
        <f>IFERROR(GETPIVOTDATA("合計 / " &amp; $B52,【ピボット】国保連売上!$A$3,"年月",Q$1,"事業所",$A52,"請求区分","単月"),0)</f>
        <v>0</v>
      </c>
      <c r="R52" s="423">
        <f>IFERROR(GETPIVOTDATA("合計 / " &amp; $B52,【ピボット】国保連売上!$A$3,"年月",R$1,"事業所",$A52,"請求区分","単月"),0)</f>
        <v>-8433</v>
      </c>
      <c r="S52" s="423">
        <f>IFERROR(GETPIVOTDATA("合計 / " &amp; $B52,【ピボット】国保連売上!$A$3,"年月",S$1,"事業所",$A52,"請求区分","単月"),0)</f>
        <v>-20157</v>
      </c>
      <c r="T52" s="423">
        <f>IFERROR(GETPIVOTDATA("合計 / " &amp; $B52,【ピボット】国保連売上!$A$3,"年月",T$1,"事業所",$A52,"請求区分","単月"),0)</f>
        <v>0</v>
      </c>
      <c r="U52" s="423">
        <f>IFERROR(GETPIVOTDATA("合計 / " &amp; $B52,【ピボット】国保連売上!$A$3,"年月",U$1,"事業所",$A52,"請求区分","単月"),0)</f>
        <v>-36627</v>
      </c>
      <c r="V52" s="423">
        <f>IFERROR(GETPIVOTDATA("合計 / " &amp; $B52,【ピボット】国保連売上!$A$3,"年月",V$1,"事業所",$A52,"請求区分","単月"),0)</f>
        <v>-132809</v>
      </c>
      <c r="W52" s="423">
        <f>IFERROR(GETPIVOTDATA("合計 / " &amp; $B52,【ピボット】国保連売上!$A$3,"年月",W$1,"事業所",$A52,"請求区分","単月"),0)</f>
        <v>0</v>
      </c>
      <c r="X52" s="423">
        <f>IFERROR(GETPIVOTDATA("合計 / " &amp; $B52,【ピボット】国保連売上!$A$3,"年月",X$1,"事業所",$A52,"請求区分","単月"),0)</f>
        <v>-101594</v>
      </c>
      <c r="Y52" s="423">
        <f>IFERROR(GETPIVOTDATA("合計 / " &amp; $B52,【ピボット】国保連売上!$A$3,"年月",Y$1,"事業所",$A52,"請求区分","単月"),0)</f>
        <v>-13208</v>
      </c>
      <c r="Z52" s="423">
        <f>IFERROR(GETPIVOTDATA("合計 / " &amp; $B52,【ピボット】国保連売上!$A$3,"年月",Z$1,"事業所",$A52,"請求区分","単月"),0)</f>
        <v>-59481</v>
      </c>
      <c r="AA52" s="423">
        <f>IFERROR(GETPIVOTDATA("合計 / " &amp; $B52,【ピボット】国保連売上!$A$3,"年月",AA$1,"事業所",$A52,"請求区分","単月"),0)</f>
        <v>-66064</v>
      </c>
      <c r="AB52" s="421">
        <f>IFERROR(GETPIVOTDATA("合計 / " &amp; $B52,【ピボット】国保連売上!$A$3,"年月",AB$1,"事業所",$A52,"請求区分","単月"),0)</f>
        <v>0</v>
      </c>
      <c r="AC52" s="424">
        <f t="shared" si="29"/>
        <v>-438373</v>
      </c>
      <c r="AD52" s="424">
        <f t="shared" si="30"/>
        <v>-36531.083333333336</v>
      </c>
    </row>
    <row r="53" spans="1:30" ht="19.5" customHeight="1" x14ac:dyDescent="0.15">
      <c r="A53" t="s">
        <v>808</v>
      </c>
      <c r="B53" t="s">
        <v>815</v>
      </c>
      <c r="C53" s="109"/>
      <c r="D53" s="68" t="s">
        <v>128</v>
      </c>
      <c r="E53" s="423">
        <f>IFERROR(GETPIVOTDATA("合計 / " &amp; $B53,【ピボット】事業所売上!$A$3,"年月",E$1,"事業所",$A53),0)</f>
        <v>184364</v>
      </c>
      <c r="F53" s="423">
        <f>IFERROR(GETPIVOTDATA("合計 / " &amp; $B53,【ピボット】事業所売上!$A$3,"年月",F$1,"事業所",$A53),0)</f>
        <v>182050</v>
      </c>
      <c r="G53" s="423">
        <f>IFERROR(GETPIVOTDATA("合計 / " &amp; $B53,【ピボット】事業所売上!$A$3,"年月",G$1,"事業所",$A53),0)</f>
        <v>192500</v>
      </c>
      <c r="H53" s="423">
        <f>IFERROR(GETPIVOTDATA("合計 / " &amp; $B53,【ピボット】事業所売上!$A$3,"年月",H$1,"事業所",$A53),0)</f>
        <v>170500</v>
      </c>
      <c r="I53" s="423">
        <f>IFERROR(GETPIVOTDATA("合計 / " &amp; $B53,【ピボット】事業所売上!$A$3,"年月",I$1,"事業所",$A53),0)</f>
        <v>173350</v>
      </c>
      <c r="J53" s="423">
        <f>IFERROR(GETPIVOTDATA("合計 / " &amp; $B53,【ピボット】事業所売上!$A$3,"年月",J$1,"事業所",$A53),0)</f>
        <v>165550</v>
      </c>
      <c r="K53" s="423">
        <f>IFERROR(GETPIVOTDATA("合計 / " &amp; $B53,【ピボット】事業所売上!$A$3,"年月",K$1,"事業所",$A53),0)</f>
        <v>187550</v>
      </c>
      <c r="L53" s="423">
        <f>IFERROR(GETPIVOTDATA("合計 / " &amp; $B53,【ピボット】事業所売上!$A$3,"年月",L$1,"事業所",$A53),0)</f>
        <v>178467</v>
      </c>
      <c r="M53" s="423">
        <f>IFERROR(GETPIVOTDATA("合計 / " &amp; $B53,【ピボット】事業所売上!$A$3,"年月",M$1,"事業所",$A53),0)</f>
        <v>179350</v>
      </c>
      <c r="N53" s="423">
        <f>IFERROR(GETPIVOTDATA("合計 / " &amp; $B53,【ピボット】事業所売上!$A$3,"年月",N$1,"事業所",$A53),0)</f>
        <v>178200</v>
      </c>
      <c r="O53" s="423">
        <f>IFERROR(GETPIVOTDATA("合計 / " &amp; $B53,【ピボット】事業所売上!$A$3,"年月",O$1,"事業所",$A53),0)</f>
        <v>213353</v>
      </c>
      <c r="P53" s="423">
        <f>IFERROR(GETPIVOTDATA("合計 / " &amp; $B53,【ピボット】事業所売上!$A$3,"年月",P$1,"事業所",$A53),0)</f>
        <v>235855</v>
      </c>
      <c r="Q53" s="423">
        <f>IFERROR(GETPIVOTDATA("合計 / " &amp; $B53,【ピボット】事業所売上!$A$3,"年月",Q$1,"事業所",$A53),0)</f>
        <v>228745</v>
      </c>
      <c r="R53" s="423">
        <f>IFERROR(GETPIVOTDATA("合計 / " &amp; $B53,【ピボット】事業所売上!$A$3,"年月",R$1,"事業所",$A53),0)</f>
        <v>226253</v>
      </c>
      <c r="S53" s="423">
        <f>IFERROR(GETPIVOTDATA("合計 / " &amp; $B53,【ピボット】事業所売上!$A$3,"年月",S$1,"事業所",$A53),0)</f>
        <v>253993</v>
      </c>
      <c r="T53" s="423">
        <f>IFERROR(GETPIVOTDATA("合計 / " &amp; $B53,【ピボット】事業所売上!$A$3,"年月",T$1,"事業所",$A53),0)</f>
        <v>265495</v>
      </c>
      <c r="U53" s="423">
        <f>IFERROR(GETPIVOTDATA("合計 / " &amp; $B53,【ピボット】事業所売上!$A$3,"年月",U$1,"事業所",$A53),0)</f>
        <v>232550</v>
      </c>
      <c r="V53" s="423">
        <f>IFERROR(GETPIVOTDATA("合計 / " &amp; $B53,【ピボット】事業所売上!$A$3,"年月",V$1,"事業所",$A53),0)</f>
        <v>239800</v>
      </c>
      <c r="W53" s="423">
        <f>IFERROR(GETPIVOTDATA("合計 / " &amp; $B53,【ピボット】事業所売上!$A$3,"年月",W$1,"事業所",$A53),0)</f>
        <v>242750</v>
      </c>
      <c r="X53" s="423">
        <f>IFERROR(GETPIVOTDATA("合計 / " &amp; $B53,【ピボット】事業所売上!$A$3,"年月",X$1,"事業所",$A53),0)</f>
        <v>322550</v>
      </c>
      <c r="Y53" s="423">
        <f>IFERROR(GETPIVOTDATA("合計 / " &amp; $B53,【ピボット】事業所売上!$A$3,"年月",Y$1,"事業所",$A53),0)</f>
        <v>274100</v>
      </c>
      <c r="Z53" s="423">
        <f>IFERROR(GETPIVOTDATA("合計 / " &amp; $B53,【ピボット】事業所売上!$A$3,"年月",Z$1,"事業所",$A53),0)</f>
        <v>330200</v>
      </c>
      <c r="AA53" s="423">
        <f>IFERROR(GETPIVOTDATA("合計 / " &amp; $B53,【ピボット】事業所売上!$A$3,"年月",AA$1,"事業所",$A53),0)</f>
        <v>341200</v>
      </c>
      <c r="AB53" s="423">
        <f>IFERROR(GETPIVOTDATA("合計 / " &amp; $B53,【ピボット】事業所売上!$A$3,"年月",AB$1,"事業所",$A53),0)</f>
        <v>297000</v>
      </c>
      <c r="AC53" s="424">
        <f t="shared" si="29"/>
        <v>3254636</v>
      </c>
      <c r="AD53" s="424">
        <f t="shared" si="30"/>
        <v>271219.66666666669</v>
      </c>
    </row>
    <row r="54" spans="1:30" ht="19.5" customHeight="1" x14ac:dyDescent="0.15">
      <c r="A54" t="s">
        <v>808</v>
      </c>
      <c r="C54" s="109"/>
      <c r="D54" s="112" t="str">
        <f>C50 &amp; "売上合計"</f>
        <v>白金ディ売上合計</v>
      </c>
      <c r="E54" s="425">
        <f t="shared" ref="E54:K54" si="31">SUM(E50:E53)</f>
        <v>3310989</v>
      </c>
      <c r="F54" s="425">
        <f t="shared" si="31"/>
        <v>3318678</v>
      </c>
      <c r="G54" s="425">
        <f t="shared" si="31"/>
        <v>3581393</v>
      </c>
      <c r="H54" s="425">
        <f t="shared" si="31"/>
        <v>3174804</v>
      </c>
      <c r="I54" s="425">
        <f t="shared" si="31"/>
        <v>3038707</v>
      </c>
      <c r="J54" s="425">
        <f t="shared" si="31"/>
        <v>3191348</v>
      </c>
      <c r="K54" s="425">
        <f t="shared" si="31"/>
        <v>3514369</v>
      </c>
      <c r="L54" s="425">
        <f t="shared" ref="L54:AB54" si="32">SUM(L50:L53)</f>
        <v>3393995</v>
      </c>
      <c r="M54" s="425">
        <f t="shared" si="32"/>
        <v>3325418</v>
      </c>
      <c r="N54" s="425">
        <f t="shared" si="32"/>
        <v>3413991</v>
      </c>
      <c r="O54" s="425">
        <f t="shared" si="32"/>
        <v>3792807</v>
      </c>
      <c r="P54" s="425">
        <f t="shared" si="32"/>
        <v>4431713</v>
      </c>
      <c r="Q54" s="425">
        <f t="shared" si="32"/>
        <v>4327053</v>
      </c>
      <c r="R54" s="425">
        <f t="shared" si="32"/>
        <v>4146272</v>
      </c>
      <c r="S54" s="425">
        <f t="shared" si="32"/>
        <v>4468494</v>
      </c>
      <c r="T54" s="425">
        <f t="shared" si="32"/>
        <v>4438637</v>
      </c>
      <c r="U54" s="425">
        <f t="shared" si="32"/>
        <v>4367285</v>
      </c>
      <c r="V54" s="425">
        <f t="shared" si="32"/>
        <v>4314146</v>
      </c>
      <c r="W54" s="425">
        <f t="shared" si="32"/>
        <v>4438376</v>
      </c>
      <c r="X54" s="425">
        <f t="shared" si="32"/>
        <v>4457703</v>
      </c>
      <c r="Y54" s="425">
        <f t="shared" si="32"/>
        <v>4085858</v>
      </c>
      <c r="Z54" s="425">
        <f t="shared" si="32"/>
        <v>4300137</v>
      </c>
      <c r="AA54" s="425">
        <f t="shared" si="32"/>
        <v>4871702</v>
      </c>
      <c r="AB54" s="425">
        <f t="shared" si="32"/>
        <v>4359911</v>
      </c>
      <c r="AC54" s="426">
        <f t="shared" si="29"/>
        <v>52575574</v>
      </c>
      <c r="AD54" s="426">
        <f t="shared" si="30"/>
        <v>4381297.833333333</v>
      </c>
    </row>
    <row r="55" spans="1:30" ht="19.5" customHeight="1" x14ac:dyDescent="0.15">
      <c r="A55" t="s">
        <v>808</v>
      </c>
      <c r="B55" t="s">
        <v>15</v>
      </c>
      <c r="C55" s="109"/>
      <c r="D55" s="68" t="s">
        <v>129</v>
      </c>
      <c r="E55" s="423">
        <f>IFERROR(GETPIVOTDATA("合計 / " &amp; $B55,【ピボット】事業所収支!$A$3,"年月",E$1,"事業所",$A55),0)</f>
        <v>1747386</v>
      </c>
      <c r="F55" s="423">
        <f>IFERROR(GETPIVOTDATA("合計 / " &amp; $B55,【ピボット】事業所収支!$A$3,"年月",F$1,"事業所",$A55),0)</f>
        <v>1816576</v>
      </c>
      <c r="G55" s="423">
        <f>IFERROR(GETPIVOTDATA("合計 / " &amp; $B55,【ピボット】事業所収支!$A$3,"年月",G$1,"事業所",$A55),0)</f>
        <v>1929604</v>
      </c>
      <c r="H55" s="423">
        <f>IFERROR(GETPIVOTDATA("合計 / " &amp; $B55,【ピボット】事業所収支!$A$3,"年月",H$1,"事業所",$A55),0)</f>
        <v>1971148</v>
      </c>
      <c r="I55" s="423">
        <f>IFERROR(GETPIVOTDATA("合計 / " &amp; $B55,【ピボット】事業所収支!$A$3,"年月",I$1,"事業所",$A55),0)</f>
        <v>1814610</v>
      </c>
      <c r="J55" s="423">
        <f>IFERROR(GETPIVOTDATA("合計 / " &amp; $B55,【ピボット】事業所収支!$A$3,"年月",J$1,"事業所",$A55),0)</f>
        <v>1917384</v>
      </c>
      <c r="K55" s="423">
        <f>IFERROR(GETPIVOTDATA("合計 / " &amp; $B55,【ピボット】事業所収支!$A$3,"年月",K$1,"事業所",$A55),0)</f>
        <v>1620791</v>
      </c>
      <c r="L55" s="423">
        <f>IFERROR(GETPIVOTDATA("合計 / " &amp; $B55,【ピボット】事業所収支!$A$3,"年月",L$1,"事業所",$A55),0)</f>
        <v>2221300.6135975425</v>
      </c>
      <c r="M55" s="423">
        <f>IFERROR(GETPIVOTDATA("合計 / " &amp; $B55,【ピボット】事業所収支!$A$3,"年月",M$1,"事業所",$A55),0)</f>
        <v>2142318</v>
      </c>
      <c r="N55" s="423">
        <f>IFERROR(GETPIVOTDATA("合計 / " &amp; $B55,【ピボット】事業所収支!$A$3,"年月",N$1,"事業所",$A55),0)</f>
        <v>2272159</v>
      </c>
      <c r="O55" s="423">
        <f>IFERROR(GETPIVOTDATA("合計 / " &amp; $B55,【ピボット】事業所収支!$A$3,"年月",O$1,"事業所",$A55),0)</f>
        <v>2458758</v>
      </c>
      <c r="P55" s="423">
        <f>IFERROR(GETPIVOTDATA("合計 / " &amp; $B55,【ピボット】事業所収支!$A$3,"年月",P$1,"事業所",$A55),0)</f>
        <v>2574150</v>
      </c>
      <c r="Q55" s="423">
        <f>IFERROR(GETPIVOTDATA("合計 / " &amp; $B55,【ピボット】事業所収支!$A$3,"年月",Q$1,"事業所",$A55),0)</f>
        <v>2522266</v>
      </c>
      <c r="R55" s="423">
        <f>IFERROR(GETPIVOTDATA("合計 / " &amp; $B55,【ピボット】事業所収支!$A$3,"年月",R$1,"事業所",$A55),0)</f>
        <v>2675261</v>
      </c>
      <c r="S55" s="423">
        <f>IFERROR(GETPIVOTDATA("合計 / " &amp; $B55,【ピボット】事業所収支!$A$3,"年月",S$1,"事業所",$A55),0)</f>
        <v>2695210</v>
      </c>
      <c r="T55" s="423">
        <f>IFERROR(GETPIVOTDATA("合計 / " &amp; $B55,【ピボット】事業所収支!$A$3,"年月",T$1,"事業所",$A55),0)</f>
        <v>2472573</v>
      </c>
      <c r="U55" s="423">
        <f>IFERROR(GETPIVOTDATA("合計 / " &amp; $B55,【ピボット】事業所収支!$A$3,"年月",U$1,"事業所",$A55),0)</f>
        <v>2350226</v>
      </c>
      <c r="V55" s="423">
        <f>IFERROR(GETPIVOTDATA("合計 / " &amp; $B55,【ピボット】事業所収支!$A$3,"年月",V$1,"事業所",$A55),0)</f>
        <v>2086350</v>
      </c>
      <c r="W55" s="423">
        <f>IFERROR(GETPIVOTDATA("合計 / " &amp; $B55,【ピボット】事業所収支!$A$3,"年月",W$1,"事業所",$A55),0)</f>
        <v>2191511</v>
      </c>
      <c r="X55" s="423">
        <f>IFERROR(GETPIVOTDATA("合計 / " &amp; $B55,【ピボット】事業所収支!$A$3,"年月",X$1,"事業所",$A55),0)</f>
        <v>3314822</v>
      </c>
      <c r="Y55" s="423">
        <f>IFERROR(GETPIVOTDATA("合計 / " &amp; $B55,【ピボット】事業所収支!$A$3,"年月",Y$1,"事業所",$A55),0)</f>
        <v>2332898</v>
      </c>
      <c r="Z55" s="423">
        <f>IFERROR(GETPIVOTDATA("合計 / " &amp; $B55,【ピボット】事業所収支!$A$3,"年月",Z$1,"事業所",$A55),0)</f>
        <v>2102329</v>
      </c>
      <c r="AA55" s="423">
        <f>IFERROR(GETPIVOTDATA("合計 / " &amp; $B55,【ピボット】事業所収支!$A$3,"年月",AA$1,"事業所",$A55),0)</f>
        <v>2180249</v>
      </c>
      <c r="AB55" s="423">
        <f>IFERROR(GETPIVOTDATA("合計 / " &amp; $B55,【ピボット】事業所収支!$A$3,"年月",AB$1,"事業所",$A55),0)</f>
        <v>2316325</v>
      </c>
      <c r="AC55" s="424">
        <f t="shared" si="29"/>
        <v>29240020</v>
      </c>
      <c r="AD55" s="424">
        <f t="shared" si="30"/>
        <v>2436668.3333333335</v>
      </c>
    </row>
    <row r="56" spans="1:30" ht="19.5" customHeight="1" x14ac:dyDescent="0.15">
      <c r="A56" t="s">
        <v>808</v>
      </c>
      <c r="B56" t="s">
        <v>1230</v>
      </c>
      <c r="C56" s="109"/>
      <c r="D56" s="68" t="s">
        <v>130</v>
      </c>
      <c r="E56" s="423">
        <f>IFERROR(GETPIVOTDATA("合計 / " &amp; $B56,【ピボット】事業所収支!$A$3,"年月",E$1,"事業所",$A56),0)</f>
        <v>1001164</v>
      </c>
      <c r="F56" s="423">
        <f>IFERROR(GETPIVOTDATA("合計 / " &amp; $B56,【ピボット】事業所収支!$A$3,"年月",F$1,"事業所",$A56),0)</f>
        <v>989607</v>
      </c>
      <c r="G56" s="423">
        <f>IFERROR(GETPIVOTDATA("合計 / " &amp; $B56,【ピボット】事業所収支!$A$3,"年月",G$1,"事業所",$A56),0)</f>
        <v>897734</v>
      </c>
      <c r="H56" s="423">
        <f>IFERROR(GETPIVOTDATA("合計 / " &amp; $B56,【ピボット】事業所収支!$A$3,"年月",H$1,"事業所",$A56),0)</f>
        <v>1167584</v>
      </c>
      <c r="I56" s="423">
        <f>IFERROR(GETPIVOTDATA("合計 / " &amp; $B56,【ピボット】事業所収支!$A$3,"年月",I$1,"事業所",$A56),0)</f>
        <v>824423</v>
      </c>
      <c r="J56" s="423">
        <f>IFERROR(GETPIVOTDATA("合計 / " &amp; $B56,【ピボット】事業所収支!$A$3,"年月",J$1,"事業所",$A56),0)</f>
        <v>966398</v>
      </c>
      <c r="K56" s="423">
        <f>IFERROR(GETPIVOTDATA("合計 / " &amp; $B56,【ピボット】事業所収支!$A$3,"年月",K$1,"事業所",$A56),0)</f>
        <v>859233</v>
      </c>
      <c r="L56" s="423">
        <f>IFERROR(GETPIVOTDATA("合計 / " &amp; $B56,【ピボット】事業所収支!$A$3,"年月",L$1,"事業所",$A56),0)</f>
        <v>1042803</v>
      </c>
      <c r="M56" s="423">
        <f>IFERROR(GETPIVOTDATA("合計 / " &amp; $B56,【ピボット】事業所収支!$A$3,"年月",M$1,"事業所",$A56),0)</f>
        <v>1015011</v>
      </c>
      <c r="N56" s="423">
        <f>IFERROR(GETPIVOTDATA("合計 / " &amp; $B56,【ピボット】事業所収支!$A$3,"年月",N$1,"事業所",$A56),0)</f>
        <v>1024904</v>
      </c>
      <c r="O56" s="423">
        <f>IFERROR(GETPIVOTDATA("合計 / " &amp; $B56,【ピボット】事業所収支!$A$3,"年月",O$1,"事業所",$A56),0)</f>
        <v>969911</v>
      </c>
      <c r="P56" s="423">
        <f>IFERROR(GETPIVOTDATA("合計 / " &amp; $B56,【ピボット】事業所収支!$A$3,"年月",P$1,"事業所",$A56),0)</f>
        <v>821057</v>
      </c>
      <c r="Q56" s="423">
        <f>IFERROR(GETPIVOTDATA("合計 / " &amp; $B56,【ピボット】事業所収支!$A$3,"年月",Q$1,"事業所",$A56),0)</f>
        <v>1282778</v>
      </c>
      <c r="R56" s="423">
        <f>IFERROR(GETPIVOTDATA("合計 / " &amp; $B56,【ピボット】事業所収支!$A$3,"年月",R$1,"事業所",$A56),0)</f>
        <v>1171971</v>
      </c>
      <c r="S56" s="423">
        <f>IFERROR(GETPIVOTDATA("合計 / " &amp; $B56,【ピボット】事業所収支!$A$3,"年月",S$1,"事業所",$A56),0)</f>
        <v>1095648</v>
      </c>
      <c r="T56" s="423">
        <f>IFERROR(GETPIVOTDATA("合計 / " &amp; $B56,【ピボット】事業所収支!$A$3,"年月",T$1,"事業所",$A56),0)</f>
        <v>1218671</v>
      </c>
      <c r="U56" s="423">
        <f>IFERROR(GETPIVOTDATA("合計 / " &amp; $B56,【ピボット】事業所収支!$A$3,"年月",U$1,"事業所",$A56),0)</f>
        <v>1089344</v>
      </c>
      <c r="V56" s="423">
        <f>IFERROR(GETPIVOTDATA("合計 / " &amp; $B56,【ピボット】事業所収支!$A$3,"年月",V$1,"事業所",$A56),0)</f>
        <v>1207486</v>
      </c>
      <c r="W56" s="423">
        <f>IFERROR(GETPIVOTDATA("合計 / " &amp; $B56,【ピボット】事業所収支!$A$3,"年月",W$1,"事業所",$A56),0)</f>
        <v>1037871</v>
      </c>
      <c r="X56" s="423">
        <f>IFERROR(GETPIVOTDATA("合計 / " &amp; $B56,【ピボット】事業所収支!$A$3,"年月",X$1,"事業所",$A56),0)</f>
        <v>1158080</v>
      </c>
      <c r="Y56" s="423">
        <f>IFERROR(GETPIVOTDATA("合計 / " &amp; $B56,【ピボット】事業所収支!$A$3,"年月",Y$1,"事業所",$A56),0)</f>
        <v>1282667</v>
      </c>
      <c r="Z56" s="423">
        <f>IFERROR(GETPIVOTDATA("合計 / " &amp; $B56,【ピボット】事業所収支!$A$3,"年月",Z$1,"事業所",$A56),0)</f>
        <v>1149109</v>
      </c>
      <c r="AA56" s="423">
        <f>IFERROR(GETPIVOTDATA("合計 / " &amp; $B56,【ピボット】事業所収支!$A$3,"年月",AA$1,"事業所",$A56),0)</f>
        <v>1064856</v>
      </c>
      <c r="AB56" s="423">
        <f>IFERROR(GETPIVOTDATA("合計 / " &amp; $B56,【ピボット】事業所収支!$A$3,"年月",AB$1,"事業所",$A56),0)</f>
        <v>1085892</v>
      </c>
      <c r="AC56" s="424">
        <f t="shared" si="29"/>
        <v>13844373</v>
      </c>
      <c r="AD56" s="424">
        <f t="shared" si="30"/>
        <v>1153697.75</v>
      </c>
    </row>
    <row r="57" spans="1:30" ht="19.5" customHeight="1" thickBot="1" x14ac:dyDescent="0.2">
      <c r="C57" s="110"/>
      <c r="D57" s="113" t="s">
        <v>138</v>
      </c>
      <c r="E57" s="427">
        <f t="shared" ref="E57:K57" si="33">SUM(E54)-SUM(E55:E56)</f>
        <v>562439</v>
      </c>
      <c r="F57" s="427">
        <f t="shared" si="33"/>
        <v>512495</v>
      </c>
      <c r="G57" s="427">
        <f t="shared" si="33"/>
        <v>754055</v>
      </c>
      <c r="H57" s="427">
        <f t="shared" si="33"/>
        <v>36072</v>
      </c>
      <c r="I57" s="427">
        <f t="shared" si="33"/>
        <v>399674</v>
      </c>
      <c r="J57" s="427">
        <f t="shared" si="33"/>
        <v>307566</v>
      </c>
      <c r="K57" s="427">
        <f t="shared" si="33"/>
        <v>1034345</v>
      </c>
      <c r="L57" s="427">
        <f t="shared" ref="L57:AB57" si="34">SUM(L54)-SUM(L55:L56)</f>
        <v>129891.38640245749</v>
      </c>
      <c r="M57" s="427">
        <f t="shared" si="34"/>
        <v>168089</v>
      </c>
      <c r="N57" s="427">
        <f t="shared" si="34"/>
        <v>116928</v>
      </c>
      <c r="O57" s="427">
        <f t="shared" si="34"/>
        <v>364138</v>
      </c>
      <c r="P57" s="427">
        <f t="shared" si="34"/>
        <v>1036506</v>
      </c>
      <c r="Q57" s="427">
        <f t="shared" si="34"/>
        <v>522009</v>
      </c>
      <c r="R57" s="427">
        <f t="shared" si="34"/>
        <v>299040</v>
      </c>
      <c r="S57" s="427">
        <f t="shared" si="34"/>
        <v>677636</v>
      </c>
      <c r="T57" s="427">
        <f t="shared" si="34"/>
        <v>747393</v>
      </c>
      <c r="U57" s="427">
        <f t="shared" si="34"/>
        <v>927715</v>
      </c>
      <c r="V57" s="427">
        <f t="shared" si="34"/>
        <v>1020310</v>
      </c>
      <c r="W57" s="427">
        <f t="shared" si="34"/>
        <v>1208994</v>
      </c>
      <c r="X57" s="427">
        <f t="shared" si="34"/>
        <v>-15199</v>
      </c>
      <c r="Y57" s="427">
        <f t="shared" si="34"/>
        <v>470293</v>
      </c>
      <c r="Z57" s="427">
        <f t="shared" si="34"/>
        <v>1048699</v>
      </c>
      <c r="AA57" s="427">
        <f t="shared" si="34"/>
        <v>1626597</v>
      </c>
      <c r="AB57" s="427">
        <f t="shared" si="34"/>
        <v>957694</v>
      </c>
      <c r="AC57" s="428">
        <f t="shared" si="29"/>
        <v>9491181</v>
      </c>
      <c r="AD57" s="428">
        <f t="shared" si="30"/>
        <v>790931.75</v>
      </c>
    </row>
    <row r="58" spans="1:30" ht="19.5" customHeight="1" x14ac:dyDescent="0.15">
      <c r="A58" t="s">
        <v>784</v>
      </c>
      <c r="B58" t="s">
        <v>860</v>
      </c>
      <c r="C58" s="107" t="s">
        <v>38</v>
      </c>
      <c r="D58" s="67" t="s">
        <v>126</v>
      </c>
      <c r="E58" s="429">
        <f>IFERROR(GETPIVOTDATA("合計 / " &amp; $B58,【ピボット】国保連売上!$A$3,"年月",E$1,"事業所",$A58,"請求区分","単月"),0)</f>
        <v>2221926</v>
      </c>
      <c r="F58" s="429">
        <f>IFERROR(GETPIVOTDATA("合計 / " &amp; $B58,【ピボット】国保連売上!$A$3,"年月",F$1,"事業所",$A58,"請求区分","単月"),0)</f>
        <v>2170929</v>
      </c>
      <c r="G58" s="429">
        <f>IFERROR(GETPIVOTDATA("合計 / " &amp; $B58,【ピボット】国保連売上!$A$3,"年月",G$1,"事業所",$A58,"請求区分","単月"),0)</f>
        <v>2304959</v>
      </c>
      <c r="H58" s="429">
        <f>IFERROR(GETPIVOTDATA("合計 / " &amp; $B58,【ピボット】国保連売上!$A$3,"年月",H$1,"事業所",$A58,"請求区分","単月"),0)</f>
        <v>2326894</v>
      </c>
      <c r="I58" s="429">
        <f>IFERROR(GETPIVOTDATA("合計 / " &amp; $B58,【ピボット】国保連売上!$A$3,"年月",I$1,"事業所",$A58,"請求区分","単月"),0)</f>
        <v>2383506</v>
      </c>
      <c r="J58" s="429">
        <f>IFERROR(GETPIVOTDATA("合計 / " &amp; $B58,【ピボット】国保連売上!$A$3,"年月",J$1,"事業所",$A58,"請求区分","単月"),0)</f>
        <v>2140629</v>
      </c>
      <c r="K58" s="429">
        <f>IFERROR(GETPIVOTDATA("合計 / " &amp; $B58,【ピボット】国保連売上!$A$3,"年月",K$1,"事業所",$A58,"請求区分","単月"),0)</f>
        <v>2052909</v>
      </c>
      <c r="L58" s="429">
        <f>IFERROR(GETPIVOTDATA("合計 / " &amp; $B58,【ピボット】国保連売上!$A$3,"年月",L$1,"事業所",$A58,"請求区分","単月"),0)</f>
        <v>2157074</v>
      </c>
      <c r="M58" s="429">
        <f>IFERROR(GETPIVOTDATA("合計 / " &amp; $B58,【ピボット】国保連売上!$A$3,"年月",M$1,"事業所",$A58,"請求区分","単月"),0)</f>
        <v>2007541</v>
      </c>
      <c r="N58" s="429">
        <f>IFERROR(GETPIVOTDATA("合計 / " &amp; $B58,【ピボット】国保連売上!$A$3,"年月",N$1,"事業所",$A58,"請求区分","単月"),0)</f>
        <v>2306499</v>
      </c>
      <c r="O58" s="429">
        <f>IFERROR(GETPIVOTDATA("合計 / " &amp; $B58,【ピボット】国保連売上!$A$3,"年月",O$1,"事業所",$A58,"請求区分","単月"),0)</f>
        <v>2198815</v>
      </c>
      <c r="P58" s="429">
        <f>IFERROR(GETPIVOTDATA("合計 / " &amp; $B58,【ピボット】国保連売上!$A$3,"年月",P$1,"事業所",$A58,"請求区分","単月"),0)</f>
        <v>2291722</v>
      </c>
      <c r="Q58" s="429">
        <f>IFERROR(GETPIVOTDATA("合計 / " &amp; $B58,【ピボット】国保連売上!$A$3,"年月",Q$1,"事業所",$A58,"請求区分","単月"),0)</f>
        <v>2293370</v>
      </c>
      <c r="R58" s="429">
        <f>IFERROR(GETPIVOTDATA("合計 / " &amp; $B58,【ピボット】国保連売上!$A$3,"年月",R$1,"事業所",$A58,"請求区分","単月"),0)</f>
        <v>2039297</v>
      </c>
      <c r="S58" s="429">
        <f>IFERROR(GETPIVOTDATA("合計 / " &amp; $B58,【ピボット】国保連売上!$A$3,"年月",S$1,"事業所",$A58,"請求区分","単月"),0)</f>
        <v>1697883</v>
      </c>
      <c r="T58" s="429">
        <f>IFERROR(GETPIVOTDATA("合計 / " &amp; $B58,【ピボット】国保連売上!$A$3,"年月",T$1,"事業所",$A58,"請求区分","単月"),0)</f>
        <v>1573689</v>
      </c>
      <c r="U58" s="429">
        <f>IFERROR(GETPIVOTDATA("合計 / " &amp; $B58,【ピボット】国保連売上!$A$3,"年月",U$1,"事業所",$A58,"請求区分","単月"),0)</f>
        <v>1331333</v>
      </c>
      <c r="V58" s="429">
        <f>IFERROR(GETPIVOTDATA("合計 / " &amp; $B58,【ピボット】国保連売上!$A$3,"年月",V$1,"事業所",$A58,"請求区分","単月"),0)</f>
        <v>1489051</v>
      </c>
      <c r="W58" s="429">
        <f>IFERROR(GETPIVOTDATA("合計 / " &amp; $B58,【ピボット】国保連売上!$A$3,"年月",W$1,"事業所",$A58,"請求区分","単月"),0)</f>
        <v>1819338</v>
      </c>
      <c r="X58" s="429">
        <f>IFERROR(GETPIVOTDATA("合計 / " &amp; $B58,【ピボット】国保連売上!$A$3,"年月",X$1,"事業所",$A58,"請求区分","単月"),0)</f>
        <v>1826775</v>
      </c>
      <c r="Y58" s="429">
        <f>IFERROR(GETPIVOTDATA("合計 / " &amp; $B58,【ピボット】国保連売上!$A$3,"年月",Y$1,"事業所",$A58,"請求区分","単月"),0)</f>
        <v>1845029</v>
      </c>
      <c r="Z58" s="429">
        <f>IFERROR(GETPIVOTDATA("合計 / " &amp; $B58,【ピボット】国保連売上!$A$3,"年月",Z$1,"事業所",$A58,"請求区分","単月"),0)</f>
        <v>1715603</v>
      </c>
      <c r="AA58" s="429">
        <f>IFERROR(GETPIVOTDATA("合計 / " &amp; $B58,【ピボット】国保連売上!$A$3,"年月",AA$1,"事業所",$A58,"請求区分","単月"),0)</f>
        <v>1715602</v>
      </c>
      <c r="AB58" s="419">
        <f>IFERROR(GETPIVOTDATA("合計 / " &amp; $B58,【ピボット】国保連売上!$A$3,"年月",AB$1,"事業所",$A58,"請求区分","単月"),0)</f>
        <v>1684049</v>
      </c>
      <c r="AC58" s="420">
        <f t="shared" si="29"/>
        <v>21031019</v>
      </c>
      <c r="AD58" s="420">
        <f t="shared" si="30"/>
        <v>1752584.9166666667</v>
      </c>
    </row>
    <row r="59" spans="1:30" ht="19.5" customHeight="1" x14ac:dyDescent="0.15">
      <c r="A59" t="s">
        <v>784</v>
      </c>
      <c r="B59" t="s">
        <v>861</v>
      </c>
      <c r="C59" s="108"/>
      <c r="D59" s="69" t="s">
        <v>137</v>
      </c>
      <c r="E59" s="421">
        <f>IFERROR(GETPIVOTDATA("合計 / " &amp; $B59,【ピボット】国保連売上!$A$3,"年月",E$1,"事業所",$A59,"請求区分","単月"),0)</f>
        <v>0</v>
      </c>
      <c r="F59" s="421">
        <f>IFERROR(GETPIVOTDATA("合計 / " &amp; $B59,【ピボット】国保連売上!$A$3,"年月",F$1,"事業所",$A59,"請求区分","単月"),0)</f>
        <v>0</v>
      </c>
      <c r="G59" s="421">
        <f>IFERROR(GETPIVOTDATA("合計 / " &amp; $B59,【ピボット】国保連売上!$A$3,"年月",G$1,"事業所",$A59,"請求区分","単月"),0)</f>
        <v>0</v>
      </c>
      <c r="H59" s="421">
        <f>IFERROR(GETPIVOTDATA("合計 / " &amp; $B59,【ピボット】国保連売上!$A$3,"年月",H$1,"事業所",$A59,"請求区分","単月"),0)</f>
        <v>0</v>
      </c>
      <c r="I59" s="421">
        <f>IFERROR(GETPIVOTDATA("合計 / " &amp; $B59,【ピボット】国保連売上!$A$3,"年月",I$1,"事業所",$A59,"請求区分","単月"),0)</f>
        <v>0</v>
      </c>
      <c r="J59" s="421">
        <f>IFERROR(GETPIVOTDATA("合計 / " &amp; $B59,【ピボット】国保連売上!$A$3,"年月",J$1,"事業所",$A59,"請求区分","単月"),0)</f>
        <v>0</v>
      </c>
      <c r="K59" s="421">
        <f>IFERROR(GETPIVOTDATA("合計 / " &amp; $B59,【ピボット】国保連売上!$A$3,"年月",K$1,"事業所",$A59,"請求区分","単月"),0)</f>
        <v>0</v>
      </c>
      <c r="L59" s="421">
        <f>IFERROR(GETPIVOTDATA("合計 / " &amp; $B59,【ピボット】国保連売上!$A$3,"年月",L$1,"事業所",$A59,"請求区分","単月"),0)</f>
        <v>0</v>
      </c>
      <c r="M59" s="421">
        <f>IFERROR(GETPIVOTDATA("合計 / " &amp; $B59,【ピボット】国保連売上!$A$3,"年月",M$1,"事業所",$A59,"請求区分","単月"),0)</f>
        <v>0</v>
      </c>
      <c r="N59" s="421">
        <f>IFERROR(GETPIVOTDATA("合計 / " &amp; $B59,【ピボット】国保連売上!$A$3,"年月",N$1,"事業所",$A59,"請求区分","単月"),0)</f>
        <v>0</v>
      </c>
      <c r="O59" s="421">
        <f>IFERROR(GETPIVOTDATA("合計 / " &amp; $B59,【ピボット】国保連売上!$A$3,"年月",O$1,"事業所",$A59,"請求区分","単月"),0)</f>
        <v>98472</v>
      </c>
      <c r="P59" s="421">
        <f>IFERROR(GETPIVOTDATA("合計 / " &amp; $B59,【ピボット】国保連売上!$A$3,"年月",P$1,"事業所",$A59,"請求区分","単月"),0)</f>
        <v>0</v>
      </c>
      <c r="Q59" s="421">
        <f>IFERROR(GETPIVOTDATA("合計 / " &amp; $B59,【ピボット】国保連売上!$A$3,"年月",Q$1,"事業所",$A59,"請求区分","単月"),0)</f>
        <v>0</v>
      </c>
      <c r="R59" s="421">
        <f>IFERROR(GETPIVOTDATA("合計 / " &amp; $B59,【ピボット】国保連売上!$A$3,"年月",R$1,"事業所",$A59,"請求区分","単月"),0)</f>
        <v>0</v>
      </c>
      <c r="S59" s="421">
        <f>IFERROR(GETPIVOTDATA("合計 / " &amp; $B59,【ピボット】国保連売上!$A$3,"年月",S$1,"事業所",$A59,"請求区分","単月"),0)</f>
        <v>0</v>
      </c>
      <c r="T59" s="421">
        <f>IFERROR(GETPIVOTDATA("合計 / " &amp; $B59,【ピボット】国保連売上!$A$3,"年月",T$1,"事業所",$A59,"請求区分","単月"),0)</f>
        <v>186693</v>
      </c>
      <c r="U59" s="421">
        <f>IFERROR(GETPIVOTDATA("合計 / " &amp; $B59,【ピボット】国保連売上!$A$3,"年月",U$1,"事業所",$A59,"請求区分","単月"),0)</f>
        <v>441502</v>
      </c>
      <c r="V59" s="421">
        <f>IFERROR(GETPIVOTDATA("合計 / " &amp; $B59,【ピボット】国保連売上!$A$3,"年月",V$1,"事業所",$A59,"請求区分","単月"),0)</f>
        <v>190845</v>
      </c>
      <c r="W59" s="421">
        <f>IFERROR(GETPIVOTDATA("合計 / " &amp; $B59,【ピボット】国保連売上!$A$3,"年月",W$1,"事業所",$A59,"請求区分","単月"),0)</f>
        <v>0</v>
      </c>
      <c r="X59" s="421">
        <f>IFERROR(GETPIVOTDATA("合計 / " &amp; $B59,【ピボット】国保連売上!$A$3,"年月",X$1,"事業所",$A59,"請求区分","単月"),0)</f>
        <v>0</v>
      </c>
      <c r="Y59" s="421">
        <f>IFERROR(GETPIVOTDATA("合計 / " &amp; $B59,【ピボット】国保連売上!$A$3,"年月",Y$1,"事業所",$A59,"請求区分","単月"),0)</f>
        <v>0</v>
      </c>
      <c r="Z59" s="421">
        <f>IFERROR(GETPIVOTDATA("合計 / " &amp; $B59,【ピボット】国保連売上!$A$3,"年月",Z$1,"事業所",$A59,"請求区分","単月"),0)</f>
        <v>0</v>
      </c>
      <c r="AA59" s="421">
        <f>IFERROR(GETPIVOTDATA("合計 / " &amp; $B59,【ピボット】国保連売上!$A$3,"年月",AA$1,"事業所",$A59,"請求区分","単月"),0)</f>
        <v>0</v>
      </c>
      <c r="AB59" s="421">
        <f>IFERROR(GETPIVOTDATA("合計 / " &amp; $B59,【ピボット】国保連売上!$A$3,"年月",AB$1,"事業所",$A59,"請求区分","単月"),0)</f>
        <v>0</v>
      </c>
      <c r="AC59" s="422">
        <f t="shared" si="29"/>
        <v>819040</v>
      </c>
      <c r="AD59" s="422">
        <f t="shared" si="30"/>
        <v>68253.333333333328</v>
      </c>
    </row>
    <row r="60" spans="1:30" ht="19.5" customHeight="1" x14ac:dyDescent="0.15">
      <c r="A60" t="s">
        <v>784</v>
      </c>
      <c r="B60" t="s">
        <v>862</v>
      </c>
      <c r="C60" s="109"/>
      <c r="D60" s="68" t="s">
        <v>127</v>
      </c>
      <c r="E60" s="423">
        <f>IFERROR(GETPIVOTDATA("合計 / " &amp; $B60,【ピボット】国保連売上!$A$3,"年月",E$1,"事業所",$A60,"請求区分","単月"),0)</f>
        <v>0</v>
      </c>
      <c r="F60" s="423">
        <f>IFERROR(GETPIVOTDATA("合計 / " &amp; $B60,【ピボット】国保連売上!$A$3,"年月",F$1,"事業所",$A60,"請求区分","単月"),0)</f>
        <v>0</v>
      </c>
      <c r="G60" s="423">
        <f>IFERROR(GETPIVOTDATA("合計 / " &amp; $B60,【ピボット】国保連売上!$A$3,"年月",G$1,"事業所",$A60,"請求区分","単月"),0)</f>
        <v>0</v>
      </c>
      <c r="H60" s="423">
        <f>IFERROR(GETPIVOTDATA("合計 / " &amp; $B60,【ピボット】国保連売上!$A$3,"年月",H$1,"事業所",$A60,"請求区分","単月"),0)</f>
        <v>0</v>
      </c>
      <c r="I60" s="423">
        <f>IFERROR(GETPIVOTDATA("合計 / " &amp; $B60,【ピボット】国保連売上!$A$3,"年月",I$1,"事業所",$A60,"請求区分","単月"),0)</f>
        <v>0</v>
      </c>
      <c r="J60" s="423">
        <f>IFERROR(GETPIVOTDATA("合計 / " &amp; $B60,【ピボット】国保連売上!$A$3,"年月",J$1,"事業所",$A60,"請求区分","単月"),0)</f>
        <v>0</v>
      </c>
      <c r="K60" s="423">
        <f>IFERROR(GETPIVOTDATA("合計 / " &amp; $B60,【ピボット】国保連売上!$A$3,"年月",K$1,"事業所",$A60,"請求区分","単月"),0)</f>
        <v>0</v>
      </c>
      <c r="L60" s="423">
        <f>IFERROR(GETPIVOTDATA("合計 / " &amp; $B60,【ピボット】国保連売上!$A$3,"年月",L$1,"事業所",$A60,"請求区分","単月"),0)</f>
        <v>0</v>
      </c>
      <c r="M60" s="423">
        <f>IFERROR(GETPIVOTDATA("合計 / " &amp; $B60,【ピボット】国保連売上!$A$3,"年月",M$1,"事業所",$A60,"請求区分","単月"),0)</f>
        <v>0</v>
      </c>
      <c r="N60" s="423">
        <f>IFERROR(GETPIVOTDATA("合計 / " &amp; $B60,【ピボット】国保連売上!$A$3,"年月",N$1,"事業所",$A60,"請求区分","単月"),0)</f>
        <v>0</v>
      </c>
      <c r="O60" s="423">
        <f>IFERROR(GETPIVOTDATA("合計 / " &amp; $B60,【ピボット】国保連売上!$A$3,"年月",O$1,"事業所",$A60,"請求区分","単月"),0)</f>
        <v>0</v>
      </c>
      <c r="P60" s="423">
        <f>IFERROR(GETPIVOTDATA("合計 / " &amp; $B60,【ピボット】国保連売上!$A$3,"年月",P$1,"事業所",$A60,"請求区分","単月"),0)</f>
        <v>0</v>
      </c>
      <c r="Q60" s="423">
        <f>IFERROR(GETPIVOTDATA("合計 / " &amp; $B60,【ピボット】国保連売上!$A$3,"年月",Q$1,"事業所",$A60,"請求区分","単月"),0)</f>
        <v>0</v>
      </c>
      <c r="R60" s="423">
        <f>IFERROR(GETPIVOTDATA("合計 / " &amp; $B60,【ピボット】国保連売上!$A$3,"年月",R$1,"事業所",$A60,"請求区分","単月"),0)</f>
        <v>0</v>
      </c>
      <c r="S60" s="423">
        <f>IFERROR(GETPIVOTDATA("合計 / " &amp; $B60,【ピボット】国保連売上!$A$3,"年月",S$1,"事業所",$A60,"請求区分","単月"),0)</f>
        <v>-57255</v>
      </c>
      <c r="T60" s="423">
        <f>IFERROR(GETPIVOTDATA("合計 / " &amp; $B60,【ピボット】国保連売上!$A$3,"年月",T$1,"事業所",$A60,"請求区分","単月"),0)</f>
        <v>0</v>
      </c>
      <c r="U60" s="423">
        <f>IFERROR(GETPIVOTDATA("合計 / " &amp; $B60,【ピボット】国保連売上!$A$3,"年月",U$1,"事業所",$A60,"請求区分","単月"),0)</f>
        <v>0</v>
      </c>
      <c r="V60" s="423">
        <f>IFERROR(GETPIVOTDATA("合計 / " &amp; $B60,【ピボット】国保連売上!$A$3,"年月",V$1,"事業所",$A60,"請求区分","単月"),0)</f>
        <v>0</v>
      </c>
      <c r="W60" s="423">
        <f>IFERROR(GETPIVOTDATA("合計 / " &amp; $B60,【ピボット】国保連売上!$A$3,"年月",W$1,"事業所",$A60,"請求区分","単月"),0)</f>
        <v>0</v>
      </c>
      <c r="X60" s="423">
        <f>IFERROR(GETPIVOTDATA("合計 / " &amp; $B60,【ピボット】国保連売上!$A$3,"年月",X$1,"事業所",$A60,"請求区分","単月"),0)</f>
        <v>0</v>
      </c>
      <c r="Y60" s="423">
        <f>IFERROR(GETPIVOTDATA("合計 / " &amp; $B60,【ピボット】国保連売上!$A$3,"年月",Y$1,"事業所",$A60,"請求区分","単月"),0)</f>
        <v>0</v>
      </c>
      <c r="Z60" s="423">
        <f>IFERROR(GETPIVOTDATA("合計 / " &amp; $B60,【ピボット】国保連売上!$A$3,"年月",Z$1,"事業所",$A60,"請求区分","単月"),0)</f>
        <v>0</v>
      </c>
      <c r="AA60" s="423">
        <f>IFERROR(GETPIVOTDATA("合計 / " &amp; $B60,【ピボット】国保連売上!$A$3,"年月",AA$1,"事業所",$A60,"請求区分","単月"),0)</f>
        <v>0</v>
      </c>
      <c r="AB60" s="421">
        <f>IFERROR(GETPIVOTDATA("合計 / " &amp; $B60,【ピボット】国保連売上!$A$3,"年月",AB$1,"事業所",$A60,"請求区分","単月"),0)</f>
        <v>0</v>
      </c>
      <c r="AC60" s="424">
        <f t="shared" si="29"/>
        <v>-57255</v>
      </c>
      <c r="AD60" s="424">
        <f t="shared" si="30"/>
        <v>-4771.25</v>
      </c>
    </row>
    <row r="61" spans="1:30" ht="19.5" customHeight="1" x14ac:dyDescent="0.15">
      <c r="A61" t="s">
        <v>784</v>
      </c>
      <c r="B61" t="s">
        <v>815</v>
      </c>
      <c r="C61" s="109"/>
      <c r="D61" s="199" t="s">
        <v>128</v>
      </c>
      <c r="E61" s="430">
        <f>IFERROR(GETPIVOTDATA("合計 / " &amp; $B61,【ピボット】事業所売上!$A$3,"年月",E$1,"事業所",$A61),0)</f>
        <v>726420</v>
      </c>
      <c r="F61" s="423">
        <f>IFERROR(GETPIVOTDATA("合計 / " &amp; $B61,【ピボット】事業所売上!$A$3,"年月",F$1,"事業所",$A61),0)</f>
        <v>722500</v>
      </c>
      <c r="G61" s="423">
        <f>IFERROR(GETPIVOTDATA("合計 / " &amp; $B61,【ピボット】事業所売上!$A$3,"年月",G$1,"事業所",$A61),0)</f>
        <v>879513</v>
      </c>
      <c r="H61" s="423">
        <f>IFERROR(GETPIVOTDATA("合計 / " &amp; $B61,【ピボット】事業所売上!$A$3,"年月",H$1,"事業所",$A61),0)</f>
        <v>798000</v>
      </c>
      <c r="I61" s="423">
        <f>IFERROR(GETPIVOTDATA("合計 / " &amp; $B61,【ピボット】事業所売上!$A$3,"年月",I$1,"事業所",$A61),0)</f>
        <v>697840</v>
      </c>
      <c r="J61" s="423">
        <f>IFERROR(GETPIVOTDATA("合計 / " &amp; $B61,【ピボット】事業所売上!$A$3,"年月",J$1,"事業所",$A61),0)</f>
        <v>848510</v>
      </c>
      <c r="K61" s="423">
        <f>IFERROR(GETPIVOTDATA("合計 / " &amp; $B61,【ピボット】事業所売上!$A$3,"年月",K$1,"事業所",$A61),0)</f>
        <v>521768</v>
      </c>
      <c r="L61" s="423">
        <f>IFERROR(GETPIVOTDATA("合計 / " &amp; $B61,【ピボット】事業所売上!$A$3,"年月",L$1,"事業所",$A61),0)</f>
        <v>696462</v>
      </c>
      <c r="M61" s="423">
        <f>IFERROR(GETPIVOTDATA("合計 / " &amp; $B61,【ピボット】事業所売上!$A$3,"年月",M$1,"事業所",$A61),0)</f>
        <v>609640</v>
      </c>
      <c r="N61" s="423">
        <f>IFERROR(GETPIVOTDATA("合計 / " &amp; $B61,【ピボット】事業所売上!$A$3,"年月",N$1,"事業所",$A61),0)</f>
        <v>751461</v>
      </c>
      <c r="O61" s="423">
        <f>IFERROR(GETPIVOTDATA("合計 / " &amp; $B61,【ピボット】事業所売上!$A$3,"年月",O$1,"事業所",$A61),0)</f>
        <v>858082</v>
      </c>
      <c r="P61" s="423">
        <f>IFERROR(GETPIVOTDATA("合計 / " &amp; $B61,【ピボット】事業所売上!$A$3,"年月",P$1,"事業所",$A61),0)</f>
        <v>793520</v>
      </c>
      <c r="Q61" s="423">
        <f>IFERROR(GETPIVOTDATA("合計 / " &amp; $B61,【ピボット】事業所売上!$A$3,"年月",Q$1,"事業所",$A61),0)</f>
        <v>728337</v>
      </c>
      <c r="R61" s="423">
        <f>IFERROR(GETPIVOTDATA("合計 / " &amp; $B61,【ピボット】事業所売上!$A$3,"年月",R$1,"事業所",$A61),0)</f>
        <v>652881</v>
      </c>
      <c r="S61" s="423">
        <f>IFERROR(GETPIVOTDATA("合計 / " &amp; $B61,【ピボット】事業所売上!$A$3,"年月",S$1,"事業所",$A61),0)</f>
        <v>905959</v>
      </c>
      <c r="T61" s="423">
        <f>IFERROR(GETPIVOTDATA("合計 / " &amp; $B61,【ピボット】事業所売上!$A$3,"年月",T$1,"事業所",$A61),0)</f>
        <v>777780</v>
      </c>
      <c r="U61" s="423">
        <f>IFERROR(GETPIVOTDATA("合計 / " &amp; $B61,【ピボット】事業所売上!$A$3,"年月",U$1,"事業所",$A61),0)</f>
        <v>780740</v>
      </c>
      <c r="V61" s="423">
        <f>IFERROR(GETPIVOTDATA("合計 / " &amp; $B61,【ピボット】事業所売上!$A$3,"年月",V$1,"事業所",$A61),0)</f>
        <v>778680</v>
      </c>
      <c r="W61" s="423">
        <f>IFERROR(GETPIVOTDATA("合計 / " &amp; $B61,【ピボット】事業所売上!$A$3,"年月",W$1,"事業所",$A61),0)</f>
        <v>786560</v>
      </c>
      <c r="X61" s="423">
        <f>IFERROR(GETPIVOTDATA("合計 / " &amp; $B61,【ピボット】事業所売上!$A$3,"年月",X$1,"事業所",$A61),0)</f>
        <v>779540</v>
      </c>
      <c r="Y61" s="423">
        <f>IFERROR(GETPIVOTDATA("合計 / " &amp; $B61,【ピボット】事業所売上!$A$3,"年月",Y$1,"事業所",$A61),0)</f>
        <v>782040</v>
      </c>
      <c r="Z61" s="423">
        <f>IFERROR(GETPIVOTDATA("合計 / " &amp; $B61,【ピボット】事業所売上!$A$3,"年月",Z$1,"事業所",$A61),0)</f>
        <v>799520</v>
      </c>
      <c r="AA61" s="423">
        <f>IFERROR(GETPIVOTDATA("合計 / " &amp; $B61,【ピボット】事業所売上!$A$3,"年月",AA$1,"事業所",$A61),0)</f>
        <v>782660</v>
      </c>
      <c r="AB61" s="423">
        <f>IFERROR(GETPIVOTDATA("合計 / " &amp; $B61,【ピボット】事業所売上!$A$3,"年月",AB$1,"事業所",$A61),0)</f>
        <v>778420</v>
      </c>
      <c r="AC61" s="431">
        <f t="shared" si="29"/>
        <v>9333117</v>
      </c>
      <c r="AD61" s="431">
        <f t="shared" si="30"/>
        <v>777759.75</v>
      </c>
    </row>
    <row r="62" spans="1:30" ht="19.5" customHeight="1" x14ac:dyDescent="0.15">
      <c r="A62" t="s">
        <v>784</v>
      </c>
      <c r="C62" s="109"/>
      <c r="D62" s="112" t="str">
        <f>C58 &amp; "売上合計"</f>
        <v>二日市場売上合計</v>
      </c>
      <c r="E62" s="425">
        <f t="shared" ref="E62:K62" si="35">SUM(E58:E61)</f>
        <v>2948346</v>
      </c>
      <c r="F62" s="425">
        <f t="shared" si="35"/>
        <v>2893429</v>
      </c>
      <c r="G62" s="425">
        <f t="shared" si="35"/>
        <v>3184472</v>
      </c>
      <c r="H62" s="425">
        <f t="shared" si="35"/>
        <v>3124894</v>
      </c>
      <c r="I62" s="425">
        <f t="shared" si="35"/>
        <v>3081346</v>
      </c>
      <c r="J62" s="425">
        <f t="shared" si="35"/>
        <v>2989139</v>
      </c>
      <c r="K62" s="425">
        <f t="shared" si="35"/>
        <v>2574677</v>
      </c>
      <c r="L62" s="425">
        <f t="shared" ref="L62:AB62" si="36">SUM(L58:L61)</f>
        <v>2853536</v>
      </c>
      <c r="M62" s="425">
        <f t="shared" si="36"/>
        <v>2617181</v>
      </c>
      <c r="N62" s="425">
        <f t="shared" si="36"/>
        <v>3057960</v>
      </c>
      <c r="O62" s="425">
        <f t="shared" si="36"/>
        <v>3155369</v>
      </c>
      <c r="P62" s="425">
        <f t="shared" si="36"/>
        <v>3085242</v>
      </c>
      <c r="Q62" s="425">
        <f t="shared" si="36"/>
        <v>3021707</v>
      </c>
      <c r="R62" s="425">
        <f t="shared" si="36"/>
        <v>2692178</v>
      </c>
      <c r="S62" s="425">
        <f t="shared" si="36"/>
        <v>2546587</v>
      </c>
      <c r="T62" s="425">
        <f t="shared" si="36"/>
        <v>2538162</v>
      </c>
      <c r="U62" s="425">
        <f t="shared" si="36"/>
        <v>2553575</v>
      </c>
      <c r="V62" s="425">
        <f t="shared" si="36"/>
        <v>2458576</v>
      </c>
      <c r="W62" s="425">
        <f t="shared" si="36"/>
        <v>2605898</v>
      </c>
      <c r="X62" s="425">
        <f t="shared" si="36"/>
        <v>2606315</v>
      </c>
      <c r="Y62" s="425">
        <f t="shared" si="36"/>
        <v>2627069</v>
      </c>
      <c r="Z62" s="425">
        <f t="shared" si="36"/>
        <v>2515123</v>
      </c>
      <c r="AA62" s="425">
        <f t="shared" si="36"/>
        <v>2498262</v>
      </c>
      <c r="AB62" s="425">
        <f t="shared" si="36"/>
        <v>2462469</v>
      </c>
      <c r="AC62" s="426">
        <f t="shared" si="29"/>
        <v>31125921</v>
      </c>
      <c r="AD62" s="426">
        <f t="shared" si="30"/>
        <v>2593826.75</v>
      </c>
    </row>
    <row r="63" spans="1:30" ht="19.5" customHeight="1" x14ac:dyDescent="0.15">
      <c r="A63" t="s">
        <v>784</v>
      </c>
      <c r="B63" t="s">
        <v>15</v>
      </c>
      <c r="C63" s="109"/>
      <c r="D63" s="68" t="s">
        <v>129</v>
      </c>
      <c r="E63" s="423">
        <f>IFERROR(GETPIVOTDATA("合計 / " &amp; $B63,【ピボット】事業所収支!$A$3,"年月",E$1,"事業所",$A63),0)</f>
        <v>1390513</v>
      </c>
      <c r="F63" s="423">
        <f>IFERROR(GETPIVOTDATA("合計 / " &amp; $B63,【ピボット】事業所収支!$A$3,"年月",F$1,"事業所",$A63),0)</f>
        <v>1590430</v>
      </c>
      <c r="G63" s="423">
        <f>IFERROR(GETPIVOTDATA("合計 / " &amp; $B63,【ピボット】事業所収支!$A$3,"年月",G$1,"事業所",$A63),0)</f>
        <v>1701691</v>
      </c>
      <c r="H63" s="423">
        <f>IFERROR(GETPIVOTDATA("合計 / " &amp; $B63,【ピボット】事業所収支!$A$3,"年月",H$1,"事業所",$A63),0)</f>
        <v>1749915</v>
      </c>
      <c r="I63" s="423">
        <f>IFERROR(GETPIVOTDATA("合計 / " &amp; $B63,【ピボット】事業所収支!$A$3,"年月",I$1,"事業所",$A63),0)</f>
        <v>1657682</v>
      </c>
      <c r="J63" s="423">
        <f>IFERROR(GETPIVOTDATA("合計 / " &amp; $B63,【ピボット】事業所収支!$A$3,"年月",J$1,"事業所",$A63),0)</f>
        <v>1844386</v>
      </c>
      <c r="K63" s="423">
        <f>IFERROR(GETPIVOTDATA("合計 / " &amp; $B63,【ピボット】事業所収支!$A$3,"年月",K$1,"事業所",$A63),0)</f>
        <v>1778292</v>
      </c>
      <c r="L63" s="423">
        <f>IFERROR(GETPIVOTDATA("合計 / " &amp; $B63,【ピボット】事業所収支!$A$3,"年月",L$1,"事業所",$A63),0)</f>
        <v>2331206.8134925622</v>
      </c>
      <c r="M63" s="423">
        <f>IFERROR(GETPIVOTDATA("合計 / " &amp; $B63,【ピボット】事業所収支!$A$3,"年月",M$1,"事業所",$A63),0)</f>
        <v>2142868</v>
      </c>
      <c r="N63" s="423">
        <f>IFERROR(GETPIVOTDATA("合計 / " &amp; $B63,【ピボット】事業所収支!$A$3,"年月",N$1,"事業所",$A63),0)</f>
        <v>1544400</v>
      </c>
      <c r="O63" s="423">
        <f>IFERROR(GETPIVOTDATA("合計 / " &amp; $B63,【ピボット】事業所収支!$A$3,"年月",O$1,"事業所",$A63),0)</f>
        <v>1713633</v>
      </c>
      <c r="P63" s="423">
        <f>IFERROR(GETPIVOTDATA("合計 / " &amp; $B63,【ピボット】事業所収支!$A$3,"年月",P$1,"事業所",$A63),0)</f>
        <v>1717258</v>
      </c>
      <c r="Q63" s="423">
        <f>IFERROR(GETPIVOTDATA("合計 / " &amp; $B63,【ピボット】事業所収支!$A$3,"年月",Q$1,"事業所",$A63),0)</f>
        <v>1591339</v>
      </c>
      <c r="R63" s="423">
        <f>IFERROR(GETPIVOTDATA("合計 / " &amp; $B63,【ピボット】事業所収支!$A$3,"年月",R$1,"事業所",$A63),0)</f>
        <v>2098226</v>
      </c>
      <c r="S63" s="423">
        <f>IFERROR(GETPIVOTDATA("合計 / " &amp; $B63,【ピボット】事業所収支!$A$3,"年月",S$1,"事業所",$A63),0)</f>
        <v>2002252</v>
      </c>
      <c r="T63" s="423">
        <f>IFERROR(GETPIVOTDATA("合計 / " &amp; $B63,【ピボット】事業所収支!$A$3,"年月",T$1,"事業所",$A63),0)</f>
        <v>1812806</v>
      </c>
      <c r="U63" s="423">
        <f>IFERROR(GETPIVOTDATA("合計 / " &amp; $B63,【ピボット】事業所収支!$A$3,"年月",U$1,"事業所",$A63),0)</f>
        <v>1316645</v>
      </c>
      <c r="V63" s="423">
        <f>IFERROR(GETPIVOTDATA("合計 / " &amp; $B63,【ピボット】事業所収支!$A$3,"年月",V$1,"事業所",$A63),0)</f>
        <v>1375936</v>
      </c>
      <c r="W63" s="423">
        <f>IFERROR(GETPIVOTDATA("合計 / " &amp; $B63,【ピボット】事業所収支!$A$3,"年月",W$1,"事業所",$A63),0)</f>
        <v>1428141</v>
      </c>
      <c r="X63" s="423">
        <f>IFERROR(GETPIVOTDATA("合計 / " &amp; $B63,【ピボット】事業所収支!$A$3,"年月",X$1,"事業所",$A63),0)</f>
        <v>1812297</v>
      </c>
      <c r="Y63" s="423">
        <f>IFERROR(GETPIVOTDATA("合計 / " &amp; $B63,【ピボット】事業所収支!$A$3,"年月",Y$1,"事業所",$A63),0)</f>
        <v>1470264</v>
      </c>
      <c r="Z63" s="423">
        <f>IFERROR(GETPIVOTDATA("合計 / " &amp; $B63,【ピボット】事業所収支!$A$3,"年月",Z$1,"事業所",$A63),0)</f>
        <v>1322966</v>
      </c>
      <c r="AA63" s="423">
        <f>IFERROR(GETPIVOTDATA("合計 / " &amp; $B63,【ピボット】事業所収支!$A$3,"年月",AA$1,"事業所",$A63),0)</f>
        <v>1377986</v>
      </c>
      <c r="AB63" s="423">
        <f>IFERROR(GETPIVOTDATA("合計 / " &amp; $B63,【ピボット】事業所収支!$A$3,"年月",AB$1,"事業所",$A63),0)</f>
        <v>1430079</v>
      </c>
      <c r="AC63" s="424">
        <f t="shared" si="29"/>
        <v>19038937</v>
      </c>
      <c r="AD63" s="424">
        <f t="shared" si="30"/>
        <v>1586578.0833333333</v>
      </c>
    </row>
    <row r="64" spans="1:30" ht="19.5" customHeight="1" x14ac:dyDescent="0.15">
      <c r="A64" t="s">
        <v>809</v>
      </c>
      <c r="B64" t="s">
        <v>1232</v>
      </c>
      <c r="C64" s="109"/>
      <c r="D64" s="68" t="s">
        <v>130</v>
      </c>
      <c r="E64" s="423">
        <f>IFERROR(GETPIVOTDATA("合計 / " &amp; $B64,【ピボット】事業所収支!$A$3,"年月",E$1,"事業所",$A64),0)</f>
        <v>678719</v>
      </c>
      <c r="F64" s="423">
        <f>IFERROR(GETPIVOTDATA("合計 / " &amp; $B64,【ピボット】事業所収支!$A$3,"年月",F$1,"事業所",$A64),0)</f>
        <v>716850</v>
      </c>
      <c r="G64" s="423">
        <f>IFERROR(GETPIVOTDATA("合計 / " &amp; $B64,【ピボット】事業所収支!$A$3,"年月",G$1,"事業所",$A64),0)</f>
        <v>312799</v>
      </c>
      <c r="H64" s="423">
        <f>IFERROR(GETPIVOTDATA("合計 / " &amp; $B64,【ピボット】事業所収支!$A$3,"年月",H$1,"事業所",$A64),0)</f>
        <v>340117</v>
      </c>
      <c r="I64" s="423">
        <f>IFERROR(GETPIVOTDATA("合計 / " &amp; $B64,【ピボット】事業所収支!$A$3,"年月",I$1,"事業所",$A64),0)</f>
        <v>521873</v>
      </c>
      <c r="J64" s="423">
        <f>IFERROR(GETPIVOTDATA("合計 / " &amp; $B64,【ピボット】事業所収支!$A$3,"年月",J$1,"事業所",$A64),0)</f>
        <v>346984</v>
      </c>
      <c r="K64" s="423">
        <f>IFERROR(GETPIVOTDATA("合計 / " &amp; $B64,【ピボット】事業所収支!$A$3,"年月",K$1,"事業所",$A64),0)</f>
        <v>604342</v>
      </c>
      <c r="L64" s="423">
        <f>IFERROR(GETPIVOTDATA("合計 / " &amp; $B64,【ピボット】事業所収支!$A$3,"年月",L$1,"事業所",$A64),0)</f>
        <v>582653</v>
      </c>
      <c r="M64" s="423">
        <f>IFERROR(GETPIVOTDATA("合計 / " &amp; $B64,【ピボット】事業所収支!$A$3,"年月",M$1,"事業所",$A64),0)</f>
        <v>573594</v>
      </c>
      <c r="N64" s="423">
        <f>IFERROR(GETPIVOTDATA("合計 / " &amp; $B64,【ピボット】事業所収支!$A$3,"年月",N$1,"事業所",$A64),0)</f>
        <v>616591</v>
      </c>
      <c r="O64" s="423">
        <f>IFERROR(GETPIVOTDATA("合計 / " &amp; $B64,【ピボット】事業所収支!$A$3,"年月",O$1,"事業所",$A64),0)</f>
        <v>684050</v>
      </c>
      <c r="P64" s="423">
        <f>IFERROR(GETPIVOTDATA("合計 / " &amp; $B64,【ピボット】事業所収支!$A$3,"年月",P$1,"事業所",$A64),0)</f>
        <v>706946</v>
      </c>
      <c r="Q64" s="423">
        <f>IFERROR(GETPIVOTDATA("合計 / " &amp; $B64,【ピボット】事業所収支!$A$3,"年月",Q$1,"事業所",$A64),0)</f>
        <v>727124</v>
      </c>
      <c r="R64" s="423">
        <f>IFERROR(GETPIVOTDATA("合計 / " &amp; $B64,【ピボット】事業所収支!$A$3,"年月",R$1,"事業所",$A64),0)</f>
        <v>683680</v>
      </c>
      <c r="S64" s="423">
        <f>IFERROR(GETPIVOTDATA("合計 / " &amp; $B64,【ピボット】事業所収支!$A$3,"年月",S$1,"事業所",$A64),0)</f>
        <v>678728</v>
      </c>
      <c r="T64" s="423">
        <f>IFERROR(GETPIVOTDATA("合計 / " &amp; $B64,【ピボット】事業所収支!$A$3,"年月",T$1,"事業所",$A64),0)</f>
        <v>942554</v>
      </c>
      <c r="U64" s="423">
        <f>IFERROR(GETPIVOTDATA("合計 / " &amp; $B64,【ピボット】事業所収支!$A$3,"年月",U$1,"事業所",$A64),0)</f>
        <v>309334</v>
      </c>
      <c r="V64" s="423">
        <f>IFERROR(GETPIVOTDATA("合計 / " &amp; $B64,【ピボット】事業所収支!$A$3,"年月",V$1,"事業所",$A64),0)</f>
        <v>691457</v>
      </c>
      <c r="W64" s="423">
        <f>IFERROR(GETPIVOTDATA("合計 / " &amp; $B64,【ピボット】事業所収支!$A$3,"年月",W$1,"事業所",$A64),0)</f>
        <v>568580</v>
      </c>
      <c r="X64" s="423">
        <f>IFERROR(GETPIVOTDATA("合計 / " &amp; $B64,【ピボット】事業所収支!$A$3,"年月",X$1,"事業所",$A64),0)</f>
        <v>547437</v>
      </c>
      <c r="Y64" s="423">
        <f>IFERROR(GETPIVOTDATA("合計 / " &amp; $B64,【ピボット】事業所収支!$A$3,"年月",Y$1,"事業所",$A64),0)</f>
        <v>648199</v>
      </c>
      <c r="Z64" s="423">
        <f>IFERROR(GETPIVOTDATA("合計 / " &amp; $B64,【ピボット】事業所収支!$A$3,"年月",Z$1,"事業所",$A64),0)</f>
        <v>588210</v>
      </c>
      <c r="AA64" s="423">
        <f>IFERROR(GETPIVOTDATA("合計 / " &amp; $B64,【ピボット】事業所収支!$A$3,"年月",AA$1,"事業所",$A64),0)</f>
        <v>778041</v>
      </c>
      <c r="AB64" s="423">
        <f>IFERROR(GETPIVOTDATA("合計 / " &amp; $B64,【ピボット】事業所収支!$A$3,"年月",AB$1,"事業所",$A64),0)</f>
        <v>601669</v>
      </c>
      <c r="AC64" s="424">
        <f t="shared" si="29"/>
        <v>7765013</v>
      </c>
      <c r="AD64" s="424">
        <f t="shared" si="30"/>
        <v>647084.41666666663</v>
      </c>
    </row>
    <row r="65" spans="1:30" ht="19.5" customHeight="1" thickBot="1" x14ac:dyDescent="0.2">
      <c r="C65" s="110"/>
      <c r="D65" s="113" t="s">
        <v>138</v>
      </c>
      <c r="E65" s="427">
        <f t="shared" ref="E65:K65" si="37">SUM(E62)-SUM(E63:E64)</f>
        <v>879114</v>
      </c>
      <c r="F65" s="427">
        <f t="shared" si="37"/>
        <v>586149</v>
      </c>
      <c r="G65" s="427">
        <f t="shared" si="37"/>
        <v>1169982</v>
      </c>
      <c r="H65" s="427">
        <f t="shared" si="37"/>
        <v>1034862</v>
      </c>
      <c r="I65" s="427">
        <f t="shared" si="37"/>
        <v>901791</v>
      </c>
      <c r="J65" s="427">
        <f t="shared" si="37"/>
        <v>797769</v>
      </c>
      <c r="K65" s="427">
        <f t="shared" si="37"/>
        <v>192043</v>
      </c>
      <c r="L65" s="427">
        <f t="shared" ref="L65:AB65" si="38">SUM(L62)-SUM(L63:L64)</f>
        <v>-60323.813492562156</v>
      </c>
      <c r="M65" s="427">
        <f t="shared" si="38"/>
        <v>-99281</v>
      </c>
      <c r="N65" s="427">
        <f t="shared" si="38"/>
        <v>896969</v>
      </c>
      <c r="O65" s="427">
        <f t="shared" si="38"/>
        <v>757686</v>
      </c>
      <c r="P65" s="427">
        <f t="shared" si="38"/>
        <v>661038</v>
      </c>
      <c r="Q65" s="427">
        <f t="shared" si="38"/>
        <v>703244</v>
      </c>
      <c r="R65" s="427">
        <f t="shared" si="38"/>
        <v>-89728</v>
      </c>
      <c r="S65" s="427">
        <f t="shared" si="38"/>
        <v>-134393</v>
      </c>
      <c r="T65" s="427">
        <f t="shared" si="38"/>
        <v>-217198</v>
      </c>
      <c r="U65" s="427">
        <f t="shared" si="38"/>
        <v>927596</v>
      </c>
      <c r="V65" s="427">
        <f t="shared" si="38"/>
        <v>391183</v>
      </c>
      <c r="W65" s="427">
        <f t="shared" si="38"/>
        <v>609177</v>
      </c>
      <c r="X65" s="427">
        <f t="shared" si="38"/>
        <v>246581</v>
      </c>
      <c r="Y65" s="427">
        <f t="shared" si="38"/>
        <v>508606</v>
      </c>
      <c r="Z65" s="427">
        <f t="shared" si="38"/>
        <v>603947</v>
      </c>
      <c r="AA65" s="427">
        <f t="shared" si="38"/>
        <v>342235</v>
      </c>
      <c r="AB65" s="427">
        <f t="shared" si="38"/>
        <v>430721</v>
      </c>
      <c r="AC65" s="428">
        <f t="shared" si="29"/>
        <v>4321971</v>
      </c>
      <c r="AD65" s="428">
        <f t="shared" si="30"/>
        <v>360164.25</v>
      </c>
    </row>
    <row r="66" spans="1:30" ht="19.5" hidden="1" customHeight="1" x14ac:dyDescent="0.15">
      <c r="A66" t="s">
        <v>57</v>
      </c>
      <c r="B66" t="s">
        <v>860</v>
      </c>
      <c r="C66" s="108" t="s">
        <v>57</v>
      </c>
      <c r="D66" s="69" t="s">
        <v>126</v>
      </c>
      <c r="E66" s="421">
        <f>IFERROR(GETPIVOTDATA("合計 / " &amp; $B66,【ピボット】国保連売上!$A$3,"年月",E$1,"事業所",$A66,"請求区分","単月"),0)</f>
        <v>421867</v>
      </c>
      <c r="F66" s="421">
        <f>IFERROR(GETPIVOTDATA("合計 / " &amp; $B66,【ピボット】国保連売上!$A$3,"年月",F$1,"事業所",$A66,"請求区分","単月"),0)</f>
        <v>0</v>
      </c>
      <c r="G66" s="421">
        <f>IFERROR(GETPIVOTDATA("合計 / " &amp; $B66,【ピボット】国保連売上!$A$3,"年月",G$1,"事業所",$A66,"請求区分","単月"),0)</f>
        <v>0</v>
      </c>
      <c r="H66" s="421">
        <f>IFERROR(GETPIVOTDATA("合計 / " &amp; $B66,【ピボット】国保連売上!$A$3,"年月",H$1,"事業所",$A66,"請求区分","単月"),0)</f>
        <v>0</v>
      </c>
      <c r="I66" s="421">
        <f>IFERROR(GETPIVOTDATA("合計 / " &amp; $B66,【ピボット】国保連売上!$A$3,"年月",I$1,"事業所",$A66,"請求区分","単月"),0)</f>
        <v>0</v>
      </c>
      <c r="J66" s="421">
        <f>IFERROR(GETPIVOTDATA("合計 / " &amp; $B66,【ピボット】国保連売上!$A$3,"年月",J$1,"事業所",$A66,"請求区分","単月"),0)</f>
        <v>0</v>
      </c>
      <c r="K66" s="421">
        <f>IFERROR(GETPIVOTDATA("合計 / " &amp; $B66,【ピボット】国保連売上!$A$3,"年月",K$1,"事業所",$A66,"請求区分","単月"),0)</f>
        <v>0</v>
      </c>
      <c r="L66" s="421">
        <f>IFERROR(GETPIVOTDATA("合計 / " &amp; $B66,【ピボット】国保連売上!$A$3,"年月",L$1,"事業所",$A66,"請求区分","単月"),0)</f>
        <v>0</v>
      </c>
      <c r="M66" s="421">
        <f>IFERROR(GETPIVOTDATA("合計 / " &amp; $B66,【ピボット】国保連売上!$A$3,"年月",M$1,"事業所",$A66,"請求区分","単月"),0)</f>
        <v>0</v>
      </c>
      <c r="N66" s="421">
        <f>IFERROR(GETPIVOTDATA("合計 / " &amp; $B66,【ピボット】国保連売上!$A$3,"年月",N$1,"事業所",$A66,"請求区分","単月"),0)</f>
        <v>0</v>
      </c>
      <c r="O66" s="421">
        <f>IFERROR(GETPIVOTDATA("合計 / " &amp; $B66,【ピボット】国保連売上!$A$3,"年月",O$1,"事業所",$A66,"請求区分","単月"),0)</f>
        <v>0</v>
      </c>
      <c r="P66" s="421">
        <f>IFERROR(GETPIVOTDATA("合計 / " &amp; $B66,【ピボット】国保連売上!$A$3,"年月",P$1,"事業所",$A66,"請求区分","単月"),0)</f>
        <v>0</v>
      </c>
      <c r="Q66" s="421">
        <f>IFERROR(GETPIVOTDATA("合計 / " &amp; $B66,【ピボット】国保連売上!$A$3,"年月",Q$1,"事業所",$A66,"請求区分","単月"),0)</f>
        <v>0</v>
      </c>
      <c r="R66" s="421">
        <f>IFERROR(GETPIVOTDATA("合計 / " &amp; $B66,【ピボット】国保連売上!$A$3,"年月",R$1,"事業所",$A66,"請求区分","単月"),0)</f>
        <v>0</v>
      </c>
      <c r="S66" s="421">
        <f>IFERROR(GETPIVOTDATA("合計 / " &amp; $B66,【ピボット】国保連売上!$A$3,"年月",S$1,"事業所",$A66,"請求区分","単月"),0)</f>
        <v>0</v>
      </c>
      <c r="T66" s="421">
        <f>IFERROR(GETPIVOTDATA("合計 / " &amp; $B66,【ピボット】国保連売上!$A$3,"年月",T$1,"事業所",$A66,"請求区分","単月"),0)</f>
        <v>0</v>
      </c>
      <c r="U66" s="421">
        <f>IFERROR(GETPIVOTDATA("合計 / " &amp; $B66,【ピボット】国保連売上!$A$3,"年月",U$1,"事業所",$A66,"請求区分","単月"),0)</f>
        <v>0</v>
      </c>
      <c r="V66" s="421">
        <f>IFERROR(GETPIVOTDATA("合計 / " &amp; $B66,【ピボット】国保連売上!$A$3,"年月",V$1,"事業所",$A66,"請求区分","単月"),0)</f>
        <v>0</v>
      </c>
      <c r="W66" s="421">
        <f>IFERROR(GETPIVOTDATA("合計 / " &amp; $B66,【ピボット】国保連売上!$A$3,"年月",W$1,"事業所",$A66,"請求区分","単月"),0)</f>
        <v>0</v>
      </c>
      <c r="X66" s="421">
        <f>IFERROR(GETPIVOTDATA("合計 / " &amp; $B66,【ピボット】国保連売上!$A$3,"年月",X$1,"事業所",$A66,"請求区分","単月"),0)</f>
        <v>0</v>
      </c>
      <c r="Y66" s="421">
        <f>IFERROR(GETPIVOTDATA("合計 / " &amp; $B66,【ピボット】国保連売上!$A$3,"年月",Y$1,"事業所",$A66,"請求区分","単月"),0)</f>
        <v>0</v>
      </c>
      <c r="Z66" s="421">
        <f>IFERROR(GETPIVOTDATA("合計 / " &amp; $B66,【ピボット】国保連売上!$A$3,"年月",Z$1,"事業所",$A66,"請求区分","単月"),0)</f>
        <v>0</v>
      </c>
      <c r="AA66" s="421">
        <f>IFERROR(GETPIVOTDATA("合計 / " &amp; $B66,【ピボット】国保連売上!$A$3,"年月",AA$1,"事業所",$A66,"請求区分","単月"),0)</f>
        <v>0</v>
      </c>
      <c r="AB66" s="419">
        <f>IFERROR(GETPIVOTDATA("合計 / " &amp; $B66,【ピボット】国保連売上!$A$3,"年月",AB$1,"事業所",$A66,"請求区分","単月"),0)</f>
        <v>0</v>
      </c>
      <c r="AC66" s="422">
        <f t="shared" si="29"/>
        <v>0</v>
      </c>
      <c r="AD66" s="422">
        <f t="shared" si="30"/>
        <v>0</v>
      </c>
    </row>
    <row r="67" spans="1:30" ht="19.5" hidden="1" customHeight="1" x14ac:dyDescent="0.15">
      <c r="A67" t="s">
        <v>57</v>
      </c>
      <c r="B67" t="s">
        <v>861</v>
      </c>
      <c r="C67" s="108"/>
      <c r="D67" s="69" t="s">
        <v>137</v>
      </c>
      <c r="E67" s="421">
        <f>IFERROR(GETPIVOTDATA("合計 / " &amp; $B67,【ピボット】国保連売上!$A$3,"年月",E$1,"事業所",$A67,"請求区分","単月"),0)</f>
        <v>0</v>
      </c>
      <c r="F67" s="421">
        <f>IFERROR(GETPIVOTDATA("合計 / " &amp; $B67,【ピボット】国保連売上!$A$3,"年月",F$1,"事業所",$A67,"請求区分","単月"),0)</f>
        <v>0</v>
      </c>
      <c r="G67" s="421">
        <f>IFERROR(GETPIVOTDATA("合計 / " &amp; $B67,【ピボット】国保連売上!$A$3,"年月",G$1,"事業所",$A67,"請求区分","単月"),0)</f>
        <v>0</v>
      </c>
      <c r="H67" s="421">
        <f>IFERROR(GETPIVOTDATA("合計 / " &amp; $B67,【ピボット】国保連売上!$A$3,"年月",H$1,"事業所",$A67,"請求区分","単月"),0)</f>
        <v>0</v>
      </c>
      <c r="I67" s="421">
        <f>IFERROR(GETPIVOTDATA("合計 / " &amp; $B67,【ピボット】国保連売上!$A$3,"年月",I$1,"事業所",$A67,"請求区分","単月"),0)</f>
        <v>0</v>
      </c>
      <c r="J67" s="421">
        <f>IFERROR(GETPIVOTDATA("合計 / " &amp; $B67,【ピボット】国保連売上!$A$3,"年月",J$1,"事業所",$A67,"請求区分","単月"),0)</f>
        <v>0</v>
      </c>
      <c r="K67" s="421">
        <f>IFERROR(GETPIVOTDATA("合計 / " &amp; $B67,【ピボット】国保連売上!$A$3,"年月",K$1,"事業所",$A67,"請求区分","単月"),0)</f>
        <v>0</v>
      </c>
      <c r="L67" s="421">
        <f>IFERROR(GETPIVOTDATA("合計 / " &amp; $B67,【ピボット】国保連売上!$A$3,"年月",L$1,"事業所",$A67,"請求区分","単月"),0)</f>
        <v>0</v>
      </c>
      <c r="M67" s="421">
        <f>IFERROR(GETPIVOTDATA("合計 / " &amp; $B67,【ピボット】国保連売上!$A$3,"年月",M$1,"事業所",$A67,"請求区分","単月"),0)</f>
        <v>0</v>
      </c>
      <c r="N67" s="421">
        <f>IFERROR(GETPIVOTDATA("合計 / " &amp; $B67,【ピボット】国保連売上!$A$3,"年月",N$1,"事業所",$A67,"請求区分","単月"),0)</f>
        <v>0</v>
      </c>
      <c r="O67" s="421">
        <f>IFERROR(GETPIVOTDATA("合計 / " &amp; $B67,【ピボット】国保連売上!$A$3,"年月",O$1,"事業所",$A67,"請求区分","単月"),0)</f>
        <v>0</v>
      </c>
      <c r="P67" s="421">
        <f>IFERROR(GETPIVOTDATA("合計 / " &amp; $B67,【ピボット】国保連売上!$A$3,"年月",P$1,"事業所",$A67,"請求区分","単月"),0)</f>
        <v>0</v>
      </c>
      <c r="Q67" s="421">
        <f>IFERROR(GETPIVOTDATA("合計 / " &amp; $B67,【ピボット】国保連売上!$A$3,"年月",Q$1,"事業所",$A67,"請求区分","単月"),0)</f>
        <v>0</v>
      </c>
      <c r="R67" s="421">
        <f>IFERROR(GETPIVOTDATA("合計 / " &amp; $B67,【ピボット】国保連売上!$A$3,"年月",R$1,"事業所",$A67,"請求区分","単月"),0)</f>
        <v>0</v>
      </c>
      <c r="S67" s="421">
        <f>IFERROR(GETPIVOTDATA("合計 / " &amp; $B67,【ピボット】国保連売上!$A$3,"年月",S$1,"事業所",$A67,"請求区分","単月"),0)</f>
        <v>0</v>
      </c>
      <c r="T67" s="421">
        <f>IFERROR(GETPIVOTDATA("合計 / " &amp; $B67,【ピボット】国保連売上!$A$3,"年月",T$1,"事業所",$A67,"請求区分","単月"),0)</f>
        <v>0</v>
      </c>
      <c r="U67" s="421">
        <f>IFERROR(GETPIVOTDATA("合計 / " &amp; $B67,【ピボット】国保連売上!$A$3,"年月",U$1,"事業所",$A67,"請求区分","単月"),0)</f>
        <v>0</v>
      </c>
      <c r="V67" s="421">
        <f>IFERROR(GETPIVOTDATA("合計 / " &amp; $B67,【ピボット】国保連売上!$A$3,"年月",V$1,"事業所",$A67,"請求区分","単月"),0)</f>
        <v>0</v>
      </c>
      <c r="W67" s="421">
        <f>IFERROR(GETPIVOTDATA("合計 / " &amp; $B67,【ピボット】国保連売上!$A$3,"年月",W$1,"事業所",$A67,"請求区分","単月"),0)</f>
        <v>0</v>
      </c>
      <c r="X67" s="421">
        <f>IFERROR(GETPIVOTDATA("合計 / " &amp; $B67,【ピボット】国保連売上!$A$3,"年月",X$1,"事業所",$A67,"請求区分","単月"),0)</f>
        <v>0</v>
      </c>
      <c r="Y67" s="421">
        <f>IFERROR(GETPIVOTDATA("合計 / " &amp; $B67,【ピボット】国保連売上!$A$3,"年月",Y$1,"事業所",$A67,"請求区分","単月"),0)</f>
        <v>0</v>
      </c>
      <c r="Z67" s="421">
        <f>IFERROR(GETPIVOTDATA("合計 / " &amp; $B67,【ピボット】国保連売上!$A$3,"年月",Z$1,"事業所",$A67,"請求区分","単月"),0)</f>
        <v>0</v>
      </c>
      <c r="AA67" s="421">
        <f>IFERROR(GETPIVOTDATA("合計 / " &amp; $B67,【ピボット】国保連売上!$A$3,"年月",AA$1,"事業所",$A67,"請求区分","単月"),0)</f>
        <v>0</v>
      </c>
      <c r="AB67" s="421">
        <f>IFERROR(GETPIVOTDATA("合計 / " &amp; $B67,【ピボット】国保連売上!$A$3,"年月",AB$1,"事業所",$A67,"請求区分","単月"),0)</f>
        <v>0</v>
      </c>
      <c r="AC67" s="422">
        <f t="shared" si="29"/>
        <v>0</v>
      </c>
      <c r="AD67" s="422">
        <f t="shared" si="30"/>
        <v>0</v>
      </c>
    </row>
    <row r="68" spans="1:30" ht="19.5" hidden="1" customHeight="1" x14ac:dyDescent="0.15">
      <c r="A68" t="s">
        <v>57</v>
      </c>
      <c r="B68" t="s">
        <v>862</v>
      </c>
      <c r="C68" s="109"/>
      <c r="D68" s="68" t="s">
        <v>127</v>
      </c>
      <c r="E68" s="423">
        <f>IFERROR(GETPIVOTDATA("合計 / " &amp; $B68,【ピボット】国保連売上!$A$3,"年月",E$1,"事業所",$A68,"請求区分","単月"),0)</f>
        <v>0</v>
      </c>
      <c r="F68" s="423">
        <f>IFERROR(GETPIVOTDATA("合計 / " &amp; $B68,【ピボット】国保連売上!$A$3,"年月",F$1,"事業所",$A68,"請求区分","単月"),0)</f>
        <v>0</v>
      </c>
      <c r="G68" s="423">
        <f>IFERROR(GETPIVOTDATA("合計 / " &amp; $B68,【ピボット】国保連売上!$A$3,"年月",G$1,"事業所",$A68,"請求区分","単月"),0)</f>
        <v>0</v>
      </c>
      <c r="H68" s="423">
        <f>IFERROR(GETPIVOTDATA("合計 / " &amp; $B68,【ピボット】国保連売上!$A$3,"年月",H$1,"事業所",$A68,"請求区分","単月"),0)</f>
        <v>0</v>
      </c>
      <c r="I68" s="423">
        <f>IFERROR(GETPIVOTDATA("合計 / " &amp; $B68,【ピボット】国保連売上!$A$3,"年月",I$1,"事業所",$A68,"請求区分","単月"),0)</f>
        <v>0</v>
      </c>
      <c r="J68" s="423">
        <f>IFERROR(GETPIVOTDATA("合計 / " &amp; $B68,【ピボット】国保連売上!$A$3,"年月",J$1,"事業所",$A68,"請求区分","単月"),0)</f>
        <v>0</v>
      </c>
      <c r="K68" s="423">
        <f>IFERROR(GETPIVOTDATA("合計 / " &amp; $B68,【ピボット】国保連売上!$A$3,"年月",K$1,"事業所",$A68,"請求区分","単月"),0)</f>
        <v>0</v>
      </c>
      <c r="L68" s="423">
        <f>IFERROR(GETPIVOTDATA("合計 / " &amp; $B68,【ピボット】国保連売上!$A$3,"年月",L$1,"事業所",$A68,"請求区分","単月"),0)</f>
        <v>0</v>
      </c>
      <c r="M68" s="423">
        <f>IFERROR(GETPIVOTDATA("合計 / " &amp; $B68,【ピボット】国保連売上!$A$3,"年月",M$1,"事業所",$A68,"請求区分","単月"),0)</f>
        <v>0</v>
      </c>
      <c r="N68" s="423">
        <f>IFERROR(GETPIVOTDATA("合計 / " &amp; $B68,【ピボット】国保連売上!$A$3,"年月",N$1,"事業所",$A68,"請求区分","単月"),0)</f>
        <v>0</v>
      </c>
      <c r="O68" s="423">
        <f>IFERROR(GETPIVOTDATA("合計 / " &amp; $B68,【ピボット】国保連売上!$A$3,"年月",O$1,"事業所",$A68,"請求区分","単月"),0)</f>
        <v>0</v>
      </c>
      <c r="P68" s="423">
        <f>IFERROR(GETPIVOTDATA("合計 / " &amp; $B68,【ピボット】国保連売上!$A$3,"年月",P$1,"事業所",$A68,"請求区分","単月"),0)</f>
        <v>0</v>
      </c>
      <c r="Q68" s="423">
        <f>IFERROR(GETPIVOTDATA("合計 / " &amp; $B68,【ピボット】国保連売上!$A$3,"年月",Q$1,"事業所",$A68,"請求区分","単月"),0)</f>
        <v>0</v>
      </c>
      <c r="R68" s="423">
        <f>IFERROR(GETPIVOTDATA("合計 / " &amp; $B68,【ピボット】国保連売上!$A$3,"年月",R$1,"事業所",$A68,"請求区分","単月"),0)</f>
        <v>0</v>
      </c>
      <c r="S68" s="423">
        <f>IFERROR(GETPIVOTDATA("合計 / " &amp; $B68,【ピボット】国保連売上!$A$3,"年月",S$1,"事業所",$A68,"請求区分","単月"),0)</f>
        <v>0</v>
      </c>
      <c r="T68" s="423">
        <f>IFERROR(GETPIVOTDATA("合計 / " &amp; $B68,【ピボット】国保連売上!$A$3,"年月",T$1,"事業所",$A68,"請求区分","単月"),0)</f>
        <v>0</v>
      </c>
      <c r="U68" s="423">
        <f>IFERROR(GETPIVOTDATA("合計 / " &amp; $B68,【ピボット】国保連売上!$A$3,"年月",U$1,"事業所",$A68,"請求区分","単月"),0)</f>
        <v>0</v>
      </c>
      <c r="V68" s="423">
        <f>IFERROR(GETPIVOTDATA("合計 / " &amp; $B68,【ピボット】国保連売上!$A$3,"年月",V$1,"事業所",$A68,"請求区分","単月"),0)</f>
        <v>0</v>
      </c>
      <c r="W68" s="423">
        <f>IFERROR(GETPIVOTDATA("合計 / " &amp; $B68,【ピボット】国保連売上!$A$3,"年月",W$1,"事業所",$A68,"請求区分","単月"),0)</f>
        <v>0</v>
      </c>
      <c r="X68" s="423">
        <f>IFERROR(GETPIVOTDATA("合計 / " &amp; $B68,【ピボット】国保連売上!$A$3,"年月",X$1,"事業所",$A68,"請求区分","単月"),0)</f>
        <v>0</v>
      </c>
      <c r="Y68" s="423">
        <f>IFERROR(GETPIVOTDATA("合計 / " &amp; $B68,【ピボット】国保連売上!$A$3,"年月",Y$1,"事業所",$A68,"請求区分","単月"),0)</f>
        <v>0</v>
      </c>
      <c r="Z68" s="423">
        <f>IFERROR(GETPIVOTDATA("合計 / " &amp; $B68,【ピボット】国保連売上!$A$3,"年月",Z$1,"事業所",$A68,"請求区分","単月"),0)</f>
        <v>0</v>
      </c>
      <c r="AA68" s="423">
        <f>IFERROR(GETPIVOTDATA("合計 / " &amp; $B68,【ピボット】国保連売上!$A$3,"年月",AA$1,"事業所",$A68,"請求区分","単月"),0)</f>
        <v>0</v>
      </c>
      <c r="AB68" s="421">
        <f>IFERROR(GETPIVOTDATA("合計 / " &amp; $B68,【ピボット】国保連売上!$A$3,"年月",AB$1,"事業所",$A68,"請求区分","単月"),0)</f>
        <v>0</v>
      </c>
      <c r="AC68" s="424">
        <f t="shared" si="29"/>
        <v>0</v>
      </c>
      <c r="AD68" s="424">
        <f t="shared" si="30"/>
        <v>0</v>
      </c>
    </row>
    <row r="69" spans="1:30" ht="19.5" hidden="1" customHeight="1" x14ac:dyDescent="0.15">
      <c r="A69" t="s">
        <v>57</v>
      </c>
      <c r="B69" t="s">
        <v>815</v>
      </c>
      <c r="C69" s="109"/>
      <c r="D69" s="68" t="s">
        <v>128</v>
      </c>
      <c r="E69" s="423">
        <f>IFERROR(GETPIVOTDATA("合計 / " &amp; $B69,【ピボット】事業所売上!$A$3,"年月",E$1,"事業所",$A69),0)</f>
        <v>174166</v>
      </c>
      <c r="F69" s="423">
        <f>IFERROR(GETPIVOTDATA("合計 / " &amp; $B69,【ピボット】事業所売上!$A$3,"年月",F$1,"事業所",$A69),0)</f>
        <v>0</v>
      </c>
      <c r="G69" s="423">
        <f>IFERROR(GETPIVOTDATA("合計 / " &amp; $B69,【ピボット】事業所売上!$A$3,"年月",G$1,"事業所",$A69),0)</f>
        <v>0</v>
      </c>
      <c r="H69" s="423">
        <f>IFERROR(GETPIVOTDATA("合計 / " &amp; $B69,【ピボット】事業所売上!$A$3,"年月",H$1,"事業所",$A69),0)</f>
        <v>0</v>
      </c>
      <c r="I69" s="423">
        <f>IFERROR(GETPIVOTDATA("合計 / " &amp; $B69,【ピボット】事業所売上!$A$3,"年月",I$1,"事業所",$A69),0)</f>
        <v>0</v>
      </c>
      <c r="J69" s="423">
        <f>IFERROR(GETPIVOTDATA("合計 / " &amp; $B69,【ピボット】事業所売上!$A$3,"年月",J$1,"事業所",$A69),0)</f>
        <v>0</v>
      </c>
      <c r="K69" s="423">
        <f>IFERROR(GETPIVOTDATA("合計 / " &amp; $B69,【ピボット】事業所売上!$A$3,"年月",K$1,"事業所",$A69),0)</f>
        <v>0</v>
      </c>
      <c r="L69" s="423">
        <f>IFERROR(GETPIVOTDATA("合計 / " &amp; $B69,【ピボット】事業所売上!$A$3,"年月",L$1,"事業所",$A69),0)</f>
        <v>0</v>
      </c>
      <c r="M69" s="423">
        <f>IFERROR(GETPIVOTDATA("合計 / " &amp; $B69,【ピボット】事業所売上!$A$3,"年月",M$1,"事業所",$A69),0)</f>
        <v>0</v>
      </c>
      <c r="N69" s="423">
        <f>IFERROR(GETPIVOTDATA("合計 / " &amp; $B69,【ピボット】事業所売上!$A$3,"年月",N$1,"事業所",$A69),0)</f>
        <v>0</v>
      </c>
      <c r="O69" s="423">
        <f>IFERROR(GETPIVOTDATA("合計 / " &amp; $B69,【ピボット】事業所売上!$A$3,"年月",O$1,"事業所",$A69),0)</f>
        <v>0</v>
      </c>
      <c r="P69" s="423">
        <f>IFERROR(GETPIVOTDATA("合計 / " &amp; $B69,【ピボット】事業所売上!$A$3,"年月",P$1,"事業所",$A69),0)</f>
        <v>0</v>
      </c>
      <c r="Q69" s="423">
        <f>IFERROR(GETPIVOTDATA("合計 / " &amp; $B69,【ピボット】事業所売上!$A$3,"年月",Q$1,"事業所",$A69),0)</f>
        <v>0</v>
      </c>
      <c r="R69" s="423">
        <f>IFERROR(GETPIVOTDATA("合計 / " &amp; $B69,【ピボット】事業所売上!$A$3,"年月",R$1,"事業所",$A69),0)</f>
        <v>0</v>
      </c>
      <c r="S69" s="423">
        <f>IFERROR(GETPIVOTDATA("合計 / " &amp; $B69,【ピボット】事業所売上!$A$3,"年月",S$1,"事業所",$A69),0)</f>
        <v>0</v>
      </c>
      <c r="T69" s="423">
        <f>IFERROR(GETPIVOTDATA("合計 / " &amp; $B69,【ピボット】事業所売上!$A$3,"年月",T$1,"事業所",$A69),0)</f>
        <v>0</v>
      </c>
      <c r="U69" s="423">
        <f>IFERROR(GETPIVOTDATA("合計 / " &amp; $B69,【ピボット】事業所売上!$A$3,"年月",U$1,"事業所",$A69),0)</f>
        <v>0</v>
      </c>
      <c r="V69" s="423">
        <f>IFERROR(GETPIVOTDATA("合計 / " &amp; $B69,【ピボット】事業所売上!$A$3,"年月",V$1,"事業所",$A69),0)</f>
        <v>0</v>
      </c>
      <c r="W69" s="423">
        <f>IFERROR(GETPIVOTDATA("合計 / " &amp; $B69,【ピボット】事業所売上!$A$3,"年月",W$1,"事業所",$A69),0)</f>
        <v>0</v>
      </c>
      <c r="X69" s="423">
        <f>IFERROR(GETPIVOTDATA("合計 / " &amp; $B69,【ピボット】事業所売上!$A$3,"年月",X$1,"事業所",$A69),0)</f>
        <v>0</v>
      </c>
      <c r="Y69" s="423">
        <f>IFERROR(GETPIVOTDATA("合計 / " &amp; $B69,【ピボット】事業所売上!$A$3,"年月",Y$1,"事業所",$A69),0)</f>
        <v>0</v>
      </c>
      <c r="Z69" s="423">
        <f>IFERROR(GETPIVOTDATA("合計 / " &amp; $B69,【ピボット】事業所売上!$A$3,"年月",Z$1,"事業所",$A69),0)</f>
        <v>0</v>
      </c>
      <c r="AA69" s="423">
        <f>IFERROR(GETPIVOTDATA("合計 / " &amp; $B69,【ピボット】事業所売上!$A$3,"年月",AA$1,"事業所",$A69),0)</f>
        <v>0</v>
      </c>
      <c r="AB69" s="423">
        <f>IFERROR(GETPIVOTDATA("合計 / " &amp; $B69,【ピボット】事業所売上!$A$3,"年月",AB$1,"事業所",$A69),0)</f>
        <v>0</v>
      </c>
      <c r="AC69" s="424">
        <f t="shared" si="29"/>
        <v>0</v>
      </c>
      <c r="AD69" s="424">
        <f t="shared" si="30"/>
        <v>0</v>
      </c>
    </row>
    <row r="70" spans="1:30" ht="19.5" hidden="1" customHeight="1" x14ac:dyDescent="0.15">
      <c r="A70" t="s">
        <v>57</v>
      </c>
      <c r="C70" s="109"/>
      <c r="D70" s="112" t="str">
        <f>C66 &amp; "売上合計"</f>
        <v>中高根売上合計</v>
      </c>
      <c r="E70" s="425">
        <f t="shared" ref="E70:K70" si="39">SUM(E66:E69)</f>
        <v>596033</v>
      </c>
      <c r="F70" s="425">
        <f t="shared" si="39"/>
        <v>0</v>
      </c>
      <c r="G70" s="425">
        <f t="shared" si="39"/>
        <v>0</v>
      </c>
      <c r="H70" s="425">
        <f t="shared" si="39"/>
        <v>0</v>
      </c>
      <c r="I70" s="425">
        <f t="shared" si="39"/>
        <v>0</v>
      </c>
      <c r="J70" s="425">
        <f t="shared" si="39"/>
        <v>0</v>
      </c>
      <c r="K70" s="425">
        <f t="shared" si="39"/>
        <v>0</v>
      </c>
      <c r="L70" s="425">
        <f t="shared" ref="L70:AB70" si="40">SUM(L66:L69)</f>
        <v>0</v>
      </c>
      <c r="M70" s="425">
        <f t="shared" si="40"/>
        <v>0</v>
      </c>
      <c r="N70" s="425">
        <f t="shared" si="40"/>
        <v>0</v>
      </c>
      <c r="O70" s="425">
        <f t="shared" si="40"/>
        <v>0</v>
      </c>
      <c r="P70" s="425">
        <f t="shared" si="40"/>
        <v>0</v>
      </c>
      <c r="Q70" s="425">
        <f t="shared" si="40"/>
        <v>0</v>
      </c>
      <c r="R70" s="425">
        <f t="shared" si="40"/>
        <v>0</v>
      </c>
      <c r="S70" s="425">
        <f t="shared" si="40"/>
        <v>0</v>
      </c>
      <c r="T70" s="425">
        <f t="shared" si="40"/>
        <v>0</v>
      </c>
      <c r="U70" s="425">
        <f t="shared" si="40"/>
        <v>0</v>
      </c>
      <c r="V70" s="425">
        <f t="shared" si="40"/>
        <v>0</v>
      </c>
      <c r="W70" s="425">
        <f t="shared" si="40"/>
        <v>0</v>
      </c>
      <c r="X70" s="425">
        <f t="shared" si="40"/>
        <v>0</v>
      </c>
      <c r="Y70" s="425">
        <f t="shared" si="40"/>
        <v>0</v>
      </c>
      <c r="Z70" s="425">
        <f t="shared" si="40"/>
        <v>0</v>
      </c>
      <c r="AA70" s="425">
        <f t="shared" si="40"/>
        <v>0</v>
      </c>
      <c r="AB70" s="425">
        <f t="shared" si="40"/>
        <v>0</v>
      </c>
      <c r="AC70" s="426">
        <f t="shared" si="29"/>
        <v>0</v>
      </c>
      <c r="AD70" s="426">
        <f t="shared" si="30"/>
        <v>0</v>
      </c>
    </row>
    <row r="71" spans="1:30" ht="19.5" hidden="1" customHeight="1" x14ac:dyDescent="0.15">
      <c r="A71" t="s">
        <v>57</v>
      </c>
      <c r="B71" t="s">
        <v>15</v>
      </c>
      <c r="C71" s="109"/>
      <c r="D71" s="68" t="s">
        <v>129</v>
      </c>
      <c r="E71" s="423">
        <f>IFERROR(GETPIVOTDATA("合計 / " &amp; $B71,【ピボット】事業所収支!$A$3,"年月",E$1,"事業所",$A71),0)</f>
        <v>746183</v>
      </c>
      <c r="F71" s="423">
        <f>IFERROR(GETPIVOTDATA("合計 / " &amp; $B71,【ピボット】事業所収支!$A$3,"年月",F$1,"事業所",$A71),0)</f>
        <v>0</v>
      </c>
      <c r="G71" s="423">
        <f>IFERROR(GETPIVOTDATA("合計 / " &amp; $B71,【ピボット】事業所収支!$A$3,"年月",G$1,"事業所",$A71),0)</f>
        <v>0</v>
      </c>
      <c r="H71" s="423">
        <f>IFERROR(GETPIVOTDATA("合計 / " &amp; $B71,【ピボット】事業所収支!$A$3,"年月",H$1,"事業所",$A71),0)</f>
        <v>0</v>
      </c>
      <c r="I71" s="423">
        <f>IFERROR(GETPIVOTDATA("合計 / " &amp; $B71,【ピボット】事業所収支!$A$3,"年月",I$1,"事業所",$A71),0)</f>
        <v>0</v>
      </c>
      <c r="J71" s="423">
        <f>IFERROR(GETPIVOTDATA("合計 / " &amp; $B71,【ピボット】事業所収支!$A$3,"年月",J$1,"事業所",$A71),0)</f>
        <v>0</v>
      </c>
      <c r="K71" s="423">
        <f>IFERROR(GETPIVOTDATA("合計 / " &amp; $B71,【ピボット】事業所収支!$A$3,"年月",K$1,"事業所",$A71),0)</f>
        <v>0</v>
      </c>
      <c r="L71" s="423">
        <f>IFERROR(GETPIVOTDATA("合計 / " &amp; $B71,【ピボット】事業所収支!$A$3,"年月",L$1,"事業所",$A71),0)</f>
        <v>0</v>
      </c>
      <c r="M71" s="423">
        <f>IFERROR(GETPIVOTDATA("合計 / " &amp; $B71,【ピボット】事業所収支!$A$3,"年月",M$1,"事業所",$A71),0)</f>
        <v>0</v>
      </c>
      <c r="N71" s="423">
        <f>IFERROR(GETPIVOTDATA("合計 / " &amp; $B71,【ピボット】事業所収支!$A$3,"年月",N$1,"事業所",$A71),0)</f>
        <v>0</v>
      </c>
      <c r="O71" s="423">
        <f>IFERROR(GETPIVOTDATA("合計 / " &amp; $B71,【ピボット】事業所収支!$A$3,"年月",O$1,"事業所",$A71),0)</f>
        <v>0</v>
      </c>
      <c r="P71" s="423">
        <f>IFERROR(GETPIVOTDATA("合計 / " &amp; $B71,【ピボット】事業所収支!$A$3,"年月",P$1,"事業所",$A71),0)</f>
        <v>0</v>
      </c>
      <c r="Q71" s="423">
        <f>IFERROR(GETPIVOTDATA("合計 / " &amp; $B71,【ピボット】事業所収支!$A$3,"年月",Q$1,"事業所",$A71),0)</f>
        <v>0</v>
      </c>
      <c r="R71" s="423">
        <f>IFERROR(GETPIVOTDATA("合計 / " &amp; $B71,【ピボット】事業所収支!$A$3,"年月",R$1,"事業所",$A71),0)</f>
        <v>0</v>
      </c>
      <c r="S71" s="423">
        <f>IFERROR(GETPIVOTDATA("合計 / " &amp; $B71,【ピボット】事業所収支!$A$3,"年月",S$1,"事業所",$A71),0)</f>
        <v>0</v>
      </c>
      <c r="T71" s="423">
        <f>IFERROR(GETPIVOTDATA("合計 / " &amp; $B71,【ピボット】事業所収支!$A$3,"年月",T$1,"事業所",$A71),0)</f>
        <v>0</v>
      </c>
      <c r="U71" s="423">
        <f>IFERROR(GETPIVOTDATA("合計 / " &amp; $B71,【ピボット】事業所収支!$A$3,"年月",U$1,"事業所",$A71),0)</f>
        <v>0</v>
      </c>
      <c r="V71" s="423">
        <f>IFERROR(GETPIVOTDATA("合計 / " &amp; $B71,【ピボット】事業所収支!$A$3,"年月",V$1,"事業所",$A71),0)</f>
        <v>0</v>
      </c>
      <c r="W71" s="423">
        <f>IFERROR(GETPIVOTDATA("合計 / " &amp; $B71,【ピボット】事業所収支!$A$3,"年月",W$1,"事業所",$A71),0)</f>
        <v>0</v>
      </c>
      <c r="X71" s="423">
        <f>IFERROR(GETPIVOTDATA("合計 / " &amp; $B71,【ピボット】事業所収支!$A$3,"年月",X$1,"事業所",$A71),0)</f>
        <v>0</v>
      </c>
      <c r="Y71" s="423">
        <f>IFERROR(GETPIVOTDATA("合計 / " &amp; $B71,【ピボット】事業所収支!$A$3,"年月",Y$1,"事業所",$A71),0)</f>
        <v>0</v>
      </c>
      <c r="Z71" s="423">
        <f>IFERROR(GETPIVOTDATA("合計 / " &amp; $B71,【ピボット】事業所収支!$A$3,"年月",Z$1,"事業所",$A71),0)</f>
        <v>0</v>
      </c>
      <c r="AA71" s="423">
        <f>IFERROR(GETPIVOTDATA("合計 / " &amp; $B71,【ピボット】事業所収支!$A$3,"年月",AA$1,"事業所",$A71),0)</f>
        <v>0</v>
      </c>
      <c r="AB71" s="423">
        <f>IFERROR(GETPIVOTDATA("合計 / " &amp; $B71,【ピボット】事業所収支!$A$3,"年月",AB$1,"事業所",$A71),0)</f>
        <v>0</v>
      </c>
      <c r="AC71" s="424">
        <f t="shared" si="29"/>
        <v>0</v>
      </c>
      <c r="AD71" s="424">
        <f t="shared" si="30"/>
        <v>0</v>
      </c>
    </row>
    <row r="72" spans="1:30" ht="19.5" hidden="1" customHeight="1" x14ac:dyDescent="0.15">
      <c r="A72" t="s">
        <v>750</v>
      </c>
      <c r="B72" t="s">
        <v>1232</v>
      </c>
      <c r="C72" s="109"/>
      <c r="D72" s="68" t="s">
        <v>130</v>
      </c>
      <c r="E72" s="423">
        <f>IFERROR(GETPIVOTDATA("合計 / " &amp; $B72,【ピボット】事業所収支!$A$3,"年月",E$1,"事業所",$A72),0)</f>
        <v>164646</v>
      </c>
      <c r="F72" s="423">
        <f>IFERROR(GETPIVOTDATA("合計 / " &amp; $B72,【ピボット】事業所収支!$A$3,"年月",F$1,"事業所",$A72),0)</f>
        <v>54694</v>
      </c>
      <c r="G72" s="423">
        <f>IFERROR(GETPIVOTDATA("合計 / " &amp; $B72,【ピボット】事業所収支!$A$3,"年月",G$1,"事業所",$A72),0)</f>
        <v>5420</v>
      </c>
      <c r="H72" s="423">
        <f>IFERROR(GETPIVOTDATA("合計 / " &amp; $B72,【ピボット】事業所収支!$A$3,"年月",H$1,"事業所",$A72),0)</f>
        <v>2842</v>
      </c>
      <c r="I72" s="423">
        <f>IFERROR(GETPIVOTDATA("合計 / " &amp; $B72,【ピボット】事業所収支!$A$3,"年月",I$1,"事業所",$A72),0)</f>
        <v>0</v>
      </c>
      <c r="J72" s="423">
        <f>IFERROR(GETPIVOTDATA("合計 / " &amp; $B72,【ピボット】事業所収支!$A$3,"年月",J$1,"事業所",$A72),0)</f>
        <v>0</v>
      </c>
      <c r="K72" s="423">
        <f>IFERROR(GETPIVOTDATA("合計 / " &amp; $B72,【ピボット】事業所収支!$A$3,"年月",K$1,"事業所",$A72),0)</f>
        <v>0</v>
      </c>
      <c r="L72" s="423">
        <f>IFERROR(GETPIVOTDATA("合計 / " &amp; $B72,【ピボット】事業所収支!$A$3,"年月",L$1,"事業所",$A72),0)</f>
        <v>0</v>
      </c>
      <c r="M72" s="423">
        <f>IFERROR(GETPIVOTDATA("合計 / " &amp; $B72,【ピボット】事業所収支!$A$3,"年月",M$1,"事業所",$A72),0)</f>
        <v>0</v>
      </c>
      <c r="N72" s="423">
        <f>IFERROR(GETPIVOTDATA("合計 / " &amp; $B72,【ピボット】事業所収支!$A$3,"年月",N$1,"事業所",$A72),0)</f>
        <v>0</v>
      </c>
      <c r="O72" s="423">
        <f>IFERROR(GETPIVOTDATA("合計 / " &amp; $B72,【ピボット】事業所収支!$A$3,"年月",O$1,"事業所",$A72),0)</f>
        <v>0</v>
      </c>
      <c r="P72" s="423">
        <f>IFERROR(GETPIVOTDATA("合計 / " &amp; $B72,【ピボット】事業所収支!$A$3,"年月",P$1,"事業所",$A72),0)</f>
        <v>0</v>
      </c>
      <c r="Q72" s="423">
        <f>IFERROR(GETPIVOTDATA("合計 / " &amp; $B72,【ピボット】事業所収支!$A$3,"年月",Q$1,"事業所",$A72),0)</f>
        <v>0</v>
      </c>
      <c r="R72" s="423">
        <f>IFERROR(GETPIVOTDATA("合計 / " &amp; $B72,【ピボット】事業所収支!$A$3,"年月",R$1,"事業所",$A72),0)</f>
        <v>0</v>
      </c>
      <c r="S72" s="423">
        <f>IFERROR(GETPIVOTDATA("合計 / " &amp; $B72,【ピボット】事業所収支!$A$3,"年月",S$1,"事業所",$A72),0)</f>
        <v>0</v>
      </c>
      <c r="T72" s="423">
        <f>IFERROR(GETPIVOTDATA("合計 / " &amp; $B72,【ピボット】事業所収支!$A$3,"年月",T$1,"事業所",$A72),0)</f>
        <v>0</v>
      </c>
      <c r="U72" s="423">
        <f>IFERROR(GETPIVOTDATA("合計 / " &amp; $B72,【ピボット】事業所収支!$A$3,"年月",U$1,"事業所",$A72),0)</f>
        <v>0</v>
      </c>
      <c r="V72" s="423">
        <f>IFERROR(GETPIVOTDATA("合計 / " &amp; $B72,【ピボット】事業所収支!$A$3,"年月",V$1,"事業所",$A72),0)</f>
        <v>0</v>
      </c>
      <c r="W72" s="423">
        <f>IFERROR(GETPIVOTDATA("合計 / " &amp; $B72,【ピボット】事業所収支!$A$3,"年月",W$1,"事業所",$A72),0)</f>
        <v>0</v>
      </c>
      <c r="X72" s="423">
        <f>IFERROR(GETPIVOTDATA("合計 / " &amp; $B72,【ピボット】事業所収支!$A$3,"年月",X$1,"事業所",$A72),0)</f>
        <v>0</v>
      </c>
      <c r="Y72" s="423">
        <f>IFERROR(GETPIVOTDATA("合計 / " &amp; $B72,【ピボット】事業所収支!$A$3,"年月",Y$1,"事業所",$A72),0)</f>
        <v>0</v>
      </c>
      <c r="Z72" s="423">
        <f>IFERROR(GETPIVOTDATA("合計 / " &amp; $B72,【ピボット】事業所収支!$A$3,"年月",Z$1,"事業所",$A72),0)</f>
        <v>0</v>
      </c>
      <c r="AA72" s="423">
        <f>IFERROR(GETPIVOTDATA("合計 / " &amp; $B72,【ピボット】事業所収支!$A$3,"年月",AA$1,"事業所",$A72),0)</f>
        <v>0</v>
      </c>
      <c r="AB72" s="423">
        <f>IFERROR(GETPIVOTDATA("合計 / " &amp; $B72,【ピボット】事業所収支!$A$3,"年月",AB$1,"事業所",$A72),0)</f>
        <v>0</v>
      </c>
      <c r="AC72" s="424">
        <f t="shared" si="29"/>
        <v>0</v>
      </c>
      <c r="AD72" s="424">
        <f t="shared" si="30"/>
        <v>0</v>
      </c>
    </row>
    <row r="73" spans="1:30" ht="19.5" hidden="1" customHeight="1" thickBot="1" x14ac:dyDescent="0.2">
      <c r="C73" s="111"/>
      <c r="D73" s="113" t="s">
        <v>138</v>
      </c>
      <c r="E73" s="427">
        <f t="shared" ref="E73:K73" si="41">SUM(E70)-SUM(E71:E72)</f>
        <v>-314796</v>
      </c>
      <c r="F73" s="427">
        <f t="shared" si="41"/>
        <v>-54694</v>
      </c>
      <c r="G73" s="427">
        <f t="shared" si="41"/>
        <v>-5420</v>
      </c>
      <c r="H73" s="427">
        <f t="shared" si="41"/>
        <v>-2842</v>
      </c>
      <c r="I73" s="427">
        <f t="shared" si="41"/>
        <v>0</v>
      </c>
      <c r="J73" s="427">
        <f t="shared" si="41"/>
        <v>0</v>
      </c>
      <c r="K73" s="427">
        <f t="shared" si="41"/>
        <v>0</v>
      </c>
      <c r="L73" s="427">
        <f t="shared" ref="L73:AB73" si="42">SUM(L70)-SUM(L71:L72)</f>
        <v>0</v>
      </c>
      <c r="M73" s="427">
        <f t="shared" si="42"/>
        <v>0</v>
      </c>
      <c r="N73" s="427">
        <f t="shared" si="42"/>
        <v>0</v>
      </c>
      <c r="O73" s="427">
        <f t="shared" si="42"/>
        <v>0</v>
      </c>
      <c r="P73" s="427">
        <f t="shared" si="42"/>
        <v>0</v>
      </c>
      <c r="Q73" s="427">
        <f t="shared" si="42"/>
        <v>0</v>
      </c>
      <c r="R73" s="427">
        <f t="shared" si="42"/>
        <v>0</v>
      </c>
      <c r="S73" s="427">
        <f t="shared" si="42"/>
        <v>0</v>
      </c>
      <c r="T73" s="427">
        <f t="shared" si="42"/>
        <v>0</v>
      </c>
      <c r="U73" s="427">
        <f t="shared" si="42"/>
        <v>0</v>
      </c>
      <c r="V73" s="427">
        <f t="shared" si="42"/>
        <v>0</v>
      </c>
      <c r="W73" s="427">
        <f t="shared" si="42"/>
        <v>0</v>
      </c>
      <c r="X73" s="427">
        <f t="shared" si="42"/>
        <v>0</v>
      </c>
      <c r="Y73" s="427">
        <f t="shared" si="42"/>
        <v>0</v>
      </c>
      <c r="Z73" s="427">
        <f t="shared" si="42"/>
        <v>0</v>
      </c>
      <c r="AA73" s="427">
        <f t="shared" si="42"/>
        <v>0</v>
      </c>
      <c r="AB73" s="427">
        <f t="shared" si="42"/>
        <v>0</v>
      </c>
      <c r="AC73" s="428">
        <f t="shared" si="29"/>
        <v>0</v>
      </c>
      <c r="AD73" s="428">
        <f t="shared" si="30"/>
        <v>0</v>
      </c>
    </row>
    <row r="74" spans="1:30" ht="19.5" customHeight="1" x14ac:dyDescent="0.15">
      <c r="A74" t="s">
        <v>810</v>
      </c>
      <c r="B74" t="s">
        <v>860</v>
      </c>
      <c r="C74" s="107" t="s">
        <v>125</v>
      </c>
      <c r="D74" s="67" t="s">
        <v>126</v>
      </c>
      <c r="E74" s="429">
        <f>IFERROR(GETPIVOTDATA("合計 / " &amp; $B74,【ピボット】国保連売上!$A$3,"年月",E$1,"事業所",$A74,"請求区分","単月"),0)</f>
        <v>901284</v>
      </c>
      <c r="F74" s="429">
        <f>IFERROR(GETPIVOTDATA("合計 / " &amp; $B74,【ピボット】国保連売上!$A$3,"年月",F$1,"事業所",$A74,"請求区分","単月"),0)</f>
        <v>978154</v>
      </c>
      <c r="G74" s="429">
        <f>IFERROR(GETPIVOTDATA("合計 / " &amp; $B74,【ピボット】国保連売上!$A$3,"年月",G$1,"事業所",$A74,"請求区分","単月"),0)</f>
        <v>1019564</v>
      </c>
      <c r="H74" s="429">
        <f>IFERROR(GETPIVOTDATA("合計 / " &amp; $B74,【ピボット】国保連売上!$A$3,"年月",H$1,"事業所",$A74,"請求区分","単月"),0)</f>
        <v>998363</v>
      </c>
      <c r="I74" s="429">
        <f>IFERROR(GETPIVOTDATA("合計 / " &amp; $B74,【ピボット】国保連売上!$A$3,"年月",I$1,"事業所",$A74,"請求区分","単月"),0)</f>
        <v>982096</v>
      </c>
      <c r="J74" s="429">
        <f>IFERROR(GETPIVOTDATA("合計 / " &amp; $B74,【ピボット】国保連売上!$A$3,"年月",J$1,"事業所",$A74,"請求区分","単月"),0)</f>
        <v>1013496</v>
      </c>
      <c r="K74" s="429">
        <f>IFERROR(GETPIVOTDATA("合計 / " &amp; $B74,【ピボット】国保連売上!$A$3,"年月",K$1,"事業所",$A74,"請求区分","単月"),0)</f>
        <v>978313</v>
      </c>
      <c r="L74" s="429">
        <f>IFERROR(GETPIVOTDATA("合計 / " &amp; $B74,【ピボット】国保連売上!$A$3,"年月",L$1,"事業所",$A74,"請求区分","単月"),0)</f>
        <v>998248</v>
      </c>
      <c r="M74" s="429">
        <f>IFERROR(GETPIVOTDATA("合計 / " &amp; $B74,【ピボット】国保連売上!$A$3,"年月",M$1,"事業所",$A74,"請求区分","単月"),0)</f>
        <v>778040</v>
      </c>
      <c r="N74" s="429">
        <f>IFERROR(GETPIVOTDATA("合計 / " &amp; $B74,【ピボット】国保連売上!$A$3,"年月",N$1,"事業所",$A74,"請求区分","単月"),0)</f>
        <v>710413</v>
      </c>
      <c r="O74" s="429">
        <f>IFERROR(GETPIVOTDATA("合計 / " &amp; $B74,【ピボット】国保連売上!$A$3,"年月",O$1,"事業所",$A74,"請求区分","単月"),0)</f>
        <v>789390</v>
      </c>
      <c r="P74" s="429">
        <f>IFERROR(GETPIVOTDATA("合計 / " &amp; $B74,【ピボット】国保連売上!$A$3,"年月",P$1,"事業所",$A74,"請求区分","単月"),0)</f>
        <v>777456</v>
      </c>
      <c r="Q74" s="429">
        <f>IFERROR(GETPIVOTDATA("合計 / " &amp; $B74,【ピボット】国保連売上!$A$3,"年月",Q$1,"事業所",$A74,"請求区分","単月"),0)</f>
        <v>802372</v>
      </c>
      <c r="R74" s="429">
        <f>IFERROR(GETPIVOTDATA("合計 / " &amp; $B74,【ピボット】国保連売上!$A$3,"年月",R$1,"事業所",$A74,"請求区分","単月"),0)</f>
        <v>777456</v>
      </c>
      <c r="S74" s="429">
        <f>IFERROR(GETPIVOTDATA("合計 / " &amp; $B74,【ピボット】国保連売上!$A$3,"年月",S$1,"事業所",$A74,"請求区分","単月"),0)</f>
        <v>839546</v>
      </c>
      <c r="T74" s="429">
        <f>IFERROR(GETPIVOTDATA("合計 / " &amp; $B74,【ピボット】国保連売上!$A$3,"年月",T$1,"事業所",$A74,"請求区分","単月"),0)</f>
        <v>839546</v>
      </c>
      <c r="U74" s="429">
        <f>IFERROR(GETPIVOTDATA("合計 / " &amp; $B74,【ピボット】国保連売上!$A$3,"年月",U$1,"事業所",$A74,"請求区分","単月"),0)</f>
        <v>813636</v>
      </c>
      <c r="V74" s="429">
        <f>IFERROR(GETPIVOTDATA("合計 / " &amp; $B74,【ピボット】国保連売上!$A$3,"年月",V$1,"事業所",$A74,"請求区分","単月"),0)</f>
        <v>1101110</v>
      </c>
      <c r="W74" s="429">
        <f>IFERROR(GETPIVOTDATA("合計 / " &amp; $B74,【ピボット】国保連売上!$A$3,"年月",W$1,"事業所",$A74,"請求区分","単月"),0)</f>
        <v>1073137</v>
      </c>
      <c r="X74" s="429">
        <f>IFERROR(GETPIVOTDATA("合計 / " &amp; $B74,【ピボット】国保連売上!$A$3,"年月",X$1,"事業所",$A74,"請求区分","単月"),0)</f>
        <v>1107363</v>
      </c>
      <c r="Y74" s="429">
        <f>IFERROR(GETPIVOTDATA("合計 / " &amp; $B74,【ピボット】国保連売上!$A$3,"年月",Y$1,"事業所",$A74,"請求区分","単月"),0)</f>
        <v>1107363</v>
      </c>
      <c r="Z74" s="429">
        <f>IFERROR(GETPIVOTDATA("合計 / " &amp; $B74,【ピボット】国保連売上!$A$3,"年月",Z$1,"事業所",$A74,"請求区分","単月"),0)</f>
        <v>998423</v>
      </c>
      <c r="AA74" s="429">
        <f>IFERROR(GETPIVOTDATA("合計 / " &amp; $B74,【ピボット】国保連売上!$A$3,"年月",AA$1,"事業所",$A74,"請求区分","単月"),0)</f>
        <v>982644</v>
      </c>
      <c r="AB74" s="419">
        <f>IFERROR(GETPIVOTDATA("合計 / " &amp; $B74,【ピボット】国保連売上!$A$3,"年月",AB$1,"事業所",$A74,"請求区分","単月"),0)</f>
        <v>1025725</v>
      </c>
      <c r="AC74" s="420">
        <f t="shared" si="29"/>
        <v>11468321</v>
      </c>
      <c r="AD74" s="420">
        <f t="shared" si="30"/>
        <v>955693.41666666663</v>
      </c>
    </row>
    <row r="75" spans="1:30" ht="19.5" customHeight="1" x14ac:dyDescent="0.15">
      <c r="A75" t="s">
        <v>810</v>
      </c>
      <c r="B75" t="s">
        <v>861</v>
      </c>
      <c r="C75" s="108"/>
      <c r="D75" s="69" t="s">
        <v>137</v>
      </c>
      <c r="E75" s="421">
        <f>IFERROR(GETPIVOTDATA("合計 / " &amp; $B75,【ピボット】国保連売上!$A$3,"年月",E$1,"事業所",$A75,"請求区分","単月"),0)</f>
        <v>0</v>
      </c>
      <c r="F75" s="421">
        <f>IFERROR(GETPIVOTDATA("合計 / " &amp; $B75,【ピボット】国保連売上!$A$3,"年月",F$1,"事業所",$A75,"請求区分","単月"),0)</f>
        <v>0</v>
      </c>
      <c r="G75" s="421">
        <f>IFERROR(GETPIVOTDATA("合計 / " &amp; $B75,【ピボット】国保連売上!$A$3,"年月",G$1,"事業所",$A75,"請求区分","単月"),0)</f>
        <v>0</v>
      </c>
      <c r="H75" s="421">
        <f>IFERROR(GETPIVOTDATA("合計 / " &amp; $B75,【ピボット】国保連売上!$A$3,"年月",H$1,"事業所",$A75,"請求区分","単月"),0)</f>
        <v>0</v>
      </c>
      <c r="I75" s="421">
        <f>IFERROR(GETPIVOTDATA("合計 / " &amp; $B75,【ピボット】国保連売上!$A$3,"年月",I$1,"事業所",$A75,"請求区分","単月"),0)</f>
        <v>0</v>
      </c>
      <c r="J75" s="421">
        <f>IFERROR(GETPIVOTDATA("合計 / " &amp; $B75,【ピボット】国保連売上!$A$3,"年月",J$1,"事業所",$A75,"請求区分","単月"),0)</f>
        <v>0</v>
      </c>
      <c r="K75" s="421">
        <f>IFERROR(GETPIVOTDATA("合計 / " &amp; $B75,【ピボット】国保連売上!$A$3,"年月",K$1,"事業所",$A75,"請求区分","単月"),0)</f>
        <v>0</v>
      </c>
      <c r="L75" s="421">
        <f>IFERROR(GETPIVOTDATA("合計 / " &amp; $B75,【ピボット】国保連売上!$A$3,"年月",L$1,"事業所",$A75,"請求区分","単月"),0)</f>
        <v>0</v>
      </c>
      <c r="M75" s="421">
        <f>IFERROR(GETPIVOTDATA("合計 / " &amp; $B75,【ピボット】国保連売上!$A$3,"年月",M$1,"事業所",$A75,"請求区分","単月"),0)</f>
        <v>0</v>
      </c>
      <c r="N75" s="421">
        <f>IFERROR(GETPIVOTDATA("合計 / " &amp; $B75,【ピボット】国保連売上!$A$3,"年月",N$1,"事業所",$A75,"請求区分","単月"),0)</f>
        <v>0</v>
      </c>
      <c r="O75" s="421">
        <f>IFERROR(GETPIVOTDATA("合計 / " &amp; $B75,【ピボット】国保連売上!$A$3,"年月",O$1,"事業所",$A75,"請求区分","単月"),0)</f>
        <v>0</v>
      </c>
      <c r="P75" s="421">
        <f>IFERROR(GETPIVOTDATA("合計 / " &amp; $B75,【ピボット】国保連売上!$A$3,"年月",P$1,"事業所",$A75,"請求区分","単月"),0)</f>
        <v>0</v>
      </c>
      <c r="Q75" s="421">
        <f>IFERROR(GETPIVOTDATA("合計 / " &amp; $B75,【ピボット】国保連売上!$A$3,"年月",Q$1,"事業所",$A75,"請求区分","単月"),0)</f>
        <v>0</v>
      </c>
      <c r="R75" s="421">
        <f>IFERROR(GETPIVOTDATA("合計 / " &amp; $B75,【ピボット】国保連売上!$A$3,"年月",R$1,"事業所",$A75,"請求区分","単月"),0)</f>
        <v>0</v>
      </c>
      <c r="S75" s="421">
        <f>IFERROR(GETPIVOTDATA("合計 / " &amp; $B75,【ピボット】国保連売上!$A$3,"年月",S$1,"事業所",$A75,"請求区分","単月"),0)</f>
        <v>0</v>
      </c>
      <c r="T75" s="421">
        <f>IFERROR(GETPIVOTDATA("合計 / " &amp; $B75,【ピボット】国保連売上!$A$3,"年月",T$1,"事業所",$A75,"請求区分","単月"),0)</f>
        <v>0</v>
      </c>
      <c r="U75" s="421">
        <f>IFERROR(GETPIVOTDATA("合計 / " &amp; $B75,【ピボット】国保連売上!$A$3,"年月",U$1,"事業所",$A75,"請求区分","単月"),0)</f>
        <v>0</v>
      </c>
      <c r="V75" s="421">
        <f>IFERROR(GETPIVOTDATA("合計 / " &amp; $B75,【ピボット】国保連売上!$A$3,"年月",V$1,"事業所",$A75,"請求区分","単月"),0)</f>
        <v>0</v>
      </c>
      <c r="W75" s="421">
        <f>IFERROR(GETPIVOTDATA("合計 / " &amp; $B75,【ピボット】国保連売上!$A$3,"年月",W$1,"事業所",$A75,"請求区分","単月"),0)</f>
        <v>0</v>
      </c>
      <c r="X75" s="421">
        <f>IFERROR(GETPIVOTDATA("合計 / " &amp; $B75,【ピボット】国保連売上!$A$3,"年月",X$1,"事業所",$A75,"請求区分","単月"),0)</f>
        <v>0</v>
      </c>
      <c r="Y75" s="421">
        <f>IFERROR(GETPIVOTDATA("合計 / " &amp; $B75,【ピボット】国保連売上!$A$3,"年月",Y$1,"事業所",$A75,"請求区分","単月"),0)</f>
        <v>0</v>
      </c>
      <c r="Z75" s="421">
        <f>IFERROR(GETPIVOTDATA("合計 / " &amp; $B75,【ピボット】国保連売上!$A$3,"年月",Z$1,"事業所",$A75,"請求区分","単月"),0)</f>
        <v>0</v>
      </c>
      <c r="AA75" s="421">
        <f>IFERROR(GETPIVOTDATA("合計 / " &amp; $B75,【ピボット】国保連売上!$A$3,"年月",AA$1,"事業所",$A75,"請求区分","単月"),0)</f>
        <v>0</v>
      </c>
      <c r="AB75" s="421">
        <f>IFERROR(GETPIVOTDATA("合計 / " &amp; $B75,【ピボット】国保連売上!$A$3,"年月",AB$1,"事業所",$A75,"請求区分","単月"),0)</f>
        <v>0</v>
      </c>
      <c r="AC75" s="422">
        <f t="shared" si="29"/>
        <v>0</v>
      </c>
      <c r="AD75" s="422">
        <f t="shared" si="30"/>
        <v>0</v>
      </c>
    </row>
    <row r="76" spans="1:30" ht="19.5" customHeight="1" x14ac:dyDescent="0.15">
      <c r="A76" t="s">
        <v>810</v>
      </c>
      <c r="B76" t="s">
        <v>862</v>
      </c>
      <c r="C76" s="109"/>
      <c r="D76" s="68" t="s">
        <v>127</v>
      </c>
      <c r="E76" s="423">
        <f>IFERROR(GETPIVOTDATA("合計 / " &amp; $B76,【ピボット】国保連売上!$A$3,"年月",E$1,"事業所",$A76,"請求区分","単月"),0)</f>
        <v>-901284</v>
      </c>
      <c r="F76" s="423">
        <f>IFERROR(GETPIVOTDATA("合計 / " &amp; $B76,【ピボット】国保連売上!$A$3,"年月",F$1,"事業所",$A76,"請求区分","単月"),0)</f>
        <v>0</v>
      </c>
      <c r="G76" s="423">
        <f>IFERROR(GETPIVOTDATA("合計 / " &amp; $B76,【ピボット】国保連売上!$A$3,"年月",G$1,"事業所",$A76,"請求区分","単月"),0)</f>
        <v>0</v>
      </c>
      <c r="H76" s="423">
        <f>IFERROR(GETPIVOTDATA("合計 / " &amp; $B76,【ピボット】国保連売上!$A$3,"年月",H$1,"事業所",$A76,"請求区分","単月"),0)</f>
        <v>0</v>
      </c>
      <c r="I76" s="423">
        <f>IFERROR(GETPIVOTDATA("合計 / " &amp; $B76,【ピボット】国保連売上!$A$3,"年月",I$1,"事業所",$A76,"請求区分","単月"),0)</f>
        <v>0</v>
      </c>
      <c r="J76" s="423">
        <f>IFERROR(GETPIVOTDATA("合計 / " &amp; $B76,【ピボット】国保連売上!$A$3,"年月",J$1,"事業所",$A76,"請求区分","単月"),0)</f>
        <v>0</v>
      </c>
      <c r="K76" s="423">
        <f>IFERROR(GETPIVOTDATA("合計 / " &amp; $B76,【ピボット】国保連売上!$A$3,"年月",K$1,"事業所",$A76,"請求区分","単月"),0)</f>
        <v>0</v>
      </c>
      <c r="L76" s="423">
        <f>IFERROR(GETPIVOTDATA("合計 / " &amp; $B76,【ピボット】国保連売上!$A$3,"年月",L$1,"事業所",$A76,"請求区分","単月"),0)</f>
        <v>0</v>
      </c>
      <c r="M76" s="423">
        <f>IFERROR(GETPIVOTDATA("合計 / " &amp; $B76,【ピボット】国保連売上!$A$3,"年月",M$1,"事業所",$A76,"請求区分","単月"),0)</f>
        <v>0</v>
      </c>
      <c r="N76" s="423">
        <f>IFERROR(GETPIVOTDATA("合計 / " &amp; $B76,【ピボット】国保連売上!$A$3,"年月",N$1,"事業所",$A76,"請求区分","単月"),0)</f>
        <v>0</v>
      </c>
      <c r="O76" s="423">
        <f>IFERROR(GETPIVOTDATA("合計 / " &amp; $B76,【ピボット】国保連売上!$A$3,"年月",O$1,"事業所",$A76,"請求区分","単月"),0)</f>
        <v>0</v>
      </c>
      <c r="P76" s="423">
        <f>IFERROR(GETPIVOTDATA("合計 / " &amp; $B76,【ピボット】国保連売上!$A$3,"年月",P$1,"事業所",$A76,"請求区分","単月"),0)</f>
        <v>0</v>
      </c>
      <c r="Q76" s="423">
        <f>IFERROR(GETPIVOTDATA("合計 / " &amp; $B76,【ピボット】国保連売上!$A$3,"年月",Q$1,"事業所",$A76,"請求区分","単月"),0)</f>
        <v>0</v>
      </c>
      <c r="R76" s="423">
        <f>IFERROR(GETPIVOTDATA("合計 / " &amp; $B76,【ピボット】国保連売上!$A$3,"年月",R$1,"事業所",$A76,"請求区分","単月"),0)</f>
        <v>-259501</v>
      </c>
      <c r="S76" s="423">
        <f>IFERROR(GETPIVOTDATA("合計 / " &amp; $B76,【ピボット】国保連売上!$A$3,"年月",S$1,"事業所",$A76,"請求区分","単月"),0)</f>
        <v>0</v>
      </c>
      <c r="T76" s="423">
        <f>IFERROR(GETPIVOTDATA("合計 / " &amp; $B76,【ピボット】国保連売上!$A$3,"年月",T$1,"事業所",$A76,"請求区分","単月"),0)</f>
        <v>0</v>
      </c>
      <c r="U76" s="423">
        <f>IFERROR(GETPIVOTDATA("合計 / " &amp; $B76,【ピボット】国保連売上!$A$3,"年月",U$1,"事業所",$A76,"請求区分","単月"),0)</f>
        <v>0</v>
      </c>
      <c r="V76" s="423">
        <f>IFERROR(GETPIVOTDATA("合計 / " &amp; $B76,【ピボット】国保連売上!$A$3,"年月",V$1,"事業所",$A76,"請求区分","単月"),0)</f>
        <v>0</v>
      </c>
      <c r="W76" s="423">
        <f>IFERROR(GETPIVOTDATA("合計 / " &amp; $B76,【ピボット】国保連売上!$A$3,"年月",W$1,"事業所",$A76,"請求区分","単月"),0)</f>
        <v>0</v>
      </c>
      <c r="X76" s="423">
        <f>IFERROR(GETPIVOTDATA("合計 / " &amp; $B76,【ピボット】国保連売上!$A$3,"年月",X$1,"事業所",$A76,"請求区分","単月"),0)</f>
        <v>0</v>
      </c>
      <c r="Y76" s="423">
        <f>IFERROR(GETPIVOTDATA("合計 / " &amp; $B76,【ピボット】国保連売上!$A$3,"年月",Y$1,"事業所",$A76,"請求区分","単月"),0)</f>
        <v>0</v>
      </c>
      <c r="Z76" s="423">
        <f>IFERROR(GETPIVOTDATA("合計 / " &amp; $B76,【ピボット】国保連売上!$A$3,"年月",Z$1,"事業所",$A76,"請求区分","単月"),0)</f>
        <v>0</v>
      </c>
      <c r="AA76" s="423">
        <f>IFERROR(GETPIVOTDATA("合計 / " &amp; $B76,【ピボット】国保連売上!$A$3,"年月",AA$1,"事業所",$A76,"請求区分","単月"),0)</f>
        <v>0</v>
      </c>
      <c r="AB76" s="421">
        <f>IFERROR(GETPIVOTDATA("合計 / " &amp; $B76,【ピボット】国保連売上!$A$3,"年月",AB$1,"事業所",$A76,"請求区分","単月"),0)</f>
        <v>0</v>
      </c>
      <c r="AC76" s="424">
        <f t="shared" si="29"/>
        <v>-259501</v>
      </c>
      <c r="AD76" s="424">
        <f t="shared" si="30"/>
        <v>-21625.083333333332</v>
      </c>
    </row>
    <row r="77" spans="1:30" ht="19.5" customHeight="1" x14ac:dyDescent="0.15">
      <c r="A77" t="s">
        <v>810</v>
      </c>
      <c r="B77" t="s">
        <v>815</v>
      </c>
      <c r="C77" s="109"/>
      <c r="D77" s="68" t="s">
        <v>128</v>
      </c>
      <c r="E77" s="423">
        <f>IFERROR(GETPIVOTDATA("合計 / " &amp; $B77,【ピボット】事業所売上!$A$3,"年月",E$1,"事業所",$A77),0)</f>
        <v>408033</v>
      </c>
      <c r="F77" s="423">
        <f>IFERROR(GETPIVOTDATA("合計 / " &amp; $B77,【ピボット】事業所売上!$A$3,"年月",F$1,"事業所",$A77),0)</f>
        <v>48000</v>
      </c>
      <c r="G77" s="423">
        <f>IFERROR(GETPIVOTDATA("合計 / " &amp; $B77,【ピボット】事業所売上!$A$3,"年月",G$1,"事業所",$A77),0)</f>
        <v>48000</v>
      </c>
      <c r="H77" s="423">
        <f>IFERROR(GETPIVOTDATA("合計 / " &amp; $B77,【ピボット】事業所売上!$A$3,"年月",H$1,"事業所",$A77),0)</f>
        <v>38000</v>
      </c>
      <c r="I77" s="423">
        <f>IFERROR(GETPIVOTDATA("合計 / " &amp; $B77,【ピボット】事業所売上!$A$3,"年月",I$1,"事業所",$A77),0)</f>
        <v>38000</v>
      </c>
      <c r="J77" s="423">
        <f>IFERROR(GETPIVOTDATA("合計 / " &amp; $B77,【ピボット】事業所売上!$A$3,"年月",J$1,"事業所",$A77),0)</f>
        <v>38000</v>
      </c>
      <c r="K77" s="423">
        <f>IFERROR(GETPIVOTDATA("合計 / " &amp; $B77,【ピボット】事業所売上!$A$3,"年月",K$1,"事業所",$A77),0)</f>
        <v>38000</v>
      </c>
      <c r="L77" s="423">
        <f>IFERROR(GETPIVOTDATA("合計 / " &amp; $B77,【ピボット】事業所売上!$A$3,"年月",L$1,"事業所",$A77),0)</f>
        <v>38000</v>
      </c>
      <c r="M77" s="423">
        <f>IFERROR(GETPIVOTDATA("合計 / " &amp; $B77,【ピボット】事業所売上!$A$3,"年月",M$1,"事業所",$A77),0)</f>
        <v>31000</v>
      </c>
      <c r="N77" s="423">
        <f>IFERROR(GETPIVOTDATA("合計 / " &amp; $B77,【ピボット】事業所売上!$A$3,"年月",N$1,"事業所",$A77),0)</f>
        <v>31000</v>
      </c>
      <c r="O77" s="423">
        <f>IFERROR(GETPIVOTDATA("合計 / " &amp; $B77,【ピボット】事業所売上!$A$3,"年月",O$1,"事業所",$A77),0)</f>
        <v>31000</v>
      </c>
      <c r="P77" s="423">
        <f>IFERROR(GETPIVOTDATA("合計 / " &amp; $B77,【ピボット】事業所売上!$A$3,"年月",P$1,"事業所",$A77),0)</f>
        <v>82304</v>
      </c>
      <c r="Q77" s="423">
        <f>IFERROR(GETPIVOTDATA("合計 / " &amp; $B77,【ピボット】事業所売上!$A$3,"年月",Q$1,"事業所",$A77),0)</f>
        <v>564442</v>
      </c>
      <c r="R77" s="423">
        <f>IFERROR(GETPIVOTDATA("合計 / " &amp; $B77,【ピボット】事業所売上!$A$3,"年月",R$1,"事業所",$A77),0)</f>
        <v>31000</v>
      </c>
      <c r="S77" s="423">
        <f>IFERROR(GETPIVOTDATA("合計 / " &amp; $B77,【ピボット】事業所売上!$A$3,"年月",S$1,"事業所",$A77),0)</f>
        <v>31000</v>
      </c>
      <c r="T77" s="423">
        <f>IFERROR(GETPIVOTDATA("合計 / " &amp; $B77,【ピボット】事業所売上!$A$3,"年月",T$1,"事業所",$A77),0)</f>
        <v>31000</v>
      </c>
      <c r="U77" s="423">
        <f>IFERROR(GETPIVOTDATA("合計 / " &amp; $B77,【ピボット】事業所売上!$A$3,"年月",U$1,"事業所",$A77),0)</f>
        <v>48000</v>
      </c>
      <c r="V77" s="423">
        <f>IFERROR(GETPIVOTDATA("合計 / " &amp; $B77,【ピボット】事業所売上!$A$3,"年月",V$1,"事業所",$A77),0)</f>
        <v>38000</v>
      </c>
      <c r="W77" s="423">
        <f>IFERROR(GETPIVOTDATA("合計 / " &amp; $B77,【ピボット】事業所売上!$A$3,"年月",W$1,"事業所",$A77),0)</f>
        <v>61800</v>
      </c>
      <c r="X77" s="423">
        <f>IFERROR(GETPIVOTDATA("合計 / " &amp; $B77,【ピボット】事業所売上!$A$3,"年月",X$1,"事業所",$A77),0)</f>
        <v>68600</v>
      </c>
      <c r="Y77" s="423">
        <f>IFERROR(GETPIVOTDATA("合計 / " &amp; $B77,【ピボット】事業所売上!$A$3,"年月",Y$1,"事業所",$A77),0)</f>
        <v>165000</v>
      </c>
      <c r="Z77" s="423">
        <f>IFERROR(GETPIVOTDATA("合計 / " &amp; $B77,【ピボット】事業所売上!$A$3,"年月",Z$1,"事業所",$A77),0)</f>
        <v>38000</v>
      </c>
      <c r="AA77" s="423">
        <f>IFERROR(GETPIVOTDATA("合計 / " &amp; $B77,【ピボット】事業所売上!$A$3,"年月",AA$1,"事業所",$A77),0)</f>
        <v>44800</v>
      </c>
      <c r="AB77" s="423">
        <f>IFERROR(GETPIVOTDATA("合計 / " &amp; $B77,【ピボット】事業所売上!$A$3,"年月",AB$1,"事業所",$A77),0)</f>
        <v>51336</v>
      </c>
      <c r="AC77" s="424">
        <f t="shared" si="29"/>
        <v>1172978</v>
      </c>
      <c r="AD77" s="424">
        <f t="shared" si="30"/>
        <v>97748.166666666672</v>
      </c>
    </row>
    <row r="78" spans="1:30" ht="19.5" customHeight="1" x14ac:dyDescent="0.15">
      <c r="A78" t="s">
        <v>810</v>
      </c>
      <c r="C78" s="109"/>
      <c r="D78" s="112" t="str">
        <f>C74 &amp; "売上合計"</f>
        <v>ＧＨ五井売上合計</v>
      </c>
      <c r="E78" s="425">
        <f t="shared" ref="E78:K78" si="43">SUM(E74:E77)</f>
        <v>408033</v>
      </c>
      <c r="F78" s="425">
        <f t="shared" si="43"/>
        <v>1026154</v>
      </c>
      <c r="G78" s="425">
        <f t="shared" si="43"/>
        <v>1067564</v>
      </c>
      <c r="H78" s="425">
        <f t="shared" si="43"/>
        <v>1036363</v>
      </c>
      <c r="I78" s="425">
        <f t="shared" si="43"/>
        <v>1020096</v>
      </c>
      <c r="J78" s="425">
        <f t="shared" si="43"/>
        <v>1051496</v>
      </c>
      <c r="K78" s="425">
        <f t="shared" si="43"/>
        <v>1016313</v>
      </c>
      <c r="L78" s="425">
        <f t="shared" ref="L78:AB78" si="44">SUM(L74:L77)</f>
        <v>1036248</v>
      </c>
      <c r="M78" s="425">
        <f t="shared" si="44"/>
        <v>809040</v>
      </c>
      <c r="N78" s="425">
        <f t="shared" si="44"/>
        <v>741413</v>
      </c>
      <c r="O78" s="425">
        <f t="shared" si="44"/>
        <v>820390</v>
      </c>
      <c r="P78" s="425">
        <f t="shared" si="44"/>
        <v>859760</v>
      </c>
      <c r="Q78" s="425">
        <f t="shared" si="44"/>
        <v>1366814</v>
      </c>
      <c r="R78" s="425">
        <f t="shared" si="44"/>
        <v>548955</v>
      </c>
      <c r="S78" s="425">
        <f t="shared" si="44"/>
        <v>870546</v>
      </c>
      <c r="T78" s="425">
        <f t="shared" si="44"/>
        <v>870546</v>
      </c>
      <c r="U78" s="425">
        <f t="shared" si="44"/>
        <v>861636</v>
      </c>
      <c r="V78" s="425">
        <f t="shared" si="44"/>
        <v>1139110</v>
      </c>
      <c r="W78" s="425">
        <f t="shared" si="44"/>
        <v>1134937</v>
      </c>
      <c r="X78" s="425">
        <f t="shared" si="44"/>
        <v>1175963</v>
      </c>
      <c r="Y78" s="425">
        <f t="shared" si="44"/>
        <v>1272363</v>
      </c>
      <c r="Z78" s="425">
        <f t="shared" si="44"/>
        <v>1036423</v>
      </c>
      <c r="AA78" s="425">
        <f t="shared" si="44"/>
        <v>1027444</v>
      </c>
      <c r="AB78" s="425">
        <f t="shared" si="44"/>
        <v>1077061</v>
      </c>
      <c r="AC78" s="426">
        <f t="shared" si="29"/>
        <v>12381798</v>
      </c>
      <c r="AD78" s="426">
        <f t="shared" si="30"/>
        <v>1031816.5</v>
      </c>
    </row>
    <row r="79" spans="1:30" ht="19.5" customHeight="1" x14ac:dyDescent="0.15">
      <c r="A79" t="s">
        <v>810</v>
      </c>
      <c r="B79" t="s">
        <v>15</v>
      </c>
      <c r="C79" s="109"/>
      <c r="D79" s="68" t="s">
        <v>129</v>
      </c>
      <c r="E79" s="423">
        <f>IFERROR(GETPIVOTDATA("合計 / " &amp; $B79,【ピボット】事業所収支!$A$3,"年月",E$1,"事業所",$A79),0)</f>
        <v>384233</v>
      </c>
      <c r="F79" s="423">
        <f>IFERROR(GETPIVOTDATA("合計 / " &amp; $B79,【ピボット】事業所収支!$A$3,"年月",F$1,"事業所",$A79),0)</f>
        <v>451365</v>
      </c>
      <c r="G79" s="423">
        <f>IFERROR(GETPIVOTDATA("合計 / " &amp; $B79,【ピボット】事業所収支!$A$3,"年月",G$1,"事業所",$A79),0)</f>
        <v>457105</v>
      </c>
      <c r="H79" s="423">
        <f>IFERROR(GETPIVOTDATA("合計 / " &amp; $B79,【ピボット】事業所収支!$A$3,"年月",H$1,"事業所",$A79),0)</f>
        <v>411182</v>
      </c>
      <c r="I79" s="423">
        <f>IFERROR(GETPIVOTDATA("合計 / " &amp; $B79,【ピボット】事業所収支!$A$3,"年月",I$1,"事業所",$A79),0)</f>
        <v>406108</v>
      </c>
      <c r="J79" s="423">
        <f>IFERROR(GETPIVOTDATA("合計 / " &amp; $B79,【ピボット】事業所収支!$A$3,"年月",J$1,"事業所",$A79),0)</f>
        <v>437577</v>
      </c>
      <c r="K79" s="423">
        <f>IFERROR(GETPIVOTDATA("合計 / " &amp; $B79,【ピボット】事業所収支!$A$3,"年月",K$1,"事業所",$A79),0)</f>
        <v>418059</v>
      </c>
      <c r="L79" s="423">
        <f>IFERROR(GETPIVOTDATA("合計 / " &amp; $B79,【ピボット】事業所収支!$A$3,"年月",L$1,"事業所",$A79),0)</f>
        <v>418446.0655371336</v>
      </c>
      <c r="M79" s="423">
        <f>IFERROR(GETPIVOTDATA("合計 / " &amp; $B79,【ピボット】事業所収支!$A$3,"年月",M$1,"事業所",$A79),0)</f>
        <v>441121</v>
      </c>
      <c r="N79" s="423">
        <f>IFERROR(GETPIVOTDATA("合計 / " &amp; $B79,【ピボット】事業所収支!$A$3,"年月",N$1,"事業所",$A79),0)</f>
        <v>327190</v>
      </c>
      <c r="O79" s="423">
        <f>IFERROR(GETPIVOTDATA("合計 / " &amp; $B79,【ピボット】事業所収支!$A$3,"年月",O$1,"事業所",$A79),0)</f>
        <v>366028</v>
      </c>
      <c r="P79" s="423">
        <f>IFERROR(GETPIVOTDATA("合計 / " &amp; $B79,【ピボット】事業所収支!$A$3,"年月",P$1,"事業所",$A79),0)</f>
        <v>348293</v>
      </c>
      <c r="Q79" s="423">
        <f>IFERROR(GETPIVOTDATA("合計 / " &amp; $B79,【ピボット】事業所収支!$A$3,"年月",Q$1,"事業所",$A79),0)</f>
        <v>360441</v>
      </c>
      <c r="R79" s="423">
        <f>IFERROR(GETPIVOTDATA("合計 / " &amp; $B79,【ピボット】事業所収支!$A$3,"年月",R$1,"事業所",$A79),0)</f>
        <v>358841</v>
      </c>
      <c r="S79" s="423">
        <f>IFERROR(GETPIVOTDATA("合計 / " &amp; $B79,【ピボット】事業所収支!$A$3,"年月",S$1,"事業所",$A79),0)</f>
        <v>394951</v>
      </c>
      <c r="T79" s="423">
        <f>IFERROR(GETPIVOTDATA("合計 / " &amp; $B79,【ピボット】事業所収支!$A$3,"年月",T$1,"事業所",$A79),0)</f>
        <v>341359</v>
      </c>
      <c r="U79" s="423">
        <f>IFERROR(GETPIVOTDATA("合計 / " &amp; $B79,【ピボット】事業所収支!$A$3,"年月",U$1,"事業所",$A79),0)</f>
        <v>368002</v>
      </c>
      <c r="V79" s="423">
        <f>IFERROR(GETPIVOTDATA("合計 / " &amp; $B79,【ピボット】事業所収支!$A$3,"年月",V$1,"事業所",$A79),0)</f>
        <v>411456</v>
      </c>
      <c r="W79" s="423">
        <f>IFERROR(GETPIVOTDATA("合計 / " &amp; $B79,【ピボット】事業所収支!$A$3,"年月",W$1,"事業所",$A79),0)</f>
        <v>396967</v>
      </c>
      <c r="X79" s="423">
        <f>IFERROR(GETPIVOTDATA("合計 / " &amp; $B79,【ピボット】事業所収支!$A$3,"年月",X$1,"事業所",$A79),0)</f>
        <v>420894</v>
      </c>
      <c r="Y79" s="423">
        <f>IFERROR(GETPIVOTDATA("合計 / " &amp; $B79,【ピボット】事業所収支!$A$3,"年月",Y$1,"事業所",$A79),0)</f>
        <v>388478</v>
      </c>
      <c r="Z79" s="423">
        <f>IFERROR(GETPIVOTDATA("合計 / " &amp; $B79,【ピボット】事業所収支!$A$3,"年月",Z$1,"事業所",$A79),0)</f>
        <v>320194</v>
      </c>
      <c r="AA79" s="423">
        <f>IFERROR(GETPIVOTDATA("合計 / " &amp; $B79,【ピボット】事業所収支!$A$3,"年月",AA$1,"事業所",$A79),0)</f>
        <v>303548</v>
      </c>
      <c r="AB79" s="423">
        <f>IFERROR(GETPIVOTDATA("合計 / " &amp; $B79,【ピボット】事業所収支!$A$3,"年月",AB$1,"事業所",$A79),0)</f>
        <v>338431</v>
      </c>
      <c r="AC79" s="424">
        <f t="shared" si="29"/>
        <v>4403562</v>
      </c>
      <c r="AD79" s="424">
        <f t="shared" si="30"/>
        <v>366963.5</v>
      </c>
    </row>
    <row r="80" spans="1:30" ht="19.5" customHeight="1" x14ac:dyDescent="0.15">
      <c r="A80" t="s">
        <v>810</v>
      </c>
      <c r="B80" t="s">
        <v>1232</v>
      </c>
      <c r="C80" s="109"/>
      <c r="D80" s="68" t="s">
        <v>130</v>
      </c>
      <c r="E80" s="423">
        <f>IFERROR(GETPIVOTDATA("合計 / " &amp; $B80,【ピボット】事業所収支!$A$3,"年月",E$1,"事業所",$A80),0)</f>
        <v>147733</v>
      </c>
      <c r="F80" s="423">
        <f>IFERROR(GETPIVOTDATA("合計 / " &amp; $B80,【ピボット】事業所収支!$A$3,"年月",F$1,"事業所",$A80),0)</f>
        <v>162095</v>
      </c>
      <c r="G80" s="423">
        <f>IFERROR(GETPIVOTDATA("合計 / " &amp; $B80,【ピボット】事業所収支!$A$3,"年月",G$1,"事業所",$A80),0)</f>
        <v>117007</v>
      </c>
      <c r="H80" s="423">
        <f>IFERROR(GETPIVOTDATA("合計 / " &amp; $B80,【ピボット】事業所収支!$A$3,"年月",H$1,"事業所",$A80),0)</f>
        <v>122447</v>
      </c>
      <c r="I80" s="423">
        <f>IFERROR(GETPIVOTDATA("合計 / " &amp; $B80,【ピボット】事業所収支!$A$3,"年月",I$1,"事業所",$A80),0)</f>
        <v>124140</v>
      </c>
      <c r="J80" s="423">
        <f>IFERROR(GETPIVOTDATA("合計 / " &amp; $B80,【ピボット】事業所収支!$A$3,"年月",J$1,"事業所",$A80),0)</f>
        <v>127801</v>
      </c>
      <c r="K80" s="423">
        <f>IFERROR(GETPIVOTDATA("合計 / " &amp; $B80,【ピボット】事業所収支!$A$3,"年月",K$1,"事業所",$A80),0)</f>
        <v>155938</v>
      </c>
      <c r="L80" s="423">
        <f>IFERROR(GETPIVOTDATA("合計 / " &amp; $B80,【ピボット】事業所収支!$A$3,"年月",L$1,"事業所",$A80),0)</f>
        <v>154535</v>
      </c>
      <c r="M80" s="423">
        <f>IFERROR(GETPIVOTDATA("合計 / " &amp; $B80,【ピボット】事業所収支!$A$3,"年月",M$1,"事業所",$A80),0)</f>
        <v>134184</v>
      </c>
      <c r="N80" s="423">
        <f>IFERROR(GETPIVOTDATA("合計 / " &amp; $B80,【ピボット】事業所収支!$A$3,"年月",N$1,"事業所",$A80),0)</f>
        <v>126910</v>
      </c>
      <c r="O80" s="423">
        <f>IFERROR(GETPIVOTDATA("合計 / " &amp; $B80,【ピボット】事業所収支!$A$3,"年月",O$1,"事業所",$A80),0)</f>
        <v>167880</v>
      </c>
      <c r="P80" s="423">
        <f>IFERROR(GETPIVOTDATA("合計 / " &amp; $B80,【ピボット】事業所収支!$A$3,"年月",P$1,"事業所",$A80),0)</f>
        <v>129954</v>
      </c>
      <c r="Q80" s="423">
        <f>IFERROR(GETPIVOTDATA("合計 / " &amp; $B80,【ピボット】事業所収支!$A$3,"年月",Q$1,"事業所",$A80),0)</f>
        <v>129795</v>
      </c>
      <c r="R80" s="423">
        <f>IFERROR(GETPIVOTDATA("合計 / " &amp; $B80,【ピボット】事業所収支!$A$3,"年月",R$1,"事業所",$A80),0)</f>
        <v>173077</v>
      </c>
      <c r="S80" s="423">
        <f>IFERROR(GETPIVOTDATA("合計 / " &amp; $B80,【ピボット】事業所収支!$A$3,"年月",S$1,"事業所",$A80),0)</f>
        <v>127926</v>
      </c>
      <c r="T80" s="423">
        <f>IFERROR(GETPIVOTDATA("合計 / " &amp; $B80,【ピボット】事業所収支!$A$3,"年月",T$1,"事業所",$A80),0)</f>
        <v>125559</v>
      </c>
      <c r="U80" s="423">
        <f>IFERROR(GETPIVOTDATA("合計 / " &amp; $B80,【ピボット】事業所収支!$A$3,"年月",U$1,"事業所",$A80),0)</f>
        <v>121814</v>
      </c>
      <c r="V80" s="423">
        <f>IFERROR(GETPIVOTDATA("合計 / " &amp; $B80,【ピボット】事業所収支!$A$3,"年月",V$1,"事業所",$A80),0)</f>
        <v>184298</v>
      </c>
      <c r="W80" s="423">
        <f>IFERROR(GETPIVOTDATA("合計 / " &amp; $B80,【ピボット】事業所収支!$A$3,"年月",W$1,"事業所",$A80),0)</f>
        <v>142328</v>
      </c>
      <c r="X80" s="423">
        <f>IFERROR(GETPIVOTDATA("合計 / " &amp; $B80,【ピボット】事業所収支!$A$3,"年月",X$1,"事業所",$A80),0)</f>
        <v>143912</v>
      </c>
      <c r="Y80" s="423">
        <f>IFERROR(GETPIVOTDATA("合計 / " &amp; $B80,【ピボット】事業所収支!$A$3,"年月",Y$1,"事業所",$A80),0)</f>
        <v>129440</v>
      </c>
      <c r="Z80" s="423">
        <f>IFERROR(GETPIVOTDATA("合計 / " &amp; $B80,【ピボット】事業所収支!$A$3,"年月",Z$1,"事業所",$A80),0)</f>
        <v>122019</v>
      </c>
      <c r="AA80" s="423">
        <f>IFERROR(GETPIVOTDATA("合計 / " &amp; $B80,【ピボット】事業所収支!$A$3,"年月",AA$1,"事業所",$A80),0)</f>
        <v>136143</v>
      </c>
      <c r="AB80" s="423">
        <f>IFERROR(GETPIVOTDATA("合計 / " &amp; $B80,【ピボット】事業所収支!$A$3,"年月",AB$1,"事業所",$A80),0)</f>
        <v>116406</v>
      </c>
      <c r="AC80" s="424">
        <f t="shared" si="29"/>
        <v>1652717</v>
      </c>
      <c r="AD80" s="424">
        <f t="shared" si="30"/>
        <v>137726.41666666666</v>
      </c>
    </row>
    <row r="81" spans="1:30" ht="19.5" customHeight="1" thickBot="1" x14ac:dyDescent="0.2">
      <c r="C81" s="110"/>
      <c r="D81" s="113" t="s">
        <v>138</v>
      </c>
      <c r="E81" s="427">
        <f t="shared" ref="E81:K81" si="45">SUM(E78)-SUM(E79:E80)</f>
        <v>-123933</v>
      </c>
      <c r="F81" s="427">
        <f t="shared" si="45"/>
        <v>412694</v>
      </c>
      <c r="G81" s="427">
        <f t="shared" si="45"/>
        <v>493452</v>
      </c>
      <c r="H81" s="427">
        <f t="shared" si="45"/>
        <v>502734</v>
      </c>
      <c r="I81" s="427">
        <f t="shared" si="45"/>
        <v>489848</v>
      </c>
      <c r="J81" s="427">
        <f t="shared" si="45"/>
        <v>486118</v>
      </c>
      <c r="K81" s="427">
        <f t="shared" si="45"/>
        <v>442316</v>
      </c>
      <c r="L81" s="427">
        <f t="shared" ref="L81:AB81" si="46">SUM(L78)-SUM(L79:L80)</f>
        <v>463266.9344628664</v>
      </c>
      <c r="M81" s="427">
        <f t="shared" si="46"/>
        <v>233735</v>
      </c>
      <c r="N81" s="427">
        <f t="shared" si="46"/>
        <v>287313</v>
      </c>
      <c r="O81" s="427">
        <f t="shared" si="46"/>
        <v>286482</v>
      </c>
      <c r="P81" s="427">
        <f t="shared" si="46"/>
        <v>381513</v>
      </c>
      <c r="Q81" s="427">
        <f t="shared" si="46"/>
        <v>876578</v>
      </c>
      <c r="R81" s="427">
        <f t="shared" si="46"/>
        <v>17037</v>
      </c>
      <c r="S81" s="427">
        <f t="shared" si="46"/>
        <v>347669</v>
      </c>
      <c r="T81" s="427">
        <f t="shared" si="46"/>
        <v>403628</v>
      </c>
      <c r="U81" s="427">
        <f t="shared" si="46"/>
        <v>371820</v>
      </c>
      <c r="V81" s="427">
        <f t="shared" si="46"/>
        <v>543356</v>
      </c>
      <c r="W81" s="427">
        <f t="shared" si="46"/>
        <v>595642</v>
      </c>
      <c r="X81" s="427">
        <f t="shared" si="46"/>
        <v>611157</v>
      </c>
      <c r="Y81" s="427">
        <f t="shared" si="46"/>
        <v>754445</v>
      </c>
      <c r="Z81" s="427">
        <f t="shared" si="46"/>
        <v>594210</v>
      </c>
      <c r="AA81" s="427">
        <f t="shared" si="46"/>
        <v>587753</v>
      </c>
      <c r="AB81" s="427">
        <f t="shared" si="46"/>
        <v>622224</v>
      </c>
      <c r="AC81" s="428">
        <f t="shared" si="29"/>
        <v>6325519</v>
      </c>
      <c r="AD81" s="428">
        <f t="shared" si="30"/>
        <v>527126.58333333337</v>
      </c>
    </row>
    <row r="82" spans="1:30" ht="19.5" customHeight="1" x14ac:dyDescent="0.15">
      <c r="A82" t="s">
        <v>786</v>
      </c>
      <c r="B82" t="s">
        <v>860</v>
      </c>
      <c r="C82" s="107" t="s">
        <v>184</v>
      </c>
      <c r="D82" s="67" t="s">
        <v>126</v>
      </c>
      <c r="E82" s="429">
        <f>IFERROR(GETPIVOTDATA("合計 / " &amp; $B82,【ピボット】国保連売上!$A$3,"年月",E$1,"事業所",$A82,"請求区分","単月"),0)</f>
        <v>739665</v>
      </c>
      <c r="F82" s="429">
        <f>IFERROR(GETPIVOTDATA("合計 / " &amp; $B82,【ピボット】国保連売上!$A$3,"年月",F$1,"事業所",$A82,"請求区分","単月"),0)</f>
        <v>943056</v>
      </c>
      <c r="G82" s="429">
        <f>IFERROR(GETPIVOTDATA("合計 / " &amp; $B82,【ピボット】国保連売上!$A$3,"年月",G$1,"事業所",$A82,"請求区分","単月"),0)</f>
        <v>983492</v>
      </c>
      <c r="H82" s="429">
        <f>IFERROR(GETPIVOTDATA("合計 / " &amp; $B82,【ピボット】国保連売上!$A$3,"年月",H$1,"事業所",$A82,"請求区分","単月"),0)</f>
        <v>983492</v>
      </c>
      <c r="I82" s="429">
        <f>IFERROR(GETPIVOTDATA("合計 / " &amp; $B82,【ピボット】国保連売上!$A$3,"年月",I$1,"事業所",$A82,"請求区分","単月"),0)</f>
        <v>937378</v>
      </c>
      <c r="J82" s="429">
        <f>IFERROR(GETPIVOTDATA("合計 / " &amp; $B82,【ピボット】国保連売上!$A$3,"年月",J$1,"事業所",$A82,"請求区分","単月"),0)</f>
        <v>983492</v>
      </c>
      <c r="K82" s="429">
        <f>IFERROR(GETPIVOTDATA("合計 / " &amp; $B82,【ピボット】国保連売上!$A$3,"年月",K$1,"事業所",$A82,"請求区分","単月"),0)</f>
        <v>922792</v>
      </c>
      <c r="L82" s="429">
        <f>IFERROR(GETPIVOTDATA("合計 / " &amp; $B82,【ピボット】国保連売上!$A$3,"年月",L$1,"事業所",$A82,"請求区分","単月"),0)</f>
        <v>983492</v>
      </c>
      <c r="M82" s="429">
        <f>IFERROR(GETPIVOTDATA("合計 / " &amp; $B82,【ピボット】国保連売上!$A$3,"年月",M$1,"事業所",$A82,"請求区分","単月"),0)</f>
        <v>938092</v>
      </c>
      <c r="N82" s="429">
        <f>IFERROR(GETPIVOTDATA("合計 / " &amp; $B82,【ピボット】国保連売上!$A$3,"年月",N$1,"事業所",$A82,"請求区分","単月"),0)</f>
        <v>861922</v>
      </c>
      <c r="O82" s="429">
        <f>IFERROR(GETPIVOTDATA("合計 / " &amp; $B82,【ピボット】国保連売上!$A$3,"年月",O$1,"事業所",$A82,"請求区分","単月"),0)</f>
        <v>847336</v>
      </c>
      <c r="P82" s="429">
        <f>IFERROR(GETPIVOTDATA("合計 / " &amp; $B82,【ピボット】国保連売上!$A$3,"年月",P$1,"事業所",$A82,"請求区分","単月"),0)</f>
        <v>960460</v>
      </c>
      <c r="Q82" s="429">
        <f>IFERROR(GETPIVOTDATA("合計 / " &amp; $B82,【ピボット】国保連売上!$A$3,"年月",Q$1,"事業所",$A82,"請求区分","単月"),0)</f>
        <v>1007268</v>
      </c>
      <c r="R82" s="429">
        <f>IFERROR(GETPIVOTDATA("合計 / " &amp; $B82,【ピボット】国保連売上!$A$3,"年月",R$1,"事業所",$A82,"請求区分","単月"),0)</f>
        <v>976056</v>
      </c>
      <c r="S82" s="429">
        <f>IFERROR(GETPIVOTDATA("合計 / " &amp; $B82,【ピボット】国保連売上!$A$3,"年月",S$1,"事業所",$A82,"請求区分","単月"),0)</f>
        <v>1007268</v>
      </c>
      <c r="T82" s="429">
        <f>IFERROR(GETPIVOTDATA("合計 / " &amp; $B82,【ピボット】国保連売上!$A$3,"年月",T$1,"事業所",$A82,"請求区分","単月"),0)</f>
        <v>827999</v>
      </c>
      <c r="U82" s="429">
        <f>IFERROR(GETPIVOTDATA("合計 / " &amp; $B82,【ピボット】国保連売上!$A$3,"年月",U$1,"事業所",$A82,"請求区分","単月"),0)</f>
        <v>1003585</v>
      </c>
      <c r="V82" s="429">
        <f>IFERROR(GETPIVOTDATA("合計 / " &amp; $B82,【ピボット】国保連売上!$A$3,"年月",V$1,"事業所",$A82,"請求区分","単月"),0)</f>
        <v>1019657</v>
      </c>
      <c r="W82" s="429">
        <f>IFERROR(GETPIVOTDATA("合計 / " &amp; $B82,【ピボット】国保連売上!$A$3,"年月",W$1,"事業所",$A82,"請求区分","単月"),0)</f>
        <v>1012236</v>
      </c>
      <c r="X82" s="429">
        <f>IFERROR(GETPIVOTDATA("合計 / " &amp; $B82,【ピボット】国保連売上!$A$3,"年月",X$1,"事業所",$A82,"請求区分","単月"),0)</f>
        <v>1044442</v>
      </c>
      <c r="Y82" s="429">
        <f>IFERROR(GETPIVOTDATA("合計 / " &amp; $B82,【ピボット】国保連売上!$A$3,"年月",Y$1,"事業所",$A82,"請求区分","単月"),0)</f>
        <v>1044442</v>
      </c>
      <c r="Z82" s="429">
        <f>IFERROR(GETPIVOTDATA("合計 / " &amp; $B82,【ピボット】国保連売上!$A$3,"年月",Z$1,"事業所",$A82,"請求区分","単月"),0)</f>
        <v>937836</v>
      </c>
      <c r="AA82" s="429">
        <f>IFERROR(GETPIVOTDATA("合計 / " &amp; $B82,【ピボット】国保連売上!$A$3,"年月",AA$1,"事業所",$A82,"請求区分","単月"),0)</f>
        <v>915793</v>
      </c>
      <c r="AB82" s="419">
        <f>IFERROR(GETPIVOTDATA("合計 / " &amp; $B82,【ピボット】国保連売上!$A$3,"年月",AB$1,"事業所",$A82,"請求区分","単月"),0)</f>
        <v>746482</v>
      </c>
      <c r="AC82" s="420">
        <f t="shared" ref="AC82:AC120" si="47">SUM(Q82:AB82)</f>
        <v>11543064</v>
      </c>
      <c r="AD82" s="420">
        <f t="shared" ref="AD82:AD121" si="48">AVERAGE(Q82:AB82)</f>
        <v>961922</v>
      </c>
    </row>
    <row r="83" spans="1:30" ht="19.5" customHeight="1" x14ac:dyDescent="0.15">
      <c r="A83" t="s">
        <v>786</v>
      </c>
      <c r="B83" t="s">
        <v>861</v>
      </c>
      <c r="C83" s="108"/>
      <c r="D83" s="69" t="s">
        <v>137</v>
      </c>
      <c r="E83" s="421">
        <f>IFERROR(GETPIVOTDATA("合計 / " &amp; $B83,【ピボット】国保連売上!$A$3,"年月",E$1,"事業所",$A83,"請求区分","単月"),0)</f>
        <v>0</v>
      </c>
      <c r="F83" s="421">
        <f>IFERROR(GETPIVOTDATA("合計 / " &amp; $B83,【ピボット】国保連売上!$A$3,"年月",F$1,"事業所",$A83,"請求区分","単月"),0)</f>
        <v>0</v>
      </c>
      <c r="G83" s="421">
        <f>IFERROR(GETPIVOTDATA("合計 / " &amp; $B83,【ピボット】国保連売上!$A$3,"年月",G$1,"事業所",$A83,"請求区分","単月"),0)</f>
        <v>0</v>
      </c>
      <c r="H83" s="421">
        <f>IFERROR(GETPIVOTDATA("合計 / " &amp; $B83,【ピボット】国保連売上!$A$3,"年月",H$1,"事業所",$A83,"請求区分","単月"),0)</f>
        <v>0</v>
      </c>
      <c r="I83" s="421">
        <f>IFERROR(GETPIVOTDATA("合計 / " &amp; $B83,【ピボット】国保連売上!$A$3,"年月",I$1,"事業所",$A83,"請求区分","単月"),0)</f>
        <v>0</v>
      </c>
      <c r="J83" s="421">
        <f>IFERROR(GETPIVOTDATA("合計 / " &amp; $B83,【ピボット】国保連売上!$A$3,"年月",J$1,"事業所",$A83,"請求区分","単月"),0)</f>
        <v>0</v>
      </c>
      <c r="K83" s="421">
        <f>IFERROR(GETPIVOTDATA("合計 / " &amp; $B83,【ピボット】国保連売上!$A$3,"年月",K$1,"事業所",$A83,"請求区分","単月"),0)</f>
        <v>0</v>
      </c>
      <c r="L83" s="421">
        <f>IFERROR(GETPIVOTDATA("合計 / " &amp; $B83,【ピボット】国保連売上!$A$3,"年月",L$1,"事業所",$A83,"請求区分","単月"),0)</f>
        <v>0</v>
      </c>
      <c r="M83" s="421">
        <f>IFERROR(GETPIVOTDATA("合計 / " &amp; $B83,【ピボット】国保連売上!$A$3,"年月",M$1,"事業所",$A83,"請求区分","単月"),0)</f>
        <v>0</v>
      </c>
      <c r="N83" s="421">
        <f>IFERROR(GETPIVOTDATA("合計 / " &amp; $B83,【ピボット】国保連売上!$A$3,"年月",N$1,"事業所",$A83,"請求区分","単月"),0)</f>
        <v>0</v>
      </c>
      <c r="O83" s="421">
        <f>IFERROR(GETPIVOTDATA("合計 / " &amp; $B83,【ピボット】国保連売上!$A$3,"年月",O$1,"事業所",$A83,"請求区分","単月"),0)</f>
        <v>0</v>
      </c>
      <c r="P83" s="421">
        <f>IFERROR(GETPIVOTDATA("合計 / " &amp; $B83,【ピボット】国保連売上!$A$3,"年月",P$1,"事業所",$A83,"請求区分","単月"),0)</f>
        <v>0</v>
      </c>
      <c r="Q83" s="421">
        <f>IFERROR(GETPIVOTDATA("合計 / " &amp; $B83,【ピボット】国保連売上!$A$3,"年月",Q$1,"事業所",$A83,"請求区分","単月"),0)</f>
        <v>0</v>
      </c>
      <c r="R83" s="421">
        <f>IFERROR(GETPIVOTDATA("合計 / " &amp; $B83,【ピボット】国保連売上!$A$3,"年月",R$1,"事業所",$A83,"請求区分","単月"),0)</f>
        <v>0</v>
      </c>
      <c r="S83" s="421">
        <f>IFERROR(GETPIVOTDATA("合計 / " &amp; $B83,【ピボット】国保連売上!$A$3,"年月",S$1,"事業所",$A83,"請求区分","単月"),0)</f>
        <v>0</v>
      </c>
      <c r="T83" s="421">
        <f>IFERROR(GETPIVOTDATA("合計 / " &amp; $B83,【ピボット】国保連売上!$A$3,"年月",T$1,"事業所",$A83,"請求区分","単月"),0)</f>
        <v>0</v>
      </c>
      <c r="U83" s="421">
        <f>IFERROR(GETPIVOTDATA("合計 / " &amp; $B83,【ピボット】国保連売上!$A$3,"年月",U$1,"事業所",$A83,"請求区分","単月"),0)</f>
        <v>0</v>
      </c>
      <c r="V83" s="421">
        <f>IFERROR(GETPIVOTDATA("合計 / " &amp; $B83,【ピボット】国保連売上!$A$3,"年月",V$1,"事業所",$A83,"請求区分","単月"),0)</f>
        <v>0</v>
      </c>
      <c r="W83" s="421">
        <f>IFERROR(GETPIVOTDATA("合計 / " &amp; $B83,【ピボット】国保連売上!$A$3,"年月",W$1,"事業所",$A83,"請求区分","単月"),0)</f>
        <v>0</v>
      </c>
      <c r="X83" s="421">
        <f>IFERROR(GETPIVOTDATA("合計 / " &amp; $B83,【ピボット】国保連売上!$A$3,"年月",X$1,"事業所",$A83,"請求区分","単月"),0)</f>
        <v>0</v>
      </c>
      <c r="Y83" s="421">
        <f>IFERROR(GETPIVOTDATA("合計 / " &amp; $B83,【ピボット】国保連売上!$A$3,"年月",Y$1,"事業所",$A83,"請求区分","単月"),0)</f>
        <v>0</v>
      </c>
      <c r="Z83" s="421">
        <f>IFERROR(GETPIVOTDATA("合計 / " &amp; $B83,【ピボット】国保連売上!$A$3,"年月",Z$1,"事業所",$A83,"請求区分","単月"),0)</f>
        <v>0</v>
      </c>
      <c r="AA83" s="421">
        <f>IFERROR(GETPIVOTDATA("合計 / " &amp; $B83,【ピボット】国保連売上!$A$3,"年月",AA$1,"事業所",$A83,"請求区分","単月"),0)</f>
        <v>0</v>
      </c>
      <c r="AB83" s="421">
        <f>IFERROR(GETPIVOTDATA("合計 / " &amp; $B83,【ピボット】国保連売上!$A$3,"年月",AB$1,"事業所",$A83,"請求区分","単月"),0)</f>
        <v>0</v>
      </c>
      <c r="AC83" s="422">
        <f t="shared" si="47"/>
        <v>0</v>
      </c>
      <c r="AD83" s="422">
        <f t="shared" si="48"/>
        <v>0</v>
      </c>
    </row>
    <row r="84" spans="1:30" ht="19.5" customHeight="1" x14ac:dyDescent="0.15">
      <c r="A84" t="s">
        <v>786</v>
      </c>
      <c r="B84" t="s">
        <v>862</v>
      </c>
      <c r="C84" s="109"/>
      <c r="D84" s="68" t="s">
        <v>127</v>
      </c>
      <c r="E84" s="423">
        <f>IFERROR(GETPIVOTDATA("合計 / " &amp; $B84,【ピボット】国保連売上!$A$3,"年月",E$1,"事業所",$A84,"請求区分","単月"),0)</f>
        <v>-1640949</v>
      </c>
      <c r="F84" s="423">
        <f>IFERROR(GETPIVOTDATA("合計 / " &amp; $B84,【ピボット】国保連売上!$A$3,"年月",F$1,"事業所",$A84,"請求区分","単月"),0)</f>
        <v>0</v>
      </c>
      <c r="G84" s="423">
        <f>IFERROR(GETPIVOTDATA("合計 / " &amp; $B84,【ピボット】国保連売上!$A$3,"年月",G$1,"事業所",$A84,"請求区分","単月"),0)</f>
        <v>0</v>
      </c>
      <c r="H84" s="423">
        <f>IFERROR(GETPIVOTDATA("合計 / " &amp; $B84,【ピボット】国保連売上!$A$3,"年月",H$1,"事業所",$A84,"請求区分","単月"),0)</f>
        <v>0</v>
      </c>
      <c r="I84" s="423">
        <f>IFERROR(GETPIVOTDATA("合計 / " &amp; $B84,【ピボット】国保連売上!$A$3,"年月",I$1,"事業所",$A84,"請求区分","単月"),0)</f>
        <v>0</v>
      </c>
      <c r="J84" s="423">
        <f>IFERROR(GETPIVOTDATA("合計 / " &amp; $B84,【ピボット】国保連売上!$A$3,"年月",J$1,"事業所",$A84,"請求区分","単月"),0)</f>
        <v>0</v>
      </c>
      <c r="K84" s="423">
        <f>IFERROR(GETPIVOTDATA("合計 / " &amp; $B84,【ピボット】国保連売上!$A$3,"年月",K$1,"事業所",$A84,"請求区分","単月"),0)</f>
        <v>0</v>
      </c>
      <c r="L84" s="423">
        <f>IFERROR(GETPIVOTDATA("合計 / " &amp; $B84,【ピボット】国保連売上!$A$3,"年月",L$1,"事業所",$A84,"請求区分","単月"),0)</f>
        <v>0</v>
      </c>
      <c r="M84" s="423">
        <f>IFERROR(GETPIVOTDATA("合計 / " &amp; $B84,【ピボット】国保連売上!$A$3,"年月",M$1,"事業所",$A84,"請求区分","単月"),0)</f>
        <v>0</v>
      </c>
      <c r="N84" s="423">
        <f>IFERROR(GETPIVOTDATA("合計 / " &amp; $B84,【ピボット】国保連売上!$A$3,"年月",N$1,"事業所",$A84,"請求区分","単月"),0)</f>
        <v>0</v>
      </c>
      <c r="O84" s="423">
        <f>IFERROR(GETPIVOTDATA("合計 / " &amp; $B84,【ピボット】国保連売上!$A$3,"年月",O$1,"事業所",$A84,"請求区分","単月"),0)</f>
        <v>0</v>
      </c>
      <c r="P84" s="423">
        <f>IFERROR(GETPIVOTDATA("合計 / " &amp; $B84,【ピボット】国保連売上!$A$3,"年月",P$1,"事業所",$A84,"請求区分","単月"),0)</f>
        <v>0</v>
      </c>
      <c r="Q84" s="423">
        <f>IFERROR(GETPIVOTDATA("合計 / " &amp; $B84,【ピボット】国保連売上!$A$3,"年月",Q$1,"事業所",$A84,"請求区分","単月"),0)</f>
        <v>0</v>
      </c>
      <c r="R84" s="423">
        <f>IFERROR(GETPIVOTDATA("合計 / " &amp; $B84,【ピボット】国保連売上!$A$3,"年月",R$1,"事業所",$A84,"請求区分","単月"),0)</f>
        <v>0</v>
      </c>
      <c r="S84" s="423">
        <f>IFERROR(GETPIVOTDATA("合計 / " &amp; $B84,【ピボット】国保連売上!$A$3,"年月",S$1,"事業所",$A84,"請求区分","単月"),0)</f>
        <v>0</v>
      </c>
      <c r="T84" s="423">
        <f>IFERROR(GETPIVOTDATA("合計 / " &amp; $B84,【ピボット】国保連売上!$A$3,"年月",T$1,"事業所",$A84,"請求区分","単月"),0)</f>
        <v>0</v>
      </c>
      <c r="U84" s="423">
        <f>IFERROR(GETPIVOTDATA("合計 / " &amp; $B84,【ピボット】国保連売上!$A$3,"年月",U$1,"事業所",$A84,"請求区分","単月"),0)</f>
        <v>0</v>
      </c>
      <c r="V84" s="423">
        <f>IFERROR(GETPIVOTDATA("合計 / " &amp; $B84,【ピボット】国保連売上!$A$3,"年月",V$1,"事業所",$A84,"請求区分","単月"),0)</f>
        <v>0</v>
      </c>
      <c r="W84" s="423">
        <f>IFERROR(GETPIVOTDATA("合計 / " &amp; $B84,【ピボット】国保連売上!$A$3,"年月",W$1,"事業所",$A84,"請求区分","単月"),0)</f>
        <v>0</v>
      </c>
      <c r="X84" s="423">
        <f>IFERROR(GETPIVOTDATA("合計 / " &amp; $B84,【ピボット】国保連売上!$A$3,"年月",X$1,"事業所",$A84,"請求区分","単月"),0)</f>
        <v>0</v>
      </c>
      <c r="Y84" s="423">
        <f>IFERROR(GETPIVOTDATA("合計 / " &amp; $B84,【ピボット】国保連売上!$A$3,"年月",Y$1,"事業所",$A84,"請求区分","単月"),0)</f>
        <v>0</v>
      </c>
      <c r="Z84" s="423">
        <f>IFERROR(GETPIVOTDATA("合計 / " &amp; $B84,【ピボット】国保連売上!$A$3,"年月",Z$1,"事業所",$A84,"請求区分","単月"),0)</f>
        <v>0</v>
      </c>
      <c r="AA84" s="423">
        <f>IFERROR(GETPIVOTDATA("合計 / " &amp; $B84,【ピボット】国保連売上!$A$3,"年月",AA$1,"事業所",$A84,"請求区分","単月"),0)</f>
        <v>0</v>
      </c>
      <c r="AB84" s="421">
        <f>IFERROR(GETPIVOTDATA("合計 / " &amp; $B84,【ピボット】国保連売上!$A$3,"年月",AB$1,"事業所",$A84,"請求区分","単月"),0)</f>
        <v>0</v>
      </c>
      <c r="AC84" s="424">
        <f t="shared" si="47"/>
        <v>0</v>
      </c>
      <c r="AD84" s="424">
        <f t="shared" si="48"/>
        <v>0</v>
      </c>
    </row>
    <row r="85" spans="1:30" ht="19.5" customHeight="1" x14ac:dyDescent="0.15">
      <c r="A85" t="s">
        <v>786</v>
      </c>
      <c r="B85" t="s">
        <v>815</v>
      </c>
      <c r="C85" s="109"/>
      <c r="D85" s="68" t="s">
        <v>128</v>
      </c>
      <c r="E85" s="423">
        <f>IFERROR(GETPIVOTDATA("合計 / " &amp; $B85,【ピボット】事業所売上!$A$3,"年月",E$1,"事業所",$A85),0)</f>
        <v>1119631</v>
      </c>
      <c r="F85" s="423">
        <f>IFERROR(GETPIVOTDATA("合計 / " &amp; $B85,【ピボット】事業所売上!$A$3,"年月",F$1,"事業所",$A85),0)</f>
        <v>-172000</v>
      </c>
      <c r="G85" s="423">
        <f>IFERROR(GETPIVOTDATA("合計 / " &amp; $B85,【ピボット】事業所売上!$A$3,"年月",G$1,"事業所",$A85),0)</f>
        <v>118000</v>
      </c>
      <c r="H85" s="423">
        <f>IFERROR(GETPIVOTDATA("合計 / " &amp; $B85,【ピボット】事業所売上!$A$3,"年月",H$1,"事業所",$A85),0)</f>
        <v>18000</v>
      </c>
      <c r="I85" s="423">
        <f>IFERROR(GETPIVOTDATA("合計 / " &amp; $B85,【ピボット】事業所売上!$A$3,"年月",I$1,"事業所",$A85),0)</f>
        <v>78000</v>
      </c>
      <c r="J85" s="423">
        <f>IFERROR(GETPIVOTDATA("合計 / " &amp; $B85,【ピボット】事業所売上!$A$3,"年月",J$1,"事業所",$A85),0)</f>
        <v>78000</v>
      </c>
      <c r="K85" s="423">
        <f>IFERROR(GETPIVOTDATA("合計 / " &amp; $B85,【ピボット】事業所売上!$A$3,"年月",K$1,"事業所",$A85),0)</f>
        <v>78000</v>
      </c>
      <c r="L85" s="423">
        <f>IFERROR(GETPIVOTDATA("合計 / " &amp; $B85,【ピボット】事業所売上!$A$3,"年月",L$1,"事業所",$A85),0)</f>
        <v>78000</v>
      </c>
      <c r="M85" s="423">
        <f>IFERROR(GETPIVOTDATA("合計 / " &amp; $B85,【ピボット】事業所売上!$A$3,"年月",M$1,"事業所",$A85),0)</f>
        <v>78000</v>
      </c>
      <c r="N85" s="423">
        <f>IFERROR(GETPIVOTDATA("合計 / " &amp; $B85,【ピボット】事業所売上!$A$3,"年月",N$1,"事業所",$A85),0)</f>
        <v>78000</v>
      </c>
      <c r="O85" s="423">
        <f>IFERROR(GETPIVOTDATA("合計 / " &amp; $B85,【ピボット】事業所売上!$A$3,"年月",O$1,"事業所",$A85),0)</f>
        <v>358500</v>
      </c>
      <c r="P85" s="423">
        <f>IFERROR(GETPIVOTDATA("合計 / " &amp; $B85,【ピボット】事業所売上!$A$3,"年月",P$1,"事業所",$A85),0)</f>
        <v>78000</v>
      </c>
      <c r="Q85" s="423">
        <f>IFERROR(GETPIVOTDATA("合計 / " &amp; $B85,【ピボット】事業所売上!$A$3,"年月",Q$1,"事業所",$A85),0)</f>
        <v>143527</v>
      </c>
      <c r="R85" s="423">
        <f>IFERROR(GETPIVOTDATA("合計 / " &amp; $B85,【ピボット】事業所売上!$A$3,"年月",R$1,"事業所",$A85),0)</f>
        <v>78000</v>
      </c>
      <c r="S85" s="423">
        <f>IFERROR(GETPIVOTDATA("合計 / " &amp; $B85,【ピボット】事業所売上!$A$3,"年月",S$1,"事業所",$A85),0)</f>
        <v>78000</v>
      </c>
      <c r="T85" s="423">
        <f>IFERROR(GETPIVOTDATA("合計 / " &amp; $B85,【ピボット】事業所売上!$A$3,"年月",T$1,"事業所",$A85),0)</f>
        <v>96000</v>
      </c>
      <c r="U85" s="423">
        <f>IFERROR(GETPIVOTDATA("合計 / " &amp; $B85,【ピボット】事業所売上!$A$3,"年月",U$1,"事業所",$A85),0)</f>
        <v>46500</v>
      </c>
      <c r="V85" s="423">
        <f>IFERROR(GETPIVOTDATA("合計 / " &amp; $B85,【ピボット】事業所売上!$A$3,"年月",V$1,"事業所",$A85),0)</f>
        <v>68000</v>
      </c>
      <c r="W85" s="423">
        <f>IFERROR(GETPIVOTDATA("合計 / " &amp; $B85,【ピボット】事業所売上!$A$3,"年月",W$1,"事業所",$A85),0)</f>
        <v>58000</v>
      </c>
      <c r="X85" s="423">
        <f>IFERROR(GETPIVOTDATA("合計 / " &amp; $B85,【ピボット】事業所売上!$A$3,"年月",X$1,"事業所",$A85),0)</f>
        <v>58000</v>
      </c>
      <c r="Y85" s="423">
        <f>IFERROR(GETPIVOTDATA("合計 / " &amp; $B85,【ピボット】事業所売上!$A$3,"年月",Y$1,"事業所",$A85),0)</f>
        <v>312000</v>
      </c>
      <c r="Z85" s="423">
        <f>IFERROR(GETPIVOTDATA("合計 / " &amp; $B85,【ピボット】事業所売上!$A$3,"年月",Z$1,"事業所",$A85),0)</f>
        <v>68000</v>
      </c>
      <c r="AA85" s="423">
        <f>IFERROR(GETPIVOTDATA("合計 / " &amp; $B85,【ピボット】事業所売上!$A$3,"年月",AA$1,"事業所",$A85),0)</f>
        <v>58000</v>
      </c>
      <c r="AB85" s="423">
        <f>IFERROR(GETPIVOTDATA("合計 / " &amp; $B85,【ピボット】事業所売上!$A$3,"年月",AB$1,"事業所",$A85),0)</f>
        <v>51000</v>
      </c>
      <c r="AC85" s="424">
        <f t="shared" si="47"/>
        <v>1115027</v>
      </c>
      <c r="AD85" s="424">
        <f t="shared" si="48"/>
        <v>92918.916666666672</v>
      </c>
    </row>
    <row r="86" spans="1:30" ht="19.5" customHeight="1" x14ac:dyDescent="0.15">
      <c r="A86" t="s">
        <v>786</v>
      </c>
      <c r="C86" s="109"/>
      <c r="D86" s="112" t="str">
        <f>C82 &amp; "売上合計"</f>
        <v>ＧＨ白金売上合計</v>
      </c>
      <c r="E86" s="425">
        <f t="shared" ref="E86:K86" si="49">SUM(E82:E85)</f>
        <v>218347</v>
      </c>
      <c r="F86" s="425">
        <f t="shared" si="49"/>
        <v>771056</v>
      </c>
      <c r="G86" s="425">
        <f t="shared" si="49"/>
        <v>1101492</v>
      </c>
      <c r="H86" s="425">
        <f t="shared" si="49"/>
        <v>1001492</v>
      </c>
      <c r="I86" s="425">
        <f t="shared" si="49"/>
        <v>1015378</v>
      </c>
      <c r="J86" s="425">
        <f t="shared" si="49"/>
        <v>1061492</v>
      </c>
      <c r="K86" s="425">
        <f t="shared" si="49"/>
        <v>1000792</v>
      </c>
      <c r="L86" s="425">
        <f t="shared" ref="L86:AB86" si="50">SUM(L82:L85)</f>
        <v>1061492</v>
      </c>
      <c r="M86" s="425">
        <f t="shared" si="50"/>
        <v>1016092</v>
      </c>
      <c r="N86" s="425">
        <f t="shared" si="50"/>
        <v>939922</v>
      </c>
      <c r="O86" s="425">
        <f t="shared" si="50"/>
        <v>1205836</v>
      </c>
      <c r="P86" s="425">
        <f t="shared" si="50"/>
        <v>1038460</v>
      </c>
      <c r="Q86" s="425">
        <f t="shared" si="50"/>
        <v>1150795</v>
      </c>
      <c r="R86" s="425">
        <f t="shared" si="50"/>
        <v>1054056</v>
      </c>
      <c r="S86" s="425">
        <f t="shared" si="50"/>
        <v>1085268</v>
      </c>
      <c r="T86" s="425">
        <f t="shared" si="50"/>
        <v>923999</v>
      </c>
      <c r="U86" s="425">
        <f t="shared" si="50"/>
        <v>1050085</v>
      </c>
      <c r="V86" s="425">
        <f t="shared" si="50"/>
        <v>1087657</v>
      </c>
      <c r="W86" s="425">
        <f t="shared" si="50"/>
        <v>1070236</v>
      </c>
      <c r="X86" s="425">
        <f t="shared" si="50"/>
        <v>1102442</v>
      </c>
      <c r="Y86" s="425">
        <f t="shared" si="50"/>
        <v>1356442</v>
      </c>
      <c r="Z86" s="425">
        <f t="shared" si="50"/>
        <v>1005836</v>
      </c>
      <c r="AA86" s="425">
        <f t="shared" si="50"/>
        <v>973793</v>
      </c>
      <c r="AB86" s="425">
        <f t="shared" si="50"/>
        <v>797482</v>
      </c>
      <c r="AC86" s="426">
        <f t="shared" si="47"/>
        <v>12658091</v>
      </c>
      <c r="AD86" s="426">
        <f t="shared" si="48"/>
        <v>1054840.9166666667</v>
      </c>
    </row>
    <row r="87" spans="1:30" ht="19.5" customHeight="1" x14ac:dyDescent="0.15">
      <c r="A87" t="s">
        <v>786</v>
      </c>
      <c r="B87" t="s">
        <v>15</v>
      </c>
      <c r="C87" s="109"/>
      <c r="D87" s="68" t="s">
        <v>129</v>
      </c>
      <c r="E87" s="423">
        <f>IFERROR(GETPIVOTDATA("合計 / " &amp; $B87,【ピボット】事業所収支!$A$3,"年月",E$1,"事業所",$A87),0)</f>
        <v>337775</v>
      </c>
      <c r="F87" s="423">
        <f>IFERROR(GETPIVOTDATA("合計 / " &amp; $B87,【ピボット】事業所収支!$A$3,"年月",F$1,"事業所",$A87),0)</f>
        <v>672224</v>
      </c>
      <c r="G87" s="423">
        <f>IFERROR(GETPIVOTDATA("合計 / " &amp; $B87,【ピボット】事業所収支!$A$3,"年月",G$1,"事業所",$A87),0)</f>
        <v>568518</v>
      </c>
      <c r="H87" s="423">
        <f>IFERROR(GETPIVOTDATA("合計 / " &amp; $B87,【ピボット】事業所収支!$A$3,"年月",H$1,"事業所",$A87),0)</f>
        <v>373725</v>
      </c>
      <c r="I87" s="423">
        <f>IFERROR(GETPIVOTDATA("合計 / " &amp; $B87,【ピボット】事業所収支!$A$3,"年月",I$1,"事業所",$A87),0)</f>
        <v>352925</v>
      </c>
      <c r="J87" s="423">
        <f>IFERROR(GETPIVOTDATA("合計 / " &amp; $B87,【ピボット】事業所収支!$A$3,"年月",J$1,"事業所",$A87),0)</f>
        <v>360225</v>
      </c>
      <c r="K87" s="423">
        <f>IFERROR(GETPIVOTDATA("合計 / " &amp; $B87,【ピボット】事業所収支!$A$3,"年月",K$1,"事業所",$A87),0)</f>
        <v>332700</v>
      </c>
      <c r="L87" s="423">
        <f>IFERROR(GETPIVOTDATA("合計 / " &amp; $B87,【ピボット】事業所収支!$A$3,"年月",L$1,"事業所",$A87),0)</f>
        <v>366550</v>
      </c>
      <c r="M87" s="423">
        <f>IFERROR(GETPIVOTDATA("合計 / " &amp; $B87,【ピボット】事業所収支!$A$3,"年月",M$1,"事業所",$A87),0)</f>
        <v>285100</v>
      </c>
      <c r="N87" s="423">
        <f>IFERROR(GETPIVOTDATA("合計 / " &amp; $B87,【ピボット】事業所収支!$A$3,"年月",N$1,"事業所",$A87),0)</f>
        <v>254875</v>
      </c>
      <c r="O87" s="423">
        <f>IFERROR(GETPIVOTDATA("合計 / " &amp; $B87,【ピボット】事業所収支!$A$3,"年月",O$1,"事業所",$A87),0)</f>
        <v>301575</v>
      </c>
      <c r="P87" s="423">
        <f>IFERROR(GETPIVOTDATA("合計 / " &amp; $B87,【ピボット】事業所収支!$A$3,"年月",P$1,"事業所",$A87),0)</f>
        <v>285775</v>
      </c>
      <c r="Q87" s="423">
        <f>IFERROR(GETPIVOTDATA("合計 / " &amp; $B87,【ピボット】事業所収支!$A$3,"年月",Q$1,"事業所",$A87),0)</f>
        <v>303275</v>
      </c>
      <c r="R87" s="423">
        <f>IFERROR(GETPIVOTDATA("合計 / " &amp; $B87,【ピボット】事業所収支!$A$3,"年月",R$1,"事業所",$A87),0)</f>
        <v>299100</v>
      </c>
      <c r="S87" s="423">
        <f>IFERROR(GETPIVOTDATA("合計 / " &amp; $B87,【ピボット】事業所収支!$A$3,"年月",S$1,"事業所",$A87),0)</f>
        <v>302725</v>
      </c>
      <c r="T87" s="423">
        <f>IFERROR(GETPIVOTDATA("合計 / " &amp; $B87,【ピボット】事業所収支!$A$3,"年月",T$1,"事業所",$A87),0)</f>
        <v>307500</v>
      </c>
      <c r="U87" s="423">
        <f>IFERROR(GETPIVOTDATA("合計 / " &amp; $B87,【ピボット】事業所収支!$A$3,"年月",U$1,"事業所",$A87),0)</f>
        <v>290550</v>
      </c>
      <c r="V87" s="423">
        <f>IFERROR(GETPIVOTDATA("合計 / " &amp; $B87,【ピボット】事業所収支!$A$3,"年月",V$1,"事業所",$A87),0)</f>
        <v>315275</v>
      </c>
      <c r="W87" s="423">
        <f>IFERROR(GETPIVOTDATA("合計 / " &amp; $B87,【ピボット】事業所収支!$A$3,"年月",W$1,"事業所",$A87),0)</f>
        <v>251250</v>
      </c>
      <c r="X87" s="423">
        <f>IFERROR(GETPIVOTDATA("合計 / " &amp; $B87,【ピボット】事業所収支!$A$3,"年月",X$1,"事業所",$A87),0)</f>
        <v>227000</v>
      </c>
      <c r="Y87" s="423">
        <f>IFERROR(GETPIVOTDATA("合計 / " &amp; $B87,【ピボット】事業所収支!$A$3,"年月",Y$1,"事業所",$A87),0)</f>
        <v>238000</v>
      </c>
      <c r="Z87" s="423">
        <f>IFERROR(GETPIVOTDATA("合計 / " &amp; $B87,【ピボット】事業所収支!$A$3,"年月",Z$1,"事業所",$A87),0)</f>
        <v>199000</v>
      </c>
      <c r="AA87" s="423">
        <f>IFERROR(GETPIVOTDATA("合計 / " &amp; $B87,【ピボット】事業所収支!$A$3,"年月",AA$1,"事業所",$A87),0)</f>
        <v>219000</v>
      </c>
      <c r="AB87" s="423">
        <f>IFERROR(GETPIVOTDATA("合計 / " &amp; $B87,【ピボット】事業所収支!$A$3,"年月",AB$1,"事業所",$A87),0)</f>
        <v>209300</v>
      </c>
      <c r="AC87" s="424">
        <f t="shared" si="47"/>
        <v>3161975</v>
      </c>
      <c r="AD87" s="424">
        <f t="shared" si="48"/>
        <v>263497.91666666669</v>
      </c>
    </row>
    <row r="88" spans="1:30" ht="19.5" customHeight="1" x14ac:dyDescent="0.15">
      <c r="A88" t="s">
        <v>811</v>
      </c>
      <c r="B88" t="s">
        <v>1230</v>
      </c>
      <c r="C88" s="109"/>
      <c r="D88" s="68" t="s">
        <v>130</v>
      </c>
      <c r="E88" s="423">
        <f>IFERROR(GETPIVOTDATA("合計 / " &amp; $B88,【ピボット】事業所収支!$A$3,"年月",E$1,"事業所",$A88),0)</f>
        <v>353105</v>
      </c>
      <c r="F88" s="423">
        <f>IFERROR(GETPIVOTDATA("合計 / " &amp; $B88,【ピボット】事業所収支!$A$3,"年月",F$1,"事業所",$A88),0)</f>
        <v>298938</v>
      </c>
      <c r="G88" s="423">
        <f>IFERROR(GETPIVOTDATA("合計 / " &amp; $B88,【ピボット】事業所収支!$A$3,"年月",G$1,"事業所",$A88),0)</f>
        <v>307050</v>
      </c>
      <c r="H88" s="423">
        <f>IFERROR(GETPIVOTDATA("合計 / " &amp; $B88,【ピボット】事業所収支!$A$3,"年月",H$1,"事業所",$A88),0)</f>
        <v>306079</v>
      </c>
      <c r="I88" s="423">
        <f>IFERROR(GETPIVOTDATA("合計 / " &amp; $B88,【ピボット】事業所収支!$A$3,"年月",I$1,"事業所",$A88),0)</f>
        <v>265479</v>
      </c>
      <c r="J88" s="423">
        <f>IFERROR(GETPIVOTDATA("合計 / " &amp; $B88,【ピボット】事業所収支!$A$3,"年月",J$1,"事業所",$A88),0)</f>
        <v>183340</v>
      </c>
      <c r="K88" s="423">
        <f>IFERROR(GETPIVOTDATA("合計 / " &amp; $B88,【ピボット】事業所収支!$A$3,"年月",K$1,"事業所",$A88),0)</f>
        <v>233991</v>
      </c>
      <c r="L88" s="423">
        <f>IFERROR(GETPIVOTDATA("合計 / " &amp; $B88,【ピボット】事業所収支!$A$3,"年月",L$1,"事業所",$A88),0)</f>
        <v>175504</v>
      </c>
      <c r="M88" s="423">
        <f>IFERROR(GETPIVOTDATA("合計 / " &amp; $B88,【ピボット】事業所収支!$A$3,"年月",M$1,"事業所",$A88),0)</f>
        <v>179603</v>
      </c>
      <c r="N88" s="423">
        <f>IFERROR(GETPIVOTDATA("合計 / " &amp; $B88,【ピボット】事業所収支!$A$3,"年月",N$1,"事業所",$A88),0)</f>
        <v>178705</v>
      </c>
      <c r="O88" s="423">
        <f>IFERROR(GETPIVOTDATA("合計 / " &amp; $B88,【ピボット】事業所収支!$A$3,"年月",O$1,"事業所",$A88),0)</f>
        <v>322423</v>
      </c>
      <c r="P88" s="423">
        <f>IFERROR(GETPIVOTDATA("合計 / " &amp; $B88,【ピボット】事業所収支!$A$3,"年月",P$1,"事業所",$A88),0)</f>
        <v>182111</v>
      </c>
      <c r="Q88" s="423">
        <f>IFERROR(GETPIVOTDATA("合計 / " &amp; $B88,【ピボット】事業所収支!$A$3,"年月",Q$1,"事業所",$A88),0)</f>
        <v>184675</v>
      </c>
      <c r="R88" s="423">
        <f>IFERROR(GETPIVOTDATA("合計 / " &amp; $B88,【ピボット】事業所収支!$A$3,"年月",R$1,"事業所",$A88),0)</f>
        <v>176539</v>
      </c>
      <c r="S88" s="423">
        <f>IFERROR(GETPIVOTDATA("合計 / " &amp; $B88,【ピボット】事業所収支!$A$3,"年月",S$1,"事業所",$A88),0)</f>
        <v>173186</v>
      </c>
      <c r="T88" s="423">
        <f>IFERROR(GETPIVOTDATA("合計 / " &amp; $B88,【ピボット】事業所収支!$A$3,"年月",T$1,"事業所",$A88),0)</f>
        <v>155590</v>
      </c>
      <c r="U88" s="423">
        <f>IFERROR(GETPIVOTDATA("合計 / " &amp; $B88,【ピボット】事業所収支!$A$3,"年月",U$1,"事業所",$A88),0)</f>
        <v>155385</v>
      </c>
      <c r="V88" s="423">
        <f>IFERROR(GETPIVOTDATA("合計 / " &amp; $B88,【ピボット】事業所収支!$A$3,"年月",V$1,"事業所",$A88),0)</f>
        <v>192786</v>
      </c>
      <c r="W88" s="423">
        <f>IFERROR(GETPIVOTDATA("合計 / " &amp; $B88,【ピボット】事業所収支!$A$3,"年月",W$1,"事業所",$A88),0)</f>
        <v>127769</v>
      </c>
      <c r="X88" s="423">
        <f>IFERROR(GETPIVOTDATA("合計 / " &amp; $B88,【ピボット】事業所収支!$A$3,"年月",X$1,"事業所",$A88),0)</f>
        <v>124309</v>
      </c>
      <c r="Y88" s="423">
        <f>IFERROR(GETPIVOTDATA("合計 / " &amp; $B88,【ピボット】事業所収支!$A$3,"年月",Y$1,"事業所",$A88),0)</f>
        <v>123007</v>
      </c>
      <c r="Z88" s="423">
        <f>IFERROR(GETPIVOTDATA("合計 / " &amp; $B88,【ピボット】事業所収支!$A$3,"年月",Z$1,"事業所",$A88),0)</f>
        <v>127781</v>
      </c>
      <c r="AA88" s="423">
        <f>IFERROR(GETPIVOTDATA("合計 / " &amp; $B88,【ピボット】事業所収支!$A$3,"年月",AA$1,"事業所",$A88),0)</f>
        <v>154379</v>
      </c>
      <c r="AB88" s="423">
        <f>IFERROR(GETPIVOTDATA("合計 / " &amp; $B88,【ピボット】事業所収支!$A$3,"年月",AB$1,"事業所",$A88),0)</f>
        <v>121870</v>
      </c>
      <c r="AC88" s="424">
        <f t="shared" si="47"/>
        <v>1817276</v>
      </c>
      <c r="AD88" s="424">
        <f t="shared" si="48"/>
        <v>151439.66666666666</v>
      </c>
    </row>
    <row r="89" spans="1:30" ht="19.5" customHeight="1" thickBot="1" x14ac:dyDescent="0.2">
      <c r="C89" s="110"/>
      <c r="D89" s="113" t="s">
        <v>138</v>
      </c>
      <c r="E89" s="427">
        <f t="shared" ref="E89:K89" si="51">SUM(E86)-SUM(E87:E88)</f>
        <v>-472533</v>
      </c>
      <c r="F89" s="427">
        <f t="shared" si="51"/>
        <v>-200106</v>
      </c>
      <c r="G89" s="427">
        <f t="shared" si="51"/>
        <v>225924</v>
      </c>
      <c r="H89" s="427">
        <f t="shared" si="51"/>
        <v>321688</v>
      </c>
      <c r="I89" s="427">
        <f t="shared" si="51"/>
        <v>396974</v>
      </c>
      <c r="J89" s="427">
        <f t="shared" si="51"/>
        <v>517927</v>
      </c>
      <c r="K89" s="427">
        <f t="shared" si="51"/>
        <v>434101</v>
      </c>
      <c r="L89" s="427">
        <f t="shared" ref="L89:AB89" si="52">SUM(L86)-SUM(L87:L88)</f>
        <v>519438</v>
      </c>
      <c r="M89" s="427">
        <f t="shared" si="52"/>
        <v>551389</v>
      </c>
      <c r="N89" s="427">
        <f t="shared" si="52"/>
        <v>506342</v>
      </c>
      <c r="O89" s="427">
        <f t="shared" si="52"/>
        <v>581838</v>
      </c>
      <c r="P89" s="427">
        <f t="shared" si="52"/>
        <v>570574</v>
      </c>
      <c r="Q89" s="427">
        <f t="shared" si="52"/>
        <v>662845</v>
      </c>
      <c r="R89" s="427">
        <f t="shared" si="52"/>
        <v>578417</v>
      </c>
      <c r="S89" s="427">
        <f t="shared" si="52"/>
        <v>609357</v>
      </c>
      <c r="T89" s="427">
        <f t="shared" si="52"/>
        <v>460909</v>
      </c>
      <c r="U89" s="427">
        <f t="shared" si="52"/>
        <v>604150</v>
      </c>
      <c r="V89" s="427">
        <f t="shared" si="52"/>
        <v>579596</v>
      </c>
      <c r="W89" s="427">
        <f t="shared" si="52"/>
        <v>691217</v>
      </c>
      <c r="X89" s="427">
        <f t="shared" si="52"/>
        <v>751133</v>
      </c>
      <c r="Y89" s="427">
        <f t="shared" si="52"/>
        <v>995435</v>
      </c>
      <c r="Z89" s="427">
        <f t="shared" si="52"/>
        <v>679055</v>
      </c>
      <c r="AA89" s="427">
        <f t="shared" si="52"/>
        <v>600414</v>
      </c>
      <c r="AB89" s="427">
        <f t="shared" si="52"/>
        <v>466312</v>
      </c>
      <c r="AC89" s="428">
        <f t="shared" si="47"/>
        <v>7678840</v>
      </c>
      <c r="AD89" s="428">
        <f t="shared" si="48"/>
        <v>639903.33333333337</v>
      </c>
    </row>
    <row r="90" spans="1:30" ht="19.5" customHeight="1" x14ac:dyDescent="0.15">
      <c r="A90" t="s">
        <v>329</v>
      </c>
      <c r="B90" t="s">
        <v>860</v>
      </c>
      <c r="C90" s="107" t="s">
        <v>374</v>
      </c>
      <c r="D90" s="67" t="s">
        <v>126</v>
      </c>
      <c r="E90" s="419">
        <f>IFERROR(GETPIVOTDATA("合計 / " &amp; $B90,【ピボット】国保連売上!$A$3,"年月",E$1,"事業所",$A90,"請求区分","単月"),0)</f>
        <v>0</v>
      </c>
      <c r="F90" s="419">
        <f>IFERROR(GETPIVOTDATA("合計 / " &amp; $B90,【ピボット】国保連売上!$A$3,"年月",F$1,"事業所",$A90,"請求区分","単月"),0)</f>
        <v>1647056</v>
      </c>
      <c r="G90" s="419">
        <f>IFERROR(GETPIVOTDATA("合計 / " &amp; $B90,【ピボット】国保連売上!$A$3,"年月",G$1,"事業所",$A90,"請求区分","単月"),0)</f>
        <v>1874549</v>
      </c>
      <c r="H90" s="419">
        <f>IFERROR(GETPIVOTDATA("合計 / " &amp; $B90,【ピボット】国保連売上!$A$3,"年月",H$1,"事業所",$A90,"請求区分","単月"),0)</f>
        <v>2107435</v>
      </c>
      <c r="I90" s="419">
        <f>IFERROR(GETPIVOTDATA("合計 / " &amp; $B90,【ピボット】国保連売上!$A$3,"年月",I$1,"事業所",$A90,"請求区分","単月"),0)</f>
        <v>2099753</v>
      </c>
      <c r="J90" s="419">
        <f>IFERROR(GETPIVOTDATA("合計 / " &amp; $B90,【ピボット】国保連売上!$A$3,"年月",J$1,"事業所",$A90,"請求区分","単月"),0)</f>
        <v>2389370</v>
      </c>
      <c r="K90" s="419">
        <f>IFERROR(GETPIVOTDATA("合計 / " &amp; $B90,【ピボット】国保連売上!$A$3,"年月",K$1,"事業所",$A90,"請求区分","単月"),0)</f>
        <v>2385860</v>
      </c>
      <c r="L90" s="419">
        <f>IFERROR(GETPIVOTDATA("合計 / " &amp; $B90,【ピボット】国保連売上!$A$3,"年月",L$1,"事業所",$A90,"請求区分","単月"),0)</f>
        <v>2448469</v>
      </c>
      <c r="M90" s="419">
        <f>IFERROR(GETPIVOTDATA("合計 / " &amp; $B90,【ピボット】国保連売上!$A$3,"年月",M$1,"事業所",$A90,"請求区分","単月"),0)</f>
        <v>2396635</v>
      </c>
      <c r="N90" s="419">
        <f>IFERROR(GETPIVOTDATA("合計 / " &amp; $B90,【ピボット】国保連売上!$A$3,"年月",N$1,"事業所",$A90,"請求区分","単月"),0)</f>
        <v>2200178</v>
      </c>
      <c r="O90" s="419">
        <f>IFERROR(GETPIVOTDATA("合計 / " &amp; $B90,【ピボット】国保連売上!$A$3,"年月",O$1,"事業所",$A90,"請求区分","単月"),0)</f>
        <v>2426031</v>
      </c>
      <c r="P90" s="419">
        <f>IFERROR(GETPIVOTDATA("合計 / " &amp; $B90,【ピボット】国保連売上!$A$3,"年月",P$1,"事業所",$A90,"請求区分","単月"),0)</f>
        <v>2405342</v>
      </c>
      <c r="Q90" s="419">
        <f>IFERROR(GETPIVOTDATA("合計 / " &amp; $B90,【ピボット】国保連売上!$A$3,"年月",Q$1,"事業所",$A90,"請求区分","単月"),0)</f>
        <v>2474409</v>
      </c>
      <c r="R90" s="419">
        <f>IFERROR(GETPIVOTDATA("合計 / " &amp; $B90,【ピボット】国保連売上!$A$3,"年月",R$1,"事業所",$A90,"請求区分","単月"),0)</f>
        <v>2397545</v>
      </c>
      <c r="S90" s="419">
        <f>IFERROR(GETPIVOTDATA("合計 / " &amp; $B90,【ピボット】国保連売上!$A$3,"年月",S$1,"事業所",$A90,"請求区分","単月"),0)</f>
        <v>2449461</v>
      </c>
      <c r="T90" s="419">
        <f>IFERROR(GETPIVOTDATA("合計 / " &amp; $B90,【ピボット】国保連売上!$A$3,"年月",T$1,"事業所",$A90,"請求区分","単月"),0)</f>
        <v>2198275</v>
      </c>
      <c r="U90" s="419">
        <f>IFERROR(GETPIVOTDATA("合計 / " &amp; $B90,【ピボット】国保連売上!$A$3,"年月",U$1,"事業所",$A90,"請求区分","単月"),0)</f>
        <v>2292635</v>
      </c>
      <c r="V90" s="419">
        <f>IFERROR(GETPIVOTDATA("合計 / " &amp; $B90,【ピボット】国保連売上!$A$3,"年月",V$1,"事業所",$A90,"請求区分","単月"),0)</f>
        <v>2500912</v>
      </c>
      <c r="W90" s="419">
        <f>IFERROR(GETPIVOTDATA("合計 / " &amp; $B90,【ピボット】国保連売上!$A$3,"年月",W$1,"事業所",$A90,"請求区分","単月"),0)</f>
        <v>2443866</v>
      </c>
      <c r="X90" s="419">
        <f>IFERROR(GETPIVOTDATA("合計 / " &amp; $B90,【ピボット】国保連売上!$A$3,"年月",X$1,"事業所",$A90,"請求区分","単月"),0)</f>
        <v>2507684</v>
      </c>
      <c r="Y90" s="419">
        <f>IFERROR(GETPIVOTDATA("合計 / " &amp; $B90,【ピボット】国保連売上!$A$3,"年月",Y$1,"事業所",$A90,"請求区分","単月"),0)</f>
        <v>2515481</v>
      </c>
      <c r="Z90" s="419">
        <f>IFERROR(GETPIVOTDATA("合計 / " &amp; $B90,【ピボット】国保連売上!$A$3,"年月",Z$1,"事業所",$A90,"請求区分","単月"),0)</f>
        <v>1944130</v>
      </c>
      <c r="AA90" s="419">
        <f>IFERROR(GETPIVOTDATA("合計 / " &amp; $B90,【ピボット】国保連売上!$A$3,"年月",AA$1,"事業所",$A90,"請求区分","単月"),0)</f>
        <v>1927185</v>
      </c>
      <c r="AB90" s="419">
        <f>IFERROR(GETPIVOTDATA("合計 / " &amp; $B90,【ピボット】国保連売上!$A$3,"年月",AB$1,"事業所",$A90,"請求区分","単月"),0)</f>
        <v>2032333</v>
      </c>
      <c r="AC90" s="420">
        <f t="shared" si="47"/>
        <v>27683916</v>
      </c>
      <c r="AD90" s="420">
        <f t="shared" si="48"/>
        <v>2306993</v>
      </c>
    </row>
    <row r="91" spans="1:30" ht="19.5" customHeight="1" x14ac:dyDescent="0.15">
      <c r="A91" t="s">
        <v>329</v>
      </c>
      <c r="B91" t="s">
        <v>861</v>
      </c>
      <c r="C91" s="108" t="s">
        <v>331</v>
      </c>
      <c r="D91" s="69" t="s">
        <v>137</v>
      </c>
      <c r="E91" s="421">
        <f>IFERROR(GETPIVOTDATA("合計 / " &amp; $B91,【ピボット】国保連売上!$A$3,"年月",E$1,"事業所",$A91,"請求区分","単月"),0)</f>
        <v>0</v>
      </c>
      <c r="F91" s="421">
        <f>IFERROR(GETPIVOTDATA("合計 / " &amp; $B91,【ピボット】国保連売上!$A$3,"年月",F$1,"事業所",$A91,"請求区分","単月"),0)</f>
        <v>0</v>
      </c>
      <c r="G91" s="421">
        <f>IFERROR(GETPIVOTDATA("合計 / " &amp; $B91,【ピボット】国保連売上!$A$3,"年月",G$1,"事業所",$A91,"請求区分","単月"),0)</f>
        <v>0</v>
      </c>
      <c r="H91" s="421">
        <f>IFERROR(GETPIVOTDATA("合計 / " &amp; $B91,【ピボット】国保連売上!$A$3,"年月",H$1,"事業所",$A91,"請求区分","単月"),0)</f>
        <v>0</v>
      </c>
      <c r="I91" s="421">
        <f>IFERROR(GETPIVOTDATA("合計 / " &amp; $B91,【ピボット】国保連売上!$A$3,"年月",I$1,"事業所",$A91,"請求区分","単月"),0)</f>
        <v>0</v>
      </c>
      <c r="J91" s="421">
        <f>IFERROR(GETPIVOTDATA("合計 / " &amp; $B91,【ピボット】国保連売上!$A$3,"年月",J$1,"事業所",$A91,"請求区分","単月"),0)</f>
        <v>0</v>
      </c>
      <c r="K91" s="421">
        <f>IFERROR(GETPIVOTDATA("合計 / " &amp; $B91,【ピボット】国保連売上!$A$3,"年月",K$1,"事業所",$A91,"請求区分","単月"),0)</f>
        <v>0</v>
      </c>
      <c r="L91" s="421">
        <f>IFERROR(GETPIVOTDATA("合計 / " &amp; $B91,【ピボット】国保連売上!$A$3,"年月",L$1,"事業所",$A91,"請求区分","単月"),0)</f>
        <v>0</v>
      </c>
      <c r="M91" s="421">
        <f>IFERROR(GETPIVOTDATA("合計 / " &amp; $B91,【ピボット】国保連売上!$A$3,"年月",M$1,"事業所",$A91,"請求区分","単月"),0)</f>
        <v>0</v>
      </c>
      <c r="N91" s="421">
        <f>IFERROR(GETPIVOTDATA("合計 / " &amp; $B91,【ピボット】国保連売上!$A$3,"年月",N$1,"事業所",$A91,"請求区分","単月"),0)</f>
        <v>0</v>
      </c>
      <c r="O91" s="421">
        <f>IFERROR(GETPIVOTDATA("合計 / " &amp; $B91,【ピボット】国保連売上!$A$3,"年月",O$1,"事業所",$A91,"請求区分","単月"),0)</f>
        <v>0</v>
      </c>
      <c r="P91" s="421">
        <f>IFERROR(GETPIVOTDATA("合計 / " &amp; $B91,【ピボット】国保連売上!$A$3,"年月",P$1,"事業所",$A91,"請求区分","単月"),0)</f>
        <v>0</v>
      </c>
      <c r="Q91" s="421">
        <f>IFERROR(GETPIVOTDATA("合計 / " &amp; $B91,【ピボット】国保連売上!$A$3,"年月",Q$1,"事業所",$A91,"請求区分","単月"),0)</f>
        <v>0</v>
      </c>
      <c r="R91" s="421">
        <f>IFERROR(GETPIVOTDATA("合計 / " &amp; $B91,【ピボット】国保連売上!$A$3,"年月",R$1,"事業所",$A91,"請求区分","単月"),0)</f>
        <v>0</v>
      </c>
      <c r="S91" s="421">
        <f>IFERROR(GETPIVOTDATA("合計 / " &amp; $B91,【ピボット】国保連売上!$A$3,"年月",S$1,"事業所",$A91,"請求区分","単月"),0)</f>
        <v>0</v>
      </c>
      <c r="T91" s="421">
        <f>IFERROR(GETPIVOTDATA("合計 / " &amp; $B91,【ピボット】国保連売上!$A$3,"年月",T$1,"事業所",$A91,"請求区分","単月"),0)</f>
        <v>0</v>
      </c>
      <c r="U91" s="421">
        <f>IFERROR(GETPIVOTDATA("合計 / " &amp; $B91,【ピボット】国保連売上!$A$3,"年月",U$1,"事業所",$A91,"請求区分","単月"),0)</f>
        <v>0</v>
      </c>
      <c r="V91" s="421">
        <f>IFERROR(GETPIVOTDATA("合計 / " &amp; $B91,【ピボット】国保連売上!$A$3,"年月",V$1,"事業所",$A91,"請求区分","単月"),0)</f>
        <v>0</v>
      </c>
      <c r="W91" s="421">
        <f>IFERROR(GETPIVOTDATA("合計 / " &amp; $B91,【ピボット】国保連売上!$A$3,"年月",W$1,"事業所",$A91,"請求区分","単月"),0)</f>
        <v>0</v>
      </c>
      <c r="X91" s="421">
        <f>IFERROR(GETPIVOTDATA("合計 / " &amp; $B91,【ピボット】国保連売上!$A$3,"年月",X$1,"事業所",$A91,"請求区分","単月"),0)</f>
        <v>0</v>
      </c>
      <c r="Y91" s="421">
        <f>IFERROR(GETPIVOTDATA("合計 / " &amp; $B91,【ピボット】国保連売上!$A$3,"年月",Y$1,"事業所",$A91,"請求区分","単月"),0)</f>
        <v>0</v>
      </c>
      <c r="Z91" s="421">
        <f>IFERROR(GETPIVOTDATA("合計 / " &amp; $B91,【ピボット】国保連売上!$A$3,"年月",Z$1,"事業所",$A91,"請求区分","単月"),0)</f>
        <v>0</v>
      </c>
      <c r="AA91" s="421">
        <f>IFERROR(GETPIVOTDATA("合計 / " &amp; $B91,【ピボット】国保連売上!$A$3,"年月",AA$1,"事業所",$A91,"請求区分","単月"),0)</f>
        <v>0</v>
      </c>
      <c r="AB91" s="421">
        <f>IFERROR(GETPIVOTDATA("合計 / " &amp; $B91,【ピボット】国保連売上!$A$3,"年月",AB$1,"事業所",$A91,"請求区分","単月"),0)</f>
        <v>0</v>
      </c>
      <c r="AC91" s="422">
        <f t="shared" si="47"/>
        <v>0</v>
      </c>
      <c r="AD91" s="422">
        <f t="shared" si="48"/>
        <v>0</v>
      </c>
    </row>
    <row r="92" spans="1:30" ht="19.5" customHeight="1" x14ac:dyDescent="0.15">
      <c r="A92" t="s">
        <v>329</v>
      </c>
      <c r="B92" t="s">
        <v>862</v>
      </c>
      <c r="C92" s="109"/>
      <c r="D92" s="68" t="s">
        <v>127</v>
      </c>
      <c r="E92" s="423">
        <f>IFERROR(GETPIVOTDATA("合計 / " &amp; $B92,【ピボット】国保連売上!$A$3,"年月",E$1,"事業所",$A92,"請求区分","単月"),0)</f>
        <v>0</v>
      </c>
      <c r="F92" s="423">
        <f>IFERROR(GETPIVOTDATA("合計 / " &amp; $B92,【ピボット】国保連売上!$A$3,"年月",F$1,"事業所",$A92,"請求区分","単月"),0)</f>
        <v>0</v>
      </c>
      <c r="G92" s="423">
        <f>IFERROR(GETPIVOTDATA("合計 / " &amp; $B92,【ピボット】国保連売上!$A$3,"年月",G$1,"事業所",$A92,"請求区分","単月"),0)</f>
        <v>-217608</v>
      </c>
      <c r="H92" s="423">
        <f>IFERROR(GETPIVOTDATA("合計 / " &amp; $B92,【ピボット】国保連売上!$A$3,"年月",H$1,"事業所",$A92,"請求区分","単月"),0)</f>
        <v>-282238</v>
      </c>
      <c r="I92" s="423">
        <f>IFERROR(GETPIVOTDATA("合計 / " &amp; $B92,【ピボット】国保連売上!$A$3,"年月",I$1,"事業所",$A92,"請求区分","単月"),0)</f>
        <v>-210912</v>
      </c>
      <c r="J92" s="423">
        <f>IFERROR(GETPIVOTDATA("合計 / " &amp; $B92,【ピボット】国保連売上!$A$3,"年月",J$1,"事業所",$A92,"請求区分","単月"),0)</f>
        <v>0</v>
      </c>
      <c r="K92" s="423">
        <f>IFERROR(GETPIVOTDATA("合計 / " &amp; $B92,【ピボット】国保連売上!$A$3,"年月",K$1,"事業所",$A92,"請求区分","単月"),0)</f>
        <v>0</v>
      </c>
      <c r="L92" s="423">
        <f>IFERROR(GETPIVOTDATA("合計 / " &amp; $B92,【ピボット】国保連売上!$A$3,"年月",L$1,"事業所",$A92,"請求区分","単月"),0)</f>
        <v>0</v>
      </c>
      <c r="M92" s="423">
        <f>IFERROR(GETPIVOTDATA("合計 / " &amp; $B92,【ピボット】国保連売上!$A$3,"年月",M$1,"事業所",$A92,"請求区分","単月"),0)</f>
        <v>0</v>
      </c>
      <c r="N92" s="423">
        <f>IFERROR(GETPIVOTDATA("合計 / " &amp; $B92,【ピボット】国保連売上!$A$3,"年月",N$1,"事業所",$A92,"請求区分","単月"),0)</f>
        <v>0</v>
      </c>
      <c r="O92" s="423">
        <f>IFERROR(GETPIVOTDATA("合計 / " &amp; $B92,【ピボット】国保連売上!$A$3,"年月",O$1,"事業所",$A92,"請求区分","単月"),0)</f>
        <v>0</v>
      </c>
      <c r="P92" s="423">
        <f>IFERROR(GETPIVOTDATA("合計 / " &amp; $B92,【ピボット】国保連売上!$A$3,"年月",P$1,"事業所",$A92,"請求区分","単月"),0)</f>
        <v>0</v>
      </c>
      <c r="Q92" s="423">
        <f>IFERROR(GETPIVOTDATA("合計 / " &amp; $B92,【ピボット】国保連売上!$A$3,"年月",Q$1,"事業所",$A92,"請求区分","単月"),0)</f>
        <v>0</v>
      </c>
      <c r="R92" s="423">
        <f>IFERROR(GETPIVOTDATA("合計 / " &amp; $B92,【ピボット】国保連売上!$A$3,"年月",R$1,"事業所",$A92,"請求区分","単月"),0)</f>
        <v>-228527</v>
      </c>
      <c r="S92" s="423">
        <f>IFERROR(GETPIVOTDATA("合計 / " &amp; $B92,【ピボット】国保連売上!$A$3,"年月",S$1,"事業所",$A92,"請求区分","単月"),0)</f>
        <v>0</v>
      </c>
      <c r="T92" s="423">
        <f>IFERROR(GETPIVOTDATA("合計 / " &amp; $B92,【ピボット】国保連売上!$A$3,"年月",T$1,"事業所",$A92,"請求区分","単月"),0)</f>
        <v>0</v>
      </c>
      <c r="U92" s="423">
        <f>IFERROR(GETPIVOTDATA("合計 / " &amp; $B92,【ピボット】国保連売上!$A$3,"年月",U$1,"事業所",$A92,"請求区分","単月"),0)</f>
        <v>0</v>
      </c>
      <c r="V92" s="423">
        <f>IFERROR(GETPIVOTDATA("合計 / " &amp; $B92,【ピボット】国保連売上!$A$3,"年月",V$1,"事業所",$A92,"請求区分","単月"),0)</f>
        <v>0</v>
      </c>
      <c r="W92" s="423">
        <f>IFERROR(GETPIVOTDATA("合計 / " &amp; $B92,【ピボット】国保連売上!$A$3,"年月",W$1,"事業所",$A92,"請求区分","単月"),0)</f>
        <v>0</v>
      </c>
      <c r="X92" s="423">
        <f>IFERROR(GETPIVOTDATA("合計 / " &amp; $B92,【ピボット】国保連売上!$A$3,"年月",X$1,"事業所",$A92,"請求区分","単月"),0)</f>
        <v>0</v>
      </c>
      <c r="Y92" s="423">
        <f>IFERROR(GETPIVOTDATA("合計 / " &amp; $B92,【ピボット】国保連売上!$A$3,"年月",Y$1,"事業所",$A92,"請求区分","単月"),0)</f>
        <v>0</v>
      </c>
      <c r="Z92" s="423">
        <f>IFERROR(GETPIVOTDATA("合計 / " &amp; $B92,【ピボット】国保連売上!$A$3,"年月",Z$1,"事業所",$A92,"請求区分","単月"),0)</f>
        <v>-213958</v>
      </c>
      <c r="AA92" s="423">
        <f>IFERROR(GETPIVOTDATA("合計 / " &amp; $B92,【ピボット】国保連売上!$A$3,"年月",AA$1,"事業所",$A92,"請求区分","単月"),0)</f>
        <v>-235817</v>
      </c>
      <c r="AB92" s="421">
        <f>IFERROR(GETPIVOTDATA("合計 / " &amp; $B92,【ピボット】国保連売上!$A$3,"年月",AB$1,"事業所",$A92,"請求区分","単月"),0)</f>
        <v>0</v>
      </c>
      <c r="AC92" s="424">
        <f t="shared" si="47"/>
        <v>-678302</v>
      </c>
      <c r="AD92" s="424">
        <f t="shared" si="48"/>
        <v>-56525.166666666664</v>
      </c>
    </row>
    <row r="93" spans="1:30" ht="19.5" customHeight="1" x14ac:dyDescent="0.15">
      <c r="A93" t="s">
        <v>329</v>
      </c>
      <c r="B93" t="s">
        <v>815</v>
      </c>
      <c r="C93" s="109"/>
      <c r="D93" s="68" t="s">
        <v>128</v>
      </c>
      <c r="E93" s="423">
        <f>IFERROR(GETPIVOTDATA("合計 / " &amp; $B93,【ピボット】事業所売上!$A$3,"年月",E$1,"事業所",$A93),0)</f>
        <v>0</v>
      </c>
      <c r="F93" s="423">
        <f>IFERROR(GETPIVOTDATA("合計 / " &amp; $B93,【ピボット】事業所売上!$A$3,"年月",F$1,"事業所",$A93),0)</f>
        <v>293333</v>
      </c>
      <c r="G93" s="423">
        <f>IFERROR(GETPIVOTDATA("合計 / " &amp; $B93,【ピボット】事業所売上!$A$3,"年月",G$1,"事業所",$A93),0)</f>
        <v>308387</v>
      </c>
      <c r="H93" s="423">
        <f>IFERROR(GETPIVOTDATA("合計 / " &amp; $B93,【ピボット】事業所売上!$A$3,"年月",H$1,"事業所",$A93),0)</f>
        <v>170000</v>
      </c>
      <c r="I93" s="423">
        <f>IFERROR(GETPIVOTDATA("合計 / " &amp; $B93,【ピボット】事業所売上!$A$3,"年月",I$1,"事業所",$A93),0)</f>
        <v>200000</v>
      </c>
      <c r="J93" s="423">
        <f>IFERROR(GETPIVOTDATA("合計 / " &amp; $B93,【ピボット】事業所売上!$A$3,"年月",J$1,"事業所",$A93),0)</f>
        <v>240000</v>
      </c>
      <c r="K93" s="423">
        <f>IFERROR(GETPIVOTDATA("合計 / " &amp; $B93,【ピボット】事業所売上!$A$3,"年月",K$1,"事業所",$A93),0)</f>
        <v>320000</v>
      </c>
      <c r="L93" s="423">
        <f>IFERROR(GETPIVOTDATA("合計 / " &amp; $B93,【ピボット】事業所売上!$A$3,"年月",L$1,"事業所",$A93),0)</f>
        <v>300000</v>
      </c>
      <c r="M93" s="423">
        <f>IFERROR(GETPIVOTDATA("合計 / " &amp; $B93,【ピボット】事業所売上!$A$3,"年月",M$1,"事業所",$A93),0)</f>
        <v>300000</v>
      </c>
      <c r="N93" s="423">
        <f>IFERROR(GETPIVOTDATA("合計 / " &amp; $B93,【ピボット】事業所売上!$A$3,"年月",N$1,"事業所",$A93),0)</f>
        <v>370141</v>
      </c>
      <c r="O93" s="423">
        <f>IFERROR(GETPIVOTDATA("合計 / " &amp; $B93,【ピボット】事業所売上!$A$3,"年月",O$1,"事業所",$A93),0)</f>
        <v>393500</v>
      </c>
      <c r="P93" s="423">
        <f>IFERROR(GETPIVOTDATA("合計 / " &amp; $B93,【ピボット】事業所売上!$A$3,"年月",P$1,"事業所",$A93),0)</f>
        <v>348890</v>
      </c>
      <c r="Q93" s="423">
        <f>IFERROR(GETPIVOTDATA("合計 / " &amp; $B93,【ピボット】事業所売上!$A$3,"年月",Q$1,"事業所",$A93),0)</f>
        <v>1296616</v>
      </c>
      <c r="R93" s="423">
        <f>IFERROR(GETPIVOTDATA("合計 / " &amp; $B93,【ピボット】事業所売上!$A$3,"年月",R$1,"事業所",$A93),0)</f>
        <v>300000</v>
      </c>
      <c r="S93" s="423">
        <f>IFERROR(GETPIVOTDATA("合計 / " &amp; $B93,【ピボット】事業所売上!$A$3,"年月",S$1,"事業所",$A93),0)</f>
        <v>300000</v>
      </c>
      <c r="T93" s="423">
        <f>IFERROR(GETPIVOTDATA("合計 / " &amp; $B93,【ピボット】事業所売上!$A$3,"年月",T$1,"事業所",$A93),0)</f>
        <v>270000</v>
      </c>
      <c r="U93" s="423">
        <f>IFERROR(GETPIVOTDATA("合計 / " &amp; $B93,【ピボット】事業所売上!$A$3,"年月",U$1,"事業所",$A93),0)</f>
        <v>294750</v>
      </c>
      <c r="V93" s="423">
        <f>IFERROR(GETPIVOTDATA("合計 / " &amp; $B93,【ピボット】事業所売上!$A$3,"年月",V$1,"事業所",$A93),0)</f>
        <v>300000</v>
      </c>
      <c r="W93" s="423">
        <f>IFERROR(GETPIVOTDATA("合計 / " &amp; $B93,【ピボット】事業所売上!$A$3,"年月",W$1,"事業所",$A93),0)</f>
        <v>300000</v>
      </c>
      <c r="X93" s="423">
        <f>IFERROR(GETPIVOTDATA("合計 / " &amp; $B93,【ピボット】事業所売上!$A$3,"年月",X$1,"事業所",$A93),0)</f>
        <v>300000</v>
      </c>
      <c r="Y93" s="423">
        <f>IFERROR(GETPIVOTDATA("合計 / " &amp; $B93,【ピボット】事業所売上!$A$3,"年月",Y$1,"事業所",$A93),0)</f>
        <v>427000</v>
      </c>
      <c r="Z93" s="423">
        <f>IFERROR(GETPIVOTDATA("合計 / " &amp; $B93,【ピボット】事業所売上!$A$3,"年月",Z$1,"事業所",$A93),0)</f>
        <v>388263</v>
      </c>
      <c r="AA93" s="423">
        <f>IFERROR(GETPIVOTDATA("合計 / " &amp; $B93,【ピボット】事業所売上!$A$3,"年月",AA$1,"事業所",$A93),0)</f>
        <v>308139</v>
      </c>
      <c r="AB93" s="423">
        <f>IFERROR(GETPIVOTDATA("合計 / " &amp; $B93,【ピボット】事業所売上!$A$3,"年月",AB$1,"事業所",$A93),0)</f>
        <v>322010</v>
      </c>
      <c r="AC93" s="424">
        <f t="shared" si="47"/>
        <v>4806778</v>
      </c>
      <c r="AD93" s="424">
        <f t="shared" si="48"/>
        <v>400564.83333333331</v>
      </c>
    </row>
    <row r="94" spans="1:30" ht="19.5" customHeight="1" x14ac:dyDescent="0.15">
      <c r="A94" t="s">
        <v>329</v>
      </c>
      <c r="C94" s="109"/>
      <c r="D94" s="112" t="str">
        <f>C90 &amp; C91 &amp; "売上合計"</f>
        <v>GH西五所売上合計</v>
      </c>
      <c r="E94" s="425">
        <f>SUM(E90:E93)</f>
        <v>0</v>
      </c>
      <c r="F94" s="425">
        <f>SUM(F90:F93)</f>
        <v>1940389</v>
      </c>
      <c r="G94" s="425">
        <f t="shared" ref="G94:L94" si="53">SUM(G90:G93)</f>
        <v>1965328</v>
      </c>
      <c r="H94" s="425">
        <f t="shared" si="53"/>
        <v>1995197</v>
      </c>
      <c r="I94" s="425">
        <f t="shared" si="53"/>
        <v>2088841</v>
      </c>
      <c r="J94" s="425">
        <f t="shared" si="53"/>
        <v>2629370</v>
      </c>
      <c r="K94" s="425">
        <f t="shared" si="53"/>
        <v>2705860</v>
      </c>
      <c r="L94" s="425">
        <f t="shared" si="53"/>
        <v>2748469</v>
      </c>
      <c r="M94" s="425">
        <f t="shared" ref="M94:AA94" si="54">SUM(M90:M93)</f>
        <v>2696635</v>
      </c>
      <c r="N94" s="425">
        <f t="shared" si="54"/>
        <v>2570319</v>
      </c>
      <c r="O94" s="425">
        <f t="shared" si="54"/>
        <v>2819531</v>
      </c>
      <c r="P94" s="425">
        <f t="shared" si="54"/>
        <v>2754232</v>
      </c>
      <c r="Q94" s="425">
        <f t="shared" si="54"/>
        <v>3771025</v>
      </c>
      <c r="R94" s="425">
        <f t="shared" si="54"/>
        <v>2469018</v>
      </c>
      <c r="S94" s="425">
        <f t="shared" si="54"/>
        <v>2749461</v>
      </c>
      <c r="T94" s="425">
        <f t="shared" si="54"/>
        <v>2468275</v>
      </c>
      <c r="U94" s="425">
        <f t="shared" si="54"/>
        <v>2587385</v>
      </c>
      <c r="V94" s="425">
        <f t="shared" si="54"/>
        <v>2800912</v>
      </c>
      <c r="W94" s="425">
        <f t="shared" si="54"/>
        <v>2743866</v>
      </c>
      <c r="X94" s="425">
        <f t="shared" si="54"/>
        <v>2807684</v>
      </c>
      <c r="Y94" s="425">
        <f t="shared" si="54"/>
        <v>2942481</v>
      </c>
      <c r="Z94" s="425">
        <f t="shared" si="54"/>
        <v>2118435</v>
      </c>
      <c r="AA94" s="425">
        <f t="shared" si="54"/>
        <v>1999507</v>
      </c>
      <c r="AB94" s="425">
        <f>SUM(AB90:AB93)</f>
        <v>2354343</v>
      </c>
      <c r="AC94" s="426">
        <f t="shared" si="47"/>
        <v>31812392</v>
      </c>
      <c r="AD94" s="426">
        <f t="shared" si="48"/>
        <v>2651032.6666666665</v>
      </c>
    </row>
    <row r="95" spans="1:30" ht="19.5" customHeight="1" x14ac:dyDescent="0.15">
      <c r="A95" t="s">
        <v>329</v>
      </c>
      <c r="B95" t="s">
        <v>15</v>
      </c>
      <c r="C95" s="109"/>
      <c r="D95" s="68" t="s">
        <v>129</v>
      </c>
      <c r="E95" s="423">
        <f>IFERROR(GETPIVOTDATA("合計 / " &amp; $B95,【ピボット】事業所収支!$A$3,"年月",E$1,"事業所",$A95),0)</f>
        <v>64405</v>
      </c>
      <c r="F95" s="423">
        <f>IFERROR(GETPIVOTDATA("合計 / " &amp; $B95,【ピボット】事業所収支!$A$3,"年月",F$1,"事業所",$A95),0)</f>
        <v>619301</v>
      </c>
      <c r="G95" s="423">
        <f>IFERROR(GETPIVOTDATA("合計 / " &amp; $B95,【ピボット】事業所収支!$A$3,"年月",G$1,"事業所",$A95),0)</f>
        <v>789841</v>
      </c>
      <c r="H95" s="423">
        <f>IFERROR(GETPIVOTDATA("合計 / " &amp; $B95,【ピボット】事業所収支!$A$3,"年月",H$1,"事業所",$A95),0)</f>
        <v>785394</v>
      </c>
      <c r="I95" s="423">
        <f>IFERROR(GETPIVOTDATA("合計 / " &amp; $B95,【ピボット】事業所収支!$A$3,"年月",I$1,"事業所",$A95),0)</f>
        <v>708477</v>
      </c>
      <c r="J95" s="423">
        <f>IFERROR(GETPIVOTDATA("合計 / " &amp; $B95,【ピボット】事業所収支!$A$3,"年月",J$1,"事業所",$A95),0)</f>
        <v>673024</v>
      </c>
      <c r="K95" s="423">
        <f>IFERROR(GETPIVOTDATA("合計 / " &amp; $B95,【ピボット】事業所収支!$A$3,"年月",K$1,"事業所",$A95),0)</f>
        <v>710550</v>
      </c>
      <c r="L95" s="423">
        <f>IFERROR(GETPIVOTDATA("合計 / " &amp; $B95,【ピボット】事業所収支!$A$3,"年月",L$1,"事業所",$A95),0)</f>
        <v>680588.27100330812</v>
      </c>
      <c r="M95" s="423">
        <f>IFERROR(GETPIVOTDATA("合計 / " &amp; $B95,【ピボット】事業所収支!$A$3,"年月",M$1,"事業所",$A95),0)</f>
        <v>807871</v>
      </c>
      <c r="N95" s="423">
        <f>IFERROR(GETPIVOTDATA("合計 / " &amp; $B95,【ピボット】事業所収支!$A$3,"年月",N$1,"事業所",$A95),0)</f>
        <v>637625</v>
      </c>
      <c r="O95" s="423">
        <f>IFERROR(GETPIVOTDATA("合計 / " &amp; $B95,【ピボット】事業所収支!$A$3,"年月",O$1,"事業所",$A95),0)</f>
        <v>716957</v>
      </c>
      <c r="P95" s="423">
        <f>IFERROR(GETPIVOTDATA("合計 / " &amp; $B95,【ピボット】事業所収支!$A$3,"年月",P$1,"事業所",$A95),0)</f>
        <v>661124</v>
      </c>
      <c r="Q95" s="423">
        <f>IFERROR(GETPIVOTDATA("合計 / " &amp; $B95,【ピボット】事業所収支!$A$3,"年月",Q$1,"事業所",$A95),0)</f>
        <v>667563</v>
      </c>
      <c r="R95" s="423">
        <f>IFERROR(GETPIVOTDATA("合計 / " &amp; $B95,【ピボット】事業所収支!$A$3,"年月",R$1,"事業所",$A95),0)</f>
        <v>660185</v>
      </c>
      <c r="S95" s="423">
        <f>IFERROR(GETPIVOTDATA("合計 / " &amp; $B95,【ピボット】事業所収支!$A$3,"年月",S$1,"事業所",$A95),0)</f>
        <v>677214</v>
      </c>
      <c r="T95" s="423">
        <f>IFERROR(GETPIVOTDATA("合計 / " &amp; $B95,【ピボット】事業所収支!$A$3,"年月",T$1,"事業所",$A95),0)</f>
        <v>695777</v>
      </c>
      <c r="U95" s="423">
        <f>IFERROR(GETPIVOTDATA("合計 / " &amp; $B95,【ピボット】事業所収支!$A$3,"年月",U$1,"事業所",$A95),0)</f>
        <v>696938</v>
      </c>
      <c r="V95" s="423">
        <f>IFERROR(GETPIVOTDATA("合計 / " &amp; $B95,【ピボット】事業所収支!$A$3,"年月",V$1,"事業所",$A95),0)</f>
        <v>1032197</v>
      </c>
      <c r="W95" s="423">
        <f>IFERROR(GETPIVOTDATA("合計 / " &amp; $B95,【ピボット】事業所収支!$A$3,"年月",W$1,"事業所",$A95),0)</f>
        <v>1025805</v>
      </c>
      <c r="X95" s="423">
        <f>IFERROR(GETPIVOTDATA("合計 / " &amp; $B95,【ピボット】事業所収支!$A$3,"年月",X$1,"事業所",$A95),0)</f>
        <v>1281398</v>
      </c>
      <c r="Y95" s="423">
        <f>IFERROR(GETPIVOTDATA("合計 / " &amp; $B95,【ピボット】事業所収支!$A$3,"年月",Y$1,"事業所",$A95),0)</f>
        <v>1243543</v>
      </c>
      <c r="Z95" s="423">
        <f>IFERROR(GETPIVOTDATA("合計 / " &amp; $B95,【ピボット】事業所収支!$A$3,"年月",Z$1,"事業所",$A95),0)</f>
        <v>1079826</v>
      </c>
      <c r="AA95" s="423">
        <f>IFERROR(GETPIVOTDATA("合計 / " &amp; $B95,【ピボット】事業所収支!$A$3,"年月",AA$1,"事業所",$A95),0)</f>
        <v>1525918</v>
      </c>
      <c r="AB95" s="423">
        <f>IFERROR(GETPIVOTDATA("合計 / " &amp; $B95,【ピボット】事業所収支!$A$3,"年月",AB$1,"事業所",$A95),0)</f>
        <v>1449692</v>
      </c>
      <c r="AC95" s="424">
        <f t="shared" si="47"/>
        <v>12036056</v>
      </c>
      <c r="AD95" s="424">
        <f t="shared" si="48"/>
        <v>1003004.6666666666</v>
      </c>
    </row>
    <row r="96" spans="1:30" ht="19.5" customHeight="1" x14ac:dyDescent="0.15">
      <c r="A96" t="s">
        <v>812</v>
      </c>
      <c r="B96" t="s">
        <v>1232</v>
      </c>
      <c r="C96" s="109"/>
      <c r="D96" s="68" t="s">
        <v>130</v>
      </c>
      <c r="E96" s="423">
        <f>IFERROR(GETPIVOTDATA("合計 / " &amp; $B96,【ピボット】事業所収支!$A$3,"年月",E$1,"事業所",$A96),0)</f>
        <v>1127827</v>
      </c>
      <c r="F96" s="423">
        <f>IFERROR(GETPIVOTDATA("合計 / " &amp; $B96,【ピボット】事業所収支!$A$3,"年月",F$1,"事業所",$A96),0)</f>
        <v>693960</v>
      </c>
      <c r="G96" s="423">
        <f>IFERROR(GETPIVOTDATA("合計 / " &amp; $B96,【ピボット】事業所収支!$A$3,"年月",G$1,"事業所",$A96),0)</f>
        <v>519521</v>
      </c>
      <c r="H96" s="423">
        <f>IFERROR(GETPIVOTDATA("合計 / " &amp; $B96,【ピボット】事業所収支!$A$3,"年月",H$1,"事業所",$A96),0)</f>
        <v>560741</v>
      </c>
      <c r="I96" s="423">
        <f>IFERROR(GETPIVOTDATA("合計 / " &amp; $B96,【ピボット】事業所収支!$A$3,"年月",I$1,"事業所",$A96),0)</f>
        <v>542900</v>
      </c>
      <c r="J96" s="423">
        <f>IFERROR(GETPIVOTDATA("合計 / " &amp; $B96,【ピボット】事業所収支!$A$3,"年月",J$1,"事業所",$A96),0)</f>
        <v>624881</v>
      </c>
      <c r="K96" s="423">
        <f>IFERROR(GETPIVOTDATA("合計 / " &amp; $B96,【ピボット】事業所収支!$A$3,"年月",K$1,"事業所",$A96),0)</f>
        <v>688081</v>
      </c>
      <c r="L96" s="423">
        <f>IFERROR(GETPIVOTDATA("合計 / " &amp; $B96,【ピボット】事業所収支!$A$3,"年月",L$1,"事業所",$A96),0)</f>
        <v>606874</v>
      </c>
      <c r="M96" s="423">
        <f>IFERROR(GETPIVOTDATA("合計 / " &amp; $B96,【ピボット】事業所収支!$A$3,"年月",M$1,"事業所",$A96),0)</f>
        <v>769409</v>
      </c>
      <c r="N96" s="423">
        <f>IFERROR(GETPIVOTDATA("合計 / " &amp; $B96,【ピボット】事業所収支!$A$3,"年月",N$1,"事業所",$A96),0)</f>
        <v>616496</v>
      </c>
      <c r="O96" s="423">
        <f>IFERROR(GETPIVOTDATA("合計 / " &amp; $B96,【ピボット】事業所収支!$A$3,"年月",O$1,"事業所",$A96),0)</f>
        <v>632985</v>
      </c>
      <c r="P96" s="423">
        <f>IFERROR(GETPIVOTDATA("合計 / " &amp; $B96,【ピボット】事業所収支!$A$3,"年月",P$1,"事業所",$A96),0)</f>
        <v>658790</v>
      </c>
      <c r="Q96" s="423">
        <f>IFERROR(GETPIVOTDATA("合計 / " &amp; $B96,【ピボット】事業所収支!$A$3,"年月",Q$1,"事業所",$A96),0)</f>
        <v>773088</v>
      </c>
      <c r="R96" s="423">
        <f>IFERROR(GETPIVOTDATA("合計 / " &amp; $B96,【ピボット】事業所収支!$A$3,"年月",R$1,"事業所",$A96),0)</f>
        <v>589882</v>
      </c>
      <c r="S96" s="423">
        <f>IFERROR(GETPIVOTDATA("合計 / " &amp; $B96,【ピボット】事業所収支!$A$3,"年月",S$1,"事業所",$A96),0)</f>
        <v>720815</v>
      </c>
      <c r="T96" s="423">
        <f>IFERROR(GETPIVOTDATA("合計 / " &amp; $B96,【ピボット】事業所収支!$A$3,"年月",T$1,"事業所",$A96),0)</f>
        <v>501785</v>
      </c>
      <c r="U96" s="423">
        <f>IFERROR(GETPIVOTDATA("合計 / " &amp; $B96,【ピボット】事業所収支!$A$3,"年月",U$1,"事業所",$A96),0)</f>
        <v>603836</v>
      </c>
      <c r="V96" s="423">
        <f>IFERROR(GETPIVOTDATA("合計 / " &amp; $B96,【ピボット】事業所収支!$A$3,"年月",V$1,"事業所",$A96),0)</f>
        <v>822996</v>
      </c>
      <c r="W96" s="423">
        <f>IFERROR(GETPIVOTDATA("合計 / " &amp; $B96,【ピボット】事業所収支!$A$3,"年月",W$1,"事業所",$A96),0)</f>
        <v>695910</v>
      </c>
      <c r="X96" s="423">
        <f>IFERROR(GETPIVOTDATA("合計 / " &amp; $B96,【ピボット】事業所収支!$A$3,"年月",X$1,"事業所",$A96),0)</f>
        <v>635256</v>
      </c>
      <c r="Y96" s="423">
        <f>IFERROR(GETPIVOTDATA("合計 / " &amp; $B96,【ピボット】事業所収支!$A$3,"年月",Y$1,"事業所",$A96),0)</f>
        <v>654503</v>
      </c>
      <c r="Z96" s="423">
        <f>IFERROR(GETPIVOTDATA("合計 / " &amp; $B96,【ピボット】事業所収支!$A$3,"年月",Z$1,"事業所",$A96),0)</f>
        <v>611780</v>
      </c>
      <c r="AA96" s="423">
        <f>IFERROR(GETPIVOTDATA("合計 / " &amp; $B96,【ピボット】事業所収支!$A$3,"年月",AA$1,"事業所",$A96),0)</f>
        <v>656722</v>
      </c>
      <c r="AB96" s="423">
        <f>IFERROR(GETPIVOTDATA("合計 / " &amp; $B96,【ピボット】事業所収支!$A$3,"年月",AB$1,"事業所",$A96),0)</f>
        <v>638498</v>
      </c>
      <c r="AC96" s="424">
        <f t="shared" si="47"/>
        <v>7905071</v>
      </c>
      <c r="AD96" s="424">
        <f t="shared" si="48"/>
        <v>658755.91666666663</v>
      </c>
    </row>
    <row r="97" spans="1:30" ht="19.5" customHeight="1" thickBot="1" x14ac:dyDescent="0.2">
      <c r="C97" s="110"/>
      <c r="D97" s="113" t="s">
        <v>138</v>
      </c>
      <c r="E97" s="427">
        <f>SUM(E94)-SUM(E95:E96)</f>
        <v>-1192232</v>
      </c>
      <c r="F97" s="427">
        <f>SUM(F94)-SUM(F95:F96)</f>
        <v>627128</v>
      </c>
      <c r="G97" s="427">
        <f t="shared" ref="G97:L97" si="55">SUM(G94)-SUM(G95:G96)</f>
        <v>655966</v>
      </c>
      <c r="H97" s="427">
        <f t="shared" si="55"/>
        <v>649062</v>
      </c>
      <c r="I97" s="427">
        <f t="shared" si="55"/>
        <v>837464</v>
      </c>
      <c r="J97" s="427">
        <f t="shared" si="55"/>
        <v>1331465</v>
      </c>
      <c r="K97" s="427">
        <f t="shared" si="55"/>
        <v>1307229</v>
      </c>
      <c r="L97" s="427">
        <f t="shared" si="55"/>
        <v>1461006.7289966918</v>
      </c>
      <c r="M97" s="427">
        <f t="shared" ref="M97:AA97" si="56">SUM(M94)-SUM(M95:M96)</f>
        <v>1119355</v>
      </c>
      <c r="N97" s="427">
        <f t="shared" si="56"/>
        <v>1316198</v>
      </c>
      <c r="O97" s="427">
        <f t="shared" si="56"/>
        <v>1469589</v>
      </c>
      <c r="P97" s="427">
        <f t="shared" si="56"/>
        <v>1434318</v>
      </c>
      <c r="Q97" s="427">
        <f t="shared" si="56"/>
        <v>2330374</v>
      </c>
      <c r="R97" s="427">
        <f t="shared" si="56"/>
        <v>1218951</v>
      </c>
      <c r="S97" s="427">
        <f t="shared" si="56"/>
        <v>1351432</v>
      </c>
      <c r="T97" s="427">
        <f t="shared" si="56"/>
        <v>1270713</v>
      </c>
      <c r="U97" s="427">
        <f t="shared" si="56"/>
        <v>1286611</v>
      </c>
      <c r="V97" s="427">
        <f t="shared" si="56"/>
        <v>945719</v>
      </c>
      <c r="W97" s="427">
        <f t="shared" si="56"/>
        <v>1022151</v>
      </c>
      <c r="X97" s="427">
        <f t="shared" si="56"/>
        <v>891030</v>
      </c>
      <c r="Y97" s="427">
        <f t="shared" si="56"/>
        <v>1044435</v>
      </c>
      <c r="Z97" s="427">
        <f t="shared" si="56"/>
        <v>426829</v>
      </c>
      <c r="AA97" s="427">
        <f t="shared" si="56"/>
        <v>-183133</v>
      </c>
      <c r="AB97" s="427">
        <f>SUM(AB94)-SUM(AB95:AB96)</f>
        <v>266153</v>
      </c>
      <c r="AC97" s="428">
        <f t="shared" si="47"/>
        <v>11871265</v>
      </c>
      <c r="AD97" s="428">
        <f t="shared" si="48"/>
        <v>989272.08333333337</v>
      </c>
    </row>
    <row r="98" spans="1:30" ht="19.5" customHeight="1" x14ac:dyDescent="0.15">
      <c r="A98" t="s">
        <v>1223</v>
      </c>
      <c r="B98" t="s">
        <v>554</v>
      </c>
      <c r="C98" s="107" t="s">
        <v>374</v>
      </c>
      <c r="D98" s="67" t="s">
        <v>126</v>
      </c>
      <c r="E98" s="419">
        <f>IFERROR(GETPIVOTDATA("合計 / " &amp; $B98,【ピボット】国保連売上!$A$3,"年月",E$1,"事業所",$A98,"請求区分","単月"),0)</f>
        <v>0</v>
      </c>
      <c r="F98" s="419">
        <f>IFERROR(GETPIVOTDATA("合計 / " &amp; $B98,【ピボット】国保連売上!$A$3,"年月",F$1,"事業所",$A98,"請求区分","単月"),0)</f>
        <v>0</v>
      </c>
      <c r="G98" s="419">
        <f>IFERROR(GETPIVOTDATA("合計 / " &amp; $B98,【ピボット】国保連売上!$A$3,"年月",G$1,"事業所",$A98,"請求区分","単月"),0)</f>
        <v>0</v>
      </c>
      <c r="H98" s="419">
        <f>IFERROR(GETPIVOTDATA("合計 / " &amp; $B98,【ピボット】国保連売上!$A$3,"年月",H$1,"事業所",$A98,"請求区分","単月"),0)</f>
        <v>0</v>
      </c>
      <c r="I98" s="419">
        <f>IFERROR(GETPIVOTDATA("合計 / " &amp; $B98,【ピボット】国保連売上!$A$3,"年月",I$1,"事業所",$A98,"請求区分","単月"),0)</f>
        <v>0</v>
      </c>
      <c r="J98" s="419">
        <f>IFERROR(GETPIVOTDATA("合計 / " &amp; $B98,【ピボット】国保連売上!$A$3,"年月",J$1,"事業所",$A98,"請求区分","単月"),0)</f>
        <v>0</v>
      </c>
      <c r="K98" s="419">
        <f>IFERROR(GETPIVOTDATA("合計 / " &amp; $B98,【ピボット】国保連売上!$A$3,"年月",K$1,"事業所",$A98,"請求区分","単月"),0)</f>
        <v>0</v>
      </c>
      <c r="L98" s="419">
        <f>IFERROR(GETPIVOTDATA("合計 / " &amp; $B98,【ピボット】国保連売上!$A$3,"年月",L$1,"事業所",$A98,"請求区分","単月"),0)</f>
        <v>0</v>
      </c>
      <c r="M98" s="419">
        <f>IFERROR(GETPIVOTDATA("合計 / " &amp; $B98,【ピボット】国保連売上!$A$3,"年月",M$1,"事業所",$A98,"請求区分","単月"),0)</f>
        <v>0</v>
      </c>
      <c r="N98" s="419">
        <f>IFERROR(GETPIVOTDATA("合計 / " &amp; $B98,【ピボット】国保連売上!$A$3,"年月",N$1,"事業所",$A98,"請求区分","単月"),0)</f>
        <v>0</v>
      </c>
      <c r="O98" s="419">
        <f>IFERROR(GETPIVOTDATA("合計 / " &amp; $B98,【ピボット】国保連売上!$A$3,"年月",O$1,"事業所",$A98,"請求区分","単月"),0)</f>
        <v>0</v>
      </c>
      <c r="P98" s="419">
        <f>IFERROR(GETPIVOTDATA("合計 / " &amp; $B98,【ピボット】国保連売上!$A$3,"年月",P$1,"事業所",$A98,"請求区分","単月"),0)</f>
        <v>0</v>
      </c>
      <c r="Q98" s="419">
        <f>IFERROR(GETPIVOTDATA("合計 / " &amp; $B98,【ピボット】国保連売上!$A$3,"年月",Q$1,"事業所",$A98,"請求区分","単月"),0)</f>
        <v>0</v>
      </c>
      <c r="R98" s="419">
        <f>IFERROR(GETPIVOTDATA("合計 / " &amp; $B98,【ピボット】国保連売上!$A$3,"年月",R$1,"事業所",$A98,"請求区分","単月"),0)</f>
        <v>0</v>
      </c>
      <c r="S98" s="419">
        <f>IFERROR(GETPIVOTDATA("合計 / " &amp; $B98,【ピボット】国保連売上!$A$3,"年月",S$1,"事業所",$A98,"請求区分","単月"),0)</f>
        <v>0</v>
      </c>
      <c r="T98" s="419">
        <f>IFERROR(GETPIVOTDATA("合計 / " &amp; $B98,【ピボット】国保連売上!$A$3,"年月",T$1,"事業所",$A98,"請求区分","単月"),0)</f>
        <v>0</v>
      </c>
      <c r="U98" s="419">
        <f>IFERROR(GETPIVOTDATA("合計 / " &amp; $B98,【ピボット】国保連売上!$A$3,"年月",U$1,"事業所",$A98,"請求区分","単月"),0)</f>
        <v>0</v>
      </c>
      <c r="V98" s="419">
        <f>IFERROR(GETPIVOTDATA("合計 / " &amp; $B98,【ピボット】国保連売上!$A$3,"年月",V$1,"事業所",$A98,"請求区分","単月"),0)</f>
        <v>0</v>
      </c>
      <c r="W98" s="419">
        <f>IFERROR(GETPIVOTDATA("合計 / " &amp; $B98,【ピボット】国保連売上!$A$3,"年月",W$1,"事業所",$A98,"請求区分","単月"),0)</f>
        <v>0</v>
      </c>
      <c r="X98" s="419">
        <f>IFERROR(GETPIVOTDATA("合計 / " &amp; $B98,【ピボット】国保連売上!$A$3,"年月",X$1,"事業所",$A98,"請求区分","単月"),0)</f>
        <v>0</v>
      </c>
      <c r="Y98" s="419">
        <f>IFERROR(GETPIVOTDATA("合計 / " &amp; $B98,【ピボット】国保連売上!$A$3,"年月",Y$1,"事業所",$A98,"請求区分","単月"),0)</f>
        <v>0</v>
      </c>
      <c r="Z98" s="419">
        <f>IFERROR(GETPIVOTDATA("合計 / " &amp; $B98,【ピボット】国保連売上!$A$3,"年月",Z$1,"事業所",$A98,"請求区分","単月"),0)</f>
        <v>1493913</v>
      </c>
      <c r="AA98" s="419">
        <f>IFERROR(GETPIVOTDATA("合計 / " &amp; $B98,【ピボット】国保連売上!$A$3,"年月",AA$1,"事業所",$A98,"請求区分","単月"),0)</f>
        <v>1605823</v>
      </c>
      <c r="AB98" s="419">
        <f>IFERROR(GETPIVOTDATA("合計 / " &amp; $B98,【ピボット】国保連売上!$A$3,"年月",AB$1,"事業所",$A98,"請求区分","単月"),0)</f>
        <v>1631515</v>
      </c>
      <c r="AC98" s="420">
        <f t="shared" ref="AC98:AC105" si="57">SUM(Q98:AB98)</f>
        <v>4731251</v>
      </c>
      <c r="AD98" s="420">
        <f t="shared" ref="AD98:AD105" si="58">AVERAGE(Q98:AB98)</f>
        <v>394270.91666666669</v>
      </c>
    </row>
    <row r="99" spans="1:30" ht="19.5" customHeight="1" x14ac:dyDescent="0.15">
      <c r="A99" t="s">
        <v>1223</v>
      </c>
      <c r="B99" t="s">
        <v>861</v>
      </c>
      <c r="C99" s="108" t="s">
        <v>1392</v>
      </c>
      <c r="D99" s="69" t="s">
        <v>137</v>
      </c>
      <c r="E99" s="421">
        <f>IFERROR(GETPIVOTDATA("合計 / " &amp; $B99,【ピボット】国保連売上!$A$3,"年月",E$1,"事業所",$A99,"請求区分","単月"),0)</f>
        <v>0</v>
      </c>
      <c r="F99" s="421">
        <f>IFERROR(GETPIVOTDATA("合計 / " &amp; $B99,【ピボット】国保連売上!$A$3,"年月",F$1,"事業所",$A99,"請求区分","単月"),0)</f>
        <v>0</v>
      </c>
      <c r="G99" s="421">
        <f>IFERROR(GETPIVOTDATA("合計 / " &amp; $B99,【ピボット】国保連売上!$A$3,"年月",G$1,"事業所",$A99,"請求区分","単月"),0)</f>
        <v>0</v>
      </c>
      <c r="H99" s="421">
        <f>IFERROR(GETPIVOTDATA("合計 / " &amp; $B99,【ピボット】国保連売上!$A$3,"年月",H$1,"事業所",$A99,"請求区分","単月"),0)</f>
        <v>0</v>
      </c>
      <c r="I99" s="421">
        <f>IFERROR(GETPIVOTDATA("合計 / " &amp; $B99,【ピボット】国保連売上!$A$3,"年月",I$1,"事業所",$A99,"請求区分","単月"),0)</f>
        <v>0</v>
      </c>
      <c r="J99" s="421">
        <f>IFERROR(GETPIVOTDATA("合計 / " &amp; $B99,【ピボット】国保連売上!$A$3,"年月",J$1,"事業所",$A99,"請求区分","単月"),0)</f>
        <v>0</v>
      </c>
      <c r="K99" s="421">
        <f>IFERROR(GETPIVOTDATA("合計 / " &amp; $B99,【ピボット】国保連売上!$A$3,"年月",K$1,"事業所",$A99,"請求区分","単月"),0)</f>
        <v>0</v>
      </c>
      <c r="L99" s="421">
        <f>IFERROR(GETPIVOTDATA("合計 / " &amp; $B99,【ピボット】国保連売上!$A$3,"年月",L$1,"事業所",$A99,"請求区分","単月"),0)</f>
        <v>0</v>
      </c>
      <c r="M99" s="421">
        <f>IFERROR(GETPIVOTDATA("合計 / " &amp; $B99,【ピボット】国保連売上!$A$3,"年月",M$1,"事業所",$A99,"請求区分","単月"),0)</f>
        <v>0</v>
      </c>
      <c r="N99" s="421">
        <f>IFERROR(GETPIVOTDATA("合計 / " &amp; $B99,【ピボット】国保連売上!$A$3,"年月",N$1,"事業所",$A99,"請求区分","単月"),0)</f>
        <v>0</v>
      </c>
      <c r="O99" s="421">
        <f>IFERROR(GETPIVOTDATA("合計 / " &amp; $B99,【ピボット】国保連売上!$A$3,"年月",O$1,"事業所",$A99,"請求区分","単月"),0)</f>
        <v>0</v>
      </c>
      <c r="P99" s="421">
        <f>IFERROR(GETPIVOTDATA("合計 / " &amp; $B99,【ピボット】国保連売上!$A$3,"年月",P$1,"事業所",$A99,"請求区分","単月"),0)</f>
        <v>0</v>
      </c>
      <c r="Q99" s="421">
        <f>IFERROR(GETPIVOTDATA("合計 / " &amp; $B99,【ピボット】国保連売上!$A$3,"年月",Q$1,"事業所",$A99,"請求区分","単月"),0)</f>
        <v>0</v>
      </c>
      <c r="R99" s="421">
        <f>IFERROR(GETPIVOTDATA("合計 / " &amp; $B99,【ピボット】国保連売上!$A$3,"年月",R$1,"事業所",$A99,"請求区分","単月"),0)</f>
        <v>0</v>
      </c>
      <c r="S99" s="421">
        <f>IFERROR(GETPIVOTDATA("合計 / " &amp; $B99,【ピボット】国保連売上!$A$3,"年月",S$1,"事業所",$A99,"請求区分","単月"),0)</f>
        <v>0</v>
      </c>
      <c r="T99" s="421">
        <f>IFERROR(GETPIVOTDATA("合計 / " &amp; $B99,【ピボット】国保連売上!$A$3,"年月",T$1,"事業所",$A99,"請求区分","単月"),0)</f>
        <v>0</v>
      </c>
      <c r="U99" s="421">
        <f>IFERROR(GETPIVOTDATA("合計 / " &amp; $B99,【ピボット】国保連売上!$A$3,"年月",U$1,"事業所",$A99,"請求区分","単月"),0)</f>
        <v>0</v>
      </c>
      <c r="V99" s="421">
        <f>IFERROR(GETPIVOTDATA("合計 / " &amp; $B99,【ピボット】国保連売上!$A$3,"年月",V$1,"事業所",$A99,"請求区分","単月"),0)</f>
        <v>0</v>
      </c>
      <c r="W99" s="421">
        <f>IFERROR(GETPIVOTDATA("合計 / " &amp; $B99,【ピボット】国保連売上!$A$3,"年月",W$1,"事業所",$A99,"請求区分","単月"),0)</f>
        <v>0</v>
      </c>
      <c r="X99" s="421">
        <f>IFERROR(GETPIVOTDATA("合計 / " &amp; $B99,【ピボット】国保連売上!$A$3,"年月",X$1,"事業所",$A99,"請求区分","単月"),0)</f>
        <v>0</v>
      </c>
      <c r="Y99" s="421">
        <f>IFERROR(GETPIVOTDATA("合計 / " &amp; $B99,【ピボット】国保連売上!$A$3,"年月",Y$1,"事業所",$A99,"請求区分","単月"),0)</f>
        <v>0</v>
      </c>
      <c r="Z99" s="421">
        <f>IFERROR(GETPIVOTDATA("合計 / " &amp; $B99,【ピボット】国保連売上!$A$3,"年月",Z$1,"事業所",$A99,"請求区分","単月"),0)</f>
        <v>0</v>
      </c>
      <c r="AA99" s="421">
        <f>IFERROR(GETPIVOTDATA("合計 / " &amp; $B99,【ピボット】国保連売上!$A$3,"年月",AA$1,"事業所",$A99,"請求区分","単月"),0)</f>
        <v>0</v>
      </c>
      <c r="AB99" s="421">
        <f>IFERROR(GETPIVOTDATA("合計 / " &amp; $B99,【ピボット】国保連売上!$A$3,"年月",AB$1,"事業所",$A99,"請求区分","単月"),0)</f>
        <v>0</v>
      </c>
      <c r="AC99" s="422">
        <f t="shared" si="57"/>
        <v>0</v>
      </c>
      <c r="AD99" s="422">
        <f t="shared" si="58"/>
        <v>0</v>
      </c>
    </row>
    <row r="100" spans="1:30" ht="19.5" customHeight="1" x14ac:dyDescent="0.15">
      <c r="A100" t="s">
        <v>1223</v>
      </c>
      <c r="B100" t="s">
        <v>862</v>
      </c>
      <c r="C100" s="109"/>
      <c r="D100" s="68" t="s">
        <v>127</v>
      </c>
      <c r="E100" s="423">
        <f>IFERROR(GETPIVOTDATA("合計 / " &amp; $B100,【ピボット】国保連売上!$A$3,"年月",E$1,"事業所",$A100,"請求区分","単月"),0)</f>
        <v>0</v>
      </c>
      <c r="F100" s="423">
        <f>IFERROR(GETPIVOTDATA("合計 / " &amp; $B100,【ピボット】国保連売上!$A$3,"年月",F$1,"事業所",$A100,"請求区分","単月"),0)</f>
        <v>0</v>
      </c>
      <c r="G100" s="423">
        <f>IFERROR(GETPIVOTDATA("合計 / " &amp; $B100,【ピボット】国保連売上!$A$3,"年月",G$1,"事業所",$A100,"請求区分","単月"),0)</f>
        <v>0</v>
      </c>
      <c r="H100" s="423">
        <f>IFERROR(GETPIVOTDATA("合計 / " &amp; $B100,【ピボット】国保連売上!$A$3,"年月",H$1,"事業所",$A100,"請求区分","単月"),0)</f>
        <v>0</v>
      </c>
      <c r="I100" s="423">
        <f>IFERROR(GETPIVOTDATA("合計 / " &amp; $B100,【ピボット】国保連売上!$A$3,"年月",I$1,"事業所",$A100,"請求区分","単月"),0)</f>
        <v>0</v>
      </c>
      <c r="J100" s="423">
        <f>IFERROR(GETPIVOTDATA("合計 / " &amp; $B100,【ピボット】国保連売上!$A$3,"年月",J$1,"事業所",$A100,"請求区分","単月"),0)</f>
        <v>0</v>
      </c>
      <c r="K100" s="423">
        <f>IFERROR(GETPIVOTDATA("合計 / " &amp; $B100,【ピボット】国保連売上!$A$3,"年月",K$1,"事業所",$A100,"請求区分","単月"),0)</f>
        <v>0</v>
      </c>
      <c r="L100" s="423">
        <f>IFERROR(GETPIVOTDATA("合計 / " &amp; $B100,【ピボット】国保連売上!$A$3,"年月",L$1,"事業所",$A100,"請求区分","単月"),0)</f>
        <v>0</v>
      </c>
      <c r="M100" s="423">
        <f>IFERROR(GETPIVOTDATA("合計 / " &amp; $B100,【ピボット】国保連売上!$A$3,"年月",M$1,"事業所",$A100,"請求区分","単月"),0)</f>
        <v>0</v>
      </c>
      <c r="N100" s="423">
        <f>IFERROR(GETPIVOTDATA("合計 / " &amp; $B100,【ピボット】国保連売上!$A$3,"年月",N$1,"事業所",$A100,"請求区分","単月"),0)</f>
        <v>0</v>
      </c>
      <c r="O100" s="423">
        <f>IFERROR(GETPIVOTDATA("合計 / " &amp; $B100,【ピボット】国保連売上!$A$3,"年月",O$1,"事業所",$A100,"請求区分","単月"),0)</f>
        <v>0</v>
      </c>
      <c r="P100" s="423">
        <f>IFERROR(GETPIVOTDATA("合計 / " &amp; $B100,【ピボット】国保連売上!$A$3,"年月",P$1,"事業所",$A100,"請求区分","単月"),0)</f>
        <v>0</v>
      </c>
      <c r="Q100" s="423">
        <f>IFERROR(GETPIVOTDATA("合計 / " &amp; $B100,【ピボット】国保連売上!$A$3,"年月",Q$1,"事業所",$A100,"請求区分","単月"),0)</f>
        <v>0</v>
      </c>
      <c r="R100" s="423">
        <f>IFERROR(GETPIVOTDATA("合計 / " &amp; $B100,【ピボット】国保連売上!$A$3,"年月",R$1,"事業所",$A100,"請求区分","単月"),0)</f>
        <v>0</v>
      </c>
      <c r="S100" s="423">
        <f>IFERROR(GETPIVOTDATA("合計 / " &amp; $B100,【ピボット】国保連売上!$A$3,"年月",S$1,"事業所",$A100,"請求区分","単月"),0)</f>
        <v>0</v>
      </c>
      <c r="T100" s="423">
        <f>IFERROR(GETPIVOTDATA("合計 / " &amp; $B100,【ピボット】国保連売上!$A$3,"年月",T$1,"事業所",$A100,"請求区分","単月"),0)</f>
        <v>0</v>
      </c>
      <c r="U100" s="423">
        <f>IFERROR(GETPIVOTDATA("合計 / " &amp; $B100,【ピボット】国保連売上!$A$3,"年月",U$1,"事業所",$A100,"請求区分","単月"),0)</f>
        <v>0</v>
      </c>
      <c r="V100" s="423">
        <f>IFERROR(GETPIVOTDATA("合計 / " &amp; $B100,【ピボット】国保連売上!$A$3,"年月",V$1,"事業所",$A100,"請求区分","単月"),0)</f>
        <v>0</v>
      </c>
      <c r="W100" s="423">
        <f>IFERROR(GETPIVOTDATA("合計 / " &amp; $B100,【ピボット】国保連売上!$A$3,"年月",W$1,"事業所",$A100,"請求区分","単月"),0)</f>
        <v>0</v>
      </c>
      <c r="X100" s="423">
        <f>IFERROR(GETPIVOTDATA("合計 / " &amp; $B100,【ピボット】国保連売上!$A$3,"年月",X$1,"事業所",$A100,"請求区分","単月"),0)</f>
        <v>0</v>
      </c>
      <c r="Y100" s="423">
        <f>IFERROR(GETPIVOTDATA("合計 / " &amp; $B100,【ピボット】国保連売上!$A$3,"年月",Y$1,"事業所",$A100,"請求区分","単月"),0)</f>
        <v>0</v>
      </c>
      <c r="Z100" s="423">
        <f>IFERROR(GETPIVOTDATA("合計 / " &amp; $B100,【ピボット】国保連売上!$A$3,"年月",Z$1,"事業所",$A100,"請求区分","単月"),0)</f>
        <v>-197725</v>
      </c>
      <c r="AA100" s="423">
        <f>IFERROR(GETPIVOTDATA("合計 / " &amp; $B100,【ピボット】国保連売上!$A$3,"年月",AA$1,"事業所",$A100,"請求区分","単月"),0)</f>
        <v>-235817</v>
      </c>
      <c r="AB100" s="421">
        <f>IFERROR(GETPIVOTDATA("合計 / " &amp; $B100,【ピボット】国保連売上!$A$3,"年月",AB$1,"事業所",$A100,"請求区分","単月"),0)</f>
        <v>0</v>
      </c>
      <c r="AC100" s="424">
        <f t="shared" si="57"/>
        <v>-433542</v>
      </c>
      <c r="AD100" s="424">
        <f t="shared" si="58"/>
        <v>-36128.5</v>
      </c>
    </row>
    <row r="101" spans="1:30" ht="19.5" customHeight="1" x14ac:dyDescent="0.15">
      <c r="A101" t="s">
        <v>1223</v>
      </c>
      <c r="B101" t="s">
        <v>815</v>
      </c>
      <c r="C101" s="109"/>
      <c r="D101" s="68" t="s">
        <v>128</v>
      </c>
      <c r="E101" s="423">
        <f>IFERROR(GETPIVOTDATA("合計 / " &amp; $B101,【ピボット】事業所売上!$A$3,"年月",E$1,"事業所",$A101),0)</f>
        <v>0</v>
      </c>
      <c r="F101" s="423">
        <f>IFERROR(GETPIVOTDATA("合計 / " &amp; $B101,【ピボット】事業所売上!$A$3,"年月",F$1,"事業所",$A101),0)</f>
        <v>0</v>
      </c>
      <c r="G101" s="423">
        <f>IFERROR(GETPIVOTDATA("合計 / " &amp; $B101,【ピボット】事業所売上!$A$3,"年月",G$1,"事業所",$A101),0)</f>
        <v>0</v>
      </c>
      <c r="H101" s="423">
        <f>IFERROR(GETPIVOTDATA("合計 / " &amp; $B101,【ピボット】事業所売上!$A$3,"年月",H$1,"事業所",$A101),0)</f>
        <v>0</v>
      </c>
      <c r="I101" s="423">
        <f>IFERROR(GETPIVOTDATA("合計 / " &amp; $B101,【ピボット】事業所売上!$A$3,"年月",I$1,"事業所",$A101),0)</f>
        <v>0</v>
      </c>
      <c r="J101" s="423">
        <f>IFERROR(GETPIVOTDATA("合計 / " &amp; $B101,【ピボット】事業所売上!$A$3,"年月",J$1,"事業所",$A101),0)</f>
        <v>0</v>
      </c>
      <c r="K101" s="423">
        <f>IFERROR(GETPIVOTDATA("合計 / " &amp; $B101,【ピボット】事業所売上!$A$3,"年月",K$1,"事業所",$A101),0)</f>
        <v>0</v>
      </c>
      <c r="L101" s="423">
        <f>IFERROR(GETPIVOTDATA("合計 / " &amp; $B101,【ピボット】事業所売上!$A$3,"年月",L$1,"事業所",$A101),0)</f>
        <v>0</v>
      </c>
      <c r="M101" s="423">
        <f>IFERROR(GETPIVOTDATA("合計 / " &amp; $B101,【ピボット】事業所売上!$A$3,"年月",M$1,"事業所",$A101),0)</f>
        <v>0</v>
      </c>
      <c r="N101" s="423">
        <f>IFERROR(GETPIVOTDATA("合計 / " &amp; $B101,【ピボット】事業所売上!$A$3,"年月",N$1,"事業所",$A101),0)</f>
        <v>0</v>
      </c>
      <c r="O101" s="423">
        <f>IFERROR(GETPIVOTDATA("合計 / " &amp; $B101,【ピボット】事業所売上!$A$3,"年月",O$1,"事業所",$A101),0)</f>
        <v>0</v>
      </c>
      <c r="P101" s="423">
        <f>IFERROR(GETPIVOTDATA("合計 / " &amp; $B101,【ピボット】事業所売上!$A$3,"年月",P$1,"事業所",$A101),0)</f>
        <v>0</v>
      </c>
      <c r="Q101" s="423">
        <f>IFERROR(GETPIVOTDATA("合計 / " &amp; $B101,【ピボット】事業所売上!$A$3,"年月",Q$1,"事業所",$A101),0)</f>
        <v>0</v>
      </c>
      <c r="R101" s="423">
        <f>IFERROR(GETPIVOTDATA("合計 / " &amp; $B101,【ピボット】事業所売上!$A$3,"年月",R$1,"事業所",$A101),0)</f>
        <v>0</v>
      </c>
      <c r="S101" s="423">
        <f>IFERROR(GETPIVOTDATA("合計 / " &amp; $B101,【ピボット】事業所売上!$A$3,"年月",S$1,"事業所",$A101),0)</f>
        <v>0</v>
      </c>
      <c r="T101" s="423">
        <f>IFERROR(GETPIVOTDATA("合計 / " &amp; $B101,【ピボット】事業所売上!$A$3,"年月",T$1,"事業所",$A101),0)</f>
        <v>0</v>
      </c>
      <c r="U101" s="423">
        <f>IFERROR(GETPIVOTDATA("合計 / " &amp; $B101,【ピボット】事業所売上!$A$3,"年月",U$1,"事業所",$A101),0)</f>
        <v>0</v>
      </c>
      <c r="V101" s="423">
        <f>IFERROR(GETPIVOTDATA("合計 / " &amp; $B101,【ピボット】事業所売上!$A$3,"年月",V$1,"事業所",$A101),0)</f>
        <v>0</v>
      </c>
      <c r="W101" s="423">
        <f>IFERROR(GETPIVOTDATA("合計 / " &amp; $B101,【ピボット】事業所売上!$A$3,"年月",W$1,"事業所",$A101),0)</f>
        <v>16000</v>
      </c>
      <c r="X101" s="423">
        <f>IFERROR(GETPIVOTDATA("合計 / " &amp; $B101,【ピボット】事業所売上!$A$3,"年月",X$1,"事業所",$A101),0)</f>
        <v>40000</v>
      </c>
      <c r="Y101" s="423">
        <f>IFERROR(GETPIVOTDATA("合計 / " &amp; $B101,【ピボット】事業所売上!$A$3,"年月",Y$1,"事業所",$A101),0)</f>
        <v>40000</v>
      </c>
      <c r="Z101" s="423">
        <f>IFERROR(GETPIVOTDATA("合計 / " &amp; $B101,【ピボット】事業所売上!$A$3,"年月",Z$1,"事業所",$A101),0)</f>
        <v>180000</v>
      </c>
      <c r="AA101" s="423">
        <f>IFERROR(GETPIVOTDATA("合計 / " &amp; $B101,【ピボット】事業所売上!$A$3,"年月",AA$1,"事業所",$A101),0)</f>
        <v>180000</v>
      </c>
      <c r="AB101" s="423">
        <f>IFERROR(GETPIVOTDATA("合計 / " &amp; $B101,【ピボット】事業所売上!$A$3,"年月",AB$1,"事業所",$A101),0)</f>
        <v>210000</v>
      </c>
      <c r="AC101" s="424">
        <f t="shared" si="57"/>
        <v>666000</v>
      </c>
      <c r="AD101" s="424">
        <f t="shared" si="58"/>
        <v>55500</v>
      </c>
    </row>
    <row r="102" spans="1:30" ht="19.5" customHeight="1" x14ac:dyDescent="0.15">
      <c r="A102" t="s">
        <v>1223</v>
      </c>
      <c r="C102" s="109"/>
      <c r="D102" s="112" t="str">
        <f>C98 &amp; C99 &amp; "売上合計"</f>
        <v>GH西広売上合計</v>
      </c>
      <c r="E102" s="425">
        <f>SUM(E98:E101)</f>
        <v>0</v>
      </c>
      <c r="F102" s="425">
        <f>SUM(F98:F101)</f>
        <v>0</v>
      </c>
      <c r="G102" s="425">
        <f t="shared" ref="G102:AA102" si="59">SUM(G98:G101)</f>
        <v>0</v>
      </c>
      <c r="H102" s="425">
        <f t="shared" si="59"/>
        <v>0</v>
      </c>
      <c r="I102" s="425">
        <f t="shared" si="59"/>
        <v>0</v>
      </c>
      <c r="J102" s="425">
        <f t="shared" si="59"/>
        <v>0</v>
      </c>
      <c r="K102" s="425">
        <f t="shared" si="59"/>
        <v>0</v>
      </c>
      <c r="L102" s="425">
        <f t="shared" si="59"/>
        <v>0</v>
      </c>
      <c r="M102" s="425">
        <f t="shared" si="59"/>
        <v>0</v>
      </c>
      <c r="N102" s="425">
        <f t="shared" si="59"/>
        <v>0</v>
      </c>
      <c r="O102" s="425">
        <f t="shared" si="59"/>
        <v>0</v>
      </c>
      <c r="P102" s="425">
        <f t="shared" si="59"/>
        <v>0</v>
      </c>
      <c r="Q102" s="425">
        <f t="shared" si="59"/>
        <v>0</v>
      </c>
      <c r="R102" s="425">
        <f t="shared" si="59"/>
        <v>0</v>
      </c>
      <c r="S102" s="425">
        <f t="shared" si="59"/>
        <v>0</v>
      </c>
      <c r="T102" s="425">
        <f t="shared" si="59"/>
        <v>0</v>
      </c>
      <c r="U102" s="425">
        <f t="shared" si="59"/>
        <v>0</v>
      </c>
      <c r="V102" s="425">
        <f t="shared" si="59"/>
        <v>0</v>
      </c>
      <c r="W102" s="425">
        <f t="shared" si="59"/>
        <v>16000</v>
      </c>
      <c r="X102" s="425">
        <f t="shared" si="59"/>
        <v>40000</v>
      </c>
      <c r="Y102" s="425">
        <f t="shared" si="59"/>
        <v>40000</v>
      </c>
      <c r="Z102" s="425">
        <f t="shared" si="59"/>
        <v>1476188</v>
      </c>
      <c r="AA102" s="425">
        <f t="shared" si="59"/>
        <v>1550006</v>
      </c>
      <c r="AB102" s="425">
        <f>SUM(AB98:AB101)</f>
        <v>1841515</v>
      </c>
      <c r="AC102" s="426">
        <f t="shared" si="57"/>
        <v>4963709</v>
      </c>
      <c r="AD102" s="426">
        <f t="shared" si="58"/>
        <v>413642.41666666669</v>
      </c>
    </row>
    <row r="103" spans="1:30" ht="19.5" customHeight="1" x14ac:dyDescent="0.15">
      <c r="A103" t="s">
        <v>1223</v>
      </c>
      <c r="B103" t="s">
        <v>15</v>
      </c>
      <c r="C103" s="109"/>
      <c r="D103" s="68" t="s">
        <v>129</v>
      </c>
      <c r="E103" s="423">
        <f>IFERROR(GETPIVOTDATA("合計 / " &amp; $B103,【ピボット】事業所収支!$A$3,"年月",E$1,"事業所",$A103),0)</f>
        <v>0</v>
      </c>
      <c r="F103" s="423">
        <f>IFERROR(GETPIVOTDATA("合計 / " &amp; $B103,【ピボット】事業所収支!$A$3,"年月",F$1,"事業所",$A103),0)</f>
        <v>0</v>
      </c>
      <c r="G103" s="423">
        <f>IFERROR(GETPIVOTDATA("合計 / " &amp; $B103,【ピボット】事業所収支!$A$3,"年月",G$1,"事業所",$A103),0)</f>
        <v>0</v>
      </c>
      <c r="H103" s="423">
        <f>IFERROR(GETPIVOTDATA("合計 / " &amp; $B103,【ピボット】事業所収支!$A$3,"年月",H$1,"事業所",$A103),0)</f>
        <v>0</v>
      </c>
      <c r="I103" s="423">
        <f>IFERROR(GETPIVOTDATA("合計 / " &amp; $B103,【ピボット】事業所収支!$A$3,"年月",I$1,"事業所",$A103),0)</f>
        <v>0</v>
      </c>
      <c r="J103" s="423">
        <f>IFERROR(GETPIVOTDATA("合計 / " &amp; $B103,【ピボット】事業所収支!$A$3,"年月",J$1,"事業所",$A103),0)</f>
        <v>0</v>
      </c>
      <c r="K103" s="423">
        <f>IFERROR(GETPIVOTDATA("合計 / " &amp; $B103,【ピボット】事業所収支!$A$3,"年月",K$1,"事業所",$A103),0)</f>
        <v>0</v>
      </c>
      <c r="L103" s="423">
        <f>IFERROR(GETPIVOTDATA("合計 / " &amp; $B103,【ピボット】事業所収支!$A$3,"年月",L$1,"事業所",$A103),0)</f>
        <v>0</v>
      </c>
      <c r="M103" s="423">
        <f>IFERROR(GETPIVOTDATA("合計 / " &amp; $B103,【ピボット】事業所収支!$A$3,"年月",M$1,"事業所",$A103),0)</f>
        <v>0</v>
      </c>
      <c r="N103" s="423">
        <f>IFERROR(GETPIVOTDATA("合計 / " &amp; $B103,【ピボット】事業所収支!$A$3,"年月",N$1,"事業所",$A103),0)</f>
        <v>0</v>
      </c>
      <c r="O103" s="423">
        <f>IFERROR(GETPIVOTDATA("合計 / " &amp; $B103,【ピボット】事業所収支!$A$3,"年月",O$1,"事業所",$A103),0)</f>
        <v>0</v>
      </c>
      <c r="P103" s="423">
        <f>IFERROR(GETPIVOTDATA("合計 / " &amp; $B103,【ピボット】事業所収支!$A$3,"年月",P$1,"事業所",$A103),0)</f>
        <v>0</v>
      </c>
      <c r="Q103" s="423">
        <f>IFERROR(GETPIVOTDATA("合計 / " &amp; $B103,【ピボット】事業所収支!$A$3,"年月",Q$1,"事業所",$A103),0)</f>
        <v>0</v>
      </c>
      <c r="R103" s="423">
        <f>IFERROR(GETPIVOTDATA("合計 / " &amp; $B103,【ピボット】事業所収支!$A$3,"年月",R$1,"事業所",$A103),0)</f>
        <v>0</v>
      </c>
      <c r="S103" s="423">
        <f>IFERROR(GETPIVOTDATA("合計 / " &amp; $B103,【ピボット】事業所収支!$A$3,"年月",S$1,"事業所",$A103),0)</f>
        <v>0</v>
      </c>
      <c r="T103" s="423">
        <f>IFERROR(GETPIVOTDATA("合計 / " &amp; $B103,【ピボット】事業所収支!$A$3,"年月",T$1,"事業所",$A103),0)</f>
        <v>0</v>
      </c>
      <c r="U103" s="423">
        <f>IFERROR(GETPIVOTDATA("合計 / " &amp; $B103,【ピボット】事業所収支!$A$3,"年月",U$1,"事業所",$A103),0)</f>
        <v>0</v>
      </c>
      <c r="V103" s="423">
        <f>IFERROR(GETPIVOTDATA("合計 / " &amp; $B103,【ピボット】事業所収支!$A$3,"年月",V$1,"事業所",$A103),0)</f>
        <v>0</v>
      </c>
      <c r="W103" s="423">
        <f>IFERROR(GETPIVOTDATA("合計 / " &amp; $B103,【ピボット】事業所収支!$A$3,"年月",W$1,"事業所",$A103),0)</f>
        <v>0</v>
      </c>
      <c r="X103" s="423">
        <f>IFERROR(GETPIVOTDATA("合計 / " &amp; $B103,【ピボット】事業所収支!$A$3,"年月",X$1,"事業所",$A103),0)</f>
        <v>0</v>
      </c>
      <c r="Y103" s="423">
        <f>IFERROR(GETPIVOTDATA("合計 / " &amp; $B103,【ピボット】事業所収支!$A$3,"年月",Y$1,"事業所",$A103),0)</f>
        <v>0</v>
      </c>
      <c r="Z103" s="423">
        <f>IFERROR(GETPIVOTDATA("合計 / " &amp; $B103,【ピボット】事業所収支!$A$3,"年月",Z$1,"事業所",$A103),0)</f>
        <v>379400</v>
      </c>
      <c r="AA103" s="423">
        <f>IFERROR(GETPIVOTDATA("合計 / " &amp; $B103,【ピボット】事業所収支!$A$3,"年月",AA$1,"事業所",$A103),0)</f>
        <v>509200</v>
      </c>
      <c r="AB103" s="423">
        <f>IFERROR(GETPIVOTDATA("合計 / " &amp; $B103,【ピボット】事業所収支!$A$3,"年月",AB$1,"事業所",$A103),0)</f>
        <v>418350</v>
      </c>
      <c r="AC103" s="424">
        <f t="shared" si="57"/>
        <v>1306950</v>
      </c>
      <c r="AD103" s="424">
        <f t="shared" si="58"/>
        <v>108912.5</v>
      </c>
    </row>
    <row r="104" spans="1:30" ht="19.5" customHeight="1" x14ac:dyDescent="0.15">
      <c r="A104" t="s">
        <v>1223</v>
      </c>
      <c r="B104" t="s">
        <v>1230</v>
      </c>
      <c r="C104" s="109"/>
      <c r="D104" s="68" t="s">
        <v>130</v>
      </c>
      <c r="E104" s="423">
        <f>IFERROR(GETPIVOTDATA("合計 / " &amp; $B104,【ピボット】事業所収支!$A$3,"年月",E$1,"事業所",$A104),0)</f>
        <v>0</v>
      </c>
      <c r="F104" s="423">
        <f>IFERROR(GETPIVOTDATA("合計 / " &amp; $B104,【ピボット】事業所収支!$A$3,"年月",F$1,"事業所",$A104),0)</f>
        <v>0</v>
      </c>
      <c r="G104" s="423">
        <f>IFERROR(GETPIVOTDATA("合計 / " &amp; $B104,【ピボット】事業所収支!$A$3,"年月",G$1,"事業所",$A104),0)</f>
        <v>0</v>
      </c>
      <c r="H104" s="423">
        <f>IFERROR(GETPIVOTDATA("合計 / " &amp; $B104,【ピボット】事業所収支!$A$3,"年月",H$1,"事業所",$A104),0)</f>
        <v>0</v>
      </c>
      <c r="I104" s="423">
        <f>IFERROR(GETPIVOTDATA("合計 / " &amp; $B104,【ピボット】事業所収支!$A$3,"年月",I$1,"事業所",$A104),0)</f>
        <v>0</v>
      </c>
      <c r="J104" s="423">
        <f>IFERROR(GETPIVOTDATA("合計 / " &amp; $B104,【ピボット】事業所収支!$A$3,"年月",J$1,"事業所",$A104),0)</f>
        <v>0</v>
      </c>
      <c r="K104" s="423">
        <f>IFERROR(GETPIVOTDATA("合計 / " &amp; $B104,【ピボット】事業所収支!$A$3,"年月",K$1,"事業所",$A104),0)</f>
        <v>0</v>
      </c>
      <c r="L104" s="423">
        <f>IFERROR(GETPIVOTDATA("合計 / " &amp; $B104,【ピボット】事業所収支!$A$3,"年月",L$1,"事業所",$A104),0)</f>
        <v>0</v>
      </c>
      <c r="M104" s="423">
        <f>IFERROR(GETPIVOTDATA("合計 / " &amp; $B104,【ピボット】事業所収支!$A$3,"年月",M$1,"事業所",$A104),0)</f>
        <v>0</v>
      </c>
      <c r="N104" s="423">
        <f>IFERROR(GETPIVOTDATA("合計 / " &amp; $B104,【ピボット】事業所収支!$A$3,"年月",N$1,"事業所",$A104),0)</f>
        <v>0</v>
      </c>
      <c r="O104" s="423">
        <f>IFERROR(GETPIVOTDATA("合計 / " &amp; $B104,【ピボット】事業所収支!$A$3,"年月",O$1,"事業所",$A104),0)</f>
        <v>0</v>
      </c>
      <c r="P104" s="423">
        <f>IFERROR(GETPIVOTDATA("合計 / " &amp; $B104,【ピボット】事業所収支!$A$3,"年月",P$1,"事業所",$A104),0)</f>
        <v>0</v>
      </c>
      <c r="Q104" s="423">
        <f>IFERROR(GETPIVOTDATA("合計 / " &amp; $B104,【ピボット】事業所収支!$A$3,"年月",Q$1,"事業所",$A104),0)</f>
        <v>0</v>
      </c>
      <c r="R104" s="423">
        <f>IFERROR(GETPIVOTDATA("合計 / " &amp; $B104,【ピボット】事業所収支!$A$3,"年月",R$1,"事業所",$A104),0)</f>
        <v>0</v>
      </c>
      <c r="S104" s="423">
        <f>IFERROR(GETPIVOTDATA("合計 / " &amp; $B104,【ピボット】事業所収支!$A$3,"年月",S$1,"事業所",$A104),0)</f>
        <v>0</v>
      </c>
      <c r="T104" s="423">
        <f>IFERROR(GETPIVOTDATA("合計 / " &amp; $B104,【ピボット】事業所収支!$A$3,"年月",T$1,"事業所",$A104),0)</f>
        <v>0</v>
      </c>
      <c r="U104" s="423">
        <f>IFERROR(GETPIVOTDATA("合計 / " &amp; $B104,【ピボット】事業所収支!$A$3,"年月",U$1,"事業所",$A104),0)</f>
        <v>30864</v>
      </c>
      <c r="V104" s="423">
        <f>IFERROR(GETPIVOTDATA("合計 / " &amp; $B104,【ピボット】事業所収支!$A$3,"年月",V$1,"事業所",$A104),0)</f>
        <v>0</v>
      </c>
      <c r="W104" s="423">
        <f>IFERROR(GETPIVOTDATA("合計 / " &amp; $B104,【ピボット】事業所収支!$A$3,"年月",W$1,"事業所",$A104),0)</f>
        <v>17066</v>
      </c>
      <c r="X104" s="423">
        <f>IFERROR(GETPIVOTDATA("合計 / " &amp; $B104,【ピボット】事業所収支!$A$3,"年月",X$1,"事業所",$A104),0)</f>
        <v>18008</v>
      </c>
      <c r="Y104" s="423">
        <f>IFERROR(GETPIVOTDATA("合計 / " &amp; $B104,【ピボット】事業所収支!$A$3,"年月",Y$1,"事業所",$A104),0)</f>
        <v>185160</v>
      </c>
      <c r="Z104" s="423">
        <f>IFERROR(GETPIVOTDATA("合計 / " &amp; $B104,【ピボット】事業所収支!$A$3,"年月",Z$1,"事業所",$A104),0)</f>
        <v>188283</v>
      </c>
      <c r="AA104" s="423">
        <f>IFERROR(GETPIVOTDATA("合計 / " &amp; $B104,【ピボット】事業所収支!$A$3,"年月",AA$1,"事業所",$A104),0)</f>
        <v>133407</v>
      </c>
      <c r="AB104" s="423">
        <f>IFERROR(GETPIVOTDATA("合計 / " &amp; $B104,【ピボット】事業所収支!$A$3,"年月",AB$1,"事業所",$A104),0)</f>
        <v>153096</v>
      </c>
      <c r="AC104" s="424">
        <f t="shared" si="57"/>
        <v>725884</v>
      </c>
      <c r="AD104" s="424">
        <f t="shared" si="58"/>
        <v>60490.333333333336</v>
      </c>
    </row>
    <row r="105" spans="1:30" ht="19.5" customHeight="1" thickBot="1" x14ac:dyDescent="0.2">
      <c r="C105" s="110"/>
      <c r="D105" s="113" t="s">
        <v>138</v>
      </c>
      <c r="E105" s="427">
        <f>SUM(E102)-SUM(E103:E104)</f>
        <v>0</v>
      </c>
      <c r="F105" s="427">
        <f>SUM(F102)-SUM(F103:F104)</f>
        <v>0</v>
      </c>
      <c r="G105" s="427">
        <f t="shared" ref="G105:L105" si="60">SUM(G102)-SUM(G103:G104)</f>
        <v>0</v>
      </c>
      <c r="H105" s="427">
        <f t="shared" si="60"/>
        <v>0</v>
      </c>
      <c r="I105" s="427">
        <f t="shared" si="60"/>
        <v>0</v>
      </c>
      <c r="J105" s="427">
        <f t="shared" si="60"/>
        <v>0</v>
      </c>
      <c r="K105" s="427">
        <f t="shared" si="60"/>
        <v>0</v>
      </c>
      <c r="L105" s="427">
        <f t="shared" si="60"/>
        <v>0</v>
      </c>
      <c r="M105" s="427">
        <f t="shared" ref="M105:AA105" si="61">SUM(M102)-SUM(M103:M104)</f>
        <v>0</v>
      </c>
      <c r="N105" s="427">
        <f t="shared" si="61"/>
        <v>0</v>
      </c>
      <c r="O105" s="427">
        <f t="shared" si="61"/>
        <v>0</v>
      </c>
      <c r="P105" s="427">
        <f t="shared" si="61"/>
        <v>0</v>
      </c>
      <c r="Q105" s="427">
        <f t="shared" si="61"/>
        <v>0</v>
      </c>
      <c r="R105" s="427">
        <f t="shared" si="61"/>
        <v>0</v>
      </c>
      <c r="S105" s="427">
        <f t="shared" si="61"/>
        <v>0</v>
      </c>
      <c r="T105" s="427">
        <f t="shared" si="61"/>
        <v>0</v>
      </c>
      <c r="U105" s="427">
        <f t="shared" si="61"/>
        <v>-30864</v>
      </c>
      <c r="V105" s="427">
        <f t="shared" si="61"/>
        <v>0</v>
      </c>
      <c r="W105" s="427">
        <f t="shared" si="61"/>
        <v>-1066</v>
      </c>
      <c r="X105" s="427">
        <f t="shared" si="61"/>
        <v>21992</v>
      </c>
      <c r="Y105" s="427">
        <f t="shared" si="61"/>
        <v>-145160</v>
      </c>
      <c r="Z105" s="427">
        <f t="shared" si="61"/>
        <v>908505</v>
      </c>
      <c r="AA105" s="427">
        <f t="shared" si="61"/>
        <v>907399</v>
      </c>
      <c r="AB105" s="427">
        <f>SUM(AB102)-SUM(AB103:AB104)</f>
        <v>1270069</v>
      </c>
      <c r="AC105" s="428">
        <f t="shared" si="57"/>
        <v>2930875</v>
      </c>
      <c r="AD105" s="428">
        <f t="shared" si="58"/>
        <v>244239.58333333334</v>
      </c>
    </row>
    <row r="106" spans="1:30" ht="19.5" customHeight="1" x14ac:dyDescent="0.15">
      <c r="A106" t="s">
        <v>813</v>
      </c>
      <c r="B106" t="s">
        <v>860</v>
      </c>
      <c r="C106" s="107" t="s">
        <v>34</v>
      </c>
      <c r="D106" s="67" t="s">
        <v>126</v>
      </c>
      <c r="E106" s="419">
        <f>IFERROR(GETPIVOTDATA("合計 / " &amp; $B106,【ピボット】国保連売上!$A$3,"年月",E$1,"事業所",$A106,"請求区分","単月"),0)</f>
        <v>1223635</v>
      </c>
      <c r="F106" s="419">
        <f>IFERROR(GETPIVOTDATA("合計 / " &amp; $B106,【ピボット】国保連売上!$A$3,"年月",F$1,"事業所",$A106,"請求区分","単月"),0)</f>
        <v>1067354</v>
      </c>
      <c r="G106" s="419">
        <f>IFERROR(GETPIVOTDATA("合計 / " &amp; $B106,【ピボット】国保連売上!$A$3,"年月",G$1,"事業所",$A106,"請求区分","単月"),0)</f>
        <v>1141415</v>
      </c>
      <c r="H106" s="419">
        <f>IFERROR(GETPIVOTDATA("合計 / " &amp; $B106,【ピボット】国保連売上!$A$3,"年月",H$1,"事業所",$A106,"請求区分","単月"),0)</f>
        <v>1272256</v>
      </c>
      <c r="I106" s="419">
        <f>IFERROR(GETPIVOTDATA("合計 / " &amp; $B106,【ピボット】国保連売上!$A$3,"年月",I$1,"事業所",$A106,"請求区分","単月"),0)</f>
        <v>1407947</v>
      </c>
      <c r="J106" s="419">
        <f>IFERROR(GETPIVOTDATA("合計 / " &amp; $B106,【ピボット】国保連売上!$A$3,"年月",J$1,"事業所",$A106,"請求区分","単月"),0)</f>
        <v>1243781</v>
      </c>
      <c r="K106" s="419">
        <f>IFERROR(GETPIVOTDATA("合計 / " &amp; $B106,【ピボット】国保連売上!$A$3,"年月",K$1,"事業所",$A106,"請求区分","単月"),0)</f>
        <v>1292173</v>
      </c>
      <c r="L106" s="419">
        <f>IFERROR(GETPIVOTDATA("合計 / " &amp; $B106,【ピボット】国保連売上!$A$3,"年月",L$1,"事業所",$A106,"請求区分","単月"),0)</f>
        <v>1246620</v>
      </c>
      <c r="M106" s="419">
        <f>IFERROR(GETPIVOTDATA("合計 / " &amp; $B106,【ピボット】国保連売上!$A$3,"年月",M$1,"事業所",$A106,"請求区分","単月"),0)</f>
        <v>958455</v>
      </c>
      <c r="N106" s="419">
        <f>IFERROR(GETPIVOTDATA("合計 / " &amp; $B106,【ピボット】国保連売上!$A$3,"年月",N$1,"事業所",$A106,"請求区分","単月"),0)</f>
        <v>795848</v>
      </c>
      <c r="O106" s="419">
        <f>IFERROR(GETPIVOTDATA("合計 / " &amp; $B106,【ピボット】国保連売上!$A$3,"年月",O$1,"事業所",$A106,"請求区分","単月"),0)</f>
        <v>824207</v>
      </c>
      <c r="P106" s="419">
        <f>IFERROR(GETPIVOTDATA("合計 / " &amp; $B106,【ピボット】国保連売上!$A$3,"年月",P$1,"事業所",$A106,"請求区分","単月"),0)</f>
        <v>884104</v>
      </c>
      <c r="Q106" s="419">
        <f>IFERROR(GETPIVOTDATA("合計 / " &amp; $B106,【ピボット】国保連売上!$A$3,"年月",Q$1,"事業所",$A106,"請求区分","単月"),0)</f>
        <v>915308</v>
      </c>
      <c r="R106" s="419">
        <f>IFERROR(GETPIVOTDATA("合計 / " &amp; $B106,【ピボット】国保連売上!$A$3,"年月",R$1,"事業所",$A106,"請求区分","単月"),0)</f>
        <v>914203</v>
      </c>
      <c r="S106" s="419">
        <f>IFERROR(GETPIVOTDATA("合計 / " &amp; $B106,【ピボット】国保連売上!$A$3,"年月",S$1,"事業所",$A106,"請求区分","単月"),0)</f>
        <v>764948</v>
      </c>
      <c r="T106" s="419">
        <f>IFERROR(GETPIVOTDATA("合計 / " &amp; $B106,【ピボット】国保連売上!$A$3,"年月",T$1,"事業所",$A106,"請求区分","単月"),0)</f>
        <v>564353</v>
      </c>
      <c r="U106" s="419">
        <f>IFERROR(GETPIVOTDATA("合計 / " &amp; $B106,【ピボット】国保連売上!$A$3,"年月",U$1,"事業所",$A106,"請求区分","単月"),0)</f>
        <v>399221</v>
      </c>
      <c r="V106" s="419">
        <f>IFERROR(GETPIVOTDATA("合計 / " &amp; $B106,【ピボット】国保連売上!$A$3,"年月",V$1,"事業所",$A106,"請求区分","単月"),0)</f>
        <v>0</v>
      </c>
      <c r="W106" s="419">
        <f>IFERROR(GETPIVOTDATA("合計 / " &amp; $B106,【ピボット】国保連売上!$A$3,"年月",W$1,"事業所",$A106,"請求区分","単月"),0)</f>
        <v>0</v>
      </c>
      <c r="X106" s="419">
        <f>IFERROR(GETPIVOTDATA("合計 / " &amp; $B106,【ピボット】国保連売上!$A$3,"年月",X$1,"事業所",$A106,"請求区分","単月"),0)</f>
        <v>0</v>
      </c>
      <c r="Y106" s="419">
        <f>IFERROR(GETPIVOTDATA("合計 / " &amp; $B106,【ピボット】国保連売上!$A$3,"年月",Y$1,"事業所",$A106,"請求区分","単月"),0)</f>
        <v>0</v>
      </c>
      <c r="Z106" s="419">
        <f>IFERROR(GETPIVOTDATA("合計 / " &amp; $B106,【ピボット】国保連売上!$A$3,"年月",Z$1,"事業所",$A106,"請求区分","単月"),0)</f>
        <v>0</v>
      </c>
      <c r="AA106" s="419">
        <f>IFERROR(GETPIVOTDATA("合計 / " &amp; $B106,【ピボット】国保連売上!$A$3,"年月",AA$1,"事業所",$A106,"請求区分","単月"),0)</f>
        <v>0</v>
      </c>
      <c r="AB106" s="419">
        <f>IFERROR(GETPIVOTDATA("合計 / " &amp; $B106,【ピボット】国保連売上!$A$3,"年月",AB$1,"事業所",$A106,"請求区分","単月"),0)</f>
        <v>0</v>
      </c>
      <c r="AC106" s="420">
        <f t="shared" si="47"/>
        <v>3558033</v>
      </c>
      <c r="AD106" s="420">
        <f t="shared" si="48"/>
        <v>296502.75</v>
      </c>
    </row>
    <row r="107" spans="1:30" ht="19.5" customHeight="1" x14ac:dyDescent="0.15">
      <c r="A107" t="s">
        <v>813</v>
      </c>
      <c r="B107" t="s">
        <v>861</v>
      </c>
      <c r="C107" s="108" t="s">
        <v>338</v>
      </c>
      <c r="D107" s="69" t="s">
        <v>137</v>
      </c>
      <c r="E107" s="421">
        <f>IFERROR(GETPIVOTDATA("合計 / " &amp; $B107,【ピボット】国保連売上!$A$3,"年月",E$1,"事業所",$A107,"請求区分","単月"),0)</f>
        <v>10411</v>
      </c>
      <c r="F107" s="421">
        <f>IFERROR(GETPIVOTDATA("合計 / " &amp; $B107,【ピボット】国保連売上!$A$3,"年月",F$1,"事業所",$A107,"請求区分","単月"),0)</f>
        <v>2600</v>
      </c>
      <c r="G107" s="421">
        <f>IFERROR(GETPIVOTDATA("合計 / " &amp; $B107,【ピボット】国保連売上!$A$3,"年月",G$1,"事業所",$A107,"請求区分","単月"),0)</f>
        <v>0</v>
      </c>
      <c r="H107" s="421">
        <f>IFERROR(GETPIVOTDATA("合計 / " &amp; $B107,【ピボット】国保連売上!$A$3,"年月",H$1,"事業所",$A107,"請求区分","単月"),0)</f>
        <v>9159</v>
      </c>
      <c r="I107" s="421">
        <f>IFERROR(GETPIVOTDATA("合計 / " &amp; $B107,【ピボット】国保連売上!$A$3,"年月",I$1,"事業所",$A107,"請求区分","単月"),0)</f>
        <v>48577</v>
      </c>
      <c r="J107" s="421">
        <f>IFERROR(GETPIVOTDATA("合計 / " &amp; $B107,【ピボット】国保連売上!$A$3,"年月",J$1,"事業所",$A107,"請求区分","単月"),0)</f>
        <v>6515</v>
      </c>
      <c r="K107" s="421">
        <f>IFERROR(GETPIVOTDATA("合計 / " &amp; $B107,【ピボット】国保連売上!$A$3,"年月",K$1,"事業所",$A107,"請求区分","単月"),0)</f>
        <v>40455</v>
      </c>
      <c r="L107" s="421">
        <f>IFERROR(GETPIVOTDATA("合計 / " &amp; $B107,【ピボット】国保連売上!$A$3,"年月",L$1,"事業所",$A107,"請求区分","単月"),0)</f>
        <v>9940</v>
      </c>
      <c r="M107" s="421">
        <f>IFERROR(GETPIVOTDATA("合計 / " &amp; $B107,【ピボット】国保連売上!$A$3,"年月",M$1,"事業所",$A107,"請求区分","単月"),0)</f>
        <v>18104</v>
      </c>
      <c r="N107" s="421">
        <f>IFERROR(GETPIVOTDATA("合計 / " &amp; $B107,【ピボット】国保連売上!$A$3,"年月",N$1,"事業所",$A107,"請求区分","単月"),0)</f>
        <v>0</v>
      </c>
      <c r="O107" s="421">
        <f>IFERROR(GETPIVOTDATA("合計 / " &amp; $B107,【ピボット】国保連売上!$A$3,"年月",O$1,"事業所",$A107,"請求区分","単月"),0)</f>
        <v>0</v>
      </c>
      <c r="P107" s="421">
        <f>IFERROR(GETPIVOTDATA("合計 / " &amp; $B107,【ピボット】国保連売上!$A$3,"年月",P$1,"事業所",$A107,"請求区分","単月"),0)</f>
        <v>0</v>
      </c>
      <c r="Q107" s="421">
        <f>IFERROR(GETPIVOTDATA("合計 / " &amp; $B107,【ピボット】国保連売上!$A$3,"年月",Q$1,"事業所",$A107,"請求区分","単月"),0)</f>
        <v>26209</v>
      </c>
      <c r="R107" s="421">
        <f>IFERROR(GETPIVOTDATA("合計 / " &amp; $B107,【ピボット】国保連売上!$A$3,"年月",R$1,"事業所",$A107,"請求区分","単月"),0)</f>
        <v>0</v>
      </c>
      <c r="S107" s="421">
        <f>IFERROR(GETPIVOTDATA("合計 / " &amp; $B107,【ピボット】国保連売上!$A$3,"年月",S$1,"事業所",$A107,"請求区分","単月"),0)</f>
        <v>0</v>
      </c>
      <c r="T107" s="421">
        <f>IFERROR(GETPIVOTDATA("合計 / " &amp; $B107,【ピボット】国保連売上!$A$3,"年月",T$1,"事業所",$A107,"請求区分","単月"),0)</f>
        <v>0</v>
      </c>
      <c r="U107" s="421">
        <f>IFERROR(GETPIVOTDATA("合計 / " &amp; $B107,【ピボット】国保連売上!$A$3,"年月",U$1,"事業所",$A107,"請求区分","単月"),0)</f>
        <v>0</v>
      </c>
      <c r="V107" s="421">
        <f>IFERROR(GETPIVOTDATA("合計 / " &amp; $B107,【ピボット】国保連売上!$A$3,"年月",V$1,"事業所",$A107,"請求区分","単月"),0)</f>
        <v>0</v>
      </c>
      <c r="W107" s="421">
        <f>IFERROR(GETPIVOTDATA("合計 / " &amp; $B107,【ピボット】国保連売上!$A$3,"年月",W$1,"事業所",$A107,"請求区分","単月"),0)</f>
        <v>0</v>
      </c>
      <c r="X107" s="421">
        <f>IFERROR(GETPIVOTDATA("合計 / " &amp; $B107,【ピボット】国保連売上!$A$3,"年月",X$1,"事業所",$A107,"請求区分","単月"),0)</f>
        <v>0</v>
      </c>
      <c r="Y107" s="421">
        <f>IFERROR(GETPIVOTDATA("合計 / " &amp; $B107,【ピボット】国保連売上!$A$3,"年月",Y$1,"事業所",$A107,"請求区分","単月"),0)</f>
        <v>0</v>
      </c>
      <c r="Z107" s="421">
        <f>IFERROR(GETPIVOTDATA("合計 / " &amp; $B107,【ピボット】国保連売上!$A$3,"年月",Z$1,"事業所",$A107,"請求区分","単月"),0)</f>
        <v>0</v>
      </c>
      <c r="AA107" s="421">
        <f>IFERROR(GETPIVOTDATA("合計 / " &amp; $B107,【ピボット】国保連売上!$A$3,"年月",AA$1,"事業所",$A107,"請求区分","単月"),0)</f>
        <v>0</v>
      </c>
      <c r="AB107" s="421">
        <f>IFERROR(GETPIVOTDATA("合計 / " &amp; $B107,【ピボット】国保連売上!$A$3,"年月",AB$1,"事業所",$A107,"請求区分","単月"),0)</f>
        <v>0</v>
      </c>
      <c r="AC107" s="422">
        <f t="shared" si="47"/>
        <v>26209</v>
      </c>
      <c r="AD107" s="422">
        <f t="shared" si="48"/>
        <v>2184.0833333333335</v>
      </c>
    </row>
    <row r="108" spans="1:30" ht="19.5" customHeight="1" x14ac:dyDescent="0.15">
      <c r="A108" t="s">
        <v>813</v>
      </c>
      <c r="B108" t="s">
        <v>862</v>
      </c>
      <c r="C108" s="109"/>
      <c r="D108" s="68" t="s">
        <v>127</v>
      </c>
      <c r="E108" s="423">
        <f>IFERROR(GETPIVOTDATA("合計 / " &amp; $B108,【ピボット】国保連売上!$A$3,"年月",E$1,"事業所",$A108,"請求区分","単月"),0)</f>
        <v>-6505</v>
      </c>
      <c r="F108" s="423">
        <f>IFERROR(GETPIVOTDATA("合計 / " &amp; $B108,【ピボット】国保連売上!$A$3,"年月",F$1,"事業所",$A108,"請求区分","単月"),0)</f>
        <v>-9169</v>
      </c>
      <c r="G108" s="423">
        <f>IFERROR(GETPIVOTDATA("合計 / " &amp; $B108,【ピボット】国保連売上!$A$3,"年月",G$1,"事業所",$A108,"請求区分","単月"),0)</f>
        <v>-39418</v>
      </c>
      <c r="H108" s="423">
        <f>IFERROR(GETPIVOTDATA("合計 / " &amp; $B108,【ピボット】国保連売上!$A$3,"年月",H$1,"事業所",$A108,"請求区分","単月"),0)</f>
        <v>-6559</v>
      </c>
      <c r="I108" s="423">
        <f>IFERROR(GETPIVOTDATA("合計 / " &amp; $B108,【ピボット】国保連売上!$A$3,"年月",I$1,"事業所",$A108,"請求区分","単月"),0)</f>
        <v>0</v>
      </c>
      <c r="J108" s="423">
        <f>IFERROR(GETPIVOTDATA("合計 / " &amp; $B108,【ピボット】国保連売上!$A$3,"年月",J$1,"事業所",$A108,"請求区分","単月"),0)</f>
        <v>-2836</v>
      </c>
      <c r="K108" s="423">
        <f>IFERROR(GETPIVOTDATA("合計 / " &amp; $B108,【ピボット】国保連売上!$A$3,"年月",K$1,"事業所",$A108,"請求区分","単月"),0)</f>
        <v>0</v>
      </c>
      <c r="L108" s="423">
        <f>IFERROR(GETPIVOTDATA("合計 / " &amp; $B108,【ピボット】国保連売上!$A$3,"年月",L$1,"事業所",$A108,"請求区分","単月"),0)</f>
        <v>-2600</v>
      </c>
      <c r="M108" s="423">
        <f>IFERROR(GETPIVOTDATA("合計 / " &amp; $B108,【ピボット】国保連売上!$A$3,"年月",M$1,"事業所",$A108,"請求区分","単月"),0)</f>
        <v>-9116</v>
      </c>
      <c r="N108" s="423">
        <f>IFERROR(GETPIVOTDATA("合計 / " &amp; $B108,【ピボット】国保連売上!$A$3,"年月",N$1,"事業所",$A108,"請求区分","単月"),0)</f>
        <v>-1616</v>
      </c>
      <c r="O108" s="423">
        <f>IFERROR(GETPIVOTDATA("合計 / " &amp; $B108,【ピボット】国保連売上!$A$3,"年月",O$1,"事業所",$A108,"請求区分","単月"),0)</f>
        <v>-2023</v>
      </c>
      <c r="P108" s="423">
        <f>IFERROR(GETPIVOTDATA("合計 / " &amp; $B108,【ピボット】国保連売上!$A$3,"年月",P$1,"事業所",$A108,"請求区分","単月"),0)</f>
        <v>0</v>
      </c>
      <c r="Q108" s="423">
        <f>IFERROR(GETPIVOTDATA("合計 / " &amp; $B108,【ピボット】国保連売上!$A$3,"年月",Q$1,"事業所",$A108,"請求区分","単月"),0)</f>
        <v>0</v>
      </c>
      <c r="R108" s="423">
        <f>IFERROR(GETPIVOTDATA("合計 / " &amp; $B108,【ピボット】国保連売上!$A$3,"年月",R$1,"事業所",$A108,"請求区分","単月"),0)</f>
        <v>0</v>
      </c>
      <c r="S108" s="423">
        <f>IFERROR(GETPIVOTDATA("合計 / " &amp; $B108,【ピボット】国保連売上!$A$3,"年月",S$1,"事業所",$A108,"請求区分","単月"),0)</f>
        <v>0</v>
      </c>
      <c r="T108" s="423">
        <f>IFERROR(GETPIVOTDATA("合計 / " &amp; $B108,【ピボット】国保連売上!$A$3,"年月",T$1,"事業所",$A108,"請求区分","単月"),0)</f>
        <v>0</v>
      </c>
      <c r="U108" s="423">
        <f>IFERROR(GETPIVOTDATA("合計 / " &amp; $B108,【ピボット】国保連売上!$A$3,"年月",U$1,"事業所",$A108,"請求区分","単月"),0)</f>
        <v>0</v>
      </c>
      <c r="V108" s="423">
        <f>IFERROR(GETPIVOTDATA("合計 / " &amp; $B108,【ピボット】国保連売上!$A$3,"年月",V$1,"事業所",$A108,"請求区分","単月"),0)</f>
        <v>0</v>
      </c>
      <c r="W108" s="423">
        <f>IFERROR(GETPIVOTDATA("合計 / " &amp; $B108,【ピボット】国保連売上!$A$3,"年月",W$1,"事業所",$A108,"請求区分","単月"),0)</f>
        <v>0</v>
      </c>
      <c r="X108" s="423">
        <f>IFERROR(GETPIVOTDATA("合計 / " &amp; $B108,【ピボット】国保連売上!$A$3,"年月",X$1,"事業所",$A108,"請求区分","単月"),0)</f>
        <v>0</v>
      </c>
      <c r="Y108" s="423">
        <f>IFERROR(GETPIVOTDATA("合計 / " &amp; $B108,【ピボット】国保連売上!$A$3,"年月",Y$1,"事業所",$A108,"請求区分","単月"),0)</f>
        <v>0</v>
      </c>
      <c r="Z108" s="423">
        <f>IFERROR(GETPIVOTDATA("合計 / " &amp; $B108,【ピボット】国保連売上!$A$3,"年月",Z$1,"事業所",$A108,"請求区分","単月"),0)</f>
        <v>0</v>
      </c>
      <c r="AA108" s="423">
        <f>IFERROR(GETPIVOTDATA("合計 / " &amp; $B108,【ピボット】国保連売上!$A$3,"年月",AA$1,"事業所",$A108,"請求区分","単月"),0)</f>
        <v>0</v>
      </c>
      <c r="AB108" s="421">
        <f>IFERROR(GETPIVOTDATA("合計 / " &amp; $B108,【ピボット】国保連売上!$A$3,"年月",AB$1,"事業所",$A108,"請求区分","単月"),0)</f>
        <v>0</v>
      </c>
      <c r="AC108" s="424">
        <f t="shared" si="47"/>
        <v>0</v>
      </c>
      <c r="AD108" s="424">
        <f t="shared" si="48"/>
        <v>0</v>
      </c>
    </row>
    <row r="109" spans="1:30" ht="19.5" customHeight="1" x14ac:dyDescent="0.15">
      <c r="A109" t="s">
        <v>813</v>
      </c>
      <c r="B109" t="s">
        <v>815</v>
      </c>
      <c r="C109" s="109"/>
      <c r="D109" s="68" t="s">
        <v>128</v>
      </c>
      <c r="E109" s="423">
        <f>IFERROR(GETPIVOTDATA("合計 / " &amp; $B109,【ピボット】事業所売上!$A$3,"年月",E$1,"事業所",$A109),0)</f>
        <v>1771670</v>
      </c>
      <c r="F109" s="423">
        <f>IFERROR(GETPIVOTDATA("合計 / " &amp; $B109,【ピボット】事業所売上!$A$3,"年月",F$1,"事業所",$A109),0)</f>
        <v>1729810</v>
      </c>
      <c r="G109" s="423">
        <f>IFERROR(GETPIVOTDATA("合計 / " &amp; $B109,【ピボット】事業所売上!$A$3,"年月",G$1,"事業所",$A109),0)</f>
        <v>2102700</v>
      </c>
      <c r="H109" s="423">
        <f>IFERROR(GETPIVOTDATA("合計 / " &amp; $B109,【ピボット】事業所売上!$A$3,"年月",H$1,"事業所",$A109),0)</f>
        <v>1823170</v>
      </c>
      <c r="I109" s="423">
        <f>IFERROR(GETPIVOTDATA("合計 / " &amp; $B109,【ピボット】事業所売上!$A$3,"年月",I$1,"事業所",$A109),0)</f>
        <v>1771150</v>
      </c>
      <c r="J109" s="423">
        <f>IFERROR(GETPIVOTDATA("合計 / " &amp; $B109,【ピボット】事業所売上!$A$3,"年月",J$1,"事業所",$A109),0)</f>
        <v>1945060</v>
      </c>
      <c r="K109" s="423">
        <f>IFERROR(GETPIVOTDATA("合計 / " &amp; $B109,【ピボット】事業所売上!$A$3,"年月",K$1,"事業所",$A109),0)</f>
        <v>1832302</v>
      </c>
      <c r="L109" s="423">
        <f>IFERROR(GETPIVOTDATA("合計 / " &amp; $B109,【ピボット】事業所売上!$A$3,"年月",L$1,"事業所",$A109),0)</f>
        <v>1856040</v>
      </c>
      <c r="M109" s="423">
        <f>IFERROR(GETPIVOTDATA("合計 / " &amp; $B109,【ピボット】事業所売上!$A$3,"年月",M$1,"事業所",$A109),0)</f>
        <v>1398140</v>
      </c>
      <c r="N109" s="423">
        <f>IFERROR(GETPIVOTDATA("合計 / " &amp; $B109,【ピボット】事業所売上!$A$3,"年月",N$1,"事業所",$A109),0)</f>
        <v>1344690</v>
      </c>
      <c r="O109" s="423">
        <f>IFERROR(GETPIVOTDATA("合計 / " &amp; $B109,【ピボット】事業所売上!$A$3,"年月",O$1,"事業所",$A109),0)</f>
        <v>1430158</v>
      </c>
      <c r="P109" s="423">
        <f>IFERROR(GETPIVOTDATA("合計 / " &amp; $B109,【ピボット】事業所売上!$A$3,"年月",P$1,"事業所",$A109),0)</f>
        <v>1048210</v>
      </c>
      <c r="Q109" s="423">
        <f>IFERROR(GETPIVOTDATA("合計 / " &amp; $B109,【ピボット】事業所売上!$A$3,"年月",Q$1,"事業所",$A109),0)</f>
        <v>1039030</v>
      </c>
      <c r="R109" s="423">
        <f>IFERROR(GETPIVOTDATA("合計 / " &amp; $B109,【ピボット】事業所売上!$A$3,"年月",R$1,"事業所",$A109),0)</f>
        <v>955630</v>
      </c>
      <c r="S109" s="423">
        <f>IFERROR(GETPIVOTDATA("合計 / " &amp; $B109,【ピボット】事業所売上!$A$3,"年月",S$1,"事業所",$A109),0)</f>
        <v>849440</v>
      </c>
      <c r="T109" s="423">
        <f>IFERROR(GETPIVOTDATA("合計 / " &amp; $B109,【ピボット】事業所売上!$A$3,"年月",T$1,"事業所",$A109),0)</f>
        <v>880170</v>
      </c>
      <c r="U109" s="423">
        <f>IFERROR(GETPIVOTDATA("合計 / " &amp; $B109,【ピボット】事業所売上!$A$3,"年月",U$1,"事業所",$A109),0)</f>
        <v>729735</v>
      </c>
      <c r="V109" s="423">
        <f>IFERROR(GETPIVOTDATA("合計 / " &amp; $B109,【ピボット】事業所売上!$A$3,"年月",V$1,"事業所",$A109),0)</f>
        <v>0</v>
      </c>
      <c r="W109" s="423">
        <f>IFERROR(GETPIVOTDATA("合計 / " &amp; $B109,【ピボット】事業所売上!$A$3,"年月",W$1,"事業所",$A109),0)</f>
        <v>0</v>
      </c>
      <c r="X109" s="423">
        <f>IFERROR(GETPIVOTDATA("合計 / " &amp; $B109,【ピボット】事業所売上!$A$3,"年月",X$1,"事業所",$A109),0)</f>
        <v>0</v>
      </c>
      <c r="Y109" s="423">
        <f>IFERROR(GETPIVOTDATA("合計 / " &amp; $B109,【ピボット】事業所売上!$A$3,"年月",Y$1,"事業所",$A109),0)</f>
        <v>0</v>
      </c>
      <c r="Z109" s="423">
        <f>IFERROR(GETPIVOTDATA("合計 / " &amp; $B109,【ピボット】事業所売上!$A$3,"年月",Z$1,"事業所",$A109),0)</f>
        <v>0</v>
      </c>
      <c r="AA109" s="423">
        <f>IFERROR(GETPIVOTDATA("合計 / " &amp; $B109,【ピボット】事業所売上!$A$3,"年月",AA$1,"事業所",$A109),0)</f>
        <v>0</v>
      </c>
      <c r="AB109" s="423">
        <f>IFERROR(GETPIVOTDATA("合計 / " &amp; $B109,【ピボット】事業所売上!$A$3,"年月",AB$1,"事業所",$A109),0)</f>
        <v>0</v>
      </c>
      <c r="AC109" s="424">
        <f t="shared" si="47"/>
        <v>4454005</v>
      </c>
      <c r="AD109" s="424">
        <f t="shared" si="48"/>
        <v>371167.08333333331</v>
      </c>
    </row>
    <row r="110" spans="1:30" ht="19.5" customHeight="1" x14ac:dyDescent="0.15">
      <c r="A110" t="s">
        <v>813</v>
      </c>
      <c r="C110" s="109"/>
      <c r="D110" s="112" t="str">
        <f>C106 &amp; C107 &amp; "売上合計"</f>
        <v>白金タクシー売上合計</v>
      </c>
      <c r="E110" s="425">
        <f>SUM(E106:E109)</f>
        <v>2999211</v>
      </c>
      <c r="F110" s="425">
        <f>SUM(F106:F109)</f>
        <v>2790595</v>
      </c>
      <c r="G110" s="425">
        <f t="shared" ref="G110:L110" si="62">SUM(G106:G109)</f>
        <v>3204697</v>
      </c>
      <c r="H110" s="425">
        <f t="shared" si="62"/>
        <v>3098026</v>
      </c>
      <c r="I110" s="425">
        <f t="shared" si="62"/>
        <v>3227674</v>
      </c>
      <c r="J110" s="425">
        <f t="shared" si="62"/>
        <v>3192520</v>
      </c>
      <c r="K110" s="425">
        <f t="shared" si="62"/>
        <v>3164930</v>
      </c>
      <c r="L110" s="425">
        <f t="shared" si="62"/>
        <v>3110000</v>
      </c>
      <c r="M110" s="425">
        <f t="shared" ref="M110:AA110" si="63">SUM(M106:M109)</f>
        <v>2365583</v>
      </c>
      <c r="N110" s="425">
        <f t="shared" si="63"/>
        <v>2138922</v>
      </c>
      <c r="O110" s="425">
        <f t="shared" si="63"/>
        <v>2252342</v>
      </c>
      <c r="P110" s="425">
        <f t="shared" si="63"/>
        <v>1932314</v>
      </c>
      <c r="Q110" s="425">
        <f t="shared" si="63"/>
        <v>1980547</v>
      </c>
      <c r="R110" s="425">
        <f t="shared" si="63"/>
        <v>1869833</v>
      </c>
      <c r="S110" s="425">
        <f t="shared" si="63"/>
        <v>1614388</v>
      </c>
      <c r="T110" s="425">
        <f t="shared" si="63"/>
        <v>1444523</v>
      </c>
      <c r="U110" s="425">
        <f t="shared" si="63"/>
        <v>1128956</v>
      </c>
      <c r="V110" s="425">
        <f t="shared" si="63"/>
        <v>0</v>
      </c>
      <c r="W110" s="425">
        <f t="shared" si="63"/>
        <v>0</v>
      </c>
      <c r="X110" s="425">
        <f t="shared" si="63"/>
        <v>0</v>
      </c>
      <c r="Y110" s="425">
        <f t="shared" si="63"/>
        <v>0</v>
      </c>
      <c r="Z110" s="425">
        <f t="shared" si="63"/>
        <v>0</v>
      </c>
      <c r="AA110" s="425">
        <f t="shared" si="63"/>
        <v>0</v>
      </c>
      <c r="AB110" s="425">
        <f>SUM(AB106:AB109)</f>
        <v>0</v>
      </c>
      <c r="AC110" s="426">
        <f t="shared" si="47"/>
        <v>8038247</v>
      </c>
      <c r="AD110" s="426">
        <f t="shared" si="48"/>
        <v>669853.91666666663</v>
      </c>
    </row>
    <row r="111" spans="1:30" ht="19.5" customHeight="1" x14ac:dyDescent="0.15">
      <c r="A111" t="s">
        <v>813</v>
      </c>
      <c r="B111" t="s">
        <v>15</v>
      </c>
      <c r="C111" s="109"/>
      <c r="D111" s="68" t="s">
        <v>129</v>
      </c>
      <c r="E111" s="423">
        <f>IFERROR(GETPIVOTDATA("合計 / " &amp; $B111,【ピボット】事業所収支!$A$3,"年月",E$1,"事業所",$A111),0)</f>
        <v>1592861</v>
      </c>
      <c r="F111" s="423">
        <f>IFERROR(GETPIVOTDATA("合計 / " &amp; $B111,【ピボット】事業所収支!$A$3,"年月",F$1,"事業所",$A111),0)</f>
        <v>1573040</v>
      </c>
      <c r="G111" s="423">
        <f>IFERROR(GETPIVOTDATA("合計 / " &amp; $B111,【ピボット】事業所収支!$A$3,"年月",G$1,"事業所",$A111),0)</f>
        <v>1767600</v>
      </c>
      <c r="H111" s="423">
        <f>IFERROR(GETPIVOTDATA("合計 / " &amp; $B111,【ピボット】事業所収支!$A$3,"年月",H$1,"事業所",$A111),0)</f>
        <v>1796117</v>
      </c>
      <c r="I111" s="423">
        <f>IFERROR(GETPIVOTDATA("合計 / " &amp; $B111,【ピボット】事業所収支!$A$3,"年月",I$1,"事業所",$A111),0)</f>
        <v>1716632</v>
      </c>
      <c r="J111" s="423">
        <f>IFERROR(GETPIVOTDATA("合計 / " &amp; $B111,【ピボット】事業所収支!$A$3,"年月",J$1,"事業所",$A111),0)</f>
        <v>1706006</v>
      </c>
      <c r="K111" s="423">
        <f>IFERROR(GETPIVOTDATA("合計 / " &amp; $B111,【ピボット】事業所収支!$A$3,"年月",K$1,"事業所",$A111),0)</f>
        <v>1694389</v>
      </c>
      <c r="L111" s="423">
        <f>IFERROR(GETPIVOTDATA("合計 / " &amp; $B111,【ピボット】事業所収支!$A$3,"年月",L$1,"事業所",$A111),0)</f>
        <v>1862425.9867857778</v>
      </c>
      <c r="M111" s="423">
        <f>IFERROR(GETPIVOTDATA("合計 / " &amp; $B111,【ピボット】事業所収支!$A$3,"年月",M$1,"事業所",$A111),0)</f>
        <v>2505733</v>
      </c>
      <c r="N111" s="423">
        <f>IFERROR(GETPIVOTDATA("合計 / " &amp; $B111,【ピボット】事業所収支!$A$3,"年月",N$1,"事業所",$A111),0)</f>
        <v>1313909</v>
      </c>
      <c r="O111" s="423">
        <f>IFERROR(GETPIVOTDATA("合計 / " &amp; $B111,【ピボット】事業所収支!$A$3,"年月",O$1,"事業所",$A111),0)</f>
        <v>1420588</v>
      </c>
      <c r="P111" s="423">
        <f>IFERROR(GETPIVOTDATA("合計 / " &amp; $B111,【ピボット】事業所収支!$A$3,"年月",P$1,"事業所",$A111),0)</f>
        <v>1231638</v>
      </c>
      <c r="Q111" s="423">
        <f>IFERROR(GETPIVOTDATA("合計 / " &amp; $B111,【ピボット】事業所収支!$A$3,"年月",Q$1,"事業所",$A111),0)</f>
        <v>916985</v>
      </c>
      <c r="R111" s="423">
        <f>IFERROR(GETPIVOTDATA("合計 / " &amp; $B111,【ピボット】事業所収支!$A$3,"年月",R$1,"事業所",$A111),0)</f>
        <v>955534</v>
      </c>
      <c r="S111" s="423">
        <f>IFERROR(GETPIVOTDATA("合計 / " &amp; $B111,【ピボット】事業所収支!$A$3,"年月",S$1,"事業所",$A111),0)</f>
        <v>829847</v>
      </c>
      <c r="T111" s="423">
        <f>IFERROR(GETPIVOTDATA("合計 / " &amp; $B111,【ピボット】事業所収支!$A$3,"年月",T$1,"事業所",$A111),0)</f>
        <v>827963</v>
      </c>
      <c r="U111" s="423">
        <f>IFERROR(GETPIVOTDATA("合計 / " &amp; $B111,【ピボット】事業所収支!$A$3,"年月",U$1,"事業所",$A111),0)</f>
        <v>685027</v>
      </c>
      <c r="V111" s="423">
        <f>IFERROR(GETPIVOTDATA("合計 / " &amp; $B111,【ピボット】事業所収支!$A$3,"年月",V$1,"事業所",$A111),0)</f>
        <v>0</v>
      </c>
      <c r="W111" s="423">
        <f>IFERROR(GETPIVOTDATA("合計 / " &amp; $B111,【ピボット】事業所収支!$A$3,"年月",W$1,"事業所",$A111),0)</f>
        <v>0</v>
      </c>
      <c r="X111" s="423">
        <f>IFERROR(GETPIVOTDATA("合計 / " &amp; $B111,【ピボット】事業所収支!$A$3,"年月",X$1,"事業所",$A111),0)</f>
        <v>0</v>
      </c>
      <c r="Y111" s="423">
        <f>IFERROR(GETPIVOTDATA("合計 / " &amp; $B111,【ピボット】事業所収支!$A$3,"年月",Y$1,"事業所",$A111),0)</f>
        <v>0</v>
      </c>
      <c r="Z111" s="423">
        <f>IFERROR(GETPIVOTDATA("合計 / " &amp; $B111,【ピボット】事業所収支!$A$3,"年月",Z$1,"事業所",$A111),0)</f>
        <v>0</v>
      </c>
      <c r="AA111" s="423">
        <f>IFERROR(GETPIVOTDATA("合計 / " &amp; $B111,【ピボット】事業所収支!$A$3,"年月",AA$1,"事業所",$A111),0)</f>
        <v>0</v>
      </c>
      <c r="AB111" s="423">
        <f>IFERROR(GETPIVOTDATA("合計 / " &amp; $B111,【ピボット】事業所収支!$A$3,"年月",AB$1,"事業所",$A111),0)</f>
        <v>0</v>
      </c>
      <c r="AC111" s="424">
        <f t="shared" si="47"/>
        <v>4215356</v>
      </c>
      <c r="AD111" s="424">
        <f t="shared" si="48"/>
        <v>351279.66666666669</v>
      </c>
    </row>
    <row r="112" spans="1:30" ht="19.5" customHeight="1" x14ac:dyDescent="0.15">
      <c r="A112" t="s">
        <v>813</v>
      </c>
      <c r="B112" t="s">
        <v>1230</v>
      </c>
      <c r="C112" s="109"/>
      <c r="D112" s="68" t="s">
        <v>130</v>
      </c>
      <c r="E112" s="423">
        <f>IFERROR(GETPIVOTDATA("合計 / " &amp; $B112,【ピボット】事業所収支!$A$3,"年月",E$1,"事業所",$A112),0)</f>
        <v>1119742</v>
      </c>
      <c r="F112" s="423">
        <f>IFERROR(GETPIVOTDATA("合計 / " &amp; $B112,【ピボット】事業所収支!$A$3,"年月",F$1,"事業所",$A112),0)</f>
        <v>842340</v>
      </c>
      <c r="G112" s="423">
        <f>IFERROR(GETPIVOTDATA("合計 / " &amp; $B112,【ピボット】事業所収支!$A$3,"年月",G$1,"事業所",$A112),0)</f>
        <v>840179</v>
      </c>
      <c r="H112" s="423">
        <f>IFERROR(GETPIVOTDATA("合計 / " &amp; $B112,【ピボット】事業所収支!$A$3,"年月",H$1,"事業所",$A112),0)</f>
        <v>988684</v>
      </c>
      <c r="I112" s="423">
        <f>IFERROR(GETPIVOTDATA("合計 / " &amp; $B112,【ピボット】事業所収支!$A$3,"年月",I$1,"事業所",$A112),0)</f>
        <v>979802</v>
      </c>
      <c r="J112" s="423">
        <f>IFERROR(GETPIVOTDATA("合計 / " &amp; $B112,【ピボット】事業所収支!$A$3,"年月",J$1,"事業所",$A112),0)</f>
        <v>980412</v>
      </c>
      <c r="K112" s="423">
        <f>IFERROR(GETPIVOTDATA("合計 / " &amp; $B112,【ピボット】事業所収支!$A$3,"年月",K$1,"事業所",$A112),0)</f>
        <v>882358</v>
      </c>
      <c r="L112" s="423">
        <f>IFERROR(GETPIVOTDATA("合計 / " &amp; $B112,【ピボット】事業所収支!$A$3,"年月",L$1,"事業所",$A112),0)</f>
        <v>1022330</v>
      </c>
      <c r="M112" s="423">
        <f>IFERROR(GETPIVOTDATA("合計 / " &amp; $B112,【ピボット】事業所収支!$A$3,"年月",M$1,"事業所",$A112),0)</f>
        <v>1003296</v>
      </c>
      <c r="N112" s="423">
        <f>IFERROR(GETPIVOTDATA("合計 / " &amp; $B112,【ピボット】事業所収支!$A$3,"年月",N$1,"事業所",$A112),0)</f>
        <v>1081985</v>
      </c>
      <c r="O112" s="423">
        <f>IFERROR(GETPIVOTDATA("合計 / " &amp; $B112,【ピボット】事業所収支!$A$3,"年月",O$1,"事業所",$A112),0)</f>
        <v>799757</v>
      </c>
      <c r="P112" s="423">
        <f>IFERROR(GETPIVOTDATA("合計 / " &amp; $B112,【ピボット】事業所収支!$A$3,"年月",P$1,"事業所",$A112),0)</f>
        <v>870969</v>
      </c>
      <c r="Q112" s="423">
        <f>IFERROR(GETPIVOTDATA("合計 / " &amp; $B112,【ピボット】事業所収支!$A$3,"年月",Q$1,"事業所",$A112),0)</f>
        <v>675648</v>
      </c>
      <c r="R112" s="423">
        <f>IFERROR(GETPIVOTDATA("合計 / " &amp; $B112,【ピボット】事業所収支!$A$3,"年月",R$1,"事業所",$A112),0)</f>
        <v>709959</v>
      </c>
      <c r="S112" s="423">
        <f>IFERROR(GETPIVOTDATA("合計 / " &amp; $B112,【ピボット】事業所収支!$A$3,"年月",S$1,"事業所",$A112),0)</f>
        <v>698763</v>
      </c>
      <c r="T112" s="423">
        <f>IFERROR(GETPIVOTDATA("合計 / " &amp; $B112,【ピボット】事業所収支!$A$3,"年月",T$1,"事業所",$A112),0)</f>
        <v>539944</v>
      </c>
      <c r="U112" s="423">
        <f>IFERROR(GETPIVOTDATA("合計 / " &amp; $B112,【ピボット】事業所収支!$A$3,"年月",U$1,"事業所",$A112),0)</f>
        <v>540758</v>
      </c>
      <c r="V112" s="423">
        <f>IFERROR(GETPIVOTDATA("合計 / " &amp; $B112,【ピボット】事業所収支!$A$3,"年月",V$1,"事業所",$A112),0)</f>
        <v>0</v>
      </c>
      <c r="W112" s="423">
        <f>IFERROR(GETPIVOTDATA("合計 / " &amp; $B112,【ピボット】事業所収支!$A$3,"年月",W$1,"事業所",$A112),0)</f>
        <v>0</v>
      </c>
      <c r="X112" s="423">
        <f>IFERROR(GETPIVOTDATA("合計 / " &amp; $B112,【ピボット】事業所収支!$A$3,"年月",X$1,"事業所",$A112),0)</f>
        <v>0</v>
      </c>
      <c r="Y112" s="423">
        <f>IFERROR(GETPIVOTDATA("合計 / " &amp; $B112,【ピボット】事業所収支!$A$3,"年月",Y$1,"事業所",$A112),0)</f>
        <v>0</v>
      </c>
      <c r="Z112" s="423">
        <f>IFERROR(GETPIVOTDATA("合計 / " &amp; $B112,【ピボット】事業所収支!$A$3,"年月",Z$1,"事業所",$A112),0)</f>
        <v>0</v>
      </c>
      <c r="AA112" s="423">
        <f>IFERROR(GETPIVOTDATA("合計 / " &amp; $B112,【ピボット】事業所収支!$A$3,"年月",AA$1,"事業所",$A112),0)</f>
        <v>0</v>
      </c>
      <c r="AB112" s="423">
        <f>IFERROR(GETPIVOTDATA("合計 / " &amp; $B112,【ピボット】事業所収支!$A$3,"年月",AB$1,"事業所",$A112),0)</f>
        <v>0</v>
      </c>
      <c r="AC112" s="424">
        <f t="shared" si="47"/>
        <v>3165072</v>
      </c>
      <c r="AD112" s="424">
        <f t="shared" si="48"/>
        <v>263756</v>
      </c>
    </row>
    <row r="113" spans="2:30" ht="19.5" customHeight="1" thickBot="1" x14ac:dyDescent="0.2">
      <c r="B113" t="s">
        <v>860</v>
      </c>
      <c r="C113" s="110"/>
      <c r="D113" s="113" t="s">
        <v>979</v>
      </c>
      <c r="E113" s="427">
        <f>SUM(E106:E109)-SUM(E111:E112)</f>
        <v>286608</v>
      </c>
      <c r="F113" s="427">
        <f>SUM(F106:F109)-SUM(F111:F112)</f>
        <v>375215</v>
      </c>
      <c r="G113" s="427">
        <f>SUM(G106:G109)-SUM(G111:G112)</f>
        <v>596918</v>
      </c>
      <c r="H113" s="427">
        <f t="shared" ref="H113:AB113" si="64">SUM(H106:H109)-SUM(H111:H112)</f>
        <v>313225</v>
      </c>
      <c r="I113" s="427">
        <f t="shared" si="64"/>
        <v>531240</v>
      </c>
      <c r="J113" s="427">
        <f t="shared" si="64"/>
        <v>506102</v>
      </c>
      <c r="K113" s="427">
        <f t="shared" si="64"/>
        <v>588183</v>
      </c>
      <c r="L113" s="427">
        <f t="shared" si="64"/>
        <v>225244.01321422216</v>
      </c>
      <c r="M113" s="427">
        <f t="shared" si="64"/>
        <v>-1143446</v>
      </c>
      <c r="N113" s="427">
        <f t="shared" si="64"/>
        <v>-256972</v>
      </c>
      <c r="O113" s="427">
        <f t="shared" si="64"/>
        <v>31997</v>
      </c>
      <c r="P113" s="427">
        <f t="shared" si="64"/>
        <v>-170293</v>
      </c>
      <c r="Q113" s="427">
        <f t="shared" si="64"/>
        <v>387914</v>
      </c>
      <c r="R113" s="427">
        <f t="shared" si="64"/>
        <v>204340</v>
      </c>
      <c r="S113" s="427">
        <f t="shared" si="64"/>
        <v>85778</v>
      </c>
      <c r="T113" s="427">
        <f t="shared" si="64"/>
        <v>76616</v>
      </c>
      <c r="U113" s="427">
        <f t="shared" si="64"/>
        <v>-96829</v>
      </c>
      <c r="V113" s="427">
        <f t="shared" si="64"/>
        <v>0</v>
      </c>
      <c r="W113" s="427">
        <f t="shared" si="64"/>
        <v>0</v>
      </c>
      <c r="X113" s="427">
        <f t="shared" si="64"/>
        <v>0</v>
      </c>
      <c r="Y113" s="427">
        <f t="shared" si="64"/>
        <v>0</v>
      </c>
      <c r="Z113" s="427">
        <f t="shared" si="64"/>
        <v>0</v>
      </c>
      <c r="AA113" s="427">
        <f t="shared" si="64"/>
        <v>0</v>
      </c>
      <c r="AB113" s="427">
        <f t="shared" si="64"/>
        <v>0</v>
      </c>
      <c r="AC113" s="428">
        <f t="shared" si="47"/>
        <v>657819</v>
      </c>
      <c r="AD113" s="428">
        <f t="shared" si="48"/>
        <v>54818.25</v>
      </c>
    </row>
    <row r="114" spans="2:30" ht="19.5" customHeight="1" x14ac:dyDescent="0.15">
      <c r="B114" t="s">
        <v>859</v>
      </c>
      <c r="C114" s="108" t="s">
        <v>19</v>
      </c>
      <c r="D114" s="69" t="s">
        <v>126</v>
      </c>
      <c r="E114" s="432">
        <f t="shared" ref="E114:N117" si="65">SUMIF($D$2:$D$113,"=" &amp; $D114,E$2:E$113)</f>
        <v>26670060</v>
      </c>
      <c r="F114" s="432">
        <f t="shared" si="65"/>
        <v>29785185</v>
      </c>
      <c r="G114" s="432">
        <f t="shared" si="65"/>
        <v>31563847</v>
      </c>
      <c r="H114" s="432">
        <f t="shared" si="65"/>
        <v>31296417</v>
      </c>
      <c r="I114" s="432">
        <f t="shared" si="65"/>
        <v>32020861</v>
      </c>
      <c r="J114" s="432">
        <f t="shared" si="65"/>
        <v>32197242</v>
      </c>
      <c r="K114" s="432">
        <f t="shared" si="65"/>
        <v>31968470</v>
      </c>
      <c r="L114" s="432">
        <f t="shared" si="65"/>
        <v>31978008</v>
      </c>
      <c r="M114" s="432">
        <f t="shared" si="65"/>
        <v>30399018</v>
      </c>
      <c r="N114" s="432">
        <f t="shared" si="65"/>
        <v>29346274</v>
      </c>
      <c r="O114" s="432">
        <f t="shared" ref="O114:AB117" si="66">SUMIF($D$2:$D$113,"=" &amp; $D114,O$2:O$113)</f>
        <v>32773959</v>
      </c>
      <c r="P114" s="432">
        <f t="shared" si="66"/>
        <v>33136246</v>
      </c>
      <c r="Q114" s="432">
        <f t="shared" si="66"/>
        <v>33695680</v>
      </c>
      <c r="R114" s="432">
        <f t="shared" si="66"/>
        <v>32951949</v>
      </c>
      <c r="S114" s="432">
        <f t="shared" si="66"/>
        <v>34119364</v>
      </c>
      <c r="T114" s="432">
        <f t="shared" si="66"/>
        <v>34067354</v>
      </c>
      <c r="U114" s="432">
        <f t="shared" si="66"/>
        <v>34115809</v>
      </c>
      <c r="V114" s="432">
        <f t="shared" si="66"/>
        <v>37712640</v>
      </c>
      <c r="W114" s="432">
        <f t="shared" si="66"/>
        <v>37031033</v>
      </c>
      <c r="X114" s="432">
        <f t="shared" si="66"/>
        <v>36197785</v>
      </c>
      <c r="Y114" s="432">
        <f t="shared" si="66"/>
        <v>36132666</v>
      </c>
      <c r="Z114" s="432">
        <f t="shared" si="66"/>
        <v>35262295</v>
      </c>
      <c r="AA114" s="432">
        <f t="shared" si="66"/>
        <v>37118468</v>
      </c>
      <c r="AB114" s="432">
        <f t="shared" si="66"/>
        <v>36761432</v>
      </c>
      <c r="AC114" s="422">
        <f t="shared" si="47"/>
        <v>425166475</v>
      </c>
      <c r="AD114" s="422">
        <f t="shared" si="48"/>
        <v>35430539.583333336</v>
      </c>
    </row>
    <row r="115" spans="2:30" ht="19.5" customHeight="1" x14ac:dyDescent="0.15">
      <c r="B115" t="s">
        <v>859</v>
      </c>
      <c r="C115" s="108"/>
      <c r="D115" s="69" t="s">
        <v>137</v>
      </c>
      <c r="E115" s="432">
        <f t="shared" si="65"/>
        <v>153194</v>
      </c>
      <c r="F115" s="432">
        <f t="shared" si="65"/>
        <v>155964</v>
      </c>
      <c r="G115" s="432">
        <f t="shared" si="65"/>
        <v>104777</v>
      </c>
      <c r="H115" s="432">
        <f t="shared" si="65"/>
        <v>109311</v>
      </c>
      <c r="I115" s="432">
        <f t="shared" si="65"/>
        <v>71152</v>
      </c>
      <c r="J115" s="432">
        <f t="shared" si="65"/>
        <v>169553</v>
      </c>
      <c r="K115" s="432">
        <f t="shared" si="65"/>
        <v>259737</v>
      </c>
      <c r="L115" s="432">
        <f t="shared" si="65"/>
        <v>355113</v>
      </c>
      <c r="M115" s="432">
        <f t="shared" si="65"/>
        <v>94850</v>
      </c>
      <c r="N115" s="432">
        <f t="shared" si="65"/>
        <v>576372</v>
      </c>
      <c r="O115" s="432">
        <f t="shared" si="66"/>
        <v>514743</v>
      </c>
      <c r="P115" s="432">
        <f t="shared" si="66"/>
        <v>377384</v>
      </c>
      <c r="Q115" s="432">
        <f t="shared" si="66"/>
        <v>239626</v>
      </c>
      <c r="R115" s="432">
        <f t="shared" si="66"/>
        <v>171749</v>
      </c>
      <c r="S115" s="432">
        <f t="shared" si="66"/>
        <v>420244</v>
      </c>
      <c r="T115" s="432">
        <f t="shared" si="66"/>
        <v>557666</v>
      </c>
      <c r="U115" s="432">
        <f t="shared" si="66"/>
        <v>1557703</v>
      </c>
      <c r="V115" s="432">
        <f t="shared" si="66"/>
        <v>1071497</v>
      </c>
      <c r="W115" s="432">
        <f t="shared" si="66"/>
        <v>280347</v>
      </c>
      <c r="X115" s="432">
        <f t="shared" si="66"/>
        <v>464933</v>
      </c>
      <c r="Y115" s="432">
        <f t="shared" si="66"/>
        <v>167482</v>
      </c>
      <c r="Z115" s="432">
        <f t="shared" si="66"/>
        <v>199052.3</v>
      </c>
      <c r="AA115" s="432">
        <f t="shared" si="66"/>
        <v>750169</v>
      </c>
      <c r="AB115" s="432">
        <f t="shared" si="66"/>
        <v>286927</v>
      </c>
      <c r="AC115" s="422">
        <f t="shared" si="47"/>
        <v>6167395.2999999998</v>
      </c>
      <c r="AD115" s="422">
        <f t="shared" si="48"/>
        <v>513949.60833333334</v>
      </c>
    </row>
    <row r="116" spans="2:30" ht="19.5" customHeight="1" x14ac:dyDescent="0.15">
      <c r="B116" t="s">
        <v>859</v>
      </c>
      <c r="C116" s="109"/>
      <c r="D116" s="68" t="s">
        <v>127</v>
      </c>
      <c r="E116" s="433">
        <f t="shared" si="65"/>
        <v>-3304718</v>
      </c>
      <c r="F116" s="433">
        <f t="shared" si="65"/>
        <v>-360381</v>
      </c>
      <c r="G116" s="433">
        <f t="shared" si="65"/>
        <v>-472612</v>
      </c>
      <c r="H116" s="433">
        <f t="shared" si="65"/>
        <v>-687561</v>
      </c>
      <c r="I116" s="433">
        <f t="shared" si="65"/>
        <v>-552892</v>
      </c>
      <c r="J116" s="433">
        <f t="shared" si="65"/>
        <v>-174598</v>
      </c>
      <c r="K116" s="433">
        <f t="shared" si="65"/>
        <v>-649291</v>
      </c>
      <c r="L116" s="433">
        <f t="shared" si="65"/>
        <v>-621465</v>
      </c>
      <c r="M116" s="433">
        <f t="shared" si="65"/>
        <v>-450702</v>
      </c>
      <c r="N116" s="433">
        <f t="shared" si="65"/>
        <v>-236979</v>
      </c>
      <c r="O116" s="433">
        <f t="shared" si="66"/>
        <v>-1035242</v>
      </c>
      <c r="P116" s="433">
        <f t="shared" si="66"/>
        <v>-416104</v>
      </c>
      <c r="Q116" s="433">
        <f t="shared" si="66"/>
        <v>-290656</v>
      </c>
      <c r="R116" s="433">
        <f t="shared" si="66"/>
        <v>-1028446</v>
      </c>
      <c r="S116" s="433">
        <f t="shared" si="66"/>
        <v>-423990</v>
      </c>
      <c r="T116" s="433">
        <f t="shared" si="66"/>
        <v>-1275295</v>
      </c>
      <c r="U116" s="433">
        <f t="shared" si="66"/>
        <v>-1128545</v>
      </c>
      <c r="V116" s="433">
        <f t="shared" si="66"/>
        <v>-1601902</v>
      </c>
      <c r="W116" s="433">
        <f t="shared" si="66"/>
        <v>-1255792</v>
      </c>
      <c r="X116" s="433">
        <f t="shared" si="66"/>
        <v>-478140</v>
      </c>
      <c r="Y116" s="433">
        <f t="shared" si="66"/>
        <v>-348377</v>
      </c>
      <c r="Z116" s="433">
        <f t="shared" si="66"/>
        <v>-955763</v>
      </c>
      <c r="AA116" s="433">
        <f t="shared" si="66"/>
        <v>-977029</v>
      </c>
      <c r="AB116" s="433">
        <f t="shared" si="66"/>
        <v>0</v>
      </c>
      <c r="AC116" s="424">
        <f t="shared" si="47"/>
        <v>-9763935</v>
      </c>
      <c r="AD116" s="424">
        <f t="shared" si="48"/>
        <v>-813661.25</v>
      </c>
    </row>
    <row r="117" spans="2:30" ht="19.5" customHeight="1" x14ac:dyDescent="0.15">
      <c r="B117" t="s">
        <v>859</v>
      </c>
      <c r="C117" s="109"/>
      <c r="D117" s="68" t="s">
        <v>128</v>
      </c>
      <c r="E117" s="433">
        <f t="shared" si="65"/>
        <v>5225359</v>
      </c>
      <c r="F117" s="433">
        <f t="shared" si="65"/>
        <v>3712773</v>
      </c>
      <c r="G117" s="433">
        <f t="shared" si="65"/>
        <v>4524570</v>
      </c>
      <c r="H117" s="433">
        <f t="shared" si="65"/>
        <v>3860212</v>
      </c>
      <c r="I117" s="433">
        <f t="shared" si="65"/>
        <v>3728012</v>
      </c>
      <c r="J117" s="433">
        <f t="shared" si="65"/>
        <v>4360281</v>
      </c>
      <c r="K117" s="433">
        <f t="shared" si="65"/>
        <v>3840371</v>
      </c>
      <c r="L117" s="433">
        <f t="shared" si="65"/>
        <v>4062228</v>
      </c>
      <c r="M117" s="433">
        <f t="shared" si="65"/>
        <v>3510760</v>
      </c>
      <c r="N117" s="433">
        <f t="shared" si="65"/>
        <v>3713221</v>
      </c>
      <c r="O117" s="433">
        <f t="shared" si="66"/>
        <v>4479943</v>
      </c>
      <c r="P117" s="433">
        <f t="shared" si="66"/>
        <v>3670055</v>
      </c>
      <c r="Q117" s="433">
        <f t="shared" si="66"/>
        <v>5345515</v>
      </c>
      <c r="R117" s="433">
        <f t="shared" si="66"/>
        <v>3288048</v>
      </c>
      <c r="S117" s="433">
        <f t="shared" si="66"/>
        <v>3564464</v>
      </c>
      <c r="T117" s="433">
        <f t="shared" si="66"/>
        <v>3290869</v>
      </c>
      <c r="U117" s="433">
        <f t="shared" si="66"/>
        <v>3145015</v>
      </c>
      <c r="V117" s="433">
        <f t="shared" si="66"/>
        <v>3188978</v>
      </c>
      <c r="W117" s="433">
        <f t="shared" si="66"/>
        <v>3113936</v>
      </c>
      <c r="X117" s="433">
        <f t="shared" si="66"/>
        <v>3149558</v>
      </c>
      <c r="Y117" s="433">
        <f t="shared" si="66"/>
        <v>3444578</v>
      </c>
      <c r="Z117" s="433">
        <f t="shared" si="66"/>
        <v>3157534</v>
      </c>
      <c r="AA117" s="433">
        <f t="shared" si="66"/>
        <v>3233964</v>
      </c>
      <c r="AB117" s="433">
        <f t="shared" si="66"/>
        <v>3231874</v>
      </c>
      <c r="AC117" s="424">
        <f t="shared" si="47"/>
        <v>41154333</v>
      </c>
      <c r="AD117" s="424">
        <f t="shared" si="48"/>
        <v>3429527.75</v>
      </c>
    </row>
    <row r="118" spans="2:30" ht="19.5" customHeight="1" x14ac:dyDescent="0.15">
      <c r="B118" t="s">
        <v>859</v>
      </c>
      <c r="C118" s="109"/>
      <c r="D118" s="112" t="str">
        <f>C114 &amp; "売上合計"</f>
        <v>全社売上合計</v>
      </c>
      <c r="E118" s="425">
        <f>SUM(E114:E117)</f>
        <v>28743895</v>
      </c>
      <c r="F118" s="425">
        <f>SUM(F114:F117)</f>
        <v>33293541</v>
      </c>
      <c r="G118" s="425">
        <f>SUM(G114:G117)</f>
        <v>35720582</v>
      </c>
      <c r="H118" s="425">
        <f>SUM(H114:H117)</f>
        <v>34578379</v>
      </c>
      <c r="I118" s="425">
        <f>SUM(I114:I117)</f>
        <v>35267133</v>
      </c>
      <c r="J118" s="425">
        <f t="shared" ref="J118:AB118" si="67">SUM(J114:J117)</f>
        <v>36552478</v>
      </c>
      <c r="K118" s="425">
        <f t="shared" si="67"/>
        <v>35419287</v>
      </c>
      <c r="L118" s="425">
        <f t="shared" si="67"/>
        <v>35773884</v>
      </c>
      <c r="M118" s="425">
        <f t="shared" si="67"/>
        <v>33553926</v>
      </c>
      <c r="N118" s="425">
        <f t="shared" si="67"/>
        <v>33398888</v>
      </c>
      <c r="O118" s="425">
        <f t="shared" si="67"/>
        <v>36733403</v>
      </c>
      <c r="P118" s="425">
        <f t="shared" si="67"/>
        <v>36767581</v>
      </c>
      <c r="Q118" s="425">
        <f t="shared" si="67"/>
        <v>38990165</v>
      </c>
      <c r="R118" s="425">
        <f t="shared" si="67"/>
        <v>35383300</v>
      </c>
      <c r="S118" s="425">
        <f t="shared" si="67"/>
        <v>37680082</v>
      </c>
      <c r="T118" s="425">
        <f t="shared" si="67"/>
        <v>36640594</v>
      </c>
      <c r="U118" s="425">
        <f t="shared" si="67"/>
        <v>37689982</v>
      </c>
      <c r="V118" s="425">
        <f t="shared" si="67"/>
        <v>40371213</v>
      </c>
      <c r="W118" s="425">
        <f t="shared" si="67"/>
        <v>39169524</v>
      </c>
      <c r="X118" s="425">
        <f t="shared" si="67"/>
        <v>39334136</v>
      </c>
      <c r="Y118" s="425">
        <f t="shared" si="67"/>
        <v>39396349</v>
      </c>
      <c r="Z118" s="425">
        <f t="shared" si="67"/>
        <v>37663118.299999997</v>
      </c>
      <c r="AA118" s="425">
        <f t="shared" si="67"/>
        <v>40125572</v>
      </c>
      <c r="AB118" s="425">
        <f t="shared" si="67"/>
        <v>40280233</v>
      </c>
      <c r="AC118" s="426">
        <f t="shared" si="47"/>
        <v>462724268.30000001</v>
      </c>
      <c r="AD118" s="426">
        <f t="shared" si="48"/>
        <v>38560355.69166667</v>
      </c>
    </row>
    <row r="119" spans="2:30" ht="19.5" customHeight="1" x14ac:dyDescent="0.15">
      <c r="B119" t="s">
        <v>859</v>
      </c>
      <c r="C119" s="109"/>
      <c r="D119" s="68" t="s">
        <v>129</v>
      </c>
      <c r="E119" s="433">
        <f t="shared" ref="E119:N120" si="68">SUMIF($D$2:$D$113,"=" &amp; $D119,E$2:E$113)</f>
        <v>21890661</v>
      </c>
      <c r="F119" s="433">
        <f t="shared" si="68"/>
        <v>26586710</v>
      </c>
      <c r="G119" s="433">
        <f t="shared" si="68"/>
        <v>24475968</v>
      </c>
      <c r="H119" s="433">
        <f t="shared" si="68"/>
        <v>23752449</v>
      </c>
      <c r="I119" s="433">
        <f t="shared" si="68"/>
        <v>22603261</v>
      </c>
      <c r="J119" s="433">
        <f t="shared" si="68"/>
        <v>23743100</v>
      </c>
      <c r="K119" s="433">
        <f t="shared" si="68"/>
        <v>24272152</v>
      </c>
      <c r="L119" s="433">
        <f t="shared" si="68"/>
        <v>35562689</v>
      </c>
      <c r="M119" s="433">
        <f t="shared" si="68"/>
        <v>28035865</v>
      </c>
      <c r="N119" s="433">
        <f t="shared" si="68"/>
        <v>23265110</v>
      </c>
      <c r="O119" s="433">
        <f t="shared" ref="O119:AB120" si="69">SUMIF($D$2:$D$113,"=" &amp; $D119,O$2:O$113)</f>
        <v>24287584</v>
      </c>
      <c r="P119" s="433">
        <f t="shared" si="69"/>
        <v>24212389</v>
      </c>
      <c r="Q119" s="433">
        <f t="shared" si="69"/>
        <v>23908066</v>
      </c>
      <c r="R119" s="433">
        <f t="shared" si="69"/>
        <v>31697163</v>
      </c>
      <c r="S119" s="433">
        <f t="shared" si="69"/>
        <v>27605792</v>
      </c>
      <c r="T119" s="433">
        <f t="shared" si="69"/>
        <v>26520463</v>
      </c>
      <c r="U119" s="433">
        <f t="shared" si="69"/>
        <v>25578188</v>
      </c>
      <c r="V119" s="433">
        <f t="shared" si="69"/>
        <v>26917769</v>
      </c>
      <c r="W119" s="433">
        <f t="shared" si="69"/>
        <v>28291290</v>
      </c>
      <c r="X119" s="433">
        <f t="shared" si="69"/>
        <v>43000234</v>
      </c>
      <c r="Y119" s="433">
        <f t="shared" si="69"/>
        <v>27870072</v>
      </c>
      <c r="Z119" s="433">
        <f t="shared" si="69"/>
        <v>26853971</v>
      </c>
      <c r="AA119" s="433">
        <f t="shared" si="69"/>
        <v>26812659</v>
      </c>
      <c r="AB119" s="433">
        <f t="shared" si="69"/>
        <v>27716004</v>
      </c>
      <c r="AC119" s="424">
        <f t="shared" si="47"/>
        <v>342771671</v>
      </c>
      <c r="AD119" s="424">
        <f t="shared" si="48"/>
        <v>28564305.916666668</v>
      </c>
    </row>
    <row r="120" spans="2:30" ht="19.5" customHeight="1" x14ac:dyDescent="0.15">
      <c r="B120" t="s">
        <v>859</v>
      </c>
      <c r="C120" s="109"/>
      <c r="D120" s="68" t="s">
        <v>130</v>
      </c>
      <c r="E120" s="433">
        <f t="shared" si="68"/>
        <v>8752569</v>
      </c>
      <c r="F120" s="433">
        <f t="shared" si="68"/>
        <v>7494574</v>
      </c>
      <c r="G120" s="433">
        <f t="shared" si="68"/>
        <v>6558277</v>
      </c>
      <c r="H120" s="433">
        <f t="shared" si="68"/>
        <v>9486285</v>
      </c>
      <c r="I120" s="433">
        <f t="shared" si="68"/>
        <v>7294393</v>
      </c>
      <c r="J120" s="433">
        <f t="shared" si="68"/>
        <v>7306654</v>
      </c>
      <c r="K120" s="433">
        <f t="shared" si="68"/>
        <v>8407030</v>
      </c>
      <c r="L120" s="433">
        <f t="shared" si="68"/>
        <v>8808106</v>
      </c>
      <c r="M120" s="433">
        <f t="shared" si="68"/>
        <v>8643529</v>
      </c>
      <c r="N120" s="433">
        <f t="shared" si="68"/>
        <v>7932590</v>
      </c>
      <c r="O120" s="433">
        <f t="shared" si="69"/>
        <v>10064249</v>
      </c>
      <c r="P120" s="433">
        <f t="shared" si="69"/>
        <v>10231887</v>
      </c>
      <c r="Q120" s="433">
        <f t="shared" si="69"/>
        <v>10215655</v>
      </c>
      <c r="R120" s="433">
        <f t="shared" si="69"/>
        <v>11252967</v>
      </c>
      <c r="S120" s="433">
        <f t="shared" si="69"/>
        <v>10541382</v>
      </c>
      <c r="T120" s="433">
        <f t="shared" si="69"/>
        <v>12030005</v>
      </c>
      <c r="U120" s="433">
        <f t="shared" si="69"/>
        <v>10154606</v>
      </c>
      <c r="V120" s="433">
        <f t="shared" si="69"/>
        <v>14150744</v>
      </c>
      <c r="W120" s="433">
        <f t="shared" si="69"/>
        <v>9727500</v>
      </c>
      <c r="X120" s="433">
        <f t="shared" si="69"/>
        <v>8588657</v>
      </c>
      <c r="Y120" s="433">
        <f t="shared" si="69"/>
        <v>9173270</v>
      </c>
      <c r="Z120" s="433">
        <f t="shared" si="69"/>
        <v>8999179</v>
      </c>
      <c r="AA120" s="433">
        <f t="shared" si="69"/>
        <v>8656063</v>
      </c>
      <c r="AB120" s="433">
        <f t="shared" si="69"/>
        <v>8647779</v>
      </c>
      <c r="AC120" s="424">
        <f t="shared" si="47"/>
        <v>122137807</v>
      </c>
      <c r="AD120" s="424">
        <f t="shared" si="48"/>
        <v>10178150.583333334</v>
      </c>
    </row>
    <row r="121" spans="2:30" ht="19.5" customHeight="1" thickBot="1" x14ac:dyDescent="0.2">
      <c r="C121" s="110"/>
      <c r="D121" s="113" t="s">
        <v>979</v>
      </c>
      <c r="E121" s="434">
        <f>SUM(E114:E117)-SUM(E119:E120)</f>
        <v>-1899335</v>
      </c>
      <c r="F121" s="434">
        <f>SUM(F114:F117)-SUM(F119:F120)</f>
        <v>-787743</v>
      </c>
      <c r="G121" s="434">
        <f t="shared" ref="G121:AB121" si="70">SUM(G114:G117)-SUM(G119:G120)</f>
        <v>4686337</v>
      </c>
      <c r="H121" s="434">
        <f t="shared" si="70"/>
        <v>1339645</v>
      </c>
      <c r="I121" s="434">
        <f t="shared" si="70"/>
        <v>5369479</v>
      </c>
      <c r="J121" s="434">
        <f t="shared" si="70"/>
        <v>5502724</v>
      </c>
      <c r="K121" s="434">
        <f t="shared" si="70"/>
        <v>2740105</v>
      </c>
      <c r="L121" s="434">
        <f t="shared" si="70"/>
        <v>-8596911</v>
      </c>
      <c r="M121" s="434">
        <f t="shared" si="70"/>
        <v>-3125468</v>
      </c>
      <c r="N121" s="434">
        <f t="shared" si="70"/>
        <v>2201188</v>
      </c>
      <c r="O121" s="434">
        <f t="shared" si="70"/>
        <v>2381570</v>
      </c>
      <c r="P121" s="434">
        <f t="shared" si="70"/>
        <v>2323305</v>
      </c>
      <c r="Q121" s="434">
        <f t="shared" si="70"/>
        <v>4866444</v>
      </c>
      <c r="R121" s="434">
        <f t="shared" si="70"/>
        <v>-7566830</v>
      </c>
      <c r="S121" s="434">
        <f t="shared" si="70"/>
        <v>-467092</v>
      </c>
      <c r="T121" s="434">
        <f t="shared" si="70"/>
        <v>-1909874</v>
      </c>
      <c r="U121" s="434">
        <f t="shared" si="70"/>
        <v>1957188</v>
      </c>
      <c r="V121" s="434">
        <f t="shared" si="70"/>
        <v>-697300</v>
      </c>
      <c r="W121" s="434">
        <f t="shared" si="70"/>
        <v>1150734</v>
      </c>
      <c r="X121" s="434">
        <f t="shared" si="70"/>
        <v>-12254755</v>
      </c>
      <c r="Y121" s="434">
        <f t="shared" si="70"/>
        <v>2353007</v>
      </c>
      <c r="Z121" s="434">
        <f t="shared" si="70"/>
        <v>1809968.299999997</v>
      </c>
      <c r="AA121" s="434">
        <f t="shared" si="70"/>
        <v>4656850</v>
      </c>
      <c r="AB121" s="434">
        <f t="shared" si="70"/>
        <v>3916450</v>
      </c>
      <c r="AC121" s="428">
        <f>SUM(Q121:AB121)</f>
        <v>-2185209.700000003</v>
      </c>
      <c r="AD121" s="428">
        <f t="shared" si="48"/>
        <v>-182100.80833333358</v>
      </c>
    </row>
  </sheetData>
  <phoneticPr fontId="40"/>
  <conditionalFormatting sqref="E2:AB33 E50:AB97 E106:AB113">
    <cfRule type="expression" dxfId="346" priority="5">
      <formula>E2=0</formula>
    </cfRule>
  </conditionalFormatting>
  <conditionalFormatting sqref="E1:AB1">
    <cfRule type="expression" dxfId="345" priority="4">
      <formula>E$1&lt;DATE(2016,8,31)</formula>
    </cfRule>
  </conditionalFormatting>
  <conditionalFormatting sqref="E34:AB41">
    <cfRule type="expression" dxfId="344" priority="3">
      <formula>E34=0</formula>
    </cfRule>
  </conditionalFormatting>
  <conditionalFormatting sqref="E42:AB49">
    <cfRule type="expression" dxfId="343" priority="2">
      <formula>E42=0</formula>
    </cfRule>
  </conditionalFormatting>
  <conditionalFormatting sqref="E98:AB105">
    <cfRule type="expression" dxfId="342" priority="1">
      <formula>E98=0</formula>
    </cfRule>
  </conditionalFormatting>
  <printOptions verticalCentered="1"/>
  <pageMargins left="0.43307086614173229" right="0.43307086614173229" top="0.35433070866141736" bottom="0.35433070866141736" header="0.19685039370078741" footer="0.19685039370078741"/>
  <pageSetup paperSize="8" scale="39" orientation="landscape" r:id="rId1"/>
  <headerFooter>
    <oddHeader>&amp;L&amp;A&amp;R&amp;D 印刷</oddHeader>
    <oddFooter>&amp;L介護サービス友乃家&amp;C&amp;P/&amp;N&amp;R&amp;F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5">
    <tabColor rgb="FFFF9999"/>
  </sheetPr>
  <dimension ref="A1:Z500"/>
  <sheetViews>
    <sheetView zoomScale="90" zoomScaleNormal="90" workbookViewId="0">
      <pane xSplit="3" ySplit="2" topLeftCell="F252" activePane="bottomRight" state="frozen"/>
      <selection pane="topRight" activeCell="D1" sqref="D1"/>
      <selection pane="bottomLeft" activeCell="A3" sqref="A3"/>
      <selection pane="bottomRight" activeCell="N260" sqref="N260"/>
    </sheetView>
  </sheetViews>
  <sheetFormatPr defaultRowHeight="15.95" customHeight="1" x14ac:dyDescent="0.15"/>
  <cols>
    <col min="1" max="1" width="12.875" style="634" bestFit="1" customWidth="1"/>
    <col min="2" max="2" width="5.625" style="637" customWidth="1"/>
    <col min="3" max="3" width="11.375" style="636" customWidth="1"/>
    <col min="4" max="24" width="11.375" style="4" customWidth="1"/>
    <col min="25" max="26" width="11.625" customWidth="1"/>
    <col min="27" max="28" width="10.75" bestFit="1" customWidth="1"/>
  </cols>
  <sheetData>
    <row r="1" spans="1:26" ht="15.95" customHeight="1" x14ac:dyDescent="0.15">
      <c r="A1" s="656"/>
      <c r="B1" s="657"/>
      <c r="C1" s="658"/>
      <c r="D1" s="2056" t="s">
        <v>10</v>
      </c>
      <c r="E1" s="2056"/>
      <c r="F1" s="2056" t="s">
        <v>8</v>
      </c>
      <c r="G1" s="2056"/>
      <c r="H1" s="682" t="s">
        <v>855</v>
      </c>
      <c r="I1" s="2056" t="s">
        <v>542</v>
      </c>
      <c r="J1" s="2056"/>
      <c r="K1" s="2056" t="s">
        <v>543</v>
      </c>
      <c r="L1" s="2056"/>
      <c r="M1" s="682" t="s">
        <v>585</v>
      </c>
      <c r="N1" s="660"/>
      <c r="O1" s="660"/>
      <c r="P1" s="660"/>
      <c r="Q1" s="660"/>
      <c r="R1" s="660"/>
      <c r="S1" s="660"/>
      <c r="T1" s="660"/>
      <c r="U1" s="660"/>
      <c r="V1" s="660"/>
      <c r="W1" s="660"/>
      <c r="X1" s="660"/>
      <c r="Y1" s="661"/>
      <c r="Z1" s="661"/>
    </row>
    <row r="2" spans="1:26" s="648" customFormat="1" ht="15.95" customHeight="1" x14ac:dyDescent="0.15">
      <c r="A2" s="662" t="s">
        <v>552</v>
      </c>
      <c r="B2" s="663" t="s">
        <v>551</v>
      </c>
      <c r="C2" s="662" t="s">
        <v>4</v>
      </c>
      <c r="D2" s="663" t="s">
        <v>10</v>
      </c>
      <c r="E2" s="663" t="s">
        <v>633</v>
      </c>
      <c r="F2" s="663" t="s">
        <v>8</v>
      </c>
      <c r="G2" s="663" t="s">
        <v>634</v>
      </c>
      <c r="H2" s="663" t="s">
        <v>9</v>
      </c>
      <c r="I2" s="663" t="s">
        <v>542</v>
      </c>
      <c r="J2" s="663" t="s">
        <v>635</v>
      </c>
      <c r="K2" s="663" t="s">
        <v>543</v>
      </c>
      <c r="L2" s="663" t="s">
        <v>636</v>
      </c>
      <c r="M2" s="663" t="s">
        <v>585</v>
      </c>
      <c r="N2" s="662" t="s">
        <v>55</v>
      </c>
      <c r="O2" s="662" t="s">
        <v>544</v>
      </c>
      <c r="P2" s="662" t="s">
        <v>99</v>
      </c>
      <c r="Q2" s="662" t="s">
        <v>545</v>
      </c>
      <c r="R2" s="662" t="s">
        <v>550</v>
      </c>
      <c r="S2" s="662" t="s">
        <v>54</v>
      </c>
      <c r="T2" s="662" t="s">
        <v>546</v>
      </c>
      <c r="U2" s="662" t="s">
        <v>956</v>
      </c>
      <c r="V2" s="662" t="s">
        <v>547</v>
      </c>
      <c r="W2" s="662" t="s">
        <v>548</v>
      </c>
      <c r="X2" s="662" t="s">
        <v>549</v>
      </c>
      <c r="Y2" s="664" t="s">
        <v>657</v>
      </c>
      <c r="Z2" s="664" t="s">
        <v>815</v>
      </c>
    </row>
    <row r="3" spans="1:26" ht="15.95" customHeight="1" x14ac:dyDescent="0.15">
      <c r="A3" s="656">
        <v>42614</v>
      </c>
      <c r="B3" s="657" t="str">
        <f t="shared" ref="B3:B66" ca="1" si="0">IF(C3="","",VLOOKUP(C3,事業所コード2,2,FALSE))</f>
        <v>01</v>
      </c>
      <c r="C3" s="658" t="s">
        <v>34</v>
      </c>
      <c r="D3" s="659">
        <f ca="1">IF($A3="","",IFERROR(GETPIVOTDATA("合計 / 入金予定",【ピボット】国保連売上!$A$3,"年月",$A3,"事業所コード",$B3,"事業所",$C3,"事業区分",D$1,"請求区分","単月"),0)
+IFERROR(GETPIVOTDATA("合計 / 入金予定",【ピボット】国保連売上!$A$3,"年月",$A3,"事業所コード",$B3,"事業所",$C3,"事業区分",D$1,"請求区分","再請求"),0))</f>
        <v>6200417</v>
      </c>
      <c r="E3" s="659">
        <f ca="1">IF($A3="","",IFERROR(GETPIVOTDATA("合計 / 処遇改善加算金",【ピボット】国保連売上!$A$3,"年月",$A3,"事業所コード",$B3,"事業所",$C3,"事業区分",D$1,"請求区分","単月"),0))</f>
        <v>762389</v>
      </c>
      <c r="F3" s="659">
        <f ca="1">IF($A3="","",IFERROR(GETPIVOTDATA("合計 / 入金予定",【ピボット】国保連売上!$A$3,"年月",$A3,"事業所コード",$B3,"事業所",$C3,"事業区分",F$1,"請求区分","単月"),0)
+IFERROR(GETPIVOTDATA("合計 / 入金予定",【ピボット】国保連売上!$A$3,"年月",$A3,"事業所コード",$B3,"事業所",$C3,"事業区分",F$1,"請求区分","再請求"),0))</f>
        <v>867249</v>
      </c>
      <c r="G3" s="659">
        <f ca="1">IF($A3="","",IFERROR(GETPIVOTDATA("合計 / 処遇改善加算金",【ピボット】国保連売上!$A$3,"年月",$A3,"事業所コード",$B3,"事業所",$C3,"事業区分",F$1,"請求区分","単月"),0))</f>
        <v>157440</v>
      </c>
      <c r="H3" s="659">
        <f ca="1">IF($A3="","",IFERROR(GETPIVOTDATA("合計 / 入金予定",【ピボット】国保連売上!$A$3,"年月",$A3,"事業所コード",$B3,"事業所",$C3,"事業区分",H$1,"請求区分","単月"),0)
+IFERROR(GETPIVOTDATA("合計 / 入金予定",【ピボット】国保連売上!$A$3,"年月",$A3,"事業所コード",$B3,"事業所",$C3,"事業区分",H$1,"請求区分","再請求"),0))</f>
        <v>513328</v>
      </c>
      <c r="I3" s="659">
        <f ca="1">IF($A3="","",IFERROR(GETPIVOTDATA("合計 / 入金予定",【ピボット】国保連売上!$A$3,"年月",$A3,"事業所コード",$B3,"事業所",$C3,"事業区分",I$1,"請求区分","単月"),0)
+IFERROR(GETPIVOTDATA("合計 / 入金予定",【ピボット】国保連売上!$A$3,"年月",$A3,"事業所コード",$B3,"事業所",$C3,"事業区分",I$1,"請求区分","再請求"),0))</f>
        <v>0</v>
      </c>
      <c r="J3" s="659">
        <f ca="1">IF($A3="","",IFERROR(GETPIVOTDATA("合計 / 処遇改善加算金",【ピボット】国保連売上!$A$3,"年月",$A3,"事業所コード",$B3,"事業所",$C3,"事業区分",I$1,"請求区分","単月"),0))</f>
        <v>0</v>
      </c>
      <c r="K3" s="659">
        <f ca="1">IF($A3="","",IFERROR(GETPIVOTDATA("合計 / 入金予定",【ピボット】国保連売上!$A$3,"年月",$A3,"事業所コード",$B3,"事業所",$C3,"事業区分",K$1,"請求区分","単月"),0)
+IFERROR(GETPIVOTDATA("合計 / 入金予定",【ピボット】国保連売上!$A$3,"年月",$A3,"事業所コード",$B3,"事業所",$C3,"事業区分",K$1,"請求区分","再請求"),0))</f>
        <v>0</v>
      </c>
      <c r="L3" s="659">
        <f ca="1">IF($A3="","",IFERROR(GETPIVOTDATA("合計 / 処遇改善加算金",【ピボット】国保連売上!$A$3,"年月",$A3,"事業所コード",$B3,"事業所",$C3,"事業区分",K$1,"請求区分","単月"),0))</f>
        <v>0</v>
      </c>
      <c r="M3" s="659">
        <f ca="1">IF($A3="","",IFERROR(GETPIVOTDATA("合計 / 入金予定",【ピボット】国保連売上!$A$3,"年月",$A3,"事業所コード",$B3,"事業所",$C3,"事業区分",M$1,"請求区分","単月"),0)
+IFERROR(GETPIVOTDATA("合計 / 入金予定",【ピボット】国保連売上!$A$3,"年月",$A3,"事業所コード",$B3,"事業所",$C3,"事業区分",M$1,"請求区分","再請求"),0))</f>
        <v>0</v>
      </c>
      <c r="N3" s="660">
        <v>105000</v>
      </c>
      <c r="O3" s="660">
        <v>68350</v>
      </c>
      <c r="P3" s="660">
        <v>0</v>
      </c>
      <c r="Q3" s="660">
        <v>6405</v>
      </c>
      <c r="R3" s="660">
        <v>149170</v>
      </c>
      <c r="S3" s="660">
        <v>0</v>
      </c>
      <c r="T3" s="660">
        <v>0</v>
      </c>
      <c r="U3" s="660">
        <v>0</v>
      </c>
      <c r="V3" s="660">
        <v>0</v>
      </c>
      <c r="W3" s="660">
        <v>0</v>
      </c>
      <c r="X3" s="660">
        <v>0</v>
      </c>
      <c r="Y3" s="659">
        <f ca="1">IF(A3="","",SUM(D3,F3,H3:I3,K3,M3:X3))</f>
        <v>7909919</v>
      </c>
      <c r="Z3" s="659">
        <f t="shared" ref="Z3:Z66" ca="1" si="1">IF(B3="","",SUM(N3:X3))</f>
        <v>328925</v>
      </c>
    </row>
    <row r="4" spans="1:26" ht="15.95" customHeight="1" x14ac:dyDescent="0.15">
      <c r="A4" s="656">
        <v>42614</v>
      </c>
      <c r="B4" s="657" t="str">
        <f t="shared" ca="1" si="0"/>
        <v>02</v>
      </c>
      <c r="C4" s="658" t="s">
        <v>37</v>
      </c>
      <c r="D4" s="659">
        <f ca="1">IF($A4="","",IFERROR(GETPIVOTDATA("合計 / 入金予定",【ピボット】国保連売上!$A$3,"年月",$A4,"事業所コード",$B4,"事業所",$C4,"事業区分",D$1,"請求区分","単月"),0)
+IFERROR(GETPIVOTDATA("合計 / 入金予定",【ピボット】国保連売上!$A$3,"年月",$A4,"事業所コード",$B4,"事業所",$C4,"事業区分",D$1,"請求区分","再請求"),0))</f>
        <v>4215294</v>
      </c>
      <c r="E4" s="659">
        <f ca="1">IF($A4="","",IFERROR(GETPIVOTDATA("合計 / 処遇改善加算金",【ピボット】国保連売上!$A$3,"年月",$A4,"事業所コード",$B4,"事業所",$C4,"事業区分",D$1,"請求区分","単月"),0))</f>
        <v>343694</v>
      </c>
      <c r="F4" s="659">
        <f ca="1">IF($A4="","",IFERROR(GETPIVOTDATA("合計 / 入金予定",【ピボット】国保連売上!$A$3,"年月",$A4,"事業所コード",$B4,"事業所",$C4,"事業区分",F$1,"請求区分","単月"),0)
+IFERROR(GETPIVOTDATA("合計 / 入金予定",【ピボット】国保連売上!$A$3,"年月",$A4,"事業所コード",$B4,"事業所",$C4,"事業区分",F$1,"請求区分","再請求"),0))</f>
        <v>368205</v>
      </c>
      <c r="G4" s="659">
        <f ca="1">IF($A4="","",IFERROR(GETPIVOTDATA("合計 / 処遇改善加算金",【ピボット】国保連売上!$A$3,"年月",$A4,"事業所コード",$B4,"事業所",$C4,"事業区分",F$1,"請求区分","単月"),0))</f>
        <v>66648</v>
      </c>
      <c r="H4" s="659">
        <f ca="1">IF($A4="","",IFERROR(GETPIVOTDATA("合計 / 入金予定",【ピボット】国保連売上!$A$3,"年月",$A4,"事業所コード",$B4,"事業所",$C4,"事業区分",H$1,"請求区分","単月"),0)
+IFERROR(GETPIVOTDATA("合計 / 入金予定",【ピボット】国保連売上!$A$3,"年月",$A4,"事業所コード",$B4,"事業所",$C4,"事業区分",H$1,"請求区分","再請求"),0))</f>
        <v>290452</v>
      </c>
      <c r="I4" s="659">
        <f ca="1">IF($A4="","",IFERROR(GETPIVOTDATA("合計 / 入金予定",【ピボット】国保連売上!$A$3,"年月",$A4,"事業所コード",$B4,"事業所",$C4,"事業区分",I$1,"請求区分","単月"),0)
+IFERROR(GETPIVOTDATA("合計 / 入金予定",【ピボット】国保連売上!$A$3,"年月",$A4,"事業所コード",$B4,"事業所",$C4,"事業区分",I$1,"請求区分","再請求"),0))</f>
        <v>0</v>
      </c>
      <c r="J4" s="659">
        <f ca="1">IF($A4="","",IFERROR(GETPIVOTDATA("合計 / 処遇改善加算金",【ピボット】国保連売上!$A$3,"年月",$A4,"事業所コード",$B4,"事業所",$C4,"事業区分",I$1,"請求区分","単月"),0))</f>
        <v>0</v>
      </c>
      <c r="K4" s="659">
        <f ca="1">IF($A4="","",IFERROR(GETPIVOTDATA("合計 / 入金予定",【ピボット】国保連売上!$A$3,"年月",$A4,"事業所コード",$B4,"事業所",$C4,"事業区分",K$1,"請求区分","単月"),0)
+IFERROR(GETPIVOTDATA("合計 / 入金予定",【ピボット】国保連売上!$A$3,"年月",$A4,"事業所コード",$B4,"事業所",$C4,"事業区分",K$1,"請求区分","再請求"),0))</f>
        <v>0</v>
      </c>
      <c r="L4" s="659">
        <f ca="1">IF($A4="","",IFERROR(GETPIVOTDATA("合計 / 処遇改善加算金",【ピボット】国保連売上!$A$3,"年月",$A4,"事業所コード",$B4,"事業所",$C4,"事業区分",K$1,"請求区分","単月"),0))</f>
        <v>0</v>
      </c>
      <c r="M4" s="659">
        <f ca="1">IF($A4="","",IFERROR(GETPIVOTDATA("合計 / 入金予定",【ピボット】国保連売上!$A$3,"年月",$A4,"事業所コード",$B4,"事業所",$C4,"事業区分",M$1,"請求区分","単月"),0)
+IFERROR(GETPIVOTDATA("合計 / 入金予定",【ピボット】国保連売上!$A$3,"年月",$A4,"事業所コード",$B4,"事業所",$C4,"事業区分",M$1,"請求区分","再請求"),0))</f>
        <v>0</v>
      </c>
      <c r="N4" s="660">
        <v>124925</v>
      </c>
      <c r="O4" s="660">
        <v>0</v>
      </c>
      <c r="P4" s="660">
        <v>0</v>
      </c>
      <c r="Q4" s="660">
        <v>1033</v>
      </c>
      <c r="R4" s="660">
        <v>106803</v>
      </c>
      <c r="S4" s="660">
        <v>0</v>
      </c>
      <c r="T4" s="660">
        <v>0</v>
      </c>
      <c r="U4" s="660">
        <v>0</v>
      </c>
      <c r="V4" s="660">
        <v>0</v>
      </c>
      <c r="W4" s="660">
        <v>0</v>
      </c>
      <c r="X4" s="660">
        <v>0</v>
      </c>
      <c r="Y4" s="659">
        <f t="shared" ref="Y4:Y66" ca="1" si="2">IF(A4="","",SUM(D4,F4,H4:I4,K4,M4:X4))</f>
        <v>5106712</v>
      </c>
      <c r="Z4" s="659">
        <f t="shared" ca="1" si="1"/>
        <v>232761</v>
      </c>
    </row>
    <row r="5" spans="1:26" ht="15.95" customHeight="1" x14ac:dyDescent="0.15">
      <c r="A5" s="656">
        <v>42614</v>
      </c>
      <c r="B5" s="657" t="str">
        <f t="shared" ca="1" si="0"/>
        <v>03</v>
      </c>
      <c r="C5" s="658" t="s">
        <v>66</v>
      </c>
      <c r="D5" s="659">
        <f ca="1">IF($A5="","",IFERROR(GETPIVOTDATA("合計 / 入金予定",【ピボット】国保連売上!$A$3,"年月",$A5,"事業所コード",$B5,"事業所",$C5,"事業区分",D$1,"請求区分","単月"),0)
+IFERROR(GETPIVOTDATA("合計 / 入金予定",【ピボット】国保連売上!$A$3,"年月",$A5,"事業所コード",$B5,"事業所",$C5,"事業区分",D$1,"請求区分","再請求"),0))</f>
        <v>2440911</v>
      </c>
      <c r="E5" s="659">
        <f ca="1">IF($A5="","",IFERROR(GETPIVOTDATA("合計 / 処遇改善加算金",【ピボット】国保連売上!$A$3,"年月",$A5,"事業所コード",$B5,"事業所",$C5,"事業区分",D$1,"請求区分","単月"),0))</f>
        <v>193381</v>
      </c>
      <c r="F5" s="659">
        <f ca="1">IF($A5="","",IFERROR(GETPIVOTDATA("合計 / 入金予定",【ピボット】国保連売上!$A$3,"年月",$A5,"事業所コード",$B5,"事業所",$C5,"事業区分",F$1,"請求区分","単月"),0)
+IFERROR(GETPIVOTDATA("合計 / 入金予定",【ピボット】国保連売上!$A$3,"年月",$A5,"事業所コード",$B5,"事業所",$C5,"事業区分",F$1,"請求区分","再請求"),0))</f>
        <v>771977</v>
      </c>
      <c r="G5" s="659">
        <f ca="1">IF($A5="","",IFERROR(GETPIVOTDATA("合計 / 処遇改善加算金",【ピボット】国保連売上!$A$3,"年月",$A5,"事業所コード",$B5,"事業所",$C5,"事業区分",F$1,"請求区分","単月"),0))</f>
        <v>139892</v>
      </c>
      <c r="H5" s="659">
        <f ca="1">IF($A5="","",IFERROR(GETPIVOTDATA("合計 / 入金予定",【ピボット】国保連売上!$A$3,"年月",$A5,"事業所コード",$B5,"事業所",$C5,"事業区分",H$1,"請求区分","単月"),0)
+IFERROR(GETPIVOTDATA("合計 / 入金予定",【ピボット】国保連売上!$A$3,"年月",$A5,"事業所コード",$B5,"事業所",$C5,"事業区分",H$1,"請求区分","再請求"),0))</f>
        <v>0</v>
      </c>
      <c r="I5" s="659">
        <f ca="1">IF($A5="","",IFERROR(GETPIVOTDATA("合計 / 入金予定",【ピボット】国保連売上!$A$3,"年月",$A5,"事業所コード",$B5,"事業所",$C5,"事業区分",I$1,"請求区分","単月"),0)
+IFERROR(GETPIVOTDATA("合計 / 入金予定",【ピボット】国保連売上!$A$3,"年月",$A5,"事業所コード",$B5,"事業所",$C5,"事業区分",I$1,"請求区分","再請求"),0))</f>
        <v>0</v>
      </c>
      <c r="J5" s="659">
        <f ca="1">IF($A5="","",IFERROR(GETPIVOTDATA("合計 / 処遇改善加算金",【ピボット】国保連売上!$A$3,"年月",$A5,"事業所コード",$B5,"事業所",$C5,"事業区分",I$1,"請求区分","単月"),0))</f>
        <v>0</v>
      </c>
      <c r="K5" s="659">
        <f ca="1">IF($A5="","",IFERROR(GETPIVOTDATA("合計 / 入金予定",【ピボット】国保連売上!$A$3,"年月",$A5,"事業所コード",$B5,"事業所",$C5,"事業区分",K$1,"請求区分","単月"),0)
+IFERROR(GETPIVOTDATA("合計 / 入金予定",【ピボット】国保連売上!$A$3,"年月",$A5,"事業所コード",$B5,"事業所",$C5,"事業区分",K$1,"請求区分","再請求"),0))</f>
        <v>0</v>
      </c>
      <c r="L5" s="659">
        <f ca="1">IF($A5="","",IFERROR(GETPIVOTDATA("合計 / 処遇改善加算金",【ピボット】国保連売上!$A$3,"年月",$A5,"事業所コード",$B5,"事業所",$C5,"事業区分",K$1,"請求区分","単月"),0))</f>
        <v>0</v>
      </c>
      <c r="M5" s="659">
        <f ca="1">IF($A5="","",IFERROR(GETPIVOTDATA("合計 / 入金予定",【ピボット】国保連売上!$A$3,"年月",$A5,"事業所コード",$B5,"事業所",$C5,"事業区分",M$1,"請求区分","単月"),0)
+IFERROR(GETPIVOTDATA("合計 / 入金予定",【ピボット】国保連売上!$A$3,"年月",$A5,"事業所コード",$B5,"事業所",$C5,"事業区分",M$1,"請求区分","再請求"),0))</f>
        <v>0</v>
      </c>
      <c r="N5" s="660">
        <v>12700</v>
      </c>
      <c r="O5" s="660">
        <v>129580</v>
      </c>
      <c r="P5" s="660">
        <v>0</v>
      </c>
      <c r="Q5" s="660">
        <v>2110</v>
      </c>
      <c r="R5" s="660">
        <v>0</v>
      </c>
      <c r="S5" s="660">
        <v>0</v>
      </c>
      <c r="T5" s="660">
        <v>0</v>
      </c>
      <c r="U5" s="660">
        <v>0</v>
      </c>
      <c r="V5" s="660">
        <v>0</v>
      </c>
      <c r="W5" s="660">
        <v>0</v>
      </c>
      <c r="X5" s="660">
        <v>0</v>
      </c>
      <c r="Y5" s="659">
        <f t="shared" ca="1" si="2"/>
        <v>3357278</v>
      </c>
      <c r="Z5" s="659">
        <f t="shared" ca="1" si="1"/>
        <v>144390</v>
      </c>
    </row>
    <row r="6" spans="1:26" ht="15.95" customHeight="1" x14ac:dyDescent="0.15">
      <c r="A6" s="656">
        <v>42614</v>
      </c>
      <c r="B6" s="657" t="str">
        <f t="shared" ca="1" si="0"/>
        <v>04</v>
      </c>
      <c r="C6" s="658" t="s">
        <v>358</v>
      </c>
      <c r="D6" s="659">
        <f ca="1">IF($A6="","",IFERROR(GETPIVOTDATA("合計 / 入金予定",【ピボット】国保連売上!$A$3,"年月",$A6,"事業所コード",$B6,"事業所",$C6,"事業区分",D$1,"請求区分","単月"),0)
+IFERROR(GETPIVOTDATA("合計 / 入金予定",【ピボット】国保連売上!$A$3,"年月",$A6,"事業所コード",$B6,"事業所",$C6,"事業区分",D$1,"請求区分","再請求"),0))</f>
        <v>0</v>
      </c>
      <c r="E6" s="659">
        <f ca="1">IF($A6="","",IFERROR(GETPIVOTDATA("合計 / 処遇改善加算金",【ピボット】国保連売上!$A$3,"年月",$A6,"事業所コード",$B6,"事業所",$C6,"事業区分",D$1,"請求区分","単月"),0))</f>
        <v>0</v>
      </c>
      <c r="F6" s="659">
        <f ca="1">IF($A6="","",IFERROR(GETPIVOTDATA("合計 / 入金予定",【ピボット】国保連売上!$A$3,"年月",$A6,"事業所コード",$B6,"事業所",$C6,"事業区分",F$1,"請求区分","単月"),0)
+IFERROR(GETPIVOTDATA("合計 / 入金予定",【ピボット】国保連売上!$A$3,"年月",$A6,"事業所コード",$B6,"事業所",$C6,"事業区分",F$1,"請求区分","再請求"),0))</f>
        <v>0</v>
      </c>
      <c r="G6" s="659">
        <f ca="1">IF($A6="","",IFERROR(GETPIVOTDATA("合計 / 処遇改善加算金",【ピボット】国保連売上!$A$3,"年月",$A6,"事業所コード",$B6,"事業所",$C6,"事業区分",F$1,"請求区分","単月"),0))</f>
        <v>0</v>
      </c>
      <c r="H6" s="659">
        <f ca="1">IF($A6="","",IFERROR(GETPIVOTDATA("合計 / 入金予定",【ピボット】国保連売上!$A$3,"年月",$A6,"事業所コード",$B6,"事業所",$C6,"事業区分",H$1,"請求区分","単月"),0)
+IFERROR(GETPIVOTDATA("合計 / 入金予定",【ピボット】国保連売上!$A$3,"年月",$A6,"事業所コード",$B6,"事業所",$C6,"事業区分",H$1,"請求区分","再請求"),0))</f>
        <v>0</v>
      </c>
      <c r="I6" s="659">
        <f ca="1">IF($A6="","",IFERROR(GETPIVOTDATA("合計 / 入金予定",【ピボット】国保連売上!$A$3,"年月",$A6,"事業所コード",$B6,"事業所",$C6,"事業区分",I$1,"請求区分","単月"),0)
+IFERROR(GETPIVOTDATA("合計 / 入金予定",【ピボット】国保連売上!$A$3,"年月",$A6,"事業所コード",$B6,"事業所",$C6,"事業区分",I$1,"請求区分","再請求"),0))</f>
        <v>2494889</v>
      </c>
      <c r="J6" s="659">
        <f ca="1">IF($A6="","",IFERROR(GETPIVOTDATA("合計 / 処遇改善加算金",【ピボット】国保連売上!$A$3,"年月",$A6,"事業所コード",$B6,"事業所",$C6,"事業区分",I$1,"請求区分","単月"),0))</f>
        <v>96417</v>
      </c>
      <c r="K6" s="659">
        <f ca="1">IF($A6="","",IFERROR(GETPIVOTDATA("合計 / 入金予定",【ピボット】国保連売上!$A$3,"年月",$A6,"事業所コード",$B6,"事業所",$C6,"事業区分",K$1,"請求区分","単月"),0)
+IFERROR(GETPIVOTDATA("合計 / 入金予定",【ピボット】国保連売上!$A$3,"年月",$A6,"事業所コード",$B6,"事業所",$C6,"事業区分",K$1,"請求区分","再請求"),0))</f>
        <v>0</v>
      </c>
      <c r="L6" s="659">
        <f ca="1">IF($A6="","",IFERROR(GETPIVOTDATA("合計 / 処遇改善加算金",【ピボット】国保連売上!$A$3,"年月",$A6,"事業所コード",$B6,"事業所",$C6,"事業区分",K$1,"請求区分","単月"),0))</f>
        <v>0</v>
      </c>
      <c r="M6" s="659">
        <f ca="1">IF($A6="","",IFERROR(GETPIVOTDATA("合計 / 入金予定",【ピボット】国保連売上!$A$3,"年月",$A6,"事業所コード",$B6,"事業所",$C6,"事業区分",M$1,"請求区分","単月"),0)
+IFERROR(GETPIVOTDATA("合計 / 入金予定",【ピボット】国保連売上!$A$3,"年月",$A6,"事業所コード",$B6,"事業所",$C6,"事業区分",M$1,"請求区分","再請求"),0))</f>
        <v>0</v>
      </c>
      <c r="N6" s="660">
        <v>18495</v>
      </c>
      <c r="O6" s="660">
        <v>0</v>
      </c>
      <c r="P6" s="660">
        <v>0</v>
      </c>
      <c r="Q6" s="660">
        <v>0</v>
      </c>
      <c r="R6" s="660">
        <v>0</v>
      </c>
      <c r="S6" s="660">
        <v>0</v>
      </c>
      <c r="T6" s="660">
        <v>136950</v>
      </c>
      <c r="U6" s="660">
        <v>0</v>
      </c>
      <c r="V6" s="660">
        <v>0</v>
      </c>
      <c r="W6" s="660">
        <v>0</v>
      </c>
      <c r="X6" s="660">
        <v>0</v>
      </c>
      <c r="Y6" s="659">
        <f t="shared" ca="1" si="2"/>
        <v>2650334</v>
      </c>
      <c r="Z6" s="659">
        <f t="shared" ca="1" si="1"/>
        <v>155445</v>
      </c>
    </row>
    <row r="7" spans="1:26" ht="15.95" customHeight="1" x14ac:dyDescent="0.15">
      <c r="A7" s="656">
        <v>42614</v>
      </c>
      <c r="B7" s="657" t="str">
        <f t="shared" ca="1" si="0"/>
        <v>07</v>
      </c>
      <c r="C7" s="658" t="s">
        <v>119</v>
      </c>
      <c r="D7" s="659">
        <f ca="1">IF($A7="","",IFERROR(GETPIVOTDATA("合計 / 入金予定",【ピボット】国保連売上!$A$3,"年月",$A7,"事業所コード",$B7,"事業所",$C7,"事業区分",D$1,"請求区分","単月"),0)
+IFERROR(GETPIVOTDATA("合計 / 入金予定",【ピボット】国保連売上!$A$3,"年月",$A7,"事業所コード",$B7,"事業所",$C7,"事業区分",D$1,"請求区分","再請求"),0))</f>
        <v>0</v>
      </c>
      <c r="E7" s="659">
        <f ca="1">IF($A7="","",IFERROR(GETPIVOTDATA("合計 / 処遇改善加算金",【ピボット】国保連売上!$A$3,"年月",$A7,"事業所コード",$B7,"事業所",$C7,"事業区分",D$1,"請求区分","単月"),0))</f>
        <v>0</v>
      </c>
      <c r="F7" s="659">
        <f ca="1">IF($A7="","",IFERROR(GETPIVOTDATA("合計 / 入金予定",【ピボット】国保連売上!$A$3,"年月",$A7,"事業所コード",$B7,"事業所",$C7,"事業区分",F$1,"請求区分","単月"),0)
+IFERROR(GETPIVOTDATA("合計 / 入金予定",【ピボット】国保連売上!$A$3,"年月",$A7,"事業所コード",$B7,"事業所",$C7,"事業区分",F$1,"請求区分","再請求"),0))</f>
        <v>0</v>
      </c>
      <c r="G7" s="659">
        <f ca="1">IF($A7="","",IFERROR(GETPIVOTDATA("合計 / 処遇改善加算金",【ピボット】国保連売上!$A$3,"年月",$A7,"事業所コード",$B7,"事業所",$C7,"事業区分",F$1,"請求区分","単月"),0))</f>
        <v>0</v>
      </c>
      <c r="H7" s="659">
        <f ca="1">IF($A7="","",IFERROR(GETPIVOTDATA("合計 / 入金予定",【ピボット】国保連売上!$A$3,"年月",$A7,"事業所コード",$B7,"事業所",$C7,"事業区分",H$1,"請求区分","単月"),0)
+IFERROR(GETPIVOTDATA("合計 / 入金予定",【ピボット】国保連売上!$A$3,"年月",$A7,"事業所コード",$B7,"事業所",$C7,"事業区分",H$1,"請求区分","再請求"),0))</f>
        <v>0</v>
      </c>
      <c r="I7" s="659">
        <f ca="1">IF($A7="","",IFERROR(GETPIVOTDATA("合計 / 入金予定",【ピボット】国保連売上!$A$3,"年月",$A7,"事業所コード",$B7,"事業所",$C7,"事業区分",I$1,"請求区分","単月"),0)
+IFERROR(GETPIVOTDATA("合計 / 入金予定",【ピボット】国保連売上!$A$3,"年月",$A7,"事業所コード",$B7,"事業所",$C7,"事業区分",I$1,"請求区分","再請求"),0))</f>
        <v>0</v>
      </c>
      <c r="J7" s="659">
        <f ca="1">IF($A7="","",IFERROR(GETPIVOTDATA("合計 / 処遇改善加算金",【ピボット】国保連売上!$A$3,"年月",$A7,"事業所コード",$B7,"事業所",$C7,"事業区分",I$1,"請求区分","単月"),0))</f>
        <v>0</v>
      </c>
      <c r="K7" s="659">
        <f ca="1">IF($A7="","",IFERROR(GETPIVOTDATA("合計 / 入金予定",【ピボット】国保連売上!$A$3,"年月",$A7,"事業所コード",$B7,"事業所",$C7,"事業区分",K$1,"請求区分","単月"),0)
+IFERROR(GETPIVOTDATA("合計 / 入金予定",【ピボット】国保連売上!$A$3,"年月",$A7,"事業所コード",$B7,"事業所",$C7,"事業区分",K$1,"請求区分","再請求"),0))</f>
        <v>745437</v>
      </c>
      <c r="L7" s="659">
        <f ca="1">IF($A7="","",IFERROR(GETPIVOTDATA("合計 / 処遇改善加算金",【ピボット】国保連売上!$A$3,"年月",$A7,"事業所コード",$B7,"事業所",$C7,"事業区分",K$1,"請求区分","単月"),0))</f>
        <v>72968</v>
      </c>
      <c r="M7" s="659">
        <f ca="1">IF($A7="","",IFERROR(GETPIVOTDATA("合計 / 入金予定",【ピボット】国保連売上!$A$3,"年月",$A7,"事業所コード",$B7,"事業所",$C7,"事業区分",M$1,"請求区分","単月"),0)
+IFERROR(GETPIVOTDATA("合計 / 入金予定",【ピボット】国保連売上!$A$3,"年月",$A7,"事業所コード",$B7,"事業所",$C7,"事業区分",M$1,"請求区分","再請求"),0))</f>
        <v>0</v>
      </c>
      <c r="N7" s="660">
        <v>0</v>
      </c>
      <c r="O7" s="660">
        <v>0</v>
      </c>
      <c r="P7" s="660">
        <v>0</v>
      </c>
      <c r="Q7" s="660">
        <v>0</v>
      </c>
      <c r="R7" s="660">
        <v>0</v>
      </c>
      <c r="S7" s="660">
        <v>78000</v>
      </c>
      <c r="T7" s="660">
        <v>0</v>
      </c>
      <c r="U7" s="660">
        <v>0</v>
      </c>
      <c r="V7" s="660">
        <v>-60000</v>
      </c>
      <c r="W7" s="660">
        <v>0</v>
      </c>
      <c r="X7" s="660">
        <v>0</v>
      </c>
      <c r="Y7" s="659">
        <f t="shared" ca="1" si="2"/>
        <v>763437</v>
      </c>
      <c r="Z7" s="659">
        <f t="shared" ca="1" si="1"/>
        <v>18000</v>
      </c>
    </row>
    <row r="8" spans="1:26" ht="15.95" customHeight="1" x14ac:dyDescent="0.15">
      <c r="A8" s="656">
        <v>42614</v>
      </c>
      <c r="B8" s="657" t="str">
        <f t="shared" ca="1" si="0"/>
        <v>08</v>
      </c>
      <c r="C8" s="658" t="s">
        <v>189</v>
      </c>
      <c r="D8" s="659">
        <f ca="1">IF($A8="","",IFERROR(GETPIVOTDATA("合計 / 入金予定",【ピボット】国保連売上!$A$3,"年月",$A8,"事業所コード",$B8,"事業所",$C8,"事業区分",D$1,"請求区分","単月"),0)
+IFERROR(GETPIVOTDATA("合計 / 入金予定",【ピボット】国保連売上!$A$3,"年月",$A8,"事業所コード",$B8,"事業所",$C8,"事業区分",D$1,"請求区分","再請求"),0))</f>
        <v>0</v>
      </c>
      <c r="E8" s="659">
        <f ca="1">IF($A8="","",IFERROR(GETPIVOTDATA("合計 / 処遇改善加算金",【ピボット】国保連売上!$A$3,"年月",$A8,"事業所コード",$B8,"事業所",$C8,"事業区分",D$1,"請求区分","単月"),0))</f>
        <v>0</v>
      </c>
      <c r="F8" s="659">
        <f ca="1">IF($A8="","",IFERROR(GETPIVOTDATA("合計 / 入金予定",【ピボット】国保連売上!$A$3,"年月",$A8,"事業所コード",$B8,"事業所",$C8,"事業区分",F$1,"請求区分","単月"),0)
+IFERROR(GETPIVOTDATA("合計 / 入金予定",【ピボット】国保連売上!$A$3,"年月",$A8,"事業所コード",$B8,"事業所",$C8,"事業区分",F$1,"請求区分","再請求"),0))</f>
        <v>0</v>
      </c>
      <c r="G8" s="659">
        <f ca="1">IF($A8="","",IFERROR(GETPIVOTDATA("合計 / 処遇改善加算金",【ピボット】国保連売上!$A$3,"年月",$A8,"事業所コード",$B8,"事業所",$C8,"事業区分",F$1,"請求区分","単月"),0))</f>
        <v>0</v>
      </c>
      <c r="H8" s="659">
        <f ca="1">IF($A8="","",IFERROR(GETPIVOTDATA("合計 / 入金予定",【ピボット】国保連売上!$A$3,"年月",$A8,"事業所コード",$B8,"事業所",$C8,"事業区分",H$1,"請求区分","単月"),0)
+IFERROR(GETPIVOTDATA("合計 / 入金予定",【ピボット】国保連売上!$A$3,"年月",$A8,"事業所コード",$B8,"事業所",$C8,"事業区分",H$1,"請求区分","再請求"),0))</f>
        <v>0</v>
      </c>
      <c r="I8" s="659">
        <f ca="1">IF($A8="","",IFERROR(GETPIVOTDATA("合計 / 入金予定",【ピボット】国保連売上!$A$3,"年月",$A8,"事業所コード",$B8,"事業所",$C8,"事業区分",I$1,"請求区分","単月"),0)
+IFERROR(GETPIVOTDATA("合計 / 入金予定",【ピボット】国保連売上!$A$3,"年月",$A8,"事業所コード",$B8,"事業所",$C8,"事業区分",I$1,"請求区分","再請求"),0))</f>
        <v>0</v>
      </c>
      <c r="J8" s="659">
        <f ca="1">IF($A8="","",IFERROR(GETPIVOTDATA("合計 / 処遇改善加算金",【ピボット】国保連売上!$A$3,"年月",$A8,"事業所コード",$B8,"事業所",$C8,"事業区分",I$1,"請求区分","単月"),0))</f>
        <v>0</v>
      </c>
      <c r="K8" s="659">
        <f ca="1">IF($A8="","",IFERROR(GETPIVOTDATA("合計 / 入金予定",【ピボット】国保連売上!$A$3,"年月",$A8,"事業所コード",$B8,"事業所",$C8,"事業区分",K$1,"請求区分","単月"),0)
+IFERROR(GETPIVOTDATA("合計 / 入金予定",【ピボット】国保連売上!$A$3,"年月",$A8,"事業所コード",$B8,"事業所",$C8,"事業区分",K$1,"請求区分","再請求"),0))</f>
        <v>749148</v>
      </c>
      <c r="L8" s="659">
        <f ca="1">IF($A8="","",IFERROR(GETPIVOTDATA("合計 / 処遇改善加算金",【ピボット】国保連売上!$A$3,"年月",$A8,"事業所コード",$B8,"事業所",$C8,"事業区分",K$1,"請求区分","単月"),0))</f>
        <v>0</v>
      </c>
      <c r="M8" s="659">
        <f ca="1">IF($A8="","",IFERROR(GETPIVOTDATA("合計 / 入金予定",【ピボット】国保連売上!$A$3,"年月",$A8,"事業所コード",$B8,"事業所",$C8,"事業区分",M$1,"請求区分","単月"),0)
+IFERROR(GETPIVOTDATA("合計 / 入金予定",【ピボット】国保連売上!$A$3,"年月",$A8,"事業所コード",$B8,"事業所",$C8,"事業区分",M$1,"請求区分","再請求"),0))</f>
        <v>0</v>
      </c>
      <c r="N8" s="660">
        <v>0</v>
      </c>
      <c r="O8" s="660">
        <v>0</v>
      </c>
      <c r="P8" s="660">
        <v>0</v>
      </c>
      <c r="Q8" s="660">
        <v>0</v>
      </c>
      <c r="R8" s="660">
        <v>0</v>
      </c>
      <c r="S8" s="660">
        <v>98000</v>
      </c>
      <c r="T8" s="660">
        <v>0</v>
      </c>
      <c r="U8" s="660">
        <v>0</v>
      </c>
      <c r="V8" s="660">
        <v>-20000</v>
      </c>
      <c r="W8" s="660">
        <v>0</v>
      </c>
      <c r="X8" s="660">
        <v>0</v>
      </c>
      <c r="Y8" s="659">
        <f t="shared" ca="1" si="2"/>
        <v>827148</v>
      </c>
      <c r="Z8" s="659">
        <f t="shared" ca="1" si="1"/>
        <v>78000</v>
      </c>
    </row>
    <row r="9" spans="1:26" ht="15.95" customHeight="1" x14ac:dyDescent="0.15">
      <c r="A9" s="656">
        <v>42614</v>
      </c>
      <c r="B9" s="657" t="str">
        <f t="shared" ca="1" si="0"/>
        <v>05</v>
      </c>
      <c r="C9" s="658" t="s">
        <v>38</v>
      </c>
      <c r="D9" s="659">
        <f ca="1">IF($A9="","",IFERROR(GETPIVOTDATA("合計 / 入金予定",【ピボット】国保連売上!$A$3,"年月",$A9,"事業所コード",$B9,"事業所",$C9,"事業区分",D$1,"請求区分","単月"),0)
+IFERROR(GETPIVOTDATA("合計 / 入金予定",【ピボット】国保連売上!$A$3,"年月",$A9,"事業所コード",$B9,"事業所",$C9,"事業区分",D$1,"請求区分","再請求"),0))</f>
        <v>1737260</v>
      </c>
      <c r="E9" s="659">
        <f ca="1">IF($A9="","",IFERROR(GETPIVOTDATA("合計 / 処遇改善加算金",【ピボット】国保連売上!$A$3,"年月",$A9,"事業所コード",$B9,"事業所",$C9,"事業区分",D$1,"請求区分","単月"),0))</f>
        <v>0</v>
      </c>
      <c r="F9" s="659">
        <f ca="1">IF($A9="","",IFERROR(GETPIVOTDATA("合計 / 入金予定",【ピボット】国保連売上!$A$3,"年月",$A9,"事業所コード",$B9,"事業所",$C9,"事業区分",F$1,"請求区分","単月"),0)
+IFERROR(GETPIVOTDATA("合計 / 入金予定",【ピボット】国保連売上!$A$3,"年月",$A9,"事業所コード",$B9,"事業所",$C9,"事業区分",F$1,"請求区分","再請求"),0))</f>
        <v>0</v>
      </c>
      <c r="G9" s="659">
        <f ca="1">IF($A9="","",IFERROR(GETPIVOTDATA("合計 / 処遇改善加算金",【ピボット】国保連売上!$A$3,"年月",$A9,"事業所コード",$B9,"事業所",$C9,"事業区分",F$1,"請求区分","単月"),0))</f>
        <v>0</v>
      </c>
      <c r="H9" s="659">
        <f ca="1">IF($A9="","",IFERROR(GETPIVOTDATA("合計 / 入金予定",【ピボット】国保連売上!$A$3,"年月",$A9,"事業所コード",$B9,"事業所",$C9,"事業区分",H$1,"請求区分","単月"),0)
+IFERROR(GETPIVOTDATA("合計 / 入金予定",【ピボット】国保連売上!$A$3,"年月",$A9,"事業所コード",$B9,"事業所",$C9,"事業区分",H$1,"請求区分","再請求"),0))</f>
        <v>0</v>
      </c>
      <c r="I9" s="659">
        <f ca="1">IF($A9="","",IFERROR(GETPIVOTDATA("合計 / 入金予定",【ピボット】国保連売上!$A$3,"年月",$A9,"事業所コード",$B9,"事業所",$C9,"事業区分",I$1,"請求区分","単月"),0)
+IFERROR(GETPIVOTDATA("合計 / 入金予定",【ピボット】国保連売上!$A$3,"年月",$A9,"事業所コード",$B9,"事業所",$C9,"事業区分",I$1,"請求区分","再請求"),0))</f>
        <v>0</v>
      </c>
      <c r="J9" s="659">
        <f ca="1">IF($A9="","",IFERROR(GETPIVOTDATA("合計 / 処遇改善加算金",【ピボット】国保連売上!$A$3,"年月",$A9,"事業所コード",$B9,"事業所",$C9,"事業区分",I$1,"請求区分","単月"),0))</f>
        <v>0</v>
      </c>
      <c r="K9" s="659">
        <f ca="1">IF($A9="","",IFERROR(GETPIVOTDATA("合計 / 入金予定",【ピボット】国保連売上!$A$3,"年月",$A9,"事業所コード",$B9,"事業所",$C9,"事業区分",K$1,"請求区分","単月"),0)
+IFERROR(GETPIVOTDATA("合計 / 入金予定",【ピボット】国保連売上!$A$3,"年月",$A9,"事業所コード",$B9,"事業所",$C9,"事業区分",K$1,"請求区分","再請求"),0))</f>
        <v>0</v>
      </c>
      <c r="L9" s="659">
        <f ca="1">IF($A9="","",IFERROR(GETPIVOTDATA("合計 / 処遇改善加算金",【ピボット】国保連売上!$A$3,"年月",$A9,"事業所コード",$B9,"事業所",$C9,"事業区分",K$1,"請求区分","単月"),0))</f>
        <v>0</v>
      </c>
      <c r="M9" s="659">
        <f ca="1">IF($A9="","",IFERROR(GETPIVOTDATA("合計 / 入金予定",【ピボット】国保連売上!$A$3,"年月",$A9,"事業所コード",$B9,"事業所",$C9,"事業区分",M$1,"請求区分","単月"),0)
+IFERROR(GETPIVOTDATA("合計 / 入金予定",【ピボット】国保連売上!$A$3,"年月",$A9,"事業所コード",$B9,"事業所",$C9,"事業区分",M$1,"請求区分","再請求"),0))</f>
        <v>0</v>
      </c>
      <c r="N9" s="660">
        <v>0</v>
      </c>
      <c r="O9" s="660">
        <v>0</v>
      </c>
      <c r="P9" s="660">
        <v>0</v>
      </c>
      <c r="Q9" s="660">
        <v>0</v>
      </c>
      <c r="R9" s="660">
        <v>0</v>
      </c>
      <c r="S9" s="660">
        <v>631140</v>
      </c>
      <c r="T9" s="660">
        <v>0</v>
      </c>
      <c r="U9" s="660">
        <v>0</v>
      </c>
      <c r="V9" s="660">
        <v>0</v>
      </c>
      <c r="W9" s="660">
        <v>0</v>
      </c>
      <c r="X9" s="660">
        <v>0</v>
      </c>
      <c r="Y9" s="659">
        <f t="shared" ca="1" si="2"/>
        <v>2368400</v>
      </c>
      <c r="Z9" s="659">
        <f t="shared" ca="1" si="1"/>
        <v>631140</v>
      </c>
    </row>
    <row r="10" spans="1:26" ht="15.95" customHeight="1" x14ac:dyDescent="0.15">
      <c r="A10" s="656">
        <v>42614</v>
      </c>
      <c r="B10" s="657" t="str">
        <f t="shared" ca="1" si="0"/>
        <v>06</v>
      </c>
      <c r="C10" s="658" t="s">
        <v>57</v>
      </c>
      <c r="D10" s="659">
        <f ca="1">IF($A10="","",IFERROR(GETPIVOTDATA("合計 / 入金予定",【ピボット】国保連売上!$A$3,"年月",$A10,"事業所コード",$B10,"事業所",$C10,"事業区分",D$1,"請求区分","単月"),0)
+IFERROR(GETPIVOTDATA("合計 / 入金予定",【ピボット】国保連売上!$A$3,"年月",$A10,"事業所コード",$B10,"事業所",$C10,"事業区分",D$1,"請求区分","再請求"),0))</f>
        <v>569924</v>
      </c>
      <c r="E10" s="659">
        <f ca="1">IF($A10="","",IFERROR(GETPIVOTDATA("合計 / 処遇改善加算金",【ピボット】国保連売上!$A$3,"年月",$A10,"事業所コード",$B10,"事業所",$C10,"事業区分",D$1,"請求区分","単月"),0))</f>
        <v>0</v>
      </c>
      <c r="F10" s="659">
        <f ca="1">IF($A10="","",IFERROR(GETPIVOTDATA("合計 / 入金予定",【ピボット】国保連売上!$A$3,"年月",$A10,"事業所コード",$B10,"事業所",$C10,"事業区分",F$1,"請求区分","単月"),0)
+IFERROR(GETPIVOTDATA("合計 / 入金予定",【ピボット】国保連売上!$A$3,"年月",$A10,"事業所コード",$B10,"事業所",$C10,"事業区分",F$1,"請求区分","再請求"),0))</f>
        <v>0</v>
      </c>
      <c r="G10" s="659">
        <f ca="1">IF($A10="","",IFERROR(GETPIVOTDATA("合計 / 処遇改善加算金",【ピボット】国保連売上!$A$3,"年月",$A10,"事業所コード",$B10,"事業所",$C10,"事業区分",F$1,"請求区分","単月"),0))</f>
        <v>0</v>
      </c>
      <c r="H10" s="659">
        <f ca="1">IF($A10="","",IFERROR(GETPIVOTDATA("合計 / 入金予定",【ピボット】国保連売上!$A$3,"年月",$A10,"事業所コード",$B10,"事業所",$C10,"事業区分",H$1,"請求区分","単月"),0)
+IFERROR(GETPIVOTDATA("合計 / 入金予定",【ピボット】国保連売上!$A$3,"年月",$A10,"事業所コード",$B10,"事業所",$C10,"事業区分",H$1,"請求区分","再請求"),0))</f>
        <v>0</v>
      </c>
      <c r="I10" s="659">
        <f ca="1">IF($A10="","",IFERROR(GETPIVOTDATA("合計 / 入金予定",【ピボット】国保連売上!$A$3,"年月",$A10,"事業所コード",$B10,"事業所",$C10,"事業区分",I$1,"請求区分","単月"),0)
+IFERROR(GETPIVOTDATA("合計 / 入金予定",【ピボット】国保連売上!$A$3,"年月",$A10,"事業所コード",$B10,"事業所",$C10,"事業区分",I$1,"請求区分","再請求"),0))</f>
        <v>0</v>
      </c>
      <c r="J10" s="659">
        <f ca="1">IF($A10="","",IFERROR(GETPIVOTDATA("合計 / 処遇改善加算金",【ピボット】国保連売上!$A$3,"年月",$A10,"事業所コード",$B10,"事業所",$C10,"事業区分",I$1,"請求区分","単月"),0))</f>
        <v>0</v>
      </c>
      <c r="K10" s="659">
        <f ca="1">IF($A10="","",IFERROR(GETPIVOTDATA("合計 / 入金予定",【ピボット】国保連売上!$A$3,"年月",$A10,"事業所コード",$B10,"事業所",$C10,"事業区分",K$1,"請求区分","単月"),0)
+IFERROR(GETPIVOTDATA("合計 / 入金予定",【ピボット】国保連売上!$A$3,"年月",$A10,"事業所コード",$B10,"事業所",$C10,"事業区分",K$1,"請求区分","再請求"),0))</f>
        <v>0</v>
      </c>
      <c r="L10" s="659">
        <f ca="1">IF($A10="","",IFERROR(GETPIVOTDATA("合計 / 処遇改善加算金",【ピボット】国保連売上!$A$3,"年月",$A10,"事業所コード",$B10,"事業所",$C10,"事業区分",K$1,"請求区分","単月"),0))</f>
        <v>0</v>
      </c>
      <c r="M10" s="659">
        <f ca="1">IF($A10="","",IFERROR(GETPIVOTDATA("合計 / 入金予定",【ピボット】国保連売上!$A$3,"年月",$A10,"事業所コード",$B10,"事業所",$C10,"事業区分",M$1,"請求区分","単月"),0)
+IFERROR(GETPIVOTDATA("合計 / 入金予定",【ピボット】国保連売上!$A$3,"年月",$A10,"事業所コード",$B10,"事業所",$C10,"事業区分",M$1,"請求区分","再請求"),0))</f>
        <v>0</v>
      </c>
      <c r="N10" s="660">
        <v>0</v>
      </c>
      <c r="O10" s="660">
        <v>0</v>
      </c>
      <c r="P10" s="660">
        <v>0</v>
      </c>
      <c r="Q10" s="660">
        <v>0</v>
      </c>
      <c r="R10" s="660">
        <v>0</v>
      </c>
      <c r="S10" s="660">
        <v>383940</v>
      </c>
      <c r="T10" s="660">
        <v>0</v>
      </c>
      <c r="U10" s="660">
        <v>0</v>
      </c>
      <c r="V10" s="660">
        <v>0</v>
      </c>
      <c r="W10" s="660">
        <v>0</v>
      </c>
      <c r="X10" s="660">
        <v>0</v>
      </c>
      <c r="Y10" s="659">
        <f t="shared" ca="1" si="2"/>
        <v>953864</v>
      </c>
      <c r="Z10" s="659">
        <f t="shared" ca="1" si="1"/>
        <v>383940</v>
      </c>
    </row>
    <row r="11" spans="1:26" ht="15.95" customHeight="1" x14ac:dyDescent="0.15">
      <c r="A11" s="656">
        <v>42614</v>
      </c>
      <c r="B11" s="657" t="str">
        <f t="shared" ca="1" si="0"/>
        <v>10</v>
      </c>
      <c r="C11" s="658" t="s">
        <v>583</v>
      </c>
      <c r="D11" s="659">
        <f ca="1">IF($A11="","",IFERROR(GETPIVOTDATA("合計 / 入金予定",【ピボット】国保連売上!$A$3,"年月",$A11,"事業所コード",$B11,"事業所",$C11,"事業区分",D$1,"請求区分","単月"),0)
+IFERROR(GETPIVOTDATA("合計 / 入金予定",【ピボット】国保連売上!$A$3,"年月",$A11,"事業所コード",$B11,"事業所",$C11,"事業区分",D$1,"請求区分","再請求"),0))</f>
        <v>1055787</v>
      </c>
      <c r="E11" s="659">
        <f ca="1">IF($A11="","",IFERROR(GETPIVOTDATA("合計 / 処遇改善加算金",【ピボット】国保連売上!$A$3,"年月",$A11,"事業所コード",$B11,"事業所",$C11,"事業区分",D$1,"請求区分","単月"),0))</f>
        <v>0</v>
      </c>
      <c r="F11" s="659">
        <f ca="1">IF($A11="","",IFERROR(GETPIVOTDATA("合計 / 入金予定",【ピボット】国保連売上!$A$3,"年月",$A11,"事業所コード",$B11,"事業所",$C11,"事業区分",F$1,"請求区分","単月"),0)
+IFERROR(GETPIVOTDATA("合計 / 入金予定",【ピボット】国保連売上!$A$3,"年月",$A11,"事業所コード",$B11,"事業所",$C11,"事業区分",F$1,"請求区分","再請求"),0))</f>
        <v>2693</v>
      </c>
      <c r="G11" s="659">
        <f ca="1">IF($A11="","",IFERROR(GETPIVOTDATA("合計 / 処遇改善加算金",【ピボット】国保連売上!$A$3,"年月",$A11,"事業所コード",$B11,"事業所",$C11,"事業区分",F$1,"請求区分","単月"),0))</f>
        <v>0</v>
      </c>
      <c r="H11" s="659">
        <f ca="1">IF($A11="","",IFERROR(GETPIVOTDATA("合計 / 入金予定",【ピボット】国保連売上!$A$3,"年月",$A11,"事業所コード",$B11,"事業所",$C11,"事業区分",H$1,"請求区分","単月"),0)
+IFERROR(GETPIVOTDATA("合計 / 入金予定",【ピボット】国保連売上!$A$3,"年月",$A11,"事業所コード",$B11,"事業所",$C11,"事業区分",H$1,"請求区分","再請求"),0))</f>
        <v>0</v>
      </c>
      <c r="I11" s="659">
        <f ca="1">IF($A11="","",IFERROR(GETPIVOTDATA("合計 / 入金予定",【ピボット】国保連売上!$A$3,"年月",$A11,"事業所コード",$B11,"事業所",$C11,"事業区分",I$1,"請求区分","単月"),0)
+IFERROR(GETPIVOTDATA("合計 / 入金予定",【ピボット】国保連売上!$A$3,"年月",$A11,"事業所コード",$B11,"事業所",$C11,"事業区分",I$1,"請求区分","再請求"),0))</f>
        <v>0</v>
      </c>
      <c r="J11" s="659">
        <f ca="1">IF($A11="","",IFERROR(GETPIVOTDATA("合計 / 処遇改善加算金",【ピボット】国保連売上!$A$3,"年月",$A11,"事業所コード",$B11,"事業所",$C11,"事業区分",I$1,"請求区分","単月"),0))</f>
        <v>0</v>
      </c>
      <c r="K11" s="659">
        <f ca="1">IF($A11="","",IFERROR(GETPIVOTDATA("合計 / 入金予定",【ピボット】国保連売上!$A$3,"年月",$A11,"事業所コード",$B11,"事業所",$C11,"事業区分",K$1,"請求区分","単月"),0)
+IFERROR(GETPIVOTDATA("合計 / 入金予定",【ピボット】国保連売上!$A$3,"年月",$A11,"事業所コード",$B11,"事業所",$C11,"事業区分",K$1,"請求区分","再請求"),0))</f>
        <v>0</v>
      </c>
      <c r="L11" s="659">
        <f ca="1">IF($A11="","",IFERROR(GETPIVOTDATA("合計 / 処遇改善加算金",【ピボット】国保連売上!$A$3,"年月",$A11,"事業所コード",$B11,"事業所",$C11,"事業区分",K$1,"請求区分","単月"),0))</f>
        <v>0</v>
      </c>
      <c r="M11" s="659">
        <f ca="1">IF($A11="","",IFERROR(GETPIVOTDATA("合計 / 入金予定",【ピボット】国保連売上!$A$3,"年月",$A11,"事業所コード",$B11,"事業所",$C11,"事業区分",M$1,"請求区分","単月"),0)
+IFERROR(GETPIVOTDATA("合計 / 入金予定",【ピボット】国保連売上!$A$3,"年月",$A11,"事業所コード",$B11,"事業所",$C11,"事業区分",M$1,"請求区分","再請求"),0))</f>
        <v>0</v>
      </c>
      <c r="N11" s="660">
        <v>188600</v>
      </c>
      <c r="O11" s="660">
        <v>60840</v>
      </c>
      <c r="P11" s="660">
        <v>1286055</v>
      </c>
      <c r="Q11" s="660">
        <v>0</v>
      </c>
      <c r="R11" s="660">
        <v>0</v>
      </c>
      <c r="S11" s="660">
        <v>0</v>
      </c>
      <c r="T11" s="660">
        <v>0</v>
      </c>
      <c r="U11" s="660">
        <v>0</v>
      </c>
      <c r="V11" s="660">
        <v>0</v>
      </c>
      <c r="W11" s="660">
        <v>0</v>
      </c>
      <c r="X11" s="660">
        <v>0</v>
      </c>
      <c r="Y11" s="659">
        <f t="shared" ca="1" si="2"/>
        <v>2593975</v>
      </c>
      <c r="Z11" s="659">
        <f t="shared" ca="1" si="1"/>
        <v>1535495</v>
      </c>
    </row>
    <row r="12" spans="1:26" ht="15.95" customHeight="1" x14ac:dyDescent="0.15">
      <c r="A12" s="656">
        <v>42614</v>
      </c>
      <c r="B12" s="657" t="str">
        <f t="shared" ca="1" si="0"/>
        <v>00</v>
      </c>
      <c r="C12" s="658" t="s">
        <v>490</v>
      </c>
      <c r="D12" s="659">
        <f ca="1">IF($A12="","",IFERROR(GETPIVOTDATA("合計 / 入金予定",【ピボット】国保連売上!$A$3,"年月",$A12,"事業所コード",$B12,"事業所",$C12,"事業区分",D$1,"請求区分","単月"),0)
+IFERROR(GETPIVOTDATA("合計 / 入金予定",【ピボット】国保連売上!$A$3,"年月",$A12,"事業所コード",$B12,"事業所",$C12,"事業区分",D$1,"請求区分","再請求"),0))</f>
        <v>0</v>
      </c>
      <c r="E12" s="659">
        <f ca="1">IF($A12="","",IFERROR(GETPIVOTDATA("合計 / 処遇改善加算金",【ピボット】国保連売上!$A$3,"年月",$A12,"事業所コード",$B12,"事業所",$C12,"事業区分",D$1,"請求区分","単月"),0))</f>
        <v>0</v>
      </c>
      <c r="F12" s="659">
        <f ca="1">IF($A12="","",IFERROR(GETPIVOTDATA("合計 / 入金予定",【ピボット】国保連売上!$A$3,"年月",$A12,"事業所コード",$B12,"事業所",$C12,"事業区分",F$1,"請求区分","単月"),0)
+IFERROR(GETPIVOTDATA("合計 / 入金予定",【ピボット】国保連売上!$A$3,"年月",$A12,"事業所コード",$B12,"事業所",$C12,"事業区分",F$1,"請求区分","再請求"),0))</f>
        <v>0</v>
      </c>
      <c r="G12" s="659">
        <f ca="1">IF($A12="","",IFERROR(GETPIVOTDATA("合計 / 処遇改善加算金",【ピボット】国保連売上!$A$3,"年月",$A12,"事業所コード",$B12,"事業所",$C12,"事業区分",F$1,"請求区分","単月"),0))</f>
        <v>0</v>
      </c>
      <c r="H12" s="659">
        <f ca="1">IF($A12="","",IFERROR(GETPIVOTDATA("合計 / 入金予定",【ピボット】国保連売上!$A$3,"年月",$A12,"事業所コード",$B12,"事業所",$C12,"事業区分",H$1,"請求区分","単月"),0)
+IFERROR(GETPIVOTDATA("合計 / 入金予定",【ピボット】国保連売上!$A$3,"年月",$A12,"事業所コード",$B12,"事業所",$C12,"事業区分",H$1,"請求区分","再請求"),0))</f>
        <v>0</v>
      </c>
      <c r="I12" s="659">
        <f ca="1">IF($A12="","",IFERROR(GETPIVOTDATA("合計 / 入金予定",【ピボット】国保連売上!$A$3,"年月",$A12,"事業所コード",$B12,"事業所",$C12,"事業区分",I$1,"請求区分","単月"),0)
+IFERROR(GETPIVOTDATA("合計 / 入金予定",【ピボット】国保連売上!$A$3,"年月",$A12,"事業所コード",$B12,"事業所",$C12,"事業区分",I$1,"請求区分","再請求"),0))</f>
        <v>0</v>
      </c>
      <c r="J12" s="659">
        <f ca="1">IF($A12="","",IFERROR(GETPIVOTDATA("合計 / 処遇改善加算金",【ピボット】国保連売上!$A$3,"年月",$A12,"事業所コード",$B12,"事業所",$C12,"事業区分",I$1,"請求区分","単月"),0))</f>
        <v>0</v>
      </c>
      <c r="K12" s="659">
        <f ca="1">IF($A12="","",IFERROR(GETPIVOTDATA("合計 / 入金予定",【ピボット】国保連売上!$A$3,"年月",$A12,"事業所コード",$B12,"事業所",$C12,"事業区分",K$1,"請求区分","単月"),0)
+IFERROR(GETPIVOTDATA("合計 / 入金予定",【ピボット】国保連売上!$A$3,"年月",$A12,"事業所コード",$B12,"事業所",$C12,"事業区分",K$1,"請求区分","再請求"),0))</f>
        <v>0</v>
      </c>
      <c r="L12" s="659">
        <f ca="1">IF($A12="","",IFERROR(GETPIVOTDATA("合計 / 処遇改善加算金",【ピボット】国保連売上!$A$3,"年月",$A12,"事業所コード",$B12,"事業所",$C12,"事業区分",K$1,"請求区分","単月"),0))</f>
        <v>0</v>
      </c>
      <c r="M12" s="659">
        <f ca="1">IF($A12="","",IFERROR(GETPIVOTDATA("合計 / 入金予定",【ピボット】国保連売上!$A$3,"年月",$A12,"事業所コード",$B12,"事業所",$C12,"事業区分",M$1,"請求区分","単月"),0)
+IFERROR(GETPIVOTDATA("合計 / 入金予定",【ピボット】国保連売上!$A$3,"年月",$A12,"事業所コード",$B12,"事業所",$C12,"事業区分",M$1,"請求区分","再請求"),0))</f>
        <v>33378</v>
      </c>
      <c r="N12" s="660">
        <v>0</v>
      </c>
      <c r="O12" s="660">
        <v>0</v>
      </c>
      <c r="P12" s="660">
        <v>0</v>
      </c>
      <c r="Q12" s="660">
        <v>0</v>
      </c>
      <c r="R12" s="660">
        <v>0</v>
      </c>
      <c r="S12" s="660">
        <v>0</v>
      </c>
      <c r="T12" s="660">
        <v>0</v>
      </c>
      <c r="U12" s="660">
        <v>0</v>
      </c>
      <c r="V12" s="660">
        <v>0</v>
      </c>
      <c r="W12" s="660">
        <v>0</v>
      </c>
      <c r="X12" s="660">
        <v>0</v>
      </c>
      <c r="Y12" s="659">
        <f ca="1">IF(A12="","",SUM(D12,F12,H12:I12,K12,M12:X12))</f>
        <v>33378</v>
      </c>
      <c r="Z12" s="659">
        <f t="shared" ca="1" si="1"/>
        <v>0</v>
      </c>
    </row>
    <row r="13" spans="1:26" ht="15.95" customHeight="1" x14ac:dyDescent="0.15">
      <c r="A13" s="656">
        <v>42644</v>
      </c>
      <c r="B13" s="657" t="str">
        <f t="shared" ca="1" si="0"/>
        <v>01</v>
      </c>
      <c r="C13" s="658" t="s">
        <v>34</v>
      </c>
      <c r="D13" s="659">
        <f ca="1">IF($A13="","",IFERROR(GETPIVOTDATA("合計 / 入金予定",【ピボット】国保連売上!$A$3,"年月",$A13,"事業所コード",$B13,"事業所",$C13,"事業区分",D$1,"請求区分","単月"),0)
+IFERROR(GETPIVOTDATA("合計 / 入金予定",【ピボット】国保連売上!$A$3,"年月",$A13,"事業所コード",$B13,"事業所",$C13,"事業区分",D$1,"請求区分","再請求"),0))</f>
        <v>7487057</v>
      </c>
      <c r="E13" s="659">
        <f ca="1">IF($A13="","",IFERROR(GETPIVOTDATA("合計 / 処遇改善加算金",【ピボット】国保連売上!$A$3,"年月",$A13,"事業所コード",$B13,"事業所",$C13,"事業区分",D$1,"請求区分","単月"),0))</f>
        <v>965754</v>
      </c>
      <c r="F13" s="659">
        <f ca="1">IF($A13="","",IFERROR(GETPIVOTDATA("合計 / 入金予定",【ピボット】国保連売上!$A$3,"年月",$A13,"事業所コード",$B13,"事業所",$C13,"事業区分",F$1,"請求区分","単月"),0)
+IFERROR(GETPIVOTDATA("合計 / 入金予定",【ピボット】国保連売上!$A$3,"年月",$A13,"事業所コード",$B13,"事業所",$C13,"事業区分",F$1,"請求区分","再請求"),0))</f>
        <v>1616915</v>
      </c>
      <c r="G13" s="659">
        <f ca="1">IF($A13="","",IFERROR(GETPIVOTDATA("合計 / 処遇改善加算金",【ピボット】国保連売上!$A$3,"年月",$A13,"事業所コード",$B13,"事業所",$C13,"事業区分",F$1,"請求区分","単月"),0))</f>
        <v>301358</v>
      </c>
      <c r="H13" s="659">
        <f ca="1">IF($A13="","",IFERROR(GETPIVOTDATA("合計 / 入金予定",【ピボット】国保連売上!$A$3,"年月",$A13,"事業所コード",$B13,"事業所",$C13,"事業区分",H$1,"請求区分","単月"),0)
+IFERROR(GETPIVOTDATA("合計 / 入金予定",【ピボット】国保連売上!$A$3,"年月",$A13,"事業所コード",$B13,"事業所",$C13,"事業区分",H$1,"請求区分","再請求"),0))</f>
        <v>773581</v>
      </c>
      <c r="I13" s="659">
        <f ca="1">IF($A13="","",IFERROR(GETPIVOTDATA("合計 / 入金予定",【ピボット】国保連売上!$A$3,"年月",$A13,"事業所コード",$B13,"事業所",$C13,"事業区分",I$1,"請求区分","単月"),0)
+IFERROR(GETPIVOTDATA("合計 / 入金予定",【ピボット】国保連売上!$A$3,"年月",$A13,"事業所コード",$B13,"事業所",$C13,"事業区分",I$1,"請求区分","再請求"),0))</f>
        <v>0</v>
      </c>
      <c r="J13" s="659">
        <f ca="1">IF($A13="","",IFERROR(GETPIVOTDATA("合計 / 処遇改善加算金",【ピボット】国保連売上!$A$3,"年月",$A13,"事業所コード",$B13,"事業所",$C13,"事業区分",I$1,"請求区分","単月"),0))</f>
        <v>0</v>
      </c>
      <c r="K13" s="659">
        <f ca="1">IF($A13="","",IFERROR(GETPIVOTDATA("合計 / 入金予定",【ピボット】国保連売上!$A$3,"年月",$A13,"事業所コード",$B13,"事業所",$C13,"事業区分",K$1,"請求区分","単月"),0)
+IFERROR(GETPIVOTDATA("合計 / 入金予定",【ピボット】国保連売上!$A$3,"年月",$A13,"事業所コード",$B13,"事業所",$C13,"事業区分",K$1,"請求区分","再請求"),0))</f>
        <v>0</v>
      </c>
      <c r="L13" s="659">
        <f ca="1">IF($A13="","",IFERROR(GETPIVOTDATA("合計 / 処遇改善加算金",【ピボット】国保連売上!$A$3,"年月",$A13,"事業所コード",$B13,"事業所",$C13,"事業区分",K$1,"請求区分","単月"),0))</f>
        <v>0</v>
      </c>
      <c r="M13" s="659">
        <f ca="1">IF($A13="","",IFERROR(GETPIVOTDATA("合計 / 入金予定",【ピボット】国保連売上!$A$3,"年月",$A13,"事業所コード",$B13,"事業所",$C13,"事業区分",M$1,"請求区分","単月"),0)
+IFERROR(GETPIVOTDATA("合計 / 入金予定",【ピボット】国保連売上!$A$3,"年月",$A13,"事業所コード",$B13,"事業所",$C13,"事業区分",M$1,"請求区分","再請求"),0))</f>
        <v>0</v>
      </c>
      <c r="N13" s="660">
        <v>107400</v>
      </c>
      <c r="O13" s="660">
        <v>69350</v>
      </c>
      <c r="P13" s="660">
        <v>0</v>
      </c>
      <c r="Q13" s="660">
        <v>8155</v>
      </c>
      <c r="R13" s="660">
        <v>130750</v>
      </c>
      <c r="S13" s="660">
        <v>0</v>
      </c>
      <c r="T13" s="660">
        <v>0</v>
      </c>
      <c r="U13" s="660">
        <v>0</v>
      </c>
      <c r="V13" s="660">
        <v>0</v>
      </c>
      <c r="W13" s="660">
        <v>0</v>
      </c>
      <c r="X13" s="660">
        <v>0</v>
      </c>
      <c r="Y13" s="659">
        <f t="shared" ca="1" si="2"/>
        <v>10193208</v>
      </c>
      <c r="Z13" s="659">
        <f t="shared" ca="1" si="1"/>
        <v>315655</v>
      </c>
    </row>
    <row r="14" spans="1:26" ht="15.95" customHeight="1" x14ac:dyDescent="0.15">
      <c r="A14" s="656">
        <v>42644</v>
      </c>
      <c r="B14" s="657" t="str">
        <f t="shared" ca="1" si="0"/>
        <v>02</v>
      </c>
      <c r="C14" s="658" t="s">
        <v>37</v>
      </c>
      <c r="D14" s="659">
        <f ca="1">IF($A14="","",IFERROR(GETPIVOTDATA("合計 / 入金予定",【ピボット】国保連売上!$A$3,"年月",$A14,"事業所コード",$B14,"事業所",$C14,"事業区分",D$1,"請求区分","単月"),0)
+IFERROR(GETPIVOTDATA("合計 / 入金予定",【ピボット】国保連売上!$A$3,"年月",$A14,"事業所コード",$B14,"事業所",$C14,"事業区分",D$1,"請求区分","再請求"),0))</f>
        <v>4265893</v>
      </c>
      <c r="E14" s="659">
        <f ca="1">IF($A14="","",IFERROR(GETPIVOTDATA("合計 / 処遇改善加算金",【ピボット】国保連売上!$A$3,"年月",$A14,"事業所コード",$B14,"事業所",$C14,"事業区分",D$1,"請求区分","単月"),0))</f>
        <v>328743</v>
      </c>
      <c r="F14" s="659">
        <f ca="1">IF($A14="","",IFERROR(GETPIVOTDATA("合計 / 入金予定",【ピボット】国保連売上!$A$3,"年月",$A14,"事業所コード",$B14,"事業所",$C14,"事業区分",F$1,"請求区分","単月"),0)
+IFERROR(GETPIVOTDATA("合計 / 入金予定",【ピボット】国保連売上!$A$3,"年月",$A14,"事業所コード",$B14,"事業所",$C14,"事業区分",F$1,"請求区分","再請求"),0))</f>
        <v>388698</v>
      </c>
      <c r="G14" s="659">
        <f ca="1">IF($A14="","",IFERROR(GETPIVOTDATA("合計 / 処遇改善加算金",【ピボット】国保連売上!$A$3,"年月",$A14,"事業所コード",$B14,"事業所",$C14,"事業区分",F$1,"請求区分","単月"),0))</f>
        <v>70336</v>
      </c>
      <c r="H14" s="659">
        <f ca="1">IF($A14="","",IFERROR(GETPIVOTDATA("合計 / 入金予定",【ピボット】国保連売上!$A$3,"年月",$A14,"事業所コード",$B14,"事業所",$C14,"事業区分",H$1,"請求区分","単月"),0)
+IFERROR(GETPIVOTDATA("合計 / 入金予定",【ピボット】国保連売上!$A$3,"年月",$A14,"事業所コード",$B14,"事業所",$C14,"事業区分",H$1,"請求区分","再請求"),0))</f>
        <v>383481</v>
      </c>
      <c r="I14" s="659">
        <f ca="1">IF($A14="","",IFERROR(GETPIVOTDATA("合計 / 入金予定",【ピボット】国保連売上!$A$3,"年月",$A14,"事業所コード",$B14,"事業所",$C14,"事業区分",I$1,"請求区分","単月"),0)
+IFERROR(GETPIVOTDATA("合計 / 入金予定",【ピボット】国保連売上!$A$3,"年月",$A14,"事業所コード",$B14,"事業所",$C14,"事業区分",I$1,"請求区分","再請求"),0))</f>
        <v>0</v>
      </c>
      <c r="J14" s="659">
        <f ca="1">IF($A14="","",IFERROR(GETPIVOTDATA("合計 / 処遇改善加算金",【ピボット】国保連売上!$A$3,"年月",$A14,"事業所コード",$B14,"事業所",$C14,"事業区分",I$1,"請求区分","単月"),0))</f>
        <v>0</v>
      </c>
      <c r="K14" s="659">
        <f ca="1">IF($A14="","",IFERROR(GETPIVOTDATA("合計 / 入金予定",【ピボット】国保連売上!$A$3,"年月",$A14,"事業所コード",$B14,"事業所",$C14,"事業区分",K$1,"請求区分","単月"),0)
+IFERROR(GETPIVOTDATA("合計 / 入金予定",【ピボット】国保連売上!$A$3,"年月",$A14,"事業所コード",$B14,"事業所",$C14,"事業区分",K$1,"請求区分","再請求"),0))</f>
        <v>0</v>
      </c>
      <c r="L14" s="659">
        <f ca="1">IF($A14="","",IFERROR(GETPIVOTDATA("合計 / 処遇改善加算金",【ピボット】国保連売上!$A$3,"年月",$A14,"事業所コード",$B14,"事業所",$C14,"事業区分",K$1,"請求区分","単月"),0))</f>
        <v>0</v>
      </c>
      <c r="M14" s="659">
        <f ca="1">IF($A14="","",IFERROR(GETPIVOTDATA("合計 / 入金予定",【ピボット】国保連売上!$A$3,"年月",$A14,"事業所コード",$B14,"事業所",$C14,"事業区分",M$1,"請求区分","単月"),0)
+IFERROR(GETPIVOTDATA("合計 / 入金予定",【ピボット】国保連売上!$A$3,"年月",$A14,"事業所コード",$B14,"事業所",$C14,"事業区分",M$1,"請求区分","再請求"),0))</f>
        <v>0</v>
      </c>
      <c r="N14" s="660">
        <v>162295</v>
      </c>
      <c r="O14" s="660">
        <v>0</v>
      </c>
      <c r="P14" s="660">
        <v>0</v>
      </c>
      <c r="Q14" s="660">
        <v>1906</v>
      </c>
      <c r="R14" s="660">
        <v>94004</v>
      </c>
      <c r="S14" s="660">
        <v>0</v>
      </c>
      <c r="T14" s="660">
        <v>0</v>
      </c>
      <c r="U14" s="660">
        <v>0</v>
      </c>
      <c r="V14" s="660">
        <v>0</v>
      </c>
      <c r="W14" s="660">
        <v>0</v>
      </c>
      <c r="X14" s="660">
        <v>0</v>
      </c>
      <c r="Y14" s="659">
        <f t="shared" ca="1" si="2"/>
        <v>5296277</v>
      </c>
      <c r="Z14" s="659">
        <f t="shared" ca="1" si="1"/>
        <v>258205</v>
      </c>
    </row>
    <row r="15" spans="1:26" ht="15.95" customHeight="1" x14ac:dyDescent="0.15">
      <c r="A15" s="656">
        <v>42644</v>
      </c>
      <c r="B15" s="657" t="str">
        <f t="shared" ca="1" si="0"/>
        <v>03</v>
      </c>
      <c r="C15" s="658" t="s">
        <v>66</v>
      </c>
      <c r="D15" s="659">
        <f ca="1">IF($A15="","",IFERROR(GETPIVOTDATA("合計 / 入金予定",【ピボット】国保連売上!$A$3,"年月",$A15,"事業所コード",$B15,"事業所",$C15,"事業区分",D$1,"請求区分","単月"),0)
+IFERROR(GETPIVOTDATA("合計 / 入金予定",【ピボット】国保連売上!$A$3,"年月",$A15,"事業所コード",$B15,"事業所",$C15,"事業区分",D$1,"請求区分","再請求"),0))</f>
        <v>2483969</v>
      </c>
      <c r="E15" s="659">
        <f ca="1">IF($A15="","",IFERROR(GETPIVOTDATA("合計 / 処遇改善加算金",【ピボット】国保連売上!$A$3,"年月",$A15,"事業所コード",$B15,"事業所",$C15,"事業区分",D$1,"請求区分","単月"),0))</f>
        <v>197103</v>
      </c>
      <c r="F15" s="659">
        <f ca="1">IF($A15="","",IFERROR(GETPIVOTDATA("合計 / 入金予定",【ピボット】国保連売上!$A$3,"年月",$A15,"事業所コード",$B15,"事業所",$C15,"事業区分",F$1,"請求区分","単月"),0)
+IFERROR(GETPIVOTDATA("合計 / 入金予定",【ピボット】国保連売上!$A$3,"年月",$A15,"事業所コード",$B15,"事業所",$C15,"事業区分",F$1,"請求区分","再請求"),0))</f>
        <v>1375881</v>
      </c>
      <c r="G15" s="659">
        <f ca="1">IF($A15="","",IFERROR(GETPIVOTDATA("合計 / 処遇改善加算金",【ピボット】国保連売上!$A$3,"年月",$A15,"事業所コード",$B15,"事業所",$C15,"事業区分",F$1,"請求区分","単月"),0))</f>
        <v>246750</v>
      </c>
      <c r="H15" s="659">
        <f ca="1">IF($A15="","",IFERROR(GETPIVOTDATA("合計 / 入金予定",【ピボット】国保連売上!$A$3,"年月",$A15,"事業所コード",$B15,"事業所",$C15,"事業区分",H$1,"請求区分","単月"),0)
+IFERROR(GETPIVOTDATA("合計 / 入金予定",【ピボット】国保連売上!$A$3,"年月",$A15,"事業所コード",$B15,"事業所",$C15,"事業区分",H$1,"請求区分","再請求"),0))</f>
        <v>0</v>
      </c>
      <c r="I15" s="659">
        <f ca="1">IF($A15="","",IFERROR(GETPIVOTDATA("合計 / 入金予定",【ピボット】国保連売上!$A$3,"年月",$A15,"事業所コード",$B15,"事業所",$C15,"事業区分",I$1,"請求区分","単月"),0)
+IFERROR(GETPIVOTDATA("合計 / 入金予定",【ピボット】国保連売上!$A$3,"年月",$A15,"事業所コード",$B15,"事業所",$C15,"事業区分",I$1,"請求区分","再請求"),0))</f>
        <v>0</v>
      </c>
      <c r="J15" s="659">
        <f ca="1">IF($A15="","",IFERROR(GETPIVOTDATA("合計 / 処遇改善加算金",【ピボット】国保連売上!$A$3,"年月",$A15,"事業所コード",$B15,"事業所",$C15,"事業区分",I$1,"請求区分","単月"),0))</f>
        <v>0</v>
      </c>
      <c r="K15" s="659">
        <f ca="1">IF($A15="","",IFERROR(GETPIVOTDATA("合計 / 入金予定",【ピボット】国保連売上!$A$3,"年月",$A15,"事業所コード",$B15,"事業所",$C15,"事業区分",K$1,"請求区分","単月"),0)
+IFERROR(GETPIVOTDATA("合計 / 入金予定",【ピボット】国保連売上!$A$3,"年月",$A15,"事業所コード",$B15,"事業所",$C15,"事業区分",K$1,"請求区分","再請求"),0))</f>
        <v>0</v>
      </c>
      <c r="L15" s="659">
        <f ca="1">IF($A15="","",IFERROR(GETPIVOTDATA("合計 / 処遇改善加算金",【ピボット】国保連売上!$A$3,"年月",$A15,"事業所コード",$B15,"事業所",$C15,"事業区分",K$1,"請求区分","単月"),0))</f>
        <v>0</v>
      </c>
      <c r="M15" s="659">
        <f ca="1">IF($A15="","",IFERROR(GETPIVOTDATA("合計 / 入金予定",【ピボット】国保連売上!$A$3,"年月",$A15,"事業所コード",$B15,"事業所",$C15,"事業区分",M$1,"請求区分","単月"),0)
+IFERROR(GETPIVOTDATA("合計 / 入金予定",【ピボット】国保連売上!$A$3,"年月",$A15,"事業所コード",$B15,"事業所",$C15,"事業区分",M$1,"請求区分","再請求"),0))</f>
        <v>0</v>
      </c>
      <c r="N15" s="660">
        <v>37414</v>
      </c>
      <c r="O15" s="660">
        <v>136800</v>
      </c>
      <c r="P15" s="660">
        <v>0</v>
      </c>
      <c r="Q15" s="660">
        <v>1941</v>
      </c>
      <c r="R15" s="660">
        <v>0</v>
      </c>
      <c r="S15" s="660">
        <v>0</v>
      </c>
      <c r="T15" s="660">
        <v>0</v>
      </c>
      <c r="U15" s="660">
        <v>0</v>
      </c>
      <c r="V15" s="660">
        <v>0</v>
      </c>
      <c r="W15" s="660">
        <v>0</v>
      </c>
      <c r="X15" s="660">
        <v>0</v>
      </c>
      <c r="Y15" s="659">
        <f t="shared" ca="1" si="2"/>
        <v>4036005</v>
      </c>
      <c r="Z15" s="659">
        <f t="shared" ca="1" si="1"/>
        <v>176155</v>
      </c>
    </row>
    <row r="16" spans="1:26" ht="15.95" customHeight="1" x14ac:dyDescent="0.15">
      <c r="A16" s="656">
        <v>42644</v>
      </c>
      <c r="B16" s="657" t="str">
        <f t="shared" ca="1" si="0"/>
        <v>04</v>
      </c>
      <c r="C16" s="658" t="s">
        <v>358</v>
      </c>
      <c r="D16" s="659">
        <f ca="1">IF($A16="","",IFERROR(GETPIVOTDATA("合計 / 入金予定",【ピボット】国保連売上!$A$3,"年月",$A16,"事業所コード",$B16,"事業所",$C16,"事業区分",D$1,"請求区分","単月"),0)
+IFERROR(GETPIVOTDATA("合計 / 入金予定",【ピボット】国保連売上!$A$3,"年月",$A16,"事業所コード",$B16,"事業所",$C16,"事業区分",D$1,"請求区分","再請求"),0))</f>
        <v>0</v>
      </c>
      <c r="E16" s="659">
        <f ca="1">IF($A16="","",IFERROR(GETPIVOTDATA("合計 / 処遇改善加算金",【ピボット】国保連売上!$A$3,"年月",$A16,"事業所コード",$B16,"事業所",$C16,"事業区分",D$1,"請求区分","単月"),0))</f>
        <v>0</v>
      </c>
      <c r="F16" s="659">
        <f ca="1">IF($A16="","",IFERROR(GETPIVOTDATA("合計 / 入金予定",【ピボット】国保連売上!$A$3,"年月",$A16,"事業所コード",$B16,"事業所",$C16,"事業区分",F$1,"請求区分","単月"),0)
+IFERROR(GETPIVOTDATA("合計 / 入金予定",【ピボット】国保連売上!$A$3,"年月",$A16,"事業所コード",$B16,"事業所",$C16,"事業区分",F$1,"請求区分","再請求"),0))</f>
        <v>0</v>
      </c>
      <c r="G16" s="659">
        <f ca="1">IF($A16="","",IFERROR(GETPIVOTDATA("合計 / 処遇改善加算金",【ピボット】国保連売上!$A$3,"年月",$A16,"事業所コード",$B16,"事業所",$C16,"事業区分",F$1,"請求区分","単月"),0))</f>
        <v>0</v>
      </c>
      <c r="H16" s="659">
        <f ca="1">IF($A16="","",IFERROR(GETPIVOTDATA("合計 / 入金予定",【ピボット】国保連売上!$A$3,"年月",$A16,"事業所コード",$B16,"事業所",$C16,"事業区分",H$1,"請求区分","単月"),0)
+IFERROR(GETPIVOTDATA("合計 / 入金予定",【ピボット】国保連売上!$A$3,"年月",$A16,"事業所コード",$B16,"事業所",$C16,"事業区分",H$1,"請求区分","再請求"),0))</f>
        <v>0</v>
      </c>
      <c r="I16" s="659">
        <f ca="1">IF($A16="","",IFERROR(GETPIVOTDATA("合計 / 入金予定",【ピボット】国保連売上!$A$3,"年月",$A16,"事業所コード",$B16,"事業所",$C16,"事業区分",I$1,"請求区分","単月"),0)
+IFERROR(GETPIVOTDATA("合計 / 入金予定",【ピボット】国保連売上!$A$3,"年月",$A16,"事業所コード",$B16,"事業所",$C16,"事業区分",I$1,"請求区分","再請求"),0))</f>
        <v>2341440</v>
      </c>
      <c r="J16" s="659">
        <f ca="1">IF($A16="","",IFERROR(GETPIVOTDATA("合計 / 処遇改善加算金",【ピボット】国保連売上!$A$3,"年月",$A16,"事業所コード",$B16,"事業所",$C16,"事業区分",I$1,"請求区分","単月"),0))</f>
        <v>90007</v>
      </c>
      <c r="K16" s="659">
        <f ca="1">IF($A16="","",IFERROR(GETPIVOTDATA("合計 / 入金予定",【ピボット】国保連売上!$A$3,"年月",$A16,"事業所コード",$B16,"事業所",$C16,"事業区分",K$1,"請求区分","単月"),0)
+IFERROR(GETPIVOTDATA("合計 / 入金予定",【ピボット】国保連売上!$A$3,"年月",$A16,"事業所コード",$B16,"事業所",$C16,"事業区分",K$1,"請求区分","再請求"),0))</f>
        <v>0</v>
      </c>
      <c r="L16" s="659">
        <f ca="1">IF($A16="","",IFERROR(GETPIVOTDATA("合計 / 処遇改善加算金",【ピボット】国保連売上!$A$3,"年月",$A16,"事業所コード",$B16,"事業所",$C16,"事業区分",K$1,"請求区分","単月"),0))</f>
        <v>0</v>
      </c>
      <c r="M16" s="659">
        <f ca="1">IF($A16="","",IFERROR(GETPIVOTDATA("合計 / 入金予定",【ピボット】国保連売上!$A$3,"年月",$A16,"事業所コード",$B16,"事業所",$C16,"事業区分",M$1,"請求区分","単月"),0)
+IFERROR(GETPIVOTDATA("合計 / 入金予定",【ピボット】国保連売上!$A$3,"年月",$A16,"事業所コード",$B16,"事業所",$C16,"事業区分",M$1,"請求区分","再請求"),0))</f>
        <v>0</v>
      </c>
      <c r="N16" s="660">
        <v>0</v>
      </c>
      <c r="O16" s="660">
        <v>0</v>
      </c>
      <c r="P16" s="660">
        <v>0</v>
      </c>
      <c r="Q16" s="660">
        <v>0</v>
      </c>
      <c r="R16" s="660">
        <v>0</v>
      </c>
      <c r="S16" s="660">
        <v>0</v>
      </c>
      <c r="T16" s="660">
        <v>127050</v>
      </c>
      <c r="U16" s="660">
        <v>0</v>
      </c>
      <c r="V16" s="660">
        <v>0</v>
      </c>
      <c r="W16" s="660">
        <v>0</v>
      </c>
      <c r="X16" s="660">
        <v>0</v>
      </c>
      <c r="Y16" s="659">
        <f t="shared" ca="1" si="2"/>
        <v>2468490</v>
      </c>
      <c r="Z16" s="659">
        <f t="shared" ca="1" si="1"/>
        <v>127050</v>
      </c>
    </row>
    <row r="17" spans="1:26" ht="15.95" customHeight="1" x14ac:dyDescent="0.15">
      <c r="A17" s="656">
        <v>42644</v>
      </c>
      <c r="B17" s="657" t="str">
        <f t="shared" ca="1" si="0"/>
        <v>07</v>
      </c>
      <c r="C17" s="658" t="s">
        <v>119</v>
      </c>
      <c r="D17" s="659">
        <f ca="1">IF($A17="","",IFERROR(GETPIVOTDATA("合計 / 入金予定",【ピボット】国保連売上!$A$3,"年月",$A17,"事業所コード",$B17,"事業所",$C17,"事業区分",D$1,"請求区分","単月"),0)
+IFERROR(GETPIVOTDATA("合計 / 入金予定",【ピボット】国保連売上!$A$3,"年月",$A17,"事業所コード",$B17,"事業所",$C17,"事業区分",D$1,"請求区分","再請求"),0))</f>
        <v>0</v>
      </c>
      <c r="E17" s="659">
        <f ca="1">IF($A17="","",IFERROR(GETPIVOTDATA("合計 / 処遇改善加算金",【ピボット】国保連売上!$A$3,"年月",$A17,"事業所コード",$B17,"事業所",$C17,"事業区分",D$1,"請求区分","単月"),0))</f>
        <v>0</v>
      </c>
      <c r="F17" s="659">
        <f ca="1">IF($A17="","",IFERROR(GETPIVOTDATA("合計 / 入金予定",【ピボット】国保連売上!$A$3,"年月",$A17,"事業所コード",$B17,"事業所",$C17,"事業区分",F$1,"請求区分","単月"),0)
+IFERROR(GETPIVOTDATA("合計 / 入金予定",【ピボット】国保連売上!$A$3,"年月",$A17,"事業所コード",$B17,"事業所",$C17,"事業区分",F$1,"請求区分","再請求"),0))</f>
        <v>0</v>
      </c>
      <c r="G17" s="659">
        <f ca="1">IF($A17="","",IFERROR(GETPIVOTDATA("合計 / 処遇改善加算金",【ピボット】国保連売上!$A$3,"年月",$A17,"事業所コード",$B17,"事業所",$C17,"事業区分",F$1,"請求区分","単月"),0))</f>
        <v>0</v>
      </c>
      <c r="H17" s="659">
        <f ca="1">IF($A17="","",IFERROR(GETPIVOTDATA("合計 / 入金予定",【ピボット】国保連売上!$A$3,"年月",$A17,"事業所コード",$B17,"事業所",$C17,"事業区分",H$1,"請求区分","単月"),0)
+IFERROR(GETPIVOTDATA("合計 / 入金予定",【ピボット】国保連売上!$A$3,"年月",$A17,"事業所コード",$B17,"事業所",$C17,"事業区分",H$1,"請求区分","再請求"),0))</f>
        <v>0</v>
      </c>
      <c r="I17" s="659">
        <f ca="1">IF($A17="","",IFERROR(GETPIVOTDATA("合計 / 入金予定",【ピボット】国保連売上!$A$3,"年月",$A17,"事業所コード",$B17,"事業所",$C17,"事業区分",I$1,"請求区分","単月"),0)
+IFERROR(GETPIVOTDATA("合計 / 入金予定",【ピボット】国保連売上!$A$3,"年月",$A17,"事業所コード",$B17,"事業所",$C17,"事業区分",I$1,"請求区分","再請求"),0))</f>
        <v>0</v>
      </c>
      <c r="J17" s="659">
        <f ca="1">IF($A17="","",IFERROR(GETPIVOTDATA("合計 / 処遇改善加算金",【ピボット】国保連売上!$A$3,"年月",$A17,"事業所コード",$B17,"事業所",$C17,"事業区分",I$1,"請求区分","単月"),0))</f>
        <v>0</v>
      </c>
      <c r="K17" s="659">
        <f ca="1">IF($A17="","",IFERROR(GETPIVOTDATA("合計 / 入金予定",【ピボット】国保連売上!$A$3,"年月",$A17,"事業所コード",$B17,"事業所",$C17,"事業区分",K$1,"請求区分","単月"),0)
+IFERROR(GETPIVOTDATA("合計 / 入金予定",【ピボット】国保連売上!$A$3,"年月",$A17,"事業所コード",$B17,"事業所",$C17,"事業区分",K$1,"請求区分","再請求"),0))</f>
        <v>0</v>
      </c>
      <c r="L17" s="659">
        <f ca="1">IF($A17="","",IFERROR(GETPIVOTDATA("合計 / 処遇改善加算金",【ピボット】国保連売上!$A$3,"年月",$A17,"事業所コード",$B17,"事業所",$C17,"事業区分",K$1,"請求区分","単月"),0))</f>
        <v>0</v>
      </c>
      <c r="M17" s="659">
        <f ca="1">IF($A17="","",IFERROR(GETPIVOTDATA("合計 / 入金予定",【ピボット】国保連売上!$A$3,"年月",$A17,"事業所コード",$B17,"事業所",$C17,"事業区分",M$1,"請求区分","単月"),0)
+IFERROR(GETPIVOTDATA("合計 / 入金予定",【ピボット】国保連売上!$A$3,"年月",$A17,"事業所コード",$B17,"事業所",$C17,"事業区分",M$1,"請求区分","再請求"),0))</f>
        <v>0</v>
      </c>
      <c r="N17" s="660">
        <v>0</v>
      </c>
      <c r="O17" s="660">
        <v>0</v>
      </c>
      <c r="P17" s="660">
        <v>0</v>
      </c>
      <c r="Q17" s="660">
        <v>0</v>
      </c>
      <c r="R17" s="660">
        <v>0</v>
      </c>
      <c r="S17" s="660">
        <v>78000</v>
      </c>
      <c r="T17" s="660">
        <v>0</v>
      </c>
      <c r="U17" s="660">
        <v>0</v>
      </c>
      <c r="V17" s="660">
        <v>0</v>
      </c>
      <c r="W17" s="660">
        <v>0</v>
      </c>
      <c r="X17" s="660">
        <v>0</v>
      </c>
      <c r="Y17" s="659">
        <f t="shared" ca="1" si="2"/>
        <v>78000</v>
      </c>
      <c r="Z17" s="659">
        <f t="shared" ca="1" si="1"/>
        <v>78000</v>
      </c>
    </row>
    <row r="18" spans="1:26" ht="15.95" customHeight="1" x14ac:dyDescent="0.15">
      <c r="A18" s="656">
        <v>42644</v>
      </c>
      <c r="B18" s="657" t="str">
        <f t="shared" ca="1" si="0"/>
        <v>08</v>
      </c>
      <c r="C18" s="658" t="s">
        <v>189</v>
      </c>
      <c r="D18" s="659">
        <f ca="1">IF($A18="","",IFERROR(GETPIVOTDATA("合計 / 入金予定",【ピボット】国保連売上!$A$3,"年月",$A18,"事業所コード",$B18,"事業所",$C18,"事業区分",D$1,"請求区分","単月"),0)
+IFERROR(GETPIVOTDATA("合計 / 入金予定",【ピボット】国保連売上!$A$3,"年月",$A18,"事業所コード",$B18,"事業所",$C18,"事業区分",D$1,"請求区分","再請求"),0))</f>
        <v>0</v>
      </c>
      <c r="E18" s="659">
        <f ca="1">IF($A18="","",IFERROR(GETPIVOTDATA("合計 / 処遇改善加算金",【ピボット】国保連売上!$A$3,"年月",$A18,"事業所コード",$B18,"事業所",$C18,"事業区分",D$1,"請求区分","単月"),0))</f>
        <v>0</v>
      </c>
      <c r="F18" s="659">
        <f ca="1">IF($A18="","",IFERROR(GETPIVOTDATA("合計 / 入金予定",【ピボット】国保連売上!$A$3,"年月",$A18,"事業所コード",$B18,"事業所",$C18,"事業区分",F$1,"請求区分","単月"),0)
+IFERROR(GETPIVOTDATA("合計 / 入金予定",【ピボット】国保連売上!$A$3,"年月",$A18,"事業所コード",$B18,"事業所",$C18,"事業区分",F$1,"請求区分","再請求"),0))</f>
        <v>0</v>
      </c>
      <c r="G18" s="659">
        <f ca="1">IF($A18="","",IFERROR(GETPIVOTDATA("合計 / 処遇改善加算金",【ピボット】国保連売上!$A$3,"年月",$A18,"事業所コード",$B18,"事業所",$C18,"事業区分",F$1,"請求区分","単月"),0))</f>
        <v>0</v>
      </c>
      <c r="H18" s="659">
        <f ca="1">IF($A18="","",IFERROR(GETPIVOTDATA("合計 / 入金予定",【ピボット】国保連売上!$A$3,"年月",$A18,"事業所コード",$B18,"事業所",$C18,"事業区分",H$1,"請求区分","単月"),0)
+IFERROR(GETPIVOTDATA("合計 / 入金予定",【ピボット】国保連売上!$A$3,"年月",$A18,"事業所コード",$B18,"事業所",$C18,"事業区分",H$1,"請求区分","再請求"),0))</f>
        <v>0</v>
      </c>
      <c r="I18" s="659">
        <f ca="1">IF($A18="","",IFERROR(GETPIVOTDATA("合計 / 入金予定",【ピボット】国保連売上!$A$3,"年月",$A18,"事業所コード",$B18,"事業所",$C18,"事業区分",I$1,"請求区分","単月"),0)
+IFERROR(GETPIVOTDATA("合計 / 入金予定",【ピボット】国保連売上!$A$3,"年月",$A18,"事業所コード",$B18,"事業所",$C18,"事業区分",I$1,"請求区分","再請求"),0))</f>
        <v>0</v>
      </c>
      <c r="J18" s="659">
        <f ca="1">IF($A18="","",IFERROR(GETPIVOTDATA("合計 / 処遇改善加算金",【ピボット】国保連売上!$A$3,"年月",$A18,"事業所コード",$B18,"事業所",$C18,"事業区分",I$1,"請求区分","単月"),0))</f>
        <v>0</v>
      </c>
      <c r="K18" s="659">
        <f ca="1">IF($A18="","",IFERROR(GETPIVOTDATA("合計 / 入金予定",【ピボット】国保連売上!$A$3,"年月",$A18,"事業所コード",$B18,"事業所",$C18,"事業区分",K$1,"請求区分","単月"),0)
+IFERROR(GETPIVOTDATA("合計 / 入金予定",【ピボット】国保連売上!$A$3,"年月",$A18,"事業所コード",$B18,"事業所",$C18,"事業区分",K$1,"請求区分","再請求"),0))</f>
        <v>0</v>
      </c>
      <c r="L18" s="659">
        <f ca="1">IF($A18="","",IFERROR(GETPIVOTDATA("合計 / 処遇改善加算金",【ピボット】国保連売上!$A$3,"年月",$A18,"事業所コード",$B18,"事業所",$C18,"事業区分",K$1,"請求区分","単月"),0))</f>
        <v>0</v>
      </c>
      <c r="M18" s="659">
        <f ca="1">IF($A18="","",IFERROR(GETPIVOTDATA("合計 / 入金予定",【ピボット】国保連売上!$A$3,"年月",$A18,"事業所コード",$B18,"事業所",$C18,"事業区分",M$1,"請求区分","単月"),0)
+IFERROR(GETPIVOTDATA("合計 / 入金予定",【ピボット】国保連売上!$A$3,"年月",$A18,"事業所コード",$B18,"事業所",$C18,"事業区分",M$1,"請求区分","再請求"),0))</f>
        <v>0</v>
      </c>
      <c r="N18" s="660">
        <v>0</v>
      </c>
      <c r="O18" s="660">
        <v>0</v>
      </c>
      <c r="P18" s="660">
        <v>0</v>
      </c>
      <c r="Q18" s="660">
        <v>0</v>
      </c>
      <c r="R18" s="660">
        <v>0</v>
      </c>
      <c r="S18" s="660">
        <v>98000</v>
      </c>
      <c r="T18" s="660">
        <v>0</v>
      </c>
      <c r="U18" s="660">
        <v>0</v>
      </c>
      <c r="V18" s="660">
        <v>0</v>
      </c>
      <c r="W18" s="660">
        <v>0</v>
      </c>
      <c r="X18" s="660">
        <v>0</v>
      </c>
      <c r="Y18" s="659">
        <f t="shared" ca="1" si="2"/>
        <v>98000</v>
      </c>
      <c r="Z18" s="659">
        <f t="shared" ca="1" si="1"/>
        <v>98000</v>
      </c>
    </row>
    <row r="19" spans="1:26" ht="15.95" customHeight="1" x14ac:dyDescent="0.15">
      <c r="A19" s="656">
        <v>42644</v>
      </c>
      <c r="B19" s="657" t="str">
        <f t="shared" ca="1" si="0"/>
        <v>05</v>
      </c>
      <c r="C19" s="658" t="s">
        <v>38</v>
      </c>
      <c r="D19" s="659">
        <f ca="1">IF($A19="","",IFERROR(GETPIVOTDATA("合計 / 入金予定",【ピボット】国保連売上!$A$3,"年月",$A19,"事業所コード",$B19,"事業所",$C19,"事業区分",D$1,"請求区分","単月"),0)
+IFERROR(GETPIVOTDATA("合計 / 入金予定",【ピボット】国保連売上!$A$3,"年月",$A19,"事業所コード",$B19,"事業所",$C19,"事業区分",D$1,"請求区分","再請求"),0))</f>
        <v>2794170</v>
      </c>
      <c r="E19" s="659">
        <f ca="1">IF($A19="","",IFERROR(GETPIVOTDATA("合計 / 処遇改善加算金",【ピボット】国保連売上!$A$3,"年月",$A19,"事業所コード",$B19,"事業所",$C19,"事業区分",D$1,"請求区分","単月"),0))</f>
        <v>0</v>
      </c>
      <c r="F19" s="659">
        <f ca="1">IF($A19="","",IFERROR(GETPIVOTDATA("合計 / 入金予定",【ピボット】国保連売上!$A$3,"年月",$A19,"事業所コード",$B19,"事業所",$C19,"事業区分",F$1,"請求区分","単月"),0)
+IFERROR(GETPIVOTDATA("合計 / 入金予定",【ピボット】国保連売上!$A$3,"年月",$A19,"事業所コード",$B19,"事業所",$C19,"事業区分",F$1,"請求区分","再請求"),0))</f>
        <v>0</v>
      </c>
      <c r="G19" s="659">
        <f ca="1">IF($A19="","",IFERROR(GETPIVOTDATA("合計 / 処遇改善加算金",【ピボット】国保連売上!$A$3,"年月",$A19,"事業所コード",$B19,"事業所",$C19,"事業区分",F$1,"請求区分","単月"),0))</f>
        <v>0</v>
      </c>
      <c r="H19" s="659">
        <f ca="1">IF($A19="","",IFERROR(GETPIVOTDATA("合計 / 入金予定",【ピボット】国保連売上!$A$3,"年月",$A19,"事業所コード",$B19,"事業所",$C19,"事業区分",H$1,"請求区分","単月"),0)
+IFERROR(GETPIVOTDATA("合計 / 入金予定",【ピボット】国保連売上!$A$3,"年月",$A19,"事業所コード",$B19,"事業所",$C19,"事業区分",H$1,"請求区分","再請求"),0))</f>
        <v>0</v>
      </c>
      <c r="I19" s="659">
        <f ca="1">IF($A19="","",IFERROR(GETPIVOTDATA("合計 / 入金予定",【ピボット】国保連売上!$A$3,"年月",$A19,"事業所コード",$B19,"事業所",$C19,"事業区分",I$1,"請求区分","単月"),0)
+IFERROR(GETPIVOTDATA("合計 / 入金予定",【ピボット】国保連売上!$A$3,"年月",$A19,"事業所コード",$B19,"事業所",$C19,"事業区分",I$1,"請求区分","再請求"),0))</f>
        <v>0</v>
      </c>
      <c r="J19" s="659">
        <f ca="1">IF($A19="","",IFERROR(GETPIVOTDATA("合計 / 処遇改善加算金",【ピボット】国保連売上!$A$3,"年月",$A19,"事業所コード",$B19,"事業所",$C19,"事業区分",I$1,"請求区分","単月"),0))</f>
        <v>0</v>
      </c>
      <c r="K19" s="659">
        <f ca="1">IF($A19="","",IFERROR(GETPIVOTDATA("合計 / 入金予定",【ピボット】国保連売上!$A$3,"年月",$A19,"事業所コード",$B19,"事業所",$C19,"事業区分",K$1,"請求区分","単月"),0)
+IFERROR(GETPIVOTDATA("合計 / 入金予定",【ピボット】国保連売上!$A$3,"年月",$A19,"事業所コード",$B19,"事業所",$C19,"事業区分",K$1,"請求区分","再請求"),0))</f>
        <v>0</v>
      </c>
      <c r="L19" s="659">
        <f ca="1">IF($A19="","",IFERROR(GETPIVOTDATA("合計 / 処遇改善加算金",【ピボット】国保連売上!$A$3,"年月",$A19,"事業所コード",$B19,"事業所",$C19,"事業区分",K$1,"請求区分","単月"),0))</f>
        <v>0</v>
      </c>
      <c r="M19" s="659">
        <f ca="1">IF($A19="","",IFERROR(GETPIVOTDATA("合計 / 入金予定",【ピボット】国保連売上!$A$3,"年月",$A19,"事業所コード",$B19,"事業所",$C19,"事業区分",M$1,"請求区分","単月"),0)
+IFERROR(GETPIVOTDATA("合計 / 入金予定",【ピボット】国保連売上!$A$3,"年月",$A19,"事業所コード",$B19,"事業所",$C19,"事業区分",M$1,"請求区分","再請求"),0))</f>
        <v>0</v>
      </c>
      <c r="N19" s="660">
        <v>0</v>
      </c>
      <c r="O19" s="660">
        <v>0</v>
      </c>
      <c r="P19" s="660">
        <v>0</v>
      </c>
      <c r="Q19" s="660">
        <v>0</v>
      </c>
      <c r="R19" s="660">
        <v>0</v>
      </c>
      <c r="S19" s="660">
        <v>628568</v>
      </c>
      <c r="T19" s="660">
        <v>0</v>
      </c>
      <c r="U19" s="660">
        <v>0</v>
      </c>
      <c r="V19" s="660">
        <v>0</v>
      </c>
      <c r="W19" s="660">
        <v>0</v>
      </c>
      <c r="X19" s="660">
        <v>0</v>
      </c>
      <c r="Y19" s="659">
        <f t="shared" ca="1" si="2"/>
        <v>3422738</v>
      </c>
      <c r="Z19" s="659">
        <f t="shared" ca="1" si="1"/>
        <v>628568</v>
      </c>
    </row>
    <row r="20" spans="1:26" ht="15.95" customHeight="1" x14ac:dyDescent="0.15">
      <c r="A20" s="656">
        <v>42644</v>
      </c>
      <c r="B20" s="657" t="str">
        <f t="shared" ca="1" si="0"/>
        <v>06</v>
      </c>
      <c r="C20" s="658" t="s">
        <v>57</v>
      </c>
      <c r="D20" s="659">
        <f ca="1">IF($A20="","",IFERROR(GETPIVOTDATA("合計 / 入金予定",【ピボット】国保連売上!$A$3,"年月",$A20,"事業所コード",$B20,"事業所",$C20,"事業区分",D$1,"請求区分","単月"),0)
+IFERROR(GETPIVOTDATA("合計 / 入金予定",【ピボット】国保連売上!$A$3,"年月",$A20,"事業所コード",$B20,"事業所",$C20,"事業区分",D$1,"請求区分","再請求"),0))</f>
        <v>825621</v>
      </c>
      <c r="E20" s="659">
        <f ca="1">IF($A20="","",IFERROR(GETPIVOTDATA("合計 / 処遇改善加算金",【ピボット】国保連売上!$A$3,"年月",$A20,"事業所コード",$B20,"事業所",$C20,"事業区分",D$1,"請求区分","単月"),0))</f>
        <v>0</v>
      </c>
      <c r="F20" s="659">
        <f ca="1">IF($A20="","",IFERROR(GETPIVOTDATA("合計 / 入金予定",【ピボット】国保連売上!$A$3,"年月",$A20,"事業所コード",$B20,"事業所",$C20,"事業区分",F$1,"請求区分","単月"),0)
+IFERROR(GETPIVOTDATA("合計 / 入金予定",【ピボット】国保連売上!$A$3,"年月",$A20,"事業所コード",$B20,"事業所",$C20,"事業区分",F$1,"請求区分","再請求"),0))</f>
        <v>0</v>
      </c>
      <c r="G20" s="659">
        <f ca="1">IF($A20="","",IFERROR(GETPIVOTDATA("合計 / 処遇改善加算金",【ピボット】国保連売上!$A$3,"年月",$A20,"事業所コード",$B20,"事業所",$C20,"事業区分",F$1,"請求区分","単月"),0))</f>
        <v>0</v>
      </c>
      <c r="H20" s="659">
        <f ca="1">IF($A20="","",IFERROR(GETPIVOTDATA("合計 / 入金予定",【ピボット】国保連売上!$A$3,"年月",$A20,"事業所コード",$B20,"事業所",$C20,"事業区分",H$1,"請求区分","単月"),0)
+IFERROR(GETPIVOTDATA("合計 / 入金予定",【ピボット】国保連売上!$A$3,"年月",$A20,"事業所コード",$B20,"事業所",$C20,"事業区分",H$1,"請求区分","再請求"),0))</f>
        <v>0</v>
      </c>
      <c r="I20" s="659">
        <f ca="1">IF($A20="","",IFERROR(GETPIVOTDATA("合計 / 入金予定",【ピボット】国保連売上!$A$3,"年月",$A20,"事業所コード",$B20,"事業所",$C20,"事業区分",I$1,"請求区分","単月"),0)
+IFERROR(GETPIVOTDATA("合計 / 入金予定",【ピボット】国保連売上!$A$3,"年月",$A20,"事業所コード",$B20,"事業所",$C20,"事業区分",I$1,"請求区分","再請求"),0))</f>
        <v>0</v>
      </c>
      <c r="J20" s="659">
        <f ca="1">IF($A20="","",IFERROR(GETPIVOTDATA("合計 / 処遇改善加算金",【ピボット】国保連売上!$A$3,"年月",$A20,"事業所コード",$B20,"事業所",$C20,"事業区分",I$1,"請求区分","単月"),0))</f>
        <v>0</v>
      </c>
      <c r="K20" s="659">
        <f ca="1">IF($A20="","",IFERROR(GETPIVOTDATA("合計 / 入金予定",【ピボット】国保連売上!$A$3,"年月",$A20,"事業所コード",$B20,"事業所",$C20,"事業区分",K$1,"請求区分","単月"),0)
+IFERROR(GETPIVOTDATA("合計 / 入金予定",【ピボット】国保連売上!$A$3,"年月",$A20,"事業所コード",$B20,"事業所",$C20,"事業区分",K$1,"請求区分","再請求"),0))</f>
        <v>0</v>
      </c>
      <c r="L20" s="659">
        <f ca="1">IF($A20="","",IFERROR(GETPIVOTDATA("合計 / 処遇改善加算金",【ピボット】国保連売上!$A$3,"年月",$A20,"事業所コード",$B20,"事業所",$C20,"事業区分",K$1,"請求区分","単月"),0))</f>
        <v>0</v>
      </c>
      <c r="M20" s="659">
        <f ca="1">IF($A20="","",IFERROR(GETPIVOTDATA("合計 / 入金予定",【ピボット】国保連売上!$A$3,"年月",$A20,"事業所コード",$B20,"事業所",$C20,"事業区分",M$1,"請求区分","単月"),0)
+IFERROR(GETPIVOTDATA("合計 / 入金予定",【ピボット】国保連売上!$A$3,"年月",$A20,"事業所コード",$B20,"事業所",$C20,"事業区分",M$1,"請求区分","再請求"),0))</f>
        <v>0</v>
      </c>
      <c r="N20" s="660">
        <v>0</v>
      </c>
      <c r="O20" s="660">
        <v>0</v>
      </c>
      <c r="P20" s="660">
        <v>0</v>
      </c>
      <c r="Q20" s="660">
        <v>0</v>
      </c>
      <c r="R20" s="660">
        <v>0</v>
      </c>
      <c r="S20" s="660">
        <v>468116</v>
      </c>
      <c r="T20" s="660">
        <v>0</v>
      </c>
      <c r="U20" s="660">
        <v>0</v>
      </c>
      <c r="V20" s="660">
        <v>0</v>
      </c>
      <c r="W20" s="660">
        <v>0</v>
      </c>
      <c r="X20" s="660">
        <v>0</v>
      </c>
      <c r="Y20" s="659">
        <f t="shared" ca="1" si="2"/>
        <v>1293737</v>
      </c>
      <c r="Z20" s="659">
        <f t="shared" ca="1" si="1"/>
        <v>468116</v>
      </c>
    </row>
    <row r="21" spans="1:26" ht="15.95" customHeight="1" x14ac:dyDescent="0.15">
      <c r="A21" s="656">
        <v>42644</v>
      </c>
      <c r="B21" s="657" t="str">
        <f t="shared" ca="1" si="0"/>
        <v>10</v>
      </c>
      <c r="C21" s="658" t="s">
        <v>583</v>
      </c>
      <c r="D21" s="659">
        <f ca="1">IF($A21="","",IFERROR(GETPIVOTDATA("合計 / 入金予定",【ピボット】国保連売上!$A$3,"年月",$A21,"事業所コード",$B21,"事業所",$C21,"事業区分",D$1,"請求区分","単月"),0)
+IFERROR(GETPIVOTDATA("合計 / 入金予定",【ピボット】国保連売上!$A$3,"年月",$A21,"事業所コード",$B21,"事業所",$C21,"事業区分",D$1,"請求区分","再請求"),0))</f>
        <v>1071846</v>
      </c>
      <c r="E21" s="659">
        <f ca="1">IF($A21="","",IFERROR(GETPIVOTDATA("合計 / 処遇改善加算金",【ピボット】国保連売上!$A$3,"年月",$A21,"事業所コード",$B21,"事業所",$C21,"事業区分",D$1,"請求区分","単月"),0))</f>
        <v>0</v>
      </c>
      <c r="F21" s="659">
        <f ca="1">IF($A21="","",IFERROR(GETPIVOTDATA("合計 / 入金予定",【ピボット】国保連売上!$A$3,"年月",$A21,"事業所コード",$B21,"事業所",$C21,"事業区分",F$1,"請求区分","単月"),0)
+IFERROR(GETPIVOTDATA("合計 / 入金予定",【ピボット】国保連売上!$A$3,"年月",$A21,"事業所コード",$B21,"事業所",$C21,"事業区分",F$1,"請求区分","再請求"),0))</f>
        <v>8856</v>
      </c>
      <c r="G21" s="659">
        <f ca="1">IF($A21="","",IFERROR(GETPIVOTDATA("合計 / 処遇改善加算金",【ピボット】国保連売上!$A$3,"年月",$A21,"事業所コード",$B21,"事業所",$C21,"事業区分",F$1,"請求区分","単月"),0))</f>
        <v>0</v>
      </c>
      <c r="H21" s="659">
        <f ca="1">IF($A21="","",IFERROR(GETPIVOTDATA("合計 / 入金予定",【ピボット】国保連売上!$A$3,"年月",$A21,"事業所コード",$B21,"事業所",$C21,"事業区分",H$1,"請求区分","単月"),0)
+IFERROR(GETPIVOTDATA("合計 / 入金予定",【ピボット】国保連売上!$A$3,"年月",$A21,"事業所コード",$B21,"事業所",$C21,"事業区分",H$1,"請求区分","再請求"),0))</f>
        <v>0</v>
      </c>
      <c r="I21" s="659">
        <f ca="1">IF($A21="","",IFERROR(GETPIVOTDATA("合計 / 入金予定",【ピボット】国保連売上!$A$3,"年月",$A21,"事業所コード",$B21,"事業所",$C21,"事業区分",I$1,"請求区分","単月"),0)
+IFERROR(GETPIVOTDATA("合計 / 入金予定",【ピボット】国保連売上!$A$3,"年月",$A21,"事業所コード",$B21,"事業所",$C21,"事業区分",I$1,"請求区分","再請求"),0))</f>
        <v>0</v>
      </c>
      <c r="J21" s="659">
        <f ca="1">IF($A21="","",IFERROR(GETPIVOTDATA("合計 / 処遇改善加算金",【ピボット】国保連売上!$A$3,"年月",$A21,"事業所コード",$B21,"事業所",$C21,"事業区分",I$1,"請求区分","単月"),0))</f>
        <v>0</v>
      </c>
      <c r="K21" s="659">
        <f ca="1">IF($A21="","",IFERROR(GETPIVOTDATA("合計 / 入金予定",【ピボット】国保連売上!$A$3,"年月",$A21,"事業所コード",$B21,"事業所",$C21,"事業区分",K$1,"請求区分","単月"),0)
+IFERROR(GETPIVOTDATA("合計 / 入金予定",【ピボット】国保連売上!$A$3,"年月",$A21,"事業所コード",$B21,"事業所",$C21,"事業区分",K$1,"請求区分","再請求"),0))</f>
        <v>0</v>
      </c>
      <c r="L21" s="659">
        <f ca="1">IF($A21="","",IFERROR(GETPIVOTDATA("合計 / 処遇改善加算金",【ピボット】国保連売上!$A$3,"年月",$A21,"事業所コード",$B21,"事業所",$C21,"事業区分",K$1,"請求区分","単月"),0))</f>
        <v>0</v>
      </c>
      <c r="M21" s="659">
        <f ca="1">IF($A21="","",IFERROR(GETPIVOTDATA("合計 / 入金予定",【ピボット】国保連売上!$A$3,"年月",$A21,"事業所コード",$B21,"事業所",$C21,"事業区分",M$1,"請求区分","単月"),0)
+IFERROR(GETPIVOTDATA("合計 / 入金予定",【ピボット】国保連売上!$A$3,"年月",$A21,"事業所コード",$B21,"事業所",$C21,"事業区分",M$1,"請求区分","再請求"),0))</f>
        <v>0</v>
      </c>
      <c r="N21" s="660">
        <v>156800</v>
      </c>
      <c r="O21" s="660">
        <v>60840</v>
      </c>
      <c r="P21" s="660">
        <v>1469220</v>
      </c>
      <c r="Q21" s="660">
        <v>0</v>
      </c>
      <c r="R21" s="660">
        <v>0</v>
      </c>
      <c r="S21" s="660">
        <v>0</v>
      </c>
      <c r="T21" s="660">
        <v>0</v>
      </c>
      <c r="U21" s="660">
        <v>0</v>
      </c>
      <c r="V21" s="660">
        <v>0</v>
      </c>
      <c r="W21" s="660">
        <v>0</v>
      </c>
      <c r="X21" s="660">
        <v>0</v>
      </c>
      <c r="Y21" s="659">
        <f t="shared" ca="1" si="2"/>
        <v>2767562</v>
      </c>
      <c r="Z21" s="659">
        <f t="shared" ca="1" si="1"/>
        <v>1686860</v>
      </c>
    </row>
    <row r="22" spans="1:26" ht="15.95" customHeight="1" x14ac:dyDescent="0.15">
      <c r="A22" s="656">
        <v>42675</v>
      </c>
      <c r="B22" s="657" t="str">
        <f t="shared" ca="1" si="0"/>
        <v>01</v>
      </c>
      <c r="C22" s="658" t="s">
        <v>34</v>
      </c>
      <c r="D22" s="659">
        <f ca="1">IF($A22="","",IFERROR(GETPIVOTDATA("合計 / 入金予定",【ピボット】国保連売上!$A$3,"年月",$A22,"事業所コード",$B22,"事業所",$C22,"事業区分",D$1,"請求区分","単月"),0)
+IFERROR(GETPIVOTDATA("合計 / 入金予定",【ピボット】国保連売上!$A$3,"年月",$A22,"事業所コード",$B22,"事業所",$C22,"事業区分",D$1,"請求区分","再請求"),0))</f>
        <v>6763256</v>
      </c>
      <c r="E22" s="659">
        <f ca="1">IF($A22="","",IFERROR(GETPIVOTDATA("合計 / 処遇改善加算金",【ピボット】国保連売上!$A$3,"年月",$A22,"事業所コード",$B22,"事業所",$C22,"事業区分",D$1,"請求区分","単月"),0))</f>
        <v>879088</v>
      </c>
      <c r="F22" s="659">
        <f ca="1">IF($A22="","",IFERROR(GETPIVOTDATA("合計 / 入金予定",【ピボット】国保連売上!$A$3,"年月",$A22,"事業所コード",$B22,"事業所",$C22,"事業区分",F$1,"請求区分","単月"),0)
+IFERROR(GETPIVOTDATA("合計 / 入金予定",【ピボット】国保連売上!$A$3,"年月",$A22,"事業所コード",$B22,"事業所",$C22,"事業区分",F$1,"請求区分","再請求"),0))</f>
        <v>1590980</v>
      </c>
      <c r="G22" s="659">
        <f ca="1">IF($A22="","",IFERROR(GETPIVOTDATA("合計 / 処遇改善加算金",【ピボット】国保連売上!$A$3,"年月",$A22,"事業所コード",$B22,"事業所",$C22,"事業区分",F$1,"請求区分","単月"),0))</f>
        <v>259745</v>
      </c>
      <c r="H22" s="659">
        <f ca="1">IF($A22="","",IFERROR(GETPIVOTDATA("合計 / 入金予定",【ピボット】国保連売上!$A$3,"年月",$A22,"事業所コード",$B22,"事業所",$C22,"事業区分",H$1,"請求区分","単月"),0)
+IFERROR(GETPIVOTDATA("合計 / 入金予定",【ピボット】国保連売上!$A$3,"年月",$A22,"事業所コード",$B22,"事業所",$C22,"事業区分",H$1,"請求区分","再請求"),0))</f>
        <v>636206</v>
      </c>
      <c r="I22" s="659">
        <f ca="1">IF($A22="","",IFERROR(GETPIVOTDATA("合計 / 入金予定",【ピボット】国保連売上!$A$3,"年月",$A22,"事業所コード",$B22,"事業所",$C22,"事業区分",I$1,"請求区分","単月"),0)
+IFERROR(GETPIVOTDATA("合計 / 入金予定",【ピボット】国保連売上!$A$3,"年月",$A22,"事業所コード",$B22,"事業所",$C22,"事業区分",I$1,"請求区分","再請求"),0))</f>
        <v>0</v>
      </c>
      <c r="J22" s="659">
        <f ca="1">IF($A22="","",IFERROR(GETPIVOTDATA("合計 / 処遇改善加算金",【ピボット】国保連売上!$A$3,"年月",$A22,"事業所コード",$B22,"事業所",$C22,"事業区分",I$1,"請求区分","単月"),0))</f>
        <v>0</v>
      </c>
      <c r="K22" s="659">
        <f ca="1">IF($A22="","",IFERROR(GETPIVOTDATA("合計 / 入金予定",【ピボット】国保連売上!$A$3,"年月",$A22,"事業所コード",$B22,"事業所",$C22,"事業区分",K$1,"請求区分","単月"),0)
+IFERROR(GETPIVOTDATA("合計 / 入金予定",【ピボット】国保連売上!$A$3,"年月",$A22,"事業所コード",$B22,"事業所",$C22,"事業区分",K$1,"請求区分","再請求"),0))</f>
        <v>0</v>
      </c>
      <c r="L22" s="659">
        <f ca="1">IF($A22="","",IFERROR(GETPIVOTDATA("合計 / 処遇改善加算金",【ピボット】国保連売上!$A$3,"年月",$A22,"事業所コード",$B22,"事業所",$C22,"事業区分",K$1,"請求区分","単月"),0))</f>
        <v>0</v>
      </c>
      <c r="M22" s="659">
        <f ca="1">IF($A22="","",IFERROR(GETPIVOTDATA("合計 / 入金予定",【ピボット】国保連売上!$A$3,"年月",$A22,"事業所コード",$B22,"事業所",$C22,"事業区分",M$1,"請求区分","単月"),0)
+IFERROR(GETPIVOTDATA("合計 / 入金予定",【ピボット】国保連売上!$A$3,"年月",$A22,"事業所コード",$B22,"事業所",$C22,"事業区分",M$1,"請求区分","再請求"),0))</f>
        <v>0</v>
      </c>
      <c r="N22" s="660">
        <v>84639</v>
      </c>
      <c r="O22" s="660">
        <v>23960</v>
      </c>
      <c r="P22" s="660">
        <v>0</v>
      </c>
      <c r="Q22" s="660">
        <v>5092</v>
      </c>
      <c r="R22" s="660">
        <v>127720</v>
      </c>
      <c r="S22" s="660">
        <v>0</v>
      </c>
      <c r="T22" s="660">
        <v>0</v>
      </c>
      <c r="U22" s="660">
        <v>0</v>
      </c>
      <c r="V22" s="660">
        <v>0</v>
      </c>
      <c r="W22" s="660">
        <v>0</v>
      </c>
      <c r="X22" s="660">
        <v>0</v>
      </c>
      <c r="Y22" s="659">
        <f t="shared" ca="1" si="2"/>
        <v>9231853</v>
      </c>
      <c r="Z22" s="659">
        <f t="shared" ca="1" si="1"/>
        <v>241411</v>
      </c>
    </row>
    <row r="23" spans="1:26" ht="15.95" customHeight="1" x14ac:dyDescent="0.15">
      <c r="A23" s="656">
        <v>42675</v>
      </c>
      <c r="B23" s="657" t="str">
        <f t="shared" ca="1" si="0"/>
        <v>02</v>
      </c>
      <c r="C23" s="658" t="s">
        <v>37</v>
      </c>
      <c r="D23" s="659">
        <f ca="1">IF($A23="","",IFERROR(GETPIVOTDATA("合計 / 入金予定",【ピボット】国保連売上!$A$3,"年月",$A23,"事業所コード",$B23,"事業所",$C23,"事業区分",D$1,"請求区分","単月"),0)
+IFERROR(GETPIVOTDATA("合計 / 入金予定",【ピボット】国保連売上!$A$3,"年月",$A23,"事業所コード",$B23,"事業所",$C23,"事業区分",D$1,"請求区分","再請求"),0))</f>
        <v>3938959</v>
      </c>
      <c r="E23" s="659">
        <f ca="1">IF($A23="","",IFERROR(GETPIVOTDATA("合計 / 処遇改善加算金",【ピボット】国保連売上!$A$3,"年月",$A23,"事業所コード",$B23,"事業所",$C23,"事業区分",D$1,"請求区分","単月"),0))</f>
        <v>311756</v>
      </c>
      <c r="F23" s="659">
        <f ca="1">IF($A23="","",IFERROR(GETPIVOTDATA("合計 / 入金予定",【ピボット】国保連売上!$A$3,"年月",$A23,"事業所コード",$B23,"事業所",$C23,"事業区分",F$1,"請求区分","単月"),0)
+IFERROR(GETPIVOTDATA("合計 / 入金予定",【ピボット】国保連売上!$A$3,"年月",$A23,"事業所コード",$B23,"事業所",$C23,"事業区分",F$1,"請求区分","再請求"),0))</f>
        <v>404724</v>
      </c>
      <c r="G23" s="659">
        <f ca="1">IF($A23="","",IFERROR(GETPIVOTDATA("合計 / 処遇改善加算金",【ピボット】国保連売上!$A$3,"年月",$A23,"事業所コード",$B23,"事業所",$C23,"事業区分",F$1,"請求区分","単月"),0))</f>
        <v>73251</v>
      </c>
      <c r="H23" s="659">
        <f ca="1">IF($A23="","",IFERROR(GETPIVOTDATA("合計 / 入金予定",【ピボット】国保連売上!$A$3,"年月",$A23,"事業所コード",$B23,"事業所",$C23,"事業区分",H$1,"請求区分","単月"),0)
+IFERROR(GETPIVOTDATA("合計 / 入金予定",【ピボット】国保連売上!$A$3,"年月",$A23,"事業所コード",$B23,"事業所",$C23,"事業区分",H$1,"請求区分","再請求"),0))</f>
        <v>361404</v>
      </c>
      <c r="I23" s="659">
        <f ca="1">IF($A23="","",IFERROR(GETPIVOTDATA("合計 / 入金予定",【ピボット】国保連売上!$A$3,"年月",$A23,"事業所コード",$B23,"事業所",$C23,"事業区分",I$1,"請求区分","単月"),0)
+IFERROR(GETPIVOTDATA("合計 / 入金予定",【ピボット】国保連売上!$A$3,"年月",$A23,"事業所コード",$B23,"事業所",$C23,"事業区分",I$1,"請求区分","再請求"),0))</f>
        <v>0</v>
      </c>
      <c r="J23" s="659">
        <f ca="1">IF($A23="","",IFERROR(GETPIVOTDATA("合計 / 処遇改善加算金",【ピボット】国保連売上!$A$3,"年月",$A23,"事業所コード",$B23,"事業所",$C23,"事業区分",I$1,"請求区分","単月"),0))</f>
        <v>0</v>
      </c>
      <c r="K23" s="659">
        <f ca="1">IF($A23="","",IFERROR(GETPIVOTDATA("合計 / 入金予定",【ピボット】国保連売上!$A$3,"年月",$A23,"事業所コード",$B23,"事業所",$C23,"事業区分",K$1,"請求区分","単月"),0)
+IFERROR(GETPIVOTDATA("合計 / 入金予定",【ピボット】国保連売上!$A$3,"年月",$A23,"事業所コード",$B23,"事業所",$C23,"事業区分",K$1,"請求区分","再請求"),0))</f>
        <v>0</v>
      </c>
      <c r="L23" s="659">
        <f ca="1">IF($A23="","",IFERROR(GETPIVOTDATA("合計 / 処遇改善加算金",【ピボット】国保連売上!$A$3,"年月",$A23,"事業所コード",$B23,"事業所",$C23,"事業区分",K$1,"請求区分","単月"),0))</f>
        <v>0</v>
      </c>
      <c r="M23" s="659">
        <f ca="1">IF($A23="","",IFERROR(GETPIVOTDATA("合計 / 入金予定",【ピボット】国保連売上!$A$3,"年月",$A23,"事業所コード",$B23,"事業所",$C23,"事業区分",M$1,"請求区分","単月"),0)
+IFERROR(GETPIVOTDATA("合計 / 入金予定",【ピボット】国保連売上!$A$3,"年月",$A23,"事業所コード",$B23,"事業所",$C23,"事業区分",M$1,"請求区分","再請求"),0))</f>
        <v>0</v>
      </c>
      <c r="N23" s="660">
        <v>127829</v>
      </c>
      <c r="O23" s="660">
        <v>0</v>
      </c>
      <c r="P23" s="660">
        <v>0</v>
      </c>
      <c r="Q23" s="660">
        <v>2615</v>
      </c>
      <c r="R23" s="660">
        <v>97216</v>
      </c>
      <c r="S23" s="660">
        <v>0</v>
      </c>
      <c r="T23" s="660">
        <v>0</v>
      </c>
      <c r="U23" s="660">
        <v>0</v>
      </c>
      <c r="V23" s="660">
        <v>0</v>
      </c>
      <c r="W23" s="660">
        <v>0</v>
      </c>
      <c r="X23" s="660">
        <v>0</v>
      </c>
      <c r="Y23" s="659">
        <f t="shared" ca="1" si="2"/>
        <v>4932747</v>
      </c>
      <c r="Z23" s="659">
        <f t="shared" ca="1" si="1"/>
        <v>227660</v>
      </c>
    </row>
    <row r="24" spans="1:26" ht="15.95" customHeight="1" x14ac:dyDescent="0.15">
      <c r="A24" s="656">
        <v>42675</v>
      </c>
      <c r="B24" s="657" t="str">
        <f t="shared" ca="1" si="0"/>
        <v>03</v>
      </c>
      <c r="C24" s="658" t="s">
        <v>66</v>
      </c>
      <c r="D24" s="659">
        <f ca="1">IF($A24="","",IFERROR(GETPIVOTDATA("合計 / 入金予定",【ピボット】国保連売上!$A$3,"年月",$A24,"事業所コード",$B24,"事業所",$C24,"事業区分",D$1,"請求区分","単月"),0)
+IFERROR(GETPIVOTDATA("合計 / 入金予定",【ピボット】国保連売上!$A$3,"年月",$A24,"事業所コード",$B24,"事業所",$C24,"事業区分",D$1,"請求区分","再請求"),0))</f>
        <v>3077590</v>
      </c>
      <c r="E24" s="659">
        <f ca="1">IF($A24="","",IFERROR(GETPIVOTDATA("合計 / 処遇改善加算金",【ピボット】国保連売上!$A$3,"年月",$A24,"事業所コード",$B24,"事業所",$C24,"事業区分",D$1,"請求区分","単月"),0))</f>
        <v>243668</v>
      </c>
      <c r="F24" s="659">
        <f ca="1">IF($A24="","",IFERROR(GETPIVOTDATA("合計 / 入金予定",【ピボット】国保連売上!$A$3,"年月",$A24,"事業所コード",$B24,"事業所",$C24,"事業区分",F$1,"請求区分","単月"),0)
+IFERROR(GETPIVOTDATA("合計 / 入金予定",【ピボット】国保連売上!$A$3,"年月",$A24,"事業所コード",$B24,"事業所",$C24,"事業区分",F$1,"請求区分","再請求"),0))</f>
        <v>887298</v>
      </c>
      <c r="G24" s="659">
        <f ca="1">IF($A24="","",IFERROR(GETPIVOTDATA("合計 / 処遇改善加算金",【ピボット】国保連売上!$A$3,"年月",$A24,"事業所コード",$B24,"事業所",$C24,"事業区分",F$1,"請求区分","単月"),0))</f>
        <v>158398</v>
      </c>
      <c r="H24" s="659">
        <f ca="1">IF($A24="","",IFERROR(GETPIVOTDATA("合計 / 入金予定",【ピボット】国保連売上!$A$3,"年月",$A24,"事業所コード",$B24,"事業所",$C24,"事業区分",H$1,"請求区分","単月"),0)
+IFERROR(GETPIVOTDATA("合計 / 入金予定",【ピボット】国保連売上!$A$3,"年月",$A24,"事業所コード",$B24,"事業所",$C24,"事業区分",H$1,"請求区分","再請求"),0))</f>
        <v>0</v>
      </c>
      <c r="I24" s="659">
        <f ca="1">IF($A24="","",IFERROR(GETPIVOTDATA("合計 / 入金予定",【ピボット】国保連売上!$A$3,"年月",$A24,"事業所コード",$B24,"事業所",$C24,"事業区分",I$1,"請求区分","単月"),0)
+IFERROR(GETPIVOTDATA("合計 / 入金予定",【ピボット】国保連売上!$A$3,"年月",$A24,"事業所コード",$B24,"事業所",$C24,"事業区分",I$1,"請求区分","再請求"),0))</f>
        <v>0</v>
      </c>
      <c r="J24" s="659">
        <f ca="1">IF($A24="","",IFERROR(GETPIVOTDATA("合計 / 処遇改善加算金",【ピボット】国保連売上!$A$3,"年月",$A24,"事業所コード",$B24,"事業所",$C24,"事業区分",I$1,"請求区分","単月"),0))</f>
        <v>0</v>
      </c>
      <c r="K24" s="659">
        <f ca="1">IF($A24="","",IFERROR(GETPIVOTDATA("合計 / 入金予定",【ピボット】国保連売上!$A$3,"年月",$A24,"事業所コード",$B24,"事業所",$C24,"事業区分",K$1,"請求区分","単月"),0)
+IFERROR(GETPIVOTDATA("合計 / 入金予定",【ピボット】国保連売上!$A$3,"年月",$A24,"事業所コード",$B24,"事業所",$C24,"事業区分",K$1,"請求区分","再請求"),0))</f>
        <v>0</v>
      </c>
      <c r="L24" s="659">
        <f ca="1">IF($A24="","",IFERROR(GETPIVOTDATA("合計 / 処遇改善加算金",【ピボット】国保連売上!$A$3,"年月",$A24,"事業所コード",$B24,"事業所",$C24,"事業区分",K$1,"請求区分","単月"),0))</f>
        <v>0</v>
      </c>
      <c r="M24" s="659">
        <f ca="1">IF($A24="","",IFERROR(GETPIVOTDATA("合計 / 入金予定",【ピボット】国保連売上!$A$3,"年月",$A24,"事業所コード",$B24,"事業所",$C24,"事業区分",M$1,"請求区分","単月"),0)
+IFERROR(GETPIVOTDATA("合計 / 入金予定",【ピボット】国保連売上!$A$3,"年月",$A24,"事業所コード",$B24,"事業所",$C24,"事業区分",M$1,"請求区分","再請求"),0))</f>
        <v>0</v>
      </c>
      <c r="N24" s="660">
        <v>79600</v>
      </c>
      <c r="O24" s="660">
        <v>98380</v>
      </c>
      <c r="P24" s="660">
        <v>0</v>
      </c>
      <c r="Q24" s="660">
        <v>2697</v>
      </c>
      <c r="R24" s="660">
        <v>0</v>
      </c>
      <c r="S24" s="660">
        <v>0</v>
      </c>
      <c r="T24" s="660">
        <v>0</v>
      </c>
      <c r="U24" s="660">
        <v>0</v>
      </c>
      <c r="V24" s="660">
        <v>0</v>
      </c>
      <c r="W24" s="660">
        <v>0</v>
      </c>
      <c r="X24" s="660">
        <v>0</v>
      </c>
      <c r="Y24" s="659">
        <f t="shared" ca="1" si="2"/>
        <v>4145565</v>
      </c>
      <c r="Z24" s="659">
        <f t="shared" ca="1" si="1"/>
        <v>180677</v>
      </c>
    </row>
    <row r="25" spans="1:26" ht="15.95" customHeight="1" x14ac:dyDescent="0.15">
      <c r="A25" s="656">
        <v>42675</v>
      </c>
      <c r="B25" s="657" t="str">
        <f t="shared" ca="1" si="0"/>
        <v>04</v>
      </c>
      <c r="C25" s="658" t="s">
        <v>358</v>
      </c>
      <c r="D25" s="659">
        <f ca="1">IF($A25="","",IFERROR(GETPIVOTDATA("合計 / 入金予定",【ピボット】国保連売上!$A$3,"年月",$A25,"事業所コード",$B25,"事業所",$C25,"事業区分",D$1,"請求区分","単月"),0)
+IFERROR(GETPIVOTDATA("合計 / 入金予定",【ピボット】国保連売上!$A$3,"年月",$A25,"事業所コード",$B25,"事業所",$C25,"事業区分",D$1,"請求区分","再請求"),0))</f>
        <v>0</v>
      </c>
      <c r="E25" s="659">
        <f ca="1">IF($A25="","",IFERROR(GETPIVOTDATA("合計 / 処遇改善加算金",【ピボット】国保連売上!$A$3,"年月",$A25,"事業所コード",$B25,"事業所",$C25,"事業区分",D$1,"請求区分","単月"),0))</f>
        <v>0</v>
      </c>
      <c r="F25" s="659">
        <f ca="1">IF($A25="","",IFERROR(GETPIVOTDATA("合計 / 入金予定",【ピボット】国保連売上!$A$3,"年月",$A25,"事業所コード",$B25,"事業所",$C25,"事業区分",F$1,"請求区分","単月"),0)
+IFERROR(GETPIVOTDATA("合計 / 入金予定",【ピボット】国保連売上!$A$3,"年月",$A25,"事業所コード",$B25,"事業所",$C25,"事業区分",F$1,"請求区分","再請求"),0))</f>
        <v>0</v>
      </c>
      <c r="G25" s="659">
        <f ca="1">IF($A25="","",IFERROR(GETPIVOTDATA("合計 / 処遇改善加算金",【ピボット】国保連売上!$A$3,"年月",$A25,"事業所コード",$B25,"事業所",$C25,"事業区分",F$1,"請求区分","単月"),0))</f>
        <v>0</v>
      </c>
      <c r="H25" s="659">
        <f ca="1">IF($A25="","",IFERROR(GETPIVOTDATA("合計 / 入金予定",【ピボット】国保連売上!$A$3,"年月",$A25,"事業所コード",$B25,"事業所",$C25,"事業区分",H$1,"請求区分","単月"),0)
+IFERROR(GETPIVOTDATA("合計 / 入金予定",【ピボット】国保連売上!$A$3,"年月",$A25,"事業所コード",$B25,"事業所",$C25,"事業区分",H$1,"請求区分","再請求"),0))</f>
        <v>0</v>
      </c>
      <c r="I25" s="659">
        <f ca="1">IF($A25="","",IFERROR(GETPIVOTDATA("合計 / 入金予定",【ピボット】国保連売上!$A$3,"年月",$A25,"事業所コード",$B25,"事業所",$C25,"事業区分",I$1,"請求区分","単月"),0)
+IFERROR(GETPIVOTDATA("合計 / 入金予定",【ピボット】国保連売上!$A$3,"年月",$A25,"事業所コード",$B25,"事業所",$C25,"事業区分",I$1,"請求区分","再請求"),0))</f>
        <v>2491624</v>
      </c>
      <c r="J25" s="659">
        <f ca="1">IF($A25="","",IFERROR(GETPIVOTDATA("合計 / 処遇改善加算金",【ピボット】国保連売上!$A$3,"年月",$A25,"事業所コード",$B25,"事業所",$C25,"事業区分",I$1,"請求区分","単月"),0))</f>
        <v>95807</v>
      </c>
      <c r="K25" s="659">
        <f ca="1">IF($A25="","",IFERROR(GETPIVOTDATA("合計 / 入金予定",【ピボット】国保連売上!$A$3,"年月",$A25,"事業所コード",$B25,"事業所",$C25,"事業区分",K$1,"請求区分","単月"),0)
+IFERROR(GETPIVOTDATA("合計 / 入金予定",【ピボット】国保連売上!$A$3,"年月",$A25,"事業所コード",$B25,"事業所",$C25,"事業区分",K$1,"請求区分","再請求"),0))</f>
        <v>0</v>
      </c>
      <c r="L25" s="659">
        <f ca="1">IF($A25="","",IFERROR(GETPIVOTDATA("合計 / 処遇改善加算金",【ピボット】国保連売上!$A$3,"年月",$A25,"事業所コード",$B25,"事業所",$C25,"事業区分",K$1,"請求区分","単月"),0))</f>
        <v>0</v>
      </c>
      <c r="M25" s="659">
        <f ca="1">IF($A25="","",IFERROR(GETPIVOTDATA("合計 / 入金予定",【ピボット】国保連売上!$A$3,"年月",$A25,"事業所コード",$B25,"事業所",$C25,"事業区分",M$1,"請求区分","単月"),0)
+IFERROR(GETPIVOTDATA("合計 / 入金予定",【ピボット】国保連売上!$A$3,"年月",$A25,"事業所コード",$B25,"事業所",$C25,"事業区分",M$1,"請求区分","再請求"),0))</f>
        <v>0</v>
      </c>
      <c r="N25" s="660">
        <v>0</v>
      </c>
      <c r="O25" s="660">
        <v>0</v>
      </c>
      <c r="P25" s="660">
        <v>0</v>
      </c>
      <c r="Q25" s="660">
        <v>0</v>
      </c>
      <c r="R25" s="660">
        <v>0</v>
      </c>
      <c r="S25" s="660">
        <v>0</v>
      </c>
      <c r="T25" s="660">
        <v>139700</v>
      </c>
      <c r="U25" s="660">
        <v>0</v>
      </c>
      <c r="V25" s="660">
        <v>0</v>
      </c>
      <c r="W25" s="660">
        <v>0</v>
      </c>
      <c r="X25" s="660">
        <v>0</v>
      </c>
      <c r="Y25" s="659">
        <f t="shared" ca="1" si="2"/>
        <v>2631324</v>
      </c>
      <c r="Z25" s="659">
        <f t="shared" ca="1" si="1"/>
        <v>139700</v>
      </c>
    </row>
    <row r="26" spans="1:26" ht="15.95" customHeight="1" x14ac:dyDescent="0.15">
      <c r="A26" s="656">
        <v>42675</v>
      </c>
      <c r="B26" s="657" t="str">
        <f t="shared" ca="1" si="0"/>
        <v>07</v>
      </c>
      <c r="C26" s="658" t="s">
        <v>119</v>
      </c>
      <c r="D26" s="659">
        <f ca="1">IF($A26="","",IFERROR(GETPIVOTDATA("合計 / 入金予定",【ピボット】国保連売上!$A$3,"年月",$A26,"事業所コード",$B26,"事業所",$C26,"事業区分",D$1,"請求区分","単月"),0)
+IFERROR(GETPIVOTDATA("合計 / 入金予定",【ピボット】国保連売上!$A$3,"年月",$A26,"事業所コード",$B26,"事業所",$C26,"事業区分",D$1,"請求区分","再請求"),0))</f>
        <v>0</v>
      </c>
      <c r="E26" s="659">
        <f ca="1">IF($A26="","",IFERROR(GETPIVOTDATA("合計 / 処遇改善加算金",【ピボット】国保連売上!$A$3,"年月",$A26,"事業所コード",$B26,"事業所",$C26,"事業区分",D$1,"請求区分","単月"),0))</f>
        <v>0</v>
      </c>
      <c r="F26" s="659">
        <f ca="1">IF($A26="","",IFERROR(GETPIVOTDATA("合計 / 入金予定",【ピボット】国保連売上!$A$3,"年月",$A26,"事業所コード",$B26,"事業所",$C26,"事業区分",F$1,"請求区分","単月"),0)
+IFERROR(GETPIVOTDATA("合計 / 入金予定",【ピボット】国保連売上!$A$3,"年月",$A26,"事業所コード",$B26,"事業所",$C26,"事業区分",F$1,"請求区分","再請求"),0))</f>
        <v>0</v>
      </c>
      <c r="G26" s="659">
        <f ca="1">IF($A26="","",IFERROR(GETPIVOTDATA("合計 / 処遇改善加算金",【ピボット】国保連売上!$A$3,"年月",$A26,"事業所コード",$B26,"事業所",$C26,"事業区分",F$1,"請求区分","単月"),0))</f>
        <v>0</v>
      </c>
      <c r="H26" s="659">
        <f ca="1">IF($A26="","",IFERROR(GETPIVOTDATA("合計 / 入金予定",【ピボット】国保連売上!$A$3,"年月",$A26,"事業所コード",$B26,"事業所",$C26,"事業区分",H$1,"請求区分","単月"),0)
+IFERROR(GETPIVOTDATA("合計 / 入金予定",【ピボット】国保連売上!$A$3,"年月",$A26,"事業所コード",$B26,"事業所",$C26,"事業区分",H$1,"請求区分","再請求"),0))</f>
        <v>0</v>
      </c>
      <c r="I26" s="659">
        <f ca="1">IF($A26="","",IFERROR(GETPIVOTDATA("合計 / 入金予定",【ピボット】国保連売上!$A$3,"年月",$A26,"事業所コード",$B26,"事業所",$C26,"事業区分",I$1,"請求区分","単月"),0)
+IFERROR(GETPIVOTDATA("合計 / 入金予定",【ピボット】国保連売上!$A$3,"年月",$A26,"事業所コード",$B26,"事業所",$C26,"事業区分",I$1,"請求区分","再請求"),0))</f>
        <v>0</v>
      </c>
      <c r="J26" s="659">
        <f ca="1">IF($A26="","",IFERROR(GETPIVOTDATA("合計 / 処遇改善加算金",【ピボット】国保連売上!$A$3,"年月",$A26,"事業所コード",$B26,"事業所",$C26,"事業区分",I$1,"請求区分","単月"),0))</f>
        <v>0</v>
      </c>
      <c r="K26" s="659">
        <f ca="1">IF($A26="","",IFERROR(GETPIVOTDATA("合計 / 入金予定",【ピボット】国保連売上!$A$3,"年月",$A26,"事業所コード",$B26,"事業所",$C26,"事業区分",K$1,"請求区分","単月"),0)
+IFERROR(GETPIVOTDATA("合計 / 入金予定",【ピボット】国保連売上!$A$3,"年月",$A26,"事業所コード",$B26,"事業所",$C26,"事業区分",K$1,"請求区分","再請求"),0))</f>
        <v>751389</v>
      </c>
      <c r="L26" s="659">
        <f ca="1">IF($A26="","",IFERROR(GETPIVOTDATA("合計 / 処遇改善加算金",【ピボット】国保連売上!$A$3,"年月",$A26,"事業所コード",$B26,"事業所",$C26,"事業区分",K$1,"請求区分","単月"),0))</f>
        <v>72707</v>
      </c>
      <c r="M26" s="659">
        <f ca="1">IF($A26="","",IFERROR(GETPIVOTDATA("合計 / 入金予定",【ピボット】国保連売上!$A$3,"年月",$A26,"事業所コード",$B26,"事業所",$C26,"事業区分",M$1,"請求区分","単月"),0)
+IFERROR(GETPIVOTDATA("合計 / 入金予定",【ピボット】国保連売上!$A$3,"年月",$A26,"事業所コード",$B26,"事業所",$C26,"事業区分",M$1,"請求区分","再請求"),0))</f>
        <v>0</v>
      </c>
      <c r="N26" s="660">
        <v>0</v>
      </c>
      <c r="O26" s="660">
        <v>0</v>
      </c>
      <c r="P26" s="660">
        <v>0</v>
      </c>
      <c r="Q26" s="660">
        <v>0</v>
      </c>
      <c r="R26" s="660">
        <v>0</v>
      </c>
      <c r="S26" s="660">
        <v>78000</v>
      </c>
      <c r="T26" s="660">
        <v>0</v>
      </c>
      <c r="U26" s="660">
        <v>0</v>
      </c>
      <c r="V26" s="660">
        <v>-30000</v>
      </c>
      <c r="W26" s="660">
        <v>0</v>
      </c>
      <c r="X26" s="660">
        <v>0</v>
      </c>
      <c r="Y26" s="659">
        <f t="shared" ca="1" si="2"/>
        <v>799389</v>
      </c>
      <c r="Z26" s="659">
        <f t="shared" ca="1" si="1"/>
        <v>48000</v>
      </c>
    </row>
    <row r="27" spans="1:26" ht="15.95" customHeight="1" x14ac:dyDescent="0.15">
      <c r="A27" s="656">
        <v>42675</v>
      </c>
      <c r="B27" s="657" t="str">
        <f t="shared" ca="1" si="0"/>
        <v>08</v>
      </c>
      <c r="C27" s="658" t="s">
        <v>189</v>
      </c>
      <c r="D27" s="659">
        <f ca="1">IF($A27="","",IFERROR(GETPIVOTDATA("合計 / 入金予定",【ピボット】国保連売上!$A$3,"年月",$A27,"事業所コード",$B27,"事業所",$C27,"事業区分",D$1,"請求区分","単月"),0)
+IFERROR(GETPIVOTDATA("合計 / 入金予定",【ピボット】国保連売上!$A$3,"年月",$A27,"事業所コード",$B27,"事業所",$C27,"事業区分",D$1,"請求区分","再請求"),0))</f>
        <v>0</v>
      </c>
      <c r="E27" s="659">
        <f ca="1">IF($A27="","",IFERROR(GETPIVOTDATA("合計 / 処遇改善加算金",【ピボット】国保連売上!$A$3,"年月",$A27,"事業所コード",$B27,"事業所",$C27,"事業区分",D$1,"請求区分","単月"),0))</f>
        <v>0</v>
      </c>
      <c r="F27" s="659">
        <f ca="1">IF($A27="","",IFERROR(GETPIVOTDATA("合計 / 入金予定",【ピボット】国保連売上!$A$3,"年月",$A27,"事業所コード",$B27,"事業所",$C27,"事業区分",F$1,"請求区分","単月"),0)
+IFERROR(GETPIVOTDATA("合計 / 入金予定",【ピボット】国保連売上!$A$3,"年月",$A27,"事業所コード",$B27,"事業所",$C27,"事業区分",F$1,"請求区分","再請求"),0))</f>
        <v>0</v>
      </c>
      <c r="G27" s="659">
        <f ca="1">IF($A27="","",IFERROR(GETPIVOTDATA("合計 / 処遇改善加算金",【ピボット】国保連売上!$A$3,"年月",$A27,"事業所コード",$B27,"事業所",$C27,"事業区分",F$1,"請求区分","単月"),0))</f>
        <v>0</v>
      </c>
      <c r="H27" s="659">
        <f ca="1">IF($A27="","",IFERROR(GETPIVOTDATA("合計 / 入金予定",【ピボット】国保連売上!$A$3,"年月",$A27,"事業所コード",$B27,"事業所",$C27,"事業区分",H$1,"請求区分","単月"),0)
+IFERROR(GETPIVOTDATA("合計 / 入金予定",【ピボット】国保連売上!$A$3,"年月",$A27,"事業所コード",$B27,"事業所",$C27,"事業区分",H$1,"請求区分","再請求"),0))</f>
        <v>0</v>
      </c>
      <c r="I27" s="659">
        <f ca="1">IF($A27="","",IFERROR(GETPIVOTDATA("合計 / 入金予定",【ピボット】国保連売上!$A$3,"年月",$A27,"事業所コード",$B27,"事業所",$C27,"事業区分",I$1,"請求区分","単月"),0)
+IFERROR(GETPIVOTDATA("合計 / 入金予定",【ピボット】国保連売上!$A$3,"年月",$A27,"事業所コード",$B27,"事業所",$C27,"事業区分",I$1,"請求区分","再請求"),0))</f>
        <v>0</v>
      </c>
      <c r="J27" s="659">
        <f ca="1">IF($A27="","",IFERROR(GETPIVOTDATA("合計 / 処遇改善加算金",【ピボット】国保連売上!$A$3,"年月",$A27,"事業所コード",$B27,"事業所",$C27,"事業区分",I$1,"請求区分","単月"),0))</f>
        <v>0</v>
      </c>
      <c r="K27" s="659">
        <f ca="1">IF($A27="","",IFERROR(GETPIVOTDATA("合計 / 入金予定",【ピボット】国保連売上!$A$3,"年月",$A27,"事業所コード",$B27,"事業所",$C27,"事業区分",K$1,"請求区分","単月"),0)
+IFERROR(GETPIVOTDATA("合計 / 入金予定",【ピボット】国保連売上!$A$3,"年月",$A27,"事業所コード",$B27,"事業所",$C27,"事業区分",K$1,"請求区分","再請求"),0))</f>
        <v>728019</v>
      </c>
      <c r="L27" s="659">
        <f ca="1">IF($A27="","",IFERROR(GETPIVOTDATA("合計 / 処遇改善加算金",【ピボット】国保連売上!$A$3,"年月",$A27,"事業所コード",$B27,"事業所",$C27,"事業区分",K$1,"請求区分","単月"),0))</f>
        <v>0</v>
      </c>
      <c r="M27" s="659">
        <f ca="1">IF($A27="","",IFERROR(GETPIVOTDATA("合計 / 入金予定",【ピボット】国保連売上!$A$3,"年月",$A27,"事業所コード",$B27,"事業所",$C27,"事業区分",M$1,"請求区分","単月"),0)
+IFERROR(GETPIVOTDATA("合計 / 入金予定",【ピボット】国保連売上!$A$3,"年月",$A27,"事業所コード",$B27,"事業所",$C27,"事業区分",M$1,"請求区分","再請求"),0))</f>
        <v>0</v>
      </c>
      <c r="N27" s="660">
        <v>0</v>
      </c>
      <c r="O27" s="660">
        <v>0</v>
      </c>
      <c r="P27" s="660">
        <v>0</v>
      </c>
      <c r="Q27" s="660">
        <v>0</v>
      </c>
      <c r="R27" s="660">
        <v>0</v>
      </c>
      <c r="S27" s="660">
        <v>98000</v>
      </c>
      <c r="T27" s="660">
        <v>0</v>
      </c>
      <c r="U27" s="660">
        <v>0</v>
      </c>
      <c r="V27" s="660">
        <v>-10000</v>
      </c>
      <c r="W27" s="660">
        <v>0</v>
      </c>
      <c r="X27" s="660">
        <v>0</v>
      </c>
      <c r="Y27" s="659">
        <f t="shared" ca="1" si="2"/>
        <v>816019</v>
      </c>
      <c r="Z27" s="659">
        <f t="shared" ca="1" si="1"/>
        <v>88000</v>
      </c>
    </row>
    <row r="28" spans="1:26" ht="15.95" customHeight="1" x14ac:dyDescent="0.15">
      <c r="A28" s="656">
        <v>42675</v>
      </c>
      <c r="B28" s="657" t="str">
        <f t="shared" ca="1" si="0"/>
        <v>05</v>
      </c>
      <c r="C28" s="658" t="s">
        <v>38</v>
      </c>
      <c r="D28" s="659">
        <f ca="1">IF($A28="","",IFERROR(GETPIVOTDATA("合計 / 入金予定",【ピボット】国保連売上!$A$3,"年月",$A28,"事業所コード",$B28,"事業所",$C28,"事業区分",D$1,"請求区分","単月"),0)
+IFERROR(GETPIVOTDATA("合計 / 入金予定",【ピボット】国保連売上!$A$3,"年月",$A28,"事業所コード",$B28,"事業所",$C28,"事業区分",D$1,"請求区分","再請求"),0))</f>
        <v>2048148</v>
      </c>
      <c r="E28" s="659">
        <f ca="1">IF($A28="","",IFERROR(GETPIVOTDATA("合計 / 処遇改善加算金",【ピボット】国保連売上!$A$3,"年月",$A28,"事業所コード",$B28,"事業所",$C28,"事業区分",D$1,"請求区分","単月"),0))</f>
        <v>0</v>
      </c>
      <c r="F28" s="659">
        <f ca="1">IF($A28="","",IFERROR(GETPIVOTDATA("合計 / 入金予定",【ピボット】国保連売上!$A$3,"年月",$A28,"事業所コード",$B28,"事業所",$C28,"事業区分",F$1,"請求区分","単月"),0)
+IFERROR(GETPIVOTDATA("合計 / 入金予定",【ピボット】国保連売上!$A$3,"年月",$A28,"事業所コード",$B28,"事業所",$C28,"事業区分",F$1,"請求区分","再請求"),0))</f>
        <v>0</v>
      </c>
      <c r="G28" s="659">
        <f ca="1">IF($A28="","",IFERROR(GETPIVOTDATA("合計 / 処遇改善加算金",【ピボット】国保連売上!$A$3,"年月",$A28,"事業所コード",$B28,"事業所",$C28,"事業区分",F$1,"請求区分","単月"),0))</f>
        <v>0</v>
      </c>
      <c r="H28" s="659">
        <f ca="1">IF($A28="","",IFERROR(GETPIVOTDATA("合計 / 入金予定",【ピボット】国保連売上!$A$3,"年月",$A28,"事業所コード",$B28,"事業所",$C28,"事業区分",H$1,"請求区分","単月"),0)
+IFERROR(GETPIVOTDATA("合計 / 入金予定",【ピボット】国保連売上!$A$3,"年月",$A28,"事業所コード",$B28,"事業所",$C28,"事業区分",H$1,"請求区分","再請求"),0))</f>
        <v>0</v>
      </c>
      <c r="I28" s="659">
        <f ca="1">IF($A28="","",IFERROR(GETPIVOTDATA("合計 / 入金予定",【ピボット】国保連売上!$A$3,"年月",$A28,"事業所コード",$B28,"事業所",$C28,"事業区分",I$1,"請求区分","単月"),0)
+IFERROR(GETPIVOTDATA("合計 / 入金予定",【ピボット】国保連売上!$A$3,"年月",$A28,"事業所コード",$B28,"事業所",$C28,"事業区分",I$1,"請求区分","再請求"),0))</f>
        <v>0</v>
      </c>
      <c r="J28" s="659">
        <f ca="1">IF($A28="","",IFERROR(GETPIVOTDATA("合計 / 処遇改善加算金",【ピボット】国保連売上!$A$3,"年月",$A28,"事業所コード",$B28,"事業所",$C28,"事業区分",I$1,"請求区分","単月"),0))</f>
        <v>0</v>
      </c>
      <c r="K28" s="659">
        <f ca="1">IF($A28="","",IFERROR(GETPIVOTDATA("合計 / 入金予定",【ピボット】国保連売上!$A$3,"年月",$A28,"事業所コード",$B28,"事業所",$C28,"事業区分",K$1,"請求区分","単月"),0)
+IFERROR(GETPIVOTDATA("合計 / 入金予定",【ピボット】国保連売上!$A$3,"年月",$A28,"事業所コード",$B28,"事業所",$C28,"事業区分",K$1,"請求区分","再請求"),0))</f>
        <v>0</v>
      </c>
      <c r="L28" s="659">
        <f ca="1">IF($A28="","",IFERROR(GETPIVOTDATA("合計 / 処遇改善加算金",【ピボット】国保連売上!$A$3,"年月",$A28,"事業所コード",$B28,"事業所",$C28,"事業区分",K$1,"請求区分","単月"),0))</f>
        <v>0</v>
      </c>
      <c r="M28" s="659">
        <f ca="1">IF($A28="","",IFERROR(GETPIVOTDATA("合計 / 入金予定",【ピボット】国保連売上!$A$3,"年月",$A28,"事業所コード",$B28,"事業所",$C28,"事業区分",M$1,"請求区分","単月"),0)
+IFERROR(GETPIVOTDATA("合計 / 入金予定",【ピボット】国保連売上!$A$3,"年月",$A28,"事業所コード",$B28,"事業所",$C28,"事業区分",M$1,"請求区分","再請求"),0))</f>
        <v>0</v>
      </c>
      <c r="N28" s="660">
        <v>2000</v>
      </c>
      <c r="O28" s="660">
        <v>0</v>
      </c>
      <c r="P28" s="660">
        <v>0</v>
      </c>
      <c r="Q28" s="660">
        <v>0</v>
      </c>
      <c r="R28" s="660">
        <v>0</v>
      </c>
      <c r="S28" s="660">
        <v>619140</v>
      </c>
      <c r="T28" s="660">
        <v>0</v>
      </c>
      <c r="U28" s="660">
        <v>0</v>
      </c>
      <c r="V28" s="660">
        <v>0</v>
      </c>
      <c r="W28" s="660">
        <v>0</v>
      </c>
      <c r="X28" s="660">
        <v>0</v>
      </c>
      <c r="Y28" s="659">
        <f t="shared" ca="1" si="2"/>
        <v>2669288</v>
      </c>
      <c r="Z28" s="659">
        <f t="shared" ca="1" si="1"/>
        <v>621140</v>
      </c>
    </row>
    <row r="29" spans="1:26" ht="15.95" customHeight="1" x14ac:dyDescent="0.15">
      <c r="A29" s="656">
        <v>42675</v>
      </c>
      <c r="B29" s="657" t="str">
        <f t="shared" ca="1" si="0"/>
        <v>06</v>
      </c>
      <c r="C29" s="658" t="s">
        <v>57</v>
      </c>
      <c r="D29" s="659">
        <f ca="1">IF($A29="","",IFERROR(GETPIVOTDATA("合計 / 入金予定",【ピボット】国保連売上!$A$3,"年月",$A29,"事業所コード",$B29,"事業所",$C29,"事業区分",D$1,"請求区分","単月"),0)
+IFERROR(GETPIVOTDATA("合計 / 入金予定",【ピボット】国保連売上!$A$3,"年月",$A29,"事業所コード",$B29,"事業所",$C29,"事業区分",D$1,"請求区分","再請求"),0))</f>
        <v>963609</v>
      </c>
      <c r="E29" s="659">
        <f ca="1">IF($A29="","",IFERROR(GETPIVOTDATA("合計 / 処遇改善加算金",【ピボット】国保連売上!$A$3,"年月",$A29,"事業所コード",$B29,"事業所",$C29,"事業区分",D$1,"請求区分","単月"),0))</f>
        <v>0</v>
      </c>
      <c r="F29" s="659">
        <f ca="1">IF($A29="","",IFERROR(GETPIVOTDATA("合計 / 入金予定",【ピボット】国保連売上!$A$3,"年月",$A29,"事業所コード",$B29,"事業所",$C29,"事業区分",F$1,"請求区分","単月"),0)
+IFERROR(GETPIVOTDATA("合計 / 入金予定",【ピボット】国保連売上!$A$3,"年月",$A29,"事業所コード",$B29,"事業所",$C29,"事業区分",F$1,"請求区分","再請求"),0))</f>
        <v>0</v>
      </c>
      <c r="G29" s="659">
        <f ca="1">IF($A29="","",IFERROR(GETPIVOTDATA("合計 / 処遇改善加算金",【ピボット】国保連売上!$A$3,"年月",$A29,"事業所コード",$B29,"事業所",$C29,"事業区分",F$1,"請求区分","単月"),0))</f>
        <v>0</v>
      </c>
      <c r="H29" s="659">
        <f ca="1">IF($A29="","",IFERROR(GETPIVOTDATA("合計 / 入金予定",【ピボット】国保連売上!$A$3,"年月",$A29,"事業所コード",$B29,"事業所",$C29,"事業区分",H$1,"請求区分","単月"),0)
+IFERROR(GETPIVOTDATA("合計 / 入金予定",【ピボット】国保連売上!$A$3,"年月",$A29,"事業所コード",$B29,"事業所",$C29,"事業区分",H$1,"請求区分","再請求"),0))</f>
        <v>0</v>
      </c>
      <c r="I29" s="659">
        <f ca="1">IF($A29="","",IFERROR(GETPIVOTDATA("合計 / 入金予定",【ピボット】国保連売上!$A$3,"年月",$A29,"事業所コード",$B29,"事業所",$C29,"事業区分",I$1,"請求区分","単月"),0)
+IFERROR(GETPIVOTDATA("合計 / 入金予定",【ピボット】国保連売上!$A$3,"年月",$A29,"事業所コード",$B29,"事業所",$C29,"事業区分",I$1,"請求区分","再請求"),0))</f>
        <v>0</v>
      </c>
      <c r="J29" s="659">
        <f ca="1">IF($A29="","",IFERROR(GETPIVOTDATA("合計 / 処遇改善加算金",【ピボット】国保連売上!$A$3,"年月",$A29,"事業所コード",$B29,"事業所",$C29,"事業区分",I$1,"請求区分","単月"),0))</f>
        <v>0</v>
      </c>
      <c r="K29" s="659">
        <f ca="1">IF($A29="","",IFERROR(GETPIVOTDATA("合計 / 入金予定",【ピボット】国保連売上!$A$3,"年月",$A29,"事業所コード",$B29,"事業所",$C29,"事業区分",K$1,"請求区分","単月"),0)
+IFERROR(GETPIVOTDATA("合計 / 入金予定",【ピボット】国保連売上!$A$3,"年月",$A29,"事業所コード",$B29,"事業所",$C29,"事業区分",K$1,"請求区分","再請求"),0))</f>
        <v>0</v>
      </c>
      <c r="L29" s="659">
        <f ca="1">IF($A29="","",IFERROR(GETPIVOTDATA("合計 / 処遇改善加算金",【ピボット】国保連売上!$A$3,"年月",$A29,"事業所コード",$B29,"事業所",$C29,"事業区分",K$1,"請求区分","単月"),0))</f>
        <v>0</v>
      </c>
      <c r="M29" s="659">
        <f ca="1">IF($A29="","",IFERROR(GETPIVOTDATA("合計 / 入金予定",【ピボット】国保連売上!$A$3,"年月",$A29,"事業所コード",$B29,"事業所",$C29,"事業区分",M$1,"請求区分","単月"),0)
+IFERROR(GETPIVOTDATA("合計 / 入金予定",【ピボット】国保連売上!$A$3,"年月",$A29,"事業所コード",$B29,"事業所",$C29,"事業区分",M$1,"請求区分","再請求"),0))</f>
        <v>0</v>
      </c>
      <c r="N29" s="660">
        <v>10800</v>
      </c>
      <c r="O29" s="660">
        <v>0</v>
      </c>
      <c r="P29" s="660">
        <v>0</v>
      </c>
      <c r="Q29" s="660">
        <v>0</v>
      </c>
      <c r="R29" s="660">
        <v>0</v>
      </c>
      <c r="S29" s="660">
        <v>681868</v>
      </c>
      <c r="T29" s="660">
        <v>0</v>
      </c>
      <c r="U29" s="660">
        <v>0</v>
      </c>
      <c r="V29" s="660">
        <v>0</v>
      </c>
      <c r="W29" s="660">
        <v>0</v>
      </c>
      <c r="X29" s="660">
        <v>0</v>
      </c>
      <c r="Y29" s="659">
        <f t="shared" ca="1" si="2"/>
        <v>1656277</v>
      </c>
      <c r="Z29" s="659">
        <f t="shared" ca="1" si="1"/>
        <v>692668</v>
      </c>
    </row>
    <row r="30" spans="1:26" ht="15.95" customHeight="1" x14ac:dyDescent="0.15">
      <c r="A30" s="656">
        <v>42675</v>
      </c>
      <c r="B30" s="657" t="str">
        <f t="shared" ca="1" si="0"/>
        <v>10</v>
      </c>
      <c r="C30" s="658" t="s">
        <v>583</v>
      </c>
      <c r="D30" s="659">
        <f ca="1">IF($A30="","",IFERROR(GETPIVOTDATA("合計 / 入金予定",【ピボット】国保連売上!$A$3,"年月",$A30,"事業所コード",$B30,"事業所",$C30,"事業区分",D$1,"請求区分","単月"),0)
+IFERROR(GETPIVOTDATA("合計 / 入金予定",【ピボット】国保連売上!$A$3,"年月",$A30,"事業所コード",$B30,"事業所",$C30,"事業区分",D$1,"請求区分","再請求"),0))</f>
        <v>1311145</v>
      </c>
      <c r="E30" s="659">
        <f ca="1">IF($A30="","",IFERROR(GETPIVOTDATA("合計 / 処遇改善加算金",【ピボット】国保連売上!$A$3,"年月",$A30,"事業所コード",$B30,"事業所",$C30,"事業区分",D$1,"請求区分","単月"),0))</f>
        <v>0</v>
      </c>
      <c r="F30" s="659">
        <f ca="1">IF($A30="","",IFERROR(GETPIVOTDATA("合計 / 入金予定",【ピボット】国保連売上!$A$3,"年月",$A30,"事業所コード",$B30,"事業所",$C30,"事業区分",F$1,"請求区分","単月"),0)
+IFERROR(GETPIVOTDATA("合計 / 入金予定",【ピボット】国保連売上!$A$3,"年月",$A30,"事業所コード",$B30,"事業所",$C30,"事業区分",F$1,"請求区分","再請求"),0))</f>
        <v>2693</v>
      </c>
      <c r="G30" s="659">
        <f ca="1">IF($A30="","",IFERROR(GETPIVOTDATA("合計 / 処遇改善加算金",【ピボット】国保連売上!$A$3,"年月",$A30,"事業所コード",$B30,"事業所",$C30,"事業区分",F$1,"請求区分","単月"),0))</f>
        <v>0</v>
      </c>
      <c r="H30" s="659">
        <f ca="1">IF($A30="","",IFERROR(GETPIVOTDATA("合計 / 入金予定",【ピボット】国保連売上!$A$3,"年月",$A30,"事業所コード",$B30,"事業所",$C30,"事業区分",H$1,"請求区分","単月"),0)
+IFERROR(GETPIVOTDATA("合計 / 入金予定",【ピボット】国保連売上!$A$3,"年月",$A30,"事業所コード",$B30,"事業所",$C30,"事業区分",H$1,"請求区分","再請求"),0))</f>
        <v>0</v>
      </c>
      <c r="I30" s="659">
        <f ca="1">IF($A30="","",IFERROR(GETPIVOTDATA("合計 / 入金予定",【ピボット】国保連売上!$A$3,"年月",$A30,"事業所コード",$B30,"事業所",$C30,"事業区分",I$1,"請求区分","単月"),0)
+IFERROR(GETPIVOTDATA("合計 / 入金予定",【ピボット】国保連売上!$A$3,"年月",$A30,"事業所コード",$B30,"事業所",$C30,"事業区分",I$1,"請求区分","再請求"),0))</f>
        <v>0</v>
      </c>
      <c r="J30" s="659">
        <f ca="1">IF($A30="","",IFERROR(GETPIVOTDATA("合計 / 処遇改善加算金",【ピボット】国保連売上!$A$3,"年月",$A30,"事業所コード",$B30,"事業所",$C30,"事業区分",I$1,"請求区分","単月"),0))</f>
        <v>0</v>
      </c>
      <c r="K30" s="659">
        <f ca="1">IF($A30="","",IFERROR(GETPIVOTDATA("合計 / 入金予定",【ピボット】国保連売上!$A$3,"年月",$A30,"事業所コード",$B30,"事業所",$C30,"事業区分",K$1,"請求区分","単月"),0)
+IFERROR(GETPIVOTDATA("合計 / 入金予定",【ピボット】国保連売上!$A$3,"年月",$A30,"事業所コード",$B30,"事業所",$C30,"事業区分",K$1,"請求区分","再請求"),0))</f>
        <v>0</v>
      </c>
      <c r="L30" s="659">
        <f ca="1">IF($A30="","",IFERROR(GETPIVOTDATA("合計 / 処遇改善加算金",【ピボット】国保連売上!$A$3,"年月",$A30,"事業所コード",$B30,"事業所",$C30,"事業区分",K$1,"請求区分","単月"),0))</f>
        <v>0</v>
      </c>
      <c r="M30" s="659">
        <f ca="1">IF($A30="","",IFERROR(GETPIVOTDATA("合計 / 入金予定",【ピボット】国保連売上!$A$3,"年月",$A30,"事業所コード",$B30,"事業所",$C30,"事業区分",M$1,"請求区分","単月"),0)
+IFERROR(GETPIVOTDATA("合計 / 入金予定",【ピボット】国保連売上!$A$3,"年月",$A30,"事業所コード",$B30,"事業所",$C30,"事業区分",M$1,"請求区分","再請求"),0))</f>
        <v>0</v>
      </c>
      <c r="N30" s="660">
        <v>158100</v>
      </c>
      <c r="O30" s="660">
        <v>63533</v>
      </c>
      <c r="P30" s="660">
        <v>1382908</v>
      </c>
      <c r="Q30" s="660">
        <v>0</v>
      </c>
      <c r="R30" s="660">
        <v>0</v>
      </c>
      <c r="S30" s="660">
        <v>0</v>
      </c>
      <c r="T30" s="660">
        <v>0</v>
      </c>
      <c r="U30" s="660">
        <v>0</v>
      </c>
      <c r="V30" s="660">
        <v>0</v>
      </c>
      <c r="W30" s="660">
        <v>0</v>
      </c>
      <c r="X30" s="660">
        <v>0</v>
      </c>
      <c r="Y30" s="659">
        <f t="shared" ca="1" si="2"/>
        <v>2918379</v>
      </c>
      <c r="Z30" s="659">
        <f t="shared" ca="1" si="1"/>
        <v>1604541</v>
      </c>
    </row>
    <row r="31" spans="1:26" ht="15.95" customHeight="1" x14ac:dyDescent="0.15">
      <c r="A31" s="656">
        <v>42675</v>
      </c>
      <c r="B31" s="657" t="str">
        <f t="shared" ca="1" si="0"/>
        <v>00</v>
      </c>
      <c r="C31" s="658" t="s">
        <v>490</v>
      </c>
      <c r="D31" s="659">
        <f ca="1">IF($A31="","",IFERROR(GETPIVOTDATA("合計 / 入金予定",【ピボット】国保連売上!$A$3,"年月",$A31,"事業所コード",$B31,"事業所",$C31,"事業区分",D$1,"請求区分","単月"),0)
+IFERROR(GETPIVOTDATA("合計 / 入金予定",【ピボット】国保連売上!$A$3,"年月",$A31,"事業所コード",$B31,"事業所",$C31,"事業区分",D$1,"請求区分","再請求"),0))</f>
        <v>0</v>
      </c>
      <c r="E31" s="659">
        <f ca="1">IF($A31="","",IFERROR(GETPIVOTDATA("合計 / 処遇改善加算金",【ピボット】国保連売上!$A$3,"年月",$A31,"事業所コード",$B31,"事業所",$C31,"事業区分",D$1,"請求区分","単月"),0))</f>
        <v>0</v>
      </c>
      <c r="F31" s="659">
        <f ca="1">IF($A31="","",IFERROR(GETPIVOTDATA("合計 / 入金予定",【ピボット】国保連売上!$A$3,"年月",$A31,"事業所コード",$B31,"事業所",$C31,"事業区分",F$1,"請求区分","単月"),0)
+IFERROR(GETPIVOTDATA("合計 / 入金予定",【ピボット】国保連売上!$A$3,"年月",$A31,"事業所コード",$B31,"事業所",$C31,"事業区分",F$1,"請求区分","再請求"),0))</f>
        <v>0</v>
      </c>
      <c r="G31" s="659">
        <f ca="1">IF($A31="","",IFERROR(GETPIVOTDATA("合計 / 処遇改善加算金",【ピボット】国保連売上!$A$3,"年月",$A31,"事業所コード",$B31,"事業所",$C31,"事業区分",F$1,"請求区分","単月"),0))</f>
        <v>0</v>
      </c>
      <c r="H31" s="659">
        <f ca="1">IF($A31="","",IFERROR(GETPIVOTDATA("合計 / 入金予定",【ピボット】国保連売上!$A$3,"年月",$A31,"事業所コード",$B31,"事業所",$C31,"事業区分",H$1,"請求区分","単月"),0)
+IFERROR(GETPIVOTDATA("合計 / 入金予定",【ピボット】国保連売上!$A$3,"年月",$A31,"事業所コード",$B31,"事業所",$C31,"事業区分",H$1,"請求区分","再請求"),0))</f>
        <v>0</v>
      </c>
      <c r="I31" s="659">
        <f ca="1">IF($A31="","",IFERROR(GETPIVOTDATA("合計 / 入金予定",【ピボット】国保連売上!$A$3,"年月",$A31,"事業所コード",$B31,"事業所",$C31,"事業区分",I$1,"請求区分","単月"),0)
+IFERROR(GETPIVOTDATA("合計 / 入金予定",【ピボット】国保連売上!$A$3,"年月",$A31,"事業所コード",$B31,"事業所",$C31,"事業区分",I$1,"請求区分","再請求"),0))</f>
        <v>0</v>
      </c>
      <c r="J31" s="659">
        <f ca="1">IF($A31="","",IFERROR(GETPIVOTDATA("合計 / 処遇改善加算金",【ピボット】国保連売上!$A$3,"年月",$A31,"事業所コード",$B31,"事業所",$C31,"事業区分",I$1,"請求区分","単月"),0))</f>
        <v>0</v>
      </c>
      <c r="K31" s="659">
        <f ca="1">IF($A31="","",IFERROR(GETPIVOTDATA("合計 / 入金予定",【ピボット】国保連売上!$A$3,"年月",$A31,"事業所コード",$B31,"事業所",$C31,"事業区分",K$1,"請求区分","単月"),0)
+IFERROR(GETPIVOTDATA("合計 / 入金予定",【ピボット】国保連売上!$A$3,"年月",$A31,"事業所コード",$B31,"事業所",$C31,"事業区分",K$1,"請求区分","再請求"),0))</f>
        <v>0</v>
      </c>
      <c r="L31" s="659">
        <f ca="1">IF($A31="","",IFERROR(GETPIVOTDATA("合計 / 処遇改善加算金",【ピボット】国保連売上!$A$3,"年月",$A31,"事業所コード",$B31,"事業所",$C31,"事業区分",K$1,"請求区分","単月"),0))</f>
        <v>0</v>
      </c>
      <c r="M31" s="659">
        <f ca="1">IF($A31="","",IFERROR(GETPIVOTDATA("合計 / 入金予定",【ピボット】国保連売上!$A$3,"年月",$A31,"事業所コード",$B31,"事業所",$C31,"事業区分",M$1,"請求区分","単月"),0)
+IFERROR(GETPIVOTDATA("合計 / 入金予定",【ピボット】国保連売上!$A$3,"年月",$A31,"事業所コード",$B31,"事業所",$C31,"事業区分",M$1,"請求区分","再請求"),0))</f>
        <v>50067</v>
      </c>
      <c r="N31" s="660">
        <v>0</v>
      </c>
      <c r="O31" s="660">
        <v>0</v>
      </c>
      <c r="P31" s="660">
        <v>0</v>
      </c>
      <c r="Q31" s="660">
        <v>0</v>
      </c>
      <c r="R31" s="660">
        <v>0</v>
      </c>
      <c r="S31" s="660">
        <v>0</v>
      </c>
      <c r="T31" s="660">
        <v>0</v>
      </c>
      <c r="U31" s="660">
        <v>0</v>
      </c>
      <c r="V31" s="660">
        <v>0</v>
      </c>
      <c r="W31" s="660">
        <v>0</v>
      </c>
      <c r="X31" s="660">
        <v>0</v>
      </c>
      <c r="Y31" s="659">
        <f t="shared" ca="1" si="2"/>
        <v>50067</v>
      </c>
      <c r="Z31" s="659">
        <f t="shared" ca="1" si="1"/>
        <v>0</v>
      </c>
    </row>
    <row r="32" spans="1:26" ht="15.95" customHeight="1" x14ac:dyDescent="0.15">
      <c r="A32" s="656">
        <v>42705</v>
      </c>
      <c r="B32" s="657" t="str">
        <f t="shared" ca="1" si="0"/>
        <v>01</v>
      </c>
      <c r="C32" s="658" t="s">
        <v>34</v>
      </c>
      <c r="D32" s="659">
        <f ca="1">IF($A32="","",IFERROR(GETPIVOTDATA("合計 / 入金予定",【ピボット】国保連売上!$A$3,"年月",$A32,"事業所コード",$B32,"事業所",$C32,"事業区分",D$1,"請求区分","単月"),0)
+IFERROR(GETPIVOTDATA("合計 / 入金予定",【ピボット】国保連売上!$A$3,"年月",$A32,"事業所コード",$B32,"事業所",$C32,"事業区分",D$1,"請求区分","再請求"),0))</f>
        <v>6761251</v>
      </c>
      <c r="E32" s="659">
        <f ca="1">IF($A32="","",IFERROR(GETPIVOTDATA("合計 / 処遇改善加算金",【ピボット】国保連売上!$A$3,"年月",$A32,"事業所コード",$B32,"事業所",$C32,"事業区分",D$1,"請求区分","単月"),0))</f>
        <v>922355</v>
      </c>
      <c r="F32" s="659">
        <f ca="1">IF($A32="","",IFERROR(GETPIVOTDATA("合計 / 入金予定",【ピボット】国保連売上!$A$3,"年月",$A32,"事業所コード",$B32,"事業所",$C32,"事業区分",F$1,"請求区分","単月"),0)
+IFERROR(GETPIVOTDATA("合計 / 入金予定",【ピボット】国保連売上!$A$3,"年月",$A32,"事業所コード",$B32,"事業所",$C32,"事業区分",F$1,"請求区分","再請求"),0))</f>
        <v>1719751</v>
      </c>
      <c r="G32" s="659">
        <f ca="1">IF($A32="","",IFERROR(GETPIVOTDATA("合計 / 処遇改善加算金",【ピボット】国保連売上!$A$3,"年月",$A32,"事業所コード",$B32,"事業所",$C32,"事業区分",F$1,"請求区分","単月"),0))</f>
        <v>295462</v>
      </c>
      <c r="H32" s="659">
        <f ca="1">IF($A32="","",IFERROR(GETPIVOTDATA("合計 / 入金予定",【ピボット】国保連売上!$A$3,"年月",$A32,"事業所コード",$B32,"事業所",$C32,"事業区分",H$1,"請求区分","単月"),0)
+IFERROR(GETPIVOTDATA("合計 / 入金予定",【ピボット】国保連売上!$A$3,"年月",$A32,"事業所コード",$B32,"事業所",$C32,"事業区分",H$1,"請求区分","再請求"),0))</f>
        <v>660526</v>
      </c>
      <c r="I32" s="659">
        <f ca="1">IF($A32="","",IFERROR(GETPIVOTDATA("合計 / 入金予定",【ピボット】国保連売上!$A$3,"年月",$A32,"事業所コード",$B32,"事業所",$C32,"事業区分",I$1,"請求区分","単月"),0)
+IFERROR(GETPIVOTDATA("合計 / 入金予定",【ピボット】国保連売上!$A$3,"年月",$A32,"事業所コード",$B32,"事業所",$C32,"事業区分",I$1,"請求区分","再請求"),0))</f>
        <v>0</v>
      </c>
      <c r="J32" s="659">
        <f ca="1">IF($A32="","",IFERROR(GETPIVOTDATA("合計 / 処遇改善加算金",【ピボット】国保連売上!$A$3,"年月",$A32,"事業所コード",$B32,"事業所",$C32,"事業区分",I$1,"請求区分","単月"),0))</f>
        <v>0</v>
      </c>
      <c r="K32" s="659">
        <f ca="1">IF($A32="","",IFERROR(GETPIVOTDATA("合計 / 入金予定",【ピボット】国保連売上!$A$3,"年月",$A32,"事業所コード",$B32,"事業所",$C32,"事業区分",K$1,"請求区分","単月"),0)
+IFERROR(GETPIVOTDATA("合計 / 入金予定",【ピボット】国保連売上!$A$3,"年月",$A32,"事業所コード",$B32,"事業所",$C32,"事業区分",K$1,"請求区分","再請求"),0))</f>
        <v>0</v>
      </c>
      <c r="L32" s="659">
        <f ca="1">IF($A32="","",IFERROR(GETPIVOTDATA("合計 / 処遇改善加算金",【ピボット】国保連売上!$A$3,"年月",$A32,"事業所コード",$B32,"事業所",$C32,"事業区分",K$1,"請求区分","単月"),0))</f>
        <v>0</v>
      </c>
      <c r="M32" s="659">
        <f ca="1">IF($A32="","",IFERROR(GETPIVOTDATA("合計 / 入金予定",【ピボット】国保連売上!$A$3,"年月",$A32,"事業所コード",$B32,"事業所",$C32,"事業区分",M$1,"請求区分","単月"),0)
+IFERROR(GETPIVOTDATA("合計 / 入金予定",【ピボット】国保連売上!$A$3,"年月",$A32,"事業所コード",$B32,"事業所",$C32,"事業区分",M$1,"請求区分","再請求"),0))</f>
        <v>0</v>
      </c>
      <c r="N32" s="660">
        <v>117852</v>
      </c>
      <c r="O32" s="660">
        <v>34730</v>
      </c>
      <c r="P32" s="660">
        <v>0</v>
      </c>
      <c r="Q32" s="660">
        <v>4846</v>
      </c>
      <c r="R32" s="660">
        <v>130720</v>
      </c>
      <c r="S32" s="660">
        <v>0</v>
      </c>
      <c r="T32" s="660">
        <v>0</v>
      </c>
      <c r="U32" s="660">
        <v>0</v>
      </c>
      <c r="V32" s="660">
        <v>0</v>
      </c>
      <c r="W32" s="660">
        <v>0</v>
      </c>
      <c r="X32" s="660">
        <v>0</v>
      </c>
      <c r="Y32" s="659">
        <f t="shared" ca="1" si="2"/>
        <v>9429676</v>
      </c>
      <c r="Z32" s="659">
        <f t="shared" ca="1" si="1"/>
        <v>288148</v>
      </c>
    </row>
    <row r="33" spans="1:26" ht="15.95" customHeight="1" x14ac:dyDescent="0.15">
      <c r="A33" s="656">
        <v>42705</v>
      </c>
      <c r="B33" s="657" t="str">
        <f t="shared" ca="1" si="0"/>
        <v>02</v>
      </c>
      <c r="C33" s="658" t="s">
        <v>37</v>
      </c>
      <c r="D33" s="659">
        <f ca="1">IF($A33="","",IFERROR(GETPIVOTDATA("合計 / 入金予定",【ピボット】国保連売上!$A$3,"年月",$A33,"事業所コード",$B33,"事業所",$C33,"事業区分",D$1,"請求区分","単月"),0)
+IFERROR(GETPIVOTDATA("合計 / 入金予定",【ピボット】国保連売上!$A$3,"年月",$A33,"事業所コード",$B33,"事業所",$C33,"事業区分",D$1,"請求区分","再請求"),0))</f>
        <v>3988303</v>
      </c>
      <c r="E33" s="659">
        <f ca="1">IF($A33="","",IFERROR(GETPIVOTDATA("合計 / 処遇改善加算金",【ピボット】国保連売上!$A$3,"年月",$A33,"事業所コード",$B33,"事業所",$C33,"事業区分",D$1,"請求区分","単月"),0))</f>
        <v>315719</v>
      </c>
      <c r="F33" s="659">
        <f ca="1">IF($A33="","",IFERROR(GETPIVOTDATA("合計 / 入金予定",【ピボット】国保連売上!$A$3,"年月",$A33,"事業所コード",$B33,"事業所",$C33,"事業区分",F$1,"請求区分","単月"),0)
+IFERROR(GETPIVOTDATA("合計 / 入金予定",【ピボット】国保連売上!$A$3,"年月",$A33,"事業所コード",$B33,"事業所",$C33,"事業区分",F$1,"請求区分","再請求"),0))</f>
        <v>437647</v>
      </c>
      <c r="G33" s="659">
        <f ca="1">IF($A33="","",IFERROR(GETPIVOTDATA("合計 / 処遇改善加算金",【ピボット】国保連売上!$A$3,"年月",$A33,"事業所コード",$B33,"事業所",$C33,"事業区分",F$1,"請求区分","単月"),0))</f>
        <v>79197</v>
      </c>
      <c r="H33" s="659">
        <f ca="1">IF($A33="","",IFERROR(GETPIVOTDATA("合計 / 入金予定",【ピボット】国保連売上!$A$3,"年月",$A33,"事業所コード",$B33,"事業所",$C33,"事業区分",H$1,"請求区分","単月"),0)
+IFERROR(GETPIVOTDATA("合計 / 入金予定",【ピボット】国保連売上!$A$3,"年月",$A33,"事業所コード",$B33,"事業所",$C33,"事業区分",H$1,"請求区分","再請求"),0))</f>
        <v>370597</v>
      </c>
      <c r="I33" s="659">
        <f ca="1">IF($A33="","",IFERROR(GETPIVOTDATA("合計 / 入金予定",【ピボット】国保連売上!$A$3,"年月",$A33,"事業所コード",$B33,"事業所",$C33,"事業区分",I$1,"請求区分","単月"),0)
+IFERROR(GETPIVOTDATA("合計 / 入金予定",【ピボット】国保連売上!$A$3,"年月",$A33,"事業所コード",$B33,"事業所",$C33,"事業区分",I$1,"請求区分","再請求"),0))</f>
        <v>0</v>
      </c>
      <c r="J33" s="659">
        <f ca="1">IF($A33="","",IFERROR(GETPIVOTDATA("合計 / 処遇改善加算金",【ピボット】国保連売上!$A$3,"年月",$A33,"事業所コード",$B33,"事業所",$C33,"事業区分",I$1,"請求区分","単月"),0))</f>
        <v>0</v>
      </c>
      <c r="K33" s="659">
        <f ca="1">IF($A33="","",IFERROR(GETPIVOTDATA("合計 / 入金予定",【ピボット】国保連売上!$A$3,"年月",$A33,"事業所コード",$B33,"事業所",$C33,"事業区分",K$1,"請求区分","単月"),0)
+IFERROR(GETPIVOTDATA("合計 / 入金予定",【ピボット】国保連売上!$A$3,"年月",$A33,"事業所コード",$B33,"事業所",$C33,"事業区分",K$1,"請求区分","再請求"),0))</f>
        <v>0</v>
      </c>
      <c r="L33" s="659">
        <f ca="1">IF($A33="","",IFERROR(GETPIVOTDATA("合計 / 処遇改善加算金",【ピボット】国保連売上!$A$3,"年月",$A33,"事業所コード",$B33,"事業所",$C33,"事業区分",K$1,"請求区分","単月"),0))</f>
        <v>0</v>
      </c>
      <c r="M33" s="659">
        <f ca="1">IF($A33="","",IFERROR(GETPIVOTDATA("合計 / 入金予定",【ピボット】国保連売上!$A$3,"年月",$A33,"事業所コード",$B33,"事業所",$C33,"事業区分",M$1,"請求区分","単月"),0)
+IFERROR(GETPIVOTDATA("合計 / 入金予定",【ピボット】国保連売上!$A$3,"年月",$A33,"事業所コード",$B33,"事業所",$C33,"事業区分",M$1,"請求区分","再請求"),0))</f>
        <v>0</v>
      </c>
      <c r="N33" s="660">
        <v>146784</v>
      </c>
      <c r="O33" s="660">
        <v>0</v>
      </c>
      <c r="P33" s="660">
        <v>0</v>
      </c>
      <c r="Q33" s="660">
        <v>2182</v>
      </c>
      <c r="R33" s="660">
        <v>94050</v>
      </c>
      <c r="S33" s="660">
        <v>0</v>
      </c>
      <c r="T33" s="660">
        <v>0</v>
      </c>
      <c r="U33" s="660">
        <v>0</v>
      </c>
      <c r="V33" s="660">
        <v>0</v>
      </c>
      <c r="W33" s="660">
        <v>0</v>
      </c>
      <c r="X33" s="660">
        <v>0</v>
      </c>
      <c r="Y33" s="659">
        <f t="shared" ca="1" si="2"/>
        <v>5039563</v>
      </c>
      <c r="Z33" s="659">
        <f t="shared" ca="1" si="1"/>
        <v>243016</v>
      </c>
    </row>
    <row r="34" spans="1:26" ht="15.95" customHeight="1" x14ac:dyDescent="0.15">
      <c r="A34" s="656">
        <v>42705</v>
      </c>
      <c r="B34" s="657" t="str">
        <f t="shared" ca="1" si="0"/>
        <v>03</v>
      </c>
      <c r="C34" s="658" t="s">
        <v>66</v>
      </c>
      <c r="D34" s="659">
        <f ca="1">IF($A34="","",IFERROR(GETPIVOTDATA("合計 / 入金予定",【ピボット】国保連売上!$A$3,"年月",$A34,"事業所コード",$B34,"事業所",$C34,"事業区分",D$1,"請求区分","単月"),0)
+IFERROR(GETPIVOTDATA("合計 / 入金予定",【ピボット】国保連売上!$A$3,"年月",$A34,"事業所コード",$B34,"事業所",$C34,"事業区分",D$1,"請求区分","再請求"),0))</f>
        <v>3475608</v>
      </c>
      <c r="E34" s="659">
        <f ca="1">IF($A34="","",IFERROR(GETPIVOTDATA("合計 / 処遇改善加算金",【ピボット】国保連売上!$A$3,"年月",$A34,"事業所コード",$B34,"事業所",$C34,"事業区分",D$1,"請求区分","単月"),0))</f>
        <v>276371</v>
      </c>
      <c r="F34" s="659">
        <f ca="1">IF($A34="","",IFERROR(GETPIVOTDATA("合計 / 入金予定",【ピボット】国保連売上!$A$3,"年月",$A34,"事業所コード",$B34,"事業所",$C34,"事業区分",F$1,"請求区分","単月"),0)
+IFERROR(GETPIVOTDATA("合計 / 入金予定",【ピボット】国保連売上!$A$3,"年月",$A34,"事業所コード",$B34,"事業所",$C34,"事業区分",F$1,"請求区分","再請求"),0))</f>
        <v>1108907</v>
      </c>
      <c r="G34" s="659">
        <f ca="1">IF($A34="","",IFERROR(GETPIVOTDATA("合計 / 処遇改善加算金",【ピボット】国保連売上!$A$3,"年月",$A34,"事業所コード",$B34,"事業所",$C34,"事業区分",F$1,"請求区分","単月"),0))</f>
        <v>198688</v>
      </c>
      <c r="H34" s="659">
        <f ca="1">IF($A34="","",IFERROR(GETPIVOTDATA("合計 / 入金予定",【ピボット】国保連売上!$A$3,"年月",$A34,"事業所コード",$B34,"事業所",$C34,"事業区分",H$1,"請求区分","単月"),0)
+IFERROR(GETPIVOTDATA("合計 / 入金予定",【ピボット】国保連売上!$A$3,"年月",$A34,"事業所コード",$B34,"事業所",$C34,"事業区分",H$1,"請求区分","再請求"),0))</f>
        <v>0</v>
      </c>
      <c r="I34" s="659">
        <f ca="1">IF($A34="","",IFERROR(GETPIVOTDATA("合計 / 入金予定",【ピボット】国保連売上!$A$3,"年月",$A34,"事業所コード",$B34,"事業所",$C34,"事業区分",I$1,"請求区分","単月"),0)
+IFERROR(GETPIVOTDATA("合計 / 入金予定",【ピボット】国保連売上!$A$3,"年月",$A34,"事業所コード",$B34,"事業所",$C34,"事業区分",I$1,"請求区分","再請求"),0))</f>
        <v>0</v>
      </c>
      <c r="J34" s="659">
        <f ca="1">IF($A34="","",IFERROR(GETPIVOTDATA("合計 / 処遇改善加算金",【ピボット】国保連売上!$A$3,"年月",$A34,"事業所コード",$B34,"事業所",$C34,"事業区分",I$1,"請求区分","単月"),0))</f>
        <v>0</v>
      </c>
      <c r="K34" s="659">
        <f ca="1">IF($A34="","",IFERROR(GETPIVOTDATA("合計 / 入金予定",【ピボット】国保連売上!$A$3,"年月",$A34,"事業所コード",$B34,"事業所",$C34,"事業区分",K$1,"請求区分","単月"),0)
+IFERROR(GETPIVOTDATA("合計 / 入金予定",【ピボット】国保連売上!$A$3,"年月",$A34,"事業所コード",$B34,"事業所",$C34,"事業区分",K$1,"請求区分","再請求"),0))</f>
        <v>0</v>
      </c>
      <c r="L34" s="659">
        <f ca="1">IF($A34="","",IFERROR(GETPIVOTDATA("合計 / 処遇改善加算金",【ピボット】国保連売上!$A$3,"年月",$A34,"事業所コード",$B34,"事業所",$C34,"事業区分",K$1,"請求区分","単月"),0))</f>
        <v>0</v>
      </c>
      <c r="M34" s="659">
        <f ca="1">IF($A34="","",IFERROR(GETPIVOTDATA("合計 / 入金予定",【ピボット】国保連売上!$A$3,"年月",$A34,"事業所コード",$B34,"事業所",$C34,"事業区分",M$1,"請求区分","単月"),0)
+IFERROR(GETPIVOTDATA("合計 / 入金予定",【ピボット】国保連売上!$A$3,"年月",$A34,"事業所コード",$B34,"事業所",$C34,"事業区分",M$1,"請求区分","再請求"),0))</f>
        <v>0</v>
      </c>
      <c r="N34" s="660">
        <v>48300</v>
      </c>
      <c r="O34" s="660">
        <v>100857</v>
      </c>
      <c r="P34" s="660">
        <v>0</v>
      </c>
      <c r="Q34" s="660">
        <v>2552</v>
      </c>
      <c r="R34" s="660">
        <v>0</v>
      </c>
      <c r="S34" s="660">
        <v>0</v>
      </c>
      <c r="T34" s="660">
        <v>0</v>
      </c>
      <c r="U34" s="660">
        <v>0</v>
      </c>
      <c r="V34" s="660">
        <v>0</v>
      </c>
      <c r="W34" s="660">
        <v>0</v>
      </c>
      <c r="X34" s="660">
        <v>0</v>
      </c>
      <c r="Y34" s="659">
        <f t="shared" ca="1" si="2"/>
        <v>4736224</v>
      </c>
      <c r="Z34" s="659">
        <f t="shared" ca="1" si="1"/>
        <v>151709</v>
      </c>
    </row>
    <row r="35" spans="1:26" ht="15.95" customHeight="1" x14ac:dyDescent="0.15">
      <c r="A35" s="656">
        <v>42705</v>
      </c>
      <c r="B35" s="657" t="str">
        <f t="shared" ca="1" si="0"/>
        <v>04</v>
      </c>
      <c r="C35" s="658" t="s">
        <v>358</v>
      </c>
      <c r="D35" s="659">
        <f ca="1">IF($A35="","",IFERROR(GETPIVOTDATA("合計 / 入金予定",【ピボット】国保連売上!$A$3,"年月",$A35,"事業所コード",$B35,"事業所",$C35,"事業区分",D$1,"請求区分","単月"),0)
+IFERROR(GETPIVOTDATA("合計 / 入金予定",【ピボット】国保連売上!$A$3,"年月",$A35,"事業所コード",$B35,"事業所",$C35,"事業区分",D$1,"請求区分","再請求"),0))</f>
        <v>0</v>
      </c>
      <c r="E35" s="659">
        <f ca="1">IF($A35="","",IFERROR(GETPIVOTDATA("合計 / 処遇改善加算金",【ピボット】国保連売上!$A$3,"年月",$A35,"事業所コード",$B35,"事業所",$C35,"事業区分",D$1,"請求区分","単月"),0))</f>
        <v>0</v>
      </c>
      <c r="F35" s="659">
        <f ca="1">IF($A35="","",IFERROR(GETPIVOTDATA("合計 / 入金予定",【ピボット】国保連売上!$A$3,"年月",$A35,"事業所コード",$B35,"事業所",$C35,"事業区分",F$1,"請求区分","単月"),0)
+IFERROR(GETPIVOTDATA("合計 / 入金予定",【ピボット】国保連売上!$A$3,"年月",$A35,"事業所コード",$B35,"事業所",$C35,"事業区分",F$1,"請求区分","再請求"),0))</f>
        <v>0</v>
      </c>
      <c r="G35" s="659">
        <f ca="1">IF($A35="","",IFERROR(GETPIVOTDATA("合計 / 処遇改善加算金",【ピボット】国保連売上!$A$3,"年月",$A35,"事業所コード",$B35,"事業所",$C35,"事業区分",F$1,"請求区分","単月"),0))</f>
        <v>0</v>
      </c>
      <c r="H35" s="659">
        <f ca="1">IF($A35="","",IFERROR(GETPIVOTDATA("合計 / 入金予定",【ピボット】国保連売上!$A$3,"年月",$A35,"事業所コード",$B35,"事業所",$C35,"事業区分",H$1,"請求区分","単月"),0)
+IFERROR(GETPIVOTDATA("合計 / 入金予定",【ピボット】国保連売上!$A$3,"年月",$A35,"事業所コード",$B35,"事業所",$C35,"事業区分",H$1,"請求区分","再請求"),0))</f>
        <v>0</v>
      </c>
      <c r="I35" s="659">
        <f ca="1">IF($A35="","",IFERROR(GETPIVOTDATA("合計 / 入金予定",【ピボット】国保連売上!$A$3,"年月",$A35,"事業所コード",$B35,"事業所",$C35,"事業区分",I$1,"請求区分","単月"),0)
+IFERROR(GETPIVOTDATA("合計 / 入金予定",【ピボット】国保連売上!$A$3,"年月",$A35,"事業所コード",$B35,"事業所",$C35,"事業区分",I$1,"請求区分","再請求"),0))</f>
        <v>2471657</v>
      </c>
      <c r="J35" s="659">
        <f ca="1">IF($A35="","",IFERROR(GETPIVOTDATA("合計 / 処遇改善加算金",【ピボット】国保連売上!$A$3,"年月",$A35,"事業所コード",$B35,"事業所",$C35,"事業区分",I$1,"請求区分","単月"),0))</f>
        <v>95336</v>
      </c>
      <c r="K35" s="659">
        <f ca="1">IF($A35="","",IFERROR(GETPIVOTDATA("合計 / 入金予定",【ピボット】国保連売上!$A$3,"年月",$A35,"事業所コード",$B35,"事業所",$C35,"事業区分",K$1,"請求区分","単月"),0)
+IFERROR(GETPIVOTDATA("合計 / 入金予定",【ピボット】国保連売上!$A$3,"年月",$A35,"事業所コード",$B35,"事業所",$C35,"事業区分",K$1,"請求区分","再請求"),0))</f>
        <v>0</v>
      </c>
      <c r="L35" s="659">
        <f ca="1">IF($A35="","",IFERROR(GETPIVOTDATA("合計 / 処遇改善加算金",【ピボット】国保連売上!$A$3,"年月",$A35,"事業所コード",$B35,"事業所",$C35,"事業区分",K$1,"請求区分","単月"),0))</f>
        <v>0</v>
      </c>
      <c r="M35" s="659">
        <f ca="1">IF($A35="","",IFERROR(GETPIVOTDATA("合計 / 入金予定",【ピボット】国保連売上!$A$3,"年月",$A35,"事業所コード",$B35,"事業所",$C35,"事業区分",M$1,"請求区分","単月"),0)
+IFERROR(GETPIVOTDATA("合計 / 入金予定",【ピボット】国保連売上!$A$3,"年月",$A35,"事業所コード",$B35,"事業所",$C35,"事業区分",M$1,"請求区分","再請求"),0))</f>
        <v>0</v>
      </c>
      <c r="N35" s="660">
        <v>20827</v>
      </c>
      <c r="O35" s="660">
        <v>0</v>
      </c>
      <c r="P35" s="660">
        <v>0</v>
      </c>
      <c r="Q35" s="660">
        <v>0</v>
      </c>
      <c r="R35" s="660">
        <v>0</v>
      </c>
      <c r="S35" s="660">
        <v>0</v>
      </c>
      <c r="T35" s="660">
        <v>151250</v>
      </c>
      <c r="U35" s="660">
        <v>0</v>
      </c>
      <c r="V35" s="660">
        <v>0</v>
      </c>
      <c r="W35" s="660">
        <v>0</v>
      </c>
      <c r="X35" s="660">
        <v>0</v>
      </c>
      <c r="Y35" s="659">
        <f t="shared" ca="1" si="2"/>
        <v>2643734</v>
      </c>
      <c r="Z35" s="659">
        <f t="shared" ca="1" si="1"/>
        <v>172077</v>
      </c>
    </row>
    <row r="36" spans="1:26" ht="15.95" customHeight="1" x14ac:dyDescent="0.15">
      <c r="A36" s="656">
        <v>42705</v>
      </c>
      <c r="B36" s="657" t="str">
        <f t="shared" ca="1" si="0"/>
        <v>07</v>
      </c>
      <c r="C36" s="658" t="s">
        <v>119</v>
      </c>
      <c r="D36" s="659">
        <f ca="1">IF($A36="","",IFERROR(GETPIVOTDATA("合計 / 入金予定",【ピボット】国保連売上!$A$3,"年月",$A36,"事業所コード",$B36,"事業所",$C36,"事業区分",D$1,"請求区分","単月"),0)
+IFERROR(GETPIVOTDATA("合計 / 入金予定",【ピボット】国保連売上!$A$3,"年月",$A36,"事業所コード",$B36,"事業所",$C36,"事業区分",D$1,"請求区分","再請求"),0))</f>
        <v>0</v>
      </c>
      <c r="E36" s="659">
        <f ca="1">IF($A36="","",IFERROR(GETPIVOTDATA("合計 / 処遇改善加算金",【ピボット】国保連売上!$A$3,"年月",$A36,"事業所コード",$B36,"事業所",$C36,"事業区分",D$1,"請求区分","単月"),0))</f>
        <v>0</v>
      </c>
      <c r="F36" s="659">
        <f ca="1">IF($A36="","",IFERROR(GETPIVOTDATA("合計 / 入金予定",【ピボット】国保連売上!$A$3,"年月",$A36,"事業所コード",$B36,"事業所",$C36,"事業区分",F$1,"請求区分","単月"),0)
+IFERROR(GETPIVOTDATA("合計 / 入金予定",【ピボット】国保連売上!$A$3,"年月",$A36,"事業所コード",$B36,"事業所",$C36,"事業区分",F$1,"請求区分","再請求"),0))</f>
        <v>0</v>
      </c>
      <c r="G36" s="659">
        <f ca="1">IF($A36="","",IFERROR(GETPIVOTDATA("合計 / 処遇改善加算金",【ピボット】国保連売上!$A$3,"年月",$A36,"事業所コード",$B36,"事業所",$C36,"事業区分",F$1,"請求区分","単月"),0))</f>
        <v>0</v>
      </c>
      <c r="H36" s="659">
        <f ca="1">IF($A36="","",IFERROR(GETPIVOTDATA("合計 / 入金予定",【ピボット】国保連売上!$A$3,"年月",$A36,"事業所コード",$B36,"事業所",$C36,"事業区分",H$1,"請求区分","単月"),0)
+IFERROR(GETPIVOTDATA("合計 / 入金予定",【ピボット】国保連売上!$A$3,"年月",$A36,"事業所コード",$B36,"事業所",$C36,"事業区分",H$1,"請求区分","再請求"),0))</f>
        <v>0</v>
      </c>
      <c r="I36" s="659">
        <f ca="1">IF($A36="","",IFERROR(GETPIVOTDATA("合計 / 入金予定",【ピボット】国保連売上!$A$3,"年月",$A36,"事業所コード",$B36,"事業所",$C36,"事業区分",I$1,"請求区分","単月"),0)
+IFERROR(GETPIVOTDATA("合計 / 入金予定",【ピボット】国保連売上!$A$3,"年月",$A36,"事業所コード",$B36,"事業所",$C36,"事業区分",I$1,"請求区分","再請求"),0))</f>
        <v>0</v>
      </c>
      <c r="J36" s="659">
        <f ca="1">IF($A36="","",IFERROR(GETPIVOTDATA("合計 / 処遇改善加算金",【ピボット】国保連売上!$A$3,"年月",$A36,"事業所コード",$B36,"事業所",$C36,"事業区分",I$1,"請求区分","単月"),0))</f>
        <v>0</v>
      </c>
      <c r="K36" s="659">
        <f ca="1">IF($A36="","",IFERROR(GETPIVOTDATA("合計 / 入金予定",【ピボット】国保連売上!$A$3,"年月",$A36,"事業所コード",$B36,"事業所",$C36,"事業区分",K$1,"請求区分","単月"),0)
+IFERROR(GETPIVOTDATA("合計 / 入金予定",【ピボット】国保連売上!$A$3,"年月",$A36,"事業所コード",$B36,"事業所",$C36,"事業区分",K$1,"請求区分","再請求"),0))</f>
        <v>1714337</v>
      </c>
      <c r="L36" s="659">
        <f ca="1">IF($A36="","",IFERROR(GETPIVOTDATA("合計 / 処遇改善加算金",【ピボット】国保連売上!$A$3,"年月",$A36,"事業所コード",$B36,"事業所",$C36,"事業区分",K$1,"請求区分","単月"),0))</f>
        <v>151302</v>
      </c>
      <c r="M36" s="659">
        <f ca="1">IF($A36="","",IFERROR(GETPIVOTDATA("合計 / 入金予定",【ピボット】国保連売上!$A$3,"年月",$A36,"事業所コード",$B36,"事業所",$C36,"事業区分",M$1,"請求区分","単月"),0)
+IFERROR(GETPIVOTDATA("合計 / 入金予定",【ピボット】国保連売上!$A$3,"年月",$A36,"事業所コード",$B36,"事業所",$C36,"事業区分",M$1,"請求区分","再請求"),0))</f>
        <v>0</v>
      </c>
      <c r="N36" s="660">
        <v>0</v>
      </c>
      <c r="O36" s="660">
        <v>0</v>
      </c>
      <c r="P36" s="660">
        <v>0</v>
      </c>
      <c r="Q36" s="660">
        <v>0</v>
      </c>
      <c r="R36" s="660">
        <v>0</v>
      </c>
      <c r="S36" s="660">
        <v>78000</v>
      </c>
      <c r="T36" s="660">
        <v>0</v>
      </c>
      <c r="U36" s="660">
        <v>0</v>
      </c>
      <c r="V36" s="660">
        <v>-30000</v>
      </c>
      <c r="W36" s="660">
        <v>0</v>
      </c>
      <c r="X36" s="660">
        <v>0</v>
      </c>
      <c r="Y36" s="659">
        <f t="shared" ca="1" si="2"/>
        <v>1762337</v>
      </c>
      <c r="Z36" s="659">
        <f t="shared" ca="1" si="1"/>
        <v>48000</v>
      </c>
    </row>
    <row r="37" spans="1:26" ht="15.95" customHeight="1" x14ac:dyDescent="0.15">
      <c r="A37" s="656">
        <v>42705</v>
      </c>
      <c r="B37" s="657" t="str">
        <f t="shared" ca="1" si="0"/>
        <v>08</v>
      </c>
      <c r="C37" s="658" t="s">
        <v>189</v>
      </c>
      <c r="D37" s="659">
        <f ca="1">IF($A37="","",IFERROR(GETPIVOTDATA("合計 / 入金予定",【ピボット】国保連売上!$A$3,"年月",$A37,"事業所コード",$B37,"事業所",$C37,"事業区分",D$1,"請求区分","単月"),0)
+IFERROR(GETPIVOTDATA("合計 / 入金予定",【ピボット】国保連売上!$A$3,"年月",$A37,"事業所コード",$B37,"事業所",$C37,"事業区分",D$1,"請求区分","再請求"),0))</f>
        <v>0</v>
      </c>
      <c r="E37" s="659">
        <f ca="1">IF($A37="","",IFERROR(GETPIVOTDATA("合計 / 処遇改善加算金",【ピボット】国保連売上!$A$3,"年月",$A37,"事業所コード",$B37,"事業所",$C37,"事業区分",D$1,"請求区分","単月"),0))</f>
        <v>0</v>
      </c>
      <c r="F37" s="659">
        <f ca="1">IF($A37="","",IFERROR(GETPIVOTDATA("合計 / 入金予定",【ピボット】国保連売上!$A$3,"年月",$A37,"事業所コード",$B37,"事業所",$C37,"事業区分",F$1,"請求区分","単月"),0)
+IFERROR(GETPIVOTDATA("合計 / 入金予定",【ピボット】国保連売上!$A$3,"年月",$A37,"事業所コード",$B37,"事業所",$C37,"事業区分",F$1,"請求区分","再請求"),0))</f>
        <v>0</v>
      </c>
      <c r="G37" s="659">
        <f ca="1">IF($A37="","",IFERROR(GETPIVOTDATA("合計 / 処遇改善加算金",【ピボット】国保連売上!$A$3,"年月",$A37,"事業所コード",$B37,"事業所",$C37,"事業区分",F$1,"請求区分","単月"),0))</f>
        <v>0</v>
      </c>
      <c r="H37" s="659">
        <f ca="1">IF($A37="","",IFERROR(GETPIVOTDATA("合計 / 入金予定",【ピボット】国保連売上!$A$3,"年月",$A37,"事業所コード",$B37,"事業所",$C37,"事業区分",H$1,"請求区分","単月"),0)
+IFERROR(GETPIVOTDATA("合計 / 入金予定",【ピボット】国保連売上!$A$3,"年月",$A37,"事業所コード",$B37,"事業所",$C37,"事業区分",H$1,"請求区分","再請求"),0))</f>
        <v>0</v>
      </c>
      <c r="I37" s="659">
        <f ca="1">IF($A37="","",IFERROR(GETPIVOTDATA("合計 / 入金予定",【ピボット】国保連売上!$A$3,"年月",$A37,"事業所コード",$B37,"事業所",$C37,"事業区分",I$1,"請求区分","単月"),0)
+IFERROR(GETPIVOTDATA("合計 / 入金予定",【ピボット】国保連売上!$A$3,"年月",$A37,"事業所コード",$B37,"事業所",$C37,"事業区分",I$1,"請求区分","再請求"),0))</f>
        <v>0</v>
      </c>
      <c r="J37" s="659">
        <f ca="1">IF($A37="","",IFERROR(GETPIVOTDATA("合計 / 処遇改善加算金",【ピボット】国保連売上!$A$3,"年月",$A37,"事業所コード",$B37,"事業所",$C37,"事業区分",I$1,"請求区分","単月"),0))</f>
        <v>0</v>
      </c>
      <c r="K37" s="659">
        <f ca="1">IF($A37="","",IFERROR(GETPIVOTDATA("合計 / 入金予定",【ピボット】国保連売上!$A$3,"年月",$A37,"事業所コード",$B37,"事業所",$C37,"事業区分",K$1,"請求区分","単月"),0)
+IFERROR(GETPIVOTDATA("合計 / 入金予定",【ピボット】国保連売上!$A$3,"年月",$A37,"事業所コード",$B37,"事業所",$C37,"事業区分",K$1,"請求区分","再請求"),0))</f>
        <v>1359077</v>
      </c>
      <c r="L37" s="659">
        <f ca="1">IF($A37="","",IFERROR(GETPIVOTDATA("合計 / 処遇改善加算金",【ピボット】国保連売上!$A$3,"年月",$A37,"事業所コード",$B37,"事業所",$C37,"事業区分",K$1,"請求区分","単月"),0))</f>
        <v>0</v>
      </c>
      <c r="M37" s="659">
        <f ca="1">IF($A37="","",IFERROR(GETPIVOTDATA("合計 / 入金予定",【ピボット】国保連売上!$A$3,"年月",$A37,"事業所コード",$B37,"事業所",$C37,"事業区分",M$1,"請求区分","単月"),0)
+IFERROR(GETPIVOTDATA("合計 / 入金予定",【ピボット】国保連売上!$A$3,"年月",$A37,"事業所コード",$B37,"事業所",$C37,"事業区分",M$1,"請求区分","再請求"),0))</f>
        <v>0</v>
      </c>
      <c r="N37" s="660">
        <v>0</v>
      </c>
      <c r="O37" s="660">
        <v>0</v>
      </c>
      <c r="P37" s="660">
        <v>0</v>
      </c>
      <c r="Q37" s="660">
        <v>0</v>
      </c>
      <c r="R37" s="660">
        <v>0</v>
      </c>
      <c r="S37" s="660">
        <v>98000</v>
      </c>
      <c r="T37" s="660">
        <v>0</v>
      </c>
      <c r="U37" s="660">
        <v>0</v>
      </c>
      <c r="V37" s="660">
        <v>-10000</v>
      </c>
      <c r="W37" s="660">
        <v>0</v>
      </c>
      <c r="X37" s="660">
        <v>0</v>
      </c>
      <c r="Y37" s="659">
        <f t="shared" ca="1" si="2"/>
        <v>1447077</v>
      </c>
      <c r="Z37" s="659">
        <f t="shared" ca="1" si="1"/>
        <v>88000</v>
      </c>
    </row>
    <row r="38" spans="1:26" ht="15.95" customHeight="1" x14ac:dyDescent="0.15">
      <c r="A38" s="656">
        <v>42705</v>
      </c>
      <c r="B38" s="657" t="str">
        <f t="shared" ca="1" si="0"/>
        <v>05</v>
      </c>
      <c r="C38" s="658" t="s">
        <v>38</v>
      </c>
      <c r="D38" s="659">
        <f ca="1">IF($A38="","",IFERROR(GETPIVOTDATA("合計 / 入金予定",【ピボット】国保連売上!$A$3,"年月",$A38,"事業所コード",$B38,"事業所",$C38,"事業区分",D$1,"請求区分","単月"),0)
+IFERROR(GETPIVOTDATA("合計 / 入金予定",【ピボット】国保連売上!$A$3,"年月",$A38,"事業所コード",$B38,"事業所",$C38,"事業区分",D$1,"請求区分","再請求"),0))</f>
        <v>2353118</v>
      </c>
      <c r="E38" s="659">
        <f ca="1">IF($A38="","",IFERROR(GETPIVOTDATA("合計 / 処遇改善加算金",【ピボット】国保連売上!$A$3,"年月",$A38,"事業所コード",$B38,"事業所",$C38,"事業区分",D$1,"請求区分","単月"),0))</f>
        <v>0</v>
      </c>
      <c r="F38" s="659">
        <f ca="1">IF($A38="","",IFERROR(GETPIVOTDATA("合計 / 入金予定",【ピボット】国保連売上!$A$3,"年月",$A38,"事業所コード",$B38,"事業所",$C38,"事業区分",F$1,"請求区分","単月"),0)
+IFERROR(GETPIVOTDATA("合計 / 入金予定",【ピボット】国保連売上!$A$3,"年月",$A38,"事業所コード",$B38,"事業所",$C38,"事業区分",F$1,"請求区分","再請求"),0))</f>
        <v>0</v>
      </c>
      <c r="G38" s="659">
        <f ca="1">IF($A38="","",IFERROR(GETPIVOTDATA("合計 / 処遇改善加算金",【ピボット】国保連売上!$A$3,"年月",$A38,"事業所コード",$B38,"事業所",$C38,"事業区分",F$1,"請求区分","単月"),0))</f>
        <v>0</v>
      </c>
      <c r="H38" s="659">
        <f ca="1">IF($A38="","",IFERROR(GETPIVOTDATA("合計 / 入金予定",【ピボット】国保連売上!$A$3,"年月",$A38,"事業所コード",$B38,"事業所",$C38,"事業区分",H$1,"請求区分","単月"),0)
+IFERROR(GETPIVOTDATA("合計 / 入金予定",【ピボット】国保連売上!$A$3,"年月",$A38,"事業所コード",$B38,"事業所",$C38,"事業区分",H$1,"請求区分","再請求"),0))</f>
        <v>0</v>
      </c>
      <c r="I38" s="659">
        <f ca="1">IF($A38="","",IFERROR(GETPIVOTDATA("合計 / 入金予定",【ピボット】国保連売上!$A$3,"年月",$A38,"事業所コード",$B38,"事業所",$C38,"事業区分",I$1,"請求区分","単月"),0)
+IFERROR(GETPIVOTDATA("合計 / 入金予定",【ピボット】国保連売上!$A$3,"年月",$A38,"事業所コード",$B38,"事業所",$C38,"事業区分",I$1,"請求区分","再請求"),0))</f>
        <v>0</v>
      </c>
      <c r="J38" s="659">
        <f ca="1">IF($A38="","",IFERROR(GETPIVOTDATA("合計 / 処遇改善加算金",【ピボット】国保連売上!$A$3,"年月",$A38,"事業所コード",$B38,"事業所",$C38,"事業区分",I$1,"請求区分","単月"),0))</f>
        <v>0</v>
      </c>
      <c r="K38" s="659">
        <f ca="1">IF($A38="","",IFERROR(GETPIVOTDATA("合計 / 入金予定",【ピボット】国保連売上!$A$3,"年月",$A38,"事業所コード",$B38,"事業所",$C38,"事業区分",K$1,"請求区分","単月"),0)
+IFERROR(GETPIVOTDATA("合計 / 入金予定",【ピボット】国保連売上!$A$3,"年月",$A38,"事業所コード",$B38,"事業所",$C38,"事業区分",K$1,"請求区分","再請求"),0))</f>
        <v>0</v>
      </c>
      <c r="L38" s="659">
        <f ca="1">IF($A38="","",IFERROR(GETPIVOTDATA("合計 / 処遇改善加算金",【ピボット】国保連売上!$A$3,"年月",$A38,"事業所コード",$B38,"事業所",$C38,"事業区分",K$1,"請求区分","単月"),0))</f>
        <v>0</v>
      </c>
      <c r="M38" s="659">
        <f ca="1">IF($A38="","",IFERROR(GETPIVOTDATA("合計 / 入金予定",【ピボット】国保連売上!$A$3,"年月",$A38,"事業所コード",$B38,"事業所",$C38,"事業区分",M$1,"請求区分","単月"),0)
+IFERROR(GETPIVOTDATA("合計 / 入金予定",【ピボット】国保連売上!$A$3,"年月",$A38,"事業所コード",$B38,"事業所",$C38,"事業区分",M$1,"請求区分","再請求"),0))</f>
        <v>0</v>
      </c>
      <c r="N38" s="660">
        <v>0</v>
      </c>
      <c r="O38" s="660">
        <v>0</v>
      </c>
      <c r="P38" s="660">
        <v>0</v>
      </c>
      <c r="Q38" s="660">
        <v>0</v>
      </c>
      <c r="R38" s="660">
        <v>0</v>
      </c>
      <c r="S38" s="660">
        <v>654388</v>
      </c>
      <c r="T38" s="660">
        <v>0</v>
      </c>
      <c r="U38" s="660">
        <v>0</v>
      </c>
      <c r="V38" s="660">
        <v>0</v>
      </c>
      <c r="W38" s="660">
        <v>0</v>
      </c>
      <c r="X38" s="660">
        <v>0</v>
      </c>
      <c r="Y38" s="659">
        <f t="shared" ca="1" si="2"/>
        <v>3007506</v>
      </c>
      <c r="Z38" s="659">
        <f t="shared" ca="1" si="1"/>
        <v>654388</v>
      </c>
    </row>
    <row r="39" spans="1:26" ht="15.95" customHeight="1" x14ac:dyDescent="0.15">
      <c r="A39" s="656">
        <v>42705</v>
      </c>
      <c r="B39" s="657" t="str">
        <f t="shared" ca="1" si="0"/>
        <v>06</v>
      </c>
      <c r="C39" s="658" t="s">
        <v>57</v>
      </c>
      <c r="D39" s="659">
        <f ca="1">IF($A39="","",IFERROR(GETPIVOTDATA("合計 / 入金予定",【ピボット】国保連売上!$A$3,"年月",$A39,"事業所コード",$B39,"事業所",$C39,"事業区分",D$1,"請求区分","単月"),0)
+IFERROR(GETPIVOTDATA("合計 / 入金予定",【ピボット】国保連売上!$A$3,"年月",$A39,"事業所コード",$B39,"事業所",$C39,"事業区分",D$1,"請求区分","再請求"),0))</f>
        <v>938322</v>
      </c>
      <c r="E39" s="659">
        <f ca="1">IF($A39="","",IFERROR(GETPIVOTDATA("合計 / 処遇改善加算金",【ピボット】国保連売上!$A$3,"年月",$A39,"事業所コード",$B39,"事業所",$C39,"事業区分",D$1,"請求区分","単月"),0))</f>
        <v>0</v>
      </c>
      <c r="F39" s="659">
        <f ca="1">IF($A39="","",IFERROR(GETPIVOTDATA("合計 / 入金予定",【ピボット】国保連売上!$A$3,"年月",$A39,"事業所コード",$B39,"事業所",$C39,"事業区分",F$1,"請求区分","単月"),0)
+IFERROR(GETPIVOTDATA("合計 / 入金予定",【ピボット】国保連売上!$A$3,"年月",$A39,"事業所コード",$B39,"事業所",$C39,"事業区分",F$1,"請求区分","再請求"),0))</f>
        <v>0</v>
      </c>
      <c r="G39" s="659">
        <f ca="1">IF($A39="","",IFERROR(GETPIVOTDATA("合計 / 処遇改善加算金",【ピボット】国保連売上!$A$3,"年月",$A39,"事業所コード",$B39,"事業所",$C39,"事業区分",F$1,"請求区分","単月"),0))</f>
        <v>0</v>
      </c>
      <c r="H39" s="659">
        <f ca="1">IF($A39="","",IFERROR(GETPIVOTDATA("合計 / 入金予定",【ピボット】国保連売上!$A$3,"年月",$A39,"事業所コード",$B39,"事業所",$C39,"事業区分",H$1,"請求区分","単月"),0)
+IFERROR(GETPIVOTDATA("合計 / 入金予定",【ピボット】国保連売上!$A$3,"年月",$A39,"事業所コード",$B39,"事業所",$C39,"事業区分",H$1,"請求区分","再請求"),0))</f>
        <v>0</v>
      </c>
      <c r="I39" s="659">
        <f ca="1">IF($A39="","",IFERROR(GETPIVOTDATA("合計 / 入金予定",【ピボット】国保連売上!$A$3,"年月",$A39,"事業所コード",$B39,"事業所",$C39,"事業区分",I$1,"請求区分","単月"),0)
+IFERROR(GETPIVOTDATA("合計 / 入金予定",【ピボット】国保連売上!$A$3,"年月",$A39,"事業所コード",$B39,"事業所",$C39,"事業区分",I$1,"請求区分","再請求"),0))</f>
        <v>0</v>
      </c>
      <c r="J39" s="659">
        <f ca="1">IF($A39="","",IFERROR(GETPIVOTDATA("合計 / 処遇改善加算金",【ピボット】国保連売上!$A$3,"年月",$A39,"事業所コード",$B39,"事業所",$C39,"事業区分",I$1,"請求区分","単月"),0))</f>
        <v>0</v>
      </c>
      <c r="K39" s="659">
        <f ca="1">IF($A39="","",IFERROR(GETPIVOTDATA("合計 / 入金予定",【ピボット】国保連売上!$A$3,"年月",$A39,"事業所コード",$B39,"事業所",$C39,"事業区分",K$1,"請求区分","単月"),0)
+IFERROR(GETPIVOTDATA("合計 / 入金予定",【ピボット】国保連売上!$A$3,"年月",$A39,"事業所コード",$B39,"事業所",$C39,"事業区分",K$1,"請求区分","再請求"),0))</f>
        <v>0</v>
      </c>
      <c r="L39" s="659">
        <f ca="1">IF($A39="","",IFERROR(GETPIVOTDATA("合計 / 処遇改善加算金",【ピボット】国保連売上!$A$3,"年月",$A39,"事業所コード",$B39,"事業所",$C39,"事業区分",K$1,"請求区分","単月"),0))</f>
        <v>0</v>
      </c>
      <c r="M39" s="659">
        <f ca="1">IF($A39="","",IFERROR(GETPIVOTDATA("合計 / 入金予定",【ピボット】国保連売上!$A$3,"年月",$A39,"事業所コード",$B39,"事業所",$C39,"事業区分",M$1,"請求区分","単月"),0)
+IFERROR(GETPIVOTDATA("合計 / 入金予定",【ピボット】国保連売上!$A$3,"年月",$A39,"事業所コード",$B39,"事業所",$C39,"事業区分",M$1,"請求区分","再請求"),0))</f>
        <v>0</v>
      </c>
      <c r="N39" s="660">
        <v>12800</v>
      </c>
      <c r="O39" s="660">
        <v>0</v>
      </c>
      <c r="P39" s="660">
        <v>0</v>
      </c>
      <c r="Q39" s="660">
        <v>0</v>
      </c>
      <c r="R39" s="660">
        <v>0</v>
      </c>
      <c r="S39" s="660">
        <v>254391</v>
      </c>
      <c r="T39" s="660">
        <v>0</v>
      </c>
      <c r="U39" s="660">
        <v>0</v>
      </c>
      <c r="V39" s="660">
        <v>0</v>
      </c>
      <c r="W39" s="660">
        <v>0</v>
      </c>
      <c r="X39" s="660">
        <v>0</v>
      </c>
      <c r="Y39" s="659">
        <f t="shared" ca="1" si="2"/>
        <v>1205513</v>
      </c>
      <c r="Z39" s="659">
        <f t="shared" ca="1" si="1"/>
        <v>267191</v>
      </c>
    </row>
    <row r="40" spans="1:26" ht="15.95" customHeight="1" x14ac:dyDescent="0.15">
      <c r="A40" s="656">
        <v>42705</v>
      </c>
      <c r="B40" s="657" t="str">
        <f t="shared" ca="1" si="0"/>
        <v>10</v>
      </c>
      <c r="C40" s="658" t="s">
        <v>583</v>
      </c>
      <c r="D40" s="659">
        <f ca="1">IF($A40="","",IFERROR(GETPIVOTDATA("合計 / 入金予定",【ピボット】国保連売上!$A$3,"年月",$A40,"事業所コード",$B40,"事業所",$C40,"事業区分",D$1,"請求区分","単月"),0)
+IFERROR(GETPIVOTDATA("合計 / 入金予定",【ピボット】国保連売上!$A$3,"年月",$A40,"事業所コード",$B40,"事業所",$C40,"事業区分",D$1,"請求区分","再請求"),0))</f>
        <v>1490099</v>
      </c>
      <c r="E40" s="659">
        <f ca="1">IF($A40="","",IFERROR(GETPIVOTDATA("合計 / 処遇改善加算金",【ピボット】国保連売上!$A$3,"年月",$A40,"事業所コード",$B40,"事業所",$C40,"事業区分",D$1,"請求区分","単月"),0))</f>
        <v>0</v>
      </c>
      <c r="F40" s="659">
        <f ca="1">IF($A40="","",IFERROR(GETPIVOTDATA("合計 / 入金予定",【ピボット】国保連売上!$A$3,"年月",$A40,"事業所コード",$B40,"事業所",$C40,"事業区分",F$1,"請求区分","単月"),0)
+IFERROR(GETPIVOTDATA("合計 / 入金予定",【ピボット】国保連売上!$A$3,"年月",$A40,"事業所コード",$B40,"事業所",$C40,"事業区分",F$1,"請求区分","再請求"),0))</f>
        <v>5117</v>
      </c>
      <c r="G40" s="659">
        <f ca="1">IF($A40="","",IFERROR(GETPIVOTDATA("合計 / 処遇改善加算金",【ピボット】国保連売上!$A$3,"年月",$A40,"事業所コード",$B40,"事業所",$C40,"事業区分",F$1,"請求区分","単月"),0))</f>
        <v>0</v>
      </c>
      <c r="H40" s="659">
        <f ca="1">IF($A40="","",IFERROR(GETPIVOTDATA("合計 / 入金予定",【ピボット】国保連売上!$A$3,"年月",$A40,"事業所コード",$B40,"事業所",$C40,"事業区分",H$1,"請求区分","単月"),0)
+IFERROR(GETPIVOTDATA("合計 / 入金予定",【ピボット】国保連売上!$A$3,"年月",$A40,"事業所コード",$B40,"事業所",$C40,"事業区分",H$1,"請求区分","再請求"),0))</f>
        <v>0</v>
      </c>
      <c r="I40" s="659">
        <f ca="1">IF($A40="","",IFERROR(GETPIVOTDATA("合計 / 入金予定",【ピボット】国保連売上!$A$3,"年月",$A40,"事業所コード",$B40,"事業所",$C40,"事業区分",I$1,"請求区分","単月"),0)
+IFERROR(GETPIVOTDATA("合計 / 入金予定",【ピボット】国保連売上!$A$3,"年月",$A40,"事業所コード",$B40,"事業所",$C40,"事業区分",I$1,"請求区分","再請求"),0))</f>
        <v>0</v>
      </c>
      <c r="J40" s="659">
        <f ca="1">IF($A40="","",IFERROR(GETPIVOTDATA("合計 / 処遇改善加算金",【ピボット】国保連売上!$A$3,"年月",$A40,"事業所コード",$B40,"事業所",$C40,"事業区分",I$1,"請求区分","単月"),0))</f>
        <v>0</v>
      </c>
      <c r="K40" s="659">
        <f ca="1">IF($A40="","",IFERROR(GETPIVOTDATA("合計 / 入金予定",【ピボット】国保連売上!$A$3,"年月",$A40,"事業所コード",$B40,"事業所",$C40,"事業区分",K$1,"請求区分","単月"),0)
+IFERROR(GETPIVOTDATA("合計 / 入金予定",【ピボット】国保連売上!$A$3,"年月",$A40,"事業所コード",$B40,"事業所",$C40,"事業区分",K$1,"請求区分","再請求"),0))</f>
        <v>0</v>
      </c>
      <c r="L40" s="659">
        <f ca="1">IF($A40="","",IFERROR(GETPIVOTDATA("合計 / 処遇改善加算金",【ピボット】国保連売上!$A$3,"年月",$A40,"事業所コード",$B40,"事業所",$C40,"事業区分",K$1,"請求区分","単月"),0))</f>
        <v>0</v>
      </c>
      <c r="M40" s="659">
        <f ca="1">IF($A40="","",IFERROR(GETPIVOTDATA("合計 / 入金予定",【ピボット】国保連売上!$A$3,"年月",$A40,"事業所コード",$B40,"事業所",$C40,"事業区分",M$1,"請求区分","単月"),0)
+IFERROR(GETPIVOTDATA("合計 / 入金予定",【ピボット】国保連売上!$A$3,"年月",$A40,"事業所コード",$B40,"事業所",$C40,"事業区分",M$1,"請求区分","再請求"),0))</f>
        <v>0</v>
      </c>
      <c r="N40" s="660">
        <v>181400</v>
      </c>
      <c r="O40" s="660">
        <v>60840</v>
      </c>
      <c r="P40" s="660">
        <v>1476810</v>
      </c>
      <c r="Q40" s="660">
        <v>0</v>
      </c>
      <c r="R40" s="660">
        <v>0</v>
      </c>
      <c r="S40" s="660">
        <v>0</v>
      </c>
      <c r="T40" s="660">
        <v>0</v>
      </c>
      <c r="U40" s="660">
        <v>0</v>
      </c>
      <c r="V40" s="660">
        <v>0</v>
      </c>
      <c r="W40" s="660">
        <v>0</v>
      </c>
      <c r="X40" s="660">
        <v>0</v>
      </c>
      <c r="Y40" s="659">
        <f t="shared" ca="1" si="2"/>
        <v>3214266</v>
      </c>
      <c r="Z40" s="659">
        <f t="shared" ca="1" si="1"/>
        <v>1719050</v>
      </c>
    </row>
    <row r="41" spans="1:26" ht="15.95" customHeight="1" x14ac:dyDescent="0.15">
      <c r="A41" s="656">
        <v>42705</v>
      </c>
      <c r="B41" s="657" t="str">
        <f t="shared" ca="1" si="0"/>
        <v>00</v>
      </c>
      <c r="C41" s="658" t="s">
        <v>490</v>
      </c>
      <c r="D41" s="659">
        <f ca="1">IF($A41="","",IFERROR(GETPIVOTDATA("合計 / 入金予定",【ピボット】国保連売上!$A$3,"年月",$A41,"事業所コード",$B41,"事業所",$C41,"事業区分",D$1,"請求区分","単月"),0)
+IFERROR(GETPIVOTDATA("合計 / 入金予定",【ピボット】国保連売上!$A$3,"年月",$A41,"事業所コード",$B41,"事業所",$C41,"事業区分",D$1,"請求区分","再請求"),0))</f>
        <v>0</v>
      </c>
      <c r="E41" s="659">
        <f ca="1">IF($A41="","",IFERROR(GETPIVOTDATA("合計 / 処遇改善加算金",【ピボット】国保連売上!$A$3,"年月",$A41,"事業所コード",$B41,"事業所",$C41,"事業区分",D$1,"請求区分","単月"),0))</f>
        <v>0</v>
      </c>
      <c r="F41" s="659">
        <f ca="1">IF($A41="","",IFERROR(GETPIVOTDATA("合計 / 入金予定",【ピボット】国保連売上!$A$3,"年月",$A41,"事業所コード",$B41,"事業所",$C41,"事業区分",F$1,"請求区分","単月"),0)
+IFERROR(GETPIVOTDATA("合計 / 入金予定",【ピボット】国保連売上!$A$3,"年月",$A41,"事業所コード",$B41,"事業所",$C41,"事業区分",F$1,"請求区分","再請求"),0))</f>
        <v>0</v>
      </c>
      <c r="G41" s="659">
        <f ca="1">IF($A41="","",IFERROR(GETPIVOTDATA("合計 / 処遇改善加算金",【ピボット】国保連売上!$A$3,"年月",$A41,"事業所コード",$B41,"事業所",$C41,"事業区分",F$1,"請求区分","単月"),0))</f>
        <v>0</v>
      </c>
      <c r="H41" s="659">
        <f ca="1">IF($A41="","",IFERROR(GETPIVOTDATA("合計 / 入金予定",【ピボット】国保連売上!$A$3,"年月",$A41,"事業所コード",$B41,"事業所",$C41,"事業区分",H$1,"請求区分","単月"),0)
+IFERROR(GETPIVOTDATA("合計 / 入金予定",【ピボット】国保連売上!$A$3,"年月",$A41,"事業所コード",$B41,"事業所",$C41,"事業区分",H$1,"請求区分","再請求"),0))</f>
        <v>0</v>
      </c>
      <c r="I41" s="659">
        <f ca="1">IF($A41="","",IFERROR(GETPIVOTDATA("合計 / 入金予定",【ピボット】国保連売上!$A$3,"年月",$A41,"事業所コード",$B41,"事業所",$C41,"事業区分",I$1,"請求区分","単月"),0)
+IFERROR(GETPIVOTDATA("合計 / 入金予定",【ピボット】国保連売上!$A$3,"年月",$A41,"事業所コード",$B41,"事業所",$C41,"事業区分",I$1,"請求区分","再請求"),0))</f>
        <v>0</v>
      </c>
      <c r="J41" s="659">
        <f ca="1">IF($A41="","",IFERROR(GETPIVOTDATA("合計 / 処遇改善加算金",【ピボット】国保連売上!$A$3,"年月",$A41,"事業所コード",$B41,"事業所",$C41,"事業区分",I$1,"請求区分","単月"),0))</f>
        <v>0</v>
      </c>
      <c r="K41" s="659">
        <f ca="1">IF($A41="","",IFERROR(GETPIVOTDATA("合計 / 入金予定",【ピボット】国保連売上!$A$3,"年月",$A41,"事業所コード",$B41,"事業所",$C41,"事業区分",K$1,"請求区分","単月"),0)
+IFERROR(GETPIVOTDATA("合計 / 入金予定",【ピボット】国保連売上!$A$3,"年月",$A41,"事業所コード",$B41,"事業所",$C41,"事業区分",K$1,"請求区分","再請求"),0))</f>
        <v>0</v>
      </c>
      <c r="L41" s="659">
        <f ca="1">IF($A41="","",IFERROR(GETPIVOTDATA("合計 / 処遇改善加算金",【ピボット】国保連売上!$A$3,"年月",$A41,"事業所コード",$B41,"事業所",$C41,"事業区分",K$1,"請求区分","単月"),0))</f>
        <v>0</v>
      </c>
      <c r="M41" s="659">
        <f ca="1">IF($A41="","",IFERROR(GETPIVOTDATA("合計 / 入金予定",【ピボット】国保連売上!$A$3,"年月",$A41,"事業所コード",$B41,"事業所",$C41,"事業区分",M$1,"請求区分","単月"),0)
+IFERROR(GETPIVOTDATA("合計 / 入金予定",【ピボット】国保連売上!$A$3,"年月",$A41,"事業所コード",$B41,"事業所",$C41,"事業区分",M$1,"請求区分","再請求"),0))</f>
        <v>33378</v>
      </c>
      <c r="N41" s="660">
        <v>0</v>
      </c>
      <c r="O41" s="660">
        <v>0</v>
      </c>
      <c r="P41" s="660">
        <v>0</v>
      </c>
      <c r="Q41" s="660">
        <v>0</v>
      </c>
      <c r="R41" s="660">
        <v>0</v>
      </c>
      <c r="S41" s="660">
        <v>0</v>
      </c>
      <c r="T41" s="660">
        <v>0</v>
      </c>
      <c r="U41" s="660">
        <v>0</v>
      </c>
      <c r="V41" s="660">
        <v>0</v>
      </c>
      <c r="W41" s="660">
        <v>0</v>
      </c>
      <c r="X41" s="660">
        <v>0</v>
      </c>
      <c r="Y41" s="659">
        <f t="shared" ca="1" si="2"/>
        <v>33378</v>
      </c>
      <c r="Z41" s="659">
        <f t="shared" ca="1" si="1"/>
        <v>0</v>
      </c>
    </row>
    <row r="42" spans="1:26" ht="15.95" customHeight="1" x14ac:dyDescent="0.15">
      <c r="A42" s="656">
        <v>42736</v>
      </c>
      <c r="B42" s="657" t="str">
        <f t="shared" ca="1" si="0"/>
        <v>01</v>
      </c>
      <c r="C42" s="658" t="s">
        <v>34</v>
      </c>
      <c r="D42" s="659">
        <f ca="1">IF($A42="","",IFERROR(GETPIVOTDATA("合計 / 入金予定",【ピボット】国保連売上!$A$3,"年月",$A42,"事業所コード",$B42,"事業所",$C42,"事業区分",D$1,"請求区分","単月"),0)
+IFERROR(GETPIVOTDATA("合計 / 入金予定",【ピボット】国保連売上!$A$3,"年月",$A42,"事業所コード",$B42,"事業所",$C42,"事業区分",D$1,"請求区分","再請求"),0))</f>
        <v>6420997</v>
      </c>
      <c r="E42" s="659">
        <f ca="1">IF($A42="","",IFERROR(GETPIVOTDATA("合計 / 処遇改善加算金",【ピボット】国保連売上!$A$3,"年月",$A42,"事業所コード",$B42,"事業所",$C42,"事業区分",D$1,"請求区分","単月"),0))</f>
        <v>815137</v>
      </c>
      <c r="F42" s="659">
        <f ca="1">IF($A42="","",IFERROR(GETPIVOTDATA("合計 / 入金予定",【ピボット】国保連売上!$A$3,"年月",$A42,"事業所コード",$B42,"事業所",$C42,"事業区分",F$1,"請求区分","単月"),0)
+IFERROR(GETPIVOTDATA("合計 / 入金予定",【ピボット】国保連売上!$A$3,"年月",$A42,"事業所コード",$B42,"事業所",$C42,"事業区分",F$1,"請求区分","再請求"),0))</f>
        <v>1646369</v>
      </c>
      <c r="G42" s="659">
        <f ca="1">IF($A42="","",IFERROR(GETPIVOTDATA("合計 / 処遇改善加算金",【ピボット】国保連売上!$A$3,"年月",$A42,"事業所コード",$B42,"事業所",$C42,"事業区分",F$1,"請求区分","単月"),0))</f>
        <v>277036</v>
      </c>
      <c r="H42" s="659">
        <f ca="1">IF($A42="","",IFERROR(GETPIVOTDATA("合計 / 入金予定",【ピボット】国保連売上!$A$3,"年月",$A42,"事業所コード",$B42,"事業所",$C42,"事業区分",H$1,"請求区分","単月"),0)
+IFERROR(GETPIVOTDATA("合計 / 入金予定",【ピボット】国保連売上!$A$3,"年月",$A42,"事業所コード",$B42,"事業所",$C42,"事業区分",H$1,"請求区分","再請求"),0))</f>
        <v>674885</v>
      </c>
      <c r="I42" s="659">
        <f ca="1">IF($A42="","",IFERROR(GETPIVOTDATA("合計 / 入金予定",【ピボット】国保連売上!$A$3,"年月",$A42,"事業所コード",$B42,"事業所",$C42,"事業区分",I$1,"請求区分","単月"),0)
+IFERROR(GETPIVOTDATA("合計 / 入金予定",【ピボット】国保連売上!$A$3,"年月",$A42,"事業所コード",$B42,"事業所",$C42,"事業区分",I$1,"請求区分","再請求"),0))</f>
        <v>0</v>
      </c>
      <c r="J42" s="659">
        <f ca="1">IF($A42="","",IFERROR(GETPIVOTDATA("合計 / 処遇改善加算金",【ピボット】国保連売上!$A$3,"年月",$A42,"事業所コード",$B42,"事業所",$C42,"事業区分",I$1,"請求区分","単月"),0))</f>
        <v>0</v>
      </c>
      <c r="K42" s="659">
        <f ca="1">IF($A42="","",IFERROR(GETPIVOTDATA("合計 / 入金予定",【ピボット】国保連売上!$A$3,"年月",$A42,"事業所コード",$B42,"事業所",$C42,"事業区分",K$1,"請求区分","単月"),0)
+IFERROR(GETPIVOTDATA("合計 / 入金予定",【ピボット】国保連売上!$A$3,"年月",$A42,"事業所コード",$B42,"事業所",$C42,"事業区分",K$1,"請求区分","再請求"),0))</f>
        <v>0</v>
      </c>
      <c r="L42" s="659">
        <f ca="1">IF($A42="","",IFERROR(GETPIVOTDATA("合計 / 処遇改善加算金",【ピボット】国保連売上!$A$3,"年月",$A42,"事業所コード",$B42,"事業所",$C42,"事業区分",K$1,"請求区分","単月"),0))</f>
        <v>0</v>
      </c>
      <c r="M42" s="659">
        <f ca="1">IF($A42="","",IFERROR(GETPIVOTDATA("合計 / 入金予定",【ピボット】国保連売上!$A$3,"年月",$A42,"事業所コード",$B42,"事業所",$C42,"事業区分",M$1,"請求区分","単月"),0)
+IFERROR(GETPIVOTDATA("合計 / 入金予定",【ピボット】国保連売上!$A$3,"年月",$A42,"事業所コード",$B42,"事業所",$C42,"事業区分",M$1,"請求区分","再請求"),0))</f>
        <v>0</v>
      </c>
      <c r="N42" s="660">
        <v>78570</v>
      </c>
      <c r="O42" s="660">
        <v>44640</v>
      </c>
      <c r="P42" s="660">
        <v>0</v>
      </c>
      <c r="Q42" s="660">
        <v>6636</v>
      </c>
      <c r="R42" s="660">
        <v>127720</v>
      </c>
      <c r="S42" s="660">
        <v>0</v>
      </c>
      <c r="T42" s="660">
        <v>0</v>
      </c>
      <c r="U42" s="660">
        <v>0</v>
      </c>
      <c r="V42" s="660">
        <v>0</v>
      </c>
      <c r="W42" s="660">
        <v>0</v>
      </c>
      <c r="X42" s="660">
        <v>0</v>
      </c>
      <c r="Y42" s="659">
        <f t="shared" ca="1" si="2"/>
        <v>8999817</v>
      </c>
      <c r="Z42" s="659">
        <f t="shared" ca="1" si="1"/>
        <v>257566</v>
      </c>
    </row>
    <row r="43" spans="1:26" ht="15.95" customHeight="1" x14ac:dyDescent="0.15">
      <c r="A43" s="656">
        <v>42736</v>
      </c>
      <c r="B43" s="657" t="str">
        <f t="shared" ca="1" si="0"/>
        <v>02</v>
      </c>
      <c r="C43" s="658" t="s">
        <v>37</v>
      </c>
      <c r="D43" s="659">
        <f ca="1">IF($A43="","",IFERROR(GETPIVOTDATA("合計 / 入金予定",【ピボット】国保連売上!$A$3,"年月",$A43,"事業所コード",$B43,"事業所",$C43,"事業区分",D$1,"請求区分","単月"),0)
+IFERROR(GETPIVOTDATA("合計 / 入金予定",【ピボット】国保連売上!$A$3,"年月",$A43,"事業所コード",$B43,"事業所",$C43,"事業区分",D$1,"請求区分","再請求"),0))</f>
        <v>3933890</v>
      </c>
      <c r="E43" s="659">
        <f ca="1">IF($A43="","",IFERROR(GETPIVOTDATA("合計 / 処遇改善加算金",【ピボット】国保連売上!$A$3,"年月",$A43,"事業所コード",$B43,"事業所",$C43,"事業区分",D$1,"請求区分","単月"),0))</f>
        <v>311423</v>
      </c>
      <c r="F43" s="659">
        <f ca="1">IF($A43="","",IFERROR(GETPIVOTDATA("合計 / 入金予定",【ピボット】国保連売上!$A$3,"年月",$A43,"事業所コード",$B43,"事業所",$C43,"事業区分",F$1,"請求区分","単月"),0)
+IFERROR(GETPIVOTDATA("合計 / 入金予定",【ピボット】国保連売上!$A$3,"年月",$A43,"事業所コード",$B43,"事業所",$C43,"事業区分",F$1,"請求区分","再請求"),0))</f>
        <v>361265</v>
      </c>
      <c r="G43" s="659">
        <f ca="1">IF($A43="","",IFERROR(GETPIVOTDATA("合計 / 処遇改善加算金",【ピボット】国保連売上!$A$3,"年月",$A43,"事業所コード",$B43,"事業所",$C43,"事業区分",F$1,"請求区分","単月"),0))</f>
        <v>65389</v>
      </c>
      <c r="H43" s="659">
        <f ca="1">IF($A43="","",IFERROR(GETPIVOTDATA("合計 / 入金予定",【ピボット】国保連売上!$A$3,"年月",$A43,"事業所コード",$B43,"事業所",$C43,"事業区分",H$1,"請求区分","単月"),0)
+IFERROR(GETPIVOTDATA("合計 / 入金予定",【ピボット】国保連売上!$A$3,"年月",$A43,"事業所コード",$B43,"事業所",$C43,"事業区分",H$1,"請求区分","再請求"),0))</f>
        <v>359083</v>
      </c>
      <c r="I43" s="659">
        <f ca="1">IF($A43="","",IFERROR(GETPIVOTDATA("合計 / 入金予定",【ピボット】国保連売上!$A$3,"年月",$A43,"事業所コード",$B43,"事業所",$C43,"事業区分",I$1,"請求区分","単月"),0)
+IFERROR(GETPIVOTDATA("合計 / 入金予定",【ピボット】国保連売上!$A$3,"年月",$A43,"事業所コード",$B43,"事業所",$C43,"事業区分",I$1,"請求区分","再請求"),0))</f>
        <v>0</v>
      </c>
      <c r="J43" s="659">
        <f ca="1">IF($A43="","",IFERROR(GETPIVOTDATA("合計 / 処遇改善加算金",【ピボット】国保連売上!$A$3,"年月",$A43,"事業所コード",$B43,"事業所",$C43,"事業区分",I$1,"請求区分","単月"),0))</f>
        <v>0</v>
      </c>
      <c r="K43" s="659">
        <f ca="1">IF($A43="","",IFERROR(GETPIVOTDATA("合計 / 入金予定",【ピボット】国保連売上!$A$3,"年月",$A43,"事業所コード",$B43,"事業所",$C43,"事業区分",K$1,"請求区分","単月"),0)
+IFERROR(GETPIVOTDATA("合計 / 入金予定",【ピボット】国保連売上!$A$3,"年月",$A43,"事業所コード",$B43,"事業所",$C43,"事業区分",K$1,"請求区分","再請求"),0))</f>
        <v>0</v>
      </c>
      <c r="L43" s="659">
        <f ca="1">IF($A43="","",IFERROR(GETPIVOTDATA("合計 / 処遇改善加算金",【ピボット】国保連売上!$A$3,"年月",$A43,"事業所コード",$B43,"事業所",$C43,"事業区分",K$1,"請求区分","単月"),0))</f>
        <v>0</v>
      </c>
      <c r="M43" s="659">
        <f ca="1">IF($A43="","",IFERROR(GETPIVOTDATA("合計 / 入金予定",【ピボット】国保連売上!$A$3,"年月",$A43,"事業所コード",$B43,"事業所",$C43,"事業区分",M$1,"請求区分","単月"),0)
+IFERROR(GETPIVOTDATA("合計 / 入金予定",【ピボット】国保連売上!$A$3,"年月",$A43,"事業所コード",$B43,"事業所",$C43,"事業区分",M$1,"請求区分","再請求"),0))</f>
        <v>0</v>
      </c>
      <c r="N43" s="660">
        <v>128871</v>
      </c>
      <c r="O43" s="660">
        <v>0</v>
      </c>
      <c r="P43" s="660">
        <v>0</v>
      </c>
      <c r="Q43" s="660">
        <v>2349</v>
      </c>
      <c r="R43" s="660">
        <v>110118</v>
      </c>
      <c r="S43" s="660">
        <v>0</v>
      </c>
      <c r="T43" s="660">
        <v>0</v>
      </c>
      <c r="U43" s="660">
        <v>0</v>
      </c>
      <c r="V43" s="660">
        <v>0</v>
      </c>
      <c r="W43" s="660">
        <v>0</v>
      </c>
      <c r="X43" s="660">
        <v>0</v>
      </c>
      <c r="Y43" s="659">
        <f t="shared" ca="1" si="2"/>
        <v>4895576</v>
      </c>
      <c r="Z43" s="659">
        <f t="shared" ca="1" si="1"/>
        <v>241338</v>
      </c>
    </row>
    <row r="44" spans="1:26" ht="15.95" customHeight="1" x14ac:dyDescent="0.15">
      <c r="A44" s="656">
        <v>42736</v>
      </c>
      <c r="B44" s="657" t="str">
        <f t="shared" ca="1" si="0"/>
        <v>03</v>
      </c>
      <c r="C44" s="658" t="s">
        <v>66</v>
      </c>
      <c r="D44" s="659">
        <f ca="1">IF($A44="","",IFERROR(GETPIVOTDATA("合計 / 入金予定",【ピボット】国保連売上!$A$3,"年月",$A44,"事業所コード",$B44,"事業所",$C44,"事業区分",D$1,"請求区分","単月"),0)
+IFERROR(GETPIVOTDATA("合計 / 入金予定",【ピボット】国保連売上!$A$3,"年月",$A44,"事業所コード",$B44,"事業所",$C44,"事業区分",D$1,"請求区分","再請求"),0))</f>
        <v>2747083</v>
      </c>
      <c r="E44" s="659">
        <f ca="1">IF($A44="","",IFERROR(GETPIVOTDATA("合計 / 処遇改善加算金",【ピボット】国保連売上!$A$3,"年月",$A44,"事業所コード",$B44,"事業所",$C44,"事業区分",D$1,"請求区分","単月"),0))</f>
        <v>217059</v>
      </c>
      <c r="F44" s="659">
        <f ca="1">IF($A44="","",IFERROR(GETPIVOTDATA("合計 / 入金予定",【ピボット】国保連売上!$A$3,"年月",$A44,"事業所コード",$B44,"事業所",$C44,"事業区分",F$1,"請求区分","単月"),0)
+IFERROR(GETPIVOTDATA("合計 / 入金予定",【ピボット】国保連売上!$A$3,"年月",$A44,"事業所コード",$B44,"事業所",$C44,"事業区分",F$1,"請求区分","再請求"),0))</f>
        <v>1250768</v>
      </c>
      <c r="G44" s="659">
        <f ca="1">IF($A44="","",IFERROR(GETPIVOTDATA("合計 / 処遇改善加算金",【ピボット】国保連売上!$A$3,"年月",$A44,"事業所コード",$B44,"事業所",$C44,"事業区分",F$1,"請求区分","単月"),0))</f>
        <v>224199</v>
      </c>
      <c r="H44" s="659">
        <f ca="1">IF($A44="","",IFERROR(GETPIVOTDATA("合計 / 入金予定",【ピボット】国保連売上!$A$3,"年月",$A44,"事業所コード",$B44,"事業所",$C44,"事業区分",H$1,"請求区分","単月"),0)
+IFERROR(GETPIVOTDATA("合計 / 入金予定",【ピボット】国保連売上!$A$3,"年月",$A44,"事業所コード",$B44,"事業所",$C44,"事業区分",H$1,"請求区分","再請求"),0))</f>
        <v>0</v>
      </c>
      <c r="I44" s="659">
        <f ca="1">IF($A44="","",IFERROR(GETPIVOTDATA("合計 / 入金予定",【ピボット】国保連売上!$A$3,"年月",$A44,"事業所コード",$B44,"事業所",$C44,"事業区分",I$1,"請求区分","単月"),0)
+IFERROR(GETPIVOTDATA("合計 / 入金予定",【ピボット】国保連売上!$A$3,"年月",$A44,"事業所コード",$B44,"事業所",$C44,"事業区分",I$1,"請求区分","再請求"),0))</f>
        <v>0</v>
      </c>
      <c r="J44" s="659">
        <f ca="1">IF($A44="","",IFERROR(GETPIVOTDATA("合計 / 処遇改善加算金",【ピボット】国保連売上!$A$3,"年月",$A44,"事業所コード",$B44,"事業所",$C44,"事業区分",I$1,"請求区分","単月"),0))</f>
        <v>0</v>
      </c>
      <c r="K44" s="659">
        <f ca="1">IF($A44="","",IFERROR(GETPIVOTDATA("合計 / 入金予定",【ピボット】国保連売上!$A$3,"年月",$A44,"事業所コード",$B44,"事業所",$C44,"事業区分",K$1,"請求区分","単月"),0)
+IFERROR(GETPIVOTDATA("合計 / 入金予定",【ピボット】国保連売上!$A$3,"年月",$A44,"事業所コード",$B44,"事業所",$C44,"事業区分",K$1,"請求区分","再請求"),0))</f>
        <v>0</v>
      </c>
      <c r="L44" s="659">
        <f ca="1">IF($A44="","",IFERROR(GETPIVOTDATA("合計 / 処遇改善加算金",【ピボット】国保連売上!$A$3,"年月",$A44,"事業所コード",$B44,"事業所",$C44,"事業区分",K$1,"請求区分","単月"),0))</f>
        <v>0</v>
      </c>
      <c r="M44" s="659">
        <f ca="1">IF($A44="","",IFERROR(GETPIVOTDATA("合計 / 入金予定",【ピボット】国保連売上!$A$3,"年月",$A44,"事業所コード",$B44,"事業所",$C44,"事業区分",M$1,"請求区分","単月"),0)
+IFERROR(GETPIVOTDATA("合計 / 入金予定",【ピボット】国保連売上!$A$3,"年月",$A44,"事業所コード",$B44,"事業所",$C44,"事業区分",M$1,"請求区分","再請求"),0))</f>
        <v>0</v>
      </c>
      <c r="N44" s="660">
        <v>81100</v>
      </c>
      <c r="O44" s="660">
        <v>90605</v>
      </c>
      <c r="P44" s="660">
        <v>0</v>
      </c>
      <c r="Q44" s="660">
        <v>3652</v>
      </c>
      <c r="R44" s="660">
        <v>0</v>
      </c>
      <c r="S44" s="660">
        <v>0</v>
      </c>
      <c r="T44" s="660">
        <v>0</v>
      </c>
      <c r="U44" s="660">
        <v>0</v>
      </c>
      <c r="V44" s="660">
        <v>0</v>
      </c>
      <c r="W44" s="660">
        <v>0</v>
      </c>
      <c r="X44" s="660">
        <v>0</v>
      </c>
      <c r="Y44" s="659">
        <f t="shared" ca="1" si="2"/>
        <v>4173208</v>
      </c>
      <c r="Z44" s="659">
        <f t="shared" ca="1" si="1"/>
        <v>175357</v>
      </c>
    </row>
    <row r="45" spans="1:26" ht="15.95" customHeight="1" x14ac:dyDescent="0.15">
      <c r="A45" s="656">
        <v>42736</v>
      </c>
      <c r="B45" s="657" t="str">
        <f t="shared" ca="1" si="0"/>
        <v>04</v>
      </c>
      <c r="C45" s="658" t="s">
        <v>358</v>
      </c>
      <c r="D45" s="659">
        <f ca="1">IF($A45="","",IFERROR(GETPIVOTDATA("合計 / 入金予定",【ピボット】国保連売上!$A$3,"年月",$A45,"事業所コード",$B45,"事業所",$C45,"事業区分",D$1,"請求区分","単月"),0)
+IFERROR(GETPIVOTDATA("合計 / 入金予定",【ピボット】国保連売上!$A$3,"年月",$A45,"事業所コード",$B45,"事業所",$C45,"事業区分",D$1,"請求区分","再請求"),0))</f>
        <v>0</v>
      </c>
      <c r="E45" s="659">
        <f ca="1">IF($A45="","",IFERROR(GETPIVOTDATA("合計 / 処遇改善加算金",【ピボット】国保連売上!$A$3,"年月",$A45,"事業所コード",$B45,"事業所",$C45,"事業区分",D$1,"請求区分","単月"),0))</f>
        <v>0</v>
      </c>
      <c r="F45" s="659">
        <f ca="1">IF($A45="","",IFERROR(GETPIVOTDATA("合計 / 入金予定",【ピボット】国保連売上!$A$3,"年月",$A45,"事業所コード",$B45,"事業所",$C45,"事業区分",F$1,"請求区分","単月"),0)
+IFERROR(GETPIVOTDATA("合計 / 入金予定",【ピボット】国保連売上!$A$3,"年月",$A45,"事業所コード",$B45,"事業所",$C45,"事業区分",F$1,"請求区分","再請求"),0))</f>
        <v>0</v>
      </c>
      <c r="G45" s="659">
        <f ca="1">IF($A45="","",IFERROR(GETPIVOTDATA("合計 / 処遇改善加算金",【ピボット】国保連売上!$A$3,"年月",$A45,"事業所コード",$B45,"事業所",$C45,"事業区分",F$1,"請求区分","単月"),0))</f>
        <v>0</v>
      </c>
      <c r="H45" s="659">
        <f ca="1">IF($A45="","",IFERROR(GETPIVOTDATA("合計 / 入金予定",【ピボット】国保連売上!$A$3,"年月",$A45,"事業所コード",$B45,"事業所",$C45,"事業区分",H$1,"請求区分","単月"),0)
+IFERROR(GETPIVOTDATA("合計 / 入金予定",【ピボット】国保連売上!$A$3,"年月",$A45,"事業所コード",$B45,"事業所",$C45,"事業区分",H$1,"請求区分","再請求"),0))</f>
        <v>0</v>
      </c>
      <c r="I45" s="659">
        <f ca="1">IF($A45="","",IFERROR(GETPIVOTDATA("合計 / 入金予定",【ピボット】国保連売上!$A$3,"年月",$A45,"事業所コード",$B45,"事業所",$C45,"事業区分",I$1,"請求区分","単月"),0)
+IFERROR(GETPIVOTDATA("合計 / 入金予定",【ピボット】国保連売上!$A$3,"年月",$A45,"事業所コード",$B45,"事業所",$C45,"事業区分",I$1,"請求区分","再請求"),0))</f>
        <v>2308205</v>
      </c>
      <c r="J45" s="659">
        <f ca="1">IF($A45="","",IFERROR(GETPIVOTDATA("合計 / 処遇改善加算金",【ピボット】国保連売上!$A$3,"年月",$A45,"事業所コード",$B45,"事業所",$C45,"事業区分",I$1,"請求区分","単月"),0))</f>
        <v>88738</v>
      </c>
      <c r="K45" s="659">
        <f ca="1">IF($A45="","",IFERROR(GETPIVOTDATA("合計 / 入金予定",【ピボット】国保連売上!$A$3,"年月",$A45,"事業所コード",$B45,"事業所",$C45,"事業区分",K$1,"請求区分","単月"),0)
+IFERROR(GETPIVOTDATA("合計 / 入金予定",【ピボット】国保連売上!$A$3,"年月",$A45,"事業所コード",$B45,"事業所",$C45,"事業区分",K$1,"請求区分","再請求"),0))</f>
        <v>0</v>
      </c>
      <c r="L45" s="659">
        <f ca="1">IF($A45="","",IFERROR(GETPIVOTDATA("合計 / 処遇改善加算金",【ピボット】国保連売上!$A$3,"年月",$A45,"事業所コード",$B45,"事業所",$C45,"事業区分",K$1,"請求区分","単月"),0))</f>
        <v>0</v>
      </c>
      <c r="M45" s="659">
        <f ca="1">IF($A45="","",IFERROR(GETPIVOTDATA("合計 / 入金予定",【ピボット】国保連売上!$A$3,"年月",$A45,"事業所コード",$B45,"事業所",$C45,"事業区分",M$1,"請求区分","単月"),0)
+IFERROR(GETPIVOTDATA("合計 / 入金予定",【ピボット】国保連売上!$A$3,"年月",$A45,"事業所コード",$B45,"事業所",$C45,"事業区分",M$1,"請求区分","再請求"),0))</f>
        <v>0</v>
      </c>
      <c r="N45" s="660">
        <v>0</v>
      </c>
      <c r="O45" s="660">
        <v>0</v>
      </c>
      <c r="P45" s="660">
        <v>0</v>
      </c>
      <c r="Q45" s="660">
        <v>0</v>
      </c>
      <c r="R45" s="660">
        <v>0</v>
      </c>
      <c r="S45" s="660">
        <v>0</v>
      </c>
      <c r="T45" s="660">
        <v>146850</v>
      </c>
      <c r="U45" s="660">
        <v>0</v>
      </c>
      <c r="V45" s="660">
        <v>0</v>
      </c>
      <c r="W45" s="660">
        <v>0</v>
      </c>
      <c r="X45" s="660">
        <v>0</v>
      </c>
      <c r="Y45" s="659">
        <f t="shared" ca="1" si="2"/>
        <v>2455055</v>
      </c>
      <c r="Z45" s="659">
        <f t="shared" ca="1" si="1"/>
        <v>146850</v>
      </c>
    </row>
    <row r="46" spans="1:26" ht="15.95" customHeight="1" x14ac:dyDescent="0.15">
      <c r="A46" s="656">
        <v>42736</v>
      </c>
      <c r="B46" s="657" t="str">
        <f t="shared" ca="1" si="0"/>
        <v>07</v>
      </c>
      <c r="C46" s="658" t="s">
        <v>119</v>
      </c>
      <c r="D46" s="659">
        <f ca="1">IF($A46="","",IFERROR(GETPIVOTDATA("合計 / 入金予定",【ピボット】国保連売上!$A$3,"年月",$A46,"事業所コード",$B46,"事業所",$C46,"事業区分",D$1,"請求区分","単月"),0)
+IFERROR(GETPIVOTDATA("合計 / 入金予定",【ピボット】国保連売上!$A$3,"年月",$A46,"事業所コード",$B46,"事業所",$C46,"事業区分",D$1,"請求区分","再請求"),0))</f>
        <v>0</v>
      </c>
      <c r="E46" s="659">
        <f ca="1">IF($A46="","",IFERROR(GETPIVOTDATA("合計 / 処遇改善加算金",【ピボット】国保連売上!$A$3,"年月",$A46,"事業所コード",$B46,"事業所",$C46,"事業区分",D$1,"請求区分","単月"),0))</f>
        <v>0</v>
      </c>
      <c r="F46" s="659">
        <f ca="1">IF($A46="","",IFERROR(GETPIVOTDATA("合計 / 入金予定",【ピボット】国保連売上!$A$3,"年月",$A46,"事業所コード",$B46,"事業所",$C46,"事業区分",F$1,"請求区分","単月"),0)
+IFERROR(GETPIVOTDATA("合計 / 入金予定",【ピボット】国保連売上!$A$3,"年月",$A46,"事業所コード",$B46,"事業所",$C46,"事業区分",F$1,"請求区分","再請求"),0))</f>
        <v>0</v>
      </c>
      <c r="G46" s="659">
        <f ca="1">IF($A46="","",IFERROR(GETPIVOTDATA("合計 / 処遇改善加算金",【ピボット】国保連売上!$A$3,"年月",$A46,"事業所コード",$B46,"事業所",$C46,"事業区分",F$1,"請求区分","単月"),0))</f>
        <v>0</v>
      </c>
      <c r="H46" s="659">
        <f ca="1">IF($A46="","",IFERROR(GETPIVOTDATA("合計 / 入金予定",【ピボット】国保連売上!$A$3,"年月",$A46,"事業所コード",$B46,"事業所",$C46,"事業区分",H$1,"請求区分","単月"),0)
+IFERROR(GETPIVOTDATA("合計 / 入金予定",【ピボット】国保連売上!$A$3,"年月",$A46,"事業所コード",$B46,"事業所",$C46,"事業区分",H$1,"請求区分","再請求"),0))</f>
        <v>0</v>
      </c>
      <c r="I46" s="659">
        <f ca="1">IF($A46="","",IFERROR(GETPIVOTDATA("合計 / 入金予定",【ピボット】国保連売上!$A$3,"年月",$A46,"事業所コード",$B46,"事業所",$C46,"事業区分",I$1,"請求区分","単月"),0)
+IFERROR(GETPIVOTDATA("合計 / 入金予定",【ピボット】国保連売上!$A$3,"年月",$A46,"事業所コード",$B46,"事業所",$C46,"事業区分",I$1,"請求区分","再請求"),0))</f>
        <v>0</v>
      </c>
      <c r="J46" s="659">
        <f ca="1">IF($A46="","",IFERROR(GETPIVOTDATA("合計 / 処遇改善加算金",【ピボット】国保連売上!$A$3,"年月",$A46,"事業所コード",$B46,"事業所",$C46,"事業区分",I$1,"請求区分","単月"),0))</f>
        <v>0</v>
      </c>
      <c r="K46" s="659">
        <f ca="1">IF($A46="","",IFERROR(GETPIVOTDATA("合計 / 入金予定",【ピボット】国保連売上!$A$3,"年月",$A46,"事業所コード",$B46,"事業所",$C46,"事業区分",K$1,"請求区分","単月"),0)
+IFERROR(GETPIVOTDATA("合計 / 入金予定",【ピボット】国保連売上!$A$3,"年月",$A46,"事業所コード",$B46,"事業所",$C46,"事業区分",K$1,"請求区分","再請求"),0))</f>
        <v>1203664</v>
      </c>
      <c r="L46" s="659">
        <f ca="1">IF($A46="","",IFERROR(GETPIVOTDATA("合計 / 処遇改善加算金",【ピボット】国保連売上!$A$3,"年月",$A46,"事業所コード",$B46,"事業所",$C46,"事業区分",K$1,"請求区分","単月"),0))</f>
        <v>84778</v>
      </c>
      <c r="M46" s="659">
        <f ca="1">IF($A46="","",IFERROR(GETPIVOTDATA("合計 / 入金予定",【ピボット】国保連売上!$A$3,"年月",$A46,"事業所コード",$B46,"事業所",$C46,"事業区分",M$1,"請求区分","単月"),0)
+IFERROR(GETPIVOTDATA("合計 / 入金予定",【ピボット】国保連売上!$A$3,"年月",$A46,"事業所コード",$B46,"事業所",$C46,"事業区分",M$1,"請求区分","再請求"),0))</f>
        <v>0</v>
      </c>
      <c r="N46" s="660">
        <v>0</v>
      </c>
      <c r="O46" s="660">
        <v>0</v>
      </c>
      <c r="P46" s="660">
        <v>0</v>
      </c>
      <c r="Q46" s="660">
        <v>0</v>
      </c>
      <c r="R46" s="660">
        <v>0</v>
      </c>
      <c r="S46" s="660">
        <v>78000</v>
      </c>
      <c r="T46" s="660">
        <v>0</v>
      </c>
      <c r="U46" s="660">
        <v>0</v>
      </c>
      <c r="V46" s="660">
        <v>-30000</v>
      </c>
      <c r="W46" s="660">
        <v>0</v>
      </c>
      <c r="X46" s="660">
        <v>0</v>
      </c>
      <c r="Y46" s="659">
        <f t="shared" ca="1" si="2"/>
        <v>1251664</v>
      </c>
      <c r="Z46" s="659">
        <f t="shared" ca="1" si="1"/>
        <v>48000</v>
      </c>
    </row>
    <row r="47" spans="1:26" ht="15.95" customHeight="1" x14ac:dyDescent="0.15">
      <c r="A47" s="656">
        <v>42736</v>
      </c>
      <c r="B47" s="657" t="str">
        <f t="shared" ca="1" si="0"/>
        <v>08</v>
      </c>
      <c r="C47" s="658" t="s">
        <v>189</v>
      </c>
      <c r="D47" s="659">
        <f ca="1">IF($A47="","",IFERROR(GETPIVOTDATA("合計 / 入金予定",【ピボット】国保連売上!$A$3,"年月",$A47,"事業所コード",$B47,"事業所",$C47,"事業区分",D$1,"請求区分","単月"),0)
+IFERROR(GETPIVOTDATA("合計 / 入金予定",【ピボット】国保連売上!$A$3,"年月",$A47,"事業所コード",$B47,"事業所",$C47,"事業区分",D$1,"請求区分","再請求"),0))</f>
        <v>0</v>
      </c>
      <c r="E47" s="659">
        <f ca="1">IF($A47="","",IFERROR(GETPIVOTDATA("合計 / 処遇改善加算金",【ピボット】国保連売上!$A$3,"年月",$A47,"事業所コード",$B47,"事業所",$C47,"事業区分",D$1,"請求区分","単月"),0))</f>
        <v>0</v>
      </c>
      <c r="F47" s="659">
        <f ca="1">IF($A47="","",IFERROR(GETPIVOTDATA("合計 / 入金予定",【ピボット】国保連売上!$A$3,"年月",$A47,"事業所コード",$B47,"事業所",$C47,"事業区分",F$1,"請求区分","単月"),0)
+IFERROR(GETPIVOTDATA("合計 / 入金予定",【ピボット】国保連売上!$A$3,"年月",$A47,"事業所コード",$B47,"事業所",$C47,"事業区分",F$1,"請求区分","再請求"),0))</f>
        <v>0</v>
      </c>
      <c r="G47" s="659">
        <f ca="1">IF($A47="","",IFERROR(GETPIVOTDATA("合計 / 処遇改善加算金",【ピボット】国保連売上!$A$3,"年月",$A47,"事業所コード",$B47,"事業所",$C47,"事業区分",F$1,"請求区分","単月"),0))</f>
        <v>0</v>
      </c>
      <c r="H47" s="659">
        <f ca="1">IF($A47="","",IFERROR(GETPIVOTDATA("合計 / 入金予定",【ピボット】国保連売上!$A$3,"年月",$A47,"事業所コード",$B47,"事業所",$C47,"事業区分",H$1,"請求区分","単月"),0)
+IFERROR(GETPIVOTDATA("合計 / 入金予定",【ピボット】国保連売上!$A$3,"年月",$A47,"事業所コード",$B47,"事業所",$C47,"事業区分",H$1,"請求区分","再請求"),0))</f>
        <v>0</v>
      </c>
      <c r="I47" s="659">
        <f ca="1">IF($A47="","",IFERROR(GETPIVOTDATA("合計 / 入金予定",【ピボット】国保連売上!$A$3,"年月",$A47,"事業所コード",$B47,"事業所",$C47,"事業区分",I$1,"請求区分","単月"),0)
+IFERROR(GETPIVOTDATA("合計 / 入金予定",【ピボット】国保連売上!$A$3,"年月",$A47,"事業所コード",$B47,"事業所",$C47,"事業区分",I$1,"請求区分","再請求"),0))</f>
        <v>0</v>
      </c>
      <c r="J47" s="659">
        <f ca="1">IF($A47="","",IFERROR(GETPIVOTDATA("合計 / 処遇改善加算金",【ピボット】国保連売上!$A$3,"年月",$A47,"事業所コード",$B47,"事業所",$C47,"事業区分",I$1,"請求区分","単月"),0))</f>
        <v>0</v>
      </c>
      <c r="K47" s="659">
        <f ca="1">IF($A47="","",IFERROR(GETPIVOTDATA("合計 / 入金予定",【ピボット】国保連売上!$A$3,"年月",$A47,"事業所コード",$B47,"事業所",$C47,"事業区分",K$1,"請求区分","単月"),0)
+IFERROR(GETPIVOTDATA("合計 / 入金予定",【ピボット】国保連売上!$A$3,"年月",$A47,"事業所コード",$B47,"事業所",$C47,"事業区分",K$1,"請求区分","再請求"),0))</f>
        <v>521532</v>
      </c>
      <c r="L47" s="659">
        <f ca="1">IF($A47="","",IFERROR(GETPIVOTDATA("合計 / 処遇改善加算金",【ピボット】国保連売上!$A$3,"年月",$A47,"事業所コード",$B47,"事業所",$C47,"事業区分",K$1,"請求区分","単月"),0))</f>
        <v>0</v>
      </c>
      <c r="M47" s="659">
        <f ca="1">IF($A47="","",IFERROR(GETPIVOTDATA("合計 / 入金予定",【ピボット】国保連売上!$A$3,"年月",$A47,"事業所コード",$B47,"事業所",$C47,"事業区分",M$1,"請求区分","単月"),0)
+IFERROR(GETPIVOTDATA("合計 / 入金予定",【ピボット】国保連売上!$A$3,"年月",$A47,"事業所コード",$B47,"事業所",$C47,"事業区分",M$1,"請求区分","再請求"),0))</f>
        <v>0</v>
      </c>
      <c r="N47" s="660">
        <v>0</v>
      </c>
      <c r="O47" s="660">
        <v>0</v>
      </c>
      <c r="P47" s="660">
        <v>0</v>
      </c>
      <c r="Q47" s="660">
        <v>0</v>
      </c>
      <c r="R47" s="660">
        <v>0</v>
      </c>
      <c r="S47" s="660">
        <v>98000</v>
      </c>
      <c r="T47" s="660">
        <v>0</v>
      </c>
      <c r="U47" s="660">
        <v>0</v>
      </c>
      <c r="V47" s="660">
        <v>-10000</v>
      </c>
      <c r="W47" s="660">
        <v>0</v>
      </c>
      <c r="X47" s="660">
        <v>0</v>
      </c>
      <c r="Y47" s="659">
        <f t="shared" ca="1" si="2"/>
        <v>609532</v>
      </c>
      <c r="Z47" s="659">
        <f t="shared" ca="1" si="1"/>
        <v>88000</v>
      </c>
    </row>
    <row r="48" spans="1:26" ht="15.95" customHeight="1" x14ac:dyDescent="0.15">
      <c r="A48" s="656">
        <v>42736</v>
      </c>
      <c r="B48" s="657" t="str">
        <f t="shared" ca="1" si="0"/>
        <v>05</v>
      </c>
      <c r="C48" s="658" t="s">
        <v>38</v>
      </c>
      <c r="D48" s="659">
        <f ca="1">IF($A48="","",IFERROR(GETPIVOTDATA("合計 / 入金予定",【ピボット】国保連売上!$A$3,"年月",$A48,"事業所コード",$B48,"事業所",$C48,"事業区分",D$1,"請求区分","単月"),0)
+IFERROR(GETPIVOTDATA("合計 / 入金予定",【ピボット】国保連売上!$A$3,"年月",$A48,"事業所コード",$B48,"事業所",$C48,"事業区分",D$1,"請求区分","再請求"),0))</f>
        <v>2053904</v>
      </c>
      <c r="E48" s="659">
        <f ca="1">IF($A48="","",IFERROR(GETPIVOTDATA("合計 / 処遇改善加算金",【ピボット】国保連売上!$A$3,"年月",$A48,"事業所コード",$B48,"事業所",$C48,"事業区分",D$1,"請求区分","単月"),0))</f>
        <v>0</v>
      </c>
      <c r="F48" s="659">
        <f ca="1">IF($A48="","",IFERROR(GETPIVOTDATA("合計 / 入金予定",【ピボット】国保連売上!$A$3,"年月",$A48,"事業所コード",$B48,"事業所",$C48,"事業区分",F$1,"請求区分","単月"),0)
+IFERROR(GETPIVOTDATA("合計 / 入金予定",【ピボット】国保連売上!$A$3,"年月",$A48,"事業所コード",$B48,"事業所",$C48,"事業区分",F$1,"請求区分","再請求"),0))</f>
        <v>0</v>
      </c>
      <c r="G48" s="659">
        <f ca="1">IF($A48="","",IFERROR(GETPIVOTDATA("合計 / 処遇改善加算金",【ピボット】国保連売上!$A$3,"年月",$A48,"事業所コード",$B48,"事業所",$C48,"事業区分",F$1,"請求区分","単月"),0))</f>
        <v>0</v>
      </c>
      <c r="H48" s="659">
        <f ca="1">IF($A48="","",IFERROR(GETPIVOTDATA("合計 / 入金予定",【ピボット】国保連売上!$A$3,"年月",$A48,"事業所コード",$B48,"事業所",$C48,"事業区分",H$1,"請求区分","単月"),0)
+IFERROR(GETPIVOTDATA("合計 / 入金予定",【ピボット】国保連売上!$A$3,"年月",$A48,"事業所コード",$B48,"事業所",$C48,"事業区分",H$1,"請求区分","再請求"),0))</f>
        <v>0</v>
      </c>
      <c r="I48" s="659">
        <f ca="1">IF($A48="","",IFERROR(GETPIVOTDATA("合計 / 入金予定",【ピボット】国保連売上!$A$3,"年月",$A48,"事業所コード",$B48,"事業所",$C48,"事業区分",I$1,"請求区分","単月"),0)
+IFERROR(GETPIVOTDATA("合計 / 入金予定",【ピボット】国保連売上!$A$3,"年月",$A48,"事業所コード",$B48,"事業所",$C48,"事業区分",I$1,"請求区分","再請求"),0))</f>
        <v>0</v>
      </c>
      <c r="J48" s="659">
        <f ca="1">IF($A48="","",IFERROR(GETPIVOTDATA("合計 / 処遇改善加算金",【ピボット】国保連売上!$A$3,"年月",$A48,"事業所コード",$B48,"事業所",$C48,"事業区分",I$1,"請求区分","単月"),0))</f>
        <v>0</v>
      </c>
      <c r="K48" s="659">
        <f ca="1">IF($A48="","",IFERROR(GETPIVOTDATA("合計 / 入金予定",【ピボット】国保連売上!$A$3,"年月",$A48,"事業所コード",$B48,"事業所",$C48,"事業区分",K$1,"請求区分","単月"),0)
+IFERROR(GETPIVOTDATA("合計 / 入金予定",【ピボット】国保連売上!$A$3,"年月",$A48,"事業所コード",$B48,"事業所",$C48,"事業区分",K$1,"請求区分","再請求"),0))</f>
        <v>0</v>
      </c>
      <c r="L48" s="659">
        <f ca="1">IF($A48="","",IFERROR(GETPIVOTDATA("合計 / 処遇改善加算金",【ピボット】国保連売上!$A$3,"年月",$A48,"事業所コード",$B48,"事業所",$C48,"事業区分",K$1,"請求区分","単月"),0))</f>
        <v>0</v>
      </c>
      <c r="M48" s="659">
        <f ca="1">IF($A48="","",IFERROR(GETPIVOTDATA("合計 / 入金予定",【ピボット】国保連売上!$A$3,"年月",$A48,"事業所コード",$B48,"事業所",$C48,"事業区分",M$1,"請求区分","単月"),0)
+IFERROR(GETPIVOTDATA("合計 / 入金予定",【ピボット】国保連売上!$A$3,"年月",$A48,"事業所コード",$B48,"事業所",$C48,"事業区分",M$1,"請求区分","再請求"),0))</f>
        <v>0</v>
      </c>
      <c r="N48" s="660">
        <v>27000</v>
      </c>
      <c r="O48" s="660">
        <v>0</v>
      </c>
      <c r="P48" s="660">
        <v>0</v>
      </c>
      <c r="Q48" s="660">
        <v>0</v>
      </c>
      <c r="R48" s="660">
        <v>0</v>
      </c>
      <c r="S48" s="660">
        <v>756311</v>
      </c>
      <c r="T48" s="660">
        <v>0</v>
      </c>
      <c r="U48" s="660">
        <v>0</v>
      </c>
      <c r="V48" s="660">
        <v>0</v>
      </c>
      <c r="W48" s="660">
        <v>0</v>
      </c>
      <c r="X48" s="660">
        <v>0</v>
      </c>
      <c r="Y48" s="659">
        <f t="shared" ca="1" si="2"/>
        <v>2837215</v>
      </c>
      <c r="Z48" s="659">
        <f t="shared" ca="1" si="1"/>
        <v>783311</v>
      </c>
    </row>
    <row r="49" spans="1:26" ht="15.95" customHeight="1" x14ac:dyDescent="0.15">
      <c r="A49" s="656">
        <v>42736</v>
      </c>
      <c r="B49" s="657" t="str">
        <f t="shared" ca="1" si="0"/>
        <v>06</v>
      </c>
      <c r="C49" s="658" t="s">
        <v>57</v>
      </c>
      <c r="D49" s="659">
        <f ca="1">IF($A49="","",IFERROR(GETPIVOTDATA("合計 / 入金予定",【ピボット】国保連売上!$A$3,"年月",$A49,"事業所コード",$B49,"事業所",$C49,"事業区分",D$1,"請求区分","単月"),0)
+IFERROR(GETPIVOTDATA("合計 / 入金予定",【ピボット】国保連売上!$A$3,"年月",$A49,"事業所コード",$B49,"事業所",$C49,"事業区分",D$1,"請求区分","再請求"),0))</f>
        <v>672023</v>
      </c>
      <c r="E49" s="659">
        <f ca="1">IF($A49="","",IFERROR(GETPIVOTDATA("合計 / 処遇改善加算金",【ピボット】国保連売上!$A$3,"年月",$A49,"事業所コード",$B49,"事業所",$C49,"事業区分",D$1,"請求区分","単月"),0))</f>
        <v>0</v>
      </c>
      <c r="F49" s="659">
        <f ca="1">IF($A49="","",IFERROR(GETPIVOTDATA("合計 / 入金予定",【ピボット】国保連売上!$A$3,"年月",$A49,"事業所コード",$B49,"事業所",$C49,"事業区分",F$1,"請求区分","単月"),0)
+IFERROR(GETPIVOTDATA("合計 / 入金予定",【ピボット】国保連売上!$A$3,"年月",$A49,"事業所コード",$B49,"事業所",$C49,"事業区分",F$1,"請求区分","再請求"),0))</f>
        <v>0</v>
      </c>
      <c r="G49" s="659">
        <f ca="1">IF($A49="","",IFERROR(GETPIVOTDATA("合計 / 処遇改善加算金",【ピボット】国保連売上!$A$3,"年月",$A49,"事業所コード",$B49,"事業所",$C49,"事業区分",F$1,"請求区分","単月"),0))</f>
        <v>0</v>
      </c>
      <c r="H49" s="659">
        <f ca="1">IF($A49="","",IFERROR(GETPIVOTDATA("合計 / 入金予定",【ピボット】国保連売上!$A$3,"年月",$A49,"事業所コード",$B49,"事業所",$C49,"事業区分",H$1,"請求区分","単月"),0)
+IFERROR(GETPIVOTDATA("合計 / 入金予定",【ピボット】国保連売上!$A$3,"年月",$A49,"事業所コード",$B49,"事業所",$C49,"事業区分",H$1,"請求区分","再請求"),0))</f>
        <v>0</v>
      </c>
      <c r="I49" s="659">
        <f ca="1">IF($A49="","",IFERROR(GETPIVOTDATA("合計 / 入金予定",【ピボット】国保連売上!$A$3,"年月",$A49,"事業所コード",$B49,"事業所",$C49,"事業区分",I$1,"請求区分","単月"),0)
+IFERROR(GETPIVOTDATA("合計 / 入金予定",【ピボット】国保連売上!$A$3,"年月",$A49,"事業所コード",$B49,"事業所",$C49,"事業区分",I$1,"請求区分","再請求"),0))</f>
        <v>0</v>
      </c>
      <c r="J49" s="659">
        <f ca="1">IF($A49="","",IFERROR(GETPIVOTDATA("合計 / 処遇改善加算金",【ピボット】国保連売上!$A$3,"年月",$A49,"事業所コード",$B49,"事業所",$C49,"事業区分",I$1,"請求区分","単月"),0))</f>
        <v>0</v>
      </c>
      <c r="K49" s="659">
        <f ca="1">IF($A49="","",IFERROR(GETPIVOTDATA("合計 / 入金予定",【ピボット】国保連売上!$A$3,"年月",$A49,"事業所コード",$B49,"事業所",$C49,"事業区分",K$1,"請求区分","単月"),0)
+IFERROR(GETPIVOTDATA("合計 / 入金予定",【ピボット】国保連売上!$A$3,"年月",$A49,"事業所コード",$B49,"事業所",$C49,"事業区分",K$1,"請求区分","再請求"),0))</f>
        <v>0</v>
      </c>
      <c r="L49" s="659">
        <f ca="1">IF($A49="","",IFERROR(GETPIVOTDATA("合計 / 処遇改善加算金",【ピボット】国保連売上!$A$3,"年月",$A49,"事業所コード",$B49,"事業所",$C49,"事業区分",K$1,"請求区分","単月"),0))</f>
        <v>0</v>
      </c>
      <c r="M49" s="659">
        <f ca="1">IF($A49="","",IFERROR(GETPIVOTDATA("合計 / 入金予定",【ピボット】国保連売上!$A$3,"年月",$A49,"事業所コード",$B49,"事業所",$C49,"事業区分",M$1,"請求区分","単月"),0)
+IFERROR(GETPIVOTDATA("合計 / 入金予定",【ピボット】国保連売上!$A$3,"年月",$A49,"事業所コード",$B49,"事業所",$C49,"事業区分",M$1,"請求区分","再請求"),0))</f>
        <v>0</v>
      </c>
      <c r="N49" s="660">
        <v>1000</v>
      </c>
      <c r="O49" s="660">
        <v>0</v>
      </c>
      <c r="P49" s="660">
        <v>0</v>
      </c>
      <c r="Q49" s="660">
        <v>0</v>
      </c>
      <c r="R49" s="660">
        <v>0</v>
      </c>
      <c r="S49" s="660">
        <v>345280</v>
      </c>
      <c r="T49" s="660">
        <v>0</v>
      </c>
      <c r="U49" s="660">
        <v>0</v>
      </c>
      <c r="V49" s="660">
        <v>0</v>
      </c>
      <c r="W49" s="660">
        <v>0</v>
      </c>
      <c r="X49" s="660">
        <v>0</v>
      </c>
      <c r="Y49" s="659">
        <f t="shared" ca="1" si="2"/>
        <v>1018303</v>
      </c>
      <c r="Z49" s="659">
        <f t="shared" ca="1" si="1"/>
        <v>346280</v>
      </c>
    </row>
    <row r="50" spans="1:26" ht="15.95" customHeight="1" x14ac:dyDescent="0.15">
      <c r="A50" s="656">
        <v>42736</v>
      </c>
      <c r="B50" s="657" t="str">
        <f t="shared" ca="1" si="0"/>
        <v>10</v>
      </c>
      <c r="C50" s="658" t="s">
        <v>583</v>
      </c>
      <c r="D50" s="659">
        <f ca="1">IF($A50="","",IFERROR(GETPIVOTDATA("合計 / 入金予定",【ピボット】国保連売上!$A$3,"年月",$A50,"事業所コード",$B50,"事業所",$C50,"事業区分",D$1,"請求区分","単月"),0)
+IFERROR(GETPIVOTDATA("合計 / 入金予定",【ピボット】国保連売上!$A$3,"年月",$A50,"事業所コード",$B50,"事業所",$C50,"事業区分",D$1,"請求区分","再請求"),0))</f>
        <v>1204218</v>
      </c>
      <c r="E50" s="659">
        <f ca="1">IF($A50="","",IFERROR(GETPIVOTDATA("合計 / 処遇改善加算金",【ピボット】国保連売上!$A$3,"年月",$A50,"事業所コード",$B50,"事業所",$C50,"事業区分",D$1,"請求区分","単月"),0))</f>
        <v>0</v>
      </c>
      <c r="F50" s="659">
        <f ca="1">IF($A50="","",IFERROR(GETPIVOTDATA("合計 / 入金予定",【ピボット】国保連売上!$A$3,"年月",$A50,"事業所コード",$B50,"事業所",$C50,"事業区分",F$1,"請求区分","単月"),0)
+IFERROR(GETPIVOTDATA("合計 / 入金予定",【ピボット】国保連売上!$A$3,"年月",$A50,"事業所コード",$B50,"事業所",$C50,"事業区分",F$1,"請求区分","再請求"),0))</f>
        <v>8422</v>
      </c>
      <c r="G50" s="659">
        <f ca="1">IF($A50="","",IFERROR(GETPIVOTDATA("合計 / 処遇改善加算金",【ピボット】国保連売上!$A$3,"年月",$A50,"事業所コード",$B50,"事業所",$C50,"事業区分",F$1,"請求区分","単月"),0))</f>
        <v>0</v>
      </c>
      <c r="H50" s="659">
        <f ca="1">IF($A50="","",IFERROR(GETPIVOTDATA("合計 / 入金予定",【ピボット】国保連売上!$A$3,"年月",$A50,"事業所コード",$B50,"事業所",$C50,"事業区分",H$1,"請求区分","単月"),0)
+IFERROR(GETPIVOTDATA("合計 / 入金予定",【ピボット】国保連売上!$A$3,"年月",$A50,"事業所コード",$B50,"事業所",$C50,"事業区分",H$1,"請求区分","再請求"),0))</f>
        <v>0</v>
      </c>
      <c r="I50" s="659">
        <f ca="1">IF($A50="","",IFERROR(GETPIVOTDATA("合計 / 入金予定",【ピボット】国保連売上!$A$3,"年月",$A50,"事業所コード",$B50,"事業所",$C50,"事業区分",I$1,"請求区分","単月"),0)
+IFERROR(GETPIVOTDATA("合計 / 入金予定",【ピボット】国保連売上!$A$3,"年月",$A50,"事業所コード",$B50,"事業所",$C50,"事業区分",I$1,"請求区分","再請求"),0))</f>
        <v>0</v>
      </c>
      <c r="J50" s="659">
        <f ca="1">IF($A50="","",IFERROR(GETPIVOTDATA("合計 / 処遇改善加算金",【ピボット】国保連売上!$A$3,"年月",$A50,"事業所コード",$B50,"事業所",$C50,"事業区分",I$1,"請求区分","単月"),0))</f>
        <v>0</v>
      </c>
      <c r="K50" s="659">
        <f ca="1">IF($A50="","",IFERROR(GETPIVOTDATA("合計 / 入金予定",【ピボット】国保連売上!$A$3,"年月",$A50,"事業所コード",$B50,"事業所",$C50,"事業区分",K$1,"請求区分","単月"),0)
+IFERROR(GETPIVOTDATA("合計 / 入金予定",【ピボット】国保連売上!$A$3,"年月",$A50,"事業所コード",$B50,"事業所",$C50,"事業区分",K$1,"請求区分","再請求"),0))</f>
        <v>0</v>
      </c>
      <c r="L50" s="659">
        <f ca="1">IF($A50="","",IFERROR(GETPIVOTDATA("合計 / 処遇改善加算金",【ピボット】国保連売上!$A$3,"年月",$A50,"事業所コード",$B50,"事業所",$C50,"事業区分",K$1,"請求区分","単月"),0))</f>
        <v>0</v>
      </c>
      <c r="M50" s="659">
        <f ca="1">IF($A50="","",IFERROR(GETPIVOTDATA("合計 / 入金予定",【ピボット】国保連売上!$A$3,"年月",$A50,"事業所コード",$B50,"事業所",$C50,"事業区分",M$1,"請求区分","単月"),0)
+IFERROR(GETPIVOTDATA("合計 / 入金予定",【ピボット】国保連売上!$A$3,"年月",$A50,"事業所コード",$B50,"事業所",$C50,"事業区分",M$1,"請求区分","再請求"),0))</f>
        <v>0</v>
      </c>
      <c r="N50" s="660">
        <v>221480</v>
      </c>
      <c r="O50" s="660">
        <v>60840</v>
      </c>
      <c r="P50" s="660">
        <v>1449320</v>
      </c>
      <c r="Q50" s="660">
        <v>0</v>
      </c>
      <c r="R50" s="660">
        <v>0</v>
      </c>
      <c r="S50" s="660">
        <v>0</v>
      </c>
      <c r="T50" s="660">
        <v>0</v>
      </c>
      <c r="U50" s="660">
        <v>0</v>
      </c>
      <c r="V50" s="660">
        <v>0</v>
      </c>
      <c r="W50" s="660">
        <v>0</v>
      </c>
      <c r="X50" s="660">
        <v>0</v>
      </c>
      <c r="Y50" s="659">
        <f t="shared" ca="1" si="2"/>
        <v>2944280</v>
      </c>
      <c r="Z50" s="659">
        <f t="shared" ca="1" si="1"/>
        <v>1731640</v>
      </c>
    </row>
    <row r="51" spans="1:26" ht="15.95" customHeight="1" x14ac:dyDescent="0.15">
      <c r="A51" s="656">
        <v>42736</v>
      </c>
      <c r="B51" s="657" t="str">
        <f t="shared" ca="1" si="0"/>
        <v>00</v>
      </c>
      <c r="C51" s="658" t="s">
        <v>490</v>
      </c>
      <c r="D51" s="659">
        <f ca="1">IF($A51="","",IFERROR(GETPIVOTDATA("合計 / 入金予定",【ピボット】国保連売上!$A$3,"年月",$A51,"事業所コード",$B51,"事業所",$C51,"事業区分",D$1,"請求区分","単月"),0)
+IFERROR(GETPIVOTDATA("合計 / 入金予定",【ピボット】国保連売上!$A$3,"年月",$A51,"事業所コード",$B51,"事業所",$C51,"事業区分",D$1,"請求区分","再請求"),0))</f>
        <v>0</v>
      </c>
      <c r="E51" s="659">
        <f ca="1">IF($A51="","",IFERROR(GETPIVOTDATA("合計 / 処遇改善加算金",【ピボット】国保連売上!$A$3,"年月",$A51,"事業所コード",$B51,"事業所",$C51,"事業区分",D$1,"請求区分","単月"),0))</f>
        <v>0</v>
      </c>
      <c r="F51" s="659">
        <f ca="1">IF($A51="","",IFERROR(GETPIVOTDATA("合計 / 入金予定",【ピボット】国保連売上!$A$3,"年月",$A51,"事業所コード",$B51,"事業所",$C51,"事業区分",F$1,"請求区分","単月"),0)
+IFERROR(GETPIVOTDATA("合計 / 入金予定",【ピボット】国保連売上!$A$3,"年月",$A51,"事業所コード",$B51,"事業所",$C51,"事業区分",F$1,"請求区分","再請求"),0))</f>
        <v>0</v>
      </c>
      <c r="G51" s="659">
        <f ca="1">IF($A51="","",IFERROR(GETPIVOTDATA("合計 / 処遇改善加算金",【ピボット】国保連売上!$A$3,"年月",$A51,"事業所コード",$B51,"事業所",$C51,"事業区分",F$1,"請求区分","単月"),0))</f>
        <v>0</v>
      </c>
      <c r="H51" s="659">
        <f ca="1">IF($A51="","",IFERROR(GETPIVOTDATA("合計 / 入金予定",【ピボット】国保連売上!$A$3,"年月",$A51,"事業所コード",$B51,"事業所",$C51,"事業区分",H$1,"請求区分","単月"),0)
+IFERROR(GETPIVOTDATA("合計 / 入金予定",【ピボット】国保連売上!$A$3,"年月",$A51,"事業所コード",$B51,"事業所",$C51,"事業区分",H$1,"請求区分","再請求"),0))</f>
        <v>0</v>
      </c>
      <c r="I51" s="659">
        <f ca="1">IF($A51="","",IFERROR(GETPIVOTDATA("合計 / 入金予定",【ピボット】国保連売上!$A$3,"年月",$A51,"事業所コード",$B51,"事業所",$C51,"事業区分",I$1,"請求区分","単月"),0)
+IFERROR(GETPIVOTDATA("合計 / 入金予定",【ピボット】国保連売上!$A$3,"年月",$A51,"事業所コード",$B51,"事業所",$C51,"事業区分",I$1,"請求区分","再請求"),0))</f>
        <v>0</v>
      </c>
      <c r="J51" s="659">
        <f ca="1">IF($A51="","",IFERROR(GETPIVOTDATA("合計 / 処遇改善加算金",【ピボット】国保連売上!$A$3,"年月",$A51,"事業所コード",$B51,"事業所",$C51,"事業区分",I$1,"請求区分","単月"),0))</f>
        <v>0</v>
      </c>
      <c r="K51" s="659">
        <f ca="1">IF($A51="","",IFERROR(GETPIVOTDATA("合計 / 入金予定",【ピボット】国保連売上!$A$3,"年月",$A51,"事業所コード",$B51,"事業所",$C51,"事業区分",K$1,"請求区分","単月"),0)
+IFERROR(GETPIVOTDATA("合計 / 入金予定",【ピボット】国保連売上!$A$3,"年月",$A51,"事業所コード",$B51,"事業所",$C51,"事業区分",K$1,"請求区分","再請求"),0))</f>
        <v>0</v>
      </c>
      <c r="L51" s="659">
        <f ca="1">IF($A51="","",IFERROR(GETPIVOTDATA("合計 / 処遇改善加算金",【ピボット】国保連売上!$A$3,"年月",$A51,"事業所コード",$B51,"事業所",$C51,"事業区分",K$1,"請求区分","単月"),0))</f>
        <v>0</v>
      </c>
      <c r="M51" s="659">
        <f ca="1">IF($A51="","",IFERROR(GETPIVOTDATA("合計 / 入金予定",【ピボット】国保連売上!$A$3,"年月",$A51,"事業所コード",$B51,"事業所",$C51,"事業区分",M$1,"請求区分","単月"),0)
+IFERROR(GETPIVOTDATA("合計 / 入金予定",【ピボット】国保連売上!$A$3,"年月",$A51,"事業所コード",$B51,"事業所",$C51,"事業区分",M$1,"請求区分","再請求"),0))</f>
        <v>50067</v>
      </c>
      <c r="N51" s="660">
        <v>0</v>
      </c>
      <c r="O51" s="660">
        <v>0</v>
      </c>
      <c r="P51" s="660">
        <v>0</v>
      </c>
      <c r="Q51" s="660">
        <v>0</v>
      </c>
      <c r="R51" s="660">
        <v>0</v>
      </c>
      <c r="S51" s="660">
        <v>0</v>
      </c>
      <c r="T51" s="660">
        <v>0</v>
      </c>
      <c r="U51" s="660">
        <v>0</v>
      </c>
      <c r="V51" s="660">
        <v>0</v>
      </c>
      <c r="W51" s="660">
        <v>0</v>
      </c>
      <c r="X51" s="660">
        <v>0</v>
      </c>
      <c r="Y51" s="659">
        <f t="shared" ca="1" si="2"/>
        <v>50067</v>
      </c>
      <c r="Z51" s="659">
        <f t="shared" ca="1" si="1"/>
        <v>0</v>
      </c>
    </row>
    <row r="52" spans="1:26" ht="15.95" customHeight="1" x14ac:dyDescent="0.15">
      <c r="A52" s="656">
        <v>42767</v>
      </c>
      <c r="B52" s="657" t="str">
        <f t="shared" ca="1" si="0"/>
        <v>01</v>
      </c>
      <c r="C52" s="658" t="s">
        <v>34</v>
      </c>
      <c r="D52" s="659">
        <f ca="1">IF($A52="","",IFERROR(GETPIVOTDATA("合計 / 入金予定",【ピボット】国保連売上!$A$3,"年月",$A52,"事業所コード",$B52,"事業所",$C52,"事業区分",D$1,"請求区分","単月"),0)
+IFERROR(GETPIVOTDATA("合計 / 入金予定",【ピボット】国保連売上!$A$3,"年月",$A52,"事業所コード",$B52,"事業所",$C52,"事業区分",D$1,"請求区分","再請求"),0))</f>
        <v>6285509</v>
      </c>
      <c r="E52" s="659">
        <f ca="1">IF($A52="","",IFERROR(GETPIVOTDATA("合計 / 処遇改善加算金",【ピボット】国保連売上!$A$3,"年月",$A52,"事業所コード",$B52,"事業所",$C52,"事業区分",D$1,"請求区分","単月"),0))</f>
        <v>815137</v>
      </c>
      <c r="F52" s="659">
        <f ca="1">IF($A52="","",IFERROR(GETPIVOTDATA("合計 / 入金予定",【ピボット】国保連売上!$A$3,"年月",$A52,"事業所コード",$B52,"事業所",$C52,"事業区分",F$1,"請求区分","単月"),0)
+IFERROR(GETPIVOTDATA("合計 / 入金予定",【ピボット】国保連売上!$A$3,"年月",$A52,"事業所コード",$B52,"事業所",$C52,"事業区分",F$1,"請求区分","再請求"),0))</f>
        <v>1370430</v>
      </c>
      <c r="G52" s="659">
        <f ca="1">IF($A52="","",IFERROR(GETPIVOTDATA("合計 / 処遇改善加算金",【ピボット】国保連売上!$A$3,"年月",$A52,"事業所コード",$B52,"事業所",$C52,"事業区分",F$1,"請求区分","単月"),0))</f>
        <v>228468</v>
      </c>
      <c r="H52" s="659">
        <f ca="1">IF($A52="","",IFERROR(GETPIVOTDATA("合計 / 入金予定",【ピボット】国保連売上!$A$3,"年月",$A52,"事業所コード",$B52,"事業所",$C52,"事業区分",H$1,"請求区分","単月"),0)
+IFERROR(GETPIVOTDATA("合計 / 入金予定",【ピボット】国保連売上!$A$3,"年月",$A52,"事業所コード",$B52,"事業所",$C52,"事業区分",H$1,"請求区分","再請求"),0))</f>
        <v>882170</v>
      </c>
      <c r="I52" s="659">
        <f ca="1">IF($A52="","",IFERROR(GETPIVOTDATA("合計 / 入金予定",【ピボット】国保連売上!$A$3,"年月",$A52,"事業所コード",$B52,"事業所",$C52,"事業区分",I$1,"請求区分","単月"),0)
+IFERROR(GETPIVOTDATA("合計 / 入金予定",【ピボット】国保連売上!$A$3,"年月",$A52,"事業所コード",$B52,"事業所",$C52,"事業区分",I$1,"請求区分","再請求"),0))</f>
        <v>0</v>
      </c>
      <c r="J52" s="659">
        <f ca="1">IF($A52="","",IFERROR(GETPIVOTDATA("合計 / 処遇改善加算金",【ピボット】国保連売上!$A$3,"年月",$A52,"事業所コード",$B52,"事業所",$C52,"事業区分",I$1,"請求区分","単月"),0))</f>
        <v>0</v>
      </c>
      <c r="K52" s="659">
        <f ca="1">IF($A52="","",IFERROR(GETPIVOTDATA("合計 / 入金予定",【ピボット】国保連売上!$A$3,"年月",$A52,"事業所コード",$B52,"事業所",$C52,"事業区分",K$1,"請求区分","単月"),0)
+IFERROR(GETPIVOTDATA("合計 / 入金予定",【ピボット】国保連売上!$A$3,"年月",$A52,"事業所コード",$B52,"事業所",$C52,"事業区分",K$1,"請求区分","再請求"),0))</f>
        <v>0</v>
      </c>
      <c r="L52" s="659">
        <f ca="1">IF($A52="","",IFERROR(GETPIVOTDATA("合計 / 処遇改善加算金",【ピボット】国保連売上!$A$3,"年月",$A52,"事業所コード",$B52,"事業所",$C52,"事業区分",K$1,"請求区分","単月"),0))</f>
        <v>0</v>
      </c>
      <c r="M52" s="659">
        <f ca="1">IF($A52="","",IFERROR(GETPIVOTDATA("合計 / 入金予定",【ピボット】国保連売上!$A$3,"年月",$A52,"事業所コード",$B52,"事業所",$C52,"事業区分",M$1,"請求区分","単月"),0)
+IFERROR(GETPIVOTDATA("合計 / 入金予定",【ピボット】国保連売上!$A$3,"年月",$A52,"事業所コード",$B52,"事業所",$C52,"事業区分",M$1,"請求区分","再請求"),0))</f>
        <v>0</v>
      </c>
      <c r="N52" s="660">
        <v>89320</v>
      </c>
      <c r="O52" s="660">
        <v>7880</v>
      </c>
      <c r="P52" s="660">
        <v>0</v>
      </c>
      <c r="Q52" s="660">
        <v>5474</v>
      </c>
      <c r="R52" s="660">
        <v>144960</v>
      </c>
      <c r="S52" s="660">
        <v>0</v>
      </c>
      <c r="T52" s="660">
        <v>0</v>
      </c>
      <c r="U52" s="660">
        <v>0</v>
      </c>
      <c r="V52" s="660">
        <v>0</v>
      </c>
      <c r="W52" s="660">
        <v>0</v>
      </c>
      <c r="X52" s="660">
        <v>0</v>
      </c>
      <c r="Y52" s="659">
        <f t="shared" ca="1" si="2"/>
        <v>8785743</v>
      </c>
      <c r="Z52" s="659">
        <f t="shared" ca="1" si="1"/>
        <v>247634</v>
      </c>
    </row>
    <row r="53" spans="1:26" ht="15.95" customHeight="1" x14ac:dyDescent="0.15">
      <c r="A53" s="656">
        <v>42767</v>
      </c>
      <c r="B53" s="657" t="str">
        <f t="shared" ca="1" si="0"/>
        <v>02</v>
      </c>
      <c r="C53" s="658" t="s">
        <v>37</v>
      </c>
      <c r="D53" s="659">
        <f ca="1">IF($A53="","",IFERROR(GETPIVOTDATA("合計 / 入金予定",【ピボット】国保連売上!$A$3,"年月",$A53,"事業所コード",$B53,"事業所",$C53,"事業区分",D$1,"請求区分","単月"),0)
+IFERROR(GETPIVOTDATA("合計 / 入金予定",【ピボット】国保連売上!$A$3,"年月",$A53,"事業所コード",$B53,"事業所",$C53,"事業区分",D$1,"請求区分","再請求"),0))</f>
        <v>3914221</v>
      </c>
      <c r="E53" s="659">
        <f ca="1">IF($A53="","",IFERROR(GETPIVOTDATA("合計 / 処遇改善加算金",【ピボット】国保連売上!$A$3,"年月",$A53,"事業所コード",$B53,"事業所",$C53,"事業区分",D$1,"請求区分","単月"),0))</f>
        <v>309401</v>
      </c>
      <c r="F53" s="659">
        <f ca="1">IF($A53="","",IFERROR(GETPIVOTDATA("合計 / 入金予定",【ピボット】国保連売上!$A$3,"年月",$A53,"事業所コード",$B53,"事業所",$C53,"事業区分",F$1,"請求区分","単月"),0)
+IFERROR(GETPIVOTDATA("合計 / 入金予定",【ピボット】国保連売上!$A$3,"年月",$A53,"事業所コード",$B53,"事業所",$C53,"事業区分",F$1,"請求区分","再請求"),0))</f>
        <v>510256</v>
      </c>
      <c r="G53" s="659">
        <f ca="1">IF($A53="","",IFERROR(GETPIVOTDATA("合計 / 処遇改善加算金",【ピボット】国保連売上!$A$3,"年月",$A53,"事業所コード",$B53,"事業所",$C53,"事業区分",F$1,"請求区分","単月"),0))</f>
        <v>88748</v>
      </c>
      <c r="H53" s="659">
        <f ca="1">IF($A53="","",IFERROR(GETPIVOTDATA("合計 / 入金予定",【ピボット】国保連売上!$A$3,"年月",$A53,"事業所コード",$B53,"事業所",$C53,"事業区分",H$1,"請求区分","単月"),0)
+IFERROR(GETPIVOTDATA("合計 / 入金予定",【ピボット】国保連売上!$A$3,"年月",$A53,"事業所コード",$B53,"事業所",$C53,"事業区分",H$1,"請求区分","再請求"),0))</f>
        <v>338366</v>
      </c>
      <c r="I53" s="659">
        <f ca="1">IF($A53="","",IFERROR(GETPIVOTDATA("合計 / 入金予定",【ピボット】国保連売上!$A$3,"年月",$A53,"事業所コード",$B53,"事業所",$C53,"事業区分",I$1,"請求区分","単月"),0)
+IFERROR(GETPIVOTDATA("合計 / 入金予定",【ピボット】国保連売上!$A$3,"年月",$A53,"事業所コード",$B53,"事業所",$C53,"事業区分",I$1,"請求区分","再請求"),0))</f>
        <v>0</v>
      </c>
      <c r="J53" s="659">
        <f ca="1">IF($A53="","",IFERROR(GETPIVOTDATA("合計 / 処遇改善加算金",【ピボット】国保連売上!$A$3,"年月",$A53,"事業所コード",$B53,"事業所",$C53,"事業区分",I$1,"請求区分","単月"),0))</f>
        <v>0</v>
      </c>
      <c r="K53" s="659">
        <f ca="1">IF($A53="","",IFERROR(GETPIVOTDATA("合計 / 入金予定",【ピボット】国保連売上!$A$3,"年月",$A53,"事業所コード",$B53,"事業所",$C53,"事業区分",K$1,"請求区分","単月"),0)
+IFERROR(GETPIVOTDATA("合計 / 入金予定",【ピボット】国保連売上!$A$3,"年月",$A53,"事業所コード",$B53,"事業所",$C53,"事業区分",K$1,"請求区分","再請求"),0))</f>
        <v>0</v>
      </c>
      <c r="L53" s="659">
        <f ca="1">IF($A53="","",IFERROR(GETPIVOTDATA("合計 / 処遇改善加算金",【ピボット】国保連売上!$A$3,"年月",$A53,"事業所コード",$B53,"事業所",$C53,"事業区分",K$1,"請求区分","単月"),0))</f>
        <v>0</v>
      </c>
      <c r="M53" s="659">
        <f ca="1">IF($A53="","",IFERROR(GETPIVOTDATA("合計 / 入金予定",【ピボット】国保連売上!$A$3,"年月",$A53,"事業所コード",$B53,"事業所",$C53,"事業区分",M$1,"請求区分","単月"),0)
+IFERROR(GETPIVOTDATA("合計 / 入金予定",【ピボット】国保連売上!$A$3,"年月",$A53,"事業所コード",$B53,"事業所",$C53,"事業区分",M$1,"請求区分","再請求"),0))</f>
        <v>0</v>
      </c>
      <c r="N53" s="660">
        <v>109596</v>
      </c>
      <c r="O53" s="660">
        <v>0</v>
      </c>
      <c r="P53" s="660">
        <v>0</v>
      </c>
      <c r="Q53" s="660">
        <v>2387</v>
      </c>
      <c r="R53" s="660">
        <v>90096</v>
      </c>
      <c r="S53" s="660">
        <v>0</v>
      </c>
      <c r="T53" s="660">
        <v>0</v>
      </c>
      <c r="U53" s="660">
        <v>0</v>
      </c>
      <c r="V53" s="660">
        <v>0</v>
      </c>
      <c r="W53" s="660">
        <v>0</v>
      </c>
      <c r="X53" s="660">
        <v>0</v>
      </c>
      <c r="Y53" s="659">
        <f t="shared" ca="1" si="2"/>
        <v>4964922</v>
      </c>
      <c r="Z53" s="659">
        <f t="shared" ca="1" si="1"/>
        <v>202079</v>
      </c>
    </row>
    <row r="54" spans="1:26" ht="15.95" customHeight="1" x14ac:dyDescent="0.15">
      <c r="A54" s="656">
        <v>42767</v>
      </c>
      <c r="B54" s="657" t="str">
        <f t="shared" ca="1" si="0"/>
        <v>03</v>
      </c>
      <c r="C54" s="658" t="s">
        <v>66</v>
      </c>
      <c r="D54" s="659">
        <f ca="1">IF($A54="","",IFERROR(GETPIVOTDATA("合計 / 入金予定",【ピボット】国保連売上!$A$3,"年月",$A54,"事業所コード",$B54,"事業所",$C54,"事業区分",D$1,"請求区分","単月"),0)
+IFERROR(GETPIVOTDATA("合計 / 入金予定",【ピボット】国保連売上!$A$3,"年月",$A54,"事業所コード",$B54,"事業所",$C54,"事業区分",D$1,"請求区分","再請求"),0))</f>
        <v>2925155</v>
      </c>
      <c r="E54" s="659">
        <f ca="1">IF($A54="","",IFERROR(GETPIVOTDATA("合計 / 処遇改善加算金",【ピボット】国保連売上!$A$3,"年月",$A54,"事業所コード",$B54,"事業所",$C54,"事業区分",D$1,"請求区分","単月"),0))</f>
        <v>232279</v>
      </c>
      <c r="F54" s="659">
        <f ca="1">IF($A54="","",IFERROR(GETPIVOTDATA("合計 / 入金予定",【ピボット】国保連売上!$A$3,"年月",$A54,"事業所コード",$B54,"事業所",$C54,"事業区分",F$1,"請求区分","単月"),0)
+IFERROR(GETPIVOTDATA("合計 / 入金予定",【ピボット】国保連売上!$A$3,"年月",$A54,"事業所コード",$B54,"事業所",$C54,"事業区分",F$1,"請求区分","再請求"),0))</f>
        <v>1168290</v>
      </c>
      <c r="G54" s="659">
        <f ca="1">IF($A54="","",IFERROR(GETPIVOTDATA("合計 / 処遇改善加算金",【ピボット】国保連売上!$A$3,"年月",$A54,"事業所コード",$B54,"事業所",$C54,"事業区分",F$1,"請求区分","単月"),0))</f>
        <v>206946</v>
      </c>
      <c r="H54" s="659">
        <f ca="1">IF($A54="","",IFERROR(GETPIVOTDATA("合計 / 入金予定",【ピボット】国保連売上!$A$3,"年月",$A54,"事業所コード",$B54,"事業所",$C54,"事業区分",H$1,"請求区分","単月"),0)
+IFERROR(GETPIVOTDATA("合計 / 入金予定",【ピボット】国保連売上!$A$3,"年月",$A54,"事業所コード",$B54,"事業所",$C54,"事業区分",H$1,"請求区分","再請求"),0))</f>
        <v>0</v>
      </c>
      <c r="I54" s="659">
        <f ca="1">IF($A54="","",IFERROR(GETPIVOTDATA("合計 / 入金予定",【ピボット】国保連売上!$A$3,"年月",$A54,"事業所コード",$B54,"事業所",$C54,"事業区分",I$1,"請求区分","単月"),0)
+IFERROR(GETPIVOTDATA("合計 / 入金予定",【ピボット】国保連売上!$A$3,"年月",$A54,"事業所コード",$B54,"事業所",$C54,"事業区分",I$1,"請求区分","再請求"),0))</f>
        <v>0</v>
      </c>
      <c r="J54" s="659">
        <f ca="1">IF($A54="","",IFERROR(GETPIVOTDATA("合計 / 処遇改善加算金",【ピボット】国保連売上!$A$3,"年月",$A54,"事業所コード",$B54,"事業所",$C54,"事業区分",I$1,"請求区分","単月"),0))</f>
        <v>0</v>
      </c>
      <c r="K54" s="659">
        <f ca="1">IF($A54="","",IFERROR(GETPIVOTDATA("合計 / 入金予定",【ピボット】国保連売上!$A$3,"年月",$A54,"事業所コード",$B54,"事業所",$C54,"事業区分",K$1,"請求区分","単月"),0)
+IFERROR(GETPIVOTDATA("合計 / 入金予定",【ピボット】国保連売上!$A$3,"年月",$A54,"事業所コード",$B54,"事業所",$C54,"事業区分",K$1,"請求区分","再請求"),0))</f>
        <v>0</v>
      </c>
      <c r="L54" s="659">
        <f ca="1">IF($A54="","",IFERROR(GETPIVOTDATA("合計 / 処遇改善加算金",【ピボット】国保連売上!$A$3,"年月",$A54,"事業所コード",$B54,"事業所",$C54,"事業区分",K$1,"請求区分","単月"),0))</f>
        <v>0</v>
      </c>
      <c r="M54" s="659">
        <f ca="1">IF($A54="","",IFERROR(GETPIVOTDATA("合計 / 入金予定",【ピボット】国保連売上!$A$3,"年月",$A54,"事業所コード",$B54,"事業所",$C54,"事業区分",M$1,"請求区分","単月"),0)
+IFERROR(GETPIVOTDATA("合計 / 入金予定",【ピボット】国保連売上!$A$3,"年月",$A54,"事業所コード",$B54,"事業所",$C54,"事業区分",M$1,"請求区分","再請求"),0))</f>
        <v>0</v>
      </c>
      <c r="N54" s="660">
        <v>51469</v>
      </c>
      <c r="O54" s="660">
        <v>100360</v>
      </c>
      <c r="P54" s="660">
        <v>14450</v>
      </c>
      <c r="Q54" s="660">
        <v>3031</v>
      </c>
      <c r="R54" s="660">
        <v>0</v>
      </c>
      <c r="S54" s="660">
        <v>0</v>
      </c>
      <c r="T54" s="660">
        <v>0</v>
      </c>
      <c r="U54" s="660">
        <v>0</v>
      </c>
      <c r="V54" s="660">
        <v>0</v>
      </c>
      <c r="W54" s="660">
        <v>0</v>
      </c>
      <c r="X54" s="660">
        <v>0</v>
      </c>
      <c r="Y54" s="659">
        <f t="shared" ca="1" si="2"/>
        <v>4262755</v>
      </c>
      <c r="Z54" s="659">
        <f t="shared" ca="1" si="1"/>
        <v>169310</v>
      </c>
    </row>
    <row r="55" spans="1:26" ht="15.95" customHeight="1" x14ac:dyDescent="0.15">
      <c r="A55" s="656">
        <v>42767</v>
      </c>
      <c r="B55" s="657" t="str">
        <f t="shared" ca="1" si="0"/>
        <v>04</v>
      </c>
      <c r="C55" s="658" t="s">
        <v>358</v>
      </c>
      <c r="D55" s="659">
        <f ca="1">IF($A55="","",IFERROR(GETPIVOTDATA("合計 / 入金予定",【ピボット】国保連売上!$A$3,"年月",$A55,"事業所コード",$B55,"事業所",$C55,"事業区分",D$1,"請求区分","単月"),0)
+IFERROR(GETPIVOTDATA("合計 / 入金予定",【ピボット】国保連売上!$A$3,"年月",$A55,"事業所コード",$B55,"事業所",$C55,"事業区分",D$1,"請求区分","再請求"),0))</f>
        <v>0</v>
      </c>
      <c r="E55" s="659">
        <f ca="1">IF($A55="","",IFERROR(GETPIVOTDATA("合計 / 処遇改善加算金",【ピボット】国保連売上!$A$3,"年月",$A55,"事業所コード",$B55,"事業所",$C55,"事業区分",D$1,"請求区分","単月"),0))</f>
        <v>0</v>
      </c>
      <c r="F55" s="659">
        <f ca="1">IF($A55="","",IFERROR(GETPIVOTDATA("合計 / 入金予定",【ピボット】国保連売上!$A$3,"年月",$A55,"事業所コード",$B55,"事業所",$C55,"事業区分",F$1,"請求区分","単月"),0)
+IFERROR(GETPIVOTDATA("合計 / 入金予定",【ピボット】国保連売上!$A$3,"年月",$A55,"事業所コード",$B55,"事業所",$C55,"事業区分",F$1,"請求区分","再請求"),0))</f>
        <v>0</v>
      </c>
      <c r="G55" s="659">
        <f ca="1">IF($A55="","",IFERROR(GETPIVOTDATA("合計 / 処遇改善加算金",【ピボット】国保連売上!$A$3,"年月",$A55,"事業所コード",$B55,"事業所",$C55,"事業区分",F$1,"請求区分","単月"),0))</f>
        <v>0</v>
      </c>
      <c r="H55" s="659">
        <f ca="1">IF($A55="","",IFERROR(GETPIVOTDATA("合計 / 入金予定",【ピボット】国保連売上!$A$3,"年月",$A55,"事業所コード",$B55,"事業所",$C55,"事業区分",H$1,"請求区分","単月"),0)
+IFERROR(GETPIVOTDATA("合計 / 入金予定",【ピボット】国保連売上!$A$3,"年月",$A55,"事業所コード",$B55,"事業所",$C55,"事業区分",H$1,"請求区分","再請求"),0))</f>
        <v>0</v>
      </c>
      <c r="I55" s="659">
        <f ca="1">IF($A55="","",IFERROR(GETPIVOTDATA("合計 / 入金予定",【ピボット】国保連売上!$A$3,"年月",$A55,"事業所コード",$B55,"事業所",$C55,"事業区分",I$1,"請求区分","単月"),0)
+IFERROR(GETPIVOTDATA("合計 / 入金予定",【ピボット】国保連売上!$A$3,"年月",$A55,"事業所コード",$B55,"事業所",$C55,"事業区分",I$1,"請求区分","再請求"),0))</f>
        <v>2881392</v>
      </c>
      <c r="J55" s="659">
        <f ca="1">IF($A55="","",IFERROR(GETPIVOTDATA("合計 / 処遇改善加算金",【ピボット】国保連売上!$A$3,"年月",$A55,"事業所コード",$B55,"事業所",$C55,"事業区分",I$1,"請求区分","単月"),0))</f>
        <v>111359</v>
      </c>
      <c r="K55" s="659">
        <f ca="1">IF($A55="","",IFERROR(GETPIVOTDATA("合計 / 入金予定",【ピボット】国保連売上!$A$3,"年月",$A55,"事業所コード",$B55,"事業所",$C55,"事業区分",K$1,"請求区分","単月"),0)
+IFERROR(GETPIVOTDATA("合計 / 入金予定",【ピボット】国保連売上!$A$3,"年月",$A55,"事業所コード",$B55,"事業所",$C55,"事業区分",K$1,"請求区分","再請求"),0))</f>
        <v>0</v>
      </c>
      <c r="L55" s="659">
        <f ca="1">IF($A55="","",IFERROR(GETPIVOTDATA("合計 / 処遇改善加算金",【ピボット】国保連売上!$A$3,"年月",$A55,"事業所コード",$B55,"事業所",$C55,"事業区分",K$1,"請求区分","単月"),0))</f>
        <v>0</v>
      </c>
      <c r="M55" s="659">
        <f ca="1">IF($A55="","",IFERROR(GETPIVOTDATA("合計 / 入金予定",【ピボット】国保連売上!$A$3,"年月",$A55,"事業所コード",$B55,"事業所",$C55,"事業区分",M$1,"請求区分","単月"),0)
+IFERROR(GETPIVOTDATA("合計 / 入金予定",【ピボット】国保連売上!$A$3,"年月",$A55,"事業所コード",$B55,"事業所",$C55,"事業区分",M$1,"請求区分","再請求"),0))</f>
        <v>0</v>
      </c>
      <c r="N55" s="660">
        <v>3030</v>
      </c>
      <c r="O55" s="660">
        <v>0</v>
      </c>
      <c r="P55" s="660">
        <v>0</v>
      </c>
      <c r="Q55" s="660">
        <v>0</v>
      </c>
      <c r="R55" s="660">
        <v>0</v>
      </c>
      <c r="S55" s="660">
        <v>0</v>
      </c>
      <c r="T55" s="660">
        <v>170500</v>
      </c>
      <c r="U55" s="660">
        <v>0</v>
      </c>
      <c r="V55" s="660">
        <v>0</v>
      </c>
      <c r="W55" s="660">
        <v>0</v>
      </c>
      <c r="X55" s="660">
        <v>0</v>
      </c>
      <c r="Y55" s="659">
        <f t="shared" ca="1" si="2"/>
        <v>3054922</v>
      </c>
      <c r="Z55" s="659">
        <f t="shared" ca="1" si="1"/>
        <v>173530</v>
      </c>
    </row>
    <row r="56" spans="1:26" ht="15.95" customHeight="1" x14ac:dyDescent="0.15">
      <c r="A56" s="656">
        <v>42767</v>
      </c>
      <c r="B56" s="657" t="str">
        <f t="shared" ca="1" si="0"/>
        <v>07</v>
      </c>
      <c r="C56" s="658" t="s">
        <v>119</v>
      </c>
      <c r="D56" s="659">
        <f ca="1">IF($A56="","",IFERROR(GETPIVOTDATA("合計 / 入金予定",【ピボット】国保連売上!$A$3,"年月",$A56,"事業所コード",$B56,"事業所",$C56,"事業区分",D$1,"請求区分","単月"),0)
+IFERROR(GETPIVOTDATA("合計 / 入金予定",【ピボット】国保連売上!$A$3,"年月",$A56,"事業所コード",$B56,"事業所",$C56,"事業区分",D$1,"請求区分","再請求"),0))</f>
        <v>0</v>
      </c>
      <c r="E56" s="659">
        <f ca="1">IF($A56="","",IFERROR(GETPIVOTDATA("合計 / 処遇改善加算金",【ピボット】国保連売上!$A$3,"年月",$A56,"事業所コード",$B56,"事業所",$C56,"事業区分",D$1,"請求区分","単月"),0))</f>
        <v>0</v>
      </c>
      <c r="F56" s="659">
        <f ca="1">IF($A56="","",IFERROR(GETPIVOTDATA("合計 / 入金予定",【ピボット】国保連売上!$A$3,"年月",$A56,"事業所コード",$B56,"事業所",$C56,"事業区分",F$1,"請求区分","単月"),0)
+IFERROR(GETPIVOTDATA("合計 / 入金予定",【ピボット】国保連売上!$A$3,"年月",$A56,"事業所コード",$B56,"事業所",$C56,"事業区分",F$1,"請求区分","再請求"),0))</f>
        <v>0</v>
      </c>
      <c r="G56" s="659">
        <f ca="1">IF($A56="","",IFERROR(GETPIVOTDATA("合計 / 処遇改善加算金",【ピボット】国保連売上!$A$3,"年月",$A56,"事業所コード",$B56,"事業所",$C56,"事業区分",F$1,"請求区分","単月"),0))</f>
        <v>0</v>
      </c>
      <c r="H56" s="659">
        <f ca="1">IF($A56="","",IFERROR(GETPIVOTDATA("合計 / 入金予定",【ピボット】国保連売上!$A$3,"年月",$A56,"事業所コード",$B56,"事業所",$C56,"事業区分",H$1,"請求区分","単月"),0)
+IFERROR(GETPIVOTDATA("合計 / 入金予定",【ピボット】国保連売上!$A$3,"年月",$A56,"事業所コード",$B56,"事業所",$C56,"事業区分",H$1,"請求区分","再請求"),0))</f>
        <v>0</v>
      </c>
      <c r="I56" s="659">
        <f ca="1">IF($A56="","",IFERROR(GETPIVOTDATA("合計 / 入金予定",【ピボット】国保連売上!$A$3,"年月",$A56,"事業所コード",$B56,"事業所",$C56,"事業区分",I$1,"請求区分","単月"),0)
+IFERROR(GETPIVOTDATA("合計 / 入金予定",【ピボット】国保連売上!$A$3,"年月",$A56,"事業所コード",$B56,"事業所",$C56,"事業区分",I$1,"請求区分","再請求"),0))</f>
        <v>0</v>
      </c>
      <c r="J56" s="659">
        <f ca="1">IF($A56="","",IFERROR(GETPIVOTDATA("合計 / 処遇改善加算金",【ピボット】国保連売上!$A$3,"年月",$A56,"事業所コード",$B56,"事業所",$C56,"事業区分",I$1,"請求区分","単月"),0))</f>
        <v>0</v>
      </c>
      <c r="K56" s="659">
        <f ca="1">IF($A56="","",IFERROR(GETPIVOTDATA("合計 / 入金予定",【ピボット】国保連売上!$A$3,"年月",$A56,"事業所コード",$B56,"事業所",$C56,"事業区分",K$1,"請求区分","単月"),0)
+IFERROR(GETPIVOTDATA("合計 / 入金予定",【ピボット】国保連売上!$A$3,"年月",$A56,"事業所コード",$B56,"事業所",$C56,"事業区分",K$1,"請求区分","再請求"),0))</f>
        <v>898853</v>
      </c>
      <c r="L56" s="659">
        <f ca="1">IF($A56="","",IFERROR(GETPIVOTDATA("合計 / 処遇改善加算金",【ピボット】国保連売上!$A$3,"年月",$A56,"事業所コード",$B56,"事業所",$C56,"事業区分",K$1,"請求区分","単月"),0))</f>
        <v>66554</v>
      </c>
      <c r="M56" s="659">
        <f ca="1">IF($A56="","",IFERROR(GETPIVOTDATA("合計 / 入金予定",【ピボット】国保連売上!$A$3,"年月",$A56,"事業所コード",$B56,"事業所",$C56,"事業区分",M$1,"請求区分","単月"),0)
+IFERROR(GETPIVOTDATA("合計 / 入金予定",【ピボット】国保連売上!$A$3,"年月",$A56,"事業所コード",$B56,"事業所",$C56,"事業区分",M$1,"請求区分","再請求"),0))</f>
        <v>0</v>
      </c>
      <c r="N56" s="660">
        <v>0</v>
      </c>
      <c r="O56" s="660">
        <v>0</v>
      </c>
      <c r="P56" s="660">
        <v>0</v>
      </c>
      <c r="Q56" s="660">
        <v>0</v>
      </c>
      <c r="R56" s="660">
        <v>0</v>
      </c>
      <c r="S56" s="660">
        <v>78000</v>
      </c>
      <c r="T56" s="660">
        <v>0</v>
      </c>
      <c r="U56" s="660">
        <v>0</v>
      </c>
      <c r="V56" s="660">
        <v>-30000</v>
      </c>
      <c r="W56" s="660">
        <v>0</v>
      </c>
      <c r="X56" s="660">
        <v>0</v>
      </c>
      <c r="Y56" s="659">
        <f t="shared" ca="1" si="2"/>
        <v>946853</v>
      </c>
      <c r="Z56" s="659">
        <f t="shared" ca="1" si="1"/>
        <v>48000</v>
      </c>
    </row>
    <row r="57" spans="1:26" ht="15.95" customHeight="1" x14ac:dyDescent="0.15">
      <c r="A57" s="656">
        <v>42767</v>
      </c>
      <c r="B57" s="657" t="str">
        <f t="shared" ca="1" si="0"/>
        <v>08</v>
      </c>
      <c r="C57" s="658" t="s">
        <v>189</v>
      </c>
      <c r="D57" s="659">
        <f ca="1">IF($A57="","",IFERROR(GETPIVOTDATA("合計 / 入金予定",【ピボット】国保連売上!$A$3,"年月",$A57,"事業所コード",$B57,"事業所",$C57,"事業区分",D$1,"請求区分","単月"),0)
+IFERROR(GETPIVOTDATA("合計 / 入金予定",【ピボット】国保連売上!$A$3,"年月",$A57,"事業所コード",$B57,"事業所",$C57,"事業区分",D$1,"請求区分","再請求"),0))</f>
        <v>0</v>
      </c>
      <c r="E57" s="659">
        <f ca="1">IF($A57="","",IFERROR(GETPIVOTDATA("合計 / 処遇改善加算金",【ピボット】国保連売上!$A$3,"年月",$A57,"事業所コード",$B57,"事業所",$C57,"事業区分",D$1,"請求区分","単月"),0))</f>
        <v>0</v>
      </c>
      <c r="F57" s="659">
        <f ca="1">IF($A57="","",IFERROR(GETPIVOTDATA("合計 / 入金予定",【ピボット】国保連売上!$A$3,"年月",$A57,"事業所コード",$B57,"事業所",$C57,"事業区分",F$1,"請求区分","単月"),0)
+IFERROR(GETPIVOTDATA("合計 / 入金予定",【ピボット】国保連売上!$A$3,"年月",$A57,"事業所コード",$B57,"事業所",$C57,"事業区分",F$1,"請求区分","再請求"),0))</f>
        <v>0</v>
      </c>
      <c r="G57" s="659">
        <f ca="1">IF($A57="","",IFERROR(GETPIVOTDATA("合計 / 処遇改善加算金",【ピボット】国保連売上!$A$3,"年月",$A57,"事業所コード",$B57,"事業所",$C57,"事業区分",F$1,"請求区分","単月"),0))</f>
        <v>0</v>
      </c>
      <c r="H57" s="659">
        <f ca="1">IF($A57="","",IFERROR(GETPIVOTDATA("合計 / 入金予定",【ピボット】国保連売上!$A$3,"年月",$A57,"事業所コード",$B57,"事業所",$C57,"事業区分",H$1,"請求区分","単月"),0)
+IFERROR(GETPIVOTDATA("合計 / 入金予定",【ピボット】国保連売上!$A$3,"年月",$A57,"事業所コード",$B57,"事業所",$C57,"事業区分",H$1,"請求区分","再請求"),0))</f>
        <v>0</v>
      </c>
      <c r="I57" s="659">
        <f ca="1">IF($A57="","",IFERROR(GETPIVOTDATA("合計 / 入金予定",【ピボット】国保連売上!$A$3,"年月",$A57,"事業所コード",$B57,"事業所",$C57,"事業区分",I$1,"請求区分","単月"),0)
+IFERROR(GETPIVOTDATA("合計 / 入金予定",【ピボット】国保連売上!$A$3,"年月",$A57,"事業所コード",$B57,"事業所",$C57,"事業区分",I$1,"請求区分","再請求"),0))</f>
        <v>0</v>
      </c>
      <c r="J57" s="659">
        <f ca="1">IF($A57="","",IFERROR(GETPIVOTDATA("合計 / 処遇改善加算金",【ピボット】国保連売上!$A$3,"年月",$A57,"事業所コード",$B57,"事業所",$C57,"事業区分",I$1,"請求区分","単月"),0))</f>
        <v>0</v>
      </c>
      <c r="K57" s="659">
        <f ca="1">IF($A57="","",IFERROR(GETPIVOTDATA("合計 / 入金予定",【ピボット】国保連売上!$A$3,"年月",$A57,"事業所コード",$B57,"事業所",$C57,"事業区分",K$1,"請求区分","単月"),0)
+IFERROR(GETPIVOTDATA("合計 / 入金予定",【ピボット】国保連売上!$A$3,"年月",$A57,"事業所コード",$B57,"事業所",$C57,"事業区分",K$1,"請求区分","再請求"),0))</f>
        <v>460537</v>
      </c>
      <c r="L57" s="659">
        <f ca="1">IF($A57="","",IFERROR(GETPIVOTDATA("合計 / 処遇改善加算金",【ピボット】国保連売上!$A$3,"年月",$A57,"事業所コード",$B57,"事業所",$C57,"事業区分",K$1,"請求区分","単月"),0))</f>
        <v>0</v>
      </c>
      <c r="M57" s="659">
        <f ca="1">IF($A57="","",IFERROR(GETPIVOTDATA("合計 / 入金予定",【ピボット】国保連売上!$A$3,"年月",$A57,"事業所コード",$B57,"事業所",$C57,"事業区分",M$1,"請求区分","単月"),0)
+IFERROR(GETPIVOTDATA("合計 / 入金予定",【ピボット】国保連売上!$A$3,"年月",$A57,"事業所コード",$B57,"事業所",$C57,"事業区分",M$1,"請求区分","再請求"),0))</f>
        <v>0</v>
      </c>
      <c r="N57" s="660">
        <v>20000</v>
      </c>
      <c r="O57" s="660">
        <v>0</v>
      </c>
      <c r="P57" s="660">
        <v>0</v>
      </c>
      <c r="Q57" s="660">
        <v>0</v>
      </c>
      <c r="R57" s="660">
        <v>0</v>
      </c>
      <c r="S57" s="660">
        <v>83857</v>
      </c>
      <c r="T57" s="660">
        <v>0</v>
      </c>
      <c r="U57" s="660">
        <v>0</v>
      </c>
      <c r="V57" s="660">
        <v>-10000</v>
      </c>
      <c r="W57" s="660">
        <v>0</v>
      </c>
      <c r="X57" s="660">
        <v>0</v>
      </c>
      <c r="Y57" s="659">
        <f t="shared" ca="1" si="2"/>
        <v>554394</v>
      </c>
      <c r="Z57" s="659">
        <f t="shared" ca="1" si="1"/>
        <v>93857</v>
      </c>
    </row>
    <row r="58" spans="1:26" ht="15.95" customHeight="1" x14ac:dyDescent="0.15">
      <c r="A58" s="656">
        <v>42767</v>
      </c>
      <c r="B58" s="657" t="str">
        <f t="shared" ca="1" si="0"/>
        <v>05</v>
      </c>
      <c r="C58" s="658" t="s">
        <v>38</v>
      </c>
      <c r="D58" s="659">
        <f ca="1">IF($A58="","",IFERROR(GETPIVOTDATA("合計 / 入金予定",【ピボット】国保連売上!$A$3,"年月",$A58,"事業所コード",$B58,"事業所",$C58,"事業区分",D$1,"請求区分","単月"),0)
+IFERROR(GETPIVOTDATA("合計 / 入金予定",【ピボット】国保連売上!$A$3,"年月",$A58,"事業所コード",$B58,"事業所",$C58,"事業区分",D$1,"請求区分","再請求"),0))</f>
        <v>2229416</v>
      </c>
      <c r="E58" s="659">
        <f ca="1">IF($A58="","",IFERROR(GETPIVOTDATA("合計 / 処遇改善加算金",【ピボット】国保連売上!$A$3,"年月",$A58,"事業所コード",$B58,"事業所",$C58,"事業区分",D$1,"請求区分","単月"),0))</f>
        <v>0</v>
      </c>
      <c r="F58" s="659">
        <f ca="1">IF($A58="","",IFERROR(GETPIVOTDATA("合計 / 入金予定",【ピボット】国保連売上!$A$3,"年月",$A58,"事業所コード",$B58,"事業所",$C58,"事業区分",F$1,"請求区分","単月"),0)
+IFERROR(GETPIVOTDATA("合計 / 入金予定",【ピボット】国保連売上!$A$3,"年月",$A58,"事業所コード",$B58,"事業所",$C58,"事業区分",F$1,"請求区分","再請求"),0))</f>
        <v>0</v>
      </c>
      <c r="G58" s="659">
        <f ca="1">IF($A58="","",IFERROR(GETPIVOTDATA("合計 / 処遇改善加算金",【ピボット】国保連売上!$A$3,"年月",$A58,"事業所コード",$B58,"事業所",$C58,"事業区分",F$1,"請求区分","単月"),0))</f>
        <v>0</v>
      </c>
      <c r="H58" s="659">
        <f ca="1">IF($A58="","",IFERROR(GETPIVOTDATA("合計 / 入金予定",【ピボット】国保連売上!$A$3,"年月",$A58,"事業所コード",$B58,"事業所",$C58,"事業区分",H$1,"請求区分","単月"),0)
+IFERROR(GETPIVOTDATA("合計 / 入金予定",【ピボット】国保連売上!$A$3,"年月",$A58,"事業所コード",$B58,"事業所",$C58,"事業区分",H$1,"請求区分","再請求"),0))</f>
        <v>0</v>
      </c>
      <c r="I58" s="659">
        <f ca="1">IF($A58="","",IFERROR(GETPIVOTDATA("合計 / 入金予定",【ピボット】国保連売上!$A$3,"年月",$A58,"事業所コード",$B58,"事業所",$C58,"事業区分",I$1,"請求区分","単月"),0)
+IFERROR(GETPIVOTDATA("合計 / 入金予定",【ピボット】国保連売上!$A$3,"年月",$A58,"事業所コード",$B58,"事業所",$C58,"事業区分",I$1,"請求区分","再請求"),0))</f>
        <v>0</v>
      </c>
      <c r="J58" s="659">
        <f ca="1">IF($A58="","",IFERROR(GETPIVOTDATA("合計 / 処遇改善加算金",【ピボット】国保連売上!$A$3,"年月",$A58,"事業所コード",$B58,"事業所",$C58,"事業区分",I$1,"請求区分","単月"),0))</f>
        <v>0</v>
      </c>
      <c r="K58" s="659">
        <f ca="1">IF($A58="","",IFERROR(GETPIVOTDATA("合計 / 入金予定",【ピボット】国保連売上!$A$3,"年月",$A58,"事業所コード",$B58,"事業所",$C58,"事業区分",K$1,"請求区分","単月"),0)
+IFERROR(GETPIVOTDATA("合計 / 入金予定",【ピボット】国保連売上!$A$3,"年月",$A58,"事業所コード",$B58,"事業所",$C58,"事業区分",K$1,"請求区分","再請求"),0))</f>
        <v>0</v>
      </c>
      <c r="L58" s="659">
        <f ca="1">IF($A58="","",IFERROR(GETPIVOTDATA("合計 / 処遇改善加算金",【ピボット】国保連売上!$A$3,"年月",$A58,"事業所コード",$B58,"事業所",$C58,"事業区分",K$1,"請求区分","単月"),0))</f>
        <v>0</v>
      </c>
      <c r="M58" s="659">
        <f ca="1">IF($A58="","",IFERROR(GETPIVOTDATA("合計 / 入金予定",【ピボット】国保連売上!$A$3,"年月",$A58,"事業所コード",$B58,"事業所",$C58,"事業区分",M$1,"請求区分","単月"),0)
+IFERROR(GETPIVOTDATA("合計 / 入金予定",【ピボット】国保連売上!$A$3,"年月",$A58,"事業所コード",$B58,"事業所",$C58,"事業区分",M$1,"請求区分","再請求"),0))</f>
        <v>0</v>
      </c>
      <c r="N58" s="660">
        <v>0</v>
      </c>
      <c r="O58" s="660">
        <v>0</v>
      </c>
      <c r="P58" s="660">
        <v>0</v>
      </c>
      <c r="Q58" s="660">
        <v>0</v>
      </c>
      <c r="R58" s="660">
        <v>0</v>
      </c>
      <c r="S58" s="660">
        <v>631384</v>
      </c>
      <c r="T58" s="660">
        <v>0</v>
      </c>
      <c r="U58" s="660">
        <v>0</v>
      </c>
      <c r="V58" s="660">
        <v>0</v>
      </c>
      <c r="W58" s="660">
        <v>0</v>
      </c>
      <c r="X58" s="660">
        <v>0</v>
      </c>
      <c r="Y58" s="659">
        <f t="shared" ca="1" si="2"/>
        <v>2860800</v>
      </c>
      <c r="Z58" s="659">
        <f t="shared" ca="1" si="1"/>
        <v>631384</v>
      </c>
    </row>
    <row r="59" spans="1:26" ht="15.95" customHeight="1" x14ac:dyDescent="0.15">
      <c r="A59" s="656">
        <v>42767</v>
      </c>
      <c r="B59" s="657" t="str">
        <f t="shared" ca="1" si="0"/>
        <v>06</v>
      </c>
      <c r="C59" s="658" t="s">
        <v>57</v>
      </c>
      <c r="D59" s="659">
        <f ca="1">IF($A59="","",IFERROR(GETPIVOTDATA("合計 / 入金予定",【ピボット】国保連売上!$A$3,"年月",$A59,"事業所コード",$B59,"事業所",$C59,"事業区分",D$1,"請求区分","単月"),0)
+IFERROR(GETPIVOTDATA("合計 / 入金予定",【ピボット】国保連売上!$A$3,"年月",$A59,"事業所コード",$B59,"事業所",$C59,"事業区分",D$1,"請求区分","再請求"),0))</f>
        <v>609299</v>
      </c>
      <c r="E59" s="659">
        <f ca="1">IF($A59="","",IFERROR(GETPIVOTDATA("合計 / 処遇改善加算金",【ピボット】国保連売上!$A$3,"年月",$A59,"事業所コード",$B59,"事業所",$C59,"事業区分",D$1,"請求区分","単月"),0))</f>
        <v>0</v>
      </c>
      <c r="F59" s="659">
        <f ca="1">IF($A59="","",IFERROR(GETPIVOTDATA("合計 / 入金予定",【ピボット】国保連売上!$A$3,"年月",$A59,"事業所コード",$B59,"事業所",$C59,"事業区分",F$1,"請求区分","単月"),0)
+IFERROR(GETPIVOTDATA("合計 / 入金予定",【ピボット】国保連売上!$A$3,"年月",$A59,"事業所コード",$B59,"事業所",$C59,"事業区分",F$1,"請求区分","再請求"),0))</f>
        <v>0</v>
      </c>
      <c r="G59" s="659">
        <f ca="1">IF($A59="","",IFERROR(GETPIVOTDATA("合計 / 処遇改善加算金",【ピボット】国保連売上!$A$3,"年月",$A59,"事業所コード",$B59,"事業所",$C59,"事業区分",F$1,"請求区分","単月"),0))</f>
        <v>0</v>
      </c>
      <c r="H59" s="659">
        <f ca="1">IF($A59="","",IFERROR(GETPIVOTDATA("合計 / 入金予定",【ピボット】国保連売上!$A$3,"年月",$A59,"事業所コード",$B59,"事業所",$C59,"事業区分",H$1,"請求区分","単月"),0)
+IFERROR(GETPIVOTDATA("合計 / 入金予定",【ピボット】国保連売上!$A$3,"年月",$A59,"事業所コード",$B59,"事業所",$C59,"事業区分",H$1,"請求区分","再請求"),0))</f>
        <v>0</v>
      </c>
      <c r="I59" s="659">
        <f ca="1">IF($A59="","",IFERROR(GETPIVOTDATA("合計 / 入金予定",【ピボット】国保連売上!$A$3,"年月",$A59,"事業所コード",$B59,"事業所",$C59,"事業区分",I$1,"請求区分","単月"),0)
+IFERROR(GETPIVOTDATA("合計 / 入金予定",【ピボット】国保連売上!$A$3,"年月",$A59,"事業所コード",$B59,"事業所",$C59,"事業区分",I$1,"請求区分","再請求"),0))</f>
        <v>0</v>
      </c>
      <c r="J59" s="659">
        <f ca="1">IF($A59="","",IFERROR(GETPIVOTDATA("合計 / 処遇改善加算金",【ピボット】国保連売上!$A$3,"年月",$A59,"事業所コード",$B59,"事業所",$C59,"事業区分",I$1,"請求区分","単月"),0))</f>
        <v>0</v>
      </c>
      <c r="K59" s="659">
        <f ca="1">IF($A59="","",IFERROR(GETPIVOTDATA("合計 / 入金予定",【ピボット】国保連売上!$A$3,"年月",$A59,"事業所コード",$B59,"事業所",$C59,"事業区分",K$1,"請求区分","単月"),0)
+IFERROR(GETPIVOTDATA("合計 / 入金予定",【ピボット】国保連売上!$A$3,"年月",$A59,"事業所コード",$B59,"事業所",$C59,"事業区分",K$1,"請求区分","再請求"),0))</f>
        <v>0</v>
      </c>
      <c r="L59" s="659">
        <f ca="1">IF($A59="","",IFERROR(GETPIVOTDATA("合計 / 処遇改善加算金",【ピボット】国保連売上!$A$3,"年月",$A59,"事業所コード",$B59,"事業所",$C59,"事業区分",K$1,"請求区分","単月"),0))</f>
        <v>0</v>
      </c>
      <c r="M59" s="659">
        <f ca="1">IF($A59="","",IFERROR(GETPIVOTDATA("合計 / 入金予定",【ピボット】国保連売上!$A$3,"年月",$A59,"事業所コード",$B59,"事業所",$C59,"事業区分",M$1,"請求区分","単月"),0)
+IFERROR(GETPIVOTDATA("合計 / 入金予定",【ピボット】国保連売上!$A$3,"年月",$A59,"事業所コード",$B59,"事業所",$C59,"事業区分",M$1,"請求区分","再請求"),0))</f>
        <v>0</v>
      </c>
      <c r="N59" s="660">
        <v>0</v>
      </c>
      <c r="O59" s="660">
        <v>0</v>
      </c>
      <c r="P59" s="660">
        <v>0</v>
      </c>
      <c r="Q59" s="660">
        <v>0</v>
      </c>
      <c r="R59" s="660">
        <v>0</v>
      </c>
      <c r="S59" s="660">
        <v>345280</v>
      </c>
      <c r="T59" s="660">
        <v>0</v>
      </c>
      <c r="U59" s="660">
        <v>0</v>
      </c>
      <c r="V59" s="660">
        <v>0</v>
      </c>
      <c r="W59" s="660">
        <v>0</v>
      </c>
      <c r="X59" s="660">
        <v>0</v>
      </c>
      <c r="Y59" s="659">
        <f t="shared" ca="1" si="2"/>
        <v>954579</v>
      </c>
      <c r="Z59" s="659">
        <f t="shared" ca="1" si="1"/>
        <v>345280</v>
      </c>
    </row>
    <row r="60" spans="1:26" ht="15.95" customHeight="1" x14ac:dyDescent="0.15">
      <c r="A60" s="656">
        <v>42767</v>
      </c>
      <c r="B60" s="657" t="str">
        <f t="shared" ca="1" si="0"/>
        <v>10</v>
      </c>
      <c r="C60" s="658" t="s">
        <v>583</v>
      </c>
      <c r="D60" s="659">
        <f ca="1">IF($A60="","",IFERROR(GETPIVOTDATA("合計 / 入金予定",【ピボット】国保連売上!$A$3,"年月",$A60,"事業所コード",$B60,"事業所",$C60,"事業区分",D$1,"請求区分","単月"),0)
+IFERROR(GETPIVOTDATA("合計 / 入金予定",【ピボット】国保連売上!$A$3,"年月",$A60,"事業所コード",$B60,"事業所",$C60,"事業区分",D$1,"請求区分","再請求"),0))</f>
        <v>1174356</v>
      </c>
      <c r="E60" s="659">
        <f ca="1">IF($A60="","",IFERROR(GETPIVOTDATA("合計 / 処遇改善加算金",【ピボット】国保連売上!$A$3,"年月",$A60,"事業所コード",$B60,"事業所",$C60,"事業区分",D$1,"請求区分","単月"),0))</f>
        <v>0</v>
      </c>
      <c r="F60" s="659">
        <f ca="1">IF($A60="","",IFERROR(GETPIVOTDATA("合計 / 入金予定",【ピボット】国保連売上!$A$3,"年月",$A60,"事業所コード",$B60,"事業所",$C60,"事業区分",F$1,"請求区分","単月"),0)
+IFERROR(GETPIVOTDATA("合計 / 入金予定",【ピボット】国保連売上!$A$3,"年月",$A60,"事業所コード",$B60,"事業所",$C60,"事業区分",F$1,"請求区分","再請求"),0))</f>
        <v>2424</v>
      </c>
      <c r="G60" s="659">
        <f ca="1">IF($A60="","",IFERROR(GETPIVOTDATA("合計 / 処遇改善加算金",【ピボット】国保連売上!$A$3,"年月",$A60,"事業所コード",$B60,"事業所",$C60,"事業区分",F$1,"請求区分","単月"),0))</f>
        <v>0</v>
      </c>
      <c r="H60" s="659">
        <f ca="1">IF($A60="","",IFERROR(GETPIVOTDATA("合計 / 入金予定",【ピボット】国保連売上!$A$3,"年月",$A60,"事業所コード",$B60,"事業所",$C60,"事業区分",H$1,"請求区分","単月"),0)
+IFERROR(GETPIVOTDATA("合計 / 入金予定",【ピボット】国保連売上!$A$3,"年月",$A60,"事業所コード",$B60,"事業所",$C60,"事業区分",H$1,"請求区分","再請求"),0))</f>
        <v>0</v>
      </c>
      <c r="I60" s="659">
        <f ca="1">IF($A60="","",IFERROR(GETPIVOTDATA("合計 / 入金予定",【ピボット】国保連売上!$A$3,"年月",$A60,"事業所コード",$B60,"事業所",$C60,"事業区分",I$1,"請求区分","単月"),0)
+IFERROR(GETPIVOTDATA("合計 / 入金予定",【ピボット】国保連売上!$A$3,"年月",$A60,"事業所コード",$B60,"事業所",$C60,"事業区分",I$1,"請求区分","再請求"),0))</f>
        <v>0</v>
      </c>
      <c r="J60" s="659">
        <f ca="1">IF($A60="","",IFERROR(GETPIVOTDATA("合計 / 処遇改善加算金",【ピボット】国保連売上!$A$3,"年月",$A60,"事業所コード",$B60,"事業所",$C60,"事業区分",I$1,"請求区分","単月"),0))</f>
        <v>0</v>
      </c>
      <c r="K60" s="659">
        <f ca="1">IF($A60="","",IFERROR(GETPIVOTDATA("合計 / 入金予定",【ピボット】国保連売上!$A$3,"年月",$A60,"事業所コード",$B60,"事業所",$C60,"事業区分",K$1,"請求区分","単月"),0)
+IFERROR(GETPIVOTDATA("合計 / 入金予定",【ピボット】国保連売上!$A$3,"年月",$A60,"事業所コード",$B60,"事業所",$C60,"事業区分",K$1,"請求区分","再請求"),0))</f>
        <v>0</v>
      </c>
      <c r="L60" s="659">
        <f ca="1">IF($A60="","",IFERROR(GETPIVOTDATA("合計 / 処遇改善加算金",【ピボット】国保連売上!$A$3,"年月",$A60,"事業所コード",$B60,"事業所",$C60,"事業区分",K$1,"請求区分","単月"),0))</f>
        <v>0</v>
      </c>
      <c r="M60" s="659">
        <f ca="1">IF($A60="","",IFERROR(GETPIVOTDATA("合計 / 入金予定",【ピボット】国保連売上!$A$3,"年月",$A60,"事業所コード",$B60,"事業所",$C60,"事業区分",M$1,"請求区分","単月"),0)
+IFERROR(GETPIVOTDATA("合計 / 入金予定",【ピボット】国保連売上!$A$3,"年月",$A60,"事業所コード",$B60,"事業所",$C60,"事業区分",M$1,"請求区分","再請求"),0))</f>
        <v>0</v>
      </c>
      <c r="N60" s="660">
        <v>204600</v>
      </c>
      <c r="O60" s="660">
        <v>56160</v>
      </c>
      <c r="P60" s="660">
        <v>1467070</v>
      </c>
      <c r="Q60" s="660">
        <v>0</v>
      </c>
      <c r="R60" s="660">
        <v>0</v>
      </c>
      <c r="S60" s="660">
        <v>0</v>
      </c>
      <c r="T60" s="660">
        <v>0</v>
      </c>
      <c r="U60" s="660">
        <v>0</v>
      </c>
      <c r="V60" s="660">
        <v>0</v>
      </c>
      <c r="W60" s="660">
        <v>0</v>
      </c>
      <c r="X60" s="660">
        <v>0</v>
      </c>
      <c r="Y60" s="659">
        <f t="shared" ca="1" si="2"/>
        <v>2904610</v>
      </c>
      <c r="Z60" s="659">
        <f t="shared" ca="1" si="1"/>
        <v>1727830</v>
      </c>
    </row>
    <row r="61" spans="1:26" ht="15.95" customHeight="1" x14ac:dyDescent="0.15">
      <c r="A61" s="656">
        <v>42795</v>
      </c>
      <c r="B61" s="657" t="str">
        <f t="shared" ca="1" si="0"/>
        <v>01</v>
      </c>
      <c r="C61" s="658" t="s">
        <v>34</v>
      </c>
      <c r="D61" s="659">
        <f ca="1">IF($A61="","",IFERROR(GETPIVOTDATA("合計 / 入金予定",【ピボット】国保連売上!$A$3,"年月",$A61,"事業所コード",$B61,"事業所",$C61,"事業区分",D$1,"請求区分","単月"),0)
+IFERROR(GETPIVOTDATA("合計 / 入金予定",【ピボット】国保連売上!$A$3,"年月",$A61,"事業所コード",$B61,"事業所",$C61,"事業区分",D$1,"請求区分","再請求"),0))</f>
        <v>7554872</v>
      </c>
      <c r="E61" s="659">
        <f ca="1">IF($A61="","",IFERROR(GETPIVOTDATA("合計 / 処遇改善加算金",【ピボット】国保連売上!$A$3,"年月",$A61,"事業所コード",$B61,"事業所",$C61,"事業区分",D$1,"請求区分","単月"),0))</f>
        <v>902014</v>
      </c>
      <c r="F61" s="659">
        <f ca="1">IF($A61="","",IFERROR(GETPIVOTDATA("合計 / 入金予定",【ピボット】国保連売上!$A$3,"年月",$A61,"事業所コード",$B61,"事業所",$C61,"事業区分",F$1,"請求区分","単月"),0)
+IFERROR(GETPIVOTDATA("合計 / 入金予定",【ピボット】国保連売上!$A$3,"年月",$A61,"事業所コード",$B61,"事業所",$C61,"事業区分",F$1,"請求区分","再請求"),0))</f>
        <v>1348844</v>
      </c>
      <c r="G61" s="659">
        <f ca="1">IF($A61="","",IFERROR(GETPIVOTDATA("合計 / 処遇改善加算金",【ピボット】国保連売上!$A$3,"年月",$A61,"事業所コード",$B61,"事業所",$C61,"事業区分",F$1,"請求区分","単月"),0))</f>
        <v>225651</v>
      </c>
      <c r="H61" s="659">
        <f ca="1">IF($A61="","",IFERROR(GETPIVOTDATA("合計 / 入金予定",【ピボット】国保連売上!$A$3,"年月",$A61,"事業所コード",$B61,"事業所",$C61,"事業区分",H$1,"請求区分","単月"),0)
+IFERROR(GETPIVOTDATA("合計 / 入金予定",【ピボット】国保連売上!$A$3,"年月",$A61,"事業所コード",$B61,"事業所",$C61,"事業区分",H$1,"請求区分","再請求"),0))</f>
        <v>745320</v>
      </c>
      <c r="I61" s="659">
        <f ca="1">IF($A61="","",IFERROR(GETPIVOTDATA("合計 / 入金予定",【ピボット】国保連売上!$A$3,"年月",$A61,"事業所コード",$B61,"事業所",$C61,"事業区分",I$1,"請求区分","単月"),0)
+IFERROR(GETPIVOTDATA("合計 / 入金予定",【ピボット】国保連売上!$A$3,"年月",$A61,"事業所コード",$B61,"事業所",$C61,"事業区分",I$1,"請求区分","再請求"),0))</f>
        <v>0</v>
      </c>
      <c r="J61" s="659">
        <f ca="1">IF($A61="","",IFERROR(GETPIVOTDATA("合計 / 処遇改善加算金",【ピボット】国保連売上!$A$3,"年月",$A61,"事業所コード",$B61,"事業所",$C61,"事業区分",I$1,"請求区分","単月"),0))</f>
        <v>0</v>
      </c>
      <c r="K61" s="659">
        <f ca="1">IF($A61="","",IFERROR(GETPIVOTDATA("合計 / 入金予定",【ピボット】国保連売上!$A$3,"年月",$A61,"事業所コード",$B61,"事業所",$C61,"事業区分",K$1,"請求区分","単月"),0)
+IFERROR(GETPIVOTDATA("合計 / 入金予定",【ピボット】国保連売上!$A$3,"年月",$A61,"事業所コード",$B61,"事業所",$C61,"事業区分",K$1,"請求区分","再請求"),0))</f>
        <v>0</v>
      </c>
      <c r="L61" s="659">
        <f ca="1">IF($A61="","",IFERROR(GETPIVOTDATA("合計 / 処遇改善加算金",【ピボット】国保連売上!$A$3,"年月",$A61,"事業所コード",$B61,"事業所",$C61,"事業区分",K$1,"請求区分","単月"),0))</f>
        <v>0</v>
      </c>
      <c r="M61" s="659">
        <f ca="1">IF($A61="","",IFERROR(GETPIVOTDATA("合計 / 入金予定",【ピボット】国保連売上!$A$3,"年月",$A61,"事業所コード",$B61,"事業所",$C61,"事業区分",M$1,"請求区分","単月"),0)
+IFERROR(GETPIVOTDATA("合計 / 入金予定",【ピボット】国保連売上!$A$3,"年月",$A61,"事業所コード",$B61,"事業所",$C61,"事業区分",M$1,"請求区分","再請求"),0))</f>
        <v>0</v>
      </c>
      <c r="N61" s="660">
        <v>138469</v>
      </c>
      <c r="O61" s="660">
        <v>28460</v>
      </c>
      <c r="P61" s="660">
        <v>0</v>
      </c>
      <c r="Q61" s="660">
        <v>6278</v>
      </c>
      <c r="R61" s="660">
        <v>123600</v>
      </c>
      <c r="S61" s="660">
        <v>0</v>
      </c>
      <c r="T61" s="660">
        <v>0</v>
      </c>
      <c r="U61" s="660">
        <v>0</v>
      </c>
      <c r="V61" s="660">
        <v>0</v>
      </c>
      <c r="W61" s="660">
        <v>0</v>
      </c>
      <c r="X61" s="660">
        <v>0</v>
      </c>
      <c r="Y61" s="659">
        <f t="shared" ca="1" si="2"/>
        <v>9945843</v>
      </c>
      <c r="Z61" s="659">
        <f t="shared" ca="1" si="1"/>
        <v>296807</v>
      </c>
    </row>
    <row r="62" spans="1:26" ht="15.95" customHeight="1" x14ac:dyDescent="0.15">
      <c r="A62" s="656">
        <v>42795</v>
      </c>
      <c r="B62" s="657" t="str">
        <f t="shared" ca="1" si="0"/>
        <v>02</v>
      </c>
      <c r="C62" s="658" t="s">
        <v>37</v>
      </c>
      <c r="D62" s="659">
        <f ca="1">IF($A62="","",IFERROR(GETPIVOTDATA("合計 / 入金予定",【ピボット】国保連売上!$A$3,"年月",$A62,"事業所コード",$B62,"事業所",$C62,"事業区分",D$1,"請求区分","単月"),0)
+IFERROR(GETPIVOTDATA("合計 / 入金予定",【ピボット】国保連売上!$A$3,"年月",$A62,"事業所コード",$B62,"事業所",$C62,"事業区分",D$1,"請求区分","再請求"),0))</f>
        <v>3667802</v>
      </c>
      <c r="E62" s="659">
        <f ca="1">IF($A62="","",IFERROR(GETPIVOTDATA("合計 / 処遇改善加算金",【ピボット】国保連売上!$A$3,"年月",$A62,"事業所コード",$B62,"事業所",$C62,"事業区分",D$1,"請求区分","単月"),0))</f>
        <v>295058</v>
      </c>
      <c r="F62" s="659">
        <f ca="1">IF($A62="","",IFERROR(GETPIVOTDATA("合計 / 入金予定",【ピボット】国保連売上!$A$3,"年月",$A62,"事業所コード",$B62,"事業所",$C62,"事業区分",F$1,"請求区分","単月"),0)
+IFERROR(GETPIVOTDATA("合計 / 入金予定",【ピボット】国保連売上!$A$3,"年月",$A62,"事業所コード",$B62,"事業所",$C62,"事業区分",F$1,"請求区分","再請求"),0))</f>
        <v>608591</v>
      </c>
      <c r="G62" s="659">
        <f ca="1">IF($A62="","",IFERROR(GETPIVOTDATA("合計 / 処遇改善加算金",【ピボット】国保連売上!$A$3,"年月",$A62,"事業所コード",$B62,"事業所",$C62,"事業区分",F$1,"請求区分","単月"),0))</f>
        <v>107095</v>
      </c>
      <c r="H62" s="659">
        <f ca="1">IF($A62="","",IFERROR(GETPIVOTDATA("合計 / 入金予定",【ピボット】国保連売上!$A$3,"年月",$A62,"事業所コード",$B62,"事業所",$C62,"事業区分",H$1,"請求区分","単月"),0)
+IFERROR(GETPIVOTDATA("合計 / 入金予定",【ピボット】国保連売上!$A$3,"年月",$A62,"事業所コード",$B62,"事業所",$C62,"事業区分",H$1,"請求区分","再請求"),0))</f>
        <v>355516</v>
      </c>
      <c r="I62" s="659">
        <f ca="1">IF($A62="","",IFERROR(GETPIVOTDATA("合計 / 入金予定",【ピボット】国保連売上!$A$3,"年月",$A62,"事業所コード",$B62,"事業所",$C62,"事業区分",I$1,"請求区分","単月"),0)
+IFERROR(GETPIVOTDATA("合計 / 入金予定",【ピボット】国保連売上!$A$3,"年月",$A62,"事業所コード",$B62,"事業所",$C62,"事業区分",I$1,"請求区分","再請求"),0))</f>
        <v>0</v>
      </c>
      <c r="J62" s="659">
        <f ca="1">IF($A62="","",IFERROR(GETPIVOTDATA("合計 / 処遇改善加算金",【ピボット】国保連売上!$A$3,"年月",$A62,"事業所コード",$B62,"事業所",$C62,"事業区分",I$1,"請求区分","単月"),0))</f>
        <v>0</v>
      </c>
      <c r="K62" s="659">
        <f ca="1">IF($A62="","",IFERROR(GETPIVOTDATA("合計 / 入金予定",【ピボット】国保連売上!$A$3,"年月",$A62,"事業所コード",$B62,"事業所",$C62,"事業区分",K$1,"請求区分","単月"),0)
+IFERROR(GETPIVOTDATA("合計 / 入金予定",【ピボット】国保連売上!$A$3,"年月",$A62,"事業所コード",$B62,"事業所",$C62,"事業区分",K$1,"請求区分","再請求"),0))</f>
        <v>0</v>
      </c>
      <c r="L62" s="659">
        <f ca="1">IF($A62="","",IFERROR(GETPIVOTDATA("合計 / 処遇改善加算金",【ピボット】国保連売上!$A$3,"年月",$A62,"事業所コード",$B62,"事業所",$C62,"事業区分",K$1,"請求区分","単月"),0))</f>
        <v>0</v>
      </c>
      <c r="M62" s="659">
        <f ca="1">IF($A62="","",IFERROR(GETPIVOTDATA("合計 / 入金予定",【ピボット】国保連売上!$A$3,"年月",$A62,"事業所コード",$B62,"事業所",$C62,"事業区分",M$1,"請求区分","単月"),0)
+IFERROR(GETPIVOTDATA("合計 / 入金予定",【ピボット】国保連売上!$A$3,"年月",$A62,"事業所コード",$B62,"事業所",$C62,"事業区分",M$1,"請求区分","再請求"),0))</f>
        <v>0</v>
      </c>
      <c r="N62" s="660">
        <v>136325</v>
      </c>
      <c r="O62" s="660">
        <v>0</v>
      </c>
      <c r="P62" s="660">
        <v>0</v>
      </c>
      <c r="Q62" s="660">
        <v>1929</v>
      </c>
      <c r="R62" s="660">
        <v>98037</v>
      </c>
      <c r="S62" s="660">
        <v>0</v>
      </c>
      <c r="T62" s="660">
        <v>0</v>
      </c>
      <c r="U62" s="660">
        <v>0</v>
      </c>
      <c r="V62" s="660">
        <v>0</v>
      </c>
      <c r="W62" s="660">
        <v>0</v>
      </c>
      <c r="X62" s="660">
        <v>0</v>
      </c>
      <c r="Y62" s="659">
        <f t="shared" ca="1" si="2"/>
        <v>4868200</v>
      </c>
      <c r="Z62" s="659">
        <f t="shared" ca="1" si="1"/>
        <v>236291</v>
      </c>
    </row>
    <row r="63" spans="1:26" ht="15.95" customHeight="1" x14ac:dyDescent="0.15">
      <c r="A63" s="656">
        <v>42795</v>
      </c>
      <c r="B63" s="657" t="str">
        <f t="shared" ca="1" si="0"/>
        <v>03</v>
      </c>
      <c r="C63" s="658" t="s">
        <v>66</v>
      </c>
      <c r="D63" s="659">
        <f ca="1">IF($A63="","",IFERROR(GETPIVOTDATA("合計 / 入金予定",【ピボット】国保連売上!$A$3,"年月",$A63,"事業所コード",$B63,"事業所",$C63,"事業区分",D$1,"請求区分","単月"),0)
+IFERROR(GETPIVOTDATA("合計 / 入金予定",【ピボット】国保連売上!$A$3,"年月",$A63,"事業所コード",$B63,"事業所",$C63,"事業区分",D$1,"請求区分","再請求"),0))</f>
        <v>3162692</v>
      </c>
      <c r="E63" s="659">
        <f ca="1">IF($A63="","",IFERROR(GETPIVOTDATA("合計 / 処遇改善加算金",【ピボット】国保連売上!$A$3,"年月",$A63,"事業所コード",$B63,"事業所",$C63,"事業区分",D$1,"請求区分","単月"),0))</f>
        <v>250986</v>
      </c>
      <c r="F63" s="659">
        <f ca="1">IF($A63="","",IFERROR(GETPIVOTDATA("合計 / 入金予定",【ピボット】国保連売上!$A$3,"年月",$A63,"事業所コード",$B63,"事業所",$C63,"事業区分",F$1,"請求区分","単月"),0)
+IFERROR(GETPIVOTDATA("合計 / 入金予定",【ピボット】国保連売上!$A$3,"年月",$A63,"事業所コード",$B63,"事業所",$C63,"事業区分",F$1,"請求区分","再請求"),0))</f>
        <v>1533164</v>
      </c>
      <c r="G63" s="659">
        <f ca="1">IF($A63="","",IFERROR(GETPIVOTDATA("合計 / 処遇改善加算金",【ピボット】国保連売上!$A$3,"年月",$A63,"事業所コード",$B63,"事業所",$C63,"事業区分",F$1,"請求区分","単月"),0))</f>
        <v>275228</v>
      </c>
      <c r="H63" s="659">
        <f ca="1">IF($A63="","",IFERROR(GETPIVOTDATA("合計 / 入金予定",【ピボット】国保連売上!$A$3,"年月",$A63,"事業所コード",$B63,"事業所",$C63,"事業区分",H$1,"請求区分","単月"),0)
+IFERROR(GETPIVOTDATA("合計 / 入金予定",【ピボット】国保連売上!$A$3,"年月",$A63,"事業所コード",$B63,"事業所",$C63,"事業区分",H$1,"請求区分","再請求"),0))</f>
        <v>0</v>
      </c>
      <c r="I63" s="659">
        <f ca="1">IF($A63="","",IFERROR(GETPIVOTDATA("合計 / 入金予定",【ピボット】国保連売上!$A$3,"年月",$A63,"事業所コード",$B63,"事業所",$C63,"事業区分",I$1,"請求区分","単月"),0)
+IFERROR(GETPIVOTDATA("合計 / 入金予定",【ピボット】国保連売上!$A$3,"年月",$A63,"事業所コード",$B63,"事業所",$C63,"事業区分",I$1,"請求区分","再請求"),0))</f>
        <v>0</v>
      </c>
      <c r="J63" s="659">
        <f ca="1">IF($A63="","",IFERROR(GETPIVOTDATA("合計 / 処遇改善加算金",【ピボット】国保連売上!$A$3,"年月",$A63,"事業所コード",$B63,"事業所",$C63,"事業区分",I$1,"請求区分","単月"),0))</f>
        <v>0</v>
      </c>
      <c r="K63" s="659">
        <f ca="1">IF($A63="","",IFERROR(GETPIVOTDATA("合計 / 入金予定",【ピボット】国保連売上!$A$3,"年月",$A63,"事業所コード",$B63,"事業所",$C63,"事業区分",K$1,"請求区分","単月"),0)
+IFERROR(GETPIVOTDATA("合計 / 入金予定",【ピボット】国保連売上!$A$3,"年月",$A63,"事業所コード",$B63,"事業所",$C63,"事業区分",K$1,"請求区分","再請求"),0))</f>
        <v>0</v>
      </c>
      <c r="L63" s="659">
        <f ca="1">IF($A63="","",IFERROR(GETPIVOTDATA("合計 / 処遇改善加算金",【ピボット】国保連売上!$A$3,"年月",$A63,"事業所コード",$B63,"事業所",$C63,"事業区分",K$1,"請求区分","単月"),0))</f>
        <v>0</v>
      </c>
      <c r="M63" s="659">
        <f ca="1">IF($A63="","",IFERROR(GETPIVOTDATA("合計 / 入金予定",【ピボット】国保連売上!$A$3,"年月",$A63,"事業所コード",$B63,"事業所",$C63,"事業区分",M$1,"請求区分","単月"),0)
+IFERROR(GETPIVOTDATA("合計 / 入金予定",【ピボット】国保連売上!$A$3,"年月",$A63,"事業所コード",$B63,"事業所",$C63,"事業区分",M$1,"請求区分","再請求"),0))</f>
        <v>0</v>
      </c>
      <c r="N63" s="660">
        <v>49700</v>
      </c>
      <c r="O63" s="660">
        <v>92900</v>
      </c>
      <c r="P63" s="660">
        <v>18390</v>
      </c>
      <c r="Q63" s="660">
        <v>3367</v>
      </c>
      <c r="R63" s="660">
        <v>0</v>
      </c>
      <c r="S63" s="660">
        <v>0</v>
      </c>
      <c r="T63" s="660">
        <v>0</v>
      </c>
      <c r="U63" s="660">
        <v>0</v>
      </c>
      <c r="V63" s="660">
        <v>0</v>
      </c>
      <c r="W63" s="660">
        <v>0</v>
      </c>
      <c r="X63" s="660">
        <v>0</v>
      </c>
      <c r="Y63" s="659">
        <f t="shared" ca="1" si="2"/>
        <v>4860213</v>
      </c>
      <c r="Z63" s="659">
        <f t="shared" ca="1" si="1"/>
        <v>164357</v>
      </c>
    </row>
    <row r="64" spans="1:26" ht="15.95" customHeight="1" x14ac:dyDescent="0.15">
      <c r="A64" s="656">
        <v>42795</v>
      </c>
      <c r="B64" s="657" t="str">
        <f t="shared" ca="1" si="0"/>
        <v>04</v>
      </c>
      <c r="C64" s="658" t="s">
        <v>358</v>
      </c>
      <c r="D64" s="659">
        <f ca="1">IF($A64="","",IFERROR(GETPIVOTDATA("合計 / 入金予定",【ピボット】国保連売上!$A$3,"年月",$A64,"事業所コード",$B64,"事業所",$C64,"事業区分",D$1,"請求区分","単月"),0)
+IFERROR(GETPIVOTDATA("合計 / 入金予定",【ピボット】国保連売上!$A$3,"年月",$A64,"事業所コード",$B64,"事業所",$C64,"事業区分",D$1,"請求区分","再請求"),0))</f>
        <v>0</v>
      </c>
      <c r="E64" s="659">
        <f ca="1">IF($A64="","",IFERROR(GETPIVOTDATA("合計 / 処遇改善加算金",【ピボット】国保連売上!$A$3,"年月",$A64,"事業所コード",$B64,"事業所",$C64,"事業区分",D$1,"請求区分","単月"),0))</f>
        <v>0</v>
      </c>
      <c r="F64" s="659">
        <f ca="1">IF($A64="","",IFERROR(GETPIVOTDATA("合計 / 入金予定",【ピボット】国保連売上!$A$3,"年月",$A64,"事業所コード",$B64,"事業所",$C64,"事業区分",F$1,"請求区分","単月"),0)
+IFERROR(GETPIVOTDATA("合計 / 入金予定",【ピボット】国保連売上!$A$3,"年月",$A64,"事業所コード",$B64,"事業所",$C64,"事業区分",F$1,"請求区分","再請求"),0))</f>
        <v>0</v>
      </c>
      <c r="G64" s="659">
        <f ca="1">IF($A64="","",IFERROR(GETPIVOTDATA("合計 / 処遇改善加算金",【ピボット】国保連売上!$A$3,"年月",$A64,"事業所コード",$B64,"事業所",$C64,"事業区分",F$1,"請求区分","単月"),0))</f>
        <v>0</v>
      </c>
      <c r="H64" s="659">
        <f ca="1">IF($A64="","",IFERROR(GETPIVOTDATA("合計 / 入金予定",【ピボット】国保連売上!$A$3,"年月",$A64,"事業所コード",$B64,"事業所",$C64,"事業区分",H$1,"請求区分","単月"),0)
+IFERROR(GETPIVOTDATA("合計 / 入金予定",【ピボット】国保連売上!$A$3,"年月",$A64,"事業所コード",$B64,"事業所",$C64,"事業区分",H$1,"請求区分","再請求"),0))</f>
        <v>0</v>
      </c>
      <c r="I64" s="659">
        <f ca="1">IF($A64="","",IFERROR(GETPIVOTDATA("合計 / 入金予定",【ピボット】国保連売上!$A$3,"年月",$A64,"事業所コード",$B64,"事業所",$C64,"事業区分",I$1,"請求区分","単月"),0)
+IFERROR(GETPIVOTDATA("合計 / 入金予定",【ピボット】国保連売上!$A$3,"年月",$A64,"事業所コード",$B64,"事業所",$C64,"事業区分",I$1,"請求区分","再請求"),0))</f>
        <v>2909983</v>
      </c>
      <c r="J64" s="659">
        <f ca="1">IF($A64="","",IFERROR(GETPIVOTDATA("合計 / 処遇改善加算金",【ピボット】国保連売上!$A$3,"年月",$A64,"事業所コード",$B64,"事業所",$C64,"事業区分",I$1,"請求区分","単月"),0))</f>
        <v>111908</v>
      </c>
      <c r="K64" s="659">
        <f ca="1">IF($A64="","",IFERROR(GETPIVOTDATA("合計 / 入金予定",【ピボット】国保連売上!$A$3,"年月",$A64,"事業所コード",$B64,"事業所",$C64,"事業区分",K$1,"請求区分","単月"),0)
+IFERROR(GETPIVOTDATA("合計 / 入金予定",【ピボット】国保連売上!$A$3,"年月",$A64,"事業所コード",$B64,"事業所",$C64,"事業区分",K$1,"請求区分","再請求"),0))</f>
        <v>0</v>
      </c>
      <c r="L64" s="659">
        <f ca="1">IF($A64="","",IFERROR(GETPIVOTDATA("合計 / 処遇改善加算金",【ピボット】国保連売上!$A$3,"年月",$A64,"事業所コード",$B64,"事業所",$C64,"事業区分",K$1,"請求区分","単月"),0))</f>
        <v>0</v>
      </c>
      <c r="M64" s="659">
        <f ca="1">IF($A64="","",IFERROR(GETPIVOTDATA("合計 / 入金予定",【ピボット】国保連売上!$A$3,"年月",$A64,"事業所コード",$B64,"事業所",$C64,"事業区分",M$1,"請求区分","単月"),0)
+IFERROR(GETPIVOTDATA("合計 / 入金予定",【ピボット】国保連売上!$A$3,"年月",$A64,"事業所コード",$B64,"事業所",$C64,"事業区分",M$1,"請求区分","再請求"),0))</f>
        <v>0</v>
      </c>
      <c r="N64" s="660">
        <v>30000</v>
      </c>
      <c r="O64" s="660">
        <v>0</v>
      </c>
      <c r="P64" s="660">
        <v>0</v>
      </c>
      <c r="Q64" s="660">
        <v>0</v>
      </c>
      <c r="R64" s="660">
        <v>0</v>
      </c>
      <c r="S64" s="660">
        <v>0</v>
      </c>
      <c r="T64" s="660">
        <v>182050</v>
      </c>
      <c r="U64" s="660">
        <v>0</v>
      </c>
      <c r="V64" s="660">
        <v>0</v>
      </c>
      <c r="W64" s="660">
        <v>0</v>
      </c>
      <c r="X64" s="660">
        <v>0</v>
      </c>
      <c r="Y64" s="659">
        <f t="shared" ca="1" si="2"/>
        <v>3122033</v>
      </c>
      <c r="Z64" s="659">
        <f t="shared" ca="1" si="1"/>
        <v>212050</v>
      </c>
    </row>
    <row r="65" spans="1:26" ht="15.95" customHeight="1" x14ac:dyDescent="0.15">
      <c r="A65" s="656">
        <v>42795</v>
      </c>
      <c r="B65" s="657" t="str">
        <f t="shared" ca="1" si="0"/>
        <v>07</v>
      </c>
      <c r="C65" s="658" t="s">
        <v>119</v>
      </c>
      <c r="D65" s="659">
        <f ca="1">IF($A65="","",IFERROR(GETPIVOTDATA("合計 / 入金予定",【ピボット】国保連売上!$A$3,"年月",$A65,"事業所コード",$B65,"事業所",$C65,"事業区分",D$1,"請求区分","単月"),0)
+IFERROR(GETPIVOTDATA("合計 / 入金予定",【ピボット】国保連売上!$A$3,"年月",$A65,"事業所コード",$B65,"事業所",$C65,"事業区分",D$1,"請求区分","再請求"),0))</f>
        <v>0</v>
      </c>
      <c r="E65" s="659">
        <f ca="1">IF($A65="","",IFERROR(GETPIVOTDATA("合計 / 処遇改善加算金",【ピボット】国保連売上!$A$3,"年月",$A65,"事業所コード",$B65,"事業所",$C65,"事業区分",D$1,"請求区分","単月"),0))</f>
        <v>0</v>
      </c>
      <c r="F65" s="659">
        <f ca="1">IF($A65="","",IFERROR(GETPIVOTDATA("合計 / 入金予定",【ピボット】国保連売上!$A$3,"年月",$A65,"事業所コード",$B65,"事業所",$C65,"事業区分",F$1,"請求区分","単月"),0)
+IFERROR(GETPIVOTDATA("合計 / 入金予定",【ピボット】国保連売上!$A$3,"年月",$A65,"事業所コード",$B65,"事業所",$C65,"事業区分",F$1,"請求区分","再請求"),0))</f>
        <v>0</v>
      </c>
      <c r="G65" s="659">
        <f ca="1">IF($A65="","",IFERROR(GETPIVOTDATA("合計 / 処遇改善加算金",【ピボット】国保連売上!$A$3,"年月",$A65,"事業所コード",$B65,"事業所",$C65,"事業区分",F$1,"請求区分","単月"),0))</f>
        <v>0</v>
      </c>
      <c r="H65" s="659">
        <f ca="1">IF($A65="","",IFERROR(GETPIVOTDATA("合計 / 入金予定",【ピボット】国保連売上!$A$3,"年月",$A65,"事業所コード",$B65,"事業所",$C65,"事業区分",H$1,"請求区分","単月"),0)
+IFERROR(GETPIVOTDATA("合計 / 入金予定",【ピボット】国保連売上!$A$3,"年月",$A65,"事業所コード",$B65,"事業所",$C65,"事業区分",H$1,"請求区分","再請求"),0))</f>
        <v>0</v>
      </c>
      <c r="I65" s="659">
        <f ca="1">IF($A65="","",IFERROR(GETPIVOTDATA("合計 / 入金予定",【ピボット】国保連売上!$A$3,"年月",$A65,"事業所コード",$B65,"事業所",$C65,"事業区分",I$1,"請求区分","単月"),0)
+IFERROR(GETPIVOTDATA("合計 / 入金予定",【ピボット】国保連売上!$A$3,"年月",$A65,"事業所コード",$B65,"事業所",$C65,"事業区分",I$1,"請求区分","再請求"),0))</f>
        <v>0</v>
      </c>
      <c r="J65" s="659">
        <f ca="1">IF($A65="","",IFERROR(GETPIVOTDATA("合計 / 処遇改善加算金",【ピボット】国保連売上!$A$3,"年月",$A65,"事業所コード",$B65,"事業所",$C65,"事業区分",I$1,"請求区分","単月"),0))</f>
        <v>0</v>
      </c>
      <c r="K65" s="659">
        <f ca="1">IF($A65="","",IFERROR(GETPIVOTDATA("合計 / 入金予定",【ピボット】国保連売上!$A$3,"年月",$A65,"事業所コード",$B65,"事業所",$C65,"事業区分",K$1,"請求区分","単月"),0)
+IFERROR(GETPIVOTDATA("合計 / 入金予定",【ピボット】国保連売上!$A$3,"年月",$A65,"事業所コード",$B65,"事業所",$C65,"事業区分",K$1,"請求区分","再請求"),0))</f>
        <v>775242</v>
      </c>
      <c r="L65" s="659">
        <f ca="1">IF($A65="","",IFERROR(GETPIVOTDATA("合計 / 処遇改善加算金",【ピボット】国保連売上!$A$3,"年月",$A65,"事業所コード",$B65,"事業所",$C65,"事業区分",K$1,"請求区分","単月"),0))</f>
        <v>55552</v>
      </c>
      <c r="M65" s="659">
        <f ca="1">IF($A65="","",IFERROR(GETPIVOTDATA("合計 / 入金予定",【ピボット】国保連売上!$A$3,"年月",$A65,"事業所コード",$B65,"事業所",$C65,"事業区分",M$1,"請求区分","単月"),0)
+IFERROR(GETPIVOTDATA("合計 / 入金予定",【ピボット】国保連売上!$A$3,"年月",$A65,"事業所コード",$B65,"事業所",$C65,"事業区分",M$1,"請求区分","再請求"),0))</f>
        <v>0</v>
      </c>
      <c r="N65" s="660">
        <v>0</v>
      </c>
      <c r="O65" s="660">
        <v>0</v>
      </c>
      <c r="P65" s="660">
        <v>0</v>
      </c>
      <c r="Q65" s="660">
        <v>0</v>
      </c>
      <c r="R65" s="660">
        <v>0</v>
      </c>
      <c r="S65" s="660">
        <v>78000</v>
      </c>
      <c r="T65" s="660">
        <v>0</v>
      </c>
      <c r="U65" s="660">
        <v>0</v>
      </c>
      <c r="V65" s="660">
        <v>-30000</v>
      </c>
      <c r="W65" s="660">
        <v>0</v>
      </c>
      <c r="X65" s="660">
        <v>0</v>
      </c>
      <c r="Y65" s="659">
        <f t="shared" ca="1" si="2"/>
        <v>823242</v>
      </c>
      <c r="Z65" s="659">
        <f t="shared" ca="1" si="1"/>
        <v>48000</v>
      </c>
    </row>
    <row r="66" spans="1:26" ht="15.95" customHeight="1" x14ac:dyDescent="0.15">
      <c r="A66" s="656">
        <v>42795</v>
      </c>
      <c r="B66" s="657" t="str">
        <f t="shared" ca="1" si="0"/>
        <v>08</v>
      </c>
      <c r="C66" s="658" t="s">
        <v>189</v>
      </c>
      <c r="D66" s="659">
        <f ca="1">IF($A66="","",IFERROR(GETPIVOTDATA("合計 / 入金予定",【ピボット】国保連売上!$A$3,"年月",$A66,"事業所コード",$B66,"事業所",$C66,"事業区分",D$1,"請求区分","単月"),0)
+IFERROR(GETPIVOTDATA("合計 / 入金予定",【ピボット】国保連売上!$A$3,"年月",$A66,"事業所コード",$B66,"事業所",$C66,"事業区分",D$1,"請求区分","再請求"),0))</f>
        <v>0</v>
      </c>
      <c r="E66" s="659">
        <f ca="1">IF($A66="","",IFERROR(GETPIVOTDATA("合計 / 処遇改善加算金",【ピボット】国保連売上!$A$3,"年月",$A66,"事業所コード",$B66,"事業所",$C66,"事業区分",D$1,"請求区分","単月"),0))</f>
        <v>0</v>
      </c>
      <c r="F66" s="659">
        <f ca="1">IF($A66="","",IFERROR(GETPIVOTDATA("合計 / 入金予定",【ピボット】国保連売上!$A$3,"年月",$A66,"事業所コード",$B66,"事業所",$C66,"事業区分",F$1,"請求区分","単月"),0)
+IFERROR(GETPIVOTDATA("合計 / 入金予定",【ピボット】国保連売上!$A$3,"年月",$A66,"事業所コード",$B66,"事業所",$C66,"事業区分",F$1,"請求区分","再請求"),0))</f>
        <v>0</v>
      </c>
      <c r="G66" s="659">
        <f ca="1">IF($A66="","",IFERROR(GETPIVOTDATA("合計 / 処遇改善加算金",【ピボット】国保連売上!$A$3,"年月",$A66,"事業所コード",$B66,"事業所",$C66,"事業区分",F$1,"請求区分","単月"),0))</f>
        <v>0</v>
      </c>
      <c r="H66" s="659">
        <f ca="1">IF($A66="","",IFERROR(GETPIVOTDATA("合計 / 入金予定",【ピボット】国保連売上!$A$3,"年月",$A66,"事業所コード",$B66,"事業所",$C66,"事業区分",H$1,"請求区分","単月"),0)
+IFERROR(GETPIVOTDATA("合計 / 入金予定",【ピボット】国保連売上!$A$3,"年月",$A66,"事業所コード",$B66,"事業所",$C66,"事業区分",H$1,"請求区分","再請求"),0))</f>
        <v>0</v>
      </c>
      <c r="I66" s="659">
        <f ca="1">IF($A66="","",IFERROR(GETPIVOTDATA("合計 / 入金予定",【ピボット】国保連売上!$A$3,"年月",$A66,"事業所コード",$B66,"事業所",$C66,"事業区分",I$1,"請求区分","単月"),0)
+IFERROR(GETPIVOTDATA("合計 / 入金予定",【ピボット】国保連売上!$A$3,"年月",$A66,"事業所コード",$B66,"事業所",$C66,"事業区分",I$1,"請求区分","再請求"),0))</f>
        <v>0</v>
      </c>
      <c r="J66" s="659">
        <f ca="1">IF($A66="","",IFERROR(GETPIVOTDATA("合計 / 処遇改善加算金",【ピボット】国保連売上!$A$3,"年月",$A66,"事業所コード",$B66,"事業所",$C66,"事業区分",I$1,"請求区分","単月"),0))</f>
        <v>0</v>
      </c>
      <c r="K66" s="659">
        <f ca="1">IF($A66="","",IFERROR(GETPIVOTDATA("合計 / 入金予定",【ピボット】国保連売上!$A$3,"年月",$A66,"事業所コード",$B66,"事業所",$C66,"事業区分",K$1,"請求区分","単月"),0)
+IFERROR(GETPIVOTDATA("合計 / 入金予定",【ピボット】国保連売上!$A$3,"年月",$A66,"事業所コード",$B66,"事業所",$C66,"事業区分",K$1,"請求区分","再請求"),0))</f>
        <v>359204</v>
      </c>
      <c r="L66" s="659">
        <f ca="1">IF($A66="","",IFERROR(GETPIVOTDATA("合計 / 処遇改善加算金",【ピボット】国保連売上!$A$3,"年月",$A66,"事業所コード",$B66,"事業所",$C66,"事業区分",K$1,"請求区分","単月"),0))</f>
        <v>0</v>
      </c>
      <c r="M66" s="659">
        <f ca="1">IF($A66="","",IFERROR(GETPIVOTDATA("合計 / 入金予定",【ピボット】国保連売上!$A$3,"年月",$A66,"事業所コード",$B66,"事業所",$C66,"事業区分",M$1,"請求区分","単月"),0)
+IFERROR(GETPIVOTDATA("合計 / 入金予定",【ピボット】国保連売上!$A$3,"年月",$A66,"事業所コード",$B66,"事業所",$C66,"事業区分",M$1,"請求区分","再請求"),0))</f>
        <v>0</v>
      </c>
      <c r="N66" s="660">
        <v>20000</v>
      </c>
      <c r="O66" s="660">
        <v>0</v>
      </c>
      <c r="P66" s="660">
        <v>0</v>
      </c>
      <c r="Q66" s="660">
        <v>0</v>
      </c>
      <c r="R66" s="660">
        <v>0</v>
      </c>
      <c r="S66" s="660">
        <v>65000</v>
      </c>
      <c r="T66" s="660">
        <v>0</v>
      </c>
      <c r="U66" s="660">
        <v>0</v>
      </c>
      <c r="V66" s="660">
        <v>0</v>
      </c>
      <c r="W66" s="660">
        <v>0</v>
      </c>
      <c r="X66" s="660">
        <v>0</v>
      </c>
      <c r="Y66" s="659">
        <f t="shared" ca="1" si="2"/>
        <v>444204</v>
      </c>
      <c r="Z66" s="659">
        <f t="shared" ca="1" si="1"/>
        <v>85000</v>
      </c>
    </row>
    <row r="67" spans="1:26" ht="15.95" customHeight="1" x14ac:dyDescent="0.15">
      <c r="A67" s="656">
        <v>42795</v>
      </c>
      <c r="B67" s="657" t="str">
        <f t="shared" ref="B67:B130" ca="1" si="3">IF(C67="","",VLOOKUP(C67,事業所コード2,2,FALSE))</f>
        <v>05</v>
      </c>
      <c r="C67" s="658" t="s">
        <v>38</v>
      </c>
      <c r="D67" s="659">
        <f ca="1">IF($A67="","",IFERROR(GETPIVOTDATA("合計 / 入金予定",【ピボット】国保連売上!$A$3,"年月",$A67,"事業所コード",$B67,"事業所",$C67,"事業区分",D$1,"請求区分","単月"),0)
+IFERROR(GETPIVOTDATA("合計 / 入金予定",【ピボット】国保連売上!$A$3,"年月",$A67,"事業所コード",$B67,"事業所",$C67,"事業区分",D$1,"請求区分","再請求"),0))</f>
        <v>2013810</v>
      </c>
      <c r="E67" s="659">
        <f ca="1">IF($A67="","",IFERROR(GETPIVOTDATA("合計 / 処遇改善加算金",【ピボット】国保連売上!$A$3,"年月",$A67,"事業所コード",$B67,"事業所",$C67,"事業区分",D$1,"請求区分","単月"),0))</f>
        <v>0</v>
      </c>
      <c r="F67" s="659">
        <f ca="1">IF($A67="","",IFERROR(GETPIVOTDATA("合計 / 入金予定",【ピボット】国保連売上!$A$3,"年月",$A67,"事業所コード",$B67,"事業所",$C67,"事業区分",F$1,"請求区分","単月"),0)
+IFERROR(GETPIVOTDATA("合計 / 入金予定",【ピボット】国保連売上!$A$3,"年月",$A67,"事業所コード",$B67,"事業所",$C67,"事業区分",F$1,"請求区分","再請求"),0))</f>
        <v>0</v>
      </c>
      <c r="G67" s="659">
        <f ca="1">IF($A67="","",IFERROR(GETPIVOTDATA("合計 / 処遇改善加算金",【ピボット】国保連売上!$A$3,"年月",$A67,"事業所コード",$B67,"事業所",$C67,"事業区分",F$1,"請求区分","単月"),0))</f>
        <v>0</v>
      </c>
      <c r="H67" s="659">
        <f ca="1">IF($A67="","",IFERROR(GETPIVOTDATA("合計 / 入金予定",【ピボット】国保連売上!$A$3,"年月",$A67,"事業所コード",$B67,"事業所",$C67,"事業区分",H$1,"請求区分","単月"),0)
+IFERROR(GETPIVOTDATA("合計 / 入金予定",【ピボット】国保連売上!$A$3,"年月",$A67,"事業所コード",$B67,"事業所",$C67,"事業区分",H$1,"請求区分","再請求"),0))</f>
        <v>0</v>
      </c>
      <c r="I67" s="659">
        <f ca="1">IF($A67="","",IFERROR(GETPIVOTDATA("合計 / 入金予定",【ピボット】国保連売上!$A$3,"年月",$A67,"事業所コード",$B67,"事業所",$C67,"事業区分",I$1,"請求区分","単月"),0)
+IFERROR(GETPIVOTDATA("合計 / 入金予定",【ピボット】国保連売上!$A$3,"年月",$A67,"事業所コード",$B67,"事業所",$C67,"事業区分",I$1,"請求区分","再請求"),0))</f>
        <v>0</v>
      </c>
      <c r="J67" s="659">
        <f ca="1">IF($A67="","",IFERROR(GETPIVOTDATA("合計 / 処遇改善加算金",【ピボット】国保連売上!$A$3,"年月",$A67,"事業所コード",$B67,"事業所",$C67,"事業区分",I$1,"請求区分","単月"),0))</f>
        <v>0</v>
      </c>
      <c r="K67" s="659">
        <f ca="1">IF($A67="","",IFERROR(GETPIVOTDATA("合計 / 入金予定",【ピボット】国保連売上!$A$3,"年月",$A67,"事業所コード",$B67,"事業所",$C67,"事業区分",K$1,"請求区分","単月"),0)
+IFERROR(GETPIVOTDATA("合計 / 入金予定",【ピボット】国保連売上!$A$3,"年月",$A67,"事業所コード",$B67,"事業所",$C67,"事業区分",K$1,"請求区分","再請求"),0))</f>
        <v>0</v>
      </c>
      <c r="L67" s="659">
        <f ca="1">IF($A67="","",IFERROR(GETPIVOTDATA("合計 / 処遇改善加算金",【ピボット】国保連売上!$A$3,"年月",$A67,"事業所コード",$B67,"事業所",$C67,"事業区分",K$1,"請求区分","単月"),0))</f>
        <v>0</v>
      </c>
      <c r="M67" s="659">
        <f ca="1">IF($A67="","",IFERROR(GETPIVOTDATA("合計 / 入金予定",【ピボット】国保連売上!$A$3,"年月",$A67,"事業所コード",$B67,"事業所",$C67,"事業区分",M$1,"請求区分","単月"),0)
+IFERROR(GETPIVOTDATA("合計 / 入金予定",【ピボット】国保連売上!$A$3,"年月",$A67,"事業所コード",$B67,"事業所",$C67,"事業区分",M$1,"請求区分","再請求"),0))</f>
        <v>0</v>
      </c>
      <c r="N67" s="660">
        <v>14600</v>
      </c>
      <c r="O67" s="660">
        <v>0</v>
      </c>
      <c r="P67" s="660">
        <v>0</v>
      </c>
      <c r="Q67" s="660">
        <v>0</v>
      </c>
      <c r="R67" s="660">
        <v>0</v>
      </c>
      <c r="S67" s="660">
        <v>1247552</v>
      </c>
      <c r="T67" s="660">
        <v>0</v>
      </c>
      <c r="U67" s="660">
        <v>0</v>
      </c>
      <c r="V67" s="660">
        <v>0</v>
      </c>
      <c r="W67" s="660">
        <v>0</v>
      </c>
      <c r="X67" s="660">
        <v>0</v>
      </c>
      <c r="Y67" s="659">
        <f t="shared" ref="Y67:Y124" ca="1" si="4">IF(A67="","",SUM(D67,F67,H67:I67,K67,M67:X67))</f>
        <v>3275962</v>
      </c>
      <c r="Z67" s="659">
        <f t="shared" ref="Z67:Z130" ca="1" si="5">IF(B67="","",SUM(N67:X67))</f>
        <v>1262152</v>
      </c>
    </row>
    <row r="68" spans="1:26" ht="15.95" customHeight="1" x14ac:dyDescent="0.15">
      <c r="A68" s="656">
        <v>42795</v>
      </c>
      <c r="B68" s="657" t="str">
        <f t="shared" ca="1" si="3"/>
        <v>06</v>
      </c>
      <c r="C68" s="658" t="s">
        <v>57</v>
      </c>
      <c r="D68" s="659">
        <f ca="1">IF($A68="","",IFERROR(GETPIVOTDATA("合計 / 入金予定",【ピボット】国保連売上!$A$3,"年月",$A68,"事業所コード",$B68,"事業所",$C68,"事業区分",D$1,"請求区分","単月"),0)
+IFERROR(GETPIVOTDATA("合計 / 入金予定",【ピボット】国保連売上!$A$3,"年月",$A68,"事業所コード",$B68,"事業所",$C68,"事業区分",D$1,"請求区分","再請求"),0))</f>
        <v>643401</v>
      </c>
      <c r="E68" s="659">
        <f ca="1">IF($A68="","",IFERROR(GETPIVOTDATA("合計 / 処遇改善加算金",【ピボット】国保連売上!$A$3,"年月",$A68,"事業所コード",$B68,"事業所",$C68,"事業区分",D$1,"請求区分","単月"),0))</f>
        <v>0</v>
      </c>
      <c r="F68" s="659">
        <f ca="1">IF($A68="","",IFERROR(GETPIVOTDATA("合計 / 入金予定",【ピボット】国保連売上!$A$3,"年月",$A68,"事業所コード",$B68,"事業所",$C68,"事業区分",F$1,"請求区分","単月"),0)
+IFERROR(GETPIVOTDATA("合計 / 入金予定",【ピボット】国保連売上!$A$3,"年月",$A68,"事業所コード",$B68,"事業所",$C68,"事業区分",F$1,"請求区分","再請求"),0))</f>
        <v>0</v>
      </c>
      <c r="G68" s="659">
        <f ca="1">IF($A68="","",IFERROR(GETPIVOTDATA("合計 / 処遇改善加算金",【ピボット】国保連売上!$A$3,"年月",$A68,"事業所コード",$B68,"事業所",$C68,"事業区分",F$1,"請求区分","単月"),0))</f>
        <v>0</v>
      </c>
      <c r="H68" s="659">
        <f ca="1">IF($A68="","",IFERROR(GETPIVOTDATA("合計 / 入金予定",【ピボット】国保連売上!$A$3,"年月",$A68,"事業所コード",$B68,"事業所",$C68,"事業区分",H$1,"請求区分","単月"),0)
+IFERROR(GETPIVOTDATA("合計 / 入金予定",【ピボット】国保連売上!$A$3,"年月",$A68,"事業所コード",$B68,"事業所",$C68,"事業区分",H$1,"請求区分","再請求"),0))</f>
        <v>0</v>
      </c>
      <c r="I68" s="659">
        <f ca="1">IF($A68="","",IFERROR(GETPIVOTDATA("合計 / 入金予定",【ピボット】国保連売上!$A$3,"年月",$A68,"事業所コード",$B68,"事業所",$C68,"事業区分",I$1,"請求区分","単月"),0)
+IFERROR(GETPIVOTDATA("合計 / 入金予定",【ピボット】国保連売上!$A$3,"年月",$A68,"事業所コード",$B68,"事業所",$C68,"事業区分",I$1,"請求区分","再請求"),0))</f>
        <v>0</v>
      </c>
      <c r="J68" s="659">
        <f ca="1">IF($A68="","",IFERROR(GETPIVOTDATA("合計 / 処遇改善加算金",【ピボット】国保連売上!$A$3,"年月",$A68,"事業所コード",$B68,"事業所",$C68,"事業区分",I$1,"請求区分","単月"),0))</f>
        <v>0</v>
      </c>
      <c r="K68" s="659">
        <f ca="1">IF($A68="","",IFERROR(GETPIVOTDATA("合計 / 入金予定",【ピボット】国保連売上!$A$3,"年月",$A68,"事業所コード",$B68,"事業所",$C68,"事業区分",K$1,"請求区分","単月"),0)
+IFERROR(GETPIVOTDATA("合計 / 入金予定",【ピボット】国保連売上!$A$3,"年月",$A68,"事業所コード",$B68,"事業所",$C68,"事業区分",K$1,"請求区分","再請求"),0))</f>
        <v>0</v>
      </c>
      <c r="L68" s="659">
        <f ca="1">IF($A68="","",IFERROR(GETPIVOTDATA("合計 / 処遇改善加算金",【ピボット】国保連売上!$A$3,"年月",$A68,"事業所コード",$B68,"事業所",$C68,"事業区分",K$1,"請求区分","単月"),0))</f>
        <v>0</v>
      </c>
      <c r="M68" s="659">
        <f ca="1">IF($A68="","",IFERROR(GETPIVOTDATA("合計 / 入金予定",【ピボット】国保連売上!$A$3,"年月",$A68,"事業所コード",$B68,"事業所",$C68,"事業区分",M$1,"請求区分","単月"),0)
+IFERROR(GETPIVOTDATA("合計 / 入金予定",【ピボット】国保連売上!$A$3,"年月",$A68,"事業所コード",$B68,"事業所",$C68,"事業区分",M$1,"請求区分","再請求"),0))</f>
        <v>0</v>
      </c>
      <c r="N68" s="660">
        <v>15800</v>
      </c>
      <c r="O68" s="660">
        <v>0</v>
      </c>
      <c r="P68" s="660">
        <v>0</v>
      </c>
      <c r="Q68" s="660">
        <v>0</v>
      </c>
      <c r="R68" s="660">
        <v>0</v>
      </c>
      <c r="S68" s="660">
        <v>334358</v>
      </c>
      <c r="T68" s="660">
        <v>0</v>
      </c>
      <c r="U68" s="660">
        <v>0</v>
      </c>
      <c r="V68" s="660">
        <v>0</v>
      </c>
      <c r="W68" s="660">
        <v>0</v>
      </c>
      <c r="X68" s="660">
        <v>0</v>
      </c>
      <c r="Y68" s="659">
        <f t="shared" ca="1" si="4"/>
        <v>993559</v>
      </c>
      <c r="Z68" s="659">
        <f t="shared" ca="1" si="5"/>
        <v>350158</v>
      </c>
    </row>
    <row r="69" spans="1:26" ht="15.95" customHeight="1" x14ac:dyDescent="0.15">
      <c r="A69" s="656">
        <v>42795</v>
      </c>
      <c r="B69" s="657" t="str">
        <f t="shared" ca="1" si="3"/>
        <v>10</v>
      </c>
      <c r="C69" s="658" t="s">
        <v>583</v>
      </c>
      <c r="D69" s="659">
        <f ca="1">IF($A69="","",IFERROR(GETPIVOTDATA("合計 / 入金予定",【ピボット】国保連売上!$A$3,"年月",$A69,"事業所コード",$B69,"事業所",$C69,"事業区分",D$1,"請求区分","単月"),0)
+IFERROR(GETPIVOTDATA("合計 / 入金予定",【ピボット】国保連売上!$A$3,"年月",$A69,"事業所コード",$B69,"事業所",$C69,"事業区分",D$1,"請求区分","再請求"),0))</f>
        <v>1127972</v>
      </c>
      <c r="E69" s="659">
        <f ca="1">IF($A69="","",IFERROR(GETPIVOTDATA("合計 / 処遇改善加算金",【ピボット】国保連売上!$A$3,"年月",$A69,"事業所コード",$B69,"事業所",$C69,"事業区分",D$1,"請求区分","単月"),0))</f>
        <v>0</v>
      </c>
      <c r="F69" s="659">
        <f ca="1">IF($A69="","",IFERROR(GETPIVOTDATA("合計 / 入金予定",【ピボット】国保連売上!$A$3,"年月",$A69,"事業所コード",$B69,"事業所",$C69,"事業区分",F$1,"請求区分","単月"),0)
+IFERROR(GETPIVOTDATA("合計 / 入金予定",【ピボット】国保連売上!$A$3,"年月",$A69,"事業所コード",$B69,"事業所",$C69,"事業区分",F$1,"請求区分","再請求"),0))</f>
        <v>0</v>
      </c>
      <c r="G69" s="659">
        <f ca="1">IF($A69="","",IFERROR(GETPIVOTDATA("合計 / 処遇改善加算金",【ピボット】国保連売上!$A$3,"年月",$A69,"事業所コード",$B69,"事業所",$C69,"事業区分",F$1,"請求区分","単月"),0))</f>
        <v>0</v>
      </c>
      <c r="H69" s="659">
        <f ca="1">IF($A69="","",IFERROR(GETPIVOTDATA("合計 / 入金予定",【ピボット】国保連売上!$A$3,"年月",$A69,"事業所コード",$B69,"事業所",$C69,"事業区分",H$1,"請求区分","単月"),0)
+IFERROR(GETPIVOTDATA("合計 / 入金予定",【ピボット】国保連売上!$A$3,"年月",$A69,"事業所コード",$B69,"事業所",$C69,"事業区分",H$1,"請求区分","再請求"),0))</f>
        <v>0</v>
      </c>
      <c r="I69" s="659">
        <f ca="1">IF($A69="","",IFERROR(GETPIVOTDATA("合計 / 入金予定",【ピボット】国保連売上!$A$3,"年月",$A69,"事業所コード",$B69,"事業所",$C69,"事業区分",I$1,"請求区分","単月"),0)
+IFERROR(GETPIVOTDATA("合計 / 入金予定",【ピボット】国保連売上!$A$3,"年月",$A69,"事業所コード",$B69,"事業所",$C69,"事業区分",I$1,"請求区分","再請求"),0))</f>
        <v>0</v>
      </c>
      <c r="J69" s="659">
        <f ca="1">IF($A69="","",IFERROR(GETPIVOTDATA("合計 / 処遇改善加算金",【ピボット】国保連売上!$A$3,"年月",$A69,"事業所コード",$B69,"事業所",$C69,"事業区分",I$1,"請求区分","単月"),0))</f>
        <v>0</v>
      </c>
      <c r="K69" s="659">
        <f ca="1">IF($A69="","",IFERROR(GETPIVOTDATA("合計 / 入金予定",【ピボット】国保連売上!$A$3,"年月",$A69,"事業所コード",$B69,"事業所",$C69,"事業区分",K$1,"請求区分","単月"),0)
+IFERROR(GETPIVOTDATA("合計 / 入金予定",【ピボット】国保連売上!$A$3,"年月",$A69,"事業所コード",$B69,"事業所",$C69,"事業区分",K$1,"請求区分","再請求"),0))</f>
        <v>0</v>
      </c>
      <c r="L69" s="659">
        <f ca="1">IF($A69="","",IFERROR(GETPIVOTDATA("合計 / 処遇改善加算金",【ピボット】国保連売上!$A$3,"年月",$A69,"事業所コード",$B69,"事業所",$C69,"事業区分",K$1,"請求区分","単月"),0))</f>
        <v>0</v>
      </c>
      <c r="M69" s="659">
        <f ca="1">IF($A69="","",IFERROR(GETPIVOTDATA("合計 / 入金予定",【ピボット】国保連売上!$A$3,"年月",$A69,"事業所コード",$B69,"事業所",$C69,"事業区分",M$1,"請求区分","単月"),0)
+IFERROR(GETPIVOTDATA("合計 / 入金予定",【ピボット】国保連売上!$A$3,"年月",$A69,"事業所コード",$B69,"事業所",$C69,"事業区分",M$1,"請求区分","再請求"),0))</f>
        <v>0</v>
      </c>
      <c r="N69" s="660">
        <v>190700</v>
      </c>
      <c r="O69" s="660">
        <v>65520</v>
      </c>
      <c r="P69" s="660">
        <v>1511568</v>
      </c>
      <c r="Q69" s="660">
        <v>0</v>
      </c>
      <c r="R69" s="660">
        <v>0</v>
      </c>
      <c r="S69" s="660">
        <v>0</v>
      </c>
      <c r="T69" s="660">
        <v>0</v>
      </c>
      <c r="U69" s="660">
        <v>0</v>
      </c>
      <c r="V69" s="660">
        <v>0</v>
      </c>
      <c r="W69" s="660">
        <v>0</v>
      </c>
      <c r="X69" s="660">
        <v>0</v>
      </c>
      <c r="Y69" s="659">
        <f t="shared" ca="1" si="4"/>
        <v>2895760</v>
      </c>
      <c r="Z69" s="659">
        <f t="shared" ca="1" si="5"/>
        <v>1767788</v>
      </c>
    </row>
    <row r="70" spans="1:26" ht="15.95" customHeight="1" x14ac:dyDescent="0.15">
      <c r="A70" s="656">
        <v>42826</v>
      </c>
      <c r="B70" s="657" t="str">
        <f t="shared" ca="1" si="3"/>
        <v>01</v>
      </c>
      <c r="C70" s="658" t="s">
        <v>34</v>
      </c>
      <c r="D70" s="659">
        <f ca="1">IF($A70="","",IFERROR(GETPIVOTDATA("合計 / 入金予定",【ピボット】国保連売上!$A$3,"年月",$A70,"事業所コード",$B70,"事業所",$C70,"事業区分",D$1,"請求区分","単月"),0)
+IFERROR(GETPIVOTDATA("合計 / 入金予定",【ピボット】国保連売上!$A$3,"年月",$A70,"事業所コード",$B70,"事業所",$C70,"事業区分",D$1,"請求区分","再請求"),0))</f>
        <v>7243217</v>
      </c>
      <c r="E70" s="659">
        <f ca="1">IF($A70="","",IFERROR(GETPIVOTDATA("合計 / 処遇改善加算金",【ピボット】国保連売上!$A$3,"年月",$A70,"事業所コード",$B70,"事業所",$C70,"事業区分",D$1,"請求区分","単月"),0))</f>
        <v>1307359</v>
      </c>
      <c r="F70" s="659">
        <f ca="1">IF($A70="","",IFERROR(GETPIVOTDATA("合計 / 入金予定",【ピボット】国保連売上!$A$3,"年月",$A70,"事業所コード",$B70,"事業所",$C70,"事業区分",F$1,"請求区分","単月"),0)
+IFERROR(GETPIVOTDATA("合計 / 入金予定",【ピボット】国保連売上!$A$3,"年月",$A70,"事業所コード",$B70,"事業所",$C70,"事業区分",F$1,"請求区分","再請求"),0))</f>
        <v>1916351</v>
      </c>
      <c r="G70" s="659">
        <f ca="1">IF($A70="","",IFERROR(GETPIVOTDATA("合計 / 処遇改善加算金",【ピボット】国保連売上!$A$3,"年月",$A70,"事業所コード",$B70,"事業所",$C70,"事業区分",F$1,"請求区分","単月"),0))</f>
        <v>404827</v>
      </c>
      <c r="H70" s="659">
        <f ca="1">IF($A70="","",IFERROR(GETPIVOTDATA("合計 / 入金予定",【ピボット】国保連売上!$A$3,"年月",$A70,"事業所コード",$B70,"事業所",$C70,"事業区分",H$1,"請求区分","単月"),0)
+IFERROR(GETPIVOTDATA("合計 / 入金予定",【ピボット】国保連売上!$A$3,"年月",$A70,"事業所コード",$B70,"事業所",$C70,"事業区分",H$1,"請求区分","再請求"),0))</f>
        <v>619566</v>
      </c>
      <c r="I70" s="659">
        <f ca="1">IF($A70="","",IFERROR(GETPIVOTDATA("合計 / 入金予定",【ピボット】国保連売上!$A$3,"年月",$A70,"事業所コード",$B70,"事業所",$C70,"事業区分",I$1,"請求区分","単月"),0)
+IFERROR(GETPIVOTDATA("合計 / 入金予定",【ピボット】国保連売上!$A$3,"年月",$A70,"事業所コード",$B70,"事業所",$C70,"事業区分",I$1,"請求区分","再請求"),0))</f>
        <v>0</v>
      </c>
      <c r="J70" s="659">
        <f ca="1">IF($A70="","",IFERROR(GETPIVOTDATA("合計 / 処遇改善加算金",【ピボット】国保連売上!$A$3,"年月",$A70,"事業所コード",$B70,"事業所",$C70,"事業区分",I$1,"請求区分","単月"),0))</f>
        <v>0</v>
      </c>
      <c r="K70" s="659">
        <f ca="1">IF($A70="","",IFERROR(GETPIVOTDATA("合計 / 入金予定",【ピボット】国保連売上!$A$3,"年月",$A70,"事業所コード",$B70,"事業所",$C70,"事業区分",K$1,"請求区分","単月"),0)
+IFERROR(GETPIVOTDATA("合計 / 入金予定",【ピボット】国保連売上!$A$3,"年月",$A70,"事業所コード",$B70,"事業所",$C70,"事業区分",K$1,"請求区分","再請求"),0))</f>
        <v>0</v>
      </c>
      <c r="L70" s="659">
        <f ca="1">IF($A70="","",IFERROR(GETPIVOTDATA("合計 / 処遇改善加算金",【ピボット】国保連売上!$A$3,"年月",$A70,"事業所コード",$B70,"事業所",$C70,"事業区分",K$1,"請求区分","単月"),0))</f>
        <v>0</v>
      </c>
      <c r="M70" s="659">
        <f ca="1">IF($A70="","",IFERROR(GETPIVOTDATA("合計 / 入金予定",【ピボット】国保連売上!$A$3,"年月",$A70,"事業所コード",$B70,"事業所",$C70,"事業区分",M$1,"請求区分","単月"),0)
+IFERROR(GETPIVOTDATA("合計 / 入金予定",【ピボット】国保連売上!$A$3,"年月",$A70,"事業所コード",$B70,"事業所",$C70,"事業区分",M$1,"請求区分","再請求"),0))</f>
        <v>0</v>
      </c>
      <c r="N70" s="660">
        <v>11000</v>
      </c>
      <c r="O70" s="660">
        <v>9850</v>
      </c>
      <c r="P70" s="660">
        <v>0</v>
      </c>
      <c r="Q70" s="660">
        <v>5333</v>
      </c>
      <c r="R70" s="660">
        <v>123600</v>
      </c>
      <c r="S70" s="660">
        <v>0</v>
      </c>
      <c r="T70" s="660">
        <v>0</v>
      </c>
      <c r="U70" s="660">
        <v>0</v>
      </c>
      <c r="V70" s="660">
        <v>0</v>
      </c>
      <c r="W70" s="660">
        <v>0</v>
      </c>
      <c r="X70" s="660">
        <v>0</v>
      </c>
      <c r="Y70" s="659">
        <f t="shared" ca="1" si="4"/>
        <v>9928917</v>
      </c>
      <c r="Z70" s="659">
        <f t="shared" ca="1" si="5"/>
        <v>149783</v>
      </c>
    </row>
    <row r="71" spans="1:26" ht="15.95" customHeight="1" x14ac:dyDescent="0.15">
      <c r="A71" s="656">
        <v>42826</v>
      </c>
      <c r="B71" s="657" t="str">
        <f t="shared" ca="1" si="3"/>
        <v>02</v>
      </c>
      <c r="C71" s="658" t="s">
        <v>37</v>
      </c>
      <c r="D71" s="659">
        <f ca="1">IF($A71="","",IFERROR(GETPIVOTDATA("合計 / 入金予定",【ピボット】国保連売上!$A$3,"年月",$A71,"事業所コード",$B71,"事業所",$C71,"事業区分",D$1,"請求区分","単月"),0)
+IFERROR(GETPIVOTDATA("合計 / 入金予定",【ピボット】国保連売上!$A$3,"年月",$A71,"事業所コード",$B71,"事業所",$C71,"事業区分",D$1,"請求区分","再請求"),0))</f>
        <v>3590490</v>
      </c>
      <c r="E71" s="659">
        <f ca="1">IF($A71="","",IFERROR(GETPIVOTDATA("合計 / 処遇改善加算金",【ピボット】国保連売上!$A$3,"年月",$A71,"事業所コード",$B71,"事業所",$C71,"事業区分",D$1,"請求区分","単月"),0))</f>
        <v>432067</v>
      </c>
      <c r="F71" s="659">
        <f ca="1">IF($A71="","",IFERROR(GETPIVOTDATA("合計 / 入金予定",【ピボット】国保連売上!$A$3,"年月",$A71,"事業所コード",$B71,"事業所",$C71,"事業区分",F$1,"請求区分","単月"),0)
+IFERROR(GETPIVOTDATA("合計 / 入金予定",【ピボット】国保連売上!$A$3,"年月",$A71,"事業所コード",$B71,"事業所",$C71,"事業区分",F$1,"請求区分","再請求"),0))</f>
        <v>745402</v>
      </c>
      <c r="G71" s="659">
        <f ca="1">IF($A71="","",IFERROR(GETPIVOTDATA("合計 / 処遇改善加算金",【ピボット】国保連売上!$A$3,"年月",$A71,"事業所コード",$B71,"事業所",$C71,"事業区分",F$1,"請求区分","単月"),0))</f>
        <v>168926</v>
      </c>
      <c r="H71" s="659">
        <f ca="1">IF($A71="","",IFERROR(GETPIVOTDATA("合計 / 入金予定",【ピボット】国保連売上!$A$3,"年月",$A71,"事業所コード",$B71,"事業所",$C71,"事業区分",H$1,"請求区分","単月"),0)
+IFERROR(GETPIVOTDATA("合計 / 入金予定",【ピボット】国保連売上!$A$3,"年月",$A71,"事業所コード",$B71,"事業所",$C71,"事業区分",H$1,"請求区分","再請求"),0))</f>
        <v>353803</v>
      </c>
      <c r="I71" s="659">
        <f ca="1">IF($A71="","",IFERROR(GETPIVOTDATA("合計 / 入金予定",【ピボット】国保連売上!$A$3,"年月",$A71,"事業所コード",$B71,"事業所",$C71,"事業区分",I$1,"請求区分","単月"),0)
+IFERROR(GETPIVOTDATA("合計 / 入金予定",【ピボット】国保連売上!$A$3,"年月",$A71,"事業所コード",$B71,"事業所",$C71,"事業区分",I$1,"請求区分","再請求"),0))</f>
        <v>0</v>
      </c>
      <c r="J71" s="659">
        <f ca="1">IF($A71="","",IFERROR(GETPIVOTDATA("合計 / 処遇改善加算金",【ピボット】国保連売上!$A$3,"年月",$A71,"事業所コード",$B71,"事業所",$C71,"事業区分",I$1,"請求区分","単月"),0))</f>
        <v>0</v>
      </c>
      <c r="K71" s="659">
        <f ca="1">IF($A71="","",IFERROR(GETPIVOTDATA("合計 / 入金予定",【ピボット】国保連売上!$A$3,"年月",$A71,"事業所コード",$B71,"事業所",$C71,"事業区分",K$1,"請求区分","単月"),0)
+IFERROR(GETPIVOTDATA("合計 / 入金予定",【ピボット】国保連売上!$A$3,"年月",$A71,"事業所コード",$B71,"事業所",$C71,"事業区分",K$1,"請求区分","再請求"),0))</f>
        <v>0</v>
      </c>
      <c r="L71" s="659">
        <f ca="1">IF($A71="","",IFERROR(GETPIVOTDATA("合計 / 処遇改善加算金",【ピボット】国保連売上!$A$3,"年月",$A71,"事業所コード",$B71,"事業所",$C71,"事業区分",K$1,"請求区分","単月"),0))</f>
        <v>0</v>
      </c>
      <c r="M71" s="659">
        <f ca="1">IF($A71="","",IFERROR(GETPIVOTDATA("合計 / 入金予定",【ピボット】国保連売上!$A$3,"年月",$A71,"事業所コード",$B71,"事業所",$C71,"事業区分",M$1,"請求区分","単月"),0)
+IFERROR(GETPIVOTDATA("合計 / 入金予定",【ピボット】国保連売上!$A$3,"年月",$A71,"事業所コード",$B71,"事業所",$C71,"事業区分",M$1,"請求区分","再請求"),0))</f>
        <v>0</v>
      </c>
      <c r="N71" s="660">
        <v>172136</v>
      </c>
      <c r="O71" s="660">
        <v>0</v>
      </c>
      <c r="P71" s="660">
        <v>0</v>
      </c>
      <c r="Q71" s="660">
        <v>2295</v>
      </c>
      <c r="R71" s="660">
        <v>101352</v>
      </c>
      <c r="S71" s="660">
        <v>0</v>
      </c>
      <c r="T71" s="660">
        <v>0</v>
      </c>
      <c r="U71" s="660">
        <v>0</v>
      </c>
      <c r="V71" s="660">
        <v>0</v>
      </c>
      <c r="W71" s="660">
        <v>0</v>
      </c>
      <c r="X71" s="660">
        <v>0</v>
      </c>
      <c r="Y71" s="659">
        <f t="shared" ca="1" si="4"/>
        <v>4965478</v>
      </c>
      <c r="Z71" s="659">
        <f t="shared" ca="1" si="5"/>
        <v>275783</v>
      </c>
    </row>
    <row r="72" spans="1:26" ht="15.95" customHeight="1" x14ac:dyDescent="0.15">
      <c r="A72" s="656">
        <v>42826</v>
      </c>
      <c r="B72" s="657" t="str">
        <f t="shared" ca="1" si="3"/>
        <v>03</v>
      </c>
      <c r="C72" s="658" t="s">
        <v>66</v>
      </c>
      <c r="D72" s="659">
        <f ca="1">IF($A72="","",IFERROR(GETPIVOTDATA("合計 / 入金予定",【ピボット】国保連売上!$A$3,"年月",$A72,"事業所コード",$B72,"事業所",$C72,"事業区分",D$1,"請求区分","単月"),0)
+IFERROR(GETPIVOTDATA("合計 / 入金予定",【ピボット】国保連売上!$A$3,"年月",$A72,"事業所コード",$B72,"事業所",$C72,"事業区分",D$1,"請求区分","再請求"),0))</f>
        <v>3259551</v>
      </c>
      <c r="E72" s="659">
        <f ca="1">IF($A72="","",IFERROR(GETPIVOTDATA("合計 / 処遇改善加算金",【ピボット】国保連売上!$A$3,"年月",$A72,"事業所コード",$B72,"事業所",$C72,"事業区分",D$1,"請求区分","単月"),0))</f>
        <v>382692</v>
      </c>
      <c r="F72" s="659">
        <f ca="1">IF($A72="","",IFERROR(GETPIVOTDATA("合計 / 入金予定",【ピボット】国保連売上!$A$3,"年月",$A72,"事業所コード",$B72,"事業所",$C72,"事業区分",F$1,"請求区分","単月"),0)
+IFERROR(GETPIVOTDATA("合計 / 入金予定",【ピボット】国保連売上!$A$3,"年月",$A72,"事業所コード",$B72,"事業所",$C72,"事業区分",F$1,"請求区分","再請求"),0))</f>
        <v>1519245</v>
      </c>
      <c r="G72" s="659">
        <f ca="1">IF($A72="","",IFERROR(GETPIVOTDATA("合計 / 処遇改善加算金",【ピボット】国保連売上!$A$3,"年月",$A72,"事業所コード",$B72,"事業所",$C72,"事業区分",F$1,"請求区分","単月"),0))</f>
        <v>349812</v>
      </c>
      <c r="H72" s="659">
        <f ca="1">IF($A72="","",IFERROR(GETPIVOTDATA("合計 / 入金予定",【ピボット】国保連売上!$A$3,"年月",$A72,"事業所コード",$B72,"事業所",$C72,"事業区分",H$1,"請求区分","単月"),0)
+IFERROR(GETPIVOTDATA("合計 / 入金予定",【ピボット】国保連売上!$A$3,"年月",$A72,"事業所コード",$B72,"事業所",$C72,"事業区分",H$1,"請求区分","再請求"),0))</f>
        <v>0</v>
      </c>
      <c r="I72" s="659">
        <f ca="1">IF($A72="","",IFERROR(GETPIVOTDATA("合計 / 入金予定",【ピボット】国保連売上!$A$3,"年月",$A72,"事業所コード",$B72,"事業所",$C72,"事業区分",I$1,"請求区分","単月"),0)
+IFERROR(GETPIVOTDATA("合計 / 入金予定",【ピボット】国保連売上!$A$3,"年月",$A72,"事業所コード",$B72,"事業所",$C72,"事業区分",I$1,"請求区分","再請求"),0))</f>
        <v>0</v>
      </c>
      <c r="J72" s="659">
        <f ca="1">IF($A72="","",IFERROR(GETPIVOTDATA("合計 / 処遇改善加算金",【ピボット】国保連売上!$A$3,"年月",$A72,"事業所コード",$B72,"事業所",$C72,"事業区分",I$1,"請求区分","単月"),0))</f>
        <v>0</v>
      </c>
      <c r="K72" s="659">
        <f ca="1">IF($A72="","",IFERROR(GETPIVOTDATA("合計 / 入金予定",【ピボット】国保連売上!$A$3,"年月",$A72,"事業所コード",$B72,"事業所",$C72,"事業区分",K$1,"請求区分","単月"),0)
+IFERROR(GETPIVOTDATA("合計 / 入金予定",【ピボット】国保連売上!$A$3,"年月",$A72,"事業所コード",$B72,"事業所",$C72,"事業区分",K$1,"請求区分","再請求"),0))</f>
        <v>0</v>
      </c>
      <c r="L72" s="659">
        <f ca="1">IF($A72="","",IFERROR(GETPIVOTDATA("合計 / 処遇改善加算金",【ピボット】国保連売上!$A$3,"年月",$A72,"事業所コード",$B72,"事業所",$C72,"事業区分",K$1,"請求区分","単月"),0))</f>
        <v>0</v>
      </c>
      <c r="M72" s="659">
        <f ca="1">IF($A72="","",IFERROR(GETPIVOTDATA("合計 / 入金予定",【ピボット】国保連売上!$A$3,"年月",$A72,"事業所コード",$B72,"事業所",$C72,"事業区分",M$1,"請求区分","単月"),0)
+IFERROR(GETPIVOTDATA("合計 / 入金予定",【ピボット】国保連売上!$A$3,"年月",$A72,"事業所コード",$B72,"事業所",$C72,"事業区分",M$1,"請求区分","再請求"),0))</f>
        <v>0</v>
      </c>
      <c r="N72" s="660">
        <v>51100</v>
      </c>
      <c r="O72" s="660">
        <v>118065</v>
      </c>
      <c r="P72" s="660">
        <v>23440</v>
      </c>
      <c r="Q72" s="660">
        <v>3652</v>
      </c>
      <c r="R72" s="660">
        <v>0</v>
      </c>
      <c r="S72" s="660">
        <v>0</v>
      </c>
      <c r="T72" s="660">
        <v>0</v>
      </c>
      <c r="U72" s="660">
        <v>0</v>
      </c>
      <c r="V72" s="660">
        <v>0</v>
      </c>
      <c r="W72" s="660">
        <v>0</v>
      </c>
      <c r="X72" s="660">
        <v>0</v>
      </c>
      <c r="Y72" s="659">
        <f t="shared" ca="1" si="4"/>
        <v>4975053</v>
      </c>
      <c r="Z72" s="659">
        <f t="shared" ca="1" si="5"/>
        <v>196257</v>
      </c>
    </row>
    <row r="73" spans="1:26" ht="15.95" customHeight="1" x14ac:dyDescent="0.15">
      <c r="A73" s="656">
        <v>42826</v>
      </c>
      <c r="B73" s="657" t="str">
        <f t="shared" ca="1" si="3"/>
        <v>04</v>
      </c>
      <c r="C73" s="658" t="s">
        <v>358</v>
      </c>
      <c r="D73" s="659">
        <f ca="1">IF($A73="","",IFERROR(GETPIVOTDATA("合計 / 入金予定",【ピボット】国保連売上!$A$3,"年月",$A73,"事業所コード",$B73,"事業所",$C73,"事業区分",D$1,"請求区分","単月"),0)
+IFERROR(GETPIVOTDATA("合計 / 入金予定",【ピボット】国保連売上!$A$3,"年月",$A73,"事業所コード",$B73,"事業所",$C73,"事業区分",D$1,"請求区分","再請求"),0))</f>
        <v>0</v>
      </c>
      <c r="E73" s="659">
        <f ca="1">IF($A73="","",IFERROR(GETPIVOTDATA("合計 / 処遇改善加算金",【ピボット】国保連売上!$A$3,"年月",$A73,"事業所コード",$B73,"事業所",$C73,"事業区分",D$1,"請求区分","単月"),0))</f>
        <v>0</v>
      </c>
      <c r="F73" s="659">
        <f ca="1">IF($A73="","",IFERROR(GETPIVOTDATA("合計 / 入金予定",【ピボット】国保連売上!$A$3,"年月",$A73,"事業所コード",$B73,"事業所",$C73,"事業区分",F$1,"請求区分","単月"),0)
+IFERROR(GETPIVOTDATA("合計 / 入金予定",【ピボット】国保連売上!$A$3,"年月",$A73,"事業所コード",$B73,"事業所",$C73,"事業区分",F$1,"請求区分","再請求"),0))</f>
        <v>0</v>
      </c>
      <c r="G73" s="659">
        <f ca="1">IF($A73="","",IFERROR(GETPIVOTDATA("合計 / 処遇改善加算金",【ピボット】国保連売上!$A$3,"年月",$A73,"事業所コード",$B73,"事業所",$C73,"事業区分",F$1,"請求区分","単月"),0))</f>
        <v>0</v>
      </c>
      <c r="H73" s="659">
        <f ca="1">IF($A73="","",IFERROR(GETPIVOTDATA("合計 / 入金予定",【ピボット】国保連売上!$A$3,"年月",$A73,"事業所コード",$B73,"事業所",$C73,"事業区分",H$1,"請求区分","単月"),0)
+IFERROR(GETPIVOTDATA("合計 / 入金予定",【ピボット】国保連売上!$A$3,"年月",$A73,"事業所コード",$B73,"事業所",$C73,"事業区分",H$1,"請求区分","再請求"),0))</f>
        <v>0</v>
      </c>
      <c r="I73" s="659">
        <f ca="1">IF($A73="","",IFERROR(GETPIVOTDATA("合計 / 入金予定",【ピボット】国保連売上!$A$3,"年月",$A73,"事業所コード",$B73,"事業所",$C73,"事業区分",I$1,"請求区分","単月"),0)
+IFERROR(GETPIVOTDATA("合計 / 入金予定",【ピボット】国保連売上!$A$3,"年月",$A73,"事業所コード",$B73,"事業所",$C73,"事業区分",I$1,"請求区分","再請求"),0))</f>
        <v>2860919</v>
      </c>
      <c r="J73" s="659">
        <f ca="1">IF($A73="","",IFERROR(GETPIVOTDATA("合計 / 処遇改善加算金",【ピボット】国保連売上!$A$3,"年月",$A73,"事業所コード",$B73,"事業所",$C73,"事業区分",I$1,"請求区分","単月"),0))</f>
        <v>158671</v>
      </c>
      <c r="K73" s="659">
        <f ca="1">IF($A73="","",IFERROR(GETPIVOTDATA("合計 / 入金予定",【ピボット】国保連売上!$A$3,"年月",$A73,"事業所コード",$B73,"事業所",$C73,"事業区分",K$1,"請求区分","単月"),0)
+IFERROR(GETPIVOTDATA("合計 / 入金予定",【ピボット】国保連売上!$A$3,"年月",$A73,"事業所コード",$B73,"事業所",$C73,"事業区分",K$1,"請求区分","再請求"),0))</f>
        <v>0</v>
      </c>
      <c r="L73" s="659">
        <f ca="1">IF($A73="","",IFERROR(GETPIVOTDATA("合計 / 処遇改善加算金",【ピボット】国保連売上!$A$3,"年月",$A73,"事業所コード",$B73,"事業所",$C73,"事業区分",K$1,"請求区分","単月"),0))</f>
        <v>0</v>
      </c>
      <c r="M73" s="659">
        <f ca="1">IF($A73="","",IFERROR(GETPIVOTDATA("合計 / 入金予定",【ピボット】国保連売上!$A$3,"年月",$A73,"事業所コード",$B73,"事業所",$C73,"事業区分",M$1,"請求区分","単月"),0)
+IFERROR(GETPIVOTDATA("合計 / 入金予定",【ピボット】国保連売上!$A$3,"年月",$A73,"事業所コード",$B73,"事業所",$C73,"事業区分",M$1,"請求区分","再請求"),0))</f>
        <v>0</v>
      </c>
      <c r="N73" s="660">
        <v>48527</v>
      </c>
      <c r="O73" s="660">
        <v>0</v>
      </c>
      <c r="P73" s="660">
        <v>0</v>
      </c>
      <c r="Q73" s="660">
        <v>0</v>
      </c>
      <c r="R73" s="660">
        <v>0</v>
      </c>
      <c r="S73" s="660">
        <v>0</v>
      </c>
      <c r="T73" s="660">
        <v>182600</v>
      </c>
      <c r="U73" s="660">
        <v>0</v>
      </c>
      <c r="V73" s="660">
        <v>0</v>
      </c>
      <c r="W73" s="660">
        <v>0</v>
      </c>
      <c r="X73" s="660">
        <v>0</v>
      </c>
      <c r="Y73" s="659">
        <f t="shared" ca="1" si="4"/>
        <v>3092046</v>
      </c>
      <c r="Z73" s="659">
        <f t="shared" ca="1" si="5"/>
        <v>231127</v>
      </c>
    </row>
    <row r="74" spans="1:26" ht="15.95" customHeight="1" x14ac:dyDescent="0.15">
      <c r="A74" s="656">
        <v>42826</v>
      </c>
      <c r="B74" s="657" t="str">
        <f t="shared" ca="1" si="3"/>
        <v>07</v>
      </c>
      <c r="C74" s="658" t="s">
        <v>119</v>
      </c>
      <c r="D74" s="659">
        <f ca="1">IF($A74="","",IFERROR(GETPIVOTDATA("合計 / 入金予定",【ピボット】国保連売上!$A$3,"年月",$A74,"事業所コード",$B74,"事業所",$C74,"事業区分",D$1,"請求区分","単月"),0)
+IFERROR(GETPIVOTDATA("合計 / 入金予定",【ピボット】国保連売上!$A$3,"年月",$A74,"事業所コード",$B74,"事業所",$C74,"事業区分",D$1,"請求区分","再請求"),0))</f>
        <v>0</v>
      </c>
      <c r="E74" s="659">
        <f ca="1">IF($A74="","",IFERROR(GETPIVOTDATA("合計 / 処遇改善加算金",【ピボット】国保連売上!$A$3,"年月",$A74,"事業所コード",$B74,"事業所",$C74,"事業区分",D$1,"請求区分","単月"),0))</f>
        <v>0</v>
      </c>
      <c r="F74" s="659">
        <f ca="1">IF($A74="","",IFERROR(GETPIVOTDATA("合計 / 入金予定",【ピボット】国保連売上!$A$3,"年月",$A74,"事業所コード",$B74,"事業所",$C74,"事業区分",F$1,"請求区分","単月"),0)
+IFERROR(GETPIVOTDATA("合計 / 入金予定",【ピボット】国保連売上!$A$3,"年月",$A74,"事業所コード",$B74,"事業所",$C74,"事業区分",F$1,"請求区分","再請求"),0))</f>
        <v>0</v>
      </c>
      <c r="G74" s="659">
        <f ca="1">IF($A74="","",IFERROR(GETPIVOTDATA("合計 / 処遇改善加算金",【ピボット】国保連売上!$A$3,"年月",$A74,"事業所コード",$B74,"事業所",$C74,"事業区分",F$1,"請求区分","単月"),0))</f>
        <v>0</v>
      </c>
      <c r="H74" s="659">
        <f ca="1">IF($A74="","",IFERROR(GETPIVOTDATA("合計 / 入金予定",【ピボット】国保連売上!$A$3,"年月",$A74,"事業所コード",$B74,"事業所",$C74,"事業区分",H$1,"請求区分","単月"),0)
+IFERROR(GETPIVOTDATA("合計 / 入金予定",【ピボット】国保連売上!$A$3,"年月",$A74,"事業所コード",$B74,"事業所",$C74,"事業区分",H$1,"請求区分","再請求"),0))</f>
        <v>0</v>
      </c>
      <c r="I74" s="659">
        <f ca="1">IF($A74="","",IFERROR(GETPIVOTDATA("合計 / 入金予定",【ピボット】国保連売上!$A$3,"年月",$A74,"事業所コード",$B74,"事業所",$C74,"事業区分",I$1,"請求区分","単月"),0)
+IFERROR(GETPIVOTDATA("合計 / 入金予定",【ピボット】国保連売上!$A$3,"年月",$A74,"事業所コード",$B74,"事業所",$C74,"事業区分",I$1,"請求区分","再請求"),0))</f>
        <v>0</v>
      </c>
      <c r="J74" s="659">
        <f ca="1">IF($A74="","",IFERROR(GETPIVOTDATA("合計 / 処遇改善加算金",【ピボット】国保連売上!$A$3,"年月",$A74,"事業所コード",$B74,"事業所",$C74,"事業区分",I$1,"請求区分","単月"),0))</f>
        <v>0</v>
      </c>
      <c r="K74" s="659">
        <f ca="1">IF($A74="","",IFERROR(GETPIVOTDATA("合計 / 入金予定",【ピボット】国保連売上!$A$3,"年月",$A74,"事業所コード",$B74,"事業所",$C74,"事業区分",K$1,"請求区分","単月"),0)
+IFERROR(GETPIVOTDATA("合計 / 入金予定",【ピボット】国保連売上!$A$3,"年月",$A74,"事業所コード",$B74,"事業所",$C74,"事業区分",K$1,"請求区分","再請求"),0))</f>
        <v>0</v>
      </c>
      <c r="L74" s="659">
        <f ca="1">IF($A74="","",IFERROR(GETPIVOTDATA("合計 / 処遇改善加算金",【ピボット】国保連売上!$A$3,"年月",$A74,"事業所コード",$B74,"事業所",$C74,"事業区分",K$1,"請求区分","単月"),0))</f>
        <v>0</v>
      </c>
      <c r="M74" s="659">
        <f ca="1">IF($A74="","",IFERROR(GETPIVOTDATA("合計 / 入金予定",【ピボット】国保連売上!$A$3,"年月",$A74,"事業所コード",$B74,"事業所",$C74,"事業区分",M$1,"請求区分","単月"),0)
+IFERROR(GETPIVOTDATA("合計 / 入金予定",【ピボット】国保連売上!$A$3,"年月",$A74,"事業所コード",$B74,"事業所",$C74,"事業区分",M$1,"請求区分","再請求"),0))</f>
        <v>0</v>
      </c>
      <c r="N74" s="660">
        <v>0</v>
      </c>
      <c r="O74" s="660">
        <v>0</v>
      </c>
      <c r="P74" s="660">
        <v>0</v>
      </c>
      <c r="Q74" s="660">
        <v>0</v>
      </c>
      <c r="R74" s="660">
        <v>0</v>
      </c>
      <c r="S74" s="660">
        <v>78000</v>
      </c>
      <c r="T74" s="660">
        <v>0</v>
      </c>
      <c r="U74" s="660">
        <v>0</v>
      </c>
      <c r="V74" s="660">
        <v>-30000</v>
      </c>
      <c r="W74" s="660">
        <v>51304</v>
      </c>
      <c r="X74" s="660">
        <v>0</v>
      </c>
      <c r="Y74" s="659">
        <f t="shared" ca="1" si="4"/>
        <v>99304</v>
      </c>
      <c r="Z74" s="659">
        <f t="shared" ca="1" si="5"/>
        <v>99304</v>
      </c>
    </row>
    <row r="75" spans="1:26" ht="15.95" customHeight="1" x14ac:dyDescent="0.15">
      <c r="A75" s="656">
        <v>42826</v>
      </c>
      <c r="B75" s="657" t="str">
        <f t="shared" ca="1" si="3"/>
        <v>08</v>
      </c>
      <c r="C75" s="658" t="s">
        <v>189</v>
      </c>
      <c r="D75" s="659">
        <f ca="1">IF($A75="","",IFERROR(GETPIVOTDATA("合計 / 入金予定",【ピボット】国保連売上!$A$3,"年月",$A75,"事業所コード",$B75,"事業所",$C75,"事業区分",D$1,"請求区分","単月"),0)
+IFERROR(GETPIVOTDATA("合計 / 入金予定",【ピボット】国保連売上!$A$3,"年月",$A75,"事業所コード",$B75,"事業所",$C75,"事業区分",D$1,"請求区分","再請求"),0))</f>
        <v>0</v>
      </c>
      <c r="E75" s="659">
        <f ca="1">IF($A75="","",IFERROR(GETPIVOTDATA("合計 / 処遇改善加算金",【ピボット】国保連売上!$A$3,"年月",$A75,"事業所コード",$B75,"事業所",$C75,"事業区分",D$1,"請求区分","単月"),0))</f>
        <v>0</v>
      </c>
      <c r="F75" s="659">
        <f ca="1">IF($A75="","",IFERROR(GETPIVOTDATA("合計 / 入金予定",【ピボット】国保連売上!$A$3,"年月",$A75,"事業所コード",$B75,"事業所",$C75,"事業区分",F$1,"請求区分","単月"),0)
+IFERROR(GETPIVOTDATA("合計 / 入金予定",【ピボット】国保連売上!$A$3,"年月",$A75,"事業所コード",$B75,"事業所",$C75,"事業区分",F$1,"請求区分","再請求"),0))</f>
        <v>0</v>
      </c>
      <c r="G75" s="659">
        <f ca="1">IF($A75="","",IFERROR(GETPIVOTDATA("合計 / 処遇改善加算金",【ピボット】国保連売上!$A$3,"年月",$A75,"事業所コード",$B75,"事業所",$C75,"事業区分",F$1,"請求区分","単月"),0))</f>
        <v>0</v>
      </c>
      <c r="H75" s="659">
        <f ca="1">IF($A75="","",IFERROR(GETPIVOTDATA("合計 / 入金予定",【ピボット】国保連売上!$A$3,"年月",$A75,"事業所コード",$B75,"事業所",$C75,"事業区分",H$1,"請求区分","単月"),0)
+IFERROR(GETPIVOTDATA("合計 / 入金予定",【ピボット】国保連売上!$A$3,"年月",$A75,"事業所コード",$B75,"事業所",$C75,"事業区分",H$1,"請求区分","再請求"),0))</f>
        <v>0</v>
      </c>
      <c r="I75" s="659">
        <f ca="1">IF($A75="","",IFERROR(GETPIVOTDATA("合計 / 入金予定",【ピボット】国保連売上!$A$3,"年月",$A75,"事業所コード",$B75,"事業所",$C75,"事業区分",I$1,"請求区分","単月"),0)
+IFERROR(GETPIVOTDATA("合計 / 入金予定",【ピボット】国保連売上!$A$3,"年月",$A75,"事業所コード",$B75,"事業所",$C75,"事業区分",I$1,"請求区分","再請求"),0))</f>
        <v>0</v>
      </c>
      <c r="J75" s="659">
        <f ca="1">IF($A75="","",IFERROR(GETPIVOTDATA("合計 / 処遇改善加算金",【ピボット】国保連売上!$A$3,"年月",$A75,"事業所コード",$B75,"事業所",$C75,"事業区分",I$1,"請求区分","単月"),0))</f>
        <v>0</v>
      </c>
      <c r="K75" s="659">
        <f ca="1">IF($A75="","",IFERROR(GETPIVOTDATA("合計 / 入金予定",【ピボット】国保連売上!$A$3,"年月",$A75,"事業所コード",$B75,"事業所",$C75,"事業区分",K$1,"請求区分","単月"),0)
+IFERROR(GETPIVOTDATA("合計 / 入金予定",【ピボット】国保連売上!$A$3,"年月",$A75,"事業所コード",$B75,"事業所",$C75,"事業区分",K$1,"請求区分","再請求"),0))</f>
        <v>0</v>
      </c>
      <c r="L75" s="659">
        <f ca="1">IF($A75="","",IFERROR(GETPIVOTDATA("合計 / 処遇改善加算金",【ピボット】国保連売上!$A$3,"年月",$A75,"事業所コード",$B75,"事業所",$C75,"事業区分",K$1,"請求区分","単月"),0))</f>
        <v>0</v>
      </c>
      <c r="M75" s="659">
        <f ca="1">IF($A75="","",IFERROR(GETPIVOTDATA("合計 / 入金予定",【ピボット】国保連売上!$A$3,"年月",$A75,"事業所コード",$B75,"事業所",$C75,"事業区分",M$1,"請求区分","単月"),0)
+IFERROR(GETPIVOTDATA("合計 / 入金予定",【ピボット】国保連売上!$A$3,"年月",$A75,"事業所コード",$B75,"事業所",$C75,"事業区分",M$1,"請求区分","再請求"),0))</f>
        <v>0</v>
      </c>
      <c r="N75" s="660">
        <v>20000</v>
      </c>
      <c r="O75" s="660">
        <v>0</v>
      </c>
      <c r="P75" s="660">
        <v>0</v>
      </c>
      <c r="Q75" s="660">
        <v>0</v>
      </c>
      <c r="R75" s="660">
        <v>0</v>
      </c>
      <c r="S75" s="660">
        <v>81733</v>
      </c>
      <c r="T75" s="660">
        <v>0</v>
      </c>
      <c r="U75" s="660">
        <v>0</v>
      </c>
      <c r="V75" s="660">
        <v>-30000</v>
      </c>
      <c r="W75" s="660">
        <v>0</v>
      </c>
      <c r="X75" s="660">
        <v>0</v>
      </c>
      <c r="Y75" s="659">
        <f t="shared" ca="1" si="4"/>
        <v>71733</v>
      </c>
      <c r="Z75" s="659">
        <f t="shared" ca="1" si="5"/>
        <v>71733</v>
      </c>
    </row>
    <row r="76" spans="1:26" ht="15.95" customHeight="1" x14ac:dyDescent="0.15">
      <c r="A76" s="656">
        <v>42826</v>
      </c>
      <c r="B76" s="657" t="str">
        <f t="shared" ca="1" si="3"/>
        <v>05</v>
      </c>
      <c r="C76" s="658" t="s">
        <v>38</v>
      </c>
      <c r="D76" s="659">
        <f ca="1">IF($A76="","",IFERROR(GETPIVOTDATA("合計 / 入金予定",【ピボット】国保連売上!$A$3,"年月",$A76,"事業所コード",$B76,"事業所",$C76,"事業区分",D$1,"請求区分","単月"),0)
+IFERROR(GETPIVOTDATA("合計 / 入金予定",【ピボット】国保連売上!$A$3,"年月",$A76,"事業所コード",$B76,"事業所",$C76,"事業区分",D$1,"請求区分","再請求"),0))</f>
        <v>1881228</v>
      </c>
      <c r="E76" s="659">
        <f ca="1">IF($A76="","",IFERROR(GETPIVOTDATA("合計 / 処遇改善加算金",【ピボット】国保連売上!$A$3,"年月",$A76,"事業所コード",$B76,"事業所",$C76,"事業区分",D$1,"請求区分","単月"),0))</f>
        <v>0</v>
      </c>
      <c r="F76" s="659">
        <f ca="1">IF($A76="","",IFERROR(GETPIVOTDATA("合計 / 入金予定",【ピボット】国保連売上!$A$3,"年月",$A76,"事業所コード",$B76,"事業所",$C76,"事業区分",F$1,"請求区分","単月"),0)
+IFERROR(GETPIVOTDATA("合計 / 入金予定",【ピボット】国保連売上!$A$3,"年月",$A76,"事業所コード",$B76,"事業所",$C76,"事業区分",F$1,"請求区分","再請求"),0))</f>
        <v>0</v>
      </c>
      <c r="G76" s="659">
        <f ca="1">IF($A76="","",IFERROR(GETPIVOTDATA("合計 / 処遇改善加算金",【ピボット】国保連売上!$A$3,"年月",$A76,"事業所コード",$B76,"事業所",$C76,"事業区分",F$1,"請求区分","単月"),0))</f>
        <v>0</v>
      </c>
      <c r="H76" s="659">
        <f ca="1">IF($A76="","",IFERROR(GETPIVOTDATA("合計 / 入金予定",【ピボット】国保連売上!$A$3,"年月",$A76,"事業所コード",$B76,"事業所",$C76,"事業区分",H$1,"請求区分","単月"),0)
+IFERROR(GETPIVOTDATA("合計 / 入金予定",【ピボット】国保連売上!$A$3,"年月",$A76,"事業所コード",$B76,"事業所",$C76,"事業区分",H$1,"請求区分","再請求"),0))</f>
        <v>0</v>
      </c>
      <c r="I76" s="659">
        <f ca="1">IF($A76="","",IFERROR(GETPIVOTDATA("合計 / 入金予定",【ピボット】国保連売上!$A$3,"年月",$A76,"事業所コード",$B76,"事業所",$C76,"事業区分",I$1,"請求区分","単月"),0)
+IFERROR(GETPIVOTDATA("合計 / 入金予定",【ピボット】国保連売上!$A$3,"年月",$A76,"事業所コード",$B76,"事業所",$C76,"事業区分",I$1,"請求区分","再請求"),0))</f>
        <v>0</v>
      </c>
      <c r="J76" s="659">
        <f ca="1">IF($A76="","",IFERROR(GETPIVOTDATA("合計 / 処遇改善加算金",【ピボット】国保連売上!$A$3,"年月",$A76,"事業所コード",$B76,"事業所",$C76,"事業区分",I$1,"請求区分","単月"),0))</f>
        <v>0</v>
      </c>
      <c r="K76" s="659">
        <f ca="1">IF($A76="","",IFERROR(GETPIVOTDATA("合計 / 入金予定",【ピボット】国保連売上!$A$3,"年月",$A76,"事業所コード",$B76,"事業所",$C76,"事業区分",K$1,"請求区分","単月"),0)
+IFERROR(GETPIVOTDATA("合計 / 入金予定",【ピボット】国保連売上!$A$3,"年月",$A76,"事業所コード",$B76,"事業所",$C76,"事業区分",K$1,"請求区分","再請求"),0))</f>
        <v>0</v>
      </c>
      <c r="L76" s="659">
        <f ca="1">IF($A76="","",IFERROR(GETPIVOTDATA("合計 / 処遇改善加算金",【ピボット】国保連売上!$A$3,"年月",$A76,"事業所コード",$B76,"事業所",$C76,"事業区分",K$1,"請求区分","単月"),0))</f>
        <v>0</v>
      </c>
      <c r="M76" s="659">
        <f ca="1">IF($A76="","",IFERROR(GETPIVOTDATA("合計 / 入金予定",【ピボット】国保連売上!$A$3,"年月",$A76,"事業所コード",$B76,"事業所",$C76,"事業区分",M$1,"請求区分","単月"),0)
+IFERROR(GETPIVOTDATA("合計 / 入金予定",【ピボット】国保連売上!$A$3,"年月",$A76,"事業所コード",$B76,"事業所",$C76,"事業区分",M$1,"請求区分","再請求"),0))</f>
        <v>0</v>
      </c>
      <c r="N76" s="660">
        <v>14800</v>
      </c>
      <c r="O76" s="660">
        <v>0</v>
      </c>
      <c r="P76" s="660">
        <v>0</v>
      </c>
      <c r="Q76" s="660">
        <v>0</v>
      </c>
      <c r="R76" s="660">
        <v>0</v>
      </c>
      <c r="S76" s="660">
        <v>1013500</v>
      </c>
      <c r="T76" s="660">
        <v>0</v>
      </c>
      <c r="U76" s="660">
        <v>0</v>
      </c>
      <c r="V76" s="660">
        <v>0</v>
      </c>
      <c r="W76" s="660">
        <v>0</v>
      </c>
      <c r="X76" s="660">
        <v>0</v>
      </c>
      <c r="Y76" s="659">
        <f t="shared" ca="1" si="4"/>
        <v>2909528</v>
      </c>
      <c r="Z76" s="659">
        <f t="shared" ca="1" si="5"/>
        <v>1028300</v>
      </c>
    </row>
    <row r="77" spans="1:26" ht="15.95" customHeight="1" x14ac:dyDescent="0.15">
      <c r="A77" s="656">
        <v>42826</v>
      </c>
      <c r="B77" s="657" t="str">
        <f t="shared" ca="1" si="3"/>
        <v>06</v>
      </c>
      <c r="C77" s="658" t="s">
        <v>57</v>
      </c>
      <c r="D77" s="659">
        <f ca="1">IF($A77="","",IFERROR(GETPIVOTDATA("合計 / 入金予定",【ピボット】国保連売上!$A$3,"年月",$A77,"事業所コード",$B77,"事業所",$C77,"事業区分",D$1,"請求区分","単月"),0)
+IFERROR(GETPIVOTDATA("合計 / 入金予定",【ピボット】国保連売上!$A$3,"年月",$A77,"事業所コード",$B77,"事業所",$C77,"事業区分",D$1,"請求区分","再請求"),0))</f>
        <v>570726</v>
      </c>
      <c r="E77" s="659">
        <f ca="1">IF($A77="","",IFERROR(GETPIVOTDATA("合計 / 処遇改善加算金",【ピボット】国保連売上!$A$3,"年月",$A77,"事業所コード",$B77,"事業所",$C77,"事業区分",D$1,"請求区分","単月"),0))</f>
        <v>0</v>
      </c>
      <c r="F77" s="659">
        <f ca="1">IF($A77="","",IFERROR(GETPIVOTDATA("合計 / 入金予定",【ピボット】国保連売上!$A$3,"年月",$A77,"事業所コード",$B77,"事業所",$C77,"事業区分",F$1,"請求区分","単月"),0)
+IFERROR(GETPIVOTDATA("合計 / 入金予定",【ピボット】国保連売上!$A$3,"年月",$A77,"事業所コード",$B77,"事業所",$C77,"事業区分",F$1,"請求区分","再請求"),0))</f>
        <v>0</v>
      </c>
      <c r="G77" s="659">
        <f ca="1">IF($A77="","",IFERROR(GETPIVOTDATA("合計 / 処遇改善加算金",【ピボット】国保連売上!$A$3,"年月",$A77,"事業所コード",$B77,"事業所",$C77,"事業区分",F$1,"請求区分","単月"),0))</f>
        <v>0</v>
      </c>
      <c r="H77" s="659">
        <f ca="1">IF($A77="","",IFERROR(GETPIVOTDATA("合計 / 入金予定",【ピボット】国保連売上!$A$3,"年月",$A77,"事業所コード",$B77,"事業所",$C77,"事業区分",H$1,"請求区分","単月"),0)
+IFERROR(GETPIVOTDATA("合計 / 入金予定",【ピボット】国保連売上!$A$3,"年月",$A77,"事業所コード",$B77,"事業所",$C77,"事業区分",H$1,"請求区分","再請求"),0))</f>
        <v>0</v>
      </c>
      <c r="I77" s="659">
        <f ca="1">IF($A77="","",IFERROR(GETPIVOTDATA("合計 / 入金予定",【ピボット】国保連売上!$A$3,"年月",$A77,"事業所コード",$B77,"事業所",$C77,"事業区分",I$1,"請求区分","単月"),0)
+IFERROR(GETPIVOTDATA("合計 / 入金予定",【ピボット】国保連売上!$A$3,"年月",$A77,"事業所コード",$B77,"事業所",$C77,"事業区分",I$1,"請求区分","再請求"),0))</f>
        <v>0</v>
      </c>
      <c r="J77" s="659">
        <f ca="1">IF($A77="","",IFERROR(GETPIVOTDATA("合計 / 処遇改善加算金",【ピボット】国保連売上!$A$3,"年月",$A77,"事業所コード",$B77,"事業所",$C77,"事業区分",I$1,"請求区分","単月"),0))</f>
        <v>0</v>
      </c>
      <c r="K77" s="659">
        <f ca="1">IF($A77="","",IFERROR(GETPIVOTDATA("合計 / 入金予定",【ピボット】国保連売上!$A$3,"年月",$A77,"事業所コード",$B77,"事業所",$C77,"事業区分",K$1,"請求区分","単月"),0)
+IFERROR(GETPIVOTDATA("合計 / 入金予定",【ピボット】国保連売上!$A$3,"年月",$A77,"事業所コード",$B77,"事業所",$C77,"事業区分",K$1,"請求区分","再請求"),0))</f>
        <v>0</v>
      </c>
      <c r="L77" s="659">
        <f ca="1">IF($A77="","",IFERROR(GETPIVOTDATA("合計 / 処遇改善加算金",【ピボット】国保連売上!$A$3,"年月",$A77,"事業所コード",$B77,"事業所",$C77,"事業区分",K$1,"請求区分","単月"),0))</f>
        <v>0</v>
      </c>
      <c r="M77" s="659">
        <f ca="1">IF($A77="","",IFERROR(GETPIVOTDATA("合計 / 入金予定",【ピボット】国保連売上!$A$3,"年月",$A77,"事業所コード",$B77,"事業所",$C77,"事業区分",M$1,"請求区分","単月"),0)
+IFERROR(GETPIVOTDATA("合計 / 入金予定",【ピボット】国保連売上!$A$3,"年月",$A77,"事業所コード",$B77,"事業所",$C77,"事業区分",M$1,"請求区分","再請求"),0))</f>
        <v>0</v>
      </c>
      <c r="N77" s="660">
        <v>0</v>
      </c>
      <c r="O77" s="660">
        <v>0</v>
      </c>
      <c r="P77" s="660">
        <v>0</v>
      </c>
      <c r="Q77" s="660">
        <v>0</v>
      </c>
      <c r="R77" s="660">
        <v>0</v>
      </c>
      <c r="S77" s="660">
        <v>216476</v>
      </c>
      <c r="T77" s="660">
        <v>0</v>
      </c>
      <c r="U77" s="660">
        <v>0</v>
      </c>
      <c r="V77" s="660">
        <v>0</v>
      </c>
      <c r="W77" s="660">
        <v>0</v>
      </c>
      <c r="X77" s="660">
        <v>0</v>
      </c>
      <c r="Y77" s="659">
        <f t="shared" ca="1" si="4"/>
        <v>787202</v>
      </c>
      <c r="Z77" s="659">
        <f t="shared" ca="1" si="5"/>
        <v>216476</v>
      </c>
    </row>
    <row r="78" spans="1:26" ht="15.95" customHeight="1" x14ac:dyDescent="0.15">
      <c r="A78" s="656">
        <v>42826</v>
      </c>
      <c r="B78" s="657" t="str">
        <f t="shared" ca="1" si="3"/>
        <v>10</v>
      </c>
      <c r="C78" s="658" t="s">
        <v>583</v>
      </c>
      <c r="D78" s="659">
        <f ca="1">IF($A78="","",IFERROR(GETPIVOTDATA("合計 / 入金予定",【ピボット】国保連売上!$A$3,"年月",$A78,"事業所コード",$B78,"事業所",$C78,"事業区分",D$1,"請求区分","単月"),0)
+IFERROR(GETPIVOTDATA("合計 / 入金予定",【ピボット】国保連売上!$A$3,"年月",$A78,"事業所コード",$B78,"事業所",$C78,"事業区分",D$1,"請求区分","再請求"),0))</f>
        <v>1029135</v>
      </c>
      <c r="E78" s="659">
        <f ca="1">IF($A78="","",IFERROR(GETPIVOTDATA("合計 / 処遇改善加算金",【ピボット】国保連売上!$A$3,"年月",$A78,"事業所コード",$B78,"事業所",$C78,"事業区分",D$1,"請求区分","単月"),0))</f>
        <v>0</v>
      </c>
      <c r="F78" s="659">
        <f ca="1">IF($A78="","",IFERROR(GETPIVOTDATA("合計 / 入金予定",【ピボット】国保連売上!$A$3,"年月",$A78,"事業所コード",$B78,"事業所",$C78,"事業区分",F$1,"請求区分","単月"),0)
+IFERROR(GETPIVOTDATA("合計 / 入金予定",【ピボット】国保連売上!$A$3,"年月",$A78,"事業所コード",$B78,"事業所",$C78,"事業区分",F$1,"請求区分","再請求"),0))</f>
        <v>2592</v>
      </c>
      <c r="G78" s="659">
        <f ca="1">IF($A78="","",IFERROR(GETPIVOTDATA("合計 / 処遇改善加算金",【ピボット】国保連売上!$A$3,"年月",$A78,"事業所コード",$B78,"事業所",$C78,"事業区分",F$1,"請求区分","単月"),0))</f>
        <v>0</v>
      </c>
      <c r="H78" s="659">
        <f ca="1">IF($A78="","",IFERROR(GETPIVOTDATA("合計 / 入金予定",【ピボット】国保連売上!$A$3,"年月",$A78,"事業所コード",$B78,"事業所",$C78,"事業区分",H$1,"請求区分","単月"),0)
+IFERROR(GETPIVOTDATA("合計 / 入金予定",【ピボット】国保連売上!$A$3,"年月",$A78,"事業所コード",$B78,"事業所",$C78,"事業区分",H$1,"請求区分","再請求"),0))</f>
        <v>0</v>
      </c>
      <c r="I78" s="659">
        <f ca="1">IF($A78="","",IFERROR(GETPIVOTDATA("合計 / 入金予定",【ピボット】国保連売上!$A$3,"年月",$A78,"事業所コード",$B78,"事業所",$C78,"事業区分",I$1,"請求区分","単月"),0)
+IFERROR(GETPIVOTDATA("合計 / 入金予定",【ピボット】国保連売上!$A$3,"年月",$A78,"事業所コード",$B78,"事業所",$C78,"事業区分",I$1,"請求区分","再請求"),0))</f>
        <v>0</v>
      </c>
      <c r="J78" s="659">
        <f ca="1">IF($A78="","",IFERROR(GETPIVOTDATA("合計 / 処遇改善加算金",【ピボット】国保連売上!$A$3,"年月",$A78,"事業所コード",$B78,"事業所",$C78,"事業区分",I$1,"請求区分","単月"),0))</f>
        <v>0</v>
      </c>
      <c r="K78" s="659">
        <f ca="1">IF($A78="","",IFERROR(GETPIVOTDATA("合計 / 入金予定",【ピボット】国保連売上!$A$3,"年月",$A78,"事業所コード",$B78,"事業所",$C78,"事業区分",K$1,"請求区分","単月"),0)
+IFERROR(GETPIVOTDATA("合計 / 入金予定",【ピボット】国保連売上!$A$3,"年月",$A78,"事業所コード",$B78,"事業所",$C78,"事業区分",K$1,"請求区分","再請求"),0))</f>
        <v>0</v>
      </c>
      <c r="L78" s="659">
        <f ca="1">IF($A78="","",IFERROR(GETPIVOTDATA("合計 / 処遇改善加算金",【ピボット】国保連売上!$A$3,"年月",$A78,"事業所コード",$B78,"事業所",$C78,"事業区分",K$1,"請求区分","単月"),0))</f>
        <v>0</v>
      </c>
      <c r="M78" s="659">
        <f ca="1">IF($A78="","",IFERROR(GETPIVOTDATA("合計 / 入金予定",【ピボット】国保連売上!$A$3,"年月",$A78,"事業所コード",$B78,"事業所",$C78,"事業区分",M$1,"請求区分","単月"),0)
+IFERROR(GETPIVOTDATA("合計 / 入金予定",【ピボット】国保連売上!$A$3,"年月",$A78,"事業所コード",$B78,"事業所",$C78,"事業区分",M$1,"請求区分","再請求"),0))</f>
        <v>0</v>
      </c>
      <c r="N78" s="660">
        <v>155750</v>
      </c>
      <c r="O78" s="660">
        <v>56160</v>
      </c>
      <c r="P78" s="660">
        <v>1360050</v>
      </c>
      <c r="Q78" s="660">
        <v>0</v>
      </c>
      <c r="R78" s="660">
        <v>0</v>
      </c>
      <c r="S78" s="660">
        <v>0</v>
      </c>
      <c r="T78" s="660">
        <v>0</v>
      </c>
      <c r="U78" s="660">
        <v>0</v>
      </c>
      <c r="V78" s="660">
        <v>0</v>
      </c>
      <c r="W78" s="660">
        <v>0</v>
      </c>
      <c r="X78" s="660">
        <v>0</v>
      </c>
      <c r="Y78" s="659">
        <f t="shared" ca="1" si="4"/>
        <v>2603687</v>
      </c>
      <c r="Z78" s="659">
        <f t="shared" ca="1" si="5"/>
        <v>1571960</v>
      </c>
    </row>
    <row r="79" spans="1:26" ht="15.95" customHeight="1" x14ac:dyDescent="0.15">
      <c r="A79" s="656">
        <v>42856</v>
      </c>
      <c r="B79" s="657" t="str">
        <f t="shared" ca="1" si="3"/>
        <v>01</v>
      </c>
      <c r="C79" s="658" t="s">
        <v>34</v>
      </c>
      <c r="D79" s="659">
        <f ca="1">IF($A79="","",IFERROR(GETPIVOTDATA("合計 / 入金予定",【ピボット】国保連売上!$A$3,"年月",$A79,"事業所コード",$B79,"事業所",$C79,"事業区分",D$1,"請求区分","単月"),0)
+IFERROR(GETPIVOTDATA("合計 / 入金予定",【ピボット】国保連売上!$A$3,"年月",$A79,"事業所コード",$B79,"事業所",$C79,"事業区分",D$1,"請求区分","再請求"),0))</f>
        <v>7381973</v>
      </c>
      <c r="E79" s="659">
        <f ca="1">IF($A79="","",IFERROR(GETPIVOTDATA("合計 / 処遇改善加算金",【ピボット】国保連売上!$A$3,"年月",$A79,"事業所コード",$B79,"事業所",$C79,"事業区分",D$1,"請求区分","単月"),0))</f>
        <v>1399143</v>
      </c>
      <c r="F79" s="659">
        <f ca="1">IF($A79="","",IFERROR(GETPIVOTDATA("合計 / 入金予定",【ピボット】国保連売上!$A$3,"年月",$A79,"事業所コード",$B79,"事業所",$C79,"事業区分",F$1,"請求区分","単月"),0)
+IFERROR(GETPIVOTDATA("合計 / 入金予定",【ピボット】国保連売上!$A$3,"年月",$A79,"事業所コード",$B79,"事業所",$C79,"事業区分",F$1,"請求区分","再請求"),0))</f>
        <v>1743955</v>
      </c>
      <c r="G79" s="659">
        <f ca="1">IF($A79="","",IFERROR(GETPIVOTDATA("合計 / 処遇改善加算金",【ピボット】国保連売上!$A$3,"年月",$A79,"事業所コード",$B79,"事業所",$C79,"事業区分",F$1,"請求区分","単月"),0))</f>
        <v>375748</v>
      </c>
      <c r="H79" s="659">
        <f ca="1">IF($A79="","",IFERROR(GETPIVOTDATA("合計 / 入金予定",【ピボット】国保連売上!$A$3,"年月",$A79,"事業所コード",$B79,"事業所",$C79,"事業区分",H$1,"請求区分","単月"),0)
+IFERROR(GETPIVOTDATA("合計 / 入金予定",【ピボット】国保連売上!$A$3,"年月",$A79,"事業所コード",$B79,"事業所",$C79,"事業区分",H$1,"請求区分","再請求"),0))</f>
        <v>738238</v>
      </c>
      <c r="I79" s="659">
        <f ca="1">IF($A79="","",IFERROR(GETPIVOTDATA("合計 / 入金予定",【ピボット】国保連売上!$A$3,"年月",$A79,"事業所コード",$B79,"事業所",$C79,"事業区分",I$1,"請求区分","単月"),0)
+IFERROR(GETPIVOTDATA("合計 / 入金予定",【ピボット】国保連売上!$A$3,"年月",$A79,"事業所コード",$B79,"事業所",$C79,"事業区分",I$1,"請求区分","再請求"),0))</f>
        <v>0</v>
      </c>
      <c r="J79" s="659">
        <f ca="1">IF($A79="","",IFERROR(GETPIVOTDATA("合計 / 処遇改善加算金",【ピボット】国保連売上!$A$3,"年月",$A79,"事業所コード",$B79,"事業所",$C79,"事業区分",I$1,"請求区分","単月"),0))</f>
        <v>0</v>
      </c>
      <c r="K79" s="659">
        <f ca="1">IF($A79="","",IFERROR(GETPIVOTDATA("合計 / 入金予定",【ピボット】国保連売上!$A$3,"年月",$A79,"事業所コード",$B79,"事業所",$C79,"事業区分",K$1,"請求区分","単月"),0)
+IFERROR(GETPIVOTDATA("合計 / 入金予定",【ピボット】国保連売上!$A$3,"年月",$A79,"事業所コード",$B79,"事業所",$C79,"事業区分",K$1,"請求区分","再請求"),0))</f>
        <v>0</v>
      </c>
      <c r="L79" s="659">
        <f ca="1">IF($A79="","",IFERROR(GETPIVOTDATA("合計 / 処遇改善加算金",【ピボット】国保連売上!$A$3,"年月",$A79,"事業所コード",$B79,"事業所",$C79,"事業区分",K$1,"請求区分","単月"),0))</f>
        <v>0</v>
      </c>
      <c r="M79" s="659">
        <f ca="1">IF($A79="","",IFERROR(GETPIVOTDATA("合計 / 入金予定",【ピボット】国保連売上!$A$3,"年月",$A79,"事業所コード",$B79,"事業所",$C79,"事業区分",M$1,"請求区分","単月"),0)
+IFERROR(GETPIVOTDATA("合計 / 入金予定",【ピボット】国保連売上!$A$3,"年月",$A79,"事業所コード",$B79,"事業所",$C79,"事業区分",M$1,"請求区分","再請求"),0))</f>
        <v>0</v>
      </c>
      <c r="N79" s="660">
        <v>90875</v>
      </c>
      <c r="O79" s="660">
        <v>7880</v>
      </c>
      <c r="P79" s="660">
        <v>0</v>
      </c>
      <c r="Q79" s="660">
        <v>7567</v>
      </c>
      <c r="R79" s="660">
        <v>111240</v>
      </c>
      <c r="S79" s="660">
        <v>0</v>
      </c>
      <c r="T79" s="660">
        <v>0</v>
      </c>
      <c r="U79" s="660">
        <v>0</v>
      </c>
      <c r="V79" s="660">
        <v>0</v>
      </c>
      <c r="W79" s="660">
        <v>0</v>
      </c>
      <c r="X79" s="660">
        <v>0</v>
      </c>
      <c r="Y79" s="659">
        <f t="shared" ca="1" si="4"/>
        <v>10081728</v>
      </c>
      <c r="Z79" s="659">
        <f t="shared" ca="1" si="5"/>
        <v>217562</v>
      </c>
    </row>
    <row r="80" spans="1:26" ht="15.95" customHeight="1" x14ac:dyDescent="0.15">
      <c r="A80" s="656">
        <v>42856</v>
      </c>
      <c r="B80" s="657" t="str">
        <f t="shared" ca="1" si="3"/>
        <v>02</v>
      </c>
      <c r="C80" s="658" t="s">
        <v>37</v>
      </c>
      <c r="D80" s="659">
        <f ca="1">IF($A80="","",IFERROR(GETPIVOTDATA("合計 / 入金予定",【ピボット】国保連売上!$A$3,"年月",$A80,"事業所コード",$B80,"事業所",$C80,"事業区分",D$1,"請求区分","単月"),0)
+IFERROR(GETPIVOTDATA("合計 / 入金予定",【ピボット】国保連売上!$A$3,"年月",$A80,"事業所コード",$B80,"事業所",$C80,"事業区分",D$1,"請求区分","再請求"),0))</f>
        <v>4023031</v>
      </c>
      <c r="E80" s="659">
        <f ca="1">IF($A80="","",IFERROR(GETPIVOTDATA("合計 / 処遇改善加算金",【ピボット】国保連売上!$A$3,"年月",$A80,"事業所コード",$B80,"事業所",$C80,"事業区分",D$1,"請求区分","単月"),0))</f>
        <v>506157</v>
      </c>
      <c r="F80" s="659">
        <f ca="1">IF($A80="","",IFERROR(GETPIVOTDATA("合計 / 入金予定",【ピボット】国保連売上!$A$3,"年月",$A80,"事業所コード",$B80,"事業所",$C80,"事業区分",F$1,"請求区分","単月"),0)
+IFERROR(GETPIVOTDATA("合計 / 入金予定",【ピボット】国保連売上!$A$3,"年月",$A80,"事業所コード",$B80,"事業所",$C80,"事業区分",F$1,"請求区分","再請求"),0))</f>
        <v>746212</v>
      </c>
      <c r="G80" s="659">
        <f ca="1">IF($A80="","",IFERROR(GETPIVOTDATA("合計 / 処遇改善加算金",【ピボット】国保連売上!$A$3,"年月",$A80,"事業所コード",$B80,"事業所",$C80,"事業区分",F$1,"請求区分","単月"),0))</f>
        <v>168386</v>
      </c>
      <c r="H80" s="659">
        <f ca="1">IF($A80="","",IFERROR(GETPIVOTDATA("合計 / 入金予定",【ピボット】国保連売上!$A$3,"年月",$A80,"事業所コード",$B80,"事業所",$C80,"事業区分",H$1,"請求区分","単月"),0)
+IFERROR(GETPIVOTDATA("合計 / 入金予定",【ピボット】国保連売上!$A$3,"年月",$A80,"事業所コード",$B80,"事業所",$C80,"事業区分",H$1,"請求区分","再請求"),0))</f>
        <v>363715</v>
      </c>
      <c r="I80" s="659">
        <f ca="1">IF($A80="","",IFERROR(GETPIVOTDATA("合計 / 入金予定",【ピボット】国保連売上!$A$3,"年月",$A80,"事業所コード",$B80,"事業所",$C80,"事業区分",I$1,"請求区分","単月"),0)
+IFERROR(GETPIVOTDATA("合計 / 入金予定",【ピボット】国保連売上!$A$3,"年月",$A80,"事業所コード",$B80,"事業所",$C80,"事業区分",I$1,"請求区分","再請求"),0))</f>
        <v>0</v>
      </c>
      <c r="J80" s="659">
        <f ca="1">IF($A80="","",IFERROR(GETPIVOTDATA("合計 / 処遇改善加算金",【ピボット】国保連売上!$A$3,"年月",$A80,"事業所コード",$B80,"事業所",$C80,"事業区分",I$1,"請求区分","単月"),0))</f>
        <v>0</v>
      </c>
      <c r="K80" s="659">
        <f ca="1">IF($A80="","",IFERROR(GETPIVOTDATA("合計 / 入金予定",【ピボット】国保連売上!$A$3,"年月",$A80,"事業所コード",$B80,"事業所",$C80,"事業区分",K$1,"請求区分","単月"),0)
+IFERROR(GETPIVOTDATA("合計 / 入金予定",【ピボット】国保連売上!$A$3,"年月",$A80,"事業所コード",$B80,"事業所",$C80,"事業区分",K$1,"請求区分","再請求"),0))</f>
        <v>0</v>
      </c>
      <c r="L80" s="659">
        <f ca="1">IF($A80="","",IFERROR(GETPIVOTDATA("合計 / 処遇改善加算金",【ピボット】国保連売上!$A$3,"年月",$A80,"事業所コード",$B80,"事業所",$C80,"事業区分",K$1,"請求区分","単月"),0))</f>
        <v>0</v>
      </c>
      <c r="M80" s="659">
        <f ca="1">IF($A80="","",IFERROR(GETPIVOTDATA("合計 / 入金予定",【ピボット】国保連売上!$A$3,"年月",$A80,"事業所コード",$B80,"事業所",$C80,"事業区分",M$1,"請求区分","単月"),0)
+IFERROR(GETPIVOTDATA("合計 / 入金予定",【ピボット】国保連売上!$A$3,"年月",$A80,"事業所コード",$B80,"事業所",$C80,"事業区分",M$1,"請求区分","再請求"),0))</f>
        <v>0</v>
      </c>
      <c r="N80" s="660">
        <v>114025</v>
      </c>
      <c r="O80" s="660">
        <v>0</v>
      </c>
      <c r="P80" s="660">
        <v>0</v>
      </c>
      <c r="Q80" s="660">
        <v>2000</v>
      </c>
      <c r="R80" s="660">
        <v>94004</v>
      </c>
      <c r="S80" s="660">
        <v>0</v>
      </c>
      <c r="T80" s="660">
        <v>0</v>
      </c>
      <c r="U80" s="660">
        <v>0</v>
      </c>
      <c r="V80" s="660">
        <v>0</v>
      </c>
      <c r="W80" s="660">
        <v>0</v>
      </c>
      <c r="X80" s="660">
        <v>0</v>
      </c>
      <c r="Y80" s="659">
        <f t="shared" ca="1" si="4"/>
        <v>5342987</v>
      </c>
      <c r="Z80" s="659">
        <f t="shared" ca="1" si="5"/>
        <v>210029</v>
      </c>
    </row>
    <row r="81" spans="1:26" ht="15.95" customHeight="1" x14ac:dyDescent="0.15">
      <c r="A81" s="656">
        <v>42856</v>
      </c>
      <c r="B81" s="657" t="str">
        <f t="shared" ca="1" si="3"/>
        <v>03</v>
      </c>
      <c r="C81" s="658" t="s">
        <v>66</v>
      </c>
      <c r="D81" s="659">
        <f ca="1">IF($A81="","",IFERROR(GETPIVOTDATA("合計 / 入金予定",【ピボット】国保連売上!$A$3,"年月",$A81,"事業所コード",$B81,"事業所",$C81,"事業区分",D$1,"請求区分","単月"),0)
+IFERROR(GETPIVOTDATA("合計 / 入金予定",【ピボット】国保連売上!$A$3,"年月",$A81,"事業所コード",$B81,"事業所",$C81,"事業区分",D$1,"請求区分","再請求"),0))</f>
        <v>3237052</v>
      </c>
      <c r="E81" s="659">
        <f ca="1">IF($A81="","",IFERROR(GETPIVOTDATA("合計 / 処遇改善加算金",【ピボット】国保連売上!$A$3,"年月",$A81,"事業所コード",$B81,"事業所",$C81,"事業区分",D$1,"請求区分","単月"),0))</f>
        <v>382703</v>
      </c>
      <c r="F81" s="659">
        <f ca="1">IF($A81="","",IFERROR(GETPIVOTDATA("合計 / 入金予定",【ピボット】国保連売上!$A$3,"年月",$A81,"事業所コード",$B81,"事業所",$C81,"事業区分",F$1,"請求区分","単月"),0)
+IFERROR(GETPIVOTDATA("合計 / 入金予定",【ピボット】国保連売上!$A$3,"年月",$A81,"事業所コード",$B81,"事業所",$C81,"事業区分",F$1,"請求区分","再請求"),0))</f>
        <v>1815705</v>
      </c>
      <c r="G81" s="659">
        <f ca="1">IF($A81="","",IFERROR(GETPIVOTDATA("合計 / 処遇改善加算金",【ピボット】国保連売上!$A$3,"年月",$A81,"事業所コード",$B81,"事業所",$C81,"事業区分",F$1,"請求区分","単月"),0))</f>
        <v>424065</v>
      </c>
      <c r="H81" s="659">
        <f ca="1">IF($A81="","",IFERROR(GETPIVOTDATA("合計 / 入金予定",【ピボット】国保連売上!$A$3,"年月",$A81,"事業所コード",$B81,"事業所",$C81,"事業区分",H$1,"請求区分","単月"),0)
+IFERROR(GETPIVOTDATA("合計 / 入金予定",【ピボット】国保連売上!$A$3,"年月",$A81,"事業所コード",$B81,"事業所",$C81,"事業区分",H$1,"請求区分","再請求"),0))</f>
        <v>0</v>
      </c>
      <c r="I81" s="659">
        <f ca="1">IF($A81="","",IFERROR(GETPIVOTDATA("合計 / 入金予定",【ピボット】国保連売上!$A$3,"年月",$A81,"事業所コード",$B81,"事業所",$C81,"事業区分",I$1,"請求区分","単月"),0)
+IFERROR(GETPIVOTDATA("合計 / 入金予定",【ピボット】国保連売上!$A$3,"年月",$A81,"事業所コード",$B81,"事業所",$C81,"事業区分",I$1,"請求区分","再請求"),0))</f>
        <v>0</v>
      </c>
      <c r="J81" s="659">
        <f ca="1">IF($A81="","",IFERROR(GETPIVOTDATA("合計 / 処遇改善加算金",【ピボット】国保連売上!$A$3,"年月",$A81,"事業所コード",$B81,"事業所",$C81,"事業区分",I$1,"請求区分","単月"),0))</f>
        <v>0</v>
      </c>
      <c r="K81" s="659">
        <f ca="1">IF($A81="","",IFERROR(GETPIVOTDATA("合計 / 入金予定",【ピボット】国保連売上!$A$3,"年月",$A81,"事業所コード",$B81,"事業所",$C81,"事業区分",K$1,"請求区分","単月"),0)
+IFERROR(GETPIVOTDATA("合計 / 入金予定",【ピボット】国保連売上!$A$3,"年月",$A81,"事業所コード",$B81,"事業所",$C81,"事業区分",K$1,"請求区分","再請求"),0))</f>
        <v>0</v>
      </c>
      <c r="L81" s="659">
        <f ca="1">IF($A81="","",IFERROR(GETPIVOTDATA("合計 / 処遇改善加算金",【ピボット】国保連売上!$A$3,"年月",$A81,"事業所コード",$B81,"事業所",$C81,"事業区分",K$1,"請求区分","単月"),0))</f>
        <v>0</v>
      </c>
      <c r="M81" s="659">
        <f ca="1">IF($A81="","",IFERROR(GETPIVOTDATA("合計 / 入金予定",【ピボット】国保連売上!$A$3,"年月",$A81,"事業所コード",$B81,"事業所",$C81,"事業区分",M$1,"請求区分","単月"),0)
+IFERROR(GETPIVOTDATA("合計 / 入金予定",【ピボット】国保連売上!$A$3,"年月",$A81,"事業所コード",$B81,"事業所",$C81,"事業区分",M$1,"請求区分","再請求"),0))</f>
        <v>0</v>
      </c>
      <c r="N81" s="660">
        <v>132900</v>
      </c>
      <c r="O81" s="660">
        <v>141140</v>
      </c>
      <c r="P81" s="660">
        <v>44650</v>
      </c>
      <c r="Q81" s="660">
        <v>3472</v>
      </c>
      <c r="R81" s="660">
        <v>0</v>
      </c>
      <c r="S81" s="660">
        <v>0</v>
      </c>
      <c r="T81" s="660">
        <v>0</v>
      </c>
      <c r="U81" s="660">
        <v>0</v>
      </c>
      <c r="V81" s="660">
        <v>0</v>
      </c>
      <c r="W81" s="660">
        <v>0</v>
      </c>
      <c r="X81" s="660">
        <v>0</v>
      </c>
      <c r="Y81" s="659">
        <f t="shared" ca="1" si="4"/>
        <v>5374919</v>
      </c>
      <c r="Z81" s="659">
        <f t="shared" ca="1" si="5"/>
        <v>322162</v>
      </c>
    </row>
    <row r="82" spans="1:26" ht="15.95" customHeight="1" x14ac:dyDescent="0.15">
      <c r="A82" s="656">
        <v>42856</v>
      </c>
      <c r="B82" s="657" t="str">
        <f t="shared" ca="1" si="3"/>
        <v>04</v>
      </c>
      <c r="C82" s="658" t="s">
        <v>358</v>
      </c>
      <c r="D82" s="659">
        <f ca="1">IF($A82="","",IFERROR(GETPIVOTDATA("合計 / 入金予定",【ピボット】国保連売上!$A$3,"年月",$A82,"事業所コード",$B82,"事業所",$C82,"事業区分",D$1,"請求区分","単月"),0)
+IFERROR(GETPIVOTDATA("合計 / 入金予定",【ピボット】国保連売上!$A$3,"年月",$A82,"事業所コード",$B82,"事業所",$C82,"事業区分",D$1,"請求区分","再請求"),0))</f>
        <v>0</v>
      </c>
      <c r="E82" s="659">
        <f ca="1">IF($A82="","",IFERROR(GETPIVOTDATA("合計 / 処遇改善加算金",【ピボット】国保連売上!$A$3,"年月",$A82,"事業所コード",$B82,"事業所",$C82,"事業区分",D$1,"請求区分","単月"),0))</f>
        <v>0</v>
      </c>
      <c r="F82" s="659">
        <f ca="1">IF($A82="","",IFERROR(GETPIVOTDATA("合計 / 入金予定",【ピボット】国保連売上!$A$3,"年月",$A82,"事業所コード",$B82,"事業所",$C82,"事業区分",F$1,"請求区分","単月"),0)
+IFERROR(GETPIVOTDATA("合計 / 入金予定",【ピボット】国保連売上!$A$3,"年月",$A82,"事業所コード",$B82,"事業所",$C82,"事業区分",F$1,"請求区分","再請求"),0))</f>
        <v>0</v>
      </c>
      <c r="G82" s="659">
        <f ca="1">IF($A82="","",IFERROR(GETPIVOTDATA("合計 / 処遇改善加算金",【ピボット】国保連売上!$A$3,"年月",$A82,"事業所コード",$B82,"事業所",$C82,"事業区分",F$1,"請求区分","単月"),0))</f>
        <v>0</v>
      </c>
      <c r="H82" s="659">
        <f ca="1">IF($A82="","",IFERROR(GETPIVOTDATA("合計 / 入金予定",【ピボット】国保連売上!$A$3,"年月",$A82,"事業所コード",$B82,"事業所",$C82,"事業区分",H$1,"請求区分","単月"),0)
+IFERROR(GETPIVOTDATA("合計 / 入金予定",【ピボット】国保連売上!$A$3,"年月",$A82,"事業所コード",$B82,"事業所",$C82,"事業区分",H$1,"請求区分","再請求"),0))</f>
        <v>0</v>
      </c>
      <c r="I82" s="659">
        <f ca="1">IF($A82="","",IFERROR(GETPIVOTDATA("合計 / 入金予定",【ピボット】国保連売上!$A$3,"年月",$A82,"事業所コード",$B82,"事業所",$C82,"事業区分",I$1,"請求区分","単月"),0)
+IFERROR(GETPIVOTDATA("合計 / 入金予定",【ピボット】国保連売上!$A$3,"年月",$A82,"事業所コード",$B82,"事業所",$C82,"事業区分",I$1,"請求区分","再請求"),0))</f>
        <v>3365344</v>
      </c>
      <c r="J82" s="659">
        <f ca="1">IF($A82="","",IFERROR(GETPIVOTDATA("合計 / 処遇改善加算金",【ピボット】国保連売上!$A$3,"年月",$A82,"事業所コード",$B82,"事業所",$C82,"事業区分",I$1,"請求区分","単月"),0))</f>
        <v>187859</v>
      </c>
      <c r="K82" s="659">
        <f ca="1">IF($A82="","",IFERROR(GETPIVOTDATA("合計 / 入金予定",【ピボット】国保連売上!$A$3,"年月",$A82,"事業所コード",$B82,"事業所",$C82,"事業区分",K$1,"請求区分","単月"),0)
+IFERROR(GETPIVOTDATA("合計 / 入金予定",【ピボット】国保連売上!$A$3,"年月",$A82,"事業所コード",$B82,"事業所",$C82,"事業区分",K$1,"請求区分","再請求"),0))</f>
        <v>0</v>
      </c>
      <c r="L82" s="659">
        <f ca="1">IF($A82="","",IFERROR(GETPIVOTDATA("合計 / 処遇改善加算金",【ピボット】国保連売上!$A$3,"年月",$A82,"事業所コード",$B82,"事業所",$C82,"事業区分",K$1,"請求区分","単月"),0))</f>
        <v>0</v>
      </c>
      <c r="M82" s="659">
        <f ca="1">IF($A82="","",IFERROR(GETPIVOTDATA("合計 / 入金予定",【ピボット】国保連売上!$A$3,"年月",$A82,"事業所コード",$B82,"事業所",$C82,"事業区分",M$1,"請求区分","単月"),0)
+IFERROR(GETPIVOTDATA("合計 / 入金予定",【ピボット】国保連売上!$A$3,"年月",$A82,"事業所コード",$B82,"事業所",$C82,"事業区分",M$1,"請求区分","再請求"),0))</f>
        <v>0</v>
      </c>
      <c r="N82" s="660">
        <v>4514</v>
      </c>
      <c r="O82" s="660">
        <v>0</v>
      </c>
      <c r="P82" s="660">
        <v>0</v>
      </c>
      <c r="Q82" s="660">
        <v>0</v>
      </c>
      <c r="R82" s="660">
        <v>0</v>
      </c>
      <c r="S82" s="660">
        <v>0</v>
      </c>
      <c r="T82" s="660">
        <v>179850</v>
      </c>
      <c r="U82" s="660">
        <v>0</v>
      </c>
      <c r="V82" s="660">
        <v>0</v>
      </c>
      <c r="W82" s="660">
        <v>0</v>
      </c>
      <c r="X82" s="660">
        <v>0</v>
      </c>
      <c r="Y82" s="659">
        <f t="shared" ca="1" si="4"/>
        <v>3549708</v>
      </c>
      <c r="Z82" s="659">
        <f t="shared" ca="1" si="5"/>
        <v>184364</v>
      </c>
    </row>
    <row r="83" spans="1:26" ht="15.95" customHeight="1" x14ac:dyDescent="0.15">
      <c r="A83" s="656">
        <v>42856</v>
      </c>
      <c r="B83" s="657" t="str">
        <f t="shared" ca="1" si="3"/>
        <v>07</v>
      </c>
      <c r="C83" s="658" t="s">
        <v>119</v>
      </c>
      <c r="D83" s="659">
        <f ca="1">IF($A83="","",IFERROR(GETPIVOTDATA("合計 / 入金予定",【ピボット】国保連売上!$A$3,"年月",$A83,"事業所コード",$B83,"事業所",$C83,"事業区分",D$1,"請求区分","単月"),0)
+IFERROR(GETPIVOTDATA("合計 / 入金予定",【ピボット】国保連売上!$A$3,"年月",$A83,"事業所コード",$B83,"事業所",$C83,"事業区分",D$1,"請求区分","再請求"),0))</f>
        <v>0</v>
      </c>
      <c r="E83" s="659">
        <f ca="1">IF($A83="","",IFERROR(GETPIVOTDATA("合計 / 処遇改善加算金",【ピボット】国保連売上!$A$3,"年月",$A83,"事業所コード",$B83,"事業所",$C83,"事業区分",D$1,"請求区分","単月"),0))</f>
        <v>0</v>
      </c>
      <c r="F83" s="659">
        <f ca="1">IF($A83="","",IFERROR(GETPIVOTDATA("合計 / 入金予定",【ピボット】国保連売上!$A$3,"年月",$A83,"事業所コード",$B83,"事業所",$C83,"事業区分",F$1,"請求区分","単月"),0)
+IFERROR(GETPIVOTDATA("合計 / 入金予定",【ピボット】国保連売上!$A$3,"年月",$A83,"事業所コード",$B83,"事業所",$C83,"事業区分",F$1,"請求区分","再請求"),0))</f>
        <v>0</v>
      </c>
      <c r="G83" s="659">
        <f ca="1">IF($A83="","",IFERROR(GETPIVOTDATA("合計 / 処遇改善加算金",【ピボット】国保連売上!$A$3,"年月",$A83,"事業所コード",$B83,"事業所",$C83,"事業区分",F$1,"請求区分","単月"),0))</f>
        <v>0</v>
      </c>
      <c r="H83" s="659">
        <f ca="1">IF($A83="","",IFERROR(GETPIVOTDATA("合計 / 入金予定",【ピボット】国保連売上!$A$3,"年月",$A83,"事業所コード",$B83,"事業所",$C83,"事業区分",H$1,"請求区分","単月"),0)
+IFERROR(GETPIVOTDATA("合計 / 入金予定",【ピボット】国保連売上!$A$3,"年月",$A83,"事業所コード",$B83,"事業所",$C83,"事業区分",H$1,"請求区分","再請求"),0))</f>
        <v>0</v>
      </c>
      <c r="I83" s="659">
        <f ca="1">IF($A83="","",IFERROR(GETPIVOTDATA("合計 / 入金予定",【ピボット】国保連売上!$A$3,"年月",$A83,"事業所コード",$B83,"事業所",$C83,"事業区分",I$1,"請求区分","単月"),0)
+IFERROR(GETPIVOTDATA("合計 / 入金予定",【ピボット】国保連売上!$A$3,"年月",$A83,"事業所コード",$B83,"事業所",$C83,"事業区分",I$1,"請求区分","再請求"),0))</f>
        <v>0</v>
      </c>
      <c r="J83" s="659">
        <f ca="1">IF($A83="","",IFERROR(GETPIVOTDATA("合計 / 処遇改善加算金",【ピボット】国保連売上!$A$3,"年月",$A83,"事業所コード",$B83,"事業所",$C83,"事業区分",I$1,"請求区分","単月"),0))</f>
        <v>0</v>
      </c>
      <c r="K83" s="659">
        <f ca="1">IF($A83="","",IFERROR(GETPIVOTDATA("合計 / 入金予定",【ピボット】国保連売上!$A$3,"年月",$A83,"事業所コード",$B83,"事業所",$C83,"事業区分",K$1,"請求区分","単月"),0)
+IFERROR(GETPIVOTDATA("合計 / 入金予定",【ピボット】国保連売上!$A$3,"年月",$A83,"事業所コード",$B83,"事業所",$C83,"事業区分",K$1,"請求区分","再請求"),0))</f>
        <v>0</v>
      </c>
      <c r="L83" s="659">
        <f ca="1">IF($A83="","",IFERROR(GETPIVOTDATA("合計 / 処遇改善加算金",【ピボット】国保連売上!$A$3,"年月",$A83,"事業所コード",$B83,"事業所",$C83,"事業区分",K$1,"請求区分","単月"),0))</f>
        <v>0</v>
      </c>
      <c r="M83" s="659">
        <f ca="1">IF($A83="","",IFERROR(GETPIVOTDATA("合計 / 入金予定",【ピボット】国保連売上!$A$3,"年月",$A83,"事業所コード",$B83,"事業所",$C83,"事業区分",M$1,"請求区分","単月"),0)
+IFERROR(GETPIVOTDATA("合計 / 入金予定",【ピボット】国保連売上!$A$3,"年月",$A83,"事業所コード",$B83,"事業所",$C83,"事業区分",M$1,"請求区分","再請求"),0))</f>
        <v>0</v>
      </c>
      <c r="N83" s="660">
        <v>0</v>
      </c>
      <c r="O83" s="660">
        <v>0</v>
      </c>
      <c r="P83" s="660">
        <v>0</v>
      </c>
      <c r="Q83" s="660">
        <v>0</v>
      </c>
      <c r="R83" s="660">
        <v>0</v>
      </c>
      <c r="S83" s="660">
        <v>78000</v>
      </c>
      <c r="T83" s="660">
        <v>0</v>
      </c>
      <c r="U83" s="660">
        <v>0</v>
      </c>
      <c r="V83" s="660">
        <v>-30000</v>
      </c>
      <c r="W83" s="660">
        <v>360033</v>
      </c>
      <c r="X83" s="660">
        <v>0</v>
      </c>
      <c r="Y83" s="659">
        <f t="shared" ca="1" si="4"/>
        <v>408033</v>
      </c>
      <c r="Z83" s="659">
        <f t="shared" ca="1" si="5"/>
        <v>408033</v>
      </c>
    </row>
    <row r="84" spans="1:26" ht="15.95" customHeight="1" x14ac:dyDescent="0.15">
      <c r="A84" s="656">
        <v>42856</v>
      </c>
      <c r="B84" s="657" t="str">
        <f t="shared" ca="1" si="3"/>
        <v>08</v>
      </c>
      <c r="C84" s="658" t="s">
        <v>189</v>
      </c>
      <c r="D84" s="659">
        <f ca="1">IF($A84="","",IFERROR(GETPIVOTDATA("合計 / 入金予定",【ピボット】国保連売上!$A$3,"年月",$A84,"事業所コード",$B84,"事業所",$C84,"事業区分",D$1,"請求区分","単月"),0)
+IFERROR(GETPIVOTDATA("合計 / 入金予定",【ピボット】国保連売上!$A$3,"年月",$A84,"事業所コード",$B84,"事業所",$C84,"事業区分",D$1,"請求区分","再請求"),0))</f>
        <v>0</v>
      </c>
      <c r="E84" s="659">
        <f ca="1">IF($A84="","",IFERROR(GETPIVOTDATA("合計 / 処遇改善加算金",【ピボット】国保連売上!$A$3,"年月",$A84,"事業所コード",$B84,"事業所",$C84,"事業区分",D$1,"請求区分","単月"),0))</f>
        <v>0</v>
      </c>
      <c r="F84" s="659">
        <f ca="1">IF($A84="","",IFERROR(GETPIVOTDATA("合計 / 入金予定",【ピボット】国保連売上!$A$3,"年月",$A84,"事業所コード",$B84,"事業所",$C84,"事業区分",F$1,"請求区分","単月"),0)
+IFERROR(GETPIVOTDATA("合計 / 入金予定",【ピボット】国保連売上!$A$3,"年月",$A84,"事業所コード",$B84,"事業所",$C84,"事業区分",F$1,"請求区分","再請求"),0))</f>
        <v>0</v>
      </c>
      <c r="G84" s="659">
        <f ca="1">IF($A84="","",IFERROR(GETPIVOTDATA("合計 / 処遇改善加算金",【ピボット】国保連売上!$A$3,"年月",$A84,"事業所コード",$B84,"事業所",$C84,"事業区分",F$1,"請求区分","単月"),0))</f>
        <v>0</v>
      </c>
      <c r="H84" s="659">
        <f ca="1">IF($A84="","",IFERROR(GETPIVOTDATA("合計 / 入金予定",【ピボット】国保連売上!$A$3,"年月",$A84,"事業所コード",$B84,"事業所",$C84,"事業区分",H$1,"請求区分","単月"),0)
+IFERROR(GETPIVOTDATA("合計 / 入金予定",【ピボット】国保連売上!$A$3,"年月",$A84,"事業所コード",$B84,"事業所",$C84,"事業区分",H$1,"請求区分","再請求"),0))</f>
        <v>0</v>
      </c>
      <c r="I84" s="659">
        <f ca="1">IF($A84="","",IFERROR(GETPIVOTDATA("合計 / 入金予定",【ピボット】国保連売上!$A$3,"年月",$A84,"事業所コード",$B84,"事業所",$C84,"事業区分",I$1,"請求区分","単月"),0)
+IFERROR(GETPIVOTDATA("合計 / 入金予定",【ピボット】国保連売上!$A$3,"年月",$A84,"事業所コード",$B84,"事業所",$C84,"事業区分",I$1,"請求区分","再請求"),0))</f>
        <v>0</v>
      </c>
      <c r="J84" s="659">
        <f ca="1">IF($A84="","",IFERROR(GETPIVOTDATA("合計 / 処遇改善加算金",【ピボット】国保連売上!$A$3,"年月",$A84,"事業所コード",$B84,"事業所",$C84,"事業区分",I$1,"請求区分","単月"),0))</f>
        <v>0</v>
      </c>
      <c r="K84" s="659">
        <f ca="1">IF($A84="","",IFERROR(GETPIVOTDATA("合計 / 入金予定",【ピボット】国保連売上!$A$3,"年月",$A84,"事業所コード",$B84,"事業所",$C84,"事業区分",K$1,"請求区分","単月"),0)
+IFERROR(GETPIVOTDATA("合計 / 入金予定",【ピボット】国保連売上!$A$3,"年月",$A84,"事業所コード",$B84,"事業所",$C84,"事業区分",K$1,"請求区分","再請求"),0))</f>
        <v>0</v>
      </c>
      <c r="L84" s="659">
        <f ca="1">IF($A84="","",IFERROR(GETPIVOTDATA("合計 / 処遇改善加算金",【ピボット】国保連売上!$A$3,"年月",$A84,"事業所コード",$B84,"事業所",$C84,"事業区分",K$1,"請求区分","単月"),0))</f>
        <v>0</v>
      </c>
      <c r="M84" s="659">
        <f ca="1">IF($A84="","",IFERROR(GETPIVOTDATA("合計 / 入金予定",【ピボット】国保連売上!$A$3,"年月",$A84,"事業所コード",$B84,"事業所",$C84,"事業区分",M$1,"請求区分","単月"),0)
+IFERROR(GETPIVOTDATA("合計 / 入金予定",【ピボット】国保連売上!$A$3,"年月",$A84,"事業所コード",$B84,"事業所",$C84,"事業区分",M$1,"請求区分","再請求"),0))</f>
        <v>0</v>
      </c>
      <c r="N84" s="660">
        <v>20000</v>
      </c>
      <c r="O84" s="660">
        <v>0</v>
      </c>
      <c r="P84" s="660">
        <v>0</v>
      </c>
      <c r="Q84" s="660">
        <v>0</v>
      </c>
      <c r="R84" s="660">
        <v>0</v>
      </c>
      <c r="S84" s="660">
        <v>81300</v>
      </c>
      <c r="T84" s="660">
        <v>0</v>
      </c>
      <c r="U84" s="660">
        <v>0</v>
      </c>
      <c r="V84" s="660">
        <v>0</v>
      </c>
      <c r="W84" s="660">
        <v>1018331</v>
      </c>
      <c r="X84" s="660">
        <v>0</v>
      </c>
      <c r="Y84" s="659">
        <f t="shared" ca="1" si="4"/>
        <v>1119631</v>
      </c>
      <c r="Z84" s="659">
        <f t="shared" ca="1" si="5"/>
        <v>1119631</v>
      </c>
    </row>
    <row r="85" spans="1:26" ht="15.95" customHeight="1" x14ac:dyDescent="0.15">
      <c r="A85" s="656">
        <v>42856</v>
      </c>
      <c r="B85" s="657" t="str">
        <f t="shared" ca="1" si="3"/>
        <v>05</v>
      </c>
      <c r="C85" s="658" t="s">
        <v>38</v>
      </c>
      <c r="D85" s="659">
        <f ca="1">IF($A85="","",IFERROR(GETPIVOTDATA("合計 / 入金予定",【ピボット】国保連売上!$A$3,"年月",$A85,"事業所コード",$B85,"事業所",$C85,"事業区分",D$1,"請求区分","単月"),0)
+IFERROR(GETPIVOTDATA("合計 / 入金予定",【ピボット】国保連売上!$A$3,"年月",$A85,"事業所コード",$B85,"事業所",$C85,"事業区分",D$1,"請求区分","再請求"),0))</f>
        <v>2491950</v>
      </c>
      <c r="E85" s="659">
        <f ca="1">IF($A85="","",IFERROR(GETPIVOTDATA("合計 / 処遇改善加算金",【ピボット】国保連売上!$A$3,"年月",$A85,"事業所コード",$B85,"事業所",$C85,"事業区分",D$1,"請求区分","単月"),0))</f>
        <v>0</v>
      </c>
      <c r="F85" s="659">
        <f ca="1">IF($A85="","",IFERROR(GETPIVOTDATA("合計 / 入金予定",【ピボット】国保連売上!$A$3,"年月",$A85,"事業所コード",$B85,"事業所",$C85,"事業区分",F$1,"請求区分","単月"),0)
+IFERROR(GETPIVOTDATA("合計 / 入金予定",【ピボット】国保連売上!$A$3,"年月",$A85,"事業所コード",$B85,"事業所",$C85,"事業区分",F$1,"請求区分","再請求"),0))</f>
        <v>0</v>
      </c>
      <c r="G85" s="659">
        <f ca="1">IF($A85="","",IFERROR(GETPIVOTDATA("合計 / 処遇改善加算金",【ピボット】国保連売上!$A$3,"年月",$A85,"事業所コード",$B85,"事業所",$C85,"事業区分",F$1,"請求区分","単月"),0))</f>
        <v>0</v>
      </c>
      <c r="H85" s="659">
        <f ca="1">IF($A85="","",IFERROR(GETPIVOTDATA("合計 / 入金予定",【ピボット】国保連売上!$A$3,"年月",$A85,"事業所コード",$B85,"事業所",$C85,"事業区分",H$1,"請求区分","単月"),0)
+IFERROR(GETPIVOTDATA("合計 / 入金予定",【ピボット】国保連売上!$A$3,"年月",$A85,"事業所コード",$B85,"事業所",$C85,"事業区分",H$1,"請求区分","再請求"),0))</f>
        <v>0</v>
      </c>
      <c r="I85" s="659">
        <f ca="1">IF($A85="","",IFERROR(GETPIVOTDATA("合計 / 入金予定",【ピボット】国保連売上!$A$3,"年月",$A85,"事業所コード",$B85,"事業所",$C85,"事業区分",I$1,"請求区分","単月"),0)
+IFERROR(GETPIVOTDATA("合計 / 入金予定",【ピボット】国保連売上!$A$3,"年月",$A85,"事業所コード",$B85,"事業所",$C85,"事業区分",I$1,"請求区分","再請求"),0))</f>
        <v>0</v>
      </c>
      <c r="J85" s="659">
        <f ca="1">IF($A85="","",IFERROR(GETPIVOTDATA("合計 / 処遇改善加算金",【ピボット】国保連売上!$A$3,"年月",$A85,"事業所コード",$B85,"事業所",$C85,"事業区分",I$1,"請求区分","単月"),0))</f>
        <v>0</v>
      </c>
      <c r="K85" s="659">
        <f ca="1">IF($A85="","",IFERROR(GETPIVOTDATA("合計 / 入金予定",【ピボット】国保連売上!$A$3,"年月",$A85,"事業所コード",$B85,"事業所",$C85,"事業区分",K$1,"請求区分","単月"),0)
+IFERROR(GETPIVOTDATA("合計 / 入金予定",【ピボット】国保連売上!$A$3,"年月",$A85,"事業所コード",$B85,"事業所",$C85,"事業区分",K$1,"請求区分","再請求"),0))</f>
        <v>0</v>
      </c>
      <c r="L85" s="659">
        <f ca="1">IF($A85="","",IFERROR(GETPIVOTDATA("合計 / 処遇改善加算金",【ピボット】国保連売上!$A$3,"年月",$A85,"事業所コード",$B85,"事業所",$C85,"事業区分",K$1,"請求区分","単月"),0))</f>
        <v>0</v>
      </c>
      <c r="M85" s="659">
        <f ca="1">IF($A85="","",IFERROR(GETPIVOTDATA("合計 / 入金予定",【ピボット】国保連売上!$A$3,"年月",$A85,"事業所コード",$B85,"事業所",$C85,"事業区分",M$1,"請求区分","単月"),0)
+IFERROR(GETPIVOTDATA("合計 / 入金予定",【ピボット】国保連売上!$A$3,"年月",$A85,"事業所コード",$B85,"事業所",$C85,"事業区分",M$1,"請求区分","再請求"),0))</f>
        <v>0</v>
      </c>
      <c r="N85" s="660">
        <v>20000</v>
      </c>
      <c r="O85" s="660">
        <v>0</v>
      </c>
      <c r="P85" s="660">
        <v>0</v>
      </c>
      <c r="Q85" s="660">
        <v>0</v>
      </c>
      <c r="R85" s="660">
        <v>0</v>
      </c>
      <c r="S85" s="660">
        <v>706420</v>
      </c>
      <c r="T85" s="660">
        <v>0</v>
      </c>
      <c r="U85" s="660">
        <v>0</v>
      </c>
      <c r="V85" s="660">
        <v>0</v>
      </c>
      <c r="W85" s="660">
        <v>0</v>
      </c>
      <c r="X85" s="660">
        <v>0</v>
      </c>
      <c r="Y85" s="659">
        <f t="shared" ca="1" si="4"/>
        <v>3218370</v>
      </c>
      <c r="Z85" s="659">
        <f t="shared" ca="1" si="5"/>
        <v>726420</v>
      </c>
    </row>
    <row r="86" spans="1:26" ht="15.95" customHeight="1" x14ac:dyDescent="0.15">
      <c r="A86" s="656">
        <v>42856</v>
      </c>
      <c r="B86" s="657" t="str">
        <f t="shared" ca="1" si="3"/>
        <v>06</v>
      </c>
      <c r="C86" s="658" t="s">
        <v>57</v>
      </c>
      <c r="D86" s="659">
        <f ca="1">IF($A86="","",IFERROR(GETPIVOTDATA("合計 / 入金予定",【ピボット】国保連売上!$A$3,"年月",$A86,"事業所コード",$B86,"事業所",$C86,"事業区分",D$1,"請求区分","単月"),0)
+IFERROR(GETPIVOTDATA("合計 / 入金予定",【ピボット】国保連売上!$A$3,"年月",$A86,"事業所コード",$B86,"事業所",$C86,"事業区分",D$1,"請求区分","再請求"),0))</f>
        <v>421867</v>
      </c>
      <c r="E86" s="659">
        <f ca="1">IF($A86="","",IFERROR(GETPIVOTDATA("合計 / 処遇改善加算金",【ピボット】国保連売上!$A$3,"年月",$A86,"事業所コード",$B86,"事業所",$C86,"事業区分",D$1,"請求区分","単月"),0))</f>
        <v>0</v>
      </c>
      <c r="F86" s="659">
        <f ca="1">IF($A86="","",IFERROR(GETPIVOTDATA("合計 / 入金予定",【ピボット】国保連売上!$A$3,"年月",$A86,"事業所コード",$B86,"事業所",$C86,"事業区分",F$1,"請求区分","単月"),0)
+IFERROR(GETPIVOTDATA("合計 / 入金予定",【ピボット】国保連売上!$A$3,"年月",$A86,"事業所コード",$B86,"事業所",$C86,"事業区分",F$1,"請求区分","再請求"),0))</f>
        <v>0</v>
      </c>
      <c r="G86" s="659">
        <f ca="1">IF($A86="","",IFERROR(GETPIVOTDATA("合計 / 処遇改善加算金",【ピボット】国保連売上!$A$3,"年月",$A86,"事業所コード",$B86,"事業所",$C86,"事業区分",F$1,"請求区分","単月"),0))</f>
        <v>0</v>
      </c>
      <c r="H86" s="659">
        <f ca="1">IF($A86="","",IFERROR(GETPIVOTDATA("合計 / 入金予定",【ピボット】国保連売上!$A$3,"年月",$A86,"事業所コード",$B86,"事業所",$C86,"事業区分",H$1,"請求区分","単月"),0)
+IFERROR(GETPIVOTDATA("合計 / 入金予定",【ピボット】国保連売上!$A$3,"年月",$A86,"事業所コード",$B86,"事業所",$C86,"事業区分",H$1,"請求区分","再請求"),0))</f>
        <v>0</v>
      </c>
      <c r="I86" s="659">
        <f ca="1">IF($A86="","",IFERROR(GETPIVOTDATA("合計 / 入金予定",【ピボット】国保連売上!$A$3,"年月",$A86,"事業所コード",$B86,"事業所",$C86,"事業区分",I$1,"請求区分","単月"),0)
+IFERROR(GETPIVOTDATA("合計 / 入金予定",【ピボット】国保連売上!$A$3,"年月",$A86,"事業所コード",$B86,"事業所",$C86,"事業区分",I$1,"請求区分","再請求"),0))</f>
        <v>0</v>
      </c>
      <c r="J86" s="659">
        <f ca="1">IF($A86="","",IFERROR(GETPIVOTDATA("合計 / 処遇改善加算金",【ピボット】国保連売上!$A$3,"年月",$A86,"事業所コード",$B86,"事業所",$C86,"事業区分",I$1,"請求区分","単月"),0))</f>
        <v>0</v>
      </c>
      <c r="K86" s="659">
        <f ca="1">IF($A86="","",IFERROR(GETPIVOTDATA("合計 / 入金予定",【ピボット】国保連売上!$A$3,"年月",$A86,"事業所コード",$B86,"事業所",$C86,"事業区分",K$1,"請求区分","単月"),0)
+IFERROR(GETPIVOTDATA("合計 / 入金予定",【ピボット】国保連売上!$A$3,"年月",$A86,"事業所コード",$B86,"事業所",$C86,"事業区分",K$1,"請求区分","再請求"),0))</f>
        <v>0</v>
      </c>
      <c r="L86" s="659">
        <f ca="1">IF($A86="","",IFERROR(GETPIVOTDATA("合計 / 処遇改善加算金",【ピボット】国保連売上!$A$3,"年月",$A86,"事業所コード",$B86,"事業所",$C86,"事業区分",K$1,"請求区分","単月"),0))</f>
        <v>0</v>
      </c>
      <c r="M86" s="659">
        <f ca="1">IF($A86="","",IFERROR(GETPIVOTDATA("合計 / 入金予定",【ピボット】国保連売上!$A$3,"年月",$A86,"事業所コード",$B86,"事業所",$C86,"事業区分",M$1,"請求区分","単月"),0)
+IFERROR(GETPIVOTDATA("合計 / 入金予定",【ピボット】国保連売上!$A$3,"年月",$A86,"事業所コード",$B86,"事業所",$C86,"事業区分",M$1,"請求区分","再請求"),0))</f>
        <v>0</v>
      </c>
      <c r="N86" s="660">
        <v>0</v>
      </c>
      <c r="O86" s="660">
        <v>0</v>
      </c>
      <c r="P86" s="660">
        <v>0</v>
      </c>
      <c r="Q86" s="660">
        <v>0</v>
      </c>
      <c r="R86" s="660">
        <v>0</v>
      </c>
      <c r="S86" s="660">
        <v>174166</v>
      </c>
      <c r="T86" s="660">
        <v>0</v>
      </c>
      <c r="U86" s="660">
        <v>0</v>
      </c>
      <c r="V86" s="660">
        <v>0</v>
      </c>
      <c r="W86" s="660">
        <v>0</v>
      </c>
      <c r="X86" s="660">
        <v>0</v>
      </c>
      <c r="Y86" s="659">
        <f t="shared" ca="1" si="4"/>
        <v>596033</v>
      </c>
      <c r="Z86" s="659">
        <f t="shared" ca="1" si="5"/>
        <v>174166</v>
      </c>
    </row>
    <row r="87" spans="1:26" ht="15.95" customHeight="1" x14ac:dyDescent="0.15">
      <c r="A87" s="656">
        <v>42856</v>
      </c>
      <c r="B87" s="657" t="str">
        <f t="shared" ca="1" si="3"/>
        <v>10</v>
      </c>
      <c r="C87" s="658" t="s">
        <v>583</v>
      </c>
      <c r="D87" s="659">
        <f ca="1">IF($A87="","",IFERROR(GETPIVOTDATA("合計 / 入金予定",【ピボット】国保連売上!$A$3,"年月",$A87,"事業所コード",$B87,"事業所",$C87,"事業区分",D$1,"請求区分","単月"),0)
+IFERROR(GETPIVOTDATA("合計 / 入金予定",【ピボット】国保連売上!$A$3,"年月",$A87,"事業所コード",$B87,"事業所",$C87,"事業区分",D$1,"請求区分","再請求"),0))</f>
        <v>1229514</v>
      </c>
      <c r="E87" s="659">
        <f ca="1">IF($A87="","",IFERROR(GETPIVOTDATA("合計 / 処遇改善加算金",【ピボット】国保連売上!$A$3,"年月",$A87,"事業所コード",$B87,"事業所",$C87,"事業区分",D$1,"請求区分","単月"),0))</f>
        <v>0</v>
      </c>
      <c r="F87" s="659">
        <f ca="1">IF($A87="","",IFERROR(GETPIVOTDATA("合計 / 入金予定",【ピボット】国保連売上!$A$3,"年月",$A87,"事業所コード",$B87,"事業所",$C87,"事業区分",F$1,"請求区分","単月"),0)
+IFERROR(GETPIVOTDATA("合計 / 入金予定",【ピボット】国保連売上!$A$3,"年月",$A87,"事業所コード",$B87,"事業所",$C87,"事業区分",F$1,"請求区分","再請求"),0))</f>
        <v>10440</v>
      </c>
      <c r="G87" s="659">
        <f ca="1">IF($A87="","",IFERROR(GETPIVOTDATA("合計 / 処遇改善加算金",【ピボット】国保連売上!$A$3,"年月",$A87,"事業所コード",$B87,"事業所",$C87,"事業区分",F$1,"請求区分","単月"),0))</f>
        <v>0</v>
      </c>
      <c r="H87" s="659">
        <f ca="1">IF($A87="","",IFERROR(GETPIVOTDATA("合計 / 入金予定",【ピボット】国保連売上!$A$3,"年月",$A87,"事業所コード",$B87,"事業所",$C87,"事業区分",H$1,"請求区分","単月"),0)
+IFERROR(GETPIVOTDATA("合計 / 入金予定",【ピボット】国保連売上!$A$3,"年月",$A87,"事業所コード",$B87,"事業所",$C87,"事業区分",H$1,"請求区分","再請求"),0))</f>
        <v>0</v>
      </c>
      <c r="I87" s="659">
        <f ca="1">IF($A87="","",IFERROR(GETPIVOTDATA("合計 / 入金予定",【ピボット】国保連売上!$A$3,"年月",$A87,"事業所コード",$B87,"事業所",$C87,"事業区分",I$1,"請求区分","単月"),0)
+IFERROR(GETPIVOTDATA("合計 / 入金予定",【ピボット】国保連売上!$A$3,"年月",$A87,"事業所コード",$B87,"事業所",$C87,"事業区分",I$1,"請求区分","再請求"),0))</f>
        <v>0</v>
      </c>
      <c r="J87" s="659">
        <f ca="1">IF($A87="","",IFERROR(GETPIVOTDATA("合計 / 処遇改善加算金",【ピボット】国保連売上!$A$3,"年月",$A87,"事業所コード",$B87,"事業所",$C87,"事業区分",I$1,"請求区分","単月"),0))</f>
        <v>0</v>
      </c>
      <c r="K87" s="659">
        <f ca="1">IF($A87="","",IFERROR(GETPIVOTDATA("合計 / 入金予定",【ピボット】国保連売上!$A$3,"年月",$A87,"事業所コード",$B87,"事業所",$C87,"事業区分",K$1,"請求区分","単月"),0)
+IFERROR(GETPIVOTDATA("合計 / 入金予定",【ピボット】国保連売上!$A$3,"年月",$A87,"事業所コード",$B87,"事業所",$C87,"事業区分",K$1,"請求区分","再請求"),0))</f>
        <v>0</v>
      </c>
      <c r="L87" s="659">
        <f ca="1">IF($A87="","",IFERROR(GETPIVOTDATA("合計 / 処遇改善加算金",【ピボット】国保連売上!$A$3,"年月",$A87,"事業所コード",$B87,"事業所",$C87,"事業区分",K$1,"請求区分","単月"),0))</f>
        <v>0</v>
      </c>
      <c r="M87" s="659">
        <f ca="1">IF($A87="","",IFERROR(GETPIVOTDATA("合計 / 入金予定",【ピボット】国保連売上!$A$3,"年月",$A87,"事業所コード",$B87,"事業所",$C87,"事業区分",M$1,"請求区分","単月"),0)
+IFERROR(GETPIVOTDATA("合計 / 入金予定",【ピボット】国保連売上!$A$3,"年月",$A87,"事業所コード",$B87,"事業所",$C87,"事業区分",M$1,"請求区分","再請求"),0))</f>
        <v>0</v>
      </c>
      <c r="N87" s="660">
        <v>251400</v>
      </c>
      <c r="O87" s="660">
        <v>65520</v>
      </c>
      <c r="P87" s="660">
        <v>1454750</v>
      </c>
      <c r="Q87" s="660">
        <v>0</v>
      </c>
      <c r="R87" s="660">
        <v>0</v>
      </c>
      <c r="S87" s="660">
        <v>0</v>
      </c>
      <c r="T87" s="660">
        <v>0</v>
      </c>
      <c r="U87" s="660">
        <v>0</v>
      </c>
      <c r="V87" s="660">
        <v>0</v>
      </c>
      <c r="W87" s="660">
        <v>0</v>
      </c>
      <c r="X87" s="660">
        <v>0</v>
      </c>
      <c r="Y87" s="659">
        <f t="shared" ca="1" si="4"/>
        <v>3011624</v>
      </c>
      <c r="Z87" s="659">
        <f t="shared" ca="1" si="5"/>
        <v>1771670</v>
      </c>
    </row>
    <row r="88" spans="1:26" ht="15.95" customHeight="1" x14ac:dyDescent="0.15">
      <c r="A88" s="656">
        <v>42887</v>
      </c>
      <c r="B88" s="657" t="str">
        <f t="shared" ca="1" si="3"/>
        <v>01</v>
      </c>
      <c r="C88" s="658" t="s">
        <v>34</v>
      </c>
      <c r="D88" s="659">
        <f ca="1">IF($A88="","",IFERROR(GETPIVOTDATA("合計 / 入金予定",【ピボット】国保連売上!$A$3,"年月",$A88,"事業所コード",$B88,"事業所",$C88,"事業区分",D$1,"請求区分","単月"),0)
+IFERROR(GETPIVOTDATA("合計 / 入金予定",【ピボット】国保連売上!$A$3,"年月",$A88,"事業所コード",$B88,"事業所",$C88,"事業区分",D$1,"請求区分","再請求"),0))</f>
        <v>7118889</v>
      </c>
      <c r="E88" s="659">
        <f ca="1">IF($A88="","",IFERROR(GETPIVOTDATA("合計 / 処遇改善加算金",【ピボット】国保連売上!$A$3,"年月",$A88,"事業所コード",$B88,"事業所",$C88,"事業区分",D$1,"請求区分","単月"),0))</f>
        <v>1238192</v>
      </c>
      <c r="F88" s="659">
        <f ca="1">IF($A88="","",IFERROR(GETPIVOTDATA("合計 / 入金予定",【ピボット】国保連売上!$A$3,"年月",$A88,"事業所コード",$B88,"事業所",$C88,"事業区分",F$1,"請求区分","単月"),0)
+IFERROR(GETPIVOTDATA("合計 / 入金予定",【ピボット】国保連売上!$A$3,"年月",$A88,"事業所コード",$B88,"事業所",$C88,"事業区分",F$1,"請求区分","再請求"),0))</f>
        <v>1462036</v>
      </c>
      <c r="G88" s="659">
        <f ca="1">IF($A88="","",IFERROR(GETPIVOTDATA("合計 / 処遇改善加算金",【ピボット】国保連売上!$A$3,"年月",$A88,"事業所コード",$B88,"事業所",$C88,"事業区分",F$1,"請求区分","単月"),0))</f>
        <v>311062</v>
      </c>
      <c r="H88" s="659">
        <f ca="1">IF($A88="","",IFERROR(GETPIVOTDATA("合計 / 入金予定",【ピボット】国保連売上!$A$3,"年月",$A88,"事業所コード",$B88,"事業所",$C88,"事業区分",H$1,"請求区分","単月"),0)
+IFERROR(GETPIVOTDATA("合計 / 入金予定",【ピボット】国保連売上!$A$3,"年月",$A88,"事業所コード",$B88,"事業所",$C88,"事業区分",H$1,"請求区分","再請求"),0))</f>
        <v>730748</v>
      </c>
      <c r="I88" s="659">
        <f ca="1">IF($A88="","",IFERROR(GETPIVOTDATA("合計 / 入金予定",【ピボット】国保連売上!$A$3,"年月",$A88,"事業所コード",$B88,"事業所",$C88,"事業区分",I$1,"請求区分","単月"),0)
+IFERROR(GETPIVOTDATA("合計 / 入金予定",【ピボット】国保連売上!$A$3,"年月",$A88,"事業所コード",$B88,"事業所",$C88,"事業区分",I$1,"請求区分","再請求"),0))</f>
        <v>0</v>
      </c>
      <c r="J88" s="659">
        <f ca="1">IF($A88="","",IFERROR(GETPIVOTDATA("合計 / 処遇改善加算金",【ピボット】国保連売上!$A$3,"年月",$A88,"事業所コード",$B88,"事業所",$C88,"事業区分",I$1,"請求区分","単月"),0))</f>
        <v>0</v>
      </c>
      <c r="K88" s="659">
        <f ca="1">IF($A88="","",IFERROR(GETPIVOTDATA("合計 / 入金予定",【ピボット】国保連売上!$A$3,"年月",$A88,"事業所コード",$B88,"事業所",$C88,"事業区分",K$1,"請求区分","単月"),0)
+IFERROR(GETPIVOTDATA("合計 / 入金予定",【ピボット】国保連売上!$A$3,"年月",$A88,"事業所コード",$B88,"事業所",$C88,"事業区分",K$1,"請求区分","再請求"),0))</f>
        <v>0</v>
      </c>
      <c r="L88" s="659">
        <f ca="1">IF($A88="","",IFERROR(GETPIVOTDATA("合計 / 処遇改善加算金",【ピボット】国保連売上!$A$3,"年月",$A88,"事業所コード",$B88,"事業所",$C88,"事業区分",K$1,"請求区分","単月"),0))</f>
        <v>0</v>
      </c>
      <c r="M88" s="659">
        <f ca="1">IF($A88="","",IFERROR(GETPIVOTDATA("合計 / 入金予定",【ピボット】国保連売上!$A$3,"年月",$A88,"事業所コード",$B88,"事業所",$C88,"事業区分",M$1,"請求区分","単月"),0)
+IFERROR(GETPIVOTDATA("合計 / 入金予定",【ピボット】国保連売上!$A$3,"年月",$A88,"事業所コード",$B88,"事業所",$C88,"事業区分",M$1,"請求区分","再請求"),0))</f>
        <v>0</v>
      </c>
      <c r="N88" s="660">
        <v>62823</v>
      </c>
      <c r="O88" s="660">
        <v>20360</v>
      </c>
      <c r="P88" s="660">
        <v>0</v>
      </c>
      <c r="Q88" s="660">
        <v>4217</v>
      </c>
      <c r="R88" s="660">
        <v>129600</v>
      </c>
      <c r="S88" s="660">
        <v>0</v>
      </c>
      <c r="T88" s="660">
        <v>0</v>
      </c>
      <c r="U88" s="660">
        <v>0</v>
      </c>
      <c r="V88" s="660">
        <v>0</v>
      </c>
      <c r="W88" s="660">
        <v>0</v>
      </c>
      <c r="X88" s="660">
        <v>0</v>
      </c>
      <c r="Y88" s="659">
        <f t="shared" ca="1" si="4"/>
        <v>9528673</v>
      </c>
      <c r="Z88" s="659">
        <f t="shared" ca="1" si="5"/>
        <v>217000</v>
      </c>
    </row>
    <row r="89" spans="1:26" ht="15.95" customHeight="1" x14ac:dyDescent="0.15">
      <c r="A89" s="656">
        <v>42887</v>
      </c>
      <c r="B89" s="657" t="str">
        <f t="shared" ca="1" si="3"/>
        <v>02</v>
      </c>
      <c r="C89" s="658" t="s">
        <v>37</v>
      </c>
      <c r="D89" s="659">
        <f ca="1">IF($A89="","",IFERROR(GETPIVOTDATA("合計 / 入金予定",【ピボット】国保連売上!$A$3,"年月",$A89,"事業所コード",$B89,"事業所",$C89,"事業区分",D$1,"請求区分","単月"),0)
+IFERROR(GETPIVOTDATA("合計 / 入金予定",【ピボット】国保連売上!$A$3,"年月",$A89,"事業所コード",$B89,"事業所",$C89,"事業区分",D$1,"請求区分","再請求"),0))</f>
        <v>4207063</v>
      </c>
      <c r="E89" s="659">
        <f ca="1">IF($A89="","",IFERROR(GETPIVOTDATA("合計 / 処遇改善加算金",【ピボット】国保連売上!$A$3,"年月",$A89,"事業所コード",$B89,"事業所",$C89,"事業区分",D$1,"請求区分","単月"),0))</f>
        <v>489137</v>
      </c>
      <c r="F89" s="659">
        <f ca="1">IF($A89="","",IFERROR(GETPIVOTDATA("合計 / 入金予定",【ピボット】国保連売上!$A$3,"年月",$A89,"事業所コード",$B89,"事業所",$C89,"事業区分",F$1,"請求区分","単月"),0)
+IFERROR(GETPIVOTDATA("合計 / 入金予定",【ピボット】国保連売上!$A$3,"年月",$A89,"事業所コード",$B89,"事業所",$C89,"事業区分",F$1,"請求区分","再請求"),0))</f>
        <v>696592</v>
      </c>
      <c r="G89" s="659">
        <f ca="1">IF($A89="","",IFERROR(GETPIVOTDATA("合計 / 処遇改善加算金",【ピボット】国保連売上!$A$3,"年月",$A89,"事業所コード",$B89,"事業所",$C89,"事業区分",F$1,"請求区分","単月"),0))</f>
        <v>157860</v>
      </c>
      <c r="H89" s="659">
        <f ca="1">IF($A89="","",IFERROR(GETPIVOTDATA("合計 / 入金予定",【ピボット】国保連売上!$A$3,"年月",$A89,"事業所コード",$B89,"事業所",$C89,"事業区分",H$1,"請求区分","単月"),0)
+IFERROR(GETPIVOTDATA("合計 / 入金予定",【ピボット】国保連売上!$A$3,"年月",$A89,"事業所コード",$B89,"事業所",$C89,"事業区分",H$1,"請求区分","再請求"),0))</f>
        <v>383360</v>
      </c>
      <c r="I89" s="659">
        <f ca="1">IF($A89="","",IFERROR(GETPIVOTDATA("合計 / 入金予定",【ピボット】国保連売上!$A$3,"年月",$A89,"事業所コード",$B89,"事業所",$C89,"事業区分",I$1,"請求区分","単月"),0)
+IFERROR(GETPIVOTDATA("合計 / 入金予定",【ピボット】国保連売上!$A$3,"年月",$A89,"事業所コード",$B89,"事業所",$C89,"事業区分",I$1,"請求区分","再請求"),0))</f>
        <v>0</v>
      </c>
      <c r="J89" s="659">
        <f ca="1">IF($A89="","",IFERROR(GETPIVOTDATA("合計 / 処遇改善加算金",【ピボット】国保連売上!$A$3,"年月",$A89,"事業所コード",$B89,"事業所",$C89,"事業区分",I$1,"請求区分","単月"),0))</f>
        <v>0</v>
      </c>
      <c r="K89" s="659">
        <f ca="1">IF($A89="","",IFERROR(GETPIVOTDATA("合計 / 入金予定",【ピボット】国保連売上!$A$3,"年月",$A89,"事業所コード",$B89,"事業所",$C89,"事業区分",K$1,"請求区分","単月"),0)
+IFERROR(GETPIVOTDATA("合計 / 入金予定",【ピボット】国保連売上!$A$3,"年月",$A89,"事業所コード",$B89,"事業所",$C89,"事業区分",K$1,"請求区分","再請求"),0))</f>
        <v>0</v>
      </c>
      <c r="L89" s="659">
        <f ca="1">IF($A89="","",IFERROR(GETPIVOTDATA("合計 / 処遇改善加算金",【ピボット】国保連売上!$A$3,"年月",$A89,"事業所コード",$B89,"事業所",$C89,"事業区分",K$1,"請求区分","単月"),0))</f>
        <v>0</v>
      </c>
      <c r="M89" s="659">
        <f ca="1">IF($A89="","",IFERROR(GETPIVOTDATA("合計 / 入金予定",【ピボット】国保連売上!$A$3,"年月",$A89,"事業所コード",$B89,"事業所",$C89,"事業区分",M$1,"請求区分","単月"),0)
+IFERROR(GETPIVOTDATA("合計 / 入金予定",【ピボット】国保連売上!$A$3,"年月",$A89,"事業所コード",$B89,"事業所",$C89,"事業区分",M$1,"請求区分","再請求"),0))</f>
        <v>0</v>
      </c>
      <c r="N89" s="660">
        <v>300426</v>
      </c>
      <c r="O89" s="660">
        <v>0</v>
      </c>
      <c r="P89" s="660">
        <v>0</v>
      </c>
      <c r="Q89" s="660">
        <v>2288</v>
      </c>
      <c r="R89" s="660">
        <v>94004</v>
      </c>
      <c r="S89" s="660">
        <v>0</v>
      </c>
      <c r="T89" s="660">
        <v>0</v>
      </c>
      <c r="U89" s="660">
        <v>0</v>
      </c>
      <c r="V89" s="660">
        <v>0</v>
      </c>
      <c r="W89" s="660">
        <v>0</v>
      </c>
      <c r="X89" s="660">
        <v>0</v>
      </c>
      <c r="Y89" s="659">
        <f t="shared" ca="1" si="4"/>
        <v>5683733</v>
      </c>
      <c r="Z89" s="659">
        <f t="shared" ca="1" si="5"/>
        <v>396718</v>
      </c>
    </row>
    <row r="90" spans="1:26" ht="15.95" customHeight="1" x14ac:dyDescent="0.15">
      <c r="A90" s="656">
        <v>42887</v>
      </c>
      <c r="B90" s="657" t="str">
        <f t="shared" ca="1" si="3"/>
        <v>03</v>
      </c>
      <c r="C90" s="658" t="s">
        <v>66</v>
      </c>
      <c r="D90" s="659">
        <f ca="1">IF($A90="","",IFERROR(GETPIVOTDATA("合計 / 入金予定",【ピボット】国保連売上!$A$3,"年月",$A90,"事業所コード",$B90,"事業所",$C90,"事業区分",D$1,"請求区分","単月"),0)
+IFERROR(GETPIVOTDATA("合計 / 入金予定",【ピボット】国保連売上!$A$3,"年月",$A90,"事業所コード",$B90,"事業所",$C90,"事業区分",D$1,"請求区分","再請求"),0))</f>
        <v>3049599</v>
      </c>
      <c r="E90" s="659">
        <f ca="1">IF($A90="","",IFERROR(GETPIVOTDATA("合計 / 処遇改善加算金",【ピボット】国保連売上!$A$3,"年月",$A90,"事業所コード",$B90,"事業所",$C90,"事業区分",D$1,"請求区分","単月"),0))</f>
        <v>345767</v>
      </c>
      <c r="F90" s="659">
        <f ca="1">IF($A90="","",IFERROR(GETPIVOTDATA("合計 / 入金予定",【ピボット】国保連売上!$A$3,"年月",$A90,"事業所コード",$B90,"事業所",$C90,"事業区分",F$1,"請求区分","単月"),0)
+IFERROR(GETPIVOTDATA("合計 / 入金予定",【ピボット】国保連売上!$A$3,"年月",$A90,"事業所コード",$B90,"事業所",$C90,"事業区分",F$1,"請求区分","再請求"),0))</f>
        <v>2352621</v>
      </c>
      <c r="G90" s="659">
        <f ca="1">IF($A90="","",IFERROR(GETPIVOTDATA("合計 / 処遇改善加算金",【ピボット】国保連売上!$A$3,"年月",$A90,"事業所コード",$B90,"事業所",$C90,"事業区分",F$1,"請求区分","単月"),0))</f>
        <v>541700</v>
      </c>
      <c r="H90" s="659">
        <f ca="1">IF($A90="","",IFERROR(GETPIVOTDATA("合計 / 入金予定",【ピボット】国保連売上!$A$3,"年月",$A90,"事業所コード",$B90,"事業所",$C90,"事業区分",H$1,"請求区分","単月"),0)
+IFERROR(GETPIVOTDATA("合計 / 入金予定",【ピボット】国保連売上!$A$3,"年月",$A90,"事業所コード",$B90,"事業所",$C90,"事業区分",H$1,"請求区分","再請求"),0))</f>
        <v>0</v>
      </c>
      <c r="I90" s="659">
        <f ca="1">IF($A90="","",IFERROR(GETPIVOTDATA("合計 / 入金予定",【ピボット】国保連売上!$A$3,"年月",$A90,"事業所コード",$B90,"事業所",$C90,"事業区分",I$1,"請求区分","単月"),0)
+IFERROR(GETPIVOTDATA("合計 / 入金予定",【ピボット】国保連売上!$A$3,"年月",$A90,"事業所コード",$B90,"事業所",$C90,"事業区分",I$1,"請求区分","再請求"),0))</f>
        <v>0</v>
      </c>
      <c r="J90" s="659">
        <f ca="1">IF($A90="","",IFERROR(GETPIVOTDATA("合計 / 処遇改善加算金",【ピボット】国保連売上!$A$3,"年月",$A90,"事業所コード",$B90,"事業所",$C90,"事業区分",I$1,"請求区分","単月"),0))</f>
        <v>0</v>
      </c>
      <c r="K90" s="659">
        <f ca="1">IF($A90="","",IFERROR(GETPIVOTDATA("合計 / 入金予定",【ピボット】国保連売上!$A$3,"年月",$A90,"事業所コード",$B90,"事業所",$C90,"事業区分",K$1,"請求区分","単月"),0)
+IFERROR(GETPIVOTDATA("合計 / 入金予定",【ピボット】国保連売上!$A$3,"年月",$A90,"事業所コード",$B90,"事業所",$C90,"事業区分",K$1,"請求区分","再請求"),0))</f>
        <v>0</v>
      </c>
      <c r="L90" s="659">
        <f ca="1">IF($A90="","",IFERROR(GETPIVOTDATA("合計 / 処遇改善加算金",【ピボット】国保連売上!$A$3,"年月",$A90,"事業所コード",$B90,"事業所",$C90,"事業区分",K$1,"請求区分","単月"),0))</f>
        <v>0</v>
      </c>
      <c r="M90" s="659">
        <f ca="1">IF($A90="","",IFERROR(GETPIVOTDATA("合計 / 入金予定",【ピボット】国保連売上!$A$3,"年月",$A90,"事業所コード",$B90,"事業所",$C90,"事業区分",M$1,"請求区分","単月"),0)
+IFERROR(GETPIVOTDATA("合計 / 入金予定",【ピボット】国保連売上!$A$3,"年月",$A90,"事業所コード",$B90,"事業所",$C90,"事業区分",M$1,"請求区分","再請求"),0))</f>
        <v>0</v>
      </c>
      <c r="N90" s="660">
        <v>90400</v>
      </c>
      <c r="O90" s="660">
        <v>127670</v>
      </c>
      <c r="P90" s="660">
        <v>72910</v>
      </c>
      <c r="Q90" s="660">
        <v>4382</v>
      </c>
      <c r="R90" s="660">
        <v>0</v>
      </c>
      <c r="S90" s="660">
        <v>0</v>
      </c>
      <c r="T90" s="660">
        <v>0</v>
      </c>
      <c r="U90" s="660">
        <v>0</v>
      </c>
      <c r="V90" s="660">
        <v>0</v>
      </c>
      <c r="W90" s="660">
        <v>0</v>
      </c>
      <c r="X90" s="660">
        <v>0</v>
      </c>
      <c r="Y90" s="659">
        <f t="shared" ca="1" si="4"/>
        <v>5697582</v>
      </c>
      <c r="Z90" s="659">
        <f t="shared" ca="1" si="5"/>
        <v>295362</v>
      </c>
    </row>
    <row r="91" spans="1:26" ht="15.95" customHeight="1" x14ac:dyDescent="0.15">
      <c r="A91" s="656">
        <v>42887</v>
      </c>
      <c r="B91" s="657" t="str">
        <f t="shared" ca="1" si="3"/>
        <v>04</v>
      </c>
      <c r="C91" s="658" t="s">
        <v>358</v>
      </c>
      <c r="D91" s="659">
        <f ca="1">IF($A91="","",IFERROR(GETPIVOTDATA("合計 / 入金予定",【ピボット】国保連売上!$A$3,"年月",$A91,"事業所コード",$B91,"事業所",$C91,"事業区分",D$1,"請求区分","単月"),0)
+IFERROR(GETPIVOTDATA("合計 / 入金予定",【ピボット】国保連売上!$A$3,"年月",$A91,"事業所コード",$B91,"事業所",$C91,"事業区分",D$1,"請求区分","再請求"),0))</f>
        <v>0</v>
      </c>
      <c r="E91" s="659">
        <f ca="1">IF($A91="","",IFERROR(GETPIVOTDATA("合計 / 処遇改善加算金",【ピボット】国保連売上!$A$3,"年月",$A91,"事業所コード",$B91,"事業所",$C91,"事業区分",D$1,"請求区分","単月"),0))</f>
        <v>0</v>
      </c>
      <c r="F91" s="659">
        <f ca="1">IF($A91="","",IFERROR(GETPIVOTDATA("合計 / 入金予定",【ピボット】国保連売上!$A$3,"年月",$A91,"事業所コード",$B91,"事業所",$C91,"事業区分",F$1,"請求区分","単月"),0)
+IFERROR(GETPIVOTDATA("合計 / 入金予定",【ピボット】国保連売上!$A$3,"年月",$A91,"事業所コード",$B91,"事業所",$C91,"事業区分",F$1,"請求区分","再請求"),0))</f>
        <v>0</v>
      </c>
      <c r="G91" s="659">
        <f ca="1">IF($A91="","",IFERROR(GETPIVOTDATA("合計 / 処遇改善加算金",【ピボット】国保連売上!$A$3,"年月",$A91,"事業所コード",$B91,"事業所",$C91,"事業区分",F$1,"請求区分","単月"),0))</f>
        <v>0</v>
      </c>
      <c r="H91" s="659">
        <f ca="1">IF($A91="","",IFERROR(GETPIVOTDATA("合計 / 入金予定",【ピボット】国保連売上!$A$3,"年月",$A91,"事業所コード",$B91,"事業所",$C91,"事業区分",H$1,"請求区分","単月"),0)
+IFERROR(GETPIVOTDATA("合計 / 入金予定",【ピボット】国保連売上!$A$3,"年月",$A91,"事業所コード",$B91,"事業所",$C91,"事業区分",H$1,"請求区分","再請求"),0))</f>
        <v>0</v>
      </c>
      <c r="I91" s="659">
        <f ca="1">IF($A91="","",IFERROR(GETPIVOTDATA("合計 / 入金予定",【ピボット】国保連売上!$A$3,"年月",$A91,"事業所コード",$B91,"事業所",$C91,"事業区分",I$1,"請求区分","単月"),0)
+IFERROR(GETPIVOTDATA("合計 / 入金予定",【ピボット】国保連売上!$A$3,"年月",$A91,"事業所コード",$B91,"事業所",$C91,"事業区分",I$1,"請求区分","再請求"),0))</f>
        <v>3415735</v>
      </c>
      <c r="J91" s="659">
        <f ca="1">IF($A91="","",IFERROR(GETPIVOTDATA("合計 / 処遇改善加算金",【ピボット】国保連売上!$A$3,"年月",$A91,"事業所コード",$B91,"事業所",$C91,"事業区分",I$1,"請求区分","単月"),0))</f>
        <v>187729</v>
      </c>
      <c r="K91" s="659">
        <f ca="1">IF($A91="","",IFERROR(GETPIVOTDATA("合計 / 入金予定",【ピボット】国保連売上!$A$3,"年月",$A91,"事業所コード",$B91,"事業所",$C91,"事業区分",K$1,"請求区分","単月"),0)
+IFERROR(GETPIVOTDATA("合計 / 入金予定",【ピボット】国保連売上!$A$3,"年月",$A91,"事業所コード",$B91,"事業所",$C91,"事業区分",K$1,"請求区分","再請求"),0))</f>
        <v>0</v>
      </c>
      <c r="L91" s="659">
        <f ca="1">IF($A91="","",IFERROR(GETPIVOTDATA("合計 / 処遇改善加算金",【ピボット】国保連売上!$A$3,"年月",$A91,"事業所コード",$B91,"事業所",$C91,"事業区分",K$1,"請求区分","単月"),0))</f>
        <v>0</v>
      </c>
      <c r="M91" s="659">
        <f ca="1">IF($A91="","",IFERROR(GETPIVOTDATA("合計 / 入金予定",【ピボット】国保連売上!$A$3,"年月",$A91,"事業所コード",$B91,"事業所",$C91,"事業区分",M$1,"請求区分","単月"),0)
+IFERROR(GETPIVOTDATA("合計 / 入金予定",【ピボット】国保連売上!$A$3,"年月",$A91,"事業所コード",$B91,"事業所",$C91,"事業区分",M$1,"請求区分","再請求"),0))</f>
        <v>0</v>
      </c>
      <c r="N91" s="660">
        <v>0</v>
      </c>
      <c r="O91" s="660">
        <v>0</v>
      </c>
      <c r="P91" s="660">
        <v>0</v>
      </c>
      <c r="Q91" s="660">
        <v>0</v>
      </c>
      <c r="R91" s="660">
        <v>0</v>
      </c>
      <c r="S91" s="660">
        <v>0</v>
      </c>
      <c r="T91" s="660">
        <v>182050</v>
      </c>
      <c r="U91" s="660">
        <v>0</v>
      </c>
      <c r="V91" s="660">
        <v>0</v>
      </c>
      <c r="W91" s="660">
        <v>0</v>
      </c>
      <c r="X91" s="660">
        <v>0</v>
      </c>
      <c r="Y91" s="659">
        <f t="shared" ca="1" si="4"/>
        <v>3597785</v>
      </c>
      <c r="Z91" s="659">
        <f t="shared" ca="1" si="5"/>
        <v>182050</v>
      </c>
    </row>
    <row r="92" spans="1:26" ht="15.95" customHeight="1" x14ac:dyDescent="0.15">
      <c r="A92" s="656">
        <v>42887</v>
      </c>
      <c r="B92" s="657" t="str">
        <f t="shared" ca="1" si="3"/>
        <v>07</v>
      </c>
      <c r="C92" s="658" t="s">
        <v>119</v>
      </c>
      <c r="D92" s="659">
        <f ca="1">IF($A92="","",IFERROR(GETPIVOTDATA("合計 / 入金予定",【ピボット】国保連売上!$A$3,"年月",$A92,"事業所コード",$B92,"事業所",$C92,"事業区分",D$1,"請求区分","単月"),0)
+IFERROR(GETPIVOTDATA("合計 / 入金予定",【ピボット】国保連売上!$A$3,"年月",$A92,"事業所コード",$B92,"事業所",$C92,"事業区分",D$1,"請求区分","再請求"),0))</f>
        <v>0</v>
      </c>
      <c r="E92" s="659">
        <f ca="1">IF($A92="","",IFERROR(GETPIVOTDATA("合計 / 処遇改善加算金",【ピボット】国保連売上!$A$3,"年月",$A92,"事業所コード",$B92,"事業所",$C92,"事業区分",D$1,"請求区分","単月"),0))</f>
        <v>0</v>
      </c>
      <c r="F92" s="659">
        <f ca="1">IF($A92="","",IFERROR(GETPIVOTDATA("合計 / 入金予定",【ピボット】国保連売上!$A$3,"年月",$A92,"事業所コード",$B92,"事業所",$C92,"事業区分",F$1,"請求区分","単月"),0)
+IFERROR(GETPIVOTDATA("合計 / 入金予定",【ピボット】国保連売上!$A$3,"年月",$A92,"事業所コード",$B92,"事業所",$C92,"事業区分",F$1,"請求区分","再請求"),0))</f>
        <v>0</v>
      </c>
      <c r="G92" s="659">
        <f ca="1">IF($A92="","",IFERROR(GETPIVOTDATA("合計 / 処遇改善加算金",【ピボット】国保連売上!$A$3,"年月",$A92,"事業所コード",$B92,"事業所",$C92,"事業区分",F$1,"請求区分","単月"),0))</f>
        <v>0</v>
      </c>
      <c r="H92" s="659">
        <f ca="1">IF($A92="","",IFERROR(GETPIVOTDATA("合計 / 入金予定",【ピボット】国保連売上!$A$3,"年月",$A92,"事業所コード",$B92,"事業所",$C92,"事業区分",H$1,"請求区分","単月"),0)
+IFERROR(GETPIVOTDATA("合計 / 入金予定",【ピボット】国保連売上!$A$3,"年月",$A92,"事業所コード",$B92,"事業所",$C92,"事業区分",H$1,"請求区分","再請求"),0))</f>
        <v>0</v>
      </c>
      <c r="I92" s="659">
        <f ca="1">IF($A92="","",IFERROR(GETPIVOTDATA("合計 / 入金予定",【ピボット】国保連売上!$A$3,"年月",$A92,"事業所コード",$B92,"事業所",$C92,"事業区分",I$1,"請求区分","単月"),0)
+IFERROR(GETPIVOTDATA("合計 / 入金予定",【ピボット】国保連売上!$A$3,"年月",$A92,"事業所コード",$B92,"事業所",$C92,"事業区分",I$1,"請求区分","再請求"),0))</f>
        <v>0</v>
      </c>
      <c r="J92" s="659">
        <f ca="1">IF($A92="","",IFERROR(GETPIVOTDATA("合計 / 処遇改善加算金",【ピボット】国保連売上!$A$3,"年月",$A92,"事業所コード",$B92,"事業所",$C92,"事業区分",I$1,"請求区分","単月"),0))</f>
        <v>0</v>
      </c>
      <c r="K92" s="659">
        <f ca="1">IF($A92="","",IFERROR(GETPIVOTDATA("合計 / 入金予定",【ピボット】国保連売上!$A$3,"年月",$A92,"事業所コード",$B92,"事業所",$C92,"事業区分",K$1,"請求区分","単月"),0)
+IFERROR(GETPIVOTDATA("合計 / 入金予定",【ピボット】国保連売上!$A$3,"年月",$A92,"事業所コード",$B92,"事業所",$C92,"事業区分",K$1,"請求区分","再請求"),0))</f>
        <v>2638373</v>
      </c>
      <c r="L92" s="659">
        <f ca="1">IF($A92="","",IFERROR(GETPIVOTDATA("合計 / 処遇改善加算金",【ピボット】国保連売上!$A$3,"年月",$A92,"事業所コード",$B92,"事業所",$C92,"事業区分",K$1,"請求区分","単月"),0))</f>
        <v>431509</v>
      </c>
      <c r="M92" s="659">
        <f ca="1">IF($A92="","",IFERROR(GETPIVOTDATA("合計 / 入金予定",【ピボット】国保連売上!$A$3,"年月",$A92,"事業所コード",$B92,"事業所",$C92,"事業区分",M$1,"請求区分","単月"),0)
+IFERROR(GETPIVOTDATA("合計 / 入金予定",【ピボット】国保連売上!$A$3,"年月",$A92,"事業所コード",$B92,"事業所",$C92,"事業区分",M$1,"請求区分","再請求"),0))</f>
        <v>0</v>
      </c>
      <c r="N92" s="660">
        <v>0</v>
      </c>
      <c r="O92" s="660">
        <v>0</v>
      </c>
      <c r="P92" s="660">
        <v>0</v>
      </c>
      <c r="Q92" s="660">
        <v>0</v>
      </c>
      <c r="R92" s="660">
        <v>0</v>
      </c>
      <c r="S92" s="660">
        <v>78000</v>
      </c>
      <c r="T92" s="660">
        <v>0</v>
      </c>
      <c r="U92" s="660">
        <v>0</v>
      </c>
      <c r="V92" s="660">
        <v>-30000</v>
      </c>
      <c r="W92" s="660">
        <v>0</v>
      </c>
      <c r="X92" s="660">
        <v>0</v>
      </c>
      <c r="Y92" s="659">
        <f t="shared" ca="1" si="4"/>
        <v>2686373</v>
      </c>
      <c r="Z92" s="659">
        <f t="shared" ca="1" si="5"/>
        <v>48000</v>
      </c>
    </row>
    <row r="93" spans="1:26" ht="15.95" customHeight="1" x14ac:dyDescent="0.15">
      <c r="A93" s="656">
        <v>42887</v>
      </c>
      <c r="B93" s="657" t="str">
        <f t="shared" ca="1" si="3"/>
        <v>08</v>
      </c>
      <c r="C93" s="658" t="s">
        <v>189</v>
      </c>
      <c r="D93" s="659">
        <f ca="1">IF($A93="","",IFERROR(GETPIVOTDATA("合計 / 入金予定",【ピボット】国保連売上!$A$3,"年月",$A93,"事業所コード",$B93,"事業所",$C93,"事業区分",D$1,"請求区分","単月"),0)
+IFERROR(GETPIVOTDATA("合計 / 入金予定",【ピボット】国保連売上!$A$3,"年月",$A93,"事業所コード",$B93,"事業所",$C93,"事業区分",D$1,"請求区分","再請求"),0))</f>
        <v>0</v>
      </c>
      <c r="E93" s="659">
        <f ca="1">IF($A93="","",IFERROR(GETPIVOTDATA("合計 / 処遇改善加算金",【ピボット】国保連売上!$A$3,"年月",$A93,"事業所コード",$B93,"事業所",$C93,"事業区分",D$1,"請求区分","単月"),0))</f>
        <v>0</v>
      </c>
      <c r="F93" s="659">
        <f ca="1">IF($A93="","",IFERROR(GETPIVOTDATA("合計 / 入金予定",【ピボット】国保連売上!$A$3,"年月",$A93,"事業所コード",$B93,"事業所",$C93,"事業区分",F$1,"請求区分","単月"),0)
+IFERROR(GETPIVOTDATA("合計 / 入金予定",【ピボット】国保連売上!$A$3,"年月",$A93,"事業所コード",$B93,"事業所",$C93,"事業区分",F$1,"請求区分","再請求"),0))</f>
        <v>0</v>
      </c>
      <c r="G93" s="659">
        <f ca="1">IF($A93="","",IFERROR(GETPIVOTDATA("合計 / 処遇改善加算金",【ピボット】国保連売上!$A$3,"年月",$A93,"事業所コード",$B93,"事業所",$C93,"事業区分",F$1,"請求区分","単月"),0))</f>
        <v>0</v>
      </c>
      <c r="H93" s="659">
        <f ca="1">IF($A93="","",IFERROR(GETPIVOTDATA("合計 / 入金予定",【ピボット】国保連売上!$A$3,"年月",$A93,"事業所コード",$B93,"事業所",$C93,"事業区分",H$1,"請求区分","単月"),0)
+IFERROR(GETPIVOTDATA("合計 / 入金予定",【ピボット】国保連売上!$A$3,"年月",$A93,"事業所コード",$B93,"事業所",$C93,"事業区分",H$1,"請求区分","再請求"),0))</f>
        <v>0</v>
      </c>
      <c r="I93" s="659">
        <f ca="1">IF($A93="","",IFERROR(GETPIVOTDATA("合計 / 入金予定",【ピボット】国保連売上!$A$3,"年月",$A93,"事業所コード",$B93,"事業所",$C93,"事業区分",I$1,"請求区分","単月"),0)
+IFERROR(GETPIVOTDATA("合計 / 入金予定",【ピボット】国保連売上!$A$3,"年月",$A93,"事業所コード",$B93,"事業所",$C93,"事業区分",I$1,"請求区分","再請求"),0))</f>
        <v>0</v>
      </c>
      <c r="J93" s="659">
        <f ca="1">IF($A93="","",IFERROR(GETPIVOTDATA("合計 / 処遇改善加算金",【ピボット】国保連売上!$A$3,"年月",$A93,"事業所コード",$B93,"事業所",$C93,"事業区分",I$1,"請求区分","単月"),0))</f>
        <v>0</v>
      </c>
      <c r="K93" s="659">
        <f ca="1">IF($A93="","",IFERROR(GETPIVOTDATA("合計 / 入金予定",【ピボット】国保連売上!$A$3,"年月",$A93,"事業所コード",$B93,"事業所",$C93,"事業区分",K$1,"請求区分","単月"),0)
+IFERROR(GETPIVOTDATA("合計 / 入金予定",【ピボット】国保連売上!$A$3,"年月",$A93,"事業所コード",$B93,"事業所",$C93,"事業区分",K$1,"請求区分","再請求"),0))</f>
        <v>2247072</v>
      </c>
      <c r="L93" s="659">
        <f ca="1">IF($A93="","",IFERROR(GETPIVOTDATA("合計 / 処遇改善加算金",【ピボット】国保連売上!$A$3,"年月",$A93,"事業所コード",$B93,"事業所",$C93,"事業区分",K$1,"請求区分","単月"),0))</f>
        <v>0</v>
      </c>
      <c r="M93" s="659">
        <f ca="1">IF($A93="","",IFERROR(GETPIVOTDATA("合計 / 入金予定",【ピボット】国保連売上!$A$3,"年月",$A93,"事業所コード",$B93,"事業所",$C93,"事業区分",M$1,"請求区分","単月"),0)
+IFERROR(GETPIVOTDATA("合計 / 入金予定",【ピボット】国保連売上!$A$3,"年月",$A93,"事業所コード",$B93,"事業所",$C93,"事業区分",M$1,"請求区分","再請求"),0))</f>
        <v>0</v>
      </c>
      <c r="N93" s="660">
        <v>20000</v>
      </c>
      <c r="O93" s="660">
        <v>0</v>
      </c>
      <c r="P93" s="660">
        <v>0</v>
      </c>
      <c r="Q93" s="660">
        <v>0</v>
      </c>
      <c r="R93" s="660">
        <v>0</v>
      </c>
      <c r="S93" s="660">
        <v>98000</v>
      </c>
      <c r="T93" s="660">
        <v>0</v>
      </c>
      <c r="U93" s="660">
        <v>0</v>
      </c>
      <c r="V93" s="660">
        <v>-290000</v>
      </c>
      <c r="W93" s="660">
        <v>0</v>
      </c>
      <c r="X93" s="660">
        <v>0</v>
      </c>
      <c r="Y93" s="659">
        <f t="shared" ca="1" si="4"/>
        <v>2075072</v>
      </c>
      <c r="Z93" s="659">
        <f t="shared" ca="1" si="5"/>
        <v>-172000</v>
      </c>
    </row>
    <row r="94" spans="1:26" ht="15.95" customHeight="1" x14ac:dyDescent="0.15">
      <c r="A94" s="656">
        <v>42887</v>
      </c>
      <c r="B94" s="657" t="str">
        <f t="shared" ca="1" si="3"/>
        <v>09</v>
      </c>
      <c r="C94" s="658" t="s">
        <v>329</v>
      </c>
      <c r="D94" s="659">
        <f ca="1">IF($A94="","",IFERROR(GETPIVOTDATA("合計 / 入金予定",【ピボット】国保連売上!$A$3,"年月",$A94,"事業所コード",$B94,"事業所",$C94,"事業区分",D$1,"請求区分","単月"),0)
+IFERROR(GETPIVOTDATA("合計 / 入金予定",【ピボット】国保連売上!$A$3,"年月",$A94,"事業所コード",$B94,"事業所",$C94,"事業区分",D$1,"請求区分","再請求"),0))</f>
        <v>0</v>
      </c>
      <c r="E94" s="659">
        <f ca="1">IF($A94="","",IFERROR(GETPIVOTDATA("合計 / 処遇改善加算金",【ピボット】国保連売上!$A$3,"年月",$A94,"事業所コード",$B94,"事業所",$C94,"事業区分",D$1,"請求区分","単月"),0))</f>
        <v>0</v>
      </c>
      <c r="F94" s="659">
        <f ca="1">IF($A94="","",IFERROR(GETPIVOTDATA("合計 / 入金予定",【ピボット】国保連売上!$A$3,"年月",$A94,"事業所コード",$B94,"事業所",$C94,"事業区分",F$1,"請求区分","単月"),0)
+IFERROR(GETPIVOTDATA("合計 / 入金予定",【ピボット】国保連売上!$A$3,"年月",$A94,"事業所コード",$B94,"事業所",$C94,"事業区分",F$1,"請求区分","再請求"),0))</f>
        <v>0</v>
      </c>
      <c r="G94" s="659">
        <f ca="1">IF($A94="","",IFERROR(GETPIVOTDATA("合計 / 処遇改善加算金",【ピボット】国保連売上!$A$3,"年月",$A94,"事業所コード",$B94,"事業所",$C94,"事業区分",F$1,"請求区分","単月"),0))</f>
        <v>0</v>
      </c>
      <c r="H94" s="659">
        <f ca="1">IF($A94="","",IFERROR(GETPIVOTDATA("合計 / 入金予定",【ピボット】国保連売上!$A$3,"年月",$A94,"事業所コード",$B94,"事業所",$C94,"事業区分",H$1,"請求区分","単月"),0)
+IFERROR(GETPIVOTDATA("合計 / 入金予定",【ピボット】国保連売上!$A$3,"年月",$A94,"事業所コード",$B94,"事業所",$C94,"事業区分",H$1,"請求区分","再請求"),0))</f>
        <v>0</v>
      </c>
      <c r="I94" s="659">
        <f ca="1">IF($A94="","",IFERROR(GETPIVOTDATA("合計 / 入金予定",【ピボット】国保連売上!$A$3,"年月",$A94,"事業所コード",$B94,"事業所",$C94,"事業区分",I$1,"請求区分","単月"),0)
+IFERROR(GETPIVOTDATA("合計 / 入金予定",【ピボット】国保連売上!$A$3,"年月",$A94,"事業所コード",$B94,"事業所",$C94,"事業区分",I$1,"請求区分","再請求"),0))</f>
        <v>0</v>
      </c>
      <c r="J94" s="659">
        <f ca="1">IF($A94="","",IFERROR(GETPIVOTDATA("合計 / 処遇改善加算金",【ピボット】国保連売上!$A$3,"年月",$A94,"事業所コード",$B94,"事業所",$C94,"事業区分",I$1,"請求区分","単月"),0))</f>
        <v>0</v>
      </c>
      <c r="K94" s="659">
        <f ca="1">IF($A94="","",IFERROR(GETPIVOTDATA("合計 / 入金予定",【ピボット】国保連売上!$A$3,"年月",$A94,"事業所コード",$B94,"事業所",$C94,"事業区分",K$1,"請求区分","単月"),0)
+IFERROR(GETPIVOTDATA("合計 / 入金予定",【ピボット】国保連売上!$A$3,"年月",$A94,"事業所コード",$B94,"事業所",$C94,"事業区分",K$1,"請求区分","再請求"),0))</f>
        <v>1647056</v>
      </c>
      <c r="L94" s="659">
        <f ca="1">IF($A94="","",IFERROR(GETPIVOTDATA("合計 / 処遇改善加算金",【ピボット】国保連売上!$A$3,"年月",$A94,"事業所コード",$B94,"事業所",$C94,"事業区分",K$1,"請求区分","単月"),0))</f>
        <v>0</v>
      </c>
      <c r="M94" s="659">
        <f ca="1">IF($A94="","",IFERROR(GETPIVOTDATA("合計 / 入金予定",【ピボット】国保連売上!$A$3,"年月",$A94,"事業所コード",$B94,"事業所",$C94,"事業区分",M$1,"請求区分","単月"),0)
+IFERROR(GETPIVOTDATA("合計 / 入金予定",【ピボット】国保連売上!$A$3,"年月",$A94,"事業所コード",$B94,"事業所",$C94,"事業区分",M$1,"請求区分","再請求"),0))</f>
        <v>0</v>
      </c>
      <c r="N94" s="660">
        <v>0</v>
      </c>
      <c r="O94" s="660">
        <v>0</v>
      </c>
      <c r="P94" s="660">
        <v>0</v>
      </c>
      <c r="Q94" s="660">
        <v>0</v>
      </c>
      <c r="R94" s="660">
        <v>0</v>
      </c>
      <c r="S94" s="660">
        <v>293333</v>
      </c>
      <c r="T94" s="660">
        <v>0</v>
      </c>
      <c r="U94" s="660">
        <v>0</v>
      </c>
      <c r="V94" s="660">
        <v>0</v>
      </c>
      <c r="W94" s="660">
        <v>0</v>
      </c>
      <c r="X94" s="660">
        <v>0</v>
      </c>
      <c r="Y94" s="659">
        <f t="shared" ca="1" si="4"/>
        <v>1940389</v>
      </c>
      <c r="Z94" s="659">
        <f t="shared" ca="1" si="5"/>
        <v>293333</v>
      </c>
    </row>
    <row r="95" spans="1:26" ht="15.95" customHeight="1" x14ac:dyDescent="0.15">
      <c r="A95" s="656">
        <v>42887</v>
      </c>
      <c r="B95" s="657" t="str">
        <f t="shared" ca="1" si="3"/>
        <v>05</v>
      </c>
      <c r="C95" s="658" t="s">
        <v>38</v>
      </c>
      <c r="D95" s="659">
        <f ca="1">IF($A95="","",IFERROR(GETPIVOTDATA("合計 / 入金予定",【ピボット】国保連売上!$A$3,"年月",$A95,"事業所コード",$B95,"事業所",$C95,"事業区分",D$1,"請求区分","単月"),0)
+IFERROR(GETPIVOTDATA("合計 / 入金予定",【ピボット】国保連売上!$A$3,"年月",$A95,"事業所コード",$B95,"事業所",$C95,"事業区分",D$1,"請求区分","再請求"),0))</f>
        <v>2170929</v>
      </c>
      <c r="E95" s="659">
        <f ca="1">IF($A95="","",IFERROR(GETPIVOTDATA("合計 / 処遇改善加算金",【ピボット】国保連売上!$A$3,"年月",$A95,"事業所コード",$B95,"事業所",$C95,"事業区分",D$1,"請求区分","単月"),0))</f>
        <v>0</v>
      </c>
      <c r="F95" s="659">
        <f ca="1">IF($A95="","",IFERROR(GETPIVOTDATA("合計 / 入金予定",【ピボット】国保連売上!$A$3,"年月",$A95,"事業所コード",$B95,"事業所",$C95,"事業区分",F$1,"請求区分","単月"),0)
+IFERROR(GETPIVOTDATA("合計 / 入金予定",【ピボット】国保連売上!$A$3,"年月",$A95,"事業所コード",$B95,"事業所",$C95,"事業区分",F$1,"請求区分","再請求"),0))</f>
        <v>0</v>
      </c>
      <c r="G95" s="659">
        <f ca="1">IF($A95="","",IFERROR(GETPIVOTDATA("合計 / 処遇改善加算金",【ピボット】国保連売上!$A$3,"年月",$A95,"事業所コード",$B95,"事業所",$C95,"事業区分",F$1,"請求区分","単月"),0))</f>
        <v>0</v>
      </c>
      <c r="H95" s="659">
        <f ca="1">IF($A95="","",IFERROR(GETPIVOTDATA("合計 / 入金予定",【ピボット】国保連売上!$A$3,"年月",$A95,"事業所コード",$B95,"事業所",$C95,"事業区分",H$1,"請求区分","単月"),0)
+IFERROR(GETPIVOTDATA("合計 / 入金予定",【ピボット】国保連売上!$A$3,"年月",$A95,"事業所コード",$B95,"事業所",$C95,"事業区分",H$1,"請求区分","再請求"),0))</f>
        <v>0</v>
      </c>
      <c r="I95" s="659">
        <f ca="1">IF($A95="","",IFERROR(GETPIVOTDATA("合計 / 入金予定",【ピボット】国保連売上!$A$3,"年月",$A95,"事業所コード",$B95,"事業所",$C95,"事業区分",I$1,"請求区分","単月"),0)
+IFERROR(GETPIVOTDATA("合計 / 入金予定",【ピボット】国保連売上!$A$3,"年月",$A95,"事業所コード",$B95,"事業所",$C95,"事業区分",I$1,"請求区分","再請求"),0))</f>
        <v>0</v>
      </c>
      <c r="J95" s="659">
        <f ca="1">IF($A95="","",IFERROR(GETPIVOTDATA("合計 / 処遇改善加算金",【ピボット】国保連売上!$A$3,"年月",$A95,"事業所コード",$B95,"事業所",$C95,"事業区分",I$1,"請求区分","単月"),0))</f>
        <v>0</v>
      </c>
      <c r="K95" s="659">
        <f ca="1">IF($A95="","",IFERROR(GETPIVOTDATA("合計 / 入金予定",【ピボット】国保連売上!$A$3,"年月",$A95,"事業所コード",$B95,"事業所",$C95,"事業区分",K$1,"請求区分","単月"),0)
+IFERROR(GETPIVOTDATA("合計 / 入金予定",【ピボット】国保連売上!$A$3,"年月",$A95,"事業所コード",$B95,"事業所",$C95,"事業区分",K$1,"請求区分","再請求"),0))</f>
        <v>0</v>
      </c>
      <c r="L95" s="659">
        <f ca="1">IF($A95="","",IFERROR(GETPIVOTDATA("合計 / 処遇改善加算金",【ピボット】国保連売上!$A$3,"年月",$A95,"事業所コード",$B95,"事業所",$C95,"事業区分",K$1,"請求区分","単月"),0))</f>
        <v>0</v>
      </c>
      <c r="M95" s="659">
        <f ca="1">IF($A95="","",IFERROR(GETPIVOTDATA("合計 / 入金予定",【ピボット】国保連売上!$A$3,"年月",$A95,"事業所コード",$B95,"事業所",$C95,"事業区分",M$1,"請求区分","単月"),0)
+IFERROR(GETPIVOTDATA("合計 / 入金予定",【ピボット】国保連売上!$A$3,"年月",$A95,"事業所コード",$B95,"事業所",$C95,"事業区分",M$1,"請求区分","再請求"),0))</f>
        <v>0</v>
      </c>
      <c r="N95" s="660">
        <v>19000</v>
      </c>
      <c r="O95" s="660">
        <v>0</v>
      </c>
      <c r="P95" s="660">
        <v>0</v>
      </c>
      <c r="Q95" s="660">
        <v>0</v>
      </c>
      <c r="R95" s="660">
        <v>0</v>
      </c>
      <c r="S95" s="660">
        <v>703500</v>
      </c>
      <c r="T95" s="660">
        <v>0</v>
      </c>
      <c r="U95" s="660">
        <v>0</v>
      </c>
      <c r="V95" s="660">
        <v>0</v>
      </c>
      <c r="W95" s="660">
        <v>0</v>
      </c>
      <c r="X95" s="660">
        <v>0</v>
      </c>
      <c r="Y95" s="659">
        <f t="shared" ca="1" si="4"/>
        <v>2893429</v>
      </c>
      <c r="Z95" s="659">
        <f t="shared" ca="1" si="5"/>
        <v>722500</v>
      </c>
    </row>
    <row r="96" spans="1:26" ht="15.95" customHeight="1" x14ac:dyDescent="0.15">
      <c r="A96" s="656">
        <v>42887</v>
      </c>
      <c r="B96" s="657" t="str">
        <f t="shared" ca="1" si="3"/>
        <v>10</v>
      </c>
      <c r="C96" s="658" t="s">
        <v>583</v>
      </c>
      <c r="D96" s="659">
        <f ca="1">IF($A96="","",IFERROR(GETPIVOTDATA("合計 / 入金予定",【ピボット】国保連売上!$A$3,"年月",$A96,"事業所コード",$B96,"事業所",$C96,"事業区分",D$1,"請求区分","単月"),0)
+IFERROR(GETPIVOTDATA("合計 / 入金予定",【ピボット】国保連売上!$A$3,"年月",$A96,"事業所コード",$B96,"事業所",$C96,"事業区分",D$1,"請求区分","再請求"),0))</f>
        <v>1075853</v>
      </c>
      <c r="E96" s="659">
        <f ca="1">IF($A96="","",IFERROR(GETPIVOTDATA("合計 / 処遇改善加算金",【ピボット】国保連売上!$A$3,"年月",$A96,"事業所コード",$B96,"事業所",$C96,"事業区分",D$1,"請求区分","単月"),0))</f>
        <v>0</v>
      </c>
      <c r="F96" s="659">
        <f ca="1">IF($A96="","",IFERROR(GETPIVOTDATA("合計 / 入金予定",【ピボット】国保連売上!$A$3,"年月",$A96,"事業所コード",$B96,"事業所",$C96,"事業区分",F$1,"請求区分","単月"),0)
+IFERROR(GETPIVOTDATA("合計 / 入金予定",【ピボット】国保連売上!$A$3,"年月",$A96,"事業所コード",$B96,"事業所",$C96,"事業区分",F$1,"請求区分","再請求"),0))</f>
        <v>7122</v>
      </c>
      <c r="G96" s="659">
        <f ca="1">IF($A96="","",IFERROR(GETPIVOTDATA("合計 / 処遇改善加算金",【ピボット】国保連売上!$A$3,"年月",$A96,"事業所コード",$B96,"事業所",$C96,"事業区分",F$1,"請求区分","単月"),0))</f>
        <v>0</v>
      </c>
      <c r="H96" s="659">
        <f ca="1">IF($A96="","",IFERROR(GETPIVOTDATA("合計 / 入金予定",【ピボット】国保連売上!$A$3,"年月",$A96,"事業所コード",$B96,"事業所",$C96,"事業区分",H$1,"請求区分","単月"),0)
+IFERROR(GETPIVOTDATA("合計 / 入金予定",【ピボット】国保連売上!$A$3,"年月",$A96,"事業所コード",$B96,"事業所",$C96,"事業区分",H$1,"請求区分","再請求"),0))</f>
        <v>0</v>
      </c>
      <c r="I96" s="659">
        <f ca="1">IF($A96="","",IFERROR(GETPIVOTDATA("合計 / 入金予定",【ピボット】国保連売上!$A$3,"年月",$A96,"事業所コード",$B96,"事業所",$C96,"事業区分",I$1,"請求区分","単月"),0)
+IFERROR(GETPIVOTDATA("合計 / 入金予定",【ピボット】国保連売上!$A$3,"年月",$A96,"事業所コード",$B96,"事業所",$C96,"事業区分",I$1,"請求区分","再請求"),0))</f>
        <v>0</v>
      </c>
      <c r="J96" s="659">
        <f ca="1">IF($A96="","",IFERROR(GETPIVOTDATA("合計 / 処遇改善加算金",【ピボット】国保連売上!$A$3,"年月",$A96,"事業所コード",$B96,"事業所",$C96,"事業区分",I$1,"請求区分","単月"),0))</f>
        <v>0</v>
      </c>
      <c r="K96" s="659">
        <f ca="1">IF($A96="","",IFERROR(GETPIVOTDATA("合計 / 入金予定",【ピボット】国保連売上!$A$3,"年月",$A96,"事業所コード",$B96,"事業所",$C96,"事業区分",K$1,"請求区分","単月"),0)
+IFERROR(GETPIVOTDATA("合計 / 入金予定",【ピボット】国保連売上!$A$3,"年月",$A96,"事業所コード",$B96,"事業所",$C96,"事業区分",K$1,"請求区分","再請求"),0))</f>
        <v>0</v>
      </c>
      <c r="L96" s="659">
        <f ca="1">IF($A96="","",IFERROR(GETPIVOTDATA("合計 / 処遇改善加算金",【ピボット】国保連売上!$A$3,"年月",$A96,"事業所コード",$B96,"事業所",$C96,"事業区分",K$1,"請求区分","単月"),0))</f>
        <v>0</v>
      </c>
      <c r="M96" s="659">
        <f ca="1">IF($A96="","",IFERROR(GETPIVOTDATA("合計 / 入金予定",【ピボット】国保連売上!$A$3,"年月",$A96,"事業所コード",$B96,"事業所",$C96,"事業区分",M$1,"請求区分","単月"),0)
+IFERROR(GETPIVOTDATA("合計 / 入金予定",【ピボット】国保連売上!$A$3,"年月",$A96,"事業所コード",$B96,"事業所",$C96,"事業区分",M$1,"請求区分","再請求"),0))</f>
        <v>0</v>
      </c>
      <c r="N96" s="660">
        <v>281600</v>
      </c>
      <c r="O96" s="660">
        <v>9360</v>
      </c>
      <c r="P96" s="660">
        <v>1438850</v>
      </c>
      <c r="Q96" s="660">
        <v>0</v>
      </c>
      <c r="R96" s="660">
        <v>0</v>
      </c>
      <c r="S96" s="660">
        <v>0</v>
      </c>
      <c r="T96" s="660">
        <v>0</v>
      </c>
      <c r="U96" s="660">
        <v>0</v>
      </c>
      <c r="V96" s="660">
        <v>0</v>
      </c>
      <c r="W96" s="660">
        <v>0</v>
      </c>
      <c r="X96" s="660">
        <v>0</v>
      </c>
      <c r="Y96" s="659">
        <f t="shared" ca="1" si="4"/>
        <v>2812785</v>
      </c>
      <c r="Z96" s="659">
        <f t="shared" ca="1" si="5"/>
        <v>1729810</v>
      </c>
    </row>
    <row r="97" spans="1:26" ht="15.95" customHeight="1" x14ac:dyDescent="0.15">
      <c r="A97" s="656">
        <v>42917</v>
      </c>
      <c r="B97" s="657" t="str">
        <f t="shared" ca="1" si="3"/>
        <v>01</v>
      </c>
      <c r="C97" s="658" t="s">
        <v>34</v>
      </c>
      <c r="D97" s="659">
        <f ca="1">IF($A97="","",IFERROR(GETPIVOTDATA("合計 / 入金予定",【ピボット】国保連売上!$A$3,"年月",$A97,"事業所コード",$B97,"事業所",$C97,"事業区分",D$1,"請求区分","単月"),0)
+IFERROR(GETPIVOTDATA("合計 / 入金予定",【ピボット】国保連売上!$A$3,"年月",$A97,"事業所コード",$B97,"事業所",$C97,"事業区分",D$1,"請求区分","再請求"),0))</f>
        <v>7561437</v>
      </c>
      <c r="E97" s="659">
        <f ca="1">IF($A97="","",IFERROR(GETPIVOTDATA("合計 / 処遇改善加算金",【ピボット】国保連売上!$A$3,"年月",$A97,"事業所コード",$B97,"事業所",$C97,"事業区分",D$1,"請求区分","単月"),0))</f>
        <v>1322317</v>
      </c>
      <c r="F97" s="659">
        <f ca="1">IF($A97="","",IFERROR(GETPIVOTDATA("合計 / 入金予定",【ピボット】国保連売上!$A$3,"年月",$A97,"事業所コード",$B97,"事業所",$C97,"事業区分",F$1,"請求区分","単月"),0)
+IFERROR(GETPIVOTDATA("合計 / 入金予定",【ピボット】国保連売上!$A$3,"年月",$A97,"事業所コード",$B97,"事業所",$C97,"事業区分",F$1,"請求区分","再請求"),0))</f>
        <v>1899286</v>
      </c>
      <c r="G97" s="659">
        <f ca="1">IF($A97="","",IFERROR(GETPIVOTDATA("合計 / 処遇改善加算金",【ピボット】国保連売上!$A$3,"年月",$A97,"事業所コード",$B97,"事業所",$C97,"事業区分",F$1,"請求区分","単月"),0))</f>
        <v>410348</v>
      </c>
      <c r="H97" s="659">
        <f ca="1">IF($A97="","",IFERROR(GETPIVOTDATA("合計 / 入金予定",【ピボット】国保連売上!$A$3,"年月",$A97,"事業所コード",$B97,"事業所",$C97,"事業区分",H$1,"請求区分","単月"),0)
+IFERROR(GETPIVOTDATA("合計 / 入金予定",【ピボット】国保連売上!$A$3,"年月",$A97,"事業所コード",$B97,"事業所",$C97,"事業区分",H$1,"請求区分","再請求"),0))</f>
        <v>677356</v>
      </c>
      <c r="I97" s="659">
        <f ca="1">IF($A97="","",IFERROR(GETPIVOTDATA("合計 / 入金予定",【ピボット】国保連売上!$A$3,"年月",$A97,"事業所コード",$B97,"事業所",$C97,"事業区分",I$1,"請求区分","単月"),0)
+IFERROR(GETPIVOTDATA("合計 / 入金予定",【ピボット】国保連売上!$A$3,"年月",$A97,"事業所コード",$B97,"事業所",$C97,"事業区分",I$1,"請求区分","再請求"),0))</f>
        <v>0</v>
      </c>
      <c r="J97" s="659">
        <f ca="1">IF($A97="","",IFERROR(GETPIVOTDATA("合計 / 処遇改善加算金",【ピボット】国保連売上!$A$3,"年月",$A97,"事業所コード",$B97,"事業所",$C97,"事業区分",I$1,"請求区分","単月"),0))</f>
        <v>0</v>
      </c>
      <c r="K97" s="659">
        <f ca="1">IF($A97="","",IFERROR(GETPIVOTDATA("合計 / 入金予定",【ピボット】国保連売上!$A$3,"年月",$A97,"事業所コード",$B97,"事業所",$C97,"事業区分",K$1,"請求区分","単月"),0)
+IFERROR(GETPIVOTDATA("合計 / 入金予定",【ピボット】国保連売上!$A$3,"年月",$A97,"事業所コード",$B97,"事業所",$C97,"事業区分",K$1,"請求区分","再請求"),0))</f>
        <v>0</v>
      </c>
      <c r="L97" s="659">
        <f ca="1">IF($A97="","",IFERROR(GETPIVOTDATA("合計 / 処遇改善加算金",【ピボット】国保連売上!$A$3,"年月",$A97,"事業所コード",$B97,"事業所",$C97,"事業区分",K$1,"請求区分","単月"),0))</f>
        <v>0</v>
      </c>
      <c r="M97" s="659">
        <f ca="1">IF($A97="","",IFERROR(GETPIVOTDATA("合計 / 入金予定",【ピボット】国保連売上!$A$3,"年月",$A97,"事業所コード",$B97,"事業所",$C97,"事業区分",M$1,"請求区分","単月"),0)
+IFERROR(GETPIVOTDATA("合計 / 入金予定",【ピボット】国保連売上!$A$3,"年月",$A97,"事業所コード",$B97,"事業所",$C97,"事業区分",M$1,"請求区分","再請求"),0))</f>
        <v>0</v>
      </c>
      <c r="N97" s="660">
        <v>43522</v>
      </c>
      <c r="O97" s="660">
        <v>9850</v>
      </c>
      <c r="P97" s="660">
        <v>0</v>
      </c>
      <c r="Q97" s="660">
        <v>9263</v>
      </c>
      <c r="R97" s="660">
        <v>137840</v>
      </c>
      <c r="S97" s="660">
        <v>0</v>
      </c>
      <c r="T97" s="660">
        <v>0</v>
      </c>
      <c r="U97" s="660">
        <v>0</v>
      </c>
      <c r="V97" s="660">
        <v>0</v>
      </c>
      <c r="W97" s="660">
        <v>0</v>
      </c>
      <c r="X97" s="660">
        <v>0</v>
      </c>
      <c r="Y97" s="659">
        <f t="shared" ca="1" si="4"/>
        <v>10338554</v>
      </c>
      <c r="Z97" s="659">
        <f t="shared" ca="1" si="5"/>
        <v>200475</v>
      </c>
    </row>
    <row r="98" spans="1:26" ht="15.95" customHeight="1" x14ac:dyDescent="0.15">
      <c r="A98" s="656">
        <v>42917</v>
      </c>
      <c r="B98" s="657" t="str">
        <f t="shared" ca="1" si="3"/>
        <v>02</v>
      </c>
      <c r="C98" s="658" t="s">
        <v>37</v>
      </c>
      <c r="D98" s="659">
        <f ca="1">IF($A98="","",IFERROR(GETPIVOTDATA("合計 / 入金予定",【ピボット】国保連売上!$A$3,"年月",$A98,"事業所コード",$B98,"事業所",$C98,"事業区分",D$1,"請求区分","単月"),0)
+IFERROR(GETPIVOTDATA("合計 / 入金予定",【ピボット】国保連売上!$A$3,"年月",$A98,"事業所コード",$B98,"事業所",$C98,"事業区分",D$1,"請求区分","再請求"),0))</f>
        <v>3798477</v>
      </c>
      <c r="E98" s="659">
        <f ca="1">IF($A98="","",IFERROR(GETPIVOTDATA("合計 / 処遇改善加算金",【ピボット】国保連売上!$A$3,"年月",$A98,"事業所コード",$B98,"事業所",$C98,"事業区分",D$1,"請求区分","単月"),0))</f>
        <v>459731</v>
      </c>
      <c r="F98" s="659">
        <f ca="1">IF($A98="","",IFERROR(GETPIVOTDATA("合計 / 入金予定",【ピボット】国保連売上!$A$3,"年月",$A98,"事業所コード",$B98,"事業所",$C98,"事業区分",F$1,"請求区分","単月"),0)
+IFERROR(GETPIVOTDATA("合計 / 入金予定",【ピボット】国保連売上!$A$3,"年月",$A98,"事業所コード",$B98,"事業所",$C98,"事業区分",F$1,"請求区分","再請求"),0))</f>
        <v>870688</v>
      </c>
      <c r="G98" s="659">
        <f ca="1">IF($A98="","",IFERROR(GETPIVOTDATA("合計 / 処遇改善加算金",【ピボット】国保連売上!$A$3,"年月",$A98,"事業所コード",$B98,"事業所",$C98,"事業区分",F$1,"請求区分","単月"),0))</f>
        <v>204311</v>
      </c>
      <c r="H98" s="659">
        <f ca="1">IF($A98="","",IFERROR(GETPIVOTDATA("合計 / 入金予定",【ピボット】国保連売上!$A$3,"年月",$A98,"事業所コード",$B98,"事業所",$C98,"事業区分",H$1,"請求区分","単月"),0)
+IFERROR(GETPIVOTDATA("合計 / 入金予定",【ピボット】国保連売上!$A$3,"年月",$A98,"事業所コード",$B98,"事業所",$C98,"事業区分",H$1,"請求区分","再請求"),0))</f>
        <v>449737</v>
      </c>
      <c r="I98" s="659">
        <f ca="1">IF($A98="","",IFERROR(GETPIVOTDATA("合計 / 入金予定",【ピボット】国保連売上!$A$3,"年月",$A98,"事業所コード",$B98,"事業所",$C98,"事業区分",I$1,"請求区分","単月"),0)
+IFERROR(GETPIVOTDATA("合計 / 入金予定",【ピボット】国保連売上!$A$3,"年月",$A98,"事業所コード",$B98,"事業所",$C98,"事業区分",I$1,"請求区分","再請求"),0))</f>
        <v>0</v>
      </c>
      <c r="J98" s="659">
        <f ca="1">IF($A98="","",IFERROR(GETPIVOTDATA("合計 / 処遇改善加算金",【ピボット】国保連売上!$A$3,"年月",$A98,"事業所コード",$B98,"事業所",$C98,"事業区分",I$1,"請求区分","単月"),0))</f>
        <v>0</v>
      </c>
      <c r="K98" s="659">
        <f ca="1">IF($A98="","",IFERROR(GETPIVOTDATA("合計 / 入金予定",【ピボット】国保連売上!$A$3,"年月",$A98,"事業所コード",$B98,"事業所",$C98,"事業区分",K$1,"請求区分","単月"),0)
+IFERROR(GETPIVOTDATA("合計 / 入金予定",【ピボット】国保連売上!$A$3,"年月",$A98,"事業所コード",$B98,"事業所",$C98,"事業区分",K$1,"請求区分","再請求"),0))</f>
        <v>0</v>
      </c>
      <c r="L98" s="659">
        <f ca="1">IF($A98="","",IFERROR(GETPIVOTDATA("合計 / 処遇改善加算金",【ピボット】国保連売上!$A$3,"年月",$A98,"事業所コード",$B98,"事業所",$C98,"事業区分",K$1,"請求区分","単月"),0))</f>
        <v>0</v>
      </c>
      <c r="M98" s="659">
        <f ca="1">IF($A98="","",IFERROR(GETPIVOTDATA("合計 / 入金予定",【ピボット】国保連売上!$A$3,"年月",$A98,"事業所コード",$B98,"事業所",$C98,"事業区分",M$1,"請求区分","単月"),0)
+IFERROR(GETPIVOTDATA("合計 / 入金予定",【ピボット】国保連売上!$A$3,"年月",$A98,"事業所コード",$B98,"事業所",$C98,"事業区分",M$1,"請求区分","再請求"),0))</f>
        <v>0</v>
      </c>
      <c r="N98" s="660">
        <v>284477</v>
      </c>
      <c r="O98" s="660">
        <v>0</v>
      </c>
      <c r="P98" s="660">
        <v>0</v>
      </c>
      <c r="Q98" s="660">
        <v>2251</v>
      </c>
      <c r="R98" s="660">
        <v>82068</v>
      </c>
      <c r="S98" s="660">
        <v>0</v>
      </c>
      <c r="T98" s="660">
        <v>0</v>
      </c>
      <c r="U98" s="660">
        <v>0</v>
      </c>
      <c r="V98" s="660">
        <v>0</v>
      </c>
      <c r="W98" s="660">
        <v>0</v>
      </c>
      <c r="X98" s="660">
        <v>0</v>
      </c>
      <c r="Y98" s="659">
        <f t="shared" ca="1" si="4"/>
        <v>5487698</v>
      </c>
      <c r="Z98" s="659">
        <f t="shared" ca="1" si="5"/>
        <v>368796</v>
      </c>
    </row>
    <row r="99" spans="1:26" ht="15.95" customHeight="1" x14ac:dyDescent="0.15">
      <c r="A99" s="656">
        <v>42917</v>
      </c>
      <c r="B99" s="657" t="str">
        <f t="shared" ca="1" si="3"/>
        <v>03</v>
      </c>
      <c r="C99" s="658" t="s">
        <v>66</v>
      </c>
      <c r="D99" s="659">
        <f ca="1">IF($A99="","",IFERROR(GETPIVOTDATA("合計 / 入金予定",【ピボット】国保連売上!$A$3,"年月",$A99,"事業所コード",$B99,"事業所",$C99,"事業区分",D$1,"請求区分","単月"),0)
+IFERROR(GETPIVOTDATA("合計 / 入金予定",【ピボット】国保連売上!$A$3,"年月",$A99,"事業所コード",$B99,"事業所",$C99,"事業区分",D$1,"請求区分","再請求"),0))</f>
        <v>3467874</v>
      </c>
      <c r="E99" s="659">
        <f ca="1">IF($A99="","",IFERROR(GETPIVOTDATA("合計 / 処遇改善加算金",【ピボット】国保連売上!$A$3,"年月",$A99,"事業所コード",$B99,"事業所",$C99,"事業区分",D$1,"請求区分","単月"),0))</f>
        <v>394909</v>
      </c>
      <c r="F99" s="659">
        <f ca="1">IF($A99="","",IFERROR(GETPIVOTDATA("合計 / 入金予定",【ピボット】国保連売上!$A$3,"年月",$A99,"事業所コード",$B99,"事業所",$C99,"事業区分",F$1,"請求区分","単月"),0)
+IFERROR(GETPIVOTDATA("合計 / 入金予定",【ピボット】国保連売上!$A$3,"年月",$A99,"事業所コード",$B99,"事業所",$C99,"事業区分",F$1,"請求区分","再請求"),0))</f>
        <v>2123008</v>
      </c>
      <c r="G99" s="659">
        <f ca="1">IF($A99="","",IFERROR(GETPIVOTDATA("合計 / 処遇改善加算金",【ピボット】国保連売上!$A$3,"年月",$A99,"事業所コード",$B99,"事業所",$C99,"事業区分",F$1,"請求区分","単月"),0))</f>
        <v>490767</v>
      </c>
      <c r="H99" s="659">
        <f ca="1">IF($A99="","",IFERROR(GETPIVOTDATA("合計 / 入金予定",【ピボット】国保連売上!$A$3,"年月",$A99,"事業所コード",$B99,"事業所",$C99,"事業区分",H$1,"請求区分","単月"),0)
+IFERROR(GETPIVOTDATA("合計 / 入金予定",【ピボット】国保連売上!$A$3,"年月",$A99,"事業所コード",$B99,"事業所",$C99,"事業区分",H$1,"請求区分","再請求"),0))</f>
        <v>0</v>
      </c>
      <c r="I99" s="659">
        <f ca="1">IF($A99="","",IFERROR(GETPIVOTDATA("合計 / 入金予定",【ピボット】国保連売上!$A$3,"年月",$A99,"事業所コード",$B99,"事業所",$C99,"事業区分",I$1,"請求区分","単月"),0)
+IFERROR(GETPIVOTDATA("合計 / 入金予定",【ピボット】国保連売上!$A$3,"年月",$A99,"事業所コード",$B99,"事業所",$C99,"事業区分",I$1,"請求区分","再請求"),0))</f>
        <v>0</v>
      </c>
      <c r="J99" s="659">
        <f ca="1">IF($A99="","",IFERROR(GETPIVOTDATA("合計 / 処遇改善加算金",【ピボット】国保連売上!$A$3,"年月",$A99,"事業所コード",$B99,"事業所",$C99,"事業区分",I$1,"請求区分","単月"),0))</f>
        <v>0</v>
      </c>
      <c r="K99" s="659">
        <f ca="1">IF($A99="","",IFERROR(GETPIVOTDATA("合計 / 入金予定",【ピボット】国保連売上!$A$3,"年月",$A99,"事業所コード",$B99,"事業所",$C99,"事業区分",K$1,"請求区分","単月"),0)
+IFERROR(GETPIVOTDATA("合計 / 入金予定",【ピボット】国保連売上!$A$3,"年月",$A99,"事業所コード",$B99,"事業所",$C99,"事業区分",K$1,"請求区分","再請求"),0))</f>
        <v>0</v>
      </c>
      <c r="L99" s="659">
        <f ca="1">IF($A99="","",IFERROR(GETPIVOTDATA("合計 / 処遇改善加算金",【ピボット】国保連売上!$A$3,"年月",$A99,"事業所コード",$B99,"事業所",$C99,"事業区分",K$1,"請求区分","単月"),0))</f>
        <v>0</v>
      </c>
      <c r="M99" s="659">
        <f ca="1">IF($A99="","",IFERROR(GETPIVOTDATA("合計 / 入金予定",【ピボット】国保連売上!$A$3,"年月",$A99,"事業所コード",$B99,"事業所",$C99,"事業区分",M$1,"請求区分","単月"),0)
+IFERROR(GETPIVOTDATA("合計 / 入金予定",【ピボット】国保連売上!$A$3,"年月",$A99,"事業所コード",$B99,"事業所",$C99,"事業区分",M$1,"請求区分","再請求"),0))</f>
        <v>0</v>
      </c>
      <c r="N99" s="660">
        <v>58500</v>
      </c>
      <c r="O99" s="660">
        <v>181060</v>
      </c>
      <c r="P99" s="660">
        <v>61320</v>
      </c>
      <c r="Q99" s="660">
        <v>5319</v>
      </c>
      <c r="R99" s="660">
        <v>0</v>
      </c>
      <c r="S99" s="660">
        <v>0</v>
      </c>
      <c r="T99" s="660">
        <v>0</v>
      </c>
      <c r="U99" s="660">
        <v>0</v>
      </c>
      <c r="V99" s="660">
        <v>0</v>
      </c>
      <c r="W99" s="660">
        <v>0</v>
      </c>
      <c r="X99" s="660">
        <v>0</v>
      </c>
      <c r="Y99" s="659">
        <f t="shared" ca="1" si="4"/>
        <v>5897081</v>
      </c>
      <c r="Z99" s="659">
        <f t="shared" ca="1" si="5"/>
        <v>306199</v>
      </c>
    </row>
    <row r="100" spans="1:26" ht="15.95" customHeight="1" x14ac:dyDescent="0.15">
      <c r="A100" s="656">
        <v>42917</v>
      </c>
      <c r="B100" s="657" t="str">
        <f t="shared" ca="1" si="3"/>
        <v>04</v>
      </c>
      <c r="C100" s="658" t="s">
        <v>358</v>
      </c>
      <c r="D100" s="659">
        <f ca="1">IF($A100="","",IFERROR(GETPIVOTDATA("合計 / 入金予定",【ピボット】国保連売上!$A$3,"年月",$A100,"事業所コード",$B100,"事業所",$C100,"事業区分",D$1,"請求区分","単月"),0)
+IFERROR(GETPIVOTDATA("合計 / 入金予定",【ピボット】国保連売上!$A$3,"年月",$A100,"事業所コード",$B100,"事業所",$C100,"事業区分",D$1,"請求区分","再請求"),0))</f>
        <v>0</v>
      </c>
      <c r="E100" s="659">
        <f ca="1">IF($A100="","",IFERROR(GETPIVOTDATA("合計 / 処遇改善加算金",【ピボット】国保連売上!$A$3,"年月",$A100,"事業所コード",$B100,"事業所",$C100,"事業区分",D$1,"請求区分","単月"),0))</f>
        <v>0</v>
      </c>
      <c r="F100" s="659">
        <f ca="1">IF($A100="","",IFERROR(GETPIVOTDATA("合計 / 入金予定",【ピボット】国保連売上!$A$3,"年月",$A100,"事業所コード",$B100,"事業所",$C100,"事業区分",F$1,"請求区分","単月"),0)
+IFERROR(GETPIVOTDATA("合計 / 入金予定",【ピボット】国保連売上!$A$3,"年月",$A100,"事業所コード",$B100,"事業所",$C100,"事業区分",F$1,"請求区分","再請求"),0))</f>
        <v>0</v>
      </c>
      <c r="G100" s="659">
        <f ca="1">IF($A100="","",IFERROR(GETPIVOTDATA("合計 / 処遇改善加算金",【ピボット】国保連売上!$A$3,"年月",$A100,"事業所コード",$B100,"事業所",$C100,"事業区分",F$1,"請求区分","単月"),0))</f>
        <v>0</v>
      </c>
      <c r="H100" s="659">
        <f ca="1">IF($A100="","",IFERROR(GETPIVOTDATA("合計 / 入金予定",【ピボット】国保連売上!$A$3,"年月",$A100,"事業所コード",$B100,"事業所",$C100,"事業区分",H$1,"請求区分","単月"),0)
+IFERROR(GETPIVOTDATA("合計 / 入金予定",【ピボット】国保連売上!$A$3,"年月",$A100,"事業所コード",$B100,"事業所",$C100,"事業区分",H$1,"請求区分","再請求"),0))</f>
        <v>0</v>
      </c>
      <c r="I100" s="659">
        <f ca="1">IF($A100="","",IFERROR(GETPIVOTDATA("合計 / 入金予定",【ピボット】国保連売上!$A$3,"年月",$A100,"事業所コード",$B100,"事業所",$C100,"事業区分",I$1,"請求区分","単月"),0)
+IFERROR(GETPIVOTDATA("合計 / 入金予定",【ピボット】国保連売上!$A$3,"年月",$A100,"事業所コード",$B100,"事業所",$C100,"事業区分",I$1,"請求区分","再請求"),0))</f>
        <v>3423639</v>
      </c>
      <c r="J100" s="659">
        <f ca="1">IF($A100="","",IFERROR(GETPIVOTDATA("合計 / 処遇改善加算金",【ピボット】国保連売上!$A$3,"年月",$A100,"事業所コード",$B100,"事業所",$C100,"事業区分",I$1,"請求区分","単月"),0))</f>
        <v>190666</v>
      </c>
      <c r="K100" s="659">
        <f ca="1">IF($A100="","",IFERROR(GETPIVOTDATA("合計 / 入金予定",【ピボット】国保連売上!$A$3,"年月",$A100,"事業所コード",$B100,"事業所",$C100,"事業区分",K$1,"請求区分","単月"),0)
+IFERROR(GETPIVOTDATA("合計 / 入金予定",【ピボット】国保連売上!$A$3,"年月",$A100,"事業所コード",$B100,"事業所",$C100,"事業区分",K$1,"請求区分","再請求"),0))</f>
        <v>0</v>
      </c>
      <c r="L100" s="659">
        <f ca="1">IF($A100="","",IFERROR(GETPIVOTDATA("合計 / 処遇改善加算金",【ピボット】国保連売上!$A$3,"年月",$A100,"事業所コード",$B100,"事業所",$C100,"事業区分",K$1,"請求区分","単月"),0))</f>
        <v>0</v>
      </c>
      <c r="M100" s="659">
        <f ca="1">IF($A100="","",IFERROR(GETPIVOTDATA("合計 / 入金予定",【ピボット】国保連売上!$A$3,"年月",$A100,"事業所コード",$B100,"事業所",$C100,"事業区分",M$1,"請求区分","単月"),0)
+IFERROR(GETPIVOTDATA("合計 / 入金予定",【ピボット】国保連売上!$A$3,"年月",$A100,"事業所コード",$B100,"事業所",$C100,"事業区分",M$1,"請求区分","再請求"),0))</f>
        <v>0</v>
      </c>
      <c r="N100" s="660">
        <v>0</v>
      </c>
      <c r="O100" s="660">
        <v>0</v>
      </c>
      <c r="P100" s="660">
        <v>0</v>
      </c>
      <c r="Q100" s="660">
        <v>0</v>
      </c>
      <c r="R100" s="660">
        <v>0</v>
      </c>
      <c r="S100" s="660">
        <v>0</v>
      </c>
      <c r="T100" s="660">
        <v>192500</v>
      </c>
      <c r="U100" s="660">
        <v>0</v>
      </c>
      <c r="V100" s="660">
        <v>0</v>
      </c>
      <c r="W100" s="660">
        <v>0</v>
      </c>
      <c r="X100" s="660">
        <v>0</v>
      </c>
      <c r="Y100" s="659">
        <f t="shared" ca="1" si="4"/>
        <v>3616139</v>
      </c>
      <c r="Z100" s="659">
        <f t="shared" ca="1" si="5"/>
        <v>192500</v>
      </c>
    </row>
    <row r="101" spans="1:26" ht="15.95" customHeight="1" x14ac:dyDescent="0.15">
      <c r="A101" s="656">
        <v>42917</v>
      </c>
      <c r="B101" s="657" t="str">
        <f t="shared" ca="1" si="3"/>
        <v>07</v>
      </c>
      <c r="C101" s="658" t="s">
        <v>119</v>
      </c>
      <c r="D101" s="659">
        <f ca="1">IF($A101="","",IFERROR(GETPIVOTDATA("合計 / 入金予定",【ピボット】国保連売上!$A$3,"年月",$A101,"事業所コード",$B101,"事業所",$C101,"事業区分",D$1,"請求区分","単月"),0)
+IFERROR(GETPIVOTDATA("合計 / 入金予定",【ピボット】国保連売上!$A$3,"年月",$A101,"事業所コード",$B101,"事業所",$C101,"事業区分",D$1,"請求区分","再請求"),0))</f>
        <v>0</v>
      </c>
      <c r="E101" s="659">
        <f ca="1">IF($A101="","",IFERROR(GETPIVOTDATA("合計 / 処遇改善加算金",【ピボット】国保連売上!$A$3,"年月",$A101,"事業所コード",$B101,"事業所",$C101,"事業区分",D$1,"請求区分","単月"),0))</f>
        <v>0</v>
      </c>
      <c r="F101" s="659">
        <f ca="1">IF($A101="","",IFERROR(GETPIVOTDATA("合計 / 入金予定",【ピボット】国保連売上!$A$3,"年月",$A101,"事業所コード",$B101,"事業所",$C101,"事業区分",F$1,"請求区分","単月"),0)
+IFERROR(GETPIVOTDATA("合計 / 入金予定",【ピボット】国保連売上!$A$3,"年月",$A101,"事業所コード",$B101,"事業所",$C101,"事業区分",F$1,"請求区分","再請求"),0))</f>
        <v>0</v>
      </c>
      <c r="G101" s="659">
        <f ca="1">IF($A101="","",IFERROR(GETPIVOTDATA("合計 / 処遇改善加算金",【ピボット】国保連売上!$A$3,"年月",$A101,"事業所コード",$B101,"事業所",$C101,"事業区分",F$1,"請求区分","単月"),0))</f>
        <v>0</v>
      </c>
      <c r="H101" s="659">
        <f ca="1">IF($A101="","",IFERROR(GETPIVOTDATA("合計 / 入金予定",【ピボット】国保連売上!$A$3,"年月",$A101,"事業所コード",$B101,"事業所",$C101,"事業区分",H$1,"請求区分","単月"),0)
+IFERROR(GETPIVOTDATA("合計 / 入金予定",【ピボット】国保連売上!$A$3,"年月",$A101,"事業所コード",$B101,"事業所",$C101,"事業区分",H$1,"請求区分","再請求"),0))</f>
        <v>0</v>
      </c>
      <c r="I101" s="659">
        <f ca="1">IF($A101="","",IFERROR(GETPIVOTDATA("合計 / 入金予定",【ピボット】国保連売上!$A$3,"年月",$A101,"事業所コード",$B101,"事業所",$C101,"事業区分",I$1,"請求区分","単月"),0)
+IFERROR(GETPIVOTDATA("合計 / 入金予定",【ピボット】国保連売上!$A$3,"年月",$A101,"事業所コード",$B101,"事業所",$C101,"事業区分",I$1,"請求区分","再請求"),0))</f>
        <v>0</v>
      </c>
      <c r="J101" s="659">
        <f ca="1">IF($A101="","",IFERROR(GETPIVOTDATA("合計 / 処遇改善加算金",【ピボット】国保連売上!$A$3,"年月",$A101,"事業所コード",$B101,"事業所",$C101,"事業区分",I$1,"請求区分","単月"),0))</f>
        <v>0</v>
      </c>
      <c r="K101" s="659">
        <f ca="1">IF($A101="","",IFERROR(GETPIVOTDATA("合計 / 入金予定",【ピボット】国保連売上!$A$3,"年月",$A101,"事業所コード",$B101,"事業所",$C101,"事業区分",K$1,"請求区分","単月"),0)
+IFERROR(GETPIVOTDATA("合計 / 入金予定",【ピボット】国保連売上!$A$3,"年月",$A101,"事業所コード",$B101,"事業所",$C101,"事業区分",K$1,"請求区分","再請求"),0))</f>
        <v>1225066</v>
      </c>
      <c r="L101" s="659">
        <f ca="1">IF($A101="","",IFERROR(GETPIVOTDATA("合計 / 処遇改善加算金",【ピボット】国保連売上!$A$3,"年月",$A101,"事業所コード",$B101,"事業所",$C101,"事業区分",K$1,"請求区分","単月"),0))</f>
        <v>256019</v>
      </c>
      <c r="M101" s="659">
        <f ca="1">IF($A101="","",IFERROR(GETPIVOTDATA("合計 / 入金予定",【ピボット】国保連売上!$A$3,"年月",$A101,"事業所コード",$B101,"事業所",$C101,"事業区分",M$1,"請求区分","単月"),0)
+IFERROR(GETPIVOTDATA("合計 / 入金予定",【ピボット】国保連売上!$A$3,"年月",$A101,"事業所コード",$B101,"事業所",$C101,"事業区分",M$1,"請求区分","再請求"),0))</f>
        <v>0</v>
      </c>
      <c r="N101" s="660">
        <v>0</v>
      </c>
      <c r="O101" s="660">
        <v>0</v>
      </c>
      <c r="P101" s="660">
        <v>0</v>
      </c>
      <c r="Q101" s="660">
        <v>0</v>
      </c>
      <c r="R101" s="660">
        <v>0</v>
      </c>
      <c r="S101" s="660">
        <v>78000</v>
      </c>
      <c r="T101" s="660">
        <v>0</v>
      </c>
      <c r="U101" s="660">
        <v>0</v>
      </c>
      <c r="V101" s="660">
        <v>-30000</v>
      </c>
      <c r="W101" s="660">
        <v>0</v>
      </c>
      <c r="X101" s="660">
        <v>0</v>
      </c>
      <c r="Y101" s="659">
        <f t="shared" ca="1" si="4"/>
        <v>1273066</v>
      </c>
      <c r="Z101" s="659">
        <f t="shared" ca="1" si="5"/>
        <v>48000</v>
      </c>
    </row>
    <row r="102" spans="1:26" ht="15.95" customHeight="1" x14ac:dyDescent="0.15">
      <c r="A102" s="656">
        <v>42917</v>
      </c>
      <c r="B102" s="657" t="str">
        <f t="shared" ca="1" si="3"/>
        <v>08</v>
      </c>
      <c r="C102" s="658" t="s">
        <v>189</v>
      </c>
      <c r="D102" s="659">
        <f ca="1">IF($A102="","",IFERROR(GETPIVOTDATA("合計 / 入金予定",【ピボット】国保連売上!$A$3,"年月",$A102,"事業所コード",$B102,"事業所",$C102,"事業区分",D$1,"請求区分","単月"),0)
+IFERROR(GETPIVOTDATA("合計 / 入金予定",【ピボット】国保連売上!$A$3,"年月",$A102,"事業所コード",$B102,"事業所",$C102,"事業区分",D$1,"請求区分","再請求"),0))</f>
        <v>0</v>
      </c>
      <c r="E102" s="659">
        <f ca="1">IF($A102="","",IFERROR(GETPIVOTDATA("合計 / 処遇改善加算金",【ピボット】国保連売上!$A$3,"年月",$A102,"事業所コード",$B102,"事業所",$C102,"事業区分",D$1,"請求区分","単月"),0))</f>
        <v>0</v>
      </c>
      <c r="F102" s="659">
        <f ca="1">IF($A102="","",IFERROR(GETPIVOTDATA("合計 / 入金予定",【ピボット】国保連売上!$A$3,"年月",$A102,"事業所コード",$B102,"事業所",$C102,"事業区分",F$1,"請求区分","単月"),0)
+IFERROR(GETPIVOTDATA("合計 / 入金予定",【ピボット】国保連売上!$A$3,"年月",$A102,"事業所コード",$B102,"事業所",$C102,"事業区分",F$1,"請求区分","再請求"),0))</f>
        <v>0</v>
      </c>
      <c r="G102" s="659">
        <f ca="1">IF($A102="","",IFERROR(GETPIVOTDATA("合計 / 処遇改善加算金",【ピボット】国保連売上!$A$3,"年月",$A102,"事業所コード",$B102,"事業所",$C102,"事業区分",F$1,"請求区分","単月"),0))</f>
        <v>0</v>
      </c>
      <c r="H102" s="659">
        <f ca="1">IF($A102="","",IFERROR(GETPIVOTDATA("合計 / 入金予定",【ピボット】国保連売上!$A$3,"年月",$A102,"事業所コード",$B102,"事業所",$C102,"事業区分",H$1,"請求区分","単月"),0)
+IFERROR(GETPIVOTDATA("合計 / 入金予定",【ピボット】国保連売上!$A$3,"年月",$A102,"事業所コード",$B102,"事業所",$C102,"事業区分",H$1,"請求区分","再請求"),0))</f>
        <v>0</v>
      </c>
      <c r="I102" s="659">
        <f ca="1">IF($A102="","",IFERROR(GETPIVOTDATA("合計 / 入金予定",【ピボット】国保連売上!$A$3,"年月",$A102,"事業所コード",$B102,"事業所",$C102,"事業区分",I$1,"請求区分","単月"),0)
+IFERROR(GETPIVOTDATA("合計 / 入金予定",【ピボット】国保連売上!$A$3,"年月",$A102,"事業所コード",$B102,"事業所",$C102,"事業区分",I$1,"請求区分","再請求"),0))</f>
        <v>0</v>
      </c>
      <c r="J102" s="659">
        <f ca="1">IF($A102="","",IFERROR(GETPIVOTDATA("合計 / 処遇改善加算金",【ピボット】国保連売上!$A$3,"年月",$A102,"事業所コード",$B102,"事業所",$C102,"事業区分",I$1,"請求区分","単月"),0))</f>
        <v>0</v>
      </c>
      <c r="K102" s="659">
        <f ca="1">IF($A102="","",IFERROR(GETPIVOTDATA("合計 / 入金予定",【ピボット】国保連売上!$A$3,"年月",$A102,"事業所コード",$B102,"事業所",$C102,"事業区分",K$1,"請求区分","単月"),0)
+IFERROR(GETPIVOTDATA("合計 / 入金予定",【ピボット】国保連売上!$A$3,"年月",$A102,"事業所コード",$B102,"事業所",$C102,"事業区分",K$1,"請求区分","再請求"),0))</f>
        <v>983492</v>
      </c>
      <c r="L102" s="659">
        <f ca="1">IF($A102="","",IFERROR(GETPIVOTDATA("合計 / 処遇改善加算金",【ピボット】国保連売上!$A$3,"年月",$A102,"事業所コード",$B102,"事業所",$C102,"事業区分",K$1,"請求区分","単月"),0))</f>
        <v>0</v>
      </c>
      <c r="M102" s="659">
        <f ca="1">IF($A102="","",IFERROR(GETPIVOTDATA("合計 / 入金予定",【ピボット】国保連売上!$A$3,"年月",$A102,"事業所コード",$B102,"事業所",$C102,"事業区分",M$1,"請求区分","単月"),0)
+IFERROR(GETPIVOTDATA("合計 / 入金予定",【ピボット】国保連売上!$A$3,"年月",$A102,"事業所コード",$B102,"事業所",$C102,"事業区分",M$1,"請求区分","再請求"),0))</f>
        <v>0</v>
      </c>
      <c r="N102" s="660">
        <v>20000</v>
      </c>
      <c r="O102" s="660">
        <v>0</v>
      </c>
      <c r="P102" s="660">
        <v>0</v>
      </c>
      <c r="Q102" s="660">
        <v>0</v>
      </c>
      <c r="R102" s="660">
        <v>0</v>
      </c>
      <c r="S102" s="660">
        <v>98000</v>
      </c>
      <c r="T102" s="660">
        <v>0</v>
      </c>
      <c r="U102" s="660">
        <v>0</v>
      </c>
      <c r="V102" s="660">
        <v>0</v>
      </c>
      <c r="W102" s="660">
        <v>0</v>
      </c>
      <c r="X102" s="660">
        <v>0</v>
      </c>
      <c r="Y102" s="659">
        <f t="shared" ca="1" si="4"/>
        <v>1101492</v>
      </c>
      <c r="Z102" s="659">
        <f t="shared" ca="1" si="5"/>
        <v>118000</v>
      </c>
    </row>
    <row r="103" spans="1:26" ht="15.95" customHeight="1" x14ac:dyDescent="0.15">
      <c r="A103" s="656">
        <v>42917</v>
      </c>
      <c r="B103" s="657" t="str">
        <f t="shared" ca="1" si="3"/>
        <v>09</v>
      </c>
      <c r="C103" s="658" t="s">
        <v>329</v>
      </c>
      <c r="D103" s="659">
        <f ca="1">IF($A103="","",IFERROR(GETPIVOTDATA("合計 / 入金予定",【ピボット】国保連売上!$A$3,"年月",$A103,"事業所コード",$B103,"事業所",$C103,"事業区分",D$1,"請求区分","単月"),0)
+IFERROR(GETPIVOTDATA("合計 / 入金予定",【ピボット】国保連売上!$A$3,"年月",$A103,"事業所コード",$B103,"事業所",$C103,"事業区分",D$1,"請求区分","再請求"),0))</f>
        <v>0</v>
      </c>
      <c r="E103" s="659">
        <f ca="1">IF($A103="","",IFERROR(GETPIVOTDATA("合計 / 処遇改善加算金",【ピボット】国保連売上!$A$3,"年月",$A103,"事業所コード",$B103,"事業所",$C103,"事業区分",D$1,"請求区分","単月"),0))</f>
        <v>0</v>
      </c>
      <c r="F103" s="659">
        <f ca="1">IF($A103="","",IFERROR(GETPIVOTDATA("合計 / 入金予定",【ピボット】国保連売上!$A$3,"年月",$A103,"事業所コード",$B103,"事業所",$C103,"事業区分",F$1,"請求区分","単月"),0)
+IFERROR(GETPIVOTDATA("合計 / 入金予定",【ピボット】国保連売上!$A$3,"年月",$A103,"事業所コード",$B103,"事業所",$C103,"事業区分",F$1,"請求区分","再請求"),0))</f>
        <v>0</v>
      </c>
      <c r="G103" s="659">
        <f ca="1">IF($A103="","",IFERROR(GETPIVOTDATA("合計 / 処遇改善加算金",【ピボット】国保連売上!$A$3,"年月",$A103,"事業所コード",$B103,"事業所",$C103,"事業区分",F$1,"請求区分","単月"),0))</f>
        <v>0</v>
      </c>
      <c r="H103" s="659">
        <f ca="1">IF($A103="","",IFERROR(GETPIVOTDATA("合計 / 入金予定",【ピボット】国保連売上!$A$3,"年月",$A103,"事業所コード",$B103,"事業所",$C103,"事業区分",H$1,"請求区分","単月"),0)
+IFERROR(GETPIVOTDATA("合計 / 入金予定",【ピボット】国保連売上!$A$3,"年月",$A103,"事業所コード",$B103,"事業所",$C103,"事業区分",H$1,"請求区分","再請求"),0))</f>
        <v>0</v>
      </c>
      <c r="I103" s="659">
        <f ca="1">IF($A103="","",IFERROR(GETPIVOTDATA("合計 / 入金予定",【ピボット】国保連売上!$A$3,"年月",$A103,"事業所コード",$B103,"事業所",$C103,"事業区分",I$1,"請求区分","単月"),0)
+IFERROR(GETPIVOTDATA("合計 / 入金予定",【ピボット】国保連売上!$A$3,"年月",$A103,"事業所コード",$B103,"事業所",$C103,"事業区分",I$1,"請求区分","再請求"),0))</f>
        <v>0</v>
      </c>
      <c r="J103" s="659">
        <f ca="1">IF($A103="","",IFERROR(GETPIVOTDATA("合計 / 処遇改善加算金",【ピボット】国保連売上!$A$3,"年月",$A103,"事業所コード",$B103,"事業所",$C103,"事業区分",I$1,"請求区分","単月"),0))</f>
        <v>0</v>
      </c>
      <c r="K103" s="659">
        <f ca="1">IF($A103="","",IFERROR(GETPIVOTDATA("合計 / 入金予定",【ピボット】国保連売上!$A$3,"年月",$A103,"事業所コード",$B103,"事業所",$C103,"事業区分",K$1,"請求区分","単月"),0)
+IFERROR(GETPIVOTDATA("合計 / 入金予定",【ピボット】国保連売上!$A$3,"年月",$A103,"事業所コード",$B103,"事業所",$C103,"事業区分",K$1,"請求区分","再請求"),0))</f>
        <v>1656941</v>
      </c>
      <c r="L103" s="659">
        <f ca="1">IF($A103="","",IFERROR(GETPIVOTDATA("合計 / 処遇改善加算金",【ピボット】国保連売上!$A$3,"年月",$A103,"事業所コード",$B103,"事業所",$C103,"事業区分",K$1,"請求区分","単月"),0))</f>
        <v>0</v>
      </c>
      <c r="M103" s="659">
        <f ca="1">IF($A103="","",IFERROR(GETPIVOTDATA("合計 / 入金予定",【ピボット】国保連売上!$A$3,"年月",$A103,"事業所コード",$B103,"事業所",$C103,"事業区分",M$1,"請求区分","単月"),0)
+IFERROR(GETPIVOTDATA("合計 / 入金予定",【ピボット】国保連売上!$A$3,"年月",$A103,"事業所コード",$B103,"事業所",$C103,"事業区分",M$1,"請求区分","再請求"),0))</f>
        <v>0</v>
      </c>
      <c r="N103" s="660">
        <v>0</v>
      </c>
      <c r="O103" s="660">
        <v>0</v>
      </c>
      <c r="P103" s="660">
        <v>0</v>
      </c>
      <c r="Q103" s="660">
        <v>0</v>
      </c>
      <c r="R103" s="660">
        <v>0</v>
      </c>
      <c r="S103" s="660">
        <v>308387</v>
      </c>
      <c r="T103" s="660">
        <v>0</v>
      </c>
      <c r="U103" s="660">
        <v>0</v>
      </c>
      <c r="V103" s="660">
        <v>0</v>
      </c>
      <c r="W103" s="660">
        <v>0</v>
      </c>
      <c r="X103" s="660">
        <v>0</v>
      </c>
      <c r="Y103" s="659">
        <f t="shared" ca="1" si="4"/>
        <v>1965328</v>
      </c>
      <c r="Z103" s="659">
        <f t="shared" ca="1" si="5"/>
        <v>308387</v>
      </c>
    </row>
    <row r="104" spans="1:26" ht="15.95" customHeight="1" x14ac:dyDescent="0.15">
      <c r="A104" s="656">
        <v>42917</v>
      </c>
      <c r="B104" s="657" t="str">
        <f t="shared" ca="1" si="3"/>
        <v>05</v>
      </c>
      <c r="C104" s="658" t="s">
        <v>38</v>
      </c>
      <c r="D104" s="659">
        <f ca="1">IF($A104="","",IFERROR(GETPIVOTDATA("合計 / 入金予定",【ピボット】国保連売上!$A$3,"年月",$A104,"事業所コード",$B104,"事業所",$C104,"事業区分",D$1,"請求区分","単月"),0)
+IFERROR(GETPIVOTDATA("合計 / 入金予定",【ピボット】国保連売上!$A$3,"年月",$A104,"事業所コード",$B104,"事業所",$C104,"事業区分",D$1,"請求区分","再請求"),0))</f>
        <v>2304959</v>
      </c>
      <c r="E104" s="659">
        <f ca="1">IF($A104="","",IFERROR(GETPIVOTDATA("合計 / 処遇改善加算金",【ピボット】国保連売上!$A$3,"年月",$A104,"事業所コード",$B104,"事業所",$C104,"事業区分",D$1,"請求区分","単月"),0))</f>
        <v>0</v>
      </c>
      <c r="F104" s="659">
        <f ca="1">IF($A104="","",IFERROR(GETPIVOTDATA("合計 / 入金予定",【ピボット】国保連売上!$A$3,"年月",$A104,"事業所コード",$B104,"事業所",$C104,"事業区分",F$1,"請求区分","単月"),0)
+IFERROR(GETPIVOTDATA("合計 / 入金予定",【ピボット】国保連売上!$A$3,"年月",$A104,"事業所コード",$B104,"事業所",$C104,"事業区分",F$1,"請求区分","再請求"),0))</f>
        <v>0</v>
      </c>
      <c r="G104" s="659">
        <f ca="1">IF($A104="","",IFERROR(GETPIVOTDATA("合計 / 処遇改善加算金",【ピボット】国保連売上!$A$3,"年月",$A104,"事業所コード",$B104,"事業所",$C104,"事業区分",F$1,"請求区分","単月"),0))</f>
        <v>0</v>
      </c>
      <c r="H104" s="659">
        <f ca="1">IF($A104="","",IFERROR(GETPIVOTDATA("合計 / 入金予定",【ピボット】国保連売上!$A$3,"年月",$A104,"事業所コード",$B104,"事業所",$C104,"事業区分",H$1,"請求区分","単月"),0)
+IFERROR(GETPIVOTDATA("合計 / 入金予定",【ピボット】国保連売上!$A$3,"年月",$A104,"事業所コード",$B104,"事業所",$C104,"事業区分",H$1,"請求区分","再請求"),0))</f>
        <v>0</v>
      </c>
      <c r="I104" s="659">
        <f ca="1">IF($A104="","",IFERROR(GETPIVOTDATA("合計 / 入金予定",【ピボット】国保連売上!$A$3,"年月",$A104,"事業所コード",$B104,"事業所",$C104,"事業区分",I$1,"請求区分","単月"),0)
+IFERROR(GETPIVOTDATA("合計 / 入金予定",【ピボット】国保連売上!$A$3,"年月",$A104,"事業所コード",$B104,"事業所",$C104,"事業区分",I$1,"請求区分","再請求"),0))</f>
        <v>0</v>
      </c>
      <c r="J104" s="659">
        <f ca="1">IF($A104="","",IFERROR(GETPIVOTDATA("合計 / 処遇改善加算金",【ピボット】国保連売上!$A$3,"年月",$A104,"事業所コード",$B104,"事業所",$C104,"事業区分",I$1,"請求区分","単月"),0))</f>
        <v>0</v>
      </c>
      <c r="K104" s="659">
        <f ca="1">IF($A104="","",IFERROR(GETPIVOTDATA("合計 / 入金予定",【ピボット】国保連売上!$A$3,"年月",$A104,"事業所コード",$B104,"事業所",$C104,"事業区分",K$1,"請求区分","単月"),0)
+IFERROR(GETPIVOTDATA("合計 / 入金予定",【ピボット】国保連売上!$A$3,"年月",$A104,"事業所コード",$B104,"事業所",$C104,"事業区分",K$1,"請求区分","再請求"),0))</f>
        <v>0</v>
      </c>
      <c r="L104" s="659">
        <f ca="1">IF($A104="","",IFERROR(GETPIVOTDATA("合計 / 処遇改善加算金",【ピボット】国保連売上!$A$3,"年月",$A104,"事業所コード",$B104,"事業所",$C104,"事業区分",K$1,"請求区分","単月"),0))</f>
        <v>0</v>
      </c>
      <c r="M104" s="659">
        <f ca="1">IF($A104="","",IFERROR(GETPIVOTDATA("合計 / 入金予定",【ピボット】国保連売上!$A$3,"年月",$A104,"事業所コード",$B104,"事業所",$C104,"事業区分",M$1,"請求区分","単月"),0)
+IFERROR(GETPIVOTDATA("合計 / 入金予定",【ピボット】国保連売上!$A$3,"年月",$A104,"事業所コード",$B104,"事業所",$C104,"事業区分",M$1,"請求区分","再請求"),0))</f>
        <v>0</v>
      </c>
      <c r="N104" s="660">
        <v>0</v>
      </c>
      <c r="O104" s="660">
        <v>0</v>
      </c>
      <c r="P104" s="660">
        <v>0</v>
      </c>
      <c r="Q104" s="660">
        <v>0</v>
      </c>
      <c r="R104" s="660">
        <v>0</v>
      </c>
      <c r="S104" s="660">
        <v>879513</v>
      </c>
      <c r="T104" s="660">
        <v>0</v>
      </c>
      <c r="U104" s="660">
        <v>0</v>
      </c>
      <c r="V104" s="660">
        <v>0</v>
      </c>
      <c r="W104" s="660">
        <v>0</v>
      </c>
      <c r="X104" s="660">
        <v>0</v>
      </c>
      <c r="Y104" s="659">
        <f t="shared" ca="1" si="4"/>
        <v>3184472</v>
      </c>
      <c r="Z104" s="659">
        <f t="shared" ca="1" si="5"/>
        <v>879513</v>
      </c>
    </row>
    <row r="105" spans="1:26" ht="15.95" customHeight="1" x14ac:dyDescent="0.15">
      <c r="A105" s="656">
        <v>42917</v>
      </c>
      <c r="B105" s="657" t="str">
        <f t="shared" ca="1" si="3"/>
        <v>10</v>
      </c>
      <c r="C105" s="658" t="s">
        <v>583</v>
      </c>
      <c r="D105" s="659">
        <f ca="1">IF($A105="","",IFERROR(GETPIVOTDATA("合計 / 入金予定",【ピボット】国保連売上!$A$3,"年月",$A105,"事業所コード",$B105,"事業所",$C105,"事業区分",D$1,"請求区分","単月"),0)
+IFERROR(GETPIVOTDATA("合計 / 入金予定",【ピボット】国保連売上!$A$3,"年月",$A105,"事業所コード",$B105,"事業所",$C105,"事業区分",D$1,"請求区分","再請求"),0))</f>
        <v>1108582</v>
      </c>
      <c r="E105" s="659">
        <f ca="1">IF($A105="","",IFERROR(GETPIVOTDATA("合計 / 処遇改善加算金",【ピボット】国保連売上!$A$3,"年月",$A105,"事業所コード",$B105,"事業所",$C105,"事業区分",D$1,"請求区分","単月"),0))</f>
        <v>0</v>
      </c>
      <c r="F105" s="659">
        <f ca="1">IF($A105="","",IFERROR(GETPIVOTDATA("合計 / 入金予定",【ピボット】国保連売上!$A$3,"年月",$A105,"事業所コード",$B105,"事業所",$C105,"事業区分",F$1,"請求区分","単月"),0)
+IFERROR(GETPIVOTDATA("合計 / 入金予定",【ピボット】国保連売上!$A$3,"年月",$A105,"事業所コード",$B105,"事業所",$C105,"事業区分",F$1,"請求区分","再請求"),0))</f>
        <v>5184</v>
      </c>
      <c r="G105" s="659">
        <f ca="1">IF($A105="","",IFERROR(GETPIVOTDATA("合計 / 処遇改善加算金",【ピボット】国保連売上!$A$3,"年月",$A105,"事業所コード",$B105,"事業所",$C105,"事業区分",F$1,"請求区分","単月"),0))</f>
        <v>0</v>
      </c>
      <c r="H105" s="659">
        <f ca="1">IF($A105="","",IFERROR(GETPIVOTDATA("合計 / 入金予定",【ピボット】国保連売上!$A$3,"年月",$A105,"事業所コード",$B105,"事業所",$C105,"事業区分",H$1,"請求区分","単月"),0)
+IFERROR(GETPIVOTDATA("合計 / 入金予定",【ピボット】国保連売上!$A$3,"年月",$A105,"事業所コード",$B105,"事業所",$C105,"事業区分",H$1,"請求区分","再請求"),0))</f>
        <v>0</v>
      </c>
      <c r="I105" s="659">
        <f ca="1">IF($A105="","",IFERROR(GETPIVOTDATA("合計 / 入金予定",【ピボット】国保連売上!$A$3,"年月",$A105,"事業所コード",$B105,"事業所",$C105,"事業区分",I$1,"請求区分","単月"),0)
+IFERROR(GETPIVOTDATA("合計 / 入金予定",【ピボット】国保連売上!$A$3,"年月",$A105,"事業所コード",$B105,"事業所",$C105,"事業区分",I$1,"請求区分","再請求"),0))</f>
        <v>0</v>
      </c>
      <c r="J105" s="659">
        <f ca="1">IF($A105="","",IFERROR(GETPIVOTDATA("合計 / 処遇改善加算金",【ピボット】国保連売上!$A$3,"年月",$A105,"事業所コード",$B105,"事業所",$C105,"事業区分",I$1,"請求区分","単月"),0))</f>
        <v>0</v>
      </c>
      <c r="K105" s="659">
        <f ca="1">IF($A105="","",IFERROR(GETPIVOTDATA("合計 / 入金予定",【ピボット】国保連売上!$A$3,"年月",$A105,"事業所コード",$B105,"事業所",$C105,"事業区分",K$1,"請求区分","単月"),0)
+IFERROR(GETPIVOTDATA("合計 / 入金予定",【ピボット】国保連売上!$A$3,"年月",$A105,"事業所コード",$B105,"事業所",$C105,"事業区分",K$1,"請求区分","再請求"),0))</f>
        <v>0</v>
      </c>
      <c r="L105" s="659">
        <f ca="1">IF($A105="","",IFERROR(GETPIVOTDATA("合計 / 処遇改善加算金",【ピボット】国保連売上!$A$3,"年月",$A105,"事業所コード",$B105,"事業所",$C105,"事業区分",K$1,"請求区分","単月"),0))</f>
        <v>0</v>
      </c>
      <c r="M105" s="659">
        <f ca="1">IF($A105="","",IFERROR(GETPIVOTDATA("合計 / 入金予定",【ピボット】国保連売上!$A$3,"年月",$A105,"事業所コード",$B105,"事業所",$C105,"事業区分",M$1,"請求区分","単月"),0)
+IFERROR(GETPIVOTDATA("合計 / 入金予定",【ピボット】国保連売上!$A$3,"年月",$A105,"事業所コード",$B105,"事業所",$C105,"事業区分",M$1,"請求区分","再請求"),0))</f>
        <v>0</v>
      </c>
      <c r="N105" s="660">
        <v>347900</v>
      </c>
      <c r="O105" s="660">
        <v>92040</v>
      </c>
      <c r="P105" s="660">
        <v>1662760</v>
      </c>
      <c r="Q105" s="660">
        <v>0</v>
      </c>
      <c r="R105" s="660">
        <v>0</v>
      </c>
      <c r="S105" s="660">
        <v>0</v>
      </c>
      <c r="T105" s="660">
        <v>0</v>
      </c>
      <c r="U105" s="660">
        <v>0</v>
      </c>
      <c r="V105" s="660">
        <v>0</v>
      </c>
      <c r="W105" s="660">
        <v>0</v>
      </c>
      <c r="X105" s="660">
        <v>0</v>
      </c>
      <c r="Y105" s="659">
        <f t="shared" ca="1" si="4"/>
        <v>3216466</v>
      </c>
      <c r="Z105" s="659">
        <f t="shared" ca="1" si="5"/>
        <v>2102700</v>
      </c>
    </row>
    <row r="106" spans="1:26" ht="15.95" customHeight="1" x14ac:dyDescent="0.15">
      <c r="A106" s="656">
        <v>42948</v>
      </c>
      <c r="B106" s="657" t="str">
        <f t="shared" ca="1" si="3"/>
        <v>01</v>
      </c>
      <c r="C106" s="658" t="s">
        <v>34</v>
      </c>
      <c r="D106" s="659">
        <f ca="1">IF($A106="","",IFERROR(GETPIVOTDATA("合計 / 入金予定",【ピボット】国保連売上!$A$3,"年月",$A106,"事業所コード",$B106,"事業所",$C106,"事業区分",D$1,"請求区分","単月"),0)
+IFERROR(GETPIVOTDATA("合計 / 入金予定",【ピボット】国保連売上!$A$3,"年月",$A106,"事業所コード",$B106,"事業所",$C106,"事業区分",D$1,"請求区分","再請求"),0))</f>
        <v>7582359</v>
      </c>
      <c r="E106" s="659">
        <f ca="1">IF($A106="","",IFERROR(GETPIVOTDATA("合計 / 処遇改善加算金",【ピボット】国保連売上!$A$3,"年月",$A106,"事業所コード",$B106,"事業所",$C106,"事業区分",D$1,"請求区分","単月"),0))</f>
        <v>1351019</v>
      </c>
      <c r="F106" s="659">
        <f ca="1">IF($A106="","",IFERROR(GETPIVOTDATA("合計 / 入金予定",【ピボット】国保連売上!$A$3,"年月",$A106,"事業所コード",$B106,"事業所",$C106,"事業区分",F$1,"請求区分","単月"),0)
+IFERROR(GETPIVOTDATA("合計 / 入金予定",【ピボット】国保連売上!$A$3,"年月",$A106,"事業所コード",$B106,"事業所",$C106,"事業区分",F$1,"請求区分","再請求"),0))</f>
        <v>1507926</v>
      </c>
      <c r="G106" s="659">
        <f ca="1">IF($A106="","",IFERROR(GETPIVOTDATA("合計 / 処遇改善加算金",【ピボット】国保連売上!$A$3,"年月",$A106,"事業所コード",$B106,"事業所",$C106,"事業区分",F$1,"請求区分","単月"),0))</f>
        <v>324818</v>
      </c>
      <c r="H106" s="659">
        <f ca="1">IF($A106="","",IFERROR(GETPIVOTDATA("合計 / 入金予定",【ピボット】国保連売上!$A$3,"年月",$A106,"事業所コード",$B106,"事業所",$C106,"事業区分",H$1,"請求区分","単月"),0)
+IFERROR(GETPIVOTDATA("合計 / 入金予定",【ピボット】国保連売上!$A$3,"年月",$A106,"事業所コード",$B106,"事業所",$C106,"事業区分",H$1,"請求区分","再請求"),0))</f>
        <v>686034</v>
      </c>
      <c r="I106" s="659">
        <f ca="1">IF($A106="","",IFERROR(GETPIVOTDATA("合計 / 入金予定",【ピボット】国保連売上!$A$3,"年月",$A106,"事業所コード",$B106,"事業所",$C106,"事業区分",I$1,"請求区分","単月"),0)
+IFERROR(GETPIVOTDATA("合計 / 入金予定",【ピボット】国保連売上!$A$3,"年月",$A106,"事業所コード",$B106,"事業所",$C106,"事業区分",I$1,"請求区分","再請求"),0))</f>
        <v>0</v>
      </c>
      <c r="J106" s="659">
        <f ca="1">IF($A106="","",IFERROR(GETPIVOTDATA("合計 / 処遇改善加算金",【ピボット】国保連売上!$A$3,"年月",$A106,"事業所コード",$B106,"事業所",$C106,"事業区分",I$1,"請求区分","単月"),0))</f>
        <v>0</v>
      </c>
      <c r="K106" s="659">
        <f ca="1">IF($A106="","",IFERROR(GETPIVOTDATA("合計 / 入金予定",【ピボット】国保連売上!$A$3,"年月",$A106,"事業所コード",$B106,"事業所",$C106,"事業区分",K$1,"請求区分","単月"),0)
+IFERROR(GETPIVOTDATA("合計 / 入金予定",【ピボット】国保連売上!$A$3,"年月",$A106,"事業所コード",$B106,"事業所",$C106,"事業区分",K$1,"請求区分","再請求"),0))</f>
        <v>0</v>
      </c>
      <c r="L106" s="659">
        <f ca="1">IF($A106="","",IFERROR(GETPIVOTDATA("合計 / 処遇改善加算金",【ピボット】国保連売上!$A$3,"年月",$A106,"事業所コード",$B106,"事業所",$C106,"事業区分",K$1,"請求区分","単月"),0))</f>
        <v>0</v>
      </c>
      <c r="M106" s="659">
        <f ca="1">IF($A106="","",IFERROR(GETPIVOTDATA("合計 / 入金予定",【ピボット】国保連売上!$A$3,"年月",$A106,"事業所コード",$B106,"事業所",$C106,"事業区分",M$1,"請求区分","単月"),0)
+IFERROR(GETPIVOTDATA("合計 / 入金予定",【ピボット】国保連売上!$A$3,"年月",$A106,"事業所コード",$B106,"事業所",$C106,"事業区分",M$1,"請求区分","再請求"),0))</f>
        <v>0</v>
      </c>
      <c r="N106" s="660">
        <v>74848</v>
      </c>
      <c r="O106" s="660">
        <v>5910</v>
      </c>
      <c r="P106" s="660">
        <v>0</v>
      </c>
      <c r="Q106" s="660">
        <v>6323</v>
      </c>
      <c r="R106" s="660">
        <v>140840</v>
      </c>
      <c r="S106" s="660">
        <v>0</v>
      </c>
      <c r="T106" s="660">
        <v>0</v>
      </c>
      <c r="U106" s="660">
        <v>0</v>
      </c>
      <c r="V106" s="660">
        <v>0</v>
      </c>
      <c r="W106" s="660">
        <v>0</v>
      </c>
      <c r="X106" s="660">
        <v>0</v>
      </c>
      <c r="Y106" s="659">
        <f t="shared" ca="1" si="4"/>
        <v>10004240</v>
      </c>
      <c r="Z106" s="659">
        <f t="shared" ca="1" si="5"/>
        <v>227921</v>
      </c>
    </row>
    <row r="107" spans="1:26" ht="15.95" customHeight="1" x14ac:dyDescent="0.15">
      <c r="A107" s="656">
        <v>42948</v>
      </c>
      <c r="B107" s="657" t="str">
        <f t="shared" ca="1" si="3"/>
        <v>02</v>
      </c>
      <c r="C107" s="658" t="s">
        <v>37</v>
      </c>
      <c r="D107" s="659">
        <f ca="1">IF($A107="","",IFERROR(GETPIVOTDATA("合計 / 入金予定",【ピボット】国保連売上!$A$3,"年月",$A107,"事業所コード",$B107,"事業所",$C107,"事業区分",D$1,"請求区分","単月"),0)
+IFERROR(GETPIVOTDATA("合計 / 入金予定",【ピボット】国保連売上!$A$3,"年月",$A107,"事業所コード",$B107,"事業所",$C107,"事業区分",D$1,"請求区分","再請求"),0))</f>
        <v>3880728</v>
      </c>
      <c r="E107" s="659">
        <f ca="1">IF($A107="","",IFERROR(GETPIVOTDATA("合計 / 処遇改善加算金",【ピボット】国保連売上!$A$3,"年月",$A107,"事業所コード",$B107,"事業所",$C107,"事業区分",D$1,"請求区分","単月"),0))</f>
        <v>436057</v>
      </c>
      <c r="F107" s="659">
        <f ca="1">IF($A107="","",IFERROR(GETPIVOTDATA("合計 / 入金予定",【ピボット】国保連売上!$A$3,"年月",$A107,"事業所コード",$B107,"事業所",$C107,"事業区分",F$1,"請求区分","単月"),0)
+IFERROR(GETPIVOTDATA("合計 / 入金予定",【ピボット】国保連売上!$A$3,"年月",$A107,"事業所コード",$B107,"事業所",$C107,"事業区分",F$1,"請求区分","再請求"),0))</f>
        <v>909109</v>
      </c>
      <c r="G107" s="659">
        <f ca="1">IF($A107="","",IFERROR(GETPIVOTDATA("合計 / 処遇改善加算金",【ピボット】国保連売上!$A$3,"年月",$A107,"事業所コード",$B107,"事業所",$C107,"事業区分",F$1,"請求区分","単月"),0))</f>
        <v>198848</v>
      </c>
      <c r="H107" s="659">
        <f ca="1">IF($A107="","",IFERROR(GETPIVOTDATA("合計 / 入金予定",【ピボット】国保連売上!$A$3,"年月",$A107,"事業所コード",$B107,"事業所",$C107,"事業区分",H$1,"請求区分","単月"),0)
+IFERROR(GETPIVOTDATA("合計 / 入金予定",【ピボット】国保連売上!$A$3,"年月",$A107,"事業所コード",$B107,"事業所",$C107,"事業区分",H$1,"請求区分","再請求"),0))</f>
        <v>474864</v>
      </c>
      <c r="I107" s="659">
        <f ca="1">IF($A107="","",IFERROR(GETPIVOTDATA("合計 / 入金予定",【ピボット】国保連売上!$A$3,"年月",$A107,"事業所コード",$B107,"事業所",$C107,"事業区分",I$1,"請求区分","単月"),0)
+IFERROR(GETPIVOTDATA("合計 / 入金予定",【ピボット】国保連売上!$A$3,"年月",$A107,"事業所コード",$B107,"事業所",$C107,"事業区分",I$1,"請求区分","再請求"),0))</f>
        <v>0</v>
      </c>
      <c r="J107" s="659">
        <f ca="1">IF($A107="","",IFERROR(GETPIVOTDATA("合計 / 処遇改善加算金",【ピボット】国保連売上!$A$3,"年月",$A107,"事業所コード",$B107,"事業所",$C107,"事業区分",I$1,"請求区分","単月"),0))</f>
        <v>0</v>
      </c>
      <c r="K107" s="659">
        <f ca="1">IF($A107="","",IFERROR(GETPIVOTDATA("合計 / 入金予定",【ピボット】国保連売上!$A$3,"年月",$A107,"事業所コード",$B107,"事業所",$C107,"事業区分",K$1,"請求区分","単月"),0)
+IFERROR(GETPIVOTDATA("合計 / 入金予定",【ピボット】国保連売上!$A$3,"年月",$A107,"事業所コード",$B107,"事業所",$C107,"事業区分",K$1,"請求区分","再請求"),0))</f>
        <v>0</v>
      </c>
      <c r="L107" s="659">
        <f ca="1">IF($A107="","",IFERROR(GETPIVOTDATA("合計 / 処遇改善加算金",【ピボット】国保連売上!$A$3,"年月",$A107,"事業所コード",$B107,"事業所",$C107,"事業区分",K$1,"請求区分","単月"),0))</f>
        <v>0</v>
      </c>
      <c r="M107" s="659">
        <f ca="1">IF($A107="","",IFERROR(GETPIVOTDATA("合計 / 入金予定",【ピボット】国保連売上!$A$3,"年月",$A107,"事業所コード",$B107,"事業所",$C107,"事業区分",M$1,"請求区分","単月"),0)
+IFERROR(GETPIVOTDATA("合計 / 入金予定",【ピボット】国保連売上!$A$3,"年月",$A107,"事業所コード",$B107,"事業所",$C107,"事業区分",M$1,"請求区分","再請求"),0))</f>
        <v>0</v>
      </c>
      <c r="N107" s="660">
        <v>295980</v>
      </c>
      <c r="O107" s="660">
        <v>0</v>
      </c>
      <c r="P107" s="660">
        <v>0</v>
      </c>
      <c r="Q107" s="660">
        <v>1908</v>
      </c>
      <c r="R107" s="660">
        <v>81372</v>
      </c>
      <c r="S107" s="660">
        <v>0</v>
      </c>
      <c r="T107" s="660">
        <v>0</v>
      </c>
      <c r="U107" s="660">
        <v>0</v>
      </c>
      <c r="V107" s="660">
        <v>0</v>
      </c>
      <c r="W107" s="660">
        <v>0</v>
      </c>
      <c r="X107" s="660">
        <v>0</v>
      </c>
      <c r="Y107" s="659">
        <f t="shared" ca="1" si="4"/>
        <v>5643961</v>
      </c>
      <c r="Z107" s="659">
        <f t="shared" ca="1" si="5"/>
        <v>379260</v>
      </c>
    </row>
    <row r="108" spans="1:26" ht="15.95" customHeight="1" x14ac:dyDescent="0.15">
      <c r="A108" s="656">
        <v>42948</v>
      </c>
      <c r="B108" s="657" t="str">
        <f t="shared" ca="1" si="3"/>
        <v>03</v>
      </c>
      <c r="C108" s="658" t="s">
        <v>66</v>
      </c>
      <c r="D108" s="659">
        <f ca="1">IF($A108="","",IFERROR(GETPIVOTDATA("合計 / 入金予定",【ピボット】国保連売上!$A$3,"年月",$A108,"事業所コード",$B108,"事業所",$C108,"事業区分",D$1,"請求区分","単月"),0)
+IFERROR(GETPIVOTDATA("合計 / 入金予定",【ピボット】国保連売上!$A$3,"年月",$A108,"事業所コード",$B108,"事業所",$C108,"事業区分",D$1,"請求区分","再請求"),0))</f>
        <v>3535427</v>
      </c>
      <c r="E108" s="659">
        <f ca="1">IF($A108="","",IFERROR(GETPIVOTDATA("合計 / 処遇改善加算金",【ピボット】国保連売上!$A$3,"年月",$A108,"事業所コード",$B108,"事業所",$C108,"事業区分",D$1,"請求区分","単月"),0))</f>
        <v>392966</v>
      </c>
      <c r="F108" s="659">
        <f ca="1">IF($A108="","",IFERROR(GETPIVOTDATA("合計 / 入金予定",【ピボット】国保連売上!$A$3,"年月",$A108,"事業所コード",$B108,"事業所",$C108,"事業区分",F$1,"請求区分","単月"),0)
+IFERROR(GETPIVOTDATA("合計 / 入金予定",【ピボット】国保連売上!$A$3,"年月",$A108,"事業所コード",$B108,"事業所",$C108,"事業区分",F$1,"請求区分","再請求"),0))</f>
        <v>2017857</v>
      </c>
      <c r="G108" s="659">
        <f ca="1">IF($A108="","",IFERROR(GETPIVOTDATA("合計 / 処遇改善加算金",【ピボット】国保連売上!$A$3,"年月",$A108,"事業所コード",$B108,"事業所",$C108,"事業区分",F$1,"請求区分","単月"),0))</f>
        <v>466306</v>
      </c>
      <c r="H108" s="659">
        <f ca="1">IF($A108="","",IFERROR(GETPIVOTDATA("合計 / 入金予定",【ピボット】国保連売上!$A$3,"年月",$A108,"事業所コード",$B108,"事業所",$C108,"事業区分",H$1,"請求区分","単月"),0)
+IFERROR(GETPIVOTDATA("合計 / 入金予定",【ピボット】国保連売上!$A$3,"年月",$A108,"事業所コード",$B108,"事業所",$C108,"事業区分",H$1,"請求区分","再請求"),0))</f>
        <v>0</v>
      </c>
      <c r="I108" s="659">
        <f ca="1">IF($A108="","",IFERROR(GETPIVOTDATA("合計 / 入金予定",【ピボット】国保連売上!$A$3,"年月",$A108,"事業所コード",$B108,"事業所",$C108,"事業区分",I$1,"請求区分","単月"),0)
+IFERROR(GETPIVOTDATA("合計 / 入金予定",【ピボット】国保連売上!$A$3,"年月",$A108,"事業所コード",$B108,"事業所",$C108,"事業区分",I$1,"請求区分","再請求"),0))</f>
        <v>0</v>
      </c>
      <c r="J108" s="659">
        <f ca="1">IF($A108="","",IFERROR(GETPIVOTDATA("合計 / 処遇改善加算金",【ピボット】国保連売上!$A$3,"年月",$A108,"事業所コード",$B108,"事業所",$C108,"事業区分",I$1,"請求区分","単月"),0))</f>
        <v>0</v>
      </c>
      <c r="K108" s="659">
        <f ca="1">IF($A108="","",IFERROR(GETPIVOTDATA("合計 / 入金予定",【ピボット】国保連売上!$A$3,"年月",$A108,"事業所コード",$B108,"事業所",$C108,"事業区分",K$1,"請求区分","単月"),0)
+IFERROR(GETPIVOTDATA("合計 / 入金予定",【ピボット】国保連売上!$A$3,"年月",$A108,"事業所コード",$B108,"事業所",$C108,"事業区分",K$1,"請求区分","再請求"),0))</f>
        <v>0</v>
      </c>
      <c r="L108" s="659">
        <f ca="1">IF($A108="","",IFERROR(GETPIVOTDATA("合計 / 処遇改善加算金",【ピボット】国保連売上!$A$3,"年月",$A108,"事業所コード",$B108,"事業所",$C108,"事業区分",K$1,"請求区分","単月"),0))</f>
        <v>0</v>
      </c>
      <c r="M108" s="659">
        <f ca="1">IF($A108="","",IFERROR(GETPIVOTDATA("合計 / 入金予定",【ピボット】国保連売上!$A$3,"年月",$A108,"事業所コード",$B108,"事業所",$C108,"事業区分",M$1,"請求区分","単月"),0)
+IFERROR(GETPIVOTDATA("合計 / 入金予定",【ピボット】国保連売上!$A$3,"年月",$A108,"事業所コード",$B108,"事業所",$C108,"事業区分",M$1,"請求区分","再請求"),0))</f>
        <v>0</v>
      </c>
      <c r="N108" s="660">
        <v>71200</v>
      </c>
      <c r="O108" s="660">
        <v>121830</v>
      </c>
      <c r="P108" s="660">
        <v>38720</v>
      </c>
      <c r="Q108" s="660">
        <v>3611</v>
      </c>
      <c r="R108" s="660">
        <v>0</v>
      </c>
      <c r="S108" s="660">
        <v>0</v>
      </c>
      <c r="T108" s="660">
        <v>0</v>
      </c>
      <c r="U108" s="660">
        <v>0</v>
      </c>
      <c r="V108" s="660">
        <v>0</v>
      </c>
      <c r="W108" s="660">
        <v>0</v>
      </c>
      <c r="X108" s="660">
        <v>0</v>
      </c>
      <c r="Y108" s="659">
        <f t="shared" ca="1" si="4"/>
        <v>5788645</v>
      </c>
      <c r="Z108" s="659">
        <f t="shared" ca="1" si="5"/>
        <v>235361</v>
      </c>
    </row>
    <row r="109" spans="1:26" ht="15.95" customHeight="1" x14ac:dyDescent="0.15">
      <c r="A109" s="656">
        <v>42948</v>
      </c>
      <c r="B109" s="657" t="str">
        <f t="shared" ca="1" si="3"/>
        <v>04</v>
      </c>
      <c r="C109" s="658" t="s">
        <v>358</v>
      </c>
      <c r="D109" s="659">
        <f ca="1">IF($A109="","",IFERROR(GETPIVOTDATA("合計 / 入金予定",【ピボット】国保連売上!$A$3,"年月",$A109,"事業所コード",$B109,"事業所",$C109,"事業区分",D$1,"請求区分","単月"),0)
+IFERROR(GETPIVOTDATA("合計 / 入金予定",【ピボット】国保連売上!$A$3,"年月",$A109,"事業所コード",$B109,"事業所",$C109,"事業区分",D$1,"請求区分","再請求"),0))</f>
        <v>0</v>
      </c>
      <c r="E109" s="659">
        <f ca="1">IF($A109="","",IFERROR(GETPIVOTDATA("合計 / 処遇改善加算金",【ピボット】国保連売上!$A$3,"年月",$A109,"事業所コード",$B109,"事業所",$C109,"事業区分",D$1,"請求区分","単月"),0))</f>
        <v>0</v>
      </c>
      <c r="F109" s="659">
        <f ca="1">IF($A109="","",IFERROR(GETPIVOTDATA("合計 / 入金予定",【ピボット】国保連売上!$A$3,"年月",$A109,"事業所コード",$B109,"事業所",$C109,"事業区分",F$1,"請求区分","単月"),0)
+IFERROR(GETPIVOTDATA("合計 / 入金予定",【ピボット】国保連売上!$A$3,"年月",$A109,"事業所コード",$B109,"事業所",$C109,"事業区分",F$1,"請求区分","再請求"),0))</f>
        <v>0</v>
      </c>
      <c r="G109" s="659">
        <f ca="1">IF($A109="","",IFERROR(GETPIVOTDATA("合計 / 処遇改善加算金",【ピボット】国保連売上!$A$3,"年月",$A109,"事業所コード",$B109,"事業所",$C109,"事業区分",F$1,"請求区分","単月"),0))</f>
        <v>0</v>
      </c>
      <c r="H109" s="659">
        <f ca="1">IF($A109="","",IFERROR(GETPIVOTDATA("合計 / 入金予定",【ピボット】国保連売上!$A$3,"年月",$A109,"事業所コード",$B109,"事業所",$C109,"事業区分",H$1,"請求区分","単月"),0)
+IFERROR(GETPIVOTDATA("合計 / 入金予定",【ピボット】国保連売上!$A$3,"年月",$A109,"事業所コード",$B109,"事業所",$C109,"事業区分",H$1,"請求区分","再請求"),0))</f>
        <v>0</v>
      </c>
      <c r="I109" s="659">
        <f ca="1">IF($A109="","",IFERROR(GETPIVOTDATA("合計 / 入金予定",【ピボット】国保連売上!$A$3,"年月",$A109,"事業所コード",$B109,"事業所",$C109,"事業区分",I$1,"請求区分","単月"),0)
+IFERROR(GETPIVOTDATA("合計 / 入金予定",【ピボット】国保連売上!$A$3,"年月",$A109,"事業所コード",$B109,"事業所",$C109,"事業区分",I$1,"請求区分","再請求"),0))</f>
        <v>3004304</v>
      </c>
      <c r="J109" s="659">
        <f ca="1">IF($A109="","",IFERROR(GETPIVOTDATA("合計 / 処遇改善加算金",【ピボット】国保連売上!$A$3,"年月",$A109,"事業所コード",$B109,"事業所",$C109,"事業区分",I$1,"請求区分","単月"),0))</f>
        <v>167502</v>
      </c>
      <c r="K109" s="659">
        <f ca="1">IF($A109="","",IFERROR(GETPIVOTDATA("合計 / 入金予定",【ピボット】国保連売上!$A$3,"年月",$A109,"事業所コード",$B109,"事業所",$C109,"事業区分",K$1,"請求区分","単月"),0)
+IFERROR(GETPIVOTDATA("合計 / 入金予定",【ピボット】国保連売上!$A$3,"年月",$A109,"事業所コード",$B109,"事業所",$C109,"事業区分",K$1,"請求区分","再請求"),0))</f>
        <v>0</v>
      </c>
      <c r="L109" s="659">
        <f ca="1">IF($A109="","",IFERROR(GETPIVOTDATA("合計 / 処遇改善加算金",【ピボット】国保連売上!$A$3,"年月",$A109,"事業所コード",$B109,"事業所",$C109,"事業区分",K$1,"請求区分","単月"),0))</f>
        <v>0</v>
      </c>
      <c r="M109" s="659">
        <f ca="1">IF($A109="","",IFERROR(GETPIVOTDATA("合計 / 入金予定",【ピボット】国保連売上!$A$3,"年月",$A109,"事業所コード",$B109,"事業所",$C109,"事業区分",M$1,"請求区分","単月"),0)
+IFERROR(GETPIVOTDATA("合計 / 入金予定",【ピボット】国保連売上!$A$3,"年月",$A109,"事業所コード",$B109,"事業所",$C109,"事業区分",M$1,"請求区分","再請求"),0))</f>
        <v>0</v>
      </c>
      <c r="N109" s="660">
        <v>0</v>
      </c>
      <c r="O109" s="660">
        <v>0</v>
      </c>
      <c r="P109" s="660">
        <v>0</v>
      </c>
      <c r="Q109" s="660">
        <v>0</v>
      </c>
      <c r="R109" s="660">
        <v>0</v>
      </c>
      <c r="S109" s="660">
        <v>0</v>
      </c>
      <c r="T109" s="660">
        <v>170500</v>
      </c>
      <c r="U109" s="660">
        <v>0</v>
      </c>
      <c r="V109" s="660">
        <v>0</v>
      </c>
      <c r="W109" s="660">
        <v>0</v>
      </c>
      <c r="X109" s="660">
        <v>0</v>
      </c>
      <c r="Y109" s="659">
        <f t="shared" ca="1" si="4"/>
        <v>3174804</v>
      </c>
      <c r="Z109" s="659">
        <f t="shared" ca="1" si="5"/>
        <v>170500</v>
      </c>
    </row>
    <row r="110" spans="1:26" ht="15.95" customHeight="1" x14ac:dyDescent="0.15">
      <c r="A110" s="656">
        <v>42948</v>
      </c>
      <c r="B110" s="657" t="str">
        <f t="shared" ca="1" si="3"/>
        <v>07</v>
      </c>
      <c r="C110" s="658" t="s">
        <v>119</v>
      </c>
      <c r="D110" s="659">
        <f ca="1">IF($A110="","",IFERROR(GETPIVOTDATA("合計 / 入金予定",【ピボット】国保連売上!$A$3,"年月",$A110,"事業所コード",$B110,"事業所",$C110,"事業区分",D$1,"請求区分","単月"),0)
+IFERROR(GETPIVOTDATA("合計 / 入金予定",【ピボット】国保連売上!$A$3,"年月",$A110,"事業所コード",$B110,"事業所",$C110,"事業区分",D$1,"請求区分","再請求"),0))</f>
        <v>0</v>
      </c>
      <c r="E110" s="659">
        <f ca="1">IF($A110="","",IFERROR(GETPIVOTDATA("合計 / 処遇改善加算金",【ピボット】国保連売上!$A$3,"年月",$A110,"事業所コード",$B110,"事業所",$C110,"事業区分",D$1,"請求区分","単月"),0))</f>
        <v>0</v>
      </c>
      <c r="F110" s="659">
        <f ca="1">IF($A110="","",IFERROR(GETPIVOTDATA("合計 / 入金予定",【ピボット】国保連売上!$A$3,"年月",$A110,"事業所コード",$B110,"事業所",$C110,"事業区分",F$1,"請求区分","単月"),0)
+IFERROR(GETPIVOTDATA("合計 / 入金予定",【ピボット】国保連売上!$A$3,"年月",$A110,"事業所コード",$B110,"事業所",$C110,"事業区分",F$1,"請求区分","再請求"),0))</f>
        <v>0</v>
      </c>
      <c r="G110" s="659">
        <f ca="1">IF($A110="","",IFERROR(GETPIVOTDATA("合計 / 処遇改善加算金",【ピボット】国保連売上!$A$3,"年月",$A110,"事業所コード",$B110,"事業所",$C110,"事業区分",F$1,"請求区分","単月"),0))</f>
        <v>0</v>
      </c>
      <c r="H110" s="659">
        <f ca="1">IF($A110="","",IFERROR(GETPIVOTDATA("合計 / 入金予定",【ピボット】国保連売上!$A$3,"年月",$A110,"事業所コード",$B110,"事業所",$C110,"事業区分",H$1,"請求区分","単月"),0)
+IFERROR(GETPIVOTDATA("合計 / 入金予定",【ピボット】国保連売上!$A$3,"年月",$A110,"事業所コード",$B110,"事業所",$C110,"事業区分",H$1,"請求区分","再請求"),0))</f>
        <v>0</v>
      </c>
      <c r="I110" s="659">
        <f ca="1">IF($A110="","",IFERROR(GETPIVOTDATA("合計 / 入金予定",【ピボット】国保連売上!$A$3,"年月",$A110,"事業所コード",$B110,"事業所",$C110,"事業区分",I$1,"請求区分","単月"),0)
+IFERROR(GETPIVOTDATA("合計 / 入金予定",【ピボット】国保連売上!$A$3,"年月",$A110,"事業所コード",$B110,"事業所",$C110,"事業区分",I$1,"請求区分","再請求"),0))</f>
        <v>0</v>
      </c>
      <c r="J110" s="659">
        <f ca="1">IF($A110="","",IFERROR(GETPIVOTDATA("合計 / 処遇改善加算金",【ピボット】国保連売上!$A$3,"年月",$A110,"事業所コード",$B110,"事業所",$C110,"事業区分",I$1,"請求区分","単月"),0))</f>
        <v>0</v>
      </c>
      <c r="K110" s="659">
        <f ca="1">IF($A110="","",IFERROR(GETPIVOTDATA("合計 / 入金予定",【ピボット】国保連売上!$A$3,"年月",$A110,"事業所コード",$B110,"事業所",$C110,"事業区分",K$1,"請求区分","単月"),0)
+IFERROR(GETPIVOTDATA("合計 / 入金予定",【ピボット】国保連売上!$A$3,"年月",$A110,"事業所コード",$B110,"事業所",$C110,"事業区分",K$1,"請求区分","再請求"),0))</f>
        <v>998363</v>
      </c>
      <c r="L110" s="659">
        <f ca="1">IF($A110="","",IFERROR(GETPIVOTDATA("合計 / 処遇改善加算金",【ピボット】国保連売上!$A$3,"年月",$A110,"事業所コード",$B110,"事業所",$C110,"事業区分",K$1,"請求区分","単月"),0))</f>
        <v>251984</v>
      </c>
      <c r="M110" s="659">
        <f ca="1">IF($A110="","",IFERROR(GETPIVOTDATA("合計 / 入金予定",【ピボット】国保連売上!$A$3,"年月",$A110,"事業所コード",$B110,"事業所",$C110,"事業区分",M$1,"請求区分","単月"),0)
+IFERROR(GETPIVOTDATA("合計 / 入金予定",【ピボット】国保連売上!$A$3,"年月",$A110,"事業所コード",$B110,"事業所",$C110,"事業区分",M$1,"請求区分","再請求"),0))</f>
        <v>0</v>
      </c>
      <c r="N110" s="660">
        <v>0</v>
      </c>
      <c r="O110" s="660">
        <v>0</v>
      </c>
      <c r="P110" s="660">
        <v>0</v>
      </c>
      <c r="Q110" s="660">
        <v>0</v>
      </c>
      <c r="R110" s="660">
        <v>0</v>
      </c>
      <c r="S110" s="660">
        <v>78000</v>
      </c>
      <c r="T110" s="660">
        <v>0</v>
      </c>
      <c r="U110" s="660">
        <v>0</v>
      </c>
      <c r="V110" s="660">
        <v>-40000</v>
      </c>
      <c r="W110" s="660">
        <v>0</v>
      </c>
      <c r="X110" s="660">
        <v>0</v>
      </c>
      <c r="Y110" s="659">
        <f t="shared" ca="1" si="4"/>
        <v>1036363</v>
      </c>
      <c r="Z110" s="659">
        <f t="shared" ca="1" si="5"/>
        <v>38000</v>
      </c>
    </row>
    <row r="111" spans="1:26" ht="15.95" customHeight="1" x14ac:dyDescent="0.15">
      <c r="A111" s="656">
        <v>42948</v>
      </c>
      <c r="B111" s="657" t="str">
        <f t="shared" ca="1" si="3"/>
        <v>08</v>
      </c>
      <c r="C111" s="658" t="s">
        <v>189</v>
      </c>
      <c r="D111" s="659">
        <f ca="1">IF($A111="","",IFERROR(GETPIVOTDATA("合計 / 入金予定",【ピボット】国保連売上!$A$3,"年月",$A111,"事業所コード",$B111,"事業所",$C111,"事業区分",D$1,"請求区分","単月"),0)
+IFERROR(GETPIVOTDATA("合計 / 入金予定",【ピボット】国保連売上!$A$3,"年月",$A111,"事業所コード",$B111,"事業所",$C111,"事業区分",D$1,"請求区分","再請求"),0))</f>
        <v>0</v>
      </c>
      <c r="E111" s="659">
        <f ca="1">IF($A111="","",IFERROR(GETPIVOTDATA("合計 / 処遇改善加算金",【ピボット】国保連売上!$A$3,"年月",$A111,"事業所コード",$B111,"事業所",$C111,"事業区分",D$1,"請求区分","単月"),0))</f>
        <v>0</v>
      </c>
      <c r="F111" s="659">
        <f ca="1">IF($A111="","",IFERROR(GETPIVOTDATA("合計 / 入金予定",【ピボット】国保連売上!$A$3,"年月",$A111,"事業所コード",$B111,"事業所",$C111,"事業区分",F$1,"請求区分","単月"),0)
+IFERROR(GETPIVOTDATA("合計 / 入金予定",【ピボット】国保連売上!$A$3,"年月",$A111,"事業所コード",$B111,"事業所",$C111,"事業区分",F$1,"請求区分","再請求"),0))</f>
        <v>0</v>
      </c>
      <c r="G111" s="659">
        <f ca="1">IF($A111="","",IFERROR(GETPIVOTDATA("合計 / 処遇改善加算金",【ピボット】国保連売上!$A$3,"年月",$A111,"事業所コード",$B111,"事業所",$C111,"事業区分",F$1,"請求区分","単月"),0))</f>
        <v>0</v>
      </c>
      <c r="H111" s="659">
        <f ca="1">IF($A111="","",IFERROR(GETPIVOTDATA("合計 / 入金予定",【ピボット】国保連売上!$A$3,"年月",$A111,"事業所コード",$B111,"事業所",$C111,"事業区分",H$1,"請求区分","単月"),0)
+IFERROR(GETPIVOTDATA("合計 / 入金予定",【ピボット】国保連売上!$A$3,"年月",$A111,"事業所コード",$B111,"事業所",$C111,"事業区分",H$1,"請求区分","再請求"),0))</f>
        <v>0</v>
      </c>
      <c r="I111" s="659">
        <f ca="1">IF($A111="","",IFERROR(GETPIVOTDATA("合計 / 入金予定",【ピボット】国保連売上!$A$3,"年月",$A111,"事業所コード",$B111,"事業所",$C111,"事業区分",I$1,"請求区分","単月"),0)
+IFERROR(GETPIVOTDATA("合計 / 入金予定",【ピボット】国保連売上!$A$3,"年月",$A111,"事業所コード",$B111,"事業所",$C111,"事業区分",I$1,"請求区分","再請求"),0))</f>
        <v>0</v>
      </c>
      <c r="J111" s="659">
        <f ca="1">IF($A111="","",IFERROR(GETPIVOTDATA("合計 / 処遇改善加算金",【ピボット】国保連売上!$A$3,"年月",$A111,"事業所コード",$B111,"事業所",$C111,"事業区分",I$1,"請求区分","単月"),0))</f>
        <v>0</v>
      </c>
      <c r="K111" s="659">
        <f ca="1">IF($A111="","",IFERROR(GETPIVOTDATA("合計 / 入金予定",【ピボット】国保連売上!$A$3,"年月",$A111,"事業所コード",$B111,"事業所",$C111,"事業区分",K$1,"請求区分","単月"),0)
+IFERROR(GETPIVOTDATA("合計 / 入金予定",【ピボット】国保連売上!$A$3,"年月",$A111,"事業所コード",$B111,"事業所",$C111,"事業区分",K$1,"請求区分","再請求"),0))</f>
        <v>983492</v>
      </c>
      <c r="L111" s="659">
        <f ca="1">IF($A111="","",IFERROR(GETPIVOTDATA("合計 / 処遇改善加算金",【ピボット】国保連売上!$A$3,"年月",$A111,"事業所コード",$B111,"事業所",$C111,"事業区分",K$1,"請求区分","単月"),0))</f>
        <v>0</v>
      </c>
      <c r="M111" s="659">
        <f ca="1">IF($A111="","",IFERROR(GETPIVOTDATA("合計 / 入金予定",【ピボット】国保連売上!$A$3,"年月",$A111,"事業所コード",$B111,"事業所",$C111,"事業区分",M$1,"請求区分","単月"),0)
+IFERROR(GETPIVOTDATA("合計 / 入金予定",【ピボット】国保連売上!$A$3,"年月",$A111,"事業所コード",$B111,"事業所",$C111,"事業区分",M$1,"請求区分","再請求"),0))</f>
        <v>0</v>
      </c>
      <c r="N111" s="660">
        <v>20000</v>
      </c>
      <c r="O111" s="660">
        <v>0</v>
      </c>
      <c r="P111" s="660">
        <v>0</v>
      </c>
      <c r="Q111" s="660">
        <v>0</v>
      </c>
      <c r="R111" s="660">
        <v>0</v>
      </c>
      <c r="S111" s="660">
        <v>98000</v>
      </c>
      <c r="T111" s="660">
        <v>0</v>
      </c>
      <c r="U111" s="660">
        <v>0</v>
      </c>
      <c r="V111" s="660">
        <v>-100000</v>
      </c>
      <c r="W111" s="660">
        <v>0</v>
      </c>
      <c r="X111" s="660">
        <v>0</v>
      </c>
      <c r="Y111" s="659">
        <f t="shared" ca="1" si="4"/>
        <v>1001492</v>
      </c>
      <c r="Z111" s="659">
        <f t="shared" ca="1" si="5"/>
        <v>18000</v>
      </c>
    </row>
    <row r="112" spans="1:26" ht="15.95" customHeight="1" x14ac:dyDescent="0.15">
      <c r="A112" s="656">
        <v>42948</v>
      </c>
      <c r="B112" s="657" t="str">
        <f t="shared" ca="1" si="3"/>
        <v>09</v>
      </c>
      <c r="C112" s="658" t="s">
        <v>329</v>
      </c>
      <c r="D112" s="659">
        <f ca="1">IF($A112="","",IFERROR(GETPIVOTDATA("合計 / 入金予定",【ピボット】国保連売上!$A$3,"年月",$A112,"事業所コード",$B112,"事業所",$C112,"事業区分",D$1,"請求区分","単月"),0)
+IFERROR(GETPIVOTDATA("合計 / 入金予定",【ピボット】国保連売上!$A$3,"年月",$A112,"事業所コード",$B112,"事業所",$C112,"事業区分",D$1,"請求区分","再請求"),0))</f>
        <v>0</v>
      </c>
      <c r="E112" s="659">
        <f ca="1">IF($A112="","",IFERROR(GETPIVOTDATA("合計 / 処遇改善加算金",【ピボット】国保連売上!$A$3,"年月",$A112,"事業所コード",$B112,"事業所",$C112,"事業区分",D$1,"請求区分","単月"),0))</f>
        <v>0</v>
      </c>
      <c r="F112" s="659">
        <f ca="1">IF($A112="","",IFERROR(GETPIVOTDATA("合計 / 入金予定",【ピボット】国保連売上!$A$3,"年月",$A112,"事業所コード",$B112,"事業所",$C112,"事業区分",F$1,"請求区分","単月"),0)
+IFERROR(GETPIVOTDATA("合計 / 入金予定",【ピボット】国保連売上!$A$3,"年月",$A112,"事業所コード",$B112,"事業所",$C112,"事業区分",F$1,"請求区分","再請求"),0))</f>
        <v>0</v>
      </c>
      <c r="G112" s="659">
        <f ca="1">IF($A112="","",IFERROR(GETPIVOTDATA("合計 / 処遇改善加算金",【ピボット】国保連売上!$A$3,"年月",$A112,"事業所コード",$B112,"事業所",$C112,"事業区分",F$1,"請求区分","単月"),0))</f>
        <v>0</v>
      </c>
      <c r="H112" s="659">
        <f ca="1">IF($A112="","",IFERROR(GETPIVOTDATA("合計 / 入金予定",【ピボット】国保連売上!$A$3,"年月",$A112,"事業所コード",$B112,"事業所",$C112,"事業区分",H$1,"請求区分","単月"),0)
+IFERROR(GETPIVOTDATA("合計 / 入金予定",【ピボット】国保連売上!$A$3,"年月",$A112,"事業所コード",$B112,"事業所",$C112,"事業区分",H$1,"請求区分","再請求"),0))</f>
        <v>0</v>
      </c>
      <c r="I112" s="659">
        <f ca="1">IF($A112="","",IFERROR(GETPIVOTDATA("合計 / 入金予定",【ピボット】国保連売上!$A$3,"年月",$A112,"事業所コード",$B112,"事業所",$C112,"事業区分",I$1,"請求区分","単月"),0)
+IFERROR(GETPIVOTDATA("合計 / 入金予定",【ピボット】国保連売上!$A$3,"年月",$A112,"事業所コード",$B112,"事業所",$C112,"事業区分",I$1,"請求区分","再請求"),0))</f>
        <v>0</v>
      </c>
      <c r="J112" s="659">
        <f ca="1">IF($A112="","",IFERROR(GETPIVOTDATA("合計 / 処遇改善加算金",【ピボット】国保連売上!$A$3,"年月",$A112,"事業所コード",$B112,"事業所",$C112,"事業区分",I$1,"請求区分","単月"),0))</f>
        <v>0</v>
      </c>
      <c r="K112" s="659">
        <f ca="1">IF($A112="","",IFERROR(GETPIVOTDATA("合計 / 入金予定",【ピボット】国保連売上!$A$3,"年月",$A112,"事業所コード",$B112,"事業所",$C112,"事業区分",K$1,"請求区分","単月"),0)
+IFERROR(GETPIVOTDATA("合計 / 入金予定",【ピボット】国保連売上!$A$3,"年月",$A112,"事業所コード",$B112,"事業所",$C112,"事業区分",K$1,"請求区分","再請求"),0))</f>
        <v>1825197</v>
      </c>
      <c r="L112" s="659">
        <f ca="1">IF($A112="","",IFERROR(GETPIVOTDATA("合計 / 処遇改善加算金",【ピボット】国保連売上!$A$3,"年月",$A112,"事業所コード",$B112,"事業所",$C112,"事業区分",K$1,"請求区分","単月"),0))</f>
        <v>0</v>
      </c>
      <c r="M112" s="659">
        <f ca="1">IF($A112="","",IFERROR(GETPIVOTDATA("合計 / 入金予定",【ピボット】国保連売上!$A$3,"年月",$A112,"事業所コード",$B112,"事業所",$C112,"事業区分",M$1,"請求区分","単月"),0)
+IFERROR(GETPIVOTDATA("合計 / 入金予定",【ピボット】国保連売上!$A$3,"年月",$A112,"事業所コード",$B112,"事業所",$C112,"事業区分",M$1,"請求区分","再請求"),0))</f>
        <v>0</v>
      </c>
      <c r="N112" s="660">
        <v>0</v>
      </c>
      <c r="O112" s="660">
        <v>0</v>
      </c>
      <c r="P112" s="660">
        <v>0</v>
      </c>
      <c r="Q112" s="660">
        <v>0</v>
      </c>
      <c r="R112" s="660">
        <v>0</v>
      </c>
      <c r="S112" s="660">
        <v>320000</v>
      </c>
      <c r="T112" s="660">
        <v>0</v>
      </c>
      <c r="U112" s="660">
        <v>0</v>
      </c>
      <c r="V112" s="660">
        <v>-150000</v>
      </c>
      <c r="W112" s="660">
        <v>0</v>
      </c>
      <c r="X112" s="660">
        <v>0</v>
      </c>
      <c r="Y112" s="659">
        <f t="shared" ca="1" si="4"/>
        <v>1995197</v>
      </c>
      <c r="Z112" s="659">
        <f t="shared" ca="1" si="5"/>
        <v>170000</v>
      </c>
    </row>
    <row r="113" spans="1:26" ht="15.95" customHeight="1" x14ac:dyDescent="0.15">
      <c r="A113" s="656">
        <v>42948</v>
      </c>
      <c r="B113" s="657" t="str">
        <f t="shared" ca="1" si="3"/>
        <v>05</v>
      </c>
      <c r="C113" s="658" t="s">
        <v>38</v>
      </c>
      <c r="D113" s="659">
        <f ca="1">IF($A113="","",IFERROR(GETPIVOTDATA("合計 / 入金予定",【ピボット】国保連売上!$A$3,"年月",$A113,"事業所コード",$B113,"事業所",$C113,"事業区分",D$1,"請求区分","単月"),0)
+IFERROR(GETPIVOTDATA("合計 / 入金予定",【ピボット】国保連売上!$A$3,"年月",$A113,"事業所コード",$B113,"事業所",$C113,"事業区分",D$1,"請求区分","再請求"),0))</f>
        <v>2326894</v>
      </c>
      <c r="E113" s="659">
        <f ca="1">IF($A113="","",IFERROR(GETPIVOTDATA("合計 / 処遇改善加算金",【ピボット】国保連売上!$A$3,"年月",$A113,"事業所コード",$B113,"事業所",$C113,"事業区分",D$1,"請求区分","単月"),0))</f>
        <v>0</v>
      </c>
      <c r="F113" s="659">
        <f ca="1">IF($A113="","",IFERROR(GETPIVOTDATA("合計 / 入金予定",【ピボット】国保連売上!$A$3,"年月",$A113,"事業所コード",$B113,"事業所",$C113,"事業区分",F$1,"請求区分","単月"),0)
+IFERROR(GETPIVOTDATA("合計 / 入金予定",【ピボット】国保連売上!$A$3,"年月",$A113,"事業所コード",$B113,"事業所",$C113,"事業区分",F$1,"請求区分","再請求"),0))</f>
        <v>0</v>
      </c>
      <c r="G113" s="659">
        <f ca="1">IF($A113="","",IFERROR(GETPIVOTDATA("合計 / 処遇改善加算金",【ピボット】国保連売上!$A$3,"年月",$A113,"事業所コード",$B113,"事業所",$C113,"事業区分",F$1,"請求区分","単月"),0))</f>
        <v>0</v>
      </c>
      <c r="H113" s="659">
        <f ca="1">IF($A113="","",IFERROR(GETPIVOTDATA("合計 / 入金予定",【ピボット】国保連売上!$A$3,"年月",$A113,"事業所コード",$B113,"事業所",$C113,"事業区分",H$1,"請求区分","単月"),0)
+IFERROR(GETPIVOTDATA("合計 / 入金予定",【ピボット】国保連売上!$A$3,"年月",$A113,"事業所コード",$B113,"事業所",$C113,"事業区分",H$1,"請求区分","再請求"),0))</f>
        <v>0</v>
      </c>
      <c r="I113" s="659">
        <f ca="1">IF($A113="","",IFERROR(GETPIVOTDATA("合計 / 入金予定",【ピボット】国保連売上!$A$3,"年月",$A113,"事業所コード",$B113,"事業所",$C113,"事業区分",I$1,"請求区分","単月"),0)
+IFERROR(GETPIVOTDATA("合計 / 入金予定",【ピボット】国保連売上!$A$3,"年月",$A113,"事業所コード",$B113,"事業所",$C113,"事業区分",I$1,"請求区分","再請求"),0))</f>
        <v>0</v>
      </c>
      <c r="J113" s="659">
        <f ca="1">IF($A113="","",IFERROR(GETPIVOTDATA("合計 / 処遇改善加算金",【ピボット】国保連売上!$A$3,"年月",$A113,"事業所コード",$B113,"事業所",$C113,"事業区分",I$1,"請求区分","単月"),0))</f>
        <v>0</v>
      </c>
      <c r="K113" s="659">
        <f ca="1">IF($A113="","",IFERROR(GETPIVOTDATA("合計 / 入金予定",【ピボット】国保連売上!$A$3,"年月",$A113,"事業所コード",$B113,"事業所",$C113,"事業区分",K$1,"請求区分","単月"),0)
+IFERROR(GETPIVOTDATA("合計 / 入金予定",【ピボット】国保連売上!$A$3,"年月",$A113,"事業所コード",$B113,"事業所",$C113,"事業区分",K$1,"請求区分","再請求"),0))</f>
        <v>0</v>
      </c>
      <c r="L113" s="659">
        <f ca="1">IF($A113="","",IFERROR(GETPIVOTDATA("合計 / 処遇改善加算金",【ピボット】国保連売上!$A$3,"年月",$A113,"事業所コード",$B113,"事業所",$C113,"事業区分",K$1,"請求区分","単月"),0))</f>
        <v>0</v>
      </c>
      <c r="M113" s="659">
        <f ca="1">IF($A113="","",IFERROR(GETPIVOTDATA("合計 / 入金予定",【ピボット】国保連売上!$A$3,"年月",$A113,"事業所コード",$B113,"事業所",$C113,"事業区分",M$1,"請求区分","単月"),0)
+IFERROR(GETPIVOTDATA("合計 / 入金予定",【ピボット】国保連売上!$A$3,"年月",$A113,"事業所コード",$B113,"事業所",$C113,"事業区分",M$1,"請求区分","再請求"),0))</f>
        <v>0</v>
      </c>
      <c r="N113" s="660">
        <v>2000</v>
      </c>
      <c r="O113" s="660">
        <v>0</v>
      </c>
      <c r="P113" s="660">
        <v>0</v>
      </c>
      <c r="Q113" s="660">
        <v>0</v>
      </c>
      <c r="R113" s="660">
        <v>0</v>
      </c>
      <c r="S113" s="660">
        <v>796000</v>
      </c>
      <c r="T113" s="660">
        <v>0</v>
      </c>
      <c r="U113" s="660">
        <v>0</v>
      </c>
      <c r="V113" s="660">
        <v>0</v>
      </c>
      <c r="W113" s="660">
        <v>0</v>
      </c>
      <c r="X113" s="660">
        <v>0</v>
      </c>
      <c r="Y113" s="659">
        <f t="shared" ca="1" si="4"/>
        <v>3124894</v>
      </c>
      <c r="Z113" s="659">
        <f t="shared" ca="1" si="5"/>
        <v>798000</v>
      </c>
    </row>
    <row r="114" spans="1:26" ht="15.95" customHeight="1" x14ac:dyDescent="0.15">
      <c r="A114" s="656">
        <v>42948</v>
      </c>
      <c r="B114" s="657" t="str">
        <f t="shared" ca="1" si="3"/>
        <v>10</v>
      </c>
      <c r="C114" s="658" t="s">
        <v>583</v>
      </c>
      <c r="D114" s="659">
        <f ca="1">IF($A114="","",IFERROR(GETPIVOTDATA("合計 / 入金予定",【ピボット】国保連売上!$A$3,"年月",$A114,"事業所コード",$B114,"事業所",$C114,"事業区分",D$1,"請求区分","単月"),0)
+IFERROR(GETPIVOTDATA("合計 / 入金予定",【ピボット】国保連売上!$A$3,"年月",$A114,"事業所コード",$B114,"事業所",$C114,"事業区分",D$1,"請求区分","再請求"),0))</f>
        <v>1303828</v>
      </c>
      <c r="E114" s="659">
        <f ca="1">IF($A114="","",IFERROR(GETPIVOTDATA("合計 / 処遇改善加算金",【ピボット】国保連売上!$A$3,"年月",$A114,"事業所コード",$B114,"事業所",$C114,"事業区分",D$1,"請求区分","単月"),0))</f>
        <v>0</v>
      </c>
      <c r="F114" s="659">
        <f ca="1">IF($A114="","",IFERROR(GETPIVOTDATA("合計 / 入金予定",【ピボット】国保連売上!$A$3,"年月",$A114,"事業所コード",$B114,"事業所",$C114,"事業区分",F$1,"請求区分","単月"),0)
+IFERROR(GETPIVOTDATA("合計 / 入金予定",【ピボット】国保連売上!$A$3,"年月",$A114,"事業所コード",$B114,"事業所",$C114,"事業区分",F$1,"請求区分","再請求"),0))</f>
        <v>2592</v>
      </c>
      <c r="G114" s="659">
        <f ca="1">IF($A114="","",IFERROR(GETPIVOTDATA("合計 / 処遇改善加算金",【ピボット】国保連売上!$A$3,"年月",$A114,"事業所コード",$B114,"事業所",$C114,"事業区分",F$1,"請求区分","単月"),0))</f>
        <v>0</v>
      </c>
      <c r="H114" s="659">
        <f ca="1">IF($A114="","",IFERROR(GETPIVOTDATA("合計 / 入金予定",【ピボット】国保連売上!$A$3,"年月",$A114,"事業所コード",$B114,"事業所",$C114,"事業区分",H$1,"請求区分","単月"),0)
+IFERROR(GETPIVOTDATA("合計 / 入金予定",【ピボット】国保連売上!$A$3,"年月",$A114,"事業所コード",$B114,"事業所",$C114,"事業区分",H$1,"請求区分","再請求"),0))</f>
        <v>0</v>
      </c>
      <c r="I114" s="659">
        <f ca="1">IF($A114="","",IFERROR(GETPIVOTDATA("合計 / 入金予定",【ピボット】国保連売上!$A$3,"年月",$A114,"事業所コード",$B114,"事業所",$C114,"事業区分",I$1,"請求区分","単月"),0)
+IFERROR(GETPIVOTDATA("合計 / 入金予定",【ピボット】国保連売上!$A$3,"年月",$A114,"事業所コード",$B114,"事業所",$C114,"事業区分",I$1,"請求区分","再請求"),0))</f>
        <v>0</v>
      </c>
      <c r="J114" s="659">
        <f ca="1">IF($A114="","",IFERROR(GETPIVOTDATA("合計 / 処遇改善加算金",【ピボット】国保連売上!$A$3,"年月",$A114,"事業所コード",$B114,"事業所",$C114,"事業区分",I$1,"請求区分","単月"),0))</f>
        <v>0</v>
      </c>
      <c r="K114" s="659">
        <f ca="1">IF($A114="","",IFERROR(GETPIVOTDATA("合計 / 入金予定",【ピボット】国保連売上!$A$3,"年月",$A114,"事業所コード",$B114,"事業所",$C114,"事業区分",K$1,"請求区分","単月"),0)
+IFERROR(GETPIVOTDATA("合計 / 入金予定",【ピボット】国保連売上!$A$3,"年月",$A114,"事業所コード",$B114,"事業所",$C114,"事業区分",K$1,"請求区分","再請求"),0))</f>
        <v>0</v>
      </c>
      <c r="L114" s="659">
        <f ca="1">IF($A114="","",IFERROR(GETPIVOTDATA("合計 / 処遇改善加算金",【ピボット】国保連売上!$A$3,"年月",$A114,"事業所コード",$B114,"事業所",$C114,"事業区分",K$1,"請求区分","単月"),0))</f>
        <v>0</v>
      </c>
      <c r="M114" s="659">
        <f ca="1">IF($A114="","",IFERROR(GETPIVOTDATA("合計 / 入金予定",【ピボット】国保連売上!$A$3,"年月",$A114,"事業所コード",$B114,"事業所",$C114,"事業区分",M$1,"請求区分","単月"),0)
+IFERROR(GETPIVOTDATA("合計 / 入金予定",【ピボット】国保連売上!$A$3,"年月",$A114,"事業所コード",$B114,"事業所",$C114,"事業区分",M$1,"請求区分","再請求"),0))</f>
        <v>0</v>
      </c>
      <c r="N114" s="660">
        <v>343600</v>
      </c>
      <c r="O114" s="660">
        <v>70110</v>
      </c>
      <c r="P114" s="660">
        <v>1409460</v>
      </c>
      <c r="Q114" s="660">
        <v>0</v>
      </c>
      <c r="R114" s="660">
        <v>0</v>
      </c>
      <c r="S114" s="660">
        <v>0</v>
      </c>
      <c r="T114" s="660">
        <v>0</v>
      </c>
      <c r="U114" s="660">
        <v>0</v>
      </c>
      <c r="V114" s="660">
        <v>0</v>
      </c>
      <c r="W114" s="660">
        <v>0</v>
      </c>
      <c r="X114" s="660">
        <v>0</v>
      </c>
      <c r="Y114" s="659">
        <f t="shared" ca="1" si="4"/>
        <v>3129590</v>
      </c>
      <c r="Z114" s="659">
        <f t="shared" ca="1" si="5"/>
        <v>1823170</v>
      </c>
    </row>
    <row r="115" spans="1:26" ht="15.95" customHeight="1" x14ac:dyDescent="0.15">
      <c r="A115" s="656">
        <v>42979</v>
      </c>
      <c r="B115" s="657" t="str">
        <f t="shared" ca="1" si="3"/>
        <v>01</v>
      </c>
      <c r="C115" s="658" t="s">
        <v>34</v>
      </c>
      <c r="D115" s="659">
        <f ca="1">IF($A115="","",IFERROR(GETPIVOTDATA("合計 / 入金予定",【ピボット】国保連売上!$A$3,"年月",$A115,"事業所コード",$B115,"事業所",$C115,"事業区分",D$1,"請求区分","単月"),0)
+IFERROR(GETPIVOTDATA("合計 / 入金予定",【ピボット】国保連売上!$A$3,"年月",$A115,"事業所コード",$B115,"事業所",$C115,"事業区分",D$1,"請求区分","再請求"),0))</f>
        <v>7978218</v>
      </c>
      <c r="E115" s="659">
        <f ca="1">IF($A115="","",IFERROR(GETPIVOTDATA("合計 / 処遇改善加算金",【ピボット】国保連売上!$A$3,"年月",$A115,"事業所コード",$B115,"事業所",$C115,"事業区分",D$1,"請求区分","単月"),0))</f>
        <v>1418859</v>
      </c>
      <c r="F115" s="659">
        <f ca="1">IF($A115="","",IFERROR(GETPIVOTDATA("合計 / 入金予定",【ピボット】国保連売上!$A$3,"年月",$A115,"事業所コード",$B115,"事業所",$C115,"事業区分",F$1,"請求区分","単月"),0)
+IFERROR(GETPIVOTDATA("合計 / 入金予定",【ピボット】国保連売上!$A$3,"年月",$A115,"事業所コード",$B115,"事業所",$C115,"事業区分",F$1,"請求区分","再請求"),0))</f>
        <v>1360933</v>
      </c>
      <c r="G115" s="659">
        <f ca="1">IF($A115="","",IFERROR(GETPIVOTDATA("合計 / 処遇改善加算金",【ピボット】国保連売上!$A$3,"年月",$A115,"事業所コード",$B115,"事業所",$C115,"事業区分",F$1,"請求区分","単月"),0))</f>
        <v>287532</v>
      </c>
      <c r="H115" s="659">
        <f ca="1">IF($A115="","",IFERROR(GETPIVOTDATA("合計 / 入金予定",【ピボット】国保連売上!$A$3,"年月",$A115,"事業所コード",$B115,"事業所",$C115,"事業区分",H$1,"請求区分","単月"),0)
+IFERROR(GETPIVOTDATA("合計 / 入金予定",【ピボット】国保連売上!$A$3,"年月",$A115,"事業所コード",$B115,"事業所",$C115,"事業区分",H$1,"請求区分","再請求"),0))</f>
        <v>669653</v>
      </c>
      <c r="I115" s="659">
        <f ca="1">IF($A115="","",IFERROR(GETPIVOTDATA("合計 / 入金予定",【ピボット】国保連売上!$A$3,"年月",$A115,"事業所コード",$B115,"事業所",$C115,"事業区分",I$1,"請求区分","単月"),0)
+IFERROR(GETPIVOTDATA("合計 / 入金予定",【ピボット】国保連売上!$A$3,"年月",$A115,"事業所コード",$B115,"事業所",$C115,"事業区分",I$1,"請求区分","再請求"),0))</f>
        <v>0</v>
      </c>
      <c r="J115" s="659">
        <f ca="1">IF($A115="","",IFERROR(GETPIVOTDATA("合計 / 処遇改善加算金",【ピボット】国保連売上!$A$3,"年月",$A115,"事業所コード",$B115,"事業所",$C115,"事業区分",I$1,"請求区分","単月"),0))</f>
        <v>0</v>
      </c>
      <c r="K115" s="659">
        <f ca="1">IF($A115="","",IFERROR(GETPIVOTDATA("合計 / 入金予定",【ピボット】国保連売上!$A$3,"年月",$A115,"事業所コード",$B115,"事業所",$C115,"事業区分",K$1,"請求区分","単月"),0)
+IFERROR(GETPIVOTDATA("合計 / 入金予定",【ピボット】国保連売上!$A$3,"年月",$A115,"事業所コード",$B115,"事業所",$C115,"事業区分",K$1,"請求区分","再請求"),0))</f>
        <v>0</v>
      </c>
      <c r="L115" s="659">
        <f ca="1">IF($A115="","",IFERROR(GETPIVOTDATA("合計 / 処遇改善加算金",【ピボット】国保連売上!$A$3,"年月",$A115,"事業所コード",$B115,"事業所",$C115,"事業区分",K$1,"請求区分","単月"),0))</f>
        <v>0</v>
      </c>
      <c r="M115" s="659">
        <f ca="1">IF($A115="","",IFERROR(GETPIVOTDATA("合計 / 入金予定",【ピボット】国保連売上!$A$3,"年月",$A115,"事業所コード",$B115,"事業所",$C115,"事業区分",M$1,"請求区分","単月"),0)
+IFERROR(GETPIVOTDATA("合計 / 入金予定",【ピボット】国保連売上!$A$3,"年月",$A115,"事業所コード",$B115,"事業所",$C115,"事業区分",M$1,"請求区分","再請求"),0))</f>
        <v>0</v>
      </c>
      <c r="N115" s="660">
        <v>117506</v>
      </c>
      <c r="O115" s="660">
        <v>7880</v>
      </c>
      <c r="P115" s="660">
        <v>0</v>
      </c>
      <c r="Q115" s="660">
        <v>5718</v>
      </c>
      <c r="R115" s="660">
        <v>151995</v>
      </c>
      <c r="S115" s="660">
        <v>0</v>
      </c>
      <c r="T115" s="660">
        <v>0</v>
      </c>
      <c r="U115" s="660">
        <v>0</v>
      </c>
      <c r="V115" s="660">
        <v>0</v>
      </c>
      <c r="W115" s="660">
        <v>0</v>
      </c>
      <c r="X115" s="660">
        <v>0</v>
      </c>
      <c r="Y115" s="659">
        <f t="shared" ca="1" si="4"/>
        <v>10291903</v>
      </c>
      <c r="Z115" s="659">
        <f t="shared" ca="1" si="5"/>
        <v>283099</v>
      </c>
    </row>
    <row r="116" spans="1:26" ht="15.95" customHeight="1" x14ac:dyDescent="0.15">
      <c r="A116" s="656">
        <v>42979</v>
      </c>
      <c r="B116" s="657" t="str">
        <f t="shared" ca="1" si="3"/>
        <v>02</v>
      </c>
      <c r="C116" s="658" t="s">
        <v>37</v>
      </c>
      <c r="D116" s="659">
        <f ca="1">IF($A116="","",IFERROR(GETPIVOTDATA("合計 / 入金予定",【ピボット】国保連売上!$A$3,"年月",$A116,"事業所コード",$B116,"事業所",$C116,"事業区分",D$1,"請求区分","単月"),0)
+IFERROR(GETPIVOTDATA("合計 / 入金予定",【ピボット】国保連売上!$A$3,"年月",$A116,"事業所コード",$B116,"事業所",$C116,"事業区分",D$1,"請求区分","再請求"),0))</f>
        <v>4342620</v>
      </c>
      <c r="E116" s="659">
        <f ca="1">IF($A116="","",IFERROR(GETPIVOTDATA("合計 / 処遇改善加算金",【ピボット】国保連売上!$A$3,"年月",$A116,"事業所コード",$B116,"事業所",$C116,"事業区分",D$1,"請求区分","単月"),0))</f>
        <v>485836</v>
      </c>
      <c r="F116" s="659">
        <f ca="1">IF($A116="","",IFERROR(GETPIVOTDATA("合計 / 入金予定",【ピボット】国保連売上!$A$3,"年月",$A116,"事業所コード",$B116,"事業所",$C116,"事業区分",F$1,"請求区分","単月"),0)
+IFERROR(GETPIVOTDATA("合計 / 入金予定",【ピボット】国保連売上!$A$3,"年月",$A116,"事業所コード",$B116,"事業所",$C116,"事業区分",F$1,"請求区分","再請求"),0))</f>
        <v>905653</v>
      </c>
      <c r="G116" s="659">
        <f ca="1">IF($A116="","",IFERROR(GETPIVOTDATA("合計 / 処遇改善加算金",【ピボット】国保連売上!$A$3,"年月",$A116,"事業所コード",$B116,"事業所",$C116,"事業区分",F$1,"請求区分","単月"),0))</f>
        <v>206491</v>
      </c>
      <c r="H116" s="659">
        <f ca="1">IF($A116="","",IFERROR(GETPIVOTDATA("合計 / 入金予定",【ピボット】国保連売上!$A$3,"年月",$A116,"事業所コード",$B116,"事業所",$C116,"事業区分",H$1,"請求区分","単月"),0)
+IFERROR(GETPIVOTDATA("合計 / 入金予定",【ピボット】国保連売上!$A$3,"年月",$A116,"事業所コード",$B116,"事業所",$C116,"事業区分",H$1,"請求区分","再請求"),0))</f>
        <v>507095</v>
      </c>
      <c r="I116" s="659">
        <f ca="1">IF($A116="","",IFERROR(GETPIVOTDATA("合計 / 入金予定",【ピボット】国保連売上!$A$3,"年月",$A116,"事業所コード",$B116,"事業所",$C116,"事業区分",I$1,"請求区分","単月"),0)
+IFERROR(GETPIVOTDATA("合計 / 入金予定",【ピボット】国保連売上!$A$3,"年月",$A116,"事業所コード",$B116,"事業所",$C116,"事業区分",I$1,"請求区分","再請求"),0))</f>
        <v>0</v>
      </c>
      <c r="J116" s="659">
        <f ca="1">IF($A116="","",IFERROR(GETPIVOTDATA("合計 / 処遇改善加算金",【ピボット】国保連売上!$A$3,"年月",$A116,"事業所コード",$B116,"事業所",$C116,"事業区分",I$1,"請求区分","単月"),0))</f>
        <v>0</v>
      </c>
      <c r="K116" s="659">
        <f ca="1">IF($A116="","",IFERROR(GETPIVOTDATA("合計 / 入金予定",【ピボット】国保連売上!$A$3,"年月",$A116,"事業所コード",$B116,"事業所",$C116,"事業区分",K$1,"請求区分","単月"),0)
+IFERROR(GETPIVOTDATA("合計 / 入金予定",【ピボット】国保連売上!$A$3,"年月",$A116,"事業所コード",$B116,"事業所",$C116,"事業区分",K$1,"請求区分","再請求"),0))</f>
        <v>0</v>
      </c>
      <c r="L116" s="659">
        <f ca="1">IF($A116="","",IFERROR(GETPIVOTDATA("合計 / 処遇改善加算金",【ピボット】国保連売上!$A$3,"年月",$A116,"事業所コード",$B116,"事業所",$C116,"事業区分",K$1,"請求区分","単月"),0))</f>
        <v>0</v>
      </c>
      <c r="M116" s="659">
        <f ca="1">IF($A116="","",IFERROR(GETPIVOTDATA("合計 / 入金予定",【ピボット】国保連売上!$A$3,"年月",$A116,"事業所コード",$B116,"事業所",$C116,"事業区分",M$1,"請求区分","単月"),0)
+IFERROR(GETPIVOTDATA("合計 / 入金予定",【ピボット】国保連売上!$A$3,"年月",$A116,"事業所コード",$B116,"事業所",$C116,"事業区分",M$1,"請求区分","再請求"),0))</f>
        <v>0</v>
      </c>
      <c r="N116" s="660">
        <v>171851</v>
      </c>
      <c r="O116" s="660">
        <v>0</v>
      </c>
      <c r="P116" s="660">
        <v>0</v>
      </c>
      <c r="Q116" s="660">
        <v>2344</v>
      </c>
      <c r="R116" s="660">
        <v>94050</v>
      </c>
      <c r="S116" s="660">
        <v>0</v>
      </c>
      <c r="T116" s="660">
        <v>0</v>
      </c>
      <c r="U116" s="660">
        <v>0</v>
      </c>
      <c r="V116" s="660">
        <v>0</v>
      </c>
      <c r="W116" s="660">
        <v>0</v>
      </c>
      <c r="X116" s="660">
        <v>0</v>
      </c>
      <c r="Y116" s="659">
        <f t="shared" ca="1" si="4"/>
        <v>6023613</v>
      </c>
      <c r="Z116" s="659">
        <f t="shared" ca="1" si="5"/>
        <v>268245</v>
      </c>
    </row>
    <row r="117" spans="1:26" ht="15.95" customHeight="1" x14ac:dyDescent="0.15">
      <c r="A117" s="656">
        <v>42979</v>
      </c>
      <c r="B117" s="657" t="str">
        <f t="shared" ca="1" si="3"/>
        <v>03</v>
      </c>
      <c r="C117" s="658" t="s">
        <v>66</v>
      </c>
      <c r="D117" s="659">
        <f ca="1">IF($A117="","",IFERROR(GETPIVOTDATA("合計 / 入金予定",【ピボット】国保連売上!$A$3,"年月",$A117,"事業所コード",$B117,"事業所",$C117,"事業区分",D$1,"請求区分","単月"),0)
+IFERROR(GETPIVOTDATA("合計 / 入金予定",【ピボット】国保連売上!$A$3,"年月",$A117,"事業所コード",$B117,"事業所",$C117,"事業区分",D$1,"請求区分","再請求"),0))</f>
        <v>3702480</v>
      </c>
      <c r="E117" s="659">
        <f ca="1">IF($A117="","",IFERROR(GETPIVOTDATA("合計 / 処遇改善加算金",【ピボット】国保連売上!$A$3,"年月",$A117,"事業所コード",$B117,"事業所",$C117,"事業区分",D$1,"請求区分","単月"),0))</f>
        <v>404497</v>
      </c>
      <c r="F117" s="659">
        <f ca="1">IF($A117="","",IFERROR(GETPIVOTDATA("合計 / 入金予定",【ピボット】国保連売上!$A$3,"年月",$A117,"事業所コード",$B117,"事業所",$C117,"事業区分",F$1,"請求区分","単月"),0)
+IFERROR(GETPIVOTDATA("合計 / 入金予定",【ピボット】国保連売上!$A$3,"年月",$A117,"事業所コード",$B117,"事業所",$C117,"事業区分",F$1,"請求区分","再請求"),0))</f>
        <v>1897088</v>
      </c>
      <c r="G117" s="659">
        <f ca="1">IF($A117="","",IFERROR(GETPIVOTDATA("合計 / 処遇改善加算金",【ピボット】国保連売上!$A$3,"年月",$A117,"事業所コード",$B117,"事業所",$C117,"事業区分",F$1,"請求区分","単月"),0))</f>
        <v>437767</v>
      </c>
      <c r="H117" s="659">
        <f ca="1">IF($A117="","",IFERROR(GETPIVOTDATA("合計 / 入金予定",【ピボット】国保連売上!$A$3,"年月",$A117,"事業所コード",$B117,"事業所",$C117,"事業区分",H$1,"請求区分","単月"),0)
+IFERROR(GETPIVOTDATA("合計 / 入金予定",【ピボット】国保連売上!$A$3,"年月",$A117,"事業所コード",$B117,"事業所",$C117,"事業区分",H$1,"請求区分","再請求"),0))</f>
        <v>0</v>
      </c>
      <c r="I117" s="659">
        <f ca="1">IF($A117="","",IFERROR(GETPIVOTDATA("合計 / 入金予定",【ピボット】国保連売上!$A$3,"年月",$A117,"事業所コード",$B117,"事業所",$C117,"事業区分",I$1,"請求区分","単月"),0)
+IFERROR(GETPIVOTDATA("合計 / 入金予定",【ピボット】国保連売上!$A$3,"年月",$A117,"事業所コード",$B117,"事業所",$C117,"事業区分",I$1,"請求区分","再請求"),0))</f>
        <v>0</v>
      </c>
      <c r="J117" s="659">
        <f ca="1">IF($A117="","",IFERROR(GETPIVOTDATA("合計 / 処遇改善加算金",【ピボット】国保連売上!$A$3,"年月",$A117,"事業所コード",$B117,"事業所",$C117,"事業区分",I$1,"請求区分","単月"),0))</f>
        <v>0</v>
      </c>
      <c r="K117" s="659">
        <f ca="1">IF($A117="","",IFERROR(GETPIVOTDATA("合計 / 入金予定",【ピボット】国保連売上!$A$3,"年月",$A117,"事業所コード",$B117,"事業所",$C117,"事業区分",K$1,"請求区分","単月"),0)
+IFERROR(GETPIVOTDATA("合計 / 入金予定",【ピボット】国保連売上!$A$3,"年月",$A117,"事業所コード",$B117,"事業所",$C117,"事業区分",K$1,"請求区分","再請求"),0))</f>
        <v>0</v>
      </c>
      <c r="L117" s="659">
        <f ca="1">IF($A117="","",IFERROR(GETPIVOTDATA("合計 / 処遇改善加算金",【ピボット】国保連売上!$A$3,"年月",$A117,"事業所コード",$B117,"事業所",$C117,"事業区分",K$1,"請求区分","単月"),0))</f>
        <v>0</v>
      </c>
      <c r="M117" s="659">
        <f ca="1">IF($A117="","",IFERROR(GETPIVOTDATA("合計 / 入金予定",【ピボット】国保連売上!$A$3,"年月",$A117,"事業所コード",$B117,"事業所",$C117,"事業区分",M$1,"請求区分","単月"),0)
+IFERROR(GETPIVOTDATA("合計 / 入金予定",【ピボット】国保連売上!$A$3,"年月",$A117,"事業所コード",$B117,"事業所",$C117,"事業区分",M$1,"請求区分","再請求"),0))</f>
        <v>0</v>
      </c>
      <c r="N117" s="660">
        <v>98300</v>
      </c>
      <c r="O117" s="660">
        <f>96770-5452</f>
        <v>91318</v>
      </c>
      <c r="P117" s="660">
        <v>24540</v>
      </c>
      <c r="Q117" s="660">
        <v>4170</v>
      </c>
      <c r="R117" s="660">
        <v>0</v>
      </c>
      <c r="S117" s="660">
        <v>0</v>
      </c>
      <c r="T117" s="660">
        <v>0</v>
      </c>
      <c r="U117" s="660">
        <v>0</v>
      </c>
      <c r="V117" s="660">
        <v>0</v>
      </c>
      <c r="W117" s="660">
        <v>0</v>
      </c>
      <c r="X117" s="660">
        <v>0</v>
      </c>
      <c r="Y117" s="659">
        <f t="shared" ca="1" si="4"/>
        <v>5817896</v>
      </c>
      <c r="Z117" s="659">
        <f t="shared" ca="1" si="5"/>
        <v>218328</v>
      </c>
    </row>
    <row r="118" spans="1:26" ht="15.95" customHeight="1" x14ac:dyDescent="0.15">
      <c r="A118" s="656">
        <v>42979</v>
      </c>
      <c r="B118" s="657" t="str">
        <f t="shared" ca="1" si="3"/>
        <v>04</v>
      </c>
      <c r="C118" s="658" t="s">
        <v>358</v>
      </c>
      <c r="D118" s="659">
        <f ca="1">IF($A118="","",IFERROR(GETPIVOTDATA("合計 / 入金予定",【ピボット】国保連売上!$A$3,"年月",$A118,"事業所コード",$B118,"事業所",$C118,"事業区分",D$1,"請求区分","単月"),0)
+IFERROR(GETPIVOTDATA("合計 / 入金予定",【ピボット】国保連売上!$A$3,"年月",$A118,"事業所コード",$B118,"事業所",$C118,"事業区分",D$1,"請求区分","再請求"),0))</f>
        <v>0</v>
      </c>
      <c r="E118" s="659">
        <f ca="1">IF($A118="","",IFERROR(GETPIVOTDATA("合計 / 処遇改善加算金",【ピボット】国保連売上!$A$3,"年月",$A118,"事業所コード",$B118,"事業所",$C118,"事業区分",D$1,"請求区分","単月"),0))</f>
        <v>0</v>
      </c>
      <c r="F118" s="659">
        <f ca="1">IF($A118="","",IFERROR(GETPIVOTDATA("合計 / 入金予定",【ピボット】国保連売上!$A$3,"年月",$A118,"事業所コード",$B118,"事業所",$C118,"事業区分",F$1,"請求区分","単月"),0)
+IFERROR(GETPIVOTDATA("合計 / 入金予定",【ピボット】国保連売上!$A$3,"年月",$A118,"事業所コード",$B118,"事業所",$C118,"事業区分",F$1,"請求区分","再請求"),0))</f>
        <v>0</v>
      </c>
      <c r="G118" s="659">
        <f ca="1">IF($A118="","",IFERROR(GETPIVOTDATA("合計 / 処遇改善加算金",【ピボット】国保連売上!$A$3,"年月",$A118,"事業所コード",$B118,"事業所",$C118,"事業区分",F$1,"請求区分","単月"),0))</f>
        <v>0</v>
      </c>
      <c r="H118" s="659">
        <f ca="1">IF($A118="","",IFERROR(GETPIVOTDATA("合計 / 入金予定",【ピボット】国保連売上!$A$3,"年月",$A118,"事業所コード",$B118,"事業所",$C118,"事業区分",H$1,"請求区分","単月"),0)
+IFERROR(GETPIVOTDATA("合計 / 入金予定",【ピボット】国保連売上!$A$3,"年月",$A118,"事業所コード",$B118,"事業所",$C118,"事業区分",H$1,"請求区分","再請求"),0))</f>
        <v>0</v>
      </c>
      <c r="I118" s="659">
        <f ca="1">IF($A118="","",IFERROR(GETPIVOTDATA("合計 / 入金予定",【ピボット】国保連売上!$A$3,"年月",$A118,"事業所コード",$B118,"事業所",$C118,"事業区分",I$1,"請求区分","単月"),0)
+IFERROR(GETPIVOTDATA("合計 / 入金予定",【ピボット】国保連売上!$A$3,"年月",$A118,"事業所コード",$B118,"事業所",$C118,"事業区分",I$1,"請求区分","再請求"),0))</f>
        <v>2957348</v>
      </c>
      <c r="J118" s="659">
        <f ca="1">IF($A118="","",IFERROR(GETPIVOTDATA("合計 / 処遇改善加算金",【ピボット】国保連売上!$A$3,"年月",$A118,"事業所コード",$B118,"事業所",$C118,"事業区分",I$1,"請求区分","単月"),0))</f>
        <v>165400</v>
      </c>
      <c r="K118" s="659">
        <f ca="1">IF($A118="","",IFERROR(GETPIVOTDATA("合計 / 入金予定",【ピボット】国保連売上!$A$3,"年月",$A118,"事業所コード",$B118,"事業所",$C118,"事業区分",K$1,"請求区分","単月"),0)
+IFERROR(GETPIVOTDATA("合計 / 入金予定",【ピボット】国保連売上!$A$3,"年月",$A118,"事業所コード",$B118,"事業所",$C118,"事業区分",K$1,"請求区分","再請求"),0))</f>
        <v>0</v>
      </c>
      <c r="L118" s="659">
        <f ca="1">IF($A118="","",IFERROR(GETPIVOTDATA("合計 / 処遇改善加算金",【ピボット】国保連売上!$A$3,"年月",$A118,"事業所コード",$B118,"事業所",$C118,"事業区分",K$1,"請求区分","単月"),0))</f>
        <v>0</v>
      </c>
      <c r="M118" s="659">
        <f ca="1">IF($A118="","",IFERROR(GETPIVOTDATA("合計 / 入金予定",【ピボット】国保連売上!$A$3,"年月",$A118,"事業所コード",$B118,"事業所",$C118,"事業区分",M$1,"請求区分","単月"),0)
+IFERROR(GETPIVOTDATA("合計 / 入金予定",【ピボット】国保連売上!$A$3,"年月",$A118,"事業所コード",$B118,"事業所",$C118,"事業区分",M$1,"請求区分","再請求"),0))</f>
        <v>0</v>
      </c>
      <c r="N118" s="660">
        <v>5600</v>
      </c>
      <c r="O118" s="660">
        <v>0</v>
      </c>
      <c r="P118" s="660">
        <v>0</v>
      </c>
      <c r="Q118" s="660">
        <v>0</v>
      </c>
      <c r="R118" s="660">
        <v>0</v>
      </c>
      <c r="S118" s="660">
        <v>0</v>
      </c>
      <c r="T118" s="660">
        <v>167750</v>
      </c>
      <c r="U118" s="660">
        <v>0</v>
      </c>
      <c r="V118" s="660">
        <v>0</v>
      </c>
      <c r="W118" s="660">
        <v>0</v>
      </c>
      <c r="X118" s="660">
        <v>0</v>
      </c>
      <c r="Y118" s="659">
        <f t="shared" ca="1" si="4"/>
        <v>3130698</v>
      </c>
      <c r="Z118" s="659">
        <f t="shared" ca="1" si="5"/>
        <v>173350</v>
      </c>
    </row>
    <row r="119" spans="1:26" ht="15.95" customHeight="1" x14ac:dyDescent="0.15">
      <c r="A119" s="656">
        <v>42979</v>
      </c>
      <c r="B119" s="657" t="str">
        <f t="shared" ca="1" si="3"/>
        <v>07</v>
      </c>
      <c r="C119" s="658" t="s">
        <v>119</v>
      </c>
      <c r="D119" s="659">
        <f ca="1">IF($A119="","",IFERROR(GETPIVOTDATA("合計 / 入金予定",【ピボット】国保連売上!$A$3,"年月",$A119,"事業所コード",$B119,"事業所",$C119,"事業区分",D$1,"請求区分","単月"),0)
+IFERROR(GETPIVOTDATA("合計 / 入金予定",【ピボット】国保連売上!$A$3,"年月",$A119,"事業所コード",$B119,"事業所",$C119,"事業区分",D$1,"請求区分","再請求"),0))</f>
        <v>0</v>
      </c>
      <c r="E119" s="659">
        <f ca="1">IF($A119="","",IFERROR(GETPIVOTDATA("合計 / 処遇改善加算金",【ピボット】国保連売上!$A$3,"年月",$A119,"事業所コード",$B119,"事業所",$C119,"事業区分",D$1,"請求区分","単月"),0))</f>
        <v>0</v>
      </c>
      <c r="F119" s="659">
        <f ca="1">IF($A119="","",IFERROR(GETPIVOTDATA("合計 / 入金予定",【ピボット】国保連売上!$A$3,"年月",$A119,"事業所コード",$B119,"事業所",$C119,"事業区分",F$1,"請求区分","単月"),0)
+IFERROR(GETPIVOTDATA("合計 / 入金予定",【ピボット】国保連売上!$A$3,"年月",$A119,"事業所コード",$B119,"事業所",$C119,"事業区分",F$1,"請求区分","再請求"),0))</f>
        <v>0</v>
      </c>
      <c r="G119" s="659">
        <f ca="1">IF($A119="","",IFERROR(GETPIVOTDATA("合計 / 処遇改善加算金",【ピボット】国保連売上!$A$3,"年月",$A119,"事業所コード",$B119,"事業所",$C119,"事業区分",F$1,"請求区分","単月"),0))</f>
        <v>0</v>
      </c>
      <c r="H119" s="659">
        <f ca="1">IF($A119="","",IFERROR(GETPIVOTDATA("合計 / 入金予定",【ピボット】国保連売上!$A$3,"年月",$A119,"事業所コード",$B119,"事業所",$C119,"事業区分",H$1,"請求区分","単月"),0)
+IFERROR(GETPIVOTDATA("合計 / 入金予定",【ピボット】国保連売上!$A$3,"年月",$A119,"事業所コード",$B119,"事業所",$C119,"事業区分",H$1,"請求区分","再請求"),0))</f>
        <v>0</v>
      </c>
      <c r="I119" s="659">
        <f ca="1">IF($A119="","",IFERROR(GETPIVOTDATA("合計 / 入金予定",【ピボット】国保連売上!$A$3,"年月",$A119,"事業所コード",$B119,"事業所",$C119,"事業区分",I$1,"請求区分","単月"),0)
+IFERROR(GETPIVOTDATA("合計 / 入金予定",【ピボット】国保連売上!$A$3,"年月",$A119,"事業所コード",$B119,"事業所",$C119,"事業区分",I$1,"請求区分","再請求"),0))</f>
        <v>0</v>
      </c>
      <c r="J119" s="659">
        <f ca="1">IF($A119="","",IFERROR(GETPIVOTDATA("合計 / 処遇改善加算金",【ピボット】国保連売上!$A$3,"年月",$A119,"事業所コード",$B119,"事業所",$C119,"事業区分",I$1,"請求区分","単月"),0))</f>
        <v>0</v>
      </c>
      <c r="K119" s="659">
        <f ca="1">IF($A119="","",IFERROR(GETPIVOTDATA("合計 / 入金予定",【ピボット】国保連売上!$A$3,"年月",$A119,"事業所コード",$B119,"事業所",$C119,"事業区分",K$1,"請求区分","単月"),0)
+IFERROR(GETPIVOTDATA("合計 / 入金予定",【ピボット】国保連売上!$A$3,"年月",$A119,"事業所コード",$B119,"事業所",$C119,"事業区分",K$1,"請求区分","再請求"),0))</f>
        <v>1198162</v>
      </c>
      <c r="L119" s="659">
        <f ca="1">IF($A119="","",IFERROR(GETPIVOTDATA("合計 / 処遇改善加算金",【ピボット】国保連売上!$A$3,"年月",$A119,"事業所コード",$B119,"事業所",$C119,"事業区分",K$1,"請求区分","単月"),0))</f>
        <v>266247</v>
      </c>
      <c r="M119" s="659">
        <f ca="1">IF($A119="","",IFERROR(GETPIVOTDATA("合計 / 入金予定",【ピボット】国保連売上!$A$3,"年月",$A119,"事業所コード",$B119,"事業所",$C119,"事業区分",M$1,"請求区分","単月"),0)
+IFERROR(GETPIVOTDATA("合計 / 入金予定",【ピボット】国保連売上!$A$3,"年月",$A119,"事業所コード",$B119,"事業所",$C119,"事業区分",M$1,"請求区分","再請求"),0))</f>
        <v>0</v>
      </c>
      <c r="N119" s="660">
        <v>0</v>
      </c>
      <c r="O119" s="660">
        <v>0</v>
      </c>
      <c r="P119" s="660">
        <v>0</v>
      </c>
      <c r="Q119" s="660">
        <v>0</v>
      </c>
      <c r="R119" s="660">
        <v>0</v>
      </c>
      <c r="S119" s="660">
        <v>78000</v>
      </c>
      <c r="T119" s="660">
        <v>0</v>
      </c>
      <c r="U119" s="660">
        <v>0</v>
      </c>
      <c r="V119" s="660">
        <v>-40000</v>
      </c>
      <c r="W119" s="660">
        <v>0</v>
      </c>
      <c r="X119" s="660">
        <v>0</v>
      </c>
      <c r="Y119" s="659">
        <f t="shared" ca="1" si="4"/>
        <v>1236162</v>
      </c>
      <c r="Z119" s="659">
        <f t="shared" ca="1" si="5"/>
        <v>38000</v>
      </c>
    </row>
    <row r="120" spans="1:26" ht="15.95" customHeight="1" x14ac:dyDescent="0.15">
      <c r="A120" s="656">
        <v>42979</v>
      </c>
      <c r="B120" s="657" t="str">
        <f t="shared" ca="1" si="3"/>
        <v>08</v>
      </c>
      <c r="C120" s="658" t="s">
        <v>189</v>
      </c>
      <c r="D120" s="659">
        <f ca="1">IF($A120="","",IFERROR(GETPIVOTDATA("合計 / 入金予定",【ピボット】国保連売上!$A$3,"年月",$A120,"事業所コード",$B120,"事業所",$C120,"事業区分",D$1,"請求区分","単月"),0)
+IFERROR(GETPIVOTDATA("合計 / 入金予定",【ピボット】国保連売上!$A$3,"年月",$A120,"事業所コード",$B120,"事業所",$C120,"事業区分",D$1,"請求区分","再請求"),0))</f>
        <v>0</v>
      </c>
      <c r="E120" s="659">
        <f ca="1">IF($A120="","",IFERROR(GETPIVOTDATA("合計 / 処遇改善加算金",【ピボット】国保連売上!$A$3,"年月",$A120,"事業所コード",$B120,"事業所",$C120,"事業区分",D$1,"請求区分","単月"),0))</f>
        <v>0</v>
      </c>
      <c r="F120" s="659">
        <f ca="1">IF($A120="","",IFERROR(GETPIVOTDATA("合計 / 入金予定",【ピボット】国保連売上!$A$3,"年月",$A120,"事業所コード",$B120,"事業所",$C120,"事業区分",F$1,"請求区分","単月"),0)
+IFERROR(GETPIVOTDATA("合計 / 入金予定",【ピボット】国保連売上!$A$3,"年月",$A120,"事業所コード",$B120,"事業所",$C120,"事業区分",F$1,"請求区分","再請求"),0))</f>
        <v>0</v>
      </c>
      <c r="G120" s="659">
        <f ca="1">IF($A120="","",IFERROR(GETPIVOTDATA("合計 / 処遇改善加算金",【ピボット】国保連売上!$A$3,"年月",$A120,"事業所コード",$B120,"事業所",$C120,"事業区分",F$1,"請求区分","単月"),0))</f>
        <v>0</v>
      </c>
      <c r="H120" s="659">
        <f ca="1">IF($A120="","",IFERROR(GETPIVOTDATA("合計 / 入金予定",【ピボット】国保連売上!$A$3,"年月",$A120,"事業所コード",$B120,"事業所",$C120,"事業区分",H$1,"請求区分","単月"),0)
+IFERROR(GETPIVOTDATA("合計 / 入金予定",【ピボット】国保連売上!$A$3,"年月",$A120,"事業所コード",$B120,"事業所",$C120,"事業区分",H$1,"請求区分","再請求"),0))</f>
        <v>0</v>
      </c>
      <c r="I120" s="659">
        <f ca="1">IF($A120="","",IFERROR(GETPIVOTDATA("合計 / 入金予定",【ピボット】国保連売上!$A$3,"年月",$A120,"事業所コード",$B120,"事業所",$C120,"事業区分",I$1,"請求区分","単月"),0)
+IFERROR(GETPIVOTDATA("合計 / 入金予定",【ピボット】国保連売上!$A$3,"年月",$A120,"事業所コード",$B120,"事業所",$C120,"事業区分",I$1,"請求区分","再請求"),0))</f>
        <v>0</v>
      </c>
      <c r="J120" s="659">
        <f ca="1">IF($A120="","",IFERROR(GETPIVOTDATA("合計 / 処遇改善加算金",【ピボット】国保連売上!$A$3,"年月",$A120,"事業所コード",$B120,"事業所",$C120,"事業区分",I$1,"請求区分","単月"),0))</f>
        <v>0</v>
      </c>
      <c r="K120" s="659">
        <f ca="1">IF($A120="","",IFERROR(GETPIVOTDATA("合計 / 入金予定",【ピボット】国保連売上!$A$3,"年月",$A120,"事業所コード",$B120,"事業所",$C120,"事業区分",K$1,"請求区分","単月"),0)
+IFERROR(GETPIVOTDATA("合計 / 入金予定",【ピボット】国保連売上!$A$3,"年月",$A120,"事業所コード",$B120,"事業所",$C120,"事業区分",K$1,"請求区分","再請求"),0))</f>
        <v>937378</v>
      </c>
      <c r="L120" s="659">
        <f ca="1">IF($A120="","",IFERROR(GETPIVOTDATA("合計 / 処遇改善加算金",【ピボット】国保連売上!$A$3,"年月",$A120,"事業所コード",$B120,"事業所",$C120,"事業区分",K$1,"請求区分","単月"),0))</f>
        <v>0</v>
      </c>
      <c r="M120" s="659">
        <f ca="1">IF($A120="","",IFERROR(GETPIVOTDATA("合計 / 入金予定",【ピボット】国保連売上!$A$3,"年月",$A120,"事業所コード",$B120,"事業所",$C120,"事業区分",M$1,"請求区分","単月"),0)
+IFERROR(GETPIVOTDATA("合計 / 入金予定",【ピボット】国保連売上!$A$3,"年月",$A120,"事業所コード",$B120,"事業所",$C120,"事業区分",M$1,"請求区分","再請求"),0))</f>
        <v>0</v>
      </c>
      <c r="N120" s="660">
        <f>60000-40000</f>
        <v>20000</v>
      </c>
      <c r="O120" s="660">
        <v>0</v>
      </c>
      <c r="P120" s="660">
        <v>0</v>
      </c>
      <c r="Q120" s="660">
        <v>0</v>
      </c>
      <c r="R120" s="660">
        <v>0</v>
      </c>
      <c r="S120" s="660">
        <v>98000</v>
      </c>
      <c r="T120" s="660">
        <v>0</v>
      </c>
      <c r="U120" s="660">
        <v>0</v>
      </c>
      <c r="V120" s="660">
        <v>-40000</v>
      </c>
      <c r="W120" s="660">
        <v>0</v>
      </c>
      <c r="X120" s="660">
        <v>0</v>
      </c>
      <c r="Y120" s="659">
        <f t="shared" ca="1" si="4"/>
        <v>1015378</v>
      </c>
      <c r="Z120" s="659">
        <f t="shared" ca="1" si="5"/>
        <v>78000</v>
      </c>
    </row>
    <row r="121" spans="1:26" ht="15.95" customHeight="1" x14ac:dyDescent="0.15">
      <c r="A121" s="656">
        <v>42979</v>
      </c>
      <c r="B121" s="657" t="str">
        <f t="shared" ca="1" si="3"/>
        <v>09</v>
      </c>
      <c r="C121" s="658" t="s">
        <v>329</v>
      </c>
      <c r="D121" s="659">
        <f ca="1">IF($A121="","",IFERROR(GETPIVOTDATA("合計 / 入金予定",【ピボット】国保連売上!$A$3,"年月",$A121,"事業所コード",$B121,"事業所",$C121,"事業区分",D$1,"請求区分","単月"),0)
+IFERROR(GETPIVOTDATA("合計 / 入金予定",【ピボット】国保連売上!$A$3,"年月",$A121,"事業所コード",$B121,"事業所",$C121,"事業区分",D$1,"請求区分","再請求"),0))</f>
        <v>0</v>
      </c>
      <c r="E121" s="659">
        <f ca="1">IF($A121="","",IFERROR(GETPIVOTDATA("合計 / 処遇改善加算金",【ピボット】国保連売上!$A$3,"年月",$A121,"事業所コード",$B121,"事業所",$C121,"事業区分",D$1,"請求区分","単月"),0))</f>
        <v>0</v>
      </c>
      <c r="F121" s="659">
        <f ca="1">IF($A121="","",IFERROR(GETPIVOTDATA("合計 / 入金予定",【ピボット】国保連売上!$A$3,"年月",$A121,"事業所コード",$B121,"事業所",$C121,"事業区分",F$1,"請求区分","単月"),0)
+IFERROR(GETPIVOTDATA("合計 / 入金予定",【ピボット】国保連売上!$A$3,"年月",$A121,"事業所コード",$B121,"事業所",$C121,"事業区分",F$1,"請求区分","再請求"),0))</f>
        <v>0</v>
      </c>
      <c r="G121" s="659">
        <f ca="1">IF($A121="","",IFERROR(GETPIVOTDATA("合計 / 処遇改善加算金",【ピボット】国保連売上!$A$3,"年月",$A121,"事業所コード",$B121,"事業所",$C121,"事業区分",F$1,"請求区分","単月"),0))</f>
        <v>0</v>
      </c>
      <c r="H121" s="659">
        <f ca="1">IF($A121="","",IFERROR(GETPIVOTDATA("合計 / 入金予定",【ピボット】国保連売上!$A$3,"年月",$A121,"事業所コード",$B121,"事業所",$C121,"事業区分",H$1,"請求区分","単月"),0)
+IFERROR(GETPIVOTDATA("合計 / 入金予定",【ピボット】国保連売上!$A$3,"年月",$A121,"事業所コード",$B121,"事業所",$C121,"事業区分",H$1,"請求区分","再請求"),0))</f>
        <v>0</v>
      </c>
      <c r="I121" s="659">
        <f ca="1">IF($A121="","",IFERROR(GETPIVOTDATA("合計 / 入金予定",【ピボット】国保連売上!$A$3,"年月",$A121,"事業所コード",$B121,"事業所",$C121,"事業区分",I$1,"請求区分","単月"),0)
+IFERROR(GETPIVOTDATA("合計 / 入金予定",【ピボット】国保連売上!$A$3,"年月",$A121,"事業所コード",$B121,"事業所",$C121,"事業区分",I$1,"請求区分","再請求"),0))</f>
        <v>0</v>
      </c>
      <c r="J121" s="659">
        <f ca="1">IF($A121="","",IFERROR(GETPIVOTDATA("合計 / 処遇改善加算金",【ピボット】国保連売上!$A$3,"年月",$A121,"事業所コード",$B121,"事業所",$C121,"事業区分",I$1,"請求区分","単月"),0))</f>
        <v>0</v>
      </c>
      <c r="K121" s="659">
        <f ca="1">IF($A121="","",IFERROR(GETPIVOTDATA("合計 / 入金予定",【ピボット】国保連売上!$A$3,"年月",$A121,"事業所コード",$B121,"事業所",$C121,"事業区分",K$1,"請求区分","単月"),0)
+IFERROR(GETPIVOTDATA("合計 / 入金予定",【ピボット】国保連売上!$A$3,"年月",$A121,"事業所コード",$B121,"事業所",$C121,"事業区分",K$1,"請求区分","再請求"),0))</f>
        <v>1933548</v>
      </c>
      <c r="L121" s="659">
        <f ca="1">IF($A121="","",IFERROR(GETPIVOTDATA("合計 / 処遇改善加算金",【ピボット】国保連売上!$A$3,"年月",$A121,"事業所コード",$B121,"事業所",$C121,"事業区分",K$1,"請求区分","単月"),0))</f>
        <v>0</v>
      </c>
      <c r="M121" s="659">
        <f ca="1">IF($A121="","",IFERROR(GETPIVOTDATA("合計 / 入金予定",【ピボット】国保連売上!$A$3,"年月",$A121,"事業所コード",$B121,"事業所",$C121,"事業区分",M$1,"請求区分","単月"),0)
+IFERROR(GETPIVOTDATA("合計 / 入金予定",【ピボット】国保連売上!$A$3,"年月",$A121,"事業所コード",$B121,"事業所",$C121,"事業区分",M$1,"請求区分","再請求"),0))</f>
        <v>0</v>
      </c>
      <c r="N121" s="660">
        <v>0</v>
      </c>
      <c r="O121" s="660">
        <v>0</v>
      </c>
      <c r="P121" s="660">
        <v>0</v>
      </c>
      <c r="Q121" s="660">
        <v>0</v>
      </c>
      <c r="R121" s="660">
        <v>0</v>
      </c>
      <c r="S121" s="660">
        <v>280000</v>
      </c>
      <c r="T121" s="660">
        <v>0</v>
      </c>
      <c r="U121" s="660">
        <v>0</v>
      </c>
      <c r="V121" s="660">
        <v>-80000</v>
      </c>
      <c r="W121" s="660">
        <v>0</v>
      </c>
      <c r="X121" s="660">
        <v>0</v>
      </c>
      <c r="Y121" s="659">
        <f t="shared" ca="1" si="4"/>
        <v>2133548</v>
      </c>
      <c r="Z121" s="659">
        <f t="shared" ca="1" si="5"/>
        <v>200000</v>
      </c>
    </row>
    <row r="122" spans="1:26" ht="15.95" customHeight="1" x14ac:dyDescent="0.15">
      <c r="A122" s="656">
        <v>42979</v>
      </c>
      <c r="B122" s="657" t="str">
        <f t="shared" ca="1" si="3"/>
        <v>05</v>
      </c>
      <c r="C122" s="658" t="s">
        <v>38</v>
      </c>
      <c r="D122" s="659">
        <f ca="1">IF($A122="","",IFERROR(GETPIVOTDATA("合計 / 入金予定",【ピボット】国保連売上!$A$3,"年月",$A122,"事業所コード",$B122,"事業所",$C122,"事業区分",D$1,"請求区分","単月"),0)
+IFERROR(GETPIVOTDATA("合計 / 入金予定",【ピボット】国保連売上!$A$3,"年月",$A122,"事業所コード",$B122,"事業所",$C122,"事業区分",D$1,"請求区分","再請求"),0))</f>
        <v>2383506</v>
      </c>
      <c r="E122" s="659">
        <f ca="1">IF($A122="","",IFERROR(GETPIVOTDATA("合計 / 処遇改善加算金",【ピボット】国保連売上!$A$3,"年月",$A122,"事業所コード",$B122,"事業所",$C122,"事業区分",D$1,"請求区分","単月"),0))</f>
        <v>0</v>
      </c>
      <c r="F122" s="659">
        <f ca="1">IF($A122="","",IFERROR(GETPIVOTDATA("合計 / 入金予定",【ピボット】国保連売上!$A$3,"年月",$A122,"事業所コード",$B122,"事業所",$C122,"事業区分",F$1,"請求区分","単月"),0)
+IFERROR(GETPIVOTDATA("合計 / 入金予定",【ピボット】国保連売上!$A$3,"年月",$A122,"事業所コード",$B122,"事業所",$C122,"事業区分",F$1,"請求区分","再請求"),0))</f>
        <v>0</v>
      </c>
      <c r="G122" s="659">
        <f ca="1">IF($A122="","",IFERROR(GETPIVOTDATA("合計 / 処遇改善加算金",【ピボット】国保連売上!$A$3,"年月",$A122,"事業所コード",$B122,"事業所",$C122,"事業区分",F$1,"請求区分","単月"),0))</f>
        <v>0</v>
      </c>
      <c r="H122" s="659">
        <f ca="1">IF($A122="","",IFERROR(GETPIVOTDATA("合計 / 入金予定",【ピボット】国保連売上!$A$3,"年月",$A122,"事業所コード",$B122,"事業所",$C122,"事業区分",H$1,"請求区分","単月"),0)
+IFERROR(GETPIVOTDATA("合計 / 入金予定",【ピボット】国保連売上!$A$3,"年月",$A122,"事業所コード",$B122,"事業所",$C122,"事業区分",H$1,"請求区分","再請求"),0))</f>
        <v>0</v>
      </c>
      <c r="I122" s="659">
        <f ca="1">IF($A122="","",IFERROR(GETPIVOTDATA("合計 / 入金予定",【ピボット】国保連売上!$A$3,"年月",$A122,"事業所コード",$B122,"事業所",$C122,"事業区分",I$1,"請求区分","単月"),0)
+IFERROR(GETPIVOTDATA("合計 / 入金予定",【ピボット】国保連売上!$A$3,"年月",$A122,"事業所コード",$B122,"事業所",$C122,"事業区分",I$1,"請求区分","再請求"),0))</f>
        <v>0</v>
      </c>
      <c r="J122" s="659">
        <f ca="1">IF($A122="","",IFERROR(GETPIVOTDATA("合計 / 処遇改善加算金",【ピボット】国保連売上!$A$3,"年月",$A122,"事業所コード",$B122,"事業所",$C122,"事業区分",I$1,"請求区分","単月"),0))</f>
        <v>0</v>
      </c>
      <c r="K122" s="659">
        <f ca="1">IF($A122="","",IFERROR(GETPIVOTDATA("合計 / 入金予定",【ピボット】国保連売上!$A$3,"年月",$A122,"事業所コード",$B122,"事業所",$C122,"事業区分",K$1,"請求区分","単月"),0)
+IFERROR(GETPIVOTDATA("合計 / 入金予定",【ピボット】国保連売上!$A$3,"年月",$A122,"事業所コード",$B122,"事業所",$C122,"事業区分",K$1,"請求区分","再請求"),0))</f>
        <v>0</v>
      </c>
      <c r="L122" s="659">
        <f ca="1">IF($A122="","",IFERROR(GETPIVOTDATA("合計 / 処遇改善加算金",【ピボット】国保連売上!$A$3,"年月",$A122,"事業所コード",$B122,"事業所",$C122,"事業区分",K$1,"請求区分","単月"),0))</f>
        <v>0</v>
      </c>
      <c r="M122" s="659">
        <f ca="1">IF($A122="","",IFERROR(GETPIVOTDATA("合計 / 入金予定",【ピボット】国保連売上!$A$3,"年月",$A122,"事業所コード",$B122,"事業所",$C122,"事業区分",M$1,"請求区分","単月"),0)
+IFERROR(GETPIVOTDATA("合計 / 入金予定",【ピボット】国保連売上!$A$3,"年月",$A122,"事業所コード",$B122,"事業所",$C122,"事業区分",M$1,"請求区分","再請求"),0))</f>
        <v>0</v>
      </c>
      <c r="N122" s="660">
        <v>0</v>
      </c>
      <c r="O122" s="660">
        <v>0</v>
      </c>
      <c r="P122" s="660">
        <v>0</v>
      </c>
      <c r="Q122" s="660">
        <v>0</v>
      </c>
      <c r="R122" s="660">
        <v>0</v>
      </c>
      <c r="S122" s="660">
        <v>697840</v>
      </c>
      <c r="T122" s="660">
        <v>0</v>
      </c>
      <c r="U122" s="660">
        <v>0</v>
      </c>
      <c r="V122" s="660">
        <v>0</v>
      </c>
      <c r="W122" s="660">
        <v>0</v>
      </c>
      <c r="X122" s="660">
        <v>0</v>
      </c>
      <c r="Y122" s="659">
        <f t="shared" ca="1" si="4"/>
        <v>3081346</v>
      </c>
      <c r="Z122" s="659">
        <f t="shared" ca="1" si="5"/>
        <v>697840</v>
      </c>
    </row>
    <row r="123" spans="1:26" ht="15.95" customHeight="1" x14ac:dyDescent="0.15">
      <c r="A123" s="656">
        <v>42979</v>
      </c>
      <c r="B123" s="657" t="str">
        <f t="shared" ca="1" si="3"/>
        <v>10</v>
      </c>
      <c r="C123" s="658" t="s">
        <v>583</v>
      </c>
      <c r="D123" s="659">
        <f ca="1">IF($A123="","",IFERROR(GETPIVOTDATA("合計 / 入金予定",【ピボット】国保連売上!$A$3,"年月",$A123,"事業所コード",$B123,"事業所",$C123,"事業区分",D$1,"請求区分","単月"),0)
+IFERROR(GETPIVOTDATA("合計 / 入金予定",【ピボット】国保連売上!$A$3,"年月",$A123,"事業所コード",$B123,"事業所",$C123,"事業区分",D$1,"請求区分","再請求"),0))</f>
        <v>1414506</v>
      </c>
      <c r="E123" s="659">
        <f ca="1">IF($A123="","",IFERROR(GETPIVOTDATA("合計 / 処遇改善加算金",【ピボット】国保連売上!$A$3,"年月",$A123,"事業所コード",$B123,"事業所",$C123,"事業区分",D$1,"請求区分","単月"),0))</f>
        <v>0</v>
      </c>
      <c r="F123" s="659">
        <f ca="1">IF($A123="","",IFERROR(GETPIVOTDATA("合計 / 入金予定",【ピボット】国保連売上!$A$3,"年月",$A123,"事業所コード",$B123,"事業所",$C123,"事業区分",F$1,"請求区分","単月"),0)
+IFERROR(GETPIVOTDATA("合計 / 入金予定",【ピボット】国保連売上!$A$3,"年月",$A123,"事業所コード",$B123,"事業所",$C123,"事業区分",F$1,"請求区分","再請求"),0))</f>
        <v>0</v>
      </c>
      <c r="G123" s="659">
        <f ca="1">IF($A123="","",IFERROR(GETPIVOTDATA("合計 / 処遇改善加算金",【ピボット】国保連売上!$A$3,"年月",$A123,"事業所コード",$B123,"事業所",$C123,"事業区分",F$1,"請求区分","単月"),0))</f>
        <v>0</v>
      </c>
      <c r="H123" s="659">
        <f ca="1">IF($A123="","",IFERROR(GETPIVOTDATA("合計 / 入金予定",【ピボット】国保連売上!$A$3,"年月",$A123,"事業所コード",$B123,"事業所",$C123,"事業区分",H$1,"請求区分","単月"),0)
+IFERROR(GETPIVOTDATA("合計 / 入金予定",【ピボット】国保連売上!$A$3,"年月",$A123,"事業所コード",$B123,"事業所",$C123,"事業区分",H$1,"請求区分","再請求"),0))</f>
        <v>0</v>
      </c>
      <c r="I123" s="659">
        <f ca="1">IF($A123="","",IFERROR(GETPIVOTDATA("合計 / 入金予定",【ピボット】国保連売上!$A$3,"年月",$A123,"事業所コード",$B123,"事業所",$C123,"事業区分",I$1,"請求区分","単月"),0)
+IFERROR(GETPIVOTDATA("合計 / 入金予定",【ピボット】国保連売上!$A$3,"年月",$A123,"事業所コード",$B123,"事業所",$C123,"事業区分",I$1,"請求区分","再請求"),0))</f>
        <v>0</v>
      </c>
      <c r="J123" s="659">
        <f ca="1">IF($A123="","",IFERROR(GETPIVOTDATA("合計 / 処遇改善加算金",【ピボット】国保連売上!$A$3,"年月",$A123,"事業所コード",$B123,"事業所",$C123,"事業区分",I$1,"請求区分","単月"),0))</f>
        <v>0</v>
      </c>
      <c r="K123" s="659">
        <f ca="1">IF($A123="","",IFERROR(GETPIVOTDATA("合計 / 入金予定",【ピボット】国保連売上!$A$3,"年月",$A123,"事業所コード",$B123,"事業所",$C123,"事業区分",K$1,"請求区分","単月"),0)
+IFERROR(GETPIVOTDATA("合計 / 入金予定",【ピボット】国保連売上!$A$3,"年月",$A123,"事業所コード",$B123,"事業所",$C123,"事業区分",K$1,"請求区分","再請求"),0))</f>
        <v>0</v>
      </c>
      <c r="L123" s="659">
        <f ca="1">IF($A123="","",IFERROR(GETPIVOTDATA("合計 / 処遇改善加算金",【ピボット】国保連売上!$A$3,"年月",$A123,"事業所コード",$B123,"事業所",$C123,"事業区分",K$1,"請求区分","単月"),0))</f>
        <v>0</v>
      </c>
      <c r="M123" s="659">
        <f ca="1">IF($A123="","",IFERROR(GETPIVOTDATA("合計 / 入金予定",【ピボット】国保連売上!$A$3,"年月",$A123,"事業所コード",$B123,"事業所",$C123,"事業区分",M$1,"請求区分","単月"),0)
+IFERROR(GETPIVOTDATA("合計 / 入金予定",【ピボット】国保連売上!$A$3,"年月",$A123,"事業所コード",$B123,"事業所",$C123,"事業区分",M$1,"請求区分","再請求"),0))</f>
        <v>0</v>
      </c>
      <c r="N123" s="1294">
        <f>272470-2000</f>
        <v>270470</v>
      </c>
      <c r="O123" s="660">
        <v>60840</v>
      </c>
      <c r="P123" s="660">
        <v>1439840</v>
      </c>
      <c r="Q123" s="660">
        <v>0</v>
      </c>
      <c r="R123" s="660">
        <v>0</v>
      </c>
      <c r="S123" s="660">
        <v>0</v>
      </c>
      <c r="T123" s="660">
        <v>0</v>
      </c>
      <c r="U123" s="660">
        <v>0</v>
      </c>
      <c r="V123" s="660">
        <v>0</v>
      </c>
      <c r="W123" s="660">
        <v>0</v>
      </c>
      <c r="X123" s="660">
        <v>0</v>
      </c>
      <c r="Y123" s="659">
        <f t="shared" ca="1" si="4"/>
        <v>3185656</v>
      </c>
      <c r="Z123" s="659">
        <f t="shared" ca="1" si="5"/>
        <v>1771150</v>
      </c>
    </row>
    <row r="124" spans="1:26" ht="15.95" customHeight="1" x14ac:dyDescent="0.15">
      <c r="A124" s="656">
        <v>43009</v>
      </c>
      <c r="B124" s="657" t="str">
        <f t="shared" ca="1" si="3"/>
        <v>01</v>
      </c>
      <c r="C124" s="658" t="s">
        <v>34</v>
      </c>
      <c r="D124" s="659">
        <f ca="1">IF($A124="","",IFERROR(GETPIVOTDATA("合計 / 入金予定",【ピボット】国保連売上!$A$3,"年月",$A124,"事業所コード",$B124,"事業所",$C124,"事業区分",D$1,"請求区分","単月"),0)
+IFERROR(GETPIVOTDATA("合計 / 入金予定",【ピボット】国保連売上!$A$3,"年月",$A124,"事業所コード",$B124,"事業所",$C124,"事業区分",D$1,"請求区分","再請求"),0))</f>
        <v>8163026</v>
      </c>
      <c r="E124" s="659">
        <f ca="1">IF($A124="","",IFERROR(GETPIVOTDATA("合計 / 処遇改善加算金",【ピボット】国保連売上!$A$3,"年月",$A124,"事業所コード",$B124,"事業所",$C124,"事業区分",D$1,"請求区分","単月"),0))</f>
        <v>1392417</v>
      </c>
      <c r="F124" s="659">
        <f ca="1">IF($A124="","",IFERROR(GETPIVOTDATA("合計 / 入金予定",【ピボット】国保連売上!$A$3,"年月",$A124,"事業所コード",$B124,"事業所",$C124,"事業区分",F$1,"請求区分","単月"),0)
+IFERROR(GETPIVOTDATA("合計 / 入金予定",【ピボット】国保連売上!$A$3,"年月",$A124,"事業所コード",$B124,"事業所",$C124,"事業区分",F$1,"請求区分","再請求"),0))</f>
        <v>1512177</v>
      </c>
      <c r="G124" s="659">
        <f ca="1">IF($A124="","",IFERROR(GETPIVOTDATA("合計 / 処遇改善加算金",【ピボット】国保連売上!$A$3,"年月",$A124,"事業所コード",$B124,"事業所",$C124,"事業区分",F$1,"請求区分","単月"),0))</f>
        <v>314563</v>
      </c>
      <c r="H124" s="659">
        <f ca="1">IF($A124="","",IFERROR(GETPIVOTDATA("合計 / 入金予定",【ピボット】国保連売上!$A$3,"年月",$A124,"事業所コード",$B124,"事業所",$C124,"事業区分",H$1,"請求区分","単月"),0)
+IFERROR(GETPIVOTDATA("合計 / 入金予定",【ピボット】国保連売上!$A$3,"年月",$A124,"事業所コード",$B124,"事業所",$C124,"事業区分",H$1,"請求区分","再請求"),0))</f>
        <v>665042</v>
      </c>
      <c r="I124" s="659">
        <f ca="1">IF($A124="","",IFERROR(GETPIVOTDATA("合計 / 入金予定",【ピボット】国保連売上!$A$3,"年月",$A124,"事業所コード",$B124,"事業所",$C124,"事業区分",I$1,"請求区分","単月"),0)
+IFERROR(GETPIVOTDATA("合計 / 入金予定",【ピボット】国保連売上!$A$3,"年月",$A124,"事業所コード",$B124,"事業所",$C124,"事業区分",I$1,"請求区分","再請求"),0))</f>
        <v>0</v>
      </c>
      <c r="J124" s="659">
        <f ca="1">IF($A124="","",IFERROR(GETPIVOTDATA("合計 / 処遇改善加算金",【ピボット】国保連売上!$A$3,"年月",$A124,"事業所コード",$B124,"事業所",$C124,"事業区分",I$1,"請求区分","単月"),0))</f>
        <v>0</v>
      </c>
      <c r="K124" s="659">
        <f ca="1">IF($A124="","",IFERROR(GETPIVOTDATA("合計 / 入金予定",【ピボット】国保連売上!$A$3,"年月",$A124,"事業所コード",$B124,"事業所",$C124,"事業区分",K$1,"請求区分","単月"),0)
+IFERROR(GETPIVOTDATA("合計 / 入金予定",【ピボット】国保連売上!$A$3,"年月",$A124,"事業所コード",$B124,"事業所",$C124,"事業区分",K$1,"請求区分","再請求"),0))</f>
        <v>0</v>
      </c>
      <c r="L124" s="659">
        <f ca="1">IF($A124="","",IFERROR(GETPIVOTDATA("合計 / 処遇改善加算金",【ピボット】国保連売上!$A$3,"年月",$A124,"事業所コード",$B124,"事業所",$C124,"事業区分",K$1,"請求区分","単月"),0))</f>
        <v>0</v>
      </c>
      <c r="M124" s="659">
        <f ca="1">IF($A124="","",IFERROR(GETPIVOTDATA("合計 / 入金予定",【ピボット】国保連売上!$A$3,"年月",$A124,"事業所コード",$B124,"事業所",$C124,"事業区分",M$1,"請求区分","単月"),0)
+IFERROR(GETPIVOTDATA("合計 / 入金予定",【ピボット】国保連売上!$A$3,"年月",$A124,"事業所コード",$B124,"事業所",$C124,"事業区分",M$1,"請求区分","再請求"),0))</f>
        <v>0</v>
      </c>
      <c r="N124" s="660">
        <v>90600</v>
      </c>
      <c r="O124" s="660">
        <v>36331</v>
      </c>
      <c r="P124" s="660">
        <v>0</v>
      </c>
      <c r="Q124" s="660">
        <v>6327</v>
      </c>
      <c r="R124" s="660">
        <v>161025</v>
      </c>
      <c r="S124" s="660">
        <v>0</v>
      </c>
      <c r="T124" s="660">
        <v>0</v>
      </c>
      <c r="U124" s="660">
        <v>0</v>
      </c>
      <c r="V124" s="660">
        <v>0</v>
      </c>
      <c r="W124" s="660">
        <v>0</v>
      </c>
      <c r="X124" s="660">
        <v>0</v>
      </c>
      <c r="Y124" s="659">
        <f t="shared" ca="1" si="4"/>
        <v>10634528</v>
      </c>
      <c r="Z124" s="659">
        <f t="shared" ca="1" si="5"/>
        <v>294283</v>
      </c>
    </row>
    <row r="125" spans="1:26" ht="15.95" customHeight="1" x14ac:dyDescent="0.15">
      <c r="A125" s="656">
        <v>43009</v>
      </c>
      <c r="B125" s="657" t="str">
        <f t="shared" ca="1" si="3"/>
        <v>02</v>
      </c>
      <c r="C125" s="658" t="s">
        <v>37</v>
      </c>
      <c r="D125" s="659">
        <f ca="1">IF($A125="","",IFERROR(GETPIVOTDATA("合計 / 入金予定",【ピボット】国保連売上!$A$3,"年月",$A125,"事業所コード",$B125,"事業所",$C125,"事業区分",D$1,"請求区分","単月"),0)
+IFERROR(GETPIVOTDATA("合計 / 入金予定",【ピボット】国保連売上!$A$3,"年月",$A125,"事業所コード",$B125,"事業所",$C125,"事業区分",D$1,"請求区分","再請求"),0))</f>
        <v>4466589</v>
      </c>
      <c r="E125" s="659">
        <f ca="1">IF($A125="","",IFERROR(GETPIVOTDATA("合計 / 処遇改善加算金",【ピボット】国保連売上!$A$3,"年月",$A125,"事業所コード",$B125,"事業所",$C125,"事業区分",D$1,"請求区分","単月"),0))</f>
        <v>476289</v>
      </c>
      <c r="F125" s="659">
        <f ca="1">IF($A125="","",IFERROR(GETPIVOTDATA("合計 / 入金予定",【ピボット】国保連売上!$A$3,"年月",$A125,"事業所コード",$B125,"事業所",$C125,"事業区分",F$1,"請求区分","単月"),0)
+IFERROR(GETPIVOTDATA("合計 / 入金予定",【ピボット】国保連売上!$A$3,"年月",$A125,"事業所コード",$B125,"事業所",$C125,"事業区分",F$1,"請求区分","再請求"),0))</f>
        <v>976621</v>
      </c>
      <c r="G125" s="659">
        <f ca="1">IF($A125="","",IFERROR(GETPIVOTDATA("合計 / 処遇改善加算金",【ピボット】国保連売上!$A$3,"年月",$A125,"事業所コード",$B125,"事業所",$C125,"事業区分",F$1,"請求区分","単月"),0))</f>
        <v>222984</v>
      </c>
      <c r="H125" s="659">
        <f ca="1">IF($A125="","",IFERROR(GETPIVOTDATA("合計 / 入金予定",【ピボット】国保連売上!$A$3,"年月",$A125,"事業所コード",$B125,"事業所",$C125,"事業区分",H$1,"請求区分","単月"),0)
+IFERROR(GETPIVOTDATA("合計 / 入金予定",【ピボット】国保連売上!$A$3,"年月",$A125,"事業所コード",$B125,"事業所",$C125,"事業区分",H$1,"請求区分","再請求"),0))</f>
        <v>459051</v>
      </c>
      <c r="I125" s="659">
        <f ca="1">IF($A125="","",IFERROR(GETPIVOTDATA("合計 / 入金予定",【ピボット】国保連売上!$A$3,"年月",$A125,"事業所コード",$B125,"事業所",$C125,"事業区分",I$1,"請求区分","単月"),0)
+IFERROR(GETPIVOTDATA("合計 / 入金予定",【ピボット】国保連売上!$A$3,"年月",$A125,"事業所コード",$B125,"事業所",$C125,"事業区分",I$1,"請求区分","再請求"),0))</f>
        <v>0</v>
      </c>
      <c r="J125" s="659">
        <f ca="1">IF($A125="","",IFERROR(GETPIVOTDATA("合計 / 処遇改善加算金",【ピボット】国保連売上!$A$3,"年月",$A125,"事業所コード",$B125,"事業所",$C125,"事業区分",I$1,"請求区分","単月"),0))</f>
        <v>0</v>
      </c>
      <c r="K125" s="659">
        <f ca="1">IF($A125="","",IFERROR(GETPIVOTDATA("合計 / 入金予定",【ピボット】国保連売上!$A$3,"年月",$A125,"事業所コード",$B125,"事業所",$C125,"事業区分",K$1,"請求区分","単月"),0)
+IFERROR(GETPIVOTDATA("合計 / 入金予定",【ピボット】国保連売上!$A$3,"年月",$A125,"事業所コード",$B125,"事業所",$C125,"事業区分",K$1,"請求区分","再請求"),0))</f>
        <v>0</v>
      </c>
      <c r="L125" s="659">
        <f ca="1">IF($A125="","",IFERROR(GETPIVOTDATA("合計 / 処遇改善加算金",【ピボット】国保連売上!$A$3,"年月",$A125,"事業所コード",$B125,"事業所",$C125,"事業区分",K$1,"請求区分","単月"),0))</f>
        <v>0</v>
      </c>
      <c r="M125" s="659">
        <f ca="1">IF($A125="","",IFERROR(GETPIVOTDATA("合計 / 入金予定",【ピボット】国保連売上!$A$3,"年月",$A125,"事業所コード",$B125,"事業所",$C125,"事業区分",M$1,"請求区分","単月"),0)
+IFERROR(GETPIVOTDATA("合計 / 入金予定",【ピボット】国保連売上!$A$3,"年月",$A125,"事業所コード",$B125,"事業所",$C125,"事業区分",M$1,"請求区分","再請求"),0))</f>
        <v>0</v>
      </c>
      <c r="N125" s="660">
        <v>296564</v>
      </c>
      <c r="O125" s="660">
        <v>0</v>
      </c>
      <c r="P125" s="660">
        <v>0</v>
      </c>
      <c r="Q125" s="660">
        <v>2369</v>
      </c>
      <c r="R125" s="660">
        <v>89799</v>
      </c>
      <c r="S125" s="660">
        <v>0</v>
      </c>
      <c r="T125" s="660">
        <v>0</v>
      </c>
      <c r="U125" s="660">
        <v>0</v>
      </c>
      <c r="V125" s="660">
        <v>0</v>
      </c>
      <c r="W125" s="660">
        <v>0</v>
      </c>
      <c r="X125" s="660">
        <v>0</v>
      </c>
      <c r="Y125" s="659">
        <f t="shared" ref="Y125:Y181" ca="1" si="6">IF(A125="","",SUM(D125,F125,H125:I125,K125,M125:X125))</f>
        <v>6290993</v>
      </c>
      <c r="Z125" s="659">
        <f t="shared" ca="1" si="5"/>
        <v>388732</v>
      </c>
    </row>
    <row r="126" spans="1:26" ht="15.95" customHeight="1" x14ac:dyDescent="0.15">
      <c r="A126" s="656">
        <v>43009</v>
      </c>
      <c r="B126" s="657" t="str">
        <f t="shared" ca="1" si="3"/>
        <v>03</v>
      </c>
      <c r="C126" s="658" t="s">
        <v>66</v>
      </c>
      <c r="D126" s="659">
        <f ca="1">IF($A126="","",IFERROR(GETPIVOTDATA("合計 / 入金予定",【ピボット】国保連売上!$A$3,"年月",$A126,"事業所コード",$B126,"事業所",$C126,"事業区分",D$1,"請求区分","単月"),0)
+IFERROR(GETPIVOTDATA("合計 / 入金予定",【ピボット】国保連売上!$A$3,"年月",$A126,"事業所コード",$B126,"事業所",$C126,"事業区分",D$1,"請求区分","再請求"),0))</f>
        <v>3691193</v>
      </c>
      <c r="E126" s="659">
        <f ca="1">IF($A126="","",IFERROR(GETPIVOTDATA("合計 / 処遇改善加算金",【ピボット】国保連売上!$A$3,"年月",$A126,"事業所コード",$B126,"事業所",$C126,"事業区分",D$1,"請求区分","単月"),0))</f>
        <v>401316</v>
      </c>
      <c r="F126" s="659">
        <f ca="1">IF($A126="","",IFERROR(GETPIVOTDATA("合計 / 入金予定",【ピボット】国保連売上!$A$3,"年月",$A126,"事業所コード",$B126,"事業所",$C126,"事業区分",F$1,"請求区分","単月"),0)
+IFERROR(GETPIVOTDATA("合計 / 入金予定",【ピボット】国保連売上!$A$3,"年月",$A126,"事業所コード",$B126,"事業所",$C126,"事業区分",F$1,"請求区分","再請求"),0))</f>
        <v>1874471</v>
      </c>
      <c r="G126" s="659">
        <f ca="1">IF($A126="","",IFERROR(GETPIVOTDATA("合計 / 処遇改善加算金",【ピボット】国保連売上!$A$3,"年月",$A126,"事業所コード",$B126,"事業所",$C126,"事業区分",F$1,"請求区分","単月"),0))</f>
        <v>432798</v>
      </c>
      <c r="H126" s="659">
        <f ca="1">IF($A126="","",IFERROR(GETPIVOTDATA("合計 / 入金予定",【ピボット】国保連売上!$A$3,"年月",$A126,"事業所コード",$B126,"事業所",$C126,"事業区分",H$1,"請求区分","単月"),0)
+IFERROR(GETPIVOTDATA("合計 / 入金予定",【ピボット】国保連売上!$A$3,"年月",$A126,"事業所コード",$B126,"事業所",$C126,"事業区分",H$1,"請求区分","再請求"),0))</f>
        <v>0</v>
      </c>
      <c r="I126" s="659">
        <f ca="1">IF($A126="","",IFERROR(GETPIVOTDATA("合計 / 入金予定",【ピボット】国保連売上!$A$3,"年月",$A126,"事業所コード",$B126,"事業所",$C126,"事業区分",I$1,"請求区分","単月"),0)
+IFERROR(GETPIVOTDATA("合計 / 入金予定",【ピボット】国保連売上!$A$3,"年月",$A126,"事業所コード",$B126,"事業所",$C126,"事業区分",I$1,"請求区分","再請求"),0))</f>
        <v>0</v>
      </c>
      <c r="J126" s="659">
        <f ca="1">IF($A126="","",IFERROR(GETPIVOTDATA("合計 / 処遇改善加算金",【ピボット】国保連売上!$A$3,"年月",$A126,"事業所コード",$B126,"事業所",$C126,"事業区分",I$1,"請求区分","単月"),0))</f>
        <v>0</v>
      </c>
      <c r="K126" s="659">
        <f ca="1">IF($A126="","",IFERROR(GETPIVOTDATA("合計 / 入金予定",【ピボット】国保連売上!$A$3,"年月",$A126,"事業所コード",$B126,"事業所",$C126,"事業区分",K$1,"請求区分","単月"),0)
+IFERROR(GETPIVOTDATA("合計 / 入金予定",【ピボット】国保連売上!$A$3,"年月",$A126,"事業所コード",$B126,"事業所",$C126,"事業区分",K$1,"請求区分","再請求"),0))</f>
        <v>0</v>
      </c>
      <c r="L126" s="659">
        <f ca="1">IF($A126="","",IFERROR(GETPIVOTDATA("合計 / 処遇改善加算金",【ピボット】国保連売上!$A$3,"年月",$A126,"事業所コード",$B126,"事業所",$C126,"事業区分",K$1,"請求区分","単月"),0))</f>
        <v>0</v>
      </c>
      <c r="M126" s="659">
        <f ca="1">IF($A126="","",IFERROR(GETPIVOTDATA("合計 / 入金予定",【ピボット】国保連売上!$A$3,"年月",$A126,"事業所コード",$B126,"事業所",$C126,"事業区分",M$1,"請求区分","単月"),0)
+IFERROR(GETPIVOTDATA("合計 / 入金予定",【ピボット】国保連売上!$A$3,"年月",$A126,"事業所コード",$B126,"事業所",$C126,"事業区分",M$1,"請求区分","再請求"),0))</f>
        <v>0</v>
      </c>
      <c r="N126" s="660">
        <v>110400</v>
      </c>
      <c r="O126" s="660">
        <f>78610-2043</f>
        <v>76567</v>
      </c>
      <c r="P126" s="660">
        <v>30910</v>
      </c>
      <c r="Q126" s="660">
        <v>3869</v>
      </c>
      <c r="R126" s="660">
        <v>0</v>
      </c>
      <c r="S126" s="660">
        <v>0</v>
      </c>
      <c r="T126" s="660">
        <v>0</v>
      </c>
      <c r="U126" s="660">
        <v>0</v>
      </c>
      <c r="V126" s="660">
        <v>0</v>
      </c>
      <c r="W126" s="660">
        <v>0</v>
      </c>
      <c r="X126" s="660">
        <v>0</v>
      </c>
      <c r="Y126" s="659">
        <f t="shared" ca="1" si="6"/>
        <v>5787410</v>
      </c>
      <c r="Z126" s="659">
        <f t="shared" ca="1" si="5"/>
        <v>221746</v>
      </c>
    </row>
    <row r="127" spans="1:26" ht="15.95" customHeight="1" x14ac:dyDescent="0.15">
      <c r="A127" s="656">
        <v>43009</v>
      </c>
      <c r="B127" s="657" t="str">
        <f t="shared" ca="1" si="3"/>
        <v>04</v>
      </c>
      <c r="C127" s="658" t="s">
        <v>358</v>
      </c>
      <c r="D127" s="659">
        <f ca="1">IF($A127="","",IFERROR(GETPIVOTDATA("合計 / 入金予定",【ピボット】国保連売上!$A$3,"年月",$A127,"事業所コード",$B127,"事業所",$C127,"事業区分",D$1,"請求区分","単月"),0)
+IFERROR(GETPIVOTDATA("合計 / 入金予定",【ピボット】国保連売上!$A$3,"年月",$A127,"事業所コード",$B127,"事業所",$C127,"事業区分",D$1,"請求区分","再請求"),0))</f>
        <v>0</v>
      </c>
      <c r="E127" s="659">
        <f ca="1">IF($A127="","",IFERROR(GETPIVOTDATA("合計 / 処遇改善加算金",【ピボット】国保連売上!$A$3,"年月",$A127,"事業所コード",$B127,"事業所",$C127,"事業区分",D$1,"請求区分","単月"),0))</f>
        <v>0</v>
      </c>
      <c r="F127" s="659">
        <f ca="1">IF($A127="","",IFERROR(GETPIVOTDATA("合計 / 入金予定",【ピボット】国保連売上!$A$3,"年月",$A127,"事業所コード",$B127,"事業所",$C127,"事業区分",F$1,"請求区分","単月"),0)
+IFERROR(GETPIVOTDATA("合計 / 入金予定",【ピボット】国保連売上!$A$3,"年月",$A127,"事業所コード",$B127,"事業所",$C127,"事業区分",F$1,"請求区分","再請求"),0))</f>
        <v>0</v>
      </c>
      <c r="G127" s="659">
        <f ca="1">IF($A127="","",IFERROR(GETPIVOTDATA("合計 / 処遇改善加算金",【ピボット】国保連売上!$A$3,"年月",$A127,"事業所コード",$B127,"事業所",$C127,"事業区分",F$1,"請求区分","単月"),0))</f>
        <v>0</v>
      </c>
      <c r="H127" s="659">
        <f ca="1">IF($A127="","",IFERROR(GETPIVOTDATA("合計 / 入金予定",【ピボット】国保連売上!$A$3,"年月",$A127,"事業所コード",$B127,"事業所",$C127,"事業区分",H$1,"請求区分","単月"),0)
+IFERROR(GETPIVOTDATA("合計 / 入金予定",【ピボット】国保連売上!$A$3,"年月",$A127,"事業所コード",$B127,"事業所",$C127,"事業区分",H$1,"請求区分","再請求"),0))</f>
        <v>0</v>
      </c>
      <c r="I127" s="659">
        <f ca="1">IF($A127="","",IFERROR(GETPIVOTDATA("合計 / 入金予定",【ピボット】国保連売上!$A$3,"年月",$A127,"事業所コード",$B127,"事業所",$C127,"事業区分",I$1,"請求区分","単月"),0)
+IFERROR(GETPIVOTDATA("合計 / 入金予定",【ピボット】国保連売上!$A$3,"年月",$A127,"事業所コード",$B127,"事業所",$C127,"事業区分",I$1,"請求区分","再請求"),0))</f>
        <v>3104841</v>
      </c>
      <c r="J127" s="659">
        <f ca="1">IF($A127="","",IFERROR(GETPIVOTDATA("合計 / 処遇改善加算金",【ピボット】国保連売上!$A$3,"年月",$A127,"事業所コード",$B127,"事業所",$C127,"事業区分",I$1,"請求区分","単月"),0))</f>
        <v>173798</v>
      </c>
      <c r="K127" s="659">
        <f ca="1">IF($A127="","",IFERROR(GETPIVOTDATA("合計 / 入金予定",【ピボット】国保連売上!$A$3,"年月",$A127,"事業所コード",$B127,"事業所",$C127,"事業区分",K$1,"請求区分","単月"),0)
+IFERROR(GETPIVOTDATA("合計 / 入金予定",【ピボット】国保連売上!$A$3,"年月",$A127,"事業所コード",$B127,"事業所",$C127,"事業区分",K$1,"請求区分","再請求"),0))</f>
        <v>0</v>
      </c>
      <c r="L127" s="659">
        <f ca="1">IF($A127="","",IFERROR(GETPIVOTDATA("合計 / 処遇改善加算金",【ピボット】国保連売上!$A$3,"年月",$A127,"事業所コード",$B127,"事業所",$C127,"事業区分",K$1,"請求区分","単月"),0))</f>
        <v>0</v>
      </c>
      <c r="M127" s="659">
        <f ca="1">IF($A127="","",IFERROR(GETPIVOTDATA("合計 / 入金予定",【ピボット】国保連売上!$A$3,"年月",$A127,"事業所コード",$B127,"事業所",$C127,"事業区分",M$1,"請求区分","単月"),0)
+IFERROR(GETPIVOTDATA("合計 / 入金予定",【ピボット】国保連売上!$A$3,"年月",$A127,"事業所コード",$B127,"事業所",$C127,"事業区分",M$1,"請求区分","再請求"),0))</f>
        <v>0</v>
      </c>
      <c r="N127" s="660">
        <v>0</v>
      </c>
      <c r="O127" s="660">
        <v>0</v>
      </c>
      <c r="P127" s="660">
        <v>0</v>
      </c>
      <c r="Q127" s="660">
        <v>0</v>
      </c>
      <c r="R127" s="660">
        <v>0</v>
      </c>
      <c r="S127" s="660">
        <v>0</v>
      </c>
      <c r="T127" s="660">
        <v>165550</v>
      </c>
      <c r="U127" s="660">
        <v>0</v>
      </c>
      <c r="V127" s="660">
        <v>0</v>
      </c>
      <c r="W127" s="660">
        <v>0</v>
      </c>
      <c r="X127" s="660">
        <v>0</v>
      </c>
      <c r="Y127" s="659">
        <f t="shared" ca="1" si="6"/>
        <v>3270391</v>
      </c>
      <c r="Z127" s="659">
        <f t="shared" ca="1" si="5"/>
        <v>165550</v>
      </c>
    </row>
    <row r="128" spans="1:26" ht="15.95" customHeight="1" x14ac:dyDescent="0.15">
      <c r="A128" s="656">
        <v>43009</v>
      </c>
      <c r="B128" s="657" t="str">
        <f t="shared" ca="1" si="3"/>
        <v>07</v>
      </c>
      <c r="C128" s="658" t="s">
        <v>119</v>
      </c>
      <c r="D128" s="659">
        <f ca="1">IF($A128="","",IFERROR(GETPIVOTDATA("合計 / 入金予定",【ピボット】国保連売上!$A$3,"年月",$A128,"事業所コード",$B128,"事業所",$C128,"事業区分",D$1,"請求区分","単月"),0)
+IFERROR(GETPIVOTDATA("合計 / 入金予定",【ピボット】国保連売上!$A$3,"年月",$A128,"事業所コード",$B128,"事業所",$C128,"事業区分",D$1,"請求区分","再請求"),0))</f>
        <v>0</v>
      </c>
      <c r="E128" s="659">
        <f ca="1">IF($A128="","",IFERROR(GETPIVOTDATA("合計 / 処遇改善加算金",【ピボット】国保連売上!$A$3,"年月",$A128,"事業所コード",$B128,"事業所",$C128,"事業区分",D$1,"請求区分","単月"),0))</f>
        <v>0</v>
      </c>
      <c r="F128" s="659">
        <f ca="1">IF($A128="","",IFERROR(GETPIVOTDATA("合計 / 入金予定",【ピボット】国保連売上!$A$3,"年月",$A128,"事業所コード",$B128,"事業所",$C128,"事業区分",F$1,"請求区分","単月"),0)
+IFERROR(GETPIVOTDATA("合計 / 入金予定",【ピボット】国保連売上!$A$3,"年月",$A128,"事業所コード",$B128,"事業所",$C128,"事業区分",F$1,"請求区分","再請求"),0))</f>
        <v>0</v>
      </c>
      <c r="G128" s="659">
        <f ca="1">IF($A128="","",IFERROR(GETPIVOTDATA("合計 / 処遇改善加算金",【ピボット】国保連売上!$A$3,"年月",$A128,"事業所コード",$B128,"事業所",$C128,"事業区分",F$1,"請求区分","単月"),0))</f>
        <v>0</v>
      </c>
      <c r="H128" s="659">
        <f ca="1">IF($A128="","",IFERROR(GETPIVOTDATA("合計 / 入金予定",【ピボット】国保連売上!$A$3,"年月",$A128,"事業所コード",$B128,"事業所",$C128,"事業区分",H$1,"請求区分","単月"),0)
+IFERROR(GETPIVOTDATA("合計 / 入金予定",【ピボット】国保連売上!$A$3,"年月",$A128,"事業所コード",$B128,"事業所",$C128,"事業区分",H$1,"請求区分","再請求"),0))</f>
        <v>0</v>
      </c>
      <c r="I128" s="659">
        <f ca="1">IF($A128="","",IFERROR(GETPIVOTDATA("合計 / 入金予定",【ピボット】国保連売上!$A$3,"年月",$A128,"事業所コード",$B128,"事業所",$C128,"事業区分",I$1,"請求区分","単月"),0)
+IFERROR(GETPIVOTDATA("合計 / 入金予定",【ピボット】国保連売上!$A$3,"年月",$A128,"事業所コード",$B128,"事業所",$C128,"事業区分",I$1,"請求区分","再請求"),0))</f>
        <v>0</v>
      </c>
      <c r="J128" s="659">
        <f ca="1">IF($A128="","",IFERROR(GETPIVOTDATA("合計 / 処遇改善加算金",【ピボット】国保連売上!$A$3,"年月",$A128,"事業所コード",$B128,"事業所",$C128,"事業区分",I$1,"請求区分","単月"),0))</f>
        <v>0</v>
      </c>
      <c r="K128" s="659">
        <f ca="1">IF($A128="","",IFERROR(GETPIVOTDATA("合計 / 入金予定",【ピボット】国保連売上!$A$3,"年月",$A128,"事業所コード",$B128,"事業所",$C128,"事業区分",K$1,"請求区分","単月"),0)
+IFERROR(GETPIVOTDATA("合計 / 入金予定",【ピボット】国保連売上!$A$3,"年月",$A128,"事業所コード",$B128,"事業所",$C128,"事業区分",K$1,"請求区分","再請求"),0))</f>
        <v>1013496</v>
      </c>
      <c r="L128" s="659">
        <f ca="1">IF($A128="","",IFERROR(GETPIVOTDATA("合計 / 処遇改善加算金",【ピボット】国保連売上!$A$3,"年月",$A128,"事業所コード",$B128,"事業所",$C128,"事業区分",K$1,"請求区分","単月"),0))</f>
        <v>332983</v>
      </c>
      <c r="M128" s="659">
        <f ca="1">IF($A128="","",IFERROR(GETPIVOTDATA("合計 / 入金予定",【ピボット】国保連売上!$A$3,"年月",$A128,"事業所コード",$B128,"事業所",$C128,"事業区分",M$1,"請求区分","単月"),0)
+IFERROR(GETPIVOTDATA("合計 / 入金予定",【ピボット】国保連売上!$A$3,"年月",$A128,"事業所コード",$B128,"事業所",$C128,"事業区分",M$1,"請求区分","再請求"),0))</f>
        <v>0</v>
      </c>
      <c r="N128" s="660">
        <v>0</v>
      </c>
      <c r="O128" s="660">
        <v>0</v>
      </c>
      <c r="P128" s="660">
        <v>0</v>
      </c>
      <c r="Q128" s="660">
        <v>0</v>
      </c>
      <c r="R128" s="660">
        <v>0</v>
      </c>
      <c r="S128" s="660">
        <v>78000</v>
      </c>
      <c r="T128" s="660">
        <v>0</v>
      </c>
      <c r="U128" s="660">
        <v>0</v>
      </c>
      <c r="V128" s="660">
        <v>-40000</v>
      </c>
      <c r="W128" s="660">
        <v>0</v>
      </c>
      <c r="X128" s="660">
        <v>0</v>
      </c>
      <c r="Y128" s="659">
        <f t="shared" ca="1" si="6"/>
        <v>1051496</v>
      </c>
      <c r="Z128" s="659">
        <f t="shared" ca="1" si="5"/>
        <v>38000</v>
      </c>
    </row>
    <row r="129" spans="1:26" ht="15.95" customHeight="1" x14ac:dyDescent="0.15">
      <c r="A129" s="656">
        <v>43009</v>
      </c>
      <c r="B129" s="657" t="str">
        <f t="shared" ca="1" si="3"/>
        <v>08</v>
      </c>
      <c r="C129" s="658" t="s">
        <v>189</v>
      </c>
      <c r="D129" s="659">
        <f ca="1">IF($A129="","",IFERROR(GETPIVOTDATA("合計 / 入金予定",【ピボット】国保連売上!$A$3,"年月",$A129,"事業所コード",$B129,"事業所",$C129,"事業区分",D$1,"請求区分","単月"),0)
+IFERROR(GETPIVOTDATA("合計 / 入金予定",【ピボット】国保連売上!$A$3,"年月",$A129,"事業所コード",$B129,"事業所",$C129,"事業区分",D$1,"請求区分","再請求"),0))</f>
        <v>0</v>
      </c>
      <c r="E129" s="659">
        <f ca="1">IF($A129="","",IFERROR(GETPIVOTDATA("合計 / 処遇改善加算金",【ピボット】国保連売上!$A$3,"年月",$A129,"事業所コード",$B129,"事業所",$C129,"事業区分",D$1,"請求区分","単月"),0))</f>
        <v>0</v>
      </c>
      <c r="F129" s="659">
        <f ca="1">IF($A129="","",IFERROR(GETPIVOTDATA("合計 / 入金予定",【ピボット】国保連売上!$A$3,"年月",$A129,"事業所コード",$B129,"事業所",$C129,"事業区分",F$1,"請求区分","単月"),0)
+IFERROR(GETPIVOTDATA("合計 / 入金予定",【ピボット】国保連売上!$A$3,"年月",$A129,"事業所コード",$B129,"事業所",$C129,"事業区分",F$1,"請求区分","再請求"),0))</f>
        <v>0</v>
      </c>
      <c r="G129" s="659">
        <f ca="1">IF($A129="","",IFERROR(GETPIVOTDATA("合計 / 処遇改善加算金",【ピボット】国保連売上!$A$3,"年月",$A129,"事業所コード",$B129,"事業所",$C129,"事業区分",F$1,"請求区分","単月"),0))</f>
        <v>0</v>
      </c>
      <c r="H129" s="659">
        <f ca="1">IF($A129="","",IFERROR(GETPIVOTDATA("合計 / 入金予定",【ピボット】国保連売上!$A$3,"年月",$A129,"事業所コード",$B129,"事業所",$C129,"事業区分",H$1,"請求区分","単月"),0)
+IFERROR(GETPIVOTDATA("合計 / 入金予定",【ピボット】国保連売上!$A$3,"年月",$A129,"事業所コード",$B129,"事業所",$C129,"事業区分",H$1,"請求区分","再請求"),0))</f>
        <v>0</v>
      </c>
      <c r="I129" s="659">
        <f ca="1">IF($A129="","",IFERROR(GETPIVOTDATA("合計 / 入金予定",【ピボット】国保連売上!$A$3,"年月",$A129,"事業所コード",$B129,"事業所",$C129,"事業区分",I$1,"請求区分","単月"),0)
+IFERROR(GETPIVOTDATA("合計 / 入金予定",【ピボット】国保連売上!$A$3,"年月",$A129,"事業所コード",$B129,"事業所",$C129,"事業区分",I$1,"請求区分","再請求"),0))</f>
        <v>0</v>
      </c>
      <c r="J129" s="659">
        <f ca="1">IF($A129="","",IFERROR(GETPIVOTDATA("合計 / 処遇改善加算金",【ピボット】国保連売上!$A$3,"年月",$A129,"事業所コード",$B129,"事業所",$C129,"事業区分",I$1,"請求区分","単月"),0))</f>
        <v>0</v>
      </c>
      <c r="K129" s="659">
        <f ca="1">IF($A129="","",IFERROR(GETPIVOTDATA("合計 / 入金予定",【ピボット】国保連売上!$A$3,"年月",$A129,"事業所コード",$B129,"事業所",$C129,"事業区分",K$1,"請求区分","単月"),0)
+IFERROR(GETPIVOTDATA("合計 / 入金予定",【ピボット】国保連売上!$A$3,"年月",$A129,"事業所コード",$B129,"事業所",$C129,"事業区分",K$1,"請求区分","再請求"),0))</f>
        <v>983492</v>
      </c>
      <c r="L129" s="659">
        <f ca="1">IF($A129="","",IFERROR(GETPIVOTDATA("合計 / 処遇改善加算金",【ピボット】国保連売上!$A$3,"年月",$A129,"事業所コード",$B129,"事業所",$C129,"事業区分",K$1,"請求区分","単月"),0))</f>
        <v>0</v>
      </c>
      <c r="M129" s="659">
        <f ca="1">IF($A129="","",IFERROR(GETPIVOTDATA("合計 / 入金予定",【ピボット】国保連売上!$A$3,"年月",$A129,"事業所コード",$B129,"事業所",$C129,"事業区分",M$1,"請求区分","単月"),0)
+IFERROR(GETPIVOTDATA("合計 / 入金予定",【ピボット】国保連売上!$A$3,"年月",$A129,"事業所コード",$B129,"事業所",$C129,"事業区分",M$1,"請求区分","再請求"),0))</f>
        <v>0</v>
      </c>
      <c r="N129" s="660">
        <v>20000</v>
      </c>
      <c r="O129" s="660">
        <v>0</v>
      </c>
      <c r="P129" s="660">
        <v>0</v>
      </c>
      <c r="Q129" s="660">
        <v>0</v>
      </c>
      <c r="R129" s="660">
        <v>0</v>
      </c>
      <c r="S129" s="660">
        <v>98000</v>
      </c>
      <c r="T129" s="660">
        <v>0</v>
      </c>
      <c r="U129" s="660">
        <v>0</v>
      </c>
      <c r="V129" s="660">
        <v>-40000</v>
      </c>
      <c r="W129" s="660">
        <v>0</v>
      </c>
      <c r="X129" s="660">
        <v>0</v>
      </c>
      <c r="Y129" s="659">
        <f t="shared" ca="1" si="6"/>
        <v>1061492</v>
      </c>
      <c r="Z129" s="659">
        <f t="shared" ca="1" si="5"/>
        <v>78000</v>
      </c>
    </row>
    <row r="130" spans="1:26" ht="15.95" customHeight="1" x14ac:dyDescent="0.15">
      <c r="A130" s="656">
        <v>43009</v>
      </c>
      <c r="B130" s="657" t="str">
        <f t="shared" ca="1" si="3"/>
        <v>09</v>
      </c>
      <c r="C130" s="658" t="s">
        <v>329</v>
      </c>
      <c r="D130" s="659">
        <f ca="1">IF($A130="","",IFERROR(GETPIVOTDATA("合計 / 入金予定",【ピボット】国保連売上!$A$3,"年月",$A130,"事業所コード",$B130,"事業所",$C130,"事業区分",D$1,"請求区分","単月"),0)
+IFERROR(GETPIVOTDATA("合計 / 入金予定",【ピボット】国保連売上!$A$3,"年月",$A130,"事業所コード",$B130,"事業所",$C130,"事業区分",D$1,"請求区分","再請求"),0))</f>
        <v>0</v>
      </c>
      <c r="E130" s="659">
        <f ca="1">IF($A130="","",IFERROR(GETPIVOTDATA("合計 / 処遇改善加算金",【ピボット】国保連売上!$A$3,"年月",$A130,"事業所コード",$B130,"事業所",$C130,"事業区分",D$1,"請求区分","単月"),0))</f>
        <v>0</v>
      </c>
      <c r="F130" s="659">
        <f ca="1">IF($A130="","",IFERROR(GETPIVOTDATA("合計 / 入金予定",【ピボット】国保連売上!$A$3,"年月",$A130,"事業所コード",$B130,"事業所",$C130,"事業区分",F$1,"請求区分","単月"),0)
+IFERROR(GETPIVOTDATA("合計 / 入金予定",【ピボット】国保連売上!$A$3,"年月",$A130,"事業所コード",$B130,"事業所",$C130,"事業区分",F$1,"請求区分","再請求"),0))</f>
        <v>0</v>
      </c>
      <c r="G130" s="659">
        <f ca="1">IF($A130="","",IFERROR(GETPIVOTDATA("合計 / 処遇改善加算金",【ピボット】国保連売上!$A$3,"年月",$A130,"事業所コード",$B130,"事業所",$C130,"事業区分",F$1,"請求区分","単月"),0))</f>
        <v>0</v>
      </c>
      <c r="H130" s="659">
        <f ca="1">IF($A130="","",IFERROR(GETPIVOTDATA("合計 / 入金予定",【ピボット】国保連売上!$A$3,"年月",$A130,"事業所コード",$B130,"事業所",$C130,"事業区分",H$1,"請求区分","単月"),0)
+IFERROR(GETPIVOTDATA("合計 / 入金予定",【ピボット】国保連売上!$A$3,"年月",$A130,"事業所コード",$B130,"事業所",$C130,"事業区分",H$1,"請求区分","再請求"),0))</f>
        <v>0</v>
      </c>
      <c r="I130" s="659">
        <f ca="1">IF($A130="","",IFERROR(GETPIVOTDATA("合計 / 入金予定",【ピボット】国保連売上!$A$3,"年月",$A130,"事業所コード",$B130,"事業所",$C130,"事業区分",I$1,"請求区分","単月"),0)
+IFERROR(GETPIVOTDATA("合計 / 入金予定",【ピボット】国保連売上!$A$3,"年月",$A130,"事業所コード",$B130,"事業所",$C130,"事業区分",I$1,"請求区分","再請求"),0))</f>
        <v>0</v>
      </c>
      <c r="J130" s="659">
        <f ca="1">IF($A130="","",IFERROR(GETPIVOTDATA("合計 / 処遇改善加算金",【ピボット】国保連売上!$A$3,"年月",$A130,"事業所コード",$B130,"事業所",$C130,"事業区分",I$1,"請求区分","単月"),0))</f>
        <v>0</v>
      </c>
      <c r="K130" s="659">
        <f ca="1">IF($A130="","",IFERROR(GETPIVOTDATA("合計 / 入金予定",【ピボット】国保連売上!$A$3,"年月",$A130,"事業所コード",$B130,"事業所",$C130,"事業区分",K$1,"請求区分","単月"),0)
+IFERROR(GETPIVOTDATA("合計 / 入金予定",【ピボット】国保連売上!$A$3,"年月",$A130,"事業所コード",$B130,"事業所",$C130,"事業区分",K$1,"請求区分","再請求"),0))</f>
        <v>3035498</v>
      </c>
      <c r="L130" s="659">
        <f ca="1">IF($A130="","",IFERROR(GETPIVOTDATA("合計 / 処遇改善加算金",【ピボット】国保連売上!$A$3,"年月",$A130,"事業所コード",$B130,"事業所",$C130,"事業区分",K$1,"請求区分","単月"),0))</f>
        <v>0</v>
      </c>
      <c r="M130" s="659">
        <f ca="1">IF($A130="","",IFERROR(GETPIVOTDATA("合計 / 入金予定",【ピボット】国保連売上!$A$3,"年月",$A130,"事業所コード",$B130,"事業所",$C130,"事業区分",M$1,"請求区分","単月"),0)
+IFERROR(GETPIVOTDATA("合計 / 入金予定",【ピボット】国保連売上!$A$3,"年月",$A130,"事業所コード",$B130,"事業所",$C130,"事業区分",M$1,"請求区分","再請求"),0))</f>
        <v>0</v>
      </c>
      <c r="N130" s="660">
        <v>0</v>
      </c>
      <c r="O130" s="660">
        <v>0</v>
      </c>
      <c r="P130" s="660">
        <v>0</v>
      </c>
      <c r="Q130" s="660">
        <v>0</v>
      </c>
      <c r="R130" s="660">
        <v>0</v>
      </c>
      <c r="S130" s="660">
        <v>320000</v>
      </c>
      <c r="T130" s="660">
        <v>0</v>
      </c>
      <c r="U130" s="660">
        <v>0</v>
      </c>
      <c r="V130" s="660">
        <v>-80000</v>
      </c>
      <c r="W130" s="660">
        <v>0</v>
      </c>
      <c r="X130" s="660">
        <v>0</v>
      </c>
      <c r="Y130" s="659">
        <f t="shared" ca="1" si="6"/>
        <v>3275498</v>
      </c>
      <c r="Z130" s="659">
        <f t="shared" ca="1" si="5"/>
        <v>240000</v>
      </c>
    </row>
    <row r="131" spans="1:26" ht="15.95" customHeight="1" x14ac:dyDescent="0.15">
      <c r="A131" s="656">
        <v>43009</v>
      </c>
      <c r="B131" s="657" t="str">
        <f t="shared" ref="B131:B194" ca="1" si="7">IF(C131="","",VLOOKUP(C131,事業所コード2,2,FALSE))</f>
        <v>05</v>
      </c>
      <c r="C131" s="658" t="s">
        <v>38</v>
      </c>
      <c r="D131" s="659">
        <f ca="1">IF($A131="","",IFERROR(GETPIVOTDATA("合計 / 入金予定",【ピボット】国保連売上!$A$3,"年月",$A131,"事業所コード",$B131,"事業所",$C131,"事業区分",D$1,"請求区分","単月"),0)
+IFERROR(GETPIVOTDATA("合計 / 入金予定",【ピボット】国保連売上!$A$3,"年月",$A131,"事業所コード",$B131,"事業所",$C131,"事業区分",D$1,"請求区分","再請求"),0))</f>
        <v>2140629</v>
      </c>
      <c r="E131" s="659">
        <f ca="1">IF($A131="","",IFERROR(GETPIVOTDATA("合計 / 処遇改善加算金",【ピボット】国保連売上!$A$3,"年月",$A131,"事業所コード",$B131,"事業所",$C131,"事業区分",D$1,"請求区分","単月"),0))</f>
        <v>0</v>
      </c>
      <c r="F131" s="659">
        <f ca="1">IF($A131="","",IFERROR(GETPIVOTDATA("合計 / 入金予定",【ピボット】国保連売上!$A$3,"年月",$A131,"事業所コード",$B131,"事業所",$C131,"事業区分",F$1,"請求区分","単月"),0)
+IFERROR(GETPIVOTDATA("合計 / 入金予定",【ピボット】国保連売上!$A$3,"年月",$A131,"事業所コード",$B131,"事業所",$C131,"事業区分",F$1,"請求区分","再請求"),0))</f>
        <v>0</v>
      </c>
      <c r="G131" s="659">
        <f ca="1">IF($A131="","",IFERROR(GETPIVOTDATA("合計 / 処遇改善加算金",【ピボット】国保連売上!$A$3,"年月",$A131,"事業所コード",$B131,"事業所",$C131,"事業区分",F$1,"請求区分","単月"),0))</f>
        <v>0</v>
      </c>
      <c r="H131" s="659">
        <f ca="1">IF($A131="","",IFERROR(GETPIVOTDATA("合計 / 入金予定",【ピボット】国保連売上!$A$3,"年月",$A131,"事業所コード",$B131,"事業所",$C131,"事業区分",H$1,"請求区分","単月"),0)
+IFERROR(GETPIVOTDATA("合計 / 入金予定",【ピボット】国保連売上!$A$3,"年月",$A131,"事業所コード",$B131,"事業所",$C131,"事業区分",H$1,"請求区分","再請求"),0))</f>
        <v>0</v>
      </c>
      <c r="I131" s="659">
        <f ca="1">IF($A131="","",IFERROR(GETPIVOTDATA("合計 / 入金予定",【ピボット】国保連売上!$A$3,"年月",$A131,"事業所コード",$B131,"事業所",$C131,"事業区分",I$1,"請求区分","単月"),0)
+IFERROR(GETPIVOTDATA("合計 / 入金予定",【ピボット】国保連売上!$A$3,"年月",$A131,"事業所コード",$B131,"事業所",$C131,"事業区分",I$1,"請求区分","再請求"),0))</f>
        <v>0</v>
      </c>
      <c r="J131" s="659">
        <f ca="1">IF($A131="","",IFERROR(GETPIVOTDATA("合計 / 処遇改善加算金",【ピボット】国保連売上!$A$3,"年月",$A131,"事業所コード",$B131,"事業所",$C131,"事業区分",I$1,"請求区分","単月"),0))</f>
        <v>0</v>
      </c>
      <c r="K131" s="659">
        <f ca="1">IF($A131="","",IFERROR(GETPIVOTDATA("合計 / 入金予定",【ピボット】国保連売上!$A$3,"年月",$A131,"事業所コード",$B131,"事業所",$C131,"事業区分",K$1,"請求区分","単月"),0)
+IFERROR(GETPIVOTDATA("合計 / 入金予定",【ピボット】国保連売上!$A$3,"年月",$A131,"事業所コード",$B131,"事業所",$C131,"事業区分",K$1,"請求区分","再請求"),0))</f>
        <v>0</v>
      </c>
      <c r="L131" s="659">
        <f ca="1">IF($A131="","",IFERROR(GETPIVOTDATA("合計 / 処遇改善加算金",【ピボット】国保連売上!$A$3,"年月",$A131,"事業所コード",$B131,"事業所",$C131,"事業区分",K$1,"請求区分","単月"),0))</f>
        <v>0</v>
      </c>
      <c r="M131" s="659">
        <f ca="1">IF($A131="","",IFERROR(GETPIVOTDATA("合計 / 入金予定",【ピボット】国保連売上!$A$3,"年月",$A131,"事業所コード",$B131,"事業所",$C131,"事業区分",M$1,"請求区分","単月"),0)
+IFERROR(GETPIVOTDATA("合計 / 入金予定",【ピボット】国保連売上!$A$3,"年月",$A131,"事業所コード",$B131,"事業所",$C131,"事業区分",M$1,"請求区分","再請求"),0))</f>
        <v>0</v>
      </c>
      <c r="N131" s="660">
        <v>6000</v>
      </c>
      <c r="O131" s="660">
        <v>0</v>
      </c>
      <c r="P131" s="660">
        <v>0</v>
      </c>
      <c r="Q131" s="660">
        <v>0</v>
      </c>
      <c r="R131" s="660">
        <v>0</v>
      </c>
      <c r="S131" s="660">
        <v>842510</v>
      </c>
      <c r="T131" s="660">
        <v>0</v>
      </c>
      <c r="U131" s="660">
        <v>0</v>
      </c>
      <c r="V131" s="660">
        <v>0</v>
      </c>
      <c r="W131" s="660">
        <v>0</v>
      </c>
      <c r="X131" s="660">
        <v>0</v>
      </c>
      <c r="Y131" s="659">
        <f t="shared" ca="1" si="6"/>
        <v>2989139</v>
      </c>
      <c r="Z131" s="659">
        <f t="shared" ref="Z131:Z194" ca="1" si="8">IF(B131="","",SUM(N131:X131))</f>
        <v>848510</v>
      </c>
    </row>
    <row r="132" spans="1:26" ht="15.95" customHeight="1" x14ac:dyDescent="0.15">
      <c r="A132" s="656">
        <v>43009</v>
      </c>
      <c r="B132" s="657" t="str">
        <f t="shared" ca="1" si="7"/>
        <v>10</v>
      </c>
      <c r="C132" s="658" t="s">
        <v>583</v>
      </c>
      <c r="D132" s="659">
        <f ca="1">IF($A132="","",IFERROR(GETPIVOTDATA("合計 / 入金予定",【ピボット】国保連売上!$A$3,"年月",$A132,"事業所コード",$B132,"事業所",$C132,"事業区分",D$1,"請求区分","単月"),0)
+IFERROR(GETPIVOTDATA("合計 / 入金予定",【ピボット】国保連売上!$A$3,"年月",$A132,"事業所コード",$B132,"事業所",$C132,"事業区分",D$1,"請求区分","再請求"),0))</f>
        <v>1250104</v>
      </c>
      <c r="E132" s="659">
        <f ca="1">IF($A132="","",IFERROR(GETPIVOTDATA("合計 / 処遇改善加算金",【ピボット】国保連売上!$A$3,"年月",$A132,"事業所コード",$B132,"事業所",$C132,"事業区分",D$1,"請求区分","単月"),0))</f>
        <v>0</v>
      </c>
      <c r="F132" s="659">
        <f ca="1">IF($A132="","",IFERROR(GETPIVOTDATA("合計 / 入金予定",【ピボット】国保連売上!$A$3,"年月",$A132,"事業所コード",$B132,"事業所",$C132,"事業区分",F$1,"請求区分","単月"),0)
+IFERROR(GETPIVOTDATA("合計 / 入金予定",【ピボット】国保連売上!$A$3,"年月",$A132,"事業所コード",$B132,"事業所",$C132,"事業区分",F$1,"請求区分","再請求"),0))</f>
        <v>0</v>
      </c>
      <c r="G132" s="659">
        <f ca="1">IF($A132="","",IFERROR(GETPIVOTDATA("合計 / 処遇改善加算金",【ピボット】国保連売上!$A$3,"年月",$A132,"事業所コード",$B132,"事業所",$C132,"事業区分",F$1,"請求区分","単月"),0))</f>
        <v>0</v>
      </c>
      <c r="H132" s="659">
        <f ca="1">IF($A132="","",IFERROR(GETPIVOTDATA("合計 / 入金予定",【ピボット】国保連売上!$A$3,"年月",$A132,"事業所コード",$B132,"事業所",$C132,"事業区分",H$1,"請求区分","単月"),0)
+IFERROR(GETPIVOTDATA("合計 / 入金予定",【ピボット】国保連売上!$A$3,"年月",$A132,"事業所コード",$B132,"事業所",$C132,"事業区分",H$1,"請求区分","再請求"),0))</f>
        <v>0</v>
      </c>
      <c r="I132" s="659">
        <f ca="1">IF($A132="","",IFERROR(GETPIVOTDATA("合計 / 入金予定",【ピボット】国保連売上!$A$3,"年月",$A132,"事業所コード",$B132,"事業所",$C132,"事業区分",I$1,"請求区分","単月"),0)
+IFERROR(GETPIVOTDATA("合計 / 入金予定",【ピボット】国保連売上!$A$3,"年月",$A132,"事業所コード",$B132,"事業所",$C132,"事業区分",I$1,"請求区分","再請求"),0))</f>
        <v>0</v>
      </c>
      <c r="J132" s="659">
        <f ca="1">IF($A132="","",IFERROR(GETPIVOTDATA("合計 / 処遇改善加算金",【ピボット】国保連売上!$A$3,"年月",$A132,"事業所コード",$B132,"事業所",$C132,"事業区分",I$1,"請求区分","単月"),0))</f>
        <v>0</v>
      </c>
      <c r="K132" s="659">
        <f ca="1">IF($A132="","",IFERROR(GETPIVOTDATA("合計 / 入金予定",【ピボット】国保連売上!$A$3,"年月",$A132,"事業所コード",$B132,"事業所",$C132,"事業区分",K$1,"請求区分","単月"),0)
+IFERROR(GETPIVOTDATA("合計 / 入金予定",【ピボット】国保連売上!$A$3,"年月",$A132,"事業所コード",$B132,"事業所",$C132,"事業区分",K$1,"請求区分","再請求"),0))</f>
        <v>0</v>
      </c>
      <c r="L132" s="659">
        <f ca="1">IF($A132="","",IFERROR(GETPIVOTDATA("合計 / 処遇改善加算金",【ピボット】国保連売上!$A$3,"年月",$A132,"事業所コード",$B132,"事業所",$C132,"事業区分",K$1,"請求区分","単月"),0))</f>
        <v>0</v>
      </c>
      <c r="M132" s="659">
        <f ca="1">IF($A132="","",IFERROR(GETPIVOTDATA("合計 / 入金予定",【ピボット】国保連売上!$A$3,"年月",$A132,"事業所コード",$B132,"事業所",$C132,"事業区分",M$1,"請求区分","単月"),0)
+IFERROR(GETPIVOTDATA("合計 / 入金予定",【ピボット】国保連売上!$A$3,"年月",$A132,"事業所コード",$B132,"事業所",$C132,"事業区分",M$1,"請求区分","再請求"),0))</f>
        <v>0</v>
      </c>
      <c r="N132" s="660">
        <v>354900</v>
      </c>
      <c r="O132" s="660">
        <v>66040</v>
      </c>
      <c r="P132" s="660">
        <v>1524120</v>
      </c>
      <c r="Q132" s="660">
        <v>0</v>
      </c>
      <c r="R132" s="660">
        <v>0</v>
      </c>
      <c r="S132" s="660">
        <v>0</v>
      </c>
      <c r="T132" s="660">
        <v>0</v>
      </c>
      <c r="U132" s="660">
        <v>0</v>
      </c>
      <c r="V132" s="660">
        <v>0</v>
      </c>
      <c r="W132" s="660">
        <v>0</v>
      </c>
      <c r="X132" s="660">
        <v>0</v>
      </c>
      <c r="Y132" s="659">
        <f t="shared" ca="1" si="6"/>
        <v>3195164</v>
      </c>
      <c r="Z132" s="659">
        <f t="shared" ca="1" si="8"/>
        <v>1945060</v>
      </c>
    </row>
    <row r="133" spans="1:26" ht="15.95" customHeight="1" x14ac:dyDescent="0.15">
      <c r="A133" s="656">
        <v>43009</v>
      </c>
      <c r="B133" s="657" t="str">
        <f t="shared" ca="1" si="7"/>
        <v>00</v>
      </c>
      <c r="C133" s="658" t="s">
        <v>490</v>
      </c>
      <c r="D133" s="659">
        <f ca="1">IF($A133="","",IFERROR(GETPIVOTDATA("合計 / 入金予定",【ピボット】国保連売上!$A$3,"年月",$A133,"事業所コード",$B133,"事業所",$C133,"事業区分",D$1,"請求区分","単月"),0)
+IFERROR(GETPIVOTDATA("合計 / 入金予定",【ピボット】国保連売上!$A$3,"年月",$A133,"事業所コード",$B133,"事業所",$C133,"事業区分",D$1,"請求区分","再請求"),0))</f>
        <v>0</v>
      </c>
      <c r="E133" s="659">
        <f ca="1">IF($A133="","",IFERROR(GETPIVOTDATA("合計 / 処遇改善加算金",【ピボット】国保連売上!$A$3,"年月",$A133,"事業所コード",$B133,"事業所",$C133,"事業区分",D$1,"請求区分","単月"),0))</f>
        <v>0</v>
      </c>
      <c r="F133" s="659">
        <f ca="1">IF($A133="","",IFERROR(GETPIVOTDATA("合計 / 入金予定",【ピボット】国保連売上!$A$3,"年月",$A133,"事業所コード",$B133,"事業所",$C133,"事業区分",F$1,"請求区分","単月"),0)
+IFERROR(GETPIVOTDATA("合計 / 入金予定",【ピボット】国保連売上!$A$3,"年月",$A133,"事業所コード",$B133,"事業所",$C133,"事業区分",F$1,"請求区分","再請求"),0))</f>
        <v>0</v>
      </c>
      <c r="G133" s="659">
        <f ca="1">IF($A133="","",IFERROR(GETPIVOTDATA("合計 / 処遇改善加算金",【ピボット】国保連売上!$A$3,"年月",$A133,"事業所コード",$B133,"事業所",$C133,"事業区分",F$1,"請求区分","単月"),0))</f>
        <v>0</v>
      </c>
      <c r="H133" s="659">
        <f ca="1">IF($A133="","",IFERROR(GETPIVOTDATA("合計 / 入金予定",【ピボット】国保連売上!$A$3,"年月",$A133,"事業所コード",$B133,"事業所",$C133,"事業区分",H$1,"請求区分","単月"),0)
+IFERROR(GETPIVOTDATA("合計 / 入金予定",【ピボット】国保連売上!$A$3,"年月",$A133,"事業所コード",$B133,"事業所",$C133,"事業区分",H$1,"請求区分","再請求"),0))</f>
        <v>0</v>
      </c>
      <c r="I133" s="659">
        <f ca="1">IF($A133="","",IFERROR(GETPIVOTDATA("合計 / 入金予定",【ピボット】国保連売上!$A$3,"年月",$A133,"事業所コード",$B133,"事業所",$C133,"事業区分",I$1,"請求区分","単月"),0)
+IFERROR(GETPIVOTDATA("合計 / 入金予定",【ピボット】国保連売上!$A$3,"年月",$A133,"事業所コード",$B133,"事業所",$C133,"事業区分",I$1,"請求区分","再請求"),0))</f>
        <v>0</v>
      </c>
      <c r="J133" s="659">
        <f ca="1">IF($A133="","",IFERROR(GETPIVOTDATA("合計 / 処遇改善加算金",【ピボット】国保連売上!$A$3,"年月",$A133,"事業所コード",$B133,"事業所",$C133,"事業区分",I$1,"請求区分","単月"),0))</f>
        <v>0</v>
      </c>
      <c r="K133" s="659">
        <f ca="1">IF($A133="","",IFERROR(GETPIVOTDATA("合計 / 入金予定",【ピボット】国保連売上!$A$3,"年月",$A133,"事業所コード",$B133,"事業所",$C133,"事業区分",K$1,"請求区分","単月"),0)
+IFERROR(GETPIVOTDATA("合計 / 入金予定",【ピボット】国保連売上!$A$3,"年月",$A133,"事業所コード",$B133,"事業所",$C133,"事業区分",K$1,"請求区分","再請求"),0))</f>
        <v>0</v>
      </c>
      <c r="L133" s="659">
        <f ca="1">IF($A133="","",IFERROR(GETPIVOTDATA("合計 / 処遇改善加算金",【ピボット】国保連売上!$A$3,"年月",$A133,"事業所コード",$B133,"事業所",$C133,"事業区分",K$1,"請求区分","単月"),0))</f>
        <v>0</v>
      </c>
      <c r="M133" s="659">
        <f ca="1">IF($A133="","",IFERROR(GETPIVOTDATA("合計 / 入金予定",【ピボット】国保連売上!$A$3,"年月",$A133,"事業所コード",$B133,"事業所",$C133,"事業区分",M$1,"請求区分","単月"),0)
+IFERROR(GETPIVOTDATA("合計 / 入金予定",【ピボット】国保連売上!$A$3,"年月",$A133,"事業所コード",$B133,"事業所",$C133,"事業区分",M$1,"請求区分","再請求"),0))</f>
        <v>0</v>
      </c>
      <c r="N133" s="660">
        <v>0</v>
      </c>
      <c r="O133" s="660">
        <v>0</v>
      </c>
      <c r="P133" s="660">
        <v>0</v>
      </c>
      <c r="Q133" s="660">
        <v>0</v>
      </c>
      <c r="R133" s="660">
        <v>0</v>
      </c>
      <c r="S133" s="660">
        <v>0</v>
      </c>
      <c r="T133" s="660">
        <v>0</v>
      </c>
      <c r="U133" s="660">
        <v>0</v>
      </c>
      <c r="V133" s="660">
        <v>0</v>
      </c>
      <c r="W133" s="660">
        <v>0</v>
      </c>
      <c r="X133" s="660">
        <v>140400</v>
      </c>
      <c r="Y133" s="659">
        <f t="shared" ca="1" si="6"/>
        <v>140400</v>
      </c>
      <c r="Z133" s="659">
        <f t="shared" ca="1" si="8"/>
        <v>140400</v>
      </c>
    </row>
    <row r="134" spans="1:26" ht="15.95" customHeight="1" x14ac:dyDescent="0.15">
      <c r="A134" s="656">
        <v>43040</v>
      </c>
      <c r="B134" s="657" t="str">
        <f t="shared" ca="1" si="7"/>
        <v>01</v>
      </c>
      <c r="C134" s="658" t="s">
        <v>34</v>
      </c>
      <c r="D134" s="659">
        <f ca="1">IF($A134="","",IFERROR(GETPIVOTDATA("合計 / 入金予定",【ピボット】国保連売上!$A$3,"年月",$A134,"事業所コード",$B134,"事業所",$C134,"事業区分",D$1,"請求区分","単月"),0)
+IFERROR(GETPIVOTDATA("合計 / 入金予定",【ピボット】国保連売上!$A$3,"年月",$A134,"事業所コード",$B134,"事業所",$C134,"事業区分",D$1,"請求区分","再請求"),0))</f>
        <v>7374129</v>
      </c>
      <c r="E134" s="659">
        <f ca="1">IF($A134="","",IFERROR(GETPIVOTDATA("合計 / 処遇改善加算金",【ピボット】国保連売上!$A$3,"年月",$A134,"事業所コード",$B134,"事業所",$C134,"事業区分",D$1,"請求区分","単月"),0))</f>
        <v>1293794</v>
      </c>
      <c r="F134" s="659">
        <f ca="1">IF($A134="","",IFERROR(GETPIVOTDATA("合計 / 入金予定",【ピボット】国保連売上!$A$3,"年月",$A134,"事業所コード",$B134,"事業所",$C134,"事業区分",F$1,"請求区分","単月"),0)
+IFERROR(GETPIVOTDATA("合計 / 入金予定",【ピボット】国保連売上!$A$3,"年月",$A134,"事業所コード",$B134,"事業所",$C134,"事業区分",F$1,"請求区分","再請求"),0))</f>
        <v>1286784</v>
      </c>
      <c r="G134" s="659">
        <f ca="1">IF($A134="","",IFERROR(GETPIVOTDATA("合計 / 処遇改善加算金",【ピボット】国保連売上!$A$3,"年月",$A134,"事業所コード",$B134,"事業所",$C134,"事業区分",F$1,"請求区分","単月"),0))</f>
        <v>268515</v>
      </c>
      <c r="H134" s="659">
        <f ca="1">IF($A134="","",IFERROR(GETPIVOTDATA("合計 / 入金予定",【ピボット】国保連売上!$A$3,"年月",$A134,"事業所コード",$B134,"事業所",$C134,"事業区分",H$1,"請求区分","単月"),0)
+IFERROR(GETPIVOTDATA("合計 / 入金予定",【ピボット】国保連売上!$A$3,"年月",$A134,"事業所コード",$B134,"事業所",$C134,"事業区分",H$1,"請求区分","再請求"),0))</f>
        <v>686152</v>
      </c>
      <c r="I134" s="659">
        <f ca="1">IF($A134="","",IFERROR(GETPIVOTDATA("合計 / 入金予定",【ピボット】国保連売上!$A$3,"年月",$A134,"事業所コード",$B134,"事業所",$C134,"事業区分",I$1,"請求区分","単月"),0)
+IFERROR(GETPIVOTDATA("合計 / 入金予定",【ピボット】国保連売上!$A$3,"年月",$A134,"事業所コード",$B134,"事業所",$C134,"事業区分",I$1,"請求区分","再請求"),0))</f>
        <v>0</v>
      </c>
      <c r="J134" s="659">
        <f ca="1">IF($A134="","",IFERROR(GETPIVOTDATA("合計 / 処遇改善加算金",【ピボット】国保連売上!$A$3,"年月",$A134,"事業所コード",$B134,"事業所",$C134,"事業区分",I$1,"請求区分","単月"),0))</f>
        <v>0</v>
      </c>
      <c r="K134" s="659">
        <f ca="1">IF($A134="","",IFERROR(GETPIVOTDATA("合計 / 入金予定",【ピボット】国保連売上!$A$3,"年月",$A134,"事業所コード",$B134,"事業所",$C134,"事業区分",K$1,"請求区分","単月"),0)
+IFERROR(GETPIVOTDATA("合計 / 入金予定",【ピボット】国保連売上!$A$3,"年月",$A134,"事業所コード",$B134,"事業所",$C134,"事業区分",K$1,"請求区分","再請求"),0))</f>
        <v>0</v>
      </c>
      <c r="L134" s="659">
        <f ca="1">IF($A134="","",IFERROR(GETPIVOTDATA("合計 / 処遇改善加算金",【ピボット】国保連売上!$A$3,"年月",$A134,"事業所コード",$B134,"事業所",$C134,"事業区分",K$1,"請求区分","単月"),0))</f>
        <v>0</v>
      </c>
      <c r="M134" s="659">
        <f ca="1">IF($A134="","",IFERROR(GETPIVOTDATA("合計 / 入金予定",【ピボット】国保連売上!$A$3,"年月",$A134,"事業所コード",$B134,"事業所",$C134,"事業区分",M$1,"請求区分","単月"),0)
+IFERROR(GETPIVOTDATA("合計 / 入金予定",【ピボット】国保連売上!$A$3,"年月",$A134,"事業所コード",$B134,"事業所",$C134,"事業区分",M$1,"請求区分","再請求"),0))</f>
        <v>0</v>
      </c>
      <c r="N134" s="660">
        <v>165800</v>
      </c>
      <c r="O134" s="660">
        <v>40523</v>
      </c>
      <c r="P134" s="660">
        <v>0</v>
      </c>
      <c r="Q134" s="660">
        <v>8583</v>
      </c>
      <c r="R134" s="660">
        <v>156510</v>
      </c>
      <c r="S134" s="660">
        <v>0</v>
      </c>
      <c r="T134" s="660">
        <v>0</v>
      </c>
      <c r="U134" s="660">
        <v>0</v>
      </c>
      <c r="V134" s="660">
        <v>0</v>
      </c>
      <c r="W134" s="660">
        <v>0</v>
      </c>
      <c r="X134" s="660">
        <v>0</v>
      </c>
      <c r="Y134" s="659">
        <f t="shared" ca="1" si="6"/>
        <v>9718481</v>
      </c>
      <c r="Z134" s="659">
        <f t="shared" ca="1" si="8"/>
        <v>371416</v>
      </c>
    </row>
    <row r="135" spans="1:26" ht="15.95" customHeight="1" x14ac:dyDescent="0.15">
      <c r="A135" s="656">
        <v>43040</v>
      </c>
      <c r="B135" s="657" t="str">
        <f t="shared" ca="1" si="7"/>
        <v>02</v>
      </c>
      <c r="C135" s="658" t="s">
        <v>37</v>
      </c>
      <c r="D135" s="659">
        <f ca="1">IF($A135="","",IFERROR(GETPIVOTDATA("合計 / 入金予定",【ピボット】国保連売上!$A$3,"年月",$A135,"事業所コード",$B135,"事業所",$C135,"事業区分",D$1,"請求区分","単月"),0)
+IFERROR(GETPIVOTDATA("合計 / 入金予定",【ピボット】国保連売上!$A$3,"年月",$A135,"事業所コード",$B135,"事業所",$C135,"事業区分",D$1,"請求区分","再請求"),0))</f>
        <v>4288223</v>
      </c>
      <c r="E135" s="659">
        <f ca="1">IF($A135="","",IFERROR(GETPIVOTDATA("合計 / 処遇改善加算金",【ピボット】国保連売上!$A$3,"年月",$A135,"事業所コード",$B135,"事業所",$C135,"事業区分",D$1,"請求区分","単月"),0))</f>
        <v>466832</v>
      </c>
      <c r="F135" s="659">
        <f ca="1">IF($A135="","",IFERROR(GETPIVOTDATA("合計 / 入金予定",【ピボット】国保連売上!$A$3,"年月",$A135,"事業所コード",$B135,"事業所",$C135,"事業区分",F$1,"請求区分","単月"),0)
+IFERROR(GETPIVOTDATA("合計 / 入金予定",【ピボット】国保連売上!$A$3,"年月",$A135,"事業所コード",$B135,"事業所",$C135,"事業区分",F$1,"請求区分","再請求"),0))</f>
        <v>971375</v>
      </c>
      <c r="G135" s="659">
        <f ca="1">IF($A135="","",IFERROR(GETPIVOTDATA("合計 / 処遇改善加算金",【ピボット】国保連売上!$A$3,"年月",$A135,"事業所コード",$B135,"事業所",$C135,"事業区分",F$1,"請求区分","単月"),0))</f>
        <v>221766</v>
      </c>
      <c r="H135" s="659">
        <f ca="1">IF($A135="","",IFERROR(GETPIVOTDATA("合計 / 入金予定",【ピボット】国保連売上!$A$3,"年月",$A135,"事業所コード",$B135,"事業所",$C135,"事業区分",H$1,"請求区分","単月"),0)
+IFERROR(GETPIVOTDATA("合計 / 入金予定",【ピボット】国保連売上!$A$3,"年月",$A135,"事業所コード",$B135,"事業所",$C135,"事業区分",H$1,"請求区分","再請求"),0))</f>
        <v>436023</v>
      </c>
      <c r="I135" s="659">
        <f ca="1">IF($A135="","",IFERROR(GETPIVOTDATA("合計 / 入金予定",【ピボット】国保連売上!$A$3,"年月",$A135,"事業所コード",$B135,"事業所",$C135,"事業区分",I$1,"請求区分","単月"),0)
+IFERROR(GETPIVOTDATA("合計 / 入金予定",【ピボット】国保連売上!$A$3,"年月",$A135,"事業所コード",$B135,"事業所",$C135,"事業区分",I$1,"請求区分","再請求"),0))</f>
        <v>0</v>
      </c>
      <c r="J135" s="659">
        <f ca="1">IF($A135="","",IFERROR(GETPIVOTDATA("合計 / 処遇改善加算金",【ピボット】国保連売上!$A$3,"年月",$A135,"事業所コード",$B135,"事業所",$C135,"事業区分",I$1,"請求区分","単月"),0))</f>
        <v>0</v>
      </c>
      <c r="K135" s="659">
        <f ca="1">IF($A135="","",IFERROR(GETPIVOTDATA("合計 / 入金予定",【ピボット】国保連売上!$A$3,"年月",$A135,"事業所コード",$B135,"事業所",$C135,"事業区分",K$1,"請求区分","単月"),0)
+IFERROR(GETPIVOTDATA("合計 / 入金予定",【ピボット】国保連売上!$A$3,"年月",$A135,"事業所コード",$B135,"事業所",$C135,"事業区分",K$1,"請求区分","再請求"),0))</f>
        <v>0</v>
      </c>
      <c r="L135" s="659">
        <f ca="1">IF($A135="","",IFERROR(GETPIVOTDATA("合計 / 処遇改善加算金",【ピボット】国保連売上!$A$3,"年月",$A135,"事業所コード",$B135,"事業所",$C135,"事業区分",K$1,"請求区分","単月"),0))</f>
        <v>0</v>
      </c>
      <c r="M135" s="659">
        <f ca="1">IF($A135="","",IFERROR(GETPIVOTDATA("合計 / 入金予定",【ピボット】国保連売上!$A$3,"年月",$A135,"事業所コード",$B135,"事業所",$C135,"事業区分",M$1,"請求区分","単月"),0)
+IFERROR(GETPIVOTDATA("合計 / 入金予定",【ピボット】国保連売上!$A$3,"年月",$A135,"事業所コード",$B135,"事業所",$C135,"事業区分",M$1,"請求区分","再請求"),0))</f>
        <v>0</v>
      </c>
      <c r="N135" s="660">
        <v>176039</v>
      </c>
      <c r="O135" s="660">
        <v>0</v>
      </c>
      <c r="P135" s="660">
        <v>0</v>
      </c>
      <c r="Q135" s="660">
        <v>1715</v>
      </c>
      <c r="R135" s="660">
        <v>81033</v>
      </c>
      <c r="S135" s="660">
        <v>0</v>
      </c>
      <c r="T135" s="660">
        <v>0</v>
      </c>
      <c r="U135" s="660">
        <v>0</v>
      </c>
      <c r="V135" s="660">
        <v>0</v>
      </c>
      <c r="W135" s="660">
        <v>0</v>
      </c>
      <c r="X135" s="660">
        <v>0</v>
      </c>
      <c r="Y135" s="659">
        <f t="shared" ca="1" si="6"/>
        <v>5954408</v>
      </c>
      <c r="Z135" s="659">
        <f t="shared" ca="1" si="8"/>
        <v>258787</v>
      </c>
    </row>
    <row r="136" spans="1:26" ht="15.95" customHeight="1" x14ac:dyDescent="0.15">
      <c r="A136" s="656">
        <v>43040</v>
      </c>
      <c r="B136" s="657" t="str">
        <f t="shared" ca="1" si="7"/>
        <v>03</v>
      </c>
      <c r="C136" s="658" t="s">
        <v>66</v>
      </c>
      <c r="D136" s="659">
        <f ca="1">IF($A136="","",IFERROR(GETPIVOTDATA("合計 / 入金予定",【ピボット】国保連売上!$A$3,"年月",$A136,"事業所コード",$B136,"事業所",$C136,"事業区分",D$1,"請求区分","単月"),0)
+IFERROR(GETPIVOTDATA("合計 / 入金予定",【ピボット】国保連売上!$A$3,"年月",$A136,"事業所コード",$B136,"事業所",$C136,"事業区分",D$1,"請求区分","再請求"),0))</f>
        <v>3793487</v>
      </c>
      <c r="E136" s="659">
        <f ca="1">IF($A136="","",IFERROR(GETPIVOTDATA("合計 / 処遇改善加算金",【ピボット】国保連売上!$A$3,"年月",$A136,"事業所コード",$B136,"事業所",$C136,"事業区分",D$1,"請求区分","単月"),0))</f>
        <v>411480</v>
      </c>
      <c r="F136" s="659">
        <f ca="1">IF($A136="","",IFERROR(GETPIVOTDATA("合計 / 入金予定",【ピボット】国保連売上!$A$3,"年月",$A136,"事業所コード",$B136,"事業所",$C136,"事業区分",F$1,"請求区分","単月"),0)
+IFERROR(GETPIVOTDATA("合計 / 入金予定",【ピボット】国保連売上!$A$3,"年月",$A136,"事業所コード",$B136,"事業所",$C136,"事業区分",F$1,"請求区分","再請求"),0))</f>
        <v>1873856</v>
      </c>
      <c r="G136" s="659">
        <f ca="1">IF($A136="","",IFERROR(GETPIVOTDATA("合計 / 処遇改善加算金",【ピボット】国保連売上!$A$3,"年月",$A136,"事業所コード",$B136,"事業所",$C136,"事業区分",F$1,"請求区分","単月"),0))</f>
        <v>432828</v>
      </c>
      <c r="H136" s="659">
        <f ca="1">IF($A136="","",IFERROR(GETPIVOTDATA("合計 / 入金予定",【ピボット】国保連売上!$A$3,"年月",$A136,"事業所コード",$B136,"事業所",$C136,"事業区分",H$1,"請求区分","単月"),0)
+IFERROR(GETPIVOTDATA("合計 / 入金予定",【ピボット】国保連売上!$A$3,"年月",$A136,"事業所コード",$B136,"事業所",$C136,"事業区分",H$1,"請求区分","再請求"),0))</f>
        <v>0</v>
      </c>
      <c r="I136" s="659">
        <f ca="1">IF($A136="","",IFERROR(GETPIVOTDATA("合計 / 入金予定",【ピボット】国保連売上!$A$3,"年月",$A136,"事業所コード",$B136,"事業所",$C136,"事業区分",I$1,"請求区分","単月"),0)
+IFERROR(GETPIVOTDATA("合計 / 入金予定",【ピボット】国保連売上!$A$3,"年月",$A136,"事業所コード",$B136,"事業所",$C136,"事業区分",I$1,"請求区分","再請求"),0))</f>
        <v>0</v>
      </c>
      <c r="J136" s="659">
        <f ca="1">IF($A136="","",IFERROR(GETPIVOTDATA("合計 / 処遇改善加算金",【ピボット】国保連売上!$A$3,"年月",$A136,"事業所コード",$B136,"事業所",$C136,"事業区分",I$1,"請求区分","単月"),0))</f>
        <v>0</v>
      </c>
      <c r="K136" s="659">
        <f ca="1">IF($A136="","",IFERROR(GETPIVOTDATA("合計 / 入金予定",【ピボット】国保連売上!$A$3,"年月",$A136,"事業所コード",$B136,"事業所",$C136,"事業区分",K$1,"請求区分","単月"),0)
+IFERROR(GETPIVOTDATA("合計 / 入金予定",【ピボット】国保連売上!$A$3,"年月",$A136,"事業所コード",$B136,"事業所",$C136,"事業区分",K$1,"請求区分","再請求"),0))</f>
        <v>0</v>
      </c>
      <c r="L136" s="659">
        <f ca="1">IF($A136="","",IFERROR(GETPIVOTDATA("合計 / 処遇改善加算金",【ピボット】国保連売上!$A$3,"年月",$A136,"事業所コード",$B136,"事業所",$C136,"事業区分",K$1,"請求区分","単月"),0))</f>
        <v>0</v>
      </c>
      <c r="M136" s="659">
        <f ca="1">IF($A136="","",IFERROR(GETPIVOTDATA("合計 / 入金予定",【ピボット】国保連売上!$A$3,"年月",$A136,"事業所コード",$B136,"事業所",$C136,"事業区分",M$1,"請求区分","単月"),0)
+IFERROR(GETPIVOTDATA("合計 / 入金予定",【ピボット】国保連売上!$A$3,"年月",$A136,"事業所コード",$B136,"事業所",$C136,"事業区分",M$1,"請求区分","再請求"),0))</f>
        <v>0</v>
      </c>
      <c r="N136" s="660">
        <v>66720</v>
      </c>
      <c r="O136" s="660">
        <v>113077</v>
      </c>
      <c r="P136" s="660">
        <v>48900</v>
      </c>
      <c r="Q136" s="660">
        <v>3851</v>
      </c>
      <c r="R136" s="660">
        <v>0</v>
      </c>
      <c r="S136" s="660">
        <v>0</v>
      </c>
      <c r="T136" s="660">
        <v>0</v>
      </c>
      <c r="U136" s="660">
        <v>0</v>
      </c>
      <c r="V136" s="660">
        <v>0</v>
      </c>
      <c r="W136" s="660">
        <v>0</v>
      </c>
      <c r="X136" s="660">
        <v>0</v>
      </c>
      <c r="Y136" s="659">
        <f t="shared" ca="1" si="6"/>
        <v>5899891</v>
      </c>
      <c r="Z136" s="659">
        <f t="shared" ca="1" si="8"/>
        <v>232548</v>
      </c>
    </row>
    <row r="137" spans="1:26" ht="15.95" customHeight="1" x14ac:dyDescent="0.15">
      <c r="A137" s="656">
        <v>43040</v>
      </c>
      <c r="B137" s="657" t="str">
        <f t="shared" ca="1" si="7"/>
        <v>04</v>
      </c>
      <c r="C137" s="658" t="s">
        <v>358</v>
      </c>
      <c r="D137" s="659">
        <f ca="1">IF($A137="","",IFERROR(GETPIVOTDATA("合計 / 入金予定",【ピボット】国保連売上!$A$3,"年月",$A137,"事業所コード",$B137,"事業所",$C137,"事業区分",D$1,"請求区分","単月"),0)
+IFERROR(GETPIVOTDATA("合計 / 入金予定",【ピボット】国保連売上!$A$3,"年月",$A137,"事業所コード",$B137,"事業所",$C137,"事業区分",D$1,"請求区分","再請求"),0))</f>
        <v>0</v>
      </c>
      <c r="E137" s="659">
        <f ca="1">IF($A137="","",IFERROR(GETPIVOTDATA("合計 / 処遇改善加算金",【ピボット】国保連売上!$A$3,"年月",$A137,"事業所コード",$B137,"事業所",$C137,"事業区分",D$1,"請求区分","単月"),0))</f>
        <v>0</v>
      </c>
      <c r="F137" s="659">
        <f ca="1">IF($A137="","",IFERROR(GETPIVOTDATA("合計 / 入金予定",【ピボット】国保連売上!$A$3,"年月",$A137,"事業所コード",$B137,"事業所",$C137,"事業区分",F$1,"請求区分","単月"),0)
+IFERROR(GETPIVOTDATA("合計 / 入金予定",【ピボット】国保連売上!$A$3,"年月",$A137,"事業所コード",$B137,"事業所",$C137,"事業区分",F$1,"請求区分","再請求"),0))</f>
        <v>0</v>
      </c>
      <c r="G137" s="659">
        <f ca="1">IF($A137="","",IFERROR(GETPIVOTDATA("合計 / 処遇改善加算金",【ピボット】国保連売上!$A$3,"年月",$A137,"事業所コード",$B137,"事業所",$C137,"事業区分",F$1,"請求区分","単月"),0))</f>
        <v>0</v>
      </c>
      <c r="H137" s="659">
        <f ca="1">IF($A137="","",IFERROR(GETPIVOTDATA("合計 / 入金予定",【ピボット】国保連売上!$A$3,"年月",$A137,"事業所コード",$B137,"事業所",$C137,"事業区分",H$1,"請求区分","単月"),0)
+IFERROR(GETPIVOTDATA("合計 / 入金予定",【ピボット】国保連売上!$A$3,"年月",$A137,"事業所コード",$B137,"事業所",$C137,"事業区分",H$1,"請求区分","再請求"),0))</f>
        <v>0</v>
      </c>
      <c r="I137" s="659">
        <f ca="1">IF($A137="","",IFERROR(GETPIVOTDATA("合計 / 入金予定",【ピボット】国保連売上!$A$3,"年月",$A137,"事業所コード",$B137,"事業所",$C137,"事業区分",I$1,"請求区分","単月"),0)
+IFERROR(GETPIVOTDATA("合計 / 入金予定",【ピボット】国保連売上!$A$3,"年月",$A137,"事業所コード",$B137,"事業所",$C137,"事業区分",I$1,"請求区分","再請求"),0))</f>
        <v>3320183</v>
      </c>
      <c r="J137" s="659">
        <f ca="1">IF($A137="","",IFERROR(GETPIVOTDATA("合計 / 処遇改善加算金",【ピボット】国保連売上!$A$3,"年月",$A137,"事業所コード",$B137,"事業所",$C137,"事業区分",I$1,"請求区分","単月"),0))</f>
        <v>184210</v>
      </c>
      <c r="K137" s="659">
        <f ca="1">IF($A137="","",IFERROR(GETPIVOTDATA("合計 / 入金予定",【ピボット】国保連売上!$A$3,"年月",$A137,"事業所コード",$B137,"事業所",$C137,"事業区分",K$1,"請求区分","単月"),0)
+IFERROR(GETPIVOTDATA("合計 / 入金予定",【ピボット】国保連売上!$A$3,"年月",$A137,"事業所コード",$B137,"事業所",$C137,"事業区分",K$1,"請求区分","再請求"),0))</f>
        <v>0</v>
      </c>
      <c r="L137" s="659">
        <f ca="1">IF($A137="","",IFERROR(GETPIVOTDATA("合計 / 処遇改善加算金",【ピボット】国保連売上!$A$3,"年月",$A137,"事業所コード",$B137,"事業所",$C137,"事業区分",K$1,"請求区分","単月"),0))</f>
        <v>0</v>
      </c>
      <c r="M137" s="659">
        <f ca="1">IF($A137="","",IFERROR(GETPIVOTDATA("合計 / 入金予定",【ピボット】国保連売上!$A$3,"年月",$A137,"事業所コード",$B137,"事業所",$C137,"事業区分",M$1,"請求区分","単月"),0)
+IFERROR(GETPIVOTDATA("合計 / 入金予定",【ピボット】国保連売上!$A$3,"年月",$A137,"事業所コード",$B137,"事業所",$C137,"事業区分",M$1,"請求区分","再請求"),0))</f>
        <v>0</v>
      </c>
      <c r="N137" s="660">
        <v>0</v>
      </c>
      <c r="O137" s="660">
        <v>0</v>
      </c>
      <c r="P137" s="660">
        <v>0</v>
      </c>
      <c r="Q137" s="660">
        <v>0</v>
      </c>
      <c r="R137" s="660">
        <v>0</v>
      </c>
      <c r="S137" s="660">
        <v>0</v>
      </c>
      <c r="T137" s="660">
        <v>187550</v>
      </c>
      <c r="U137" s="660">
        <v>0</v>
      </c>
      <c r="V137" s="660">
        <v>0</v>
      </c>
      <c r="W137" s="660">
        <v>0</v>
      </c>
      <c r="X137" s="660">
        <v>0</v>
      </c>
      <c r="Y137" s="659">
        <f t="shared" ca="1" si="6"/>
        <v>3507733</v>
      </c>
      <c r="Z137" s="659">
        <f t="shared" ca="1" si="8"/>
        <v>187550</v>
      </c>
    </row>
    <row r="138" spans="1:26" ht="15.95" customHeight="1" x14ac:dyDescent="0.15">
      <c r="A138" s="656">
        <v>43040</v>
      </c>
      <c r="B138" s="657" t="str">
        <f t="shared" ca="1" si="7"/>
        <v>07</v>
      </c>
      <c r="C138" s="658" t="s">
        <v>119</v>
      </c>
      <c r="D138" s="659">
        <f ca="1">IF($A138="","",IFERROR(GETPIVOTDATA("合計 / 入金予定",【ピボット】国保連売上!$A$3,"年月",$A138,"事業所コード",$B138,"事業所",$C138,"事業区分",D$1,"請求区分","単月"),0)
+IFERROR(GETPIVOTDATA("合計 / 入金予定",【ピボット】国保連売上!$A$3,"年月",$A138,"事業所コード",$B138,"事業所",$C138,"事業区分",D$1,"請求区分","再請求"),0))</f>
        <v>0</v>
      </c>
      <c r="E138" s="659">
        <f ca="1">IF($A138="","",IFERROR(GETPIVOTDATA("合計 / 処遇改善加算金",【ピボット】国保連売上!$A$3,"年月",$A138,"事業所コード",$B138,"事業所",$C138,"事業区分",D$1,"請求区分","単月"),0))</f>
        <v>0</v>
      </c>
      <c r="F138" s="659">
        <f ca="1">IF($A138="","",IFERROR(GETPIVOTDATA("合計 / 入金予定",【ピボット】国保連売上!$A$3,"年月",$A138,"事業所コード",$B138,"事業所",$C138,"事業区分",F$1,"請求区分","単月"),0)
+IFERROR(GETPIVOTDATA("合計 / 入金予定",【ピボット】国保連売上!$A$3,"年月",$A138,"事業所コード",$B138,"事業所",$C138,"事業区分",F$1,"請求区分","再請求"),0))</f>
        <v>0</v>
      </c>
      <c r="G138" s="659">
        <f ca="1">IF($A138="","",IFERROR(GETPIVOTDATA("合計 / 処遇改善加算金",【ピボット】国保連売上!$A$3,"年月",$A138,"事業所コード",$B138,"事業所",$C138,"事業区分",F$1,"請求区分","単月"),0))</f>
        <v>0</v>
      </c>
      <c r="H138" s="659">
        <f ca="1">IF($A138="","",IFERROR(GETPIVOTDATA("合計 / 入金予定",【ピボット】国保連売上!$A$3,"年月",$A138,"事業所コード",$B138,"事業所",$C138,"事業区分",H$1,"請求区分","単月"),0)
+IFERROR(GETPIVOTDATA("合計 / 入金予定",【ピボット】国保連売上!$A$3,"年月",$A138,"事業所コード",$B138,"事業所",$C138,"事業区分",H$1,"請求区分","再請求"),0))</f>
        <v>0</v>
      </c>
      <c r="I138" s="659">
        <f ca="1">IF($A138="","",IFERROR(GETPIVOTDATA("合計 / 入金予定",【ピボット】国保連売上!$A$3,"年月",$A138,"事業所コード",$B138,"事業所",$C138,"事業区分",I$1,"請求区分","単月"),0)
+IFERROR(GETPIVOTDATA("合計 / 入金予定",【ピボット】国保連売上!$A$3,"年月",$A138,"事業所コード",$B138,"事業所",$C138,"事業区分",I$1,"請求区分","再請求"),0))</f>
        <v>0</v>
      </c>
      <c r="J138" s="659">
        <f ca="1">IF($A138="","",IFERROR(GETPIVOTDATA("合計 / 処遇改善加算金",【ピボット】国保連売上!$A$3,"年月",$A138,"事業所コード",$B138,"事業所",$C138,"事業区分",I$1,"請求区分","単月"),0))</f>
        <v>0</v>
      </c>
      <c r="K138" s="659">
        <f ca="1">IF($A138="","",IFERROR(GETPIVOTDATA("合計 / 入金予定",【ピボット】国保連売上!$A$3,"年月",$A138,"事業所コード",$B138,"事業所",$C138,"事業区分",K$1,"請求区分","単月"),0)
+IFERROR(GETPIVOTDATA("合計 / 入金予定",【ピボット】国保連売上!$A$3,"年月",$A138,"事業所コード",$B138,"事業所",$C138,"事業区分",K$1,"請求区分","再請求"),0))</f>
        <v>1187409</v>
      </c>
      <c r="L138" s="659">
        <f ca="1">IF($A138="","",IFERROR(GETPIVOTDATA("合計 / 処遇改善加算金",【ピボット】国保連売上!$A$3,"年月",$A138,"事業所コード",$B138,"事業所",$C138,"事業区分",K$1,"請求区分","単月"),0))</f>
        <v>293704</v>
      </c>
      <c r="M138" s="659">
        <f ca="1">IF($A138="","",IFERROR(GETPIVOTDATA("合計 / 入金予定",【ピボット】国保連売上!$A$3,"年月",$A138,"事業所コード",$B138,"事業所",$C138,"事業区分",M$1,"請求区分","単月"),0)
+IFERROR(GETPIVOTDATA("合計 / 入金予定",【ピボット】国保連売上!$A$3,"年月",$A138,"事業所コード",$B138,"事業所",$C138,"事業区分",M$1,"請求区分","再請求"),0))</f>
        <v>0</v>
      </c>
      <c r="N138" s="660">
        <v>0</v>
      </c>
      <c r="O138" s="660">
        <v>0</v>
      </c>
      <c r="P138" s="660">
        <v>0</v>
      </c>
      <c r="Q138" s="660">
        <v>0</v>
      </c>
      <c r="R138" s="660">
        <v>0</v>
      </c>
      <c r="S138" s="660">
        <v>78000</v>
      </c>
      <c r="T138" s="660">
        <v>0</v>
      </c>
      <c r="U138" s="660">
        <v>0</v>
      </c>
      <c r="V138" s="660">
        <v>-40000</v>
      </c>
      <c r="W138" s="660">
        <v>0</v>
      </c>
      <c r="X138" s="660">
        <v>0</v>
      </c>
      <c r="Y138" s="659">
        <f t="shared" ca="1" si="6"/>
        <v>1225409</v>
      </c>
      <c r="Z138" s="659">
        <f t="shared" ca="1" si="8"/>
        <v>38000</v>
      </c>
    </row>
    <row r="139" spans="1:26" ht="15.95" customHeight="1" x14ac:dyDescent="0.15">
      <c r="A139" s="656">
        <v>43040</v>
      </c>
      <c r="B139" s="657" t="str">
        <f t="shared" ca="1" si="7"/>
        <v>08</v>
      </c>
      <c r="C139" s="658" t="s">
        <v>189</v>
      </c>
      <c r="D139" s="659">
        <f ca="1">IF($A139="","",IFERROR(GETPIVOTDATA("合計 / 入金予定",【ピボット】国保連売上!$A$3,"年月",$A139,"事業所コード",$B139,"事業所",$C139,"事業区分",D$1,"請求区分","単月"),0)
+IFERROR(GETPIVOTDATA("合計 / 入金予定",【ピボット】国保連売上!$A$3,"年月",$A139,"事業所コード",$B139,"事業所",$C139,"事業区分",D$1,"請求区分","再請求"),0))</f>
        <v>0</v>
      </c>
      <c r="E139" s="659">
        <f ca="1">IF($A139="","",IFERROR(GETPIVOTDATA("合計 / 処遇改善加算金",【ピボット】国保連売上!$A$3,"年月",$A139,"事業所コード",$B139,"事業所",$C139,"事業区分",D$1,"請求区分","単月"),0))</f>
        <v>0</v>
      </c>
      <c r="F139" s="659">
        <f ca="1">IF($A139="","",IFERROR(GETPIVOTDATA("合計 / 入金予定",【ピボット】国保連売上!$A$3,"年月",$A139,"事業所コード",$B139,"事業所",$C139,"事業区分",F$1,"請求区分","単月"),0)
+IFERROR(GETPIVOTDATA("合計 / 入金予定",【ピボット】国保連売上!$A$3,"年月",$A139,"事業所コード",$B139,"事業所",$C139,"事業区分",F$1,"請求区分","再請求"),0))</f>
        <v>0</v>
      </c>
      <c r="G139" s="659">
        <f ca="1">IF($A139="","",IFERROR(GETPIVOTDATA("合計 / 処遇改善加算金",【ピボット】国保連売上!$A$3,"年月",$A139,"事業所コード",$B139,"事業所",$C139,"事業区分",F$1,"請求区分","単月"),0))</f>
        <v>0</v>
      </c>
      <c r="H139" s="659">
        <f ca="1">IF($A139="","",IFERROR(GETPIVOTDATA("合計 / 入金予定",【ピボット】国保連売上!$A$3,"年月",$A139,"事業所コード",$B139,"事業所",$C139,"事業区分",H$1,"請求区分","単月"),0)
+IFERROR(GETPIVOTDATA("合計 / 入金予定",【ピボット】国保連売上!$A$3,"年月",$A139,"事業所コード",$B139,"事業所",$C139,"事業区分",H$1,"請求区分","再請求"),0))</f>
        <v>0</v>
      </c>
      <c r="I139" s="659">
        <f ca="1">IF($A139="","",IFERROR(GETPIVOTDATA("合計 / 入金予定",【ピボット】国保連売上!$A$3,"年月",$A139,"事業所コード",$B139,"事業所",$C139,"事業区分",I$1,"請求区分","単月"),0)
+IFERROR(GETPIVOTDATA("合計 / 入金予定",【ピボット】国保連売上!$A$3,"年月",$A139,"事業所コード",$B139,"事業所",$C139,"事業区分",I$1,"請求区分","再請求"),0))</f>
        <v>0</v>
      </c>
      <c r="J139" s="659">
        <f ca="1">IF($A139="","",IFERROR(GETPIVOTDATA("合計 / 処遇改善加算金",【ピボット】国保連売上!$A$3,"年月",$A139,"事業所コード",$B139,"事業所",$C139,"事業区分",I$1,"請求区分","単月"),0))</f>
        <v>0</v>
      </c>
      <c r="K139" s="659">
        <f ca="1">IF($A139="","",IFERROR(GETPIVOTDATA("合計 / 入金予定",【ピボット】国保連売上!$A$3,"年月",$A139,"事業所コード",$B139,"事業所",$C139,"事業区分",K$1,"請求区分","単月"),0)
+IFERROR(GETPIVOTDATA("合計 / 入金予定",【ピボット】国保連売上!$A$3,"年月",$A139,"事業所コード",$B139,"事業所",$C139,"事業区分",K$1,"請求区分","再請求"),0))</f>
        <v>922792</v>
      </c>
      <c r="L139" s="659">
        <f ca="1">IF($A139="","",IFERROR(GETPIVOTDATA("合計 / 処遇改善加算金",【ピボット】国保連売上!$A$3,"年月",$A139,"事業所コード",$B139,"事業所",$C139,"事業区分",K$1,"請求区分","単月"),0))</f>
        <v>0</v>
      </c>
      <c r="M139" s="659">
        <f ca="1">IF($A139="","",IFERROR(GETPIVOTDATA("合計 / 入金予定",【ピボット】国保連売上!$A$3,"年月",$A139,"事業所コード",$B139,"事業所",$C139,"事業区分",M$1,"請求区分","単月"),0)
+IFERROR(GETPIVOTDATA("合計 / 入金予定",【ピボット】国保連売上!$A$3,"年月",$A139,"事業所コード",$B139,"事業所",$C139,"事業区分",M$1,"請求区分","再請求"),0))</f>
        <v>0</v>
      </c>
      <c r="N139" s="660">
        <v>20000</v>
      </c>
      <c r="O139" s="660">
        <v>0</v>
      </c>
      <c r="P139" s="660">
        <v>0</v>
      </c>
      <c r="Q139" s="660">
        <v>0</v>
      </c>
      <c r="R139" s="660">
        <v>0</v>
      </c>
      <c r="S139" s="660">
        <v>98000</v>
      </c>
      <c r="T139" s="660">
        <v>0</v>
      </c>
      <c r="U139" s="660">
        <v>0</v>
      </c>
      <c r="V139" s="660">
        <v>-40000</v>
      </c>
      <c r="W139" s="660">
        <v>0</v>
      </c>
      <c r="X139" s="660">
        <v>0</v>
      </c>
      <c r="Y139" s="659">
        <f t="shared" ca="1" si="6"/>
        <v>1000792</v>
      </c>
      <c r="Z139" s="659">
        <f t="shared" ca="1" si="8"/>
        <v>78000</v>
      </c>
    </row>
    <row r="140" spans="1:26" ht="15.95" customHeight="1" x14ac:dyDescent="0.15">
      <c r="A140" s="656">
        <v>43040</v>
      </c>
      <c r="B140" s="657" t="str">
        <f t="shared" ca="1" si="7"/>
        <v>09</v>
      </c>
      <c r="C140" s="658" t="s">
        <v>329</v>
      </c>
      <c r="D140" s="659">
        <f ca="1">IF($A140="","",IFERROR(GETPIVOTDATA("合計 / 入金予定",【ピボット】国保連売上!$A$3,"年月",$A140,"事業所コード",$B140,"事業所",$C140,"事業区分",D$1,"請求区分","単月"),0)
+IFERROR(GETPIVOTDATA("合計 / 入金予定",【ピボット】国保連売上!$A$3,"年月",$A140,"事業所コード",$B140,"事業所",$C140,"事業区分",D$1,"請求区分","再請求"),0))</f>
        <v>0</v>
      </c>
      <c r="E140" s="659">
        <f ca="1">IF($A140="","",IFERROR(GETPIVOTDATA("合計 / 処遇改善加算金",【ピボット】国保連売上!$A$3,"年月",$A140,"事業所コード",$B140,"事業所",$C140,"事業区分",D$1,"請求区分","単月"),0))</f>
        <v>0</v>
      </c>
      <c r="F140" s="659">
        <f ca="1">IF($A140="","",IFERROR(GETPIVOTDATA("合計 / 入金予定",【ピボット】国保連売上!$A$3,"年月",$A140,"事業所コード",$B140,"事業所",$C140,"事業区分",F$1,"請求区分","単月"),0)
+IFERROR(GETPIVOTDATA("合計 / 入金予定",【ピボット】国保連売上!$A$3,"年月",$A140,"事業所コード",$B140,"事業所",$C140,"事業区分",F$1,"請求区分","再請求"),0))</f>
        <v>0</v>
      </c>
      <c r="G140" s="659">
        <f ca="1">IF($A140="","",IFERROR(GETPIVOTDATA("合計 / 処遇改善加算金",【ピボット】国保連売上!$A$3,"年月",$A140,"事業所コード",$B140,"事業所",$C140,"事業区分",F$1,"請求区分","単月"),0))</f>
        <v>0</v>
      </c>
      <c r="H140" s="659">
        <f ca="1">IF($A140="","",IFERROR(GETPIVOTDATA("合計 / 入金予定",【ピボット】国保連売上!$A$3,"年月",$A140,"事業所コード",$B140,"事業所",$C140,"事業区分",H$1,"請求区分","単月"),0)
+IFERROR(GETPIVOTDATA("合計 / 入金予定",【ピボット】国保連売上!$A$3,"年月",$A140,"事業所コード",$B140,"事業所",$C140,"事業区分",H$1,"請求区分","再請求"),0))</f>
        <v>0</v>
      </c>
      <c r="I140" s="659">
        <f ca="1">IF($A140="","",IFERROR(GETPIVOTDATA("合計 / 入金予定",【ピボット】国保連売上!$A$3,"年月",$A140,"事業所コード",$B140,"事業所",$C140,"事業区分",I$1,"請求区分","単月"),0)
+IFERROR(GETPIVOTDATA("合計 / 入金予定",【ピボット】国保連売上!$A$3,"年月",$A140,"事業所コード",$B140,"事業所",$C140,"事業区分",I$1,"請求区分","再請求"),0))</f>
        <v>0</v>
      </c>
      <c r="J140" s="659">
        <f ca="1">IF($A140="","",IFERROR(GETPIVOTDATA("合計 / 処遇改善加算金",【ピボット】国保連売上!$A$3,"年月",$A140,"事業所コード",$B140,"事業所",$C140,"事業区分",I$1,"請求区分","単月"),0))</f>
        <v>0</v>
      </c>
      <c r="K140" s="659">
        <f ca="1">IF($A140="","",IFERROR(GETPIVOTDATA("合計 / 入金予定",【ピボット】国保連売上!$A$3,"年月",$A140,"事業所コード",$B140,"事業所",$C140,"事業区分",K$1,"請求区分","単月"),0)
+IFERROR(GETPIVOTDATA("合計 / 入金予定",【ピボット】国保連売上!$A$3,"年月",$A140,"事業所コード",$B140,"事業所",$C140,"事業区分",K$1,"請求区分","再請求"),0))</f>
        <v>2385860</v>
      </c>
      <c r="L140" s="659">
        <f ca="1">IF($A140="","",IFERROR(GETPIVOTDATA("合計 / 処遇改善加算金",【ピボット】国保連売上!$A$3,"年月",$A140,"事業所コード",$B140,"事業所",$C140,"事業区分",K$1,"請求区分","単月"),0))</f>
        <v>0</v>
      </c>
      <c r="M140" s="659">
        <f ca="1">IF($A140="","",IFERROR(GETPIVOTDATA("合計 / 入金予定",【ピボット】国保連売上!$A$3,"年月",$A140,"事業所コード",$B140,"事業所",$C140,"事業区分",M$1,"請求区分","単月"),0)
+IFERROR(GETPIVOTDATA("合計 / 入金予定",【ピボット】国保連売上!$A$3,"年月",$A140,"事業所コード",$B140,"事業所",$C140,"事業区分",M$1,"請求区分","再請求"),0))</f>
        <v>0</v>
      </c>
      <c r="N140" s="660">
        <v>0</v>
      </c>
      <c r="O140" s="660">
        <v>0</v>
      </c>
      <c r="P140" s="660">
        <v>0</v>
      </c>
      <c r="Q140" s="660">
        <v>0</v>
      </c>
      <c r="R140" s="660">
        <v>0</v>
      </c>
      <c r="S140" s="660">
        <v>400000</v>
      </c>
      <c r="T140" s="660">
        <v>0</v>
      </c>
      <c r="U140" s="660">
        <v>0</v>
      </c>
      <c r="V140" s="660">
        <v>-80000</v>
      </c>
      <c r="W140" s="660">
        <v>0</v>
      </c>
      <c r="X140" s="660">
        <v>0</v>
      </c>
      <c r="Y140" s="659">
        <f t="shared" ca="1" si="6"/>
        <v>2705860</v>
      </c>
      <c r="Z140" s="659">
        <f t="shared" ca="1" si="8"/>
        <v>320000</v>
      </c>
    </row>
    <row r="141" spans="1:26" ht="15.95" customHeight="1" x14ac:dyDescent="0.15">
      <c r="A141" s="656">
        <v>43040</v>
      </c>
      <c r="B141" s="657" t="str">
        <f t="shared" ca="1" si="7"/>
        <v>05</v>
      </c>
      <c r="C141" s="658" t="s">
        <v>38</v>
      </c>
      <c r="D141" s="659">
        <f ca="1">IF($A141="","",IFERROR(GETPIVOTDATA("合計 / 入金予定",【ピボット】国保連売上!$A$3,"年月",$A141,"事業所コード",$B141,"事業所",$C141,"事業区分",D$1,"請求区分","単月"),0)
+IFERROR(GETPIVOTDATA("合計 / 入金予定",【ピボット】国保連売上!$A$3,"年月",$A141,"事業所コード",$B141,"事業所",$C141,"事業区分",D$1,"請求区分","再請求"),0))</f>
        <v>2052909</v>
      </c>
      <c r="E141" s="659">
        <f ca="1">IF($A141="","",IFERROR(GETPIVOTDATA("合計 / 処遇改善加算金",【ピボット】国保連売上!$A$3,"年月",$A141,"事業所コード",$B141,"事業所",$C141,"事業区分",D$1,"請求区分","単月"),0))</f>
        <v>0</v>
      </c>
      <c r="F141" s="659">
        <f ca="1">IF($A141="","",IFERROR(GETPIVOTDATA("合計 / 入金予定",【ピボット】国保連売上!$A$3,"年月",$A141,"事業所コード",$B141,"事業所",$C141,"事業区分",F$1,"請求区分","単月"),0)
+IFERROR(GETPIVOTDATA("合計 / 入金予定",【ピボット】国保連売上!$A$3,"年月",$A141,"事業所コード",$B141,"事業所",$C141,"事業区分",F$1,"請求区分","再請求"),0))</f>
        <v>0</v>
      </c>
      <c r="G141" s="659">
        <f ca="1">IF($A141="","",IFERROR(GETPIVOTDATA("合計 / 処遇改善加算金",【ピボット】国保連売上!$A$3,"年月",$A141,"事業所コード",$B141,"事業所",$C141,"事業区分",F$1,"請求区分","単月"),0))</f>
        <v>0</v>
      </c>
      <c r="H141" s="659">
        <f ca="1">IF($A141="","",IFERROR(GETPIVOTDATA("合計 / 入金予定",【ピボット】国保連売上!$A$3,"年月",$A141,"事業所コード",$B141,"事業所",$C141,"事業区分",H$1,"請求区分","単月"),0)
+IFERROR(GETPIVOTDATA("合計 / 入金予定",【ピボット】国保連売上!$A$3,"年月",$A141,"事業所コード",$B141,"事業所",$C141,"事業区分",H$1,"請求区分","再請求"),0))</f>
        <v>0</v>
      </c>
      <c r="I141" s="659">
        <f ca="1">IF($A141="","",IFERROR(GETPIVOTDATA("合計 / 入金予定",【ピボット】国保連売上!$A$3,"年月",$A141,"事業所コード",$B141,"事業所",$C141,"事業区分",I$1,"請求区分","単月"),0)
+IFERROR(GETPIVOTDATA("合計 / 入金予定",【ピボット】国保連売上!$A$3,"年月",$A141,"事業所コード",$B141,"事業所",$C141,"事業区分",I$1,"請求区分","再請求"),0))</f>
        <v>0</v>
      </c>
      <c r="J141" s="659">
        <f ca="1">IF($A141="","",IFERROR(GETPIVOTDATA("合計 / 処遇改善加算金",【ピボット】国保連売上!$A$3,"年月",$A141,"事業所コード",$B141,"事業所",$C141,"事業区分",I$1,"請求区分","単月"),0))</f>
        <v>0</v>
      </c>
      <c r="K141" s="659">
        <f ca="1">IF($A141="","",IFERROR(GETPIVOTDATA("合計 / 入金予定",【ピボット】国保連売上!$A$3,"年月",$A141,"事業所コード",$B141,"事業所",$C141,"事業区分",K$1,"請求区分","単月"),0)
+IFERROR(GETPIVOTDATA("合計 / 入金予定",【ピボット】国保連売上!$A$3,"年月",$A141,"事業所コード",$B141,"事業所",$C141,"事業区分",K$1,"請求区分","再請求"),0))</f>
        <v>0</v>
      </c>
      <c r="L141" s="659">
        <f ca="1">IF($A141="","",IFERROR(GETPIVOTDATA("合計 / 処遇改善加算金",【ピボット】国保連売上!$A$3,"年月",$A141,"事業所コード",$B141,"事業所",$C141,"事業区分",K$1,"請求区分","単月"),0))</f>
        <v>0</v>
      </c>
      <c r="M141" s="659">
        <f ca="1">IF($A141="","",IFERROR(GETPIVOTDATA("合計 / 入金予定",【ピボット】国保連売上!$A$3,"年月",$A141,"事業所コード",$B141,"事業所",$C141,"事業区分",M$1,"請求区分","単月"),0)
+IFERROR(GETPIVOTDATA("合計 / 入金予定",【ピボット】国保連売上!$A$3,"年月",$A141,"事業所コード",$B141,"事業所",$C141,"事業区分",M$1,"請求区分","再請求"),0))</f>
        <v>0</v>
      </c>
      <c r="N141" s="660">
        <v>0</v>
      </c>
      <c r="O141" s="660">
        <v>0</v>
      </c>
      <c r="P141" s="660">
        <v>0</v>
      </c>
      <c r="Q141" s="660">
        <v>0</v>
      </c>
      <c r="R141" s="660">
        <v>0</v>
      </c>
      <c r="S141" s="660">
        <v>521768</v>
      </c>
      <c r="T141" s="660">
        <v>0</v>
      </c>
      <c r="U141" s="660">
        <v>0</v>
      </c>
      <c r="V141" s="660">
        <v>0</v>
      </c>
      <c r="W141" s="660">
        <v>0</v>
      </c>
      <c r="X141" s="660">
        <v>0</v>
      </c>
      <c r="Y141" s="659">
        <f t="shared" ca="1" si="6"/>
        <v>2574677</v>
      </c>
      <c r="Z141" s="659">
        <f t="shared" ca="1" si="8"/>
        <v>521768</v>
      </c>
    </row>
    <row r="142" spans="1:26" ht="15.95" customHeight="1" x14ac:dyDescent="0.15">
      <c r="A142" s="656">
        <v>43040</v>
      </c>
      <c r="B142" s="657" t="str">
        <f t="shared" ca="1" si="7"/>
        <v>10</v>
      </c>
      <c r="C142" s="658" t="s">
        <v>583</v>
      </c>
      <c r="D142" s="659">
        <f ca="1">IF($A142="","",IFERROR(GETPIVOTDATA("合計 / 入金予定",【ピボット】国保連売上!$A$3,"年月",$A142,"事業所コード",$B142,"事業所",$C142,"事業区分",D$1,"請求区分","単月"),0)
+IFERROR(GETPIVOTDATA("合計 / 入金予定",【ピボット】国保連売上!$A$3,"年月",$A142,"事業所コード",$B142,"事業所",$C142,"事業区分",D$1,"請求区分","再請求"),0))</f>
        <v>1297254</v>
      </c>
      <c r="E142" s="659">
        <f ca="1">IF($A142="","",IFERROR(GETPIVOTDATA("合計 / 処遇改善加算金",【ピボット】国保連売上!$A$3,"年月",$A142,"事業所コード",$B142,"事業所",$C142,"事業区分",D$1,"請求区分","単月"),0))</f>
        <v>0</v>
      </c>
      <c r="F142" s="659">
        <f ca="1">IF($A142="","",IFERROR(GETPIVOTDATA("合計 / 入金予定",【ピボット】国保連売上!$A$3,"年月",$A142,"事業所コード",$B142,"事業所",$C142,"事業区分",F$1,"請求区分","単月"),0)
+IFERROR(GETPIVOTDATA("合計 / 入金予定",【ピボット】国保連売上!$A$3,"年月",$A142,"事業所コード",$B142,"事業所",$C142,"事業区分",F$1,"請求区分","再請求"),0))</f>
        <v>4270</v>
      </c>
      <c r="G142" s="659">
        <f ca="1">IF($A142="","",IFERROR(GETPIVOTDATA("合計 / 処遇改善加算金",【ピボット】国保連売上!$A$3,"年月",$A142,"事業所コード",$B142,"事業所",$C142,"事業区分",F$1,"請求区分","単月"),0))</f>
        <v>0</v>
      </c>
      <c r="H142" s="659">
        <f ca="1">IF($A142="","",IFERROR(GETPIVOTDATA("合計 / 入金予定",【ピボット】国保連売上!$A$3,"年月",$A142,"事業所コード",$B142,"事業所",$C142,"事業区分",H$1,"請求区分","単月"),0)
+IFERROR(GETPIVOTDATA("合計 / 入金予定",【ピボット】国保連売上!$A$3,"年月",$A142,"事業所コード",$B142,"事業所",$C142,"事業区分",H$1,"請求区分","再請求"),0))</f>
        <v>0</v>
      </c>
      <c r="I142" s="659">
        <f ca="1">IF($A142="","",IFERROR(GETPIVOTDATA("合計 / 入金予定",【ピボット】国保連売上!$A$3,"年月",$A142,"事業所コード",$B142,"事業所",$C142,"事業区分",I$1,"請求区分","単月"),0)
+IFERROR(GETPIVOTDATA("合計 / 入金予定",【ピボット】国保連売上!$A$3,"年月",$A142,"事業所コード",$B142,"事業所",$C142,"事業区分",I$1,"請求区分","再請求"),0))</f>
        <v>0</v>
      </c>
      <c r="J142" s="659">
        <f ca="1">IF($A142="","",IFERROR(GETPIVOTDATA("合計 / 処遇改善加算金",【ピボット】国保連売上!$A$3,"年月",$A142,"事業所コード",$B142,"事業所",$C142,"事業区分",I$1,"請求区分","単月"),0))</f>
        <v>0</v>
      </c>
      <c r="K142" s="659">
        <f ca="1">IF($A142="","",IFERROR(GETPIVOTDATA("合計 / 入金予定",【ピボット】国保連売上!$A$3,"年月",$A142,"事業所コード",$B142,"事業所",$C142,"事業区分",K$1,"請求区分","単月"),0)
+IFERROR(GETPIVOTDATA("合計 / 入金予定",【ピボット】国保連売上!$A$3,"年月",$A142,"事業所コード",$B142,"事業所",$C142,"事業区分",K$1,"請求区分","再請求"),0))</f>
        <v>0</v>
      </c>
      <c r="L142" s="659">
        <f ca="1">IF($A142="","",IFERROR(GETPIVOTDATA("合計 / 処遇改善加算金",【ピボット】国保連売上!$A$3,"年月",$A142,"事業所コード",$B142,"事業所",$C142,"事業区分",K$1,"請求区分","単月"),0))</f>
        <v>0</v>
      </c>
      <c r="M142" s="659">
        <f ca="1">IF($A142="","",IFERROR(GETPIVOTDATA("合計 / 入金予定",【ピボット】国保連売上!$A$3,"年月",$A142,"事業所コード",$B142,"事業所",$C142,"事業区分",M$1,"請求区分","単月"),0)
+IFERROR(GETPIVOTDATA("合計 / 入金予定",【ピボット】国保連売上!$A$3,"年月",$A142,"事業所コード",$B142,"事業所",$C142,"事業区分",M$1,"請求区分","再請求"),0))</f>
        <v>0</v>
      </c>
      <c r="N142" s="660">
        <v>241800</v>
      </c>
      <c r="O142" s="660">
        <v>60840</v>
      </c>
      <c r="P142" s="660">
        <v>1529662</v>
      </c>
      <c r="Q142" s="660">
        <v>0</v>
      </c>
      <c r="R142" s="660">
        <v>0</v>
      </c>
      <c r="S142" s="660">
        <v>0</v>
      </c>
      <c r="T142" s="660">
        <v>0</v>
      </c>
      <c r="U142" s="660">
        <v>0</v>
      </c>
      <c r="V142" s="660">
        <v>0</v>
      </c>
      <c r="W142" s="660">
        <v>0</v>
      </c>
      <c r="X142" s="660">
        <v>0</v>
      </c>
      <c r="Y142" s="659">
        <f t="shared" ca="1" si="6"/>
        <v>3133826</v>
      </c>
      <c r="Z142" s="659">
        <f t="shared" ca="1" si="8"/>
        <v>1832302</v>
      </c>
    </row>
    <row r="143" spans="1:26" ht="15.95" customHeight="1" x14ac:dyDescent="0.15">
      <c r="A143" s="656">
        <v>43070</v>
      </c>
      <c r="B143" s="657" t="str">
        <f t="shared" ca="1" si="7"/>
        <v>01</v>
      </c>
      <c r="C143" s="658" t="s">
        <v>34</v>
      </c>
      <c r="D143" s="659">
        <f ca="1">IF($A143="","",IFERROR(GETPIVOTDATA("合計 / 入金予定",【ピボット】国保連売上!$A$3,"年月",$A143,"事業所コード",$B143,"事業所",$C143,"事業区分",D$1,"請求区分","単月"),0)
+IFERROR(GETPIVOTDATA("合計 / 入金予定",【ピボット】国保連売上!$A$3,"年月",$A143,"事業所コード",$B143,"事業所",$C143,"事業区分",D$1,"請求区分","再請求"),0))</f>
        <v>7485316</v>
      </c>
      <c r="E143" s="659">
        <f ca="1">IF($A143="","",IFERROR(GETPIVOTDATA("合計 / 処遇改善加算金",【ピボット】国保連売上!$A$3,"年月",$A143,"事業所コード",$B143,"事業所",$C143,"事業区分",D$1,"請求区分","単月"),0))</f>
        <v>1313989</v>
      </c>
      <c r="F143" s="659">
        <f ca="1">IF($A143="","",IFERROR(GETPIVOTDATA("合計 / 入金予定",【ピボット】国保連売上!$A$3,"年月",$A143,"事業所コード",$B143,"事業所",$C143,"事業区分",F$1,"請求区分","単月"),0)
+IFERROR(GETPIVOTDATA("合計 / 入金予定",【ピボット】国保連売上!$A$3,"年月",$A143,"事業所コード",$B143,"事業所",$C143,"事業区分",F$1,"請求区分","再請求"),0))</f>
        <v>1390789</v>
      </c>
      <c r="G143" s="659">
        <f ca="1">IF($A143="","",IFERROR(GETPIVOTDATA("合計 / 処遇改善加算金",【ピボット】国保連売上!$A$3,"年月",$A143,"事業所コード",$B143,"事業所",$C143,"事業区分",F$1,"請求区分","単月"),0))</f>
        <v>295530</v>
      </c>
      <c r="H143" s="659">
        <f ca="1">IF($A143="","",IFERROR(GETPIVOTDATA("合計 / 入金予定",【ピボット】国保連売上!$A$3,"年月",$A143,"事業所コード",$B143,"事業所",$C143,"事業区分",H$1,"請求区分","単月"),0)
+IFERROR(GETPIVOTDATA("合計 / 入金予定",【ピボット】国保連売上!$A$3,"年月",$A143,"事業所コード",$B143,"事業所",$C143,"事業区分",H$1,"請求区分","再請求"),0))</f>
        <v>744776</v>
      </c>
      <c r="I143" s="659">
        <f ca="1">IF($A143="","",IFERROR(GETPIVOTDATA("合計 / 入金予定",【ピボット】国保連売上!$A$3,"年月",$A143,"事業所コード",$B143,"事業所",$C143,"事業区分",I$1,"請求区分","単月"),0)
+IFERROR(GETPIVOTDATA("合計 / 入金予定",【ピボット】国保連売上!$A$3,"年月",$A143,"事業所コード",$B143,"事業所",$C143,"事業区分",I$1,"請求区分","再請求"),0))</f>
        <v>0</v>
      </c>
      <c r="J143" s="659">
        <f ca="1">IF($A143="","",IFERROR(GETPIVOTDATA("合計 / 処遇改善加算金",【ピボット】国保連売上!$A$3,"年月",$A143,"事業所コード",$B143,"事業所",$C143,"事業区分",I$1,"請求区分","単月"),0))</f>
        <v>0</v>
      </c>
      <c r="K143" s="659">
        <f ca="1">IF($A143="","",IFERROR(GETPIVOTDATA("合計 / 入金予定",【ピボット】国保連売上!$A$3,"年月",$A143,"事業所コード",$B143,"事業所",$C143,"事業区分",K$1,"請求区分","単月"),0)
+IFERROR(GETPIVOTDATA("合計 / 入金予定",【ピボット】国保連売上!$A$3,"年月",$A143,"事業所コード",$B143,"事業所",$C143,"事業区分",K$1,"請求区分","再請求"),0))</f>
        <v>0</v>
      </c>
      <c r="L143" s="659">
        <f ca="1">IF($A143="","",IFERROR(GETPIVOTDATA("合計 / 処遇改善加算金",【ピボット】国保連売上!$A$3,"年月",$A143,"事業所コード",$B143,"事業所",$C143,"事業区分",K$1,"請求区分","単月"),0))</f>
        <v>0</v>
      </c>
      <c r="M143" s="659">
        <f ca="1">IF($A143="","",IFERROR(GETPIVOTDATA("合計 / 入金予定",【ピボット】国保連売上!$A$3,"年月",$A143,"事業所コード",$B143,"事業所",$C143,"事業区分",M$1,"請求区分","単月"),0)
+IFERROR(GETPIVOTDATA("合計 / 入金予定",【ピボット】国保連売上!$A$3,"年月",$A143,"事業所コード",$B143,"事業所",$C143,"事業区分",M$1,"請求区分","再請求"),0))</f>
        <v>0</v>
      </c>
      <c r="N143" s="660">
        <v>197032</v>
      </c>
      <c r="O143" s="660">
        <v>33360</v>
      </c>
      <c r="P143" s="660">
        <v>0</v>
      </c>
      <c r="Q143" s="660">
        <v>4064</v>
      </c>
      <c r="R143" s="660">
        <v>151995</v>
      </c>
      <c r="S143" s="660">
        <v>0</v>
      </c>
      <c r="T143" s="660">
        <v>0</v>
      </c>
      <c r="U143" s="660">
        <v>0</v>
      </c>
      <c r="V143" s="660">
        <v>0</v>
      </c>
      <c r="W143" s="660">
        <v>0</v>
      </c>
      <c r="X143" s="660">
        <v>0</v>
      </c>
      <c r="Y143" s="659">
        <f t="shared" ca="1" si="6"/>
        <v>10007332</v>
      </c>
      <c r="Z143" s="659">
        <f t="shared" ca="1" si="8"/>
        <v>386451</v>
      </c>
    </row>
    <row r="144" spans="1:26" ht="15.95" customHeight="1" x14ac:dyDescent="0.15">
      <c r="A144" s="656">
        <v>43070</v>
      </c>
      <c r="B144" s="657" t="str">
        <f t="shared" ca="1" si="7"/>
        <v>02</v>
      </c>
      <c r="C144" s="658" t="s">
        <v>37</v>
      </c>
      <c r="D144" s="659">
        <f ca="1">IF($A144="","",IFERROR(GETPIVOTDATA("合計 / 入金予定",【ピボット】国保連売上!$A$3,"年月",$A144,"事業所コード",$B144,"事業所",$C144,"事業区分",D$1,"請求区分","単月"),0)
+IFERROR(GETPIVOTDATA("合計 / 入金予定",【ピボット】国保連売上!$A$3,"年月",$A144,"事業所コード",$B144,"事業所",$C144,"事業区分",D$1,"請求区分","再請求"),0))</f>
        <v>4314125</v>
      </c>
      <c r="E144" s="659">
        <f ca="1">IF($A144="","",IFERROR(GETPIVOTDATA("合計 / 処遇改善加算金",【ピボット】国保連売上!$A$3,"年月",$A144,"事業所コード",$B144,"事業所",$C144,"事業区分",D$1,"請求区分","単月"),0))</f>
        <v>470435</v>
      </c>
      <c r="F144" s="659">
        <f ca="1">IF($A144="","",IFERROR(GETPIVOTDATA("合計 / 入金予定",【ピボット】国保連売上!$A$3,"年月",$A144,"事業所コード",$B144,"事業所",$C144,"事業区分",F$1,"請求区分","単月"),0)
+IFERROR(GETPIVOTDATA("合計 / 入金予定",【ピボット】国保連売上!$A$3,"年月",$A144,"事業所コード",$B144,"事業所",$C144,"事業区分",F$1,"請求区分","再請求"),0))</f>
        <v>927864</v>
      </c>
      <c r="G144" s="659">
        <f ca="1">IF($A144="","",IFERROR(GETPIVOTDATA("合計 / 処遇改善加算金",【ピボット】国保連売上!$A$3,"年月",$A144,"事業所コード",$B144,"事業所",$C144,"事業区分",F$1,"請求区分","単月"),0))</f>
        <v>210870</v>
      </c>
      <c r="H144" s="659">
        <f ca="1">IF($A144="","",IFERROR(GETPIVOTDATA("合計 / 入金予定",【ピボット】国保連売上!$A$3,"年月",$A144,"事業所コード",$B144,"事業所",$C144,"事業区分",H$1,"請求区分","単月"),0)
+IFERROR(GETPIVOTDATA("合計 / 入金予定",【ピボット】国保連売上!$A$3,"年月",$A144,"事業所コード",$B144,"事業所",$C144,"事業区分",H$1,"請求区分","再請求"),0))</f>
        <v>421073</v>
      </c>
      <c r="I144" s="659">
        <f ca="1">IF($A144="","",IFERROR(GETPIVOTDATA("合計 / 入金予定",【ピボット】国保連売上!$A$3,"年月",$A144,"事業所コード",$B144,"事業所",$C144,"事業区分",I$1,"請求区分","単月"),0)
+IFERROR(GETPIVOTDATA("合計 / 入金予定",【ピボット】国保連売上!$A$3,"年月",$A144,"事業所コード",$B144,"事業所",$C144,"事業区分",I$1,"請求区分","再請求"),0))</f>
        <v>0</v>
      </c>
      <c r="J144" s="659">
        <f ca="1">IF($A144="","",IFERROR(GETPIVOTDATA("合計 / 処遇改善加算金",【ピボット】国保連売上!$A$3,"年月",$A144,"事業所コード",$B144,"事業所",$C144,"事業区分",I$1,"請求区分","単月"),0))</f>
        <v>0</v>
      </c>
      <c r="K144" s="659">
        <f ca="1">IF($A144="","",IFERROR(GETPIVOTDATA("合計 / 入金予定",【ピボット】国保連売上!$A$3,"年月",$A144,"事業所コード",$B144,"事業所",$C144,"事業区分",K$1,"請求区分","単月"),0)
+IFERROR(GETPIVOTDATA("合計 / 入金予定",【ピボット】国保連売上!$A$3,"年月",$A144,"事業所コード",$B144,"事業所",$C144,"事業区分",K$1,"請求区分","再請求"),0))</f>
        <v>0</v>
      </c>
      <c r="L144" s="659">
        <f ca="1">IF($A144="","",IFERROR(GETPIVOTDATA("合計 / 処遇改善加算金",【ピボット】国保連売上!$A$3,"年月",$A144,"事業所コード",$B144,"事業所",$C144,"事業区分",K$1,"請求区分","単月"),0))</f>
        <v>0</v>
      </c>
      <c r="M144" s="659">
        <f ca="1">IF($A144="","",IFERROR(GETPIVOTDATA("合計 / 入金予定",【ピボット】国保連売上!$A$3,"年月",$A144,"事業所コード",$B144,"事業所",$C144,"事業区分",M$1,"請求区分","単月"),0)
+IFERROR(GETPIVOTDATA("合計 / 入金予定",【ピボット】国保連売上!$A$3,"年月",$A144,"事業所コード",$B144,"事業所",$C144,"事業区分",M$1,"請求区分","再請求"),0))</f>
        <v>0</v>
      </c>
      <c r="N144" s="660">
        <v>197500</v>
      </c>
      <c r="O144" s="660">
        <v>0</v>
      </c>
      <c r="P144" s="660">
        <v>0</v>
      </c>
      <c r="Q144" s="660">
        <v>1742</v>
      </c>
      <c r="R144" s="660">
        <v>101616</v>
      </c>
      <c r="S144" s="660">
        <v>0</v>
      </c>
      <c r="T144" s="660">
        <v>0</v>
      </c>
      <c r="U144" s="660">
        <v>0</v>
      </c>
      <c r="V144" s="660">
        <v>0</v>
      </c>
      <c r="W144" s="660">
        <v>0</v>
      </c>
      <c r="X144" s="660">
        <v>0</v>
      </c>
      <c r="Y144" s="659">
        <f t="shared" ca="1" si="6"/>
        <v>5963920</v>
      </c>
      <c r="Z144" s="659">
        <f t="shared" ca="1" si="8"/>
        <v>300858</v>
      </c>
    </row>
    <row r="145" spans="1:26" ht="15.95" customHeight="1" x14ac:dyDescent="0.15">
      <c r="A145" s="656">
        <v>43070</v>
      </c>
      <c r="B145" s="657" t="str">
        <f t="shared" ca="1" si="7"/>
        <v>03</v>
      </c>
      <c r="C145" s="658" t="s">
        <v>66</v>
      </c>
      <c r="D145" s="659">
        <f ca="1">IF($A145="","",IFERROR(GETPIVOTDATA("合計 / 入金予定",【ピボット】国保連売上!$A$3,"年月",$A145,"事業所コード",$B145,"事業所",$C145,"事業区分",D$1,"請求区分","単月"),0)
+IFERROR(GETPIVOTDATA("合計 / 入金予定",【ピボット】国保連売上!$A$3,"年月",$A145,"事業所コード",$B145,"事業所",$C145,"事業区分",D$1,"請求区分","再請求"),0))</f>
        <v>3951679</v>
      </c>
      <c r="E145" s="659">
        <f ca="1">IF($A145="","",IFERROR(GETPIVOTDATA("合計 / 処遇改善加算金",【ピボット】国保連売上!$A$3,"年月",$A145,"事業所コード",$B145,"事業所",$C145,"事業区分",D$1,"請求区分","単月"),0))</f>
        <v>422479</v>
      </c>
      <c r="F145" s="659">
        <f ca="1">IF($A145="","",IFERROR(GETPIVOTDATA("合計 / 入金予定",【ピボット】国保連売上!$A$3,"年月",$A145,"事業所コード",$B145,"事業所",$C145,"事業区分",F$1,"請求区分","単月"),0)
+IFERROR(GETPIVOTDATA("合計 / 入金予定",【ピボット】国保連売上!$A$3,"年月",$A145,"事業所コード",$B145,"事業所",$C145,"事業区分",F$1,"請求区分","再請求"),0))</f>
        <v>1450355</v>
      </c>
      <c r="G145" s="659">
        <f ca="1">IF($A145="","",IFERROR(GETPIVOTDATA("合計 / 処遇改善加算金",【ピボット】国保連売上!$A$3,"年月",$A145,"事業所コード",$B145,"事業所",$C145,"事業区分",F$1,"請求区分","単月"),0))</f>
        <v>337271</v>
      </c>
      <c r="H145" s="659">
        <f ca="1">IF($A145="","",IFERROR(GETPIVOTDATA("合計 / 入金予定",【ピボット】国保連売上!$A$3,"年月",$A145,"事業所コード",$B145,"事業所",$C145,"事業区分",H$1,"請求区分","単月"),0)
+IFERROR(GETPIVOTDATA("合計 / 入金予定",【ピボット】国保連売上!$A$3,"年月",$A145,"事業所コード",$B145,"事業所",$C145,"事業区分",H$1,"請求区分","再請求"),0))</f>
        <v>0</v>
      </c>
      <c r="I145" s="659">
        <f ca="1">IF($A145="","",IFERROR(GETPIVOTDATA("合計 / 入金予定",【ピボット】国保連売上!$A$3,"年月",$A145,"事業所コード",$B145,"事業所",$C145,"事業区分",I$1,"請求区分","単月"),0)
+IFERROR(GETPIVOTDATA("合計 / 入金予定",【ピボット】国保連売上!$A$3,"年月",$A145,"事業所コード",$B145,"事業所",$C145,"事業区分",I$1,"請求区分","再請求"),0))</f>
        <v>0</v>
      </c>
      <c r="J145" s="659">
        <f ca="1">IF($A145="","",IFERROR(GETPIVOTDATA("合計 / 処遇改善加算金",【ピボット】国保連売上!$A$3,"年月",$A145,"事業所コード",$B145,"事業所",$C145,"事業区分",I$1,"請求区分","単月"),0))</f>
        <v>0</v>
      </c>
      <c r="K145" s="659">
        <f ca="1">IF($A145="","",IFERROR(GETPIVOTDATA("合計 / 入金予定",【ピボット】国保連売上!$A$3,"年月",$A145,"事業所コード",$B145,"事業所",$C145,"事業区分",K$1,"請求区分","単月"),0)
+IFERROR(GETPIVOTDATA("合計 / 入金予定",【ピボット】国保連売上!$A$3,"年月",$A145,"事業所コード",$B145,"事業所",$C145,"事業区分",K$1,"請求区分","再請求"),0))</f>
        <v>0</v>
      </c>
      <c r="L145" s="659">
        <f ca="1">IF($A145="","",IFERROR(GETPIVOTDATA("合計 / 処遇改善加算金",【ピボット】国保連売上!$A$3,"年月",$A145,"事業所コード",$B145,"事業所",$C145,"事業区分",K$1,"請求区分","単月"),0))</f>
        <v>0</v>
      </c>
      <c r="M145" s="659">
        <f ca="1">IF($A145="","",IFERROR(GETPIVOTDATA("合計 / 入金予定",【ピボット】国保連売上!$A$3,"年月",$A145,"事業所コード",$B145,"事業所",$C145,"事業区分",M$1,"請求区分","単月"),0)
+IFERROR(GETPIVOTDATA("合計 / 入金予定",【ピボット】国保連売上!$A$3,"年月",$A145,"事業所コード",$B145,"事業所",$C145,"事業区分",M$1,"請求区分","再請求"),0))</f>
        <v>0</v>
      </c>
      <c r="N145" s="660">
        <v>101900</v>
      </c>
      <c r="O145" s="660">
        <v>78987</v>
      </c>
      <c r="P145" s="660">
        <v>42972</v>
      </c>
      <c r="Q145" s="660">
        <v>4091</v>
      </c>
      <c r="R145" s="660">
        <v>0</v>
      </c>
      <c r="S145" s="660">
        <v>0</v>
      </c>
      <c r="T145" s="660">
        <v>0</v>
      </c>
      <c r="U145" s="660">
        <v>0</v>
      </c>
      <c r="V145" s="660">
        <v>0</v>
      </c>
      <c r="W145" s="660">
        <v>0</v>
      </c>
      <c r="X145" s="660">
        <v>0</v>
      </c>
      <c r="Y145" s="659">
        <f t="shared" ca="1" si="6"/>
        <v>5629984</v>
      </c>
      <c r="Z145" s="659">
        <f t="shared" ca="1" si="8"/>
        <v>227950</v>
      </c>
    </row>
    <row r="146" spans="1:26" ht="15.95" customHeight="1" x14ac:dyDescent="0.15">
      <c r="A146" s="656">
        <v>43070</v>
      </c>
      <c r="B146" s="657" t="str">
        <f t="shared" ca="1" si="7"/>
        <v>04</v>
      </c>
      <c r="C146" s="658" t="s">
        <v>358</v>
      </c>
      <c r="D146" s="659">
        <f ca="1">IF($A146="","",IFERROR(GETPIVOTDATA("合計 / 入金予定",【ピボット】国保連売上!$A$3,"年月",$A146,"事業所コード",$B146,"事業所",$C146,"事業区分",D$1,"請求区分","単月"),0)
+IFERROR(GETPIVOTDATA("合計 / 入金予定",【ピボット】国保連売上!$A$3,"年月",$A146,"事業所コード",$B146,"事業所",$C146,"事業区分",D$1,"請求区分","再請求"),0))</f>
        <v>0</v>
      </c>
      <c r="E146" s="659">
        <f ca="1">IF($A146="","",IFERROR(GETPIVOTDATA("合計 / 処遇改善加算金",【ピボット】国保連売上!$A$3,"年月",$A146,"事業所コード",$B146,"事業所",$C146,"事業区分",D$1,"請求区分","単月"),0))</f>
        <v>0</v>
      </c>
      <c r="F146" s="659">
        <f ca="1">IF($A146="","",IFERROR(GETPIVOTDATA("合計 / 入金予定",【ピボット】国保連売上!$A$3,"年月",$A146,"事業所コード",$B146,"事業所",$C146,"事業区分",F$1,"請求区分","単月"),0)
+IFERROR(GETPIVOTDATA("合計 / 入金予定",【ピボット】国保連売上!$A$3,"年月",$A146,"事業所コード",$B146,"事業所",$C146,"事業区分",F$1,"請求区分","再請求"),0))</f>
        <v>0</v>
      </c>
      <c r="G146" s="659">
        <f ca="1">IF($A146="","",IFERROR(GETPIVOTDATA("合計 / 処遇改善加算金",【ピボット】国保連売上!$A$3,"年月",$A146,"事業所コード",$B146,"事業所",$C146,"事業区分",F$1,"請求区分","単月"),0))</f>
        <v>0</v>
      </c>
      <c r="H146" s="659">
        <f ca="1">IF($A146="","",IFERROR(GETPIVOTDATA("合計 / 入金予定",【ピボット】国保連売上!$A$3,"年月",$A146,"事業所コード",$B146,"事業所",$C146,"事業区分",H$1,"請求区分","単月"),0)
+IFERROR(GETPIVOTDATA("合計 / 入金予定",【ピボット】国保連売上!$A$3,"年月",$A146,"事業所コード",$B146,"事業所",$C146,"事業区分",H$1,"請求区分","再請求"),0))</f>
        <v>0</v>
      </c>
      <c r="I146" s="659">
        <f ca="1">IF($A146="","",IFERROR(GETPIVOTDATA("合計 / 入金予定",【ピボット】国保連売上!$A$3,"年月",$A146,"事業所コード",$B146,"事業所",$C146,"事業区分",I$1,"請求区分","単月"),0)
+IFERROR(GETPIVOTDATA("合計 / 入金予定",【ピボット】国保連売上!$A$3,"年月",$A146,"事業所コード",$B146,"事業所",$C146,"事業区分",I$1,"請求区分","再請求"),0))</f>
        <v>3113881</v>
      </c>
      <c r="J146" s="659">
        <f ca="1">IF($A146="","",IFERROR(GETPIVOTDATA("合計 / 処遇改善加算金",【ピボット】国保連売上!$A$3,"年月",$A146,"事業所コード",$B146,"事業所",$C146,"事業区分",I$1,"請求区分","単月"),0))</f>
        <v>173739</v>
      </c>
      <c r="K146" s="659">
        <f ca="1">IF($A146="","",IFERROR(GETPIVOTDATA("合計 / 入金予定",【ピボット】国保連売上!$A$3,"年月",$A146,"事業所コード",$B146,"事業所",$C146,"事業区分",K$1,"請求区分","単月"),0)
+IFERROR(GETPIVOTDATA("合計 / 入金予定",【ピボット】国保連売上!$A$3,"年月",$A146,"事業所コード",$B146,"事業所",$C146,"事業区分",K$1,"請求区分","再請求"),0))</f>
        <v>0</v>
      </c>
      <c r="L146" s="659">
        <f ca="1">IF($A146="","",IFERROR(GETPIVOTDATA("合計 / 処遇改善加算金",【ピボット】国保連売上!$A$3,"年月",$A146,"事業所コード",$B146,"事業所",$C146,"事業区分",K$1,"請求区分","単月"),0))</f>
        <v>0</v>
      </c>
      <c r="M146" s="659">
        <f ca="1">IF($A146="","",IFERROR(GETPIVOTDATA("合計 / 入金予定",【ピボット】国保連売上!$A$3,"年月",$A146,"事業所コード",$B146,"事業所",$C146,"事業区分",M$1,"請求区分","単月"),0)
+IFERROR(GETPIVOTDATA("合計 / 入金予定",【ピボット】国保連売上!$A$3,"年月",$A146,"事業所コード",$B146,"事業所",$C146,"事業区分",M$1,"請求区分","再請求"),0))</f>
        <v>0</v>
      </c>
      <c r="N146" s="660">
        <v>4117</v>
      </c>
      <c r="O146" s="660">
        <v>0</v>
      </c>
      <c r="P146" s="660">
        <v>0</v>
      </c>
      <c r="Q146" s="660">
        <v>0</v>
      </c>
      <c r="R146" s="660">
        <v>0</v>
      </c>
      <c r="S146" s="660">
        <v>0</v>
      </c>
      <c r="T146" s="660">
        <v>174350</v>
      </c>
      <c r="U146" s="660">
        <v>0</v>
      </c>
      <c r="V146" s="660">
        <v>0</v>
      </c>
      <c r="W146" s="660">
        <v>0</v>
      </c>
      <c r="X146" s="660">
        <v>0</v>
      </c>
      <c r="Y146" s="659">
        <f t="shared" ca="1" si="6"/>
        <v>3292348</v>
      </c>
      <c r="Z146" s="659">
        <f t="shared" ca="1" si="8"/>
        <v>178467</v>
      </c>
    </row>
    <row r="147" spans="1:26" ht="15.95" customHeight="1" x14ac:dyDescent="0.15">
      <c r="A147" s="656">
        <v>43070</v>
      </c>
      <c r="B147" s="657" t="str">
        <f t="shared" ca="1" si="7"/>
        <v>07</v>
      </c>
      <c r="C147" s="658" t="s">
        <v>119</v>
      </c>
      <c r="D147" s="659">
        <f ca="1">IF($A147="","",IFERROR(GETPIVOTDATA("合計 / 入金予定",【ピボット】国保連売上!$A$3,"年月",$A147,"事業所コード",$B147,"事業所",$C147,"事業区分",D$1,"請求区分","単月"),0)
+IFERROR(GETPIVOTDATA("合計 / 入金予定",【ピボット】国保連売上!$A$3,"年月",$A147,"事業所コード",$B147,"事業所",$C147,"事業区分",D$1,"請求区分","再請求"),0))</f>
        <v>0</v>
      </c>
      <c r="E147" s="659">
        <f ca="1">IF($A147="","",IFERROR(GETPIVOTDATA("合計 / 処遇改善加算金",【ピボット】国保連売上!$A$3,"年月",$A147,"事業所コード",$B147,"事業所",$C147,"事業区分",D$1,"請求区分","単月"),0))</f>
        <v>0</v>
      </c>
      <c r="F147" s="659">
        <f ca="1">IF($A147="","",IFERROR(GETPIVOTDATA("合計 / 入金予定",【ピボット】国保連売上!$A$3,"年月",$A147,"事業所コード",$B147,"事業所",$C147,"事業区分",F$1,"請求区分","単月"),0)
+IFERROR(GETPIVOTDATA("合計 / 入金予定",【ピボット】国保連売上!$A$3,"年月",$A147,"事業所コード",$B147,"事業所",$C147,"事業区分",F$1,"請求区分","再請求"),0))</f>
        <v>0</v>
      </c>
      <c r="G147" s="659">
        <f ca="1">IF($A147="","",IFERROR(GETPIVOTDATA("合計 / 処遇改善加算金",【ピボット】国保連売上!$A$3,"年月",$A147,"事業所コード",$B147,"事業所",$C147,"事業区分",F$1,"請求区分","単月"),0))</f>
        <v>0</v>
      </c>
      <c r="H147" s="659">
        <f ca="1">IF($A147="","",IFERROR(GETPIVOTDATA("合計 / 入金予定",【ピボット】国保連売上!$A$3,"年月",$A147,"事業所コード",$B147,"事業所",$C147,"事業区分",H$1,"請求区分","単月"),0)
+IFERROR(GETPIVOTDATA("合計 / 入金予定",【ピボット】国保連売上!$A$3,"年月",$A147,"事業所コード",$B147,"事業所",$C147,"事業区分",H$1,"請求区分","再請求"),0))</f>
        <v>0</v>
      </c>
      <c r="I147" s="659">
        <f ca="1">IF($A147="","",IFERROR(GETPIVOTDATA("合計 / 入金予定",【ピボット】国保連売上!$A$3,"年月",$A147,"事業所コード",$B147,"事業所",$C147,"事業区分",I$1,"請求区分","単月"),0)
+IFERROR(GETPIVOTDATA("合計 / 入金予定",【ピボット】国保連売上!$A$3,"年月",$A147,"事業所コード",$B147,"事業所",$C147,"事業区分",I$1,"請求区分","再請求"),0))</f>
        <v>0</v>
      </c>
      <c r="J147" s="659">
        <f ca="1">IF($A147="","",IFERROR(GETPIVOTDATA("合計 / 処遇改善加算金",【ピボット】国保連売上!$A$3,"年月",$A147,"事業所コード",$B147,"事業所",$C147,"事業区分",I$1,"請求区分","単月"),0))</f>
        <v>0</v>
      </c>
      <c r="K147" s="659">
        <f ca="1">IF($A147="","",IFERROR(GETPIVOTDATA("合計 / 入金予定",【ピボット】国保連売上!$A$3,"年月",$A147,"事業所コード",$B147,"事業所",$C147,"事業区分",K$1,"請求区分","単月"),0)
+IFERROR(GETPIVOTDATA("合計 / 入金予定",【ピボット】国保連売上!$A$3,"年月",$A147,"事業所コード",$B147,"事業所",$C147,"事業区分",K$1,"請求区分","再請求"),0))</f>
        <v>998248</v>
      </c>
      <c r="L147" s="659">
        <f ca="1">IF($A147="","",IFERROR(GETPIVOTDATA("合計 / 処遇改善加算金",【ピボット】国保連売上!$A$3,"年月",$A147,"事業所コード",$B147,"事業所",$C147,"事業区分",K$1,"請求区分","単月"),0))</f>
        <v>292855</v>
      </c>
      <c r="M147" s="659">
        <f ca="1">IF($A147="","",IFERROR(GETPIVOTDATA("合計 / 入金予定",【ピボット】国保連売上!$A$3,"年月",$A147,"事業所コード",$B147,"事業所",$C147,"事業区分",M$1,"請求区分","単月"),0)
+IFERROR(GETPIVOTDATA("合計 / 入金予定",【ピボット】国保連売上!$A$3,"年月",$A147,"事業所コード",$B147,"事業所",$C147,"事業区分",M$1,"請求区分","再請求"),0))</f>
        <v>0</v>
      </c>
      <c r="N147" s="660">
        <v>0</v>
      </c>
      <c r="O147" s="660">
        <v>0</v>
      </c>
      <c r="P147" s="660">
        <v>0</v>
      </c>
      <c r="Q147" s="660">
        <v>0</v>
      </c>
      <c r="R147" s="660">
        <v>0</v>
      </c>
      <c r="S147" s="660">
        <v>78000</v>
      </c>
      <c r="T147" s="660">
        <v>0</v>
      </c>
      <c r="U147" s="660">
        <v>0</v>
      </c>
      <c r="V147" s="660">
        <v>-40000</v>
      </c>
      <c r="W147" s="660">
        <v>0</v>
      </c>
      <c r="X147" s="660">
        <v>0</v>
      </c>
      <c r="Y147" s="659">
        <f t="shared" ca="1" si="6"/>
        <v>1036248</v>
      </c>
      <c r="Z147" s="659">
        <f t="shared" ca="1" si="8"/>
        <v>38000</v>
      </c>
    </row>
    <row r="148" spans="1:26" ht="15.95" customHeight="1" x14ac:dyDescent="0.15">
      <c r="A148" s="656">
        <v>43070</v>
      </c>
      <c r="B148" s="657" t="str">
        <f t="shared" ca="1" si="7"/>
        <v>08</v>
      </c>
      <c r="C148" s="658" t="s">
        <v>189</v>
      </c>
      <c r="D148" s="659">
        <f ca="1">IF($A148="","",IFERROR(GETPIVOTDATA("合計 / 入金予定",【ピボット】国保連売上!$A$3,"年月",$A148,"事業所コード",$B148,"事業所",$C148,"事業区分",D$1,"請求区分","単月"),0)
+IFERROR(GETPIVOTDATA("合計 / 入金予定",【ピボット】国保連売上!$A$3,"年月",$A148,"事業所コード",$B148,"事業所",$C148,"事業区分",D$1,"請求区分","再請求"),0))</f>
        <v>0</v>
      </c>
      <c r="E148" s="659">
        <f ca="1">IF($A148="","",IFERROR(GETPIVOTDATA("合計 / 処遇改善加算金",【ピボット】国保連売上!$A$3,"年月",$A148,"事業所コード",$B148,"事業所",$C148,"事業区分",D$1,"請求区分","単月"),0))</f>
        <v>0</v>
      </c>
      <c r="F148" s="659">
        <f ca="1">IF($A148="","",IFERROR(GETPIVOTDATA("合計 / 入金予定",【ピボット】国保連売上!$A$3,"年月",$A148,"事業所コード",$B148,"事業所",$C148,"事業区分",F$1,"請求区分","単月"),0)
+IFERROR(GETPIVOTDATA("合計 / 入金予定",【ピボット】国保連売上!$A$3,"年月",$A148,"事業所コード",$B148,"事業所",$C148,"事業区分",F$1,"請求区分","再請求"),0))</f>
        <v>0</v>
      </c>
      <c r="G148" s="659">
        <f ca="1">IF($A148="","",IFERROR(GETPIVOTDATA("合計 / 処遇改善加算金",【ピボット】国保連売上!$A$3,"年月",$A148,"事業所コード",$B148,"事業所",$C148,"事業区分",F$1,"請求区分","単月"),0))</f>
        <v>0</v>
      </c>
      <c r="H148" s="659">
        <f ca="1">IF($A148="","",IFERROR(GETPIVOTDATA("合計 / 入金予定",【ピボット】国保連売上!$A$3,"年月",$A148,"事業所コード",$B148,"事業所",$C148,"事業区分",H$1,"請求区分","単月"),0)
+IFERROR(GETPIVOTDATA("合計 / 入金予定",【ピボット】国保連売上!$A$3,"年月",$A148,"事業所コード",$B148,"事業所",$C148,"事業区分",H$1,"請求区分","再請求"),0))</f>
        <v>0</v>
      </c>
      <c r="I148" s="659">
        <f ca="1">IF($A148="","",IFERROR(GETPIVOTDATA("合計 / 入金予定",【ピボット】国保連売上!$A$3,"年月",$A148,"事業所コード",$B148,"事業所",$C148,"事業区分",I$1,"請求区分","単月"),0)
+IFERROR(GETPIVOTDATA("合計 / 入金予定",【ピボット】国保連売上!$A$3,"年月",$A148,"事業所コード",$B148,"事業所",$C148,"事業区分",I$1,"請求区分","再請求"),0))</f>
        <v>0</v>
      </c>
      <c r="J148" s="659">
        <f ca="1">IF($A148="","",IFERROR(GETPIVOTDATA("合計 / 処遇改善加算金",【ピボット】国保連売上!$A$3,"年月",$A148,"事業所コード",$B148,"事業所",$C148,"事業区分",I$1,"請求区分","単月"),0))</f>
        <v>0</v>
      </c>
      <c r="K148" s="659">
        <f ca="1">IF($A148="","",IFERROR(GETPIVOTDATA("合計 / 入金予定",【ピボット】国保連売上!$A$3,"年月",$A148,"事業所コード",$B148,"事業所",$C148,"事業区分",K$1,"請求区分","単月"),0)
+IFERROR(GETPIVOTDATA("合計 / 入金予定",【ピボット】国保連売上!$A$3,"年月",$A148,"事業所コード",$B148,"事業所",$C148,"事業区分",K$1,"請求区分","再請求"),0))</f>
        <v>983492</v>
      </c>
      <c r="L148" s="659">
        <f ca="1">IF($A148="","",IFERROR(GETPIVOTDATA("合計 / 処遇改善加算金",【ピボット】国保連売上!$A$3,"年月",$A148,"事業所コード",$B148,"事業所",$C148,"事業区分",K$1,"請求区分","単月"),0))</f>
        <v>0</v>
      </c>
      <c r="M148" s="659">
        <f ca="1">IF($A148="","",IFERROR(GETPIVOTDATA("合計 / 入金予定",【ピボット】国保連売上!$A$3,"年月",$A148,"事業所コード",$B148,"事業所",$C148,"事業区分",M$1,"請求区分","単月"),0)
+IFERROR(GETPIVOTDATA("合計 / 入金予定",【ピボット】国保連売上!$A$3,"年月",$A148,"事業所コード",$B148,"事業所",$C148,"事業区分",M$1,"請求区分","再請求"),0))</f>
        <v>0</v>
      </c>
      <c r="N148" s="660">
        <v>20000</v>
      </c>
      <c r="O148" s="660">
        <v>0</v>
      </c>
      <c r="P148" s="660">
        <v>0</v>
      </c>
      <c r="Q148" s="660">
        <v>0</v>
      </c>
      <c r="R148" s="660">
        <v>0</v>
      </c>
      <c r="S148" s="660">
        <v>98000</v>
      </c>
      <c r="T148" s="660">
        <v>0</v>
      </c>
      <c r="U148" s="660">
        <v>0</v>
      </c>
      <c r="V148" s="660">
        <v>-40000</v>
      </c>
      <c r="W148" s="660">
        <v>0</v>
      </c>
      <c r="X148" s="660">
        <v>0</v>
      </c>
      <c r="Y148" s="659">
        <f t="shared" ca="1" si="6"/>
        <v>1061492</v>
      </c>
      <c r="Z148" s="659">
        <f t="shared" ca="1" si="8"/>
        <v>78000</v>
      </c>
    </row>
    <row r="149" spans="1:26" ht="15.95" customHeight="1" x14ac:dyDescent="0.15">
      <c r="A149" s="656">
        <v>43070</v>
      </c>
      <c r="B149" s="657" t="str">
        <f t="shared" ca="1" si="7"/>
        <v>09</v>
      </c>
      <c r="C149" s="658" t="s">
        <v>329</v>
      </c>
      <c r="D149" s="659">
        <f ca="1">IF($A149="","",IFERROR(GETPIVOTDATA("合計 / 入金予定",【ピボット】国保連売上!$A$3,"年月",$A149,"事業所コード",$B149,"事業所",$C149,"事業区分",D$1,"請求区分","単月"),0)
+IFERROR(GETPIVOTDATA("合計 / 入金予定",【ピボット】国保連売上!$A$3,"年月",$A149,"事業所コード",$B149,"事業所",$C149,"事業区分",D$1,"請求区分","再請求"),0))</f>
        <v>0</v>
      </c>
      <c r="E149" s="659">
        <f ca="1">IF($A149="","",IFERROR(GETPIVOTDATA("合計 / 処遇改善加算金",【ピボット】国保連売上!$A$3,"年月",$A149,"事業所コード",$B149,"事業所",$C149,"事業区分",D$1,"請求区分","単月"),0))</f>
        <v>0</v>
      </c>
      <c r="F149" s="659">
        <f ca="1">IF($A149="","",IFERROR(GETPIVOTDATA("合計 / 入金予定",【ピボット】国保連売上!$A$3,"年月",$A149,"事業所コード",$B149,"事業所",$C149,"事業区分",F$1,"請求区分","単月"),0)
+IFERROR(GETPIVOTDATA("合計 / 入金予定",【ピボット】国保連売上!$A$3,"年月",$A149,"事業所コード",$B149,"事業所",$C149,"事業区分",F$1,"請求区分","再請求"),0))</f>
        <v>0</v>
      </c>
      <c r="G149" s="659">
        <f ca="1">IF($A149="","",IFERROR(GETPIVOTDATA("合計 / 処遇改善加算金",【ピボット】国保連売上!$A$3,"年月",$A149,"事業所コード",$B149,"事業所",$C149,"事業区分",F$1,"請求区分","単月"),0))</f>
        <v>0</v>
      </c>
      <c r="H149" s="659">
        <f ca="1">IF($A149="","",IFERROR(GETPIVOTDATA("合計 / 入金予定",【ピボット】国保連売上!$A$3,"年月",$A149,"事業所コード",$B149,"事業所",$C149,"事業区分",H$1,"請求区分","単月"),0)
+IFERROR(GETPIVOTDATA("合計 / 入金予定",【ピボット】国保連売上!$A$3,"年月",$A149,"事業所コード",$B149,"事業所",$C149,"事業区分",H$1,"請求区分","再請求"),0))</f>
        <v>0</v>
      </c>
      <c r="I149" s="659">
        <f ca="1">IF($A149="","",IFERROR(GETPIVOTDATA("合計 / 入金予定",【ピボット】国保連売上!$A$3,"年月",$A149,"事業所コード",$B149,"事業所",$C149,"事業区分",I$1,"請求区分","単月"),0)
+IFERROR(GETPIVOTDATA("合計 / 入金予定",【ピボット】国保連売上!$A$3,"年月",$A149,"事業所コード",$B149,"事業所",$C149,"事業区分",I$1,"請求区分","再請求"),0))</f>
        <v>0</v>
      </c>
      <c r="J149" s="659">
        <f ca="1">IF($A149="","",IFERROR(GETPIVOTDATA("合計 / 処遇改善加算金",【ピボット】国保連売上!$A$3,"年月",$A149,"事業所コード",$B149,"事業所",$C149,"事業区分",I$1,"請求区分","単月"),0))</f>
        <v>0</v>
      </c>
      <c r="K149" s="659">
        <f ca="1">IF($A149="","",IFERROR(GETPIVOTDATA("合計 / 入金予定",【ピボット】国保連売上!$A$3,"年月",$A149,"事業所コード",$B149,"事業所",$C149,"事業区分",K$1,"請求区分","単月"),0)
+IFERROR(GETPIVOTDATA("合計 / 入金予定",【ピボット】国保連売上!$A$3,"年月",$A149,"事業所コード",$B149,"事業所",$C149,"事業区分",K$1,"請求区分","再請求"),0))</f>
        <v>2448469</v>
      </c>
      <c r="L149" s="659">
        <f ca="1">IF($A149="","",IFERROR(GETPIVOTDATA("合計 / 処遇改善加算金",【ピボット】国保連売上!$A$3,"年月",$A149,"事業所コード",$B149,"事業所",$C149,"事業区分",K$1,"請求区分","単月"),0))</f>
        <v>0</v>
      </c>
      <c r="M149" s="659">
        <f ca="1">IF($A149="","",IFERROR(GETPIVOTDATA("合計 / 入金予定",【ピボット】国保連売上!$A$3,"年月",$A149,"事業所コード",$B149,"事業所",$C149,"事業区分",M$1,"請求区分","単月"),0)
+IFERROR(GETPIVOTDATA("合計 / 入金予定",【ピボット】国保連売上!$A$3,"年月",$A149,"事業所コード",$B149,"事業所",$C149,"事業区分",M$1,"請求区分","再請求"),0))</f>
        <v>0</v>
      </c>
      <c r="N149" s="660">
        <v>0</v>
      </c>
      <c r="O149" s="660">
        <v>0</v>
      </c>
      <c r="P149" s="660">
        <v>0</v>
      </c>
      <c r="Q149" s="660">
        <v>0</v>
      </c>
      <c r="R149" s="660">
        <v>0</v>
      </c>
      <c r="S149" s="660">
        <v>400000</v>
      </c>
      <c r="T149" s="660">
        <v>0</v>
      </c>
      <c r="U149" s="660">
        <v>0</v>
      </c>
      <c r="V149" s="660">
        <v>-100000</v>
      </c>
      <c r="W149" s="660">
        <v>0</v>
      </c>
      <c r="X149" s="660">
        <v>0</v>
      </c>
      <c r="Y149" s="659">
        <f t="shared" ca="1" si="6"/>
        <v>2748469</v>
      </c>
      <c r="Z149" s="659">
        <f t="shared" ca="1" si="8"/>
        <v>300000</v>
      </c>
    </row>
    <row r="150" spans="1:26" ht="15.95" customHeight="1" x14ac:dyDescent="0.15">
      <c r="A150" s="656">
        <v>43070</v>
      </c>
      <c r="B150" s="657" t="str">
        <f t="shared" ca="1" si="7"/>
        <v>05</v>
      </c>
      <c r="C150" s="658" t="s">
        <v>38</v>
      </c>
      <c r="D150" s="659">
        <f ca="1">IF($A150="","",IFERROR(GETPIVOTDATA("合計 / 入金予定",【ピボット】国保連売上!$A$3,"年月",$A150,"事業所コード",$B150,"事業所",$C150,"事業区分",D$1,"請求区分","単月"),0)
+IFERROR(GETPIVOTDATA("合計 / 入金予定",【ピボット】国保連売上!$A$3,"年月",$A150,"事業所コード",$B150,"事業所",$C150,"事業区分",D$1,"請求区分","再請求"),0))</f>
        <v>2157074</v>
      </c>
      <c r="E150" s="659">
        <f ca="1">IF($A150="","",IFERROR(GETPIVOTDATA("合計 / 処遇改善加算金",【ピボット】国保連売上!$A$3,"年月",$A150,"事業所コード",$B150,"事業所",$C150,"事業区分",D$1,"請求区分","単月"),0))</f>
        <v>0</v>
      </c>
      <c r="F150" s="659">
        <f ca="1">IF($A150="","",IFERROR(GETPIVOTDATA("合計 / 入金予定",【ピボット】国保連売上!$A$3,"年月",$A150,"事業所コード",$B150,"事業所",$C150,"事業区分",F$1,"請求区分","単月"),0)
+IFERROR(GETPIVOTDATA("合計 / 入金予定",【ピボット】国保連売上!$A$3,"年月",$A150,"事業所コード",$B150,"事業所",$C150,"事業区分",F$1,"請求区分","再請求"),0))</f>
        <v>0</v>
      </c>
      <c r="G150" s="659">
        <f ca="1">IF($A150="","",IFERROR(GETPIVOTDATA("合計 / 処遇改善加算金",【ピボット】国保連売上!$A$3,"年月",$A150,"事業所コード",$B150,"事業所",$C150,"事業区分",F$1,"請求区分","単月"),0))</f>
        <v>0</v>
      </c>
      <c r="H150" s="659">
        <f ca="1">IF($A150="","",IFERROR(GETPIVOTDATA("合計 / 入金予定",【ピボット】国保連売上!$A$3,"年月",$A150,"事業所コード",$B150,"事業所",$C150,"事業区分",H$1,"請求区分","単月"),0)
+IFERROR(GETPIVOTDATA("合計 / 入金予定",【ピボット】国保連売上!$A$3,"年月",$A150,"事業所コード",$B150,"事業所",$C150,"事業区分",H$1,"請求区分","再請求"),0))</f>
        <v>0</v>
      </c>
      <c r="I150" s="659">
        <f ca="1">IF($A150="","",IFERROR(GETPIVOTDATA("合計 / 入金予定",【ピボット】国保連売上!$A$3,"年月",$A150,"事業所コード",$B150,"事業所",$C150,"事業区分",I$1,"請求区分","単月"),0)
+IFERROR(GETPIVOTDATA("合計 / 入金予定",【ピボット】国保連売上!$A$3,"年月",$A150,"事業所コード",$B150,"事業所",$C150,"事業区分",I$1,"請求区分","再請求"),0))</f>
        <v>0</v>
      </c>
      <c r="J150" s="659">
        <f ca="1">IF($A150="","",IFERROR(GETPIVOTDATA("合計 / 処遇改善加算金",【ピボット】国保連売上!$A$3,"年月",$A150,"事業所コード",$B150,"事業所",$C150,"事業区分",I$1,"請求区分","単月"),0))</f>
        <v>0</v>
      </c>
      <c r="K150" s="659">
        <f ca="1">IF($A150="","",IFERROR(GETPIVOTDATA("合計 / 入金予定",【ピボット】国保連売上!$A$3,"年月",$A150,"事業所コード",$B150,"事業所",$C150,"事業区分",K$1,"請求区分","単月"),0)
+IFERROR(GETPIVOTDATA("合計 / 入金予定",【ピボット】国保連売上!$A$3,"年月",$A150,"事業所コード",$B150,"事業所",$C150,"事業区分",K$1,"請求区分","再請求"),0))</f>
        <v>0</v>
      </c>
      <c r="L150" s="659">
        <f ca="1">IF($A150="","",IFERROR(GETPIVOTDATA("合計 / 処遇改善加算金",【ピボット】国保連売上!$A$3,"年月",$A150,"事業所コード",$B150,"事業所",$C150,"事業区分",K$1,"請求区分","単月"),0))</f>
        <v>0</v>
      </c>
      <c r="M150" s="659">
        <f ca="1">IF($A150="","",IFERROR(GETPIVOTDATA("合計 / 入金予定",【ピボット】国保連売上!$A$3,"年月",$A150,"事業所コード",$B150,"事業所",$C150,"事業区分",M$1,"請求区分","単月"),0)
+IFERROR(GETPIVOTDATA("合計 / 入金予定",【ピボット】国保連売上!$A$3,"年月",$A150,"事業所コード",$B150,"事業所",$C150,"事業区分",M$1,"請求区分","再請求"),0))</f>
        <v>0</v>
      </c>
      <c r="N150" s="660">
        <v>0</v>
      </c>
      <c r="O150" s="660">
        <v>0</v>
      </c>
      <c r="P150" s="660">
        <v>0</v>
      </c>
      <c r="Q150" s="660">
        <v>0</v>
      </c>
      <c r="R150" s="660">
        <v>0</v>
      </c>
      <c r="S150" s="660">
        <v>696462</v>
      </c>
      <c r="T150" s="660">
        <v>0</v>
      </c>
      <c r="U150" s="660">
        <v>0</v>
      </c>
      <c r="V150" s="660">
        <v>0</v>
      </c>
      <c r="W150" s="660">
        <v>0</v>
      </c>
      <c r="X150" s="660">
        <v>0</v>
      </c>
      <c r="Y150" s="659">
        <f t="shared" ca="1" si="6"/>
        <v>2853536</v>
      </c>
      <c r="Z150" s="659">
        <f t="shared" ca="1" si="8"/>
        <v>696462</v>
      </c>
    </row>
    <row r="151" spans="1:26" ht="15.95" customHeight="1" x14ac:dyDescent="0.15">
      <c r="A151" s="656">
        <v>43070</v>
      </c>
      <c r="B151" s="657" t="str">
        <f t="shared" ca="1" si="7"/>
        <v>10</v>
      </c>
      <c r="C151" s="658" t="s">
        <v>336</v>
      </c>
      <c r="D151" s="659">
        <f ca="1">IF($A151="","",IFERROR(GETPIVOTDATA("合計 / 入金予定",【ピボット】国保連売上!$A$3,"年月",$A151,"事業所コード",$B151,"事業所",$C151,"事業区分",D$1,"請求区分","単月"),0)
+IFERROR(GETPIVOTDATA("合計 / 入金予定",【ピボット】国保連売上!$A$3,"年月",$A151,"事業所コード",$B151,"事業所",$C151,"事業区分",D$1,"請求区分","再請求"),0))</f>
        <v>1261043</v>
      </c>
      <c r="E151" s="659">
        <f ca="1">IF($A151="","",IFERROR(GETPIVOTDATA("合計 / 処遇改善加算金",【ピボット】国保連売上!$A$3,"年月",$A151,"事業所コード",$B151,"事業所",$C151,"事業区分",D$1,"請求区分","単月"),0))</f>
        <v>0</v>
      </c>
      <c r="F151" s="659">
        <f ca="1">IF($A151="","",IFERROR(GETPIVOTDATA("合計 / 入金予定",【ピボット】国保連売上!$A$3,"年月",$A151,"事業所コード",$B151,"事業所",$C151,"事業区分",F$1,"請求区分","単月"),0)
+IFERROR(GETPIVOTDATA("合計 / 入金予定",【ピボット】国保連売上!$A$3,"年月",$A151,"事業所コード",$B151,"事業所",$C151,"事業区分",F$1,"請求区分","再請求"),0))</f>
        <v>2592</v>
      </c>
      <c r="G151" s="659">
        <f ca="1">IF($A151="","",IFERROR(GETPIVOTDATA("合計 / 処遇改善加算金",【ピボット】国保連売上!$A$3,"年月",$A151,"事業所コード",$B151,"事業所",$C151,"事業区分",F$1,"請求区分","単月"),0))</f>
        <v>0</v>
      </c>
      <c r="H151" s="659">
        <f ca="1">IF($A151="","",IFERROR(GETPIVOTDATA("合計 / 入金予定",【ピボット】国保連売上!$A$3,"年月",$A151,"事業所コード",$B151,"事業所",$C151,"事業区分",H$1,"請求区分","単月"),0)
+IFERROR(GETPIVOTDATA("合計 / 入金予定",【ピボット】国保連売上!$A$3,"年月",$A151,"事業所コード",$B151,"事業所",$C151,"事業区分",H$1,"請求区分","再請求"),0))</f>
        <v>0</v>
      </c>
      <c r="I151" s="659">
        <f ca="1">IF($A151="","",IFERROR(GETPIVOTDATA("合計 / 入金予定",【ピボット】国保連売上!$A$3,"年月",$A151,"事業所コード",$B151,"事業所",$C151,"事業区分",I$1,"請求区分","単月"),0)
+IFERROR(GETPIVOTDATA("合計 / 入金予定",【ピボット】国保連売上!$A$3,"年月",$A151,"事業所コード",$B151,"事業所",$C151,"事業区分",I$1,"請求区分","再請求"),0))</f>
        <v>0</v>
      </c>
      <c r="J151" s="659">
        <f ca="1">IF($A151="","",IFERROR(GETPIVOTDATA("合計 / 処遇改善加算金",【ピボット】国保連売上!$A$3,"年月",$A151,"事業所コード",$B151,"事業所",$C151,"事業区分",I$1,"請求区分","単月"),0))</f>
        <v>0</v>
      </c>
      <c r="K151" s="659">
        <f ca="1">IF($A151="","",IFERROR(GETPIVOTDATA("合計 / 入金予定",【ピボット】国保連売上!$A$3,"年月",$A151,"事業所コード",$B151,"事業所",$C151,"事業区分",K$1,"請求区分","単月"),0)
+IFERROR(GETPIVOTDATA("合計 / 入金予定",【ピボット】国保連売上!$A$3,"年月",$A151,"事業所コード",$B151,"事業所",$C151,"事業区分",K$1,"請求区分","再請求"),0))</f>
        <v>0</v>
      </c>
      <c r="L151" s="659">
        <f ca="1">IF($A151="","",IFERROR(GETPIVOTDATA("合計 / 処遇改善加算金",【ピボット】国保連売上!$A$3,"年月",$A151,"事業所コード",$B151,"事業所",$C151,"事業区分",K$1,"請求区分","単月"),0))</f>
        <v>0</v>
      </c>
      <c r="M151" s="659">
        <f ca="1">IF($A151="","",IFERROR(GETPIVOTDATA("合計 / 入金予定",【ピボット】国保連売上!$A$3,"年月",$A151,"事業所コード",$B151,"事業所",$C151,"事業区分",M$1,"請求区分","単月"),0)
+IFERROR(GETPIVOTDATA("合計 / 入金予定",【ピボット】国保連売上!$A$3,"年月",$A151,"事業所コード",$B151,"事業所",$C151,"事業区分",M$1,"請求区分","再請求"),0))</f>
        <v>0</v>
      </c>
      <c r="N151" s="660">
        <v>270800</v>
      </c>
      <c r="O151" s="660">
        <v>60840</v>
      </c>
      <c r="P151" s="660">
        <v>1524400</v>
      </c>
      <c r="Q151" s="660">
        <v>0</v>
      </c>
      <c r="R151" s="660">
        <v>0</v>
      </c>
      <c r="S151" s="660">
        <v>0</v>
      </c>
      <c r="T151" s="660">
        <v>0</v>
      </c>
      <c r="U151" s="660">
        <v>0</v>
      </c>
      <c r="V151" s="660">
        <v>0</v>
      </c>
      <c r="W151" s="660">
        <v>0</v>
      </c>
      <c r="X151" s="660">
        <v>0</v>
      </c>
      <c r="Y151" s="659">
        <f t="shared" ca="1" si="6"/>
        <v>3119675</v>
      </c>
      <c r="Z151" s="659">
        <f t="shared" ca="1" si="8"/>
        <v>1856040</v>
      </c>
    </row>
    <row r="152" spans="1:26" ht="15.95" customHeight="1" x14ac:dyDescent="0.15">
      <c r="A152" s="656">
        <v>43101</v>
      </c>
      <c r="B152" s="657" t="str">
        <f t="shared" ca="1" si="7"/>
        <v>01</v>
      </c>
      <c r="C152" s="658" t="s">
        <v>34</v>
      </c>
      <c r="D152" s="659">
        <f ca="1">IF($A152="","",IFERROR(GETPIVOTDATA("合計 / 入金予定",【ピボット】国保連売上!$A$3,"年月",$A152,"事業所コード",$B152,"事業所",$C152,"事業区分",D$1,"請求区分","単月"),0)
+IFERROR(GETPIVOTDATA("合計 / 入金予定",【ピボット】国保連売上!$A$3,"年月",$A152,"事業所コード",$B152,"事業所",$C152,"事業区分",D$1,"請求区分","再請求"),0))</f>
        <v>7564231</v>
      </c>
      <c r="E152" s="659">
        <f ca="1">IF($A152="","",IFERROR(GETPIVOTDATA("合計 / 処遇改善加算金",【ピボット】国保連売上!$A$3,"年月",$A152,"事業所コード",$B152,"事業所",$C152,"事業区分",D$1,"請求区分","単月"),0))</f>
        <v>1418859</v>
      </c>
      <c r="F152" s="659">
        <f ca="1">IF($A152="","",IFERROR(GETPIVOTDATA("合計 / 入金予定",【ピボット】国保連売上!$A$3,"年月",$A152,"事業所コード",$B152,"事業所",$C152,"事業区分",F$1,"請求区分","単月"),0)
+IFERROR(GETPIVOTDATA("合計 / 入金予定",【ピボット】国保連売上!$A$3,"年月",$A152,"事業所コード",$B152,"事業所",$C152,"事業区分",F$1,"請求区分","再請求"),0))</f>
        <v>1381127</v>
      </c>
      <c r="G152" s="659">
        <f ca="1">IF($A152="","",IFERROR(GETPIVOTDATA("合計 / 処遇改善加算金",【ピボット】国保連売上!$A$3,"年月",$A152,"事業所コード",$B152,"事業所",$C152,"事業区分",F$1,"請求区分","単月"),0))</f>
        <v>297676</v>
      </c>
      <c r="H152" s="659">
        <f ca="1">IF($A152="","",IFERROR(GETPIVOTDATA("合計 / 入金予定",【ピボット】国保連売上!$A$3,"年月",$A152,"事業所コード",$B152,"事業所",$C152,"事業区分",H$1,"請求区分","単月"),0)
+IFERROR(GETPIVOTDATA("合計 / 入金予定",【ピボット】国保連売上!$A$3,"年月",$A152,"事業所コード",$B152,"事業所",$C152,"事業区分",H$1,"請求区分","再請求"),0))</f>
        <v>767428</v>
      </c>
      <c r="I152" s="659">
        <f ca="1">IF($A152="","",IFERROR(GETPIVOTDATA("合計 / 入金予定",【ピボット】国保連売上!$A$3,"年月",$A152,"事業所コード",$B152,"事業所",$C152,"事業区分",I$1,"請求区分","単月"),0)
+IFERROR(GETPIVOTDATA("合計 / 入金予定",【ピボット】国保連売上!$A$3,"年月",$A152,"事業所コード",$B152,"事業所",$C152,"事業区分",I$1,"請求区分","再請求"),0))</f>
        <v>0</v>
      </c>
      <c r="J152" s="659">
        <f ca="1">IF($A152="","",IFERROR(GETPIVOTDATA("合計 / 処遇改善加算金",【ピボット】国保連売上!$A$3,"年月",$A152,"事業所コード",$B152,"事業所",$C152,"事業区分",I$1,"請求区分","単月"),0))</f>
        <v>0</v>
      </c>
      <c r="K152" s="659">
        <f ca="1">IF($A152="","",IFERROR(GETPIVOTDATA("合計 / 入金予定",【ピボット】国保連売上!$A$3,"年月",$A152,"事業所コード",$B152,"事業所",$C152,"事業区分",K$1,"請求区分","単月"),0)
+IFERROR(GETPIVOTDATA("合計 / 入金予定",【ピボット】国保連売上!$A$3,"年月",$A152,"事業所コード",$B152,"事業所",$C152,"事業区分",K$1,"請求区分","再請求"),0))</f>
        <v>0</v>
      </c>
      <c r="L152" s="659">
        <f ca="1">IF($A152="","",IFERROR(GETPIVOTDATA("合計 / 処遇改善加算金",【ピボット】国保連売上!$A$3,"年月",$A152,"事業所コード",$B152,"事業所",$C152,"事業区分",K$1,"請求区分","単月"),0))</f>
        <v>0</v>
      </c>
      <c r="M152" s="659">
        <f ca="1">IF($A152="","",IFERROR(GETPIVOTDATA("合計 / 入金予定",【ピボット】国保連売上!$A$3,"年月",$A152,"事業所コード",$B152,"事業所",$C152,"事業区分",M$1,"請求区分","単月"),0)
+IFERROR(GETPIVOTDATA("合計 / 入金予定",【ピボット】国保連売上!$A$3,"年月",$A152,"事業所コード",$B152,"事業所",$C152,"事業区分",M$1,"請求区分","再請求"),0))</f>
        <v>0</v>
      </c>
      <c r="N152" s="660">
        <v>158897</v>
      </c>
      <c r="O152" s="660">
        <v>34334</v>
      </c>
      <c r="P152" s="660">
        <v>0</v>
      </c>
      <c r="Q152" s="660">
        <v>4875</v>
      </c>
      <c r="R152" s="660">
        <v>139965</v>
      </c>
      <c r="S152" s="660">
        <v>0</v>
      </c>
      <c r="T152" s="660">
        <v>0</v>
      </c>
      <c r="U152" s="660">
        <v>0</v>
      </c>
      <c r="V152" s="660">
        <v>0</v>
      </c>
      <c r="W152" s="660">
        <v>0</v>
      </c>
      <c r="X152" s="660">
        <v>0</v>
      </c>
      <c r="Y152" s="659">
        <f t="shared" ca="1" si="6"/>
        <v>10050857</v>
      </c>
      <c r="Z152" s="659">
        <f t="shared" ca="1" si="8"/>
        <v>338071</v>
      </c>
    </row>
    <row r="153" spans="1:26" ht="15.95" customHeight="1" x14ac:dyDescent="0.15">
      <c r="A153" s="656">
        <v>43101</v>
      </c>
      <c r="B153" s="657" t="str">
        <f t="shared" ca="1" si="7"/>
        <v>02</v>
      </c>
      <c r="C153" s="658" t="s">
        <v>37</v>
      </c>
      <c r="D153" s="659">
        <f ca="1">IF($A153="","",IFERROR(GETPIVOTDATA("合計 / 入金予定",【ピボット】国保連売上!$A$3,"年月",$A153,"事業所コード",$B153,"事業所",$C153,"事業区分",D$1,"請求区分","単月"),0)
+IFERROR(GETPIVOTDATA("合計 / 入金予定",【ピボット】国保連売上!$A$3,"年月",$A153,"事業所コード",$B153,"事業所",$C153,"事業区分",D$1,"請求区分","再請求"),0))</f>
        <v>3868662</v>
      </c>
      <c r="E153" s="659">
        <f ca="1">IF($A153="","",IFERROR(GETPIVOTDATA("合計 / 処遇改善加算金",【ピボット】国保連売上!$A$3,"年月",$A153,"事業所コード",$B153,"事業所",$C153,"事業区分",D$1,"請求区分","単月"),0))</f>
        <v>421938</v>
      </c>
      <c r="F153" s="659">
        <f ca="1">IF($A153="","",IFERROR(GETPIVOTDATA("合計 / 入金予定",【ピボット】国保連売上!$A$3,"年月",$A153,"事業所コード",$B153,"事業所",$C153,"事業区分",F$1,"請求区分","単月"),0)
+IFERROR(GETPIVOTDATA("合計 / 入金予定",【ピボット】国保連売上!$A$3,"年月",$A153,"事業所コード",$B153,"事業所",$C153,"事業区分",F$1,"請求区分","再請求"),0))</f>
        <v>864854</v>
      </c>
      <c r="G153" s="659">
        <f ca="1">IF($A153="","",IFERROR(GETPIVOTDATA("合計 / 処遇改善加算金",【ピボット】国保連売上!$A$3,"年月",$A153,"事業所コード",$B153,"事業所",$C153,"事業区分",F$1,"請求区分","単月"),0))</f>
        <v>195922</v>
      </c>
      <c r="H153" s="659">
        <f ca="1">IF($A153="","",IFERROR(GETPIVOTDATA("合計 / 入金予定",【ピボット】国保連売上!$A$3,"年月",$A153,"事業所コード",$B153,"事業所",$C153,"事業区分",H$1,"請求区分","単月"),0)
+IFERROR(GETPIVOTDATA("合計 / 入金予定",【ピボット】国保連売上!$A$3,"年月",$A153,"事業所コード",$B153,"事業所",$C153,"事業区分",H$1,"請求区分","再請求"),0))</f>
        <v>421194</v>
      </c>
      <c r="I153" s="659">
        <f ca="1">IF($A153="","",IFERROR(GETPIVOTDATA("合計 / 入金予定",【ピボット】国保連売上!$A$3,"年月",$A153,"事業所コード",$B153,"事業所",$C153,"事業区分",I$1,"請求区分","単月"),0)
+IFERROR(GETPIVOTDATA("合計 / 入金予定",【ピボット】国保連売上!$A$3,"年月",$A153,"事業所コード",$B153,"事業所",$C153,"事業区分",I$1,"請求区分","再請求"),0))</f>
        <v>0</v>
      </c>
      <c r="J153" s="659">
        <f ca="1">IF($A153="","",IFERROR(GETPIVOTDATA("合計 / 処遇改善加算金",【ピボット】国保連売上!$A$3,"年月",$A153,"事業所コード",$B153,"事業所",$C153,"事業区分",I$1,"請求区分","単月"),0))</f>
        <v>0</v>
      </c>
      <c r="K153" s="659">
        <f ca="1">IF($A153="","",IFERROR(GETPIVOTDATA("合計 / 入金予定",【ピボット】国保連売上!$A$3,"年月",$A153,"事業所コード",$B153,"事業所",$C153,"事業区分",K$1,"請求区分","単月"),0)
+IFERROR(GETPIVOTDATA("合計 / 入金予定",【ピボット】国保連売上!$A$3,"年月",$A153,"事業所コード",$B153,"事業所",$C153,"事業区分",K$1,"請求区分","再請求"),0))</f>
        <v>0</v>
      </c>
      <c r="L153" s="659">
        <f ca="1">IF($A153="","",IFERROR(GETPIVOTDATA("合計 / 処遇改善加算金",【ピボット】国保連売上!$A$3,"年月",$A153,"事業所コード",$B153,"事業所",$C153,"事業区分",K$1,"請求区分","単月"),0))</f>
        <v>0</v>
      </c>
      <c r="M153" s="659">
        <f ca="1">IF($A153="","",IFERROR(GETPIVOTDATA("合計 / 入金予定",【ピボット】国保連売上!$A$3,"年月",$A153,"事業所コード",$B153,"事業所",$C153,"事業区分",M$1,"請求区分","単月"),0)
+IFERROR(GETPIVOTDATA("合計 / 入金予定",【ピボット】国保連売上!$A$3,"年月",$A153,"事業所コード",$B153,"事業所",$C153,"事業区分",M$1,"請求区分","再請求"),0))</f>
        <v>0</v>
      </c>
      <c r="N153" s="660">
        <v>223191</v>
      </c>
      <c r="O153" s="660">
        <v>0</v>
      </c>
      <c r="P153" s="660">
        <v>0</v>
      </c>
      <c r="Q153" s="660">
        <v>1550</v>
      </c>
      <c r="R153" s="660">
        <v>110118</v>
      </c>
      <c r="S153" s="660">
        <v>0</v>
      </c>
      <c r="T153" s="660">
        <v>0</v>
      </c>
      <c r="U153" s="660">
        <v>0</v>
      </c>
      <c r="V153" s="660">
        <v>0</v>
      </c>
      <c r="W153" s="660">
        <v>0</v>
      </c>
      <c r="X153" s="660">
        <v>0</v>
      </c>
      <c r="Y153" s="659">
        <f t="shared" ca="1" si="6"/>
        <v>5489569</v>
      </c>
      <c r="Z153" s="659">
        <f t="shared" ca="1" si="8"/>
        <v>334859</v>
      </c>
    </row>
    <row r="154" spans="1:26" ht="15.95" customHeight="1" x14ac:dyDescent="0.15">
      <c r="A154" s="656">
        <v>43101</v>
      </c>
      <c r="B154" s="657" t="str">
        <f t="shared" ca="1" si="7"/>
        <v>03</v>
      </c>
      <c r="C154" s="658" t="s">
        <v>66</v>
      </c>
      <c r="D154" s="659">
        <f ca="1">IF($A154="","",IFERROR(GETPIVOTDATA("合計 / 入金予定",【ピボット】国保連売上!$A$3,"年月",$A154,"事業所コード",$B154,"事業所",$C154,"事業区分",D$1,"請求区分","単月"),0)
+IFERROR(GETPIVOTDATA("合計 / 入金予定",【ピボット】国保連売上!$A$3,"年月",$A154,"事業所コード",$B154,"事業所",$C154,"事業区分",D$1,"請求区分","再請求"),0))</f>
        <v>3646839</v>
      </c>
      <c r="E154" s="659">
        <f ca="1">IF($A154="","",IFERROR(GETPIVOTDATA("合計 / 処遇改善加算金",【ピボット】国保連売上!$A$3,"年月",$A154,"事業所コード",$B154,"事業所",$C154,"事業区分",D$1,"請求区分","単月"),0))</f>
        <v>379228</v>
      </c>
      <c r="F154" s="659">
        <f ca="1">IF($A154="","",IFERROR(GETPIVOTDATA("合計 / 入金予定",【ピボット】国保連売上!$A$3,"年月",$A154,"事業所コード",$B154,"事業所",$C154,"事業区分",F$1,"請求区分","単月"),0)
+IFERROR(GETPIVOTDATA("合計 / 入金予定",【ピボット】国保連売上!$A$3,"年月",$A154,"事業所コード",$B154,"事業所",$C154,"事業区分",F$1,"請求区分","再請求"),0))</f>
        <v>2279823</v>
      </c>
      <c r="G154" s="659">
        <f ca="1">IF($A154="","",IFERROR(GETPIVOTDATA("合計 / 処遇改善加算金",【ピボット】国保連売上!$A$3,"年月",$A154,"事業所コード",$B154,"事業所",$C154,"事業区分",F$1,"請求区分","単月"),0))</f>
        <v>524588</v>
      </c>
      <c r="H154" s="659">
        <f ca="1">IF($A154="","",IFERROR(GETPIVOTDATA("合計 / 入金予定",【ピボット】国保連売上!$A$3,"年月",$A154,"事業所コード",$B154,"事業所",$C154,"事業区分",H$1,"請求区分","単月"),0)
+IFERROR(GETPIVOTDATA("合計 / 入金予定",【ピボット】国保連売上!$A$3,"年月",$A154,"事業所コード",$B154,"事業所",$C154,"事業区分",H$1,"請求区分","再請求"),0))</f>
        <v>0</v>
      </c>
      <c r="I154" s="659">
        <f ca="1">IF($A154="","",IFERROR(GETPIVOTDATA("合計 / 入金予定",【ピボット】国保連売上!$A$3,"年月",$A154,"事業所コード",$B154,"事業所",$C154,"事業区分",I$1,"請求区分","単月"),0)
+IFERROR(GETPIVOTDATA("合計 / 入金予定",【ピボット】国保連売上!$A$3,"年月",$A154,"事業所コード",$B154,"事業所",$C154,"事業区分",I$1,"請求区分","再請求"),0))</f>
        <v>0</v>
      </c>
      <c r="J154" s="659">
        <f ca="1">IF($A154="","",IFERROR(GETPIVOTDATA("合計 / 処遇改善加算金",【ピボット】国保連売上!$A$3,"年月",$A154,"事業所コード",$B154,"事業所",$C154,"事業区分",I$1,"請求区分","単月"),0))</f>
        <v>0</v>
      </c>
      <c r="K154" s="659">
        <f ca="1">IF($A154="","",IFERROR(GETPIVOTDATA("合計 / 入金予定",【ピボット】国保連売上!$A$3,"年月",$A154,"事業所コード",$B154,"事業所",$C154,"事業区分",K$1,"請求区分","単月"),0)
+IFERROR(GETPIVOTDATA("合計 / 入金予定",【ピボット】国保連売上!$A$3,"年月",$A154,"事業所コード",$B154,"事業所",$C154,"事業区分",K$1,"請求区分","再請求"),0))</f>
        <v>0</v>
      </c>
      <c r="L154" s="659">
        <f ca="1">IF($A154="","",IFERROR(GETPIVOTDATA("合計 / 処遇改善加算金",【ピボット】国保連売上!$A$3,"年月",$A154,"事業所コード",$B154,"事業所",$C154,"事業区分",K$1,"請求区分","単月"),0))</f>
        <v>0</v>
      </c>
      <c r="M154" s="659">
        <f ca="1">IF($A154="","",IFERROR(GETPIVOTDATA("合計 / 入金予定",【ピボット】国保連売上!$A$3,"年月",$A154,"事業所コード",$B154,"事業所",$C154,"事業区分",M$1,"請求区分","単月"),0)
+IFERROR(GETPIVOTDATA("合計 / 入金予定",【ピボット】国保連売上!$A$3,"年月",$A154,"事業所コード",$B154,"事業所",$C154,"事業区分",M$1,"請求区分","再請求"),0))</f>
        <v>0</v>
      </c>
      <c r="N154" s="660">
        <v>66200</v>
      </c>
      <c r="O154" s="660">
        <v>121750</v>
      </c>
      <c r="P154" s="660">
        <v>50720</v>
      </c>
      <c r="Q154" s="660">
        <v>3030</v>
      </c>
      <c r="R154" s="660">
        <v>0</v>
      </c>
      <c r="S154" s="660">
        <v>0</v>
      </c>
      <c r="T154" s="660">
        <v>0</v>
      </c>
      <c r="U154" s="660">
        <v>0</v>
      </c>
      <c r="V154" s="660">
        <v>0</v>
      </c>
      <c r="W154" s="660">
        <v>0</v>
      </c>
      <c r="X154" s="660">
        <v>0</v>
      </c>
      <c r="Y154" s="659">
        <f t="shared" ca="1" si="6"/>
        <v>6168362</v>
      </c>
      <c r="Z154" s="659">
        <f t="shared" ca="1" si="8"/>
        <v>241700</v>
      </c>
    </row>
    <row r="155" spans="1:26" ht="15.95" customHeight="1" x14ac:dyDescent="0.15">
      <c r="A155" s="656">
        <v>43101</v>
      </c>
      <c r="B155" s="657" t="str">
        <f t="shared" ca="1" si="7"/>
        <v>04</v>
      </c>
      <c r="C155" s="658" t="s">
        <v>358</v>
      </c>
      <c r="D155" s="659">
        <f ca="1">IF($A155="","",IFERROR(GETPIVOTDATA("合計 / 入金予定",【ピボット】国保連売上!$A$3,"年月",$A155,"事業所コード",$B155,"事業所",$C155,"事業区分",D$1,"請求区分","単月"),0)
+IFERROR(GETPIVOTDATA("合計 / 入金予定",【ピボット】国保連売上!$A$3,"年月",$A155,"事業所コード",$B155,"事業所",$C155,"事業区分",D$1,"請求区分","再請求"),0))</f>
        <v>0</v>
      </c>
      <c r="E155" s="659">
        <f ca="1">IF($A155="","",IFERROR(GETPIVOTDATA("合計 / 処遇改善加算金",【ピボット】国保連売上!$A$3,"年月",$A155,"事業所コード",$B155,"事業所",$C155,"事業区分",D$1,"請求区分","単月"),0))</f>
        <v>0</v>
      </c>
      <c r="F155" s="659">
        <f ca="1">IF($A155="","",IFERROR(GETPIVOTDATA("合計 / 入金予定",【ピボット】国保連売上!$A$3,"年月",$A155,"事業所コード",$B155,"事業所",$C155,"事業区分",F$1,"請求区分","単月"),0)
+IFERROR(GETPIVOTDATA("合計 / 入金予定",【ピボット】国保連売上!$A$3,"年月",$A155,"事業所コード",$B155,"事業所",$C155,"事業区分",F$1,"請求区分","再請求"),0))</f>
        <v>0</v>
      </c>
      <c r="G155" s="659">
        <f ca="1">IF($A155="","",IFERROR(GETPIVOTDATA("合計 / 処遇改善加算金",【ピボット】国保連売上!$A$3,"年月",$A155,"事業所コード",$B155,"事業所",$C155,"事業区分",F$1,"請求区分","単月"),0))</f>
        <v>0</v>
      </c>
      <c r="H155" s="659">
        <f ca="1">IF($A155="","",IFERROR(GETPIVOTDATA("合計 / 入金予定",【ピボット】国保連売上!$A$3,"年月",$A155,"事業所コード",$B155,"事業所",$C155,"事業区分",H$1,"請求区分","単月"),0)
+IFERROR(GETPIVOTDATA("合計 / 入金予定",【ピボット】国保連売上!$A$3,"年月",$A155,"事業所コード",$B155,"事業所",$C155,"事業区分",H$1,"請求区分","再請求"),0))</f>
        <v>0</v>
      </c>
      <c r="I155" s="659">
        <f ca="1">IF($A155="","",IFERROR(GETPIVOTDATA("合計 / 入金予定",【ピボット】国保連売上!$A$3,"年月",$A155,"事業所コード",$B155,"事業所",$C155,"事業区分",I$1,"請求区分","単月"),0)
+IFERROR(GETPIVOTDATA("合計 / 入金予定",【ピボット】国保連売上!$A$3,"年月",$A155,"事業所コード",$B155,"事業所",$C155,"事業区分",I$1,"請求区分","再請求"),0))</f>
        <v>3134166</v>
      </c>
      <c r="J155" s="659">
        <f ca="1">IF($A155="","",IFERROR(GETPIVOTDATA("合計 / 処遇改善加算金",【ピボット】国保連売上!$A$3,"年月",$A155,"事業所コード",$B155,"事業所",$C155,"事業区分",I$1,"請求区分","単月"),0))</f>
        <v>174710</v>
      </c>
      <c r="K155" s="659">
        <f ca="1">IF($A155="","",IFERROR(GETPIVOTDATA("合計 / 入金予定",【ピボット】国保連売上!$A$3,"年月",$A155,"事業所コード",$B155,"事業所",$C155,"事業区分",K$1,"請求区分","単月"),0)
+IFERROR(GETPIVOTDATA("合計 / 入金予定",【ピボット】国保連売上!$A$3,"年月",$A155,"事業所コード",$B155,"事業所",$C155,"事業区分",K$1,"請求区分","再請求"),0))</f>
        <v>0</v>
      </c>
      <c r="L155" s="659">
        <f ca="1">IF($A155="","",IFERROR(GETPIVOTDATA("合計 / 処遇改善加算金",【ピボット】国保連売上!$A$3,"年月",$A155,"事業所コード",$B155,"事業所",$C155,"事業区分",K$1,"請求区分","単月"),0))</f>
        <v>0</v>
      </c>
      <c r="M155" s="659">
        <f ca="1">IF($A155="","",IFERROR(GETPIVOTDATA("合計 / 入金予定",【ピボット】国保連売上!$A$3,"年月",$A155,"事業所コード",$B155,"事業所",$C155,"事業区分",M$1,"請求区分","単月"),0)
+IFERROR(GETPIVOTDATA("合計 / 入金予定",【ピボット】国保連売上!$A$3,"年月",$A155,"事業所コード",$B155,"事業所",$C155,"事業区分",M$1,"請求区分","再請求"),0))</f>
        <v>0</v>
      </c>
      <c r="N155" s="660">
        <v>2800</v>
      </c>
      <c r="O155" s="660">
        <v>0</v>
      </c>
      <c r="P155" s="660">
        <v>0</v>
      </c>
      <c r="Q155" s="660">
        <v>0</v>
      </c>
      <c r="R155" s="660">
        <v>0</v>
      </c>
      <c r="S155" s="660">
        <v>0</v>
      </c>
      <c r="T155" s="660">
        <v>176550</v>
      </c>
      <c r="U155" s="660">
        <v>0</v>
      </c>
      <c r="V155" s="660">
        <v>0</v>
      </c>
      <c r="W155" s="660">
        <v>0</v>
      </c>
      <c r="X155" s="660">
        <v>0</v>
      </c>
      <c r="Y155" s="659">
        <f t="shared" ca="1" si="6"/>
        <v>3313516</v>
      </c>
      <c r="Z155" s="659">
        <f t="shared" ca="1" si="8"/>
        <v>179350</v>
      </c>
    </row>
    <row r="156" spans="1:26" ht="15.95" customHeight="1" x14ac:dyDescent="0.15">
      <c r="A156" s="656">
        <v>43101</v>
      </c>
      <c r="B156" s="657" t="str">
        <f t="shared" ca="1" si="7"/>
        <v>07</v>
      </c>
      <c r="C156" s="658" t="s">
        <v>119</v>
      </c>
      <c r="D156" s="659">
        <f ca="1">IF($A156="","",IFERROR(GETPIVOTDATA("合計 / 入金予定",【ピボット】国保連売上!$A$3,"年月",$A156,"事業所コード",$B156,"事業所",$C156,"事業区分",D$1,"請求区分","単月"),0)
+IFERROR(GETPIVOTDATA("合計 / 入金予定",【ピボット】国保連売上!$A$3,"年月",$A156,"事業所コード",$B156,"事業所",$C156,"事業区分",D$1,"請求区分","再請求"),0))</f>
        <v>0</v>
      </c>
      <c r="E156" s="659">
        <f ca="1">IF($A156="","",IFERROR(GETPIVOTDATA("合計 / 処遇改善加算金",【ピボット】国保連売上!$A$3,"年月",$A156,"事業所コード",$B156,"事業所",$C156,"事業区分",D$1,"請求区分","単月"),0))</f>
        <v>0</v>
      </c>
      <c r="F156" s="659">
        <f ca="1">IF($A156="","",IFERROR(GETPIVOTDATA("合計 / 入金予定",【ピボット】国保連売上!$A$3,"年月",$A156,"事業所コード",$B156,"事業所",$C156,"事業区分",F$1,"請求区分","単月"),0)
+IFERROR(GETPIVOTDATA("合計 / 入金予定",【ピボット】国保連売上!$A$3,"年月",$A156,"事業所コード",$B156,"事業所",$C156,"事業区分",F$1,"請求区分","再請求"),0))</f>
        <v>0</v>
      </c>
      <c r="G156" s="659">
        <f ca="1">IF($A156="","",IFERROR(GETPIVOTDATA("合計 / 処遇改善加算金",【ピボット】国保連売上!$A$3,"年月",$A156,"事業所コード",$B156,"事業所",$C156,"事業区分",F$1,"請求区分","単月"),0))</f>
        <v>0</v>
      </c>
      <c r="H156" s="659">
        <f ca="1">IF($A156="","",IFERROR(GETPIVOTDATA("合計 / 入金予定",【ピボット】国保連売上!$A$3,"年月",$A156,"事業所コード",$B156,"事業所",$C156,"事業区分",H$1,"請求区分","単月"),0)
+IFERROR(GETPIVOTDATA("合計 / 入金予定",【ピボット】国保連売上!$A$3,"年月",$A156,"事業所コード",$B156,"事業所",$C156,"事業区分",H$1,"請求区分","再請求"),0))</f>
        <v>0</v>
      </c>
      <c r="I156" s="659">
        <f ca="1">IF($A156="","",IFERROR(GETPIVOTDATA("合計 / 入金予定",【ピボット】国保連売上!$A$3,"年月",$A156,"事業所コード",$B156,"事業所",$C156,"事業区分",I$1,"請求区分","単月"),0)
+IFERROR(GETPIVOTDATA("合計 / 入金予定",【ピボット】国保連売上!$A$3,"年月",$A156,"事業所コード",$B156,"事業所",$C156,"事業区分",I$1,"請求区分","再請求"),0))</f>
        <v>0</v>
      </c>
      <c r="J156" s="659">
        <f ca="1">IF($A156="","",IFERROR(GETPIVOTDATA("合計 / 処遇改善加算金",【ピボット】国保連売上!$A$3,"年月",$A156,"事業所コード",$B156,"事業所",$C156,"事業区分",I$1,"請求区分","単月"),0))</f>
        <v>0</v>
      </c>
      <c r="K156" s="659">
        <f ca="1">IF($A156="","",IFERROR(GETPIVOTDATA("合計 / 入金予定",【ピボット】国保連売上!$A$3,"年月",$A156,"事業所コード",$B156,"事業所",$C156,"事業区分",K$1,"請求区分","単月"),0)
+IFERROR(GETPIVOTDATA("合計 / 入金予定",【ピボット】国保連売上!$A$3,"年月",$A156,"事業所コード",$B156,"事業所",$C156,"事業区分",K$1,"請求区分","再請求"),0))</f>
        <v>778040</v>
      </c>
      <c r="L156" s="659">
        <f ca="1">IF($A156="","",IFERROR(GETPIVOTDATA("合計 / 処遇改善加算金",【ピボット】国保連売上!$A$3,"年月",$A156,"事業所コード",$B156,"事業所",$C156,"事業区分",K$1,"請求区分","単月"),0))</f>
        <v>271654</v>
      </c>
      <c r="M156" s="659">
        <f ca="1">IF($A156="","",IFERROR(GETPIVOTDATA("合計 / 入金予定",【ピボット】国保連売上!$A$3,"年月",$A156,"事業所コード",$B156,"事業所",$C156,"事業区分",M$1,"請求区分","単月"),0)
+IFERROR(GETPIVOTDATA("合計 / 入金予定",【ピボット】国保連売上!$A$3,"年月",$A156,"事業所コード",$B156,"事業所",$C156,"事業区分",M$1,"請求区分","再請求"),0))</f>
        <v>0</v>
      </c>
      <c r="N156" s="660">
        <v>0</v>
      </c>
      <c r="O156" s="660">
        <v>0</v>
      </c>
      <c r="P156" s="660">
        <v>0</v>
      </c>
      <c r="Q156" s="660">
        <v>0</v>
      </c>
      <c r="R156" s="660">
        <v>0</v>
      </c>
      <c r="S156" s="660">
        <v>61000</v>
      </c>
      <c r="T156" s="660">
        <v>0</v>
      </c>
      <c r="U156" s="660">
        <v>0</v>
      </c>
      <c r="V156" s="660">
        <v>-30000</v>
      </c>
      <c r="W156" s="660">
        <v>0</v>
      </c>
      <c r="X156" s="660">
        <v>0</v>
      </c>
      <c r="Y156" s="659">
        <f t="shared" ca="1" si="6"/>
        <v>809040</v>
      </c>
      <c r="Z156" s="659">
        <f t="shared" ca="1" si="8"/>
        <v>31000</v>
      </c>
    </row>
    <row r="157" spans="1:26" ht="15.95" customHeight="1" x14ac:dyDescent="0.15">
      <c r="A157" s="656">
        <v>43101</v>
      </c>
      <c r="B157" s="657" t="str">
        <f t="shared" ca="1" si="7"/>
        <v>08</v>
      </c>
      <c r="C157" s="658" t="s">
        <v>189</v>
      </c>
      <c r="D157" s="659">
        <f ca="1">IF($A157="","",IFERROR(GETPIVOTDATA("合計 / 入金予定",【ピボット】国保連売上!$A$3,"年月",$A157,"事業所コード",$B157,"事業所",$C157,"事業区分",D$1,"請求区分","単月"),0)
+IFERROR(GETPIVOTDATA("合計 / 入金予定",【ピボット】国保連売上!$A$3,"年月",$A157,"事業所コード",$B157,"事業所",$C157,"事業区分",D$1,"請求区分","再請求"),0))</f>
        <v>0</v>
      </c>
      <c r="E157" s="659">
        <f ca="1">IF($A157="","",IFERROR(GETPIVOTDATA("合計 / 処遇改善加算金",【ピボット】国保連売上!$A$3,"年月",$A157,"事業所コード",$B157,"事業所",$C157,"事業区分",D$1,"請求区分","単月"),0))</f>
        <v>0</v>
      </c>
      <c r="F157" s="659">
        <f ca="1">IF($A157="","",IFERROR(GETPIVOTDATA("合計 / 入金予定",【ピボット】国保連売上!$A$3,"年月",$A157,"事業所コード",$B157,"事業所",$C157,"事業区分",F$1,"請求区分","単月"),0)
+IFERROR(GETPIVOTDATA("合計 / 入金予定",【ピボット】国保連売上!$A$3,"年月",$A157,"事業所コード",$B157,"事業所",$C157,"事業区分",F$1,"請求区分","再請求"),0))</f>
        <v>0</v>
      </c>
      <c r="G157" s="659">
        <f ca="1">IF($A157="","",IFERROR(GETPIVOTDATA("合計 / 処遇改善加算金",【ピボット】国保連売上!$A$3,"年月",$A157,"事業所コード",$B157,"事業所",$C157,"事業区分",F$1,"請求区分","単月"),0))</f>
        <v>0</v>
      </c>
      <c r="H157" s="659">
        <f ca="1">IF($A157="","",IFERROR(GETPIVOTDATA("合計 / 入金予定",【ピボット】国保連売上!$A$3,"年月",$A157,"事業所コード",$B157,"事業所",$C157,"事業区分",H$1,"請求区分","単月"),0)
+IFERROR(GETPIVOTDATA("合計 / 入金予定",【ピボット】国保連売上!$A$3,"年月",$A157,"事業所コード",$B157,"事業所",$C157,"事業区分",H$1,"請求区分","再請求"),0))</f>
        <v>0</v>
      </c>
      <c r="I157" s="659">
        <f ca="1">IF($A157="","",IFERROR(GETPIVOTDATA("合計 / 入金予定",【ピボット】国保連売上!$A$3,"年月",$A157,"事業所コード",$B157,"事業所",$C157,"事業区分",I$1,"請求区分","単月"),0)
+IFERROR(GETPIVOTDATA("合計 / 入金予定",【ピボット】国保連売上!$A$3,"年月",$A157,"事業所コード",$B157,"事業所",$C157,"事業区分",I$1,"請求区分","再請求"),0))</f>
        <v>0</v>
      </c>
      <c r="J157" s="659">
        <f ca="1">IF($A157="","",IFERROR(GETPIVOTDATA("合計 / 処遇改善加算金",【ピボット】国保連売上!$A$3,"年月",$A157,"事業所コード",$B157,"事業所",$C157,"事業区分",I$1,"請求区分","単月"),0))</f>
        <v>0</v>
      </c>
      <c r="K157" s="659">
        <f ca="1">IF($A157="","",IFERROR(GETPIVOTDATA("合計 / 入金予定",【ピボット】国保連売上!$A$3,"年月",$A157,"事業所コード",$B157,"事業所",$C157,"事業区分",K$1,"請求区分","単月"),0)
+IFERROR(GETPIVOTDATA("合計 / 入金予定",【ピボット】国保連売上!$A$3,"年月",$A157,"事業所コード",$B157,"事業所",$C157,"事業区分",K$1,"請求区分","再請求"),0))</f>
        <v>938092</v>
      </c>
      <c r="L157" s="659">
        <f ca="1">IF($A157="","",IFERROR(GETPIVOTDATA("合計 / 処遇改善加算金",【ピボット】国保連売上!$A$3,"年月",$A157,"事業所コード",$B157,"事業所",$C157,"事業区分",K$1,"請求区分","単月"),0))</f>
        <v>0</v>
      </c>
      <c r="M157" s="659">
        <f ca="1">IF($A157="","",IFERROR(GETPIVOTDATA("合計 / 入金予定",【ピボット】国保連売上!$A$3,"年月",$A157,"事業所コード",$B157,"事業所",$C157,"事業区分",M$1,"請求区分","単月"),0)
+IFERROR(GETPIVOTDATA("合計 / 入金予定",【ピボット】国保連売上!$A$3,"年月",$A157,"事業所コード",$B157,"事業所",$C157,"事業区分",M$1,"請求区分","再請求"),0))</f>
        <v>0</v>
      </c>
      <c r="N157" s="660">
        <v>20000</v>
      </c>
      <c r="O157" s="660">
        <v>0</v>
      </c>
      <c r="P157" s="660">
        <v>0</v>
      </c>
      <c r="Q157" s="660">
        <v>0</v>
      </c>
      <c r="R157" s="660">
        <v>0</v>
      </c>
      <c r="S157" s="660">
        <v>98000</v>
      </c>
      <c r="T157" s="660">
        <v>0</v>
      </c>
      <c r="U157" s="660">
        <v>0</v>
      </c>
      <c r="V157" s="660">
        <v>-40000</v>
      </c>
      <c r="W157" s="660">
        <v>0</v>
      </c>
      <c r="X157" s="660">
        <v>0</v>
      </c>
      <c r="Y157" s="659">
        <f t="shared" ca="1" si="6"/>
        <v>1016092</v>
      </c>
      <c r="Z157" s="659">
        <f t="shared" ca="1" si="8"/>
        <v>78000</v>
      </c>
    </row>
    <row r="158" spans="1:26" ht="15.95" customHeight="1" x14ac:dyDescent="0.15">
      <c r="A158" s="656">
        <v>43101</v>
      </c>
      <c r="B158" s="657" t="str">
        <f t="shared" ca="1" si="7"/>
        <v>09</v>
      </c>
      <c r="C158" s="658" t="s">
        <v>329</v>
      </c>
      <c r="D158" s="659">
        <f ca="1">IF($A158="","",IFERROR(GETPIVOTDATA("合計 / 入金予定",【ピボット】国保連売上!$A$3,"年月",$A158,"事業所コード",$B158,"事業所",$C158,"事業区分",D$1,"請求区分","単月"),0)
+IFERROR(GETPIVOTDATA("合計 / 入金予定",【ピボット】国保連売上!$A$3,"年月",$A158,"事業所コード",$B158,"事業所",$C158,"事業区分",D$1,"請求区分","再請求"),0))</f>
        <v>0</v>
      </c>
      <c r="E158" s="659">
        <f ca="1">IF($A158="","",IFERROR(GETPIVOTDATA("合計 / 処遇改善加算金",【ピボット】国保連売上!$A$3,"年月",$A158,"事業所コード",$B158,"事業所",$C158,"事業区分",D$1,"請求区分","単月"),0))</f>
        <v>0</v>
      </c>
      <c r="F158" s="659">
        <f ca="1">IF($A158="","",IFERROR(GETPIVOTDATA("合計 / 入金予定",【ピボット】国保連売上!$A$3,"年月",$A158,"事業所コード",$B158,"事業所",$C158,"事業区分",F$1,"請求区分","単月"),0)
+IFERROR(GETPIVOTDATA("合計 / 入金予定",【ピボット】国保連売上!$A$3,"年月",$A158,"事業所コード",$B158,"事業所",$C158,"事業区分",F$1,"請求区分","再請求"),0))</f>
        <v>0</v>
      </c>
      <c r="G158" s="659">
        <f ca="1">IF($A158="","",IFERROR(GETPIVOTDATA("合計 / 処遇改善加算金",【ピボット】国保連売上!$A$3,"年月",$A158,"事業所コード",$B158,"事業所",$C158,"事業区分",F$1,"請求区分","単月"),0))</f>
        <v>0</v>
      </c>
      <c r="H158" s="659">
        <f ca="1">IF($A158="","",IFERROR(GETPIVOTDATA("合計 / 入金予定",【ピボット】国保連売上!$A$3,"年月",$A158,"事業所コード",$B158,"事業所",$C158,"事業区分",H$1,"請求区分","単月"),0)
+IFERROR(GETPIVOTDATA("合計 / 入金予定",【ピボット】国保連売上!$A$3,"年月",$A158,"事業所コード",$B158,"事業所",$C158,"事業区分",H$1,"請求区分","再請求"),0))</f>
        <v>0</v>
      </c>
      <c r="I158" s="659">
        <f ca="1">IF($A158="","",IFERROR(GETPIVOTDATA("合計 / 入金予定",【ピボット】国保連売上!$A$3,"年月",$A158,"事業所コード",$B158,"事業所",$C158,"事業区分",I$1,"請求区分","単月"),0)
+IFERROR(GETPIVOTDATA("合計 / 入金予定",【ピボット】国保連売上!$A$3,"年月",$A158,"事業所コード",$B158,"事業所",$C158,"事業区分",I$1,"請求区分","再請求"),0))</f>
        <v>0</v>
      </c>
      <c r="J158" s="659">
        <f ca="1">IF($A158="","",IFERROR(GETPIVOTDATA("合計 / 処遇改善加算金",【ピボット】国保連売上!$A$3,"年月",$A158,"事業所コード",$B158,"事業所",$C158,"事業区分",I$1,"請求区分","単月"),0))</f>
        <v>0</v>
      </c>
      <c r="K158" s="659">
        <f ca="1">IF($A158="","",IFERROR(GETPIVOTDATA("合計 / 入金予定",【ピボット】国保連売上!$A$3,"年月",$A158,"事業所コード",$B158,"事業所",$C158,"事業区分",K$1,"請求区分","単月"),0)
+IFERROR(GETPIVOTDATA("合計 / 入金予定",【ピボット】国保連売上!$A$3,"年月",$A158,"事業所コード",$B158,"事業所",$C158,"事業区分",K$1,"請求区分","再請求"),0))</f>
        <v>2396635</v>
      </c>
      <c r="L158" s="659">
        <f ca="1">IF($A158="","",IFERROR(GETPIVOTDATA("合計 / 処遇改善加算金",【ピボット】国保連売上!$A$3,"年月",$A158,"事業所コード",$B158,"事業所",$C158,"事業区分",K$1,"請求区分","単月"),0))</f>
        <v>0</v>
      </c>
      <c r="M158" s="659">
        <f ca="1">IF($A158="","",IFERROR(GETPIVOTDATA("合計 / 入金予定",【ピボット】国保連売上!$A$3,"年月",$A158,"事業所コード",$B158,"事業所",$C158,"事業区分",M$1,"請求区分","単月"),0)
+IFERROR(GETPIVOTDATA("合計 / 入金予定",【ピボット】国保連売上!$A$3,"年月",$A158,"事業所コード",$B158,"事業所",$C158,"事業区分",M$1,"請求区分","再請求"),0))</f>
        <v>0</v>
      </c>
      <c r="N158" s="660">
        <v>0</v>
      </c>
      <c r="O158" s="660">
        <v>0</v>
      </c>
      <c r="P158" s="660">
        <v>0</v>
      </c>
      <c r="Q158" s="660">
        <v>0</v>
      </c>
      <c r="R158" s="660">
        <v>0</v>
      </c>
      <c r="S158" s="660">
        <v>400000</v>
      </c>
      <c r="T158" s="660">
        <v>0</v>
      </c>
      <c r="U158" s="660">
        <v>0</v>
      </c>
      <c r="V158" s="660">
        <v>-100000</v>
      </c>
      <c r="W158" s="660">
        <v>0</v>
      </c>
      <c r="X158" s="660">
        <v>0</v>
      </c>
      <c r="Y158" s="659">
        <f t="shared" ca="1" si="6"/>
        <v>2696635</v>
      </c>
      <c r="Z158" s="659">
        <f t="shared" ca="1" si="8"/>
        <v>300000</v>
      </c>
    </row>
    <row r="159" spans="1:26" ht="15.95" customHeight="1" x14ac:dyDescent="0.15">
      <c r="A159" s="656">
        <v>43101</v>
      </c>
      <c r="B159" s="657" t="str">
        <f t="shared" ca="1" si="7"/>
        <v>05</v>
      </c>
      <c r="C159" s="658" t="s">
        <v>38</v>
      </c>
      <c r="D159" s="659">
        <f ca="1">IF($A159="","",IFERROR(GETPIVOTDATA("合計 / 入金予定",【ピボット】国保連売上!$A$3,"年月",$A159,"事業所コード",$B159,"事業所",$C159,"事業区分",D$1,"請求区分","単月"),0)
+IFERROR(GETPIVOTDATA("合計 / 入金予定",【ピボット】国保連売上!$A$3,"年月",$A159,"事業所コード",$B159,"事業所",$C159,"事業区分",D$1,"請求区分","再請求"),0))</f>
        <v>2007541</v>
      </c>
      <c r="E159" s="659">
        <f ca="1">IF($A159="","",IFERROR(GETPIVOTDATA("合計 / 処遇改善加算金",【ピボット】国保連売上!$A$3,"年月",$A159,"事業所コード",$B159,"事業所",$C159,"事業区分",D$1,"請求区分","単月"),0))</f>
        <v>0</v>
      </c>
      <c r="F159" s="659">
        <f ca="1">IF($A159="","",IFERROR(GETPIVOTDATA("合計 / 入金予定",【ピボット】国保連売上!$A$3,"年月",$A159,"事業所コード",$B159,"事業所",$C159,"事業区分",F$1,"請求区分","単月"),0)
+IFERROR(GETPIVOTDATA("合計 / 入金予定",【ピボット】国保連売上!$A$3,"年月",$A159,"事業所コード",$B159,"事業所",$C159,"事業区分",F$1,"請求区分","再請求"),0))</f>
        <v>0</v>
      </c>
      <c r="G159" s="659">
        <f ca="1">IF($A159="","",IFERROR(GETPIVOTDATA("合計 / 処遇改善加算金",【ピボット】国保連売上!$A$3,"年月",$A159,"事業所コード",$B159,"事業所",$C159,"事業区分",F$1,"請求区分","単月"),0))</f>
        <v>0</v>
      </c>
      <c r="H159" s="659">
        <f ca="1">IF($A159="","",IFERROR(GETPIVOTDATA("合計 / 入金予定",【ピボット】国保連売上!$A$3,"年月",$A159,"事業所コード",$B159,"事業所",$C159,"事業区分",H$1,"請求区分","単月"),0)
+IFERROR(GETPIVOTDATA("合計 / 入金予定",【ピボット】国保連売上!$A$3,"年月",$A159,"事業所コード",$B159,"事業所",$C159,"事業区分",H$1,"請求区分","再請求"),0))</f>
        <v>0</v>
      </c>
      <c r="I159" s="659">
        <f ca="1">IF($A159="","",IFERROR(GETPIVOTDATA("合計 / 入金予定",【ピボット】国保連売上!$A$3,"年月",$A159,"事業所コード",$B159,"事業所",$C159,"事業区分",I$1,"請求区分","単月"),0)
+IFERROR(GETPIVOTDATA("合計 / 入金予定",【ピボット】国保連売上!$A$3,"年月",$A159,"事業所コード",$B159,"事業所",$C159,"事業区分",I$1,"請求区分","再請求"),0))</f>
        <v>0</v>
      </c>
      <c r="J159" s="659">
        <f ca="1">IF($A159="","",IFERROR(GETPIVOTDATA("合計 / 処遇改善加算金",【ピボット】国保連売上!$A$3,"年月",$A159,"事業所コード",$B159,"事業所",$C159,"事業区分",I$1,"請求区分","単月"),0))</f>
        <v>0</v>
      </c>
      <c r="K159" s="659">
        <f ca="1">IF($A159="","",IFERROR(GETPIVOTDATA("合計 / 入金予定",【ピボット】国保連売上!$A$3,"年月",$A159,"事業所コード",$B159,"事業所",$C159,"事業区分",K$1,"請求区分","単月"),0)
+IFERROR(GETPIVOTDATA("合計 / 入金予定",【ピボット】国保連売上!$A$3,"年月",$A159,"事業所コード",$B159,"事業所",$C159,"事業区分",K$1,"請求区分","再請求"),0))</f>
        <v>0</v>
      </c>
      <c r="L159" s="659">
        <f ca="1">IF($A159="","",IFERROR(GETPIVOTDATA("合計 / 処遇改善加算金",【ピボット】国保連売上!$A$3,"年月",$A159,"事業所コード",$B159,"事業所",$C159,"事業区分",K$1,"請求区分","単月"),0))</f>
        <v>0</v>
      </c>
      <c r="M159" s="659">
        <f ca="1">IF($A159="","",IFERROR(GETPIVOTDATA("合計 / 入金予定",【ピボット】国保連売上!$A$3,"年月",$A159,"事業所コード",$B159,"事業所",$C159,"事業区分",M$1,"請求区分","単月"),0)
+IFERROR(GETPIVOTDATA("合計 / 入金予定",【ピボット】国保連売上!$A$3,"年月",$A159,"事業所コード",$B159,"事業所",$C159,"事業区分",M$1,"請求区分","再請求"),0))</f>
        <v>0</v>
      </c>
      <c r="N159" s="660">
        <v>0</v>
      </c>
      <c r="O159" s="660">
        <v>0</v>
      </c>
      <c r="P159" s="660">
        <v>0</v>
      </c>
      <c r="Q159" s="660">
        <v>0</v>
      </c>
      <c r="R159" s="660">
        <v>0</v>
      </c>
      <c r="S159" s="660">
        <v>609640</v>
      </c>
      <c r="T159" s="660">
        <v>0</v>
      </c>
      <c r="U159" s="660">
        <v>0</v>
      </c>
      <c r="V159" s="660">
        <v>0</v>
      </c>
      <c r="W159" s="660">
        <v>0</v>
      </c>
      <c r="X159" s="660">
        <v>0</v>
      </c>
      <c r="Y159" s="659">
        <f t="shared" ca="1" si="6"/>
        <v>2617181</v>
      </c>
      <c r="Z159" s="659">
        <f t="shared" ca="1" si="8"/>
        <v>609640</v>
      </c>
    </row>
    <row r="160" spans="1:26" ht="15.95" customHeight="1" x14ac:dyDescent="0.15">
      <c r="A160" s="656">
        <v>43101</v>
      </c>
      <c r="B160" s="657" t="str">
        <f t="shared" ca="1" si="7"/>
        <v>10</v>
      </c>
      <c r="C160" s="658" t="s">
        <v>336</v>
      </c>
      <c r="D160" s="659">
        <f ca="1">IF($A160="","",IFERROR(GETPIVOTDATA("合計 / 入金予定",【ピボット】国保連売上!$A$3,"年月",$A160,"事業所コード",$B160,"事業所",$C160,"事業区分",D$1,"請求区分","単月"),0)
+IFERROR(GETPIVOTDATA("合計 / 入金予定",【ピボット】国保連売上!$A$3,"年月",$A160,"事業所コード",$B160,"事業所",$C160,"事業区分",D$1,"請求区分","再請求"),0))</f>
        <v>924227</v>
      </c>
      <c r="E160" s="659">
        <f ca="1">IF($A160="","",IFERROR(GETPIVOTDATA("合計 / 処遇改善加算金",【ピボット】国保連売上!$A$3,"年月",$A160,"事業所コード",$B160,"事業所",$C160,"事業区分",D$1,"請求区分","単月"),0))</f>
        <v>0</v>
      </c>
      <c r="F160" s="659">
        <f ca="1">IF($A160="","",IFERROR(GETPIVOTDATA("合計 / 入金予定",【ピボット】国保連売上!$A$3,"年月",$A160,"事業所コード",$B160,"事業所",$C160,"事業区分",F$1,"請求区分","単月"),0)
+IFERROR(GETPIVOTDATA("合計 / 入金予定",【ピボット】国保連売上!$A$3,"年月",$A160,"事業所コード",$B160,"事業所",$C160,"事業区分",F$1,"請求区分","再請求"),0))</f>
        <v>23400</v>
      </c>
      <c r="G160" s="659">
        <f ca="1">IF($A160="","",IFERROR(GETPIVOTDATA("合計 / 処遇改善加算金",【ピボット】国保連売上!$A$3,"年月",$A160,"事業所コード",$B160,"事業所",$C160,"事業区分",F$1,"請求区分","単月"),0))</f>
        <v>0</v>
      </c>
      <c r="H160" s="659">
        <f ca="1">IF($A160="","",IFERROR(GETPIVOTDATA("合計 / 入金予定",【ピボット】国保連売上!$A$3,"年月",$A160,"事業所コード",$B160,"事業所",$C160,"事業区分",H$1,"請求区分","単月"),0)
+IFERROR(GETPIVOTDATA("合計 / 入金予定",【ピボット】国保連売上!$A$3,"年月",$A160,"事業所コード",$B160,"事業所",$C160,"事業区分",H$1,"請求区分","再請求"),0))</f>
        <v>0</v>
      </c>
      <c r="I160" s="659">
        <f ca="1">IF($A160="","",IFERROR(GETPIVOTDATA("合計 / 入金予定",【ピボット】国保連売上!$A$3,"年月",$A160,"事業所コード",$B160,"事業所",$C160,"事業区分",I$1,"請求区分","単月"),0)
+IFERROR(GETPIVOTDATA("合計 / 入金予定",【ピボット】国保連売上!$A$3,"年月",$A160,"事業所コード",$B160,"事業所",$C160,"事業区分",I$1,"請求区分","再請求"),0))</f>
        <v>0</v>
      </c>
      <c r="J160" s="659">
        <f ca="1">IF($A160="","",IFERROR(GETPIVOTDATA("合計 / 処遇改善加算金",【ピボット】国保連売上!$A$3,"年月",$A160,"事業所コード",$B160,"事業所",$C160,"事業区分",I$1,"請求区分","単月"),0))</f>
        <v>0</v>
      </c>
      <c r="K160" s="659">
        <f ca="1">IF($A160="","",IFERROR(GETPIVOTDATA("合計 / 入金予定",【ピボット】国保連売上!$A$3,"年月",$A160,"事業所コード",$B160,"事業所",$C160,"事業区分",K$1,"請求区分","単月"),0)
+IFERROR(GETPIVOTDATA("合計 / 入金予定",【ピボット】国保連売上!$A$3,"年月",$A160,"事業所コード",$B160,"事業所",$C160,"事業区分",K$1,"請求区分","再請求"),0))</f>
        <v>0</v>
      </c>
      <c r="L160" s="659">
        <f ca="1">IF($A160="","",IFERROR(GETPIVOTDATA("合計 / 処遇改善加算金",【ピボット】国保連売上!$A$3,"年月",$A160,"事業所コード",$B160,"事業所",$C160,"事業区分",K$1,"請求区分","単月"),0))</f>
        <v>0</v>
      </c>
      <c r="M160" s="659">
        <f ca="1">IF($A160="","",IFERROR(GETPIVOTDATA("合計 / 入金予定",【ピボット】国保連売上!$A$3,"年月",$A160,"事業所コード",$B160,"事業所",$C160,"事業区分",M$1,"請求区分","単月"),0)
+IFERROR(GETPIVOTDATA("合計 / 入金予定",【ピボット】国保連売上!$A$3,"年月",$A160,"事業所コード",$B160,"事業所",$C160,"事業区分",M$1,"請求区分","再請求"),0))</f>
        <v>0</v>
      </c>
      <c r="N160" s="660">
        <v>165100</v>
      </c>
      <c r="O160" s="660">
        <v>65520</v>
      </c>
      <c r="P160" s="660">
        <v>1167520</v>
      </c>
      <c r="Q160" s="660">
        <v>0</v>
      </c>
      <c r="R160" s="660">
        <v>0</v>
      </c>
      <c r="S160" s="660">
        <v>0</v>
      </c>
      <c r="T160" s="660">
        <v>0</v>
      </c>
      <c r="U160" s="660">
        <v>0</v>
      </c>
      <c r="V160" s="660">
        <v>0</v>
      </c>
      <c r="W160" s="660">
        <v>0</v>
      </c>
      <c r="X160" s="660">
        <v>0</v>
      </c>
      <c r="Y160" s="659">
        <f t="shared" ca="1" si="6"/>
        <v>2345767</v>
      </c>
      <c r="Z160" s="659">
        <f t="shared" ca="1" si="8"/>
        <v>1398140</v>
      </c>
    </row>
    <row r="161" spans="1:26" ht="15.95" customHeight="1" x14ac:dyDescent="0.15">
      <c r="A161" s="656">
        <v>43132</v>
      </c>
      <c r="B161" s="657" t="str">
        <f t="shared" ca="1" si="7"/>
        <v>01</v>
      </c>
      <c r="C161" s="658" t="s">
        <v>34</v>
      </c>
      <c r="D161" s="659">
        <f ca="1">IF($A161="","",IFERROR(GETPIVOTDATA("合計 / 入金予定",【ピボット】国保連売上!$A$3,"年月",$A161,"事業所コード",$B161,"事業所",$C161,"事業区分",D$1,"請求区分","単月"),0)
+IFERROR(GETPIVOTDATA("合計 / 入金予定",【ピボット】国保連売上!$A$3,"年月",$A161,"事業所コード",$B161,"事業所",$C161,"事業区分",D$1,"請求区分","再請求"),0))</f>
        <v>7287210</v>
      </c>
      <c r="E161" s="659">
        <f ca="1">IF($A161="","",IFERROR(GETPIVOTDATA("合計 / 処遇改善加算金",【ピボット】国保連売上!$A$3,"年月",$A161,"事業所コード",$B161,"事業所",$C161,"事業区分",D$1,"請求区分","単月"),0))</f>
        <v>1254602</v>
      </c>
      <c r="F161" s="659">
        <f ca="1">IF($A161="","",IFERROR(GETPIVOTDATA("合計 / 入金予定",【ピボット】国保連売上!$A$3,"年月",$A161,"事業所コード",$B161,"事業所",$C161,"事業区分",F$1,"請求区分","単月"),0)
+IFERROR(GETPIVOTDATA("合計 / 入金予定",【ピボット】国保連売上!$A$3,"年月",$A161,"事業所コード",$B161,"事業所",$C161,"事業区分",F$1,"請求区分","再請求"),0))</f>
        <v>1260742</v>
      </c>
      <c r="G161" s="659">
        <f ca="1">IF($A161="","",IFERROR(GETPIVOTDATA("合計 / 処遇改善加算金",【ピボット】国保連売上!$A$3,"年月",$A161,"事業所コード",$B161,"事業所",$C161,"事業区分",F$1,"請求区分","単月"),0))</f>
        <v>261542</v>
      </c>
      <c r="H161" s="659">
        <f ca="1">IF($A161="","",IFERROR(GETPIVOTDATA("合計 / 入金予定",【ピボット】国保連売上!$A$3,"年月",$A161,"事業所コード",$B161,"事業所",$C161,"事業区分",H$1,"請求区分","単月"),0)
+IFERROR(GETPIVOTDATA("合計 / 入金予定",【ピボット】国保連売上!$A$3,"年月",$A161,"事業所コード",$B161,"事業所",$C161,"事業区分",H$1,"請求区分","再請求"),0))</f>
        <v>762581</v>
      </c>
      <c r="I161" s="659">
        <f ca="1">IF($A161="","",IFERROR(GETPIVOTDATA("合計 / 入金予定",【ピボット】国保連売上!$A$3,"年月",$A161,"事業所コード",$B161,"事業所",$C161,"事業区分",I$1,"請求区分","単月"),0)
+IFERROR(GETPIVOTDATA("合計 / 入金予定",【ピボット】国保連売上!$A$3,"年月",$A161,"事業所コード",$B161,"事業所",$C161,"事業区分",I$1,"請求区分","再請求"),0))</f>
        <v>0</v>
      </c>
      <c r="J161" s="659">
        <f ca="1">IF($A161="","",IFERROR(GETPIVOTDATA("合計 / 処遇改善加算金",【ピボット】国保連売上!$A$3,"年月",$A161,"事業所コード",$B161,"事業所",$C161,"事業区分",I$1,"請求区分","単月"),0))</f>
        <v>0</v>
      </c>
      <c r="K161" s="659">
        <f ca="1">IF($A161="","",IFERROR(GETPIVOTDATA("合計 / 入金予定",【ピボット】国保連売上!$A$3,"年月",$A161,"事業所コード",$B161,"事業所",$C161,"事業区分",K$1,"請求区分","単月"),0)
+IFERROR(GETPIVOTDATA("合計 / 入金予定",【ピボット】国保連売上!$A$3,"年月",$A161,"事業所コード",$B161,"事業所",$C161,"事業区分",K$1,"請求区分","再請求"),0))</f>
        <v>0</v>
      </c>
      <c r="L161" s="659">
        <f ca="1">IF($A161="","",IFERROR(GETPIVOTDATA("合計 / 処遇改善加算金",【ピボット】国保連売上!$A$3,"年月",$A161,"事業所コード",$B161,"事業所",$C161,"事業区分",K$1,"請求区分","単月"),0))</f>
        <v>0</v>
      </c>
      <c r="M161" s="659">
        <f ca="1">IF($A161="","",IFERROR(GETPIVOTDATA("合計 / 入金予定",【ピボット】国保連売上!$A$3,"年月",$A161,"事業所コード",$B161,"事業所",$C161,"事業区分",M$1,"請求区分","単月"),0)
+IFERROR(GETPIVOTDATA("合計 / 入金予定",【ピボット】国保連売上!$A$3,"年月",$A161,"事業所コード",$B161,"事業所",$C161,"事業区分",M$1,"請求区分","再請求"),0))</f>
        <v>0</v>
      </c>
      <c r="N161" s="660">
        <v>116400</v>
      </c>
      <c r="O161" s="660">
        <v>43132</v>
      </c>
      <c r="P161" s="660">
        <v>0</v>
      </c>
      <c r="Q161" s="660">
        <v>6782</v>
      </c>
      <c r="R161" s="660">
        <v>150480</v>
      </c>
      <c r="S161" s="660">
        <v>0</v>
      </c>
      <c r="T161" s="660">
        <v>0</v>
      </c>
      <c r="U161" s="660">
        <v>20500</v>
      </c>
      <c r="V161" s="660">
        <v>0</v>
      </c>
      <c r="W161" s="660">
        <v>0</v>
      </c>
      <c r="X161" s="660">
        <v>0</v>
      </c>
      <c r="Y161" s="659">
        <f t="shared" ca="1" si="6"/>
        <v>9647827</v>
      </c>
      <c r="Z161" s="659">
        <f t="shared" ca="1" si="8"/>
        <v>337294</v>
      </c>
    </row>
    <row r="162" spans="1:26" ht="15.95" customHeight="1" x14ac:dyDescent="0.15">
      <c r="A162" s="656">
        <v>43132</v>
      </c>
      <c r="B162" s="657" t="str">
        <f t="shared" ca="1" si="7"/>
        <v>02</v>
      </c>
      <c r="C162" s="658" t="s">
        <v>37</v>
      </c>
      <c r="D162" s="659">
        <f ca="1">IF($A162="","",IFERROR(GETPIVOTDATA("合計 / 入金予定",【ピボット】国保連売上!$A$3,"年月",$A162,"事業所コード",$B162,"事業所",$C162,"事業区分",D$1,"請求区分","単月"),0)
+IFERROR(GETPIVOTDATA("合計 / 入金予定",【ピボット】国保連売上!$A$3,"年月",$A162,"事業所コード",$B162,"事業所",$C162,"事業区分",D$1,"請求区分","再請求"),0))</f>
        <v>3741771</v>
      </c>
      <c r="E162" s="659">
        <f ca="1">IF($A162="","",IFERROR(GETPIVOTDATA("合計 / 処遇改善加算金",【ピボット】国保連売上!$A$3,"年月",$A162,"事業所コード",$B162,"事業所",$C162,"事業区分",D$1,"請求区分","単月"),0))</f>
        <v>402033</v>
      </c>
      <c r="F162" s="659">
        <f ca="1">IF($A162="","",IFERROR(GETPIVOTDATA("合計 / 入金予定",【ピボット】国保連売上!$A$3,"年月",$A162,"事業所コード",$B162,"事業所",$C162,"事業区分",F$1,"請求区分","単月"),0)
+IFERROR(GETPIVOTDATA("合計 / 入金予定",【ピボット】国保連売上!$A$3,"年月",$A162,"事業所コード",$B162,"事業所",$C162,"事業区分",F$1,"請求区分","再請求"),0))</f>
        <v>838386</v>
      </c>
      <c r="G162" s="659">
        <f ca="1">IF($A162="","",IFERROR(GETPIVOTDATA("合計 / 処遇改善加算金",【ピボット】国保連売上!$A$3,"年月",$A162,"事業所コード",$B162,"事業所",$C162,"事業区分",F$1,"請求区分","単月"),0))</f>
        <v>192839</v>
      </c>
      <c r="H162" s="659">
        <f ca="1">IF($A162="","",IFERROR(GETPIVOTDATA("合計 / 入金予定",【ピボット】国保連売上!$A$3,"年月",$A162,"事業所コード",$B162,"事業所",$C162,"事業区分",H$1,"請求区分","単月"),0)
+IFERROR(GETPIVOTDATA("合計 / 入金予定",【ピボット】国保連売上!$A$3,"年月",$A162,"事業所コード",$B162,"事業所",$C162,"事業区分",H$1,"請求区分","再請求"),0))</f>
        <v>444863</v>
      </c>
      <c r="I162" s="659">
        <f ca="1">IF($A162="","",IFERROR(GETPIVOTDATA("合計 / 入金予定",【ピボット】国保連売上!$A$3,"年月",$A162,"事業所コード",$B162,"事業所",$C162,"事業区分",I$1,"請求区分","単月"),0)
+IFERROR(GETPIVOTDATA("合計 / 入金予定",【ピボット】国保連売上!$A$3,"年月",$A162,"事業所コード",$B162,"事業所",$C162,"事業区分",I$1,"請求区分","再請求"),0))</f>
        <v>0</v>
      </c>
      <c r="J162" s="659">
        <f ca="1">IF($A162="","",IFERROR(GETPIVOTDATA("合計 / 処遇改善加算金",【ピボット】国保連売上!$A$3,"年月",$A162,"事業所コード",$B162,"事業所",$C162,"事業区分",I$1,"請求区分","単月"),0))</f>
        <v>0</v>
      </c>
      <c r="K162" s="659">
        <f ca="1">IF($A162="","",IFERROR(GETPIVOTDATA("合計 / 入金予定",【ピボット】国保連売上!$A$3,"年月",$A162,"事業所コード",$B162,"事業所",$C162,"事業区分",K$1,"請求区分","単月"),0)
+IFERROR(GETPIVOTDATA("合計 / 入金予定",【ピボット】国保連売上!$A$3,"年月",$A162,"事業所コード",$B162,"事業所",$C162,"事業区分",K$1,"請求区分","再請求"),0))</f>
        <v>0</v>
      </c>
      <c r="L162" s="659">
        <f ca="1">IF($A162="","",IFERROR(GETPIVOTDATA("合計 / 処遇改善加算金",【ピボット】国保連売上!$A$3,"年月",$A162,"事業所コード",$B162,"事業所",$C162,"事業区分",K$1,"請求区分","単月"),0))</f>
        <v>0</v>
      </c>
      <c r="M162" s="659">
        <f ca="1">IF($A162="","",IFERROR(GETPIVOTDATA("合計 / 入金予定",【ピボット】国保連売上!$A$3,"年月",$A162,"事業所コード",$B162,"事業所",$C162,"事業区分",M$1,"請求区分","単月"),0)
+IFERROR(GETPIVOTDATA("合計 / 入金予定",【ピボット】国保連売上!$A$3,"年月",$A162,"事業所コード",$B162,"事業所",$C162,"事業区分",M$1,"請求区分","再請求"),0))</f>
        <v>0</v>
      </c>
      <c r="N162" s="660">
        <v>250230</v>
      </c>
      <c r="O162" s="660">
        <v>0</v>
      </c>
      <c r="P162" s="660">
        <v>0</v>
      </c>
      <c r="Q162" s="660">
        <v>1684</v>
      </c>
      <c r="R162" s="660">
        <v>106803</v>
      </c>
      <c r="S162" s="660">
        <v>0</v>
      </c>
      <c r="T162" s="660">
        <v>0</v>
      </c>
      <c r="U162" s="660">
        <v>0</v>
      </c>
      <c r="V162" s="660">
        <v>0</v>
      </c>
      <c r="W162" s="660">
        <v>0</v>
      </c>
      <c r="X162" s="660">
        <v>0</v>
      </c>
      <c r="Y162" s="659">
        <f t="shared" ca="1" si="6"/>
        <v>5383737</v>
      </c>
      <c r="Z162" s="659">
        <f t="shared" ca="1" si="8"/>
        <v>358717</v>
      </c>
    </row>
    <row r="163" spans="1:26" ht="15.95" customHeight="1" x14ac:dyDescent="0.15">
      <c r="A163" s="656">
        <v>43132</v>
      </c>
      <c r="B163" s="657" t="str">
        <f t="shared" ca="1" si="7"/>
        <v>03</v>
      </c>
      <c r="C163" s="658" t="s">
        <v>66</v>
      </c>
      <c r="D163" s="659">
        <f ca="1">IF($A163="","",IFERROR(GETPIVOTDATA("合計 / 入金予定",【ピボット】国保連売上!$A$3,"年月",$A163,"事業所コード",$B163,"事業所",$C163,"事業区分",D$1,"請求区分","単月"),0)
+IFERROR(GETPIVOTDATA("合計 / 入金予定",【ピボット】国保連売上!$A$3,"年月",$A163,"事業所コード",$B163,"事業所",$C163,"事業区分",D$1,"請求区分","再請求"),0))</f>
        <v>3674534</v>
      </c>
      <c r="E163" s="659">
        <f ca="1">IF($A163="","",IFERROR(GETPIVOTDATA("合計 / 処遇改善加算金",【ピボット】国保連売上!$A$3,"年月",$A163,"事業所コード",$B163,"事業所",$C163,"事業区分",D$1,"請求区分","単月"),0))</f>
        <v>388251</v>
      </c>
      <c r="F163" s="659">
        <f ca="1">IF($A163="","",IFERROR(GETPIVOTDATA("合計 / 入金予定",【ピボット】国保連売上!$A$3,"年月",$A163,"事業所コード",$B163,"事業所",$C163,"事業区分",F$1,"請求区分","単月"),0)
+IFERROR(GETPIVOTDATA("合計 / 入金予定",【ピボット】国保連売上!$A$3,"年月",$A163,"事業所コード",$B163,"事業所",$C163,"事業区分",F$1,"請求区分","再請求"),0))</f>
        <v>1771705</v>
      </c>
      <c r="G163" s="659">
        <f ca="1">IF($A163="","",IFERROR(GETPIVOTDATA("合計 / 処遇改善加算金",【ピボット】国保連売上!$A$3,"年月",$A163,"事業所コード",$B163,"事業所",$C163,"事業区分",F$1,"請求区分","単月"),0))</f>
        <v>409072</v>
      </c>
      <c r="H163" s="659">
        <f ca="1">IF($A163="","",IFERROR(GETPIVOTDATA("合計 / 入金予定",【ピボット】国保連売上!$A$3,"年月",$A163,"事業所コード",$B163,"事業所",$C163,"事業区分",H$1,"請求区分","単月"),0)
+IFERROR(GETPIVOTDATA("合計 / 入金予定",【ピボット】国保連売上!$A$3,"年月",$A163,"事業所コード",$B163,"事業所",$C163,"事業区分",H$1,"請求区分","再請求"),0))</f>
        <v>0</v>
      </c>
      <c r="I163" s="659">
        <f ca="1">IF($A163="","",IFERROR(GETPIVOTDATA("合計 / 入金予定",【ピボット】国保連売上!$A$3,"年月",$A163,"事業所コード",$B163,"事業所",$C163,"事業区分",I$1,"請求区分","単月"),0)
+IFERROR(GETPIVOTDATA("合計 / 入金予定",【ピボット】国保連売上!$A$3,"年月",$A163,"事業所コード",$B163,"事業所",$C163,"事業区分",I$1,"請求区分","再請求"),0))</f>
        <v>0</v>
      </c>
      <c r="J163" s="659">
        <f ca="1">IF($A163="","",IFERROR(GETPIVOTDATA("合計 / 処遇改善加算金",【ピボット】国保連売上!$A$3,"年月",$A163,"事業所コード",$B163,"事業所",$C163,"事業区分",I$1,"請求区分","単月"),0))</f>
        <v>0</v>
      </c>
      <c r="K163" s="659">
        <f ca="1">IF($A163="","",IFERROR(GETPIVOTDATA("合計 / 入金予定",【ピボット】国保連売上!$A$3,"年月",$A163,"事業所コード",$B163,"事業所",$C163,"事業区分",K$1,"請求区分","単月"),0)
+IFERROR(GETPIVOTDATA("合計 / 入金予定",【ピボット】国保連売上!$A$3,"年月",$A163,"事業所コード",$B163,"事業所",$C163,"事業区分",K$1,"請求区分","再請求"),0))</f>
        <v>0</v>
      </c>
      <c r="L163" s="659">
        <f ca="1">IF($A163="","",IFERROR(GETPIVOTDATA("合計 / 処遇改善加算金",【ピボット】国保連売上!$A$3,"年月",$A163,"事業所コード",$B163,"事業所",$C163,"事業区分",K$1,"請求区分","単月"),0))</f>
        <v>0</v>
      </c>
      <c r="M163" s="659">
        <f ca="1">IF($A163="","",IFERROR(GETPIVOTDATA("合計 / 入金予定",【ピボット】国保連売上!$A$3,"年月",$A163,"事業所コード",$B163,"事業所",$C163,"事業区分",M$1,"請求区分","単月"),0)
+IFERROR(GETPIVOTDATA("合計 / 入金予定",【ピボット】国保連売上!$A$3,"年月",$A163,"事業所コード",$B163,"事業所",$C163,"事業区分",M$1,"請求区分","再請求"),0))</f>
        <v>0</v>
      </c>
      <c r="N163" s="660">
        <v>55600</v>
      </c>
      <c r="O163" s="660">
        <v>120530</v>
      </c>
      <c r="P163" s="660">
        <v>84252</v>
      </c>
      <c r="Q163" s="660">
        <v>3336</v>
      </c>
      <c r="R163" s="660">
        <v>0</v>
      </c>
      <c r="S163" s="660">
        <v>0</v>
      </c>
      <c r="T163" s="660">
        <v>0</v>
      </c>
      <c r="U163" s="660">
        <v>0</v>
      </c>
      <c r="V163" s="660">
        <v>0</v>
      </c>
      <c r="W163" s="660">
        <v>0</v>
      </c>
      <c r="X163" s="660">
        <v>0</v>
      </c>
      <c r="Y163" s="659">
        <f t="shared" ca="1" si="6"/>
        <v>5709957</v>
      </c>
      <c r="Z163" s="659">
        <f t="shared" ca="1" si="8"/>
        <v>263718</v>
      </c>
    </row>
    <row r="164" spans="1:26" ht="15.95" customHeight="1" x14ac:dyDescent="0.15">
      <c r="A164" s="656">
        <v>43132</v>
      </c>
      <c r="B164" s="657" t="str">
        <f t="shared" ca="1" si="7"/>
        <v>04</v>
      </c>
      <c r="C164" s="658" t="s">
        <v>358</v>
      </c>
      <c r="D164" s="659">
        <f ca="1">IF($A164="","",IFERROR(GETPIVOTDATA("合計 / 入金予定",【ピボット】国保連売上!$A$3,"年月",$A164,"事業所コード",$B164,"事業所",$C164,"事業区分",D$1,"請求区分","単月"),0)
+IFERROR(GETPIVOTDATA("合計 / 入金予定",【ピボット】国保連売上!$A$3,"年月",$A164,"事業所コード",$B164,"事業所",$C164,"事業区分",D$1,"請求区分","再請求"),0))</f>
        <v>0</v>
      </c>
      <c r="E164" s="659">
        <f ca="1">IF($A164="","",IFERROR(GETPIVOTDATA("合計 / 処遇改善加算金",【ピボット】国保連売上!$A$3,"年月",$A164,"事業所コード",$B164,"事業所",$C164,"事業区分",D$1,"請求区分","単月"),0))</f>
        <v>0</v>
      </c>
      <c r="F164" s="659">
        <f ca="1">IF($A164="","",IFERROR(GETPIVOTDATA("合計 / 入金予定",【ピボット】国保連売上!$A$3,"年月",$A164,"事業所コード",$B164,"事業所",$C164,"事業区分",F$1,"請求区分","単月"),0)
+IFERROR(GETPIVOTDATA("合計 / 入金予定",【ピボット】国保連売上!$A$3,"年月",$A164,"事業所コード",$B164,"事業所",$C164,"事業区分",F$1,"請求区分","再請求"),0))</f>
        <v>0</v>
      </c>
      <c r="G164" s="659">
        <f ca="1">IF($A164="","",IFERROR(GETPIVOTDATA("合計 / 処遇改善加算金",【ピボット】国保連売上!$A$3,"年月",$A164,"事業所コード",$B164,"事業所",$C164,"事業区分",F$1,"請求区分","単月"),0))</f>
        <v>0</v>
      </c>
      <c r="H164" s="659">
        <f ca="1">IF($A164="","",IFERROR(GETPIVOTDATA("合計 / 入金予定",【ピボット】国保連売上!$A$3,"年月",$A164,"事業所コード",$B164,"事業所",$C164,"事業区分",H$1,"請求区分","単月"),0)
+IFERROR(GETPIVOTDATA("合計 / 入金予定",【ピボット】国保連売上!$A$3,"年月",$A164,"事業所コード",$B164,"事業所",$C164,"事業区分",H$1,"請求区分","再請求"),0))</f>
        <v>0</v>
      </c>
      <c r="I164" s="659">
        <f ca="1">IF($A164="","",IFERROR(GETPIVOTDATA("合計 / 入金予定",【ピボット】国保連売上!$A$3,"年月",$A164,"事業所コード",$B164,"事業所",$C164,"事業区分",I$1,"請求区分","単月"),0)
+IFERROR(GETPIVOTDATA("合計 / 入金予定",【ピボット】国保連売上!$A$3,"年月",$A164,"事業所コード",$B164,"事業所",$C164,"事業区分",I$1,"請求区分","再請求"),0))</f>
        <v>3319139</v>
      </c>
      <c r="J164" s="659">
        <f ca="1">IF($A164="","",IFERROR(GETPIVOTDATA("合計 / 処遇改善加算金",【ピボット】国保連売上!$A$3,"年月",$A164,"事業所コード",$B164,"事業所",$C164,"事業区分",I$1,"請求区分","単月"),0))</f>
        <v>184869</v>
      </c>
      <c r="K164" s="659">
        <f ca="1">IF($A164="","",IFERROR(GETPIVOTDATA("合計 / 入金予定",【ピボット】国保連売上!$A$3,"年月",$A164,"事業所コード",$B164,"事業所",$C164,"事業区分",K$1,"請求区分","単月"),0)
+IFERROR(GETPIVOTDATA("合計 / 入金予定",【ピボット】国保連売上!$A$3,"年月",$A164,"事業所コード",$B164,"事業所",$C164,"事業区分",K$1,"請求区分","再請求"),0))</f>
        <v>0</v>
      </c>
      <c r="L164" s="659">
        <f ca="1">IF($A164="","",IFERROR(GETPIVOTDATA("合計 / 処遇改善加算金",【ピボット】国保連売上!$A$3,"年月",$A164,"事業所コード",$B164,"事業所",$C164,"事業区分",K$1,"請求区分","単月"),0))</f>
        <v>0</v>
      </c>
      <c r="M164" s="659">
        <f ca="1">IF($A164="","",IFERROR(GETPIVOTDATA("合計 / 入金予定",【ピボット】国保連売上!$A$3,"年月",$A164,"事業所コード",$B164,"事業所",$C164,"事業区分",M$1,"請求区分","単月"),0)
+IFERROR(GETPIVOTDATA("合計 / 入金予定",【ピボット】国保連売上!$A$3,"年月",$A164,"事業所コード",$B164,"事業所",$C164,"事業区分",M$1,"請求区分","再請求"),0))</f>
        <v>0</v>
      </c>
      <c r="N164" s="660">
        <v>0</v>
      </c>
      <c r="O164" s="660">
        <v>0</v>
      </c>
      <c r="P164" s="660">
        <v>0</v>
      </c>
      <c r="Q164" s="660">
        <v>0</v>
      </c>
      <c r="R164" s="660">
        <v>0</v>
      </c>
      <c r="S164" s="660">
        <v>0</v>
      </c>
      <c r="T164" s="660">
        <v>178200</v>
      </c>
      <c r="U164" s="660">
        <v>0</v>
      </c>
      <c r="V164" s="660">
        <v>0</v>
      </c>
      <c r="W164" s="660">
        <v>0</v>
      </c>
      <c r="X164" s="660">
        <v>0</v>
      </c>
      <c r="Y164" s="659">
        <f t="shared" ca="1" si="6"/>
        <v>3497339</v>
      </c>
      <c r="Z164" s="659">
        <f t="shared" ca="1" si="8"/>
        <v>178200</v>
      </c>
    </row>
    <row r="165" spans="1:26" ht="15.95" customHeight="1" x14ac:dyDescent="0.15">
      <c r="A165" s="656">
        <v>43132</v>
      </c>
      <c r="B165" s="657" t="str">
        <f t="shared" ca="1" si="7"/>
        <v>07</v>
      </c>
      <c r="C165" s="658" t="s">
        <v>119</v>
      </c>
      <c r="D165" s="659">
        <f ca="1">IF($A165="","",IFERROR(GETPIVOTDATA("合計 / 入金予定",【ピボット】国保連売上!$A$3,"年月",$A165,"事業所コード",$B165,"事業所",$C165,"事業区分",D$1,"請求区分","単月"),0)
+IFERROR(GETPIVOTDATA("合計 / 入金予定",【ピボット】国保連売上!$A$3,"年月",$A165,"事業所コード",$B165,"事業所",$C165,"事業区分",D$1,"請求区分","再請求"),0))</f>
        <v>0</v>
      </c>
      <c r="E165" s="659">
        <f ca="1">IF($A165="","",IFERROR(GETPIVOTDATA("合計 / 処遇改善加算金",【ピボット】国保連売上!$A$3,"年月",$A165,"事業所コード",$B165,"事業所",$C165,"事業区分",D$1,"請求区分","単月"),0))</f>
        <v>0</v>
      </c>
      <c r="F165" s="659">
        <f ca="1">IF($A165="","",IFERROR(GETPIVOTDATA("合計 / 入金予定",【ピボット】国保連売上!$A$3,"年月",$A165,"事業所コード",$B165,"事業所",$C165,"事業区分",F$1,"請求区分","単月"),0)
+IFERROR(GETPIVOTDATA("合計 / 入金予定",【ピボット】国保連売上!$A$3,"年月",$A165,"事業所コード",$B165,"事業所",$C165,"事業区分",F$1,"請求区分","再請求"),0))</f>
        <v>0</v>
      </c>
      <c r="G165" s="659">
        <f ca="1">IF($A165="","",IFERROR(GETPIVOTDATA("合計 / 処遇改善加算金",【ピボット】国保連売上!$A$3,"年月",$A165,"事業所コード",$B165,"事業所",$C165,"事業区分",F$1,"請求区分","単月"),0))</f>
        <v>0</v>
      </c>
      <c r="H165" s="659">
        <f ca="1">IF($A165="","",IFERROR(GETPIVOTDATA("合計 / 入金予定",【ピボット】国保連売上!$A$3,"年月",$A165,"事業所コード",$B165,"事業所",$C165,"事業区分",H$1,"請求区分","単月"),0)
+IFERROR(GETPIVOTDATA("合計 / 入金予定",【ピボット】国保連売上!$A$3,"年月",$A165,"事業所コード",$B165,"事業所",$C165,"事業区分",H$1,"請求区分","再請求"),0))</f>
        <v>0</v>
      </c>
      <c r="I165" s="659">
        <f ca="1">IF($A165="","",IFERROR(GETPIVOTDATA("合計 / 入金予定",【ピボット】国保連売上!$A$3,"年月",$A165,"事業所コード",$B165,"事業所",$C165,"事業区分",I$1,"請求区分","単月"),0)
+IFERROR(GETPIVOTDATA("合計 / 入金予定",【ピボット】国保連売上!$A$3,"年月",$A165,"事業所コード",$B165,"事業所",$C165,"事業区分",I$1,"請求区分","再請求"),0))</f>
        <v>0</v>
      </c>
      <c r="J165" s="659">
        <f ca="1">IF($A165="","",IFERROR(GETPIVOTDATA("合計 / 処遇改善加算金",【ピボット】国保連売上!$A$3,"年月",$A165,"事業所コード",$B165,"事業所",$C165,"事業区分",I$1,"請求区分","単月"),0))</f>
        <v>0</v>
      </c>
      <c r="K165" s="659">
        <f ca="1">IF($A165="","",IFERROR(GETPIVOTDATA("合計 / 入金予定",【ピボット】国保連売上!$A$3,"年月",$A165,"事業所コード",$B165,"事業所",$C165,"事業区分",K$1,"請求区分","単月"),0)
+IFERROR(GETPIVOTDATA("合計 / 入金予定",【ピボット】国保連売上!$A$3,"年月",$A165,"事業所コード",$B165,"事業所",$C165,"事業区分",K$1,"請求区分","再請求"),0))</f>
        <v>710413</v>
      </c>
      <c r="L165" s="659">
        <f ca="1">IF($A165="","",IFERROR(GETPIVOTDATA("合計 / 処遇改善加算金",【ピボット】国保連売上!$A$3,"年月",$A165,"事業所コード",$B165,"事業所",$C165,"事業区分",K$1,"請求区分","単月"),0))</f>
        <v>248202</v>
      </c>
      <c r="M165" s="659">
        <f ca="1">IF($A165="","",IFERROR(GETPIVOTDATA("合計 / 入金予定",【ピボット】国保連売上!$A$3,"年月",$A165,"事業所コード",$B165,"事業所",$C165,"事業区分",M$1,"請求区分","単月"),0)
+IFERROR(GETPIVOTDATA("合計 / 入金予定",【ピボット】国保連売上!$A$3,"年月",$A165,"事業所コード",$B165,"事業所",$C165,"事業区分",M$1,"請求区分","再請求"),0))</f>
        <v>0</v>
      </c>
      <c r="N165" s="660">
        <v>0</v>
      </c>
      <c r="O165" s="660">
        <v>0</v>
      </c>
      <c r="P165" s="660">
        <v>0</v>
      </c>
      <c r="Q165" s="660">
        <v>0</v>
      </c>
      <c r="R165" s="660">
        <v>0</v>
      </c>
      <c r="S165" s="660">
        <v>61000</v>
      </c>
      <c r="T165" s="660">
        <v>0</v>
      </c>
      <c r="U165" s="660">
        <v>0</v>
      </c>
      <c r="V165" s="660">
        <v>-30000</v>
      </c>
      <c r="W165" s="660">
        <v>0</v>
      </c>
      <c r="X165" s="660">
        <v>0</v>
      </c>
      <c r="Y165" s="659">
        <f t="shared" ca="1" si="6"/>
        <v>741413</v>
      </c>
      <c r="Z165" s="659">
        <f t="shared" ca="1" si="8"/>
        <v>31000</v>
      </c>
    </row>
    <row r="166" spans="1:26" ht="15.95" customHeight="1" x14ac:dyDescent="0.15">
      <c r="A166" s="656">
        <v>43132</v>
      </c>
      <c r="B166" s="657" t="str">
        <f t="shared" ca="1" si="7"/>
        <v>08</v>
      </c>
      <c r="C166" s="658" t="s">
        <v>189</v>
      </c>
      <c r="D166" s="659">
        <f ca="1">IF($A166="","",IFERROR(GETPIVOTDATA("合計 / 入金予定",【ピボット】国保連売上!$A$3,"年月",$A166,"事業所コード",$B166,"事業所",$C166,"事業区分",D$1,"請求区分","単月"),0)
+IFERROR(GETPIVOTDATA("合計 / 入金予定",【ピボット】国保連売上!$A$3,"年月",$A166,"事業所コード",$B166,"事業所",$C166,"事業区分",D$1,"請求区分","再請求"),0))</f>
        <v>0</v>
      </c>
      <c r="E166" s="659">
        <f ca="1">IF($A166="","",IFERROR(GETPIVOTDATA("合計 / 処遇改善加算金",【ピボット】国保連売上!$A$3,"年月",$A166,"事業所コード",$B166,"事業所",$C166,"事業区分",D$1,"請求区分","単月"),0))</f>
        <v>0</v>
      </c>
      <c r="F166" s="659">
        <f ca="1">IF($A166="","",IFERROR(GETPIVOTDATA("合計 / 入金予定",【ピボット】国保連売上!$A$3,"年月",$A166,"事業所コード",$B166,"事業所",$C166,"事業区分",F$1,"請求区分","単月"),0)
+IFERROR(GETPIVOTDATA("合計 / 入金予定",【ピボット】国保連売上!$A$3,"年月",$A166,"事業所コード",$B166,"事業所",$C166,"事業区分",F$1,"請求区分","再請求"),0))</f>
        <v>0</v>
      </c>
      <c r="G166" s="659">
        <f ca="1">IF($A166="","",IFERROR(GETPIVOTDATA("合計 / 処遇改善加算金",【ピボット】国保連売上!$A$3,"年月",$A166,"事業所コード",$B166,"事業所",$C166,"事業区分",F$1,"請求区分","単月"),0))</f>
        <v>0</v>
      </c>
      <c r="H166" s="659">
        <f ca="1">IF($A166="","",IFERROR(GETPIVOTDATA("合計 / 入金予定",【ピボット】国保連売上!$A$3,"年月",$A166,"事業所コード",$B166,"事業所",$C166,"事業区分",H$1,"請求区分","単月"),0)
+IFERROR(GETPIVOTDATA("合計 / 入金予定",【ピボット】国保連売上!$A$3,"年月",$A166,"事業所コード",$B166,"事業所",$C166,"事業区分",H$1,"請求区分","再請求"),0))</f>
        <v>0</v>
      </c>
      <c r="I166" s="659">
        <f ca="1">IF($A166="","",IFERROR(GETPIVOTDATA("合計 / 入金予定",【ピボット】国保連売上!$A$3,"年月",$A166,"事業所コード",$B166,"事業所",$C166,"事業区分",I$1,"請求区分","単月"),0)
+IFERROR(GETPIVOTDATA("合計 / 入金予定",【ピボット】国保連売上!$A$3,"年月",$A166,"事業所コード",$B166,"事業所",$C166,"事業区分",I$1,"請求区分","再請求"),0))</f>
        <v>0</v>
      </c>
      <c r="J166" s="659">
        <f ca="1">IF($A166="","",IFERROR(GETPIVOTDATA("合計 / 処遇改善加算金",【ピボット】国保連売上!$A$3,"年月",$A166,"事業所コード",$B166,"事業所",$C166,"事業区分",I$1,"請求区分","単月"),0))</f>
        <v>0</v>
      </c>
      <c r="K166" s="659">
        <f ca="1">IF($A166="","",IFERROR(GETPIVOTDATA("合計 / 入金予定",【ピボット】国保連売上!$A$3,"年月",$A166,"事業所コード",$B166,"事業所",$C166,"事業区分",K$1,"請求区分","単月"),0)
+IFERROR(GETPIVOTDATA("合計 / 入金予定",【ピボット】国保連売上!$A$3,"年月",$A166,"事業所コード",$B166,"事業所",$C166,"事業区分",K$1,"請求区分","再請求"),0))</f>
        <v>861922</v>
      </c>
      <c r="L166" s="659">
        <f ca="1">IF($A166="","",IFERROR(GETPIVOTDATA("合計 / 処遇改善加算金",【ピボット】国保連売上!$A$3,"年月",$A166,"事業所コード",$B166,"事業所",$C166,"事業区分",K$1,"請求区分","単月"),0))</f>
        <v>0</v>
      </c>
      <c r="M166" s="659">
        <f ca="1">IF($A166="","",IFERROR(GETPIVOTDATA("合計 / 入金予定",【ピボット】国保連売上!$A$3,"年月",$A166,"事業所コード",$B166,"事業所",$C166,"事業区分",M$1,"請求区分","単月"),0)
+IFERROR(GETPIVOTDATA("合計 / 入金予定",【ピボット】国保連売上!$A$3,"年月",$A166,"事業所コード",$B166,"事業所",$C166,"事業区分",M$1,"請求区分","再請求"),0))</f>
        <v>0</v>
      </c>
      <c r="N166" s="660">
        <v>20000</v>
      </c>
      <c r="O166" s="660">
        <v>0</v>
      </c>
      <c r="P166" s="660">
        <v>0</v>
      </c>
      <c r="Q166" s="660">
        <v>0</v>
      </c>
      <c r="R166" s="660">
        <v>0</v>
      </c>
      <c r="S166" s="660">
        <v>98000</v>
      </c>
      <c r="T166" s="660">
        <v>0</v>
      </c>
      <c r="U166" s="660">
        <v>0</v>
      </c>
      <c r="V166" s="660">
        <v>-40000</v>
      </c>
      <c r="W166" s="660">
        <v>0</v>
      </c>
      <c r="X166" s="660">
        <v>0</v>
      </c>
      <c r="Y166" s="659">
        <f t="shared" ca="1" si="6"/>
        <v>939922</v>
      </c>
      <c r="Z166" s="659">
        <f t="shared" ca="1" si="8"/>
        <v>78000</v>
      </c>
    </row>
    <row r="167" spans="1:26" ht="15.95" customHeight="1" x14ac:dyDescent="0.15">
      <c r="A167" s="656">
        <v>43132</v>
      </c>
      <c r="B167" s="657" t="str">
        <f t="shared" ca="1" si="7"/>
        <v>09</v>
      </c>
      <c r="C167" s="658" t="s">
        <v>329</v>
      </c>
      <c r="D167" s="659">
        <f ca="1">IF($A167="","",IFERROR(GETPIVOTDATA("合計 / 入金予定",【ピボット】国保連売上!$A$3,"年月",$A167,"事業所コード",$B167,"事業所",$C167,"事業区分",D$1,"請求区分","単月"),0)
+IFERROR(GETPIVOTDATA("合計 / 入金予定",【ピボット】国保連売上!$A$3,"年月",$A167,"事業所コード",$B167,"事業所",$C167,"事業区分",D$1,"請求区分","再請求"),0))</f>
        <v>0</v>
      </c>
      <c r="E167" s="659">
        <f ca="1">IF($A167="","",IFERROR(GETPIVOTDATA("合計 / 処遇改善加算金",【ピボット】国保連売上!$A$3,"年月",$A167,"事業所コード",$B167,"事業所",$C167,"事業区分",D$1,"請求区分","単月"),0))</f>
        <v>0</v>
      </c>
      <c r="F167" s="659">
        <f ca="1">IF($A167="","",IFERROR(GETPIVOTDATA("合計 / 入金予定",【ピボット】国保連売上!$A$3,"年月",$A167,"事業所コード",$B167,"事業所",$C167,"事業区分",F$1,"請求区分","単月"),0)
+IFERROR(GETPIVOTDATA("合計 / 入金予定",【ピボット】国保連売上!$A$3,"年月",$A167,"事業所コード",$B167,"事業所",$C167,"事業区分",F$1,"請求区分","再請求"),0))</f>
        <v>0</v>
      </c>
      <c r="G167" s="659">
        <f ca="1">IF($A167="","",IFERROR(GETPIVOTDATA("合計 / 処遇改善加算金",【ピボット】国保連売上!$A$3,"年月",$A167,"事業所コード",$B167,"事業所",$C167,"事業区分",F$1,"請求区分","単月"),0))</f>
        <v>0</v>
      </c>
      <c r="H167" s="659">
        <f ca="1">IF($A167="","",IFERROR(GETPIVOTDATA("合計 / 入金予定",【ピボット】国保連売上!$A$3,"年月",$A167,"事業所コード",$B167,"事業所",$C167,"事業区分",H$1,"請求区分","単月"),0)
+IFERROR(GETPIVOTDATA("合計 / 入金予定",【ピボット】国保連売上!$A$3,"年月",$A167,"事業所コード",$B167,"事業所",$C167,"事業区分",H$1,"請求区分","再請求"),0))</f>
        <v>0</v>
      </c>
      <c r="I167" s="659">
        <f ca="1">IF($A167="","",IFERROR(GETPIVOTDATA("合計 / 入金予定",【ピボット】国保連売上!$A$3,"年月",$A167,"事業所コード",$B167,"事業所",$C167,"事業区分",I$1,"請求区分","単月"),0)
+IFERROR(GETPIVOTDATA("合計 / 入金予定",【ピボット】国保連売上!$A$3,"年月",$A167,"事業所コード",$B167,"事業所",$C167,"事業区分",I$1,"請求区分","再請求"),0))</f>
        <v>0</v>
      </c>
      <c r="J167" s="659">
        <f ca="1">IF($A167="","",IFERROR(GETPIVOTDATA("合計 / 処遇改善加算金",【ピボット】国保連売上!$A$3,"年月",$A167,"事業所コード",$B167,"事業所",$C167,"事業区分",I$1,"請求区分","単月"),0))</f>
        <v>0</v>
      </c>
      <c r="K167" s="659">
        <f ca="1">IF($A167="","",IFERROR(GETPIVOTDATA("合計 / 入金予定",【ピボット】国保連売上!$A$3,"年月",$A167,"事業所コード",$B167,"事業所",$C167,"事業区分",K$1,"請求区分","単月"),0)
+IFERROR(GETPIVOTDATA("合計 / 入金予定",【ピボット】国保連売上!$A$3,"年月",$A167,"事業所コード",$B167,"事業所",$C167,"事業区分",K$1,"請求区分","再請求"),0))</f>
        <v>2200178</v>
      </c>
      <c r="L167" s="659">
        <f ca="1">IF($A167="","",IFERROR(GETPIVOTDATA("合計 / 処遇改善加算金",【ピボット】国保連売上!$A$3,"年月",$A167,"事業所コード",$B167,"事業所",$C167,"事業区分",K$1,"請求区分","単月"),0))</f>
        <v>0</v>
      </c>
      <c r="M167" s="659">
        <f ca="1">IF($A167="","",IFERROR(GETPIVOTDATA("合計 / 入金予定",【ピボット】国保連売上!$A$3,"年月",$A167,"事業所コード",$B167,"事業所",$C167,"事業区分",M$1,"請求区分","単月"),0)
+IFERROR(GETPIVOTDATA("合計 / 入金予定",【ピボット】国保連売上!$A$3,"年月",$A167,"事業所コード",$B167,"事業所",$C167,"事業区分",M$1,"請求区分","再請求"),0))</f>
        <v>0</v>
      </c>
      <c r="N167" s="660">
        <v>0</v>
      </c>
      <c r="O167" s="660">
        <v>0</v>
      </c>
      <c r="P167" s="660">
        <v>0</v>
      </c>
      <c r="Q167" s="660">
        <v>0</v>
      </c>
      <c r="R167" s="660">
        <v>0</v>
      </c>
      <c r="S167" s="660">
        <v>400000</v>
      </c>
      <c r="T167" s="660">
        <v>0</v>
      </c>
      <c r="U167" s="660">
        <v>0</v>
      </c>
      <c r="V167" s="660">
        <v>-100000</v>
      </c>
      <c r="W167" s="660">
        <v>70141</v>
      </c>
      <c r="X167" s="660">
        <v>0</v>
      </c>
      <c r="Y167" s="659">
        <f t="shared" ca="1" si="6"/>
        <v>2570319</v>
      </c>
      <c r="Z167" s="659">
        <f t="shared" ca="1" si="8"/>
        <v>370141</v>
      </c>
    </row>
    <row r="168" spans="1:26" ht="15.95" customHeight="1" x14ac:dyDescent="0.15">
      <c r="A168" s="656">
        <v>43132</v>
      </c>
      <c r="B168" s="657" t="str">
        <f t="shared" ca="1" si="7"/>
        <v>05</v>
      </c>
      <c r="C168" s="658" t="s">
        <v>38</v>
      </c>
      <c r="D168" s="659">
        <f ca="1">IF($A168="","",IFERROR(GETPIVOTDATA("合計 / 入金予定",【ピボット】国保連売上!$A$3,"年月",$A168,"事業所コード",$B168,"事業所",$C168,"事業区分",D$1,"請求区分","単月"),0)
+IFERROR(GETPIVOTDATA("合計 / 入金予定",【ピボット】国保連売上!$A$3,"年月",$A168,"事業所コード",$B168,"事業所",$C168,"事業区分",D$1,"請求区分","再請求"),0))</f>
        <v>2306499</v>
      </c>
      <c r="E168" s="659">
        <f ca="1">IF($A168="","",IFERROR(GETPIVOTDATA("合計 / 処遇改善加算金",【ピボット】国保連売上!$A$3,"年月",$A168,"事業所コード",$B168,"事業所",$C168,"事業区分",D$1,"請求区分","単月"),0))</f>
        <v>0</v>
      </c>
      <c r="F168" s="659">
        <f ca="1">IF($A168="","",IFERROR(GETPIVOTDATA("合計 / 入金予定",【ピボット】国保連売上!$A$3,"年月",$A168,"事業所コード",$B168,"事業所",$C168,"事業区分",F$1,"請求区分","単月"),0)
+IFERROR(GETPIVOTDATA("合計 / 入金予定",【ピボット】国保連売上!$A$3,"年月",$A168,"事業所コード",$B168,"事業所",$C168,"事業区分",F$1,"請求区分","再請求"),0))</f>
        <v>0</v>
      </c>
      <c r="G168" s="659">
        <f ca="1">IF($A168="","",IFERROR(GETPIVOTDATA("合計 / 処遇改善加算金",【ピボット】国保連売上!$A$3,"年月",$A168,"事業所コード",$B168,"事業所",$C168,"事業区分",F$1,"請求区分","単月"),0))</f>
        <v>0</v>
      </c>
      <c r="H168" s="659">
        <f ca="1">IF($A168="","",IFERROR(GETPIVOTDATA("合計 / 入金予定",【ピボット】国保連売上!$A$3,"年月",$A168,"事業所コード",$B168,"事業所",$C168,"事業区分",H$1,"請求区分","単月"),0)
+IFERROR(GETPIVOTDATA("合計 / 入金予定",【ピボット】国保連売上!$A$3,"年月",$A168,"事業所コード",$B168,"事業所",$C168,"事業区分",H$1,"請求区分","再請求"),0))</f>
        <v>0</v>
      </c>
      <c r="I168" s="659">
        <f ca="1">IF($A168="","",IFERROR(GETPIVOTDATA("合計 / 入金予定",【ピボット】国保連売上!$A$3,"年月",$A168,"事業所コード",$B168,"事業所",$C168,"事業区分",I$1,"請求区分","単月"),0)
+IFERROR(GETPIVOTDATA("合計 / 入金予定",【ピボット】国保連売上!$A$3,"年月",$A168,"事業所コード",$B168,"事業所",$C168,"事業区分",I$1,"請求区分","再請求"),0))</f>
        <v>0</v>
      </c>
      <c r="J168" s="659">
        <f ca="1">IF($A168="","",IFERROR(GETPIVOTDATA("合計 / 処遇改善加算金",【ピボット】国保連売上!$A$3,"年月",$A168,"事業所コード",$B168,"事業所",$C168,"事業区分",I$1,"請求区分","単月"),0))</f>
        <v>0</v>
      </c>
      <c r="K168" s="659">
        <f ca="1">IF($A168="","",IFERROR(GETPIVOTDATA("合計 / 入金予定",【ピボット】国保連売上!$A$3,"年月",$A168,"事業所コード",$B168,"事業所",$C168,"事業区分",K$1,"請求区分","単月"),0)
+IFERROR(GETPIVOTDATA("合計 / 入金予定",【ピボット】国保連売上!$A$3,"年月",$A168,"事業所コード",$B168,"事業所",$C168,"事業区分",K$1,"請求区分","再請求"),0))</f>
        <v>0</v>
      </c>
      <c r="L168" s="659">
        <f ca="1">IF($A168="","",IFERROR(GETPIVOTDATA("合計 / 処遇改善加算金",【ピボット】国保連売上!$A$3,"年月",$A168,"事業所コード",$B168,"事業所",$C168,"事業区分",K$1,"請求区分","単月"),0))</f>
        <v>0</v>
      </c>
      <c r="M168" s="659">
        <f ca="1">IF($A168="","",IFERROR(GETPIVOTDATA("合計 / 入金予定",【ピボット】国保連売上!$A$3,"年月",$A168,"事業所コード",$B168,"事業所",$C168,"事業区分",M$1,"請求区分","単月"),0)
+IFERROR(GETPIVOTDATA("合計 / 入金予定",【ピボット】国保連売上!$A$3,"年月",$A168,"事業所コード",$B168,"事業所",$C168,"事業区分",M$1,"請求区分","再請求"),0))</f>
        <v>0</v>
      </c>
      <c r="N168" s="660">
        <v>0</v>
      </c>
      <c r="O168" s="660">
        <v>0</v>
      </c>
      <c r="P168" s="660">
        <v>0</v>
      </c>
      <c r="Q168" s="660">
        <v>0</v>
      </c>
      <c r="R168" s="660">
        <v>0</v>
      </c>
      <c r="S168" s="660">
        <v>751461</v>
      </c>
      <c r="T168" s="660">
        <v>0</v>
      </c>
      <c r="U168" s="660">
        <v>0</v>
      </c>
      <c r="V168" s="660">
        <v>0</v>
      </c>
      <c r="W168" s="660">
        <v>0</v>
      </c>
      <c r="X168" s="660">
        <v>0</v>
      </c>
      <c r="Y168" s="659">
        <f t="shared" ca="1" si="6"/>
        <v>3057960</v>
      </c>
      <c r="Z168" s="659">
        <f t="shared" ca="1" si="8"/>
        <v>751461</v>
      </c>
    </row>
    <row r="169" spans="1:26" ht="15.95" customHeight="1" x14ac:dyDescent="0.15">
      <c r="A169" s="656">
        <v>43132</v>
      </c>
      <c r="B169" s="657" t="str">
        <f t="shared" ca="1" si="7"/>
        <v>10</v>
      </c>
      <c r="C169" s="658" t="s">
        <v>336</v>
      </c>
      <c r="D169" s="659">
        <f ca="1">IF($A169="","",IFERROR(GETPIVOTDATA("合計 / 入金予定",【ピボット】国保連売上!$A$3,"年月",$A169,"事業所コード",$B169,"事業所",$C169,"事業区分",D$1,"請求区分","単月"),0)
+IFERROR(GETPIVOTDATA("合計 / 入金予定",【ピボット】国保連売上!$A$3,"年月",$A169,"事業所コード",$B169,"事業所",$C169,"事業区分",D$1,"請求区分","再請求"),0))</f>
        <v>824973</v>
      </c>
      <c r="E169" s="659">
        <f ca="1">IF($A169="","",IFERROR(GETPIVOTDATA("合計 / 処遇改善加算金",【ピボット】国保連売上!$A$3,"年月",$A169,"事業所コード",$B169,"事業所",$C169,"事業区分",D$1,"請求区分","単月"),0))</f>
        <v>0</v>
      </c>
      <c r="F169" s="659">
        <f ca="1">IF($A169="","",IFERROR(GETPIVOTDATA("合計 / 入金予定",【ピボット】国保連売上!$A$3,"年月",$A169,"事業所コード",$B169,"事業所",$C169,"事業区分",F$1,"請求区分","単月"),0)
+IFERROR(GETPIVOTDATA("合計 / 入金予定",【ピボット】国保連売上!$A$3,"年月",$A169,"事業所コード",$B169,"事業所",$C169,"事業区分",F$1,"請求区分","再請求"),0))</f>
        <v>0</v>
      </c>
      <c r="G169" s="659">
        <f ca="1">IF($A169="","",IFERROR(GETPIVOTDATA("合計 / 処遇改善加算金",【ピボット】国保連売上!$A$3,"年月",$A169,"事業所コード",$B169,"事業所",$C169,"事業区分",F$1,"請求区分","単月"),0))</f>
        <v>0</v>
      </c>
      <c r="H169" s="659">
        <f ca="1">IF($A169="","",IFERROR(GETPIVOTDATA("合計 / 入金予定",【ピボット】国保連売上!$A$3,"年月",$A169,"事業所コード",$B169,"事業所",$C169,"事業区分",H$1,"請求区分","単月"),0)
+IFERROR(GETPIVOTDATA("合計 / 入金予定",【ピボット】国保連売上!$A$3,"年月",$A169,"事業所コード",$B169,"事業所",$C169,"事業区分",H$1,"請求区分","再請求"),0))</f>
        <v>0</v>
      </c>
      <c r="I169" s="659">
        <f ca="1">IF($A169="","",IFERROR(GETPIVOTDATA("合計 / 入金予定",【ピボット】国保連売上!$A$3,"年月",$A169,"事業所コード",$B169,"事業所",$C169,"事業区分",I$1,"請求区分","単月"),0)
+IFERROR(GETPIVOTDATA("合計 / 入金予定",【ピボット】国保連売上!$A$3,"年月",$A169,"事業所コード",$B169,"事業所",$C169,"事業区分",I$1,"請求区分","再請求"),0))</f>
        <v>0</v>
      </c>
      <c r="J169" s="659">
        <f ca="1">IF($A169="","",IFERROR(GETPIVOTDATA("合計 / 処遇改善加算金",【ピボット】国保連売上!$A$3,"年月",$A169,"事業所コード",$B169,"事業所",$C169,"事業区分",I$1,"請求区分","単月"),0))</f>
        <v>0</v>
      </c>
      <c r="K169" s="659">
        <f ca="1">IF($A169="","",IFERROR(GETPIVOTDATA("合計 / 入金予定",【ピボット】国保連売上!$A$3,"年月",$A169,"事業所コード",$B169,"事業所",$C169,"事業区分",K$1,"請求区分","単月"),0)
+IFERROR(GETPIVOTDATA("合計 / 入金予定",【ピボット】国保連売上!$A$3,"年月",$A169,"事業所コード",$B169,"事業所",$C169,"事業区分",K$1,"請求区分","再請求"),0))</f>
        <v>0</v>
      </c>
      <c r="L169" s="659">
        <f ca="1">IF($A169="","",IFERROR(GETPIVOTDATA("合計 / 処遇改善加算金",【ピボット】国保連売上!$A$3,"年月",$A169,"事業所コード",$B169,"事業所",$C169,"事業区分",K$1,"請求区分","単月"),0))</f>
        <v>0</v>
      </c>
      <c r="M169" s="659">
        <f ca="1">IF($A169="","",IFERROR(GETPIVOTDATA("合計 / 入金予定",【ピボット】国保連売上!$A$3,"年月",$A169,"事業所コード",$B169,"事業所",$C169,"事業区分",M$1,"請求区分","単月"),0)
+IFERROR(GETPIVOTDATA("合計 / 入金予定",【ピボット】国保連売上!$A$3,"年月",$A169,"事業所コード",$B169,"事業所",$C169,"事業区分",M$1,"請求区分","再請求"),0))</f>
        <v>0</v>
      </c>
      <c r="N169" s="660">
        <v>142900</v>
      </c>
      <c r="O169" s="660">
        <v>56160</v>
      </c>
      <c r="P169" s="660">
        <v>1145630</v>
      </c>
      <c r="Q169" s="660">
        <v>0</v>
      </c>
      <c r="R169" s="660">
        <v>0</v>
      </c>
      <c r="S169" s="660">
        <v>0</v>
      </c>
      <c r="T169" s="660">
        <v>0</v>
      </c>
      <c r="U169" s="660">
        <v>0</v>
      </c>
      <c r="V169" s="660">
        <v>0</v>
      </c>
      <c r="W169" s="660">
        <v>0</v>
      </c>
      <c r="X169" s="660">
        <v>0</v>
      </c>
      <c r="Y169" s="659">
        <f t="shared" ca="1" si="6"/>
        <v>2169663</v>
      </c>
      <c r="Z169" s="659">
        <f t="shared" ca="1" si="8"/>
        <v>1344690</v>
      </c>
    </row>
    <row r="170" spans="1:26" ht="15.95" customHeight="1" x14ac:dyDescent="0.15">
      <c r="A170" s="656">
        <v>43160</v>
      </c>
      <c r="B170" s="657" t="str">
        <f t="shared" ca="1" si="7"/>
        <v>01</v>
      </c>
      <c r="C170" s="658" t="s">
        <v>34</v>
      </c>
      <c r="D170" s="659">
        <f ca="1">IF($A170="","",IFERROR(GETPIVOTDATA("合計 / 入金予定",【ピボット】国保連売上!$A$3,"年月",$A170,"事業所コード",$B170,"事業所",$C170,"事業区分",D$1,"請求区分","単月"),0)
+IFERROR(GETPIVOTDATA("合計 / 入金予定",【ピボット】国保連売上!$A$3,"年月",$A170,"事業所コード",$B170,"事業所",$C170,"事業区分",D$1,"請求区分","再請求"),0))</f>
        <v>7739710</v>
      </c>
      <c r="E170" s="659">
        <f ca="1">IF($A170="","",IFERROR(GETPIVOTDATA("合計 / 処遇改善加算金",【ピボット】国保連売上!$A$3,"年月",$A170,"事業所コード",$B170,"事業所",$C170,"事業区分",D$1,"請求区分","単月"),0))</f>
        <v>1292025</v>
      </c>
      <c r="F170" s="659">
        <f ca="1">IF($A170="","",IFERROR(GETPIVOTDATA("合計 / 入金予定",【ピボット】国保連売上!$A$3,"年月",$A170,"事業所コード",$B170,"事業所",$C170,"事業区分",F$1,"請求区分","単月"),0)
+IFERROR(GETPIVOTDATA("合計 / 入金予定",【ピボット】国保連売上!$A$3,"年月",$A170,"事業所コード",$B170,"事業所",$C170,"事業区分",F$1,"請求区分","再請求"),0))</f>
        <v>1269395</v>
      </c>
      <c r="G170" s="659">
        <f ca="1">IF($A170="","",IFERROR(GETPIVOTDATA("合計 / 処遇改善加算金",【ピボット】国保連売上!$A$3,"年月",$A170,"事業所コード",$B170,"事業所",$C170,"事業区分",F$1,"請求区分","単月"),0))</f>
        <v>269529</v>
      </c>
      <c r="H170" s="659">
        <f ca="1">IF($A170="","",IFERROR(GETPIVOTDATA("合計 / 入金予定",【ピボット】国保連売上!$A$3,"年月",$A170,"事業所コード",$B170,"事業所",$C170,"事業区分",H$1,"請求区分","単月"),0)
+IFERROR(GETPIVOTDATA("合計 / 入金予定",【ピボット】国保連売上!$A$3,"年月",$A170,"事業所コード",$B170,"事業所",$C170,"事業区分",H$1,"請求区分","再請求"),0))</f>
        <v>741802</v>
      </c>
      <c r="I170" s="659">
        <f ca="1">IF($A170="","",IFERROR(GETPIVOTDATA("合計 / 入金予定",【ピボット】国保連売上!$A$3,"年月",$A170,"事業所コード",$B170,"事業所",$C170,"事業区分",I$1,"請求区分","単月"),0)
+IFERROR(GETPIVOTDATA("合計 / 入金予定",【ピボット】国保連売上!$A$3,"年月",$A170,"事業所コード",$B170,"事業所",$C170,"事業区分",I$1,"請求区分","再請求"),0))</f>
        <v>0</v>
      </c>
      <c r="J170" s="659">
        <f ca="1">IF($A170="","",IFERROR(GETPIVOTDATA("合計 / 処遇改善加算金",【ピボット】国保連売上!$A$3,"年月",$A170,"事業所コード",$B170,"事業所",$C170,"事業区分",I$1,"請求区分","単月"),0))</f>
        <v>0</v>
      </c>
      <c r="K170" s="659">
        <f ca="1">IF($A170="","",IFERROR(GETPIVOTDATA("合計 / 入金予定",【ピボット】国保連売上!$A$3,"年月",$A170,"事業所コード",$B170,"事業所",$C170,"事業区分",K$1,"請求区分","単月"),0)
+IFERROR(GETPIVOTDATA("合計 / 入金予定",【ピボット】国保連売上!$A$3,"年月",$A170,"事業所コード",$B170,"事業所",$C170,"事業区分",K$1,"請求区分","再請求"),0))</f>
        <v>0</v>
      </c>
      <c r="L170" s="659">
        <f ca="1">IF($A170="","",IFERROR(GETPIVOTDATA("合計 / 処遇改善加算金",【ピボット】国保連売上!$A$3,"年月",$A170,"事業所コード",$B170,"事業所",$C170,"事業区分",K$1,"請求区分","単月"),0))</f>
        <v>0</v>
      </c>
      <c r="M170" s="659">
        <f ca="1">IF($A170="","",IFERROR(GETPIVOTDATA("合計 / 入金予定",【ピボット】国保連売上!$A$3,"年月",$A170,"事業所コード",$B170,"事業所",$C170,"事業区分",M$1,"請求区分","単月"),0)
+IFERROR(GETPIVOTDATA("合計 / 入金予定",【ピボット】国保連売上!$A$3,"年月",$A170,"事業所コード",$B170,"事業所",$C170,"事業区分",M$1,"請求区分","再請求"),0))</f>
        <v>0</v>
      </c>
      <c r="N170" s="660">
        <v>256891</v>
      </c>
      <c r="O170" s="660">
        <v>43375</v>
      </c>
      <c r="P170" s="660">
        <v>0</v>
      </c>
      <c r="Q170" s="660">
        <v>4928</v>
      </c>
      <c r="R170" s="660">
        <v>144480</v>
      </c>
      <c r="S170" s="660">
        <v>0</v>
      </c>
      <c r="T170" s="660">
        <v>0</v>
      </c>
      <c r="U170" s="660">
        <v>37000</v>
      </c>
      <c r="V170" s="660">
        <v>0</v>
      </c>
      <c r="W170" s="660">
        <v>0</v>
      </c>
      <c r="X170" s="660">
        <v>0</v>
      </c>
      <c r="Y170" s="659">
        <f t="shared" ca="1" si="6"/>
        <v>10237581</v>
      </c>
      <c r="Z170" s="659">
        <f t="shared" ca="1" si="8"/>
        <v>486674</v>
      </c>
    </row>
    <row r="171" spans="1:26" ht="15.95" customHeight="1" x14ac:dyDescent="0.15">
      <c r="A171" s="656">
        <v>43160</v>
      </c>
      <c r="B171" s="657" t="str">
        <f t="shared" ca="1" si="7"/>
        <v>02</v>
      </c>
      <c r="C171" s="658" t="s">
        <v>37</v>
      </c>
      <c r="D171" s="659">
        <f ca="1">IF($A171="","",IFERROR(GETPIVOTDATA("合計 / 入金予定",【ピボット】国保連売上!$A$3,"年月",$A171,"事業所コード",$B171,"事業所",$C171,"事業区分",D$1,"請求区分","単月"),0)
+IFERROR(GETPIVOTDATA("合計 / 入金予定",【ピボット】国保連売上!$A$3,"年月",$A171,"事業所コード",$B171,"事業所",$C171,"事業区分",D$1,"請求区分","再請求"),0))</f>
        <v>3545925</v>
      </c>
      <c r="E171" s="659">
        <f ca="1">IF($A171="","",IFERROR(GETPIVOTDATA("合計 / 処遇改善加算金",【ピボット】国保連売上!$A$3,"年月",$A171,"事業所コード",$B171,"事業所",$C171,"事業区分",D$1,"請求区分","単月"),0))</f>
        <v>520816</v>
      </c>
      <c r="F171" s="659">
        <f ca="1">IF($A171="","",IFERROR(GETPIVOTDATA("合計 / 入金予定",【ピボット】国保連売上!$A$3,"年月",$A171,"事業所コード",$B171,"事業所",$C171,"事業区分",F$1,"請求区分","単月"),0)
+IFERROR(GETPIVOTDATA("合計 / 入金予定",【ピボット】国保連売上!$A$3,"年月",$A171,"事業所コード",$B171,"事業所",$C171,"事業区分",F$1,"請求区分","再請求"),0))</f>
        <v>900769</v>
      </c>
      <c r="G171" s="659">
        <f ca="1">IF($A171="","",IFERROR(GETPIVOTDATA("合計 / 処遇改善加算金",【ピボット】国保連売上!$A$3,"年月",$A171,"事業所コード",$B171,"事業所",$C171,"事業区分",F$1,"請求区分","単月"),0))</f>
        <v>208652</v>
      </c>
      <c r="H171" s="659">
        <f ca="1">IF($A171="","",IFERROR(GETPIVOTDATA("合計 / 入金予定",【ピボット】国保連売上!$A$3,"年月",$A171,"事業所コード",$B171,"事業所",$C171,"事業区分",H$1,"請求区分","単月"),0)
+IFERROR(GETPIVOTDATA("合計 / 入金予定",【ピボット】国保連売上!$A$3,"年月",$A171,"事業所コード",$B171,"事業所",$C171,"事業区分",H$1,"請求区分","再請求"),0))</f>
        <v>483204</v>
      </c>
      <c r="I171" s="659">
        <f ca="1">IF($A171="","",IFERROR(GETPIVOTDATA("合計 / 入金予定",【ピボット】国保連売上!$A$3,"年月",$A171,"事業所コード",$B171,"事業所",$C171,"事業区分",I$1,"請求区分","単月"),0)
+IFERROR(GETPIVOTDATA("合計 / 入金予定",【ピボット】国保連売上!$A$3,"年月",$A171,"事業所コード",$B171,"事業所",$C171,"事業区分",I$1,"請求区分","再請求"),0))</f>
        <v>0</v>
      </c>
      <c r="J171" s="659">
        <f ca="1">IF($A171="","",IFERROR(GETPIVOTDATA("合計 / 処遇改善加算金",【ピボット】国保連売上!$A$3,"年月",$A171,"事業所コード",$B171,"事業所",$C171,"事業区分",I$1,"請求区分","単月"),0))</f>
        <v>0</v>
      </c>
      <c r="K171" s="659">
        <f ca="1">IF($A171="","",IFERROR(GETPIVOTDATA("合計 / 入金予定",【ピボット】国保連売上!$A$3,"年月",$A171,"事業所コード",$B171,"事業所",$C171,"事業区分",K$1,"請求区分","単月"),0)
+IFERROR(GETPIVOTDATA("合計 / 入金予定",【ピボット】国保連売上!$A$3,"年月",$A171,"事業所コード",$B171,"事業所",$C171,"事業区分",K$1,"請求区分","再請求"),0))</f>
        <v>0</v>
      </c>
      <c r="L171" s="659">
        <f ca="1">IF($A171="","",IFERROR(GETPIVOTDATA("合計 / 処遇改善加算金",【ピボット】国保連売上!$A$3,"年月",$A171,"事業所コード",$B171,"事業所",$C171,"事業区分",K$1,"請求区分","単月"),0))</f>
        <v>0</v>
      </c>
      <c r="M171" s="659">
        <f ca="1">IF($A171="","",IFERROR(GETPIVOTDATA("合計 / 入金予定",【ピボット】国保連売上!$A$3,"年月",$A171,"事業所コード",$B171,"事業所",$C171,"事業区分",M$1,"請求区分","単月"),0)
+IFERROR(GETPIVOTDATA("合計 / 入金予定",【ピボット】国保連売上!$A$3,"年月",$A171,"事業所コード",$B171,"事業所",$C171,"事業区分",M$1,"請求区分","再請求"),0))</f>
        <v>0</v>
      </c>
      <c r="N171" s="660">
        <v>351148</v>
      </c>
      <c r="O171" s="660">
        <v>0</v>
      </c>
      <c r="P171" s="660">
        <v>0</v>
      </c>
      <c r="Q171" s="660">
        <v>1839</v>
      </c>
      <c r="R171" s="660">
        <v>102552</v>
      </c>
      <c r="S171" s="660">
        <v>0</v>
      </c>
      <c r="T171" s="660">
        <v>0</v>
      </c>
      <c r="U171" s="660">
        <v>0</v>
      </c>
      <c r="V171" s="660">
        <v>0</v>
      </c>
      <c r="W171" s="660">
        <v>0</v>
      </c>
      <c r="X171" s="660">
        <v>0</v>
      </c>
      <c r="Y171" s="659">
        <f t="shared" ca="1" si="6"/>
        <v>5385437</v>
      </c>
      <c r="Z171" s="659">
        <f t="shared" ca="1" si="8"/>
        <v>455539</v>
      </c>
    </row>
    <row r="172" spans="1:26" ht="15.95" customHeight="1" x14ac:dyDescent="0.15">
      <c r="A172" s="656">
        <v>43160</v>
      </c>
      <c r="B172" s="657" t="str">
        <f t="shared" ca="1" si="7"/>
        <v>03</v>
      </c>
      <c r="C172" s="658" t="s">
        <v>66</v>
      </c>
      <c r="D172" s="659">
        <f ca="1">IF($A172="","",IFERROR(GETPIVOTDATA("合計 / 入金予定",【ピボット】国保連売上!$A$3,"年月",$A172,"事業所コード",$B172,"事業所",$C172,"事業区分",D$1,"請求区分","単月"),0)
+IFERROR(GETPIVOTDATA("合計 / 入金予定",【ピボット】国保連売上!$A$3,"年月",$A172,"事業所コード",$B172,"事業所",$C172,"事業区分",D$1,"請求区分","再請求"),0))</f>
        <v>3915953</v>
      </c>
      <c r="E172" s="659">
        <f ca="1">IF($A172="","",IFERROR(GETPIVOTDATA("合計 / 処遇改善加算金",【ピボット】国保連売上!$A$3,"年月",$A172,"事業所コード",$B172,"事業所",$C172,"事業区分",D$1,"請求区分","単月"),0))</f>
        <v>404767</v>
      </c>
      <c r="F172" s="659">
        <f ca="1">IF($A172="","",IFERROR(GETPIVOTDATA("合計 / 入金予定",【ピボット】国保連売上!$A$3,"年月",$A172,"事業所コード",$B172,"事業所",$C172,"事業区分",F$1,"請求区分","単月"),0)
+IFERROR(GETPIVOTDATA("合計 / 入金予定",【ピボット】国保連売上!$A$3,"年月",$A172,"事業所コード",$B172,"事業所",$C172,"事業区分",F$1,"請求区分","再請求"),0))</f>
        <v>1624154</v>
      </c>
      <c r="G172" s="659">
        <f ca="1">IF($A172="","",IFERROR(GETPIVOTDATA("合計 / 処遇改善加算金",【ピボット】国保連売上!$A$3,"年月",$A172,"事業所コード",$B172,"事業所",$C172,"事業区分",F$1,"請求区分","単月"),0))</f>
        <v>377692</v>
      </c>
      <c r="H172" s="659">
        <f ca="1">IF($A172="","",IFERROR(GETPIVOTDATA("合計 / 入金予定",【ピボット】国保連売上!$A$3,"年月",$A172,"事業所コード",$B172,"事業所",$C172,"事業区分",H$1,"請求区分","単月"),0)
+IFERROR(GETPIVOTDATA("合計 / 入金予定",【ピボット】国保連売上!$A$3,"年月",$A172,"事業所コード",$B172,"事業所",$C172,"事業区分",H$1,"請求区分","再請求"),0))</f>
        <v>0</v>
      </c>
      <c r="I172" s="659">
        <f ca="1">IF($A172="","",IFERROR(GETPIVOTDATA("合計 / 入金予定",【ピボット】国保連売上!$A$3,"年月",$A172,"事業所コード",$B172,"事業所",$C172,"事業区分",I$1,"請求区分","単月"),0)
+IFERROR(GETPIVOTDATA("合計 / 入金予定",【ピボット】国保連売上!$A$3,"年月",$A172,"事業所コード",$B172,"事業所",$C172,"事業区分",I$1,"請求区分","再請求"),0))</f>
        <v>0</v>
      </c>
      <c r="J172" s="659">
        <f ca="1">IF($A172="","",IFERROR(GETPIVOTDATA("合計 / 処遇改善加算金",【ピボット】国保連売上!$A$3,"年月",$A172,"事業所コード",$B172,"事業所",$C172,"事業区分",I$1,"請求区分","単月"),0))</f>
        <v>0</v>
      </c>
      <c r="K172" s="659">
        <f ca="1">IF($A172="","",IFERROR(GETPIVOTDATA("合計 / 入金予定",【ピボット】国保連売上!$A$3,"年月",$A172,"事業所コード",$B172,"事業所",$C172,"事業区分",K$1,"請求区分","単月"),0)
+IFERROR(GETPIVOTDATA("合計 / 入金予定",【ピボット】国保連売上!$A$3,"年月",$A172,"事業所コード",$B172,"事業所",$C172,"事業区分",K$1,"請求区分","再請求"),0))</f>
        <v>0</v>
      </c>
      <c r="L172" s="659">
        <f ca="1">IF($A172="","",IFERROR(GETPIVOTDATA("合計 / 処遇改善加算金",【ピボット】国保連売上!$A$3,"年月",$A172,"事業所コード",$B172,"事業所",$C172,"事業区分",K$1,"請求区分","単月"),0))</f>
        <v>0</v>
      </c>
      <c r="M172" s="659">
        <f ca="1">IF($A172="","",IFERROR(GETPIVOTDATA("合計 / 入金予定",【ピボット】国保連売上!$A$3,"年月",$A172,"事業所コード",$B172,"事業所",$C172,"事業区分",M$1,"請求区分","単月"),0)
+IFERROR(GETPIVOTDATA("合計 / 入金予定",【ピボット】国保連売上!$A$3,"年月",$A172,"事業所コード",$B172,"事業所",$C172,"事業区分",M$1,"請求区分","再請求"),0))</f>
        <v>0</v>
      </c>
      <c r="N172" s="660">
        <v>82704</v>
      </c>
      <c r="O172" s="660">
        <v>117311</v>
      </c>
      <c r="P172" s="660">
        <v>49220</v>
      </c>
      <c r="Q172" s="660">
        <v>3902</v>
      </c>
      <c r="R172" s="660">
        <v>0</v>
      </c>
      <c r="S172" s="660">
        <v>0</v>
      </c>
      <c r="T172" s="660">
        <v>0</v>
      </c>
      <c r="U172" s="660">
        <v>0</v>
      </c>
      <c r="V172" s="660">
        <v>0</v>
      </c>
      <c r="W172" s="660">
        <v>0</v>
      </c>
      <c r="X172" s="660">
        <v>0</v>
      </c>
      <c r="Y172" s="659">
        <f t="shared" ca="1" si="6"/>
        <v>5793244</v>
      </c>
      <c r="Z172" s="659">
        <f t="shared" ca="1" si="8"/>
        <v>253137</v>
      </c>
    </row>
    <row r="173" spans="1:26" ht="15.95" customHeight="1" x14ac:dyDescent="0.15">
      <c r="A173" s="656">
        <v>43160</v>
      </c>
      <c r="B173" s="657" t="str">
        <f t="shared" ca="1" si="7"/>
        <v>04</v>
      </c>
      <c r="C173" s="658" t="s">
        <v>358</v>
      </c>
      <c r="D173" s="659">
        <f ca="1">IF($A173="","",IFERROR(GETPIVOTDATA("合計 / 入金予定",【ピボット】国保連売上!$A$3,"年月",$A173,"事業所コード",$B173,"事業所",$C173,"事業区分",D$1,"請求区分","単月"),0)
+IFERROR(GETPIVOTDATA("合計 / 入金予定",【ピボット】国保連売上!$A$3,"年月",$A173,"事業所コード",$B173,"事業所",$C173,"事業区分",D$1,"請求区分","再請求"),0))</f>
        <v>0</v>
      </c>
      <c r="E173" s="659">
        <f ca="1">IF($A173="","",IFERROR(GETPIVOTDATA("合計 / 処遇改善加算金",【ピボット】国保連売上!$A$3,"年月",$A173,"事業所コード",$B173,"事業所",$C173,"事業区分",D$1,"請求区分","単月"),0))</f>
        <v>0</v>
      </c>
      <c r="F173" s="659">
        <f ca="1">IF($A173="","",IFERROR(GETPIVOTDATA("合計 / 入金予定",【ピボット】国保連売上!$A$3,"年月",$A173,"事業所コード",$B173,"事業所",$C173,"事業区分",F$1,"請求区分","単月"),0)
+IFERROR(GETPIVOTDATA("合計 / 入金予定",【ピボット】国保連売上!$A$3,"年月",$A173,"事業所コード",$B173,"事業所",$C173,"事業区分",F$1,"請求区分","再請求"),0))</f>
        <v>0</v>
      </c>
      <c r="G173" s="659">
        <f ca="1">IF($A173="","",IFERROR(GETPIVOTDATA("合計 / 処遇改善加算金",【ピボット】国保連売上!$A$3,"年月",$A173,"事業所コード",$B173,"事業所",$C173,"事業区分",F$1,"請求区分","単月"),0))</f>
        <v>0</v>
      </c>
      <c r="H173" s="659">
        <f ca="1">IF($A173="","",IFERROR(GETPIVOTDATA("合計 / 入金予定",【ピボット】国保連売上!$A$3,"年月",$A173,"事業所コード",$B173,"事業所",$C173,"事業区分",H$1,"請求区分","単月"),0)
+IFERROR(GETPIVOTDATA("合計 / 入金予定",【ピボット】国保連売上!$A$3,"年月",$A173,"事業所コード",$B173,"事業所",$C173,"事業区分",H$1,"請求区分","再請求"),0))</f>
        <v>0</v>
      </c>
      <c r="I173" s="659">
        <f ca="1">IF($A173="","",IFERROR(GETPIVOTDATA("合計 / 入金予定",【ピボット】国保連売上!$A$3,"年月",$A173,"事業所コード",$B173,"事業所",$C173,"事業区分",I$1,"請求区分","単月"),0)
+IFERROR(GETPIVOTDATA("合計 / 入金予定",【ピボット】国保連売上!$A$3,"年月",$A173,"事業所コード",$B173,"事業所",$C173,"事業区分",I$1,"請求区分","再請求"),0))</f>
        <v>3245270</v>
      </c>
      <c r="J173" s="659">
        <f ca="1">IF($A173="","",IFERROR(GETPIVOTDATA("合計 / 処遇改善加算金",【ピボット】国保連売上!$A$3,"年月",$A173,"事業所コード",$B173,"事業所",$C173,"事業区分",I$1,"請求区分","単月"),0))</f>
        <v>186659</v>
      </c>
      <c r="K173" s="659">
        <f ca="1">IF($A173="","",IFERROR(GETPIVOTDATA("合計 / 入金予定",【ピボット】国保連売上!$A$3,"年月",$A173,"事業所コード",$B173,"事業所",$C173,"事業区分",K$1,"請求区分","単月"),0)
+IFERROR(GETPIVOTDATA("合計 / 入金予定",【ピボット】国保連売上!$A$3,"年月",$A173,"事業所コード",$B173,"事業所",$C173,"事業区分",K$1,"請求区分","再請求"),0))</f>
        <v>0</v>
      </c>
      <c r="L173" s="659">
        <f ca="1">IF($A173="","",IFERROR(GETPIVOTDATA("合計 / 処遇改善加算金",【ピボット】国保連売上!$A$3,"年月",$A173,"事業所コード",$B173,"事業所",$C173,"事業区分",K$1,"請求区分","単月"),0))</f>
        <v>0</v>
      </c>
      <c r="M173" s="659">
        <f ca="1">IF($A173="","",IFERROR(GETPIVOTDATA("合計 / 入金予定",【ピボット】国保連売上!$A$3,"年月",$A173,"事業所コード",$B173,"事業所",$C173,"事業区分",M$1,"請求区分","単月"),0)
+IFERROR(GETPIVOTDATA("合計 / 入金予定",【ピボット】国保連売上!$A$3,"年月",$A173,"事業所コード",$B173,"事業所",$C173,"事業区分",M$1,"請求区分","再請求"),0))</f>
        <v>0</v>
      </c>
      <c r="N173" s="660">
        <v>8203</v>
      </c>
      <c r="O173" s="660">
        <v>0</v>
      </c>
      <c r="P173" s="660">
        <v>0</v>
      </c>
      <c r="Q173" s="660">
        <v>0</v>
      </c>
      <c r="R173" s="660">
        <v>0</v>
      </c>
      <c r="S173" s="660">
        <v>0</v>
      </c>
      <c r="T173" s="660">
        <v>205150</v>
      </c>
      <c r="U173" s="660">
        <v>0</v>
      </c>
      <c r="V173" s="660">
        <v>0</v>
      </c>
      <c r="W173" s="660">
        <v>0</v>
      </c>
      <c r="X173" s="660">
        <v>0</v>
      </c>
      <c r="Y173" s="659">
        <f t="shared" ca="1" si="6"/>
        <v>3458623</v>
      </c>
      <c r="Z173" s="659">
        <f t="shared" ca="1" si="8"/>
        <v>213353</v>
      </c>
    </row>
    <row r="174" spans="1:26" ht="15.95" customHeight="1" x14ac:dyDescent="0.15">
      <c r="A174" s="656">
        <v>43160</v>
      </c>
      <c r="B174" s="657" t="str">
        <f t="shared" ca="1" si="7"/>
        <v>07</v>
      </c>
      <c r="C174" s="658" t="s">
        <v>119</v>
      </c>
      <c r="D174" s="659">
        <f ca="1">IF($A174="","",IFERROR(GETPIVOTDATA("合計 / 入金予定",【ピボット】国保連売上!$A$3,"年月",$A174,"事業所コード",$B174,"事業所",$C174,"事業区分",D$1,"請求区分","単月"),0)
+IFERROR(GETPIVOTDATA("合計 / 入金予定",【ピボット】国保連売上!$A$3,"年月",$A174,"事業所コード",$B174,"事業所",$C174,"事業区分",D$1,"請求区分","再請求"),0))</f>
        <v>0</v>
      </c>
      <c r="E174" s="659">
        <f ca="1">IF($A174="","",IFERROR(GETPIVOTDATA("合計 / 処遇改善加算金",【ピボット】国保連売上!$A$3,"年月",$A174,"事業所コード",$B174,"事業所",$C174,"事業区分",D$1,"請求区分","単月"),0))</f>
        <v>0</v>
      </c>
      <c r="F174" s="659">
        <f ca="1">IF($A174="","",IFERROR(GETPIVOTDATA("合計 / 入金予定",【ピボット】国保連売上!$A$3,"年月",$A174,"事業所コード",$B174,"事業所",$C174,"事業区分",F$1,"請求区分","単月"),0)
+IFERROR(GETPIVOTDATA("合計 / 入金予定",【ピボット】国保連売上!$A$3,"年月",$A174,"事業所コード",$B174,"事業所",$C174,"事業区分",F$1,"請求区分","再請求"),0))</f>
        <v>0</v>
      </c>
      <c r="G174" s="659">
        <f ca="1">IF($A174="","",IFERROR(GETPIVOTDATA("合計 / 処遇改善加算金",【ピボット】国保連売上!$A$3,"年月",$A174,"事業所コード",$B174,"事業所",$C174,"事業区分",F$1,"請求区分","単月"),0))</f>
        <v>0</v>
      </c>
      <c r="H174" s="659">
        <f ca="1">IF($A174="","",IFERROR(GETPIVOTDATA("合計 / 入金予定",【ピボット】国保連売上!$A$3,"年月",$A174,"事業所コード",$B174,"事業所",$C174,"事業区分",H$1,"請求区分","単月"),0)
+IFERROR(GETPIVOTDATA("合計 / 入金予定",【ピボット】国保連売上!$A$3,"年月",$A174,"事業所コード",$B174,"事業所",$C174,"事業区分",H$1,"請求区分","再請求"),0))</f>
        <v>0</v>
      </c>
      <c r="I174" s="659">
        <f ca="1">IF($A174="","",IFERROR(GETPIVOTDATA("合計 / 入金予定",【ピボット】国保連売上!$A$3,"年月",$A174,"事業所コード",$B174,"事業所",$C174,"事業区分",I$1,"請求区分","単月"),0)
+IFERROR(GETPIVOTDATA("合計 / 入金予定",【ピボット】国保連売上!$A$3,"年月",$A174,"事業所コード",$B174,"事業所",$C174,"事業区分",I$1,"請求区分","再請求"),0))</f>
        <v>0</v>
      </c>
      <c r="J174" s="659">
        <f ca="1">IF($A174="","",IFERROR(GETPIVOTDATA("合計 / 処遇改善加算金",【ピボット】国保連売上!$A$3,"年月",$A174,"事業所コード",$B174,"事業所",$C174,"事業区分",I$1,"請求区分","単月"),0))</f>
        <v>0</v>
      </c>
      <c r="K174" s="659">
        <f ca="1">IF($A174="","",IFERROR(GETPIVOTDATA("合計 / 入金予定",【ピボット】国保連売上!$A$3,"年月",$A174,"事業所コード",$B174,"事業所",$C174,"事業区分",K$1,"請求区分","単月"),0)
+IFERROR(GETPIVOTDATA("合計 / 入金予定",【ピボット】国保連売上!$A$3,"年月",$A174,"事業所コード",$B174,"事業所",$C174,"事業区分",K$1,"請求区分","再請求"),0))</f>
        <v>789390</v>
      </c>
      <c r="L174" s="659">
        <f ca="1">IF($A174="","",IFERROR(GETPIVOTDATA("合計 / 処遇改善加算金",【ピボット】国保連売上!$A$3,"年月",$A174,"事業所コード",$B174,"事業所",$C174,"事業区分",K$1,"請求区分","単月"),0))</f>
        <v>268227</v>
      </c>
      <c r="M174" s="659">
        <f ca="1">IF($A174="","",IFERROR(GETPIVOTDATA("合計 / 入金予定",【ピボット】国保連売上!$A$3,"年月",$A174,"事業所コード",$B174,"事業所",$C174,"事業区分",M$1,"請求区分","単月"),0)
+IFERROR(GETPIVOTDATA("合計 / 入金予定",【ピボット】国保連売上!$A$3,"年月",$A174,"事業所コード",$B174,"事業所",$C174,"事業区分",M$1,"請求区分","再請求"),0))</f>
        <v>0</v>
      </c>
      <c r="N174" s="660">
        <v>0</v>
      </c>
      <c r="O174" s="660">
        <v>0</v>
      </c>
      <c r="P174" s="660">
        <v>0</v>
      </c>
      <c r="Q174" s="660">
        <v>0</v>
      </c>
      <c r="R174" s="660">
        <v>0</v>
      </c>
      <c r="S174" s="660">
        <v>61000</v>
      </c>
      <c r="T174" s="660">
        <v>0</v>
      </c>
      <c r="U174" s="660">
        <v>0</v>
      </c>
      <c r="V174" s="660">
        <v>-30000</v>
      </c>
      <c r="W174" s="660">
        <v>0</v>
      </c>
      <c r="X174" s="660">
        <v>0</v>
      </c>
      <c r="Y174" s="659">
        <f t="shared" ca="1" si="6"/>
        <v>820390</v>
      </c>
      <c r="Z174" s="659">
        <f t="shared" ca="1" si="8"/>
        <v>31000</v>
      </c>
    </row>
    <row r="175" spans="1:26" ht="15.95" customHeight="1" x14ac:dyDescent="0.15">
      <c r="A175" s="656">
        <v>43160</v>
      </c>
      <c r="B175" s="657" t="str">
        <f t="shared" ca="1" si="7"/>
        <v>08</v>
      </c>
      <c r="C175" s="658" t="s">
        <v>189</v>
      </c>
      <c r="D175" s="659">
        <f ca="1">IF($A175="","",IFERROR(GETPIVOTDATA("合計 / 入金予定",【ピボット】国保連売上!$A$3,"年月",$A175,"事業所コード",$B175,"事業所",$C175,"事業区分",D$1,"請求区分","単月"),0)
+IFERROR(GETPIVOTDATA("合計 / 入金予定",【ピボット】国保連売上!$A$3,"年月",$A175,"事業所コード",$B175,"事業所",$C175,"事業区分",D$1,"請求区分","再請求"),0))</f>
        <v>0</v>
      </c>
      <c r="E175" s="659">
        <f ca="1">IF($A175="","",IFERROR(GETPIVOTDATA("合計 / 処遇改善加算金",【ピボット】国保連売上!$A$3,"年月",$A175,"事業所コード",$B175,"事業所",$C175,"事業区分",D$1,"請求区分","単月"),0))</f>
        <v>0</v>
      </c>
      <c r="F175" s="659">
        <f ca="1">IF($A175="","",IFERROR(GETPIVOTDATA("合計 / 入金予定",【ピボット】国保連売上!$A$3,"年月",$A175,"事業所コード",$B175,"事業所",$C175,"事業区分",F$1,"請求区分","単月"),0)
+IFERROR(GETPIVOTDATA("合計 / 入金予定",【ピボット】国保連売上!$A$3,"年月",$A175,"事業所コード",$B175,"事業所",$C175,"事業区分",F$1,"請求区分","再請求"),0))</f>
        <v>0</v>
      </c>
      <c r="G175" s="659">
        <f ca="1">IF($A175="","",IFERROR(GETPIVOTDATA("合計 / 処遇改善加算金",【ピボット】国保連売上!$A$3,"年月",$A175,"事業所コード",$B175,"事業所",$C175,"事業区分",F$1,"請求区分","単月"),0))</f>
        <v>0</v>
      </c>
      <c r="H175" s="659">
        <f ca="1">IF($A175="","",IFERROR(GETPIVOTDATA("合計 / 入金予定",【ピボット】国保連売上!$A$3,"年月",$A175,"事業所コード",$B175,"事業所",$C175,"事業区分",H$1,"請求区分","単月"),0)
+IFERROR(GETPIVOTDATA("合計 / 入金予定",【ピボット】国保連売上!$A$3,"年月",$A175,"事業所コード",$B175,"事業所",$C175,"事業区分",H$1,"請求区分","再請求"),0))</f>
        <v>0</v>
      </c>
      <c r="I175" s="659">
        <f ca="1">IF($A175="","",IFERROR(GETPIVOTDATA("合計 / 入金予定",【ピボット】国保連売上!$A$3,"年月",$A175,"事業所コード",$B175,"事業所",$C175,"事業区分",I$1,"請求区分","単月"),0)
+IFERROR(GETPIVOTDATA("合計 / 入金予定",【ピボット】国保連売上!$A$3,"年月",$A175,"事業所コード",$B175,"事業所",$C175,"事業区分",I$1,"請求区分","再請求"),0))</f>
        <v>0</v>
      </c>
      <c r="J175" s="659">
        <f ca="1">IF($A175="","",IFERROR(GETPIVOTDATA("合計 / 処遇改善加算金",【ピボット】国保連売上!$A$3,"年月",$A175,"事業所コード",$B175,"事業所",$C175,"事業区分",I$1,"請求区分","単月"),0))</f>
        <v>0</v>
      </c>
      <c r="K175" s="659">
        <f ca="1">IF($A175="","",IFERROR(GETPIVOTDATA("合計 / 入金予定",【ピボット】国保連売上!$A$3,"年月",$A175,"事業所コード",$B175,"事業所",$C175,"事業区分",K$1,"請求区分","単月"),0)
+IFERROR(GETPIVOTDATA("合計 / 入金予定",【ピボット】国保連売上!$A$3,"年月",$A175,"事業所コード",$B175,"事業所",$C175,"事業区分",K$1,"請求区分","再請求"),0))</f>
        <v>847336</v>
      </c>
      <c r="L175" s="659">
        <f ca="1">IF($A175="","",IFERROR(GETPIVOTDATA("合計 / 処遇改善加算金",【ピボット】国保連売上!$A$3,"年月",$A175,"事業所コード",$B175,"事業所",$C175,"事業区分",K$1,"請求区分","単月"),0))</f>
        <v>0</v>
      </c>
      <c r="M175" s="659">
        <f ca="1">IF($A175="","",IFERROR(GETPIVOTDATA("合計 / 入金予定",【ピボット】国保連売上!$A$3,"年月",$A175,"事業所コード",$B175,"事業所",$C175,"事業区分",M$1,"請求区分","単月"),0)
+IFERROR(GETPIVOTDATA("合計 / 入金予定",【ピボット】国保連売上!$A$3,"年月",$A175,"事業所コード",$B175,"事業所",$C175,"事業区分",M$1,"請求区分","再請求"),0))</f>
        <v>0</v>
      </c>
      <c r="N175" s="660">
        <v>20000</v>
      </c>
      <c r="O175" s="660">
        <v>0</v>
      </c>
      <c r="P175" s="660">
        <v>0</v>
      </c>
      <c r="Q175" s="660">
        <v>0</v>
      </c>
      <c r="R175" s="660">
        <v>0</v>
      </c>
      <c r="S175" s="660">
        <v>98000</v>
      </c>
      <c r="T175" s="660">
        <v>0</v>
      </c>
      <c r="U175" s="660">
        <v>0</v>
      </c>
      <c r="V175" s="660">
        <v>-40000</v>
      </c>
      <c r="W175" s="660">
        <v>280500</v>
      </c>
      <c r="X175" s="660">
        <v>0</v>
      </c>
      <c r="Y175" s="659">
        <f t="shared" ca="1" si="6"/>
        <v>1205836</v>
      </c>
      <c r="Z175" s="659">
        <f t="shared" ca="1" si="8"/>
        <v>358500</v>
      </c>
    </row>
    <row r="176" spans="1:26" ht="15.95" customHeight="1" x14ac:dyDescent="0.15">
      <c r="A176" s="656">
        <v>43160</v>
      </c>
      <c r="B176" s="657" t="str">
        <f t="shared" ca="1" si="7"/>
        <v>09</v>
      </c>
      <c r="C176" s="658" t="s">
        <v>329</v>
      </c>
      <c r="D176" s="659">
        <f ca="1">IF($A176="","",IFERROR(GETPIVOTDATA("合計 / 入金予定",【ピボット】国保連売上!$A$3,"年月",$A176,"事業所コード",$B176,"事業所",$C176,"事業区分",D$1,"請求区分","単月"),0)
+IFERROR(GETPIVOTDATA("合計 / 入金予定",【ピボット】国保連売上!$A$3,"年月",$A176,"事業所コード",$B176,"事業所",$C176,"事業区分",D$1,"請求区分","再請求"),0))</f>
        <v>0</v>
      </c>
      <c r="E176" s="659">
        <f ca="1">IF($A176="","",IFERROR(GETPIVOTDATA("合計 / 処遇改善加算金",【ピボット】国保連売上!$A$3,"年月",$A176,"事業所コード",$B176,"事業所",$C176,"事業区分",D$1,"請求区分","単月"),0))</f>
        <v>0</v>
      </c>
      <c r="F176" s="659">
        <f ca="1">IF($A176="","",IFERROR(GETPIVOTDATA("合計 / 入金予定",【ピボット】国保連売上!$A$3,"年月",$A176,"事業所コード",$B176,"事業所",$C176,"事業区分",F$1,"請求区分","単月"),0)
+IFERROR(GETPIVOTDATA("合計 / 入金予定",【ピボット】国保連売上!$A$3,"年月",$A176,"事業所コード",$B176,"事業所",$C176,"事業区分",F$1,"請求区分","再請求"),0))</f>
        <v>0</v>
      </c>
      <c r="G176" s="659">
        <f ca="1">IF($A176="","",IFERROR(GETPIVOTDATA("合計 / 処遇改善加算金",【ピボット】国保連売上!$A$3,"年月",$A176,"事業所コード",$B176,"事業所",$C176,"事業区分",F$1,"請求区分","単月"),0))</f>
        <v>0</v>
      </c>
      <c r="H176" s="659">
        <f ca="1">IF($A176="","",IFERROR(GETPIVOTDATA("合計 / 入金予定",【ピボット】国保連売上!$A$3,"年月",$A176,"事業所コード",$B176,"事業所",$C176,"事業区分",H$1,"請求区分","単月"),0)
+IFERROR(GETPIVOTDATA("合計 / 入金予定",【ピボット】国保連売上!$A$3,"年月",$A176,"事業所コード",$B176,"事業所",$C176,"事業区分",H$1,"請求区分","再請求"),0))</f>
        <v>0</v>
      </c>
      <c r="I176" s="659">
        <f ca="1">IF($A176="","",IFERROR(GETPIVOTDATA("合計 / 入金予定",【ピボット】国保連売上!$A$3,"年月",$A176,"事業所コード",$B176,"事業所",$C176,"事業区分",I$1,"請求区分","単月"),0)
+IFERROR(GETPIVOTDATA("合計 / 入金予定",【ピボット】国保連売上!$A$3,"年月",$A176,"事業所コード",$B176,"事業所",$C176,"事業区分",I$1,"請求区分","再請求"),0))</f>
        <v>0</v>
      </c>
      <c r="J176" s="659">
        <f ca="1">IF($A176="","",IFERROR(GETPIVOTDATA("合計 / 処遇改善加算金",【ピボット】国保連売上!$A$3,"年月",$A176,"事業所コード",$B176,"事業所",$C176,"事業区分",I$1,"請求区分","単月"),0))</f>
        <v>0</v>
      </c>
      <c r="K176" s="659">
        <f ca="1">IF($A176="","",IFERROR(GETPIVOTDATA("合計 / 入金予定",【ピボット】国保連売上!$A$3,"年月",$A176,"事業所コード",$B176,"事業所",$C176,"事業区分",K$1,"請求区分","単月"),0)
+IFERROR(GETPIVOTDATA("合計 / 入金予定",【ピボット】国保連売上!$A$3,"年月",$A176,"事業所コード",$B176,"事業所",$C176,"事業区分",K$1,"請求区分","再請求"),0))</f>
        <v>2426031</v>
      </c>
      <c r="L176" s="659">
        <f ca="1">IF($A176="","",IFERROR(GETPIVOTDATA("合計 / 処遇改善加算金",【ピボット】国保連売上!$A$3,"年月",$A176,"事業所コード",$B176,"事業所",$C176,"事業区分",K$1,"請求区分","単月"),0))</f>
        <v>0</v>
      </c>
      <c r="M176" s="659">
        <f ca="1">IF($A176="","",IFERROR(GETPIVOTDATA("合計 / 入金予定",【ピボット】国保連売上!$A$3,"年月",$A176,"事業所コード",$B176,"事業所",$C176,"事業区分",M$1,"請求区分","単月"),0)
+IFERROR(GETPIVOTDATA("合計 / 入金予定",【ピボット】国保連売上!$A$3,"年月",$A176,"事業所コード",$B176,"事業所",$C176,"事業区分",M$1,"請求区分","再請求"),0))</f>
        <v>0</v>
      </c>
      <c r="N176" s="660">
        <v>0</v>
      </c>
      <c r="O176" s="660">
        <v>0</v>
      </c>
      <c r="P176" s="660">
        <v>0</v>
      </c>
      <c r="Q176" s="660">
        <v>0</v>
      </c>
      <c r="R176" s="660">
        <v>0</v>
      </c>
      <c r="S176" s="660">
        <v>400000</v>
      </c>
      <c r="T176" s="660">
        <v>0</v>
      </c>
      <c r="U176" s="660">
        <v>0</v>
      </c>
      <c r="V176" s="660">
        <v>-100000</v>
      </c>
      <c r="W176" s="660">
        <v>93500</v>
      </c>
      <c r="X176" s="660">
        <v>0</v>
      </c>
      <c r="Y176" s="659">
        <f t="shared" ca="1" si="6"/>
        <v>2819531</v>
      </c>
      <c r="Z176" s="659">
        <f t="shared" ca="1" si="8"/>
        <v>393500</v>
      </c>
    </row>
    <row r="177" spans="1:26" ht="15.95" customHeight="1" x14ac:dyDescent="0.15">
      <c r="A177" s="656">
        <v>43160</v>
      </c>
      <c r="B177" s="657" t="str">
        <f t="shared" ca="1" si="7"/>
        <v>05</v>
      </c>
      <c r="C177" s="658" t="s">
        <v>38</v>
      </c>
      <c r="D177" s="659">
        <f ca="1">IF($A177="","",IFERROR(GETPIVOTDATA("合計 / 入金予定",【ピボット】国保連売上!$A$3,"年月",$A177,"事業所コード",$B177,"事業所",$C177,"事業区分",D$1,"請求区分","単月"),0)
+IFERROR(GETPIVOTDATA("合計 / 入金予定",【ピボット】国保連売上!$A$3,"年月",$A177,"事業所コード",$B177,"事業所",$C177,"事業区分",D$1,"請求区分","再請求"),0))</f>
        <v>2198815</v>
      </c>
      <c r="E177" s="659">
        <f ca="1">IF($A177="","",IFERROR(GETPIVOTDATA("合計 / 処遇改善加算金",【ピボット】国保連売上!$A$3,"年月",$A177,"事業所コード",$B177,"事業所",$C177,"事業区分",D$1,"請求区分","単月"),0))</f>
        <v>0</v>
      </c>
      <c r="F177" s="659">
        <f ca="1">IF($A177="","",IFERROR(GETPIVOTDATA("合計 / 入金予定",【ピボット】国保連売上!$A$3,"年月",$A177,"事業所コード",$B177,"事業所",$C177,"事業区分",F$1,"請求区分","単月"),0)
+IFERROR(GETPIVOTDATA("合計 / 入金予定",【ピボット】国保連売上!$A$3,"年月",$A177,"事業所コード",$B177,"事業所",$C177,"事業区分",F$1,"請求区分","再請求"),0))</f>
        <v>0</v>
      </c>
      <c r="G177" s="659">
        <f ca="1">IF($A177="","",IFERROR(GETPIVOTDATA("合計 / 処遇改善加算金",【ピボット】国保連売上!$A$3,"年月",$A177,"事業所コード",$B177,"事業所",$C177,"事業区分",F$1,"請求区分","単月"),0))</f>
        <v>0</v>
      </c>
      <c r="H177" s="659">
        <f ca="1">IF($A177="","",IFERROR(GETPIVOTDATA("合計 / 入金予定",【ピボット】国保連売上!$A$3,"年月",$A177,"事業所コード",$B177,"事業所",$C177,"事業区分",H$1,"請求区分","単月"),0)
+IFERROR(GETPIVOTDATA("合計 / 入金予定",【ピボット】国保連売上!$A$3,"年月",$A177,"事業所コード",$B177,"事業所",$C177,"事業区分",H$1,"請求区分","再請求"),0))</f>
        <v>0</v>
      </c>
      <c r="I177" s="659">
        <f ca="1">IF($A177="","",IFERROR(GETPIVOTDATA("合計 / 入金予定",【ピボット】国保連売上!$A$3,"年月",$A177,"事業所コード",$B177,"事業所",$C177,"事業区分",I$1,"請求区分","単月"),0)
+IFERROR(GETPIVOTDATA("合計 / 入金予定",【ピボット】国保連売上!$A$3,"年月",$A177,"事業所コード",$B177,"事業所",$C177,"事業区分",I$1,"請求区分","再請求"),0))</f>
        <v>0</v>
      </c>
      <c r="J177" s="659">
        <f ca="1">IF($A177="","",IFERROR(GETPIVOTDATA("合計 / 処遇改善加算金",【ピボット】国保連売上!$A$3,"年月",$A177,"事業所コード",$B177,"事業所",$C177,"事業区分",I$1,"請求区分","単月"),0))</f>
        <v>0</v>
      </c>
      <c r="K177" s="659">
        <f ca="1">IF($A177="","",IFERROR(GETPIVOTDATA("合計 / 入金予定",【ピボット】国保連売上!$A$3,"年月",$A177,"事業所コード",$B177,"事業所",$C177,"事業区分",K$1,"請求区分","単月"),0)
+IFERROR(GETPIVOTDATA("合計 / 入金予定",【ピボット】国保連売上!$A$3,"年月",$A177,"事業所コード",$B177,"事業所",$C177,"事業区分",K$1,"請求区分","再請求"),0))</f>
        <v>0</v>
      </c>
      <c r="L177" s="659">
        <f ca="1">IF($A177="","",IFERROR(GETPIVOTDATA("合計 / 処遇改善加算金",【ピボット】国保連売上!$A$3,"年月",$A177,"事業所コード",$B177,"事業所",$C177,"事業区分",K$1,"請求区分","単月"),0))</f>
        <v>0</v>
      </c>
      <c r="M177" s="659">
        <f ca="1">IF($A177="","",IFERROR(GETPIVOTDATA("合計 / 入金予定",【ピボット】国保連売上!$A$3,"年月",$A177,"事業所コード",$B177,"事業所",$C177,"事業区分",M$1,"請求区分","単月"),0)
+IFERROR(GETPIVOTDATA("合計 / 入金予定",【ピボット】国保連売上!$A$3,"年月",$A177,"事業所コード",$B177,"事業所",$C177,"事業区分",M$1,"請求区分","再請求"),0))</f>
        <v>0</v>
      </c>
      <c r="N177" s="660">
        <v>0</v>
      </c>
      <c r="O177" s="660">
        <v>0</v>
      </c>
      <c r="P177" s="660">
        <v>0</v>
      </c>
      <c r="Q177" s="660">
        <v>0</v>
      </c>
      <c r="R177" s="660">
        <v>0</v>
      </c>
      <c r="S177" s="660">
        <v>858082</v>
      </c>
      <c r="T177" s="660">
        <v>0</v>
      </c>
      <c r="U177" s="660">
        <v>0</v>
      </c>
      <c r="V177" s="660">
        <v>0</v>
      </c>
      <c r="W177" s="660">
        <v>0</v>
      </c>
      <c r="X177" s="660">
        <v>0</v>
      </c>
      <c r="Y177" s="659">
        <f t="shared" ca="1" si="6"/>
        <v>3056897</v>
      </c>
      <c r="Z177" s="659">
        <f t="shared" ca="1" si="8"/>
        <v>858082</v>
      </c>
    </row>
    <row r="178" spans="1:26" ht="15.95" customHeight="1" x14ac:dyDescent="0.15">
      <c r="A178" s="656">
        <v>43160</v>
      </c>
      <c r="B178" s="657" t="str">
        <f t="shared" ca="1" si="7"/>
        <v>10</v>
      </c>
      <c r="C178" s="658" t="s">
        <v>336</v>
      </c>
      <c r="D178" s="659">
        <f ca="1">IF($A178="","",IFERROR(GETPIVOTDATA("合計 / 入金予定",【ピボット】国保連売上!$A$3,"年月",$A178,"事業所コード",$B178,"事業所",$C178,"事業区分",D$1,"請求区分","単月"),0)
+IFERROR(GETPIVOTDATA("合計 / 入金予定",【ピボット】国保連売上!$A$3,"年月",$A178,"事業所コード",$B178,"事業所",$C178,"事業区分",D$1,"請求区分","再請求"),0))</f>
        <v>784840</v>
      </c>
      <c r="E178" s="659">
        <f ca="1">IF($A178="","",IFERROR(GETPIVOTDATA("合計 / 処遇改善加算金",【ピボット】国保連売上!$A$3,"年月",$A178,"事業所コード",$B178,"事業所",$C178,"事業区分",D$1,"請求区分","単月"),0))</f>
        <v>0</v>
      </c>
      <c r="F178" s="659">
        <f ca="1">IF($A178="","",IFERROR(GETPIVOTDATA("合計 / 入金予定",【ピボット】国保連売上!$A$3,"年月",$A178,"事業所コード",$B178,"事業所",$C178,"事業区分",F$1,"請求区分","単月"),0)
+IFERROR(GETPIVOTDATA("合計 / 入金予定",【ピボット】国保連売上!$A$3,"年月",$A178,"事業所コード",$B178,"事業所",$C178,"事業区分",F$1,"請求区分","再請求"),0))</f>
        <v>41560</v>
      </c>
      <c r="G178" s="659">
        <f ca="1">IF($A178="","",IFERROR(GETPIVOTDATA("合計 / 処遇改善加算金",【ピボット】国保連売上!$A$3,"年月",$A178,"事業所コード",$B178,"事業所",$C178,"事業区分",F$1,"請求区分","単月"),0))</f>
        <v>0</v>
      </c>
      <c r="H178" s="659">
        <f ca="1">IF($A178="","",IFERROR(GETPIVOTDATA("合計 / 入金予定",【ピボット】国保連売上!$A$3,"年月",$A178,"事業所コード",$B178,"事業所",$C178,"事業区分",H$1,"請求区分","単月"),0)
+IFERROR(GETPIVOTDATA("合計 / 入金予定",【ピボット】国保連売上!$A$3,"年月",$A178,"事業所コード",$B178,"事業所",$C178,"事業区分",H$1,"請求区分","再請求"),0))</f>
        <v>0</v>
      </c>
      <c r="I178" s="659">
        <f ca="1">IF($A178="","",IFERROR(GETPIVOTDATA("合計 / 入金予定",【ピボット】国保連売上!$A$3,"年月",$A178,"事業所コード",$B178,"事業所",$C178,"事業区分",I$1,"請求区分","単月"),0)
+IFERROR(GETPIVOTDATA("合計 / 入金予定",【ピボット】国保連売上!$A$3,"年月",$A178,"事業所コード",$B178,"事業所",$C178,"事業区分",I$1,"請求区分","再請求"),0))</f>
        <v>0</v>
      </c>
      <c r="J178" s="659">
        <f ca="1">IF($A178="","",IFERROR(GETPIVOTDATA("合計 / 処遇改善加算金",【ピボット】国保連売上!$A$3,"年月",$A178,"事業所コード",$B178,"事業所",$C178,"事業区分",I$1,"請求区分","単月"),0))</f>
        <v>0</v>
      </c>
      <c r="K178" s="659">
        <f ca="1">IF($A178="","",IFERROR(GETPIVOTDATA("合計 / 入金予定",【ピボット】国保連売上!$A$3,"年月",$A178,"事業所コード",$B178,"事業所",$C178,"事業区分",K$1,"請求区分","単月"),0)
+IFERROR(GETPIVOTDATA("合計 / 入金予定",【ピボット】国保連売上!$A$3,"年月",$A178,"事業所コード",$B178,"事業所",$C178,"事業区分",K$1,"請求区分","再請求"),0))</f>
        <v>0</v>
      </c>
      <c r="L178" s="659">
        <f ca="1">IF($A178="","",IFERROR(GETPIVOTDATA("合計 / 処遇改善加算金",【ピボット】国保連売上!$A$3,"年月",$A178,"事業所コード",$B178,"事業所",$C178,"事業区分",K$1,"請求区分","単月"),0))</f>
        <v>0</v>
      </c>
      <c r="M178" s="659">
        <f ca="1">IF($A178="","",IFERROR(GETPIVOTDATA("合計 / 入金予定",【ピボット】国保連売上!$A$3,"年月",$A178,"事業所コード",$B178,"事業所",$C178,"事業区分",M$1,"請求区分","単月"),0)
+IFERROR(GETPIVOTDATA("合計 / 入金予定",【ピボット】国保連売上!$A$3,"年月",$A178,"事業所コード",$B178,"事業所",$C178,"事業区分",M$1,"請求区分","再請求"),0))</f>
        <v>0</v>
      </c>
      <c r="N178" s="660">
        <v>155500</v>
      </c>
      <c r="O178" s="660">
        <v>60840</v>
      </c>
      <c r="P178" s="660">
        <v>1213818</v>
      </c>
      <c r="Q178" s="660">
        <v>0</v>
      </c>
      <c r="R178" s="660">
        <v>0</v>
      </c>
      <c r="S178" s="660">
        <v>0</v>
      </c>
      <c r="T178" s="660">
        <v>0</v>
      </c>
      <c r="U178" s="660">
        <v>0</v>
      </c>
      <c r="V178" s="660">
        <v>0</v>
      </c>
      <c r="W178" s="660">
        <v>0</v>
      </c>
      <c r="X178" s="660">
        <v>0</v>
      </c>
      <c r="Y178" s="659">
        <f t="shared" ca="1" si="6"/>
        <v>2256558</v>
      </c>
      <c r="Z178" s="659">
        <f t="shared" ca="1" si="8"/>
        <v>1430158</v>
      </c>
    </row>
    <row r="179" spans="1:26" ht="15.95" customHeight="1" x14ac:dyDescent="0.15">
      <c r="A179" s="656">
        <v>43191</v>
      </c>
      <c r="B179" s="657" t="str">
        <f t="shared" ca="1" si="7"/>
        <v>01</v>
      </c>
      <c r="C179" s="658" t="s">
        <v>34</v>
      </c>
      <c r="D179" s="659">
        <f ca="1">IF($A179="","",IFERROR(GETPIVOTDATA("合計 / 入金予定",【ピボット】国保連売上!$A$3,"年月",$A179,"事業所コード",$B179,"事業所",$C179,"事業区分",D$1,"請求区分","単月"),0)
+IFERROR(GETPIVOTDATA("合計 / 入金予定",【ピボット】国保連売上!$A$3,"年月",$A179,"事業所コード",$B179,"事業所",$C179,"事業区分",D$1,"請求区分","再請求"),0))</f>
        <v>8138305</v>
      </c>
      <c r="E179" s="659">
        <f ca="1">IF($A179="","",IFERROR(GETPIVOTDATA("合計 / 処遇改善加算金",【ピボット】国保連売上!$A$3,"年月",$A179,"事業所コード",$B179,"事業所",$C179,"事業区分",D$1,"請求区分","単月"),0))</f>
        <v>1369946</v>
      </c>
      <c r="F179" s="659">
        <f ca="1">IF($A179="","",IFERROR(GETPIVOTDATA("合計 / 入金予定",【ピボット】国保連売上!$A$3,"年月",$A179,"事業所コード",$B179,"事業所",$C179,"事業区分",F$1,"請求区分","単月"),0)
+IFERROR(GETPIVOTDATA("合計 / 入金予定",【ピボット】国保連売上!$A$3,"年月",$A179,"事業所コード",$B179,"事業所",$C179,"事業区分",F$1,"請求区分","再請求"),0))</f>
        <v>1048428</v>
      </c>
      <c r="G179" s="659">
        <f ca="1">IF($A179="","",IFERROR(GETPIVOTDATA("合計 / 処遇改善加算金",【ピボット】国保連売上!$A$3,"年月",$A179,"事業所コード",$B179,"事業所",$C179,"事業区分",F$1,"請求区分","単月"),0))</f>
        <v>231734</v>
      </c>
      <c r="H179" s="659">
        <f ca="1">IF($A179="","",IFERROR(GETPIVOTDATA("合計 / 入金予定",【ピボット】国保連売上!$A$3,"年月",$A179,"事業所コード",$B179,"事業所",$C179,"事業区分",H$1,"請求区分","単月"),0)
+IFERROR(GETPIVOTDATA("合計 / 入金予定",【ピボット】国保連売上!$A$3,"年月",$A179,"事業所コード",$B179,"事業所",$C179,"事業区分",H$1,"請求区分","再請求"),0))</f>
        <v>684712</v>
      </c>
      <c r="I179" s="659">
        <f ca="1">IF($A179="","",IFERROR(GETPIVOTDATA("合計 / 入金予定",【ピボット】国保連売上!$A$3,"年月",$A179,"事業所コード",$B179,"事業所",$C179,"事業区分",I$1,"請求区分","単月"),0)
+IFERROR(GETPIVOTDATA("合計 / 入金予定",【ピボット】国保連売上!$A$3,"年月",$A179,"事業所コード",$B179,"事業所",$C179,"事業区分",I$1,"請求区分","再請求"),0))</f>
        <v>0</v>
      </c>
      <c r="J179" s="659">
        <f ca="1">IF($A179="","",IFERROR(GETPIVOTDATA("合計 / 処遇改善加算金",【ピボット】国保連売上!$A$3,"年月",$A179,"事業所コード",$B179,"事業所",$C179,"事業区分",I$1,"請求区分","単月"),0))</f>
        <v>0</v>
      </c>
      <c r="K179" s="659">
        <f ca="1">IF($A179="","",IFERROR(GETPIVOTDATA("合計 / 入金予定",【ピボット】国保連売上!$A$3,"年月",$A179,"事業所コード",$B179,"事業所",$C179,"事業区分",K$1,"請求区分","単月"),0)
+IFERROR(GETPIVOTDATA("合計 / 入金予定",【ピボット】国保連売上!$A$3,"年月",$A179,"事業所コード",$B179,"事業所",$C179,"事業区分",K$1,"請求区分","再請求"),0))</f>
        <v>0</v>
      </c>
      <c r="L179" s="659">
        <f ca="1">IF($A179="","",IFERROR(GETPIVOTDATA("合計 / 処遇改善加算金",【ピボット】国保連売上!$A$3,"年月",$A179,"事業所コード",$B179,"事業所",$C179,"事業区分",K$1,"請求区分","単月"),0))</f>
        <v>0</v>
      </c>
      <c r="M179" s="659">
        <f ca="1">IF($A179="","",IFERROR(GETPIVOTDATA("合計 / 入金予定",【ピボット】国保連売上!$A$3,"年月",$A179,"事業所コード",$B179,"事業所",$C179,"事業区分",M$1,"請求区分","単月"),0)
+IFERROR(GETPIVOTDATA("合計 / 入金予定",【ピボット】国保連売上!$A$3,"年月",$A179,"事業所コード",$B179,"事業所",$C179,"事業区分",M$1,"請求区分","再請求"),0))</f>
        <v>0</v>
      </c>
      <c r="N179" s="660">
        <v>213759</v>
      </c>
      <c r="O179" s="660">
        <v>52575</v>
      </c>
      <c r="P179" s="660">
        <v>0</v>
      </c>
      <c r="Q179" s="660">
        <v>2510</v>
      </c>
      <c r="R179" s="660">
        <v>127905</v>
      </c>
      <c r="S179" s="660">
        <v>0</v>
      </c>
      <c r="T179" s="660">
        <v>0</v>
      </c>
      <c r="U179" s="660">
        <v>33000</v>
      </c>
      <c r="V179" s="660">
        <v>0</v>
      </c>
      <c r="W179" s="660">
        <v>0</v>
      </c>
      <c r="X179" s="660">
        <v>0</v>
      </c>
      <c r="Y179" s="659">
        <f t="shared" ca="1" si="6"/>
        <v>10301194</v>
      </c>
      <c r="Z179" s="659">
        <f t="shared" ca="1" si="8"/>
        <v>429749</v>
      </c>
    </row>
    <row r="180" spans="1:26" ht="15.95" customHeight="1" x14ac:dyDescent="0.15">
      <c r="A180" s="656">
        <v>43191</v>
      </c>
      <c r="B180" s="657" t="str">
        <f t="shared" ca="1" si="7"/>
        <v>02</v>
      </c>
      <c r="C180" s="658" t="s">
        <v>37</v>
      </c>
      <c r="D180" s="659">
        <f ca="1">IF($A180="","",IFERROR(GETPIVOTDATA("合計 / 入金予定",【ピボット】国保連売上!$A$3,"年月",$A180,"事業所コード",$B180,"事業所",$C180,"事業区分",D$1,"請求区分","単月"),0)
+IFERROR(GETPIVOTDATA("合計 / 入金予定",【ピボット】国保連売上!$A$3,"年月",$A180,"事業所コード",$B180,"事業所",$C180,"事業区分",D$1,"請求区分","再請求"),0))</f>
        <v>5905117</v>
      </c>
      <c r="E180" s="659">
        <f ca="1">IF($A180="","",IFERROR(GETPIVOTDATA("合計 / 処遇改善加算金",【ピボット】国保連売上!$A$3,"年月",$A180,"事業所コード",$B180,"事業所",$C180,"事業区分",D$1,"請求区分","単月"),0))</f>
        <v>580162</v>
      </c>
      <c r="F180" s="659">
        <f ca="1">IF($A180="","",IFERROR(GETPIVOTDATA("合計 / 入金予定",【ピボット】国保連売上!$A$3,"年月",$A180,"事業所コード",$B180,"事業所",$C180,"事業区分",F$1,"請求区分","単月"),0)
+IFERROR(GETPIVOTDATA("合計 / 入金予定",【ピボット】国保連売上!$A$3,"年月",$A180,"事業所コード",$B180,"事業所",$C180,"事業区分",F$1,"請求区分","再請求"),0))</f>
        <v>886445</v>
      </c>
      <c r="G180" s="659">
        <f ca="1">IF($A180="","",IFERROR(GETPIVOTDATA("合計 / 処遇改善加算金",【ピボット】国保連売上!$A$3,"年月",$A180,"事業所コード",$B180,"事業所",$C180,"事業区分",F$1,"請求区分","単月"),0))</f>
        <v>205308</v>
      </c>
      <c r="H180" s="659">
        <f ca="1">IF($A180="","",IFERROR(GETPIVOTDATA("合計 / 入金予定",【ピボット】国保連売上!$A$3,"年月",$A180,"事業所コード",$B180,"事業所",$C180,"事業区分",H$1,"請求区分","単月"),0)
+IFERROR(GETPIVOTDATA("合計 / 入金予定",【ピボット】国保連売上!$A$3,"年月",$A180,"事業所コード",$B180,"事業所",$C180,"事業区分",H$1,"請求区分","再請求"),0))</f>
        <v>440722</v>
      </c>
      <c r="I180" s="659">
        <f ca="1">IF($A180="","",IFERROR(GETPIVOTDATA("合計 / 入金予定",【ピボット】国保連売上!$A$3,"年月",$A180,"事業所コード",$B180,"事業所",$C180,"事業区分",I$1,"請求区分","単月"),0)
+IFERROR(GETPIVOTDATA("合計 / 入金予定",【ピボット】国保連売上!$A$3,"年月",$A180,"事業所コード",$B180,"事業所",$C180,"事業区分",I$1,"請求区分","再請求"),0))</f>
        <v>0</v>
      </c>
      <c r="J180" s="659">
        <f ca="1">IF($A180="","",IFERROR(GETPIVOTDATA("合計 / 処遇改善加算金",【ピボット】国保連売上!$A$3,"年月",$A180,"事業所コード",$B180,"事業所",$C180,"事業区分",I$1,"請求区分","単月"),0))</f>
        <v>0</v>
      </c>
      <c r="K180" s="659">
        <f ca="1">IF($A180="","",IFERROR(GETPIVOTDATA("合計 / 入金予定",【ピボット】国保連売上!$A$3,"年月",$A180,"事業所コード",$B180,"事業所",$C180,"事業区分",K$1,"請求区分","単月"),0)
+IFERROR(GETPIVOTDATA("合計 / 入金予定",【ピボット】国保連売上!$A$3,"年月",$A180,"事業所コード",$B180,"事業所",$C180,"事業区分",K$1,"請求区分","再請求"),0))</f>
        <v>0</v>
      </c>
      <c r="L180" s="659">
        <f ca="1">IF($A180="","",IFERROR(GETPIVOTDATA("合計 / 処遇改善加算金",【ピボット】国保連売上!$A$3,"年月",$A180,"事業所コード",$B180,"事業所",$C180,"事業区分",K$1,"請求区分","単月"),0))</f>
        <v>0</v>
      </c>
      <c r="M180" s="659">
        <f ca="1">IF($A180="","",IFERROR(GETPIVOTDATA("合計 / 入金予定",【ピボット】国保連売上!$A$3,"年月",$A180,"事業所コード",$B180,"事業所",$C180,"事業区分",M$1,"請求区分","単月"),0)
+IFERROR(GETPIVOTDATA("合計 / 入金予定",【ピボット】国保連売上!$A$3,"年月",$A180,"事業所コード",$B180,"事業所",$C180,"事業区分",M$1,"請求区分","再請求"),0))</f>
        <v>0</v>
      </c>
      <c r="N180" s="660">
        <v>383012</v>
      </c>
      <c r="O180" s="660">
        <v>0</v>
      </c>
      <c r="P180" s="660">
        <v>0</v>
      </c>
      <c r="Q180" s="660">
        <v>4440</v>
      </c>
      <c r="R180" s="660">
        <v>109854</v>
      </c>
      <c r="S180" s="660">
        <v>0</v>
      </c>
      <c r="T180" s="660">
        <v>0</v>
      </c>
      <c r="U180" s="660">
        <v>0</v>
      </c>
      <c r="V180" s="660">
        <v>0</v>
      </c>
      <c r="W180" s="660">
        <v>0</v>
      </c>
      <c r="X180" s="660">
        <v>0</v>
      </c>
      <c r="Y180" s="659">
        <f t="shared" ca="1" si="6"/>
        <v>7729590</v>
      </c>
      <c r="Z180" s="659">
        <f t="shared" ca="1" si="8"/>
        <v>497306</v>
      </c>
    </row>
    <row r="181" spans="1:26" ht="15.95" customHeight="1" x14ac:dyDescent="0.15">
      <c r="A181" s="656">
        <v>43191</v>
      </c>
      <c r="B181" s="657" t="str">
        <f t="shared" ca="1" si="7"/>
        <v>03</v>
      </c>
      <c r="C181" s="658" t="s">
        <v>66</v>
      </c>
      <c r="D181" s="659">
        <f ca="1">IF($A181="","",IFERROR(GETPIVOTDATA("合計 / 入金予定",【ピボット】国保連売上!$A$3,"年月",$A181,"事業所コード",$B181,"事業所",$C181,"事業区分",D$1,"請求区分","単月"),0)
+IFERROR(GETPIVOTDATA("合計 / 入金予定",【ピボット】国保連売上!$A$3,"年月",$A181,"事業所コード",$B181,"事業所",$C181,"事業区分",D$1,"請求区分","再請求"),0))</f>
        <v>4590836</v>
      </c>
      <c r="E181" s="659">
        <f ca="1">IF($A181="","",IFERROR(GETPIVOTDATA("合計 / 処遇改善加算金",【ピボット】国保連売上!$A$3,"年月",$A181,"事業所コード",$B181,"事業所",$C181,"事業区分",D$1,"請求区分","単月"),0))</f>
        <v>494085</v>
      </c>
      <c r="F181" s="659">
        <f ca="1">IF($A181="","",IFERROR(GETPIVOTDATA("合計 / 入金予定",【ピボット】国保連売上!$A$3,"年月",$A181,"事業所コード",$B181,"事業所",$C181,"事業区分",F$1,"請求区分","単月"),0)
+IFERROR(GETPIVOTDATA("合計 / 入金予定",【ピボット】国保連売上!$A$3,"年月",$A181,"事業所コード",$B181,"事業所",$C181,"事業区分",F$1,"請求区分","再請求"),0))</f>
        <v>1840771</v>
      </c>
      <c r="G181" s="659">
        <f ca="1">IF($A181="","",IFERROR(GETPIVOTDATA("合計 / 処遇改善加算金",【ピボット】国保連売上!$A$3,"年月",$A181,"事業所コード",$B181,"事業所",$C181,"事業区分",F$1,"請求区分","単月"),0))</f>
        <v>428061</v>
      </c>
      <c r="H181" s="659">
        <f ca="1">IF($A181="","",IFERROR(GETPIVOTDATA("合計 / 入金予定",【ピボット】国保連売上!$A$3,"年月",$A181,"事業所コード",$B181,"事業所",$C181,"事業区分",H$1,"請求区分","単月"),0)
+IFERROR(GETPIVOTDATA("合計 / 入金予定",【ピボット】国保連売上!$A$3,"年月",$A181,"事業所コード",$B181,"事業所",$C181,"事業区分",H$1,"請求区分","再請求"),0))</f>
        <v>0</v>
      </c>
      <c r="I181" s="659">
        <f ca="1">IF($A181="","",IFERROR(GETPIVOTDATA("合計 / 入金予定",【ピボット】国保連売上!$A$3,"年月",$A181,"事業所コード",$B181,"事業所",$C181,"事業区分",I$1,"請求区分","単月"),0)
+IFERROR(GETPIVOTDATA("合計 / 入金予定",【ピボット】国保連売上!$A$3,"年月",$A181,"事業所コード",$B181,"事業所",$C181,"事業区分",I$1,"請求区分","再請求"),0))</f>
        <v>0</v>
      </c>
      <c r="J181" s="659">
        <f ca="1">IF($A181="","",IFERROR(GETPIVOTDATA("合計 / 処遇改善加算金",【ピボット】国保連売上!$A$3,"年月",$A181,"事業所コード",$B181,"事業所",$C181,"事業区分",I$1,"請求区分","単月"),0))</f>
        <v>0</v>
      </c>
      <c r="K181" s="659">
        <f ca="1">IF($A181="","",IFERROR(GETPIVOTDATA("合計 / 入金予定",【ピボット】国保連売上!$A$3,"年月",$A181,"事業所コード",$B181,"事業所",$C181,"事業区分",K$1,"請求区分","単月"),0)
+IFERROR(GETPIVOTDATA("合計 / 入金予定",【ピボット】国保連売上!$A$3,"年月",$A181,"事業所コード",$B181,"事業所",$C181,"事業区分",K$1,"請求区分","再請求"),0))</f>
        <v>0</v>
      </c>
      <c r="L181" s="659">
        <f ca="1">IF($A181="","",IFERROR(GETPIVOTDATA("合計 / 処遇改善加算金",【ピボット】国保連売上!$A$3,"年月",$A181,"事業所コード",$B181,"事業所",$C181,"事業区分",K$1,"請求区分","単月"),0))</f>
        <v>0</v>
      </c>
      <c r="M181" s="659">
        <f ca="1">IF($A181="","",IFERROR(GETPIVOTDATA("合計 / 入金予定",【ピボット】国保連売上!$A$3,"年月",$A181,"事業所コード",$B181,"事業所",$C181,"事業区分",M$1,"請求区分","単月"),0)
+IFERROR(GETPIVOTDATA("合計 / 入金予定",【ピボット】国保連売上!$A$3,"年月",$A181,"事業所コード",$B181,"事業所",$C181,"事業区分",M$1,"請求区分","再請求"),0))</f>
        <v>0</v>
      </c>
      <c r="N181" s="660">
        <v>60903</v>
      </c>
      <c r="O181" s="660">
        <v>31070</v>
      </c>
      <c r="P181" s="660">
        <v>60960</v>
      </c>
      <c r="Q181" s="660">
        <v>3288</v>
      </c>
      <c r="R181" s="660">
        <v>0</v>
      </c>
      <c r="S181" s="660">
        <v>0</v>
      </c>
      <c r="T181" s="660">
        <v>0</v>
      </c>
      <c r="U181" s="660">
        <v>0</v>
      </c>
      <c r="V181" s="660">
        <v>0</v>
      </c>
      <c r="W181" s="660">
        <v>0</v>
      </c>
      <c r="X181" s="660">
        <v>0</v>
      </c>
      <c r="Y181" s="659">
        <f t="shared" ca="1" si="6"/>
        <v>6587828</v>
      </c>
      <c r="Z181" s="659">
        <f t="shared" ca="1" si="8"/>
        <v>156221</v>
      </c>
    </row>
    <row r="182" spans="1:26" ht="15.95" customHeight="1" x14ac:dyDescent="0.15">
      <c r="A182" s="656">
        <v>43191</v>
      </c>
      <c r="B182" s="657" t="str">
        <f t="shared" ca="1" si="7"/>
        <v>04</v>
      </c>
      <c r="C182" s="658" t="s">
        <v>358</v>
      </c>
      <c r="D182" s="659">
        <f ca="1">IF($A182="","",IFERROR(GETPIVOTDATA("合計 / 入金予定",【ピボット】国保連売上!$A$3,"年月",$A182,"事業所コード",$B182,"事業所",$C182,"事業区分",D$1,"請求区分","単月"),0)
+IFERROR(GETPIVOTDATA("合計 / 入金予定",【ピボット】国保連売上!$A$3,"年月",$A182,"事業所コード",$B182,"事業所",$C182,"事業区分",D$1,"請求区分","再請求"),0))</f>
        <v>0</v>
      </c>
      <c r="E182" s="659">
        <f ca="1">IF($A182="","",IFERROR(GETPIVOTDATA("合計 / 処遇改善加算金",【ピボット】国保連売上!$A$3,"年月",$A182,"事業所コード",$B182,"事業所",$C182,"事業区分",D$1,"請求区分","単月"),0))</f>
        <v>0</v>
      </c>
      <c r="F182" s="659">
        <f ca="1">IF($A182="","",IFERROR(GETPIVOTDATA("合計 / 入金予定",【ピボット】国保連売上!$A$3,"年月",$A182,"事業所コード",$B182,"事業所",$C182,"事業区分",F$1,"請求区分","単月"),0)
+IFERROR(GETPIVOTDATA("合計 / 入金予定",【ピボット】国保連売上!$A$3,"年月",$A182,"事業所コード",$B182,"事業所",$C182,"事業区分",F$1,"請求区分","再請求"),0))</f>
        <v>0</v>
      </c>
      <c r="G182" s="659">
        <f ca="1">IF($A182="","",IFERROR(GETPIVOTDATA("合計 / 処遇改善加算金",【ピボット】国保連売上!$A$3,"年月",$A182,"事業所コード",$B182,"事業所",$C182,"事業区分",F$1,"請求区分","単月"),0))</f>
        <v>0</v>
      </c>
      <c r="H182" s="659">
        <f ca="1">IF($A182="","",IFERROR(GETPIVOTDATA("合計 / 入金予定",【ピボット】国保連売上!$A$3,"年月",$A182,"事業所コード",$B182,"事業所",$C182,"事業区分",H$1,"請求区分","単月"),0)
+IFERROR(GETPIVOTDATA("合計 / 入金予定",【ピボット】国保連売上!$A$3,"年月",$A182,"事業所コード",$B182,"事業所",$C182,"事業区分",H$1,"請求区分","再請求"),0))</f>
        <v>0</v>
      </c>
      <c r="I182" s="659">
        <f ca="1">IF($A182="","",IFERROR(GETPIVOTDATA("合計 / 入金予定",【ピボット】国保連売上!$A$3,"年月",$A182,"事業所コード",$B182,"事業所",$C182,"事業区分",I$1,"請求区分","単月"),0)
+IFERROR(GETPIVOTDATA("合計 / 入金予定",【ピボット】国保連売上!$A$3,"年月",$A182,"事業所コード",$B182,"事業所",$C182,"事業区分",I$1,"請求区分","再請求"),0))</f>
        <v>4470665</v>
      </c>
      <c r="J182" s="659">
        <f ca="1">IF($A182="","",IFERROR(GETPIVOTDATA("合計 / 処遇改善加算金",【ピボット】国保連売上!$A$3,"年月",$A182,"事業所コード",$B182,"事業所",$C182,"事業区分",I$1,"請求区分","単月"),0))</f>
        <v>247531</v>
      </c>
      <c r="K182" s="659">
        <f ca="1">IF($A182="","",IFERROR(GETPIVOTDATA("合計 / 入金予定",【ピボット】国保連売上!$A$3,"年月",$A182,"事業所コード",$B182,"事業所",$C182,"事業区分",K$1,"請求区分","単月"),0)
+IFERROR(GETPIVOTDATA("合計 / 入金予定",【ピボット】国保連売上!$A$3,"年月",$A182,"事業所コード",$B182,"事業所",$C182,"事業区分",K$1,"請求区分","再請求"),0))</f>
        <v>0</v>
      </c>
      <c r="L182" s="659">
        <f ca="1">IF($A182="","",IFERROR(GETPIVOTDATA("合計 / 処遇改善加算金",【ピボット】国保連売上!$A$3,"年月",$A182,"事業所コード",$B182,"事業所",$C182,"事業区分",K$1,"請求区分","単月"),0))</f>
        <v>0</v>
      </c>
      <c r="M182" s="659">
        <f ca="1">IF($A182="","",IFERROR(GETPIVOTDATA("合計 / 入金予定",【ピボット】国保連売上!$A$3,"年月",$A182,"事業所コード",$B182,"事業所",$C182,"事業区分",M$1,"請求区分","単月"),0)
+IFERROR(GETPIVOTDATA("合計 / 入金予定",【ピボット】国保連売上!$A$3,"年月",$A182,"事業所コード",$B182,"事業所",$C182,"事業区分",M$1,"請求区分","再請求"),0))</f>
        <v>0</v>
      </c>
      <c r="N182" s="660">
        <v>4305</v>
      </c>
      <c r="O182" s="660">
        <v>0</v>
      </c>
      <c r="P182" s="660">
        <v>0</v>
      </c>
      <c r="Q182" s="660">
        <v>0</v>
      </c>
      <c r="R182" s="660">
        <v>0</v>
      </c>
      <c r="S182" s="660">
        <v>0</v>
      </c>
      <c r="T182" s="660">
        <v>231550</v>
      </c>
      <c r="U182" s="660">
        <v>0</v>
      </c>
      <c r="V182" s="660">
        <v>0</v>
      </c>
      <c r="W182" s="660">
        <v>0</v>
      </c>
      <c r="X182" s="660">
        <v>0</v>
      </c>
      <c r="Y182" s="659">
        <f t="shared" ref="Y182:Y245" ca="1" si="9">IF(A182="","",SUM(D182,F182,H182:I182,K182,M182:X182))</f>
        <v>4706520</v>
      </c>
      <c r="Z182" s="659">
        <f t="shared" ca="1" si="8"/>
        <v>235855</v>
      </c>
    </row>
    <row r="183" spans="1:26" ht="15.95" customHeight="1" x14ac:dyDescent="0.15">
      <c r="A183" s="656">
        <v>43191</v>
      </c>
      <c r="B183" s="657" t="str">
        <f t="shared" ca="1" si="7"/>
        <v>07</v>
      </c>
      <c r="C183" s="658" t="s">
        <v>119</v>
      </c>
      <c r="D183" s="659">
        <f ca="1">IF($A183="","",IFERROR(GETPIVOTDATA("合計 / 入金予定",【ピボット】国保連売上!$A$3,"年月",$A183,"事業所コード",$B183,"事業所",$C183,"事業区分",D$1,"請求区分","単月"),0)
+IFERROR(GETPIVOTDATA("合計 / 入金予定",【ピボット】国保連売上!$A$3,"年月",$A183,"事業所コード",$B183,"事業所",$C183,"事業区分",D$1,"請求区分","再請求"),0))</f>
        <v>0</v>
      </c>
      <c r="E183" s="659">
        <f ca="1">IF($A183="","",IFERROR(GETPIVOTDATA("合計 / 処遇改善加算金",【ピボット】国保連売上!$A$3,"年月",$A183,"事業所コード",$B183,"事業所",$C183,"事業区分",D$1,"請求区分","単月"),0))</f>
        <v>0</v>
      </c>
      <c r="F183" s="659">
        <f ca="1">IF($A183="","",IFERROR(GETPIVOTDATA("合計 / 入金予定",【ピボット】国保連売上!$A$3,"年月",$A183,"事業所コード",$B183,"事業所",$C183,"事業区分",F$1,"請求区分","単月"),0)
+IFERROR(GETPIVOTDATA("合計 / 入金予定",【ピボット】国保連売上!$A$3,"年月",$A183,"事業所コード",$B183,"事業所",$C183,"事業区分",F$1,"請求区分","再請求"),0))</f>
        <v>0</v>
      </c>
      <c r="G183" s="659">
        <f ca="1">IF($A183="","",IFERROR(GETPIVOTDATA("合計 / 処遇改善加算金",【ピボット】国保連売上!$A$3,"年月",$A183,"事業所コード",$B183,"事業所",$C183,"事業区分",F$1,"請求区分","単月"),0))</f>
        <v>0</v>
      </c>
      <c r="H183" s="659">
        <f ca="1">IF($A183="","",IFERROR(GETPIVOTDATA("合計 / 入金予定",【ピボット】国保連売上!$A$3,"年月",$A183,"事業所コード",$B183,"事業所",$C183,"事業区分",H$1,"請求区分","単月"),0)
+IFERROR(GETPIVOTDATA("合計 / 入金予定",【ピボット】国保連売上!$A$3,"年月",$A183,"事業所コード",$B183,"事業所",$C183,"事業区分",H$1,"請求区分","再請求"),0))</f>
        <v>0</v>
      </c>
      <c r="I183" s="659">
        <f ca="1">IF($A183="","",IFERROR(GETPIVOTDATA("合計 / 入金予定",【ピボット】国保連売上!$A$3,"年月",$A183,"事業所コード",$B183,"事業所",$C183,"事業区分",I$1,"請求区分","単月"),0)
+IFERROR(GETPIVOTDATA("合計 / 入金予定",【ピボット】国保連売上!$A$3,"年月",$A183,"事業所コード",$B183,"事業所",$C183,"事業区分",I$1,"請求区分","再請求"),0))</f>
        <v>0</v>
      </c>
      <c r="J183" s="659">
        <f ca="1">IF($A183="","",IFERROR(GETPIVOTDATA("合計 / 処遇改善加算金",【ピボット】国保連売上!$A$3,"年月",$A183,"事業所コード",$B183,"事業所",$C183,"事業区分",I$1,"請求区分","単月"),0))</f>
        <v>0</v>
      </c>
      <c r="K183" s="659">
        <f ca="1">IF($A183="","",IFERROR(GETPIVOTDATA("合計 / 入金予定",【ピボット】国保連売上!$A$3,"年月",$A183,"事業所コード",$B183,"事業所",$C183,"事業区分",K$1,"請求区分","単月"),0)
+IFERROR(GETPIVOTDATA("合計 / 入金予定",【ピボット】国保連売上!$A$3,"年月",$A183,"事業所コード",$B183,"事業所",$C183,"事業区分",K$1,"請求区分","再請求"),0))</f>
        <v>777456</v>
      </c>
      <c r="L183" s="659">
        <f ca="1">IF($A183="","",IFERROR(GETPIVOTDATA("合計 / 処遇改善加算金",【ピボット】国保連売上!$A$3,"年月",$A183,"事業所コード",$B183,"事業所",$C183,"事業区分",K$1,"請求区分","単月"),0))</f>
        <v>273762</v>
      </c>
      <c r="M183" s="659">
        <f ca="1">IF($A183="","",IFERROR(GETPIVOTDATA("合計 / 入金予定",【ピボット】国保連売上!$A$3,"年月",$A183,"事業所コード",$B183,"事業所",$C183,"事業区分",M$1,"請求区分","単月"),0)
+IFERROR(GETPIVOTDATA("合計 / 入金予定",【ピボット】国保連売上!$A$3,"年月",$A183,"事業所コード",$B183,"事業所",$C183,"事業区分",M$1,"請求区分","再請求"),0))</f>
        <v>0</v>
      </c>
      <c r="N183" s="660">
        <v>0</v>
      </c>
      <c r="O183" s="660">
        <v>0</v>
      </c>
      <c r="P183" s="660">
        <v>0</v>
      </c>
      <c r="Q183" s="660">
        <v>0</v>
      </c>
      <c r="R183" s="660">
        <v>0</v>
      </c>
      <c r="S183" s="660">
        <v>61000</v>
      </c>
      <c r="T183" s="660">
        <v>0</v>
      </c>
      <c r="U183" s="660">
        <v>0</v>
      </c>
      <c r="V183" s="660">
        <v>-30000</v>
      </c>
      <c r="W183" s="660">
        <v>51304</v>
      </c>
      <c r="X183" s="660">
        <v>0</v>
      </c>
      <c r="Y183" s="659">
        <f t="shared" ca="1" si="9"/>
        <v>859760</v>
      </c>
      <c r="Z183" s="659">
        <f t="shared" ca="1" si="8"/>
        <v>82304</v>
      </c>
    </row>
    <row r="184" spans="1:26" ht="15.95" customHeight="1" x14ac:dyDescent="0.15">
      <c r="A184" s="656">
        <v>43191</v>
      </c>
      <c r="B184" s="657" t="str">
        <f t="shared" ca="1" si="7"/>
        <v>08</v>
      </c>
      <c r="C184" s="658" t="s">
        <v>189</v>
      </c>
      <c r="D184" s="659">
        <f ca="1">IF($A184="","",IFERROR(GETPIVOTDATA("合計 / 入金予定",【ピボット】国保連売上!$A$3,"年月",$A184,"事業所コード",$B184,"事業所",$C184,"事業区分",D$1,"請求区分","単月"),0)
+IFERROR(GETPIVOTDATA("合計 / 入金予定",【ピボット】国保連売上!$A$3,"年月",$A184,"事業所コード",$B184,"事業所",$C184,"事業区分",D$1,"請求区分","再請求"),0))</f>
        <v>0</v>
      </c>
      <c r="E184" s="659">
        <f ca="1">IF($A184="","",IFERROR(GETPIVOTDATA("合計 / 処遇改善加算金",【ピボット】国保連売上!$A$3,"年月",$A184,"事業所コード",$B184,"事業所",$C184,"事業区分",D$1,"請求区分","単月"),0))</f>
        <v>0</v>
      </c>
      <c r="F184" s="659">
        <f ca="1">IF($A184="","",IFERROR(GETPIVOTDATA("合計 / 入金予定",【ピボット】国保連売上!$A$3,"年月",$A184,"事業所コード",$B184,"事業所",$C184,"事業区分",F$1,"請求区分","単月"),0)
+IFERROR(GETPIVOTDATA("合計 / 入金予定",【ピボット】国保連売上!$A$3,"年月",$A184,"事業所コード",$B184,"事業所",$C184,"事業区分",F$1,"請求区分","再請求"),0))</f>
        <v>0</v>
      </c>
      <c r="G184" s="659">
        <f ca="1">IF($A184="","",IFERROR(GETPIVOTDATA("合計 / 処遇改善加算金",【ピボット】国保連売上!$A$3,"年月",$A184,"事業所コード",$B184,"事業所",$C184,"事業区分",F$1,"請求区分","単月"),0))</f>
        <v>0</v>
      </c>
      <c r="H184" s="659">
        <f ca="1">IF($A184="","",IFERROR(GETPIVOTDATA("合計 / 入金予定",【ピボット】国保連売上!$A$3,"年月",$A184,"事業所コード",$B184,"事業所",$C184,"事業区分",H$1,"請求区分","単月"),0)
+IFERROR(GETPIVOTDATA("合計 / 入金予定",【ピボット】国保連売上!$A$3,"年月",$A184,"事業所コード",$B184,"事業所",$C184,"事業区分",H$1,"請求区分","再請求"),0))</f>
        <v>0</v>
      </c>
      <c r="I184" s="659">
        <f ca="1">IF($A184="","",IFERROR(GETPIVOTDATA("合計 / 入金予定",【ピボット】国保連売上!$A$3,"年月",$A184,"事業所コード",$B184,"事業所",$C184,"事業区分",I$1,"請求区分","単月"),0)
+IFERROR(GETPIVOTDATA("合計 / 入金予定",【ピボット】国保連売上!$A$3,"年月",$A184,"事業所コード",$B184,"事業所",$C184,"事業区分",I$1,"請求区分","再請求"),0))</f>
        <v>0</v>
      </c>
      <c r="J184" s="659">
        <f ca="1">IF($A184="","",IFERROR(GETPIVOTDATA("合計 / 処遇改善加算金",【ピボット】国保連売上!$A$3,"年月",$A184,"事業所コード",$B184,"事業所",$C184,"事業区分",I$1,"請求区分","単月"),0))</f>
        <v>0</v>
      </c>
      <c r="K184" s="659">
        <f ca="1">IF($A184="","",IFERROR(GETPIVOTDATA("合計 / 入金予定",【ピボット】国保連売上!$A$3,"年月",$A184,"事業所コード",$B184,"事業所",$C184,"事業区分",K$1,"請求区分","単月"),0)
+IFERROR(GETPIVOTDATA("合計 / 入金予定",【ピボット】国保連売上!$A$3,"年月",$A184,"事業所コード",$B184,"事業所",$C184,"事業区分",K$1,"請求区分","再請求"),0))</f>
        <v>960460</v>
      </c>
      <c r="L184" s="659">
        <f ca="1">IF($A184="","",IFERROR(GETPIVOTDATA("合計 / 処遇改善加算金",【ピボット】国保連売上!$A$3,"年月",$A184,"事業所コード",$B184,"事業所",$C184,"事業区分",K$1,"請求区分","単月"),0))</f>
        <v>0</v>
      </c>
      <c r="M184" s="659">
        <f ca="1">IF($A184="","",IFERROR(GETPIVOTDATA("合計 / 入金予定",【ピボット】国保連売上!$A$3,"年月",$A184,"事業所コード",$B184,"事業所",$C184,"事業区分",M$1,"請求区分","単月"),0)
+IFERROR(GETPIVOTDATA("合計 / 入金予定",【ピボット】国保連売上!$A$3,"年月",$A184,"事業所コード",$B184,"事業所",$C184,"事業区分",M$1,"請求区分","再請求"),0))</f>
        <v>0</v>
      </c>
      <c r="N184" s="660">
        <v>20000</v>
      </c>
      <c r="O184" s="660">
        <v>0</v>
      </c>
      <c r="P184" s="660">
        <v>0</v>
      </c>
      <c r="Q184" s="660">
        <v>0</v>
      </c>
      <c r="R184" s="660">
        <v>0</v>
      </c>
      <c r="S184" s="660">
        <v>98000</v>
      </c>
      <c r="T184" s="660">
        <v>0</v>
      </c>
      <c r="U184" s="660">
        <v>0</v>
      </c>
      <c r="V184" s="660">
        <v>-40000</v>
      </c>
      <c r="W184" s="660">
        <v>0</v>
      </c>
      <c r="X184" s="660">
        <v>0</v>
      </c>
      <c r="Y184" s="659">
        <f t="shared" ca="1" si="9"/>
        <v>1038460</v>
      </c>
      <c r="Z184" s="659">
        <f t="shared" ca="1" si="8"/>
        <v>78000</v>
      </c>
    </row>
    <row r="185" spans="1:26" ht="15.95" customHeight="1" x14ac:dyDescent="0.15">
      <c r="A185" s="656">
        <v>43191</v>
      </c>
      <c r="B185" s="657" t="str">
        <f t="shared" ca="1" si="7"/>
        <v>09</v>
      </c>
      <c r="C185" s="658" t="s">
        <v>329</v>
      </c>
      <c r="D185" s="659">
        <f ca="1">IF($A185="","",IFERROR(GETPIVOTDATA("合計 / 入金予定",【ピボット】国保連売上!$A$3,"年月",$A185,"事業所コード",$B185,"事業所",$C185,"事業区分",D$1,"請求区分","単月"),0)
+IFERROR(GETPIVOTDATA("合計 / 入金予定",【ピボット】国保連売上!$A$3,"年月",$A185,"事業所コード",$B185,"事業所",$C185,"事業区分",D$1,"請求区分","再請求"),0))</f>
        <v>0</v>
      </c>
      <c r="E185" s="659">
        <f ca="1">IF($A185="","",IFERROR(GETPIVOTDATA("合計 / 処遇改善加算金",【ピボット】国保連売上!$A$3,"年月",$A185,"事業所コード",$B185,"事業所",$C185,"事業区分",D$1,"請求区分","単月"),0))</f>
        <v>0</v>
      </c>
      <c r="F185" s="659">
        <f ca="1">IF($A185="","",IFERROR(GETPIVOTDATA("合計 / 入金予定",【ピボット】国保連売上!$A$3,"年月",$A185,"事業所コード",$B185,"事業所",$C185,"事業区分",F$1,"請求区分","単月"),0)
+IFERROR(GETPIVOTDATA("合計 / 入金予定",【ピボット】国保連売上!$A$3,"年月",$A185,"事業所コード",$B185,"事業所",$C185,"事業区分",F$1,"請求区分","再請求"),0))</f>
        <v>0</v>
      </c>
      <c r="G185" s="659">
        <f ca="1">IF($A185="","",IFERROR(GETPIVOTDATA("合計 / 処遇改善加算金",【ピボット】国保連売上!$A$3,"年月",$A185,"事業所コード",$B185,"事業所",$C185,"事業区分",F$1,"請求区分","単月"),0))</f>
        <v>0</v>
      </c>
      <c r="H185" s="659">
        <f ca="1">IF($A185="","",IFERROR(GETPIVOTDATA("合計 / 入金予定",【ピボット】国保連売上!$A$3,"年月",$A185,"事業所コード",$B185,"事業所",$C185,"事業区分",H$1,"請求区分","単月"),0)
+IFERROR(GETPIVOTDATA("合計 / 入金予定",【ピボット】国保連売上!$A$3,"年月",$A185,"事業所コード",$B185,"事業所",$C185,"事業区分",H$1,"請求区分","再請求"),0))</f>
        <v>0</v>
      </c>
      <c r="I185" s="659">
        <f ca="1">IF($A185="","",IFERROR(GETPIVOTDATA("合計 / 入金予定",【ピボット】国保連売上!$A$3,"年月",$A185,"事業所コード",$B185,"事業所",$C185,"事業区分",I$1,"請求区分","単月"),0)
+IFERROR(GETPIVOTDATA("合計 / 入金予定",【ピボット】国保連売上!$A$3,"年月",$A185,"事業所コード",$B185,"事業所",$C185,"事業区分",I$1,"請求区分","再請求"),0))</f>
        <v>0</v>
      </c>
      <c r="J185" s="659">
        <f ca="1">IF($A185="","",IFERROR(GETPIVOTDATA("合計 / 処遇改善加算金",【ピボット】国保連売上!$A$3,"年月",$A185,"事業所コード",$B185,"事業所",$C185,"事業区分",I$1,"請求区分","単月"),0))</f>
        <v>0</v>
      </c>
      <c r="K185" s="659">
        <f ca="1">IF($A185="","",IFERROR(GETPIVOTDATA("合計 / 入金予定",【ピボット】国保連売上!$A$3,"年月",$A185,"事業所コード",$B185,"事業所",$C185,"事業区分",K$1,"請求区分","単月"),0)
+IFERROR(GETPIVOTDATA("合計 / 入金予定",【ピボット】国保連売上!$A$3,"年月",$A185,"事業所コード",$B185,"事業所",$C185,"事業区分",K$1,"請求区分","再請求"),0))</f>
        <v>2405342</v>
      </c>
      <c r="L185" s="659">
        <f ca="1">IF($A185="","",IFERROR(GETPIVOTDATA("合計 / 処遇改善加算金",【ピボット】国保連売上!$A$3,"年月",$A185,"事業所コード",$B185,"事業所",$C185,"事業区分",K$1,"請求区分","単月"),0))</f>
        <v>0</v>
      </c>
      <c r="M185" s="659">
        <f ca="1">IF($A185="","",IFERROR(GETPIVOTDATA("合計 / 入金予定",【ピボット】国保連売上!$A$3,"年月",$A185,"事業所コード",$B185,"事業所",$C185,"事業区分",M$1,"請求区分","単月"),0)
+IFERROR(GETPIVOTDATA("合計 / 入金予定",【ピボット】国保連売上!$A$3,"年月",$A185,"事業所コード",$B185,"事業所",$C185,"事業区分",M$1,"請求区分","再請求"),0))</f>
        <v>0</v>
      </c>
      <c r="N185" s="660">
        <v>0</v>
      </c>
      <c r="O185" s="660">
        <v>0</v>
      </c>
      <c r="P185" s="660">
        <v>0</v>
      </c>
      <c r="Q185" s="660">
        <v>0</v>
      </c>
      <c r="R185" s="660">
        <v>0</v>
      </c>
      <c r="S185" s="660">
        <v>400000</v>
      </c>
      <c r="T185" s="660">
        <v>0</v>
      </c>
      <c r="U185" s="660">
        <v>0</v>
      </c>
      <c r="V185" s="660">
        <v>-100000</v>
      </c>
      <c r="W185" s="660">
        <v>48890</v>
      </c>
      <c r="X185" s="660">
        <v>0</v>
      </c>
      <c r="Y185" s="659">
        <f t="shared" ca="1" si="9"/>
        <v>2754232</v>
      </c>
      <c r="Z185" s="659">
        <f t="shared" ca="1" si="8"/>
        <v>348890</v>
      </c>
    </row>
    <row r="186" spans="1:26" ht="15.95" customHeight="1" x14ac:dyDescent="0.15">
      <c r="A186" s="656">
        <v>43191</v>
      </c>
      <c r="B186" s="657" t="str">
        <f t="shared" ca="1" si="7"/>
        <v>05</v>
      </c>
      <c r="C186" s="658" t="s">
        <v>38</v>
      </c>
      <c r="D186" s="659">
        <f ca="1">IF($A186="","",IFERROR(GETPIVOTDATA("合計 / 入金予定",【ピボット】国保連売上!$A$3,"年月",$A186,"事業所コード",$B186,"事業所",$C186,"事業区分",D$1,"請求区分","単月"),0)
+IFERROR(GETPIVOTDATA("合計 / 入金予定",【ピボット】国保連売上!$A$3,"年月",$A186,"事業所コード",$B186,"事業所",$C186,"事業区分",D$1,"請求区分","再請求"),0))</f>
        <v>2390194</v>
      </c>
      <c r="E186" s="659">
        <f ca="1">IF($A186="","",IFERROR(GETPIVOTDATA("合計 / 処遇改善加算金",【ピボット】国保連売上!$A$3,"年月",$A186,"事業所コード",$B186,"事業所",$C186,"事業区分",D$1,"請求区分","単月"),0))</f>
        <v>0</v>
      </c>
      <c r="F186" s="659">
        <f ca="1">IF($A186="","",IFERROR(GETPIVOTDATA("合計 / 入金予定",【ピボット】国保連売上!$A$3,"年月",$A186,"事業所コード",$B186,"事業所",$C186,"事業区分",F$1,"請求区分","単月"),0)
+IFERROR(GETPIVOTDATA("合計 / 入金予定",【ピボット】国保連売上!$A$3,"年月",$A186,"事業所コード",$B186,"事業所",$C186,"事業区分",F$1,"請求区分","再請求"),0))</f>
        <v>0</v>
      </c>
      <c r="G186" s="659">
        <f ca="1">IF($A186="","",IFERROR(GETPIVOTDATA("合計 / 処遇改善加算金",【ピボット】国保連売上!$A$3,"年月",$A186,"事業所コード",$B186,"事業所",$C186,"事業区分",F$1,"請求区分","単月"),0))</f>
        <v>0</v>
      </c>
      <c r="H186" s="659">
        <f ca="1">IF($A186="","",IFERROR(GETPIVOTDATA("合計 / 入金予定",【ピボット】国保連売上!$A$3,"年月",$A186,"事業所コード",$B186,"事業所",$C186,"事業区分",H$1,"請求区分","単月"),0)
+IFERROR(GETPIVOTDATA("合計 / 入金予定",【ピボット】国保連売上!$A$3,"年月",$A186,"事業所コード",$B186,"事業所",$C186,"事業区分",H$1,"請求区分","再請求"),0))</f>
        <v>0</v>
      </c>
      <c r="I186" s="659">
        <f ca="1">IF($A186="","",IFERROR(GETPIVOTDATA("合計 / 入金予定",【ピボット】国保連売上!$A$3,"年月",$A186,"事業所コード",$B186,"事業所",$C186,"事業区分",I$1,"請求区分","単月"),0)
+IFERROR(GETPIVOTDATA("合計 / 入金予定",【ピボット】国保連売上!$A$3,"年月",$A186,"事業所コード",$B186,"事業所",$C186,"事業区分",I$1,"請求区分","再請求"),0))</f>
        <v>0</v>
      </c>
      <c r="J186" s="659">
        <f ca="1">IF($A186="","",IFERROR(GETPIVOTDATA("合計 / 処遇改善加算金",【ピボット】国保連売上!$A$3,"年月",$A186,"事業所コード",$B186,"事業所",$C186,"事業区分",I$1,"請求区分","単月"),0))</f>
        <v>0</v>
      </c>
      <c r="K186" s="659">
        <f ca="1">IF($A186="","",IFERROR(GETPIVOTDATA("合計 / 入金予定",【ピボット】国保連売上!$A$3,"年月",$A186,"事業所コード",$B186,"事業所",$C186,"事業区分",K$1,"請求区分","単月"),0)
+IFERROR(GETPIVOTDATA("合計 / 入金予定",【ピボット】国保連売上!$A$3,"年月",$A186,"事業所コード",$B186,"事業所",$C186,"事業区分",K$1,"請求区分","再請求"),0))</f>
        <v>0</v>
      </c>
      <c r="L186" s="659">
        <f ca="1">IF($A186="","",IFERROR(GETPIVOTDATA("合計 / 処遇改善加算金",【ピボット】国保連売上!$A$3,"年月",$A186,"事業所コード",$B186,"事業所",$C186,"事業区分",K$1,"請求区分","単月"),0))</f>
        <v>0</v>
      </c>
      <c r="M186" s="659">
        <f ca="1">IF($A186="","",IFERROR(GETPIVOTDATA("合計 / 入金予定",【ピボット】国保連売上!$A$3,"年月",$A186,"事業所コード",$B186,"事業所",$C186,"事業区分",M$1,"請求区分","単月"),0)
+IFERROR(GETPIVOTDATA("合計 / 入金予定",【ピボット】国保連売上!$A$3,"年月",$A186,"事業所コード",$B186,"事業所",$C186,"事業区分",M$1,"請求区分","再請求"),0))</f>
        <v>0</v>
      </c>
      <c r="N186" s="660">
        <v>2400</v>
      </c>
      <c r="O186" s="660">
        <v>0</v>
      </c>
      <c r="P186" s="660">
        <v>0</v>
      </c>
      <c r="Q186" s="660">
        <v>0</v>
      </c>
      <c r="R186" s="660">
        <v>0</v>
      </c>
      <c r="S186" s="660">
        <v>791120</v>
      </c>
      <c r="T186" s="660">
        <v>0</v>
      </c>
      <c r="U186" s="660">
        <v>0</v>
      </c>
      <c r="V186" s="660">
        <v>0</v>
      </c>
      <c r="W186" s="660">
        <v>0</v>
      </c>
      <c r="X186" s="660">
        <v>0</v>
      </c>
      <c r="Y186" s="659">
        <f ca="1">IF(A186="","",SUM(D186,F186,H186:I186,K186,M186:X186))</f>
        <v>3183714</v>
      </c>
      <c r="Z186" s="659">
        <f t="shared" ca="1" si="8"/>
        <v>793520</v>
      </c>
    </row>
    <row r="187" spans="1:26" ht="15.95" customHeight="1" x14ac:dyDescent="0.15">
      <c r="A187" s="656">
        <v>43191</v>
      </c>
      <c r="B187" s="657" t="str">
        <f t="shared" ca="1" si="7"/>
        <v>10</v>
      </c>
      <c r="C187" s="658" t="s">
        <v>336</v>
      </c>
      <c r="D187" s="659">
        <f ca="1">IF($A187="","",IFERROR(GETPIVOTDATA("合計 / 入金予定",【ピボット】国保連売上!$A$3,"年月",$A187,"事業所コード",$B187,"事業所",$C187,"事業区分",D$1,"請求区分","単月"),0)
+IFERROR(GETPIVOTDATA("合計 / 入金予定",【ピボット】国保連売上!$A$3,"年月",$A187,"事業所コード",$B187,"事業所",$C187,"事業区分",D$1,"請求区分","再請求"),0))</f>
        <v>823704</v>
      </c>
      <c r="E187" s="659">
        <f ca="1">IF($A187="","",IFERROR(GETPIVOTDATA("合計 / 処遇改善加算金",【ピボット】国保連売上!$A$3,"年月",$A187,"事業所コード",$B187,"事業所",$C187,"事業区分",D$1,"請求区分","単月"),0))</f>
        <v>0</v>
      </c>
      <c r="F187" s="659">
        <f ca="1">IF($A187="","",IFERROR(GETPIVOTDATA("合計 / 入金予定",【ピボット】国保連売上!$A$3,"年月",$A187,"事業所コード",$B187,"事業所",$C187,"事業区分",F$1,"請求区分","単月"),0)
+IFERROR(GETPIVOTDATA("合計 / 入金予定",【ピボット】国保連売上!$A$3,"年月",$A187,"事業所コード",$B187,"事業所",$C187,"事業区分",F$1,"請求区分","再請求"),0))</f>
        <v>89035</v>
      </c>
      <c r="G187" s="659">
        <f ca="1">IF($A187="","",IFERROR(GETPIVOTDATA("合計 / 処遇改善加算金",【ピボット】国保連売上!$A$3,"年月",$A187,"事業所コード",$B187,"事業所",$C187,"事業区分",F$1,"請求区分","単月"),0))</f>
        <v>0</v>
      </c>
      <c r="H187" s="659">
        <f ca="1">IF($A187="","",IFERROR(GETPIVOTDATA("合計 / 入金予定",【ピボット】国保連売上!$A$3,"年月",$A187,"事業所コード",$B187,"事業所",$C187,"事業区分",H$1,"請求区分","単月"),0)
+IFERROR(GETPIVOTDATA("合計 / 入金予定",【ピボット】国保連売上!$A$3,"年月",$A187,"事業所コード",$B187,"事業所",$C187,"事業区分",H$1,"請求区分","再請求"),0))</f>
        <v>0</v>
      </c>
      <c r="I187" s="659">
        <f ca="1">IF($A187="","",IFERROR(GETPIVOTDATA("合計 / 入金予定",【ピボット】国保連売上!$A$3,"年月",$A187,"事業所コード",$B187,"事業所",$C187,"事業区分",I$1,"請求区分","単月"),0)
+IFERROR(GETPIVOTDATA("合計 / 入金予定",【ピボット】国保連売上!$A$3,"年月",$A187,"事業所コード",$B187,"事業所",$C187,"事業区分",I$1,"請求区分","再請求"),0))</f>
        <v>0</v>
      </c>
      <c r="J187" s="659">
        <f ca="1">IF($A187="","",IFERROR(GETPIVOTDATA("合計 / 処遇改善加算金",【ピボット】国保連売上!$A$3,"年月",$A187,"事業所コード",$B187,"事業所",$C187,"事業区分",I$1,"請求区分","単月"),0))</f>
        <v>0</v>
      </c>
      <c r="K187" s="659">
        <f ca="1">IF($A187="","",IFERROR(GETPIVOTDATA("合計 / 入金予定",【ピボット】国保連売上!$A$3,"年月",$A187,"事業所コード",$B187,"事業所",$C187,"事業区分",K$1,"請求区分","単月"),0)
+IFERROR(GETPIVOTDATA("合計 / 入金予定",【ピボット】国保連売上!$A$3,"年月",$A187,"事業所コード",$B187,"事業所",$C187,"事業区分",K$1,"請求区分","再請求"),0))</f>
        <v>0</v>
      </c>
      <c r="L187" s="659">
        <f ca="1">IF($A187="","",IFERROR(GETPIVOTDATA("合計 / 処遇改善加算金",【ピボット】国保連売上!$A$3,"年月",$A187,"事業所コード",$B187,"事業所",$C187,"事業区分",K$1,"請求区分","単月"),0))</f>
        <v>0</v>
      </c>
      <c r="M187" s="659">
        <f ca="1">IF($A187="","",IFERROR(GETPIVOTDATA("合計 / 入金予定",【ピボット】国保連売上!$A$3,"年月",$A187,"事業所コード",$B187,"事業所",$C187,"事業区分",M$1,"請求区分","単月"),0)
+IFERROR(GETPIVOTDATA("合計 / 入金予定",【ピボット】国保連売上!$A$3,"年月",$A187,"事業所コード",$B187,"事業所",$C187,"事業区分",M$1,"請求区分","再請求"),0))</f>
        <v>0</v>
      </c>
      <c r="N187" s="660">
        <v>97200</v>
      </c>
      <c r="O187" s="660">
        <v>60840</v>
      </c>
      <c r="P187" s="660">
        <v>890170</v>
      </c>
      <c r="Q187" s="660">
        <v>0</v>
      </c>
      <c r="R187" s="660">
        <v>0</v>
      </c>
      <c r="S187" s="660">
        <v>0</v>
      </c>
      <c r="T187" s="660">
        <v>0</v>
      </c>
      <c r="U187" s="660">
        <v>0</v>
      </c>
      <c r="V187" s="660">
        <v>0</v>
      </c>
      <c r="W187" s="660">
        <v>0</v>
      </c>
      <c r="X187" s="660">
        <v>0</v>
      </c>
      <c r="Y187" s="659">
        <f t="shared" ca="1" si="9"/>
        <v>1960949</v>
      </c>
      <c r="Z187" s="659">
        <f t="shared" ca="1" si="8"/>
        <v>1048210</v>
      </c>
    </row>
    <row r="188" spans="1:26" ht="15.95" customHeight="1" x14ac:dyDescent="0.15">
      <c r="A188" s="656">
        <v>43221</v>
      </c>
      <c r="B188" s="657" t="str">
        <f t="shared" ca="1" si="7"/>
        <v>01</v>
      </c>
      <c r="C188" s="658" t="s">
        <v>34</v>
      </c>
      <c r="D188" s="659">
        <f ca="1">IF($A188="","",IFERROR(GETPIVOTDATA("合計 / 入金予定",【ピボット】国保連売上!$A$3,"年月",$A188,"事業所コード",$B188,"事業所",$C188,"事業区分",D$1,"請求区分","単月"),0)
+IFERROR(GETPIVOTDATA("合計 / 入金予定",【ピボット】国保連売上!$A$3,"年月",$A188,"事業所コード",$B188,"事業所",$C188,"事業区分",D$1,"請求区分","再請求"),0))</f>
        <v>8320534</v>
      </c>
      <c r="E188" s="659">
        <f ca="1">IF($A188="","",IFERROR(GETPIVOTDATA("合計 / 処遇改善加算金",【ピボット】国保連売上!$A$3,"年月",$A188,"事業所コード",$B188,"事業所",$C188,"事業区分",D$1,"請求区分","単月"),0))</f>
        <v>1381326</v>
      </c>
      <c r="F188" s="659">
        <f ca="1">IF($A188="","",IFERROR(GETPIVOTDATA("合計 / 入金予定",【ピボット】国保連売上!$A$3,"年月",$A188,"事業所コード",$B188,"事業所",$C188,"事業区分",F$1,"請求区分","単月"),0)
+IFERROR(GETPIVOTDATA("合計 / 入金予定",【ピボット】国保連売上!$A$3,"年月",$A188,"事業所コード",$B188,"事業所",$C188,"事業区分",F$1,"請求区分","再請求"),0))</f>
        <v>1364202</v>
      </c>
      <c r="G188" s="659">
        <f ca="1">IF($A188="","",IFERROR(GETPIVOTDATA("合計 / 処遇改善加算金",【ピボット】国保連売上!$A$3,"年月",$A188,"事業所コード",$B188,"事業所",$C188,"事業区分",F$1,"請求区分","単月"),0))</f>
        <v>295743</v>
      </c>
      <c r="H188" s="659">
        <f ca="1">IF($A188="","",IFERROR(GETPIVOTDATA("合計 / 入金予定",【ピボット】国保連売上!$A$3,"年月",$A188,"事業所コード",$B188,"事業所",$C188,"事業区分",H$1,"請求区分","単月"),0)
+IFERROR(GETPIVOTDATA("合計 / 入金予定",【ピボット】国保連売上!$A$3,"年月",$A188,"事業所コード",$B188,"事業所",$C188,"事業区分",H$1,"請求区分","再請求"),0))</f>
        <v>662018</v>
      </c>
      <c r="I188" s="659">
        <f ca="1">IF($A188="","",IFERROR(GETPIVOTDATA("合計 / 入金予定",【ピボット】国保連売上!$A$3,"年月",$A188,"事業所コード",$B188,"事業所",$C188,"事業区分",I$1,"請求区分","単月"),0)
+IFERROR(GETPIVOTDATA("合計 / 入金予定",【ピボット】国保連売上!$A$3,"年月",$A188,"事業所コード",$B188,"事業所",$C188,"事業区分",I$1,"請求区分","再請求"),0))</f>
        <v>0</v>
      </c>
      <c r="J188" s="659">
        <f ca="1">IF($A188="","",IFERROR(GETPIVOTDATA("合計 / 処遇改善加算金",【ピボット】国保連売上!$A$3,"年月",$A188,"事業所コード",$B188,"事業所",$C188,"事業区分",I$1,"請求区分","単月"),0))</f>
        <v>0</v>
      </c>
      <c r="K188" s="659">
        <f ca="1">IF($A188="","",IFERROR(GETPIVOTDATA("合計 / 入金予定",【ピボット】国保連売上!$A$3,"年月",$A188,"事業所コード",$B188,"事業所",$C188,"事業区分",K$1,"請求区分","単月"),0)
+IFERROR(GETPIVOTDATA("合計 / 入金予定",【ピボット】国保連売上!$A$3,"年月",$A188,"事業所コード",$B188,"事業所",$C188,"事業区分",K$1,"請求区分","再請求"),0))</f>
        <v>0</v>
      </c>
      <c r="L188" s="659">
        <f ca="1">IF($A188="","",IFERROR(GETPIVOTDATA("合計 / 処遇改善加算金",【ピボット】国保連売上!$A$3,"年月",$A188,"事業所コード",$B188,"事業所",$C188,"事業区分",K$1,"請求区分","単月"),0))</f>
        <v>0</v>
      </c>
      <c r="M188" s="659">
        <f ca="1">IF($A188="","",IFERROR(GETPIVOTDATA("合計 / 入金予定",【ピボット】国保連売上!$A$3,"年月",$A188,"事業所コード",$B188,"事業所",$C188,"事業区分",M$1,"請求区分","単月"),0)
+IFERROR(GETPIVOTDATA("合計 / 入金予定",【ピボット】国保連売上!$A$3,"年月",$A188,"事業所コード",$B188,"事業所",$C188,"事業区分",M$1,"請求区分","再請求"),0))</f>
        <v>0</v>
      </c>
      <c r="N188" s="660">
        <v>150381</v>
      </c>
      <c r="O188" s="660">
        <v>37721</v>
      </c>
      <c r="P188" s="660">
        <v>0</v>
      </c>
      <c r="Q188" s="660">
        <v>9036</v>
      </c>
      <c r="R188" s="660">
        <v>133935</v>
      </c>
      <c r="S188" s="660">
        <v>0</v>
      </c>
      <c r="T188" s="660">
        <v>0</v>
      </c>
      <c r="U188" s="660">
        <v>95000</v>
      </c>
      <c r="V188" s="660">
        <v>0</v>
      </c>
      <c r="W188" s="660">
        <v>0</v>
      </c>
      <c r="X188" s="660">
        <v>0</v>
      </c>
      <c r="Y188" s="659">
        <f t="shared" ca="1" si="9"/>
        <v>10772827</v>
      </c>
      <c r="Z188" s="659">
        <f t="shared" ca="1" si="8"/>
        <v>426073</v>
      </c>
    </row>
    <row r="189" spans="1:26" ht="15.95" customHeight="1" x14ac:dyDescent="0.15">
      <c r="A189" s="656">
        <v>43221</v>
      </c>
      <c r="B189" s="657" t="str">
        <f t="shared" ca="1" si="7"/>
        <v>02</v>
      </c>
      <c r="C189" s="658" t="s">
        <v>37</v>
      </c>
      <c r="D189" s="659">
        <f ca="1">IF($A189="","",IFERROR(GETPIVOTDATA("合計 / 入金予定",【ピボット】国保連売上!$A$3,"年月",$A189,"事業所コード",$B189,"事業所",$C189,"事業区分",D$1,"請求区分","単月"),0)
+IFERROR(GETPIVOTDATA("合計 / 入金予定",【ピボット】国保連売上!$A$3,"年月",$A189,"事業所コード",$B189,"事業所",$C189,"事業区分",D$1,"請求区分","再請求"),0))</f>
        <v>4774530</v>
      </c>
      <c r="E189" s="659">
        <f ca="1">IF($A189="","",IFERROR(GETPIVOTDATA("合計 / 処遇改善加算金",【ピボット】国保連売上!$A$3,"年月",$A189,"事業所コード",$B189,"事業所",$C189,"事業区分",D$1,"請求区分","単月"),0))</f>
        <v>518576</v>
      </c>
      <c r="F189" s="659">
        <f ca="1">IF($A189="","",IFERROR(GETPIVOTDATA("合計 / 入金予定",【ピボット】国保連売上!$A$3,"年月",$A189,"事業所コード",$B189,"事業所",$C189,"事業区分",F$1,"請求区分","単月"),0)
+IFERROR(GETPIVOTDATA("合計 / 入金予定",【ピボット】国保連売上!$A$3,"年月",$A189,"事業所コード",$B189,"事業所",$C189,"事業区分",F$1,"請求区分","再請求"),0))</f>
        <v>1009132</v>
      </c>
      <c r="G189" s="659">
        <f ca="1">IF($A189="","",IFERROR(GETPIVOTDATA("合計 / 処遇改善加算金",【ピボット】国保連売上!$A$3,"年月",$A189,"事業所コード",$B189,"事業所",$C189,"事業区分",F$1,"請求区分","単月"),0))</f>
        <v>233805</v>
      </c>
      <c r="H189" s="659">
        <f ca="1">IF($A189="","",IFERROR(GETPIVOTDATA("合計 / 入金予定",【ピボット】国保連売上!$A$3,"年月",$A189,"事業所コード",$B189,"事業所",$C189,"事業区分",H$1,"請求区分","単月"),0)
+IFERROR(GETPIVOTDATA("合計 / 入金予定",【ピボット】国保連売上!$A$3,"年月",$A189,"事業所コード",$B189,"事業所",$C189,"事業区分",H$1,"請求区分","再請求"),0))</f>
        <v>447307</v>
      </c>
      <c r="I189" s="659">
        <f ca="1">IF($A189="","",IFERROR(GETPIVOTDATA("合計 / 入金予定",【ピボット】国保連売上!$A$3,"年月",$A189,"事業所コード",$B189,"事業所",$C189,"事業区分",I$1,"請求区分","単月"),0)
+IFERROR(GETPIVOTDATA("合計 / 入金予定",【ピボット】国保連売上!$A$3,"年月",$A189,"事業所コード",$B189,"事業所",$C189,"事業区分",I$1,"請求区分","再請求"),0))</f>
        <v>0</v>
      </c>
      <c r="J189" s="659">
        <f ca="1">IF($A189="","",IFERROR(GETPIVOTDATA("合計 / 処遇改善加算金",【ピボット】国保連売上!$A$3,"年月",$A189,"事業所コード",$B189,"事業所",$C189,"事業区分",I$1,"請求区分","単月"),0))</f>
        <v>0</v>
      </c>
      <c r="K189" s="659">
        <f ca="1">IF($A189="","",IFERROR(GETPIVOTDATA("合計 / 入金予定",【ピボット】国保連売上!$A$3,"年月",$A189,"事業所コード",$B189,"事業所",$C189,"事業区分",K$1,"請求区分","単月"),0)
+IFERROR(GETPIVOTDATA("合計 / 入金予定",【ピボット】国保連売上!$A$3,"年月",$A189,"事業所コード",$B189,"事業所",$C189,"事業区分",K$1,"請求区分","再請求"),0))</f>
        <v>0</v>
      </c>
      <c r="L189" s="659">
        <f ca="1">IF($A189="","",IFERROR(GETPIVOTDATA("合計 / 処遇改善加算金",【ピボット】国保連売上!$A$3,"年月",$A189,"事業所コード",$B189,"事業所",$C189,"事業区分",K$1,"請求区分","単月"),0))</f>
        <v>0</v>
      </c>
      <c r="M189" s="659">
        <f ca="1">IF($A189="","",IFERROR(GETPIVOTDATA("合計 / 入金予定",【ピボット】国保連売上!$A$3,"年月",$A189,"事業所コード",$B189,"事業所",$C189,"事業区分",M$1,"請求区分","単月"),0)
+IFERROR(GETPIVOTDATA("合計 / 入金予定",【ピボット】国保連売上!$A$3,"年月",$A189,"事業所コード",$B189,"事業所",$C189,"事業区分",M$1,"請求区分","再請求"),0))</f>
        <v>0</v>
      </c>
      <c r="N189" s="660">
        <v>352083</v>
      </c>
      <c r="O189" s="660">
        <v>0</v>
      </c>
      <c r="P189" s="660">
        <v>0</v>
      </c>
      <c r="Q189" s="660">
        <v>1733</v>
      </c>
      <c r="R189" s="660">
        <v>146241</v>
      </c>
      <c r="S189" s="660">
        <v>0</v>
      </c>
      <c r="T189" s="660">
        <v>0</v>
      </c>
      <c r="U189" s="660">
        <v>0</v>
      </c>
      <c r="V189" s="660">
        <v>0</v>
      </c>
      <c r="W189" s="660">
        <v>0</v>
      </c>
      <c r="X189" s="660">
        <v>0</v>
      </c>
      <c r="Y189" s="659">
        <f t="shared" ca="1" si="9"/>
        <v>6731026</v>
      </c>
      <c r="Z189" s="659">
        <f t="shared" ca="1" si="8"/>
        <v>500057</v>
      </c>
    </row>
    <row r="190" spans="1:26" ht="15.95" customHeight="1" x14ac:dyDescent="0.15">
      <c r="A190" s="656">
        <v>43221</v>
      </c>
      <c r="B190" s="657" t="str">
        <f t="shared" ca="1" si="7"/>
        <v>03</v>
      </c>
      <c r="C190" s="658" t="s">
        <v>66</v>
      </c>
      <c r="D190" s="659">
        <f ca="1">IF($A190="","",IFERROR(GETPIVOTDATA("合計 / 入金予定",【ピボット】国保連売上!$A$3,"年月",$A190,"事業所コード",$B190,"事業所",$C190,"事業区分",D$1,"請求区分","単月"),0)
+IFERROR(GETPIVOTDATA("合計 / 入金予定",【ピボット】国保連売上!$A$3,"年月",$A190,"事業所コード",$B190,"事業所",$C190,"事業区分",D$1,"請求区分","再請求"),0))</f>
        <v>4592878</v>
      </c>
      <c r="E190" s="659">
        <f ca="1">IF($A190="","",IFERROR(GETPIVOTDATA("合計 / 処遇改善加算金",【ピボット】国保連売上!$A$3,"年月",$A190,"事業所コード",$B190,"事業所",$C190,"事業区分",D$1,"請求区分","単月"),0))</f>
        <v>468481</v>
      </c>
      <c r="F190" s="659">
        <f ca="1">IF($A190="","",IFERROR(GETPIVOTDATA("合計 / 入金予定",【ピボット】国保連売上!$A$3,"年月",$A190,"事業所コード",$B190,"事業所",$C190,"事業区分",F$1,"請求区分","単月"),0)
+IFERROR(GETPIVOTDATA("合計 / 入金予定",【ピボット】国保連売上!$A$3,"年月",$A190,"事業所コード",$B190,"事業所",$C190,"事業区分",F$1,"請求区分","再請求"),0))</f>
        <v>1467994</v>
      </c>
      <c r="G190" s="659">
        <f ca="1">IF($A190="","",IFERROR(GETPIVOTDATA("合計 / 処遇改善加算金",【ピボット】国保連売上!$A$3,"年月",$A190,"事業所コード",$B190,"事業所",$C190,"事業区分",F$1,"請求区分","単月"),0))</f>
        <v>341347</v>
      </c>
      <c r="H190" s="659">
        <f ca="1">IF($A190="","",IFERROR(GETPIVOTDATA("合計 / 入金予定",【ピボット】国保連売上!$A$3,"年月",$A190,"事業所コード",$B190,"事業所",$C190,"事業区分",H$1,"請求区分","単月"),0)
+IFERROR(GETPIVOTDATA("合計 / 入金予定",【ピボット】国保連売上!$A$3,"年月",$A190,"事業所コード",$B190,"事業所",$C190,"事業区分",H$1,"請求区分","再請求"),0))</f>
        <v>0</v>
      </c>
      <c r="I190" s="659">
        <f ca="1">IF($A190="","",IFERROR(GETPIVOTDATA("合計 / 入金予定",【ピボット】国保連売上!$A$3,"年月",$A190,"事業所コード",$B190,"事業所",$C190,"事業区分",I$1,"請求区分","単月"),0)
+IFERROR(GETPIVOTDATA("合計 / 入金予定",【ピボット】国保連売上!$A$3,"年月",$A190,"事業所コード",$B190,"事業所",$C190,"事業区分",I$1,"請求区分","再請求"),0))</f>
        <v>0</v>
      </c>
      <c r="J190" s="659">
        <f ca="1">IF($A190="","",IFERROR(GETPIVOTDATA("合計 / 処遇改善加算金",【ピボット】国保連売上!$A$3,"年月",$A190,"事業所コード",$B190,"事業所",$C190,"事業区分",I$1,"請求区分","単月"),0))</f>
        <v>0</v>
      </c>
      <c r="K190" s="659">
        <f ca="1">IF($A190="","",IFERROR(GETPIVOTDATA("合計 / 入金予定",【ピボット】国保連売上!$A$3,"年月",$A190,"事業所コード",$B190,"事業所",$C190,"事業区分",K$1,"請求区分","単月"),0)
+IFERROR(GETPIVOTDATA("合計 / 入金予定",【ピボット】国保連売上!$A$3,"年月",$A190,"事業所コード",$B190,"事業所",$C190,"事業区分",K$1,"請求区分","再請求"),0))</f>
        <v>0</v>
      </c>
      <c r="L190" s="659">
        <f ca="1">IF($A190="","",IFERROR(GETPIVOTDATA("合計 / 処遇改善加算金",【ピボット】国保連売上!$A$3,"年月",$A190,"事業所コード",$B190,"事業所",$C190,"事業区分",K$1,"請求区分","単月"),0))</f>
        <v>0</v>
      </c>
      <c r="M190" s="659">
        <f ca="1">IF($A190="","",IFERROR(GETPIVOTDATA("合計 / 入金予定",【ピボット】国保連売上!$A$3,"年月",$A190,"事業所コード",$B190,"事業所",$C190,"事業区分",M$1,"請求区分","単月"),0)
+IFERROR(GETPIVOTDATA("合計 / 入金予定",【ピボット】国保連売上!$A$3,"年月",$A190,"事業所コード",$B190,"事業所",$C190,"事業区分",M$1,"請求区分","再請求"),0))</f>
        <v>0</v>
      </c>
      <c r="N190" s="660">
        <v>91900</v>
      </c>
      <c r="O190" s="660">
        <v>237469</v>
      </c>
      <c r="P190" s="660">
        <v>84750</v>
      </c>
      <c r="Q190" s="660">
        <v>4569</v>
      </c>
      <c r="R190" s="660">
        <v>0</v>
      </c>
      <c r="S190" s="660">
        <v>0</v>
      </c>
      <c r="T190" s="660">
        <v>0</v>
      </c>
      <c r="U190" s="660">
        <v>0</v>
      </c>
      <c r="V190" s="660">
        <v>0</v>
      </c>
      <c r="W190" s="660">
        <v>0</v>
      </c>
      <c r="X190" s="660">
        <v>0</v>
      </c>
      <c r="Y190" s="659">
        <f t="shared" ca="1" si="9"/>
        <v>6479560</v>
      </c>
      <c r="Z190" s="659">
        <f t="shared" ca="1" si="8"/>
        <v>418688</v>
      </c>
    </row>
    <row r="191" spans="1:26" ht="15.95" customHeight="1" x14ac:dyDescent="0.15">
      <c r="A191" s="656">
        <v>43221</v>
      </c>
      <c r="B191" s="657" t="str">
        <f t="shared" ca="1" si="7"/>
        <v>04</v>
      </c>
      <c r="C191" s="658" t="s">
        <v>358</v>
      </c>
      <c r="D191" s="659">
        <f ca="1">IF($A191="","",IFERROR(GETPIVOTDATA("合計 / 入金予定",【ピボット】国保連売上!$A$3,"年月",$A191,"事業所コード",$B191,"事業所",$C191,"事業区分",D$1,"請求区分","単月"),0)
+IFERROR(GETPIVOTDATA("合計 / 入金予定",【ピボット】国保連売上!$A$3,"年月",$A191,"事業所コード",$B191,"事業所",$C191,"事業区分",D$1,"請求区分","再請求"),0))</f>
        <v>0</v>
      </c>
      <c r="E191" s="659">
        <f ca="1">IF($A191="","",IFERROR(GETPIVOTDATA("合計 / 処遇改善加算金",【ピボット】国保連売上!$A$3,"年月",$A191,"事業所コード",$B191,"事業所",$C191,"事業区分",D$1,"請求区分","単月"),0))</f>
        <v>0</v>
      </c>
      <c r="F191" s="659">
        <f ca="1">IF($A191="","",IFERROR(GETPIVOTDATA("合計 / 入金予定",【ピボット】国保連売上!$A$3,"年月",$A191,"事業所コード",$B191,"事業所",$C191,"事業区分",F$1,"請求区分","単月"),0)
+IFERROR(GETPIVOTDATA("合計 / 入金予定",【ピボット】国保連売上!$A$3,"年月",$A191,"事業所コード",$B191,"事業所",$C191,"事業区分",F$1,"請求区分","再請求"),0))</f>
        <v>0</v>
      </c>
      <c r="G191" s="659">
        <f ca="1">IF($A191="","",IFERROR(GETPIVOTDATA("合計 / 処遇改善加算金",【ピボット】国保連売上!$A$3,"年月",$A191,"事業所コード",$B191,"事業所",$C191,"事業区分",F$1,"請求区分","単月"),0))</f>
        <v>0</v>
      </c>
      <c r="H191" s="659">
        <f ca="1">IF($A191="","",IFERROR(GETPIVOTDATA("合計 / 入金予定",【ピボット】国保連売上!$A$3,"年月",$A191,"事業所コード",$B191,"事業所",$C191,"事業区分",H$1,"請求区分","単月"),0)
+IFERROR(GETPIVOTDATA("合計 / 入金予定",【ピボット】国保連売上!$A$3,"年月",$A191,"事業所コード",$B191,"事業所",$C191,"事業区分",H$1,"請求区分","再請求"),0))</f>
        <v>0</v>
      </c>
      <c r="I191" s="659">
        <f ca="1">IF($A191="","",IFERROR(GETPIVOTDATA("合計 / 入金予定",【ピボット】国保連売上!$A$3,"年月",$A191,"事業所コード",$B191,"事業所",$C191,"事業区分",I$1,"請求区分","単月"),0)
+IFERROR(GETPIVOTDATA("合計 / 入金予定",【ピボット】国保連売上!$A$3,"年月",$A191,"事業所コード",$B191,"事業所",$C191,"事業区分",I$1,"請求区分","再請求"),0))</f>
        <v>4190888</v>
      </c>
      <c r="J191" s="659">
        <f ca="1">IF($A191="","",IFERROR(GETPIVOTDATA("合計 / 処遇改善加算金",【ピボット】国保連売上!$A$3,"年月",$A191,"事業所コード",$B191,"事業所",$C191,"事業区分",I$1,"請求区分","単月"),0))</f>
        <v>231845</v>
      </c>
      <c r="K191" s="659">
        <f ca="1">IF($A191="","",IFERROR(GETPIVOTDATA("合計 / 入金予定",【ピボット】国保連売上!$A$3,"年月",$A191,"事業所コード",$B191,"事業所",$C191,"事業区分",K$1,"請求区分","単月"),0)
+IFERROR(GETPIVOTDATA("合計 / 入金予定",【ピボット】国保連売上!$A$3,"年月",$A191,"事業所コード",$B191,"事業所",$C191,"事業区分",K$1,"請求区分","再請求"),0))</f>
        <v>0</v>
      </c>
      <c r="L191" s="659">
        <f ca="1">IF($A191="","",IFERROR(GETPIVOTDATA("合計 / 処遇改善加算金",【ピボット】国保連売上!$A$3,"年月",$A191,"事業所コード",$B191,"事業所",$C191,"事業区分",K$1,"請求区分","単月"),0))</f>
        <v>0</v>
      </c>
      <c r="M191" s="659">
        <f ca="1">IF($A191="","",IFERROR(GETPIVOTDATA("合計 / 入金予定",【ピボット】国保連売上!$A$3,"年月",$A191,"事業所コード",$B191,"事業所",$C191,"事業区分",M$1,"請求区分","単月"),0)
+IFERROR(GETPIVOTDATA("合計 / 入金予定",【ピボット】国保連売上!$A$3,"年月",$A191,"事業所コード",$B191,"事業所",$C191,"事業区分",M$1,"請求区分","再請求"),0))</f>
        <v>0</v>
      </c>
      <c r="N191" s="660">
        <v>3245</v>
      </c>
      <c r="O191" s="660">
        <v>0</v>
      </c>
      <c r="P191" s="660">
        <v>0</v>
      </c>
      <c r="Q191" s="660">
        <v>0</v>
      </c>
      <c r="R191" s="660">
        <v>0</v>
      </c>
      <c r="S191" s="660">
        <v>0</v>
      </c>
      <c r="T191" s="660">
        <v>225500</v>
      </c>
      <c r="U191" s="660">
        <v>0</v>
      </c>
      <c r="V191" s="660">
        <v>0</v>
      </c>
      <c r="W191" s="660">
        <v>0</v>
      </c>
      <c r="X191" s="660">
        <v>0</v>
      </c>
      <c r="Y191" s="659">
        <f t="shared" ca="1" si="9"/>
        <v>4419633</v>
      </c>
      <c r="Z191" s="659">
        <f t="shared" ca="1" si="8"/>
        <v>228745</v>
      </c>
    </row>
    <row r="192" spans="1:26" ht="15.95" customHeight="1" x14ac:dyDescent="0.15">
      <c r="A192" s="656">
        <v>43221</v>
      </c>
      <c r="B192" s="657" t="str">
        <f t="shared" ca="1" si="7"/>
        <v>07</v>
      </c>
      <c r="C192" s="658" t="s">
        <v>119</v>
      </c>
      <c r="D192" s="659">
        <f ca="1">IF($A192="","",IFERROR(GETPIVOTDATA("合計 / 入金予定",【ピボット】国保連売上!$A$3,"年月",$A192,"事業所コード",$B192,"事業所",$C192,"事業区分",D$1,"請求区分","単月"),0)
+IFERROR(GETPIVOTDATA("合計 / 入金予定",【ピボット】国保連売上!$A$3,"年月",$A192,"事業所コード",$B192,"事業所",$C192,"事業区分",D$1,"請求区分","再請求"),0))</f>
        <v>0</v>
      </c>
      <c r="E192" s="659">
        <f ca="1">IF($A192="","",IFERROR(GETPIVOTDATA("合計 / 処遇改善加算金",【ピボット】国保連売上!$A$3,"年月",$A192,"事業所コード",$B192,"事業所",$C192,"事業区分",D$1,"請求区分","単月"),0))</f>
        <v>0</v>
      </c>
      <c r="F192" s="659">
        <f ca="1">IF($A192="","",IFERROR(GETPIVOTDATA("合計 / 入金予定",【ピボット】国保連売上!$A$3,"年月",$A192,"事業所コード",$B192,"事業所",$C192,"事業区分",F$1,"請求区分","単月"),0)
+IFERROR(GETPIVOTDATA("合計 / 入金予定",【ピボット】国保連売上!$A$3,"年月",$A192,"事業所コード",$B192,"事業所",$C192,"事業区分",F$1,"請求区分","再請求"),0))</f>
        <v>0</v>
      </c>
      <c r="G192" s="659">
        <f ca="1">IF($A192="","",IFERROR(GETPIVOTDATA("合計 / 処遇改善加算金",【ピボット】国保連売上!$A$3,"年月",$A192,"事業所コード",$B192,"事業所",$C192,"事業区分",F$1,"請求区分","単月"),0))</f>
        <v>0</v>
      </c>
      <c r="H192" s="659">
        <f ca="1">IF($A192="","",IFERROR(GETPIVOTDATA("合計 / 入金予定",【ピボット】国保連売上!$A$3,"年月",$A192,"事業所コード",$B192,"事業所",$C192,"事業区分",H$1,"請求区分","単月"),0)
+IFERROR(GETPIVOTDATA("合計 / 入金予定",【ピボット】国保連売上!$A$3,"年月",$A192,"事業所コード",$B192,"事業所",$C192,"事業区分",H$1,"請求区分","再請求"),0))</f>
        <v>0</v>
      </c>
      <c r="I192" s="659">
        <f ca="1">IF($A192="","",IFERROR(GETPIVOTDATA("合計 / 入金予定",【ピボット】国保連売上!$A$3,"年月",$A192,"事業所コード",$B192,"事業所",$C192,"事業区分",I$1,"請求区分","単月"),0)
+IFERROR(GETPIVOTDATA("合計 / 入金予定",【ピボット】国保連売上!$A$3,"年月",$A192,"事業所コード",$B192,"事業所",$C192,"事業区分",I$1,"請求区分","再請求"),0))</f>
        <v>0</v>
      </c>
      <c r="J192" s="659">
        <f ca="1">IF($A192="","",IFERROR(GETPIVOTDATA("合計 / 処遇改善加算金",【ピボット】国保連売上!$A$3,"年月",$A192,"事業所コード",$B192,"事業所",$C192,"事業区分",I$1,"請求区分","単月"),0))</f>
        <v>0</v>
      </c>
      <c r="K192" s="659">
        <f ca="1">IF($A192="","",IFERROR(GETPIVOTDATA("合計 / 入金予定",【ピボット】国保連売上!$A$3,"年月",$A192,"事業所コード",$B192,"事業所",$C192,"事業区分",K$1,"請求区分","単月"),0)
+IFERROR(GETPIVOTDATA("合計 / 入金予定",【ピボット】国保連売上!$A$3,"年月",$A192,"事業所コード",$B192,"事業所",$C192,"事業区分",K$1,"請求区分","再請求"),0))</f>
        <v>802372</v>
      </c>
      <c r="L192" s="659">
        <f ca="1">IF($A192="","",IFERROR(GETPIVOTDATA("合計 / 処遇改善加算金",【ピボット】国保連売上!$A$3,"年月",$A192,"事業所コード",$B192,"事業所",$C192,"事業区分",K$1,"請求区分","単月"),0))</f>
        <v>283493</v>
      </c>
      <c r="M192" s="659">
        <f ca="1">IF($A192="","",IFERROR(GETPIVOTDATA("合計 / 入金予定",【ピボット】国保連売上!$A$3,"年月",$A192,"事業所コード",$B192,"事業所",$C192,"事業区分",M$1,"請求区分","単月"),0)
+IFERROR(GETPIVOTDATA("合計 / 入金予定",【ピボット】国保連売上!$A$3,"年月",$A192,"事業所コード",$B192,"事業所",$C192,"事業区分",M$1,"請求区分","再請求"),0))</f>
        <v>0</v>
      </c>
      <c r="N192" s="660">
        <v>0</v>
      </c>
      <c r="O192" s="660">
        <v>0</v>
      </c>
      <c r="P192" s="660">
        <v>0</v>
      </c>
      <c r="Q192" s="660">
        <v>0</v>
      </c>
      <c r="R192" s="660">
        <v>0</v>
      </c>
      <c r="S192" s="660">
        <v>61000</v>
      </c>
      <c r="T192" s="660">
        <v>0</v>
      </c>
      <c r="U192" s="660">
        <v>0</v>
      </c>
      <c r="V192" s="660">
        <v>-30000</v>
      </c>
      <c r="W192" s="660">
        <v>533442</v>
      </c>
      <c r="X192" s="660">
        <v>0</v>
      </c>
      <c r="Y192" s="659">
        <f t="shared" ca="1" si="9"/>
        <v>1366814</v>
      </c>
      <c r="Z192" s="659">
        <f t="shared" ca="1" si="8"/>
        <v>564442</v>
      </c>
    </row>
    <row r="193" spans="1:26" ht="15.95" customHeight="1" x14ac:dyDescent="0.15">
      <c r="A193" s="656">
        <v>43221</v>
      </c>
      <c r="B193" s="657" t="str">
        <f t="shared" ca="1" si="7"/>
        <v>08</v>
      </c>
      <c r="C193" s="658" t="s">
        <v>189</v>
      </c>
      <c r="D193" s="659">
        <f ca="1">IF($A193="","",IFERROR(GETPIVOTDATA("合計 / 入金予定",【ピボット】国保連売上!$A$3,"年月",$A193,"事業所コード",$B193,"事業所",$C193,"事業区分",D$1,"請求区分","単月"),0)
+IFERROR(GETPIVOTDATA("合計 / 入金予定",【ピボット】国保連売上!$A$3,"年月",$A193,"事業所コード",$B193,"事業所",$C193,"事業区分",D$1,"請求区分","再請求"),0))</f>
        <v>0</v>
      </c>
      <c r="E193" s="659">
        <f ca="1">IF($A193="","",IFERROR(GETPIVOTDATA("合計 / 処遇改善加算金",【ピボット】国保連売上!$A$3,"年月",$A193,"事業所コード",$B193,"事業所",$C193,"事業区分",D$1,"請求区分","単月"),0))</f>
        <v>0</v>
      </c>
      <c r="F193" s="659">
        <f ca="1">IF($A193="","",IFERROR(GETPIVOTDATA("合計 / 入金予定",【ピボット】国保連売上!$A$3,"年月",$A193,"事業所コード",$B193,"事業所",$C193,"事業区分",F$1,"請求区分","単月"),0)
+IFERROR(GETPIVOTDATA("合計 / 入金予定",【ピボット】国保連売上!$A$3,"年月",$A193,"事業所コード",$B193,"事業所",$C193,"事業区分",F$1,"請求区分","再請求"),0))</f>
        <v>0</v>
      </c>
      <c r="G193" s="659">
        <f ca="1">IF($A193="","",IFERROR(GETPIVOTDATA("合計 / 処遇改善加算金",【ピボット】国保連売上!$A$3,"年月",$A193,"事業所コード",$B193,"事業所",$C193,"事業区分",F$1,"請求区分","単月"),0))</f>
        <v>0</v>
      </c>
      <c r="H193" s="659">
        <f ca="1">IF($A193="","",IFERROR(GETPIVOTDATA("合計 / 入金予定",【ピボット】国保連売上!$A$3,"年月",$A193,"事業所コード",$B193,"事業所",$C193,"事業区分",H$1,"請求区分","単月"),0)
+IFERROR(GETPIVOTDATA("合計 / 入金予定",【ピボット】国保連売上!$A$3,"年月",$A193,"事業所コード",$B193,"事業所",$C193,"事業区分",H$1,"請求区分","再請求"),0))</f>
        <v>0</v>
      </c>
      <c r="I193" s="659">
        <f ca="1">IF($A193="","",IFERROR(GETPIVOTDATA("合計 / 入金予定",【ピボット】国保連売上!$A$3,"年月",$A193,"事業所コード",$B193,"事業所",$C193,"事業区分",I$1,"請求区分","単月"),0)
+IFERROR(GETPIVOTDATA("合計 / 入金予定",【ピボット】国保連売上!$A$3,"年月",$A193,"事業所コード",$B193,"事業所",$C193,"事業区分",I$1,"請求区分","再請求"),0))</f>
        <v>0</v>
      </c>
      <c r="J193" s="659">
        <f ca="1">IF($A193="","",IFERROR(GETPIVOTDATA("合計 / 処遇改善加算金",【ピボット】国保連売上!$A$3,"年月",$A193,"事業所コード",$B193,"事業所",$C193,"事業区分",I$1,"請求区分","単月"),0))</f>
        <v>0</v>
      </c>
      <c r="K193" s="659">
        <f ca="1">IF($A193="","",IFERROR(GETPIVOTDATA("合計 / 入金予定",【ピボット】国保連売上!$A$3,"年月",$A193,"事業所コード",$B193,"事業所",$C193,"事業区分",K$1,"請求区分","単月"),0)
+IFERROR(GETPIVOTDATA("合計 / 入金予定",【ピボット】国保連売上!$A$3,"年月",$A193,"事業所コード",$B193,"事業所",$C193,"事業区分",K$1,"請求区分","再請求"),0))</f>
        <v>1007268</v>
      </c>
      <c r="L193" s="659">
        <f ca="1">IF($A193="","",IFERROR(GETPIVOTDATA("合計 / 処遇改善加算金",【ピボット】国保連売上!$A$3,"年月",$A193,"事業所コード",$B193,"事業所",$C193,"事業区分",K$1,"請求区分","単月"),0))</f>
        <v>0</v>
      </c>
      <c r="M193" s="659">
        <f ca="1">IF($A193="","",IFERROR(GETPIVOTDATA("合計 / 入金予定",【ピボット】国保連売上!$A$3,"年月",$A193,"事業所コード",$B193,"事業所",$C193,"事業区分",M$1,"請求区分","単月"),0)
+IFERROR(GETPIVOTDATA("合計 / 入金予定",【ピボット】国保連売上!$A$3,"年月",$A193,"事業所コード",$B193,"事業所",$C193,"事業区分",M$1,"請求区分","再請求"),0))</f>
        <v>0</v>
      </c>
      <c r="N193" s="660">
        <v>20000</v>
      </c>
      <c r="O193" s="660">
        <v>0</v>
      </c>
      <c r="P193" s="660">
        <v>0</v>
      </c>
      <c r="Q193" s="660">
        <v>0</v>
      </c>
      <c r="R193" s="660">
        <v>0</v>
      </c>
      <c r="S193" s="660">
        <v>98000</v>
      </c>
      <c r="T193" s="660">
        <v>0</v>
      </c>
      <c r="U193" s="660">
        <v>0</v>
      </c>
      <c r="V193" s="660">
        <v>-40000</v>
      </c>
      <c r="W193" s="660">
        <v>65527</v>
      </c>
      <c r="X193" s="660">
        <v>0</v>
      </c>
      <c r="Y193" s="659">
        <f t="shared" ca="1" si="9"/>
        <v>1150795</v>
      </c>
      <c r="Z193" s="659">
        <f t="shared" ca="1" si="8"/>
        <v>143527</v>
      </c>
    </row>
    <row r="194" spans="1:26" ht="15.95" customHeight="1" x14ac:dyDescent="0.15">
      <c r="A194" s="656">
        <v>43221</v>
      </c>
      <c r="B194" s="657" t="str">
        <f t="shared" ca="1" si="7"/>
        <v>09</v>
      </c>
      <c r="C194" s="658" t="s">
        <v>329</v>
      </c>
      <c r="D194" s="659">
        <f ca="1">IF($A194="","",IFERROR(GETPIVOTDATA("合計 / 入金予定",【ピボット】国保連売上!$A$3,"年月",$A194,"事業所コード",$B194,"事業所",$C194,"事業区分",D$1,"請求区分","単月"),0)
+IFERROR(GETPIVOTDATA("合計 / 入金予定",【ピボット】国保連売上!$A$3,"年月",$A194,"事業所コード",$B194,"事業所",$C194,"事業区分",D$1,"請求区分","再請求"),0))</f>
        <v>0</v>
      </c>
      <c r="E194" s="659">
        <f ca="1">IF($A194="","",IFERROR(GETPIVOTDATA("合計 / 処遇改善加算金",【ピボット】国保連売上!$A$3,"年月",$A194,"事業所コード",$B194,"事業所",$C194,"事業区分",D$1,"請求区分","単月"),0))</f>
        <v>0</v>
      </c>
      <c r="F194" s="659">
        <f ca="1">IF($A194="","",IFERROR(GETPIVOTDATA("合計 / 入金予定",【ピボット】国保連売上!$A$3,"年月",$A194,"事業所コード",$B194,"事業所",$C194,"事業区分",F$1,"請求区分","単月"),0)
+IFERROR(GETPIVOTDATA("合計 / 入金予定",【ピボット】国保連売上!$A$3,"年月",$A194,"事業所コード",$B194,"事業所",$C194,"事業区分",F$1,"請求区分","再請求"),0))</f>
        <v>0</v>
      </c>
      <c r="G194" s="659">
        <f ca="1">IF($A194="","",IFERROR(GETPIVOTDATA("合計 / 処遇改善加算金",【ピボット】国保連売上!$A$3,"年月",$A194,"事業所コード",$B194,"事業所",$C194,"事業区分",F$1,"請求区分","単月"),0))</f>
        <v>0</v>
      </c>
      <c r="H194" s="659">
        <f ca="1">IF($A194="","",IFERROR(GETPIVOTDATA("合計 / 入金予定",【ピボット】国保連売上!$A$3,"年月",$A194,"事業所コード",$B194,"事業所",$C194,"事業区分",H$1,"請求区分","単月"),0)
+IFERROR(GETPIVOTDATA("合計 / 入金予定",【ピボット】国保連売上!$A$3,"年月",$A194,"事業所コード",$B194,"事業所",$C194,"事業区分",H$1,"請求区分","再請求"),0))</f>
        <v>0</v>
      </c>
      <c r="I194" s="659">
        <f ca="1">IF($A194="","",IFERROR(GETPIVOTDATA("合計 / 入金予定",【ピボット】国保連売上!$A$3,"年月",$A194,"事業所コード",$B194,"事業所",$C194,"事業区分",I$1,"請求区分","単月"),0)
+IFERROR(GETPIVOTDATA("合計 / 入金予定",【ピボット】国保連売上!$A$3,"年月",$A194,"事業所コード",$B194,"事業所",$C194,"事業区分",I$1,"請求区分","再請求"),0))</f>
        <v>0</v>
      </c>
      <c r="J194" s="659">
        <f ca="1">IF($A194="","",IFERROR(GETPIVOTDATA("合計 / 処遇改善加算金",【ピボット】国保連売上!$A$3,"年月",$A194,"事業所コード",$B194,"事業所",$C194,"事業区分",I$1,"請求区分","単月"),0))</f>
        <v>0</v>
      </c>
      <c r="K194" s="659">
        <f ca="1">IF($A194="","",IFERROR(GETPIVOTDATA("合計 / 入金予定",【ピボット】国保連売上!$A$3,"年月",$A194,"事業所コード",$B194,"事業所",$C194,"事業区分",K$1,"請求区分","単月"),0)
+IFERROR(GETPIVOTDATA("合計 / 入金予定",【ピボット】国保連売上!$A$3,"年月",$A194,"事業所コード",$B194,"事業所",$C194,"事業区分",K$1,"請求区分","再請求"),0))</f>
        <v>2474409</v>
      </c>
      <c r="L194" s="659">
        <f ca="1">IF($A194="","",IFERROR(GETPIVOTDATA("合計 / 処遇改善加算金",【ピボット】国保連売上!$A$3,"年月",$A194,"事業所コード",$B194,"事業所",$C194,"事業区分",K$1,"請求区分","単月"),0))</f>
        <v>0</v>
      </c>
      <c r="M194" s="659">
        <f ca="1">IF($A194="","",IFERROR(GETPIVOTDATA("合計 / 入金予定",【ピボット】国保連売上!$A$3,"年月",$A194,"事業所コード",$B194,"事業所",$C194,"事業区分",M$1,"請求区分","単月"),0)
+IFERROR(GETPIVOTDATA("合計 / 入金予定",【ピボット】国保連売上!$A$3,"年月",$A194,"事業所コード",$B194,"事業所",$C194,"事業区分",M$1,"請求区分","再請求"),0))</f>
        <v>0</v>
      </c>
      <c r="N194" s="660">
        <v>0</v>
      </c>
      <c r="O194" s="660">
        <v>0</v>
      </c>
      <c r="P194" s="660">
        <v>0</v>
      </c>
      <c r="Q194" s="660">
        <v>0</v>
      </c>
      <c r="R194" s="1292">
        <v>0</v>
      </c>
      <c r="S194" s="660">
        <v>400000</v>
      </c>
      <c r="T194" s="660">
        <v>0</v>
      </c>
      <c r="U194" s="660">
        <v>0</v>
      </c>
      <c r="V194" s="660">
        <v>-100000</v>
      </c>
      <c r="W194" s="660">
        <v>996616</v>
      </c>
      <c r="X194" s="660">
        <v>0</v>
      </c>
      <c r="Y194" s="659">
        <f t="shared" ca="1" si="9"/>
        <v>3771025</v>
      </c>
      <c r="Z194" s="659">
        <f t="shared" ca="1" si="8"/>
        <v>1296616</v>
      </c>
    </row>
    <row r="195" spans="1:26" ht="15.95" customHeight="1" x14ac:dyDescent="0.15">
      <c r="A195" s="656">
        <v>43221</v>
      </c>
      <c r="B195" s="657" t="str">
        <f t="shared" ref="B195:B258" ca="1" si="10">IF(C195="","",VLOOKUP(C195,事業所コード2,2,FALSE))</f>
        <v>05</v>
      </c>
      <c r="C195" s="658" t="s">
        <v>38</v>
      </c>
      <c r="D195" s="659">
        <f ca="1">IF($A195="","",IFERROR(GETPIVOTDATA("合計 / 入金予定",【ピボット】国保連売上!$A$3,"年月",$A195,"事業所コード",$B195,"事業所",$C195,"事業区分",D$1,"請求区分","単月"),0)
+IFERROR(GETPIVOTDATA("合計 / 入金予定",【ピボット】国保連売上!$A$3,"年月",$A195,"事業所コード",$B195,"事業所",$C195,"事業区分",D$1,"請求区分","再請求"),0))</f>
        <v>2293370</v>
      </c>
      <c r="E195" s="659">
        <f ca="1">IF($A195="","",IFERROR(GETPIVOTDATA("合計 / 処遇改善加算金",【ピボット】国保連売上!$A$3,"年月",$A195,"事業所コード",$B195,"事業所",$C195,"事業区分",D$1,"請求区分","単月"),0))</f>
        <v>0</v>
      </c>
      <c r="F195" s="659">
        <f ca="1">IF($A195="","",IFERROR(GETPIVOTDATA("合計 / 入金予定",【ピボット】国保連売上!$A$3,"年月",$A195,"事業所コード",$B195,"事業所",$C195,"事業区分",F$1,"請求区分","単月"),0)
+IFERROR(GETPIVOTDATA("合計 / 入金予定",【ピボット】国保連売上!$A$3,"年月",$A195,"事業所コード",$B195,"事業所",$C195,"事業区分",F$1,"請求区分","再請求"),0))</f>
        <v>0</v>
      </c>
      <c r="G195" s="659">
        <f ca="1">IF($A195="","",IFERROR(GETPIVOTDATA("合計 / 処遇改善加算金",【ピボット】国保連売上!$A$3,"年月",$A195,"事業所コード",$B195,"事業所",$C195,"事業区分",F$1,"請求区分","単月"),0))</f>
        <v>0</v>
      </c>
      <c r="H195" s="659">
        <f ca="1">IF($A195="","",IFERROR(GETPIVOTDATA("合計 / 入金予定",【ピボット】国保連売上!$A$3,"年月",$A195,"事業所コード",$B195,"事業所",$C195,"事業区分",H$1,"請求区分","単月"),0)
+IFERROR(GETPIVOTDATA("合計 / 入金予定",【ピボット】国保連売上!$A$3,"年月",$A195,"事業所コード",$B195,"事業所",$C195,"事業区分",H$1,"請求区分","再請求"),0))</f>
        <v>0</v>
      </c>
      <c r="I195" s="659">
        <f ca="1">IF($A195="","",IFERROR(GETPIVOTDATA("合計 / 入金予定",【ピボット】国保連売上!$A$3,"年月",$A195,"事業所コード",$B195,"事業所",$C195,"事業区分",I$1,"請求区分","単月"),0)
+IFERROR(GETPIVOTDATA("合計 / 入金予定",【ピボット】国保連売上!$A$3,"年月",$A195,"事業所コード",$B195,"事業所",$C195,"事業区分",I$1,"請求区分","再請求"),0))</f>
        <v>0</v>
      </c>
      <c r="J195" s="659">
        <f ca="1">IF($A195="","",IFERROR(GETPIVOTDATA("合計 / 処遇改善加算金",【ピボット】国保連売上!$A$3,"年月",$A195,"事業所コード",$B195,"事業所",$C195,"事業区分",I$1,"請求区分","単月"),0))</f>
        <v>0</v>
      </c>
      <c r="K195" s="659">
        <f ca="1">IF($A195="","",IFERROR(GETPIVOTDATA("合計 / 入金予定",【ピボット】国保連売上!$A$3,"年月",$A195,"事業所コード",$B195,"事業所",$C195,"事業区分",K$1,"請求区分","単月"),0)
+IFERROR(GETPIVOTDATA("合計 / 入金予定",【ピボット】国保連売上!$A$3,"年月",$A195,"事業所コード",$B195,"事業所",$C195,"事業区分",K$1,"請求区分","再請求"),0))</f>
        <v>0</v>
      </c>
      <c r="L195" s="659">
        <f ca="1">IF($A195="","",IFERROR(GETPIVOTDATA("合計 / 処遇改善加算金",【ピボット】国保連売上!$A$3,"年月",$A195,"事業所コード",$B195,"事業所",$C195,"事業区分",K$1,"請求区分","単月"),0))</f>
        <v>0</v>
      </c>
      <c r="M195" s="659">
        <f ca="1">IF($A195="","",IFERROR(GETPIVOTDATA("合計 / 入金予定",【ピボット】国保連売上!$A$3,"年月",$A195,"事業所コード",$B195,"事業所",$C195,"事業区分",M$1,"請求区分","単月"),0)
+IFERROR(GETPIVOTDATA("合計 / 入金予定",【ピボット】国保連売上!$A$3,"年月",$A195,"事業所コード",$B195,"事業所",$C195,"事業区分",M$1,"請求区分","再請求"),0))</f>
        <v>0</v>
      </c>
      <c r="N195" s="660">
        <v>15600</v>
      </c>
      <c r="O195" s="660">
        <v>0</v>
      </c>
      <c r="P195" s="660">
        <v>0</v>
      </c>
      <c r="Q195" s="660">
        <v>0</v>
      </c>
      <c r="R195" s="1292">
        <v>0</v>
      </c>
      <c r="S195" s="660">
        <v>712737</v>
      </c>
      <c r="T195" s="660">
        <v>0</v>
      </c>
      <c r="U195" s="660">
        <v>0</v>
      </c>
      <c r="V195" s="660">
        <v>0</v>
      </c>
      <c r="W195" s="660">
        <v>0</v>
      </c>
      <c r="X195" s="660">
        <v>0</v>
      </c>
      <c r="Y195" s="659">
        <f t="shared" ca="1" si="9"/>
        <v>3021707</v>
      </c>
      <c r="Z195" s="659">
        <f t="shared" ref="Z195:Z258" ca="1" si="11">IF(B195="","",SUM(N195:X195))</f>
        <v>728337</v>
      </c>
    </row>
    <row r="196" spans="1:26" ht="15.95" customHeight="1" x14ac:dyDescent="0.15">
      <c r="A196" s="656">
        <v>43221</v>
      </c>
      <c r="B196" s="657" t="str">
        <f t="shared" ca="1" si="10"/>
        <v>10</v>
      </c>
      <c r="C196" s="658" t="s">
        <v>336</v>
      </c>
      <c r="D196" s="659">
        <f ca="1">IF($A196="","",IFERROR(GETPIVOTDATA("合計 / 入金予定",【ピボット】国保連売上!$A$3,"年月",$A196,"事業所コード",$B196,"事業所",$C196,"事業区分",D$1,"請求区分","単月"),0)
+IFERROR(GETPIVOTDATA("合計 / 入金予定",【ピボット】国保連売上!$A$3,"年月",$A196,"事業所コード",$B196,"事業所",$C196,"事業区分",D$1,"請求区分","再請求"),0))</f>
        <v>865723</v>
      </c>
      <c r="E196" s="659">
        <f ca="1">IF($A196="","",IFERROR(GETPIVOTDATA("合計 / 処遇改善加算金",【ピボット】国保連売上!$A$3,"年月",$A196,"事業所コード",$B196,"事業所",$C196,"事業区分",D$1,"請求区分","単月"),0))</f>
        <v>0</v>
      </c>
      <c r="F196" s="659">
        <f ca="1">IF($A196="","",IFERROR(GETPIVOTDATA("合計 / 入金予定",【ピボット】国保連売上!$A$3,"年月",$A196,"事業所コード",$B196,"事業所",$C196,"事業区分",F$1,"請求区分","単月"),0)
+IFERROR(GETPIVOTDATA("合計 / 入金予定",【ピボット】国保連売上!$A$3,"年月",$A196,"事業所コード",$B196,"事業所",$C196,"事業区分",F$1,"請求区分","再請求"),0))</f>
        <v>50890</v>
      </c>
      <c r="G196" s="659">
        <f ca="1">IF($A196="","",IFERROR(GETPIVOTDATA("合計 / 処遇改善加算金",【ピボット】国保連売上!$A$3,"年月",$A196,"事業所コード",$B196,"事業所",$C196,"事業区分",F$1,"請求区分","単月"),0))</f>
        <v>0</v>
      </c>
      <c r="H196" s="659">
        <f ca="1">IF($A196="","",IFERROR(GETPIVOTDATA("合計 / 入金予定",【ピボット】国保連売上!$A$3,"年月",$A196,"事業所コード",$B196,"事業所",$C196,"事業区分",H$1,"請求区分","単月"),0)
+IFERROR(GETPIVOTDATA("合計 / 入金予定",【ピボット】国保連売上!$A$3,"年月",$A196,"事業所コード",$B196,"事業所",$C196,"事業区分",H$1,"請求区分","再請求"),0))</f>
        <v>0</v>
      </c>
      <c r="I196" s="659">
        <f ca="1">IF($A196="","",IFERROR(GETPIVOTDATA("合計 / 入金予定",【ピボット】国保連売上!$A$3,"年月",$A196,"事業所コード",$B196,"事業所",$C196,"事業区分",I$1,"請求区分","単月"),0)
+IFERROR(GETPIVOTDATA("合計 / 入金予定",【ピボット】国保連売上!$A$3,"年月",$A196,"事業所コード",$B196,"事業所",$C196,"事業区分",I$1,"請求区分","再請求"),0))</f>
        <v>0</v>
      </c>
      <c r="J196" s="659">
        <f ca="1">IF($A196="","",IFERROR(GETPIVOTDATA("合計 / 処遇改善加算金",【ピボット】国保連売上!$A$3,"年月",$A196,"事業所コード",$B196,"事業所",$C196,"事業区分",I$1,"請求区分","単月"),0))</f>
        <v>0</v>
      </c>
      <c r="K196" s="659">
        <f ca="1">IF($A196="","",IFERROR(GETPIVOTDATA("合計 / 入金予定",【ピボット】国保連売上!$A$3,"年月",$A196,"事業所コード",$B196,"事業所",$C196,"事業区分",K$1,"請求区分","単月"),0)
+IFERROR(GETPIVOTDATA("合計 / 入金予定",【ピボット】国保連売上!$A$3,"年月",$A196,"事業所コード",$B196,"事業所",$C196,"事業区分",K$1,"請求区分","再請求"),0))</f>
        <v>0</v>
      </c>
      <c r="L196" s="659">
        <f ca="1">IF($A196="","",IFERROR(GETPIVOTDATA("合計 / 処遇改善加算金",【ピボット】国保連売上!$A$3,"年月",$A196,"事業所コード",$B196,"事業所",$C196,"事業区分",K$1,"請求区分","単月"),0))</f>
        <v>0</v>
      </c>
      <c r="M196" s="659">
        <f ca="1">IF($A196="","",IFERROR(GETPIVOTDATA("合計 / 入金予定",【ピボット】国保連売上!$A$3,"年月",$A196,"事業所コード",$B196,"事業所",$C196,"事業区分",M$1,"請求区分","単月"),0)
+IFERROR(GETPIVOTDATA("合計 / 入金予定",【ピボット】国保連売上!$A$3,"年月",$A196,"事業所コード",$B196,"事業所",$C196,"事業区分",M$1,"請求区分","再請求"),0))</f>
        <v>0</v>
      </c>
      <c r="N196" s="660">
        <v>71300</v>
      </c>
      <c r="O196" s="660">
        <v>60840</v>
      </c>
      <c r="P196" s="660">
        <v>906890</v>
      </c>
      <c r="Q196" s="660">
        <v>0</v>
      </c>
      <c r="R196" s="1292">
        <v>0</v>
      </c>
      <c r="S196" s="660">
        <v>0</v>
      </c>
      <c r="T196" s="660">
        <v>0</v>
      </c>
      <c r="U196" s="660">
        <v>0</v>
      </c>
      <c r="V196" s="660">
        <v>0</v>
      </c>
      <c r="W196" s="660">
        <v>0</v>
      </c>
      <c r="X196" s="660">
        <v>0</v>
      </c>
      <c r="Y196" s="659">
        <f t="shared" ca="1" si="9"/>
        <v>1955643</v>
      </c>
      <c r="Z196" s="659">
        <f t="shared" ca="1" si="11"/>
        <v>1039030</v>
      </c>
    </row>
    <row r="197" spans="1:26" ht="15.95" customHeight="1" x14ac:dyDescent="0.15">
      <c r="A197" s="656">
        <v>43252</v>
      </c>
      <c r="B197" s="657" t="str">
        <f t="shared" ca="1" si="10"/>
        <v>01</v>
      </c>
      <c r="C197" s="658" t="s">
        <v>34</v>
      </c>
      <c r="D197" s="659">
        <f ca="1">IF($A197="","",IFERROR(GETPIVOTDATA("合計 / 入金予定",【ピボット】国保連売上!$A$3,"年月",$A197,"事業所コード",$B197,"事業所",$C197,"事業区分",D$1,"請求区分","単月"),0)
+IFERROR(GETPIVOTDATA("合計 / 入金予定",【ピボット】国保連売上!$A$3,"年月",$A197,"事業所コード",$B197,"事業所",$C197,"事業区分",D$1,"請求区分","再請求"),0))</f>
        <v>7545811</v>
      </c>
      <c r="E197" s="659">
        <f ca="1">IF($A197="","",IFERROR(GETPIVOTDATA("合計 / 処遇改善加算金",【ピボット】国保連売上!$A$3,"年月",$A197,"事業所コード",$B197,"事業所",$C197,"事業区分",D$1,"請求区分","単月"),0))</f>
        <v>1264475</v>
      </c>
      <c r="F197" s="659">
        <f ca="1">IF($A197="","",IFERROR(GETPIVOTDATA("合計 / 入金予定",【ピボット】国保連売上!$A$3,"年月",$A197,"事業所コード",$B197,"事業所",$C197,"事業区分",F$1,"請求区分","単月"),0)
+IFERROR(GETPIVOTDATA("合計 / 入金予定",【ピボット】国保連売上!$A$3,"年月",$A197,"事業所コード",$B197,"事業所",$C197,"事業区分",F$1,"請求区分","再請求"),0))</f>
        <v>1288468</v>
      </c>
      <c r="G197" s="659">
        <f ca="1">IF($A197="","",IFERROR(GETPIVOTDATA("合計 / 処遇改善加算金",【ピボット】国保連売上!$A$3,"年月",$A197,"事業所コード",$B197,"事業所",$C197,"事業区分",F$1,"請求区分","単月"),0))</f>
        <v>270557</v>
      </c>
      <c r="H197" s="659">
        <f ca="1">IF($A197="","",IFERROR(GETPIVOTDATA("合計 / 入金予定",【ピボット】国保連売上!$A$3,"年月",$A197,"事業所コード",$B197,"事業所",$C197,"事業区分",H$1,"請求区分","単月"),0)
+IFERROR(GETPIVOTDATA("合計 / 入金予定",【ピボット】国保連売上!$A$3,"年月",$A197,"事業所コード",$B197,"事業所",$C197,"事業区分",H$1,"請求区分","再請求"),0))</f>
        <v>713826</v>
      </c>
      <c r="I197" s="659">
        <f ca="1">IF($A197="","",IFERROR(GETPIVOTDATA("合計 / 入金予定",【ピボット】国保連売上!$A$3,"年月",$A197,"事業所コード",$B197,"事業所",$C197,"事業区分",I$1,"請求区分","単月"),0)
+IFERROR(GETPIVOTDATA("合計 / 入金予定",【ピボット】国保連売上!$A$3,"年月",$A197,"事業所コード",$B197,"事業所",$C197,"事業区分",I$1,"請求区分","再請求"),0))</f>
        <v>0</v>
      </c>
      <c r="J197" s="659">
        <f ca="1">IF($A197="","",IFERROR(GETPIVOTDATA("合計 / 処遇改善加算金",【ピボット】国保連売上!$A$3,"年月",$A197,"事業所コード",$B197,"事業所",$C197,"事業区分",I$1,"請求区分","単月"),0))</f>
        <v>0</v>
      </c>
      <c r="K197" s="659">
        <f ca="1">IF($A197="","",IFERROR(GETPIVOTDATA("合計 / 入金予定",【ピボット】国保連売上!$A$3,"年月",$A197,"事業所コード",$B197,"事業所",$C197,"事業区分",K$1,"請求区分","単月"),0)
+IFERROR(GETPIVOTDATA("合計 / 入金予定",【ピボット】国保連売上!$A$3,"年月",$A197,"事業所コード",$B197,"事業所",$C197,"事業区分",K$1,"請求区分","再請求"),0))</f>
        <v>0</v>
      </c>
      <c r="L197" s="659">
        <f ca="1">IF($A197="","",IFERROR(GETPIVOTDATA("合計 / 処遇改善加算金",【ピボット】国保連売上!$A$3,"年月",$A197,"事業所コード",$B197,"事業所",$C197,"事業区分",K$1,"請求区分","単月"),0))</f>
        <v>0</v>
      </c>
      <c r="M197" s="659">
        <f ca="1">IF($A197="","",IFERROR(GETPIVOTDATA("合計 / 入金予定",【ピボット】国保連売上!$A$3,"年月",$A197,"事業所コード",$B197,"事業所",$C197,"事業区分",M$1,"請求区分","単月"),0)
+IFERROR(GETPIVOTDATA("合計 / 入金予定",【ピボット】国保連売上!$A$3,"年月",$A197,"事業所コード",$B197,"事業所",$C197,"事業区分",M$1,"請求区分","再請求"),0))</f>
        <v>0</v>
      </c>
      <c r="N197" s="660">
        <v>89119</v>
      </c>
      <c r="O197" s="1292">
        <v>41542</v>
      </c>
      <c r="P197" s="660">
        <v>0</v>
      </c>
      <c r="Q197" s="660">
        <v>3405</v>
      </c>
      <c r="R197" s="1292">
        <v>130935</v>
      </c>
      <c r="S197" s="660">
        <v>0</v>
      </c>
      <c r="T197" s="660">
        <v>0</v>
      </c>
      <c r="U197" s="660">
        <v>22000</v>
      </c>
      <c r="V197" s="660">
        <v>0</v>
      </c>
      <c r="W197" s="660">
        <v>0</v>
      </c>
      <c r="X197" s="660">
        <v>0</v>
      </c>
      <c r="Y197" s="659">
        <f ca="1">IF(A197="","",SUM(D197,F197,H197:I197,K197,M197:X197))</f>
        <v>9835106</v>
      </c>
      <c r="Z197" s="659">
        <f t="shared" ca="1" si="11"/>
        <v>287001</v>
      </c>
    </row>
    <row r="198" spans="1:26" ht="15.95" customHeight="1" x14ac:dyDescent="0.15">
      <c r="A198" s="656">
        <v>43252</v>
      </c>
      <c r="B198" s="657" t="str">
        <f t="shared" ca="1" si="10"/>
        <v>02</v>
      </c>
      <c r="C198" s="658" t="s">
        <v>37</v>
      </c>
      <c r="D198" s="659">
        <f ca="1">IF($A198="","",IFERROR(GETPIVOTDATA("合計 / 入金予定",【ピボット】国保連売上!$A$3,"年月",$A198,"事業所コード",$B198,"事業所",$C198,"事業区分",D$1,"請求区分","単月"),0)
+IFERROR(GETPIVOTDATA("合計 / 入金予定",【ピボット】国保連売上!$A$3,"年月",$A198,"事業所コード",$B198,"事業所",$C198,"事業区分",D$1,"請求区分","再請求"),0))</f>
        <v>4727604</v>
      </c>
      <c r="E198" s="659">
        <f ca="1">IF($A198="","",IFERROR(GETPIVOTDATA("合計 / 処遇改善加算金",【ピボット】国保連売上!$A$3,"年月",$A198,"事業所コード",$B198,"事業所",$C198,"事業区分",D$1,"請求区分","単月"),0))</f>
        <v>516297</v>
      </c>
      <c r="F198" s="659">
        <f ca="1">IF($A198="","",IFERROR(GETPIVOTDATA("合計 / 入金予定",【ピボット】国保連売上!$A$3,"年月",$A198,"事業所コード",$B198,"事業所",$C198,"事業区分",F$1,"請求区分","単月"),0)
+IFERROR(GETPIVOTDATA("合計 / 入金予定",【ピボット】国保連売上!$A$3,"年月",$A198,"事業所コード",$B198,"事業所",$C198,"事業区分",F$1,"請求区分","再請求"),0))</f>
        <v>862821</v>
      </c>
      <c r="G198" s="659">
        <f ca="1">IF($A198="","",IFERROR(GETPIVOTDATA("合計 / 処遇改善加算金",【ピボット】国保連売上!$A$3,"年月",$A198,"事業所コード",$B198,"事業所",$C198,"事業区分",F$1,"請求区分","単月"),0))</f>
        <v>199219</v>
      </c>
      <c r="H198" s="659">
        <f ca="1">IF($A198="","",IFERROR(GETPIVOTDATA("合計 / 入金予定",【ピボット】国保連売上!$A$3,"年月",$A198,"事業所コード",$B198,"事業所",$C198,"事業区分",H$1,"請求区分","単月"),0)
+IFERROR(GETPIVOTDATA("合計 / 入金予定",【ピボット】国保連売上!$A$3,"年月",$A198,"事業所コード",$B198,"事業所",$C198,"事業区分",H$1,"請求区分","再請求"),0))</f>
        <v>478897</v>
      </c>
      <c r="I198" s="659">
        <f ca="1">IF($A198="","",IFERROR(GETPIVOTDATA("合計 / 入金予定",【ピボット】国保連売上!$A$3,"年月",$A198,"事業所コード",$B198,"事業所",$C198,"事業区分",I$1,"請求区分","単月"),0)
+IFERROR(GETPIVOTDATA("合計 / 入金予定",【ピボット】国保連売上!$A$3,"年月",$A198,"事業所コード",$B198,"事業所",$C198,"事業区分",I$1,"請求区分","再請求"),0))</f>
        <v>0</v>
      </c>
      <c r="J198" s="659">
        <f ca="1">IF($A198="","",IFERROR(GETPIVOTDATA("合計 / 処遇改善加算金",【ピボット】国保連売上!$A$3,"年月",$A198,"事業所コード",$B198,"事業所",$C198,"事業区分",I$1,"請求区分","単月"),0))</f>
        <v>0</v>
      </c>
      <c r="K198" s="659">
        <f ca="1">IF($A198="","",IFERROR(GETPIVOTDATA("合計 / 入金予定",【ピボット】国保連売上!$A$3,"年月",$A198,"事業所コード",$B198,"事業所",$C198,"事業区分",K$1,"請求区分","単月"),0)
+IFERROR(GETPIVOTDATA("合計 / 入金予定",【ピボット】国保連売上!$A$3,"年月",$A198,"事業所コード",$B198,"事業所",$C198,"事業区分",K$1,"請求区分","再請求"),0))</f>
        <v>0</v>
      </c>
      <c r="L198" s="659">
        <f ca="1">IF($A198="","",IFERROR(GETPIVOTDATA("合計 / 処遇改善加算金",【ピボット】国保連売上!$A$3,"年月",$A198,"事業所コード",$B198,"事業所",$C198,"事業区分",K$1,"請求区分","単月"),0))</f>
        <v>0</v>
      </c>
      <c r="M198" s="659">
        <f ca="1">IF($A198="","",IFERROR(GETPIVOTDATA("合計 / 入金予定",【ピボット】国保連売上!$A$3,"年月",$A198,"事業所コード",$B198,"事業所",$C198,"事業区分",M$1,"請求区分","単月"),0)
+IFERROR(GETPIVOTDATA("合計 / 入金予定",【ピボット】国保連売上!$A$3,"年月",$A198,"事業所コード",$B198,"事業所",$C198,"事業区分",M$1,"請求区分","再請求"),0))</f>
        <v>0</v>
      </c>
      <c r="N198" s="660">
        <v>335119</v>
      </c>
      <c r="O198" s="660">
        <v>0</v>
      </c>
      <c r="P198" s="660">
        <v>0</v>
      </c>
      <c r="Q198" s="660">
        <v>2250</v>
      </c>
      <c r="R198" s="1292">
        <v>123543</v>
      </c>
      <c r="S198" s="660">
        <v>0</v>
      </c>
      <c r="T198" s="660">
        <v>0</v>
      </c>
      <c r="U198" s="660">
        <v>0</v>
      </c>
      <c r="V198" s="660">
        <v>0</v>
      </c>
      <c r="W198" s="660">
        <v>0</v>
      </c>
      <c r="X198" s="660">
        <v>0</v>
      </c>
      <c r="Y198" s="659">
        <f t="shared" ca="1" si="9"/>
        <v>6530234</v>
      </c>
      <c r="Z198" s="659">
        <f t="shared" ca="1" si="11"/>
        <v>460912</v>
      </c>
    </row>
    <row r="199" spans="1:26" ht="15.95" customHeight="1" x14ac:dyDescent="0.15">
      <c r="A199" s="656">
        <v>43252</v>
      </c>
      <c r="B199" s="657" t="str">
        <f t="shared" ca="1" si="10"/>
        <v>03</v>
      </c>
      <c r="C199" s="658" t="s">
        <v>66</v>
      </c>
      <c r="D199" s="659">
        <f ca="1">IF($A199="","",IFERROR(GETPIVOTDATA("合計 / 入金予定",【ピボット】国保連売上!$A$3,"年月",$A199,"事業所コード",$B199,"事業所",$C199,"事業区分",D$1,"請求区分","単月"),0)
+IFERROR(GETPIVOTDATA("合計 / 入金予定",【ピボット】国保連売上!$A$3,"年月",$A199,"事業所コード",$B199,"事業所",$C199,"事業区分",D$1,"請求区分","再請求"),0))</f>
        <v>4730337</v>
      </c>
      <c r="E199" s="659">
        <f ca="1">IF($A199="","",IFERROR(GETPIVOTDATA("合計 / 処遇改善加算金",【ピボット】国保連売上!$A$3,"年月",$A199,"事業所コード",$B199,"事業所",$C199,"事業区分",D$1,"請求区分","単月"),0))</f>
        <v>494657</v>
      </c>
      <c r="F199" s="659">
        <f ca="1">IF($A199="","",IFERROR(GETPIVOTDATA("合計 / 入金予定",【ピボット】国保連売上!$A$3,"年月",$A199,"事業所コード",$B199,"事業所",$C199,"事業区分",F$1,"請求区分","単月"),0)
+IFERROR(GETPIVOTDATA("合計 / 入金予定",【ピボット】国保連売上!$A$3,"年月",$A199,"事業所コード",$B199,"事業所",$C199,"事業区分",F$1,"請求区分","再請求"),0))</f>
        <v>1782964</v>
      </c>
      <c r="G199" s="659">
        <f ca="1">IF($A199="","",IFERROR(GETPIVOTDATA("合計 / 処遇改善加算金",【ピボット】国保連売上!$A$3,"年月",$A199,"事業所コード",$B199,"事業所",$C199,"事業区分",F$1,"請求区分","単月"),0))</f>
        <v>414592</v>
      </c>
      <c r="H199" s="659">
        <f ca="1">IF($A199="","",IFERROR(GETPIVOTDATA("合計 / 入金予定",【ピボット】国保連売上!$A$3,"年月",$A199,"事業所コード",$B199,"事業所",$C199,"事業区分",H$1,"請求区分","単月"),0)
+IFERROR(GETPIVOTDATA("合計 / 入金予定",【ピボット】国保連売上!$A$3,"年月",$A199,"事業所コード",$B199,"事業所",$C199,"事業区分",H$1,"請求区分","再請求"),0))</f>
        <v>0</v>
      </c>
      <c r="I199" s="659">
        <f ca="1">IF($A199="","",IFERROR(GETPIVOTDATA("合計 / 入金予定",【ピボット】国保連売上!$A$3,"年月",$A199,"事業所コード",$B199,"事業所",$C199,"事業区分",I$1,"請求区分","単月"),0)
+IFERROR(GETPIVOTDATA("合計 / 入金予定",【ピボット】国保連売上!$A$3,"年月",$A199,"事業所コード",$B199,"事業所",$C199,"事業区分",I$1,"請求区分","再請求"),0))</f>
        <v>0</v>
      </c>
      <c r="J199" s="659">
        <f ca="1">IF($A199="","",IFERROR(GETPIVOTDATA("合計 / 処遇改善加算金",【ピボット】国保連売上!$A$3,"年月",$A199,"事業所コード",$B199,"事業所",$C199,"事業区分",I$1,"請求区分","単月"),0))</f>
        <v>0</v>
      </c>
      <c r="K199" s="659">
        <f ca="1">IF($A199="","",IFERROR(GETPIVOTDATA("合計 / 入金予定",【ピボット】国保連売上!$A$3,"年月",$A199,"事業所コード",$B199,"事業所",$C199,"事業区分",K$1,"請求区分","単月"),0)
+IFERROR(GETPIVOTDATA("合計 / 入金予定",【ピボット】国保連売上!$A$3,"年月",$A199,"事業所コード",$B199,"事業所",$C199,"事業区分",K$1,"請求区分","再請求"),0))</f>
        <v>0</v>
      </c>
      <c r="L199" s="659">
        <f ca="1">IF($A199="","",IFERROR(GETPIVOTDATA("合計 / 処遇改善加算金",【ピボット】国保連売上!$A$3,"年月",$A199,"事業所コード",$B199,"事業所",$C199,"事業区分",K$1,"請求区分","単月"),0))</f>
        <v>0</v>
      </c>
      <c r="M199" s="659">
        <f ca="1">IF($A199="","",IFERROR(GETPIVOTDATA("合計 / 入金予定",【ピボット】国保連売上!$A$3,"年月",$A199,"事業所コード",$B199,"事業所",$C199,"事業区分",M$1,"請求区分","単月"),0)
+IFERROR(GETPIVOTDATA("合計 / 入金予定",【ピボット】国保連売上!$A$3,"年月",$A199,"事業所コード",$B199,"事業所",$C199,"事業区分",M$1,"請求区分","再請求"),0))</f>
        <v>0</v>
      </c>
      <c r="N199" s="660">
        <v>102400</v>
      </c>
      <c r="O199" s="1292">
        <v>113414</v>
      </c>
      <c r="P199" s="660">
        <v>74680</v>
      </c>
      <c r="Q199" s="660">
        <v>2677</v>
      </c>
      <c r="R199" s="1292">
        <v>0</v>
      </c>
      <c r="S199" s="660">
        <v>0</v>
      </c>
      <c r="T199" s="660">
        <v>0</v>
      </c>
      <c r="U199" s="660">
        <v>0</v>
      </c>
      <c r="V199" s="660">
        <v>0</v>
      </c>
      <c r="W199" s="660">
        <v>0</v>
      </c>
      <c r="X199" s="660">
        <v>0</v>
      </c>
      <c r="Y199" s="659">
        <f t="shared" ca="1" si="9"/>
        <v>6806472</v>
      </c>
      <c r="Z199" s="659">
        <f t="shared" ca="1" si="11"/>
        <v>293171</v>
      </c>
    </row>
    <row r="200" spans="1:26" ht="15.95" customHeight="1" x14ac:dyDescent="0.15">
      <c r="A200" s="656">
        <v>43252</v>
      </c>
      <c r="B200" s="657" t="str">
        <f t="shared" ca="1" si="10"/>
        <v>11</v>
      </c>
      <c r="C200" s="658" t="s">
        <v>967</v>
      </c>
      <c r="D200" s="659">
        <f ca="1">IF($A200="","",IFERROR(GETPIVOTDATA("合計 / 入金予定",【ピボット】国保連売上!$A$3,"年月",$A200,"事業所コード",$B200,"事業所",$C200,"事業区分",D$1,"請求区分","単月"),0)
+IFERROR(GETPIVOTDATA("合計 / 入金予定",【ピボット】国保連売上!$A$3,"年月",$A200,"事業所コード",$B200,"事業所",$C200,"事業区分",D$1,"請求区分","再請求"),0))</f>
        <v>0</v>
      </c>
      <c r="E200" s="659">
        <f ca="1">IF($A200="","",IFERROR(GETPIVOTDATA("合計 / 処遇改善加算金",【ピボット】国保連売上!$A$3,"年月",$A200,"事業所コード",$B200,"事業所",$C200,"事業区分",D$1,"請求区分","単月"),0))</f>
        <v>0</v>
      </c>
      <c r="F200" s="659">
        <f ca="1">IF($A200="","",IFERROR(GETPIVOTDATA("合計 / 入金予定",【ピボット】国保連売上!$A$3,"年月",$A200,"事業所コード",$B200,"事業所",$C200,"事業区分",F$1,"請求区分","単月"),0)
+IFERROR(GETPIVOTDATA("合計 / 入金予定",【ピボット】国保連売上!$A$3,"年月",$A200,"事業所コード",$B200,"事業所",$C200,"事業区分",F$1,"請求区分","再請求"),0))</f>
        <v>97685</v>
      </c>
      <c r="G200" s="659">
        <f ca="1">IF($A200="","",IFERROR(GETPIVOTDATA("合計 / 処遇改善加算金",【ピボット】国保連売上!$A$3,"年月",$A200,"事業所コード",$B200,"事業所",$C200,"事業区分",F$1,"請求区分","単月"),0))</f>
        <v>22715</v>
      </c>
      <c r="H200" s="659">
        <f ca="1">IF($A200="","",IFERROR(GETPIVOTDATA("合計 / 入金予定",【ピボット】国保連売上!$A$3,"年月",$A200,"事業所コード",$B200,"事業所",$C200,"事業区分",H$1,"請求区分","単月"),0)
+IFERROR(GETPIVOTDATA("合計 / 入金予定",【ピボット】国保連売上!$A$3,"年月",$A200,"事業所コード",$B200,"事業所",$C200,"事業区分",H$1,"請求区分","再請求"),0))</f>
        <v>0</v>
      </c>
      <c r="I200" s="659">
        <f ca="1">IF($A200="","",IFERROR(GETPIVOTDATA("合計 / 入金予定",【ピボット】国保連売上!$A$3,"年月",$A200,"事業所コード",$B200,"事業所",$C200,"事業区分",I$1,"請求区分","単月"),0)
+IFERROR(GETPIVOTDATA("合計 / 入金予定",【ピボット】国保連売上!$A$3,"年月",$A200,"事業所コード",$B200,"事業所",$C200,"事業区分",I$1,"請求区分","再請求"),0))</f>
        <v>0</v>
      </c>
      <c r="J200" s="659">
        <f ca="1">IF($A200="","",IFERROR(GETPIVOTDATA("合計 / 処遇改善加算金",【ピボット】国保連売上!$A$3,"年月",$A200,"事業所コード",$B200,"事業所",$C200,"事業区分",I$1,"請求区分","単月"),0))</f>
        <v>0</v>
      </c>
      <c r="K200" s="659">
        <f ca="1">IF($A200="","",IFERROR(GETPIVOTDATA("合計 / 入金予定",【ピボット】国保連売上!$A$3,"年月",$A200,"事業所コード",$B200,"事業所",$C200,"事業区分",K$1,"請求区分","単月"),0)
+IFERROR(GETPIVOTDATA("合計 / 入金予定",【ピボット】国保連売上!$A$3,"年月",$A200,"事業所コード",$B200,"事業所",$C200,"事業区分",K$1,"請求区分","再請求"),0))</f>
        <v>0</v>
      </c>
      <c r="L200" s="659">
        <f ca="1">IF($A200="","",IFERROR(GETPIVOTDATA("合計 / 処遇改善加算金",【ピボット】国保連売上!$A$3,"年月",$A200,"事業所コード",$B200,"事業所",$C200,"事業区分",K$1,"請求区分","単月"),0))</f>
        <v>0</v>
      </c>
      <c r="M200" s="659">
        <f ca="1">IF($A200="","",IFERROR(GETPIVOTDATA("合計 / 入金予定",【ピボット】国保連売上!$A$3,"年月",$A200,"事業所コード",$B200,"事業所",$C200,"事業区分",M$1,"請求区分","単月"),0)
+IFERROR(GETPIVOTDATA("合計 / 入金予定",【ピボット】国保連売上!$A$3,"年月",$A200,"事業所コード",$B200,"事業所",$C200,"事業区分",M$1,"請求区分","再請求"),0))</f>
        <v>0</v>
      </c>
      <c r="N200" s="660">
        <v>3200</v>
      </c>
      <c r="O200" s="660">
        <v>0</v>
      </c>
      <c r="P200" s="660">
        <v>0</v>
      </c>
      <c r="Q200" s="660">
        <v>0</v>
      </c>
      <c r="R200" s="1292">
        <v>0</v>
      </c>
      <c r="S200" s="660">
        <v>0</v>
      </c>
      <c r="T200" s="660">
        <v>0</v>
      </c>
      <c r="U200" s="660">
        <v>0</v>
      </c>
      <c r="V200" s="660">
        <v>0</v>
      </c>
      <c r="W200" s="660">
        <v>0</v>
      </c>
      <c r="X200" s="660">
        <v>0</v>
      </c>
      <c r="Y200" s="659">
        <f t="shared" ca="1" si="9"/>
        <v>100885</v>
      </c>
      <c r="Z200" s="659">
        <f ca="1">IF(B200="","",SUM(N200:X200))</f>
        <v>3200</v>
      </c>
    </row>
    <row r="201" spans="1:26" ht="15.95" customHeight="1" x14ac:dyDescent="0.15">
      <c r="A201" s="656">
        <v>43252</v>
      </c>
      <c r="B201" s="657" t="str">
        <f t="shared" ca="1" si="10"/>
        <v>04</v>
      </c>
      <c r="C201" s="658" t="s">
        <v>358</v>
      </c>
      <c r="D201" s="659">
        <f ca="1">IF($A201="","",IFERROR(GETPIVOTDATA("合計 / 入金予定",【ピボット】国保連売上!$A$3,"年月",$A201,"事業所コード",$B201,"事業所",$C201,"事業区分",D$1,"請求区分","単月"),0)
+IFERROR(GETPIVOTDATA("合計 / 入金予定",【ピボット】国保連売上!$A$3,"年月",$A201,"事業所コード",$B201,"事業所",$C201,"事業区分",D$1,"請求区分","再請求"),0))</f>
        <v>0</v>
      </c>
      <c r="E201" s="659">
        <f ca="1">IF($A201="","",IFERROR(GETPIVOTDATA("合計 / 処遇改善加算金",【ピボット】国保連売上!$A$3,"年月",$A201,"事業所コード",$B201,"事業所",$C201,"事業区分",D$1,"請求区分","単月"),0))</f>
        <v>0</v>
      </c>
      <c r="F201" s="659">
        <f ca="1">IF($A201="","",IFERROR(GETPIVOTDATA("合計 / 入金予定",【ピボット】国保連売上!$A$3,"年月",$A201,"事業所コード",$B201,"事業所",$C201,"事業区分",F$1,"請求区分","単月"),0)
+IFERROR(GETPIVOTDATA("合計 / 入金予定",【ピボット】国保連売上!$A$3,"年月",$A201,"事業所コード",$B201,"事業所",$C201,"事業区分",F$1,"請求区分","再請求"),0))</f>
        <v>0</v>
      </c>
      <c r="G201" s="659">
        <f ca="1">IF($A201="","",IFERROR(GETPIVOTDATA("合計 / 処遇改善加算金",【ピボット】国保連売上!$A$3,"年月",$A201,"事業所コード",$B201,"事業所",$C201,"事業区分",F$1,"請求区分","単月"),0))</f>
        <v>0</v>
      </c>
      <c r="H201" s="659">
        <f ca="1">IF($A201="","",IFERROR(GETPIVOTDATA("合計 / 入金予定",【ピボット】国保連売上!$A$3,"年月",$A201,"事業所コード",$B201,"事業所",$C201,"事業区分",H$1,"請求区分","単月"),0)
+IFERROR(GETPIVOTDATA("合計 / 入金予定",【ピボット】国保連売上!$A$3,"年月",$A201,"事業所コード",$B201,"事業所",$C201,"事業区分",H$1,"請求区分","再請求"),0))</f>
        <v>0</v>
      </c>
      <c r="I201" s="659">
        <f ca="1">IF($A201="","",IFERROR(GETPIVOTDATA("合計 / 入金予定",【ピボット】国保連売上!$A$3,"年月",$A201,"事業所コード",$B201,"事業所",$C201,"事業区分",I$1,"請求区分","単月"),0)
+IFERROR(GETPIVOTDATA("合計 / 入金予定",【ピボット】国保連売上!$A$3,"年月",$A201,"事業所コード",$B201,"事業所",$C201,"事業区分",I$1,"請求区分","再請求"),0))</f>
        <v>3920019</v>
      </c>
      <c r="J201" s="659">
        <f ca="1">IF($A201="","",IFERROR(GETPIVOTDATA("合計 / 処遇改善加算金",【ピボット】国保連売上!$A$3,"年月",$A201,"事業所コード",$B201,"事業所",$C201,"事業区分",I$1,"請求区分","単月"),0))</f>
        <v>218824</v>
      </c>
      <c r="K201" s="659">
        <f ca="1">IF($A201="","",IFERROR(GETPIVOTDATA("合計 / 入金予定",【ピボット】国保連売上!$A$3,"年月",$A201,"事業所コード",$B201,"事業所",$C201,"事業区分",K$1,"請求区分","単月"),0)
+IFERROR(GETPIVOTDATA("合計 / 入金予定",【ピボット】国保連売上!$A$3,"年月",$A201,"事業所コード",$B201,"事業所",$C201,"事業区分",K$1,"請求区分","再請求"),0))</f>
        <v>0</v>
      </c>
      <c r="L201" s="659">
        <f ca="1">IF($A201="","",IFERROR(GETPIVOTDATA("合計 / 処遇改善加算金",【ピボット】国保連売上!$A$3,"年月",$A201,"事業所コード",$B201,"事業所",$C201,"事業区分",K$1,"請求区分","単月"),0))</f>
        <v>0</v>
      </c>
      <c r="M201" s="659">
        <f ca="1">IF($A201="","",IFERROR(GETPIVOTDATA("合計 / 入金予定",【ピボット】国保連売上!$A$3,"年月",$A201,"事業所コード",$B201,"事業所",$C201,"事業区分",M$1,"請求区分","単月"),0)
+IFERROR(GETPIVOTDATA("合計 / 入金予定",【ピボット】国保連売上!$A$3,"年月",$A201,"事業所コード",$B201,"事業所",$C201,"事業区分",M$1,"請求区分","再請求"),0))</f>
        <v>0</v>
      </c>
      <c r="N201" s="660">
        <v>553</v>
      </c>
      <c r="O201" s="660">
        <v>0</v>
      </c>
      <c r="P201" s="660">
        <v>0</v>
      </c>
      <c r="Q201" s="660">
        <v>0</v>
      </c>
      <c r="R201" s="1292">
        <v>0</v>
      </c>
      <c r="S201" s="660">
        <v>0</v>
      </c>
      <c r="T201" s="660">
        <v>225700</v>
      </c>
      <c r="U201" s="660">
        <v>0</v>
      </c>
      <c r="V201" s="660">
        <v>0</v>
      </c>
      <c r="W201" s="660">
        <v>0</v>
      </c>
      <c r="X201" s="660">
        <v>0</v>
      </c>
      <c r="Y201" s="659">
        <f t="shared" ca="1" si="9"/>
        <v>4146272</v>
      </c>
      <c r="Z201" s="659">
        <f t="shared" ca="1" si="11"/>
        <v>226253</v>
      </c>
    </row>
    <row r="202" spans="1:26" ht="15.95" customHeight="1" x14ac:dyDescent="0.15">
      <c r="A202" s="656">
        <v>43252</v>
      </c>
      <c r="B202" s="657" t="str">
        <f t="shared" ca="1" si="10"/>
        <v>07</v>
      </c>
      <c r="C202" s="658" t="s">
        <v>119</v>
      </c>
      <c r="D202" s="659">
        <f ca="1">IF($A202="","",IFERROR(GETPIVOTDATA("合計 / 入金予定",【ピボット】国保連売上!$A$3,"年月",$A202,"事業所コード",$B202,"事業所",$C202,"事業区分",D$1,"請求区分","単月"),0)
+IFERROR(GETPIVOTDATA("合計 / 入金予定",【ピボット】国保連売上!$A$3,"年月",$A202,"事業所コード",$B202,"事業所",$C202,"事業区分",D$1,"請求区分","再請求"),0))</f>
        <v>0</v>
      </c>
      <c r="E202" s="659">
        <f ca="1">IF($A202="","",IFERROR(GETPIVOTDATA("合計 / 処遇改善加算金",【ピボット】国保連売上!$A$3,"年月",$A202,"事業所コード",$B202,"事業所",$C202,"事業区分",D$1,"請求区分","単月"),0))</f>
        <v>0</v>
      </c>
      <c r="F202" s="659">
        <f ca="1">IF($A202="","",IFERROR(GETPIVOTDATA("合計 / 入金予定",【ピボット】国保連売上!$A$3,"年月",$A202,"事業所コード",$B202,"事業所",$C202,"事業区分",F$1,"請求区分","単月"),0)
+IFERROR(GETPIVOTDATA("合計 / 入金予定",【ピボット】国保連売上!$A$3,"年月",$A202,"事業所コード",$B202,"事業所",$C202,"事業区分",F$1,"請求区分","再請求"),0))</f>
        <v>0</v>
      </c>
      <c r="G202" s="659">
        <f ca="1">IF($A202="","",IFERROR(GETPIVOTDATA("合計 / 処遇改善加算金",【ピボット】国保連売上!$A$3,"年月",$A202,"事業所コード",$B202,"事業所",$C202,"事業区分",F$1,"請求区分","単月"),0))</f>
        <v>0</v>
      </c>
      <c r="H202" s="659">
        <f ca="1">IF($A202="","",IFERROR(GETPIVOTDATA("合計 / 入金予定",【ピボット】国保連売上!$A$3,"年月",$A202,"事業所コード",$B202,"事業所",$C202,"事業区分",H$1,"請求区分","単月"),0)
+IFERROR(GETPIVOTDATA("合計 / 入金予定",【ピボット】国保連売上!$A$3,"年月",$A202,"事業所コード",$B202,"事業所",$C202,"事業区分",H$1,"請求区分","再請求"),0))</f>
        <v>0</v>
      </c>
      <c r="I202" s="659">
        <f ca="1">IF($A202="","",IFERROR(GETPIVOTDATA("合計 / 入金予定",【ピボット】国保連売上!$A$3,"年月",$A202,"事業所コード",$B202,"事業所",$C202,"事業区分",I$1,"請求区分","単月"),0)
+IFERROR(GETPIVOTDATA("合計 / 入金予定",【ピボット】国保連売上!$A$3,"年月",$A202,"事業所コード",$B202,"事業所",$C202,"事業区分",I$1,"請求区分","再請求"),0))</f>
        <v>0</v>
      </c>
      <c r="J202" s="659">
        <f ca="1">IF($A202="","",IFERROR(GETPIVOTDATA("合計 / 処遇改善加算金",【ピボット】国保連売上!$A$3,"年月",$A202,"事業所コード",$B202,"事業所",$C202,"事業区分",I$1,"請求区分","単月"),0))</f>
        <v>0</v>
      </c>
      <c r="K202" s="659">
        <f ca="1">IF($A202="","",IFERROR(GETPIVOTDATA("合計 / 入金予定",【ピボット】国保連売上!$A$3,"年月",$A202,"事業所コード",$B202,"事業所",$C202,"事業区分",K$1,"請求区分","単月"),0)
+IFERROR(GETPIVOTDATA("合計 / 入金予定",【ピボット】国保連売上!$A$3,"年月",$A202,"事業所コード",$B202,"事業所",$C202,"事業区分",K$1,"請求区分","再請求"),0))</f>
        <v>517955</v>
      </c>
      <c r="L202" s="659">
        <f ca="1">IF($A202="","",IFERROR(GETPIVOTDATA("合計 / 処遇改善加算金",【ピボット】国保連売上!$A$3,"年月",$A202,"事業所コード",$B202,"事業所",$C202,"事業区分",K$1,"請求区分","単月"),0))</f>
        <v>242054</v>
      </c>
      <c r="M202" s="659">
        <f ca="1">IF($A202="","",IFERROR(GETPIVOTDATA("合計 / 入金予定",【ピボット】国保連売上!$A$3,"年月",$A202,"事業所コード",$B202,"事業所",$C202,"事業区分",M$1,"請求区分","単月"),0)
+IFERROR(GETPIVOTDATA("合計 / 入金予定",【ピボット】国保連売上!$A$3,"年月",$A202,"事業所コード",$B202,"事業所",$C202,"事業区分",M$1,"請求区分","再請求"),0))</f>
        <v>0</v>
      </c>
      <c r="N202" s="660">
        <v>0</v>
      </c>
      <c r="O202" s="660">
        <v>0</v>
      </c>
      <c r="P202" s="660">
        <v>0</v>
      </c>
      <c r="Q202" s="660">
        <v>0</v>
      </c>
      <c r="R202" s="1292">
        <v>0</v>
      </c>
      <c r="S202" s="660">
        <v>61000</v>
      </c>
      <c r="T202" s="660">
        <v>0</v>
      </c>
      <c r="U202" s="660">
        <v>0</v>
      </c>
      <c r="V202" s="660">
        <v>-30000</v>
      </c>
      <c r="W202" s="660">
        <v>0</v>
      </c>
      <c r="X202" s="660">
        <v>0</v>
      </c>
      <c r="Y202" s="659">
        <f t="shared" ca="1" si="9"/>
        <v>548955</v>
      </c>
      <c r="Z202" s="659">
        <f t="shared" ca="1" si="11"/>
        <v>31000</v>
      </c>
    </row>
    <row r="203" spans="1:26" ht="15.95" customHeight="1" x14ac:dyDescent="0.15">
      <c r="A203" s="656">
        <v>43252</v>
      </c>
      <c r="B203" s="657" t="str">
        <f t="shared" ca="1" si="10"/>
        <v>08</v>
      </c>
      <c r="C203" s="658" t="s">
        <v>189</v>
      </c>
      <c r="D203" s="659">
        <f ca="1">IF($A203="","",IFERROR(GETPIVOTDATA("合計 / 入金予定",【ピボット】国保連売上!$A$3,"年月",$A203,"事業所コード",$B203,"事業所",$C203,"事業区分",D$1,"請求区分","単月"),0)
+IFERROR(GETPIVOTDATA("合計 / 入金予定",【ピボット】国保連売上!$A$3,"年月",$A203,"事業所コード",$B203,"事業所",$C203,"事業区分",D$1,"請求区分","再請求"),0))</f>
        <v>0</v>
      </c>
      <c r="E203" s="659">
        <f ca="1">IF($A203="","",IFERROR(GETPIVOTDATA("合計 / 処遇改善加算金",【ピボット】国保連売上!$A$3,"年月",$A203,"事業所コード",$B203,"事業所",$C203,"事業区分",D$1,"請求区分","単月"),0))</f>
        <v>0</v>
      </c>
      <c r="F203" s="659">
        <f ca="1">IF($A203="","",IFERROR(GETPIVOTDATA("合計 / 入金予定",【ピボット】国保連売上!$A$3,"年月",$A203,"事業所コード",$B203,"事業所",$C203,"事業区分",F$1,"請求区分","単月"),0)
+IFERROR(GETPIVOTDATA("合計 / 入金予定",【ピボット】国保連売上!$A$3,"年月",$A203,"事業所コード",$B203,"事業所",$C203,"事業区分",F$1,"請求区分","再請求"),0))</f>
        <v>0</v>
      </c>
      <c r="G203" s="659">
        <f ca="1">IF($A203="","",IFERROR(GETPIVOTDATA("合計 / 処遇改善加算金",【ピボット】国保連売上!$A$3,"年月",$A203,"事業所コード",$B203,"事業所",$C203,"事業区分",F$1,"請求区分","単月"),0))</f>
        <v>0</v>
      </c>
      <c r="H203" s="659">
        <f ca="1">IF($A203="","",IFERROR(GETPIVOTDATA("合計 / 入金予定",【ピボット】国保連売上!$A$3,"年月",$A203,"事業所コード",$B203,"事業所",$C203,"事業区分",H$1,"請求区分","単月"),0)
+IFERROR(GETPIVOTDATA("合計 / 入金予定",【ピボット】国保連売上!$A$3,"年月",$A203,"事業所コード",$B203,"事業所",$C203,"事業区分",H$1,"請求区分","再請求"),0))</f>
        <v>0</v>
      </c>
      <c r="I203" s="659">
        <f ca="1">IF($A203="","",IFERROR(GETPIVOTDATA("合計 / 入金予定",【ピボット】国保連売上!$A$3,"年月",$A203,"事業所コード",$B203,"事業所",$C203,"事業区分",I$1,"請求区分","単月"),0)
+IFERROR(GETPIVOTDATA("合計 / 入金予定",【ピボット】国保連売上!$A$3,"年月",$A203,"事業所コード",$B203,"事業所",$C203,"事業区分",I$1,"請求区分","再請求"),0))</f>
        <v>0</v>
      </c>
      <c r="J203" s="659">
        <f ca="1">IF($A203="","",IFERROR(GETPIVOTDATA("合計 / 処遇改善加算金",【ピボット】国保連売上!$A$3,"年月",$A203,"事業所コード",$B203,"事業所",$C203,"事業区分",I$1,"請求区分","単月"),0))</f>
        <v>0</v>
      </c>
      <c r="K203" s="659">
        <f ca="1">IF($A203="","",IFERROR(GETPIVOTDATA("合計 / 入金予定",【ピボット】国保連売上!$A$3,"年月",$A203,"事業所コード",$B203,"事業所",$C203,"事業区分",K$1,"請求区分","単月"),0)
+IFERROR(GETPIVOTDATA("合計 / 入金予定",【ピボット】国保連売上!$A$3,"年月",$A203,"事業所コード",$B203,"事業所",$C203,"事業区分",K$1,"請求区分","再請求"),0))</f>
        <v>976056</v>
      </c>
      <c r="L203" s="659">
        <f ca="1">IF($A203="","",IFERROR(GETPIVOTDATA("合計 / 処遇改善加算金",【ピボット】国保連売上!$A$3,"年月",$A203,"事業所コード",$B203,"事業所",$C203,"事業区分",K$1,"請求区分","単月"),0))</f>
        <v>0</v>
      </c>
      <c r="M203" s="659">
        <f ca="1">IF($A203="","",IFERROR(GETPIVOTDATA("合計 / 入金予定",【ピボット】国保連売上!$A$3,"年月",$A203,"事業所コード",$B203,"事業所",$C203,"事業区分",M$1,"請求区分","単月"),0)
+IFERROR(GETPIVOTDATA("合計 / 入金予定",【ピボット】国保連売上!$A$3,"年月",$A203,"事業所コード",$B203,"事業所",$C203,"事業区分",M$1,"請求区分","再請求"),0))</f>
        <v>0</v>
      </c>
      <c r="N203" s="660">
        <v>20000</v>
      </c>
      <c r="O203" s="660">
        <v>0</v>
      </c>
      <c r="P203" s="660">
        <v>0</v>
      </c>
      <c r="Q203" s="660">
        <v>0</v>
      </c>
      <c r="R203" s="1292">
        <v>0</v>
      </c>
      <c r="S203" s="660">
        <v>98000</v>
      </c>
      <c r="T203" s="660">
        <v>0</v>
      </c>
      <c r="U203" s="660">
        <v>0</v>
      </c>
      <c r="V203" s="660">
        <v>-40000</v>
      </c>
      <c r="W203" s="660">
        <v>0</v>
      </c>
      <c r="X203" s="660">
        <v>0</v>
      </c>
      <c r="Y203" s="659">
        <f t="shared" ca="1" si="9"/>
        <v>1054056</v>
      </c>
      <c r="Z203" s="659">
        <f t="shared" ca="1" si="11"/>
        <v>78000</v>
      </c>
    </row>
    <row r="204" spans="1:26" ht="15.95" customHeight="1" x14ac:dyDescent="0.15">
      <c r="A204" s="656">
        <v>43252</v>
      </c>
      <c r="B204" s="657" t="str">
        <f t="shared" ca="1" si="10"/>
        <v>09</v>
      </c>
      <c r="C204" s="658" t="s">
        <v>329</v>
      </c>
      <c r="D204" s="659">
        <f ca="1">IF($A204="","",IFERROR(GETPIVOTDATA("合計 / 入金予定",【ピボット】国保連売上!$A$3,"年月",$A204,"事業所コード",$B204,"事業所",$C204,"事業区分",D$1,"請求区分","単月"),0)
+IFERROR(GETPIVOTDATA("合計 / 入金予定",【ピボット】国保連売上!$A$3,"年月",$A204,"事業所コード",$B204,"事業所",$C204,"事業区分",D$1,"請求区分","再請求"),0))</f>
        <v>0</v>
      </c>
      <c r="E204" s="659">
        <f ca="1">IF($A204="","",IFERROR(GETPIVOTDATA("合計 / 処遇改善加算金",【ピボット】国保連売上!$A$3,"年月",$A204,"事業所コード",$B204,"事業所",$C204,"事業区分",D$1,"請求区分","単月"),0))</f>
        <v>0</v>
      </c>
      <c r="F204" s="659">
        <f ca="1">IF($A204="","",IFERROR(GETPIVOTDATA("合計 / 入金予定",【ピボット】国保連売上!$A$3,"年月",$A204,"事業所コード",$B204,"事業所",$C204,"事業区分",F$1,"請求区分","単月"),0)
+IFERROR(GETPIVOTDATA("合計 / 入金予定",【ピボット】国保連売上!$A$3,"年月",$A204,"事業所コード",$B204,"事業所",$C204,"事業区分",F$1,"請求区分","再請求"),0))</f>
        <v>0</v>
      </c>
      <c r="G204" s="659">
        <f ca="1">IF($A204="","",IFERROR(GETPIVOTDATA("合計 / 処遇改善加算金",【ピボット】国保連売上!$A$3,"年月",$A204,"事業所コード",$B204,"事業所",$C204,"事業区分",F$1,"請求区分","単月"),0))</f>
        <v>0</v>
      </c>
      <c r="H204" s="659">
        <f ca="1">IF($A204="","",IFERROR(GETPIVOTDATA("合計 / 入金予定",【ピボット】国保連売上!$A$3,"年月",$A204,"事業所コード",$B204,"事業所",$C204,"事業区分",H$1,"請求区分","単月"),0)
+IFERROR(GETPIVOTDATA("合計 / 入金予定",【ピボット】国保連売上!$A$3,"年月",$A204,"事業所コード",$B204,"事業所",$C204,"事業区分",H$1,"請求区分","再請求"),0))</f>
        <v>0</v>
      </c>
      <c r="I204" s="659">
        <f ca="1">IF($A204="","",IFERROR(GETPIVOTDATA("合計 / 入金予定",【ピボット】国保連売上!$A$3,"年月",$A204,"事業所コード",$B204,"事業所",$C204,"事業区分",I$1,"請求区分","単月"),0)
+IFERROR(GETPIVOTDATA("合計 / 入金予定",【ピボット】国保連売上!$A$3,"年月",$A204,"事業所コード",$B204,"事業所",$C204,"事業区分",I$1,"請求区分","再請求"),0))</f>
        <v>0</v>
      </c>
      <c r="J204" s="659">
        <f ca="1">IF($A204="","",IFERROR(GETPIVOTDATA("合計 / 処遇改善加算金",【ピボット】国保連売上!$A$3,"年月",$A204,"事業所コード",$B204,"事業所",$C204,"事業区分",I$1,"請求区分","単月"),0))</f>
        <v>0</v>
      </c>
      <c r="K204" s="659">
        <f ca="1">IF($A204="","",IFERROR(GETPIVOTDATA("合計 / 入金予定",【ピボット】国保連売上!$A$3,"年月",$A204,"事業所コード",$B204,"事業所",$C204,"事業区分",K$1,"請求区分","単月"),0)
+IFERROR(GETPIVOTDATA("合計 / 入金予定",【ピボット】国保連売上!$A$3,"年月",$A204,"事業所コード",$B204,"事業所",$C204,"事業区分",K$1,"請求区分","再請求"),0))</f>
        <v>2169018</v>
      </c>
      <c r="L204" s="659">
        <f ca="1">IF($A204="","",IFERROR(GETPIVOTDATA("合計 / 処遇改善加算金",【ピボット】国保連売上!$A$3,"年月",$A204,"事業所コード",$B204,"事業所",$C204,"事業区分",K$1,"請求区分","単月"),0))</f>
        <v>0</v>
      </c>
      <c r="M204" s="659">
        <f ca="1">IF($A204="","",IFERROR(GETPIVOTDATA("合計 / 入金予定",【ピボット】国保連売上!$A$3,"年月",$A204,"事業所コード",$B204,"事業所",$C204,"事業区分",M$1,"請求区分","単月"),0)
+IFERROR(GETPIVOTDATA("合計 / 入金予定",【ピボット】国保連売上!$A$3,"年月",$A204,"事業所コード",$B204,"事業所",$C204,"事業区分",M$1,"請求区分","再請求"),0))</f>
        <v>0</v>
      </c>
      <c r="N204" s="660">
        <v>0</v>
      </c>
      <c r="O204" s="660">
        <v>0</v>
      </c>
      <c r="P204" s="660">
        <v>0</v>
      </c>
      <c r="Q204" s="660">
        <v>0</v>
      </c>
      <c r="R204" s="1292">
        <v>0</v>
      </c>
      <c r="S204" s="660">
        <v>400000</v>
      </c>
      <c r="T204" s="660">
        <v>0</v>
      </c>
      <c r="U204" s="660">
        <v>0</v>
      </c>
      <c r="V204" s="660">
        <v>-100000</v>
      </c>
      <c r="W204" s="660">
        <v>0</v>
      </c>
      <c r="X204" s="660">
        <v>0</v>
      </c>
      <c r="Y204" s="659">
        <f t="shared" ca="1" si="9"/>
        <v>2469018</v>
      </c>
      <c r="Z204" s="659">
        <f t="shared" ca="1" si="11"/>
        <v>300000</v>
      </c>
    </row>
    <row r="205" spans="1:26" ht="15.95" customHeight="1" x14ac:dyDescent="0.15">
      <c r="A205" s="656">
        <v>43252</v>
      </c>
      <c r="B205" s="657" t="str">
        <f t="shared" ca="1" si="10"/>
        <v>05</v>
      </c>
      <c r="C205" s="658" t="s">
        <v>38</v>
      </c>
      <c r="D205" s="659">
        <f ca="1">IF($A205="","",IFERROR(GETPIVOTDATA("合計 / 入金予定",【ピボット】国保連売上!$A$3,"年月",$A205,"事業所コード",$B205,"事業所",$C205,"事業区分",D$1,"請求区分","単月"),0)
+IFERROR(GETPIVOTDATA("合計 / 入金予定",【ピボット】国保連売上!$A$3,"年月",$A205,"事業所コード",$B205,"事業所",$C205,"事業区分",D$1,"請求区分","再請求"),0))</f>
        <v>2039297</v>
      </c>
      <c r="E205" s="659">
        <f ca="1">IF($A205="","",IFERROR(GETPIVOTDATA("合計 / 処遇改善加算金",【ピボット】国保連売上!$A$3,"年月",$A205,"事業所コード",$B205,"事業所",$C205,"事業区分",D$1,"請求区分","単月"),0))</f>
        <v>0</v>
      </c>
      <c r="F205" s="659">
        <f ca="1">IF($A205="","",IFERROR(GETPIVOTDATA("合計 / 入金予定",【ピボット】国保連売上!$A$3,"年月",$A205,"事業所コード",$B205,"事業所",$C205,"事業区分",F$1,"請求区分","単月"),0)
+IFERROR(GETPIVOTDATA("合計 / 入金予定",【ピボット】国保連売上!$A$3,"年月",$A205,"事業所コード",$B205,"事業所",$C205,"事業区分",F$1,"請求区分","再請求"),0))</f>
        <v>0</v>
      </c>
      <c r="G205" s="659">
        <f ca="1">IF($A205="","",IFERROR(GETPIVOTDATA("合計 / 処遇改善加算金",【ピボット】国保連売上!$A$3,"年月",$A205,"事業所コード",$B205,"事業所",$C205,"事業区分",F$1,"請求区分","単月"),0))</f>
        <v>0</v>
      </c>
      <c r="H205" s="659">
        <f ca="1">IF($A205="","",IFERROR(GETPIVOTDATA("合計 / 入金予定",【ピボット】国保連売上!$A$3,"年月",$A205,"事業所コード",$B205,"事業所",$C205,"事業区分",H$1,"請求区分","単月"),0)
+IFERROR(GETPIVOTDATA("合計 / 入金予定",【ピボット】国保連売上!$A$3,"年月",$A205,"事業所コード",$B205,"事業所",$C205,"事業区分",H$1,"請求区分","再請求"),0))</f>
        <v>0</v>
      </c>
      <c r="I205" s="659">
        <f ca="1">IF($A205="","",IFERROR(GETPIVOTDATA("合計 / 入金予定",【ピボット】国保連売上!$A$3,"年月",$A205,"事業所コード",$B205,"事業所",$C205,"事業区分",I$1,"請求区分","単月"),0)
+IFERROR(GETPIVOTDATA("合計 / 入金予定",【ピボット】国保連売上!$A$3,"年月",$A205,"事業所コード",$B205,"事業所",$C205,"事業区分",I$1,"請求区分","再請求"),0))</f>
        <v>0</v>
      </c>
      <c r="J205" s="659">
        <f ca="1">IF($A205="","",IFERROR(GETPIVOTDATA("合計 / 処遇改善加算金",【ピボット】国保連売上!$A$3,"年月",$A205,"事業所コード",$B205,"事業所",$C205,"事業区分",I$1,"請求区分","単月"),0))</f>
        <v>0</v>
      </c>
      <c r="K205" s="659">
        <f ca="1">IF($A205="","",IFERROR(GETPIVOTDATA("合計 / 入金予定",【ピボット】国保連売上!$A$3,"年月",$A205,"事業所コード",$B205,"事業所",$C205,"事業区分",K$1,"請求区分","単月"),0)
+IFERROR(GETPIVOTDATA("合計 / 入金予定",【ピボット】国保連売上!$A$3,"年月",$A205,"事業所コード",$B205,"事業所",$C205,"事業区分",K$1,"請求区分","再請求"),0))</f>
        <v>0</v>
      </c>
      <c r="L205" s="659">
        <f ca="1">IF($A205="","",IFERROR(GETPIVOTDATA("合計 / 処遇改善加算金",【ピボット】国保連売上!$A$3,"年月",$A205,"事業所コード",$B205,"事業所",$C205,"事業区分",K$1,"請求区分","単月"),0))</f>
        <v>0</v>
      </c>
      <c r="M205" s="659">
        <f ca="1">IF($A205="","",IFERROR(GETPIVOTDATA("合計 / 入金予定",【ピボット】国保連売上!$A$3,"年月",$A205,"事業所コード",$B205,"事業所",$C205,"事業区分",M$1,"請求区分","単月"),0)
+IFERROR(GETPIVOTDATA("合計 / 入金予定",【ピボット】国保連売上!$A$3,"年月",$A205,"事業所コード",$B205,"事業所",$C205,"事業区分",M$1,"請求区分","再請求"),0))</f>
        <v>0</v>
      </c>
      <c r="N205" s="660">
        <v>7200</v>
      </c>
      <c r="O205" s="660">
        <v>0</v>
      </c>
      <c r="P205" s="660">
        <v>0</v>
      </c>
      <c r="Q205" s="660">
        <v>0</v>
      </c>
      <c r="R205" s="1292">
        <v>0</v>
      </c>
      <c r="S205" s="660">
        <v>645681</v>
      </c>
      <c r="T205" s="660">
        <v>0</v>
      </c>
      <c r="U205" s="660">
        <v>0</v>
      </c>
      <c r="V205" s="660">
        <v>0</v>
      </c>
      <c r="W205" s="660">
        <v>0</v>
      </c>
      <c r="X205" s="660">
        <v>0</v>
      </c>
      <c r="Y205" s="659">
        <f t="shared" ca="1" si="9"/>
        <v>2692178</v>
      </c>
      <c r="Z205" s="659">
        <f t="shared" ca="1" si="11"/>
        <v>652881</v>
      </c>
    </row>
    <row r="206" spans="1:26" ht="15.95" customHeight="1" x14ac:dyDescent="0.15">
      <c r="A206" s="656">
        <v>43252</v>
      </c>
      <c r="B206" s="657" t="str">
        <f t="shared" ca="1" si="10"/>
        <v>10</v>
      </c>
      <c r="C206" s="658" t="s">
        <v>336</v>
      </c>
      <c r="D206" s="659">
        <f ca="1">IF($A206="","",IFERROR(GETPIVOTDATA("合計 / 入金予定",【ピボット】国保連売上!$A$3,"年月",$A206,"事業所コード",$B206,"事業所",$C206,"事業区分",D$1,"請求区分","単月"),0)
+IFERROR(GETPIVOTDATA("合計 / 入金予定",【ピボット】国保連売上!$A$3,"年月",$A206,"事業所コード",$B206,"事業所",$C206,"事業区分",D$1,"請求区分","再請求"),0))</f>
        <v>907116</v>
      </c>
      <c r="E206" s="659">
        <f ca="1">IF($A206="","",IFERROR(GETPIVOTDATA("合計 / 処遇改善加算金",【ピボット】国保連売上!$A$3,"年月",$A206,"事業所コード",$B206,"事業所",$C206,"事業区分",D$1,"請求区分","単月"),0))</f>
        <v>0</v>
      </c>
      <c r="F206" s="659">
        <f ca="1">IF($A206="","",IFERROR(GETPIVOTDATA("合計 / 入金予定",【ピボット】国保連売上!$A$3,"年月",$A206,"事業所コード",$B206,"事業所",$C206,"事業区分",F$1,"請求区分","単月"),0)
+IFERROR(GETPIVOTDATA("合計 / 入金予定",【ピボット】国保連売上!$A$3,"年月",$A206,"事業所コード",$B206,"事業所",$C206,"事業区分",F$1,"請求区分","再請求"),0))</f>
        <v>26796</v>
      </c>
      <c r="G206" s="659">
        <f ca="1">IF($A206="","",IFERROR(GETPIVOTDATA("合計 / 処遇改善加算金",【ピボット】国保連売上!$A$3,"年月",$A206,"事業所コード",$B206,"事業所",$C206,"事業区分",F$1,"請求区分","単月"),0))</f>
        <v>0</v>
      </c>
      <c r="H206" s="659">
        <f ca="1">IF($A206="","",IFERROR(GETPIVOTDATA("合計 / 入金予定",【ピボット】国保連売上!$A$3,"年月",$A206,"事業所コード",$B206,"事業所",$C206,"事業区分",H$1,"請求区分","単月"),0)
+IFERROR(GETPIVOTDATA("合計 / 入金予定",【ピボット】国保連売上!$A$3,"年月",$A206,"事業所コード",$B206,"事業所",$C206,"事業区分",H$1,"請求区分","再請求"),0))</f>
        <v>0</v>
      </c>
      <c r="I206" s="659">
        <f ca="1">IF($A206="","",IFERROR(GETPIVOTDATA("合計 / 入金予定",【ピボット】国保連売上!$A$3,"年月",$A206,"事業所コード",$B206,"事業所",$C206,"事業区分",I$1,"請求区分","単月"),0)
+IFERROR(GETPIVOTDATA("合計 / 入金予定",【ピボット】国保連売上!$A$3,"年月",$A206,"事業所コード",$B206,"事業所",$C206,"事業区分",I$1,"請求区分","再請求"),0))</f>
        <v>0</v>
      </c>
      <c r="J206" s="659">
        <f ca="1">IF($A206="","",IFERROR(GETPIVOTDATA("合計 / 処遇改善加算金",【ピボット】国保連売上!$A$3,"年月",$A206,"事業所コード",$B206,"事業所",$C206,"事業区分",I$1,"請求区分","単月"),0))</f>
        <v>0</v>
      </c>
      <c r="K206" s="659">
        <f ca="1">IF($A206="","",IFERROR(GETPIVOTDATA("合計 / 入金予定",【ピボット】国保連売上!$A$3,"年月",$A206,"事業所コード",$B206,"事業所",$C206,"事業区分",K$1,"請求区分","単月"),0)
+IFERROR(GETPIVOTDATA("合計 / 入金予定",【ピボット】国保連売上!$A$3,"年月",$A206,"事業所コード",$B206,"事業所",$C206,"事業区分",K$1,"請求区分","再請求"),0))</f>
        <v>0</v>
      </c>
      <c r="L206" s="659">
        <f ca="1">IF($A206="","",IFERROR(GETPIVOTDATA("合計 / 処遇改善加算金",【ピボット】国保連売上!$A$3,"年月",$A206,"事業所コード",$B206,"事業所",$C206,"事業区分",K$1,"請求区分","単月"),0))</f>
        <v>0</v>
      </c>
      <c r="M206" s="659">
        <f ca="1">IF($A206="","",IFERROR(GETPIVOTDATA("合計 / 入金予定",【ピボット】国保連売上!$A$3,"年月",$A206,"事業所コード",$B206,"事業所",$C206,"事業区分",M$1,"請求区分","単月"),0)
+IFERROR(GETPIVOTDATA("合計 / 入金予定",【ピボット】国保連売上!$A$3,"年月",$A206,"事業所コード",$B206,"事業所",$C206,"事業区分",M$1,"請求区分","再請求"),0))</f>
        <v>0</v>
      </c>
      <c r="N206" s="660">
        <v>56300</v>
      </c>
      <c r="O206" s="1292">
        <v>60840</v>
      </c>
      <c r="P206" s="660">
        <v>838490</v>
      </c>
      <c r="Q206" s="660">
        <v>0</v>
      </c>
      <c r="R206" s="1292">
        <v>0</v>
      </c>
      <c r="S206" s="660">
        <v>0</v>
      </c>
      <c r="T206" s="660">
        <v>0</v>
      </c>
      <c r="U206" s="660">
        <v>0</v>
      </c>
      <c r="V206" s="660">
        <v>0</v>
      </c>
      <c r="W206" s="660">
        <v>0</v>
      </c>
      <c r="X206" s="660">
        <v>0</v>
      </c>
      <c r="Y206" s="659">
        <f t="shared" ca="1" si="9"/>
        <v>1889542</v>
      </c>
      <c r="Z206" s="659">
        <f t="shared" ca="1" si="11"/>
        <v>955630</v>
      </c>
    </row>
    <row r="207" spans="1:26" ht="15.95" customHeight="1" x14ac:dyDescent="0.15">
      <c r="A207" s="656">
        <v>43282</v>
      </c>
      <c r="B207" s="657" t="str">
        <f t="shared" ca="1" si="10"/>
        <v>01</v>
      </c>
      <c r="C207" s="658" t="s">
        <v>34</v>
      </c>
      <c r="D207" s="659">
        <f ca="1">IF($A207="","",IFERROR(GETPIVOTDATA("合計 / 入金予定",【ピボット】国保連売上!$A$3,"年月",$A207,"事業所コード",$B207,"事業所",$C207,"事業区分",D$1,"請求区分","単月"),0)
+IFERROR(GETPIVOTDATA("合計 / 入金予定",【ピボット】国保連売上!$A$3,"年月",$A207,"事業所コード",$B207,"事業所",$C207,"事業区分",D$1,"請求区分","再請求"),0))</f>
        <v>8646531</v>
      </c>
      <c r="E207" s="659">
        <f ca="1">IF($A207="","",IFERROR(GETPIVOTDATA("合計 / 処遇改善加算金",【ピボット】国保連売上!$A$3,"年月",$A207,"事業所コード",$B207,"事業所",$C207,"事業区分",D$1,"請求区分","単月"),0))</f>
        <v>1329824</v>
      </c>
      <c r="F207" s="659">
        <f ca="1">IF($A207="","",IFERROR(GETPIVOTDATA("合計 / 入金予定",【ピボット】国保連売上!$A$3,"年月",$A207,"事業所コード",$B207,"事業所",$C207,"事業区分",F$1,"請求区分","単月"),0)
+IFERROR(GETPIVOTDATA("合計 / 入金予定",【ピボット】国保連売上!$A$3,"年月",$A207,"事業所コード",$B207,"事業所",$C207,"事業区分",F$1,"請求区分","再請求"),0))</f>
        <v>1310896</v>
      </c>
      <c r="G207" s="659">
        <f ca="1">IF($A207="","",IFERROR(GETPIVOTDATA("合計 / 処遇改善加算金",【ピボット】国保連売上!$A$3,"年月",$A207,"事業所コード",$B207,"事業所",$C207,"事業区分",F$1,"請求区分","単月"),0))</f>
        <v>275953</v>
      </c>
      <c r="H207" s="659">
        <f ca="1">IF($A207="","",IFERROR(GETPIVOTDATA("合計 / 入金予定",【ピボット】国保連売上!$A$3,"年月",$A207,"事業所コード",$B207,"事業所",$C207,"事業区分",H$1,"請求区分","単月"),0)
+IFERROR(GETPIVOTDATA("合計 / 入金予定",【ピボット】国保連売上!$A$3,"年月",$A207,"事業所コード",$B207,"事業所",$C207,"事業区分",H$1,"請求区分","再請求"),0))</f>
        <v>720086</v>
      </c>
      <c r="I207" s="659">
        <f ca="1">IF($A207="","",IFERROR(GETPIVOTDATA("合計 / 入金予定",【ピボット】国保連売上!$A$3,"年月",$A207,"事業所コード",$B207,"事業所",$C207,"事業区分",I$1,"請求区分","単月"),0)
+IFERROR(GETPIVOTDATA("合計 / 入金予定",【ピボット】国保連売上!$A$3,"年月",$A207,"事業所コード",$B207,"事業所",$C207,"事業区分",I$1,"請求区分","再請求"),0))</f>
        <v>0</v>
      </c>
      <c r="J207" s="659">
        <f ca="1">IF($A207="","",IFERROR(GETPIVOTDATA("合計 / 処遇改善加算金",【ピボット】国保連売上!$A$3,"年月",$A207,"事業所コード",$B207,"事業所",$C207,"事業区分",I$1,"請求区分","単月"),0))</f>
        <v>0</v>
      </c>
      <c r="K207" s="659">
        <f ca="1">IF($A207="","",IFERROR(GETPIVOTDATA("合計 / 入金予定",【ピボット】国保連売上!$A$3,"年月",$A207,"事業所コード",$B207,"事業所",$C207,"事業区分",K$1,"請求区分","単月"),0)
+IFERROR(GETPIVOTDATA("合計 / 入金予定",【ピボット】国保連売上!$A$3,"年月",$A207,"事業所コード",$B207,"事業所",$C207,"事業区分",K$1,"請求区分","再請求"),0))</f>
        <v>0</v>
      </c>
      <c r="L207" s="659">
        <f ca="1">IF($A207="","",IFERROR(GETPIVOTDATA("合計 / 処遇改善加算金",【ピボット】国保連売上!$A$3,"年月",$A207,"事業所コード",$B207,"事業所",$C207,"事業区分",K$1,"請求区分","単月"),0))</f>
        <v>0</v>
      </c>
      <c r="M207" s="659">
        <f ca="1">IF($A207="","",IFERROR(GETPIVOTDATA("合計 / 入金予定",【ピボット】国保連売上!$A$3,"年月",$A207,"事業所コード",$B207,"事業所",$C207,"事業区分",M$1,"請求区分","単月"),0)
+IFERROR(GETPIVOTDATA("合計 / 入金予定",【ピボット】国保連売上!$A$3,"年月",$A207,"事業所コード",$B207,"事業所",$C207,"事業区分",M$1,"請求区分","再請求"),0))</f>
        <v>0</v>
      </c>
      <c r="N207" s="660">
        <v>81500</v>
      </c>
      <c r="O207" s="1292">
        <v>36502</v>
      </c>
      <c r="P207" s="660">
        <v>0</v>
      </c>
      <c r="Q207" s="660">
        <v>6836</v>
      </c>
      <c r="R207" s="1292">
        <v>129420</v>
      </c>
      <c r="S207" s="660">
        <v>0</v>
      </c>
      <c r="T207" s="660">
        <v>0</v>
      </c>
      <c r="U207" s="660">
        <v>111000</v>
      </c>
      <c r="V207" s="660">
        <v>0</v>
      </c>
      <c r="W207" s="660">
        <v>0</v>
      </c>
      <c r="X207" s="660">
        <v>0</v>
      </c>
      <c r="Y207" s="659">
        <f t="shared" ca="1" si="9"/>
        <v>11042771</v>
      </c>
      <c r="Z207" s="659">
        <f t="shared" ca="1" si="11"/>
        <v>365258</v>
      </c>
    </row>
    <row r="208" spans="1:26" ht="15.95" customHeight="1" x14ac:dyDescent="0.15">
      <c r="A208" s="656">
        <v>43282</v>
      </c>
      <c r="B208" s="657" t="str">
        <f t="shared" ca="1" si="10"/>
        <v>02</v>
      </c>
      <c r="C208" s="658" t="s">
        <v>37</v>
      </c>
      <c r="D208" s="659">
        <f ca="1">IF($A208="","",IFERROR(GETPIVOTDATA("合計 / 入金予定",【ピボット】国保連売上!$A$3,"年月",$A208,"事業所コード",$B208,"事業所",$C208,"事業区分",D$1,"請求区分","単月"),0)
+IFERROR(GETPIVOTDATA("合計 / 入金予定",【ピボット】国保連売上!$A$3,"年月",$A208,"事業所コード",$B208,"事業所",$C208,"事業区分",D$1,"請求区分","再請求"),0))</f>
        <v>4044228</v>
      </c>
      <c r="E208" s="659">
        <f ca="1">IF($A208="","",IFERROR(GETPIVOTDATA("合計 / 処遇改善加算金",【ピボット】国保連売上!$A$3,"年月",$A208,"事業所コード",$B208,"事業所",$C208,"事業区分",D$1,"請求区分","単月"),0))</f>
        <v>448243</v>
      </c>
      <c r="F208" s="659">
        <f ca="1">IF($A208="","",IFERROR(GETPIVOTDATA("合計 / 入金予定",【ピボット】国保連売上!$A$3,"年月",$A208,"事業所コード",$B208,"事業所",$C208,"事業区分",F$1,"請求区分","単月"),0)
+IFERROR(GETPIVOTDATA("合計 / 入金予定",【ピボット】国保連売上!$A$3,"年月",$A208,"事業所コード",$B208,"事業所",$C208,"事業区分",F$1,"請求区分","再請求"),0))</f>
        <v>964628</v>
      </c>
      <c r="G208" s="659">
        <f ca="1">IF($A208="","",IFERROR(GETPIVOTDATA("合計 / 処遇改善加算金",【ピボット】国保連売上!$A$3,"年月",$A208,"事業所コード",$B208,"事業所",$C208,"事業区分",F$1,"請求区分","単月"),0))</f>
        <v>223199</v>
      </c>
      <c r="H208" s="659">
        <f ca="1">IF($A208="","",IFERROR(GETPIVOTDATA("合計 / 入金予定",【ピボット】国保連売上!$A$3,"年月",$A208,"事業所コード",$B208,"事業所",$C208,"事業区分",H$1,"請求区分","単月"),0)
+IFERROR(GETPIVOTDATA("合計 / 入金予定",【ピボット】国保連売上!$A$3,"年月",$A208,"事業所コード",$B208,"事業所",$C208,"事業区分",H$1,"請求区分","再請求"),0))</f>
        <v>553040</v>
      </c>
      <c r="I208" s="659">
        <f ca="1">IF($A208="","",IFERROR(GETPIVOTDATA("合計 / 入金予定",【ピボット】国保連売上!$A$3,"年月",$A208,"事業所コード",$B208,"事業所",$C208,"事業区分",I$1,"請求区分","単月"),0)
+IFERROR(GETPIVOTDATA("合計 / 入金予定",【ピボット】国保連売上!$A$3,"年月",$A208,"事業所コード",$B208,"事業所",$C208,"事業区分",I$1,"請求区分","再請求"),0))</f>
        <v>0</v>
      </c>
      <c r="J208" s="659">
        <f ca="1">IF($A208="","",IFERROR(GETPIVOTDATA("合計 / 処遇改善加算金",【ピボット】国保連売上!$A$3,"年月",$A208,"事業所コード",$B208,"事業所",$C208,"事業区分",I$1,"請求区分","単月"),0))</f>
        <v>0</v>
      </c>
      <c r="K208" s="659">
        <f ca="1">IF($A208="","",IFERROR(GETPIVOTDATA("合計 / 入金予定",【ピボット】国保連売上!$A$3,"年月",$A208,"事業所コード",$B208,"事業所",$C208,"事業区分",K$1,"請求区分","単月"),0)
+IFERROR(GETPIVOTDATA("合計 / 入金予定",【ピボット】国保連売上!$A$3,"年月",$A208,"事業所コード",$B208,"事業所",$C208,"事業区分",K$1,"請求区分","再請求"),0))</f>
        <v>0</v>
      </c>
      <c r="L208" s="659">
        <f ca="1">IF($A208="","",IFERROR(GETPIVOTDATA("合計 / 処遇改善加算金",【ピボット】国保連売上!$A$3,"年月",$A208,"事業所コード",$B208,"事業所",$C208,"事業区分",K$1,"請求区分","単月"),0))</f>
        <v>0</v>
      </c>
      <c r="M208" s="659">
        <f ca="1">IF($A208="","",IFERROR(GETPIVOTDATA("合計 / 入金予定",【ピボット】国保連売上!$A$3,"年月",$A208,"事業所コード",$B208,"事業所",$C208,"事業区分",M$1,"請求区分","単月"),0)
+IFERROR(GETPIVOTDATA("合計 / 入金予定",【ピボット】国保連売上!$A$3,"年月",$A208,"事業所コード",$B208,"事業所",$C208,"事業区分",M$1,"請求区分","再請求"),0))</f>
        <v>0</v>
      </c>
      <c r="N208" s="660">
        <v>386170</v>
      </c>
      <c r="O208" s="660">
        <v>0</v>
      </c>
      <c r="P208" s="660">
        <v>0</v>
      </c>
      <c r="Q208" s="660">
        <v>834</v>
      </c>
      <c r="R208" s="1292">
        <v>126858</v>
      </c>
      <c r="S208" s="660">
        <v>0</v>
      </c>
      <c r="T208" s="660">
        <v>0</v>
      </c>
      <c r="U208" s="660">
        <v>0</v>
      </c>
      <c r="V208" s="660">
        <v>0</v>
      </c>
      <c r="W208" s="660">
        <v>0</v>
      </c>
      <c r="X208" s="660">
        <v>0</v>
      </c>
      <c r="Y208" s="659">
        <f t="shared" ca="1" si="9"/>
        <v>6075758</v>
      </c>
      <c r="Z208" s="659">
        <f t="shared" ca="1" si="11"/>
        <v>513862</v>
      </c>
    </row>
    <row r="209" spans="1:26" ht="15.95" customHeight="1" x14ac:dyDescent="0.15">
      <c r="A209" s="656">
        <v>43282</v>
      </c>
      <c r="B209" s="657" t="str">
        <f t="shared" ca="1" si="10"/>
        <v>03</v>
      </c>
      <c r="C209" s="658" t="s">
        <v>66</v>
      </c>
      <c r="D209" s="659">
        <f ca="1">IF($A209="","",IFERROR(GETPIVOTDATA("合計 / 入金予定",【ピボット】国保連売上!$A$3,"年月",$A209,"事業所コード",$B209,"事業所",$C209,"事業区分",D$1,"請求区分","単月"),0)
+IFERROR(GETPIVOTDATA("合計 / 入金予定",【ピボット】国保連売上!$A$3,"年月",$A209,"事業所コード",$B209,"事業所",$C209,"事業区分",D$1,"請求区分","再請求"),0))</f>
        <v>4812316</v>
      </c>
      <c r="E209" s="659">
        <f ca="1">IF($A209="","",IFERROR(GETPIVOTDATA("合計 / 処遇改善加算金",【ピボット】国保連売上!$A$3,"年月",$A209,"事業所コード",$B209,"事業所",$C209,"事業区分",D$1,"請求区分","単月"),0))</f>
        <v>501273</v>
      </c>
      <c r="F209" s="659">
        <f ca="1">IF($A209="","",IFERROR(GETPIVOTDATA("合計 / 入金予定",【ピボット】国保連売上!$A$3,"年月",$A209,"事業所コード",$B209,"事業所",$C209,"事業区分",F$1,"請求区分","単月"),0)
+IFERROR(GETPIVOTDATA("合計 / 入金予定",【ピボット】国保連売上!$A$3,"年月",$A209,"事業所コード",$B209,"事業所",$C209,"事業区分",F$1,"請求区分","再請求"),0))</f>
        <v>1836690</v>
      </c>
      <c r="G209" s="659">
        <f ca="1">IF($A209="","",IFERROR(GETPIVOTDATA("合計 / 処遇改善加算金",【ピボット】国保連売上!$A$3,"年月",$A209,"事業所コード",$B209,"事業所",$C209,"事業区分",F$1,"請求区分","単月"),0))</f>
        <v>427104</v>
      </c>
      <c r="H209" s="659">
        <f ca="1">IF($A209="","",IFERROR(GETPIVOTDATA("合計 / 入金予定",【ピボット】国保連売上!$A$3,"年月",$A209,"事業所コード",$B209,"事業所",$C209,"事業区分",H$1,"請求区分","単月"),0)
+IFERROR(GETPIVOTDATA("合計 / 入金予定",【ピボット】国保連売上!$A$3,"年月",$A209,"事業所コード",$B209,"事業所",$C209,"事業区分",H$1,"請求区分","再請求"),0))</f>
        <v>0</v>
      </c>
      <c r="I209" s="659">
        <f ca="1">IF($A209="","",IFERROR(GETPIVOTDATA("合計 / 入金予定",【ピボット】国保連売上!$A$3,"年月",$A209,"事業所コード",$B209,"事業所",$C209,"事業区分",I$1,"請求区分","単月"),0)
+IFERROR(GETPIVOTDATA("合計 / 入金予定",【ピボット】国保連売上!$A$3,"年月",$A209,"事業所コード",$B209,"事業所",$C209,"事業区分",I$1,"請求区分","再請求"),0))</f>
        <v>0</v>
      </c>
      <c r="J209" s="659">
        <f ca="1">IF($A209="","",IFERROR(GETPIVOTDATA("合計 / 処遇改善加算金",【ピボット】国保連売上!$A$3,"年月",$A209,"事業所コード",$B209,"事業所",$C209,"事業区分",I$1,"請求区分","単月"),0))</f>
        <v>0</v>
      </c>
      <c r="K209" s="659">
        <f ca="1">IF($A209="","",IFERROR(GETPIVOTDATA("合計 / 入金予定",【ピボット】国保連売上!$A$3,"年月",$A209,"事業所コード",$B209,"事業所",$C209,"事業区分",K$1,"請求区分","単月"),0)
+IFERROR(GETPIVOTDATA("合計 / 入金予定",【ピボット】国保連売上!$A$3,"年月",$A209,"事業所コード",$B209,"事業所",$C209,"事業区分",K$1,"請求区分","再請求"),0))</f>
        <v>0</v>
      </c>
      <c r="L209" s="659">
        <f ca="1">IF($A209="","",IFERROR(GETPIVOTDATA("合計 / 処遇改善加算金",【ピボット】国保連売上!$A$3,"年月",$A209,"事業所コード",$B209,"事業所",$C209,"事業区分",K$1,"請求区分","単月"),0))</f>
        <v>0</v>
      </c>
      <c r="M209" s="659">
        <f ca="1">IF($A209="","",IFERROR(GETPIVOTDATA("合計 / 入金予定",【ピボット】国保連売上!$A$3,"年月",$A209,"事業所コード",$B209,"事業所",$C209,"事業区分",M$1,"請求区分","単月"),0)
+IFERROR(GETPIVOTDATA("合計 / 入金予定",【ピボット】国保連売上!$A$3,"年月",$A209,"事業所コード",$B209,"事業所",$C209,"事業区分",M$1,"請求区分","再請求"),0))</f>
        <v>0</v>
      </c>
      <c r="N209" s="660">
        <v>58400</v>
      </c>
      <c r="O209" s="660">
        <v>139170</v>
      </c>
      <c r="P209" s="660">
        <v>65530</v>
      </c>
      <c r="Q209" s="660">
        <v>3422</v>
      </c>
      <c r="R209" s="660">
        <v>0</v>
      </c>
      <c r="S209" s="660">
        <v>0</v>
      </c>
      <c r="T209" s="660">
        <v>0</v>
      </c>
      <c r="U209" s="660">
        <v>0</v>
      </c>
      <c r="V209" s="660">
        <v>0</v>
      </c>
      <c r="W209" s="660">
        <v>0</v>
      </c>
      <c r="X209" s="660">
        <v>0</v>
      </c>
      <c r="Y209" s="659">
        <f t="shared" ca="1" si="9"/>
        <v>6915528</v>
      </c>
      <c r="Z209" s="659">
        <f t="shared" ca="1" si="11"/>
        <v>266522</v>
      </c>
    </row>
    <row r="210" spans="1:26" ht="15.95" customHeight="1" x14ac:dyDescent="0.15">
      <c r="A210" s="656">
        <v>43282</v>
      </c>
      <c r="B210" s="657" t="str">
        <f t="shared" ca="1" si="10"/>
        <v>11</v>
      </c>
      <c r="C210" s="658" t="s">
        <v>967</v>
      </c>
      <c r="D210" s="659">
        <f ca="1">IF($A210="","",IFERROR(GETPIVOTDATA("合計 / 入金予定",【ピボット】国保連売上!$A$3,"年月",$A210,"事業所コード",$B210,"事業所",$C210,"事業区分",D$1,"請求区分","単月"),0)
+IFERROR(GETPIVOTDATA("合計 / 入金予定",【ピボット】国保連売上!$A$3,"年月",$A210,"事業所コード",$B210,"事業所",$C210,"事業区分",D$1,"請求区分","再請求"),0))</f>
        <v>493984</v>
      </c>
      <c r="E210" s="659">
        <f ca="1">IF($A210="","",IFERROR(GETPIVOTDATA("合計 / 処遇改善加算金",【ピボット】国保連売上!$A$3,"年月",$A210,"事業所コード",$B210,"事業所",$C210,"事業区分",D$1,"請求区分","単月"),0))</f>
        <v>48263</v>
      </c>
      <c r="F210" s="659">
        <f ca="1">IF($A210="","",IFERROR(GETPIVOTDATA("合計 / 入金予定",【ピボット】国保連売上!$A$3,"年月",$A210,"事業所コード",$B210,"事業所",$C210,"事業区分",F$1,"請求区分","単月"),0)
+IFERROR(GETPIVOTDATA("合計 / 入金予定",【ピボット】国保連売上!$A$3,"年月",$A210,"事業所コード",$B210,"事業所",$C210,"事業区分",F$1,"請求区分","再請求"),0))</f>
        <v>168666</v>
      </c>
      <c r="G210" s="659">
        <f ca="1">IF($A210="","",IFERROR(GETPIVOTDATA("合計 / 処遇改善加算金",【ピボット】国保連売上!$A$3,"年月",$A210,"事業所コード",$B210,"事業所",$C210,"事業区分",F$1,"請求区分","単月"),0))</f>
        <v>39217</v>
      </c>
      <c r="H210" s="659">
        <f ca="1">IF($A210="","",IFERROR(GETPIVOTDATA("合計 / 入金予定",【ピボット】国保連売上!$A$3,"年月",$A210,"事業所コード",$B210,"事業所",$C210,"事業区分",H$1,"請求区分","単月"),0)
+IFERROR(GETPIVOTDATA("合計 / 入金予定",【ピボット】国保連売上!$A$3,"年月",$A210,"事業所コード",$B210,"事業所",$C210,"事業区分",H$1,"請求区分","再請求"),0))</f>
        <v>0</v>
      </c>
      <c r="I210" s="659">
        <f ca="1">IF($A210="","",IFERROR(GETPIVOTDATA("合計 / 入金予定",【ピボット】国保連売上!$A$3,"年月",$A210,"事業所コード",$B210,"事業所",$C210,"事業区分",I$1,"請求区分","単月"),0)
+IFERROR(GETPIVOTDATA("合計 / 入金予定",【ピボット】国保連売上!$A$3,"年月",$A210,"事業所コード",$B210,"事業所",$C210,"事業区分",I$1,"請求区分","再請求"),0))</f>
        <v>0</v>
      </c>
      <c r="J210" s="659">
        <f ca="1">IF($A210="","",IFERROR(GETPIVOTDATA("合計 / 処遇改善加算金",【ピボット】国保連売上!$A$3,"年月",$A210,"事業所コード",$B210,"事業所",$C210,"事業区分",I$1,"請求区分","単月"),0))</f>
        <v>0</v>
      </c>
      <c r="K210" s="659">
        <f ca="1">IF($A210="","",IFERROR(GETPIVOTDATA("合計 / 入金予定",【ピボット】国保連売上!$A$3,"年月",$A210,"事業所コード",$B210,"事業所",$C210,"事業区分",K$1,"請求区分","単月"),0)
+IFERROR(GETPIVOTDATA("合計 / 入金予定",【ピボット】国保連売上!$A$3,"年月",$A210,"事業所コード",$B210,"事業所",$C210,"事業区分",K$1,"請求区分","再請求"),0))</f>
        <v>0</v>
      </c>
      <c r="L210" s="659">
        <f ca="1">IF($A210="","",IFERROR(GETPIVOTDATA("合計 / 処遇改善加算金",【ピボット】国保連売上!$A$3,"年月",$A210,"事業所コード",$B210,"事業所",$C210,"事業区分",K$1,"請求区分","単月"),0))</f>
        <v>0</v>
      </c>
      <c r="M210" s="659">
        <f ca="1">IF($A210="","",IFERROR(GETPIVOTDATA("合計 / 入金予定",【ピボット】国保連売上!$A$3,"年月",$A210,"事業所コード",$B210,"事業所",$C210,"事業区分",M$1,"請求区分","単月"),0)
+IFERROR(GETPIVOTDATA("合計 / 入金予定",【ピボット】国保連売上!$A$3,"年月",$A210,"事業所コード",$B210,"事業所",$C210,"事業区分",M$1,"請求区分","再請求"),0))</f>
        <v>0</v>
      </c>
      <c r="N210" s="660">
        <v>0</v>
      </c>
      <c r="O210" s="660">
        <v>0</v>
      </c>
      <c r="P210" s="660">
        <v>0</v>
      </c>
      <c r="Q210" s="660">
        <v>430</v>
      </c>
      <c r="R210" s="660">
        <v>0</v>
      </c>
      <c r="S210" s="660">
        <v>0</v>
      </c>
      <c r="T210" s="660">
        <v>0</v>
      </c>
      <c r="U210" s="660">
        <v>0</v>
      </c>
      <c r="V210" s="660">
        <v>0</v>
      </c>
      <c r="W210" s="660">
        <v>0</v>
      </c>
      <c r="X210" s="660">
        <v>0</v>
      </c>
      <c r="Y210" s="659">
        <f t="shared" ca="1" si="9"/>
        <v>663080</v>
      </c>
      <c r="Z210" s="659">
        <f t="shared" ca="1" si="11"/>
        <v>430</v>
      </c>
    </row>
    <row r="211" spans="1:26" ht="15.95" customHeight="1" x14ac:dyDescent="0.15">
      <c r="A211" s="656">
        <v>43282</v>
      </c>
      <c r="B211" s="657" t="str">
        <f t="shared" ca="1" si="10"/>
        <v>04</v>
      </c>
      <c r="C211" s="658" t="s">
        <v>358</v>
      </c>
      <c r="D211" s="659">
        <f ca="1">IF($A211="","",IFERROR(GETPIVOTDATA("合計 / 入金予定",【ピボット】国保連売上!$A$3,"年月",$A211,"事業所コード",$B211,"事業所",$C211,"事業区分",D$1,"請求区分","単月"),0)
+IFERROR(GETPIVOTDATA("合計 / 入金予定",【ピボット】国保連売上!$A$3,"年月",$A211,"事業所コード",$B211,"事業所",$C211,"事業区分",D$1,"請求区分","再請求"),0))</f>
        <v>0</v>
      </c>
      <c r="E211" s="659">
        <f ca="1">IF($A211="","",IFERROR(GETPIVOTDATA("合計 / 処遇改善加算金",【ピボット】国保連売上!$A$3,"年月",$A211,"事業所コード",$B211,"事業所",$C211,"事業区分",D$1,"請求区分","単月"),0))</f>
        <v>0</v>
      </c>
      <c r="F211" s="659">
        <f ca="1">IF($A211="","",IFERROR(GETPIVOTDATA("合計 / 入金予定",【ピボット】国保連売上!$A$3,"年月",$A211,"事業所コード",$B211,"事業所",$C211,"事業区分",F$1,"請求区分","単月"),0)
+IFERROR(GETPIVOTDATA("合計 / 入金予定",【ピボット】国保連売上!$A$3,"年月",$A211,"事業所コード",$B211,"事業所",$C211,"事業区分",F$1,"請求区分","再請求"),0))</f>
        <v>0</v>
      </c>
      <c r="G211" s="659">
        <f ca="1">IF($A211="","",IFERROR(GETPIVOTDATA("合計 / 処遇改善加算金",【ピボット】国保連売上!$A$3,"年月",$A211,"事業所コード",$B211,"事業所",$C211,"事業区分",F$1,"請求区分","単月"),0))</f>
        <v>0</v>
      </c>
      <c r="H211" s="659">
        <f ca="1">IF($A211="","",IFERROR(GETPIVOTDATA("合計 / 入金予定",【ピボット】国保連売上!$A$3,"年月",$A211,"事業所コード",$B211,"事業所",$C211,"事業区分",H$1,"請求区分","単月"),0)
+IFERROR(GETPIVOTDATA("合計 / 入金予定",【ピボット】国保連売上!$A$3,"年月",$A211,"事業所コード",$B211,"事業所",$C211,"事業区分",H$1,"請求区分","再請求"),0))</f>
        <v>0</v>
      </c>
      <c r="I211" s="659">
        <f ca="1">IF($A211="","",IFERROR(GETPIVOTDATA("合計 / 入金予定",【ピボット】国保連売上!$A$3,"年月",$A211,"事業所コード",$B211,"事業所",$C211,"事業区分",I$1,"請求区分","単月"),0)
+IFERROR(GETPIVOTDATA("合計 / 入金予定",【ピボット】国保連売上!$A$3,"年月",$A211,"事業所コード",$B211,"事業所",$C211,"事業区分",I$1,"請求区分","再請求"),0))</f>
        <v>4214501</v>
      </c>
      <c r="J211" s="659">
        <f ca="1">IF($A211="","",IFERROR(GETPIVOTDATA("合計 / 処遇改善加算金",【ピボット】国保連売上!$A$3,"年月",$A211,"事業所コード",$B211,"事業所",$C211,"事業区分",I$1,"請求区分","単月"),0))</f>
        <v>234931</v>
      </c>
      <c r="K211" s="659">
        <f ca="1">IF($A211="","",IFERROR(GETPIVOTDATA("合計 / 入金予定",【ピボット】国保連売上!$A$3,"年月",$A211,"事業所コード",$B211,"事業所",$C211,"事業区分",K$1,"請求区分","単月"),0)
+IFERROR(GETPIVOTDATA("合計 / 入金予定",【ピボット】国保連売上!$A$3,"年月",$A211,"事業所コード",$B211,"事業所",$C211,"事業区分",K$1,"請求区分","再請求"),0))</f>
        <v>0</v>
      </c>
      <c r="L211" s="659">
        <f ca="1">IF($A211="","",IFERROR(GETPIVOTDATA("合計 / 処遇改善加算金",【ピボット】国保連売上!$A$3,"年月",$A211,"事業所コード",$B211,"事業所",$C211,"事業区分",K$1,"請求区分","単月"),0))</f>
        <v>0</v>
      </c>
      <c r="M211" s="659">
        <f ca="1">IF($A211="","",IFERROR(GETPIVOTDATA("合計 / 入金予定",【ピボット】国保連売上!$A$3,"年月",$A211,"事業所コード",$B211,"事業所",$C211,"事業区分",M$1,"請求区分","単月"),0)
+IFERROR(GETPIVOTDATA("合計 / 入金予定",【ピボット】国保連売上!$A$3,"年月",$A211,"事業所コード",$B211,"事業所",$C211,"事業区分",M$1,"請求区分","再請求"),0))</f>
        <v>0</v>
      </c>
      <c r="N211" s="660">
        <v>7043</v>
      </c>
      <c r="O211" s="660">
        <v>0</v>
      </c>
      <c r="P211" s="660">
        <v>0</v>
      </c>
      <c r="Q211" s="660">
        <v>0</v>
      </c>
      <c r="R211" s="660">
        <v>0</v>
      </c>
      <c r="S211" s="660">
        <v>0</v>
      </c>
      <c r="T211" s="660">
        <v>246950</v>
      </c>
      <c r="U211" s="660">
        <v>0</v>
      </c>
      <c r="V211" s="660">
        <v>0</v>
      </c>
      <c r="W211" s="660">
        <v>0</v>
      </c>
      <c r="X211" s="660">
        <v>0</v>
      </c>
      <c r="Y211" s="659">
        <f t="shared" ca="1" si="9"/>
        <v>4468494</v>
      </c>
      <c r="Z211" s="659">
        <f t="shared" ca="1" si="11"/>
        <v>253993</v>
      </c>
    </row>
    <row r="212" spans="1:26" ht="15" customHeight="1" x14ac:dyDescent="0.15">
      <c r="A212" s="656">
        <v>43282</v>
      </c>
      <c r="B212" s="657" t="str">
        <f t="shared" ca="1" si="10"/>
        <v>05</v>
      </c>
      <c r="C212" s="658" t="s">
        <v>359</v>
      </c>
      <c r="D212" s="659">
        <f ca="1">IF($A212="","",IFERROR(GETPIVOTDATA("合計 / 入金予定",【ピボット】国保連売上!$A$3,"年月",$A212,"事業所コード",$B212,"事業所",$C212,"事業区分",D$1,"請求区分","単月"),0)
+IFERROR(GETPIVOTDATA("合計 / 入金予定",【ピボット】国保連売上!$A$3,"年月",$A212,"事業所コード",$B212,"事業所",$C212,"事業区分",D$1,"請求区分","再請求"),0))</f>
        <v>1640628</v>
      </c>
      <c r="E212" s="659">
        <f ca="1">IF($A212="","",IFERROR(GETPIVOTDATA("合計 / 処遇改善加算金",【ピボット】国保連売上!$A$3,"年月",$A212,"事業所コード",$B212,"事業所",$C212,"事業区分",D$1,"請求区分","単月"),0))</f>
        <v>0</v>
      </c>
      <c r="F212" s="659">
        <f ca="1">IF($A212="","",IFERROR(GETPIVOTDATA("合計 / 入金予定",【ピボット】国保連売上!$A$3,"年月",$A212,"事業所コード",$B212,"事業所",$C212,"事業区分",F$1,"請求区分","単月"),0)
+IFERROR(GETPIVOTDATA("合計 / 入金予定",【ピボット】国保連売上!$A$3,"年月",$A212,"事業所コード",$B212,"事業所",$C212,"事業区分",F$1,"請求区分","再請求"),0))</f>
        <v>0</v>
      </c>
      <c r="G212" s="659">
        <f ca="1">IF($A212="","",IFERROR(GETPIVOTDATA("合計 / 処遇改善加算金",【ピボット】国保連売上!$A$3,"年月",$A212,"事業所コード",$B212,"事業所",$C212,"事業区分",F$1,"請求区分","単月"),0))</f>
        <v>0</v>
      </c>
      <c r="H212" s="659">
        <f ca="1">IF($A212="","",IFERROR(GETPIVOTDATA("合計 / 入金予定",【ピボット】国保連売上!$A$3,"年月",$A212,"事業所コード",$B212,"事業所",$C212,"事業区分",H$1,"請求区分","単月"),0)
+IFERROR(GETPIVOTDATA("合計 / 入金予定",【ピボット】国保連売上!$A$3,"年月",$A212,"事業所コード",$B212,"事業所",$C212,"事業区分",H$1,"請求区分","再請求"),0))</f>
        <v>0</v>
      </c>
      <c r="I212" s="659">
        <f ca="1">IF($A212="","",IFERROR(GETPIVOTDATA("合計 / 入金予定",【ピボット】国保連売上!$A$3,"年月",$A212,"事業所コード",$B212,"事業所",$C212,"事業区分",I$1,"請求区分","単月"),0)
+IFERROR(GETPIVOTDATA("合計 / 入金予定",【ピボット】国保連売上!$A$3,"年月",$A212,"事業所コード",$B212,"事業所",$C212,"事業区分",I$1,"請求区分","再請求"),0))</f>
        <v>0</v>
      </c>
      <c r="J212" s="659">
        <f ca="1">IF($A212="","",IFERROR(GETPIVOTDATA("合計 / 処遇改善加算金",【ピボット】国保連売上!$A$3,"年月",$A212,"事業所コード",$B212,"事業所",$C212,"事業区分",I$1,"請求区分","単月"),0))</f>
        <v>0</v>
      </c>
      <c r="K212" s="659">
        <f ca="1">IF($A212="","",IFERROR(GETPIVOTDATA("合計 / 入金予定",【ピボット】国保連売上!$A$3,"年月",$A212,"事業所コード",$B212,"事業所",$C212,"事業区分",K$1,"請求区分","単月"),0)
+IFERROR(GETPIVOTDATA("合計 / 入金予定",【ピボット】国保連売上!$A$3,"年月",$A212,"事業所コード",$B212,"事業所",$C212,"事業区分",K$1,"請求区分","再請求"),0))</f>
        <v>0</v>
      </c>
      <c r="L212" s="659">
        <f ca="1">IF($A212="","",IFERROR(GETPIVOTDATA("合計 / 処遇改善加算金",【ピボット】国保連売上!$A$3,"年月",$A212,"事業所コード",$B212,"事業所",$C212,"事業区分",K$1,"請求区分","単月"),0))</f>
        <v>0</v>
      </c>
      <c r="M212" s="659">
        <f ca="1">IF($A212="","",IFERROR(GETPIVOTDATA("合計 / 入金予定",【ピボット】国保連売上!$A$3,"年月",$A212,"事業所コード",$B212,"事業所",$C212,"事業区分",M$1,"請求区分","単月"),0)
+IFERROR(GETPIVOTDATA("合計 / 入金予定",【ピボット】国保連売上!$A$3,"年月",$A212,"事業所コード",$B212,"事業所",$C212,"事業区分",M$1,"請求区分","再請求"),0))</f>
        <v>0</v>
      </c>
      <c r="N212" s="660">
        <v>6000</v>
      </c>
      <c r="O212" s="660">
        <v>0</v>
      </c>
      <c r="P212" s="660">
        <v>0</v>
      </c>
      <c r="Q212" s="660">
        <v>0</v>
      </c>
      <c r="R212" s="660">
        <v>0</v>
      </c>
      <c r="S212" s="660">
        <v>899959</v>
      </c>
      <c r="T212" s="660">
        <v>0</v>
      </c>
      <c r="U212" s="660">
        <v>0</v>
      </c>
      <c r="V212" s="660">
        <v>0</v>
      </c>
      <c r="W212" s="660">
        <v>0</v>
      </c>
      <c r="X212" s="660">
        <v>0</v>
      </c>
      <c r="Y212" s="659">
        <f t="shared" ca="1" si="9"/>
        <v>2546587</v>
      </c>
      <c r="Z212" s="659">
        <f t="shared" ca="1" si="11"/>
        <v>905959</v>
      </c>
    </row>
    <row r="213" spans="1:26" ht="15.95" customHeight="1" x14ac:dyDescent="0.15">
      <c r="A213" s="656">
        <v>43282</v>
      </c>
      <c r="B213" s="657" t="str">
        <f t="shared" ca="1" si="10"/>
        <v>07</v>
      </c>
      <c r="C213" s="658" t="s">
        <v>119</v>
      </c>
      <c r="D213" s="659">
        <f ca="1">IF($A213="","",IFERROR(GETPIVOTDATA("合計 / 入金予定",【ピボット】国保連売上!$A$3,"年月",$A213,"事業所コード",$B213,"事業所",$C213,"事業区分",D$1,"請求区分","単月"),0)
+IFERROR(GETPIVOTDATA("合計 / 入金予定",【ピボット】国保連売上!$A$3,"年月",$A213,"事業所コード",$B213,"事業所",$C213,"事業区分",D$1,"請求区分","再請求"),0))</f>
        <v>0</v>
      </c>
      <c r="E213" s="659">
        <f ca="1">IF($A213="","",IFERROR(GETPIVOTDATA("合計 / 処遇改善加算金",【ピボット】国保連売上!$A$3,"年月",$A213,"事業所コード",$B213,"事業所",$C213,"事業区分",D$1,"請求区分","単月"),0))</f>
        <v>0</v>
      </c>
      <c r="F213" s="659">
        <f ca="1">IF($A213="","",IFERROR(GETPIVOTDATA("合計 / 入金予定",【ピボット】国保連売上!$A$3,"年月",$A213,"事業所コード",$B213,"事業所",$C213,"事業区分",F$1,"請求区分","単月"),0)
+IFERROR(GETPIVOTDATA("合計 / 入金予定",【ピボット】国保連売上!$A$3,"年月",$A213,"事業所コード",$B213,"事業所",$C213,"事業区分",F$1,"請求区分","再請求"),0))</f>
        <v>0</v>
      </c>
      <c r="G213" s="659">
        <f ca="1">IF($A213="","",IFERROR(GETPIVOTDATA("合計 / 処遇改善加算金",【ピボット】国保連売上!$A$3,"年月",$A213,"事業所コード",$B213,"事業所",$C213,"事業区分",F$1,"請求区分","単月"),0))</f>
        <v>0</v>
      </c>
      <c r="H213" s="659">
        <f ca="1">IF($A213="","",IFERROR(GETPIVOTDATA("合計 / 入金予定",【ピボット】国保連売上!$A$3,"年月",$A213,"事業所コード",$B213,"事業所",$C213,"事業区分",H$1,"請求区分","単月"),0)
+IFERROR(GETPIVOTDATA("合計 / 入金予定",【ピボット】国保連売上!$A$3,"年月",$A213,"事業所コード",$B213,"事業所",$C213,"事業区分",H$1,"請求区分","再請求"),0))</f>
        <v>0</v>
      </c>
      <c r="I213" s="659">
        <f ca="1">IF($A213="","",IFERROR(GETPIVOTDATA("合計 / 入金予定",【ピボット】国保連売上!$A$3,"年月",$A213,"事業所コード",$B213,"事業所",$C213,"事業区分",I$1,"請求区分","単月"),0)
+IFERROR(GETPIVOTDATA("合計 / 入金予定",【ピボット】国保連売上!$A$3,"年月",$A213,"事業所コード",$B213,"事業所",$C213,"事業区分",I$1,"請求区分","再請求"),0))</f>
        <v>0</v>
      </c>
      <c r="J213" s="659">
        <f ca="1">IF($A213="","",IFERROR(GETPIVOTDATA("合計 / 処遇改善加算金",【ピボット】国保連売上!$A$3,"年月",$A213,"事業所コード",$B213,"事業所",$C213,"事業区分",I$1,"請求区分","単月"),0))</f>
        <v>0</v>
      </c>
      <c r="K213" s="659">
        <f ca="1">IF($A213="","",IFERROR(GETPIVOTDATA("合計 / 入金予定",【ピボット】国保連売上!$A$3,"年月",$A213,"事業所コード",$B213,"事業所",$C213,"事業区分",K$1,"請求区分","単月"),0)
+IFERROR(GETPIVOTDATA("合計 / 入金予定",【ピボット】国保連売上!$A$3,"年月",$A213,"事業所コード",$B213,"事業所",$C213,"事業区分",K$1,"請求区分","再請求"),0))</f>
        <v>1128974</v>
      </c>
      <c r="L213" s="659">
        <f ca="1">IF($A213="","",IFERROR(GETPIVOTDATA("合計 / 処遇改善加算金",【ピボット】国保連売上!$A$3,"年月",$A213,"事業所コード",$B213,"事業所",$C213,"事業区分",K$1,"請求区分","単月"),0))</f>
        <v>318645</v>
      </c>
      <c r="M213" s="659">
        <f ca="1">IF($A213="","",IFERROR(GETPIVOTDATA("合計 / 入金予定",【ピボット】国保連売上!$A$3,"年月",$A213,"事業所コード",$B213,"事業所",$C213,"事業区分",M$1,"請求区分","単月"),0)
+IFERROR(GETPIVOTDATA("合計 / 入金予定",【ピボット】国保連売上!$A$3,"年月",$A213,"事業所コード",$B213,"事業所",$C213,"事業区分",M$1,"請求区分","再請求"),0))</f>
        <v>0</v>
      </c>
      <c r="N213" s="660">
        <v>0</v>
      </c>
      <c r="O213" s="660">
        <v>0</v>
      </c>
      <c r="P213" s="660">
        <v>0</v>
      </c>
      <c r="Q213" s="660">
        <v>0</v>
      </c>
      <c r="R213" s="660">
        <v>0</v>
      </c>
      <c r="S213" s="660">
        <v>61000</v>
      </c>
      <c r="T213" s="660">
        <v>0</v>
      </c>
      <c r="U213" s="660">
        <v>0</v>
      </c>
      <c r="V213" s="660">
        <v>-30000</v>
      </c>
      <c r="W213" s="660">
        <v>0</v>
      </c>
      <c r="X213" s="660">
        <v>0</v>
      </c>
      <c r="Y213" s="659">
        <f t="shared" ca="1" si="9"/>
        <v>1159974</v>
      </c>
      <c r="Z213" s="659">
        <f t="shared" ca="1" si="11"/>
        <v>31000</v>
      </c>
    </row>
    <row r="214" spans="1:26" ht="15.95" customHeight="1" x14ac:dyDescent="0.15">
      <c r="A214" s="656">
        <v>43282</v>
      </c>
      <c r="B214" s="657" t="str">
        <f t="shared" ca="1" si="10"/>
        <v>08</v>
      </c>
      <c r="C214" s="658" t="s">
        <v>189</v>
      </c>
      <c r="D214" s="659">
        <f ca="1">IF($A214="","",IFERROR(GETPIVOTDATA("合計 / 入金予定",【ピボット】国保連売上!$A$3,"年月",$A214,"事業所コード",$B214,"事業所",$C214,"事業区分",D$1,"請求区分","単月"),0)
+IFERROR(GETPIVOTDATA("合計 / 入金予定",【ピボット】国保連売上!$A$3,"年月",$A214,"事業所コード",$B214,"事業所",$C214,"事業区分",D$1,"請求区分","再請求"),0))</f>
        <v>0</v>
      </c>
      <c r="E214" s="659">
        <f ca="1">IF($A214="","",IFERROR(GETPIVOTDATA("合計 / 処遇改善加算金",【ピボット】国保連売上!$A$3,"年月",$A214,"事業所コード",$B214,"事業所",$C214,"事業区分",D$1,"請求区分","単月"),0))</f>
        <v>0</v>
      </c>
      <c r="F214" s="659">
        <f ca="1">IF($A214="","",IFERROR(GETPIVOTDATA("合計 / 入金予定",【ピボット】国保連売上!$A$3,"年月",$A214,"事業所コード",$B214,"事業所",$C214,"事業区分",F$1,"請求区分","単月"),0)
+IFERROR(GETPIVOTDATA("合計 / 入金予定",【ピボット】国保連売上!$A$3,"年月",$A214,"事業所コード",$B214,"事業所",$C214,"事業区分",F$1,"請求区分","再請求"),0))</f>
        <v>0</v>
      </c>
      <c r="G214" s="659">
        <f ca="1">IF($A214="","",IFERROR(GETPIVOTDATA("合計 / 処遇改善加算金",【ピボット】国保連売上!$A$3,"年月",$A214,"事業所コード",$B214,"事業所",$C214,"事業区分",F$1,"請求区分","単月"),0))</f>
        <v>0</v>
      </c>
      <c r="H214" s="659">
        <f ca="1">IF($A214="","",IFERROR(GETPIVOTDATA("合計 / 入金予定",【ピボット】国保連売上!$A$3,"年月",$A214,"事業所コード",$B214,"事業所",$C214,"事業区分",H$1,"請求区分","単月"),0)
+IFERROR(GETPIVOTDATA("合計 / 入金予定",【ピボット】国保連売上!$A$3,"年月",$A214,"事業所コード",$B214,"事業所",$C214,"事業区分",H$1,"請求区分","再請求"),0))</f>
        <v>0</v>
      </c>
      <c r="I214" s="659">
        <f ca="1">IF($A214="","",IFERROR(GETPIVOTDATA("合計 / 入金予定",【ピボット】国保連売上!$A$3,"年月",$A214,"事業所コード",$B214,"事業所",$C214,"事業区分",I$1,"請求区分","単月"),0)
+IFERROR(GETPIVOTDATA("合計 / 入金予定",【ピボット】国保連売上!$A$3,"年月",$A214,"事業所コード",$B214,"事業所",$C214,"事業区分",I$1,"請求区分","再請求"),0))</f>
        <v>0</v>
      </c>
      <c r="J214" s="659">
        <f ca="1">IF($A214="","",IFERROR(GETPIVOTDATA("合計 / 処遇改善加算金",【ピボット】国保連売上!$A$3,"年月",$A214,"事業所コード",$B214,"事業所",$C214,"事業区分",I$1,"請求区分","単月"),0))</f>
        <v>0</v>
      </c>
      <c r="K214" s="659">
        <f ca="1">IF($A214="","",IFERROR(GETPIVOTDATA("合計 / 入金予定",【ピボット】国保連売上!$A$3,"年月",$A214,"事業所コード",$B214,"事業所",$C214,"事業区分",K$1,"請求区分","単月"),0)
+IFERROR(GETPIVOTDATA("合計 / 入金予定",【ピボット】国保連売上!$A$3,"年月",$A214,"事業所コード",$B214,"事業所",$C214,"事業区分",K$1,"請求区分","再請求"),0))</f>
        <v>1007268</v>
      </c>
      <c r="L214" s="659">
        <f ca="1">IF($A214="","",IFERROR(GETPIVOTDATA("合計 / 処遇改善加算金",【ピボット】国保連売上!$A$3,"年月",$A214,"事業所コード",$B214,"事業所",$C214,"事業区分",K$1,"請求区分","単月"),0))</f>
        <v>0</v>
      </c>
      <c r="M214" s="659">
        <f ca="1">IF($A214="","",IFERROR(GETPIVOTDATA("合計 / 入金予定",【ピボット】国保連売上!$A$3,"年月",$A214,"事業所コード",$B214,"事業所",$C214,"事業区分",M$1,"請求区分","単月"),0)
+IFERROR(GETPIVOTDATA("合計 / 入金予定",【ピボット】国保連売上!$A$3,"年月",$A214,"事業所コード",$B214,"事業所",$C214,"事業区分",M$1,"請求区分","再請求"),0))</f>
        <v>0</v>
      </c>
      <c r="N214" s="660">
        <v>20000</v>
      </c>
      <c r="O214" s="660">
        <v>0</v>
      </c>
      <c r="P214" s="660">
        <v>0</v>
      </c>
      <c r="Q214" s="660">
        <v>0</v>
      </c>
      <c r="R214" s="660">
        <v>0</v>
      </c>
      <c r="S214" s="660">
        <v>98000</v>
      </c>
      <c r="T214" s="660">
        <v>0</v>
      </c>
      <c r="U214" s="660">
        <v>0</v>
      </c>
      <c r="V214" s="660">
        <v>-40000</v>
      </c>
      <c r="W214" s="660">
        <v>0</v>
      </c>
      <c r="X214" s="660">
        <v>0</v>
      </c>
      <c r="Y214" s="659">
        <f t="shared" ca="1" si="9"/>
        <v>1085268</v>
      </c>
      <c r="Z214" s="659">
        <f t="shared" ca="1" si="11"/>
        <v>78000</v>
      </c>
    </row>
    <row r="215" spans="1:26" ht="15.95" customHeight="1" x14ac:dyDescent="0.15">
      <c r="A215" s="656">
        <v>43282</v>
      </c>
      <c r="B215" s="657" t="str">
        <f t="shared" ca="1" si="10"/>
        <v>09</v>
      </c>
      <c r="C215" s="658" t="s">
        <v>329</v>
      </c>
      <c r="D215" s="659">
        <f ca="1">IF($A215="","",IFERROR(GETPIVOTDATA("合計 / 入金予定",【ピボット】国保連売上!$A$3,"年月",$A215,"事業所コード",$B215,"事業所",$C215,"事業区分",D$1,"請求区分","単月"),0)
+IFERROR(GETPIVOTDATA("合計 / 入金予定",【ピボット】国保連売上!$A$3,"年月",$A215,"事業所コード",$B215,"事業所",$C215,"事業区分",D$1,"請求区分","再請求"),0))</f>
        <v>0</v>
      </c>
      <c r="E215" s="659">
        <f ca="1">IF($A215="","",IFERROR(GETPIVOTDATA("合計 / 処遇改善加算金",【ピボット】国保連売上!$A$3,"年月",$A215,"事業所コード",$B215,"事業所",$C215,"事業区分",D$1,"請求区分","単月"),0))</f>
        <v>0</v>
      </c>
      <c r="F215" s="659">
        <f ca="1">IF($A215="","",IFERROR(GETPIVOTDATA("合計 / 入金予定",【ピボット】国保連売上!$A$3,"年月",$A215,"事業所コード",$B215,"事業所",$C215,"事業区分",F$1,"請求区分","単月"),0)
+IFERROR(GETPIVOTDATA("合計 / 入金予定",【ピボット】国保連売上!$A$3,"年月",$A215,"事業所コード",$B215,"事業所",$C215,"事業区分",F$1,"請求区分","再請求"),0))</f>
        <v>0</v>
      </c>
      <c r="G215" s="659">
        <f ca="1">IF($A215="","",IFERROR(GETPIVOTDATA("合計 / 処遇改善加算金",【ピボット】国保連売上!$A$3,"年月",$A215,"事業所コード",$B215,"事業所",$C215,"事業区分",F$1,"請求区分","単月"),0))</f>
        <v>0</v>
      </c>
      <c r="H215" s="659">
        <f ca="1">IF($A215="","",IFERROR(GETPIVOTDATA("合計 / 入金予定",【ピボット】国保連売上!$A$3,"年月",$A215,"事業所コード",$B215,"事業所",$C215,"事業区分",H$1,"請求区分","単月"),0)
+IFERROR(GETPIVOTDATA("合計 / 入金予定",【ピボット】国保連売上!$A$3,"年月",$A215,"事業所コード",$B215,"事業所",$C215,"事業区分",H$1,"請求区分","再請求"),0))</f>
        <v>0</v>
      </c>
      <c r="I215" s="659">
        <f ca="1">IF($A215="","",IFERROR(GETPIVOTDATA("合計 / 入金予定",【ピボット】国保連売上!$A$3,"年月",$A215,"事業所コード",$B215,"事業所",$C215,"事業区分",I$1,"請求区分","単月"),0)
+IFERROR(GETPIVOTDATA("合計 / 入金予定",【ピボット】国保連売上!$A$3,"年月",$A215,"事業所コード",$B215,"事業所",$C215,"事業区分",I$1,"請求区分","再請求"),0))</f>
        <v>0</v>
      </c>
      <c r="J215" s="659">
        <f ca="1">IF($A215="","",IFERROR(GETPIVOTDATA("合計 / 処遇改善加算金",【ピボット】国保連売上!$A$3,"年月",$A215,"事業所コード",$B215,"事業所",$C215,"事業区分",I$1,"請求区分","単月"),0))</f>
        <v>0</v>
      </c>
      <c r="K215" s="659">
        <f ca="1">IF($A215="","",IFERROR(GETPIVOTDATA("合計 / 入金予定",【ピボット】国保連売上!$A$3,"年月",$A215,"事業所コード",$B215,"事業所",$C215,"事業区分",K$1,"請求区分","単月"),0)
+IFERROR(GETPIVOTDATA("合計 / 入金予定",【ピボット】国保連売上!$A$3,"年月",$A215,"事業所コード",$B215,"事業所",$C215,"事業区分",K$1,"請求区分","再請求"),0))</f>
        <v>2677988</v>
      </c>
      <c r="L215" s="659">
        <f ca="1">IF($A215="","",IFERROR(GETPIVOTDATA("合計 / 処遇改善加算金",【ピボット】国保連売上!$A$3,"年月",$A215,"事業所コード",$B215,"事業所",$C215,"事業区分",K$1,"請求区分","単月"),0))</f>
        <v>0</v>
      </c>
      <c r="M215" s="659">
        <f ca="1">IF($A215="","",IFERROR(GETPIVOTDATA("合計 / 入金予定",【ピボット】国保連売上!$A$3,"年月",$A215,"事業所コード",$B215,"事業所",$C215,"事業区分",M$1,"請求区分","単月"),0)
+IFERROR(GETPIVOTDATA("合計 / 入金予定",【ピボット】国保連売上!$A$3,"年月",$A215,"事業所コード",$B215,"事業所",$C215,"事業区分",M$1,"請求区分","再請求"),0))</f>
        <v>0</v>
      </c>
      <c r="N215" s="660">
        <v>0</v>
      </c>
      <c r="O215" s="660">
        <v>0</v>
      </c>
      <c r="P215" s="660">
        <v>0</v>
      </c>
      <c r="Q215" s="660">
        <v>0</v>
      </c>
      <c r="R215" s="660">
        <v>0</v>
      </c>
      <c r="S215" s="660">
        <v>400000</v>
      </c>
      <c r="T215" s="660">
        <v>0</v>
      </c>
      <c r="U215" s="660">
        <v>0</v>
      </c>
      <c r="V215" s="660">
        <v>-100000</v>
      </c>
      <c r="W215" s="660">
        <v>0</v>
      </c>
      <c r="X215" s="660">
        <v>0</v>
      </c>
      <c r="Y215" s="659">
        <f t="shared" ca="1" si="9"/>
        <v>2977988</v>
      </c>
      <c r="Z215" s="659">
        <f t="shared" ca="1" si="11"/>
        <v>300000</v>
      </c>
    </row>
    <row r="216" spans="1:26" ht="15.95" customHeight="1" x14ac:dyDescent="0.15">
      <c r="A216" s="656">
        <v>43282</v>
      </c>
      <c r="B216" s="657" t="str">
        <f t="shared" ca="1" si="10"/>
        <v>10</v>
      </c>
      <c r="C216" s="658" t="s">
        <v>336</v>
      </c>
      <c r="D216" s="659">
        <f ca="1">IF($A216="","",IFERROR(GETPIVOTDATA("合計 / 入金予定",【ピボット】国保連売上!$A$3,"年月",$A216,"事業所コード",$B216,"事業所",$C216,"事業区分",D$1,"請求区分","単月"),0)
+IFERROR(GETPIVOTDATA("合計 / 入金予定",【ピボット】国保連売上!$A$3,"年月",$A216,"事業所コード",$B216,"事業所",$C216,"事業区分",D$1,"請求区分","再請求"),0))</f>
        <v>745508</v>
      </c>
      <c r="E216" s="659">
        <f ca="1">IF($A216="","",IFERROR(GETPIVOTDATA("合計 / 処遇改善加算金",【ピボット】国保連売上!$A$3,"年月",$A216,"事業所コード",$B216,"事業所",$C216,"事業区分",D$1,"請求区分","単月"),0))</f>
        <v>0</v>
      </c>
      <c r="F216" s="659">
        <f ca="1">IF($A216="","",IFERROR(GETPIVOTDATA("合計 / 入金予定",【ピボット】国保連売上!$A$3,"年月",$A216,"事業所コード",$B216,"事業所",$C216,"事業区分",F$1,"請求区分","単月"),0)
+IFERROR(GETPIVOTDATA("合計 / 入金予定",【ピボット】国保連売上!$A$3,"年月",$A216,"事業所コード",$B216,"事業所",$C216,"事業区分",F$1,"請求区分","再請求"),0))</f>
        <v>19440</v>
      </c>
      <c r="G216" s="659">
        <f ca="1">IF($A216="","",IFERROR(GETPIVOTDATA("合計 / 処遇改善加算金",【ピボット】国保連売上!$A$3,"年月",$A216,"事業所コード",$B216,"事業所",$C216,"事業区分",F$1,"請求区分","単月"),0))</f>
        <v>0</v>
      </c>
      <c r="H216" s="659">
        <f ca="1">IF($A216="","",IFERROR(GETPIVOTDATA("合計 / 入金予定",【ピボット】国保連売上!$A$3,"年月",$A216,"事業所コード",$B216,"事業所",$C216,"事業区分",H$1,"請求区分","単月"),0)
+IFERROR(GETPIVOTDATA("合計 / 入金予定",【ピボット】国保連売上!$A$3,"年月",$A216,"事業所コード",$B216,"事業所",$C216,"事業区分",H$1,"請求区分","再請求"),0))</f>
        <v>0</v>
      </c>
      <c r="I216" s="659">
        <f ca="1">IF($A216="","",IFERROR(GETPIVOTDATA("合計 / 入金予定",【ピボット】国保連売上!$A$3,"年月",$A216,"事業所コード",$B216,"事業所",$C216,"事業区分",I$1,"請求区分","単月"),0)
+IFERROR(GETPIVOTDATA("合計 / 入金予定",【ピボット】国保連売上!$A$3,"年月",$A216,"事業所コード",$B216,"事業所",$C216,"事業区分",I$1,"請求区分","再請求"),0))</f>
        <v>0</v>
      </c>
      <c r="J216" s="659">
        <f ca="1">IF($A216="","",IFERROR(GETPIVOTDATA("合計 / 処遇改善加算金",【ピボット】国保連売上!$A$3,"年月",$A216,"事業所コード",$B216,"事業所",$C216,"事業区分",I$1,"請求区分","単月"),0))</f>
        <v>0</v>
      </c>
      <c r="K216" s="659">
        <f ca="1">IF($A216="","",IFERROR(GETPIVOTDATA("合計 / 入金予定",【ピボット】国保連売上!$A$3,"年月",$A216,"事業所コード",$B216,"事業所",$C216,"事業区分",K$1,"請求区分","単月"),0)
+IFERROR(GETPIVOTDATA("合計 / 入金予定",【ピボット】国保連売上!$A$3,"年月",$A216,"事業所コード",$B216,"事業所",$C216,"事業区分",K$1,"請求区分","再請求"),0))</f>
        <v>0</v>
      </c>
      <c r="L216" s="659">
        <f ca="1">IF($A216="","",IFERROR(GETPIVOTDATA("合計 / 処遇改善加算金",【ピボット】国保連売上!$A$3,"年月",$A216,"事業所コード",$B216,"事業所",$C216,"事業区分",K$1,"請求区分","単月"),0))</f>
        <v>0</v>
      </c>
      <c r="M216" s="659">
        <f ca="1">IF($A216="","",IFERROR(GETPIVOTDATA("合計 / 入金予定",【ピボット】国保連売上!$A$3,"年月",$A216,"事業所コード",$B216,"事業所",$C216,"事業区分",M$1,"請求区分","単月"),0)
+IFERROR(GETPIVOTDATA("合計 / 入金予定",【ピボット】国保連売上!$A$3,"年月",$A216,"事業所コード",$B216,"事業所",$C216,"事業区分",M$1,"請求区分","再請求"),0))</f>
        <v>0</v>
      </c>
      <c r="N216" s="660">
        <v>50600</v>
      </c>
      <c r="O216" s="1292">
        <v>58500</v>
      </c>
      <c r="P216" s="660">
        <v>740340</v>
      </c>
      <c r="Q216" s="660">
        <v>0</v>
      </c>
      <c r="R216" s="1292">
        <v>0</v>
      </c>
      <c r="S216" s="660">
        <v>0</v>
      </c>
      <c r="T216" s="660">
        <v>0</v>
      </c>
      <c r="U216" s="660">
        <v>0</v>
      </c>
      <c r="V216" s="660">
        <v>0</v>
      </c>
      <c r="W216" s="660">
        <v>0</v>
      </c>
      <c r="X216" s="660">
        <v>0</v>
      </c>
      <c r="Y216" s="659">
        <f t="shared" ca="1" si="9"/>
        <v>1614388</v>
      </c>
      <c r="Z216" s="659">
        <f t="shared" ca="1" si="11"/>
        <v>849440</v>
      </c>
    </row>
    <row r="217" spans="1:26" ht="15.95" customHeight="1" x14ac:dyDescent="0.15">
      <c r="A217" s="656">
        <v>43313</v>
      </c>
      <c r="B217" s="657" t="str">
        <f t="shared" ca="1" si="10"/>
        <v>01</v>
      </c>
      <c r="C217" s="658" t="s">
        <v>34</v>
      </c>
      <c r="D217" s="659">
        <f ca="1">IF($A217="","",IFERROR(GETPIVOTDATA("合計 / 入金予定",【ピボット】国保連売上!$A$3,"年月",$A217,"事業所コード",$B217,"事業所",$C217,"事業区分",D$1,"請求区分","単月"),0)
+IFERROR(GETPIVOTDATA("合計 / 入金予定",【ピボット】国保連売上!$A$3,"年月",$A217,"事業所コード",$B217,"事業所",$C217,"事業区分",D$1,"請求区分","再請求"),0))</f>
        <v>7766185</v>
      </c>
      <c r="E217" s="659">
        <f ca="1">IF($A217="","",IFERROR(GETPIVOTDATA("合計 / 処遇改善加算金",【ピボット】国保連売上!$A$3,"年月",$A217,"事業所コード",$B217,"事業所",$C217,"事業区分",D$1,"請求区分","単月"),0))</f>
        <v>1186196</v>
      </c>
      <c r="F217" s="659">
        <f ca="1">IF($A217="","",IFERROR(GETPIVOTDATA("合計 / 入金予定",【ピボット】国保連売上!$A$3,"年月",$A217,"事業所コード",$B217,"事業所",$C217,"事業区分",F$1,"請求区分","単月"),0)
+IFERROR(GETPIVOTDATA("合計 / 入金予定",【ピボット】国保連売上!$A$3,"年月",$A217,"事業所コード",$B217,"事業所",$C217,"事業区分",F$1,"請求区分","再請求"),0))</f>
        <v>1069802</v>
      </c>
      <c r="G217" s="659">
        <f ca="1">IF($A217="","",IFERROR(GETPIVOTDATA("合計 / 処遇改善加算金",【ピボット】国保連売上!$A$3,"年月",$A217,"事業所コード",$B217,"事業所",$C217,"事業区分",F$1,"請求区分","単月"),0))</f>
        <v>250906</v>
      </c>
      <c r="H217" s="659">
        <f ca="1">IF($A217="","",IFERROR(GETPIVOTDATA("合計 / 入金予定",【ピボット】国保連売上!$A$3,"年月",$A217,"事業所コード",$B217,"事業所",$C217,"事業区分",H$1,"請求区分","単月"),0)
+IFERROR(GETPIVOTDATA("合計 / 入金予定",【ピボット】国保連売上!$A$3,"年月",$A217,"事業所コード",$B217,"事業所",$C217,"事業区分",H$1,"請求区分","再請求"),0))</f>
        <v>668845</v>
      </c>
      <c r="I217" s="659">
        <f ca="1">IF($A217="","",IFERROR(GETPIVOTDATA("合計 / 入金予定",【ピボット】国保連売上!$A$3,"年月",$A217,"事業所コード",$B217,"事業所",$C217,"事業区分",I$1,"請求区分","単月"),0)
+IFERROR(GETPIVOTDATA("合計 / 入金予定",【ピボット】国保連売上!$A$3,"年月",$A217,"事業所コード",$B217,"事業所",$C217,"事業区分",I$1,"請求区分","再請求"),0))</f>
        <v>0</v>
      </c>
      <c r="J217" s="659">
        <f ca="1">IF($A217="","",IFERROR(GETPIVOTDATA("合計 / 処遇改善加算金",【ピボット】国保連売上!$A$3,"年月",$A217,"事業所コード",$B217,"事業所",$C217,"事業区分",I$1,"請求区分","単月"),0))</f>
        <v>0</v>
      </c>
      <c r="K217" s="659">
        <f ca="1">IF($A217="","",IFERROR(GETPIVOTDATA("合計 / 入金予定",【ピボット】国保連売上!$A$3,"年月",$A217,"事業所コード",$B217,"事業所",$C217,"事業区分",K$1,"請求区分","単月"),0)
+IFERROR(GETPIVOTDATA("合計 / 入金予定",【ピボット】国保連売上!$A$3,"年月",$A217,"事業所コード",$B217,"事業所",$C217,"事業区分",K$1,"請求区分","再請求"),0))</f>
        <v>0</v>
      </c>
      <c r="L217" s="659">
        <f ca="1">IF($A217="","",IFERROR(GETPIVOTDATA("合計 / 処遇改善加算金",【ピボット】国保連売上!$A$3,"年月",$A217,"事業所コード",$B217,"事業所",$C217,"事業区分",K$1,"請求区分","単月"),0))</f>
        <v>0</v>
      </c>
      <c r="M217" s="659">
        <f ca="1">IF($A217="","",IFERROR(GETPIVOTDATA("合計 / 入金予定",【ピボット】国保連売上!$A$3,"年月",$A217,"事業所コード",$B217,"事業所",$C217,"事業区分",M$1,"請求区分","単月"),0)
+IFERROR(GETPIVOTDATA("合計 / 入金予定",【ピボット】国保連売上!$A$3,"年月",$A217,"事業所コード",$B217,"事業所",$C217,"事業区分",M$1,"請求区分","再請求"),0))</f>
        <v>0</v>
      </c>
      <c r="N217" s="660">
        <v>68600</v>
      </c>
      <c r="O217" s="1292">
        <v>40413</v>
      </c>
      <c r="P217" s="660">
        <v>0</v>
      </c>
      <c r="Q217" s="660">
        <v>6445</v>
      </c>
      <c r="R217" s="1292">
        <v>121905</v>
      </c>
      <c r="S217" s="660">
        <v>0</v>
      </c>
      <c r="T217" s="660">
        <v>0</v>
      </c>
      <c r="U217" s="660">
        <v>100560</v>
      </c>
      <c r="V217" s="660">
        <v>0</v>
      </c>
      <c r="W217" s="660">
        <v>0</v>
      </c>
      <c r="X217" s="660">
        <v>0</v>
      </c>
      <c r="Y217" s="659">
        <f t="shared" ca="1" si="9"/>
        <v>9842755</v>
      </c>
      <c r="Z217" s="659">
        <f t="shared" ca="1" si="11"/>
        <v>337923</v>
      </c>
    </row>
    <row r="218" spans="1:26" ht="15.95" customHeight="1" x14ac:dyDescent="0.15">
      <c r="A218" s="656">
        <v>43313</v>
      </c>
      <c r="B218" s="657" t="str">
        <f t="shared" ca="1" si="10"/>
        <v>02</v>
      </c>
      <c r="C218" s="658" t="s">
        <v>37</v>
      </c>
      <c r="D218" s="659">
        <f ca="1">IF($A218="","",IFERROR(GETPIVOTDATA("合計 / 入金予定",【ピボット】国保連売上!$A$3,"年月",$A218,"事業所コード",$B218,"事業所",$C218,"事業区分",D$1,"請求区分","単月"),0)
+IFERROR(GETPIVOTDATA("合計 / 入金予定",【ピボット】国保連売上!$A$3,"年月",$A218,"事業所コード",$B218,"事業所",$C218,"事業区分",D$1,"請求区分","再請求"),0))</f>
        <v>4436142</v>
      </c>
      <c r="E218" s="659">
        <f ca="1">IF($A218="","",IFERROR(GETPIVOTDATA("合計 / 処遇改善加算金",【ピボット】国保連売上!$A$3,"年月",$A218,"事業所コード",$B218,"事業所",$C218,"事業区分",D$1,"請求区分","単月"),0))</f>
        <v>460193</v>
      </c>
      <c r="F218" s="659">
        <f ca="1">IF($A218="","",IFERROR(GETPIVOTDATA("合計 / 入金予定",【ピボット】国保連売上!$A$3,"年月",$A218,"事業所コード",$B218,"事業所",$C218,"事業区分",F$1,"請求区分","単月"),0)
+IFERROR(GETPIVOTDATA("合計 / 入金予定",【ピボット】国保連売上!$A$3,"年月",$A218,"事業所コード",$B218,"事業所",$C218,"事業区分",F$1,"請求区分","再請求"),0))</f>
        <v>876207</v>
      </c>
      <c r="G218" s="659">
        <f ca="1">IF($A218="","",IFERROR(GETPIVOTDATA("合計 / 処遇改善加算金",【ピボット】国保連売上!$A$3,"年月",$A218,"事業所コード",$B218,"事業所",$C218,"事業区分",F$1,"請求区分","単月"),0))</f>
        <v>202922</v>
      </c>
      <c r="H218" s="659">
        <f ca="1">IF($A218="","",IFERROR(GETPIVOTDATA("合計 / 入金予定",【ピボット】国保連売上!$A$3,"年月",$A218,"事業所コード",$B218,"事業所",$C218,"事業区分",H$1,"請求区分","単月"),0)
+IFERROR(GETPIVOTDATA("合計 / 入金予定",【ピボット】国保連売上!$A$3,"年月",$A218,"事業所コード",$B218,"事業所",$C218,"事業区分",H$1,"請求区分","再請求"),0))</f>
        <v>514013</v>
      </c>
      <c r="I218" s="659">
        <f ca="1">IF($A218="","",IFERROR(GETPIVOTDATA("合計 / 入金予定",【ピボット】国保連売上!$A$3,"年月",$A218,"事業所コード",$B218,"事業所",$C218,"事業区分",I$1,"請求区分","単月"),0)
+IFERROR(GETPIVOTDATA("合計 / 入金予定",【ピボット】国保連売上!$A$3,"年月",$A218,"事業所コード",$B218,"事業所",$C218,"事業区分",I$1,"請求区分","再請求"),0))</f>
        <v>0</v>
      </c>
      <c r="J218" s="659">
        <f ca="1">IF($A218="","",IFERROR(GETPIVOTDATA("合計 / 処遇改善加算金",【ピボット】国保連売上!$A$3,"年月",$A218,"事業所コード",$B218,"事業所",$C218,"事業区分",I$1,"請求区分","単月"),0))</f>
        <v>0</v>
      </c>
      <c r="K218" s="659">
        <f ca="1">IF($A218="","",IFERROR(GETPIVOTDATA("合計 / 入金予定",【ピボット】国保連売上!$A$3,"年月",$A218,"事業所コード",$B218,"事業所",$C218,"事業区分",K$1,"請求区分","単月"),0)
+IFERROR(GETPIVOTDATA("合計 / 入金予定",【ピボット】国保連売上!$A$3,"年月",$A218,"事業所コード",$B218,"事業所",$C218,"事業区分",K$1,"請求区分","再請求"),0))</f>
        <v>0</v>
      </c>
      <c r="L218" s="659">
        <f ca="1">IF($A218="","",IFERROR(GETPIVOTDATA("合計 / 処遇改善加算金",【ピボット】国保連売上!$A$3,"年月",$A218,"事業所コード",$B218,"事業所",$C218,"事業区分",K$1,"請求区分","単月"),0))</f>
        <v>0</v>
      </c>
      <c r="M218" s="659">
        <f ca="1">IF($A218="","",IFERROR(GETPIVOTDATA("合計 / 入金予定",【ピボット】国保連売上!$A$3,"年月",$A218,"事業所コード",$B218,"事業所",$C218,"事業区分",M$1,"請求区分","単月"),0)
+IFERROR(GETPIVOTDATA("合計 / 入金予定",【ピボット】国保連売上!$A$3,"年月",$A218,"事業所コード",$B218,"事業所",$C218,"事業区分",M$1,"請求区分","再請求"),0))</f>
        <v>0</v>
      </c>
      <c r="N218" s="660">
        <v>214982</v>
      </c>
      <c r="O218" s="660">
        <v>0</v>
      </c>
      <c r="P218" s="660">
        <v>0</v>
      </c>
      <c r="Q218" s="660">
        <v>1666</v>
      </c>
      <c r="R218" s="1292">
        <v>127794</v>
      </c>
      <c r="S218" s="660">
        <v>0</v>
      </c>
      <c r="T218" s="660">
        <v>0</v>
      </c>
      <c r="U218" s="660">
        <v>0</v>
      </c>
      <c r="V218" s="660">
        <v>0</v>
      </c>
      <c r="W218" s="660">
        <v>0</v>
      </c>
      <c r="X218" s="660">
        <v>0</v>
      </c>
      <c r="Y218" s="659">
        <f t="shared" ca="1" si="9"/>
        <v>6170804</v>
      </c>
      <c r="Z218" s="659">
        <f t="shared" ca="1" si="11"/>
        <v>344442</v>
      </c>
    </row>
    <row r="219" spans="1:26" ht="15.95" customHeight="1" x14ac:dyDescent="0.15">
      <c r="A219" s="656">
        <v>43313</v>
      </c>
      <c r="B219" s="657" t="str">
        <f t="shared" ca="1" si="10"/>
        <v>03</v>
      </c>
      <c r="C219" s="658" t="s">
        <v>66</v>
      </c>
      <c r="D219" s="659">
        <f ca="1">IF($A219="","",IFERROR(GETPIVOTDATA("合計 / 入金予定",【ピボット】国保連売上!$A$3,"年月",$A219,"事業所コード",$B219,"事業所",$C219,"事業区分",D$1,"請求区分","単月"),0)
+IFERROR(GETPIVOTDATA("合計 / 入金予定",【ピボット】国保連売上!$A$3,"年月",$A219,"事業所コード",$B219,"事業所",$C219,"事業区分",D$1,"請求区分","再請求"),0))</f>
        <v>5454025</v>
      </c>
      <c r="E219" s="659">
        <f ca="1">IF($A219="","",IFERROR(GETPIVOTDATA("合計 / 処遇改善加算金",【ピボット】国保連売上!$A$3,"年月",$A219,"事業所コード",$B219,"事業所",$C219,"事業区分",D$1,"請求区分","単月"),0))</f>
        <v>580102</v>
      </c>
      <c r="F219" s="659">
        <f ca="1">IF($A219="","",IFERROR(GETPIVOTDATA("合計 / 入金予定",【ピボット】国保連売上!$A$3,"年月",$A219,"事業所コード",$B219,"事業所",$C219,"事業区分",F$1,"請求区分","単月"),0)
+IFERROR(GETPIVOTDATA("合計 / 入金予定",【ピボット】国保連売上!$A$3,"年月",$A219,"事業所コード",$B219,"事業所",$C219,"事業区分",F$1,"請求区分","再請求"),0))</f>
        <v>1787227</v>
      </c>
      <c r="G219" s="659">
        <f ca="1">IF($A219="","",IFERROR(GETPIVOTDATA("合計 / 処遇改善加算金",【ピボット】国保連売上!$A$3,"年月",$A219,"事業所コード",$B219,"事業所",$C219,"事業区分",F$1,"請求区分","単月"),0))</f>
        <v>415616</v>
      </c>
      <c r="H219" s="659">
        <f ca="1">IF($A219="","",IFERROR(GETPIVOTDATA("合計 / 入金予定",【ピボット】国保連売上!$A$3,"年月",$A219,"事業所コード",$B219,"事業所",$C219,"事業区分",H$1,"請求区分","単月"),0)
+IFERROR(GETPIVOTDATA("合計 / 入金予定",【ピボット】国保連売上!$A$3,"年月",$A219,"事業所コード",$B219,"事業所",$C219,"事業区分",H$1,"請求区分","再請求"),0))</f>
        <v>0</v>
      </c>
      <c r="I219" s="659">
        <f ca="1">IF($A219="","",IFERROR(GETPIVOTDATA("合計 / 入金予定",【ピボット】国保連売上!$A$3,"年月",$A219,"事業所コード",$B219,"事業所",$C219,"事業区分",I$1,"請求区分","単月"),0)
+IFERROR(GETPIVOTDATA("合計 / 入金予定",【ピボット】国保連売上!$A$3,"年月",$A219,"事業所コード",$B219,"事業所",$C219,"事業区分",I$1,"請求区分","再請求"),0))</f>
        <v>0</v>
      </c>
      <c r="J219" s="659">
        <f ca="1">IF($A219="","",IFERROR(GETPIVOTDATA("合計 / 処遇改善加算金",【ピボット】国保連売上!$A$3,"年月",$A219,"事業所コード",$B219,"事業所",$C219,"事業区分",I$1,"請求区分","単月"),0))</f>
        <v>0</v>
      </c>
      <c r="K219" s="659">
        <f ca="1">IF($A219="","",IFERROR(GETPIVOTDATA("合計 / 入金予定",【ピボット】国保連売上!$A$3,"年月",$A219,"事業所コード",$B219,"事業所",$C219,"事業区分",K$1,"請求区分","単月"),0)
+IFERROR(GETPIVOTDATA("合計 / 入金予定",【ピボット】国保連売上!$A$3,"年月",$A219,"事業所コード",$B219,"事業所",$C219,"事業区分",K$1,"請求区分","再請求"),0))</f>
        <v>0</v>
      </c>
      <c r="L219" s="659">
        <f ca="1">IF($A219="","",IFERROR(GETPIVOTDATA("合計 / 処遇改善加算金",【ピボット】国保連売上!$A$3,"年月",$A219,"事業所コード",$B219,"事業所",$C219,"事業区分",K$1,"請求区分","単月"),0))</f>
        <v>0</v>
      </c>
      <c r="M219" s="659">
        <f ca="1">IF($A219="","",IFERROR(GETPIVOTDATA("合計 / 入金予定",【ピボット】国保連売上!$A$3,"年月",$A219,"事業所コード",$B219,"事業所",$C219,"事業区分",M$1,"請求区分","単月"),0)
+IFERROR(GETPIVOTDATA("合計 / 入金予定",【ピボット】国保連売上!$A$3,"年月",$A219,"事業所コード",$B219,"事業所",$C219,"事業区分",M$1,"請求区分","再請求"),0))</f>
        <v>0</v>
      </c>
      <c r="N219" s="660">
        <v>83200</v>
      </c>
      <c r="O219" s="1292">
        <v>106370</v>
      </c>
      <c r="P219" s="660">
        <v>82380</v>
      </c>
      <c r="Q219" s="660">
        <v>6152</v>
      </c>
      <c r="R219" s="660">
        <v>0</v>
      </c>
      <c r="S219" s="660">
        <v>0</v>
      </c>
      <c r="T219" s="660">
        <v>0</v>
      </c>
      <c r="U219" s="660">
        <v>0</v>
      </c>
      <c r="V219" s="660">
        <v>0</v>
      </c>
      <c r="W219" s="660">
        <v>0</v>
      </c>
      <c r="X219" s="660">
        <v>0</v>
      </c>
      <c r="Y219" s="659">
        <f t="shared" ca="1" si="9"/>
        <v>7519354</v>
      </c>
      <c r="Z219" s="659">
        <f t="shared" ca="1" si="11"/>
        <v>278102</v>
      </c>
    </row>
    <row r="220" spans="1:26" ht="15.95" customHeight="1" x14ac:dyDescent="0.15">
      <c r="A220" s="656">
        <v>43313</v>
      </c>
      <c r="B220" s="657" t="str">
        <f t="shared" ca="1" si="10"/>
        <v>11</v>
      </c>
      <c r="C220" s="658" t="s">
        <v>967</v>
      </c>
      <c r="D220" s="659">
        <f ca="1">IF($A220="","",IFERROR(GETPIVOTDATA("合計 / 入金予定",【ピボット】国保連売上!$A$3,"年月",$A220,"事業所コード",$B220,"事業所",$C220,"事業区分",D$1,"請求区分","単月"),0)
+IFERROR(GETPIVOTDATA("合計 / 入金予定",【ピボット】国保連売上!$A$3,"年月",$A220,"事業所コード",$B220,"事業所",$C220,"事業区分",D$1,"請求区分","再請求"),0))</f>
        <v>485683</v>
      </c>
      <c r="E220" s="659">
        <f ca="1">IF($A220="","",IFERROR(GETPIVOTDATA("合計 / 処遇改善加算金",【ピボット】国保連売上!$A$3,"年月",$A220,"事業所コード",$B220,"事業所",$C220,"事業区分",D$1,"請求区分","単月"),0))</f>
        <v>50020</v>
      </c>
      <c r="F220" s="659">
        <f ca="1">IF($A220="","",IFERROR(GETPIVOTDATA("合計 / 入金予定",【ピボット】国保連売上!$A$3,"年月",$A220,"事業所コード",$B220,"事業所",$C220,"事業区分",F$1,"請求区分","単月"),0)
+IFERROR(GETPIVOTDATA("合計 / 入金予定",【ピボット】国保連売上!$A$3,"年月",$A220,"事業所コード",$B220,"事業所",$C220,"事業区分",F$1,"請求区分","再請求"),0))</f>
        <v>129186</v>
      </c>
      <c r="G220" s="659">
        <f ca="1">IF($A220="","",IFERROR(GETPIVOTDATA("合計 / 処遇改善加算金",【ピボット】国保連売上!$A$3,"年月",$A220,"事業所コード",$B220,"事業所",$C220,"事業区分",F$1,"請求区分","単月"),0))</f>
        <v>5777</v>
      </c>
      <c r="H220" s="659">
        <f ca="1">IF($A220="","",IFERROR(GETPIVOTDATA("合計 / 入金予定",【ピボット】国保連売上!$A$3,"年月",$A220,"事業所コード",$B220,"事業所",$C220,"事業区分",H$1,"請求区分","単月"),0)
+IFERROR(GETPIVOTDATA("合計 / 入金予定",【ピボット】国保連売上!$A$3,"年月",$A220,"事業所コード",$B220,"事業所",$C220,"事業区分",H$1,"請求区分","再請求"),0))</f>
        <v>0</v>
      </c>
      <c r="I220" s="659">
        <f ca="1">IF($A220="","",IFERROR(GETPIVOTDATA("合計 / 入金予定",【ピボット】国保連売上!$A$3,"年月",$A220,"事業所コード",$B220,"事業所",$C220,"事業区分",I$1,"請求区分","単月"),0)
+IFERROR(GETPIVOTDATA("合計 / 入金予定",【ピボット】国保連売上!$A$3,"年月",$A220,"事業所コード",$B220,"事業所",$C220,"事業区分",I$1,"請求区分","再請求"),0))</f>
        <v>0</v>
      </c>
      <c r="J220" s="659">
        <f ca="1">IF($A220="","",IFERROR(GETPIVOTDATA("合計 / 処遇改善加算金",【ピボット】国保連売上!$A$3,"年月",$A220,"事業所コード",$B220,"事業所",$C220,"事業区分",I$1,"請求区分","単月"),0))</f>
        <v>0</v>
      </c>
      <c r="K220" s="659">
        <f ca="1">IF($A220="","",IFERROR(GETPIVOTDATA("合計 / 入金予定",【ピボット】国保連売上!$A$3,"年月",$A220,"事業所コード",$B220,"事業所",$C220,"事業区分",K$1,"請求区分","単月"),0)
+IFERROR(GETPIVOTDATA("合計 / 入金予定",【ピボット】国保連売上!$A$3,"年月",$A220,"事業所コード",$B220,"事業所",$C220,"事業区分",K$1,"請求区分","再請求"),0))</f>
        <v>0</v>
      </c>
      <c r="L220" s="659">
        <f ca="1">IF($A220="","",IFERROR(GETPIVOTDATA("合計 / 処遇改善加算金",【ピボット】国保連売上!$A$3,"年月",$A220,"事業所コード",$B220,"事業所",$C220,"事業区分",K$1,"請求区分","単月"),0))</f>
        <v>0</v>
      </c>
      <c r="M220" s="659">
        <f ca="1">IF($A220="","",IFERROR(GETPIVOTDATA("合計 / 入金予定",【ピボット】国保連売上!$A$3,"年月",$A220,"事業所コード",$B220,"事業所",$C220,"事業区分",M$1,"請求区分","単月"),0)
+IFERROR(GETPIVOTDATA("合計 / 入金予定",【ピボット】国保連売上!$A$3,"年月",$A220,"事業所コード",$B220,"事業所",$C220,"事業区分",M$1,"請求区分","再請求"),0))</f>
        <v>0</v>
      </c>
      <c r="N220" s="660">
        <v>9600</v>
      </c>
      <c r="O220" s="660">
        <v>0</v>
      </c>
      <c r="P220" s="660">
        <v>0</v>
      </c>
      <c r="Q220" s="660">
        <v>357</v>
      </c>
      <c r="R220" s="660">
        <v>0</v>
      </c>
      <c r="S220" s="660">
        <v>0</v>
      </c>
      <c r="T220" s="660">
        <v>0</v>
      </c>
      <c r="U220" s="660">
        <v>0</v>
      </c>
      <c r="V220" s="660">
        <v>0</v>
      </c>
      <c r="W220" s="660">
        <v>0</v>
      </c>
      <c r="X220" s="660">
        <v>0</v>
      </c>
      <c r="Y220" s="659">
        <f t="shared" ca="1" si="9"/>
        <v>624826</v>
      </c>
      <c r="Z220" s="659">
        <f t="shared" ca="1" si="11"/>
        <v>9957</v>
      </c>
    </row>
    <row r="221" spans="1:26" ht="15.95" customHeight="1" x14ac:dyDescent="0.15">
      <c r="A221" s="656">
        <v>43313</v>
      </c>
      <c r="B221" s="657" t="str">
        <f t="shared" ca="1" si="10"/>
        <v>04</v>
      </c>
      <c r="C221" s="658" t="s">
        <v>358</v>
      </c>
      <c r="D221" s="659">
        <f ca="1">IF($A221="","",IFERROR(GETPIVOTDATA("合計 / 入金予定",【ピボット】国保連売上!$A$3,"年月",$A221,"事業所コード",$B221,"事業所",$C221,"事業区分",D$1,"請求区分","単月"),0)
+IFERROR(GETPIVOTDATA("合計 / 入金予定",【ピボット】国保連売上!$A$3,"年月",$A221,"事業所コード",$B221,"事業所",$C221,"事業区分",D$1,"請求区分","再請求"),0))</f>
        <v>0</v>
      </c>
      <c r="E221" s="659">
        <f ca="1">IF($A221="","",IFERROR(GETPIVOTDATA("合計 / 処遇改善加算金",【ピボット】国保連売上!$A$3,"年月",$A221,"事業所コード",$B221,"事業所",$C221,"事業区分",D$1,"請求区分","単月"),0))</f>
        <v>0</v>
      </c>
      <c r="F221" s="659">
        <f ca="1">IF($A221="","",IFERROR(GETPIVOTDATA("合計 / 入金予定",【ピボット】国保連売上!$A$3,"年月",$A221,"事業所コード",$B221,"事業所",$C221,"事業区分",F$1,"請求区分","単月"),0)
+IFERROR(GETPIVOTDATA("合計 / 入金予定",【ピボット】国保連売上!$A$3,"年月",$A221,"事業所コード",$B221,"事業所",$C221,"事業区分",F$1,"請求区分","再請求"),0))</f>
        <v>0</v>
      </c>
      <c r="G221" s="659">
        <f ca="1">IF($A221="","",IFERROR(GETPIVOTDATA("合計 / 処遇改善加算金",【ピボット】国保連売上!$A$3,"年月",$A221,"事業所コード",$B221,"事業所",$C221,"事業区分",F$1,"請求区分","単月"),0))</f>
        <v>0</v>
      </c>
      <c r="H221" s="659">
        <f ca="1">IF($A221="","",IFERROR(GETPIVOTDATA("合計 / 入金予定",【ピボット】国保連売上!$A$3,"年月",$A221,"事業所コード",$B221,"事業所",$C221,"事業区分",H$1,"請求区分","単月"),0)
+IFERROR(GETPIVOTDATA("合計 / 入金予定",【ピボット】国保連売上!$A$3,"年月",$A221,"事業所コード",$B221,"事業所",$C221,"事業区分",H$1,"請求区分","再請求"),0))</f>
        <v>0</v>
      </c>
      <c r="I221" s="659">
        <f ca="1">IF($A221="","",IFERROR(GETPIVOTDATA("合計 / 入金予定",【ピボット】国保連売上!$A$3,"年月",$A221,"事業所コード",$B221,"事業所",$C221,"事業区分",I$1,"請求区分","単月"),0)
+IFERROR(GETPIVOTDATA("合計 / 入金予定",【ピボット】国保連売上!$A$3,"年月",$A221,"事業所コード",$B221,"事業所",$C221,"事業区分",I$1,"請求区分","再請求"),0))</f>
        <v>4228735</v>
      </c>
      <c r="J221" s="659">
        <f ca="1">IF($A221="","",IFERROR(GETPIVOTDATA("合計 / 処遇改善加算金",【ピボット】国保連売上!$A$3,"年月",$A221,"事業所コード",$B221,"事業所",$C221,"事業区分",I$1,"請求区分","単月"),0))</f>
        <v>235524</v>
      </c>
      <c r="K221" s="659">
        <f ca="1">IF($A221="","",IFERROR(GETPIVOTDATA("合計 / 入金予定",【ピボット】国保連売上!$A$3,"年月",$A221,"事業所コード",$B221,"事業所",$C221,"事業区分",K$1,"請求区分","単月"),0)
+IFERROR(GETPIVOTDATA("合計 / 入金予定",【ピボット】国保連売上!$A$3,"年月",$A221,"事業所コード",$B221,"事業所",$C221,"事業区分",K$1,"請求区分","再請求"),0))</f>
        <v>0</v>
      </c>
      <c r="L221" s="659">
        <f ca="1">IF($A221="","",IFERROR(GETPIVOTDATA("合計 / 処遇改善加算金",【ピボット】国保連売上!$A$3,"年月",$A221,"事業所コード",$B221,"事業所",$C221,"事業区分",K$1,"請求区分","単月"),0))</f>
        <v>0</v>
      </c>
      <c r="M221" s="659">
        <f ca="1">IF($A221="","",IFERROR(GETPIVOTDATA("合計 / 入金予定",【ピボット】国保連売上!$A$3,"年月",$A221,"事業所コード",$B221,"事業所",$C221,"事業区分",M$1,"請求区分","単月"),0)
+IFERROR(GETPIVOTDATA("合計 / 入金予定",【ピボット】国保連売上!$A$3,"年月",$A221,"事業所コード",$B221,"事業所",$C221,"事業区分",M$1,"請求区分","再請求"),0))</f>
        <v>0</v>
      </c>
      <c r="N221" s="660">
        <v>1045</v>
      </c>
      <c r="O221" s="660">
        <v>0</v>
      </c>
      <c r="P221" s="660">
        <v>0</v>
      </c>
      <c r="Q221" s="660">
        <v>0</v>
      </c>
      <c r="R221" s="660">
        <v>0</v>
      </c>
      <c r="S221" s="660">
        <v>0</v>
      </c>
      <c r="T221" s="660">
        <v>264450</v>
      </c>
      <c r="U221" s="660">
        <v>0</v>
      </c>
      <c r="V221" s="660">
        <v>0</v>
      </c>
      <c r="W221" s="660">
        <v>0</v>
      </c>
      <c r="X221" s="660">
        <v>0</v>
      </c>
      <c r="Y221" s="659">
        <f t="shared" ca="1" si="9"/>
        <v>4494230</v>
      </c>
      <c r="Z221" s="659">
        <f t="shared" ca="1" si="11"/>
        <v>265495</v>
      </c>
    </row>
    <row r="222" spans="1:26" ht="15.95" customHeight="1" x14ac:dyDescent="0.15">
      <c r="A222" s="656">
        <v>43313</v>
      </c>
      <c r="B222" s="657" t="str">
        <f t="shared" ca="1" si="10"/>
        <v>05</v>
      </c>
      <c r="C222" s="658" t="s">
        <v>359</v>
      </c>
      <c r="D222" s="659">
        <f ca="1">IF($A222="","",IFERROR(GETPIVOTDATA("合計 / 入金予定",【ピボット】国保連売上!$A$3,"年月",$A222,"事業所コード",$B222,"事業所",$C222,"事業区分",D$1,"請求区分","単月"),0)
+IFERROR(GETPIVOTDATA("合計 / 入金予定",【ピボット】国保連売上!$A$3,"年月",$A222,"事業所コード",$B222,"事業所",$C222,"事業区分",D$1,"請求区分","再請求"),0))</f>
        <v>1573689</v>
      </c>
      <c r="E222" s="659">
        <f ca="1">IF($A222="","",IFERROR(GETPIVOTDATA("合計 / 処遇改善加算金",【ピボット】国保連売上!$A$3,"年月",$A222,"事業所コード",$B222,"事業所",$C222,"事業区分",D$1,"請求区分","単月"),0))</f>
        <v>0</v>
      </c>
      <c r="F222" s="659">
        <f ca="1">IF($A222="","",IFERROR(GETPIVOTDATA("合計 / 入金予定",【ピボット】国保連売上!$A$3,"年月",$A222,"事業所コード",$B222,"事業所",$C222,"事業区分",F$1,"請求区分","単月"),0)
+IFERROR(GETPIVOTDATA("合計 / 入金予定",【ピボット】国保連売上!$A$3,"年月",$A222,"事業所コード",$B222,"事業所",$C222,"事業区分",F$1,"請求区分","再請求"),0))</f>
        <v>0</v>
      </c>
      <c r="G222" s="659">
        <f ca="1">IF($A222="","",IFERROR(GETPIVOTDATA("合計 / 処遇改善加算金",【ピボット】国保連売上!$A$3,"年月",$A222,"事業所コード",$B222,"事業所",$C222,"事業区分",F$1,"請求区分","単月"),0))</f>
        <v>0</v>
      </c>
      <c r="H222" s="659">
        <f ca="1">IF($A222="","",IFERROR(GETPIVOTDATA("合計 / 入金予定",【ピボット】国保連売上!$A$3,"年月",$A222,"事業所コード",$B222,"事業所",$C222,"事業区分",H$1,"請求区分","単月"),0)
+IFERROR(GETPIVOTDATA("合計 / 入金予定",【ピボット】国保連売上!$A$3,"年月",$A222,"事業所コード",$B222,"事業所",$C222,"事業区分",H$1,"請求区分","再請求"),0))</f>
        <v>0</v>
      </c>
      <c r="I222" s="659">
        <f ca="1">IF($A222="","",IFERROR(GETPIVOTDATA("合計 / 入金予定",【ピボット】国保連売上!$A$3,"年月",$A222,"事業所コード",$B222,"事業所",$C222,"事業区分",I$1,"請求区分","単月"),0)
+IFERROR(GETPIVOTDATA("合計 / 入金予定",【ピボット】国保連売上!$A$3,"年月",$A222,"事業所コード",$B222,"事業所",$C222,"事業区分",I$1,"請求区分","再請求"),0))</f>
        <v>0</v>
      </c>
      <c r="J222" s="659">
        <f ca="1">IF($A222="","",IFERROR(GETPIVOTDATA("合計 / 処遇改善加算金",【ピボット】国保連売上!$A$3,"年月",$A222,"事業所コード",$B222,"事業所",$C222,"事業区分",I$1,"請求区分","単月"),0))</f>
        <v>0</v>
      </c>
      <c r="K222" s="659">
        <f ca="1">IF($A222="","",IFERROR(GETPIVOTDATA("合計 / 入金予定",【ピボット】国保連売上!$A$3,"年月",$A222,"事業所コード",$B222,"事業所",$C222,"事業区分",K$1,"請求区分","単月"),0)
+IFERROR(GETPIVOTDATA("合計 / 入金予定",【ピボット】国保連売上!$A$3,"年月",$A222,"事業所コード",$B222,"事業所",$C222,"事業区分",K$1,"請求区分","再請求"),0))</f>
        <v>0</v>
      </c>
      <c r="L222" s="659">
        <f ca="1">IF($A222="","",IFERROR(GETPIVOTDATA("合計 / 処遇改善加算金",【ピボット】国保連売上!$A$3,"年月",$A222,"事業所コード",$B222,"事業所",$C222,"事業区分",K$1,"請求区分","単月"),0))</f>
        <v>0</v>
      </c>
      <c r="M222" s="659">
        <f ca="1">IF($A222="","",IFERROR(GETPIVOTDATA("合計 / 入金予定",【ピボット】国保連売上!$A$3,"年月",$A222,"事業所コード",$B222,"事業所",$C222,"事業区分",M$1,"請求区分","単月"),0)
+IFERROR(GETPIVOTDATA("合計 / 入金予定",【ピボット】国保連売上!$A$3,"年月",$A222,"事業所コード",$B222,"事業所",$C222,"事業区分",M$1,"請求区分","再請求"),0))</f>
        <v>0</v>
      </c>
      <c r="N222" s="660">
        <v>7200</v>
      </c>
      <c r="O222" s="660">
        <v>0</v>
      </c>
      <c r="P222" s="660">
        <v>0</v>
      </c>
      <c r="Q222" s="660">
        <v>0</v>
      </c>
      <c r="R222" s="660">
        <v>0</v>
      </c>
      <c r="S222" s="660">
        <v>770580</v>
      </c>
      <c r="T222" s="660">
        <v>0</v>
      </c>
      <c r="U222" s="660">
        <v>0</v>
      </c>
      <c r="V222" s="660">
        <v>0</v>
      </c>
      <c r="W222" s="660">
        <v>0</v>
      </c>
      <c r="X222" s="660">
        <v>0</v>
      </c>
      <c r="Y222" s="659">
        <f t="shared" ca="1" si="9"/>
        <v>2351469</v>
      </c>
      <c r="Z222" s="659">
        <f t="shared" ca="1" si="11"/>
        <v>777780</v>
      </c>
    </row>
    <row r="223" spans="1:26" ht="15.95" customHeight="1" x14ac:dyDescent="0.15">
      <c r="A223" s="656">
        <v>43313</v>
      </c>
      <c r="B223" s="657" t="str">
        <f t="shared" ca="1" si="10"/>
        <v>07</v>
      </c>
      <c r="C223" s="658" t="s">
        <v>119</v>
      </c>
      <c r="D223" s="659">
        <f ca="1">IF($A223="","",IFERROR(GETPIVOTDATA("合計 / 入金予定",【ピボット】国保連売上!$A$3,"年月",$A223,"事業所コード",$B223,"事業所",$C223,"事業区分",D$1,"請求区分","単月"),0)
+IFERROR(GETPIVOTDATA("合計 / 入金予定",【ピボット】国保連売上!$A$3,"年月",$A223,"事業所コード",$B223,"事業所",$C223,"事業区分",D$1,"請求区分","再請求"),0))</f>
        <v>0</v>
      </c>
      <c r="E223" s="659">
        <f ca="1">IF($A223="","",IFERROR(GETPIVOTDATA("合計 / 処遇改善加算金",【ピボット】国保連売上!$A$3,"年月",$A223,"事業所コード",$B223,"事業所",$C223,"事業区分",D$1,"請求区分","単月"),0))</f>
        <v>0</v>
      </c>
      <c r="F223" s="659">
        <f ca="1">IF($A223="","",IFERROR(GETPIVOTDATA("合計 / 入金予定",【ピボット】国保連売上!$A$3,"年月",$A223,"事業所コード",$B223,"事業所",$C223,"事業区分",F$1,"請求区分","単月"),0)
+IFERROR(GETPIVOTDATA("合計 / 入金予定",【ピボット】国保連売上!$A$3,"年月",$A223,"事業所コード",$B223,"事業所",$C223,"事業区分",F$1,"請求区分","再請求"),0))</f>
        <v>0</v>
      </c>
      <c r="G223" s="659">
        <f ca="1">IF($A223="","",IFERROR(GETPIVOTDATA("合計 / 処遇改善加算金",【ピボット】国保連売上!$A$3,"年月",$A223,"事業所コード",$B223,"事業所",$C223,"事業区分",F$1,"請求区分","単月"),0))</f>
        <v>0</v>
      </c>
      <c r="H223" s="659">
        <f ca="1">IF($A223="","",IFERROR(GETPIVOTDATA("合計 / 入金予定",【ピボット】国保連売上!$A$3,"年月",$A223,"事業所コード",$B223,"事業所",$C223,"事業区分",H$1,"請求区分","単月"),0)
+IFERROR(GETPIVOTDATA("合計 / 入金予定",【ピボット】国保連売上!$A$3,"年月",$A223,"事業所コード",$B223,"事業所",$C223,"事業区分",H$1,"請求区分","再請求"),0))</f>
        <v>0</v>
      </c>
      <c r="I223" s="659">
        <f ca="1">IF($A223="","",IFERROR(GETPIVOTDATA("合計 / 入金予定",【ピボット】国保連売上!$A$3,"年月",$A223,"事業所コード",$B223,"事業所",$C223,"事業区分",I$1,"請求区分","単月"),0)
+IFERROR(GETPIVOTDATA("合計 / 入金予定",【ピボット】国保連売上!$A$3,"年月",$A223,"事業所コード",$B223,"事業所",$C223,"事業区分",I$1,"請求区分","再請求"),0))</f>
        <v>0</v>
      </c>
      <c r="J223" s="659">
        <f ca="1">IF($A223="","",IFERROR(GETPIVOTDATA("合計 / 処遇改善加算金",【ピボット】国保連売上!$A$3,"年月",$A223,"事業所コード",$B223,"事業所",$C223,"事業区分",I$1,"請求区分","単月"),0))</f>
        <v>0</v>
      </c>
      <c r="K223" s="659">
        <f ca="1">IF($A223="","",IFERROR(GETPIVOTDATA("合計 / 入金予定",【ピボット】国保連売上!$A$3,"年月",$A223,"事業所コード",$B223,"事業所",$C223,"事業区分",K$1,"請求区分","単月"),0)
+IFERROR(GETPIVOTDATA("合計 / 入金予定",【ピボット】国保連売上!$A$3,"年月",$A223,"事業所コード",$B223,"事業所",$C223,"事業区分",K$1,"請求区分","再請求"),0))</f>
        <v>839546</v>
      </c>
      <c r="L223" s="659">
        <f ca="1">IF($A223="","",IFERROR(GETPIVOTDATA("合計 / 処遇改善加算金",【ピボット】国保連売上!$A$3,"年月",$A223,"事業所コード",$B223,"事業所",$C223,"事業区分",K$1,"請求区分","単月"),0))</f>
        <v>255357</v>
      </c>
      <c r="M223" s="659">
        <f ca="1">IF($A223="","",IFERROR(GETPIVOTDATA("合計 / 入金予定",【ピボット】国保連売上!$A$3,"年月",$A223,"事業所コード",$B223,"事業所",$C223,"事業区分",M$1,"請求区分","単月"),0)
+IFERROR(GETPIVOTDATA("合計 / 入金予定",【ピボット】国保連売上!$A$3,"年月",$A223,"事業所コード",$B223,"事業所",$C223,"事業区分",M$1,"請求区分","再請求"),0))</f>
        <v>0</v>
      </c>
      <c r="N223" s="660">
        <v>0</v>
      </c>
      <c r="O223" s="660">
        <v>0</v>
      </c>
      <c r="P223" s="660">
        <v>0</v>
      </c>
      <c r="Q223" s="660">
        <v>0</v>
      </c>
      <c r="R223" s="660">
        <v>0</v>
      </c>
      <c r="S223" s="660">
        <v>61000</v>
      </c>
      <c r="T223" s="660">
        <v>0</v>
      </c>
      <c r="U223" s="660">
        <v>0</v>
      </c>
      <c r="V223" s="660">
        <v>-30000</v>
      </c>
      <c r="W223" s="660">
        <v>0</v>
      </c>
      <c r="X223" s="660">
        <v>0</v>
      </c>
      <c r="Y223" s="659">
        <f t="shared" ca="1" si="9"/>
        <v>870546</v>
      </c>
      <c r="Z223" s="659">
        <f t="shared" ca="1" si="11"/>
        <v>31000</v>
      </c>
    </row>
    <row r="224" spans="1:26" ht="15.95" customHeight="1" x14ac:dyDescent="0.15">
      <c r="A224" s="656">
        <v>43313</v>
      </c>
      <c r="B224" s="657" t="str">
        <f t="shared" ca="1" si="10"/>
        <v>08</v>
      </c>
      <c r="C224" s="658" t="s">
        <v>189</v>
      </c>
      <c r="D224" s="659">
        <f ca="1">IF($A224="","",IFERROR(GETPIVOTDATA("合計 / 入金予定",【ピボット】国保連売上!$A$3,"年月",$A224,"事業所コード",$B224,"事業所",$C224,"事業区分",D$1,"請求区分","単月"),0)
+IFERROR(GETPIVOTDATA("合計 / 入金予定",【ピボット】国保連売上!$A$3,"年月",$A224,"事業所コード",$B224,"事業所",$C224,"事業区分",D$1,"請求区分","再請求"),0))</f>
        <v>0</v>
      </c>
      <c r="E224" s="659">
        <f ca="1">IF($A224="","",IFERROR(GETPIVOTDATA("合計 / 処遇改善加算金",【ピボット】国保連売上!$A$3,"年月",$A224,"事業所コード",$B224,"事業所",$C224,"事業区分",D$1,"請求区分","単月"),0))</f>
        <v>0</v>
      </c>
      <c r="F224" s="659">
        <f ca="1">IF($A224="","",IFERROR(GETPIVOTDATA("合計 / 入金予定",【ピボット】国保連売上!$A$3,"年月",$A224,"事業所コード",$B224,"事業所",$C224,"事業区分",F$1,"請求区分","単月"),0)
+IFERROR(GETPIVOTDATA("合計 / 入金予定",【ピボット】国保連売上!$A$3,"年月",$A224,"事業所コード",$B224,"事業所",$C224,"事業区分",F$1,"請求区分","再請求"),0))</f>
        <v>0</v>
      </c>
      <c r="G224" s="659">
        <f ca="1">IF($A224="","",IFERROR(GETPIVOTDATA("合計 / 処遇改善加算金",【ピボット】国保連売上!$A$3,"年月",$A224,"事業所コード",$B224,"事業所",$C224,"事業区分",F$1,"請求区分","単月"),0))</f>
        <v>0</v>
      </c>
      <c r="H224" s="659">
        <f ca="1">IF($A224="","",IFERROR(GETPIVOTDATA("合計 / 入金予定",【ピボット】国保連売上!$A$3,"年月",$A224,"事業所コード",$B224,"事業所",$C224,"事業区分",H$1,"請求区分","単月"),0)
+IFERROR(GETPIVOTDATA("合計 / 入金予定",【ピボット】国保連売上!$A$3,"年月",$A224,"事業所コード",$B224,"事業所",$C224,"事業区分",H$1,"請求区分","再請求"),0))</f>
        <v>0</v>
      </c>
      <c r="I224" s="659">
        <f ca="1">IF($A224="","",IFERROR(GETPIVOTDATA("合計 / 入金予定",【ピボット】国保連売上!$A$3,"年月",$A224,"事業所コード",$B224,"事業所",$C224,"事業区分",I$1,"請求区分","単月"),0)
+IFERROR(GETPIVOTDATA("合計 / 入金予定",【ピボット】国保連売上!$A$3,"年月",$A224,"事業所コード",$B224,"事業所",$C224,"事業区分",I$1,"請求区分","再請求"),0))</f>
        <v>0</v>
      </c>
      <c r="J224" s="659">
        <f ca="1">IF($A224="","",IFERROR(GETPIVOTDATA("合計 / 処遇改善加算金",【ピボット】国保連売上!$A$3,"年月",$A224,"事業所コード",$B224,"事業所",$C224,"事業区分",I$1,"請求区分","単月"),0))</f>
        <v>0</v>
      </c>
      <c r="K224" s="659">
        <f ca="1">IF($A224="","",IFERROR(GETPIVOTDATA("合計 / 入金予定",【ピボット】国保連売上!$A$3,"年月",$A224,"事業所コード",$B224,"事業所",$C224,"事業区分",K$1,"請求区分","単月"),0)
+IFERROR(GETPIVOTDATA("合計 / 入金予定",【ピボット】国保連売上!$A$3,"年月",$A224,"事業所コード",$B224,"事業所",$C224,"事業区分",K$1,"請求区分","再請求"),0))</f>
        <v>827999</v>
      </c>
      <c r="L224" s="659">
        <f ca="1">IF($A224="","",IFERROR(GETPIVOTDATA("合計 / 処遇改善加算金",【ピボット】国保連売上!$A$3,"年月",$A224,"事業所コード",$B224,"事業所",$C224,"事業区分",K$1,"請求区分","単月"),0))</f>
        <v>0</v>
      </c>
      <c r="M224" s="659">
        <f ca="1">IF($A224="","",IFERROR(GETPIVOTDATA("合計 / 入金予定",【ピボット】国保連売上!$A$3,"年月",$A224,"事業所コード",$B224,"事業所",$C224,"事業区分",M$1,"請求区分","単月"),0)
+IFERROR(GETPIVOTDATA("合計 / 入金予定",【ピボット】国保連売上!$A$3,"年月",$A224,"事業所コード",$B224,"事業所",$C224,"事業区分",M$1,"請求区分","再請求"),0))</f>
        <v>0</v>
      </c>
      <c r="N224" s="660">
        <v>38000</v>
      </c>
      <c r="O224" s="660">
        <v>0</v>
      </c>
      <c r="P224" s="660">
        <v>0</v>
      </c>
      <c r="Q224" s="660">
        <v>0</v>
      </c>
      <c r="R224" s="660">
        <v>0</v>
      </c>
      <c r="S224" s="660">
        <v>98000</v>
      </c>
      <c r="T224" s="660">
        <v>0</v>
      </c>
      <c r="U224" s="660">
        <v>0</v>
      </c>
      <c r="V224" s="660">
        <v>-40000</v>
      </c>
      <c r="W224" s="660">
        <v>0</v>
      </c>
      <c r="X224" s="660">
        <v>0</v>
      </c>
      <c r="Y224" s="659">
        <f t="shared" ca="1" si="9"/>
        <v>923999</v>
      </c>
      <c r="Z224" s="659">
        <f t="shared" ca="1" si="11"/>
        <v>96000</v>
      </c>
    </row>
    <row r="225" spans="1:26" ht="15.95" customHeight="1" x14ac:dyDescent="0.15">
      <c r="A225" s="656">
        <v>43313</v>
      </c>
      <c r="B225" s="657" t="str">
        <f t="shared" ca="1" si="10"/>
        <v>09</v>
      </c>
      <c r="C225" s="658" t="s">
        <v>329</v>
      </c>
      <c r="D225" s="659">
        <f ca="1">IF($A225="","",IFERROR(GETPIVOTDATA("合計 / 入金予定",【ピボット】国保連売上!$A$3,"年月",$A225,"事業所コード",$B225,"事業所",$C225,"事業区分",D$1,"請求区分","単月"),0)
+IFERROR(GETPIVOTDATA("合計 / 入金予定",【ピボット】国保連売上!$A$3,"年月",$A225,"事業所コード",$B225,"事業所",$C225,"事業区分",D$1,"請求区分","再請求"),0))</f>
        <v>0</v>
      </c>
      <c r="E225" s="659">
        <f ca="1">IF($A225="","",IFERROR(GETPIVOTDATA("合計 / 処遇改善加算金",【ピボット】国保連売上!$A$3,"年月",$A225,"事業所コード",$B225,"事業所",$C225,"事業区分",D$1,"請求区分","単月"),0))</f>
        <v>0</v>
      </c>
      <c r="F225" s="659">
        <f ca="1">IF($A225="","",IFERROR(GETPIVOTDATA("合計 / 入金予定",【ピボット】国保連売上!$A$3,"年月",$A225,"事業所コード",$B225,"事業所",$C225,"事業区分",F$1,"請求区分","単月"),0)
+IFERROR(GETPIVOTDATA("合計 / 入金予定",【ピボット】国保連売上!$A$3,"年月",$A225,"事業所コード",$B225,"事業所",$C225,"事業区分",F$1,"請求区分","再請求"),0))</f>
        <v>0</v>
      </c>
      <c r="G225" s="659">
        <f ca="1">IF($A225="","",IFERROR(GETPIVOTDATA("合計 / 処遇改善加算金",【ピボット】国保連売上!$A$3,"年月",$A225,"事業所コード",$B225,"事業所",$C225,"事業区分",F$1,"請求区分","単月"),0))</f>
        <v>0</v>
      </c>
      <c r="H225" s="659">
        <f ca="1">IF($A225="","",IFERROR(GETPIVOTDATA("合計 / 入金予定",【ピボット】国保連売上!$A$3,"年月",$A225,"事業所コード",$B225,"事業所",$C225,"事業区分",H$1,"請求区分","単月"),0)
+IFERROR(GETPIVOTDATA("合計 / 入金予定",【ピボット】国保連売上!$A$3,"年月",$A225,"事業所コード",$B225,"事業所",$C225,"事業区分",H$1,"請求区分","再請求"),0))</f>
        <v>0</v>
      </c>
      <c r="I225" s="659">
        <f ca="1">IF($A225="","",IFERROR(GETPIVOTDATA("合計 / 入金予定",【ピボット】国保連売上!$A$3,"年月",$A225,"事業所コード",$B225,"事業所",$C225,"事業区分",I$1,"請求区分","単月"),0)
+IFERROR(GETPIVOTDATA("合計 / 入金予定",【ピボット】国保連売上!$A$3,"年月",$A225,"事業所コード",$B225,"事業所",$C225,"事業区分",I$1,"請求区分","再請求"),0))</f>
        <v>0</v>
      </c>
      <c r="J225" s="659">
        <f ca="1">IF($A225="","",IFERROR(GETPIVOTDATA("合計 / 処遇改善加算金",【ピボット】国保連売上!$A$3,"年月",$A225,"事業所コード",$B225,"事業所",$C225,"事業区分",I$1,"請求区分","単月"),0))</f>
        <v>0</v>
      </c>
      <c r="K225" s="659">
        <f ca="1">IF($A225="","",IFERROR(GETPIVOTDATA("合計 / 入金予定",【ピボット】国保連売上!$A$3,"年月",$A225,"事業所コード",$B225,"事業所",$C225,"事業区分",K$1,"請求区分","単月"),0)
+IFERROR(GETPIVOTDATA("合計 / 入金予定",【ピボット】国保連売上!$A$3,"年月",$A225,"事業所コード",$B225,"事業所",$C225,"事業区分",K$1,"請求区分","再請求"),0))</f>
        <v>2198275</v>
      </c>
      <c r="L225" s="659">
        <f ca="1">IF($A225="","",IFERROR(GETPIVOTDATA("合計 / 処遇改善加算金",【ピボット】国保連売上!$A$3,"年月",$A225,"事業所コード",$B225,"事業所",$C225,"事業区分",K$1,"請求区分","単月"),0))</f>
        <v>0</v>
      </c>
      <c r="M225" s="659">
        <f ca="1">IF($A225="","",IFERROR(GETPIVOTDATA("合計 / 入金予定",【ピボット】国保連売上!$A$3,"年月",$A225,"事業所コード",$B225,"事業所",$C225,"事業区分",M$1,"請求区分","単月"),0)
+IFERROR(GETPIVOTDATA("合計 / 入金予定",【ピボット】国保連売上!$A$3,"年月",$A225,"事業所コード",$B225,"事業所",$C225,"事業区分",M$1,"請求区分","再請求"),0))</f>
        <v>0</v>
      </c>
      <c r="N225" s="660">
        <v>0</v>
      </c>
      <c r="O225" s="660">
        <v>0</v>
      </c>
      <c r="P225" s="660">
        <v>0</v>
      </c>
      <c r="Q225" s="660">
        <v>0</v>
      </c>
      <c r="R225" s="660">
        <v>0</v>
      </c>
      <c r="S225" s="660">
        <v>360000</v>
      </c>
      <c r="T225" s="660">
        <v>0</v>
      </c>
      <c r="U225" s="660">
        <v>0</v>
      </c>
      <c r="V225" s="660">
        <v>-90000</v>
      </c>
      <c r="W225" s="660">
        <v>0</v>
      </c>
      <c r="X225" s="660">
        <v>0</v>
      </c>
      <c r="Y225" s="659">
        <f t="shared" ca="1" si="9"/>
        <v>2468275</v>
      </c>
      <c r="Z225" s="659">
        <f t="shared" ca="1" si="11"/>
        <v>270000</v>
      </c>
    </row>
    <row r="226" spans="1:26" ht="15.95" customHeight="1" x14ac:dyDescent="0.15">
      <c r="A226" s="656">
        <v>43313</v>
      </c>
      <c r="B226" s="657" t="str">
        <f t="shared" ca="1" si="10"/>
        <v>10</v>
      </c>
      <c r="C226" s="658" t="s">
        <v>336</v>
      </c>
      <c r="D226" s="659">
        <f ca="1">IF($A226="","",IFERROR(GETPIVOTDATA("合計 / 入金予定",【ピボット】国保連売上!$A$3,"年月",$A226,"事業所コード",$B226,"事業所",$C226,"事業区分",D$1,"請求区分","単月"),0)
+IFERROR(GETPIVOTDATA("合計 / 入金予定",【ピボット】国保連売上!$A$3,"年月",$A226,"事業所コード",$B226,"事業所",$C226,"事業区分",D$1,"請求区分","再請求"),0))</f>
        <v>512163</v>
      </c>
      <c r="E226" s="659">
        <f ca="1">IF($A226="","",IFERROR(GETPIVOTDATA("合計 / 処遇改善加算金",【ピボット】国保連売上!$A$3,"年月",$A226,"事業所コード",$B226,"事業所",$C226,"事業区分",D$1,"請求区分","単月"),0))</f>
        <v>0</v>
      </c>
      <c r="F226" s="659">
        <f ca="1">IF($A226="","",IFERROR(GETPIVOTDATA("合計 / 入金予定",【ピボット】国保連売上!$A$3,"年月",$A226,"事業所コード",$B226,"事業所",$C226,"事業区分",F$1,"請求区分","単月"),0)
+IFERROR(GETPIVOTDATA("合計 / 入金予定",【ピボット】国保連売上!$A$3,"年月",$A226,"事業所コード",$B226,"事業所",$C226,"事業区分",F$1,"請求区分","再請求"),0))</f>
        <v>52190</v>
      </c>
      <c r="G226" s="659">
        <f ca="1">IF($A226="","",IFERROR(GETPIVOTDATA("合計 / 処遇改善加算金",【ピボット】国保連売上!$A$3,"年月",$A226,"事業所コード",$B226,"事業所",$C226,"事業区分",F$1,"請求区分","単月"),0))</f>
        <v>0</v>
      </c>
      <c r="H226" s="659">
        <f ca="1">IF($A226="","",IFERROR(GETPIVOTDATA("合計 / 入金予定",【ピボット】国保連売上!$A$3,"年月",$A226,"事業所コード",$B226,"事業所",$C226,"事業区分",H$1,"請求区分","単月"),0)
+IFERROR(GETPIVOTDATA("合計 / 入金予定",【ピボット】国保連売上!$A$3,"年月",$A226,"事業所コード",$B226,"事業所",$C226,"事業区分",H$1,"請求区分","再請求"),0))</f>
        <v>0</v>
      </c>
      <c r="I226" s="659">
        <f ca="1">IF($A226="","",IFERROR(GETPIVOTDATA("合計 / 入金予定",【ピボット】国保連売上!$A$3,"年月",$A226,"事業所コード",$B226,"事業所",$C226,"事業区分",I$1,"請求区分","単月"),0)
+IFERROR(GETPIVOTDATA("合計 / 入金予定",【ピボット】国保連売上!$A$3,"年月",$A226,"事業所コード",$B226,"事業所",$C226,"事業区分",I$1,"請求区分","再請求"),0))</f>
        <v>0</v>
      </c>
      <c r="J226" s="659">
        <f ca="1">IF($A226="","",IFERROR(GETPIVOTDATA("合計 / 処遇改善加算金",【ピボット】国保連売上!$A$3,"年月",$A226,"事業所コード",$B226,"事業所",$C226,"事業区分",I$1,"請求区分","単月"),0))</f>
        <v>0</v>
      </c>
      <c r="K226" s="659">
        <f ca="1">IF($A226="","",IFERROR(GETPIVOTDATA("合計 / 入金予定",【ピボット】国保連売上!$A$3,"年月",$A226,"事業所コード",$B226,"事業所",$C226,"事業区分",K$1,"請求区分","単月"),0)
+IFERROR(GETPIVOTDATA("合計 / 入金予定",【ピボット】国保連売上!$A$3,"年月",$A226,"事業所コード",$B226,"事業所",$C226,"事業区分",K$1,"請求区分","再請求"),0))</f>
        <v>0</v>
      </c>
      <c r="L226" s="659">
        <f ca="1">IF($A226="","",IFERROR(GETPIVOTDATA("合計 / 処遇改善加算金",【ピボット】国保連売上!$A$3,"年月",$A226,"事業所コード",$B226,"事業所",$C226,"事業区分",K$1,"請求区分","単月"),0))</f>
        <v>0</v>
      </c>
      <c r="M226" s="659">
        <f ca="1">IF($A226="","",IFERROR(GETPIVOTDATA("合計 / 入金予定",【ピボット】国保連売上!$A$3,"年月",$A226,"事業所コード",$B226,"事業所",$C226,"事業区分",M$1,"請求区分","単月"),0)
+IFERROR(GETPIVOTDATA("合計 / 入金予定",【ピボット】国保連売上!$A$3,"年月",$A226,"事業所コード",$B226,"事業所",$C226,"事業区分",M$1,"請求区分","再請求"),0))</f>
        <v>0</v>
      </c>
      <c r="N226" s="660">
        <v>75300</v>
      </c>
      <c r="O226" s="1292">
        <v>14040</v>
      </c>
      <c r="P226" s="660">
        <v>790830</v>
      </c>
      <c r="Q226" s="660">
        <v>0</v>
      </c>
      <c r="R226" s="660">
        <v>0</v>
      </c>
      <c r="S226" s="660">
        <v>0</v>
      </c>
      <c r="T226" s="660">
        <v>0</v>
      </c>
      <c r="U226" s="660">
        <v>0</v>
      </c>
      <c r="V226" s="660">
        <v>0</v>
      </c>
      <c r="W226" s="660">
        <v>0</v>
      </c>
      <c r="X226" s="660">
        <v>0</v>
      </c>
      <c r="Y226" s="659">
        <f t="shared" ca="1" si="9"/>
        <v>1444523</v>
      </c>
      <c r="Z226" s="659">
        <f t="shared" ca="1" si="11"/>
        <v>880170</v>
      </c>
    </row>
    <row r="227" spans="1:26" ht="15.95" customHeight="1" x14ac:dyDescent="0.15">
      <c r="A227" s="656">
        <v>43344</v>
      </c>
      <c r="B227" s="657" t="str">
        <f t="shared" ca="1" si="10"/>
        <v>01</v>
      </c>
      <c r="C227" s="658" t="s">
        <v>34</v>
      </c>
      <c r="D227" s="659">
        <f ca="1">IF($A227="","",IFERROR(GETPIVOTDATA("合計 / 入金予定",【ピボット】国保連売上!$A$3,"年月",$A227,"事業所コード",$B227,"事業所",$C227,"事業区分",D$1,"請求区分","単月"),0)
+IFERROR(GETPIVOTDATA("合計 / 入金予定",【ピボット】国保連売上!$A$3,"年月",$A227,"事業所コード",$B227,"事業所",$C227,"事業区分",D$1,"請求区分","再請求"),0))</f>
        <v>8429204</v>
      </c>
      <c r="E227" s="659">
        <f ca="1">IF($A227="","",IFERROR(GETPIVOTDATA("合計 / 処遇改善加算金",【ピボット】国保連売上!$A$3,"年月",$A227,"事業所コード",$B227,"事業所",$C227,"事業区分",D$1,"請求区分","単月"),0))</f>
        <v>1222108</v>
      </c>
      <c r="F227" s="659">
        <f ca="1">IF($A227="","",IFERROR(GETPIVOTDATA("合計 / 入金予定",【ピボット】国保連売上!$A$3,"年月",$A227,"事業所コード",$B227,"事業所",$C227,"事業区分",F$1,"請求区分","単月"),0)
+IFERROR(GETPIVOTDATA("合計 / 入金予定",【ピボット】国保連売上!$A$3,"年月",$A227,"事業所コード",$B227,"事業所",$C227,"事業区分",F$1,"請求区分","再請求"),0))</f>
        <v>1775376</v>
      </c>
      <c r="G227" s="659">
        <f ca="1">IF($A227="","",IFERROR(GETPIVOTDATA("合計 / 処遇改善加算金",【ピボット】国保連売上!$A$3,"年月",$A227,"事業所コード",$B227,"事業所",$C227,"事業区分",F$1,"請求区分","単月"),0))</f>
        <v>353946</v>
      </c>
      <c r="H227" s="659">
        <f ca="1">IF($A227="","",IFERROR(GETPIVOTDATA("合計 / 入金予定",【ピボット】国保連売上!$A$3,"年月",$A227,"事業所コード",$B227,"事業所",$C227,"事業区分",H$1,"請求区分","単月"),0)
+IFERROR(GETPIVOTDATA("合計 / 入金予定",【ピボット】国保連売上!$A$3,"年月",$A227,"事業所コード",$B227,"事業所",$C227,"事業区分",H$1,"請求区分","再請求"),0))</f>
        <v>700186</v>
      </c>
      <c r="I227" s="659">
        <f ca="1">IF($A227="","",IFERROR(GETPIVOTDATA("合計 / 入金予定",【ピボット】国保連売上!$A$3,"年月",$A227,"事業所コード",$B227,"事業所",$C227,"事業区分",I$1,"請求区分","単月"),0)
+IFERROR(GETPIVOTDATA("合計 / 入金予定",【ピボット】国保連売上!$A$3,"年月",$A227,"事業所コード",$B227,"事業所",$C227,"事業区分",I$1,"請求区分","再請求"),0))</f>
        <v>0</v>
      </c>
      <c r="J227" s="659">
        <f ca="1">IF($A227="","",IFERROR(GETPIVOTDATA("合計 / 処遇改善加算金",【ピボット】国保連売上!$A$3,"年月",$A227,"事業所コード",$B227,"事業所",$C227,"事業区分",I$1,"請求区分","単月"),0))</f>
        <v>0</v>
      </c>
      <c r="K227" s="659">
        <f ca="1">IF($A227="","",IFERROR(GETPIVOTDATA("合計 / 入金予定",【ピボット】国保連売上!$A$3,"年月",$A227,"事業所コード",$B227,"事業所",$C227,"事業区分",K$1,"請求区分","単月"),0)
+IFERROR(GETPIVOTDATA("合計 / 入金予定",【ピボット】国保連売上!$A$3,"年月",$A227,"事業所コード",$B227,"事業所",$C227,"事業区分",K$1,"請求区分","再請求"),0))</f>
        <v>0</v>
      </c>
      <c r="L227" s="659">
        <f ca="1">IF($A227="","",IFERROR(GETPIVOTDATA("合計 / 処遇改善加算金",【ピボット】国保連売上!$A$3,"年月",$A227,"事業所コード",$B227,"事業所",$C227,"事業区分",K$1,"請求区分","単月"),0))</f>
        <v>0</v>
      </c>
      <c r="M227" s="659">
        <f ca="1">IF($A227="","",IFERROR(GETPIVOTDATA("合計 / 入金予定",【ピボット】国保連売上!$A$3,"年月",$A227,"事業所コード",$B227,"事業所",$C227,"事業区分",M$1,"請求区分","単月"),0)
+IFERROR(GETPIVOTDATA("合計 / 入金予定",【ピボット】国保連売上!$A$3,"年月",$A227,"事業所コード",$B227,"事業所",$C227,"事業区分",M$1,"請求区分","再請求"),0))</f>
        <v>0</v>
      </c>
      <c r="N227" s="660">
        <v>55863</v>
      </c>
      <c r="O227" s="1292">
        <v>47339</v>
      </c>
      <c r="P227" s="660">
        <v>0</v>
      </c>
      <c r="Q227" s="1292">
        <v>7457</v>
      </c>
      <c r="R227" s="1292">
        <v>124905</v>
      </c>
      <c r="S227" s="660">
        <v>0</v>
      </c>
      <c r="T227" s="660">
        <v>0</v>
      </c>
      <c r="U227" s="1292">
        <v>99180</v>
      </c>
      <c r="V227" s="660">
        <v>0</v>
      </c>
      <c r="W227" s="660">
        <v>0</v>
      </c>
      <c r="X227" s="660">
        <v>0</v>
      </c>
      <c r="Y227" s="659">
        <f t="shared" ca="1" si="9"/>
        <v>11239510</v>
      </c>
      <c r="Z227" s="659">
        <f t="shared" ca="1" si="11"/>
        <v>334744</v>
      </c>
    </row>
    <row r="228" spans="1:26" ht="15.95" customHeight="1" x14ac:dyDescent="0.15">
      <c r="A228" s="656">
        <v>43344</v>
      </c>
      <c r="B228" s="657" t="str">
        <f t="shared" ca="1" si="10"/>
        <v>02</v>
      </c>
      <c r="C228" s="658" t="s">
        <v>37</v>
      </c>
      <c r="D228" s="659">
        <f ca="1">IF($A228="","",IFERROR(GETPIVOTDATA("合計 / 入金予定",【ピボット】国保連売上!$A$3,"年月",$A228,"事業所コード",$B228,"事業所",$C228,"事業区分",D$1,"請求区分","単月"),0)
+IFERROR(GETPIVOTDATA("合計 / 入金予定",【ピボット】国保連売上!$A$3,"年月",$A228,"事業所コード",$B228,"事業所",$C228,"事業区分",D$1,"請求区分","再請求"),0))</f>
        <v>4394228</v>
      </c>
      <c r="E228" s="659">
        <f ca="1">IF($A228="","",IFERROR(GETPIVOTDATA("合計 / 処遇改善加算金",【ピボット】国保連売上!$A$3,"年月",$A228,"事業所コード",$B228,"事業所",$C228,"事業区分",D$1,"請求区分","単月"),0))</f>
        <v>480619</v>
      </c>
      <c r="F228" s="659">
        <f ca="1">IF($A228="","",IFERROR(GETPIVOTDATA("合計 / 入金予定",【ピボット】国保連売上!$A$3,"年月",$A228,"事業所コード",$B228,"事業所",$C228,"事業区分",F$1,"請求区分","単月"),0)
+IFERROR(GETPIVOTDATA("合計 / 入金予定",【ピボット】国保連売上!$A$3,"年月",$A228,"事業所コード",$B228,"事業所",$C228,"事業区分",F$1,"請求区分","再請求"),0))</f>
        <v>893484</v>
      </c>
      <c r="G228" s="659">
        <f ca="1">IF($A228="","",IFERROR(GETPIVOTDATA("合計 / 処遇改善加算金",【ピボット】国保連売上!$A$3,"年月",$A228,"事業所コード",$B228,"事業所",$C228,"事業区分",F$1,"請求区分","単月"),0))</f>
        <v>206934</v>
      </c>
      <c r="H228" s="659">
        <f ca="1">IF($A228="","",IFERROR(GETPIVOTDATA("合計 / 入金予定",【ピボット】国保連売上!$A$3,"年月",$A228,"事業所コード",$B228,"事業所",$C228,"事業区分",H$1,"請求区分","単月"),0)
+IFERROR(GETPIVOTDATA("合計 / 入金予定",【ピボット】国保連売上!$A$3,"年月",$A228,"事業所コード",$B228,"事業所",$C228,"事業区分",H$1,"請求区分","再請求"),0))</f>
        <v>505814</v>
      </c>
      <c r="I228" s="659">
        <f ca="1">IF($A228="","",IFERROR(GETPIVOTDATA("合計 / 入金予定",【ピボット】国保連売上!$A$3,"年月",$A228,"事業所コード",$B228,"事業所",$C228,"事業区分",I$1,"請求区分","単月"),0)
+IFERROR(GETPIVOTDATA("合計 / 入金予定",【ピボット】国保連売上!$A$3,"年月",$A228,"事業所コード",$B228,"事業所",$C228,"事業区分",I$1,"請求区分","再請求"),0))</f>
        <v>0</v>
      </c>
      <c r="J228" s="659">
        <f ca="1">IF($A228="","",IFERROR(GETPIVOTDATA("合計 / 処遇改善加算金",【ピボット】国保連売上!$A$3,"年月",$A228,"事業所コード",$B228,"事業所",$C228,"事業区分",I$1,"請求区分","単月"),0))</f>
        <v>0</v>
      </c>
      <c r="K228" s="659">
        <f ca="1">IF($A228="","",IFERROR(GETPIVOTDATA("合計 / 入金予定",【ピボット】国保連売上!$A$3,"年月",$A228,"事業所コード",$B228,"事業所",$C228,"事業区分",K$1,"請求区分","単月"),0)
+IFERROR(GETPIVOTDATA("合計 / 入金予定",【ピボット】国保連売上!$A$3,"年月",$A228,"事業所コード",$B228,"事業所",$C228,"事業区分",K$1,"請求区分","再請求"),0))</f>
        <v>0</v>
      </c>
      <c r="L228" s="659">
        <f ca="1">IF($A228="","",IFERROR(GETPIVOTDATA("合計 / 処遇改善加算金",【ピボット】国保連売上!$A$3,"年月",$A228,"事業所コード",$B228,"事業所",$C228,"事業区分",K$1,"請求区分","単月"),0))</f>
        <v>0</v>
      </c>
      <c r="M228" s="659">
        <f ca="1">IF($A228="","",IFERROR(GETPIVOTDATA("合計 / 入金予定",【ピボット】国保連売上!$A$3,"年月",$A228,"事業所コード",$B228,"事業所",$C228,"事業区分",M$1,"請求区分","単月"),0)
+IFERROR(GETPIVOTDATA("合計 / 入金予定",【ピボット】国保連売上!$A$3,"年月",$A228,"事業所コード",$B228,"事業所",$C228,"事業区分",M$1,"請求区分","再請求"),0))</f>
        <v>0</v>
      </c>
      <c r="N228" s="660">
        <v>222988</v>
      </c>
      <c r="O228" s="660">
        <v>0</v>
      </c>
      <c r="P228" s="660">
        <v>0</v>
      </c>
      <c r="Q228" s="660">
        <v>931</v>
      </c>
      <c r="R228" s="1292">
        <v>139611</v>
      </c>
      <c r="S228" s="660">
        <v>0</v>
      </c>
      <c r="T228" s="660">
        <v>0</v>
      </c>
      <c r="U228" s="660">
        <v>0</v>
      </c>
      <c r="V228" s="660">
        <v>0</v>
      </c>
      <c r="W228" s="660">
        <v>0</v>
      </c>
      <c r="X228" s="660">
        <v>0</v>
      </c>
      <c r="Y228" s="659">
        <f t="shared" ca="1" si="9"/>
        <v>6157056</v>
      </c>
      <c r="Z228" s="659">
        <f t="shared" ca="1" si="11"/>
        <v>363530</v>
      </c>
    </row>
    <row r="229" spans="1:26" ht="15.95" customHeight="1" x14ac:dyDescent="0.15">
      <c r="A229" s="656">
        <v>43344</v>
      </c>
      <c r="B229" s="657" t="str">
        <f t="shared" ca="1" si="10"/>
        <v>03</v>
      </c>
      <c r="C229" s="658" t="s">
        <v>66</v>
      </c>
      <c r="D229" s="659">
        <f ca="1">IF($A229="","",IFERROR(GETPIVOTDATA("合計 / 入金予定",【ピボット】国保連売上!$A$3,"年月",$A229,"事業所コード",$B229,"事業所",$C229,"事業区分",D$1,"請求区分","単月"),0)
+IFERROR(GETPIVOTDATA("合計 / 入金予定",【ピボット】国保連売上!$A$3,"年月",$A229,"事業所コード",$B229,"事業所",$C229,"事業区分",D$1,"請求区分","再請求"),0))</f>
        <v>4741795</v>
      </c>
      <c r="E229" s="659">
        <f ca="1">IF($A229="","",IFERROR(GETPIVOTDATA("合計 / 処遇改善加算金",【ピボット】国保連売上!$A$3,"年月",$A229,"事業所コード",$B229,"事業所",$C229,"事業区分",D$1,"請求区分","単月"),0))</f>
        <v>517769</v>
      </c>
      <c r="F229" s="659">
        <f ca="1">IF($A229="","",IFERROR(GETPIVOTDATA("合計 / 入金予定",【ピボット】国保連売上!$A$3,"年月",$A229,"事業所コード",$B229,"事業所",$C229,"事業区分",F$1,"請求区分","単月"),0)
+IFERROR(GETPIVOTDATA("合計 / 入金予定",【ピボット】国保連売上!$A$3,"年月",$A229,"事業所コード",$B229,"事業所",$C229,"事業区分",F$1,"請求区分","再請求"),0))</f>
        <v>1721700</v>
      </c>
      <c r="G229" s="659">
        <f ca="1">IF($A229="","",IFERROR(GETPIVOTDATA("合計 / 処遇改善加算金",【ピボット】国保連売上!$A$3,"年月",$A229,"事業所コード",$B229,"事業所",$C229,"事業区分",F$1,"請求区分","単月"),0))</f>
        <v>399005</v>
      </c>
      <c r="H229" s="659">
        <f ca="1">IF($A229="","",IFERROR(GETPIVOTDATA("合計 / 入金予定",【ピボット】国保連売上!$A$3,"年月",$A229,"事業所コード",$B229,"事業所",$C229,"事業区分",H$1,"請求区分","単月"),0)
+IFERROR(GETPIVOTDATA("合計 / 入金予定",【ピボット】国保連売上!$A$3,"年月",$A229,"事業所コード",$B229,"事業所",$C229,"事業区分",H$1,"請求区分","再請求"),0))</f>
        <v>0</v>
      </c>
      <c r="I229" s="659">
        <f ca="1">IF($A229="","",IFERROR(GETPIVOTDATA("合計 / 入金予定",【ピボット】国保連売上!$A$3,"年月",$A229,"事業所コード",$B229,"事業所",$C229,"事業区分",I$1,"請求区分","単月"),0)
+IFERROR(GETPIVOTDATA("合計 / 入金予定",【ピボット】国保連売上!$A$3,"年月",$A229,"事業所コード",$B229,"事業所",$C229,"事業区分",I$1,"請求区分","再請求"),0))</f>
        <v>0</v>
      </c>
      <c r="J229" s="659">
        <f ca="1">IF($A229="","",IFERROR(GETPIVOTDATA("合計 / 処遇改善加算金",【ピボット】国保連売上!$A$3,"年月",$A229,"事業所コード",$B229,"事業所",$C229,"事業区分",I$1,"請求区分","単月"),0))</f>
        <v>0</v>
      </c>
      <c r="K229" s="659">
        <f ca="1">IF($A229="","",IFERROR(GETPIVOTDATA("合計 / 入金予定",【ピボット】国保連売上!$A$3,"年月",$A229,"事業所コード",$B229,"事業所",$C229,"事業区分",K$1,"請求区分","単月"),0)
+IFERROR(GETPIVOTDATA("合計 / 入金予定",【ピボット】国保連売上!$A$3,"年月",$A229,"事業所コード",$B229,"事業所",$C229,"事業区分",K$1,"請求区分","再請求"),0))</f>
        <v>0</v>
      </c>
      <c r="L229" s="659">
        <f ca="1">IF($A229="","",IFERROR(GETPIVOTDATA("合計 / 処遇改善加算金",【ピボット】国保連売上!$A$3,"年月",$A229,"事業所コード",$B229,"事業所",$C229,"事業区分",K$1,"請求区分","単月"),0))</f>
        <v>0</v>
      </c>
      <c r="M229" s="659">
        <f ca="1">IF($A229="","",IFERROR(GETPIVOTDATA("合計 / 入金予定",【ピボット】国保連売上!$A$3,"年月",$A229,"事業所コード",$B229,"事業所",$C229,"事業区分",M$1,"請求区分","単月"),0)
+IFERROR(GETPIVOTDATA("合計 / 入金予定",【ピボット】国保連売上!$A$3,"年月",$A229,"事業所コード",$B229,"事業所",$C229,"事業区分",M$1,"請求区分","再請求"),0))</f>
        <v>0</v>
      </c>
      <c r="N229" s="660">
        <v>66600</v>
      </c>
      <c r="O229" s="1292">
        <f>171990+7070</f>
        <v>179060</v>
      </c>
      <c r="P229" s="660">
        <v>61034</v>
      </c>
      <c r="Q229" s="660">
        <v>4172</v>
      </c>
      <c r="R229" s="660">
        <v>0</v>
      </c>
      <c r="S229" s="660">
        <v>0</v>
      </c>
      <c r="T229" s="660">
        <v>0</v>
      </c>
      <c r="U229" s="660">
        <v>0</v>
      </c>
      <c r="V229" s="660">
        <v>0</v>
      </c>
      <c r="W229" s="660">
        <v>0</v>
      </c>
      <c r="X229" s="660">
        <v>0</v>
      </c>
      <c r="Y229" s="659">
        <f t="shared" ca="1" si="9"/>
        <v>6774361</v>
      </c>
      <c r="Z229" s="659">
        <f t="shared" ca="1" si="11"/>
        <v>310866</v>
      </c>
    </row>
    <row r="230" spans="1:26" ht="15.95" customHeight="1" x14ac:dyDescent="0.15">
      <c r="A230" s="656">
        <v>43344</v>
      </c>
      <c r="B230" s="657" t="str">
        <f t="shared" ca="1" si="10"/>
        <v>11</v>
      </c>
      <c r="C230" s="658" t="s">
        <v>967</v>
      </c>
      <c r="D230" s="659">
        <f ca="1">IF($A230="","",IFERROR(GETPIVOTDATA("合計 / 入金予定",【ピボット】国保連売上!$A$3,"年月",$A230,"事業所コード",$B230,"事業所",$C230,"事業区分",D$1,"請求区分","単月"),0)
+IFERROR(GETPIVOTDATA("合計 / 入金予定",【ピボット】国保連売上!$A$3,"年月",$A230,"事業所コード",$B230,"事業所",$C230,"事業区分",D$1,"請求区分","再請求"),0))</f>
        <v>925389</v>
      </c>
      <c r="E230" s="659">
        <f ca="1">IF($A230="","",IFERROR(GETPIVOTDATA("合計 / 処遇改善加算金",【ピボット】国保連売上!$A$3,"年月",$A230,"事業所コード",$B230,"事業所",$C230,"事業区分",D$1,"請求区分","単月"),0))</f>
        <v>78006</v>
      </c>
      <c r="F230" s="659">
        <f ca="1">IF($A230="","",IFERROR(GETPIVOTDATA("合計 / 入金予定",【ピボット】国保連売上!$A$3,"年月",$A230,"事業所コード",$B230,"事業所",$C230,"事業区分",F$1,"請求区分","単月"),0)
+IFERROR(GETPIVOTDATA("合計 / 入金予定",【ピボット】国保連売上!$A$3,"年月",$A230,"事業所コード",$B230,"事業所",$C230,"事業区分",F$1,"請求区分","再請求"),0))</f>
        <v>264289</v>
      </c>
      <c r="G230" s="659">
        <f ca="1">IF($A230="","",IFERROR(GETPIVOTDATA("合計 / 処遇改善加算金",【ピボット】国保連売上!$A$3,"年月",$A230,"事業所コード",$B230,"事業所",$C230,"事業区分",F$1,"請求区分","単月"),0))</f>
        <v>61451</v>
      </c>
      <c r="H230" s="659">
        <f ca="1">IF($A230="","",IFERROR(GETPIVOTDATA("合計 / 入金予定",【ピボット】国保連売上!$A$3,"年月",$A230,"事業所コード",$B230,"事業所",$C230,"事業区分",H$1,"請求区分","単月"),0)
+IFERROR(GETPIVOTDATA("合計 / 入金予定",【ピボット】国保連売上!$A$3,"年月",$A230,"事業所コード",$B230,"事業所",$C230,"事業区分",H$1,"請求区分","再請求"),0))</f>
        <v>0</v>
      </c>
      <c r="I230" s="659">
        <f ca="1">IF($A230="","",IFERROR(GETPIVOTDATA("合計 / 入金予定",【ピボット】国保連売上!$A$3,"年月",$A230,"事業所コード",$B230,"事業所",$C230,"事業区分",I$1,"請求区分","単月"),0)
+IFERROR(GETPIVOTDATA("合計 / 入金予定",【ピボット】国保連売上!$A$3,"年月",$A230,"事業所コード",$B230,"事業所",$C230,"事業区分",I$1,"請求区分","再請求"),0))</f>
        <v>0</v>
      </c>
      <c r="J230" s="659">
        <f ca="1">IF($A230="","",IFERROR(GETPIVOTDATA("合計 / 処遇改善加算金",【ピボット】国保連売上!$A$3,"年月",$A230,"事業所コード",$B230,"事業所",$C230,"事業区分",I$1,"請求区分","単月"),0))</f>
        <v>0</v>
      </c>
      <c r="K230" s="659">
        <f ca="1">IF($A230="","",IFERROR(GETPIVOTDATA("合計 / 入金予定",【ピボット】国保連売上!$A$3,"年月",$A230,"事業所コード",$B230,"事業所",$C230,"事業区分",K$1,"請求区分","単月"),0)
+IFERROR(GETPIVOTDATA("合計 / 入金予定",【ピボット】国保連売上!$A$3,"年月",$A230,"事業所コード",$B230,"事業所",$C230,"事業区分",K$1,"請求区分","再請求"),0))</f>
        <v>0</v>
      </c>
      <c r="L230" s="659">
        <f ca="1">IF($A230="","",IFERROR(GETPIVOTDATA("合計 / 処遇改善加算金",【ピボット】国保連売上!$A$3,"年月",$A230,"事業所コード",$B230,"事業所",$C230,"事業区分",K$1,"請求区分","単月"),0))</f>
        <v>0</v>
      </c>
      <c r="M230" s="659">
        <f ca="1">IF($A230="","",IFERROR(GETPIVOTDATA("合計 / 入金予定",【ピボット】国保連売上!$A$3,"年月",$A230,"事業所コード",$B230,"事業所",$C230,"事業区分",M$1,"請求区分","単月"),0)
+IFERROR(GETPIVOTDATA("合計 / 入金予定",【ピボット】国保連売上!$A$3,"年月",$A230,"事業所コード",$B230,"事業所",$C230,"事業区分",M$1,"請求区分","再請求"),0))</f>
        <v>0</v>
      </c>
      <c r="N230" s="660">
        <v>3600</v>
      </c>
      <c r="O230" s="660">
        <v>0</v>
      </c>
      <c r="P230" s="660">
        <v>0</v>
      </c>
      <c r="Q230" s="660">
        <v>0</v>
      </c>
      <c r="R230" s="660">
        <v>0</v>
      </c>
      <c r="S230" s="660">
        <v>0</v>
      </c>
      <c r="T230" s="660">
        <v>0</v>
      </c>
      <c r="U230" s="660">
        <v>0</v>
      </c>
      <c r="V230" s="660">
        <v>0</v>
      </c>
      <c r="W230" s="660">
        <v>0</v>
      </c>
      <c r="X230" s="660">
        <v>0</v>
      </c>
      <c r="Y230" s="659">
        <f t="shared" ca="1" si="9"/>
        <v>1193278</v>
      </c>
      <c r="Z230" s="659">
        <f t="shared" ca="1" si="11"/>
        <v>3600</v>
      </c>
    </row>
    <row r="231" spans="1:26" ht="15.95" customHeight="1" x14ac:dyDescent="0.15">
      <c r="A231" s="656">
        <v>43344</v>
      </c>
      <c r="B231" s="657" t="str">
        <f t="shared" ca="1" si="10"/>
        <v>04</v>
      </c>
      <c r="C231" s="658" t="s">
        <v>358</v>
      </c>
      <c r="D231" s="659">
        <f ca="1">IF($A231="","",IFERROR(GETPIVOTDATA("合計 / 入金予定",【ピボット】国保連売上!$A$3,"年月",$A231,"事業所コード",$B231,"事業所",$C231,"事業区分",D$1,"請求区分","単月"),0)
+IFERROR(GETPIVOTDATA("合計 / 入金予定",【ピボット】国保連売上!$A$3,"年月",$A231,"事業所コード",$B231,"事業所",$C231,"事業区分",D$1,"請求区分","再請求"),0))</f>
        <v>0</v>
      </c>
      <c r="E231" s="659">
        <f ca="1">IF($A231="","",IFERROR(GETPIVOTDATA("合計 / 処遇改善加算金",【ピボット】国保連売上!$A$3,"年月",$A231,"事業所コード",$B231,"事業所",$C231,"事業区分",D$1,"請求区分","単月"),0))</f>
        <v>0</v>
      </c>
      <c r="F231" s="659">
        <f ca="1">IF($A231="","",IFERROR(GETPIVOTDATA("合計 / 入金予定",【ピボット】国保連売上!$A$3,"年月",$A231,"事業所コード",$B231,"事業所",$C231,"事業区分",F$1,"請求区分","単月"),0)
+IFERROR(GETPIVOTDATA("合計 / 入金予定",【ピボット】国保連売上!$A$3,"年月",$A231,"事業所コード",$B231,"事業所",$C231,"事業区分",F$1,"請求区分","再請求"),0))</f>
        <v>0</v>
      </c>
      <c r="G231" s="659">
        <f ca="1">IF($A231="","",IFERROR(GETPIVOTDATA("合計 / 処遇改善加算金",【ピボット】国保連売上!$A$3,"年月",$A231,"事業所コード",$B231,"事業所",$C231,"事業区分",F$1,"請求区分","単月"),0))</f>
        <v>0</v>
      </c>
      <c r="H231" s="659">
        <f ca="1">IF($A231="","",IFERROR(GETPIVOTDATA("合計 / 入金予定",【ピボット】国保連売上!$A$3,"年月",$A231,"事業所コード",$B231,"事業所",$C231,"事業区分",H$1,"請求区分","単月"),0)
+IFERROR(GETPIVOTDATA("合計 / 入金予定",【ピボット】国保連売上!$A$3,"年月",$A231,"事業所コード",$B231,"事業所",$C231,"事業区分",H$1,"請求区分","再請求"),0))</f>
        <v>0</v>
      </c>
      <c r="I231" s="659">
        <f ca="1">IF($A231="","",IFERROR(GETPIVOTDATA("合計 / 入金予定",【ピボット】国保連売上!$A$3,"年月",$A231,"事業所コード",$B231,"事業所",$C231,"事業区分",I$1,"請求区分","単月"),0)
+IFERROR(GETPIVOTDATA("合計 / 入金予定",【ピボット】国保連売上!$A$3,"年月",$A231,"事業所コード",$B231,"事業所",$C231,"事業区分",I$1,"請求区分","再請求"),0))</f>
        <v>4184601</v>
      </c>
      <c r="J231" s="659">
        <f ca="1">IF($A231="","",IFERROR(GETPIVOTDATA("合計 / 処遇改善加算金",【ピボット】国保連売上!$A$3,"年月",$A231,"事業所コード",$B231,"事業所",$C231,"事業区分",I$1,"請求区分","単月"),0))</f>
        <v>233085</v>
      </c>
      <c r="K231" s="659">
        <f ca="1">IF($A231="","",IFERROR(GETPIVOTDATA("合計 / 入金予定",【ピボット】国保連売上!$A$3,"年月",$A231,"事業所コード",$B231,"事業所",$C231,"事業区分",K$1,"請求区分","単月"),0)
+IFERROR(GETPIVOTDATA("合計 / 入金予定",【ピボット】国保連売上!$A$3,"年月",$A231,"事業所コード",$B231,"事業所",$C231,"事業区分",K$1,"請求区分","再請求"),0))</f>
        <v>0</v>
      </c>
      <c r="L231" s="659">
        <f ca="1">IF($A231="","",IFERROR(GETPIVOTDATA("合計 / 処遇改善加算金",【ピボット】国保連売上!$A$3,"年月",$A231,"事業所コード",$B231,"事業所",$C231,"事業区分",K$1,"請求区分","単月"),0))</f>
        <v>0</v>
      </c>
      <c r="M231" s="659">
        <f ca="1">IF($A231="","",IFERROR(GETPIVOTDATA("合計 / 入金予定",【ピボット】国保連売上!$A$3,"年月",$A231,"事業所コード",$B231,"事業所",$C231,"事業区分",M$1,"請求区分","単月"),0)
+IFERROR(GETPIVOTDATA("合計 / 入金予定",【ピボット】国保連売上!$A$3,"年月",$A231,"事業所コード",$B231,"事業所",$C231,"事業区分",M$1,"請求区分","再請求"),0))</f>
        <v>0</v>
      </c>
      <c r="N231" s="660">
        <v>0</v>
      </c>
      <c r="O231" s="660">
        <v>0</v>
      </c>
      <c r="P231" s="660">
        <v>0</v>
      </c>
      <c r="Q231" s="660">
        <v>0</v>
      </c>
      <c r="R231" s="660">
        <v>0</v>
      </c>
      <c r="S231" s="660">
        <v>0</v>
      </c>
      <c r="T231" s="660">
        <v>232550</v>
      </c>
      <c r="U231" s="660">
        <v>0</v>
      </c>
      <c r="V231" s="660">
        <v>0</v>
      </c>
      <c r="W231" s="660">
        <v>0</v>
      </c>
      <c r="X231" s="660">
        <v>0</v>
      </c>
      <c r="Y231" s="659">
        <f t="shared" ca="1" si="9"/>
        <v>4417151</v>
      </c>
      <c r="Z231" s="659">
        <f t="shared" ca="1" si="11"/>
        <v>232550</v>
      </c>
    </row>
    <row r="232" spans="1:26" ht="15.95" customHeight="1" x14ac:dyDescent="0.15">
      <c r="A232" s="656">
        <v>43344</v>
      </c>
      <c r="B232" s="657" t="str">
        <f t="shared" ca="1" si="10"/>
        <v>05</v>
      </c>
      <c r="C232" s="658" t="s">
        <v>359</v>
      </c>
      <c r="D232" s="659">
        <f ca="1">IF($A232="","",IFERROR(GETPIVOTDATA("合計 / 入金予定",【ピボット】国保連売上!$A$3,"年月",$A232,"事業所コード",$B232,"事業所",$C232,"事業区分",D$1,"請求区分","単月"),0)
+IFERROR(GETPIVOTDATA("合計 / 入金予定",【ピボット】国保連売上!$A$3,"年月",$A232,"事業所コード",$B232,"事業所",$C232,"事業区分",D$1,"請求区分","再請求"),0))</f>
        <v>1331333</v>
      </c>
      <c r="E232" s="659">
        <f ca="1">IF($A232="","",IFERROR(GETPIVOTDATA("合計 / 処遇改善加算金",【ピボット】国保連売上!$A$3,"年月",$A232,"事業所コード",$B232,"事業所",$C232,"事業区分",D$1,"請求区分","単月"),0))</f>
        <v>0</v>
      </c>
      <c r="F232" s="659">
        <f ca="1">IF($A232="","",IFERROR(GETPIVOTDATA("合計 / 入金予定",【ピボット】国保連売上!$A$3,"年月",$A232,"事業所コード",$B232,"事業所",$C232,"事業区分",F$1,"請求区分","単月"),0)
+IFERROR(GETPIVOTDATA("合計 / 入金予定",【ピボット】国保連売上!$A$3,"年月",$A232,"事業所コード",$B232,"事業所",$C232,"事業区分",F$1,"請求区分","再請求"),0))</f>
        <v>0</v>
      </c>
      <c r="G232" s="659">
        <f ca="1">IF($A232="","",IFERROR(GETPIVOTDATA("合計 / 処遇改善加算金",【ピボット】国保連売上!$A$3,"年月",$A232,"事業所コード",$B232,"事業所",$C232,"事業区分",F$1,"請求区分","単月"),0))</f>
        <v>0</v>
      </c>
      <c r="H232" s="659">
        <f ca="1">IF($A232="","",IFERROR(GETPIVOTDATA("合計 / 入金予定",【ピボット】国保連売上!$A$3,"年月",$A232,"事業所コード",$B232,"事業所",$C232,"事業区分",H$1,"請求区分","単月"),0)
+IFERROR(GETPIVOTDATA("合計 / 入金予定",【ピボット】国保連売上!$A$3,"年月",$A232,"事業所コード",$B232,"事業所",$C232,"事業区分",H$1,"請求区分","再請求"),0))</f>
        <v>0</v>
      </c>
      <c r="I232" s="659">
        <f ca="1">IF($A232="","",IFERROR(GETPIVOTDATA("合計 / 入金予定",【ピボット】国保連売上!$A$3,"年月",$A232,"事業所コード",$B232,"事業所",$C232,"事業区分",I$1,"請求区分","単月"),0)
+IFERROR(GETPIVOTDATA("合計 / 入金予定",【ピボット】国保連売上!$A$3,"年月",$A232,"事業所コード",$B232,"事業所",$C232,"事業区分",I$1,"請求区分","再請求"),0))</f>
        <v>0</v>
      </c>
      <c r="J232" s="659">
        <f ca="1">IF($A232="","",IFERROR(GETPIVOTDATA("合計 / 処遇改善加算金",【ピボット】国保連売上!$A$3,"年月",$A232,"事業所コード",$B232,"事業所",$C232,"事業区分",I$1,"請求区分","単月"),0))</f>
        <v>0</v>
      </c>
      <c r="K232" s="659">
        <f ca="1">IF($A232="","",IFERROR(GETPIVOTDATA("合計 / 入金予定",【ピボット】国保連売上!$A$3,"年月",$A232,"事業所コード",$B232,"事業所",$C232,"事業区分",K$1,"請求区分","単月"),0)
+IFERROR(GETPIVOTDATA("合計 / 入金予定",【ピボット】国保連売上!$A$3,"年月",$A232,"事業所コード",$B232,"事業所",$C232,"事業区分",K$1,"請求区分","再請求"),0))</f>
        <v>0</v>
      </c>
      <c r="L232" s="659">
        <f ca="1">IF($A232="","",IFERROR(GETPIVOTDATA("合計 / 処遇改善加算金",【ピボット】国保連売上!$A$3,"年月",$A232,"事業所コード",$B232,"事業所",$C232,"事業区分",K$1,"請求区分","単月"),0))</f>
        <v>0</v>
      </c>
      <c r="M232" s="659">
        <f ca="1">IF($A232="","",IFERROR(GETPIVOTDATA("合計 / 入金予定",【ピボット】国保連売上!$A$3,"年月",$A232,"事業所コード",$B232,"事業所",$C232,"事業区分",M$1,"請求区分","単月"),0)
+IFERROR(GETPIVOTDATA("合計 / 入金予定",【ピボット】国保連売上!$A$3,"年月",$A232,"事業所コード",$B232,"事業所",$C232,"事業区分",M$1,"請求区分","再請求"),0))</f>
        <v>0</v>
      </c>
      <c r="N232" s="660">
        <v>1200</v>
      </c>
      <c r="O232" s="660">
        <v>0</v>
      </c>
      <c r="P232" s="660">
        <v>0</v>
      </c>
      <c r="Q232" s="660">
        <v>0</v>
      </c>
      <c r="R232" s="660">
        <v>0</v>
      </c>
      <c r="S232" s="660">
        <v>779540</v>
      </c>
      <c r="T232" s="660">
        <v>0</v>
      </c>
      <c r="U232" s="660">
        <v>0</v>
      </c>
      <c r="V232" s="660">
        <v>0</v>
      </c>
      <c r="W232" s="660">
        <v>0</v>
      </c>
      <c r="X232" s="660">
        <v>0</v>
      </c>
      <c r="Y232" s="659">
        <f t="shared" ca="1" si="9"/>
        <v>2112073</v>
      </c>
      <c r="Z232" s="659">
        <f t="shared" ca="1" si="11"/>
        <v>780740</v>
      </c>
    </row>
    <row r="233" spans="1:26" ht="15.95" customHeight="1" x14ac:dyDescent="0.15">
      <c r="A233" s="656">
        <v>43344</v>
      </c>
      <c r="B233" s="657" t="str">
        <f t="shared" ca="1" si="10"/>
        <v>07</v>
      </c>
      <c r="C233" s="658" t="s">
        <v>119</v>
      </c>
      <c r="D233" s="659">
        <f ca="1">IF($A233="","",IFERROR(GETPIVOTDATA("合計 / 入金予定",【ピボット】国保連売上!$A$3,"年月",$A233,"事業所コード",$B233,"事業所",$C233,"事業区分",D$1,"請求区分","単月"),0)
+IFERROR(GETPIVOTDATA("合計 / 入金予定",【ピボット】国保連売上!$A$3,"年月",$A233,"事業所コード",$B233,"事業所",$C233,"事業区分",D$1,"請求区分","再請求"),0))</f>
        <v>0</v>
      </c>
      <c r="E233" s="659">
        <f ca="1">IF($A233="","",IFERROR(GETPIVOTDATA("合計 / 処遇改善加算金",【ピボット】国保連売上!$A$3,"年月",$A233,"事業所コード",$B233,"事業所",$C233,"事業区分",D$1,"請求区分","単月"),0))</f>
        <v>0</v>
      </c>
      <c r="F233" s="659">
        <f ca="1">IF($A233="","",IFERROR(GETPIVOTDATA("合計 / 入金予定",【ピボット】国保連売上!$A$3,"年月",$A233,"事業所コード",$B233,"事業所",$C233,"事業区分",F$1,"請求区分","単月"),0)
+IFERROR(GETPIVOTDATA("合計 / 入金予定",【ピボット】国保連売上!$A$3,"年月",$A233,"事業所コード",$B233,"事業所",$C233,"事業区分",F$1,"請求区分","再請求"),0))</f>
        <v>0</v>
      </c>
      <c r="G233" s="659">
        <f ca="1">IF($A233="","",IFERROR(GETPIVOTDATA("合計 / 処遇改善加算金",【ピボット】国保連売上!$A$3,"年月",$A233,"事業所コード",$B233,"事業所",$C233,"事業区分",F$1,"請求区分","単月"),0))</f>
        <v>0</v>
      </c>
      <c r="H233" s="659">
        <f ca="1">IF($A233="","",IFERROR(GETPIVOTDATA("合計 / 入金予定",【ピボット】国保連売上!$A$3,"年月",$A233,"事業所コード",$B233,"事業所",$C233,"事業区分",H$1,"請求区分","単月"),0)
+IFERROR(GETPIVOTDATA("合計 / 入金予定",【ピボット】国保連売上!$A$3,"年月",$A233,"事業所コード",$B233,"事業所",$C233,"事業区分",H$1,"請求区分","再請求"),0))</f>
        <v>0</v>
      </c>
      <c r="I233" s="659">
        <f ca="1">IF($A233="","",IFERROR(GETPIVOTDATA("合計 / 入金予定",【ピボット】国保連売上!$A$3,"年月",$A233,"事業所コード",$B233,"事業所",$C233,"事業区分",I$1,"請求区分","単月"),0)
+IFERROR(GETPIVOTDATA("合計 / 入金予定",【ピボット】国保連売上!$A$3,"年月",$A233,"事業所コード",$B233,"事業所",$C233,"事業区分",I$1,"請求区分","再請求"),0))</f>
        <v>0</v>
      </c>
      <c r="J233" s="659">
        <f ca="1">IF($A233="","",IFERROR(GETPIVOTDATA("合計 / 処遇改善加算金",【ピボット】国保連売上!$A$3,"年月",$A233,"事業所コード",$B233,"事業所",$C233,"事業区分",I$1,"請求区分","単月"),0))</f>
        <v>0</v>
      </c>
      <c r="K233" s="659">
        <f ca="1">IF($A233="","",IFERROR(GETPIVOTDATA("合計 / 入金予定",【ピボット】国保連売上!$A$3,"年月",$A233,"事業所コード",$B233,"事業所",$C233,"事業区分",K$1,"請求区分","単月"),0)
+IFERROR(GETPIVOTDATA("合計 / 入金予定",【ピボット】国保連売上!$A$3,"年月",$A233,"事業所コード",$B233,"事業所",$C233,"事業区分",K$1,"請求区分","再請求"),0))</f>
        <v>813636</v>
      </c>
      <c r="L233" s="659">
        <f ca="1">IF($A233="","",IFERROR(GETPIVOTDATA("合計 / 処遇改善加算金",【ピボット】国保連売上!$A$3,"年月",$A233,"事業所コード",$B233,"事業所",$C233,"事業区分",K$1,"請求区分","単月"),0))</f>
        <v>272142</v>
      </c>
      <c r="M233" s="659">
        <f ca="1">IF($A233="","",IFERROR(GETPIVOTDATA("合計 / 入金予定",【ピボット】国保連売上!$A$3,"年月",$A233,"事業所コード",$B233,"事業所",$C233,"事業区分",M$1,"請求区分","単月"),0)
+IFERROR(GETPIVOTDATA("合計 / 入金予定",【ピボット】国保連売上!$A$3,"年月",$A233,"事業所コード",$B233,"事業所",$C233,"事業区分",M$1,"請求区分","再請求"),0))</f>
        <v>0</v>
      </c>
      <c r="N233" s="660">
        <v>0</v>
      </c>
      <c r="O233" s="660">
        <v>0</v>
      </c>
      <c r="P233" s="660">
        <v>0</v>
      </c>
      <c r="Q233" s="660">
        <v>0</v>
      </c>
      <c r="R233" s="660">
        <v>0</v>
      </c>
      <c r="S233" s="1469">
        <v>78000</v>
      </c>
      <c r="T233" s="660">
        <v>0</v>
      </c>
      <c r="U233" s="660">
        <v>0</v>
      </c>
      <c r="V233" s="660">
        <v>-30000</v>
      </c>
      <c r="W233" s="660">
        <v>0</v>
      </c>
      <c r="X233" s="660">
        <v>0</v>
      </c>
      <c r="Y233" s="659">
        <f t="shared" ca="1" si="9"/>
        <v>861636</v>
      </c>
      <c r="Z233" s="659">
        <f t="shared" ca="1" si="11"/>
        <v>48000</v>
      </c>
    </row>
    <row r="234" spans="1:26" ht="15.95" customHeight="1" x14ac:dyDescent="0.15">
      <c r="A234" s="656">
        <v>43344</v>
      </c>
      <c r="B234" s="657" t="str">
        <f t="shared" ca="1" si="10"/>
        <v>08</v>
      </c>
      <c r="C234" s="658" t="s">
        <v>189</v>
      </c>
      <c r="D234" s="659">
        <f ca="1">IF($A234="","",IFERROR(GETPIVOTDATA("合計 / 入金予定",【ピボット】国保連売上!$A$3,"年月",$A234,"事業所コード",$B234,"事業所",$C234,"事業区分",D$1,"請求区分","単月"),0)
+IFERROR(GETPIVOTDATA("合計 / 入金予定",【ピボット】国保連売上!$A$3,"年月",$A234,"事業所コード",$B234,"事業所",$C234,"事業区分",D$1,"請求区分","再請求"),0))</f>
        <v>0</v>
      </c>
      <c r="E234" s="659">
        <f ca="1">IF($A234="","",IFERROR(GETPIVOTDATA("合計 / 処遇改善加算金",【ピボット】国保連売上!$A$3,"年月",$A234,"事業所コード",$B234,"事業所",$C234,"事業区分",D$1,"請求区分","単月"),0))</f>
        <v>0</v>
      </c>
      <c r="F234" s="659">
        <f ca="1">IF($A234="","",IFERROR(GETPIVOTDATA("合計 / 入金予定",【ピボット】国保連売上!$A$3,"年月",$A234,"事業所コード",$B234,"事業所",$C234,"事業区分",F$1,"請求区分","単月"),0)
+IFERROR(GETPIVOTDATA("合計 / 入金予定",【ピボット】国保連売上!$A$3,"年月",$A234,"事業所コード",$B234,"事業所",$C234,"事業区分",F$1,"請求区分","再請求"),0))</f>
        <v>0</v>
      </c>
      <c r="G234" s="659">
        <f ca="1">IF($A234="","",IFERROR(GETPIVOTDATA("合計 / 処遇改善加算金",【ピボット】国保連売上!$A$3,"年月",$A234,"事業所コード",$B234,"事業所",$C234,"事業区分",F$1,"請求区分","単月"),0))</f>
        <v>0</v>
      </c>
      <c r="H234" s="659">
        <f ca="1">IF($A234="","",IFERROR(GETPIVOTDATA("合計 / 入金予定",【ピボット】国保連売上!$A$3,"年月",$A234,"事業所コード",$B234,"事業所",$C234,"事業区分",H$1,"請求区分","単月"),0)
+IFERROR(GETPIVOTDATA("合計 / 入金予定",【ピボット】国保連売上!$A$3,"年月",$A234,"事業所コード",$B234,"事業所",$C234,"事業区分",H$1,"請求区分","再請求"),0))</f>
        <v>0</v>
      </c>
      <c r="I234" s="659">
        <f ca="1">IF($A234="","",IFERROR(GETPIVOTDATA("合計 / 入金予定",【ピボット】国保連売上!$A$3,"年月",$A234,"事業所コード",$B234,"事業所",$C234,"事業区分",I$1,"請求区分","単月"),0)
+IFERROR(GETPIVOTDATA("合計 / 入金予定",【ピボット】国保連売上!$A$3,"年月",$A234,"事業所コード",$B234,"事業所",$C234,"事業区分",I$1,"請求区分","再請求"),0))</f>
        <v>0</v>
      </c>
      <c r="J234" s="659">
        <f ca="1">IF($A234="","",IFERROR(GETPIVOTDATA("合計 / 処遇改善加算金",【ピボット】国保連売上!$A$3,"年月",$A234,"事業所コード",$B234,"事業所",$C234,"事業区分",I$1,"請求区分","単月"),0))</f>
        <v>0</v>
      </c>
      <c r="K234" s="659">
        <f ca="1">IF($A234="","",IFERROR(GETPIVOTDATA("合計 / 入金予定",【ピボット】国保連売上!$A$3,"年月",$A234,"事業所コード",$B234,"事業所",$C234,"事業区分",K$1,"請求区分","単月"),0)
+IFERROR(GETPIVOTDATA("合計 / 入金予定",【ピボット】国保連売上!$A$3,"年月",$A234,"事業所コード",$B234,"事業所",$C234,"事業区分",K$1,"請求区分","再請求"),0))</f>
        <v>1003585</v>
      </c>
      <c r="L234" s="659">
        <f ca="1">IF($A234="","",IFERROR(GETPIVOTDATA("合計 / 処遇改善加算金",【ピボット】国保連売上!$A$3,"年月",$A234,"事業所コード",$B234,"事業所",$C234,"事業区分",K$1,"請求区分","単月"),0))</f>
        <v>0</v>
      </c>
      <c r="M234" s="659">
        <f ca="1">IF($A234="","",IFERROR(GETPIVOTDATA("合計 / 入金予定",【ピボット】国保連売上!$A$3,"年月",$A234,"事業所コード",$B234,"事業所",$C234,"事業区分",M$1,"請求区分","単月"),0)
+IFERROR(GETPIVOTDATA("合計 / 入金予定",【ピボット】国保連売上!$A$3,"年月",$A234,"事業所コード",$B234,"事業所",$C234,"事業区分",M$1,"請求区分","再請求"),0))</f>
        <v>0</v>
      </c>
      <c r="N234" s="660">
        <v>0</v>
      </c>
      <c r="O234" s="660">
        <v>0</v>
      </c>
      <c r="P234" s="660">
        <v>0</v>
      </c>
      <c r="Q234" s="660">
        <v>0</v>
      </c>
      <c r="R234" s="660">
        <v>0</v>
      </c>
      <c r="S234" s="1469">
        <v>86500</v>
      </c>
      <c r="T234" s="660">
        <v>0</v>
      </c>
      <c r="U234" s="660">
        <v>0</v>
      </c>
      <c r="V234" s="660">
        <v>-40000</v>
      </c>
      <c r="W234" s="660">
        <v>0</v>
      </c>
      <c r="X234" s="660">
        <v>0</v>
      </c>
      <c r="Y234" s="659">
        <f t="shared" ca="1" si="9"/>
        <v>1050085</v>
      </c>
      <c r="Z234" s="659">
        <f t="shared" ca="1" si="11"/>
        <v>46500</v>
      </c>
    </row>
    <row r="235" spans="1:26" ht="15.95" customHeight="1" x14ac:dyDescent="0.15">
      <c r="A235" s="656">
        <v>43344</v>
      </c>
      <c r="B235" s="657" t="str">
        <f t="shared" ca="1" si="10"/>
        <v>09</v>
      </c>
      <c r="C235" s="658" t="s">
        <v>329</v>
      </c>
      <c r="D235" s="659">
        <f ca="1">IF($A235="","",IFERROR(GETPIVOTDATA("合計 / 入金予定",【ピボット】国保連売上!$A$3,"年月",$A235,"事業所コード",$B235,"事業所",$C235,"事業区分",D$1,"請求区分","単月"),0)
+IFERROR(GETPIVOTDATA("合計 / 入金予定",【ピボット】国保連売上!$A$3,"年月",$A235,"事業所コード",$B235,"事業所",$C235,"事業区分",D$1,"請求区分","再請求"),0))</f>
        <v>0</v>
      </c>
      <c r="E235" s="659">
        <f ca="1">IF($A235="","",IFERROR(GETPIVOTDATA("合計 / 処遇改善加算金",【ピボット】国保連売上!$A$3,"年月",$A235,"事業所コード",$B235,"事業所",$C235,"事業区分",D$1,"請求区分","単月"),0))</f>
        <v>0</v>
      </c>
      <c r="F235" s="659">
        <f ca="1">IF($A235="","",IFERROR(GETPIVOTDATA("合計 / 入金予定",【ピボット】国保連売上!$A$3,"年月",$A235,"事業所コード",$B235,"事業所",$C235,"事業区分",F$1,"請求区分","単月"),0)
+IFERROR(GETPIVOTDATA("合計 / 入金予定",【ピボット】国保連売上!$A$3,"年月",$A235,"事業所コード",$B235,"事業所",$C235,"事業区分",F$1,"請求区分","再請求"),0))</f>
        <v>0</v>
      </c>
      <c r="G235" s="659">
        <f ca="1">IF($A235="","",IFERROR(GETPIVOTDATA("合計 / 処遇改善加算金",【ピボット】国保連売上!$A$3,"年月",$A235,"事業所コード",$B235,"事業所",$C235,"事業区分",F$1,"請求区分","単月"),0))</f>
        <v>0</v>
      </c>
      <c r="H235" s="659">
        <f ca="1">IF($A235="","",IFERROR(GETPIVOTDATA("合計 / 入金予定",【ピボット】国保連売上!$A$3,"年月",$A235,"事業所コード",$B235,"事業所",$C235,"事業区分",H$1,"請求区分","単月"),0)
+IFERROR(GETPIVOTDATA("合計 / 入金予定",【ピボット】国保連売上!$A$3,"年月",$A235,"事業所コード",$B235,"事業所",$C235,"事業区分",H$1,"請求区分","再請求"),0))</f>
        <v>0</v>
      </c>
      <c r="I235" s="659">
        <f ca="1">IF($A235="","",IFERROR(GETPIVOTDATA("合計 / 入金予定",【ピボット】国保連売上!$A$3,"年月",$A235,"事業所コード",$B235,"事業所",$C235,"事業区分",I$1,"請求区分","単月"),0)
+IFERROR(GETPIVOTDATA("合計 / 入金予定",【ピボット】国保連売上!$A$3,"年月",$A235,"事業所コード",$B235,"事業所",$C235,"事業区分",I$1,"請求区分","再請求"),0))</f>
        <v>0</v>
      </c>
      <c r="J235" s="659">
        <f ca="1">IF($A235="","",IFERROR(GETPIVOTDATA("合計 / 処遇改善加算金",【ピボット】国保連売上!$A$3,"年月",$A235,"事業所コード",$B235,"事業所",$C235,"事業区分",I$1,"請求区分","単月"),0))</f>
        <v>0</v>
      </c>
      <c r="K235" s="659">
        <f ca="1">IF($A235="","",IFERROR(GETPIVOTDATA("合計 / 入金予定",【ピボット】国保連売上!$A$3,"年月",$A235,"事業所コード",$B235,"事業所",$C235,"事業区分",K$1,"請求区分","単月"),0)
+IFERROR(GETPIVOTDATA("合計 / 入金予定",【ピボット】国保連売上!$A$3,"年月",$A235,"事業所コード",$B235,"事業所",$C235,"事業区分",K$1,"請求区分","再請求"),0))</f>
        <v>2292635</v>
      </c>
      <c r="L235" s="659">
        <f ca="1">IF($A235="","",IFERROR(GETPIVOTDATA("合計 / 処遇改善加算金",【ピボット】国保連売上!$A$3,"年月",$A235,"事業所コード",$B235,"事業所",$C235,"事業区分",K$1,"請求区分","単月"),0))</f>
        <v>0</v>
      </c>
      <c r="M235" s="659">
        <f ca="1">IF($A235="","",IFERROR(GETPIVOTDATA("合計 / 入金予定",【ピボット】国保連売上!$A$3,"年月",$A235,"事業所コード",$B235,"事業所",$C235,"事業区分",M$1,"請求区分","単月"),0)
+IFERROR(GETPIVOTDATA("合計 / 入金予定",【ピボット】国保連売上!$A$3,"年月",$A235,"事業所コード",$B235,"事業所",$C235,"事業区分",M$1,"請求区分","再請求"),0))</f>
        <v>0</v>
      </c>
      <c r="N235" s="660">
        <v>0</v>
      </c>
      <c r="O235" s="660">
        <v>0</v>
      </c>
      <c r="P235" s="660">
        <v>0</v>
      </c>
      <c r="Q235" s="660">
        <v>0</v>
      </c>
      <c r="R235" s="660">
        <v>0</v>
      </c>
      <c r="S235" s="1469">
        <v>384750</v>
      </c>
      <c r="T235" s="660">
        <v>0</v>
      </c>
      <c r="U235" s="660">
        <v>0</v>
      </c>
      <c r="V235" s="660">
        <v>-90000</v>
      </c>
      <c r="W235" s="660">
        <v>0</v>
      </c>
      <c r="X235" s="660">
        <v>0</v>
      </c>
      <c r="Y235" s="659">
        <f t="shared" ca="1" si="9"/>
        <v>2587385</v>
      </c>
      <c r="Z235" s="659">
        <f t="shared" ca="1" si="11"/>
        <v>294750</v>
      </c>
    </row>
    <row r="236" spans="1:26" ht="15.95" customHeight="1" x14ac:dyDescent="0.15">
      <c r="A236" s="656">
        <v>43344</v>
      </c>
      <c r="B236" s="657" t="str">
        <f t="shared" ca="1" si="10"/>
        <v>10</v>
      </c>
      <c r="C236" s="658" t="s">
        <v>336</v>
      </c>
      <c r="D236" s="659">
        <f ca="1">IF($A236="","",IFERROR(GETPIVOTDATA("合計 / 入金予定",【ピボット】国保連売上!$A$3,"年月",$A236,"事業所コード",$B236,"事業所",$C236,"事業区分",D$1,"請求区分","単月"),0)
+IFERROR(GETPIVOTDATA("合計 / 入金予定",【ピボット】国保連売上!$A$3,"年月",$A236,"事業所コード",$B236,"事業所",$C236,"事業区分",D$1,"請求区分","再請求"),0))</f>
        <v>379821</v>
      </c>
      <c r="E236" s="659">
        <f ca="1">IF($A236="","",IFERROR(GETPIVOTDATA("合計 / 処遇改善加算金",【ピボット】国保連売上!$A$3,"年月",$A236,"事業所コード",$B236,"事業所",$C236,"事業区分",D$1,"請求区分","単月"),0))</f>
        <v>0</v>
      </c>
      <c r="F236" s="659">
        <f ca="1">IF($A236="","",IFERROR(GETPIVOTDATA("合計 / 入金予定",【ピボット】国保連売上!$A$3,"年月",$A236,"事業所コード",$B236,"事業所",$C236,"事業区分",F$1,"請求区分","単月"),0)
+IFERROR(GETPIVOTDATA("合計 / 入金予定",【ピボット】国保連売上!$A$3,"年月",$A236,"事業所コード",$B236,"事業所",$C236,"事業区分",F$1,"請求区分","再請求"),0))</f>
        <v>19400</v>
      </c>
      <c r="G236" s="659">
        <f ca="1">IF($A236="","",IFERROR(GETPIVOTDATA("合計 / 処遇改善加算金",【ピボット】国保連売上!$A$3,"年月",$A236,"事業所コード",$B236,"事業所",$C236,"事業区分",F$1,"請求区分","単月"),0))</f>
        <v>0</v>
      </c>
      <c r="H236" s="659">
        <f ca="1">IF($A236="","",IFERROR(GETPIVOTDATA("合計 / 入金予定",【ピボット】国保連売上!$A$3,"年月",$A236,"事業所コード",$B236,"事業所",$C236,"事業区分",H$1,"請求区分","単月"),0)
+IFERROR(GETPIVOTDATA("合計 / 入金予定",【ピボット】国保連売上!$A$3,"年月",$A236,"事業所コード",$B236,"事業所",$C236,"事業区分",H$1,"請求区分","再請求"),0))</f>
        <v>0</v>
      </c>
      <c r="I236" s="659">
        <f ca="1">IF($A236="","",IFERROR(GETPIVOTDATA("合計 / 入金予定",【ピボット】国保連売上!$A$3,"年月",$A236,"事業所コード",$B236,"事業所",$C236,"事業区分",I$1,"請求区分","単月"),0)
+IFERROR(GETPIVOTDATA("合計 / 入金予定",【ピボット】国保連売上!$A$3,"年月",$A236,"事業所コード",$B236,"事業所",$C236,"事業区分",I$1,"請求区分","再請求"),0))</f>
        <v>0</v>
      </c>
      <c r="J236" s="659">
        <f ca="1">IF($A236="","",IFERROR(GETPIVOTDATA("合計 / 処遇改善加算金",【ピボット】国保連売上!$A$3,"年月",$A236,"事業所コード",$B236,"事業所",$C236,"事業区分",I$1,"請求区分","単月"),0))</f>
        <v>0</v>
      </c>
      <c r="K236" s="659">
        <f ca="1">IF($A236="","",IFERROR(GETPIVOTDATA("合計 / 入金予定",【ピボット】国保連売上!$A$3,"年月",$A236,"事業所コード",$B236,"事業所",$C236,"事業区分",K$1,"請求区分","単月"),0)
+IFERROR(GETPIVOTDATA("合計 / 入金予定",【ピボット】国保連売上!$A$3,"年月",$A236,"事業所コード",$B236,"事業所",$C236,"事業区分",K$1,"請求区分","再請求"),0))</f>
        <v>0</v>
      </c>
      <c r="L236" s="659">
        <f ca="1">IF($A236="","",IFERROR(GETPIVOTDATA("合計 / 処遇改善加算金",【ピボット】国保連売上!$A$3,"年月",$A236,"事業所コード",$B236,"事業所",$C236,"事業区分",K$1,"請求区分","単月"),0))</f>
        <v>0</v>
      </c>
      <c r="M236" s="659">
        <f ca="1">IF($A236="","",IFERROR(GETPIVOTDATA("合計 / 入金予定",【ピボット】国保連売上!$A$3,"年月",$A236,"事業所コード",$B236,"事業所",$C236,"事業区分",M$1,"請求区分","単月"),0)
+IFERROR(GETPIVOTDATA("合計 / 入金予定",【ピボット】国保連売上!$A$3,"年月",$A236,"事業所コード",$B236,"事業所",$C236,"事業区分",M$1,"請求区分","再請求"),0))</f>
        <v>0</v>
      </c>
      <c r="N236" s="660">
        <v>46800</v>
      </c>
      <c r="O236" s="660">
        <v>0</v>
      </c>
      <c r="P236" s="660">
        <v>682935</v>
      </c>
      <c r="Q236" s="660">
        <v>0</v>
      </c>
      <c r="R236" s="660">
        <v>0</v>
      </c>
      <c r="S236" s="660">
        <v>0</v>
      </c>
      <c r="T236" s="660">
        <v>0</v>
      </c>
      <c r="U236" s="660">
        <v>0</v>
      </c>
      <c r="V236" s="660">
        <v>0</v>
      </c>
      <c r="W236" s="660">
        <v>0</v>
      </c>
      <c r="X236" s="660">
        <v>0</v>
      </c>
      <c r="Y236" s="659">
        <f t="shared" ca="1" si="9"/>
        <v>1128956</v>
      </c>
      <c r="Z236" s="659">
        <f t="shared" ca="1" si="11"/>
        <v>729735</v>
      </c>
    </row>
    <row r="237" spans="1:26" ht="15.95" customHeight="1" x14ac:dyDescent="0.15">
      <c r="A237" s="656">
        <v>43374</v>
      </c>
      <c r="B237" s="657" t="str">
        <f t="shared" ca="1" si="10"/>
        <v>01</v>
      </c>
      <c r="C237" s="658" t="s">
        <v>34</v>
      </c>
      <c r="D237" s="659">
        <f ca="1">IF($A237="","",IFERROR(GETPIVOTDATA("合計 / 入金予定",【ピボット】国保連売上!$A$3,"年月",$A237,"事業所コード",$B237,"事業所",$C237,"事業区分",D$1,"請求区分","単月"),0)
+IFERROR(GETPIVOTDATA("合計 / 入金予定",【ピボット】国保連売上!$A$3,"年月",$A237,"事業所コード",$B237,"事業所",$C237,"事業区分",D$1,"請求区分","再請求"),0))</f>
        <v>9199107</v>
      </c>
      <c r="E237" s="659">
        <f ca="1">IF($A237="","",IFERROR(GETPIVOTDATA("合計 / 処遇改善加算金",【ピボット】国保連売上!$A$3,"年月",$A237,"事業所コード",$B237,"事業所",$C237,"事業区分",D$1,"請求区分","単月"),0))</f>
        <v>1303050</v>
      </c>
      <c r="F237" s="659">
        <f ca="1">IF($A237="","",IFERROR(GETPIVOTDATA("合計 / 入金予定",【ピボット】国保連売上!$A$3,"年月",$A237,"事業所コード",$B237,"事業所",$C237,"事業区分",F$1,"請求区分","単月"),0)
+IFERROR(GETPIVOTDATA("合計 / 入金予定",【ピボット】国保連売上!$A$3,"年月",$A237,"事業所コード",$B237,"事業所",$C237,"事業区分",F$1,"請求区分","再請求"),0))</f>
        <v>1648176</v>
      </c>
      <c r="G237" s="659">
        <f ca="1">IF($A237="","",IFERROR(GETPIVOTDATA("合計 / 処遇改善加算金",【ピボット】国保連売上!$A$3,"年月",$A237,"事業所コード",$B237,"事業所",$C237,"事業区分",F$1,"請求区分","単月"),0))</f>
        <v>360476</v>
      </c>
      <c r="H237" s="659">
        <f ca="1">IF($A237="","",IFERROR(GETPIVOTDATA("合計 / 入金予定",【ピボット】国保連売上!$A$3,"年月",$A237,"事業所コード",$B237,"事業所",$C237,"事業区分",H$1,"請求区分","単月"),0)
+IFERROR(GETPIVOTDATA("合計 / 入金予定",【ピボット】国保連売上!$A$3,"年月",$A237,"事業所コード",$B237,"事業所",$C237,"事業区分",H$1,"請求区分","再請求"),0))</f>
        <v>715111</v>
      </c>
      <c r="I237" s="659">
        <f ca="1">IF($A237="","",IFERROR(GETPIVOTDATA("合計 / 入金予定",【ピボット】国保連売上!$A$3,"年月",$A237,"事業所コード",$B237,"事業所",$C237,"事業区分",I$1,"請求区分","単月"),0)
+IFERROR(GETPIVOTDATA("合計 / 入金予定",【ピボット】国保連売上!$A$3,"年月",$A237,"事業所コード",$B237,"事業所",$C237,"事業区分",I$1,"請求区分","再請求"),0))</f>
        <v>0</v>
      </c>
      <c r="J237" s="659">
        <f ca="1">IF($A237="","",IFERROR(GETPIVOTDATA("合計 / 処遇改善加算金",【ピボット】国保連売上!$A$3,"年月",$A237,"事業所コード",$B237,"事業所",$C237,"事業区分",I$1,"請求区分","単月"),0))</f>
        <v>0</v>
      </c>
      <c r="K237" s="659">
        <f ca="1">IF($A237="","",IFERROR(GETPIVOTDATA("合計 / 入金予定",【ピボット】国保連売上!$A$3,"年月",$A237,"事業所コード",$B237,"事業所",$C237,"事業区分",K$1,"請求区分","単月"),0)
+IFERROR(GETPIVOTDATA("合計 / 入金予定",【ピボット】国保連売上!$A$3,"年月",$A237,"事業所コード",$B237,"事業所",$C237,"事業区分",K$1,"請求区分","再請求"),0))</f>
        <v>0</v>
      </c>
      <c r="L237" s="659">
        <f ca="1">IF($A237="","",IFERROR(GETPIVOTDATA("合計 / 処遇改善加算金",【ピボット】国保連売上!$A$3,"年月",$A237,"事業所コード",$B237,"事業所",$C237,"事業区分",K$1,"請求区分","単月"),0))</f>
        <v>0</v>
      </c>
      <c r="M237" s="659">
        <f ca="1">IF($A237="","",IFERROR(GETPIVOTDATA("合計 / 入金予定",【ピボット】国保連売上!$A$3,"年月",$A237,"事業所コード",$B237,"事業所",$C237,"事業区分",M$1,"請求区分","単月"),0)
+IFERROR(GETPIVOTDATA("合計 / 入金予定",【ピボット】国保連売上!$A$3,"年月",$A237,"事業所コード",$B237,"事業所",$C237,"事業区分",M$1,"請求区分","再請求"),0))</f>
        <v>0</v>
      </c>
      <c r="N237" s="660">
        <v>121735</v>
      </c>
      <c r="O237" s="1292">
        <v>47082</v>
      </c>
      <c r="P237" s="660">
        <v>563140</v>
      </c>
      <c r="Q237" s="660">
        <v>8046</v>
      </c>
      <c r="R237" s="660">
        <v>136935</v>
      </c>
      <c r="S237" s="660">
        <v>0</v>
      </c>
      <c r="T237" s="660">
        <v>0</v>
      </c>
      <c r="U237" s="660">
        <v>72000</v>
      </c>
      <c r="V237" s="660">
        <v>0</v>
      </c>
      <c r="W237" s="660">
        <v>0</v>
      </c>
      <c r="X237" s="660">
        <v>0</v>
      </c>
      <c r="Y237" s="659">
        <f t="shared" ca="1" si="9"/>
        <v>12511332</v>
      </c>
      <c r="Z237" s="659">
        <f t="shared" ca="1" si="11"/>
        <v>948938</v>
      </c>
    </row>
    <row r="238" spans="1:26" ht="15.95" customHeight="1" x14ac:dyDescent="0.15">
      <c r="A238" s="656">
        <v>43374</v>
      </c>
      <c r="B238" s="657" t="str">
        <f t="shared" ca="1" si="10"/>
        <v>02</v>
      </c>
      <c r="C238" s="658" t="s">
        <v>37</v>
      </c>
      <c r="D238" s="659">
        <f ca="1">IF($A238="","",IFERROR(GETPIVOTDATA("合計 / 入金予定",【ピボット】国保連売上!$A$3,"年月",$A238,"事業所コード",$B238,"事業所",$C238,"事業区分",D$1,"請求区分","単月"),0)
+IFERROR(GETPIVOTDATA("合計 / 入金予定",【ピボット】国保連売上!$A$3,"年月",$A238,"事業所コード",$B238,"事業所",$C238,"事業区分",D$1,"請求区分","再請求"),0))</f>
        <v>5226410</v>
      </c>
      <c r="E238" s="659">
        <f ca="1">IF($A238="","",IFERROR(GETPIVOTDATA("合計 / 処遇改善加算金",【ピボット】国保連売上!$A$3,"年月",$A238,"事業所コード",$B238,"事業所",$C238,"事業区分",D$1,"請求区分","単月"),0))</f>
        <v>567983</v>
      </c>
      <c r="F238" s="659">
        <f ca="1">IF($A238="","",IFERROR(GETPIVOTDATA("合計 / 入金予定",【ピボット】国保連売上!$A$3,"年月",$A238,"事業所コード",$B238,"事業所",$C238,"事業区分",F$1,"請求区分","単月"),0)
+IFERROR(GETPIVOTDATA("合計 / 入金予定",【ピボット】国保連売上!$A$3,"年月",$A238,"事業所コード",$B238,"事業所",$C238,"事業区分",F$1,"請求区分","再請求"),0))</f>
        <v>1400329</v>
      </c>
      <c r="G238" s="659">
        <f ca="1">IF($A238="","",IFERROR(GETPIVOTDATA("合計 / 処遇改善加算金",【ピボット】国保連売上!$A$3,"年月",$A238,"事業所コード",$B238,"事業所",$C238,"事業区分",F$1,"請求区分","単月"),0))</f>
        <v>323954</v>
      </c>
      <c r="H238" s="659">
        <f ca="1">IF($A238="","",IFERROR(GETPIVOTDATA("合計 / 入金予定",【ピボット】国保連売上!$A$3,"年月",$A238,"事業所コード",$B238,"事業所",$C238,"事業区分",H$1,"請求区分","単月"),0)
+IFERROR(GETPIVOTDATA("合計 / 入金予定",【ピボット】国保連売上!$A$3,"年月",$A238,"事業所コード",$B238,"事業所",$C238,"事業区分",H$1,"請求区分","再請求"),0))</f>
        <v>530963</v>
      </c>
      <c r="I238" s="659">
        <f ca="1">IF($A238="","",IFERROR(GETPIVOTDATA("合計 / 入金予定",【ピボット】国保連売上!$A$3,"年月",$A238,"事業所コード",$B238,"事業所",$C238,"事業区分",I$1,"請求区分","単月"),0)
+IFERROR(GETPIVOTDATA("合計 / 入金予定",【ピボット】国保連売上!$A$3,"年月",$A238,"事業所コード",$B238,"事業所",$C238,"事業区分",I$1,"請求区分","再請求"),0))</f>
        <v>0</v>
      </c>
      <c r="J238" s="659">
        <f ca="1">IF($A238="","",IFERROR(GETPIVOTDATA("合計 / 処遇改善加算金",【ピボット】国保連売上!$A$3,"年月",$A238,"事業所コード",$B238,"事業所",$C238,"事業区分",I$1,"請求区分","単月"),0))</f>
        <v>0</v>
      </c>
      <c r="K238" s="659">
        <f ca="1">IF($A238="","",IFERROR(GETPIVOTDATA("合計 / 入金予定",【ピボット】国保連売上!$A$3,"年月",$A238,"事業所コード",$B238,"事業所",$C238,"事業区分",K$1,"請求区分","単月"),0)
+IFERROR(GETPIVOTDATA("合計 / 入金予定",【ピボット】国保連売上!$A$3,"年月",$A238,"事業所コード",$B238,"事業所",$C238,"事業区分",K$1,"請求区分","再請求"),0))</f>
        <v>0</v>
      </c>
      <c r="L238" s="659">
        <f ca="1">IF($A238="","",IFERROR(GETPIVOTDATA("合計 / 処遇改善加算金",【ピボット】国保連売上!$A$3,"年月",$A238,"事業所コード",$B238,"事業所",$C238,"事業区分",K$1,"請求区分","単月"),0))</f>
        <v>0</v>
      </c>
      <c r="M238" s="659">
        <f ca="1">IF($A238="","",IFERROR(GETPIVOTDATA("合計 / 入金予定",【ピボット】国保連売上!$A$3,"年月",$A238,"事業所コード",$B238,"事業所",$C238,"事業区分",M$1,"請求区分","単月"),0)
+IFERROR(GETPIVOTDATA("合計 / 入金予定",【ピボット】国保連売上!$A$3,"年月",$A238,"事業所コード",$B238,"事業所",$C238,"事業区分",M$1,"請求区分","再請求"),0))</f>
        <v>0</v>
      </c>
      <c r="N238" s="660">
        <v>254792</v>
      </c>
      <c r="O238" s="660">
        <v>0</v>
      </c>
      <c r="P238" s="660">
        <v>0</v>
      </c>
      <c r="Q238" s="660">
        <v>1526</v>
      </c>
      <c r="R238" s="660">
        <v>143862</v>
      </c>
      <c r="S238" s="660">
        <v>0</v>
      </c>
      <c r="T238" s="660">
        <v>0</v>
      </c>
      <c r="U238" s="660">
        <v>0</v>
      </c>
      <c r="V238" s="660">
        <v>0</v>
      </c>
      <c r="W238" s="660">
        <v>0</v>
      </c>
      <c r="X238" s="660">
        <v>0</v>
      </c>
      <c r="Y238" s="659">
        <f t="shared" ca="1" si="9"/>
        <v>7557882</v>
      </c>
      <c r="Z238" s="659">
        <f t="shared" ca="1" si="11"/>
        <v>400180</v>
      </c>
    </row>
    <row r="239" spans="1:26" ht="15.95" customHeight="1" x14ac:dyDescent="0.15">
      <c r="A239" s="656">
        <v>43374</v>
      </c>
      <c r="B239" s="657" t="str">
        <f t="shared" ca="1" si="10"/>
        <v>03</v>
      </c>
      <c r="C239" s="658" t="s">
        <v>66</v>
      </c>
      <c r="D239" s="659">
        <f ca="1">IF($A239="","",IFERROR(GETPIVOTDATA("合計 / 入金予定",【ピボット】国保連売上!$A$3,"年月",$A239,"事業所コード",$B239,"事業所",$C239,"事業区分",D$1,"請求区分","単月"),0)
+IFERROR(GETPIVOTDATA("合計 / 入金予定",【ピボット】国保連売上!$A$3,"年月",$A239,"事業所コード",$B239,"事業所",$C239,"事業区分",D$1,"請求区分","再請求"),0))</f>
        <v>5132237</v>
      </c>
      <c r="E239" s="659">
        <f ca="1">IF($A239="","",IFERROR(GETPIVOTDATA("合計 / 処遇改善加算金",【ピボット】国保連売上!$A$3,"年月",$A239,"事業所コード",$B239,"事業所",$C239,"事業区分",D$1,"請求区分","単月"),0))</f>
        <v>520929</v>
      </c>
      <c r="F239" s="659">
        <f ca="1">IF($A239="","",IFERROR(GETPIVOTDATA("合計 / 入金予定",【ピボット】国保連売上!$A$3,"年月",$A239,"事業所コード",$B239,"事業所",$C239,"事業区分",F$1,"請求区分","単月"),0)
+IFERROR(GETPIVOTDATA("合計 / 入金予定",【ピボット】国保連売上!$A$3,"年月",$A239,"事業所コード",$B239,"事業所",$C239,"事業区分",F$1,"請求区分","再請求"),0))</f>
        <v>1877087</v>
      </c>
      <c r="G239" s="659">
        <f ca="1">IF($A239="","",IFERROR(GETPIVOTDATA("合計 / 処遇改善加算金",【ピボット】国保連売上!$A$3,"年月",$A239,"事業所コード",$B239,"事業所",$C239,"事業区分",F$1,"請求区分","単月"),0))</f>
        <v>436467</v>
      </c>
      <c r="H239" s="659">
        <f ca="1">IF($A239="","",IFERROR(GETPIVOTDATA("合計 / 入金予定",【ピボット】国保連売上!$A$3,"年月",$A239,"事業所コード",$B239,"事業所",$C239,"事業区分",H$1,"請求区分","単月"),0)
+IFERROR(GETPIVOTDATA("合計 / 入金予定",【ピボット】国保連売上!$A$3,"年月",$A239,"事業所コード",$B239,"事業所",$C239,"事業区分",H$1,"請求区分","再請求"),0))</f>
        <v>0</v>
      </c>
      <c r="I239" s="659">
        <f ca="1">IF($A239="","",IFERROR(GETPIVOTDATA("合計 / 入金予定",【ピボット】国保連売上!$A$3,"年月",$A239,"事業所コード",$B239,"事業所",$C239,"事業区分",I$1,"請求区分","単月"),0)
+IFERROR(GETPIVOTDATA("合計 / 入金予定",【ピボット】国保連売上!$A$3,"年月",$A239,"事業所コード",$B239,"事業所",$C239,"事業区分",I$1,"請求区分","再請求"),0))</f>
        <v>0</v>
      </c>
      <c r="J239" s="659">
        <f ca="1">IF($A239="","",IFERROR(GETPIVOTDATA("合計 / 処遇改善加算金",【ピボット】国保連売上!$A$3,"年月",$A239,"事業所コード",$B239,"事業所",$C239,"事業区分",I$1,"請求区分","単月"),0))</f>
        <v>0</v>
      </c>
      <c r="K239" s="659">
        <f ca="1">IF($A239="","",IFERROR(GETPIVOTDATA("合計 / 入金予定",【ピボット】国保連売上!$A$3,"年月",$A239,"事業所コード",$B239,"事業所",$C239,"事業区分",K$1,"請求区分","単月"),0)
+IFERROR(GETPIVOTDATA("合計 / 入金予定",【ピボット】国保連売上!$A$3,"年月",$A239,"事業所コード",$B239,"事業所",$C239,"事業区分",K$1,"請求区分","再請求"),0))</f>
        <v>0</v>
      </c>
      <c r="L239" s="659">
        <f ca="1">IF($A239="","",IFERROR(GETPIVOTDATA("合計 / 処遇改善加算金",【ピボット】国保連売上!$A$3,"年月",$A239,"事業所コード",$B239,"事業所",$C239,"事業区分",K$1,"請求区分","単月"),0))</f>
        <v>0</v>
      </c>
      <c r="M239" s="659">
        <f ca="1">IF($A239="","",IFERROR(GETPIVOTDATA("合計 / 入金予定",【ピボット】国保連売上!$A$3,"年月",$A239,"事業所コード",$B239,"事業所",$C239,"事業区分",M$1,"請求区分","単月"),0)
+IFERROR(GETPIVOTDATA("合計 / 入金予定",【ピボット】国保連売上!$A$3,"年月",$A239,"事業所コード",$B239,"事業所",$C239,"事業区分",M$1,"請求区分","再請求"),0))</f>
        <v>0</v>
      </c>
      <c r="N239" s="660">
        <v>144300</v>
      </c>
      <c r="O239" s="1292">
        <v>160808</v>
      </c>
      <c r="P239" s="660">
        <v>101920</v>
      </c>
      <c r="Q239" s="660">
        <v>3252</v>
      </c>
      <c r="R239" s="660">
        <v>0</v>
      </c>
      <c r="S239" s="660">
        <v>0</v>
      </c>
      <c r="T239" s="660">
        <v>0</v>
      </c>
      <c r="U239" s="660">
        <v>0</v>
      </c>
      <c r="V239" s="660">
        <v>0</v>
      </c>
      <c r="W239" s="660">
        <v>0</v>
      </c>
      <c r="X239" s="660">
        <v>0</v>
      </c>
      <c r="Y239" s="659">
        <f t="shared" ca="1" si="9"/>
        <v>7419604</v>
      </c>
      <c r="Z239" s="659">
        <f t="shared" ca="1" si="11"/>
        <v>410280</v>
      </c>
    </row>
    <row r="240" spans="1:26" ht="15.95" customHeight="1" x14ac:dyDescent="0.15">
      <c r="A240" s="656">
        <v>43374</v>
      </c>
      <c r="B240" s="657" t="str">
        <f t="shared" ca="1" si="10"/>
        <v>11</v>
      </c>
      <c r="C240" s="658" t="s">
        <v>967</v>
      </c>
      <c r="D240" s="659">
        <f ca="1">IF($A240="","",IFERROR(GETPIVOTDATA("合計 / 入金予定",【ピボット】国保連売上!$A$3,"年月",$A240,"事業所コード",$B240,"事業所",$C240,"事業区分",D$1,"請求区分","単月"),0)
+IFERROR(GETPIVOTDATA("合計 / 入金予定",【ピボット】国保連売上!$A$3,"年月",$A240,"事業所コード",$B240,"事業所",$C240,"事業区分",D$1,"請求区分","再請求"),0))</f>
        <v>1520946</v>
      </c>
      <c r="E240" s="659">
        <f ca="1">IF($A240="","",IFERROR(GETPIVOTDATA("合計 / 処遇改善加算金",【ピボット】国保連売上!$A$3,"年月",$A240,"事業所コード",$B240,"事業所",$C240,"事業区分",D$1,"請求区分","単月"),0))</f>
        <v>0</v>
      </c>
      <c r="F240" s="659">
        <f ca="1">IF($A240="","",IFERROR(GETPIVOTDATA("合計 / 入金予定",【ピボット】国保連売上!$A$3,"年月",$A240,"事業所コード",$B240,"事業所",$C240,"事業区分",F$1,"請求区分","単月"),0)
+IFERROR(GETPIVOTDATA("合計 / 入金予定",【ピボット】国保連売上!$A$3,"年月",$A240,"事業所コード",$B240,"事業所",$C240,"事業区分",F$1,"請求区分","再請求"),0))</f>
        <v>105500</v>
      </c>
      <c r="G240" s="659">
        <f ca="1">IF($A240="","",IFERROR(GETPIVOTDATA("合計 / 処遇改善加算金",【ピボット】国保連売上!$A$3,"年月",$A240,"事業所コード",$B240,"事業所",$C240,"事業区分",F$1,"請求区分","単月"),0))</f>
        <v>21396</v>
      </c>
      <c r="H240" s="659">
        <f ca="1">IF($A240="","",IFERROR(GETPIVOTDATA("合計 / 入金予定",【ピボット】国保連売上!$A$3,"年月",$A240,"事業所コード",$B240,"事業所",$C240,"事業区分",H$1,"請求区分","単月"),0)
+IFERROR(GETPIVOTDATA("合計 / 入金予定",【ピボット】国保連売上!$A$3,"年月",$A240,"事業所コード",$B240,"事業所",$C240,"事業区分",H$1,"請求区分","再請求"),0))</f>
        <v>0</v>
      </c>
      <c r="I240" s="659">
        <f ca="1">IF($A240="","",IFERROR(GETPIVOTDATA("合計 / 入金予定",【ピボット】国保連売上!$A$3,"年月",$A240,"事業所コード",$B240,"事業所",$C240,"事業区分",I$1,"請求区分","単月"),0)
+IFERROR(GETPIVOTDATA("合計 / 入金予定",【ピボット】国保連売上!$A$3,"年月",$A240,"事業所コード",$B240,"事業所",$C240,"事業区分",I$1,"請求区分","再請求"),0))</f>
        <v>0</v>
      </c>
      <c r="J240" s="659">
        <f ca="1">IF($A240="","",IFERROR(GETPIVOTDATA("合計 / 処遇改善加算金",【ピボット】国保連売上!$A$3,"年月",$A240,"事業所コード",$B240,"事業所",$C240,"事業区分",I$1,"請求区分","単月"),0))</f>
        <v>0</v>
      </c>
      <c r="K240" s="659">
        <f ca="1">IF($A240="","",IFERROR(GETPIVOTDATA("合計 / 入金予定",【ピボット】国保連売上!$A$3,"年月",$A240,"事業所コード",$B240,"事業所",$C240,"事業区分",K$1,"請求区分","単月"),0)
+IFERROR(GETPIVOTDATA("合計 / 入金予定",【ピボット】国保連売上!$A$3,"年月",$A240,"事業所コード",$B240,"事業所",$C240,"事業区分",K$1,"請求区分","再請求"),0))</f>
        <v>0</v>
      </c>
      <c r="L240" s="659">
        <f ca="1">IF($A240="","",IFERROR(GETPIVOTDATA("合計 / 処遇改善加算金",【ピボット】国保連売上!$A$3,"年月",$A240,"事業所コード",$B240,"事業所",$C240,"事業区分",K$1,"請求区分","単月"),0))</f>
        <v>0</v>
      </c>
      <c r="M240" s="659">
        <f ca="1">IF($A240="","",IFERROR(GETPIVOTDATA("合計 / 入金予定",【ピボット】国保連売上!$A$3,"年月",$A240,"事業所コード",$B240,"事業所",$C240,"事業区分",M$1,"請求区分","単月"),0)
+IFERROR(GETPIVOTDATA("合計 / 入金予定",【ピボット】国保連売上!$A$3,"年月",$A240,"事業所コード",$B240,"事業所",$C240,"事業区分",M$1,"請求区分","再請求"),0))</f>
        <v>0</v>
      </c>
      <c r="N240" s="660">
        <v>5100</v>
      </c>
      <c r="O240" s="660">
        <v>0</v>
      </c>
      <c r="P240" s="660">
        <v>0</v>
      </c>
      <c r="Q240" s="660">
        <v>0</v>
      </c>
      <c r="R240" s="660">
        <v>0</v>
      </c>
      <c r="S240" s="660">
        <v>0</v>
      </c>
      <c r="T240" s="660">
        <v>0</v>
      </c>
      <c r="U240" s="660">
        <v>0</v>
      </c>
      <c r="V240" s="660">
        <v>0</v>
      </c>
      <c r="W240" s="660">
        <v>0</v>
      </c>
      <c r="X240" s="660">
        <v>0</v>
      </c>
      <c r="Y240" s="659">
        <f t="shared" ca="1" si="9"/>
        <v>1631546</v>
      </c>
      <c r="Z240" s="659">
        <f t="shared" ca="1" si="11"/>
        <v>5100</v>
      </c>
    </row>
    <row r="241" spans="1:26" ht="15.95" customHeight="1" x14ac:dyDescent="0.15">
      <c r="A241" s="656">
        <v>43374</v>
      </c>
      <c r="B241" s="657" t="str">
        <f t="shared" ca="1" si="10"/>
        <v>12</v>
      </c>
      <c r="C241" s="658" t="s">
        <v>1143</v>
      </c>
      <c r="D241" s="659">
        <f ca="1">IF($A241="","",IFERROR(GETPIVOTDATA("合計 / 入金予定",【ピボット】国保連売上!$A$3,"年月",$A241,"事業所コード",$B241,"事業所",$C241,"事業区分",D$1,"請求区分","単月"),0)
+IFERROR(GETPIVOTDATA("合計 / 入金予定",【ピボット】国保連売上!$A$3,"年月",$A241,"事業所コード",$B241,"事業所",$C241,"事業区分",D$1,"請求区分","再請求"),0))</f>
        <v>174827</v>
      </c>
      <c r="E241" s="659">
        <f ca="1">IF($A241="","",IFERROR(GETPIVOTDATA("合計 / 処遇改善加算金",【ピボット】国保連売上!$A$3,"年月",$A241,"事業所コード",$B241,"事業所",$C241,"事業区分",D$1,"請求区分","単月"),0))</f>
        <v>13766</v>
      </c>
      <c r="F241" s="659">
        <f ca="1">IF($A241="","",IFERROR(GETPIVOTDATA("合計 / 入金予定",【ピボット】国保連売上!$A$3,"年月",$A241,"事業所コード",$B241,"事業所",$C241,"事業区分",F$1,"請求区分","単月"),0)
+IFERROR(GETPIVOTDATA("合計 / 入金予定",【ピボット】国保連売上!$A$3,"年月",$A241,"事業所コード",$B241,"事業所",$C241,"事業区分",F$1,"請求区分","再請求"),0))</f>
        <v>59457</v>
      </c>
      <c r="G241" s="659">
        <f ca="1">IF($A241="","",IFERROR(GETPIVOTDATA("合計 / 処遇改善加算金",【ピボット】国保連売上!$A$3,"年月",$A241,"事業所コード",$B241,"事業所",$C241,"事業区分",F$1,"請求区分","単月"),0))</f>
        <v>13820</v>
      </c>
      <c r="H241" s="659">
        <f ca="1">IF($A241="","",IFERROR(GETPIVOTDATA("合計 / 入金予定",【ピボット】国保連売上!$A$3,"年月",$A241,"事業所コード",$B241,"事業所",$C241,"事業区分",H$1,"請求区分","単月"),0)
+IFERROR(GETPIVOTDATA("合計 / 入金予定",【ピボット】国保連売上!$A$3,"年月",$A241,"事業所コード",$B241,"事業所",$C241,"事業区分",H$1,"請求区分","再請求"),0))</f>
        <v>0</v>
      </c>
      <c r="I241" s="659">
        <f ca="1">IF($A241="","",IFERROR(GETPIVOTDATA("合計 / 入金予定",【ピボット】国保連売上!$A$3,"年月",$A241,"事業所コード",$B241,"事業所",$C241,"事業区分",I$1,"請求区分","単月"),0)
+IFERROR(GETPIVOTDATA("合計 / 入金予定",【ピボット】国保連売上!$A$3,"年月",$A241,"事業所コード",$B241,"事業所",$C241,"事業区分",I$1,"請求区分","再請求"),0))</f>
        <v>0</v>
      </c>
      <c r="J241" s="659">
        <f ca="1">IF($A241="","",IFERROR(GETPIVOTDATA("合計 / 処遇改善加算金",【ピボット】国保連売上!$A$3,"年月",$A241,"事業所コード",$B241,"事業所",$C241,"事業区分",I$1,"請求区分","単月"),0))</f>
        <v>0</v>
      </c>
      <c r="K241" s="659">
        <f ca="1">IF($A241="","",IFERROR(GETPIVOTDATA("合計 / 入金予定",【ピボット】国保連売上!$A$3,"年月",$A241,"事業所コード",$B241,"事業所",$C241,"事業区分",K$1,"請求区分","単月"),0)
+IFERROR(GETPIVOTDATA("合計 / 入金予定",【ピボット】国保連売上!$A$3,"年月",$A241,"事業所コード",$B241,"事業所",$C241,"事業区分",K$1,"請求区分","再請求"),0))</f>
        <v>0</v>
      </c>
      <c r="L241" s="659">
        <f ca="1">IF($A241="","",IFERROR(GETPIVOTDATA("合計 / 処遇改善加算金",【ピボット】国保連売上!$A$3,"年月",$A241,"事業所コード",$B241,"事業所",$C241,"事業区分",K$1,"請求区分","単月"),0))</f>
        <v>0</v>
      </c>
      <c r="M241" s="659">
        <f ca="1">IF($A241="","",IFERROR(GETPIVOTDATA("合計 / 入金予定",【ピボット】国保連売上!$A$3,"年月",$A241,"事業所コード",$B241,"事業所",$C241,"事業区分",M$1,"請求区分","単月"),0)
+IFERROR(GETPIVOTDATA("合計 / 入金予定",【ピボット】国保連売上!$A$3,"年月",$A241,"事業所コード",$B241,"事業所",$C241,"事業区分",M$1,"請求区分","再請求"),0))</f>
        <v>0</v>
      </c>
      <c r="N241" s="660">
        <v>0</v>
      </c>
      <c r="O241" s="660">
        <v>0</v>
      </c>
      <c r="P241" s="660">
        <v>0</v>
      </c>
      <c r="Q241" s="660">
        <v>0</v>
      </c>
      <c r="R241" s="660">
        <v>0</v>
      </c>
      <c r="S241" s="660">
        <v>0</v>
      </c>
      <c r="T241" s="660">
        <v>0</v>
      </c>
      <c r="U241" s="660">
        <v>0</v>
      </c>
      <c r="V241" s="660">
        <v>0</v>
      </c>
      <c r="W241" s="660">
        <v>0</v>
      </c>
      <c r="X241" s="660">
        <v>0</v>
      </c>
      <c r="Y241" s="659">
        <f t="shared" ca="1" si="9"/>
        <v>234284</v>
      </c>
      <c r="Z241" s="659">
        <f t="shared" ca="1" si="11"/>
        <v>0</v>
      </c>
    </row>
    <row r="242" spans="1:26" ht="15.95" customHeight="1" x14ac:dyDescent="0.15">
      <c r="A242" s="656">
        <v>43374</v>
      </c>
      <c r="B242" s="657" t="str">
        <f t="shared" ca="1" si="10"/>
        <v>04</v>
      </c>
      <c r="C242" s="658" t="s">
        <v>358</v>
      </c>
      <c r="D242" s="659">
        <f ca="1">IF($A242="","",IFERROR(GETPIVOTDATA("合計 / 入金予定",【ピボット】国保連売上!$A$3,"年月",$A242,"事業所コード",$B242,"事業所",$C242,"事業区分",D$1,"請求区分","単月"),0)
+IFERROR(GETPIVOTDATA("合計 / 入金予定",【ピボット】国保連売上!$A$3,"年月",$A242,"事業所コード",$B242,"事業所",$C242,"事業区分",D$1,"請求区分","再請求"),0))</f>
        <v>0</v>
      </c>
      <c r="E242" s="659">
        <f ca="1">IF($A242="","",IFERROR(GETPIVOTDATA("合計 / 処遇改善加算金",【ピボット】国保連売上!$A$3,"年月",$A242,"事業所コード",$B242,"事業所",$C242,"事業区分",D$1,"請求区分","単月"),0))</f>
        <v>0</v>
      </c>
      <c r="F242" s="659">
        <f ca="1">IF($A242="","",IFERROR(GETPIVOTDATA("合計 / 入金予定",【ピボット】国保連売上!$A$3,"年月",$A242,"事業所コード",$B242,"事業所",$C242,"事業区分",F$1,"請求区分","単月"),0)
+IFERROR(GETPIVOTDATA("合計 / 入金予定",【ピボット】国保連売上!$A$3,"年月",$A242,"事業所コード",$B242,"事業所",$C242,"事業区分",F$1,"請求区分","再請求"),0))</f>
        <v>0</v>
      </c>
      <c r="G242" s="659">
        <f ca="1">IF($A242="","",IFERROR(GETPIVOTDATA("合計 / 処遇改善加算金",【ピボット】国保連売上!$A$3,"年月",$A242,"事業所コード",$B242,"事業所",$C242,"事業区分",F$1,"請求区分","単月"),0))</f>
        <v>0</v>
      </c>
      <c r="H242" s="659">
        <f ca="1">IF($A242="","",IFERROR(GETPIVOTDATA("合計 / 入金予定",【ピボット】国保連売上!$A$3,"年月",$A242,"事業所コード",$B242,"事業所",$C242,"事業区分",H$1,"請求区分","単月"),0)
+IFERROR(GETPIVOTDATA("合計 / 入金予定",【ピボット】国保連売上!$A$3,"年月",$A242,"事業所コード",$B242,"事業所",$C242,"事業区分",H$1,"請求区分","再請求"),0))</f>
        <v>0</v>
      </c>
      <c r="I242" s="659">
        <f ca="1">IF($A242="","",IFERROR(GETPIVOTDATA("合計 / 入金予定",【ピボット】国保連売上!$A$3,"年月",$A242,"事業所コード",$B242,"事業所",$C242,"事業区分",I$1,"請求区分","単月"),0)
+IFERROR(GETPIVOTDATA("合計 / 入金予定",【ピボット】国保連売上!$A$3,"年月",$A242,"事業所コード",$B242,"事業所",$C242,"事業区分",I$1,"請求区分","再請求"),0))</f>
        <v>4202400</v>
      </c>
      <c r="J242" s="659">
        <f ca="1">IF($A242="","",IFERROR(GETPIVOTDATA("合計 / 処遇改善加算金",【ピボット】国保連売上!$A$3,"年月",$A242,"事業所コード",$B242,"事業所",$C242,"事業区分",I$1,"請求区分","単月"),0))</f>
        <v>234125</v>
      </c>
      <c r="K242" s="659">
        <f ca="1">IF($A242="","",IFERROR(GETPIVOTDATA("合計 / 入金予定",【ピボット】国保連売上!$A$3,"年月",$A242,"事業所コード",$B242,"事業所",$C242,"事業区分",K$1,"請求区分","単月"),0)
+IFERROR(GETPIVOTDATA("合計 / 入金予定",【ピボット】国保連売上!$A$3,"年月",$A242,"事業所コード",$B242,"事業所",$C242,"事業区分",K$1,"請求区分","再請求"),0))</f>
        <v>0</v>
      </c>
      <c r="L242" s="659">
        <f ca="1">IF($A242="","",IFERROR(GETPIVOTDATA("合計 / 処遇改善加算金",【ピボット】国保連売上!$A$3,"年月",$A242,"事業所コード",$B242,"事業所",$C242,"事業区分",K$1,"請求区分","単月"),0))</f>
        <v>0</v>
      </c>
      <c r="M242" s="659">
        <f ca="1">IF($A242="","",IFERROR(GETPIVOTDATA("合計 / 入金予定",【ピボット】国保連売上!$A$3,"年月",$A242,"事業所コード",$B242,"事業所",$C242,"事業区分",M$1,"請求区分","単月"),0)
+IFERROR(GETPIVOTDATA("合計 / 入金予定",【ピボット】国保連売上!$A$3,"年月",$A242,"事業所コード",$B242,"事業所",$C242,"事業区分",M$1,"請求区分","再請求"),0))</f>
        <v>0</v>
      </c>
      <c r="N242" s="660">
        <v>0</v>
      </c>
      <c r="O242" s="660">
        <v>0</v>
      </c>
      <c r="P242" s="660">
        <v>0</v>
      </c>
      <c r="Q242" s="660">
        <v>0</v>
      </c>
      <c r="R242" s="660">
        <v>0</v>
      </c>
      <c r="S242" s="660">
        <v>0</v>
      </c>
      <c r="T242" s="660">
        <v>239800</v>
      </c>
      <c r="U242" s="660">
        <v>0</v>
      </c>
      <c r="V242" s="660">
        <v>0</v>
      </c>
      <c r="W242" s="660">
        <v>0</v>
      </c>
      <c r="X242" s="660">
        <v>0</v>
      </c>
      <c r="Y242" s="659">
        <f t="shared" ca="1" si="9"/>
        <v>4442200</v>
      </c>
      <c r="Z242" s="659">
        <f t="shared" ca="1" si="11"/>
        <v>239800</v>
      </c>
    </row>
    <row r="243" spans="1:26" ht="15.95" customHeight="1" x14ac:dyDescent="0.15">
      <c r="A243" s="656">
        <v>43374</v>
      </c>
      <c r="B243" s="657" t="str">
        <f t="shared" ca="1" si="10"/>
        <v>05</v>
      </c>
      <c r="C243" s="658" t="s">
        <v>359</v>
      </c>
      <c r="D243" s="659">
        <f ca="1">IF($A243="","",IFERROR(GETPIVOTDATA("合計 / 入金予定",【ピボット】国保連売上!$A$3,"年月",$A243,"事業所コード",$B243,"事業所",$C243,"事業区分",D$1,"請求区分","単月"),0)
+IFERROR(GETPIVOTDATA("合計 / 入金予定",【ピボット】国保連売上!$A$3,"年月",$A243,"事業所コード",$B243,"事業所",$C243,"事業区分",D$1,"請求区分","再請求"),0))</f>
        <v>1618585</v>
      </c>
      <c r="E243" s="659">
        <f ca="1">IF($A243="","",IFERROR(GETPIVOTDATA("合計 / 処遇改善加算金",【ピボット】国保連売上!$A$3,"年月",$A243,"事業所コード",$B243,"事業所",$C243,"事業区分",D$1,"請求区分","単月"),0))</f>
        <v>0</v>
      </c>
      <c r="F243" s="659">
        <f ca="1">IF($A243="","",IFERROR(GETPIVOTDATA("合計 / 入金予定",【ピボット】国保連売上!$A$3,"年月",$A243,"事業所コード",$B243,"事業所",$C243,"事業区分",F$1,"請求区分","単月"),0)
+IFERROR(GETPIVOTDATA("合計 / 入金予定",【ピボット】国保連売上!$A$3,"年月",$A243,"事業所コード",$B243,"事業所",$C243,"事業区分",F$1,"請求区分","再請求"),0))</f>
        <v>0</v>
      </c>
      <c r="G243" s="659">
        <f ca="1">IF($A243="","",IFERROR(GETPIVOTDATA("合計 / 処遇改善加算金",【ピボット】国保連売上!$A$3,"年月",$A243,"事業所コード",$B243,"事業所",$C243,"事業区分",F$1,"請求区分","単月"),0))</f>
        <v>0</v>
      </c>
      <c r="H243" s="659">
        <f ca="1">IF($A243="","",IFERROR(GETPIVOTDATA("合計 / 入金予定",【ピボット】国保連売上!$A$3,"年月",$A243,"事業所コード",$B243,"事業所",$C243,"事業区分",H$1,"請求区分","単月"),0)
+IFERROR(GETPIVOTDATA("合計 / 入金予定",【ピボット】国保連売上!$A$3,"年月",$A243,"事業所コード",$B243,"事業所",$C243,"事業区分",H$1,"請求区分","再請求"),0))</f>
        <v>0</v>
      </c>
      <c r="I243" s="659">
        <f ca="1">IF($A243="","",IFERROR(GETPIVOTDATA("合計 / 入金予定",【ピボット】国保連売上!$A$3,"年月",$A243,"事業所コード",$B243,"事業所",$C243,"事業区分",I$1,"請求区分","単月"),0)
+IFERROR(GETPIVOTDATA("合計 / 入金予定",【ピボット】国保連売上!$A$3,"年月",$A243,"事業所コード",$B243,"事業所",$C243,"事業区分",I$1,"請求区分","再請求"),0))</f>
        <v>0</v>
      </c>
      <c r="J243" s="659">
        <f ca="1">IF($A243="","",IFERROR(GETPIVOTDATA("合計 / 処遇改善加算金",【ピボット】国保連売上!$A$3,"年月",$A243,"事業所コード",$B243,"事業所",$C243,"事業区分",I$1,"請求区分","単月"),0))</f>
        <v>0</v>
      </c>
      <c r="K243" s="659">
        <f ca="1">IF($A243="","",IFERROR(GETPIVOTDATA("合計 / 入金予定",【ピボット】国保連売上!$A$3,"年月",$A243,"事業所コード",$B243,"事業所",$C243,"事業区分",K$1,"請求区分","単月"),0)
+IFERROR(GETPIVOTDATA("合計 / 入金予定",【ピボット】国保連売上!$A$3,"年月",$A243,"事業所コード",$B243,"事業所",$C243,"事業区分",K$1,"請求区分","再請求"),0))</f>
        <v>0</v>
      </c>
      <c r="L243" s="659">
        <f ca="1">IF($A243="","",IFERROR(GETPIVOTDATA("合計 / 処遇改善加算金",【ピボット】国保連売上!$A$3,"年月",$A243,"事業所コード",$B243,"事業所",$C243,"事業区分",K$1,"請求区分","単月"),0))</f>
        <v>0</v>
      </c>
      <c r="M243" s="659">
        <f ca="1">IF($A243="","",IFERROR(GETPIVOTDATA("合計 / 入金予定",【ピボット】国保連売上!$A$3,"年月",$A243,"事業所コード",$B243,"事業所",$C243,"事業区分",M$1,"請求区分","単月"),0)
+IFERROR(GETPIVOTDATA("合計 / 入金予定",【ピボット】国保連売上!$A$3,"年月",$A243,"事業所コード",$B243,"事業所",$C243,"事業区分",M$1,"請求区分","再請求"),0))</f>
        <v>0</v>
      </c>
      <c r="N243" s="660">
        <v>0</v>
      </c>
      <c r="O243" s="660">
        <v>0</v>
      </c>
      <c r="P243" s="660">
        <v>0</v>
      </c>
      <c r="Q243" s="660">
        <v>0</v>
      </c>
      <c r="R243" s="660">
        <v>0</v>
      </c>
      <c r="S243" s="660">
        <v>778680</v>
      </c>
      <c r="T243" s="660">
        <v>0</v>
      </c>
      <c r="U243" s="660">
        <v>0</v>
      </c>
      <c r="V243" s="660">
        <v>0</v>
      </c>
      <c r="W243" s="660">
        <v>0</v>
      </c>
      <c r="X243" s="660">
        <v>0</v>
      </c>
      <c r="Y243" s="659">
        <f t="shared" ca="1" si="9"/>
        <v>2397265</v>
      </c>
      <c r="Z243" s="659">
        <f t="shared" ca="1" si="11"/>
        <v>778680</v>
      </c>
    </row>
    <row r="244" spans="1:26" ht="15.95" customHeight="1" x14ac:dyDescent="0.15">
      <c r="A244" s="656">
        <v>43374</v>
      </c>
      <c r="B244" s="657" t="str">
        <f t="shared" ca="1" si="10"/>
        <v>07</v>
      </c>
      <c r="C244" s="658" t="s">
        <v>119</v>
      </c>
      <c r="D244" s="659">
        <f ca="1">IF($A244="","",IFERROR(GETPIVOTDATA("合計 / 入金予定",【ピボット】国保連売上!$A$3,"年月",$A244,"事業所コード",$B244,"事業所",$C244,"事業区分",D$1,"請求区分","単月"),0)
+IFERROR(GETPIVOTDATA("合計 / 入金予定",【ピボット】国保連売上!$A$3,"年月",$A244,"事業所コード",$B244,"事業所",$C244,"事業区分",D$1,"請求区分","再請求"),0))</f>
        <v>0</v>
      </c>
      <c r="E244" s="659">
        <f ca="1">IF($A244="","",IFERROR(GETPIVOTDATA("合計 / 処遇改善加算金",【ピボット】国保連売上!$A$3,"年月",$A244,"事業所コード",$B244,"事業所",$C244,"事業区分",D$1,"請求区分","単月"),0))</f>
        <v>0</v>
      </c>
      <c r="F244" s="659">
        <f ca="1">IF($A244="","",IFERROR(GETPIVOTDATA("合計 / 入金予定",【ピボット】国保連売上!$A$3,"年月",$A244,"事業所コード",$B244,"事業所",$C244,"事業区分",F$1,"請求区分","単月"),0)
+IFERROR(GETPIVOTDATA("合計 / 入金予定",【ピボット】国保連売上!$A$3,"年月",$A244,"事業所コード",$B244,"事業所",$C244,"事業区分",F$1,"請求区分","再請求"),0))</f>
        <v>0</v>
      </c>
      <c r="G244" s="659">
        <f ca="1">IF($A244="","",IFERROR(GETPIVOTDATA("合計 / 処遇改善加算金",【ピボット】国保連売上!$A$3,"年月",$A244,"事業所コード",$B244,"事業所",$C244,"事業区分",F$1,"請求区分","単月"),0))</f>
        <v>0</v>
      </c>
      <c r="H244" s="659">
        <f ca="1">IF($A244="","",IFERROR(GETPIVOTDATA("合計 / 入金予定",【ピボット】国保連売上!$A$3,"年月",$A244,"事業所コード",$B244,"事業所",$C244,"事業区分",H$1,"請求区分","単月"),0)
+IFERROR(GETPIVOTDATA("合計 / 入金予定",【ピボット】国保連売上!$A$3,"年月",$A244,"事業所コード",$B244,"事業所",$C244,"事業区分",H$1,"請求区分","再請求"),0))</f>
        <v>0</v>
      </c>
      <c r="I244" s="659">
        <f ca="1">IF($A244="","",IFERROR(GETPIVOTDATA("合計 / 入金予定",【ピボット】国保連売上!$A$3,"年月",$A244,"事業所コード",$B244,"事業所",$C244,"事業区分",I$1,"請求区分","単月"),0)
+IFERROR(GETPIVOTDATA("合計 / 入金予定",【ピボット】国保連売上!$A$3,"年月",$A244,"事業所コード",$B244,"事業所",$C244,"事業区分",I$1,"請求区分","再請求"),0))</f>
        <v>0</v>
      </c>
      <c r="J244" s="659">
        <f ca="1">IF($A244="","",IFERROR(GETPIVOTDATA("合計 / 処遇改善加算金",【ピボット】国保連売上!$A$3,"年月",$A244,"事業所コード",$B244,"事業所",$C244,"事業区分",I$1,"請求区分","単月"),0))</f>
        <v>0</v>
      </c>
      <c r="K244" s="659">
        <f ca="1">IF($A244="","",IFERROR(GETPIVOTDATA("合計 / 入金予定",【ピボット】国保連売上!$A$3,"年月",$A244,"事業所コード",$B244,"事業所",$C244,"事業区分",K$1,"請求区分","単月"),0)
+IFERROR(GETPIVOTDATA("合計 / 入金予定",【ピボット】国保連売上!$A$3,"年月",$A244,"事業所コード",$B244,"事業所",$C244,"事業区分",K$1,"請求区分","再請求"),0))</f>
        <v>1101110</v>
      </c>
      <c r="L244" s="659">
        <f ca="1">IF($A244="","",IFERROR(GETPIVOTDATA("合計 / 処遇改善加算金",【ピボット】国保連売上!$A$3,"年月",$A244,"事業所コード",$B244,"事業所",$C244,"事業区分",K$1,"請求区分","単月"),0))</f>
        <v>306754</v>
      </c>
      <c r="M244" s="659">
        <f ca="1">IF($A244="","",IFERROR(GETPIVOTDATA("合計 / 入金予定",【ピボット】国保連売上!$A$3,"年月",$A244,"事業所コード",$B244,"事業所",$C244,"事業区分",M$1,"請求区分","単月"),0)
+IFERROR(GETPIVOTDATA("合計 / 入金予定",【ピボット】国保連売上!$A$3,"年月",$A244,"事業所コード",$B244,"事業所",$C244,"事業区分",M$1,"請求区分","再請求"),0))</f>
        <v>0</v>
      </c>
      <c r="N244" s="660">
        <v>0</v>
      </c>
      <c r="O244" s="660">
        <v>0</v>
      </c>
      <c r="P244" s="660">
        <v>0</v>
      </c>
      <c r="Q244" s="660">
        <v>0</v>
      </c>
      <c r="R244" s="660">
        <v>0</v>
      </c>
      <c r="S244" s="660">
        <v>78000</v>
      </c>
      <c r="T244" s="660">
        <v>0</v>
      </c>
      <c r="U244" s="660">
        <v>0</v>
      </c>
      <c r="V244" s="660">
        <v>-40000</v>
      </c>
      <c r="W244" s="660">
        <v>0</v>
      </c>
      <c r="X244" s="660">
        <v>0</v>
      </c>
      <c r="Y244" s="659">
        <f ca="1">IF(A244="","",SUM(D244,F244,H244:I244,K244,M244:X244))</f>
        <v>1139110</v>
      </c>
      <c r="Z244" s="659">
        <f ca="1">IF(B244="","",SUM(N244:X244))</f>
        <v>38000</v>
      </c>
    </row>
    <row r="245" spans="1:26" ht="15.95" customHeight="1" x14ac:dyDescent="0.15">
      <c r="A245" s="656">
        <v>43374</v>
      </c>
      <c r="B245" s="657" t="str">
        <f t="shared" ca="1" si="10"/>
        <v>08</v>
      </c>
      <c r="C245" s="658" t="s">
        <v>189</v>
      </c>
      <c r="D245" s="659">
        <f ca="1">IF($A245="","",IFERROR(GETPIVOTDATA("合計 / 入金予定",【ピボット】国保連売上!$A$3,"年月",$A245,"事業所コード",$B245,"事業所",$C245,"事業区分",D$1,"請求区分","単月"),0)
+IFERROR(GETPIVOTDATA("合計 / 入金予定",【ピボット】国保連売上!$A$3,"年月",$A245,"事業所コード",$B245,"事業所",$C245,"事業区分",D$1,"請求区分","再請求"),0))</f>
        <v>0</v>
      </c>
      <c r="E245" s="659">
        <f ca="1">IF($A245="","",IFERROR(GETPIVOTDATA("合計 / 処遇改善加算金",【ピボット】国保連売上!$A$3,"年月",$A245,"事業所コード",$B245,"事業所",$C245,"事業区分",D$1,"請求区分","単月"),0))</f>
        <v>0</v>
      </c>
      <c r="F245" s="659">
        <f ca="1">IF($A245="","",IFERROR(GETPIVOTDATA("合計 / 入金予定",【ピボット】国保連売上!$A$3,"年月",$A245,"事業所コード",$B245,"事業所",$C245,"事業区分",F$1,"請求区分","単月"),0)
+IFERROR(GETPIVOTDATA("合計 / 入金予定",【ピボット】国保連売上!$A$3,"年月",$A245,"事業所コード",$B245,"事業所",$C245,"事業区分",F$1,"請求区分","再請求"),0))</f>
        <v>0</v>
      </c>
      <c r="G245" s="659">
        <f ca="1">IF($A245="","",IFERROR(GETPIVOTDATA("合計 / 処遇改善加算金",【ピボット】国保連売上!$A$3,"年月",$A245,"事業所コード",$B245,"事業所",$C245,"事業区分",F$1,"請求区分","単月"),0))</f>
        <v>0</v>
      </c>
      <c r="H245" s="659">
        <f ca="1">IF($A245="","",IFERROR(GETPIVOTDATA("合計 / 入金予定",【ピボット】国保連売上!$A$3,"年月",$A245,"事業所コード",$B245,"事業所",$C245,"事業区分",H$1,"請求区分","単月"),0)
+IFERROR(GETPIVOTDATA("合計 / 入金予定",【ピボット】国保連売上!$A$3,"年月",$A245,"事業所コード",$B245,"事業所",$C245,"事業区分",H$1,"請求区分","再請求"),0))</f>
        <v>0</v>
      </c>
      <c r="I245" s="659">
        <f ca="1">IF($A245="","",IFERROR(GETPIVOTDATA("合計 / 入金予定",【ピボット】国保連売上!$A$3,"年月",$A245,"事業所コード",$B245,"事業所",$C245,"事業区分",I$1,"請求区分","単月"),0)
+IFERROR(GETPIVOTDATA("合計 / 入金予定",【ピボット】国保連売上!$A$3,"年月",$A245,"事業所コード",$B245,"事業所",$C245,"事業区分",I$1,"請求区分","再請求"),0))</f>
        <v>0</v>
      </c>
      <c r="J245" s="659">
        <f ca="1">IF($A245="","",IFERROR(GETPIVOTDATA("合計 / 処遇改善加算金",【ピボット】国保連売上!$A$3,"年月",$A245,"事業所コード",$B245,"事業所",$C245,"事業区分",I$1,"請求区分","単月"),0))</f>
        <v>0</v>
      </c>
      <c r="K245" s="659">
        <f ca="1">IF($A245="","",IFERROR(GETPIVOTDATA("合計 / 入金予定",【ピボット】国保連売上!$A$3,"年月",$A245,"事業所コード",$B245,"事業所",$C245,"事業区分",K$1,"請求区分","単月"),0)
+IFERROR(GETPIVOTDATA("合計 / 入金予定",【ピボット】国保連売上!$A$3,"年月",$A245,"事業所コード",$B245,"事業所",$C245,"事業区分",K$1,"請求区分","再請求"),0))</f>
        <v>1019657</v>
      </c>
      <c r="L245" s="659">
        <f ca="1">IF($A245="","",IFERROR(GETPIVOTDATA("合計 / 処遇改善加算金",【ピボット】国保連売上!$A$3,"年月",$A245,"事業所コード",$B245,"事業所",$C245,"事業区分",K$1,"請求区分","単月"),0))</f>
        <v>0</v>
      </c>
      <c r="M245" s="659">
        <f ca="1">IF($A245="","",IFERROR(GETPIVOTDATA("合計 / 入金予定",【ピボット】国保連売上!$A$3,"年月",$A245,"事業所コード",$B245,"事業所",$C245,"事業区分",M$1,"請求区分","単月"),0)
+IFERROR(GETPIVOTDATA("合計 / 入金予定",【ピボット】国保連売上!$A$3,"年月",$A245,"事業所コード",$B245,"事業所",$C245,"事業区分",M$1,"請求区分","再請求"),0))</f>
        <v>0</v>
      </c>
      <c r="N245" s="660">
        <v>0</v>
      </c>
      <c r="O245" s="660">
        <v>0</v>
      </c>
      <c r="P245" s="660">
        <v>0</v>
      </c>
      <c r="Q245" s="660">
        <v>0</v>
      </c>
      <c r="R245" s="660">
        <v>0</v>
      </c>
      <c r="S245" s="660">
        <v>98000</v>
      </c>
      <c r="T245" s="660">
        <v>0</v>
      </c>
      <c r="U245" s="660">
        <v>0</v>
      </c>
      <c r="V245" s="660">
        <v>-30000</v>
      </c>
      <c r="W245" s="660">
        <v>0</v>
      </c>
      <c r="X245" s="660">
        <v>0</v>
      </c>
      <c r="Y245" s="659">
        <f t="shared" ca="1" si="9"/>
        <v>1087657</v>
      </c>
      <c r="Z245" s="659">
        <f t="shared" ca="1" si="11"/>
        <v>68000</v>
      </c>
    </row>
    <row r="246" spans="1:26" ht="15.95" customHeight="1" x14ac:dyDescent="0.15">
      <c r="A246" s="656">
        <v>43374</v>
      </c>
      <c r="B246" s="657" t="str">
        <f t="shared" ca="1" si="10"/>
        <v>09</v>
      </c>
      <c r="C246" s="658" t="s">
        <v>329</v>
      </c>
      <c r="D246" s="659">
        <f ca="1">IF($A246="","",IFERROR(GETPIVOTDATA("合計 / 入金予定",【ピボット】国保連売上!$A$3,"年月",$A246,"事業所コード",$B246,"事業所",$C246,"事業区分",D$1,"請求区分","単月"),0)
+IFERROR(GETPIVOTDATA("合計 / 入金予定",【ピボット】国保連売上!$A$3,"年月",$A246,"事業所コード",$B246,"事業所",$C246,"事業区分",D$1,"請求区分","再請求"),0))</f>
        <v>0</v>
      </c>
      <c r="E246" s="659">
        <f ca="1">IF($A246="","",IFERROR(GETPIVOTDATA("合計 / 処遇改善加算金",【ピボット】国保連売上!$A$3,"年月",$A246,"事業所コード",$B246,"事業所",$C246,"事業区分",D$1,"請求区分","単月"),0))</f>
        <v>0</v>
      </c>
      <c r="F246" s="659">
        <f ca="1">IF($A246="","",IFERROR(GETPIVOTDATA("合計 / 入金予定",【ピボット】国保連売上!$A$3,"年月",$A246,"事業所コード",$B246,"事業所",$C246,"事業区分",F$1,"請求区分","単月"),0)
+IFERROR(GETPIVOTDATA("合計 / 入金予定",【ピボット】国保連売上!$A$3,"年月",$A246,"事業所コード",$B246,"事業所",$C246,"事業区分",F$1,"請求区分","再請求"),0))</f>
        <v>0</v>
      </c>
      <c r="G246" s="659">
        <f ca="1">IF($A246="","",IFERROR(GETPIVOTDATA("合計 / 処遇改善加算金",【ピボット】国保連売上!$A$3,"年月",$A246,"事業所コード",$B246,"事業所",$C246,"事業区分",F$1,"請求区分","単月"),0))</f>
        <v>0</v>
      </c>
      <c r="H246" s="659">
        <f ca="1">IF($A246="","",IFERROR(GETPIVOTDATA("合計 / 入金予定",【ピボット】国保連売上!$A$3,"年月",$A246,"事業所コード",$B246,"事業所",$C246,"事業区分",H$1,"請求区分","単月"),0)
+IFERROR(GETPIVOTDATA("合計 / 入金予定",【ピボット】国保連売上!$A$3,"年月",$A246,"事業所コード",$B246,"事業所",$C246,"事業区分",H$1,"請求区分","再請求"),0))</f>
        <v>0</v>
      </c>
      <c r="I246" s="659">
        <f ca="1">IF($A246="","",IFERROR(GETPIVOTDATA("合計 / 入金予定",【ピボット】国保連売上!$A$3,"年月",$A246,"事業所コード",$B246,"事業所",$C246,"事業区分",I$1,"請求区分","単月"),0)
+IFERROR(GETPIVOTDATA("合計 / 入金予定",【ピボット】国保連売上!$A$3,"年月",$A246,"事業所コード",$B246,"事業所",$C246,"事業区分",I$1,"請求区分","再請求"),0))</f>
        <v>0</v>
      </c>
      <c r="J246" s="659">
        <f ca="1">IF($A246="","",IFERROR(GETPIVOTDATA("合計 / 処遇改善加算金",【ピボット】国保連売上!$A$3,"年月",$A246,"事業所コード",$B246,"事業所",$C246,"事業区分",I$1,"請求区分","単月"),0))</f>
        <v>0</v>
      </c>
      <c r="K246" s="659">
        <f ca="1">IF($A246="","",IFERROR(GETPIVOTDATA("合計 / 入金予定",【ピボット】国保連売上!$A$3,"年月",$A246,"事業所コード",$B246,"事業所",$C246,"事業区分",K$1,"請求区分","単月"),0)
+IFERROR(GETPIVOTDATA("合計 / 入金予定",【ピボット】国保連売上!$A$3,"年月",$A246,"事業所コード",$B246,"事業所",$C246,"事業区分",K$1,"請求区分","再請求"),0))</f>
        <v>2500912</v>
      </c>
      <c r="L246" s="659">
        <f ca="1">IF($A246="","",IFERROR(GETPIVOTDATA("合計 / 処遇改善加算金",【ピボット】国保連売上!$A$3,"年月",$A246,"事業所コード",$B246,"事業所",$C246,"事業区分",K$1,"請求区分","単月"),0))</f>
        <v>0</v>
      </c>
      <c r="M246" s="659">
        <f ca="1">IF($A246="","",IFERROR(GETPIVOTDATA("合計 / 入金予定",【ピボット】国保連売上!$A$3,"年月",$A246,"事業所コード",$B246,"事業所",$C246,"事業区分",M$1,"請求区分","単月"),0)
+IFERROR(GETPIVOTDATA("合計 / 入金予定",【ピボット】国保連売上!$A$3,"年月",$A246,"事業所コード",$B246,"事業所",$C246,"事業区分",M$1,"請求区分","再請求"),0))</f>
        <v>0</v>
      </c>
      <c r="N246" s="660">
        <v>0</v>
      </c>
      <c r="O246" s="660">
        <v>0</v>
      </c>
      <c r="P246" s="660">
        <v>0</v>
      </c>
      <c r="Q246" s="660">
        <v>0</v>
      </c>
      <c r="R246" s="660">
        <v>0</v>
      </c>
      <c r="S246" s="660">
        <v>400000</v>
      </c>
      <c r="T246" s="660">
        <v>0</v>
      </c>
      <c r="U246" s="660">
        <v>0</v>
      </c>
      <c r="V246" s="660">
        <v>-100000</v>
      </c>
      <c r="W246" s="660">
        <v>0</v>
      </c>
      <c r="X246" s="660">
        <v>0</v>
      </c>
      <c r="Y246" s="659">
        <f t="shared" ref="Y246:Y309" ca="1" si="12">IF(A246="","",SUM(D246,F246,H246:I246,K246,M246:X246))</f>
        <v>2800912</v>
      </c>
      <c r="Z246" s="659">
        <f t="shared" ca="1" si="11"/>
        <v>300000</v>
      </c>
    </row>
    <row r="247" spans="1:26" ht="15.95" customHeight="1" x14ac:dyDescent="0.15">
      <c r="A247" s="656">
        <v>43405</v>
      </c>
      <c r="B247" s="657" t="str">
        <f t="shared" ca="1" si="10"/>
        <v>01</v>
      </c>
      <c r="C247" s="658" t="s">
        <v>34</v>
      </c>
      <c r="D247" s="659">
        <f ca="1">IF($A247="","",IFERROR(GETPIVOTDATA("合計 / 入金予定",【ピボット】国保連売上!$A$3,"年月",$A247,"事業所コード",$B247,"事業所",$C247,"事業区分",D$1,"請求区分","単月"),0)
+IFERROR(GETPIVOTDATA("合計 / 入金予定",【ピボット】国保連売上!$A$3,"年月",$A247,"事業所コード",$B247,"事業所",$C247,"事業区分",D$1,"請求区分","再請求"),0))</f>
        <v>9223816</v>
      </c>
      <c r="E247" s="659">
        <f ca="1">IF($A247="","",IFERROR(GETPIVOTDATA("合計 / 処遇改善加算金",【ピボット】国保連売上!$A$3,"年月",$A247,"事業所コード",$B247,"事業所",$C247,"事業区分",D$1,"請求区分","単月"),0))</f>
        <v>1441337</v>
      </c>
      <c r="F247" s="659">
        <f ca="1">IF($A247="","",IFERROR(GETPIVOTDATA("合計 / 入金予定",【ピボット】国保連売上!$A$3,"年月",$A247,"事業所コード",$B247,"事業所",$C247,"事業区分",F$1,"請求区分","単月"),0)
+IFERROR(GETPIVOTDATA("合計 / 入金予定",【ピボット】国保連売上!$A$3,"年月",$A247,"事業所コード",$B247,"事業所",$C247,"事業区分",F$1,"請求区分","再請求"),0))</f>
        <v>2024710</v>
      </c>
      <c r="G247" s="659">
        <f ca="1">IF($A247="","",IFERROR(GETPIVOTDATA("合計 / 処遇改善加算金",【ピボット】国保連売上!$A$3,"年月",$A247,"事業所コード",$B247,"事業所",$C247,"事業区分",F$1,"請求区分","単月"),0))</f>
        <v>403228</v>
      </c>
      <c r="H247" s="659">
        <f ca="1">IF($A247="","",IFERROR(GETPIVOTDATA("合計 / 入金予定",【ピボット】国保連売上!$A$3,"年月",$A247,"事業所コード",$B247,"事業所",$C247,"事業区分",H$1,"請求区分","単月"),0)
+IFERROR(GETPIVOTDATA("合計 / 入金予定",【ピボット】国保連売上!$A$3,"年月",$A247,"事業所コード",$B247,"事業所",$C247,"事業区分",H$1,"請求区分","再請求"),0))</f>
        <v>707246</v>
      </c>
      <c r="I247" s="659">
        <f ca="1">IF($A247="","",IFERROR(GETPIVOTDATA("合計 / 入金予定",【ピボット】国保連売上!$A$3,"年月",$A247,"事業所コード",$B247,"事業所",$C247,"事業区分",I$1,"請求区分","単月"),0)
+IFERROR(GETPIVOTDATA("合計 / 入金予定",【ピボット】国保連売上!$A$3,"年月",$A247,"事業所コード",$B247,"事業所",$C247,"事業区分",I$1,"請求区分","再請求"),0))</f>
        <v>0</v>
      </c>
      <c r="J247" s="659">
        <f ca="1">IF($A247="","",IFERROR(GETPIVOTDATA("合計 / 処遇改善加算金",【ピボット】国保連売上!$A$3,"年月",$A247,"事業所コード",$B247,"事業所",$C247,"事業区分",I$1,"請求区分","単月"),0))</f>
        <v>0</v>
      </c>
      <c r="K247" s="659">
        <f ca="1">IF($A247="","",IFERROR(GETPIVOTDATA("合計 / 入金予定",【ピボット】国保連売上!$A$3,"年月",$A247,"事業所コード",$B247,"事業所",$C247,"事業区分",K$1,"請求区分","単月"),0)
+IFERROR(GETPIVOTDATA("合計 / 入金予定",【ピボット】国保連売上!$A$3,"年月",$A247,"事業所コード",$B247,"事業所",$C247,"事業区分",K$1,"請求区分","再請求"),0))</f>
        <v>0</v>
      </c>
      <c r="L247" s="659">
        <f ca="1">IF($A247="","",IFERROR(GETPIVOTDATA("合計 / 処遇改善加算金",【ピボット】国保連売上!$A$3,"年月",$A247,"事業所コード",$B247,"事業所",$C247,"事業区分",K$1,"請求区分","単月"),0))</f>
        <v>0</v>
      </c>
      <c r="M247" s="659">
        <f ca="1">IF($A247="","",IFERROR(GETPIVOTDATA("合計 / 入金予定",【ピボット】国保連売上!$A$3,"年月",$A247,"事業所コード",$B247,"事業所",$C247,"事業区分",M$1,"請求区分","単月"),0)
+IFERROR(GETPIVOTDATA("合計 / 入金予定",【ピボット】国保連売上!$A$3,"年月",$A247,"事業所コード",$B247,"事業所",$C247,"事業区分",M$1,"請求区分","再請求"),0))</f>
        <v>0</v>
      </c>
      <c r="N247" s="660">
        <v>161221</v>
      </c>
      <c r="O247" s="1292">
        <v>56192</v>
      </c>
      <c r="P247" s="660">
        <v>324584</v>
      </c>
      <c r="Q247" s="660">
        <v>7302</v>
      </c>
      <c r="R247" s="660">
        <v>129420</v>
      </c>
      <c r="S247" s="660">
        <v>0</v>
      </c>
      <c r="T247" s="660">
        <v>0</v>
      </c>
      <c r="U247" s="660">
        <v>144180</v>
      </c>
      <c r="V247" s="660">
        <v>0</v>
      </c>
      <c r="W247" s="660">
        <v>0</v>
      </c>
      <c r="X247" s="660">
        <v>0</v>
      </c>
      <c r="Y247" s="659">
        <f t="shared" ca="1" si="12"/>
        <v>12778671</v>
      </c>
      <c r="Z247" s="659">
        <f t="shared" ca="1" si="11"/>
        <v>822899</v>
      </c>
    </row>
    <row r="248" spans="1:26" ht="15.95" customHeight="1" x14ac:dyDescent="0.15">
      <c r="A248" s="656">
        <v>43405</v>
      </c>
      <c r="B248" s="657" t="str">
        <f t="shared" ca="1" si="10"/>
        <v>02</v>
      </c>
      <c r="C248" s="658" t="s">
        <v>37</v>
      </c>
      <c r="D248" s="659">
        <f ca="1">IF($A248="","",IFERROR(GETPIVOTDATA("合計 / 入金予定",【ピボット】国保連売上!$A$3,"年月",$A248,"事業所コード",$B248,"事業所",$C248,"事業区分",D$1,"請求区分","単月"),0)
+IFERROR(GETPIVOTDATA("合計 / 入金予定",【ピボット】国保連売上!$A$3,"年月",$A248,"事業所コード",$B248,"事業所",$C248,"事業区分",D$1,"請求区分","再請求"),0))</f>
        <v>4718674</v>
      </c>
      <c r="E248" s="659">
        <f ca="1">IF($A248="","",IFERROR(GETPIVOTDATA("合計 / 処遇改善加算金",【ピボット】国保連売上!$A$3,"年月",$A248,"事業所コード",$B248,"事業所",$C248,"事業区分",D$1,"請求区分","単月"),0))</f>
        <v>511579</v>
      </c>
      <c r="F248" s="659">
        <f ca="1">IF($A248="","",IFERROR(GETPIVOTDATA("合計 / 入金予定",【ピボット】国保連売上!$A$3,"年月",$A248,"事業所コード",$B248,"事業所",$C248,"事業区分",F$1,"請求区分","単月"),0)
+IFERROR(GETPIVOTDATA("合計 / 入金予定",【ピボット】国保連売上!$A$3,"年月",$A248,"事業所コード",$B248,"事業所",$C248,"事業区分",F$1,"請求区分","再請求"),0))</f>
        <v>1554852</v>
      </c>
      <c r="G248" s="659">
        <f ca="1">IF($A248="","",IFERROR(GETPIVOTDATA("合計 / 処遇改善加算金",【ピボット】国保連売上!$A$3,"年月",$A248,"事業所コード",$B248,"事業所",$C248,"事業区分",F$1,"請求区分","単月"),0))</f>
        <v>360429</v>
      </c>
      <c r="H248" s="659">
        <f ca="1">IF($A248="","",IFERROR(GETPIVOTDATA("合計 / 入金予定",【ピボット】国保連売上!$A$3,"年月",$A248,"事業所コード",$B248,"事業所",$C248,"事業区分",H$1,"請求区分","単月"),0)
+IFERROR(GETPIVOTDATA("合計 / 入金予定",【ピボット】国保連売上!$A$3,"年月",$A248,"事業所コード",$B248,"事業所",$C248,"事業区分",H$1,"請求区分","再請求"),0))</f>
        <v>622929</v>
      </c>
      <c r="I248" s="659">
        <f ca="1">IF($A248="","",IFERROR(GETPIVOTDATA("合計 / 入金予定",【ピボット】国保連売上!$A$3,"年月",$A248,"事業所コード",$B248,"事業所",$C248,"事業区分",I$1,"請求区分","単月"),0)
+IFERROR(GETPIVOTDATA("合計 / 入金予定",【ピボット】国保連売上!$A$3,"年月",$A248,"事業所コード",$B248,"事業所",$C248,"事業区分",I$1,"請求区分","再請求"),0))</f>
        <v>0</v>
      </c>
      <c r="J248" s="659">
        <f ca="1">IF($A248="","",IFERROR(GETPIVOTDATA("合計 / 処遇改善加算金",【ピボット】国保連売上!$A$3,"年月",$A248,"事業所コード",$B248,"事業所",$C248,"事業区分",I$1,"請求区分","単月"),0))</f>
        <v>0</v>
      </c>
      <c r="K248" s="659">
        <f ca="1">IF($A248="","",IFERROR(GETPIVOTDATA("合計 / 入金予定",【ピボット】国保連売上!$A$3,"年月",$A248,"事業所コード",$B248,"事業所",$C248,"事業区分",K$1,"請求区分","単月"),0)
+IFERROR(GETPIVOTDATA("合計 / 入金予定",【ピボット】国保連売上!$A$3,"年月",$A248,"事業所コード",$B248,"事業所",$C248,"事業区分",K$1,"請求区分","再請求"),0))</f>
        <v>0</v>
      </c>
      <c r="L248" s="659">
        <f ca="1">IF($A248="","",IFERROR(GETPIVOTDATA("合計 / 処遇改善加算金",【ピボット】国保連売上!$A$3,"年月",$A248,"事業所コード",$B248,"事業所",$C248,"事業区分",K$1,"請求区分","単月"),0))</f>
        <v>0</v>
      </c>
      <c r="M248" s="659">
        <f ca="1">IF($A248="","",IFERROR(GETPIVOTDATA("合計 / 入金予定",【ピボット】国保連売上!$A$3,"年月",$A248,"事業所コード",$B248,"事業所",$C248,"事業区分",M$1,"請求区分","単月"),0)
+IFERROR(GETPIVOTDATA("合計 / 入金予定",【ピボット】国保連売上!$A$3,"年月",$A248,"事業所コード",$B248,"事業所",$C248,"事業区分",M$1,"請求区分","再請求"),0))</f>
        <v>0</v>
      </c>
      <c r="N248" s="660">
        <v>240145</v>
      </c>
      <c r="O248" s="660">
        <v>0</v>
      </c>
      <c r="P248" s="660">
        <v>0</v>
      </c>
      <c r="Q248" s="660">
        <v>1521</v>
      </c>
      <c r="R248" s="1931">
        <v>147177</v>
      </c>
      <c r="S248" s="660">
        <v>0</v>
      </c>
      <c r="T248" s="660">
        <v>0</v>
      </c>
      <c r="U248" s="660">
        <v>0</v>
      </c>
      <c r="V248" s="660">
        <v>0</v>
      </c>
      <c r="W248" s="660">
        <v>0</v>
      </c>
      <c r="X248" s="660">
        <v>0</v>
      </c>
      <c r="Y248" s="659">
        <f t="shared" ca="1" si="12"/>
        <v>7285298</v>
      </c>
      <c r="Z248" s="659">
        <f t="shared" ca="1" si="11"/>
        <v>388843</v>
      </c>
    </row>
    <row r="249" spans="1:26" ht="15.95" customHeight="1" x14ac:dyDescent="0.15">
      <c r="A249" s="656">
        <v>43405</v>
      </c>
      <c r="B249" s="657" t="str">
        <f t="shared" ca="1" si="10"/>
        <v>03</v>
      </c>
      <c r="C249" s="658" t="s">
        <v>66</v>
      </c>
      <c r="D249" s="659">
        <f ca="1">IF($A249="","",IFERROR(GETPIVOTDATA("合計 / 入金予定",【ピボット】国保連売上!$A$3,"年月",$A249,"事業所コード",$B249,"事業所",$C249,"事業区分",D$1,"請求区分","単月"),0)
+IFERROR(GETPIVOTDATA("合計 / 入金予定",【ピボット】国保連売上!$A$3,"年月",$A249,"事業所コード",$B249,"事業所",$C249,"事業区分",D$1,"請求区分","再請求"),0))</f>
        <v>4992088</v>
      </c>
      <c r="E249" s="659">
        <f ca="1">IF($A249="","",IFERROR(GETPIVOTDATA("合計 / 処遇改善加算金",【ピボット】国保連売上!$A$3,"年月",$A249,"事業所コード",$B249,"事業所",$C249,"事業区分",D$1,"請求区分","単月"),0))</f>
        <v>525065</v>
      </c>
      <c r="F249" s="659">
        <f ca="1">IF($A249="","",IFERROR(GETPIVOTDATA("合計 / 入金予定",【ピボット】国保連売上!$A$3,"年月",$A249,"事業所コード",$B249,"事業所",$C249,"事業区分",F$1,"請求区分","単月"),0)
+IFERROR(GETPIVOTDATA("合計 / 入金予定",【ピボット】国保連売上!$A$3,"年月",$A249,"事業所コード",$B249,"事業所",$C249,"事業区分",F$1,"請求区分","再請求"),0))</f>
        <v>1744923</v>
      </c>
      <c r="G249" s="659">
        <f ca="1">IF($A249="","",IFERROR(GETPIVOTDATA("合計 / 処遇改善加算金",【ピボット】国保連売上!$A$3,"年月",$A249,"事業所コード",$B249,"事業所",$C249,"事業区分",F$1,"請求区分","単月"),0))</f>
        <v>405773</v>
      </c>
      <c r="H249" s="659">
        <f ca="1">IF($A249="","",IFERROR(GETPIVOTDATA("合計 / 入金予定",【ピボット】国保連売上!$A$3,"年月",$A249,"事業所コード",$B249,"事業所",$C249,"事業区分",H$1,"請求区分","単月"),0)
+IFERROR(GETPIVOTDATA("合計 / 入金予定",【ピボット】国保連売上!$A$3,"年月",$A249,"事業所コード",$B249,"事業所",$C249,"事業区分",H$1,"請求区分","再請求"),0))</f>
        <v>0</v>
      </c>
      <c r="I249" s="659">
        <f ca="1">IF($A249="","",IFERROR(GETPIVOTDATA("合計 / 入金予定",【ピボット】国保連売上!$A$3,"年月",$A249,"事業所コード",$B249,"事業所",$C249,"事業区分",I$1,"請求区分","単月"),0)
+IFERROR(GETPIVOTDATA("合計 / 入金予定",【ピボット】国保連売上!$A$3,"年月",$A249,"事業所コード",$B249,"事業所",$C249,"事業区分",I$1,"請求区分","再請求"),0))</f>
        <v>0</v>
      </c>
      <c r="J249" s="659">
        <f ca="1">IF($A249="","",IFERROR(GETPIVOTDATA("合計 / 処遇改善加算金",【ピボット】国保連売上!$A$3,"年月",$A249,"事業所コード",$B249,"事業所",$C249,"事業区分",I$1,"請求区分","単月"),0))</f>
        <v>0</v>
      </c>
      <c r="K249" s="659">
        <f ca="1">IF($A249="","",IFERROR(GETPIVOTDATA("合計 / 入金予定",【ピボット】国保連売上!$A$3,"年月",$A249,"事業所コード",$B249,"事業所",$C249,"事業区分",K$1,"請求区分","単月"),0)
+IFERROR(GETPIVOTDATA("合計 / 入金予定",【ピボット】国保連売上!$A$3,"年月",$A249,"事業所コード",$B249,"事業所",$C249,"事業区分",K$1,"請求区分","再請求"),0))</f>
        <v>0</v>
      </c>
      <c r="L249" s="659">
        <f ca="1">IF($A249="","",IFERROR(GETPIVOTDATA("合計 / 処遇改善加算金",【ピボット】国保連売上!$A$3,"年月",$A249,"事業所コード",$B249,"事業所",$C249,"事業区分",K$1,"請求区分","単月"),0))</f>
        <v>0</v>
      </c>
      <c r="M249" s="659">
        <f ca="1">IF($A249="","",IFERROR(GETPIVOTDATA("合計 / 入金予定",【ピボット】国保連売上!$A$3,"年月",$A249,"事業所コード",$B249,"事業所",$C249,"事業区分",M$1,"請求区分","単月"),0)
+IFERROR(GETPIVOTDATA("合計 / 入金予定",【ピボット】国保連売上!$A$3,"年月",$A249,"事業所コード",$B249,"事業所",$C249,"事業区分",M$1,"請求区分","再請求"),0))</f>
        <v>0</v>
      </c>
      <c r="N249" s="660">
        <v>108300</v>
      </c>
      <c r="O249" s="1292">
        <v>159012</v>
      </c>
      <c r="P249" s="660">
        <v>87950</v>
      </c>
      <c r="Q249" s="660">
        <v>6762</v>
      </c>
      <c r="R249" s="660">
        <v>0</v>
      </c>
      <c r="S249" s="660">
        <v>0</v>
      </c>
      <c r="T249" s="660">
        <v>0</v>
      </c>
      <c r="U249" s="660">
        <v>0</v>
      </c>
      <c r="V249" s="660">
        <v>0</v>
      </c>
      <c r="W249" s="660">
        <v>0</v>
      </c>
      <c r="X249" s="660">
        <v>0</v>
      </c>
      <c r="Y249" s="659">
        <f t="shared" ca="1" si="12"/>
        <v>7099035</v>
      </c>
      <c r="Z249" s="659">
        <f t="shared" ca="1" si="11"/>
        <v>362024</v>
      </c>
    </row>
    <row r="250" spans="1:26" ht="15.95" customHeight="1" x14ac:dyDescent="0.15">
      <c r="A250" s="656">
        <v>43405</v>
      </c>
      <c r="B250" s="657" t="str">
        <f t="shared" ca="1" si="10"/>
        <v>11</v>
      </c>
      <c r="C250" s="658" t="s">
        <v>967</v>
      </c>
      <c r="D250" s="659">
        <f ca="1">IF($A250="","",IFERROR(GETPIVOTDATA("合計 / 入金予定",【ピボット】国保連売上!$A$3,"年月",$A250,"事業所コード",$B250,"事業所",$C250,"事業区分",D$1,"請求区分","単月"),0)
+IFERROR(GETPIVOTDATA("合計 / 入金予定",【ピボット】国保連売上!$A$3,"年月",$A250,"事業所コード",$B250,"事業所",$C250,"事業区分",D$1,"請求区分","再請求"),0))</f>
        <v>1181602</v>
      </c>
      <c r="E250" s="659">
        <f ca="1">IF($A250="","",IFERROR(GETPIVOTDATA("合計 / 処遇改善加算金",【ピボット】国保連売上!$A$3,"年月",$A250,"事業所コード",$B250,"事業所",$C250,"事業区分",D$1,"請求区分","単月"),0))</f>
        <v>104897</v>
      </c>
      <c r="F250" s="659">
        <f ca="1">IF($A250="","",IFERROR(GETPIVOTDATA("合計 / 入金予定",【ピボット】国保連売上!$A$3,"年月",$A250,"事業所コード",$B250,"事業所",$C250,"事業区分",F$1,"請求区分","単月"),0)
+IFERROR(GETPIVOTDATA("合計 / 入金予定",【ピボット】国保連売上!$A$3,"年月",$A250,"事業所コード",$B250,"事業所",$C250,"事業区分",F$1,"請求区分","再請求"),0))</f>
        <v>92462</v>
      </c>
      <c r="G250" s="659">
        <f ca="1">IF($A250="","",IFERROR(GETPIVOTDATA("合計 / 処遇改善加算金",【ピボット】国保連売上!$A$3,"年月",$A250,"事業所コード",$B250,"事業所",$C250,"事業区分",F$1,"請求区分","単月"),0))</f>
        <v>18551</v>
      </c>
      <c r="H250" s="659">
        <f ca="1">IF($A250="","",IFERROR(GETPIVOTDATA("合計 / 入金予定",【ピボット】国保連売上!$A$3,"年月",$A250,"事業所コード",$B250,"事業所",$C250,"事業区分",H$1,"請求区分","単月"),0)
+IFERROR(GETPIVOTDATA("合計 / 入金予定",【ピボット】国保連売上!$A$3,"年月",$A250,"事業所コード",$B250,"事業所",$C250,"事業区分",H$1,"請求区分","再請求"),0))</f>
        <v>0</v>
      </c>
      <c r="I250" s="659">
        <f ca="1">IF($A250="","",IFERROR(GETPIVOTDATA("合計 / 入金予定",【ピボット】国保連売上!$A$3,"年月",$A250,"事業所コード",$B250,"事業所",$C250,"事業区分",I$1,"請求区分","単月"),0)
+IFERROR(GETPIVOTDATA("合計 / 入金予定",【ピボット】国保連売上!$A$3,"年月",$A250,"事業所コード",$B250,"事業所",$C250,"事業区分",I$1,"請求区分","再請求"),0))</f>
        <v>0</v>
      </c>
      <c r="J250" s="659">
        <f ca="1">IF($A250="","",IFERROR(GETPIVOTDATA("合計 / 処遇改善加算金",【ピボット】国保連売上!$A$3,"年月",$A250,"事業所コード",$B250,"事業所",$C250,"事業区分",I$1,"請求区分","単月"),0))</f>
        <v>0</v>
      </c>
      <c r="K250" s="659">
        <f ca="1">IF($A250="","",IFERROR(GETPIVOTDATA("合計 / 入金予定",【ピボット】国保連売上!$A$3,"年月",$A250,"事業所コード",$B250,"事業所",$C250,"事業区分",K$1,"請求区分","単月"),0)
+IFERROR(GETPIVOTDATA("合計 / 入金予定",【ピボット】国保連売上!$A$3,"年月",$A250,"事業所コード",$B250,"事業所",$C250,"事業区分",K$1,"請求区分","再請求"),0))</f>
        <v>0</v>
      </c>
      <c r="L250" s="659">
        <f ca="1">IF($A250="","",IFERROR(GETPIVOTDATA("合計 / 処遇改善加算金",【ピボット】国保連売上!$A$3,"年月",$A250,"事業所コード",$B250,"事業所",$C250,"事業区分",K$1,"請求区分","単月"),0))</f>
        <v>0</v>
      </c>
      <c r="M250" s="659">
        <f ca="1">IF($A250="","",IFERROR(GETPIVOTDATA("合計 / 入金予定",【ピボット】国保連売上!$A$3,"年月",$A250,"事業所コード",$B250,"事業所",$C250,"事業区分",M$1,"請求区分","単月"),0)
+IFERROR(GETPIVOTDATA("合計 / 入金予定",【ピボット】国保連売上!$A$3,"年月",$A250,"事業所コード",$B250,"事業所",$C250,"事業区分",M$1,"請求区分","再請求"),0))</f>
        <v>0</v>
      </c>
      <c r="N250" s="660">
        <v>3400</v>
      </c>
      <c r="O250" s="1292">
        <v>18650</v>
      </c>
      <c r="P250" s="660">
        <v>0</v>
      </c>
      <c r="Q250" s="660">
        <v>0</v>
      </c>
      <c r="R250" s="660">
        <v>0</v>
      </c>
      <c r="S250" s="660">
        <v>0</v>
      </c>
      <c r="T250" s="660">
        <v>0</v>
      </c>
      <c r="U250" s="660">
        <v>0</v>
      </c>
      <c r="V250" s="660">
        <v>0</v>
      </c>
      <c r="W250" s="660">
        <v>0</v>
      </c>
      <c r="X250" s="660">
        <v>0</v>
      </c>
      <c r="Y250" s="659">
        <f t="shared" ca="1" si="12"/>
        <v>1296114</v>
      </c>
      <c r="Z250" s="659">
        <f t="shared" ca="1" si="11"/>
        <v>22050</v>
      </c>
    </row>
    <row r="251" spans="1:26" ht="15.95" customHeight="1" x14ac:dyDescent="0.15">
      <c r="A251" s="656">
        <v>43405</v>
      </c>
      <c r="B251" s="657" t="str">
        <f t="shared" ca="1" si="10"/>
        <v>12</v>
      </c>
      <c r="C251" s="658" t="s">
        <v>1143</v>
      </c>
      <c r="D251" s="659">
        <f ca="1">IF($A251="","",IFERROR(GETPIVOTDATA("合計 / 入金予定",【ピボット】国保連売上!$A$3,"年月",$A251,"事業所コード",$B251,"事業所",$C251,"事業区分",D$1,"請求区分","単月"),0)
+IFERROR(GETPIVOTDATA("合計 / 入金予定",【ピボット】国保連売上!$A$3,"年月",$A251,"事業所コード",$B251,"事業所",$C251,"事業区分",D$1,"請求区分","再請求"),0))</f>
        <v>325613</v>
      </c>
      <c r="E251" s="659">
        <f ca="1">IF($A251="","",IFERROR(GETPIVOTDATA("合計 / 処遇改善加算金",【ピボット】国保連売上!$A$3,"年月",$A251,"事業所コード",$B251,"事業所",$C251,"事業区分",D$1,"請求区分","単月"),0))</f>
        <v>24627</v>
      </c>
      <c r="F251" s="659">
        <f ca="1">IF($A251="","",IFERROR(GETPIVOTDATA("合計 / 入金予定",【ピボット】国保連売上!$A$3,"年月",$A251,"事業所コード",$B251,"事業所",$C251,"事業区分",F$1,"請求区分","単月"),0)
+IFERROR(GETPIVOTDATA("合計 / 入金予定",【ピボット】国保連売上!$A$3,"年月",$A251,"事業所コード",$B251,"事業所",$C251,"事業区分",F$1,"請求区分","再請求"),0))</f>
        <v>107015</v>
      </c>
      <c r="G251" s="659">
        <f ca="1">IF($A251="","",IFERROR(GETPIVOTDATA("合計 / 処遇改善加算金",【ピボット】国保連売上!$A$3,"年月",$A251,"事業所コード",$B251,"事業所",$C251,"事業区分",F$1,"請求区分","単月"),0))</f>
        <v>24883</v>
      </c>
      <c r="H251" s="659">
        <f ca="1">IF($A251="","",IFERROR(GETPIVOTDATA("合計 / 入金予定",【ピボット】国保連売上!$A$3,"年月",$A251,"事業所コード",$B251,"事業所",$C251,"事業区分",H$1,"請求区分","単月"),0)
+IFERROR(GETPIVOTDATA("合計 / 入金予定",【ピボット】国保連売上!$A$3,"年月",$A251,"事業所コード",$B251,"事業所",$C251,"事業区分",H$1,"請求区分","再請求"),0))</f>
        <v>0</v>
      </c>
      <c r="I251" s="659">
        <f ca="1">IF($A251="","",IFERROR(GETPIVOTDATA("合計 / 入金予定",【ピボット】国保連売上!$A$3,"年月",$A251,"事業所コード",$B251,"事業所",$C251,"事業区分",I$1,"請求区分","単月"),0)
+IFERROR(GETPIVOTDATA("合計 / 入金予定",【ピボット】国保連売上!$A$3,"年月",$A251,"事業所コード",$B251,"事業所",$C251,"事業区分",I$1,"請求区分","再請求"),0))</f>
        <v>0</v>
      </c>
      <c r="J251" s="659">
        <f ca="1">IF($A251="","",IFERROR(GETPIVOTDATA("合計 / 処遇改善加算金",【ピボット】国保連売上!$A$3,"年月",$A251,"事業所コード",$B251,"事業所",$C251,"事業区分",I$1,"請求区分","単月"),0))</f>
        <v>0</v>
      </c>
      <c r="K251" s="659">
        <f ca="1">IF($A251="","",IFERROR(GETPIVOTDATA("合計 / 入金予定",【ピボット】国保連売上!$A$3,"年月",$A251,"事業所コード",$B251,"事業所",$C251,"事業区分",K$1,"請求区分","単月"),0)
+IFERROR(GETPIVOTDATA("合計 / 入金予定",【ピボット】国保連売上!$A$3,"年月",$A251,"事業所コード",$B251,"事業所",$C251,"事業区分",K$1,"請求区分","再請求"),0))</f>
        <v>0</v>
      </c>
      <c r="L251" s="659">
        <f ca="1">IF($A251="","",IFERROR(GETPIVOTDATA("合計 / 処遇改善加算金",【ピボット】国保連売上!$A$3,"年月",$A251,"事業所コード",$B251,"事業所",$C251,"事業区分",K$1,"請求区分","単月"),0))</f>
        <v>0</v>
      </c>
      <c r="M251" s="659">
        <f ca="1">IF($A251="","",IFERROR(GETPIVOTDATA("合計 / 入金予定",【ピボット】国保連売上!$A$3,"年月",$A251,"事業所コード",$B251,"事業所",$C251,"事業区分",M$1,"請求区分","単月"),0)
+IFERROR(GETPIVOTDATA("合計 / 入金予定",【ピボット】国保連売上!$A$3,"年月",$A251,"事業所コード",$B251,"事業所",$C251,"事業区分",M$1,"請求区分","再請求"),0))</f>
        <v>0</v>
      </c>
      <c r="N251" s="660">
        <v>0</v>
      </c>
      <c r="O251" s="1292">
        <v>52620</v>
      </c>
      <c r="P251" s="660">
        <v>0</v>
      </c>
      <c r="Q251" s="660">
        <v>390</v>
      </c>
      <c r="R251" s="660">
        <v>0</v>
      </c>
      <c r="S251" s="660">
        <v>0</v>
      </c>
      <c r="T251" s="660">
        <v>0</v>
      </c>
      <c r="U251" s="660">
        <v>0</v>
      </c>
      <c r="V251" s="660">
        <v>0</v>
      </c>
      <c r="W251" s="660">
        <v>0</v>
      </c>
      <c r="X251" s="660">
        <v>0</v>
      </c>
      <c r="Y251" s="659">
        <f t="shared" ca="1" si="12"/>
        <v>485638</v>
      </c>
      <c r="Z251" s="659">
        <f t="shared" ca="1" si="11"/>
        <v>53010</v>
      </c>
    </row>
    <row r="252" spans="1:26" ht="15.95" customHeight="1" x14ac:dyDescent="0.15">
      <c r="A252" s="656">
        <v>43405</v>
      </c>
      <c r="B252" s="657" t="str">
        <f t="shared" ca="1" si="10"/>
        <v>04</v>
      </c>
      <c r="C252" s="658" t="s">
        <v>358</v>
      </c>
      <c r="D252" s="659">
        <f ca="1">IF($A252="","",IFERROR(GETPIVOTDATA("合計 / 入金予定",【ピボット】国保連売上!$A$3,"年月",$A252,"事業所コード",$B252,"事業所",$C252,"事業区分",D$1,"請求区分","単月"),0)
+IFERROR(GETPIVOTDATA("合計 / 入金予定",【ピボット】国保連売上!$A$3,"年月",$A252,"事業所コード",$B252,"事業所",$C252,"事業区分",D$1,"請求区分","再請求"),0))</f>
        <v>0</v>
      </c>
      <c r="E252" s="659">
        <f ca="1">IF($A252="","",IFERROR(GETPIVOTDATA("合計 / 処遇改善加算金",【ピボット】国保連売上!$A$3,"年月",$A252,"事業所コード",$B252,"事業所",$C252,"事業区分",D$1,"請求区分","単月"),0))</f>
        <v>0</v>
      </c>
      <c r="F252" s="659">
        <f ca="1">IF($A252="","",IFERROR(GETPIVOTDATA("合計 / 入金予定",【ピボット】国保連売上!$A$3,"年月",$A252,"事業所コード",$B252,"事業所",$C252,"事業区分",F$1,"請求区分","単月"),0)
+IFERROR(GETPIVOTDATA("合計 / 入金予定",【ピボット】国保連売上!$A$3,"年月",$A252,"事業所コード",$B252,"事業所",$C252,"事業区分",F$1,"請求区分","再請求"),0))</f>
        <v>0</v>
      </c>
      <c r="G252" s="659">
        <f ca="1">IF($A252="","",IFERROR(GETPIVOTDATA("合計 / 処遇改善加算金",【ピボット】国保連売上!$A$3,"年月",$A252,"事業所コード",$B252,"事業所",$C252,"事業区分",F$1,"請求区分","単月"),0))</f>
        <v>0</v>
      </c>
      <c r="H252" s="659">
        <f ca="1">IF($A252="","",IFERROR(GETPIVOTDATA("合計 / 入金予定",【ピボット】国保連売上!$A$3,"年月",$A252,"事業所コード",$B252,"事業所",$C252,"事業区分",H$1,"請求区分","単月"),0)
+IFERROR(GETPIVOTDATA("合計 / 入金予定",【ピボット】国保連売上!$A$3,"年月",$A252,"事業所コード",$B252,"事業所",$C252,"事業区分",H$1,"請求区分","再請求"),0))</f>
        <v>0</v>
      </c>
      <c r="I252" s="659">
        <f ca="1">IF($A252="","",IFERROR(GETPIVOTDATA("合計 / 入金予定",【ピボット】国保連売上!$A$3,"年月",$A252,"事業所コード",$B252,"事業所",$C252,"事業区分",I$1,"請求区分","単月"),0)
+IFERROR(GETPIVOTDATA("合計 / 入金予定",【ピボット】国保連売上!$A$3,"年月",$A252,"事業所コード",$B252,"事業所",$C252,"事業区分",I$1,"請求区分","再請求"),0))</f>
        <v>4590331</v>
      </c>
      <c r="J252" s="659">
        <f ca="1">IF($A252="","",IFERROR(GETPIVOTDATA("合計 / 処遇改善加算金",【ピボット】国保連売上!$A$3,"年月",$A252,"事業所コード",$B252,"事業所",$C252,"事業区分",I$1,"請求区分","単月"),0))</f>
        <v>255681</v>
      </c>
      <c r="K252" s="659">
        <f ca="1">IF($A252="","",IFERROR(GETPIVOTDATA("合計 / 入金予定",【ピボット】国保連売上!$A$3,"年月",$A252,"事業所コード",$B252,"事業所",$C252,"事業区分",K$1,"請求区分","単月"),0)
+IFERROR(GETPIVOTDATA("合計 / 入金予定",【ピボット】国保連売上!$A$3,"年月",$A252,"事業所コード",$B252,"事業所",$C252,"事業区分",K$1,"請求区分","再請求"),0))</f>
        <v>0</v>
      </c>
      <c r="L252" s="659">
        <f ca="1">IF($A252="","",IFERROR(GETPIVOTDATA("合計 / 処遇改善加算金",【ピボット】国保連売上!$A$3,"年月",$A252,"事業所コード",$B252,"事業所",$C252,"事業区分",K$1,"請求区分","単月"),0))</f>
        <v>0</v>
      </c>
      <c r="M252" s="659">
        <f ca="1">IF($A252="","",IFERROR(GETPIVOTDATA("合計 / 入金予定",【ピボット】国保連売上!$A$3,"年月",$A252,"事業所コード",$B252,"事業所",$C252,"事業区分",M$1,"請求区分","単月"),0)
+IFERROR(GETPIVOTDATA("合計 / 入金予定",【ピボット】国保連売上!$A$3,"年月",$A252,"事業所コード",$B252,"事業所",$C252,"事業区分",M$1,"請求区分","再請求"),0))</f>
        <v>0</v>
      </c>
      <c r="N252" s="660">
        <v>1000</v>
      </c>
      <c r="O252" s="660">
        <v>0</v>
      </c>
      <c r="P252" s="660">
        <v>0</v>
      </c>
      <c r="Q252" s="660">
        <v>0</v>
      </c>
      <c r="R252" s="660">
        <v>0</v>
      </c>
      <c r="S252" s="660">
        <v>0</v>
      </c>
      <c r="T252" s="660">
        <v>241750</v>
      </c>
      <c r="U252" s="660">
        <v>0</v>
      </c>
      <c r="V252" s="660">
        <v>0</v>
      </c>
      <c r="W252" s="660">
        <v>0</v>
      </c>
      <c r="X252" s="660">
        <v>0</v>
      </c>
      <c r="Y252" s="659">
        <f t="shared" ca="1" si="12"/>
        <v>4833081</v>
      </c>
      <c r="Z252" s="659">
        <f t="shared" ca="1" si="11"/>
        <v>242750</v>
      </c>
    </row>
    <row r="253" spans="1:26" ht="15.95" customHeight="1" x14ac:dyDescent="0.15">
      <c r="A253" s="656">
        <v>43405</v>
      </c>
      <c r="B253" s="657" t="str">
        <f t="shared" ca="1" si="10"/>
        <v>05</v>
      </c>
      <c r="C253" s="658" t="s">
        <v>359</v>
      </c>
      <c r="D253" s="659">
        <f ca="1">IF($A253="","",IFERROR(GETPIVOTDATA("合計 / 入金予定",【ピボット】国保連売上!$A$3,"年月",$A253,"事業所コード",$B253,"事業所",$C253,"事業区分",D$1,"請求区分","単月"),0)
+IFERROR(GETPIVOTDATA("合計 / 入金予定",【ピボット】国保連売上!$A$3,"年月",$A253,"事業所コード",$B253,"事業所",$C253,"事業区分",D$1,"請求区分","再請求"),0))</f>
        <v>2735417</v>
      </c>
      <c r="E253" s="659">
        <f ca="1">IF($A253="","",IFERROR(GETPIVOTDATA("合計 / 処遇改善加算金",【ピボット】国保連売上!$A$3,"年月",$A253,"事業所コード",$B253,"事業所",$C253,"事業区分",D$1,"請求区分","単月"),0))</f>
        <v>0</v>
      </c>
      <c r="F253" s="659">
        <f ca="1">IF($A253="","",IFERROR(GETPIVOTDATA("合計 / 入金予定",【ピボット】国保連売上!$A$3,"年月",$A253,"事業所コード",$B253,"事業所",$C253,"事業区分",F$1,"請求区分","単月"),0)
+IFERROR(GETPIVOTDATA("合計 / 入金予定",【ピボット】国保連売上!$A$3,"年月",$A253,"事業所コード",$B253,"事業所",$C253,"事業区分",F$1,"請求区分","再請求"),0))</f>
        <v>0</v>
      </c>
      <c r="G253" s="659">
        <f ca="1">IF($A253="","",IFERROR(GETPIVOTDATA("合計 / 処遇改善加算金",【ピボット】国保連売上!$A$3,"年月",$A253,"事業所コード",$B253,"事業所",$C253,"事業区分",F$1,"請求区分","単月"),0))</f>
        <v>0</v>
      </c>
      <c r="H253" s="659">
        <f ca="1">IF($A253="","",IFERROR(GETPIVOTDATA("合計 / 入金予定",【ピボット】国保連売上!$A$3,"年月",$A253,"事業所コード",$B253,"事業所",$C253,"事業区分",H$1,"請求区分","単月"),0)
+IFERROR(GETPIVOTDATA("合計 / 入金予定",【ピボット】国保連売上!$A$3,"年月",$A253,"事業所コード",$B253,"事業所",$C253,"事業区分",H$1,"請求区分","再請求"),0))</f>
        <v>0</v>
      </c>
      <c r="I253" s="659">
        <f ca="1">IF($A253="","",IFERROR(GETPIVOTDATA("合計 / 入金予定",【ピボット】国保連売上!$A$3,"年月",$A253,"事業所コード",$B253,"事業所",$C253,"事業区分",I$1,"請求区分","単月"),0)
+IFERROR(GETPIVOTDATA("合計 / 入金予定",【ピボット】国保連売上!$A$3,"年月",$A253,"事業所コード",$B253,"事業所",$C253,"事業区分",I$1,"請求区分","再請求"),0))</f>
        <v>0</v>
      </c>
      <c r="J253" s="659">
        <f ca="1">IF($A253="","",IFERROR(GETPIVOTDATA("合計 / 処遇改善加算金",【ピボット】国保連売上!$A$3,"年月",$A253,"事業所コード",$B253,"事業所",$C253,"事業区分",I$1,"請求区分","単月"),0))</f>
        <v>0</v>
      </c>
      <c r="K253" s="659">
        <f ca="1">IF($A253="","",IFERROR(GETPIVOTDATA("合計 / 入金予定",【ピボット】国保連売上!$A$3,"年月",$A253,"事業所コード",$B253,"事業所",$C253,"事業区分",K$1,"請求区分","単月"),0)
+IFERROR(GETPIVOTDATA("合計 / 入金予定",【ピボット】国保連売上!$A$3,"年月",$A253,"事業所コード",$B253,"事業所",$C253,"事業区分",K$1,"請求区分","再請求"),0))</f>
        <v>0</v>
      </c>
      <c r="L253" s="659">
        <f ca="1">IF($A253="","",IFERROR(GETPIVOTDATA("合計 / 処遇改善加算金",【ピボット】国保連売上!$A$3,"年月",$A253,"事業所コード",$B253,"事業所",$C253,"事業区分",K$1,"請求区分","単月"),0))</f>
        <v>0</v>
      </c>
      <c r="M253" s="659">
        <f ca="1">IF($A253="","",IFERROR(GETPIVOTDATA("合計 / 入金予定",【ピボット】国保連売上!$A$3,"年月",$A253,"事業所コード",$B253,"事業所",$C253,"事業区分",M$1,"請求区分","単月"),0)
+IFERROR(GETPIVOTDATA("合計 / 入金予定",【ピボット】国保連売上!$A$3,"年月",$A253,"事業所コード",$B253,"事業所",$C253,"事業区分",M$1,"請求区分","再請求"),0))</f>
        <v>0</v>
      </c>
      <c r="N253" s="660">
        <v>0</v>
      </c>
      <c r="O253" s="660">
        <v>0</v>
      </c>
      <c r="P253" s="660">
        <v>0</v>
      </c>
      <c r="Q253" s="660">
        <v>0</v>
      </c>
      <c r="R253" s="660">
        <v>0</v>
      </c>
      <c r="S253" s="660">
        <v>786560</v>
      </c>
      <c r="T253" s="660">
        <v>0</v>
      </c>
      <c r="U253" s="660">
        <v>0</v>
      </c>
      <c r="V253" s="660">
        <v>0</v>
      </c>
      <c r="W253" s="660">
        <v>0</v>
      </c>
      <c r="X253" s="660">
        <v>0</v>
      </c>
      <c r="Y253" s="659">
        <f t="shared" ca="1" si="12"/>
        <v>3521977</v>
      </c>
      <c r="Z253" s="659">
        <f t="shared" ca="1" si="11"/>
        <v>786560</v>
      </c>
    </row>
    <row r="254" spans="1:26" ht="15.95" customHeight="1" x14ac:dyDescent="0.15">
      <c r="A254" s="656">
        <v>43405</v>
      </c>
      <c r="B254" s="657" t="str">
        <f t="shared" ca="1" si="10"/>
        <v>07</v>
      </c>
      <c r="C254" s="658" t="s">
        <v>119</v>
      </c>
      <c r="D254" s="659">
        <f ca="1">IF($A254="","",IFERROR(GETPIVOTDATA("合計 / 入金予定",【ピボット】国保連売上!$A$3,"年月",$A254,"事業所コード",$B254,"事業所",$C254,"事業区分",D$1,"請求区分","単月"),0)
+IFERROR(GETPIVOTDATA("合計 / 入金予定",【ピボット】国保連売上!$A$3,"年月",$A254,"事業所コード",$B254,"事業所",$C254,"事業区分",D$1,"請求区分","再請求"),0))</f>
        <v>0</v>
      </c>
      <c r="E254" s="659">
        <f ca="1">IF($A254="","",IFERROR(GETPIVOTDATA("合計 / 処遇改善加算金",【ピボット】国保連売上!$A$3,"年月",$A254,"事業所コード",$B254,"事業所",$C254,"事業区分",D$1,"請求区分","単月"),0))</f>
        <v>0</v>
      </c>
      <c r="F254" s="659">
        <f ca="1">IF($A254="","",IFERROR(GETPIVOTDATA("合計 / 入金予定",【ピボット】国保連売上!$A$3,"年月",$A254,"事業所コード",$B254,"事業所",$C254,"事業区分",F$1,"請求区分","単月"),0)
+IFERROR(GETPIVOTDATA("合計 / 入金予定",【ピボット】国保連売上!$A$3,"年月",$A254,"事業所コード",$B254,"事業所",$C254,"事業区分",F$1,"請求区分","再請求"),0))</f>
        <v>0</v>
      </c>
      <c r="G254" s="659">
        <f ca="1">IF($A254="","",IFERROR(GETPIVOTDATA("合計 / 処遇改善加算金",【ピボット】国保連売上!$A$3,"年月",$A254,"事業所コード",$B254,"事業所",$C254,"事業区分",F$1,"請求区分","単月"),0))</f>
        <v>0</v>
      </c>
      <c r="H254" s="659">
        <f ca="1">IF($A254="","",IFERROR(GETPIVOTDATA("合計 / 入金予定",【ピボット】国保連売上!$A$3,"年月",$A254,"事業所コード",$B254,"事業所",$C254,"事業区分",H$1,"請求区分","単月"),0)
+IFERROR(GETPIVOTDATA("合計 / 入金予定",【ピボット】国保連売上!$A$3,"年月",$A254,"事業所コード",$B254,"事業所",$C254,"事業区分",H$1,"請求区分","再請求"),0))</f>
        <v>0</v>
      </c>
      <c r="I254" s="659">
        <f ca="1">IF($A254="","",IFERROR(GETPIVOTDATA("合計 / 入金予定",【ピボット】国保連売上!$A$3,"年月",$A254,"事業所コード",$B254,"事業所",$C254,"事業区分",I$1,"請求区分","単月"),0)
+IFERROR(GETPIVOTDATA("合計 / 入金予定",【ピボット】国保連売上!$A$3,"年月",$A254,"事業所コード",$B254,"事業所",$C254,"事業区分",I$1,"請求区分","再請求"),0))</f>
        <v>0</v>
      </c>
      <c r="J254" s="659">
        <f ca="1">IF($A254="","",IFERROR(GETPIVOTDATA("合計 / 処遇改善加算金",【ピボット】国保連売上!$A$3,"年月",$A254,"事業所コード",$B254,"事業所",$C254,"事業区分",I$1,"請求区分","単月"),0))</f>
        <v>0</v>
      </c>
      <c r="K254" s="659">
        <f ca="1">IF($A254="","",IFERROR(GETPIVOTDATA("合計 / 入金予定",【ピボット】国保連売上!$A$3,"年月",$A254,"事業所コード",$B254,"事業所",$C254,"事業区分",K$1,"請求区分","単月"),0)
+IFERROR(GETPIVOTDATA("合計 / 入金予定",【ピボット】国保連売上!$A$3,"年月",$A254,"事業所コード",$B254,"事業所",$C254,"事業区分",K$1,"請求区分","再請求"),0))</f>
        <v>1073137</v>
      </c>
      <c r="L254" s="659">
        <f ca="1">IF($A254="","",IFERROR(GETPIVOTDATA("合計 / 処遇改善加算金",【ピボット】国保連売上!$A$3,"年月",$A254,"事業所コード",$B254,"事業所",$C254,"事業区分",K$1,"請求区分","単月"),0))</f>
        <v>299671</v>
      </c>
      <c r="M254" s="659">
        <f ca="1">IF($A254="","",IFERROR(GETPIVOTDATA("合計 / 入金予定",【ピボット】国保連売上!$A$3,"年月",$A254,"事業所コード",$B254,"事業所",$C254,"事業区分",M$1,"請求区分","単月"),0)
+IFERROR(GETPIVOTDATA("合計 / 入金予定",【ピボット】国保連売上!$A$3,"年月",$A254,"事業所コード",$B254,"事業所",$C254,"事業区分",M$1,"請求区分","再請求"),0))</f>
        <v>0</v>
      </c>
      <c r="N254" s="660">
        <v>23800</v>
      </c>
      <c r="O254" s="660">
        <v>0</v>
      </c>
      <c r="P254" s="660">
        <v>0</v>
      </c>
      <c r="Q254" s="660">
        <v>0</v>
      </c>
      <c r="R254" s="660">
        <v>0</v>
      </c>
      <c r="S254" s="660">
        <v>78000</v>
      </c>
      <c r="T254" s="660">
        <v>0</v>
      </c>
      <c r="U254" s="660">
        <v>0</v>
      </c>
      <c r="V254" s="660">
        <v>-40000</v>
      </c>
      <c r="W254" s="660">
        <v>0</v>
      </c>
      <c r="X254" s="660">
        <v>0</v>
      </c>
      <c r="Y254" s="659">
        <f t="shared" ca="1" si="12"/>
        <v>1134937</v>
      </c>
      <c r="Z254" s="659">
        <f t="shared" ca="1" si="11"/>
        <v>61800</v>
      </c>
    </row>
    <row r="255" spans="1:26" ht="15.95" customHeight="1" x14ac:dyDescent="0.15">
      <c r="A255" s="656">
        <v>43405</v>
      </c>
      <c r="B255" s="657" t="str">
        <f t="shared" ca="1" si="10"/>
        <v>08</v>
      </c>
      <c r="C255" s="658" t="s">
        <v>189</v>
      </c>
      <c r="D255" s="659">
        <f ca="1">IF($A255="","",IFERROR(GETPIVOTDATA("合計 / 入金予定",【ピボット】国保連売上!$A$3,"年月",$A255,"事業所コード",$B255,"事業所",$C255,"事業区分",D$1,"請求区分","単月"),0)
+IFERROR(GETPIVOTDATA("合計 / 入金予定",【ピボット】国保連売上!$A$3,"年月",$A255,"事業所コード",$B255,"事業所",$C255,"事業区分",D$1,"請求区分","再請求"),0))</f>
        <v>0</v>
      </c>
      <c r="E255" s="659">
        <f ca="1">IF($A255="","",IFERROR(GETPIVOTDATA("合計 / 処遇改善加算金",【ピボット】国保連売上!$A$3,"年月",$A255,"事業所コード",$B255,"事業所",$C255,"事業区分",D$1,"請求区分","単月"),0))</f>
        <v>0</v>
      </c>
      <c r="F255" s="659">
        <f ca="1">IF($A255="","",IFERROR(GETPIVOTDATA("合計 / 入金予定",【ピボット】国保連売上!$A$3,"年月",$A255,"事業所コード",$B255,"事業所",$C255,"事業区分",F$1,"請求区分","単月"),0)
+IFERROR(GETPIVOTDATA("合計 / 入金予定",【ピボット】国保連売上!$A$3,"年月",$A255,"事業所コード",$B255,"事業所",$C255,"事業区分",F$1,"請求区分","再請求"),0))</f>
        <v>0</v>
      </c>
      <c r="G255" s="659">
        <f ca="1">IF($A255="","",IFERROR(GETPIVOTDATA("合計 / 処遇改善加算金",【ピボット】国保連売上!$A$3,"年月",$A255,"事業所コード",$B255,"事業所",$C255,"事業区分",F$1,"請求区分","単月"),0))</f>
        <v>0</v>
      </c>
      <c r="H255" s="659">
        <f ca="1">IF($A255="","",IFERROR(GETPIVOTDATA("合計 / 入金予定",【ピボット】国保連売上!$A$3,"年月",$A255,"事業所コード",$B255,"事業所",$C255,"事業区分",H$1,"請求区分","単月"),0)
+IFERROR(GETPIVOTDATA("合計 / 入金予定",【ピボット】国保連売上!$A$3,"年月",$A255,"事業所コード",$B255,"事業所",$C255,"事業区分",H$1,"請求区分","再請求"),0))</f>
        <v>0</v>
      </c>
      <c r="I255" s="659">
        <f ca="1">IF($A255="","",IFERROR(GETPIVOTDATA("合計 / 入金予定",【ピボット】国保連売上!$A$3,"年月",$A255,"事業所コード",$B255,"事業所",$C255,"事業区分",I$1,"請求区分","単月"),0)
+IFERROR(GETPIVOTDATA("合計 / 入金予定",【ピボット】国保連売上!$A$3,"年月",$A255,"事業所コード",$B255,"事業所",$C255,"事業区分",I$1,"請求区分","再請求"),0))</f>
        <v>0</v>
      </c>
      <c r="J255" s="659">
        <f ca="1">IF($A255="","",IFERROR(GETPIVOTDATA("合計 / 処遇改善加算金",【ピボット】国保連売上!$A$3,"年月",$A255,"事業所コード",$B255,"事業所",$C255,"事業区分",I$1,"請求区分","単月"),0))</f>
        <v>0</v>
      </c>
      <c r="K255" s="659">
        <f ca="1">IF($A255="","",IFERROR(GETPIVOTDATA("合計 / 入金予定",【ピボット】国保連売上!$A$3,"年月",$A255,"事業所コード",$B255,"事業所",$C255,"事業区分",K$1,"請求区分","単月"),0)
+IFERROR(GETPIVOTDATA("合計 / 入金予定",【ピボット】国保連売上!$A$3,"年月",$A255,"事業所コード",$B255,"事業所",$C255,"事業区分",K$1,"請求区分","再請求"),0))</f>
        <v>1012236</v>
      </c>
      <c r="L255" s="659">
        <f ca="1">IF($A255="","",IFERROR(GETPIVOTDATA("合計 / 処遇改善加算金",【ピボット】国保連売上!$A$3,"年月",$A255,"事業所コード",$B255,"事業所",$C255,"事業区分",K$1,"請求区分","単月"),0))</f>
        <v>0</v>
      </c>
      <c r="M255" s="659">
        <f ca="1">IF($A255="","",IFERROR(GETPIVOTDATA("合計 / 入金予定",【ピボット】国保連売上!$A$3,"年月",$A255,"事業所コード",$B255,"事業所",$C255,"事業区分",M$1,"請求区分","単月"),0)
+IFERROR(GETPIVOTDATA("合計 / 入金予定",【ピボット】国保連売上!$A$3,"年月",$A255,"事業所コード",$B255,"事業所",$C255,"事業区分",M$1,"請求区分","再請求"),0))</f>
        <v>0</v>
      </c>
      <c r="N255" s="660">
        <v>0</v>
      </c>
      <c r="O255" s="660">
        <v>0</v>
      </c>
      <c r="P255" s="660">
        <v>0</v>
      </c>
      <c r="Q255" s="660">
        <v>0</v>
      </c>
      <c r="R255" s="660">
        <v>0</v>
      </c>
      <c r="S255" s="660">
        <v>98000</v>
      </c>
      <c r="T255" s="660">
        <v>0</v>
      </c>
      <c r="U255" s="660">
        <v>0</v>
      </c>
      <c r="V255" s="660">
        <v>-40000</v>
      </c>
      <c r="W255" s="660">
        <v>0</v>
      </c>
      <c r="X255" s="660">
        <v>0</v>
      </c>
      <c r="Y255" s="659">
        <f t="shared" ca="1" si="12"/>
        <v>1070236</v>
      </c>
      <c r="Z255" s="659">
        <f t="shared" ca="1" si="11"/>
        <v>58000</v>
      </c>
    </row>
    <row r="256" spans="1:26" ht="15.95" customHeight="1" x14ac:dyDescent="0.15">
      <c r="A256" s="656">
        <v>43405</v>
      </c>
      <c r="B256" s="657" t="str">
        <f t="shared" ca="1" si="10"/>
        <v>09</v>
      </c>
      <c r="C256" s="658" t="s">
        <v>329</v>
      </c>
      <c r="D256" s="659">
        <f ca="1">IF($A256="","",IFERROR(GETPIVOTDATA("合計 / 入金予定",【ピボット】国保連売上!$A$3,"年月",$A256,"事業所コード",$B256,"事業所",$C256,"事業区分",D$1,"請求区分","単月"),0)
+IFERROR(GETPIVOTDATA("合計 / 入金予定",【ピボット】国保連売上!$A$3,"年月",$A256,"事業所コード",$B256,"事業所",$C256,"事業区分",D$1,"請求区分","再請求"),0))</f>
        <v>0</v>
      </c>
      <c r="E256" s="659">
        <f ca="1">IF($A256="","",IFERROR(GETPIVOTDATA("合計 / 処遇改善加算金",【ピボット】国保連売上!$A$3,"年月",$A256,"事業所コード",$B256,"事業所",$C256,"事業区分",D$1,"請求区分","単月"),0))</f>
        <v>0</v>
      </c>
      <c r="F256" s="659">
        <f ca="1">IF($A256="","",IFERROR(GETPIVOTDATA("合計 / 入金予定",【ピボット】国保連売上!$A$3,"年月",$A256,"事業所コード",$B256,"事業所",$C256,"事業区分",F$1,"請求区分","単月"),0)
+IFERROR(GETPIVOTDATA("合計 / 入金予定",【ピボット】国保連売上!$A$3,"年月",$A256,"事業所コード",$B256,"事業所",$C256,"事業区分",F$1,"請求区分","再請求"),0))</f>
        <v>0</v>
      </c>
      <c r="G256" s="659">
        <f ca="1">IF($A256="","",IFERROR(GETPIVOTDATA("合計 / 処遇改善加算金",【ピボット】国保連売上!$A$3,"年月",$A256,"事業所コード",$B256,"事業所",$C256,"事業区分",F$1,"請求区分","単月"),0))</f>
        <v>0</v>
      </c>
      <c r="H256" s="659">
        <f ca="1">IF($A256="","",IFERROR(GETPIVOTDATA("合計 / 入金予定",【ピボット】国保連売上!$A$3,"年月",$A256,"事業所コード",$B256,"事業所",$C256,"事業区分",H$1,"請求区分","単月"),0)
+IFERROR(GETPIVOTDATA("合計 / 入金予定",【ピボット】国保連売上!$A$3,"年月",$A256,"事業所コード",$B256,"事業所",$C256,"事業区分",H$1,"請求区分","再請求"),0))</f>
        <v>0</v>
      </c>
      <c r="I256" s="659">
        <f ca="1">IF($A256="","",IFERROR(GETPIVOTDATA("合計 / 入金予定",【ピボット】国保連売上!$A$3,"年月",$A256,"事業所コード",$B256,"事業所",$C256,"事業区分",I$1,"請求区分","単月"),0)
+IFERROR(GETPIVOTDATA("合計 / 入金予定",【ピボット】国保連売上!$A$3,"年月",$A256,"事業所コード",$B256,"事業所",$C256,"事業区分",I$1,"請求区分","再請求"),0))</f>
        <v>0</v>
      </c>
      <c r="J256" s="659">
        <f ca="1">IF($A256="","",IFERROR(GETPIVOTDATA("合計 / 処遇改善加算金",【ピボット】国保連売上!$A$3,"年月",$A256,"事業所コード",$B256,"事業所",$C256,"事業区分",I$1,"請求区分","単月"),0))</f>
        <v>0</v>
      </c>
      <c r="K256" s="659">
        <f ca="1">IF($A256="","",IFERROR(GETPIVOTDATA("合計 / 入金予定",【ピボット】国保連売上!$A$3,"年月",$A256,"事業所コード",$B256,"事業所",$C256,"事業区分",K$1,"請求区分","単月"),0)
+IFERROR(GETPIVOTDATA("合計 / 入金予定",【ピボット】国保連売上!$A$3,"年月",$A256,"事業所コード",$B256,"事業所",$C256,"事業区分",K$1,"請求区分","再請求"),0))</f>
        <v>2443866</v>
      </c>
      <c r="L256" s="659">
        <f ca="1">IF($A256="","",IFERROR(GETPIVOTDATA("合計 / 処遇改善加算金",【ピボット】国保連売上!$A$3,"年月",$A256,"事業所コード",$B256,"事業所",$C256,"事業区分",K$1,"請求区分","単月"),0))</f>
        <v>0</v>
      </c>
      <c r="M256" s="659">
        <f ca="1">IF($A256="","",IFERROR(GETPIVOTDATA("合計 / 入金予定",【ピボット】国保連売上!$A$3,"年月",$A256,"事業所コード",$B256,"事業所",$C256,"事業区分",M$1,"請求区分","単月"),0)
+IFERROR(GETPIVOTDATA("合計 / 入金予定",【ピボット】国保連売上!$A$3,"年月",$A256,"事業所コード",$B256,"事業所",$C256,"事業区分",M$1,"請求区分","再請求"),0))</f>
        <v>0</v>
      </c>
      <c r="N256" s="660">
        <v>0</v>
      </c>
      <c r="O256" s="660">
        <v>0</v>
      </c>
      <c r="P256" s="660">
        <v>0</v>
      </c>
      <c r="Q256" s="660">
        <v>0</v>
      </c>
      <c r="R256" s="660">
        <v>0</v>
      </c>
      <c r="S256" s="660">
        <v>400000</v>
      </c>
      <c r="T256" s="660">
        <v>0</v>
      </c>
      <c r="U256" s="660">
        <v>0</v>
      </c>
      <c r="V256" s="660">
        <v>-100000</v>
      </c>
      <c r="W256" s="660">
        <v>0</v>
      </c>
      <c r="X256" s="660">
        <v>0</v>
      </c>
      <c r="Y256" s="659">
        <f t="shared" ca="1" si="12"/>
        <v>2743866</v>
      </c>
      <c r="Z256" s="659">
        <f t="shared" ca="1" si="11"/>
        <v>300000</v>
      </c>
    </row>
    <row r="257" spans="1:26" ht="15.95" customHeight="1" x14ac:dyDescent="0.15">
      <c r="A257" s="656">
        <v>43405</v>
      </c>
      <c r="B257" s="657" t="str">
        <f t="shared" ca="1" si="10"/>
        <v>13</v>
      </c>
      <c r="C257" s="658" t="s">
        <v>1223</v>
      </c>
      <c r="D257" s="659">
        <f ca="1">IF($A257="","",IFERROR(GETPIVOTDATA("合計 / 入金予定",【ピボット】国保連売上!$A$3,"年月",$A257,"事業所コード",$B257,"事業所",$C257,"事業区分",D$1,"請求区分","単月"),0)
+IFERROR(GETPIVOTDATA("合計 / 入金予定",【ピボット】国保連売上!$A$3,"年月",$A257,"事業所コード",$B257,"事業所",$C257,"事業区分",D$1,"請求区分","再請求"),0))</f>
        <v>0</v>
      </c>
      <c r="E257" s="659">
        <f ca="1">IF($A257="","",IFERROR(GETPIVOTDATA("合計 / 処遇改善加算金",【ピボット】国保連売上!$A$3,"年月",$A257,"事業所コード",$B257,"事業所",$C257,"事業区分",D$1,"請求区分","単月"),0))</f>
        <v>0</v>
      </c>
      <c r="F257" s="659">
        <f ca="1">IF($A257="","",IFERROR(GETPIVOTDATA("合計 / 入金予定",【ピボット】国保連売上!$A$3,"年月",$A257,"事業所コード",$B257,"事業所",$C257,"事業区分",F$1,"請求区分","単月"),0)
+IFERROR(GETPIVOTDATA("合計 / 入金予定",【ピボット】国保連売上!$A$3,"年月",$A257,"事業所コード",$B257,"事業所",$C257,"事業区分",F$1,"請求区分","再請求"),0))</f>
        <v>0</v>
      </c>
      <c r="G257" s="659">
        <f ca="1">IF($A257="","",IFERROR(GETPIVOTDATA("合計 / 処遇改善加算金",【ピボット】国保連売上!$A$3,"年月",$A257,"事業所コード",$B257,"事業所",$C257,"事業区分",F$1,"請求区分","単月"),0))</f>
        <v>0</v>
      </c>
      <c r="H257" s="659">
        <f ca="1">IF($A257="","",IFERROR(GETPIVOTDATA("合計 / 入金予定",【ピボット】国保連売上!$A$3,"年月",$A257,"事業所コード",$B257,"事業所",$C257,"事業区分",H$1,"請求区分","単月"),0)
+IFERROR(GETPIVOTDATA("合計 / 入金予定",【ピボット】国保連売上!$A$3,"年月",$A257,"事業所コード",$B257,"事業所",$C257,"事業区分",H$1,"請求区分","再請求"),0))</f>
        <v>0</v>
      </c>
      <c r="I257" s="659">
        <f ca="1">IF($A257="","",IFERROR(GETPIVOTDATA("合計 / 入金予定",【ピボット】国保連売上!$A$3,"年月",$A257,"事業所コード",$B257,"事業所",$C257,"事業区分",I$1,"請求区分","単月"),0)
+IFERROR(GETPIVOTDATA("合計 / 入金予定",【ピボット】国保連売上!$A$3,"年月",$A257,"事業所コード",$B257,"事業所",$C257,"事業区分",I$1,"請求区分","再請求"),0))</f>
        <v>0</v>
      </c>
      <c r="J257" s="659">
        <f ca="1">IF($A257="","",IFERROR(GETPIVOTDATA("合計 / 処遇改善加算金",【ピボット】国保連売上!$A$3,"年月",$A257,"事業所コード",$B257,"事業所",$C257,"事業区分",I$1,"請求区分","単月"),0))</f>
        <v>0</v>
      </c>
      <c r="K257" s="659">
        <f ca="1">IF($A257="","",IFERROR(GETPIVOTDATA("合計 / 入金予定",【ピボット】国保連売上!$A$3,"年月",$A257,"事業所コード",$B257,"事業所",$C257,"事業区分",K$1,"請求区分","単月"),0)
+IFERROR(GETPIVOTDATA("合計 / 入金予定",【ピボット】国保連売上!$A$3,"年月",$A257,"事業所コード",$B257,"事業所",$C257,"事業区分",K$1,"請求区分","再請求"),0))</f>
        <v>0</v>
      </c>
      <c r="L257" s="659">
        <f ca="1">IF($A257="","",IFERROR(GETPIVOTDATA("合計 / 処遇改善加算金",【ピボット】国保連売上!$A$3,"年月",$A257,"事業所コード",$B257,"事業所",$C257,"事業区分",K$1,"請求区分","単月"),0))</f>
        <v>0</v>
      </c>
      <c r="M257" s="659">
        <f ca="1">IF($A257="","",IFERROR(GETPIVOTDATA("合計 / 入金予定",【ピボット】国保連売上!$A$3,"年月",$A257,"事業所コード",$B257,"事業所",$C257,"事業区分",M$1,"請求区分","単月"),0)
+IFERROR(GETPIVOTDATA("合計 / 入金予定",【ピボット】国保連売上!$A$3,"年月",$A257,"事業所コード",$B257,"事業所",$C257,"事業区分",M$1,"請求区分","再請求"),0))</f>
        <v>0</v>
      </c>
      <c r="N257" s="660">
        <v>0</v>
      </c>
      <c r="O257" s="660">
        <v>0</v>
      </c>
      <c r="P257" s="660">
        <v>0</v>
      </c>
      <c r="Q257" s="660">
        <v>0</v>
      </c>
      <c r="R257" s="660">
        <v>0</v>
      </c>
      <c r="S257" s="660">
        <v>16000</v>
      </c>
      <c r="T257" s="660">
        <v>0</v>
      </c>
      <c r="U257" s="660">
        <v>0</v>
      </c>
      <c r="V257" s="660">
        <v>0</v>
      </c>
      <c r="W257" s="660">
        <v>0</v>
      </c>
      <c r="X257" s="660">
        <v>0</v>
      </c>
      <c r="Y257" s="659">
        <f t="shared" ca="1" si="12"/>
        <v>16000</v>
      </c>
      <c r="Z257" s="659">
        <f t="shared" ca="1" si="11"/>
        <v>16000</v>
      </c>
    </row>
    <row r="258" spans="1:26" ht="15.95" customHeight="1" x14ac:dyDescent="0.15">
      <c r="A258" s="656">
        <v>43435</v>
      </c>
      <c r="B258" s="657" t="str">
        <f t="shared" ca="1" si="10"/>
        <v>01</v>
      </c>
      <c r="C258" s="658" t="s">
        <v>34</v>
      </c>
      <c r="D258" s="659">
        <f ca="1">IF($A258="","",IFERROR(GETPIVOTDATA("合計 / 入金予定",【ピボット】国保連売上!$A$3,"年月",$A258,"事業所コード",$B258,"事業所",$C258,"事業区分",D$1,"請求区分","単月"),0)
+IFERROR(GETPIVOTDATA("合計 / 入金予定",【ピボット】国保連売上!$A$3,"年月",$A258,"事業所コード",$B258,"事業所",$C258,"事業区分",D$1,"請求区分","再請求"),0))</f>
        <v>8670512</v>
      </c>
      <c r="E258" s="659">
        <f ca="1">IF($A258="","",IFERROR(GETPIVOTDATA("合計 / 処遇改善加算金",【ピボット】国保連売上!$A$3,"年月",$A258,"事業所コード",$B258,"事業所",$C258,"事業区分",D$1,"請求区分","単月"),0))</f>
        <v>1264810</v>
      </c>
      <c r="F258" s="659">
        <f ca="1">IF($A258="","",IFERROR(GETPIVOTDATA("合計 / 入金予定",【ピボット】国保連売上!$A$3,"年月",$A258,"事業所コード",$B258,"事業所",$C258,"事業区分",F$1,"請求区分","単月"),0)
+IFERROR(GETPIVOTDATA("合計 / 入金予定",【ピボット】国保連売上!$A$3,"年月",$A258,"事業所コード",$B258,"事業所",$C258,"事業区分",F$1,"請求区分","再請求"),0))</f>
        <v>2045783</v>
      </c>
      <c r="G258" s="659">
        <f ca="1">IF($A258="","",IFERROR(GETPIVOTDATA("合計 / 処遇改善加算金",【ピボット】国保連売上!$A$3,"年月",$A258,"事業所コード",$B258,"事業所",$C258,"事業区分",F$1,"請求区分","単月"),0))</f>
        <v>441769</v>
      </c>
      <c r="H258" s="659">
        <f ca="1">IF($A258="","",IFERROR(GETPIVOTDATA("合計 / 入金予定",【ピボット】国保連売上!$A$3,"年月",$A258,"事業所コード",$B258,"事業所",$C258,"事業区分",H$1,"請求区分","単月"),0)
+IFERROR(GETPIVOTDATA("合計 / 入金予定",【ピボット】国保連売上!$A$3,"年月",$A258,"事業所コード",$B258,"事業所",$C258,"事業区分",H$1,"請求区分","再請求"),0))</f>
        <v>747467</v>
      </c>
      <c r="I258" s="659">
        <f ca="1">IF($A258="","",IFERROR(GETPIVOTDATA("合計 / 入金予定",【ピボット】国保連売上!$A$3,"年月",$A258,"事業所コード",$B258,"事業所",$C258,"事業区分",I$1,"請求区分","単月"),0)
+IFERROR(GETPIVOTDATA("合計 / 入金予定",【ピボット】国保連売上!$A$3,"年月",$A258,"事業所コード",$B258,"事業所",$C258,"事業区分",I$1,"請求区分","再請求"),0))</f>
        <v>0</v>
      </c>
      <c r="J258" s="659">
        <f ca="1">IF($A258="","",IFERROR(GETPIVOTDATA("合計 / 処遇改善加算金",【ピボット】国保連売上!$A$3,"年月",$A258,"事業所コード",$B258,"事業所",$C258,"事業区分",I$1,"請求区分","単月"),0))</f>
        <v>0</v>
      </c>
      <c r="K258" s="659">
        <f ca="1">IF($A258="","",IFERROR(GETPIVOTDATA("合計 / 入金予定",【ピボット】国保連売上!$A$3,"年月",$A258,"事業所コード",$B258,"事業所",$C258,"事業区分",K$1,"請求区分","単月"),0)
+IFERROR(GETPIVOTDATA("合計 / 入金予定",【ピボット】国保連売上!$A$3,"年月",$A258,"事業所コード",$B258,"事業所",$C258,"事業区分",K$1,"請求区分","再請求"),0))</f>
        <v>0</v>
      </c>
      <c r="L258" s="659">
        <f ca="1">IF($A258="","",IFERROR(GETPIVOTDATA("合計 / 処遇改善加算金",【ピボット】国保連売上!$A$3,"年月",$A258,"事業所コード",$B258,"事業所",$C258,"事業区分",K$1,"請求区分","単月"),0))</f>
        <v>0</v>
      </c>
      <c r="M258" s="659">
        <f ca="1">IF($A258="","",IFERROR(GETPIVOTDATA("合計 / 入金予定",【ピボット】国保連売上!$A$3,"年月",$A258,"事業所コード",$B258,"事業所",$C258,"事業区分",M$1,"請求区分","単月"),0)
+IFERROR(GETPIVOTDATA("合計 / 入金予定",【ピボット】国保連売上!$A$3,"年月",$A258,"事業所コード",$B258,"事業所",$C258,"事業区分",M$1,"請求区分","再請求"),0))</f>
        <v>0</v>
      </c>
      <c r="N258" s="660">
        <v>142642</v>
      </c>
      <c r="O258" s="1292">
        <v>30360</v>
      </c>
      <c r="P258" s="660">
        <v>300120</v>
      </c>
      <c r="Q258" s="660">
        <v>7342</v>
      </c>
      <c r="R258" s="1292">
        <v>145965</v>
      </c>
      <c r="S258" s="660">
        <v>0</v>
      </c>
      <c r="T258" s="660">
        <v>0</v>
      </c>
      <c r="U258" s="660">
        <v>72900</v>
      </c>
      <c r="V258" s="660">
        <v>0</v>
      </c>
      <c r="W258" s="660">
        <v>0</v>
      </c>
      <c r="X258" s="660">
        <v>0</v>
      </c>
      <c r="Y258" s="659">
        <f t="shared" ca="1" si="12"/>
        <v>12163091</v>
      </c>
      <c r="Z258" s="659">
        <f t="shared" ca="1" si="11"/>
        <v>699329</v>
      </c>
    </row>
    <row r="259" spans="1:26" ht="15.95" customHeight="1" x14ac:dyDescent="0.15">
      <c r="A259" s="656">
        <v>43435</v>
      </c>
      <c r="B259" s="657" t="str">
        <f t="shared" ref="B259:B322" ca="1" si="13">IF(C259="","",VLOOKUP(C259,事業所コード2,2,FALSE))</f>
        <v>02</v>
      </c>
      <c r="C259" s="658" t="s">
        <v>37</v>
      </c>
      <c r="D259" s="659">
        <f ca="1">IF($A259="","",IFERROR(GETPIVOTDATA("合計 / 入金予定",【ピボット】国保連売上!$A$3,"年月",$A259,"事業所コード",$B259,"事業所",$C259,"事業区分",D$1,"請求区分","単月"),0)
+IFERROR(GETPIVOTDATA("合計 / 入金予定",【ピボット】国保連売上!$A$3,"年月",$A259,"事業所コード",$B259,"事業所",$C259,"事業区分",D$1,"請求区分","再請求"),0))</f>
        <v>4484003</v>
      </c>
      <c r="E259" s="659">
        <f ca="1">IF($A259="","",IFERROR(GETPIVOTDATA("合計 / 処遇改善加算金",【ピボット】国保連売上!$A$3,"年月",$A259,"事業所コード",$B259,"事業所",$C259,"事業区分",D$1,"請求区分","単月"),0))</f>
        <v>487200</v>
      </c>
      <c r="F259" s="659">
        <f ca="1">IF($A259="","",IFERROR(GETPIVOTDATA("合計 / 入金予定",【ピボット】国保連売上!$A$3,"年月",$A259,"事業所コード",$B259,"事業所",$C259,"事業区分",F$1,"請求区分","単月"),0)
+IFERROR(GETPIVOTDATA("合計 / 入金予定",【ピボット】国保連売上!$A$3,"年月",$A259,"事業所コード",$B259,"事業所",$C259,"事業区分",F$1,"請求区分","再請求"),0))</f>
        <v>1323386</v>
      </c>
      <c r="G259" s="659">
        <f ca="1">IF($A259="","",IFERROR(GETPIVOTDATA("合計 / 処遇改善加算金",【ピボット】国保連売上!$A$3,"年月",$A259,"事業所コード",$B259,"事業所",$C259,"事業区分",F$1,"請求区分","単月"),0))</f>
        <v>296398</v>
      </c>
      <c r="H259" s="659">
        <f ca="1">IF($A259="","",IFERROR(GETPIVOTDATA("合計 / 入金予定",【ピボット】国保連売上!$A$3,"年月",$A259,"事業所コード",$B259,"事業所",$C259,"事業区分",H$1,"請求区分","単月"),0)
+IFERROR(GETPIVOTDATA("合計 / 入金予定",【ピボット】国保連売上!$A$3,"年月",$A259,"事業所コード",$B259,"事業所",$C259,"事業区分",H$1,"請求区分","再請求"),0))</f>
        <v>518588</v>
      </c>
      <c r="I259" s="659">
        <f ca="1">IF($A259="","",IFERROR(GETPIVOTDATA("合計 / 入金予定",【ピボット】国保連売上!$A$3,"年月",$A259,"事業所コード",$B259,"事業所",$C259,"事業区分",I$1,"請求区分","単月"),0)
+IFERROR(GETPIVOTDATA("合計 / 入金予定",【ピボット】国保連売上!$A$3,"年月",$A259,"事業所コード",$B259,"事業所",$C259,"事業区分",I$1,"請求区分","再請求"),0))</f>
        <v>0</v>
      </c>
      <c r="J259" s="659">
        <f ca="1">IF($A259="","",IFERROR(GETPIVOTDATA("合計 / 処遇改善加算金",【ピボット】国保連売上!$A$3,"年月",$A259,"事業所コード",$B259,"事業所",$C259,"事業区分",I$1,"請求区分","単月"),0))</f>
        <v>0</v>
      </c>
      <c r="K259" s="659">
        <f ca="1">IF($A259="","",IFERROR(GETPIVOTDATA("合計 / 入金予定",【ピボット】国保連売上!$A$3,"年月",$A259,"事業所コード",$B259,"事業所",$C259,"事業区分",K$1,"請求区分","単月"),0)
+IFERROR(GETPIVOTDATA("合計 / 入金予定",【ピボット】国保連売上!$A$3,"年月",$A259,"事業所コード",$B259,"事業所",$C259,"事業区分",K$1,"請求区分","再請求"),0))</f>
        <v>0</v>
      </c>
      <c r="L259" s="659">
        <f ca="1">IF($A259="","",IFERROR(GETPIVOTDATA("合計 / 処遇改善加算金",【ピボット】国保連売上!$A$3,"年月",$A259,"事業所コード",$B259,"事業所",$C259,"事業区分",K$1,"請求区分","単月"),0))</f>
        <v>0</v>
      </c>
      <c r="M259" s="659">
        <f ca="1">IF($A259="","",IFERROR(GETPIVOTDATA("合計 / 入金予定",【ピボット】国保連売上!$A$3,"年月",$A259,"事業所コード",$B259,"事業所",$C259,"事業区分",M$1,"請求区分","単月"),0)
+IFERROR(GETPIVOTDATA("合計 / 入金予定",【ピボット】国保連売上!$A$3,"年月",$A259,"事業所コード",$B259,"事業所",$C259,"事業区分",M$1,"請求区分","再請求"),0))</f>
        <v>0</v>
      </c>
      <c r="N259" s="660">
        <v>198681</v>
      </c>
      <c r="O259" s="660">
        <v>0</v>
      </c>
      <c r="P259" s="660">
        <v>0</v>
      </c>
      <c r="Q259" s="660">
        <v>1231</v>
      </c>
      <c r="R259" s="1292">
        <v>152364</v>
      </c>
      <c r="S259" s="660">
        <v>0</v>
      </c>
      <c r="T259" s="660">
        <v>0</v>
      </c>
      <c r="U259" s="660">
        <v>0</v>
      </c>
      <c r="V259" s="660">
        <v>0</v>
      </c>
      <c r="W259" s="660">
        <v>0</v>
      </c>
      <c r="X259" s="660">
        <v>0</v>
      </c>
      <c r="Y259" s="659">
        <f t="shared" ca="1" si="12"/>
        <v>6678253</v>
      </c>
      <c r="Z259" s="659">
        <f t="shared" ref="Z259:Z322" ca="1" si="14">IF(B259="","",SUM(N259:X259))</f>
        <v>352276</v>
      </c>
    </row>
    <row r="260" spans="1:26" ht="15.95" customHeight="1" x14ac:dyDescent="0.15">
      <c r="A260" s="656">
        <v>43435</v>
      </c>
      <c r="B260" s="657" t="str">
        <f t="shared" ca="1" si="13"/>
        <v>03</v>
      </c>
      <c r="C260" s="658" t="s">
        <v>66</v>
      </c>
      <c r="D260" s="659">
        <f ca="1">IF($A260="","",IFERROR(GETPIVOTDATA("合計 / 入金予定",【ピボット】国保連売上!$A$3,"年月",$A260,"事業所コード",$B260,"事業所",$C260,"事業区分",D$1,"請求区分","単月"),0)
+IFERROR(GETPIVOTDATA("合計 / 入金予定",【ピボット】国保連売上!$A$3,"年月",$A260,"事業所コード",$B260,"事業所",$C260,"事業区分",D$1,"請求区分","再請求"),0))</f>
        <v>4434302</v>
      </c>
      <c r="E260" s="659">
        <f ca="1">IF($A260="","",IFERROR(GETPIVOTDATA("合計 / 処遇改善加算金",【ピボット】国保連売上!$A$3,"年月",$A260,"事業所コード",$B260,"事業所",$C260,"事業区分",D$1,"請求区分","単月"),0))</f>
        <v>461604</v>
      </c>
      <c r="F260" s="659">
        <f ca="1">IF($A260="","",IFERROR(GETPIVOTDATA("合計 / 入金予定",【ピボット】国保連売上!$A$3,"年月",$A260,"事業所コード",$B260,"事業所",$C260,"事業区分",F$1,"請求区分","単月"),0)
+IFERROR(GETPIVOTDATA("合計 / 入金予定",【ピボット】国保連売上!$A$3,"年月",$A260,"事業所コード",$B260,"事業所",$C260,"事業区分",F$1,"請求区分","再請求"),0))</f>
        <v>2159752</v>
      </c>
      <c r="G260" s="659">
        <f ca="1">IF($A260="","",IFERROR(GETPIVOTDATA("合計 / 処遇改善加算金",【ピボット】国保連売上!$A$3,"年月",$A260,"事業所コード",$B260,"事業所",$C260,"事業区分",F$1,"請求区分","単月"),0))</f>
        <v>502225</v>
      </c>
      <c r="H260" s="659">
        <f ca="1">IF($A260="","",IFERROR(GETPIVOTDATA("合計 / 入金予定",【ピボット】国保連売上!$A$3,"年月",$A260,"事業所コード",$B260,"事業所",$C260,"事業区分",H$1,"請求区分","単月"),0)
+IFERROR(GETPIVOTDATA("合計 / 入金予定",【ピボット】国保連売上!$A$3,"年月",$A260,"事業所コード",$B260,"事業所",$C260,"事業区分",H$1,"請求区分","再請求"),0))</f>
        <v>0</v>
      </c>
      <c r="I260" s="659">
        <f ca="1">IF($A260="","",IFERROR(GETPIVOTDATA("合計 / 入金予定",【ピボット】国保連売上!$A$3,"年月",$A260,"事業所コード",$B260,"事業所",$C260,"事業区分",I$1,"請求区分","単月"),0)
+IFERROR(GETPIVOTDATA("合計 / 入金予定",【ピボット】国保連売上!$A$3,"年月",$A260,"事業所コード",$B260,"事業所",$C260,"事業区分",I$1,"請求区分","再請求"),0))</f>
        <v>0</v>
      </c>
      <c r="J260" s="659">
        <f ca="1">IF($A260="","",IFERROR(GETPIVOTDATA("合計 / 処遇改善加算金",【ピボット】国保連売上!$A$3,"年月",$A260,"事業所コード",$B260,"事業所",$C260,"事業区分",I$1,"請求区分","単月"),0))</f>
        <v>0</v>
      </c>
      <c r="K260" s="659">
        <f ca="1">IF($A260="","",IFERROR(GETPIVOTDATA("合計 / 入金予定",【ピボット】国保連売上!$A$3,"年月",$A260,"事業所コード",$B260,"事業所",$C260,"事業区分",K$1,"請求区分","単月"),0)
+IFERROR(GETPIVOTDATA("合計 / 入金予定",【ピボット】国保連売上!$A$3,"年月",$A260,"事業所コード",$B260,"事業所",$C260,"事業区分",K$1,"請求区分","再請求"),0))</f>
        <v>0</v>
      </c>
      <c r="L260" s="659">
        <f ca="1">IF($A260="","",IFERROR(GETPIVOTDATA("合計 / 処遇改善加算金",【ピボット】国保連売上!$A$3,"年月",$A260,"事業所コード",$B260,"事業所",$C260,"事業区分",K$1,"請求区分","単月"),0))</f>
        <v>0</v>
      </c>
      <c r="M260" s="659">
        <f ca="1">IF($A260="","",IFERROR(GETPIVOTDATA("合計 / 入金予定",【ピボット】国保連売上!$A$3,"年月",$A260,"事業所コード",$B260,"事業所",$C260,"事業区分",M$1,"請求区分","単月"),0)
+IFERROR(GETPIVOTDATA("合計 / 入金予定",【ピボット】国保連売上!$A$3,"年月",$A260,"事業所コード",$B260,"事業所",$C260,"事業区分",M$1,"請求区分","再請求"),0))</f>
        <v>0</v>
      </c>
      <c r="N260" s="660">
        <v>158000</v>
      </c>
      <c r="O260" s="1292">
        <v>174879</v>
      </c>
      <c r="P260" s="660">
        <v>132930</v>
      </c>
      <c r="Q260" s="660">
        <v>5717</v>
      </c>
      <c r="R260" s="1292">
        <v>0</v>
      </c>
      <c r="S260" s="660">
        <v>0</v>
      </c>
      <c r="T260" s="660">
        <v>0</v>
      </c>
      <c r="U260" s="660">
        <v>0</v>
      </c>
      <c r="V260" s="660">
        <v>0</v>
      </c>
      <c r="W260" s="660">
        <v>0</v>
      </c>
      <c r="X260" s="660">
        <v>0</v>
      </c>
      <c r="Y260" s="659">
        <f t="shared" ca="1" si="12"/>
        <v>7065580</v>
      </c>
      <c r="Z260" s="659">
        <f t="shared" ca="1" si="14"/>
        <v>471526</v>
      </c>
    </row>
    <row r="261" spans="1:26" ht="15.95" customHeight="1" x14ac:dyDescent="0.15">
      <c r="A261" s="656">
        <v>43435</v>
      </c>
      <c r="B261" s="657" t="str">
        <f t="shared" ca="1" si="13"/>
        <v>11</v>
      </c>
      <c r="C261" s="658" t="s">
        <v>967</v>
      </c>
      <c r="D261" s="659">
        <f ca="1">IF($A261="","",IFERROR(GETPIVOTDATA("合計 / 入金予定",【ピボット】国保連売上!$A$3,"年月",$A261,"事業所コード",$B261,"事業所",$C261,"事業区分",D$1,"請求区分","単月"),0)
+IFERROR(GETPIVOTDATA("合計 / 入金予定",【ピボット】国保連売上!$A$3,"年月",$A261,"事業所コード",$B261,"事業所",$C261,"事業区分",D$1,"請求区分","再請求"),0))</f>
        <v>1325905</v>
      </c>
      <c r="E261" s="659">
        <f ca="1">IF($A261="","",IFERROR(GETPIVOTDATA("合計 / 処遇改善加算金",【ピボット】国保連売上!$A$3,"年月",$A261,"事業所コード",$B261,"事業所",$C261,"事業区分",D$1,"請求区分","単月"),0))</f>
        <v>119784</v>
      </c>
      <c r="F261" s="659">
        <f ca="1">IF($A261="","",IFERROR(GETPIVOTDATA("合計 / 入金予定",【ピボット】国保連売上!$A$3,"年月",$A261,"事業所コード",$B261,"事業所",$C261,"事業区分",F$1,"請求区分","単月"),0)
+IFERROR(GETPIVOTDATA("合計 / 入金予定",【ピボット】国保連売上!$A$3,"年月",$A261,"事業所コード",$B261,"事業所",$C261,"事業区分",F$1,"請求区分","再請求"),0))</f>
        <v>170158</v>
      </c>
      <c r="G261" s="659">
        <f ca="1">IF($A261="","",IFERROR(GETPIVOTDATA("合計 / 処遇改善加算金",【ピボット】国保連売上!$A$3,"年月",$A261,"事業所コード",$B261,"事業所",$C261,"事業区分",F$1,"請求区分","単月"),0))</f>
        <v>36611</v>
      </c>
      <c r="H261" s="659">
        <f ca="1">IF($A261="","",IFERROR(GETPIVOTDATA("合計 / 入金予定",【ピボット】国保連売上!$A$3,"年月",$A261,"事業所コード",$B261,"事業所",$C261,"事業区分",H$1,"請求区分","単月"),0)
+IFERROR(GETPIVOTDATA("合計 / 入金予定",【ピボット】国保連売上!$A$3,"年月",$A261,"事業所コード",$B261,"事業所",$C261,"事業区分",H$1,"請求区分","再請求"),0))</f>
        <v>0</v>
      </c>
      <c r="I261" s="659">
        <f ca="1">IF($A261="","",IFERROR(GETPIVOTDATA("合計 / 入金予定",【ピボット】国保連売上!$A$3,"年月",$A261,"事業所コード",$B261,"事業所",$C261,"事業区分",I$1,"請求区分","単月"),0)
+IFERROR(GETPIVOTDATA("合計 / 入金予定",【ピボット】国保連売上!$A$3,"年月",$A261,"事業所コード",$B261,"事業所",$C261,"事業区分",I$1,"請求区分","再請求"),0))</f>
        <v>0</v>
      </c>
      <c r="J261" s="659">
        <f ca="1">IF($A261="","",IFERROR(GETPIVOTDATA("合計 / 処遇改善加算金",【ピボット】国保連売上!$A$3,"年月",$A261,"事業所コード",$B261,"事業所",$C261,"事業区分",I$1,"請求区分","単月"),0))</f>
        <v>0</v>
      </c>
      <c r="K261" s="659">
        <f ca="1">IF($A261="","",IFERROR(GETPIVOTDATA("合計 / 入金予定",【ピボット】国保連売上!$A$3,"年月",$A261,"事業所コード",$B261,"事業所",$C261,"事業区分",K$1,"請求区分","単月"),0)
+IFERROR(GETPIVOTDATA("合計 / 入金予定",【ピボット】国保連売上!$A$3,"年月",$A261,"事業所コード",$B261,"事業所",$C261,"事業区分",K$1,"請求区分","再請求"),0))</f>
        <v>0</v>
      </c>
      <c r="L261" s="659">
        <f ca="1">IF($A261="","",IFERROR(GETPIVOTDATA("合計 / 処遇改善加算金",【ピボット】国保連売上!$A$3,"年月",$A261,"事業所コード",$B261,"事業所",$C261,"事業区分",K$1,"請求区分","単月"),0))</f>
        <v>0</v>
      </c>
      <c r="M261" s="659">
        <f ca="1">IF($A261="","",IFERROR(GETPIVOTDATA("合計 / 入金予定",【ピボット】国保連売上!$A$3,"年月",$A261,"事業所コード",$B261,"事業所",$C261,"事業区分",M$1,"請求区分","単月"),0)
+IFERROR(GETPIVOTDATA("合計 / 入金予定",【ピボット】国保連売上!$A$3,"年月",$A261,"事業所コード",$B261,"事業所",$C261,"事業区分",M$1,"請求区分","再請求"),0))</f>
        <v>0</v>
      </c>
      <c r="N261" s="660">
        <v>5100</v>
      </c>
      <c r="O261" s="1292">
        <v>19540</v>
      </c>
      <c r="P261" s="660">
        <v>0</v>
      </c>
      <c r="Q261" s="660">
        <v>143</v>
      </c>
      <c r="R261" s="660">
        <v>0</v>
      </c>
      <c r="S261" s="660">
        <v>0</v>
      </c>
      <c r="T261" s="660">
        <v>0</v>
      </c>
      <c r="U261" s="660">
        <v>0</v>
      </c>
      <c r="V261" s="660">
        <v>0</v>
      </c>
      <c r="W261" s="660">
        <v>0</v>
      </c>
      <c r="X261" s="660">
        <v>0</v>
      </c>
      <c r="Y261" s="659">
        <f t="shared" ca="1" si="12"/>
        <v>1520846</v>
      </c>
      <c r="Z261" s="659">
        <f t="shared" ca="1" si="14"/>
        <v>24783</v>
      </c>
    </row>
    <row r="262" spans="1:26" ht="15.95" customHeight="1" x14ac:dyDescent="0.15">
      <c r="A262" s="656">
        <v>43435</v>
      </c>
      <c r="B262" s="657" t="str">
        <f t="shared" ca="1" si="13"/>
        <v>12</v>
      </c>
      <c r="C262" s="658" t="s">
        <v>1143</v>
      </c>
      <c r="D262" s="659">
        <f ca="1">IF($A262="","",IFERROR(GETPIVOTDATA("合計 / 入金予定",【ピボット】国保連売上!$A$3,"年月",$A262,"事業所コード",$B262,"事業所",$C262,"事業区分",D$1,"請求区分","単月"),0)
+IFERROR(GETPIVOTDATA("合計 / 入金予定",【ピボット】国保連売上!$A$3,"年月",$A262,"事業所コード",$B262,"事業所",$C262,"事業区分",D$1,"請求区分","再請求"),0))</f>
        <v>510817</v>
      </c>
      <c r="E262" s="659">
        <f ca="1">IF($A262="","",IFERROR(GETPIVOTDATA("合計 / 処遇改善加算金",【ピボット】国保連売上!$A$3,"年月",$A262,"事業所コード",$B262,"事業所",$C262,"事業区分",D$1,"請求区分","単月"),0))</f>
        <v>45753</v>
      </c>
      <c r="F262" s="659">
        <f ca="1">IF($A262="","",IFERROR(GETPIVOTDATA("合計 / 入金予定",【ピボット】国保連売上!$A$3,"年月",$A262,"事業所コード",$B262,"事業所",$C262,"事業区分",F$1,"請求区分","単月"),0)
+IFERROR(GETPIVOTDATA("合計 / 入金予定",【ピボット】国保連売上!$A$3,"年月",$A262,"事業所コード",$B262,"事業所",$C262,"事業区分",F$1,"請求区分","再請求"),0))</f>
        <v>157949</v>
      </c>
      <c r="G262" s="659">
        <f ca="1">IF($A262="","",IFERROR(GETPIVOTDATA("合計 / 処遇改善加算金",【ピボット】国保連売上!$A$3,"年月",$A262,"事業所コード",$B262,"事業所",$C262,"事業区分",F$1,"請求区分","単月"),0))</f>
        <v>36720</v>
      </c>
      <c r="H262" s="659">
        <f ca="1">IF($A262="","",IFERROR(GETPIVOTDATA("合計 / 入金予定",【ピボット】国保連売上!$A$3,"年月",$A262,"事業所コード",$B262,"事業所",$C262,"事業区分",H$1,"請求区分","単月"),0)
+IFERROR(GETPIVOTDATA("合計 / 入金予定",【ピボット】国保連売上!$A$3,"年月",$A262,"事業所コード",$B262,"事業所",$C262,"事業区分",H$1,"請求区分","再請求"),0))</f>
        <v>0</v>
      </c>
      <c r="I262" s="659">
        <f ca="1">IF($A262="","",IFERROR(GETPIVOTDATA("合計 / 入金予定",【ピボット】国保連売上!$A$3,"年月",$A262,"事業所コード",$B262,"事業所",$C262,"事業区分",I$1,"請求区分","単月"),0)
+IFERROR(GETPIVOTDATA("合計 / 入金予定",【ピボット】国保連売上!$A$3,"年月",$A262,"事業所コード",$B262,"事業所",$C262,"事業区分",I$1,"請求区分","再請求"),0))</f>
        <v>0</v>
      </c>
      <c r="J262" s="659">
        <f ca="1">IF($A262="","",IFERROR(GETPIVOTDATA("合計 / 処遇改善加算金",【ピボット】国保連売上!$A$3,"年月",$A262,"事業所コード",$B262,"事業所",$C262,"事業区分",I$1,"請求区分","単月"),0))</f>
        <v>0</v>
      </c>
      <c r="K262" s="659">
        <f ca="1">IF($A262="","",IFERROR(GETPIVOTDATA("合計 / 入金予定",【ピボット】国保連売上!$A$3,"年月",$A262,"事業所コード",$B262,"事業所",$C262,"事業区分",K$1,"請求区分","単月"),0)
+IFERROR(GETPIVOTDATA("合計 / 入金予定",【ピボット】国保連売上!$A$3,"年月",$A262,"事業所コード",$B262,"事業所",$C262,"事業区分",K$1,"請求区分","再請求"),0))</f>
        <v>0</v>
      </c>
      <c r="L262" s="659">
        <f ca="1">IF($A262="","",IFERROR(GETPIVOTDATA("合計 / 処遇改善加算金",【ピボット】国保連売上!$A$3,"年月",$A262,"事業所コード",$B262,"事業所",$C262,"事業区分",K$1,"請求区分","単月"),0))</f>
        <v>0</v>
      </c>
      <c r="M262" s="659">
        <f ca="1">IF($A262="","",IFERROR(GETPIVOTDATA("合計 / 入金予定",【ピボット】国保連売上!$A$3,"年月",$A262,"事業所コード",$B262,"事業所",$C262,"事業区分",M$1,"請求区分","単月"),0)
+IFERROR(GETPIVOTDATA("合計 / 入金予定",【ピボット】国保連売上!$A$3,"年月",$A262,"事業所コード",$B262,"事業所",$C262,"事業区分",M$1,"請求区分","再請求"),0))</f>
        <v>0</v>
      </c>
      <c r="N262" s="660">
        <v>0</v>
      </c>
      <c r="O262" s="1292">
        <v>32564</v>
      </c>
      <c r="P262" s="660">
        <v>0</v>
      </c>
      <c r="Q262" s="660">
        <v>390</v>
      </c>
      <c r="R262" s="660">
        <v>0</v>
      </c>
      <c r="S262" s="660">
        <v>0</v>
      </c>
      <c r="T262" s="660">
        <v>0</v>
      </c>
      <c r="U262" s="660">
        <v>0</v>
      </c>
      <c r="V262" s="660">
        <v>0</v>
      </c>
      <c r="W262" s="660">
        <v>0</v>
      </c>
      <c r="X262" s="660">
        <v>0</v>
      </c>
      <c r="Y262" s="659">
        <f t="shared" ca="1" si="12"/>
        <v>701720</v>
      </c>
      <c r="Z262" s="659">
        <f t="shared" ca="1" si="14"/>
        <v>32954</v>
      </c>
    </row>
    <row r="263" spans="1:26" ht="15.95" customHeight="1" x14ac:dyDescent="0.15">
      <c r="A263" s="656">
        <v>43435</v>
      </c>
      <c r="B263" s="657" t="str">
        <f t="shared" ca="1" si="13"/>
        <v>04</v>
      </c>
      <c r="C263" s="658" t="s">
        <v>358</v>
      </c>
      <c r="D263" s="659">
        <f ca="1">IF($A263="","",IFERROR(GETPIVOTDATA("合計 / 入金予定",【ピボット】国保連売上!$A$3,"年月",$A263,"事業所コード",$B263,"事業所",$C263,"事業区分",D$1,"請求区分","単月"),0)
+IFERROR(GETPIVOTDATA("合計 / 入金予定",【ピボット】国保連売上!$A$3,"年月",$A263,"事業所コード",$B263,"事業所",$C263,"事業区分",D$1,"請求区分","再請求"),0))</f>
        <v>0</v>
      </c>
      <c r="E263" s="659">
        <f ca="1">IF($A263="","",IFERROR(GETPIVOTDATA("合計 / 処遇改善加算金",【ピボット】国保連売上!$A$3,"年月",$A263,"事業所コード",$B263,"事業所",$C263,"事業区分",D$1,"請求区分","単月"),0))</f>
        <v>0</v>
      </c>
      <c r="F263" s="659">
        <f ca="1">IF($A263="","",IFERROR(GETPIVOTDATA("合計 / 入金予定",【ピボット】国保連売上!$A$3,"年月",$A263,"事業所コード",$B263,"事業所",$C263,"事業区分",F$1,"請求区分","単月"),0)
+IFERROR(GETPIVOTDATA("合計 / 入金予定",【ピボット】国保連売上!$A$3,"年月",$A263,"事業所コード",$B263,"事業所",$C263,"事業区分",F$1,"請求区分","再請求"),0))</f>
        <v>0</v>
      </c>
      <c r="G263" s="659">
        <f ca="1">IF($A263="","",IFERROR(GETPIVOTDATA("合計 / 処遇改善加算金",【ピボット】国保連売上!$A$3,"年月",$A263,"事業所コード",$B263,"事業所",$C263,"事業区分",F$1,"請求区分","単月"),0))</f>
        <v>0</v>
      </c>
      <c r="H263" s="659">
        <f ca="1">IF($A263="","",IFERROR(GETPIVOTDATA("合計 / 入金予定",【ピボット】国保連売上!$A$3,"年月",$A263,"事業所コード",$B263,"事業所",$C263,"事業区分",H$1,"請求区分","単月"),0)
+IFERROR(GETPIVOTDATA("合計 / 入金予定",【ピボット】国保連売上!$A$3,"年月",$A263,"事業所コード",$B263,"事業所",$C263,"事業区分",H$1,"請求区分","再請求"),0))</f>
        <v>0</v>
      </c>
      <c r="I263" s="659">
        <f ca="1">IF($A263="","",IFERROR(GETPIVOTDATA("合計 / 入金予定",【ピボット】国保連売上!$A$3,"年月",$A263,"事業所コード",$B263,"事業所",$C263,"事業区分",I$1,"請求区分","単月"),0)
+IFERROR(GETPIVOTDATA("合計 / 入金予定",【ピボット】国保連売上!$A$3,"年月",$A263,"事業所コード",$B263,"事業所",$C263,"事業区分",I$1,"請求区分","再請求"),0))</f>
        <v>4100094</v>
      </c>
      <c r="J263" s="659">
        <f ca="1">IF($A263="","",IFERROR(GETPIVOTDATA("合計 / 処遇改善加算金",【ピボット】国保連売上!$A$3,"年月",$A263,"事業所コード",$B263,"事業所",$C263,"事業区分",I$1,"請求区分","単月"),0))</f>
        <v>228390</v>
      </c>
      <c r="K263" s="659">
        <f ca="1">IF($A263="","",IFERROR(GETPIVOTDATA("合計 / 入金予定",【ピボット】国保連売上!$A$3,"年月",$A263,"事業所コード",$B263,"事業所",$C263,"事業区分",K$1,"請求区分","単月"),0)
+IFERROR(GETPIVOTDATA("合計 / 入金予定",【ピボット】国保連売上!$A$3,"年月",$A263,"事業所コード",$B263,"事業所",$C263,"事業区分",K$1,"請求区分","再請求"),0))</f>
        <v>0</v>
      </c>
      <c r="L263" s="659">
        <f ca="1">IF($A263="","",IFERROR(GETPIVOTDATA("合計 / 処遇改善加算金",【ピボット】国保連売上!$A$3,"年月",$A263,"事業所コード",$B263,"事業所",$C263,"事業区分",K$1,"請求区分","単月"),0))</f>
        <v>0</v>
      </c>
      <c r="M263" s="659">
        <f ca="1">IF($A263="","",IFERROR(GETPIVOTDATA("合計 / 入金予定",【ピボット】国保連売上!$A$3,"年月",$A263,"事業所コード",$B263,"事業所",$C263,"事業区分",M$1,"請求区分","単月"),0)
+IFERROR(GETPIVOTDATA("合計 / 入金予定",【ピボット】国保連売上!$A$3,"年月",$A263,"事業所コード",$B263,"事業所",$C263,"事業区分",M$1,"請求区分","再請求"),0))</f>
        <v>0</v>
      </c>
      <c r="N263" s="660">
        <v>0</v>
      </c>
      <c r="O263" s="660">
        <v>0</v>
      </c>
      <c r="P263" s="660">
        <v>0</v>
      </c>
      <c r="Q263" s="660">
        <v>0</v>
      </c>
      <c r="R263" s="660">
        <v>0</v>
      </c>
      <c r="S263" s="660">
        <v>0</v>
      </c>
      <c r="T263" s="660">
        <f>320900+1650</f>
        <v>322550</v>
      </c>
      <c r="U263" s="660">
        <v>0</v>
      </c>
      <c r="V263" s="660">
        <v>0</v>
      </c>
      <c r="W263" s="660">
        <v>0</v>
      </c>
      <c r="X263" s="660">
        <v>0</v>
      </c>
      <c r="Y263" s="659">
        <f t="shared" ca="1" si="12"/>
        <v>4422644</v>
      </c>
      <c r="Z263" s="659">
        <f t="shared" ca="1" si="14"/>
        <v>322550</v>
      </c>
    </row>
    <row r="264" spans="1:26" ht="15.95" customHeight="1" x14ac:dyDescent="0.15">
      <c r="A264" s="656">
        <v>43435</v>
      </c>
      <c r="B264" s="657" t="str">
        <f t="shared" ca="1" si="13"/>
        <v>05</v>
      </c>
      <c r="C264" s="658" t="s">
        <v>359</v>
      </c>
      <c r="D264" s="659">
        <f ca="1">IF($A264="","",IFERROR(GETPIVOTDATA("合計 / 入金予定",【ピボット】国保連売上!$A$3,"年月",$A264,"事業所コード",$B264,"事業所",$C264,"事業区分",D$1,"請求区分","単月"),0)
+IFERROR(GETPIVOTDATA("合計 / 入金予定",【ピボット】国保連売上!$A$3,"年月",$A264,"事業所コード",$B264,"事業所",$C264,"事業区分",D$1,"請求区分","再請求"),0))</f>
        <v>1826775</v>
      </c>
      <c r="E264" s="659">
        <f ca="1">IF($A264="","",IFERROR(GETPIVOTDATA("合計 / 処遇改善加算金",【ピボット】国保連売上!$A$3,"年月",$A264,"事業所コード",$B264,"事業所",$C264,"事業区分",D$1,"請求区分","単月"),0))</f>
        <v>0</v>
      </c>
      <c r="F264" s="659">
        <f ca="1">IF($A264="","",IFERROR(GETPIVOTDATA("合計 / 入金予定",【ピボット】国保連売上!$A$3,"年月",$A264,"事業所コード",$B264,"事業所",$C264,"事業区分",F$1,"請求区分","単月"),0)
+IFERROR(GETPIVOTDATA("合計 / 入金予定",【ピボット】国保連売上!$A$3,"年月",$A264,"事業所コード",$B264,"事業所",$C264,"事業区分",F$1,"請求区分","再請求"),0))</f>
        <v>0</v>
      </c>
      <c r="G264" s="659">
        <f ca="1">IF($A264="","",IFERROR(GETPIVOTDATA("合計 / 処遇改善加算金",【ピボット】国保連売上!$A$3,"年月",$A264,"事業所コード",$B264,"事業所",$C264,"事業区分",F$1,"請求区分","単月"),0))</f>
        <v>0</v>
      </c>
      <c r="H264" s="659">
        <f ca="1">IF($A264="","",IFERROR(GETPIVOTDATA("合計 / 入金予定",【ピボット】国保連売上!$A$3,"年月",$A264,"事業所コード",$B264,"事業所",$C264,"事業区分",H$1,"請求区分","単月"),0)
+IFERROR(GETPIVOTDATA("合計 / 入金予定",【ピボット】国保連売上!$A$3,"年月",$A264,"事業所コード",$B264,"事業所",$C264,"事業区分",H$1,"請求区分","再請求"),0))</f>
        <v>0</v>
      </c>
      <c r="I264" s="659">
        <f ca="1">IF($A264="","",IFERROR(GETPIVOTDATA("合計 / 入金予定",【ピボット】国保連売上!$A$3,"年月",$A264,"事業所コード",$B264,"事業所",$C264,"事業区分",I$1,"請求区分","単月"),0)
+IFERROR(GETPIVOTDATA("合計 / 入金予定",【ピボット】国保連売上!$A$3,"年月",$A264,"事業所コード",$B264,"事業所",$C264,"事業区分",I$1,"請求区分","再請求"),0))</f>
        <v>0</v>
      </c>
      <c r="J264" s="659">
        <f ca="1">IF($A264="","",IFERROR(GETPIVOTDATA("合計 / 処遇改善加算金",【ピボット】国保連売上!$A$3,"年月",$A264,"事業所コード",$B264,"事業所",$C264,"事業区分",I$1,"請求区分","単月"),0))</f>
        <v>0</v>
      </c>
      <c r="K264" s="659">
        <f ca="1">IF($A264="","",IFERROR(GETPIVOTDATA("合計 / 入金予定",【ピボット】国保連売上!$A$3,"年月",$A264,"事業所コード",$B264,"事業所",$C264,"事業区分",K$1,"請求区分","単月"),0)
+IFERROR(GETPIVOTDATA("合計 / 入金予定",【ピボット】国保連売上!$A$3,"年月",$A264,"事業所コード",$B264,"事業所",$C264,"事業区分",K$1,"請求区分","再請求"),0))</f>
        <v>0</v>
      </c>
      <c r="L264" s="659">
        <f ca="1">IF($A264="","",IFERROR(GETPIVOTDATA("合計 / 処遇改善加算金",【ピボット】国保連売上!$A$3,"年月",$A264,"事業所コード",$B264,"事業所",$C264,"事業区分",K$1,"請求区分","単月"),0))</f>
        <v>0</v>
      </c>
      <c r="M264" s="659">
        <f ca="1">IF($A264="","",IFERROR(GETPIVOTDATA("合計 / 入金予定",【ピボット】国保連売上!$A$3,"年月",$A264,"事業所コード",$B264,"事業所",$C264,"事業区分",M$1,"請求区分","単月"),0)
+IFERROR(GETPIVOTDATA("合計 / 入金予定",【ピボット】国保連売上!$A$3,"年月",$A264,"事業所コード",$B264,"事業所",$C264,"事業区分",M$1,"請求区分","再請求"),0))</f>
        <v>0</v>
      </c>
      <c r="N264" s="660">
        <v>0</v>
      </c>
      <c r="O264" s="660">
        <v>0</v>
      </c>
      <c r="P264" s="660">
        <v>0</v>
      </c>
      <c r="Q264" s="660">
        <v>0</v>
      </c>
      <c r="R264" s="660">
        <v>0</v>
      </c>
      <c r="S264" s="660">
        <v>779540</v>
      </c>
      <c r="T264" s="660">
        <v>0</v>
      </c>
      <c r="U264" s="660">
        <v>0</v>
      </c>
      <c r="V264" s="660">
        <v>0</v>
      </c>
      <c r="W264" s="660">
        <v>0</v>
      </c>
      <c r="X264" s="660">
        <v>0</v>
      </c>
      <c r="Y264" s="659">
        <f t="shared" ca="1" si="12"/>
        <v>2606315</v>
      </c>
      <c r="Z264" s="659">
        <f t="shared" ca="1" si="14"/>
        <v>779540</v>
      </c>
    </row>
    <row r="265" spans="1:26" ht="15.95" customHeight="1" x14ac:dyDescent="0.15">
      <c r="A265" s="656">
        <v>43435</v>
      </c>
      <c r="B265" s="657" t="str">
        <f t="shared" ca="1" si="13"/>
        <v>07</v>
      </c>
      <c r="C265" s="658" t="s">
        <v>119</v>
      </c>
      <c r="D265" s="659">
        <f ca="1">IF($A265="","",IFERROR(GETPIVOTDATA("合計 / 入金予定",【ピボット】国保連売上!$A$3,"年月",$A265,"事業所コード",$B265,"事業所",$C265,"事業区分",D$1,"請求区分","単月"),0)
+IFERROR(GETPIVOTDATA("合計 / 入金予定",【ピボット】国保連売上!$A$3,"年月",$A265,"事業所コード",$B265,"事業所",$C265,"事業区分",D$1,"請求区分","再請求"),0))</f>
        <v>0</v>
      </c>
      <c r="E265" s="659">
        <f ca="1">IF($A265="","",IFERROR(GETPIVOTDATA("合計 / 処遇改善加算金",【ピボット】国保連売上!$A$3,"年月",$A265,"事業所コード",$B265,"事業所",$C265,"事業区分",D$1,"請求区分","単月"),0))</f>
        <v>0</v>
      </c>
      <c r="F265" s="659">
        <f ca="1">IF($A265="","",IFERROR(GETPIVOTDATA("合計 / 入金予定",【ピボット】国保連売上!$A$3,"年月",$A265,"事業所コード",$B265,"事業所",$C265,"事業区分",F$1,"請求区分","単月"),0)
+IFERROR(GETPIVOTDATA("合計 / 入金予定",【ピボット】国保連売上!$A$3,"年月",$A265,"事業所コード",$B265,"事業所",$C265,"事業区分",F$1,"請求区分","再請求"),0))</f>
        <v>0</v>
      </c>
      <c r="G265" s="659">
        <f ca="1">IF($A265="","",IFERROR(GETPIVOTDATA("合計 / 処遇改善加算金",【ピボット】国保連売上!$A$3,"年月",$A265,"事業所コード",$B265,"事業所",$C265,"事業区分",F$1,"請求区分","単月"),0))</f>
        <v>0</v>
      </c>
      <c r="H265" s="659">
        <f ca="1">IF($A265="","",IFERROR(GETPIVOTDATA("合計 / 入金予定",【ピボット】国保連売上!$A$3,"年月",$A265,"事業所コード",$B265,"事業所",$C265,"事業区分",H$1,"請求区分","単月"),0)
+IFERROR(GETPIVOTDATA("合計 / 入金予定",【ピボット】国保連売上!$A$3,"年月",$A265,"事業所コード",$B265,"事業所",$C265,"事業区分",H$1,"請求区分","再請求"),0))</f>
        <v>0</v>
      </c>
      <c r="I265" s="659">
        <f ca="1">IF($A265="","",IFERROR(GETPIVOTDATA("合計 / 入金予定",【ピボット】国保連売上!$A$3,"年月",$A265,"事業所コード",$B265,"事業所",$C265,"事業区分",I$1,"請求区分","単月"),0)
+IFERROR(GETPIVOTDATA("合計 / 入金予定",【ピボット】国保連売上!$A$3,"年月",$A265,"事業所コード",$B265,"事業所",$C265,"事業区分",I$1,"請求区分","再請求"),0))</f>
        <v>0</v>
      </c>
      <c r="J265" s="659">
        <f ca="1">IF($A265="","",IFERROR(GETPIVOTDATA("合計 / 処遇改善加算金",【ピボット】国保連売上!$A$3,"年月",$A265,"事業所コード",$B265,"事業所",$C265,"事業区分",I$1,"請求区分","単月"),0))</f>
        <v>0</v>
      </c>
      <c r="K265" s="659">
        <f ca="1">IF($A265="","",IFERROR(GETPIVOTDATA("合計 / 入金予定",【ピボット】国保連売上!$A$3,"年月",$A265,"事業所コード",$B265,"事業所",$C265,"事業区分",K$1,"請求区分","単月"),0)
+IFERROR(GETPIVOTDATA("合計 / 入金予定",【ピボット】国保連売上!$A$3,"年月",$A265,"事業所コード",$B265,"事業所",$C265,"事業区分",K$1,"請求区分","再請求"),0))</f>
        <v>1107363</v>
      </c>
      <c r="L265" s="659">
        <f ca="1">IF($A265="","",IFERROR(GETPIVOTDATA("合計 / 処遇改善加算金",【ピボット】国保連売上!$A$3,"年月",$A265,"事業所コード",$B265,"事業所",$C265,"事業区分",K$1,"請求区分","単月"),0))</f>
        <v>308666</v>
      </c>
      <c r="M265" s="659">
        <f ca="1">IF($A265="","",IFERROR(GETPIVOTDATA("合計 / 入金予定",【ピボット】国保連売上!$A$3,"年月",$A265,"事業所コード",$B265,"事業所",$C265,"事業区分",M$1,"請求区分","単月"),0)
+IFERROR(GETPIVOTDATA("合計 / 入金予定",【ピボット】国保連売上!$A$3,"年月",$A265,"事業所コード",$B265,"事業所",$C265,"事業区分",M$1,"請求区分","再請求"),0))</f>
        <v>0</v>
      </c>
      <c r="N265" s="660">
        <v>30600</v>
      </c>
      <c r="O265" s="660">
        <v>0</v>
      </c>
      <c r="P265" s="660">
        <v>0</v>
      </c>
      <c r="Q265" s="660">
        <v>0</v>
      </c>
      <c r="R265" s="660">
        <v>0</v>
      </c>
      <c r="S265" s="660">
        <v>78000</v>
      </c>
      <c r="T265" s="660">
        <v>0</v>
      </c>
      <c r="U265" s="660">
        <v>0</v>
      </c>
      <c r="V265" s="660">
        <v>-40000</v>
      </c>
      <c r="W265" s="660">
        <v>0</v>
      </c>
      <c r="X265" s="660">
        <v>0</v>
      </c>
      <c r="Y265" s="659">
        <f ca="1">IF(A265="","",SUM(D265,F265,H265:I265,K265,M265:X265))</f>
        <v>1175963</v>
      </c>
      <c r="Z265" s="659">
        <f t="shared" ca="1" si="14"/>
        <v>68600</v>
      </c>
    </row>
    <row r="266" spans="1:26" ht="15.95" customHeight="1" x14ac:dyDescent="0.15">
      <c r="A266" s="656">
        <v>43435</v>
      </c>
      <c r="B266" s="657" t="str">
        <f t="shared" ca="1" si="13"/>
        <v>08</v>
      </c>
      <c r="C266" s="658" t="s">
        <v>189</v>
      </c>
      <c r="D266" s="659">
        <f ca="1">IF($A266="","",IFERROR(GETPIVOTDATA("合計 / 入金予定",【ピボット】国保連売上!$A$3,"年月",$A266,"事業所コード",$B266,"事業所",$C266,"事業区分",D$1,"請求区分","単月"),0)
+IFERROR(GETPIVOTDATA("合計 / 入金予定",【ピボット】国保連売上!$A$3,"年月",$A266,"事業所コード",$B266,"事業所",$C266,"事業区分",D$1,"請求区分","再請求"),0))</f>
        <v>0</v>
      </c>
      <c r="E266" s="659">
        <f ca="1">IF($A266="","",IFERROR(GETPIVOTDATA("合計 / 処遇改善加算金",【ピボット】国保連売上!$A$3,"年月",$A266,"事業所コード",$B266,"事業所",$C266,"事業区分",D$1,"請求区分","単月"),0))</f>
        <v>0</v>
      </c>
      <c r="F266" s="659">
        <f ca="1">IF($A266="","",IFERROR(GETPIVOTDATA("合計 / 入金予定",【ピボット】国保連売上!$A$3,"年月",$A266,"事業所コード",$B266,"事業所",$C266,"事業区分",F$1,"請求区分","単月"),0)
+IFERROR(GETPIVOTDATA("合計 / 入金予定",【ピボット】国保連売上!$A$3,"年月",$A266,"事業所コード",$B266,"事業所",$C266,"事業区分",F$1,"請求区分","再請求"),0))</f>
        <v>0</v>
      </c>
      <c r="G266" s="659">
        <f ca="1">IF($A266="","",IFERROR(GETPIVOTDATA("合計 / 処遇改善加算金",【ピボット】国保連売上!$A$3,"年月",$A266,"事業所コード",$B266,"事業所",$C266,"事業区分",F$1,"請求区分","単月"),0))</f>
        <v>0</v>
      </c>
      <c r="H266" s="659">
        <f ca="1">IF($A266="","",IFERROR(GETPIVOTDATA("合計 / 入金予定",【ピボット】国保連売上!$A$3,"年月",$A266,"事業所コード",$B266,"事業所",$C266,"事業区分",H$1,"請求区分","単月"),0)
+IFERROR(GETPIVOTDATA("合計 / 入金予定",【ピボット】国保連売上!$A$3,"年月",$A266,"事業所コード",$B266,"事業所",$C266,"事業区分",H$1,"請求区分","再請求"),0))</f>
        <v>0</v>
      </c>
      <c r="I266" s="659">
        <f ca="1">IF($A266="","",IFERROR(GETPIVOTDATA("合計 / 入金予定",【ピボット】国保連売上!$A$3,"年月",$A266,"事業所コード",$B266,"事業所",$C266,"事業区分",I$1,"請求区分","単月"),0)
+IFERROR(GETPIVOTDATA("合計 / 入金予定",【ピボット】国保連売上!$A$3,"年月",$A266,"事業所コード",$B266,"事業所",$C266,"事業区分",I$1,"請求区分","再請求"),0))</f>
        <v>0</v>
      </c>
      <c r="J266" s="659">
        <f ca="1">IF($A266="","",IFERROR(GETPIVOTDATA("合計 / 処遇改善加算金",【ピボット】国保連売上!$A$3,"年月",$A266,"事業所コード",$B266,"事業所",$C266,"事業区分",I$1,"請求区分","単月"),0))</f>
        <v>0</v>
      </c>
      <c r="K266" s="659">
        <f ca="1">IF($A266="","",IFERROR(GETPIVOTDATA("合計 / 入金予定",【ピボット】国保連売上!$A$3,"年月",$A266,"事業所コード",$B266,"事業所",$C266,"事業区分",K$1,"請求区分","単月"),0)
+IFERROR(GETPIVOTDATA("合計 / 入金予定",【ピボット】国保連売上!$A$3,"年月",$A266,"事業所コード",$B266,"事業所",$C266,"事業区分",K$1,"請求区分","再請求"),0))</f>
        <v>1044442</v>
      </c>
      <c r="L266" s="659">
        <f ca="1">IF($A266="","",IFERROR(GETPIVOTDATA("合計 / 処遇改善加算金",【ピボット】国保連売上!$A$3,"年月",$A266,"事業所コード",$B266,"事業所",$C266,"事業区分",K$1,"請求区分","単月"),0))</f>
        <v>0</v>
      </c>
      <c r="M266" s="659">
        <f ca="1">IF($A266="","",IFERROR(GETPIVOTDATA("合計 / 入金予定",【ピボット】国保連売上!$A$3,"年月",$A266,"事業所コード",$B266,"事業所",$C266,"事業区分",M$1,"請求区分","単月"),0)
+IFERROR(GETPIVOTDATA("合計 / 入金予定",【ピボット】国保連売上!$A$3,"年月",$A266,"事業所コード",$B266,"事業所",$C266,"事業区分",M$1,"請求区分","再請求"),0))</f>
        <v>0</v>
      </c>
      <c r="N266" s="660">
        <v>0</v>
      </c>
      <c r="O266" s="660">
        <v>0</v>
      </c>
      <c r="P266" s="660">
        <v>0</v>
      </c>
      <c r="Q266" s="660">
        <v>0</v>
      </c>
      <c r="R266" s="660">
        <v>0</v>
      </c>
      <c r="S266" s="660">
        <v>98000</v>
      </c>
      <c r="T266" s="660">
        <v>0</v>
      </c>
      <c r="U266" s="660">
        <v>0</v>
      </c>
      <c r="V266" s="660">
        <v>-40000</v>
      </c>
      <c r="W266" s="660">
        <v>0</v>
      </c>
      <c r="X266" s="660">
        <v>0</v>
      </c>
      <c r="Y266" s="659">
        <f t="shared" ca="1" si="12"/>
        <v>1102442</v>
      </c>
      <c r="Z266" s="659">
        <f t="shared" ca="1" si="14"/>
        <v>58000</v>
      </c>
    </row>
    <row r="267" spans="1:26" ht="15.95" customHeight="1" x14ac:dyDescent="0.15">
      <c r="A267" s="656">
        <v>43435</v>
      </c>
      <c r="B267" s="657" t="str">
        <f t="shared" ca="1" si="13"/>
        <v>09</v>
      </c>
      <c r="C267" s="658" t="s">
        <v>329</v>
      </c>
      <c r="D267" s="659">
        <f ca="1">IF($A267="","",IFERROR(GETPIVOTDATA("合計 / 入金予定",【ピボット】国保連売上!$A$3,"年月",$A267,"事業所コード",$B267,"事業所",$C267,"事業区分",D$1,"請求区分","単月"),0)
+IFERROR(GETPIVOTDATA("合計 / 入金予定",【ピボット】国保連売上!$A$3,"年月",$A267,"事業所コード",$B267,"事業所",$C267,"事業区分",D$1,"請求区分","再請求"),0))</f>
        <v>0</v>
      </c>
      <c r="E267" s="659">
        <f ca="1">IF($A267="","",IFERROR(GETPIVOTDATA("合計 / 処遇改善加算金",【ピボット】国保連売上!$A$3,"年月",$A267,"事業所コード",$B267,"事業所",$C267,"事業区分",D$1,"請求区分","単月"),0))</f>
        <v>0</v>
      </c>
      <c r="F267" s="659">
        <f ca="1">IF($A267="","",IFERROR(GETPIVOTDATA("合計 / 入金予定",【ピボット】国保連売上!$A$3,"年月",$A267,"事業所コード",$B267,"事業所",$C267,"事業区分",F$1,"請求区分","単月"),0)
+IFERROR(GETPIVOTDATA("合計 / 入金予定",【ピボット】国保連売上!$A$3,"年月",$A267,"事業所コード",$B267,"事業所",$C267,"事業区分",F$1,"請求区分","再請求"),0))</f>
        <v>0</v>
      </c>
      <c r="G267" s="659">
        <f ca="1">IF($A267="","",IFERROR(GETPIVOTDATA("合計 / 処遇改善加算金",【ピボット】国保連売上!$A$3,"年月",$A267,"事業所コード",$B267,"事業所",$C267,"事業区分",F$1,"請求区分","単月"),0))</f>
        <v>0</v>
      </c>
      <c r="H267" s="659">
        <f ca="1">IF($A267="","",IFERROR(GETPIVOTDATA("合計 / 入金予定",【ピボット】国保連売上!$A$3,"年月",$A267,"事業所コード",$B267,"事業所",$C267,"事業区分",H$1,"請求区分","単月"),0)
+IFERROR(GETPIVOTDATA("合計 / 入金予定",【ピボット】国保連売上!$A$3,"年月",$A267,"事業所コード",$B267,"事業所",$C267,"事業区分",H$1,"請求区分","再請求"),0))</f>
        <v>0</v>
      </c>
      <c r="I267" s="659">
        <f ca="1">IF($A267="","",IFERROR(GETPIVOTDATA("合計 / 入金予定",【ピボット】国保連売上!$A$3,"年月",$A267,"事業所コード",$B267,"事業所",$C267,"事業区分",I$1,"請求区分","単月"),0)
+IFERROR(GETPIVOTDATA("合計 / 入金予定",【ピボット】国保連売上!$A$3,"年月",$A267,"事業所コード",$B267,"事業所",$C267,"事業区分",I$1,"請求区分","再請求"),0))</f>
        <v>0</v>
      </c>
      <c r="J267" s="659">
        <f ca="1">IF($A267="","",IFERROR(GETPIVOTDATA("合計 / 処遇改善加算金",【ピボット】国保連売上!$A$3,"年月",$A267,"事業所コード",$B267,"事業所",$C267,"事業区分",I$1,"請求区分","単月"),0))</f>
        <v>0</v>
      </c>
      <c r="K267" s="659">
        <f ca="1">IF($A267="","",IFERROR(GETPIVOTDATA("合計 / 入金予定",【ピボット】国保連売上!$A$3,"年月",$A267,"事業所コード",$B267,"事業所",$C267,"事業区分",K$1,"請求区分","単月"),0)
+IFERROR(GETPIVOTDATA("合計 / 入金予定",【ピボット】国保連売上!$A$3,"年月",$A267,"事業所コード",$B267,"事業所",$C267,"事業区分",K$1,"請求区分","再請求"),0))</f>
        <v>2507684</v>
      </c>
      <c r="L267" s="659">
        <f ca="1">IF($A267="","",IFERROR(GETPIVOTDATA("合計 / 処遇改善加算金",【ピボット】国保連売上!$A$3,"年月",$A267,"事業所コード",$B267,"事業所",$C267,"事業区分",K$1,"請求区分","単月"),0))</f>
        <v>0</v>
      </c>
      <c r="M267" s="659">
        <f ca="1">IF($A267="","",IFERROR(GETPIVOTDATA("合計 / 入金予定",【ピボット】国保連売上!$A$3,"年月",$A267,"事業所コード",$B267,"事業所",$C267,"事業区分",M$1,"請求区分","単月"),0)
+IFERROR(GETPIVOTDATA("合計 / 入金予定",【ピボット】国保連売上!$A$3,"年月",$A267,"事業所コード",$B267,"事業所",$C267,"事業区分",M$1,"請求区分","再請求"),0))</f>
        <v>0</v>
      </c>
      <c r="N267" s="660">
        <v>0</v>
      </c>
      <c r="O267" s="660">
        <v>0</v>
      </c>
      <c r="P267" s="660">
        <v>0</v>
      </c>
      <c r="Q267" s="660">
        <v>0</v>
      </c>
      <c r="R267" s="660">
        <v>0</v>
      </c>
      <c r="S267" s="660">
        <v>400000</v>
      </c>
      <c r="T267" s="660">
        <v>0</v>
      </c>
      <c r="U267" s="660">
        <v>0</v>
      </c>
      <c r="V267" s="660">
        <v>-100000</v>
      </c>
      <c r="W267" s="660">
        <v>0</v>
      </c>
      <c r="X267" s="660">
        <v>0</v>
      </c>
      <c r="Y267" s="659">
        <f t="shared" ca="1" si="12"/>
        <v>2807684</v>
      </c>
      <c r="Z267" s="659">
        <f t="shared" ca="1" si="14"/>
        <v>300000</v>
      </c>
    </row>
    <row r="268" spans="1:26" ht="15.95" customHeight="1" x14ac:dyDescent="0.15">
      <c r="A268" s="656">
        <v>43435</v>
      </c>
      <c r="B268" s="657" t="str">
        <f t="shared" ca="1" si="13"/>
        <v>13</v>
      </c>
      <c r="C268" s="658" t="s">
        <v>1223</v>
      </c>
      <c r="D268" s="659">
        <f ca="1">IF($A268="","",IFERROR(GETPIVOTDATA("合計 / 入金予定",【ピボット】国保連売上!$A$3,"年月",$A268,"事業所コード",$B268,"事業所",$C268,"事業区分",D$1,"請求区分","単月"),0)
+IFERROR(GETPIVOTDATA("合計 / 入金予定",【ピボット】国保連売上!$A$3,"年月",$A268,"事業所コード",$B268,"事業所",$C268,"事業区分",D$1,"請求区分","再請求"),0))</f>
        <v>0</v>
      </c>
      <c r="E268" s="659">
        <f ca="1">IF($A268="","",IFERROR(GETPIVOTDATA("合計 / 処遇改善加算金",【ピボット】国保連売上!$A$3,"年月",$A268,"事業所コード",$B268,"事業所",$C268,"事業区分",D$1,"請求区分","単月"),0))</f>
        <v>0</v>
      </c>
      <c r="F268" s="659">
        <f ca="1">IF($A268="","",IFERROR(GETPIVOTDATA("合計 / 入金予定",【ピボット】国保連売上!$A$3,"年月",$A268,"事業所コード",$B268,"事業所",$C268,"事業区分",F$1,"請求区分","単月"),0)
+IFERROR(GETPIVOTDATA("合計 / 入金予定",【ピボット】国保連売上!$A$3,"年月",$A268,"事業所コード",$B268,"事業所",$C268,"事業区分",F$1,"請求区分","再請求"),0))</f>
        <v>0</v>
      </c>
      <c r="G268" s="659">
        <f ca="1">IF($A268="","",IFERROR(GETPIVOTDATA("合計 / 処遇改善加算金",【ピボット】国保連売上!$A$3,"年月",$A268,"事業所コード",$B268,"事業所",$C268,"事業区分",F$1,"請求区分","単月"),0))</f>
        <v>0</v>
      </c>
      <c r="H268" s="659">
        <f ca="1">IF($A268="","",IFERROR(GETPIVOTDATA("合計 / 入金予定",【ピボット】国保連売上!$A$3,"年月",$A268,"事業所コード",$B268,"事業所",$C268,"事業区分",H$1,"請求区分","単月"),0)
+IFERROR(GETPIVOTDATA("合計 / 入金予定",【ピボット】国保連売上!$A$3,"年月",$A268,"事業所コード",$B268,"事業所",$C268,"事業区分",H$1,"請求区分","再請求"),0))</f>
        <v>0</v>
      </c>
      <c r="I268" s="659">
        <f ca="1">IF($A268="","",IFERROR(GETPIVOTDATA("合計 / 入金予定",【ピボット】国保連売上!$A$3,"年月",$A268,"事業所コード",$B268,"事業所",$C268,"事業区分",I$1,"請求区分","単月"),0)
+IFERROR(GETPIVOTDATA("合計 / 入金予定",【ピボット】国保連売上!$A$3,"年月",$A268,"事業所コード",$B268,"事業所",$C268,"事業区分",I$1,"請求区分","再請求"),0))</f>
        <v>0</v>
      </c>
      <c r="J268" s="659">
        <f ca="1">IF($A268="","",IFERROR(GETPIVOTDATA("合計 / 処遇改善加算金",【ピボット】国保連売上!$A$3,"年月",$A268,"事業所コード",$B268,"事業所",$C268,"事業区分",I$1,"請求区分","単月"),0))</f>
        <v>0</v>
      </c>
      <c r="K268" s="659">
        <f ca="1">IF($A268="","",IFERROR(GETPIVOTDATA("合計 / 入金予定",【ピボット】国保連売上!$A$3,"年月",$A268,"事業所コード",$B268,"事業所",$C268,"事業区分",K$1,"請求区分","単月"),0)
+IFERROR(GETPIVOTDATA("合計 / 入金予定",【ピボット】国保連売上!$A$3,"年月",$A268,"事業所コード",$B268,"事業所",$C268,"事業区分",K$1,"請求区分","再請求"),0))</f>
        <v>0</v>
      </c>
      <c r="L268" s="659">
        <f ca="1">IF($A268="","",IFERROR(GETPIVOTDATA("合計 / 処遇改善加算金",【ピボット】国保連売上!$A$3,"年月",$A268,"事業所コード",$B268,"事業所",$C268,"事業区分",K$1,"請求区分","単月"),0))</f>
        <v>0</v>
      </c>
      <c r="M268" s="659">
        <f ca="1">IF($A268="","",IFERROR(GETPIVOTDATA("合計 / 入金予定",【ピボット】国保連売上!$A$3,"年月",$A268,"事業所コード",$B268,"事業所",$C268,"事業区分",M$1,"請求区分","単月"),0)
+IFERROR(GETPIVOTDATA("合計 / 入金予定",【ピボット】国保連売上!$A$3,"年月",$A268,"事業所コード",$B268,"事業所",$C268,"事業区分",M$1,"請求区分","再請求"),0))</f>
        <v>0</v>
      </c>
      <c r="N268" s="660">
        <v>0</v>
      </c>
      <c r="O268" s="660">
        <v>0</v>
      </c>
      <c r="P268" s="660">
        <v>0</v>
      </c>
      <c r="Q268" s="660">
        <v>0</v>
      </c>
      <c r="R268" s="660">
        <v>0</v>
      </c>
      <c r="S268" s="660">
        <v>40000</v>
      </c>
      <c r="T268" s="660">
        <v>0</v>
      </c>
      <c r="U268" s="660">
        <v>0</v>
      </c>
      <c r="V268" s="660">
        <v>0</v>
      </c>
      <c r="W268" s="660">
        <v>0</v>
      </c>
      <c r="X268" s="660">
        <v>0</v>
      </c>
      <c r="Y268" s="659">
        <f t="shared" ca="1" si="12"/>
        <v>40000</v>
      </c>
      <c r="Z268" s="659">
        <f t="shared" ca="1" si="14"/>
        <v>40000</v>
      </c>
    </row>
    <row r="269" spans="1:26" ht="15.95" customHeight="1" x14ac:dyDescent="0.15">
      <c r="A269" s="656">
        <v>43466</v>
      </c>
      <c r="B269" s="657" t="str">
        <f t="shared" ca="1" si="13"/>
        <v>01</v>
      </c>
      <c r="C269" s="658" t="s">
        <v>34</v>
      </c>
      <c r="D269" s="659">
        <f ca="1">IF($A269="","",IFERROR(GETPIVOTDATA("合計 / 入金予定",【ピボット】国保連売上!$A$3,"年月",$A269,"事業所コード",$B269,"事業所",$C269,"事業区分",D$1,"請求区分","単月"),0)
+IFERROR(GETPIVOTDATA("合計 / 入金予定",【ピボット】国保連売上!$A$3,"年月",$A269,"事業所コード",$B269,"事業所",$C269,"事業区分",D$1,"請求区分","再請求"),0))</f>
        <v>8912753</v>
      </c>
      <c r="E269" s="659">
        <f ca="1">IF($A269="","",IFERROR(GETPIVOTDATA("合計 / 処遇改善加算金",【ピボット】国保連売上!$A$3,"年月",$A269,"事業所コード",$B269,"事業所",$C269,"事業区分",D$1,"請求区分","単月"),0))</f>
        <v>1297597</v>
      </c>
      <c r="F269" s="659">
        <f ca="1">IF($A269="","",IFERROR(GETPIVOTDATA("合計 / 入金予定",【ピボット】国保連売上!$A$3,"年月",$A269,"事業所コード",$B269,"事業所",$C269,"事業区分",F$1,"請求区分","単月"),0)
+IFERROR(GETPIVOTDATA("合計 / 入金予定",【ピボット】国保連売上!$A$3,"年月",$A269,"事業所コード",$B269,"事業所",$C269,"事業区分",F$1,"請求区分","再請求"),0))</f>
        <v>2316124</v>
      </c>
      <c r="G269" s="659">
        <f ca="1">IF($A269="","",IFERROR(GETPIVOTDATA("合計 / 処遇改善加算金",【ピボット】国保連売上!$A$3,"年月",$A269,"事業所コード",$B269,"事業所",$C269,"事業区分",F$1,"請求区分","単月"),0))</f>
        <v>502389</v>
      </c>
      <c r="H269" s="659">
        <f ca="1">IF($A269="","",IFERROR(GETPIVOTDATA("合計 / 入金予定",【ピボット】国保連売上!$A$3,"年月",$A269,"事業所コード",$B269,"事業所",$C269,"事業区分",H$1,"請求区分","単月"),0)
+IFERROR(GETPIVOTDATA("合計 / 入金予定",【ピボット】国保連売上!$A$3,"年月",$A269,"事業所コード",$B269,"事業所",$C269,"事業区分",H$1,"請求区分","再請求"),0))</f>
        <v>736200</v>
      </c>
      <c r="I269" s="659">
        <f ca="1">IF($A269="","",IFERROR(GETPIVOTDATA("合計 / 入金予定",【ピボット】国保連売上!$A$3,"年月",$A269,"事業所コード",$B269,"事業所",$C269,"事業区分",I$1,"請求区分","単月"),0)
+IFERROR(GETPIVOTDATA("合計 / 入金予定",【ピボット】国保連売上!$A$3,"年月",$A269,"事業所コード",$B269,"事業所",$C269,"事業区分",I$1,"請求区分","再請求"),0))</f>
        <v>0</v>
      </c>
      <c r="J269" s="659">
        <f ca="1">IF($A269="","",IFERROR(GETPIVOTDATA("合計 / 処遇改善加算金",【ピボット】国保連売上!$A$3,"年月",$A269,"事業所コード",$B269,"事業所",$C269,"事業区分",I$1,"請求区分","単月"),0))</f>
        <v>0</v>
      </c>
      <c r="K269" s="659">
        <f ca="1">IF($A269="","",IFERROR(GETPIVOTDATA("合計 / 入金予定",【ピボット】国保連売上!$A$3,"年月",$A269,"事業所コード",$B269,"事業所",$C269,"事業区分",K$1,"請求区分","単月"),0)
+IFERROR(GETPIVOTDATA("合計 / 入金予定",【ピボット】国保連売上!$A$3,"年月",$A269,"事業所コード",$B269,"事業所",$C269,"事業区分",K$1,"請求区分","再請求"),0))</f>
        <v>0</v>
      </c>
      <c r="L269" s="659">
        <f ca="1">IF($A269="","",IFERROR(GETPIVOTDATA("合計 / 処遇改善加算金",【ピボット】国保連売上!$A$3,"年月",$A269,"事業所コード",$B269,"事業所",$C269,"事業区分",K$1,"請求区分","単月"),0))</f>
        <v>0</v>
      </c>
      <c r="M269" s="659">
        <f ca="1">IF($A269="","",IFERROR(GETPIVOTDATA("合計 / 入金予定",【ピボット】国保連売上!$A$3,"年月",$A269,"事業所コード",$B269,"事業所",$C269,"事業区分",M$1,"請求区分","単月"),0)
+IFERROR(GETPIVOTDATA("合計 / 入金予定",【ピボット】国保連売上!$A$3,"年月",$A269,"事業所コード",$B269,"事業所",$C269,"事業区分",M$1,"請求区分","再請求"),0))</f>
        <v>0</v>
      </c>
      <c r="N269" s="1292">
        <v>109700</v>
      </c>
      <c r="O269" s="1292">
        <v>25154</v>
      </c>
      <c r="P269" s="1292">
        <v>268570</v>
      </c>
      <c r="Q269" s="660">
        <v>7270</v>
      </c>
      <c r="R269" s="1942">
        <v>163995</v>
      </c>
      <c r="S269" s="660">
        <v>0</v>
      </c>
      <c r="T269" s="660">
        <v>0</v>
      </c>
      <c r="U269" s="660">
        <v>129060</v>
      </c>
      <c r="V269" s="660">
        <v>0</v>
      </c>
      <c r="W269" s="660">
        <v>0</v>
      </c>
      <c r="X269" s="660">
        <v>0</v>
      </c>
      <c r="Y269" s="659">
        <f t="shared" ca="1" si="12"/>
        <v>12668826</v>
      </c>
      <c r="Z269" s="659">
        <f t="shared" ca="1" si="14"/>
        <v>703749</v>
      </c>
    </row>
    <row r="270" spans="1:26" ht="15.95" customHeight="1" x14ac:dyDescent="0.15">
      <c r="A270" s="656">
        <v>43466</v>
      </c>
      <c r="B270" s="657" t="str">
        <f t="shared" ca="1" si="13"/>
        <v>02</v>
      </c>
      <c r="C270" s="658" t="s">
        <v>37</v>
      </c>
      <c r="D270" s="659">
        <f ca="1">IF($A270="","",IFERROR(GETPIVOTDATA("合計 / 入金予定",【ピボット】国保連売上!$A$3,"年月",$A270,"事業所コード",$B270,"事業所",$C270,"事業区分",D$1,"請求区分","単月"),0)
+IFERROR(GETPIVOTDATA("合計 / 入金予定",【ピボット】国保連売上!$A$3,"年月",$A270,"事業所コード",$B270,"事業所",$C270,"事業区分",D$1,"請求区分","再請求"),0))</f>
        <v>4094387</v>
      </c>
      <c r="E270" s="659">
        <f ca="1">IF($A270="","",IFERROR(GETPIVOTDATA("合計 / 処遇改善加算金",【ピボット】国保連売上!$A$3,"年月",$A270,"事業所コード",$B270,"事業所",$C270,"事業区分",D$1,"請求区分","単月"),0))</f>
        <v>442601</v>
      </c>
      <c r="F270" s="659">
        <f ca="1">IF($A270="","",IFERROR(GETPIVOTDATA("合計 / 入金予定",【ピボット】国保連売上!$A$3,"年月",$A270,"事業所コード",$B270,"事業所",$C270,"事業区分",F$1,"請求区分","単月"),0)
+IFERROR(GETPIVOTDATA("合計 / 入金予定",【ピボット】国保連売上!$A$3,"年月",$A270,"事業所コード",$B270,"事業所",$C270,"事業区分",F$1,"請求区分","再請求"),0))</f>
        <v>1005210</v>
      </c>
      <c r="G270" s="659">
        <f ca="1">IF($A270="","",IFERROR(GETPIVOTDATA("合計 / 処遇改善加算金",【ピボット】国保連売上!$A$3,"年月",$A270,"事業所コード",$B270,"事業所",$C270,"事業区分",F$1,"請求区分","単月"),0))</f>
        <v>233751</v>
      </c>
      <c r="H270" s="659">
        <f ca="1">IF($A270="","",IFERROR(GETPIVOTDATA("合計 / 入金予定",【ピボット】国保連売上!$A$3,"年月",$A270,"事業所コード",$B270,"事業所",$C270,"事業区分",H$1,"請求区分","単月"),0)
+IFERROR(GETPIVOTDATA("合計 / 入金予定",【ピボット】国保連売上!$A$3,"年月",$A270,"事業所コード",$B270,"事業所",$C270,"事業区分",H$1,"請求区分","再請求"),0))</f>
        <v>530400</v>
      </c>
      <c r="I270" s="659">
        <f ca="1">IF($A270="","",IFERROR(GETPIVOTDATA("合計 / 入金予定",【ピボット】国保連売上!$A$3,"年月",$A270,"事業所コード",$B270,"事業所",$C270,"事業区分",I$1,"請求区分","単月"),0)
+IFERROR(GETPIVOTDATA("合計 / 入金予定",【ピボット】国保連売上!$A$3,"年月",$A270,"事業所コード",$B270,"事業所",$C270,"事業区分",I$1,"請求区分","再請求"),0))</f>
        <v>0</v>
      </c>
      <c r="J270" s="659">
        <f ca="1">IF($A270="","",IFERROR(GETPIVOTDATA("合計 / 処遇改善加算金",【ピボット】国保連売上!$A$3,"年月",$A270,"事業所コード",$B270,"事業所",$C270,"事業区分",I$1,"請求区分","単月"),0))</f>
        <v>0</v>
      </c>
      <c r="K270" s="659">
        <f ca="1">IF($A270="","",IFERROR(GETPIVOTDATA("合計 / 入金予定",【ピボット】国保連売上!$A$3,"年月",$A270,"事業所コード",$B270,"事業所",$C270,"事業区分",K$1,"請求区分","単月"),0)
+IFERROR(GETPIVOTDATA("合計 / 入金予定",【ピボット】国保連売上!$A$3,"年月",$A270,"事業所コード",$B270,"事業所",$C270,"事業区分",K$1,"請求区分","再請求"),0))</f>
        <v>0</v>
      </c>
      <c r="L270" s="659">
        <f ca="1">IF($A270="","",IFERROR(GETPIVOTDATA("合計 / 処遇改善加算金",【ピボット】国保連売上!$A$3,"年月",$A270,"事業所コード",$B270,"事業所",$C270,"事業区分",K$1,"請求区分","単月"),0))</f>
        <v>0</v>
      </c>
      <c r="M270" s="659">
        <f ca="1">IF($A270="","",IFERROR(GETPIVOTDATA("合計 / 入金予定",【ピボット】国保連売上!$A$3,"年月",$A270,"事業所コード",$B270,"事業所",$C270,"事業区分",M$1,"請求区分","単月"),0)
+IFERROR(GETPIVOTDATA("合計 / 入金予定",【ピボット】国保連売上!$A$3,"年月",$A270,"事業所コード",$B270,"事業所",$C270,"事業区分",M$1,"請求区分","再請求"),0))</f>
        <v>0</v>
      </c>
      <c r="N270" s="660">
        <v>169695</v>
      </c>
      <c r="O270" s="1292">
        <v>0</v>
      </c>
      <c r="P270" s="660">
        <v>0</v>
      </c>
      <c r="Q270" s="660">
        <v>578</v>
      </c>
      <c r="R270" s="1942">
        <v>140547</v>
      </c>
      <c r="S270" s="660">
        <v>0</v>
      </c>
      <c r="T270" s="660">
        <v>0</v>
      </c>
      <c r="U270" s="660">
        <v>0</v>
      </c>
      <c r="V270" s="660">
        <v>0</v>
      </c>
      <c r="W270" s="660">
        <v>0</v>
      </c>
      <c r="X270" s="660">
        <v>0</v>
      </c>
      <c r="Y270" s="659">
        <f t="shared" ca="1" si="12"/>
        <v>5940817</v>
      </c>
      <c r="Z270" s="659">
        <f t="shared" ca="1" si="14"/>
        <v>310820</v>
      </c>
    </row>
    <row r="271" spans="1:26" ht="15.95" customHeight="1" x14ac:dyDescent="0.15">
      <c r="A271" s="656">
        <v>43466</v>
      </c>
      <c r="B271" s="657" t="str">
        <f t="shared" ca="1" si="13"/>
        <v>03</v>
      </c>
      <c r="C271" s="658" t="s">
        <v>66</v>
      </c>
      <c r="D271" s="659">
        <f ca="1">IF($A271="","",IFERROR(GETPIVOTDATA("合計 / 入金予定",【ピボット】国保連売上!$A$3,"年月",$A271,"事業所コード",$B271,"事業所",$C271,"事業区分",D$1,"請求区分","単月"),0)
+IFERROR(GETPIVOTDATA("合計 / 入金予定",【ピボット】国保連売上!$A$3,"年月",$A271,"事業所コード",$B271,"事業所",$C271,"事業区分",D$1,"請求区分","再請求"),0))</f>
        <v>4972524</v>
      </c>
      <c r="E271" s="659">
        <f ca="1">IF($A271="","",IFERROR(GETPIVOTDATA("合計 / 処遇改善加算金",【ピボット】国保連売上!$A$3,"年月",$A271,"事業所コード",$B271,"事業所",$C271,"事業区分",D$1,"請求区分","単月"),0))</f>
        <v>520648</v>
      </c>
      <c r="F271" s="659">
        <f ca="1">IF($A271="","",IFERROR(GETPIVOTDATA("合計 / 入金予定",【ピボット】国保連売上!$A$3,"年月",$A271,"事業所コード",$B271,"事業所",$C271,"事業区分",F$1,"請求区分","単月"),0)
+IFERROR(GETPIVOTDATA("合計 / 入金予定",【ピボット】国保連売上!$A$3,"年月",$A271,"事業所コード",$B271,"事業所",$C271,"事業区分",F$1,"請求区分","再請求"),0))</f>
        <v>1738382</v>
      </c>
      <c r="G271" s="659">
        <f ca="1">IF($A271="","",IFERROR(GETPIVOTDATA("合計 / 処遇改善加算金",【ピボット】国保連売上!$A$3,"年月",$A271,"事業所コード",$B271,"事業所",$C271,"事業区分",F$1,"請求区分","単月"),0))</f>
        <v>404246</v>
      </c>
      <c r="H271" s="659">
        <f ca="1">IF($A271="","",IFERROR(GETPIVOTDATA("合計 / 入金予定",【ピボット】国保連売上!$A$3,"年月",$A271,"事業所コード",$B271,"事業所",$C271,"事業区分",H$1,"請求区分","単月"),0)
+IFERROR(GETPIVOTDATA("合計 / 入金予定",【ピボット】国保連売上!$A$3,"年月",$A271,"事業所コード",$B271,"事業所",$C271,"事業区分",H$1,"請求区分","再請求"),0))</f>
        <v>0</v>
      </c>
      <c r="I271" s="659">
        <f ca="1">IF($A271="","",IFERROR(GETPIVOTDATA("合計 / 入金予定",【ピボット】国保連売上!$A$3,"年月",$A271,"事業所コード",$B271,"事業所",$C271,"事業区分",I$1,"請求区分","単月"),0)
+IFERROR(GETPIVOTDATA("合計 / 入金予定",【ピボット】国保連売上!$A$3,"年月",$A271,"事業所コード",$B271,"事業所",$C271,"事業区分",I$1,"請求区分","再請求"),0))</f>
        <v>0</v>
      </c>
      <c r="J271" s="659">
        <f ca="1">IF($A271="","",IFERROR(GETPIVOTDATA("合計 / 処遇改善加算金",【ピボット】国保連売上!$A$3,"年月",$A271,"事業所コード",$B271,"事業所",$C271,"事業区分",I$1,"請求区分","単月"),0))</f>
        <v>0</v>
      </c>
      <c r="K271" s="659">
        <f ca="1">IF($A271="","",IFERROR(GETPIVOTDATA("合計 / 入金予定",【ピボット】国保連売上!$A$3,"年月",$A271,"事業所コード",$B271,"事業所",$C271,"事業区分",K$1,"請求区分","単月"),0)
+IFERROR(GETPIVOTDATA("合計 / 入金予定",【ピボット】国保連売上!$A$3,"年月",$A271,"事業所コード",$B271,"事業所",$C271,"事業区分",K$1,"請求区分","再請求"),0))</f>
        <v>0</v>
      </c>
      <c r="L271" s="659">
        <f ca="1">IF($A271="","",IFERROR(GETPIVOTDATA("合計 / 処遇改善加算金",【ピボット】国保連売上!$A$3,"年月",$A271,"事業所コード",$B271,"事業所",$C271,"事業区分",K$1,"請求区分","単月"),0))</f>
        <v>0</v>
      </c>
      <c r="M271" s="659">
        <f ca="1">IF($A271="","",IFERROR(GETPIVOTDATA("合計 / 入金予定",【ピボット】国保連売上!$A$3,"年月",$A271,"事業所コード",$B271,"事業所",$C271,"事業区分",M$1,"請求区分","単月"),0)
+IFERROR(GETPIVOTDATA("合計 / 入金予定",【ピボット】国保連売上!$A$3,"年月",$A271,"事業所コード",$B271,"事業所",$C271,"事業区分",M$1,"請求区分","再請求"),0))</f>
        <v>0</v>
      </c>
      <c r="N271" s="660">
        <v>114100</v>
      </c>
      <c r="O271" s="1292">
        <v>159860</v>
      </c>
      <c r="P271" s="660">
        <v>54230</v>
      </c>
      <c r="Q271" s="660">
        <v>2812</v>
      </c>
      <c r="R271" s="660">
        <v>0</v>
      </c>
      <c r="S271" s="660">
        <v>0</v>
      </c>
      <c r="T271" s="660">
        <v>0</v>
      </c>
      <c r="U271" s="660">
        <v>0</v>
      </c>
      <c r="V271" s="660">
        <v>0</v>
      </c>
      <c r="W271" s="660">
        <v>0</v>
      </c>
      <c r="X271" s="660">
        <v>0</v>
      </c>
      <c r="Y271" s="659">
        <f t="shared" ca="1" si="12"/>
        <v>7041908</v>
      </c>
      <c r="Z271" s="659">
        <f t="shared" ca="1" si="14"/>
        <v>331002</v>
      </c>
    </row>
    <row r="272" spans="1:26" ht="15.95" customHeight="1" x14ac:dyDescent="0.15">
      <c r="A272" s="656">
        <v>43466</v>
      </c>
      <c r="B272" s="657" t="str">
        <f t="shared" ca="1" si="13"/>
        <v>11</v>
      </c>
      <c r="C272" s="658" t="s">
        <v>967</v>
      </c>
      <c r="D272" s="659">
        <f ca="1">IF($A272="","",IFERROR(GETPIVOTDATA("合計 / 入金予定",【ピボット】国保連売上!$A$3,"年月",$A272,"事業所コード",$B272,"事業所",$C272,"事業区分",D$1,"請求区分","単月"),0)
+IFERROR(GETPIVOTDATA("合計 / 入金予定",【ピボット】国保連売上!$A$3,"年月",$A272,"事業所コード",$B272,"事業所",$C272,"事業区分",D$1,"請求区分","再請求"),0))</f>
        <v>987457</v>
      </c>
      <c r="E272" s="659">
        <f ca="1">IF($A272="","",IFERROR(GETPIVOTDATA("合計 / 処遇改善加算金",【ピボット】国保連売上!$A$3,"年月",$A272,"事業所コード",$B272,"事業所",$C272,"事業区分",D$1,"請求区分","単月"),0))</f>
        <v>86703</v>
      </c>
      <c r="F272" s="659">
        <f ca="1">IF($A272="","",IFERROR(GETPIVOTDATA("合計 / 入金予定",【ピボット】国保連売上!$A$3,"年月",$A272,"事業所コード",$B272,"事業所",$C272,"事業区分",F$1,"請求区分","単月"),0)
+IFERROR(GETPIVOTDATA("合計 / 入金予定",【ピボット】国保連売上!$A$3,"年月",$A272,"事業所コード",$B272,"事業所",$C272,"事業区分",F$1,"請求区分","再請求"),0))</f>
        <v>133567</v>
      </c>
      <c r="G272" s="659">
        <f ca="1">IF($A272="","",IFERROR(GETPIVOTDATA("合計 / 処遇改善加算金",【ピボット】国保連売上!$A$3,"年月",$A272,"事業所コード",$B272,"事業所",$C272,"事業区分",F$1,"請求区分","単月"),0))</f>
        <v>28110</v>
      </c>
      <c r="H272" s="659">
        <f ca="1">IF($A272="","",IFERROR(GETPIVOTDATA("合計 / 入金予定",【ピボット】国保連売上!$A$3,"年月",$A272,"事業所コード",$B272,"事業所",$C272,"事業区分",H$1,"請求区分","単月"),0)
+IFERROR(GETPIVOTDATA("合計 / 入金予定",【ピボット】国保連売上!$A$3,"年月",$A272,"事業所コード",$B272,"事業所",$C272,"事業区分",H$1,"請求区分","再請求"),0))</f>
        <v>0</v>
      </c>
      <c r="I272" s="659">
        <f ca="1">IF($A272="","",IFERROR(GETPIVOTDATA("合計 / 入金予定",【ピボット】国保連売上!$A$3,"年月",$A272,"事業所コード",$B272,"事業所",$C272,"事業区分",I$1,"請求区分","単月"),0)
+IFERROR(GETPIVOTDATA("合計 / 入金予定",【ピボット】国保連売上!$A$3,"年月",$A272,"事業所コード",$B272,"事業所",$C272,"事業区分",I$1,"請求区分","再請求"),0))</f>
        <v>0</v>
      </c>
      <c r="J272" s="659">
        <f ca="1">IF($A272="","",IFERROR(GETPIVOTDATA("合計 / 処遇改善加算金",【ピボット】国保連売上!$A$3,"年月",$A272,"事業所コード",$B272,"事業所",$C272,"事業区分",I$1,"請求区分","単月"),0))</f>
        <v>0</v>
      </c>
      <c r="K272" s="659">
        <f ca="1">IF($A272="","",IFERROR(GETPIVOTDATA("合計 / 入金予定",【ピボット】国保連売上!$A$3,"年月",$A272,"事業所コード",$B272,"事業所",$C272,"事業区分",K$1,"請求区分","単月"),0)
+IFERROR(GETPIVOTDATA("合計 / 入金予定",【ピボット】国保連売上!$A$3,"年月",$A272,"事業所コード",$B272,"事業所",$C272,"事業区分",K$1,"請求区分","再請求"),0))</f>
        <v>0</v>
      </c>
      <c r="L272" s="659">
        <f ca="1">IF($A272="","",IFERROR(GETPIVOTDATA("合計 / 処遇改善加算金",【ピボット】国保連売上!$A$3,"年月",$A272,"事業所コード",$B272,"事業所",$C272,"事業区分",K$1,"請求区分","単月"),0))</f>
        <v>0</v>
      </c>
      <c r="M272" s="659">
        <f ca="1">IF($A272="","",IFERROR(GETPIVOTDATA("合計 / 入金予定",【ピボット】国保連売上!$A$3,"年月",$A272,"事業所コード",$B272,"事業所",$C272,"事業区分",M$1,"請求区分","単月"),0)
+IFERROR(GETPIVOTDATA("合計 / 入金予定",【ピボット】国保連売上!$A$3,"年月",$A272,"事業所コード",$B272,"事業所",$C272,"事業区分",M$1,"請求区分","再請求"),0))</f>
        <v>0</v>
      </c>
      <c r="N272" s="660">
        <v>0</v>
      </c>
      <c r="O272" s="1292">
        <v>39080</v>
      </c>
      <c r="P272" s="660">
        <v>0</v>
      </c>
      <c r="Q272" s="660">
        <v>670</v>
      </c>
      <c r="R272" s="660">
        <v>0</v>
      </c>
      <c r="S272" s="660">
        <v>0</v>
      </c>
      <c r="T272" s="660">
        <v>0</v>
      </c>
      <c r="U272" s="660">
        <v>0</v>
      </c>
      <c r="V272" s="660">
        <v>0</v>
      </c>
      <c r="W272" s="660">
        <v>0</v>
      </c>
      <c r="X272" s="660">
        <v>0</v>
      </c>
      <c r="Y272" s="659">
        <f t="shared" ca="1" si="12"/>
        <v>1160774</v>
      </c>
      <c r="Z272" s="659">
        <f t="shared" ca="1" si="14"/>
        <v>39750</v>
      </c>
    </row>
    <row r="273" spans="1:26" ht="15.95" customHeight="1" x14ac:dyDescent="0.15">
      <c r="A273" s="656">
        <v>43466</v>
      </c>
      <c r="B273" s="657" t="str">
        <f t="shared" ca="1" si="13"/>
        <v>12</v>
      </c>
      <c r="C273" s="658" t="s">
        <v>1143</v>
      </c>
      <c r="D273" s="659">
        <f ca="1">IF($A273="","",IFERROR(GETPIVOTDATA("合計 / 入金予定",【ピボット】国保連売上!$A$3,"年月",$A273,"事業所コード",$B273,"事業所",$C273,"事業区分",D$1,"請求区分","単月"),0)
+IFERROR(GETPIVOTDATA("合計 / 入金予定",【ピボット】国保連売上!$A$3,"年月",$A273,"事業所コード",$B273,"事業所",$C273,"事業区分",D$1,"請求区分","再請求"),0))</f>
        <v>509237</v>
      </c>
      <c r="E273" s="659">
        <f ca="1">IF($A273="","",IFERROR(GETPIVOTDATA("合計 / 処遇改善加算金",【ピボット】国保連売上!$A$3,"年月",$A273,"事業所コード",$B273,"事業所",$C273,"事業区分",D$1,"請求区分","単月"),0))</f>
        <v>39332</v>
      </c>
      <c r="F273" s="659">
        <f ca="1">IF($A273="","",IFERROR(GETPIVOTDATA("合計 / 入金予定",【ピボット】国保連売上!$A$3,"年月",$A273,"事業所コード",$B273,"事業所",$C273,"事業区分",F$1,"請求区分","単月"),0)
+IFERROR(GETPIVOTDATA("合計 / 入金予定",【ピボット】国保連売上!$A$3,"年月",$A273,"事業所コード",$B273,"事業所",$C273,"事業区分",F$1,"請求区分","再請求"),0))</f>
        <v>242326</v>
      </c>
      <c r="G273" s="659">
        <f ca="1">IF($A273="","",IFERROR(GETPIVOTDATA("合計 / 処遇改善加算金",【ピボット】国保連売上!$A$3,"年月",$A273,"事業所コード",$B273,"事業所",$C273,"事業区分",F$1,"請求区分","単月"),0))</f>
        <v>56338</v>
      </c>
      <c r="H273" s="659">
        <f ca="1">IF($A273="","",IFERROR(GETPIVOTDATA("合計 / 入金予定",【ピボット】国保連売上!$A$3,"年月",$A273,"事業所コード",$B273,"事業所",$C273,"事業区分",H$1,"請求区分","単月"),0)
+IFERROR(GETPIVOTDATA("合計 / 入金予定",【ピボット】国保連売上!$A$3,"年月",$A273,"事業所コード",$B273,"事業所",$C273,"事業区分",H$1,"請求区分","再請求"),0))</f>
        <v>0</v>
      </c>
      <c r="I273" s="659">
        <f ca="1">IF($A273="","",IFERROR(GETPIVOTDATA("合計 / 入金予定",【ピボット】国保連売上!$A$3,"年月",$A273,"事業所コード",$B273,"事業所",$C273,"事業区分",I$1,"請求区分","単月"),0)
+IFERROR(GETPIVOTDATA("合計 / 入金予定",【ピボット】国保連売上!$A$3,"年月",$A273,"事業所コード",$B273,"事業所",$C273,"事業区分",I$1,"請求区分","再請求"),0))</f>
        <v>0</v>
      </c>
      <c r="J273" s="659">
        <f ca="1">IF($A273="","",IFERROR(GETPIVOTDATA("合計 / 処遇改善加算金",【ピボット】国保連売上!$A$3,"年月",$A273,"事業所コード",$B273,"事業所",$C273,"事業区分",I$1,"請求区分","単月"),0))</f>
        <v>0</v>
      </c>
      <c r="K273" s="659">
        <f ca="1">IF($A273="","",IFERROR(GETPIVOTDATA("合計 / 入金予定",【ピボット】国保連売上!$A$3,"年月",$A273,"事業所コード",$B273,"事業所",$C273,"事業区分",K$1,"請求区分","単月"),0)
+IFERROR(GETPIVOTDATA("合計 / 入金予定",【ピボット】国保連売上!$A$3,"年月",$A273,"事業所コード",$B273,"事業所",$C273,"事業区分",K$1,"請求区分","再請求"),0))</f>
        <v>0</v>
      </c>
      <c r="L273" s="659">
        <f ca="1">IF($A273="","",IFERROR(GETPIVOTDATA("合計 / 処遇改善加算金",【ピボット】国保連売上!$A$3,"年月",$A273,"事業所コード",$B273,"事業所",$C273,"事業区分",K$1,"請求区分","単月"),0))</f>
        <v>0</v>
      </c>
      <c r="M273" s="659">
        <f ca="1">IF($A273="","",IFERROR(GETPIVOTDATA("合計 / 入金予定",【ピボット】国保連売上!$A$3,"年月",$A273,"事業所コード",$B273,"事業所",$C273,"事業区分",M$1,"請求区分","単月"),0)
+IFERROR(GETPIVOTDATA("合計 / 入金予定",【ピボット】国保連売上!$A$3,"年月",$A273,"事業所コード",$B273,"事業所",$C273,"事業区分",M$1,"請求区分","再請求"),0))</f>
        <v>0</v>
      </c>
      <c r="N273" s="660">
        <v>7650</v>
      </c>
      <c r="O273" s="1292">
        <v>50908</v>
      </c>
      <c r="P273" s="660">
        <v>0</v>
      </c>
      <c r="Q273" s="660">
        <v>559</v>
      </c>
      <c r="R273" s="660">
        <v>0</v>
      </c>
      <c r="S273" s="660">
        <v>0</v>
      </c>
      <c r="T273" s="660">
        <v>0</v>
      </c>
      <c r="U273" s="660">
        <v>0</v>
      </c>
      <c r="V273" s="660">
        <v>0</v>
      </c>
      <c r="W273" s="660">
        <v>0</v>
      </c>
      <c r="X273" s="660">
        <v>0</v>
      </c>
      <c r="Y273" s="659">
        <f t="shared" ca="1" si="12"/>
        <v>810680</v>
      </c>
      <c r="Z273" s="659">
        <f t="shared" ca="1" si="14"/>
        <v>59117</v>
      </c>
    </row>
    <row r="274" spans="1:26" ht="15.95" customHeight="1" x14ac:dyDescent="0.15">
      <c r="A274" s="656">
        <v>43466</v>
      </c>
      <c r="B274" s="657" t="str">
        <f t="shared" ca="1" si="13"/>
        <v>04</v>
      </c>
      <c r="C274" s="658" t="s">
        <v>358</v>
      </c>
      <c r="D274" s="659">
        <f ca="1">IF($A274="","",IFERROR(GETPIVOTDATA("合計 / 入金予定",【ピボット】国保連売上!$A$3,"年月",$A274,"事業所コード",$B274,"事業所",$C274,"事業区分",D$1,"請求区分","単月"),0)
+IFERROR(GETPIVOTDATA("合計 / 入金予定",【ピボット】国保連売上!$A$3,"年月",$A274,"事業所コード",$B274,"事業所",$C274,"事業区分",D$1,"請求区分","再請求"),0))</f>
        <v>0</v>
      </c>
      <c r="E274" s="659">
        <f ca="1">IF($A274="","",IFERROR(GETPIVOTDATA("合計 / 処遇改善加算金",【ピボット】国保連売上!$A$3,"年月",$A274,"事業所コード",$B274,"事業所",$C274,"事業区分",D$1,"請求区分","単月"),0))</f>
        <v>0</v>
      </c>
      <c r="F274" s="659">
        <f ca="1">IF($A274="","",IFERROR(GETPIVOTDATA("合計 / 入金予定",【ピボット】国保連売上!$A$3,"年月",$A274,"事業所コード",$B274,"事業所",$C274,"事業区分",F$1,"請求区分","単月"),0)
+IFERROR(GETPIVOTDATA("合計 / 入金予定",【ピボット】国保連売上!$A$3,"年月",$A274,"事業所コード",$B274,"事業所",$C274,"事業区分",F$1,"請求区分","再請求"),0))</f>
        <v>0</v>
      </c>
      <c r="G274" s="659">
        <f ca="1">IF($A274="","",IFERROR(GETPIVOTDATA("合計 / 処遇改善加算金",【ピボット】国保連売上!$A$3,"年月",$A274,"事業所コード",$B274,"事業所",$C274,"事業区分",F$1,"請求区分","単月"),0))</f>
        <v>0</v>
      </c>
      <c r="H274" s="659">
        <f ca="1">IF($A274="","",IFERROR(GETPIVOTDATA("合計 / 入金予定",【ピボット】国保連売上!$A$3,"年月",$A274,"事業所コード",$B274,"事業所",$C274,"事業区分",H$1,"請求区分","単月"),0)
+IFERROR(GETPIVOTDATA("合計 / 入金予定",【ピボット】国保連売上!$A$3,"年月",$A274,"事業所コード",$B274,"事業所",$C274,"事業区分",H$1,"請求区分","再請求"),0))</f>
        <v>0</v>
      </c>
      <c r="I274" s="659">
        <f ca="1">IF($A274="","",IFERROR(GETPIVOTDATA("合計 / 入金予定",【ピボット】国保連売上!$A$3,"年月",$A274,"事業所コード",$B274,"事業所",$C274,"事業区分",I$1,"請求区分","単月"),0)
+IFERROR(GETPIVOTDATA("合計 / 入金予定",【ピボット】国保連売上!$A$3,"年月",$A274,"事業所コード",$B274,"事業所",$C274,"事業区分",I$1,"請求区分","再請求"),0))</f>
        <v>3846817</v>
      </c>
      <c r="J274" s="659">
        <f ca="1">IF($A274="","",IFERROR(GETPIVOTDATA("合計 / 処遇改善加算金",【ピボット】国保連売上!$A$3,"年月",$A274,"事業所コード",$B274,"事業所",$C274,"事業区分",I$1,"請求区分","単月"),0))</f>
        <v>214247</v>
      </c>
      <c r="K274" s="659">
        <f ca="1">IF($A274="","",IFERROR(GETPIVOTDATA("合計 / 入金予定",【ピボット】国保連売上!$A$3,"年月",$A274,"事業所コード",$B274,"事業所",$C274,"事業区分",K$1,"請求区分","単月"),0)
+IFERROR(GETPIVOTDATA("合計 / 入金予定",【ピボット】国保連売上!$A$3,"年月",$A274,"事業所コード",$B274,"事業所",$C274,"事業区分",K$1,"請求区分","再請求"),0))</f>
        <v>0</v>
      </c>
      <c r="L274" s="659">
        <f ca="1">IF($A274="","",IFERROR(GETPIVOTDATA("合計 / 処遇改善加算金",【ピボット】国保連売上!$A$3,"年月",$A274,"事業所コード",$B274,"事業所",$C274,"事業区分",K$1,"請求区分","単月"),0))</f>
        <v>0</v>
      </c>
      <c r="M274" s="659">
        <f ca="1">IF($A274="","",IFERROR(GETPIVOTDATA("合計 / 入金予定",【ピボット】国保連売上!$A$3,"年月",$A274,"事業所コード",$B274,"事業所",$C274,"事業区分",M$1,"請求区分","単月"),0)
+IFERROR(GETPIVOTDATA("合計 / 入金予定",【ピボット】国保連売上!$A$3,"年月",$A274,"事業所コード",$B274,"事業所",$C274,"事業区分",M$1,"請求区分","再請求"),0))</f>
        <v>0</v>
      </c>
      <c r="N274" s="660">
        <v>12000</v>
      </c>
      <c r="O274" s="660">
        <v>0</v>
      </c>
      <c r="P274" s="660">
        <v>0</v>
      </c>
      <c r="Q274" s="660">
        <v>0</v>
      </c>
      <c r="R274" s="660">
        <v>0</v>
      </c>
      <c r="S274" s="660">
        <v>0</v>
      </c>
      <c r="T274" s="1292">
        <v>262100</v>
      </c>
      <c r="U274" s="660">
        <v>0</v>
      </c>
      <c r="V274" s="660">
        <v>0</v>
      </c>
      <c r="W274" s="660">
        <v>0</v>
      </c>
      <c r="X274" s="660">
        <v>0</v>
      </c>
      <c r="Y274" s="659">
        <f t="shared" ca="1" si="12"/>
        <v>4120917</v>
      </c>
      <c r="Z274" s="659">
        <f t="shared" ca="1" si="14"/>
        <v>274100</v>
      </c>
    </row>
    <row r="275" spans="1:26" ht="15.95" customHeight="1" x14ac:dyDescent="0.15">
      <c r="A275" s="656">
        <v>43466</v>
      </c>
      <c r="B275" s="657" t="str">
        <f t="shared" ca="1" si="13"/>
        <v>05</v>
      </c>
      <c r="C275" s="658" t="s">
        <v>359</v>
      </c>
      <c r="D275" s="659">
        <f ca="1">IF($A275="","",IFERROR(GETPIVOTDATA("合計 / 入金予定",【ピボット】国保連売上!$A$3,"年月",$A275,"事業所コード",$B275,"事業所",$C275,"事業区分",D$1,"請求区分","単月"),0)
+IFERROR(GETPIVOTDATA("合計 / 入金予定",【ピボット】国保連売上!$A$3,"年月",$A275,"事業所コード",$B275,"事業所",$C275,"事業区分",D$1,"請求区分","再請求"),0))</f>
        <v>1845029</v>
      </c>
      <c r="E275" s="659">
        <f ca="1">IF($A275="","",IFERROR(GETPIVOTDATA("合計 / 処遇改善加算金",【ピボット】国保連売上!$A$3,"年月",$A275,"事業所コード",$B275,"事業所",$C275,"事業区分",D$1,"請求区分","単月"),0))</f>
        <v>0</v>
      </c>
      <c r="F275" s="659">
        <f ca="1">IF($A275="","",IFERROR(GETPIVOTDATA("合計 / 入金予定",【ピボット】国保連売上!$A$3,"年月",$A275,"事業所コード",$B275,"事業所",$C275,"事業区分",F$1,"請求区分","単月"),0)
+IFERROR(GETPIVOTDATA("合計 / 入金予定",【ピボット】国保連売上!$A$3,"年月",$A275,"事業所コード",$B275,"事業所",$C275,"事業区分",F$1,"請求区分","再請求"),0))</f>
        <v>0</v>
      </c>
      <c r="G275" s="659">
        <f ca="1">IF($A275="","",IFERROR(GETPIVOTDATA("合計 / 処遇改善加算金",【ピボット】国保連売上!$A$3,"年月",$A275,"事業所コード",$B275,"事業所",$C275,"事業区分",F$1,"請求区分","単月"),0))</f>
        <v>0</v>
      </c>
      <c r="H275" s="659">
        <f ca="1">IF($A275="","",IFERROR(GETPIVOTDATA("合計 / 入金予定",【ピボット】国保連売上!$A$3,"年月",$A275,"事業所コード",$B275,"事業所",$C275,"事業区分",H$1,"請求区分","単月"),0)
+IFERROR(GETPIVOTDATA("合計 / 入金予定",【ピボット】国保連売上!$A$3,"年月",$A275,"事業所コード",$B275,"事業所",$C275,"事業区分",H$1,"請求区分","再請求"),0))</f>
        <v>0</v>
      </c>
      <c r="I275" s="659">
        <f ca="1">IF($A275="","",IFERROR(GETPIVOTDATA("合計 / 入金予定",【ピボット】国保連売上!$A$3,"年月",$A275,"事業所コード",$B275,"事業所",$C275,"事業区分",I$1,"請求区分","単月"),0)
+IFERROR(GETPIVOTDATA("合計 / 入金予定",【ピボット】国保連売上!$A$3,"年月",$A275,"事業所コード",$B275,"事業所",$C275,"事業区分",I$1,"請求区分","再請求"),0))</f>
        <v>0</v>
      </c>
      <c r="J275" s="659">
        <f ca="1">IF($A275="","",IFERROR(GETPIVOTDATA("合計 / 処遇改善加算金",【ピボット】国保連売上!$A$3,"年月",$A275,"事業所コード",$B275,"事業所",$C275,"事業区分",I$1,"請求区分","単月"),0))</f>
        <v>0</v>
      </c>
      <c r="K275" s="659">
        <f ca="1">IF($A275="","",IFERROR(GETPIVOTDATA("合計 / 入金予定",【ピボット】国保連売上!$A$3,"年月",$A275,"事業所コード",$B275,"事業所",$C275,"事業区分",K$1,"請求区分","単月"),0)
+IFERROR(GETPIVOTDATA("合計 / 入金予定",【ピボット】国保連売上!$A$3,"年月",$A275,"事業所コード",$B275,"事業所",$C275,"事業区分",K$1,"請求区分","再請求"),0))</f>
        <v>0</v>
      </c>
      <c r="L275" s="659">
        <f ca="1">IF($A275="","",IFERROR(GETPIVOTDATA("合計 / 処遇改善加算金",【ピボット】国保連売上!$A$3,"年月",$A275,"事業所コード",$B275,"事業所",$C275,"事業区分",K$1,"請求区分","単月"),0))</f>
        <v>0</v>
      </c>
      <c r="M275" s="659">
        <f ca="1">IF($A275="","",IFERROR(GETPIVOTDATA("合計 / 入金予定",【ピボット】国保連売上!$A$3,"年月",$A275,"事業所コード",$B275,"事業所",$C275,"事業区分",M$1,"請求区分","単月"),0)
+IFERROR(GETPIVOTDATA("合計 / 入金予定",【ピボット】国保連売上!$A$3,"年月",$A275,"事業所コード",$B275,"事業所",$C275,"事業区分",M$1,"請求区分","再請求"),0))</f>
        <v>0</v>
      </c>
      <c r="N275" s="660">
        <v>0</v>
      </c>
      <c r="O275" s="660">
        <v>0</v>
      </c>
      <c r="P275" s="660">
        <v>0</v>
      </c>
      <c r="Q275" s="660">
        <v>0</v>
      </c>
      <c r="R275" s="660">
        <v>0</v>
      </c>
      <c r="S275" s="1292">
        <v>782040</v>
      </c>
      <c r="T275" s="660">
        <v>0</v>
      </c>
      <c r="U275" s="660">
        <v>0</v>
      </c>
      <c r="V275" s="660">
        <v>0</v>
      </c>
      <c r="W275" s="660">
        <v>0</v>
      </c>
      <c r="X275" s="660">
        <v>0</v>
      </c>
      <c r="Y275" s="659">
        <f t="shared" ca="1" si="12"/>
        <v>2627069</v>
      </c>
      <c r="Z275" s="659">
        <f t="shared" ca="1" si="14"/>
        <v>782040</v>
      </c>
    </row>
    <row r="276" spans="1:26" ht="15.95" customHeight="1" x14ac:dyDescent="0.15">
      <c r="A276" s="656">
        <v>43466</v>
      </c>
      <c r="B276" s="657" t="str">
        <f t="shared" ca="1" si="13"/>
        <v>07</v>
      </c>
      <c r="C276" s="658" t="s">
        <v>119</v>
      </c>
      <c r="D276" s="659">
        <f ca="1">IF($A276="","",IFERROR(GETPIVOTDATA("合計 / 入金予定",【ピボット】国保連売上!$A$3,"年月",$A276,"事業所コード",$B276,"事業所",$C276,"事業区分",D$1,"請求区分","単月"),0)
+IFERROR(GETPIVOTDATA("合計 / 入金予定",【ピボット】国保連売上!$A$3,"年月",$A276,"事業所コード",$B276,"事業所",$C276,"事業区分",D$1,"請求区分","再請求"),0))</f>
        <v>0</v>
      </c>
      <c r="E276" s="659">
        <f ca="1">IF($A276="","",IFERROR(GETPIVOTDATA("合計 / 処遇改善加算金",【ピボット】国保連売上!$A$3,"年月",$A276,"事業所コード",$B276,"事業所",$C276,"事業区分",D$1,"請求区分","単月"),0))</f>
        <v>0</v>
      </c>
      <c r="F276" s="659">
        <f ca="1">IF($A276="","",IFERROR(GETPIVOTDATA("合計 / 入金予定",【ピボット】国保連売上!$A$3,"年月",$A276,"事業所コード",$B276,"事業所",$C276,"事業区分",F$1,"請求区分","単月"),0)
+IFERROR(GETPIVOTDATA("合計 / 入金予定",【ピボット】国保連売上!$A$3,"年月",$A276,"事業所コード",$B276,"事業所",$C276,"事業区分",F$1,"請求区分","再請求"),0))</f>
        <v>0</v>
      </c>
      <c r="G276" s="659">
        <f ca="1">IF($A276="","",IFERROR(GETPIVOTDATA("合計 / 処遇改善加算金",【ピボット】国保連売上!$A$3,"年月",$A276,"事業所コード",$B276,"事業所",$C276,"事業区分",F$1,"請求区分","単月"),0))</f>
        <v>0</v>
      </c>
      <c r="H276" s="659">
        <f ca="1">IF($A276="","",IFERROR(GETPIVOTDATA("合計 / 入金予定",【ピボット】国保連売上!$A$3,"年月",$A276,"事業所コード",$B276,"事業所",$C276,"事業区分",H$1,"請求区分","単月"),0)
+IFERROR(GETPIVOTDATA("合計 / 入金予定",【ピボット】国保連売上!$A$3,"年月",$A276,"事業所コード",$B276,"事業所",$C276,"事業区分",H$1,"請求区分","再請求"),0))</f>
        <v>0</v>
      </c>
      <c r="I276" s="659">
        <f ca="1">IF($A276="","",IFERROR(GETPIVOTDATA("合計 / 入金予定",【ピボット】国保連売上!$A$3,"年月",$A276,"事業所コード",$B276,"事業所",$C276,"事業区分",I$1,"請求区分","単月"),0)
+IFERROR(GETPIVOTDATA("合計 / 入金予定",【ピボット】国保連売上!$A$3,"年月",$A276,"事業所コード",$B276,"事業所",$C276,"事業区分",I$1,"請求区分","再請求"),0))</f>
        <v>0</v>
      </c>
      <c r="J276" s="659">
        <f ca="1">IF($A276="","",IFERROR(GETPIVOTDATA("合計 / 処遇改善加算金",【ピボット】国保連売上!$A$3,"年月",$A276,"事業所コード",$B276,"事業所",$C276,"事業区分",I$1,"請求区分","単月"),0))</f>
        <v>0</v>
      </c>
      <c r="K276" s="659">
        <f ca="1">IF($A276="","",IFERROR(GETPIVOTDATA("合計 / 入金予定",【ピボット】国保連売上!$A$3,"年月",$A276,"事業所コード",$B276,"事業所",$C276,"事業区分",K$1,"請求区分","単月"),0)
+IFERROR(GETPIVOTDATA("合計 / 入金予定",【ピボット】国保連売上!$A$3,"年月",$A276,"事業所コード",$B276,"事業所",$C276,"事業区分",K$1,"請求区分","再請求"),0))</f>
        <v>1107363</v>
      </c>
      <c r="L276" s="659">
        <f ca="1">IF($A276="","",IFERROR(GETPIVOTDATA("合計 / 処遇改善加算金",【ピボット】国保連売上!$A$3,"年月",$A276,"事業所コード",$B276,"事業所",$C276,"事業区分",K$1,"請求区分","単月"),0))</f>
        <v>309206</v>
      </c>
      <c r="M276" s="659">
        <f ca="1">IF($A276="","",IFERROR(GETPIVOTDATA("合計 / 入金予定",【ピボット】国保連売上!$A$3,"年月",$A276,"事業所コード",$B276,"事業所",$C276,"事業区分",M$1,"請求区分","単月"),0)
+IFERROR(GETPIVOTDATA("合計 / 入金予定",【ピボット】国保連売上!$A$3,"年月",$A276,"事業所コード",$B276,"事業所",$C276,"事業区分",M$1,"請求区分","再請求"),0))</f>
        <v>0</v>
      </c>
      <c r="N276" s="660">
        <v>0</v>
      </c>
      <c r="O276" s="660">
        <v>0</v>
      </c>
      <c r="P276" s="660">
        <v>0</v>
      </c>
      <c r="Q276" s="660">
        <v>0</v>
      </c>
      <c r="R276" s="660">
        <v>0</v>
      </c>
      <c r="S276" s="660">
        <v>78000</v>
      </c>
      <c r="T276" s="660">
        <v>0</v>
      </c>
      <c r="U276" s="660">
        <v>0</v>
      </c>
      <c r="V276" s="660">
        <v>-40000</v>
      </c>
      <c r="W276" s="660">
        <v>127000</v>
      </c>
      <c r="X276" s="660">
        <v>0</v>
      </c>
      <c r="Y276" s="659">
        <f t="shared" ca="1" si="12"/>
        <v>1272363</v>
      </c>
      <c r="Z276" s="659">
        <f t="shared" ca="1" si="14"/>
        <v>165000</v>
      </c>
    </row>
    <row r="277" spans="1:26" ht="15.95" customHeight="1" x14ac:dyDescent="0.15">
      <c r="A277" s="656">
        <v>43466</v>
      </c>
      <c r="B277" s="657" t="str">
        <f t="shared" ca="1" si="13"/>
        <v>08</v>
      </c>
      <c r="C277" s="658" t="s">
        <v>189</v>
      </c>
      <c r="D277" s="659">
        <f ca="1">IF($A277="","",IFERROR(GETPIVOTDATA("合計 / 入金予定",【ピボット】国保連売上!$A$3,"年月",$A277,"事業所コード",$B277,"事業所",$C277,"事業区分",D$1,"請求区分","単月"),0)
+IFERROR(GETPIVOTDATA("合計 / 入金予定",【ピボット】国保連売上!$A$3,"年月",$A277,"事業所コード",$B277,"事業所",$C277,"事業区分",D$1,"請求区分","再請求"),0))</f>
        <v>0</v>
      </c>
      <c r="E277" s="659">
        <f ca="1">IF($A277="","",IFERROR(GETPIVOTDATA("合計 / 処遇改善加算金",【ピボット】国保連売上!$A$3,"年月",$A277,"事業所コード",$B277,"事業所",$C277,"事業区分",D$1,"請求区分","単月"),0))</f>
        <v>0</v>
      </c>
      <c r="F277" s="659">
        <f ca="1">IF($A277="","",IFERROR(GETPIVOTDATA("合計 / 入金予定",【ピボット】国保連売上!$A$3,"年月",$A277,"事業所コード",$B277,"事業所",$C277,"事業区分",F$1,"請求区分","単月"),0)
+IFERROR(GETPIVOTDATA("合計 / 入金予定",【ピボット】国保連売上!$A$3,"年月",$A277,"事業所コード",$B277,"事業所",$C277,"事業区分",F$1,"請求区分","再請求"),0))</f>
        <v>0</v>
      </c>
      <c r="G277" s="659">
        <f ca="1">IF($A277="","",IFERROR(GETPIVOTDATA("合計 / 処遇改善加算金",【ピボット】国保連売上!$A$3,"年月",$A277,"事業所コード",$B277,"事業所",$C277,"事業区分",F$1,"請求区分","単月"),0))</f>
        <v>0</v>
      </c>
      <c r="H277" s="659">
        <f ca="1">IF($A277="","",IFERROR(GETPIVOTDATA("合計 / 入金予定",【ピボット】国保連売上!$A$3,"年月",$A277,"事業所コード",$B277,"事業所",$C277,"事業区分",H$1,"請求区分","単月"),0)
+IFERROR(GETPIVOTDATA("合計 / 入金予定",【ピボット】国保連売上!$A$3,"年月",$A277,"事業所コード",$B277,"事業所",$C277,"事業区分",H$1,"請求区分","再請求"),0))</f>
        <v>0</v>
      </c>
      <c r="I277" s="659">
        <f ca="1">IF($A277="","",IFERROR(GETPIVOTDATA("合計 / 入金予定",【ピボット】国保連売上!$A$3,"年月",$A277,"事業所コード",$B277,"事業所",$C277,"事業区分",I$1,"請求区分","単月"),0)
+IFERROR(GETPIVOTDATA("合計 / 入金予定",【ピボット】国保連売上!$A$3,"年月",$A277,"事業所コード",$B277,"事業所",$C277,"事業区分",I$1,"請求区分","再請求"),0))</f>
        <v>0</v>
      </c>
      <c r="J277" s="659">
        <f ca="1">IF($A277="","",IFERROR(GETPIVOTDATA("合計 / 処遇改善加算金",【ピボット】国保連売上!$A$3,"年月",$A277,"事業所コード",$B277,"事業所",$C277,"事業区分",I$1,"請求区分","単月"),0))</f>
        <v>0</v>
      </c>
      <c r="K277" s="659">
        <f ca="1">IF($A277="","",IFERROR(GETPIVOTDATA("合計 / 入金予定",【ピボット】国保連売上!$A$3,"年月",$A277,"事業所コード",$B277,"事業所",$C277,"事業区分",K$1,"請求区分","単月"),0)
+IFERROR(GETPIVOTDATA("合計 / 入金予定",【ピボット】国保連売上!$A$3,"年月",$A277,"事業所コード",$B277,"事業所",$C277,"事業区分",K$1,"請求区分","再請求"),0))</f>
        <v>1044442</v>
      </c>
      <c r="L277" s="659">
        <f ca="1">IF($A277="","",IFERROR(GETPIVOTDATA("合計 / 処遇改善加算金",【ピボット】国保連売上!$A$3,"年月",$A277,"事業所コード",$B277,"事業所",$C277,"事業区分",K$1,"請求区分","単月"),0))</f>
        <v>0</v>
      </c>
      <c r="M277" s="659">
        <f ca="1">IF($A277="","",IFERROR(GETPIVOTDATA("合計 / 入金予定",【ピボット】国保連売上!$A$3,"年月",$A277,"事業所コード",$B277,"事業所",$C277,"事業区分",M$1,"請求区分","単月"),0)
+IFERROR(GETPIVOTDATA("合計 / 入金予定",【ピボット】国保連売上!$A$3,"年月",$A277,"事業所コード",$B277,"事業所",$C277,"事業区分",M$1,"請求区分","再請求"),0))</f>
        <v>0</v>
      </c>
      <c r="N277" s="660">
        <v>0</v>
      </c>
      <c r="O277" s="660">
        <v>0</v>
      </c>
      <c r="P277" s="660">
        <v>0</v>
      </c>
      <c r="Q277" s="660">
        <v>0</v>
      </c>
      <c r="R277" s="660">
        <v>0</v>
      </c>
      <c r="S277" s="660">
        <v>98000</v>
      </c>
      <c r="T277" s="660">
        <v>0</v>
      </c>
      <c r="U277" s="660">
        <v>0</v>
      </c>
      <c r="V277" s="660">
        <v>-40000</v>
      </c>
      <c r="W277" s="660">
        <v>254000</v>
      </c>
      <c r="X277" s="660">
        <v>0</v>
      </c>
      <c r="Y277" s="659">
        <f t="shared" ca="1" si="12"/>
        <v>1356442</v>
      </c>
      <c r="Z277" s="659">
        <f t="shared" ca="1" si="14"/>
        <v>312000</v>
      </c>
    </row>
    <row r="278" spans="1:26" ht="15.95" customHeight="1" x14ac:dyDescent="0.15">
      <c r="A278" s="656">
        <v>43466</v>
      </c>
      <c r="B278" s="657" t="str">
        <f t="shared" ca="1" si="13"/>
        <v>09</v>
      </c>
      <c r="C278" s="658" t="s">
        <v>329</v>
      </c>
      <c r="D278" s="659">
        <f ca="1">IF($A278="","",IFERROR(GETPIVOTDATA("合計 / 入金予定",【ピボット】国保連売上!$A$3,"年月",$A278,"事業所コード",$B278,"事業所",$C278,"事業区分",D$1,"請求区分","単月"),0)
+IFERROR(GETPIVOTDATA("合計 / 入金予定",【ピボット】国保連売上!$A$3,"年月",$A278,"事業所コード",$B278,"事業所",$C278,"事業区分",D$1,"請求区分","再請求"),0))</f>
        <v>0</v>
      </c>
      <c r="E278" s="659">
        <f ca="1">IF($A278="","",IFERROR(GETPIVOTDATA("合計 / 処遇改善加算金",【ピボット】国保連売上!$A$3,"年月",$A278,"事業所コード",$B278,"事業所",$C278,"事業区分",D$1,"請求区分","単月"),0))</f>
        <v>0</v>
      </c>
      <c r="F278" s="659">
        <f ca="1">IF($A278="","",IFERROR(GETPIVOTDATA("合計 / 入金予定",【ピボット】国保連売上!$A$3,"年月",$A278,"事業所コード",$B278,"事業所",$C278,"事業区分",F$1,"請求区分","単月"),0)
+IFERROR(GETPIVOTDATA("合計 / 入金予定",【ピボット】国保連売上!$A$3,"年月",$A278,"事業所コード",$B278,"事業所",$C278,"事業区分",F$1,"請求区分","再請求"),0))</f>
        <v>0</v>
      </c>
      <c r="G278" s="659">
        <f ca="1">IF($A278="","",IFERROR(GETPIVOTDATA("合計 / 処遇改善加算金",【ピボット】国保連売上!$A$3,"年月",$A278,"事業所コード",$B278,"事業所",$C278,"事業区分",F$1,"請求区分","単月"),0))</f>
        <v>0</v>
      </c>
      <c r="H278" s="659">
        <f ca="1">IF($A278="","",IFERROR(GETPIVOTDATA("合計 / 入金予定",【ピボット】国保連売上!$A$3,"年月",$A278,"事業所コード",$B278,"事業所",$C278,"事業区分",H$1,"請求区分","単月"),0)
+IFERROR(GETPIVOTDATA("合計 / 入金予定",【ピボット】国保連売上!$A$3,"年月",$A278,"事業所コード",$B278,"事業所",$C278,"事業区分",H$1,"請求区分","再請求"),0))</f>
        <v>0</v>
      </c>
      <c r="I278" s="659">
        <f ca="1">IF($A278="","",IFERROR(GETPIVOTDATA("合計 / 入金予定",【ピボット】国保連売上!$A$3,"年月",$A278,"事業所コード",$B278,"事業所",$C278,"事業区分",I$1,"請求区分","単月"),0)
+IFERROR(GETPIVOTDATA("合計 / 入金予定",【ピボット】国保連売上!$A$3,"年月",$A278,"事業所コード",$B278,"事業所",$C278,"事業区分",I$1,"請求区分","再請求"),0))</f>
        <v>0</v>
      </c>
      <c r="J278" s="659">
        <f ca="1">IF($A278="","",IFERROR(GETPIVOTDATA("合計 / 処遇改善加算金",【ピボット】国保連売上!$A$3,"年月",$A278,"事業所コード",$B278,"事業所",$C278,"事業区分",I$1,"請求区分","単月"),0))</f>
        <v>0</v>
      </c>
      <c r="K278" s="659">
        <f ca="1">IF($A278="","",IFERROR(GETPIVOTDATA("合計 / 入金予定",【ピボット】国保連売上!$A$3,"年月",$A278,"事業所コード",$B278,"事業所",$C278,"事業区分",K$1,"請求区分","単月"),0)
+IFERROR(GETPIVOTDATA("合計 / 入金予定",【ピボット】国保連売上!$A$3,"年月",$A278,"事業所コード",$B278,"事業所",$C278,"事業区分",K$1,"請求区分","再請求"),0))</f>
        <v>2515481</v>
      </c>
      <c r="L278" s="659">
        <f ca="1">IF($A278="","",IFERROR(GETPIVOTDATA("合計 / 処遇改善加算金",【ピボット】国保連売上!$A$3,"年月",$A278,"事業所コード",$B278,"事業所",$C278,"事業区分",K$1,"請求区分","単月"),0))</f>
        <v>0</v>
      </c>
      <c r="M278" s="659">
        <f ca="1">IF($A278="","",IFERROR(GETPIVOTDATA("合計 / 入金予定",【ピボット】国保連売上!$A$3,"年月",$A278,"事業所コード",$B278,"事業所",$C278,"事業区分",M$1,"請求区分","単月"),0)
+IFERROR(GETPIVOTDATA("合計 / 入金予定",【ピボット】国保連売上!$A$3,"年月",$A278,"事業所コード",$B278,"事業所",$C278,"事業区分",M$1,"請求区分","再請求"),0))</f>
        <v>0</v>
      </c>
      <c r="N278" s="660">
        <v>0</v>
      </c>
      <c r="O278" s="660">
        <v>0</v>
      </c>
      <c r="P278" s="660">
        <v>0</v>
      </c>
      <c r="Q278" s="660">
        <v>0</v>
      </c>
      <c r="R278" s="660">
        <v>0</v>
      </c>
      <c r="S278" s="660">
        <v>400000</v>
      </c>
      <c r="T278" s="660">
        <v>0</v>
      </c>
      <c r="U278" s="660">
        <v>0</v>
      </c>
      <c r="V278" s="660">
        <v>-100000</v>
      </c>
      <c r="W278" s="660">
        <v>127000</v>
      </c>
      <c r="X278" s="660">
        <v>0</v>
      </c>
      <c r="Y278" s="659">
        <f t="shared" ca="1" si="12"/>
        <v>2942481</v>
      </c>
      <c r="Z278" s="659">
        <f t="shared" ca="1" si="14"/>
        <v>427000</v>
      </c>
    </row>
    <row r="279" spans="1:26" ht="15.95" customHeight="1" x14ac:dyDescent="0.15">
      <c r="A279" s="656">
        <v>43466</v>
      </c>
      <c r="B279" s="657" t="str">
        <f t="shared" ca="1" si="13"/>
        <v>13</v>
      </c>
      <c r="C279" s="658" t="s">
        <v>1223</v>
      </c>
      <c r="D279" s="659">
        <f ca="1">IF($A279="","",IFERROR(GETPIVOTDATA("合計 / 入金予定",【ピボット】国保連売上!$A$3,"年月",$A279,"事業所コード",$B279,"事業所",$C279,"事業区分",D$1,"請求区分","単月"),0)
+IFERROR(GETPIVOTDATA("合計 / 入金予定",【ピボット】国保連売上!$A$3,"年月",$A279,"事業所コード",$B279,"事業所",$C279,"事業区分",D$1,"請求区分","再請求"),0))</f>
        <v>0</v>
      </c>
      <c r="E279" s="659">
        <f ca="1">IF($A279="","",IFERROR(GETPIVOTDATA("合計 / 処遇改善加算金",【ピボット】国保連売上!$A$3,"年月",$A279,"事業所コード",$B279,"事業所",$C279,"事業区分",D$1,"請求区分","単月"),0))</f>
        <v>0</v>
      </c>
      <c r="F279" s="659">
        <f ca="1">IF($A279="","",IFERROR(GETPIVOTDATA("合計 / 入金予定",【ピボット】国保連売上!$A$3,"年月",$A279,"事業所コード",$B279,"事業所",$C279,"事業区分",F$1,"請求区分","単月"),0)
+IFERROR(GETPIVOTDATA("合計 / 入金予定",【ピボット】国保連売上!$A$3,"年月",$A279,"事業所コード",$B279,"事業所",$C279,"事業区分",F$1,"請求区分","再請求"),0))</f>
        <v>0</v>
      </c>
      <c r="G279" s="659">
        <f ca="1">IF($A279="","",IFERROR(GETPIVOTDATA("合計 / 処遇改善加算金",【ピボット】国保連売上!$A$3,"年月",$A279,"事業所コード",$B279,"事業所",$C279,"事業区分",F$1,"請求区分","単月"),0))</f>
        <v>0</v>
      </c>
      <c r="H279" s="659">
        <f ca="1">IF($A279="","",IFERROR(GETPIVOTDATA("合計 / 入金予定",【ピボット】国保連売上!$A$3,"年月",$A279,"事業所コード",$B279,"事業所",$C279,"事業区分",H$1,"請求区分","単月"),0)
+IFERROR(GETPIVOTDATA("合計 / 入金予定",【ピボット】国保連売上!$A$3,"年月",$A279,"事業所コード",$B279,"事業所",$C279,"事業区分",H$1,"請求区分","再請求"),0))</f>
        <v>0</v>
      </c>
      <c r="I279" s="659">
        <f ca="1">IF($A279="","",IFERROR(GETPIVOTDATA("合計 / 入金予定",【ピボット】国保連売上!$A$3,"年月",$A279,"事業所コード",$B279,"事業所",$C279,"事業区分",I$1,"請求区分","単月"),0)
+IFERROR(GETPIVOTDATA("合計 / 入金予定",【ピボット】国保連売上!$A$3,"年月",$A279,"事業所コード",$B279,"事業所",$C279,"事業区分",I$1,"請求区分","再請求"),0))</f>
        <v>0</v>
      </c>
      <c r="J279" s="659">
        <f ca="1">IF($A279="","",IFERROR(GETPIVOTDATA("合計 / 処遇改善加算金",【ピボット】国保連売上!$A$3,"年月",$A279,"事業所コード",$B279,"事業所",$C279,"事業区分",I$1,"請求区分","単月"),0))</f>
        <v>0</v>
      </c>
      <c r="K279" s="659">
        <f ca="1">IF($A279="","",IFERROR(GETPIVOTDATA("合計 / 入金予定",【ピボット】国保連売上!$A$3,"年月",$A279,"事業所コード",$B279,"事業所",$C279,"事業区分",K$1,"請求区分","単月"),0)
+IFERROR(GETPIVOTDATA("合計 / 入金予定",【ピボット】国保連売上!$A$3,"年月",$A279,"事業所コード",$B279,"事業所",$C279,"事業区分",K$1,"請求区分","再請求"),0))</f>
        <v>0</v>
      </c>
      <c r="L279" s="659">
        <f ca="1">IF($A279="","",IFERROR(GETPIVOTDATA("合計 / 処遇改善加算金",【ピボット】国保連売上!$A$3,"年月",$A279,"事業所コード",$B279,"事業所",$C279,"事業区分",K$1,"請求区分","単月"),0))</f>
        <v>0</v>
      </c>
      <c r="M279" s="659">
        <f ca="1">IF($A279="","",IFERROR(GETPIVOTDATA("合計 / 入金予定",【ピボット】国保連売上!$A$3,"年月",$A279,"事業所コード",$B279,"事業所",$C279,"事業区分",M$1,"請求区分","単月"),0)
+IFERROR(GETPIVOTDATA("合計 / 入金予定",【ピボット】国保連売上!$A$3,"年月",$A279,"事業所コード",$B279,"事業所",$C279,"事業区分",M$1,"請求区分","再請求"),0))</f>
        <v>0</v>
      </c>
      <c r="N279" s="660">
        <v>0</v>
      </c>
      <c r="O279" s="660">
        <v>0</v>
      </c>
      <c r="P279" s="660">
        <v>0</v>
      </c>
      <c r="Q279" s="660">
        <v>0</v>
      </c>
      <c r="R279" s="660">
        <v>0</v>
      </c>
      <c r="S279" s="660">
        <v>40000</v>
      </c>
      <c r="T279" s="660">
        <v>0</v>
      </c>
      <c r="U279" s="660">
        <v>0</v>
      </c>
      <c r="V279" s="660">
        <v>0</v>
      </c>
      <c r="W279" s="660">
        <v>0</v>
      </c>
      <c r="X279" s="660">
        <v>0</v>
      </c>
      <c r="Y279" s="659">
        <f t="shared" ca="1" si="12"/>
        <v>40000</v>
      </c>
      <c r="Z279" s="659">
        <f t="shared" ca="1" si="14"/>
        <v>40000</v>
      </c>
    </row>
    <row r="280" spans="1:26" ht="15.95" customHeight="1" x14ac:dyDescent="0.15">
      <c r="A280" s="656">
        <v>43497</v>
      </c>
      <c r="B280" s="657" t="str">
        <f t="shared" ca="1" si="13"/>
        <v>01</v>
      </c>
      <c r="C280" s="658" t="s">
        <v>34</v>
      </c>
      <c r="D280" s="659">
        <f ca="1">IF($A280="","",IFERROR(GETPIVOTDATA("合計 / 入金予定",【ピボット】国保連売上!$A$3,"年月",$A280,"事業所コード",$B280,"事業所",$C280,"事業区分",D$1,"請求区分","単月"),0)
+IFERROR(GETPIVOTDATA("合計 / 入金予定",【ピボット】国保連売上!$A$3,"年月",$A280,"事業所コード",$B280,"事業所",$C280,"事業区分",D$1,"請求区分","再請求"),0))</f>
        <v>8094496</v>
      </c>
      <c r="E280" s="659">
        <f ca="1">IF($A280="","",IFERROR(GETPIVOTDATA("合計 / 処遇改善加算金",【ピボット】国保連売上!$A$3,"年月",$A280,"事業所コード",$B280,"事業所",$C280,"事業区分",D$1,"請求区分","単月"),0))</f>
        <v>1181981</v>
      </c>
      <c r="F280" s="659">
        <f ca="1">IF($A280="","",IFERROR(GETPIVOTDATA("合計 / 入金予定",【ピボット】国保連売上!$A$3,"年月",$A280,"事業所コード",$B280,"事業所",$C280,"事業区分",F$1,"請求区分","単月"),0)
+IFERROR(GETPIVOTDATA("合計 / 入金予定",【ピボット】国保連売上!$A$3,"年月",$A280,"事業所コード",$B280,"事業所",$C280,"事業区分",F$1,"請求区分","再請求"),0))</f>
        <v>1853976</v>
      </c>
      <c r="G280" s="659">
        <f ca="1">IF($A280="","",IFERROR(GETPIVOTDATA("合計 / 処遇改善加算金",【ピボット】国保連売上!$A$3,"年月",$A280,"事業所コード",$B280,"事業所",$C280,"事業区分",F$1,"請求区分","単月"),0))</f>
        <v>390453</v>
      </c>
      <c r="H280" s="659">
        <f ca="1">IF($A280="","",IFERROR(GETPIVOTDATA("合計 / 入金予定",【ピボット】国保連売上!$A$3,"年月",$A280,"事業所コード",$B280,"事業所",$C280,"事業区分",H$1,"請求区分","単月"),0)
+IFERROR(GETPIVOTDATA("合計 / 入金予定",【ピボット】国保連売上!$A$3,"年月",$A280,"事業所コード",$B280,"事業所",$C280,"事業区分",H$1,"請求区分","再請求"),0))</f>
        <v>756347</v>
      </c>
      <c r="I280" s="659">
        <f ca="1">IF($A280="","",IFERROR(GETPIVOTDATA("合計 / 入金予定",【ピボット】国保連売上!$A$3,"年月",$A280,"事業所コード",$B280,"事業所",$C280,"事業区分",I$1,"請求区分","単月"),0)
+IFERROR(GETPIVOTDATA("合計 / 入金予定",【ピボット】国保連売上!$A$3,"年月",$A280,"事業所コード",$B280,"事業所",$C280,"事業区分",I$1,"請求区分","再請求"),0))</f>
        <v>0</v>
      </c>
      <c r="J280" s="659">
        <f ca="1">IF($A280="","",IFERROR(GETPIVOTDATA("合計 / 処遇改善加算金",【ピボット】国保連売上!$A$3,"年月",$A280,"事業所コード",$B280,"事業所",$C280,"事業区分",I$1,"請求区分","単月"),0))</f>
        <v>0</v>
      </c>
      <c r="K280" s="659">
        <f ca="1">IF($A280="","",IFERROR(GETPIVOTDATA("合計 / 入金予定",【ピボット】国保連売上!$A$3,"年月",$A280,"事業所コード",$B280,"事業所",$C280,"事業区分",K$1,"請求区分","単月"),0)
+IFERROR(GETPIVOTDATA("合計 / 入金予定",【ピボット】国保連売上!$A$3,"年月",$A280,"事業所コード",$B280,"事業所",$C280,"事業区分",K$1,"請求区分","再請求"),0))</f>
        <v>0</v>
      </c>
      <c r="L280" s="659">
        <f ca="1">IF($A280="","",IFERROR(GETPIVOTDATA("合計 / 処遇改善加算金",【ピボット】国保連売上!$A$3,"年月",$A280,"事業所コード",$B280,"事業所",$C280,"事業区分",K$1,"請求区分","単月"),0))</f>
        <v>0</v>
      </c>
      <c r="M280" s="659">
        <f ca="1">IF($A280="","",IFERROR(GETPIVOTDATA("合計 / 入金予定",【ピボット】国保連売上!$A$3,"年月",$A280,"事業所コード",$B280,"事業所",$C280,"事業区分",M$1,"請求区分","単月"),0)
+IFERROR(GETPIVOTDATA("合計 / 入金予定",【ピボット】国保連売上!$A$3,"年月",$A280,"事業所コード",$B280,"事業所",$C280,"事業区分",M$1,"請求区分","再請求"),0))</f>
        <v>0</v>
      </c>
      <c r="N280" s="660">
        <v>169970</v>
      </c>
      <c r="O280" s="1292">
        <v>20454</v>
      </c>
      <c r="P280" s="660">
        <v>329350</v>
      </c>
      <c r="Q280" s="660">
        <v>4399</v>
      </c>
      <c r="R280" s="1292">
        <v>173025</v>
      </c>
      <c r="S280" s="660">
        <v>0</v>
      </c>
      <c r="T280" s="660">
        <v>0</v>
      </c>
      <c r="U280" s="660">
        <v>56190</v>
      </c>
      <c r="V280" s="660">
        <v>0</v>
      </c>
      <c r="W280" s="660">
        <v>0</v>
      </c>
      <c r="X280" s="660">
        <v>0</v>
      </c>
      <c r="Y280" s="659">
        <f t="shared" ca="1" si="12"/>
        <v>11458207</v>
      </c>
      <c r="Z280" s="659">
        <f t="shared" ca="1" si="14"/>
        <v>753388</v>
      </c>
    </row>
    <row r="281" spans="1:26" ht="15.95" customHeight="1" x14ac:dyDescent="0.15">
      <c r="A281" s="656">
        <v>43497</v>
      </c>
      <c r="B281" s="657" t="str">
        <f t="shared" ca="1" si="13"/>
        <v>02</v>
      </c>
      <c r="C281" s="658" t="s">
        <v>37</v>
      </c>
      <c r="D281" s="659">
        <f ca="1">IF($A281="","",IFERROR(GETPIVOTDATA("合計 / 入金予定",【ピボット】国保連売上!$A$3,"年月",$A281,"事業所コード",$B281,"事業所",$C281,"事業区分",D$1,"請求区分","単月"),0)
+IFERROR(GETPIVOTDATA("合計 / 入金予定",【ピボット】国保連売上!$A$3,"年月",$A281,"事業所コード",$B281,"事業所",$C281,"事業区分",D$1,"請求区分","再請求"),0))</f>
        <v>4550601</v>
      </c>
      <c r="E281" s="659">
        <f ca="1">IF($A281="","",IFERROR(GETPIVOTDATA("合計 / 処遇改善加算金",【ピボット】国保連売上!$A$3,"年月",$A281,"事業所コード",$B281,"事業所",$C281,"事業区分",D$1,"請求区分","単月"),0))</f>
        <v>488244</v>
      </c>
      <c r="F281" s="659">
        <f ca="1">IF($A281="","",IFERROR(GETPIVOTDATA("合計 / 入金予定",【ピボット】国保連売上!$A$3,"年月",$A281,"事業所コード",$B281,"事業所",$C281,"事業区分",F$1,"請求区分","単月"),0)
+IFERROR(GETPIVOTDATA("合計 / 入金予定",【ピボット】国保連売上!$A$3,"年月",$A281,"事業所コード",$B281,"事業所",$C281,"事業区分",F$1,"請求区分","再請求"),0))</f>
        <v>898498</v>
      </c>
      <c r="G281" s="659">
        <f ca="1">IF($A281="","",IFERROR(GETPIVOTDATA("合計 / 処遇改善加算金",【ピボット】国保連売上!$A$3,"年月",$A281,"事業所コード",$B281,"事業所",$C281,"事業区分",F$1,"請求区分","単月"),0))</f>
        <v>208923</v>
      </c>
      <c r="H281" s="659">
        <f ca="1">IF($A281="","",IFERROR(GETPIVOTDATA("合計 / 入金予定",【ピボット】国保連売上!$A$3,"年月",$A281,"事業所コード",$B281,"事業所",$C281,"事業区分",H$1,"請求区分","単月"),0)
+IFERROR(GETPIVOTDATA("合計 / 入金予定",【ピボット】国保連売上!$A$3,"年月",$A281,"事業所コード",$B281,"事業所",$C281,"事業区分",H$1,"請求区分","再請求"),0))</f>
        <v>529936</v>
      </c>
      <c r="I281" s="659">
        <f ca="1">IF($A281="","",IFERROR(GETPIVOTDATA("合計 / 入金予定",【ピボット】国保連売上!$A$3,"年月",$A281,"事業所コード",$B281,"事業所",$C281,"事業区分",I$1,"請求区分","単月"),0)
+IFERROR(GETPIVOTDATA("合計 / 入金予定",【ピボット】国保連売上!$A$3,"年月",$A281,"事業所コード",$B281,"事業所",$C281,"事業区分",I$1,"請求区分","再請求"),0))</f>
        <v>0</v>
      </c>
      <c r="J281" s="659">
        <f ca="1">IF($A281="","",IFERROR(GETPIVOTDATA("合計 / 処遇改善加算金",【ピボット】国保連売上!$A$3,"年月",$A281,"事業所コード",$B281,"事業所",$C281,"事業区分",I$1,"請求区分","単月"),0))</f>
        <v>0</v>
      </c>
      <c r="K281" s="659">
        <f ca="1">IF($A281="","",IFERROR(GETPIVOTDATA("合計 / 入金予定",【ピボット】国保連売上!$A$3,"年月",$A281,"事業所コード",$B281,"事業所",$C281,"事業区分",K$1,"請求区分","単月"),0)
+IFERROR(GETPIVOTDATA("合計 / 入金予定",【ピボット】国保連売上!$A$3,"年月",$A281,"事業所コード",$B281,"事業所",$C281,"事業区分",K$1,"請求区分","再請求"),0))</f>
        <v>0</v>
      </c>
      <c r="L281" s="659">
        <f ca="1">IF($A281="","",IFERROR(GETPIVOTDATA("合計 / 処遇改善加算金",【ピボット】国保連売上!$A$3,"年月",$A281,"事業所コード",$B281,"事業所",$C281,"事業区分",K$1,"請求区分","単月"),0))</f>
        <v>0</v>
      </c>
      <c r="M281" s="659">
        <f ca="1">IF($A281="","",IFERROR(GETPIVOTDATA("合計 / 入金予定",【ピボット】国保連売上!$A$3,"年月",$A281,"事業所コード",$B281,"事業所",$C281,"事業区分",M$1,"請求区分","単月"),0)
+IFERROR(GETPIVOTDATA("合計 / 入金予定",【ピボット】国保連売上!$A$3,"年月",$A281,"事業所コード",$B281,"事業所",$C281,"事業区分",M$1,"請求区分","再請求"),0))</f>
        <v>0</v>
      </c>
      <c r="N281" s="660">
        <v>151191</v>
      </c>
      <c r="O281" s="1292">
        <v>0</v>
      </c>
      <c r="P281" s="660">
        <v>0</v>
      </c>
      <c r="Q281" s="660">
        <v>4075</v>
      </c>
      <c r="R281" s="1292">
        <v>136296</v>
      </c>
      <c r="S281" s="660">
        <v>0</v>
      </c>
      <c r="T281" s="660">
        <v>0</v>
      </c>
      <c r="U281" s="660">
        <v>0</v>
      </c>
      <c r="V281" s="660">
        <v>0</v>
      </c>
      <c r="W281" s="660">
        <v>0</v>
      </c>
      <c r="X281" s="660">
        <v>0</v>
      </c>
      <c r="Y281" s="659">
        <f t="shared" ca="1" si="12"/>
        <v>6270597</v>
      </c>
      <c r="Z281" s="659">
        <f t="shared" ca="1" si="14"/>
        <v>291562</v>
      </c>
    </row>
    <row r="282" spans="1:26" ht="15.95" customHeight="1" x14ac:dyDescent="0.15">
      <c r="A282" s="656">
        <v>43497</v>
      </c>
      <c r="B282" s="657" t="str">
        <f t="shared" ca="1" si="13"/>
        <v>03</v>
      </c>
      <c r="C282" s="658" t="s">
        <v>66</v>
      </c>
      <c r="D282" s="659">
        <f ca="1">IF($A282="","",IFERROR(GETPIVOTDATA("合計 / 入金予定",【ピボット】国保連売上!$A$3,"年月",$A282,"事業所コード",$B282,"事業所",$C282,"事業区分",D$1,"請求区分","単月"),0)
+IFERROR(GETPIVOTDATA("合計 / 入金予定",【ピボット】国保連売上!$A$3,"年月",$A282,"事業所コード",$B282,"事業所",$C282,"事業区分",D$1,"請求区分","再請求"),0))</f>
        <v>4379913</v>
      </c>
      <c r="E282" s="659">
        <f ca="1">IF($A282="","",IFERROR(GETPIVOTDATA("合計 / 処遇改善加算金",【ピボット】国保連売上!$A$3,"年月",$A282,"事業所コード",$B282,"事業所",$C282,"事業区分",D$1,"請求区分","単月"),0))</f>
        <v>448766</v>
      </c>
      <c r="F282" s="659">
        <f ca="1">IF($A282="","",IFERROR(GETPIVOTDATA("合計 / 入金予定",【ピボット】国保連売上!$A$3,"年月",$A282,"事業所コード",$B282,"事業所",$C282,"事業区分",F$1,"請求区分","単月"),0)
+IFERROR(GETPIVOTDATA("合計 / 入金予定",【ピボット】国保連売上!$A$3,"年月",$A282,"事業所コード",$B282,"事業所",$C282,"事業区分",F$1,"請求区分","再請求"),0))</f>
        <v>1701433</v>
      </c>
      <c r="G282" s="659">
        <f ca="1">IF($A282="","",IFERROR(GETPIVOTDATA("合計 / 処遇改善加算金",【ピボット】国保連売上!$A$3,"年月",$A282,"事業所コード",$B282,"事業所",$C282,"事業区分",F$1,"請求区分","単月"),0))</f>
        <v>395654</v>
      </c>
      <c r="H282" s="659">
        <f ca="1">IF($A282="","",IFERROR(GETPIVOTDATA("合計 / 入金予定",【ピボット】国保連売上!$A$3,"年月",$A282,"事業所コード",$B282,"事業所",$C282,"事業区分",H$1,"請求区分","単月"),0)
+IFERROR(GETPIVOTDATA("合計 / 入金予定",【ピボット】国保連売上!$A$3,"年月",$A282,"事業所コード",$B282,"事業所",$C282,"事業区分",H$1,"請求区分","再請求"),0))</f>
        <v>0</v>
      </c>
      <c r="I282" s="659">
        <f ca="1">IF($A282="","",IFERROR(GETPIVOTDATA("合計 / 入金予定",【ピボット】国保連売上!$A$3,"年月",$A282,"事業所コード",$B282,"事業所",$C282,"事業区分",I$1,"請求区分","単月"),0)
+IFERROR(GETPIVOTDATA("合計 / 入金予定",【ピボット】国保連売上!$A$3,"年月",$A282,"事業所コード",$B282,"事業所",$C282,"事業区分",I$1,"請求区分","再請求"),0))</f>
        <v>0</v>
      </c>
      <c r="J282" s="659">
        <f ca="1">IF($A282="","",IFERROR(GETPIVOTDATA("合計 / 処遇改善加算金",【ピボット】国保連売上!$A$3,"年月",$A282,"事業所コード",$B282,"事業所",$C282,"事業区分",I$1,"請求区分","単月"),0))</f>
        <v>0</v>
      </c>
      <c r="K282" s="659">
        <f ca="1">IF($A282="","",IFERROR(GETPIVOTDATA("合計 / 入金予定",【ピボット】国保連売上!$A$3,"年月",$A282,"事業所コード",$B282,"事業所",$C282,"事業区分",K$1,"請求区分","単月"),0)
+IFERROR(GETPIVOTDATA("合計 / 入金予定",【ピボット】国保連売上!$A$3,"年月",$A282,"事業所コード",$B282,"事業所",$C282,"事業区分",K$1,"請求区分","再請求"),0))</f>
        <v>0</v>
      </c>
      <c r="L282" s="659">
        <f ca="1">IF($A282="","",IFERROR(GETPIVOTDATA("合計 / 処遇改善加算金",【ピボット】国保連売上!$A$3,"年月",$A282,"事業所コード",$B282,"事業所",$C282,"事業区分",K$1,"請求区分","単月"),0))</f>
        <v>0</v>
      </c>
      <c r="M282" s="659">
        <f ca="1">IF($A282="","",IFERROR(GETPIVOTDATA("合計 / 入金予定",【ピボット】国保連売上!$A$3,"年月",$A282,"事業所コード",$B282,"事業所",$C282,"事業区分",M$1,"請求区分","単月"),0)
+IFERROR(GETPIVOTDATA("合計 / 入金予定",【ピボット】国保連売上!$A$3,"年月",$A282,"事業所コード",$B282,"事業所",$C282,"事業区分",M$1,"請求区分","再請求"),0))</f>
        <v>0</v>
      </c>
      <c r="N282" s="660">
        <v>144675</v>
      </c>
      <c r="O282" s="1292">
        <v>113940</v>
      </c>
      <c r="P282" s="660">
        <v>24780</v>
      </c>
      <c r="Q282" s="660">
        <v>4312</v>
      </c>
      <c r="R282" s="1292">
        <v>0</v>
      </c>
      <c r="S282" s="660">
        <v>0</v>
      </c>
      <c r="T282" s="660">
        <v>0</v>
      </c>
      <c r="U282" s="660">
        <v>0</v>
      </c>
      <c r="V282" s="660">
        <v>0</v>
      </c>
      <c r="W282" s="660">
        <v>0</v>
      </c>
      <c r="X282" s="660">
        <v>0</v>
      </c>
      <c r="Y282" s="659">
        <f t="shared" ca="1" si="12"/>
        <v>6369053</v>
      </c>
      <c r="Z282" s="659">
        <f t="shared" ca="1" si="14"/>
        <v>287707</v>
      </c>
    </row>
    <row r="283" spans="1:26" ht="15.95" customHeight="1" x14ac:dyDescent="0.15">
      <c r="A283" s="656">
        <v>43497</v>
      </c>
      <c r="B283" s="657" t="str">
        <f t="shared" ca="1" si="13"/>
        <v>11</v>
      </c>
      <c r="C283" s="658" t="s">
        <v>967</v>
      </c>
      <c r="D283" s="659">
        <f ca="1">IF($A283="","",IFERROR(GETPIVOTDATA("合計 / 入金予定",【ピボット】国保連売上!$A$3,"年月",$A283,"事業所コード",$B283,"事業所",$C283,"事業区分",D$1,"請求区分","単月"),0)
+IFERROR(GETPIVOTDATA("合計 / 入金予定",【ピボット】国保連売上!$A$3,"年月",$A283,"事業所コード",$B283,"事業所",$C283,"事業区分",D$1,"請求区分","再請求"),0))</f>
        <v>778647</v>
      </c>
      <c r="E283" s="659">
        <f ca="1">IF($A283="","",IFERROR(GETPIVOTDATA("合計 / 処遇改善加算金",【ピボット】国保連売上!$A$3,"年月",$A283,"事業所コード",$B283,"事業所",$C283,"事業区分",D$1,"請求区分","単月"),0))</f>
        <v>60595</v>
      </c>
      <c r="F283" s="659">
        <f ca="1">IF($A283="","",IFERROR(GETPIVOTDATA("合計 / 入金予定",【ピボット】国保連売上!$A$3,"年月",$A283,"事業所コード",$B283,"事業所",$C283,"事業区分",F$1,"請求区分","単月"),0)
+IFERROR(GETPIVOTDATA("合計 / 入金予定",【ピボット】国保連売上!$A$3,"年月",$A283,"事業所コード",$B283,"事業所",$C283,"事業区分",F$1,"請求区分","再請求"),0))</f>
        <v>113402</v>
      </c>
      <c r="G283" s="659">
        <f ca="1">IF($A283="","",IFERROR(GETPIVOTDATA("合計 / 処遇改善加算金",【ピボット】国保連売上!$A$3,"年月",$A283,"事業所コード",$B283,"事業所",$C283,"事業区分",F$1,"請求区分","単月"),0))</f>
        <v>24153</v>
      </c>
      <c r="H283" s="659">
        <f ca="1">IF($A283="","",IFERROR(GETPIVOTDATA("合計 / 入金予定",【ピボット】国保連売上!$A$3,"年月",$A283,"事業所コード",$B283,"事業所",$C283,"事業区分",H$1,"請求区分","単月"),0)
+IFERROR(GETPIVOTDATA("合計 / 入金予定",【ピボット】国保連売上!$A$3,"年月",$A283,"事業所コード",$B283,"事業所",$C283,"事業区分",H$1,"請求区分","再請求"),0))</f>
        <v>0</v>
      </c>
      <c r="I283" s="659">
        <f ca="1">IF($A283="","",IFERROR(GETPIVOTDATA("合計 / 入金予定",【ピボット】国保連売上!$A$3,"年月",$A283,"事業所コード",$B283,"事業所",$C283,"事業区分",I$1,"請求区分","単月"),0)
+IFERROR(GETPIVOTDATA("合計 / 入金予定",【ピボット】国保連売上!$A$3,"年月",$A283,"事業所コード",$B283,"事業所",$C283,"事業区分",I$1,"請求区分","再請求"),0))</f>
        <v>0</v>
      </c>
      <c r="J283" s="659">
        <f ca="1">IF($A283="","",IFERROR(GETPIVOTDATA("合計 / 処遇改善加算金",【ピボット】国保連売上!$A$3,"年月",$A283,"事業所コード",$B283,"事業所",$C283,"事業区分",I$1,"請求区分","単月"),0))</f>
        <v>0</v>
      </c>
      <c r="K283" s="659">
        <f ca="1">IF($A283="","",IFERROR(GETPIVOTDATA("合計 / 入金予定",【ピボット】国保連売上!$A$3,"年月",$A283,"事業所コード",$B283,"事業所",$C283,"事業区分",K$1,"請求区分","単月"),0)
+IFERROR(GETPIVOTDATA("合計 / 入金予定",【ピボット】国保連売上!$A$3,"年月",$A283,"事業所コード",$B283,"事業所",$C283,"事業区分",K$1,"請求区分","再請求"),0))</f>
        <v>0</v>
      </c>
      <c r="L283" s="659">
        <f ca="1">IF($A283="","",IFERROR(GETPIVOTDATA("合計 / 処遇改善加算金",【ピボット】国保連売上!$A$3,"年月",$A283,"事業所コード",$B283,"事業所",$C283,"事業区分",K$1,"請求区分","単月"),0))</f>
        <v>0</v>
      </c>
      <c r="M283" s="659">
        <f ca="1">IF($A283="","",IFERROR(GETPIVOTDATA("合計 / 入金予定",【ピボット】国保連売上!$A$3,"年月",$A283,"事業所コード",$B283,"事業所",$C283,"事業区分",M$1,"請求区分","単月"),0)
+IFERROR(GETPIVOTDATA("合計 / 入金予定",【ピボット】国保連売上!$A$3,"年月",$A283,"事業所コード",$B283,"事業所",$C283,"事業区分",M$1,"請求区分","再請求"),0))</f>
        <v>0</v>
      </c>
      <c r="N283" s="660">
        <v>11900</v>
      </c>
      <c r="O283" s="1292">
        <v>0</v>
      </c>
      <c r="P283" s="660">
        <v>0</v>
      </c>
      <c r="Q283" s="660">
        <v>0</v>
      </c>
      <c r="R283" s="660">
        <v>0</v>
      </c>
      <c r="S283" s="660">
        <v>0</v>
      </c>
      <c r="T283" s="660">
        <v>0</v>
      </c>
      <c r="U283" s="660">
        <v>0</v>
      </c>
      <c r="V283" s="660">
        <v>0</v>
      </c>
      <c r="W283" s="660">
        <v>0</v>
      </c>
      <c r="X283" s="660">
        <v>0</v>
      </c>
      <c r="Y283" s="659">
        <f t="shared" ca="1" si="12"/>
        <v>903949</v>
      </c>
      <c r="Z283" s="659">
        <f t="shared" ca="1" si="14"/>
        <v>11900</v>
      </c>
    </row>
    <row r="284" spans="1:26" ht="15.95" customHeight="1" x14ac:dyDescent="0.15">
      <c r="A284" s="656">
        <v>43497</v>
      </c>
      <c r="B284" s="657" t="str">
        <f t="shared" ca="1" si="13"/>
        <v>12</v>
      </c>
      <c r="C284" s="658" t="s">
        <v>1143</v>
      </c>
      <c r="D284" s="659">
        <f ca="1">IF($A284="","",IFERROR(GETPIVOTDATA("合計 / 入金予定",【ピボット】国保連売上!$A$3,"年月",$A284,"事業所コード",$B284,"事業所",$C284,"事業区分",D$1,"請求区分","単月"),0)
+IFERROR(GETPIVOTDATA("合計 / 入金予定",【ピボット】国保連売上!$A$3,"年月",$A284,"事業所コード",$B284,"事業所",$C284,"事業区分",D$1,"請求区分","再請求"),0))</f>
        <v>778951</v>
      </c>
      <c r="E284" s="659">
        <f ca="1">IF($A284="","",IFERROR(GETPIVOTDATA("合計 / 処遇改善加算金",【ピボット】国保連売上!$A$3,"年月",$A284,"事業所コード",$B284,"事業所",$C284,"事業区分",D$1,"請求区分","単月"),0))</f>
        <v>65862</v>
      </c>
      <c r="F284" s="659">
        <f ca="1">IF($A284="","",IFERROR(GETPIVOTDATA("合計 / 入金予定",【ピボット】国保連売上!$A$3,"年月",$A284,"事業所コード",$B284,"事業所",$C284,"事業区分",F$1,"請求区分","単月"),0)
+IFERROR(GETPIVOTDATA("合計 / 入金予定",【ピボット】国保連売上!$A$3,"年月",$A284,"事業所コード",$B284,"事業所",$C284,"事業区分",F$1,"請求区分","再請求"),0))</f>
        <v>272801</v>
      </c>
      <c r="G284" s="659">
        <f ca="1">IF($A284="","",IFERROR(GETPIVOTDATA("合計 / 処遇改善加算金",【ピボット】国保連売上!$A$3,"年月",$A284,"事業所コード",$B284,"事業所",$C284,"事業区分",F$1,"請求区分","単月"),0))</f>
        <v>63423</v>
      </c>
      <c r="H284" s="659">
        <f ca="1">IF($A284="","",IFERROR(GETPIVOTDATA("合計 / 入金予定",【ピボット】国保連売上!$A$3,"年月",$A284,"事業所コード",$B284,"事業所",$C284,"事業区分",H$1,"請求区分","単月"),0)
+IFERROR(GETPIVOTDATA("合計 / 入金予定",【ピボット】国保連売上!$A$3,"年月",$A284,"事業所コード",$B284,"事業所",$C284,"事業区分",H$1,"請求区分","再請求"),0))</f>
        <v>0</v>
      </c>
      <c r="I284" s="659">
        <f ca="1">IF($A284="","",IFERROR(GETPIVOTDATA("合計 / 入金予定",【ピボット】国保連売上!$A$3,"年月",$A284,"事業所コード",$B284,"事業所",$C284,"事業区分",I$1,"請求区分","単月"),0)
+IFERROR(GETPIVOTDATA("合計 / 入金予定",【ピボット】国保連売上!$A$3,"年月",$A284,"事業所コード",$B284,"事業所",$C284,"事業区分",I$1,"請求区分","再請求"),0))</f>
        <v>0</v>
      </c>
      <c r="J284" s="659">
        <f ca="1">IF($A284="","",IFERROR(GETPIVOTDATA("合計 / 処遇改善加算金",【ピボット】国保連売上!$A$3,"年月",$A284,"事業所コード",$B284,"事業所",$C284,"事業区分",I$1,"請求区分","単月"),0))</f>
        <v>0</v>
      </c>
      <c r="K284" s="659">
        <f ca="1">IF($A284="","",IFERROR(GETPIVOTDATA("合計 / 入金予定",【ピボット】国保連売上!$A$3,"年月",$A284,"事業所コード",$B284,"事業所",$C284,"事業区分",K$1,"請求区分","単月"),0)
+IFERROR(GETPIVOTDATA("合計 / 入金予定",【ピボット】国保連売上!$A$3,"年月",$A284,"事業所コード",$B284,"事業所",$C284,"事業区分",K$1,"請求区分","再請求"),0))</f>
        <v>0</v>
      </c>
      <c r="L284" s="659">
        <f ca="1">IF($A284="","",IFERROR(GETPIVOTDATA("合計 / 処遇改善加算金",【ピボット】国保連売上!$A$3,"年月",$A284,"事業所コード",$B284,"事業所",$C284,"事業区分",K$1,"請求区分","単月"),0))</f>
        <v>0</v>
      </c>
      <c r="M284" s="659">
        <f ca="1">IF($A284="","",IFERROR(GETPIVOTDATA("合計 / 入金予定",【ピボット】国保連売上!$A$3,"年月",$A284,"事業所コード",$B284,"事業所",$C284,"事業区分",M$1,"請求区分","単月"),0)
+IFERROR(GETPIVOTDATA("合計 / 入金予定",【ピボット】国保連売上!$A$3,"年月",$A284,"事業所コード",$B284,"事業所",$C284,"事業区分",M$1,"請求区分","再請求"),0))</f>
        <v>0</v>
      </c>
      <c r="N284" s="660">
        <v>6800</v>
      </c>
      <c r="O284" s="1292">
        <v>1284</v>
      </c>
      <c r="P284" s="660">
        <v>0</v>
      </c>
      <c r="Q284" s="660">
        <v>910</v>
      </c>
      <c r="R284" s="660">
        <v>0</v>
      </c>
      <c r="S284" s="660">
        <v>0</v>
      </c>
      <c r="T284" s="660">
        <v>0</v>
      </c>
      <c r="U284" s="660">
        <v>0</v>
      </c>
      <c r="V284" s="660">
        <v>0</v>
      </c>
      <c r="W284" s="660">
        <v>0</v>
      </c>
      <c r="X284" s="660">
        <v>0</v>
      </c>
      <c r="Y284" s="659">
        <f t="shared" ca="1" si="12"/>
        <v>1060746</v>
      </c>
      <c r="Z284" s="659">
        <f t="shared" ca="1" si="14"/>
        <v>8994</v>
      </c>
    </row>
    <row r="285" spans="1:26" ht="15.95" customHeight="1" x14ac:dyDescent="0.15">
      <c r="A285" s="656">
        <v>43497</v>
      </c>
      <c r="B285" s="657" t="str">
        <f t="shared" ca="1" si="13"/>
        <v>04</v>
      </c>
      <c r="C285" s="658" t="s">
        <v>358</v>
      </c>
      <c r="D285" s="659">
        <f ca="1">IF($A285="","",IFERROR(GETPIVOTDATA("合計 / 入金予定",【ピボット】国保連売上!$A$3,"年月",$A285,"事業所コード",$B285,"事業所",$C285,"事業区分",D$1,"請求区分","単月"),0)
+IFERROR(GETPIVOTDATA("合計 / 入金予定",【ピボット】国保連売上!$A$3,"年月",$A285,"事業所コード",$B285,"事業所",$C285,"事業区分",D$1,"請求区分","再請求"),0))</f>
        <v>0</v>
      </c>
      <c r="E285" s="659">
        <f ca="1">IF($A285="","",IFERROR(GETPIVOTDATA("合計 / 処遇改善加算金",【ピボット】国保連売上!$A$3,"年月",$A285,"事業所コード",$B285,"事業所",$C285,"事業区分",D$1,"請求区分","単月"),0))</f>
        <v>0</v>
      </c>
      <c r="F285" s="659">
        <f ca="1">IF($A285="","",IFERROR(GETPIVOTDATA("合計 / 入金予定",【ピボット】国保連売上!$A$3,"年月",$A285,"事業所コード",$B285,"事業所",$C285,"事業区分",F$1,"請求区分","単月"),0)
+IFERROR(GETPIVOTDATA("合計 / 入金予定",【ピボット】国保連売上!$A$3,"年月",$A285,"事業所コード",$B285,"事業所",$C285,"事業区分",F$1,"請求区分","再請求"),0))</f>
        <v>0</v>
      </c>
      <c r="G285" s="659">
        <f ca="1">IF($A285="","",IFERROR(GETPIVOTDATA("合計 / 処遇改善加算金",【ピボット】国保連売上!$A$3,"年月",$A285,"事業所コード",$B285,"事業所",$C285,"事業区分",F$1,"請求区分","単月"),0))</f>
        <v>0</v>
      </c>
      <c r="H285" s="659">
        <f ca="1">IF($A285="","",IFERROR(GETPIVOTDATA("合計 / 入金予定",【ピボット】国保連売上!$A$3,"年月",$A285,"事業所コード",$B285,"事業所",$C285,"事業区分",H$1,"請求区分","単月"),0)
+IFERROR(GETPIVOTDATA("合計 / 入金予定",【ピボット】国保連売上!$A$3,"年月",$A285,"事業所コード",$B285,"事業所",$C285,"事業区分",H$1,"請求区分","再請求"),0))</f>
        <v>0</v>
      </c>
      <c r="I285" s="659">
        <f ca="1">IF($A285="","",IFERROR(GETPIVOTDATA("合計 / 入金予定",【ピボット】国保連売上!$A$3,"年月",$A285,"事業所コード",$B285,"事業所",$C285,"事業区分",I$1,"請求区分","単月"),0)
+IFERROR(GETPIVOTDATA("合計 / 入金予定",【ピボット】国保連売上!$A$3,"年月",$A285,"事業所コード",$B285,"事業所",$C285,"事業区分",I$1,"請求区分","再請求"),0))</f>
        <v>4145693</v>
      </c>
      <c r="J285" s="659">
        <f ca="1">IF($A285="","",IFERROR(GETPIVOTDATA("合計 / 処遇改善加算金",【ピボット】国保連売上!$A$3,"年月",$A285,"事業所コード",$B285,"事業所",$C285,"事業区分",I$1,"請求区分","単月"),0))</f>
        <v>230959</v>
      </c>
      <c r="K285" s="659">
        <f ca="1">IF($A285="","",IFERROR(GETPIVOTDATA("合計 / 入金予定",【ピボット】国保連売上!$A$3,"年月",$A285,"事業所コード",$B285,"事業所",$C285,"事業区分",K$1,"請求区分","単月"),0)
+IFERROR(GETPIVOTDATA("合計 / 入金予定",【ピボット】国保連売上!$A$3,"年月",$A285,"事業所コード",$B285,"事業所",$C285,"事業区分",K$1,"請求区分","再請求"),0))</f>
        <v>0</v>
      </c>
      <c r="L285" s="659">
        <f ca="1">IF($A285="","",IFERROR(GETPIVOTDATA("合計 / 処遇改善加算金",【ピボット】国保連売上!$A$3,"年月",$A285,"事業所コード",$B285,"事業所",$C285,"事業区分",K$1,"請求区分","単月"),0))</f>
        <v>0</v>
      </c>
      <c r="M285" s="659">
        <f ca="1">IF($A285="","",IFERROR(GETPIVOTDATA("合計 / 入金予定",【ピボット】国保連売上!$A$3,"年月",$A285,"事業所コード",$B285,"事業所",$C285,"事業区分",M$1,"請求区分","単月"),0)
+IFERROR(GETPIVOTDATA("合計 / 入金予定",【ピボット】国保連売上!$A$3,"年月",$A285,"事業所コード",$B285,"事業所",$C285,"事業区分",M$1,"請求区分","再請求"),0))</f>
        <v>0</v>
      </c>
      <c r="N285" s="660">
        <v>20000</v>
      </c>
      <c r="O285" s="660"/>
      <c r="P285" s="660">
        <v>0</v>
      </c>
      <c r="Q285" s="660">
        <v>0</v>
      </c>
      <c r="R285" s="660">
        <v>0</v>
      </c>
      <c r="S285" s="660">
        <v>0</v>
      </c>
      <c r="T285" s="660">
        <v>310200</v>
      </c>
      <c r="U285" s="660">
        <v>0</v>
      </c>
      <c r="V285" s="660">
        <v>0</v>
      </c>
      <c r="W285" s="660">
        <v>0</v>
      </c>
      <c r="X285" s="660">
        <v>0</v>
      </c>
      <c r="Y285" s="659">
        <f t="shared" ca="1" si="12"/>
        <v>4475893</v>
      </c>
      <c r="Z285" s="659">
        <f t="shared" ca="1" si="14"/>
        <v>330200</v>
      </c>
    </row>
    <row r="286" spans="1:26" ht="15.95" customHeight="1" x14ac:dyDescent="0.15">
      <c r="A286" s="656">
        <v>43497</v>
      </c>
      <c r="B286" s="657" t="str">
        <f t="shared" ca="1" si="13"/>
        <v>05</v>
      </c>
      <c r="C286" s="658" t="s">
        <v>359</v>
      </c>
      <c r="D286" s="659">
        <f ca="1">IF($A286="","",IFERROR(GETPIVOTDATA("合計 / 入金予定",【ピボット】国保連売上!$A$3,"年月",$A286,"事業所コード",$B286,"事業所",$C286,"事業区分",D$1,"請求区分","単月"),0)
+IFERROR(GETPIVOTDATA("合計 / 入金予定",【ピボット】国保連売上!$A$3,"年月",$A286,"事業所コード",$B286,"事業所",$C286,"事業区分",D$1,"請求区分","再請求"),0))</f>
        <v>1715603</v>
      </c>
      <c r="E286" s="659">
        <f ca="1">IF($A286="","",IFERROR(GETPIVOTDATA("合計 / 処遇改善加算金",【ピボット】国保連売上!$A$3,"年月",$A286,"事業所コード",$B286,"事業所",$C286,"事業区分",D$1,"請求区分","単月"),0))</f>
        <v>0</v>
      </c>
      <c r="F286" s="659">
        <f ca="1">IF($A286="","",IFERROR(GETPIVOTDATA("合計 / 入金予定",【ピボット】国保連売上!$A$3,"年月",$A286,"事業所コード",$B286,"事業所",$C286,"事業区分",F$1,"請求区分","単月"),0)
+IFERROR(GETPIVOTDATA("合計 / 入金予定",【ピボット】国保連売上!$A$3,"年月",$A286,"事業所コード",$B286,"事業所",$C286,"事業区分",F$1,"請求区分","再請求"),0))</f>
        <v>0</v>
      </c>
      <c r="G286" s="659">
        <f ca="1">IF($A286="","",IFERROR(GETPIVOTDATA("合計 / 処遇改善加算金",【ピボット】国保連売上!$A$3,"年月",$A286,"事業所コード",$B286,"事業所",$C286,"事業区分",F$1,"請求区分","単月"),0))</f>
        <v>0</v>
      </c>
      <c r="H286" s="659">
        <f ca="1">IF($A286="","",IFERROR(GETPIVOTDATA("合計 / 入金予定",【ピボット】国保連売上!$A$3,"年月",$A286,"事業所コード",$B286,"事業所",$C286,"事業区分",H$1,"請求区分","単月"),0)
+IFERROR(GETPIVOTDATA("合計 / 入金予定",【ピボット】国保連売上!$A$3,"年月",$A286,"事業所コード",$B286,"事業所",$C286,"事業区分",H$1,"請求区分","再請求"),0))</f>
        <v>0</v>
      </c>
      <c r="I286" s="659">
        <f ca="1">IF($A286="","",IFERROR(GETPIVOTDATA("合計 / 入金予定",【ピボット】国保連売上!$A$3,"年月",$A286,"事業所コード",$B286,"事業所",$C286,"事業区分",I$1,"請求区分","単月"),0)
+IFERROR(GETPIVOTDATA("合計 / 入金予定",【ピボット】国保連売上!$A$3,"年月",$A286,"事業所コード",$B286,"事業所",$C286,"事業区分",I$1,"請求区分","再請求"),0))</f>
        <v>0</v>
      </c>
      <c r="J286" s="659">
        <f ca="1">IF($A286="","",IFERROR(GETPIVOTDATA("合計 / 処遇改善加算金",【ピボット】国保連売上!$A$3,"年月",$A286,"事業所コード",$B286,"事業所",$C286,"事業区分",I$1,"請求区分","単月"),0))</f>
        <v>0</v>
      </c>
      <c r="K286" s="659">
        <f ca="1">IF($A286="","",IFERROR(GETPIVOTDATA("合計 / 入金予定",【ピボット】国保連売上!$A$3,"年月",$A286,"事業所コード",$B286,"事業所",$C286,"事業区分",K$1,"請求区分","単月"),0)
+IFERROR(GETPIVOTDATA("合計 / 入金予定",【ピボット】国保連売上!$A$3,"年月",$A286,"事業所コード",$B286,"事業所",$C286,"事業区分",K$1,"請求区分","再請求"),0))</f>
        <v>0</v>
      </c>
      <c r="L286" s="659">
        <f ca="1">IF($A286="","",IFERROR(GETPIVOTDATA("合計 / 処遇改善加算金",【ピボット】国保連売上!$A$3,"年月",$A286,"事業所コード",$B286,"事業所",$C286,"事業区分",K$1,"請求区分","単月"),0))</f>
        <v>0</v>
      </c>
      <c r="M286" s="659">
        <f ca="1">IF($A286="","",IFERROR(GETPIVOTDATA("合計 / 入金予定",【ピボット】国保連売上!$A$3,"年月",$A286,"事業所コード",$B286,"事業所",$C286,"事業区分",M$1,"請求区分","単月"),0)
+IFERROR(GETPIVOTDATA("合計 / 入金予定",【ピボット】国保連売上!$A$3,"年月",$A286,"事業所コード",$B286,"事業所",$C286,"事業区分",M$1,"請求区分","再請求"),0))</f>
        <v>0</v>
      </c>
      <c r="N286" s="660">
        <v>18700</v>
      </c>
      <c r="O286" s="660">
        <v>0</v>
      </c>
      <c r="P286" s="660">
        <v>0</v>
      </c>
      <c r="Q286" s="660">
        <v>0</v>
      </c>
      <c r="R286" s="660">
        <v>0</v>
      </c>
      <c r="S286" s="660">
        <v>780820</v>
      </c>
      <c r="T286" s="660">
        <v>0</v>
      </c>
      <c r="U286" s="660">
        <v>0</v>
      </c>
      <c r="V286" s="660">
        <v>0</v>
      </c>
      <c r="W286" s="660">
        <v>0</v>
      </c>
      <c r="X286" s="660">
        <v>0</v>
      </c>
      <c r="Y286" s="659">
        <f t="shared" ca="1" si="12"/>
        <v>2515123</v>
      </c>
      <c r="Z286" s="659">
        <f t="shared" ca="1" si="14"/>
        <v>799520</v>
      </c>
    </row>
    <row r="287" spans="1:26" ht="15.95" customHeight="1" x14ac:dyDescent="0.15">
      <c r="A287" s="656">
        <v>43497</v>
      </c>
      <c r="B287" s="657" t="str">
        <f t="shared" ca="1" si="13"/>
        <v>07</v>
      </c>
      <c r="C287" s="658" t="s">
        <v>119</v>
      </c>
      <c r="D287" s="659">
        <f ca="1">IF($A287="","",IFERROR(GETPIVOTDATA("合計 / 入金予定",【ピボット】国保連売上!$A$3,"年月",$A287,"事業所コード",$B287,"事業所",$C287,"事業区分",D$1,"請求区分","単月"),0)
+IFERROR(GETPIVOTDATA("合計 / 入金予定",【ピボット】国保連売上!$A$3,"年月",$A287,"事業所コード",$B287,"事業所",$C287,"事業区分",D$1,"請求区分","再請求"),0))</f>
        <v>0</v>
      </c>
      <c r="E287" s="659">
        <f ca="1">IF($A287="","",IFERROR(GETPIVOTDATA("合計 / 処遇改善加算金",【ピボット】国保連売上!$A$3,"年月",$A287,"事業所コード",$B287,"事業所",$C287,"事業区分",D$1,"請求区分","単月"),0))</f>
        <v>0</v>
      </c>
      <c r="F287" s="659">
        <f ca="1">IF($A287="","",IFERROR(GETPIVOTDATA("合計 / 入金予定",【ピボット】国保連売上!$A$3,"年月",$A287,"事業所コード",$B287,"事業所",$C287,"事業区分",F$1,"請求区分","単月"),0)
+IFERROR(GETPIVOTDATA("合計 / 入金予定",【ピボット】国保連売上!$A$3,"年月",$A287,"事業所コード",$B287,"事業所",$C287,"事業区分",F$1,"請求区分","再請求"),0))</f>
        <v>0</v>
      </c>
      <c r="G287" s="659">
        <f ca="1">IF($A287="","",IFERROR(GETPIVOTDATA("合計 / 処遇改善加算金",【ピボット】国保連売上!$A$3,"年月",$A287,"事業所コード",$B287,"事業所",$C287,"事業区分",F$1,"請求区分","単月"),0))</f>
        <v>0</v>
      </c>
      <c r="H287" s="659">
        <f ca="1">IF($A287="","",IFERROR(GETPIVOTDATA("合計 / 入金予定",【ピボット】国保連売上!$A$3,"年月",$A287,"事業所コード",$B287,"事業所",$C287,"事業区分",H$1,"請求区分","単月"),0)
+IFERROR(GETPIVOTDATA("合計 / 入金予定",【ピボット】国保連売上!$A$3,"年月",$A287,"事業所コード",$B287,"事業所",$C287,"事業区分",H$1,"請求区分","再請求"),0))</f>
        <v>0</v>
      </c>
      <c r="I287" s="659">
        <f ca="1">IF($A287="","",IFERROR(GETPIVOTDATA("合計 / 入金予定",【ピボット】国保連売上!$A$3,"年月",$A287,"事業所コード",$B287,"事業所",$C287,"事業区分",I$1,"請求区分","単月"),0)
+IFERROR(GETPIVOTDATA("合計 / 入金予定",【ピボット】国保連売上!$A$3,"年月",$A287,"事業所コード",$B287,"事業所",$C287,"事業区分",I$1,"請求区分","再請求"),0))</f>
        <v>0</v>
      </c>
      <c r="J287" s="659">
        <f ca="1">IF($A287="","",IFERROR(GETPIVOTDATA("合計 / 処遇改善加算金",【ピボット】国保連売上!$A$3,"年月",$A287,"事業所コード",$B287,"事業所",$C287,"事業区分",I$1,"請求区分","単月"),0))</f>
        <v>0</v>
      </c>
      <c r="K287" s="659">
        <f ca="1">IF($A287="","",IFERROR(GETPIVOTDATA("合計 / 入金予定",【ピボット】国保連売上!$A$3,"年月",$A287,"事業所コード",$B287,"事業所",$C287,"事業区分",K$1,"請求区分","単月"),0)
+IFERROR(GETPIVOTDATA("合計 / 入金予定",【ピボット】国保連売上!$A$3,"年月",$A287,"事業所コード",$B287,"事業所",$C287,"事業区分",K$1,"請求区分","再請求"),0))</f>
        <v>998423</v>
      </c>
      <c r="L287" s="659">
        <f ca="1">IF($A287="","",IFERROR(GETPIVOTDATA("合計 / 処遇改善加算金",【ピボット】国保連売上!$A$3,"年月",$A287,"事業所コード",$B287,"事業所",$C287,"事業区分",K$1,"請求区分","単月"),0))</f>
        <v>328167</v>
      </c>
      <c r="M287" s="659">
        <f ca="1">IF($A287="","",IFERROR(GETPIVOTDATA("合計 / 入金予定",【ピボット】国保連売上!$A$3,"年月",$A287,"事業所コード",$B287,"事業所",$C287,"事業区分",M$1,"請求区分","単月"),0)
+IFERROR(GETPIVOTDATA("合計 / 入金予定",【ピボット】国保連売上!$A$3,"年月",$A287,"事業所コード",$B287,"事業所",$C287,"事業区分",M$1,"請求区分","再請求"),0))</f>
        <v>0</v>
      </c>
      <c r="N287" s="660">
        <v>0</v>
      </c>
      <c r="O287" s="660">
        <v>0</v>
      </c>
      <c r="P287" s="660">
        <v>0</v>
      </c>
      <c r="Q287" s="660">
        <v>0</v>
      </c>
      <c r="R287" s="660">
        <v>0</v>
      </c>
      <c r="S287" s="660">
        <v>78000</v>
      </c>
      <c r="T287" s="660">
        <v>0</v>
      </c>
      <c r="U287" s="660">
        <v>0</v>
      </c>
      <c r="V287" s="660">
        <v>-40000</v>
      </c>
      <c r="W287" s="660">
        <v>0</v>
      </c>
      <c r="X287" s="660">
        <v>0</v>
      </c>
      <c r="Y287" s="659">
        <f t="shared" ca="1" si="12"/>
        <v>1036423</v>
      </c>
      <c r="Z287" s="659">
        <f t="shared" ca="1" si="14"/>
        <v>38000</v>
      </c>
    </row>
    <row r="288" spans="1:26" ht="15.95" customHeight="1" x14ac:dyDescent="0.15">
      <c r="A288" s="656">
        <v>43497</v>
      </c>
      <c r="B288" s="657" t="str">
        <f t="shared" ca="1" si="13"/>
        <v>08</v>
      </c>
      <c r="C288" s="658" t="s">
        <v>189</v>
      </c>
      <c r="D288" s="659">
        <f ca="1">IF($A288="","",IFERROR(GETPIVOTDATA("合計 / 入金予定",【ピボット】国保連売上!$A$3,"年月",$A288,"事業所コード",$B288,"事業所",$C288,"事業区分",D$1,"請求区分","単月"),0)
+IFERROR(GETPIVOTDATA("合計 / 入金予定",【ピボット】国保連売上!$A$3,"年月",$A288,"事業所コード",$B288,"事業所",$C288,"事業区分",D$1,"請求区分","再請求"),0))</f>
        <v>0</v>
      </c>
      <c r="E288" s="659">
        <f ca="1">IF($A288="","",IFERROR(GETPIVOTDATA("合計 / 処遇改善加算金",【ピボット】国保連売上!$A$3,"年月",$A288,"事業所コード",$B288,"事業所",$C288,"事業区分",D$1,"請求区分","単月"),0))</f>
        <v>0</v>
      </c>
      <c r="F288" s="659">
        <f ca="1">IF($A288="","",IFERROR(GETPIVOTDATA("合計 / 入金予定",【ピボット】国保連売上!$A$3,"年月",$A288,"事業所コード",$B288,"事業所",$C288,"事業区分",F$1,"請求区分","単月"),0)
+IFERROR(GETPIVOTDATA("合計 / 入金予定",【ピボット】国保連売上!$A$3,"年月",$A288,"事業所コード",$B288,"事業所",$C288,"事業区分",F$1,"請求区分","再請求"),0))</f>
        <v>0</v>
      </c>
      <c r="G288" s="659">
        <f ca="1">IF($A288="","",IFERROR(GETPIVOTDATA("合計 / 処遇改善加算金",【ピボット】国保連売上!$A$3,"年月",$A288,"事業所コード",$B288,"事業所",$C288,"事業区分",F$1,"請求区分","単月"),0))</f>
        <v>0</v>
      </c>
      <c r="H288" s="659">
        <f ca="1">IF($A288="","",IFERROR(GETPIVOTDATA("合計 / 入金予定",【ピボット】国保連売上!$A$3,"年月",$A288,"事業所コード",$B288,"事業所",$C288,"事業区分",H$1,"請求区分","単月"),0)
+IFERROR(GETPIVOTDATA("合計 / 入金予定",【ピボット】国保連売上!$A$3,"年月",$A288,"事業所コード",$B288,"事業所",$C288,"事業区分",H$1,"請求区分","再請求"),0))</f>
        <v>0</v>
      </c>
      <c r="I288" s="659">
        <f ca="1">IF($A288="","",IFERROR(GETPIVOTDATA("合計 / 入金予定",【ピボット】国保連売上!$A$3,"年月",$A288,"事業所コード",$B288,"事業所",$C288,"事業区分",I$1,"請求区分","単月"),0)
+IFERROR(GETPIVOTDATA("合計 / 入金予定",【ピボット】国保連売上!$A$3,"年月",$A288,"事業所コード",$B288,"事業所",$C288,"事業区分",I$1,"請求区分","再請求"),0))</f>
        <v>0</v>
      </c>
      <c r="J288" s="659">
        <f ca="1">IF($A288="","",IFERROR(GETPIVOTDATA("合計 / 処遇改善加算金",【ピボット】国保連売上!$A$3,"年月",$A288,"事業所コード",$B288,"事業所",$C288,"事業区分",I$1,"請求区分","単月"),0))</f>
        <v>0</v>
      </c>
      <c r="K288" s="659">
        <f ca="1">IF($A288="","",IFERROR(GETPIVOTDATA("合計 / 入金予定",【ピボット】国保連売上!$A$3,"年月",$A288,"事業所コード",$B288,"事業所",$C288,"事業区分",K$1,"請求区分","単月"),0)
+IFERROR(GETPIVOTDATA("合計 / 入金予定",【ピボット】国保連売上!$A$3,"年月",$A288,"事業所コード",$B288,"事業所",$C288,"事業区分",K$1,"請求区分","再請求"),0))</f>
        <v>937836</v>
      </c>
      <c r="L288" s="659">
        <f ca="1">IF($A288="","",IFERROR(GETPIVOTDATA("合計 / 処遇改善加算金",【ピボット】国保連売上!$A$3,"年月",$A288,"事業所コード",$B288,"事業所",$C288,"事業区分",K$1,"請求区分","単月"),0))</f>
        <v>0</v>
      </c>
      <c r="M288" s="659">
        <f ca="1">IF($A288="","",IFERROR(GETPIVOTDATA("合計 / 入金予定",【ピボット】国保連売上!$A$3,"年月",$A288,"事業所コード",$B288,"事業所",$C288,"事業区分",M$1,"請求区分","単月"),0)
+IFERROR(GETPIVOTDATA("合計 / 入金予定",【ピボット】国保連売上!$A$3,"年月",$A288,"事業所コード",$B288,"事業所",$C288,"事業区分",M$1,"請求区分","再請求"),0))</f>
        <v>0</v>
      </c>
      <c r="N288" s="660">
        <v>0</v>
      </c>
      <c r="O288" s="660">
        <v>0</v>
      </c>
      <c r="P288" s="660">
        <v>0</v>
      </c>
      <c r="Q288" s="660">
        <v>0</v>
      </c>
      <c r="R288" s="660">
        <v>0</v>
      </c>
      <c r="S288" s="660">
        <v>98000</v>
      </c>
      <c r="T288" s="660">
        <v>0</v>
      </c>
      <c r="U288" s="660">
        <v>0</v>
      </c>
      <c r="V288" s="660">
        <v>-30000</v>
      </c>
      <c r="W288" s="660">
        <v>0</v>
      </c>
      <c r="X288" s="660">
        <v>0</v>
      </c>
      <c r="Y288" s="659">
        <f t="shared" ca="1" si="12"/>
        <v>1005836</v>
      </c>
      <c r="Z288" s="659">
        <f t="shared" ca="1" si="14"/>
        <v>68000</v>
      </c>
    </row>
    <row r="289" spans="1:26" ht="15.95" customHeight="1" x14ac:dyDescent="0.15">
      <c r="A289" s="656">
        <v>43497</v>
      </c>
      <c r="B289" s="657" t="str">
        <f t="shared" ca="1" si="13"/>
        <v>09</v>
      </c>
      <c r="C289" s="658" t="s">
        <v>329</v>
      </c>
      <c r="D289" s="659">
        <f ca="1">IF($A289="","",IFERROR(GETPIVOTDATA("合計 / 入金予定",【ピボット】国保連売上!$A$3,"年月",$A289,"事業所コード",$B289,"事業所",$C289,"事業区分",D$1,"請求区分","単月"),0)
+IFERROR(GETPIVOTDATA("合計 / 入金予定",【ピボット】国保連売上!$A$3,"年月",$A289,"事業所コード",$B289,"事業所",$C289,"事業区分",D$1,"請求区分","再請求"),0))</f>
        <v>0</v>
      </c>
      <c r="E289" s="659">
        <f ca="1">IF($A289="","",IFERROR(GETPIVOTDATA("合計 / 処遇改善加算金",【ピボット】国保連売上!$A$3,"年月",$A289,"事業所コード",$B289,"事業所",$C289,"事業区分",D$1,"請求区分","単月"),0))</f>
        <v>0</v>
      </c>
      <c r="F289" s="659">
        <f ca="1">IF($A289="","",IFERROR(GETPIVOTDATA("合計 / 入金予定",【ピボット】国保連売上!$A$3,"年月",$A289,"事業所コード",$B289,"事業所",$C289,"事業区分",F$1,"請求区分","単月"),0)
+IFERROR(GETPIVOTDATA("合計 / 入金予定",【ピボット】国保連売上!$A$3,"年月",$A289,"事業所コード",$B289,"事業所",$C289,"事業区分",F$1,"請求区分","再請求"),0))</f>
        <v>0</v>
      </c>
      <c r="G289" s="659">
        <f ca="1">IF($A289="","",IFERROR(GETPIVOTDATA("合計 / 処遇改善加算金",【ピボット】国保連売上!$A$3,"年月",$A289,"事業所コード",$B289,"事業所",$C289,"事業区分",F$1,"請求区分","単月"),0))</f>
        <v>0</v>
      </c>
      <c r="H289" s="659">
        <f ca="1">IF($A289="","",IFERROR(GETPIVOTDATA("合計 / 入金予定",【ピボット】国保連売上!$A$3,"年月",$A289,"事業所コード",$B289,"事業所",$C289,"事業区分",H$1,"請求区分","単月"),0)
+IFERROR(GETPIVOTDATA("合計 / 入金予定",【ピボット】国保連売上!$A$3,"年月",$A289,"事業所コード",$B289,"事業所",$C289,"事業区分",H$1,"請求区分","再請求"),0))</f>
        <v>0</v>
      </c>
      <c r="I289" s="659">
        <f ca="1">IF($A289="","",IFERROR(GETPIVOTDATA("合計 / 入金予定",【ピボット】国保連売上!$A$3,"年月",$A289,"事業所コード",$B289,"事業所",$C289,"事業区分",I$1,"請求区分","単月"),0)
+IFERROR(GETPIVOTDATA("合計 / 入金予定",【ピボット】国保連売上!$A$3,"年月",$A289,"事業所コード",$B289,"事業所",$C289,"事業区分",I$1,"請求区分","再請求"),0))</f>
        <v>0</v>
      </c>
      <c r="J289" s="659">
        <f ca="1">IF($A289="","",IFERROR(GETPIVOTDATA("合計 / 処遇改善加算金",【ピボット】国保連売上!$A$3,"年月",$A289,"事業所コード",$B289,"事業所",$C289,"事業区分",I$1,"請求区分","単月"),0))</f>
        <v>0</v>
      </c>
      <c r="K289" s="659">
        <f ca="1">IF($A289="","",IFERROR(GETPIVOTDATA("合計 / 入金予定",【ピボット】国保連売上!$A$3,"年月",$A289,"事業所コード",$B289,"事業所",$C289,"事業区分",K$1,"請求区分","単月"),0)
+IFERROR(GETPIVOTDATA("合計 / 入金予定",【ピボット】国保連売上!$A$3,"年月",$A289,"事業所コード",$B289,"事業所",$C289,"事業区分",K$1,"請求区分","再請求"),0))</f>
        <v>1730172</v>
      </c>
      <c r="L289" s="659">
        <f ca="1">IF($A289="","",IFERROR(GETPIVOTDATA("合計 / 処遇改善加算金",【ピボット】国保連売上!$A$3,"年月",$A289,"事業所コード",$B289,"事業所",$C289,"事業区分",K$1,"請求区分","単月"),0))</f>
        <v>0</v>
      </c>
      <c r="M289" s="659">
        <f ca="1">IF($A289="","",IFERROR(GETPIVOTDATA("合計 / 入金予定",【ピボット】国保連売上!$A$3,"年月",$A289,"事業所コード",$B289,"事業所",$C289,"事業区分",M$1,"請求区分","単月"),0)
+IFERROR(GETPIVOTDATA("合計 / 入金予定",【ピボット】国保連売上!$A$3,"年月",$A289,"事業所コード",$B289,"事業所",$C289,"事業区分",M$1,"請求区分","再請求"),0))</f>
        <v>0</v>
      </c>
      <c r="N289" s="660">
        <v>0</v>
      </c>
      <c r="O289" s="660">
        <v>0</v>
      </c>
      <c r="P289" s="660">
        <v>0</v>
      </c>
      <c r="Q289" s="660">
        <v>0</v>
      </c>
      <c r="R289" s="660">
        <v>0</v>
      </c>
      <c r="S289" s="660">
        <v>360000</v>
      </c>
      <c r="T289" s="660">
        <v>0</v>
      </c>
      <c r="U289" s="660">
        <v>0</v>
      </c>
      <c r="V289" s="660">
        <v>-90000</v>
      </c>
      <c r="W289" s="660">
        <v>118263</v>
      </c>
      <c r="X289" s="660">
        <v>0</v>
      </c>
      <c r="Y289" s="659">
        <f t="shared" ca="1" si="12"/>
        <v>2118435</v>
      </c>
      <c r="Z289" s="659">
        <f t="shared" ca="1" si="14"/>
        <v>388263</v>
      </c>
    </row>
    <row r="290" spans="1:26" ht="15.95" customHeight="1" x14ac:dyDescent="0.15">
      <c r="A290" s="656">
        <v>43497</v>
      </c>
      <c r="B290" s="657" t="str">
        <f t="shared" ca="1" si="13"/>
        <v>13</v>
      </c>
      <c r="C290" s="658" t="s">
        <v>1223</v>
      </c>
      <c r="D290" s="659">
        <f ca="1">IF($A290="","",IFERROR(GETPIVOTDATA("合計 / 入金予定",【ピボット】国保連売上!$A$3,"年月",$A290,"事業所コード",$B290,"事業所",$C290,"事業区分",D$1,"請求区分","単月"),0)
+IFERROR(GETPIVOTDATA("合計 / 入金予定",【ピボット】国保連売上!$A$3,"年月",$A290,"事業所コード",$B290,"事業所",$C290,"事業区分",D$1,"請求区分","再請求"),0))</f>
        <v>0</v>
      </c>
      <c r="E290" s="659">
        <f ca="1">IF($A290="","",IFERROR(GETPIVOTDATA("合計 / 処遇改善加算金",【ピボット】国保連売上!$A$3,"年月",$A290,"事業所コード",$B290,"事業所",$C290,"事業区分",D$1,"請求区分","単月"),0))</f>
        <v>0</v>
      </c>
      <c r="F290" s="659">
        <f ca="1">IF($A290="","",IFERROR(GETPIVOTDATA("合計 / 入金予定",【ピボット】国保連売上!$A$3,"年月",$A290,"事業所コード",$B290,"事業所",$C290,"事業区分",F$1,"請求区分","単月"),0)
+IFERROR(GETPIVOTDATA("合計 / 入金予定",【ピボット】国保連売上!$A$3,"年月",$A290,"事業所コード",$B290,"事業所",$C290,"事業区分",F$1,"請求区分","再請求"),0))</f>
        <v>0</v>
      </c>
      <c r="G290" s="659">
        <f ca="1">IF($A290="","",IFERROR(GETPIVOTDATA("合計 / 処遇改善加算金",【ピボット】国保連売上!$A$3,"年月",$A290,"事業所コード",$B290,"事業所",$C290,"事業区分",F$1,"請求区分","単月"),0))</f>
        <v>0</v>
      </c>
      <c r="H290" s="659">
        <f ca="1">IF($A290="","",IFERROR(GETPIVOTDATA("合計 / 入金予定",【ピボット】国保連売上!$A$3,"年月",$A290,"事業所コード",$B290,"事業所",$C290,"事業区分",H$1,"請求区分","単月"),0)
+IFERROR(GETPIVOTDATA("合計 / 入金予定",【ピボット】国保連売上!$A$3,"年月",$A290,"事業所コード",$B290,"事業所",$C290,"事業区分",H$1,"請求区分","再請求"),0))</f>
        <v>0</v>
      </c>
      <c r="I290" s="659">
        <f ca="1">IF($A290="","",IFERROR(GETPIVOTDATA("合計 / 入金予定",【ピボット】国保連売上!$A$3,"年月",$A290,"事業所コード",$B290,"事業所",$C290,"事業区分",I$1,"請求区分","単月"),0)
+IFERROR(GETPIVOTDATA("合計 / 入金予定",【ピボット】国保連売上!$A$3,"年月",$A290,"事業所コード",$B290,"事業所",$C290,"事業区分",I$1,"請求区分","再請求"),0))</f>
        <v>0</v>
      </c>
      <c r="J290" s="659">
        <f ca="1">IF($A290="","",IFERROR(GETPIVOTDATA("合計 / 処遇改善加算金",【ピボット】国保連売上!$A$3,"年月",$A290,"事業所コード",$B290,"事業所",$C290,"事業区分",I$1,"請求区分","単月"),0))</f>
        <v>0</v>
      </c>
      <c r="K290" s="659">
        <f ca="1">IF($A290="","",IFERROR(GETPIVOTDATA("合計 / 入金予定",【ピボット】国保連売上!$A$3,"年月",$A290,"事業所コード",$B290,"事業所",$C290,"事業区分",K$1,"請求区分","単月"),0)
+IFERROR(GETPIVOTDATA("合計 / 入金予定",【ピボット】国保連売上!$A$3,"年月",$A290,"事業所コード",$B290,"事業所",$C290,"事業区分",K$1,"請求区分","再請求"),0))</f>
        <v>1296188</v>
      </c>
      <c r="L290" s="659">
        <f ca="1">IF($A290="","",IFERROR(GETPIVOTDATA("合計 / 処遇改善加算金",【ピボット】国保連売上!$A$3,"年月",$A290,"事業所コード",$B290,"事業所",$C290,"事業区分",K$1,"請求区分","単月"),0))</f>
        <v>0</v>
      </c>
      <c r="M290" s="659">
        <f ca="1">IF($A290="","",IFERROR(GETPIVOTDATA("合計 / 入金予定",【ピボット】国保連売上!$A$3,"年月",$A290,"事業所コード",$B290,"事業所",$C290,"事業区分",M$1,"請求区分","単月"),0)
+IFERROR(GETPIVOTDATA("合計 / 入金予定",【ピボット】国保連売上!$A$3,"年月",$A290,"事業所コード",$B290,"事業所",$C290,"事業区分",M$1,"請求区分","再請求"),0))</f>
        <v>0</v>
      </c>
      <c r="N290" s="660">
        <v>0</v>
      </c>
      <c r="O290" s="660">
        <v>0</v>
      </c>
      <c r="P290" s="660">
        <v>0</v>
      </c>
      <c r="Q290" s="660">
        <v>0</v>
      </c>
      <c r="R290" s="660">
        <v>0</v>
      </c>
      <c r="S290" s="660">
        <v>240000</v>
      </c>
      <c r="T290" s="660">
        <v>0</v>
      </c>
      <c r="U290" s="660">
        <v>0</v>
      </c>
      <c r="V290" s="660">
        <v>-60000</v>
      </c>
      <c r="W290" s="660">
        <v>0</v>
      </c>
      <c r="X290" s="660">
        <v>0</v>
      </c>
      <c r="Y290" s="659">
        <f t="shared" ca="1" si="12"/>
        <v>1476188</v>
      </c>
      <c r="Z290" s="659">
        <f t="shared" ca="1" si="14"/>
        <v>180000</v>
      </c>
    </row>
    <row r="291" spans="1:26" ht="15.95" customHeight="1" x14ac:dyDescent="0.15">
      <c r="A291" s="656">
        <v>43525</v>
      </c>
      <c r="B291" s="657" t="str">
        <f t="shared" ca="1" si="13"/>
        <v>00</v>
      </c>
      <c r="C291" s="658" t="s">
        <v>490</v>
      </c>
      <c r="D291" s="659">
        <f ca="1">IF($A291="","",IFERROR(GETPIVOTDATA("合計 / 入金予定",【ピボット】国保連売上!$A$3,"年月",$A291,"事業所コード",$B291,"事業所",$C291,"事業区分",D$1,"請求区分","単月"),0)
+IFERROR(GETPIVOTDATA("合計 / 入金予定",【ピボット】国保連売上!$A$3,"年月",$A291,"事業所コード",$B291,"事業所",$C291,"事業区分",D$1,"請求区分","再請求"),0))</f>
        <v>0</v>
      </c>
      <c r="E291" s="659">
        <f ca="1">IF($A291="","",IFERROR(GETPIVOTDATA("合計 / 処遇改善加算金",【ピボット】国保連売上!$A$3,"年月",$A291,"事業所コード",$B291,"事業所",$C291,"事業区分",D$1,"請求区分","単月"),0))</f>
        <v>0</v>
      </c>
      <c r="F291" s="659">
        <f ca="1">IF($A291="","",IFERROR(GETPIVOTDATA("合計 / 入金予定",【ピボット】国保連売上!$A$3,"年月",$A291,"事業所コード",$B291,"事業所",$C291,"事業区分",F$1,"請求区分","単月"),0)
+IFERROR(GETPIVOTDATA("合計 / 入金予定",【ピボット】国保連売上!$A$3,"年月",$A291,"事業所コード",$B291,"事業所",$C291,"事業区分",F$1,"請求区分","再請求"),0))</f>
        <v>0</v>
      </c>
      <c r="G291" s="659">
        <f ca="1">IF($A291="","",IFERROR(GETPIVOTDATA("合計 / 処遇改善加算金",【ピボット】国保連売上!$A$3,"年月",$A291,"事業所コード",$B291,"事業所",$C291,"事業区分",F$1,"請求区分","単月"),0))</f>
        <v>0</v>
      </c>
      <c r="H291" s="659">
        <f ca="1">IF($A291="","",IFERROR(GETPIVOTDATA("合計 / 入金予定",【ピボット】国保連売上!$A$3,"年月",$A291,"事業所コード",$B291,"事業所",$C291,"事業区分",H$1,"請求区分","単月"),0)
+IFERROR(GETPIVOTDATA("合計 / 入金予定",【ピボット】国保連売上!$A$3,"年月",$A291,"事業所コード",$B291,"事業所",$C291,"事業区分",H$1,"請求区分","再請求"),0))</f>
        <v>0</v>
      </c>
      <c r="I291" s="659">
        <f ca="1">IF($A291="","",IFERROR(GETPIVOTDATA("合計 / 入金予定",【ピボット】国保連売上!$A$3,"年月",$A291,"事業所コード",$B291,"事業所",$C291,"事業区分",I$1,"請求区分","単月"),0)
+IFERROR(GETPIVOTDATA("合計 / 入金予定",【ピボット】国保連売上!$A$3,"年月",$A291,"事業所コード",$B291,"事業所",$C291,"事業区分",I$1,"請求区分","再請求"),0))</f>
        <v>0</v>
      </c>
      <c r="J291" s="659">
        <f ca="1">IF($A291="","",IFERROR(GETPIVOTDATA("合計 / 処遇改善加算金",【ピボット】国保連売上!$A$3,"年月",$A291,"事業所コード",$B291,"事業所",$C291,"事業区分",I$1,"請求区分","単月"),0))</f>
        <v>0</v>
      </c>
      <c r="K291" s="659">
        <f ca="1">IF($A291="","",IFERROR(GETPIVOTDATA("合計 / 入金予定",【ピボット】国保連売上!$A$3,"年月",$A291,"事業所コード",$B291,"事業所",$C291,"事業区分",K$1,"請求区分","単月"),0)
+IFERROR(GETPIVOTDATA("合計 / 入金予定",【ピボット】国保連売上!$A$3,"年月",$A291,"事業所コード",$B291,"事業所",$C291,"事業区分",K$1,"請求区分","再請求"),0))</f>
        <v>0</v>
      </c>
      <c r="L291" s="659">
        <f ca="1">IF($A291="","",IFERROR(GETPIVOTDATA("合計 / 処遇改善加算金",【ピボット】国保連売上!$A$3,"年月",$A291,"事業所コード",$B291,"事業所",$C291,"事業区分",K$1,"請求区分","単月"),0))</f>
        <v>0</v>
      </c>
      <c r="M291" s="659">
        <f ca="1">IF($A291="","",IFERROR(GETPIVOTDATA("合計 / 入金予定",【ピボット】国保連売上!$A$3,"年月",$A291,"事業所コード",$B291,"事業所",$C291,"事業区分",M$1,"請求区分","単月"),0)
+IFERROR(GETPIVOTDATA("合計 / 入金予定",【ピボット】国保連売上!$A$3,"年月",$A291,"事業所コード",$B291,"事業所",$C291,"事業区分",M$1,"請求区分","再請求"),0))</f>
        <v>0</v>
      </c>
      <c r="N291" s="660">
        <v>0</v>
      </c>
      <c r="O291" s="660">
        <v>0</v>
      </c>
      <c r="P291" s="660">
        <v>0</v>
      </c>
      <c r="Q291" s="660">
        <v>0</v>
      </c>
      <c r="R291" s="660">
        <v>0</v>
      </c>
      <c r="S291" s="660">
        <v>0</v>
      </c>
      <c r="T291" s="660">
        <v>0</v>
      </c>
      <c r="U291" s="660">
        <v>0</v>
      </c>
      <c r="V291" s="660">
        <v>0</v>
      </c>
      <c r="W291" s="660">
        <v>0</v>
      </c>
      <c r="X291" s="660">
        <v>142560</v>
      </c>
      <c r="Y291" s="659">
        <f t="shared" ca="1" si="12"/>
        <v>142560</v>
      </c>
      <c r="Z291" s="659">
        <f t="shared" ca="1" si="14"/>
        <v>142560</v>
      </c>
    </row>
    <row r="292" spans="1:26" ht="15.95" customHeight="1" x14ac:dyDescent="0.15">
      <c r="A292" s="656">
        <v>43525</v>
      </c>
      <c r="B292" s="657" t="str">
        <f t="shared" ca="1" si="13"/>
        <v>01</v>
      </c>
      <c r="C292" s="658" t="s">
        <v>34</v>
      </c>
      <c r="D292" s="659">
        <f ca="1">IF($A292="","",IFERROR(GETPIVOTDATA("合計 / 入金予定",【ピボット】国保連売上!$A$3,"年月",$A292,"事業所コード",$B292,"事業所",$C292,"事業区分",D$1,"請求区分","単月"),0)
+IFERROR(GETPIVOTDATA("合計 / 入金予定",【ピボット】国保連売上!$A$3,"年月",$A292,"事業所コード",$B292,"事業所",$C292,"事業区分",D$1,"請求区分","再請求"),0))</f>
        <v>9308391</v>
      </c>
      <c r="E292" s="659">
        <f ca="1">IF($A292="","",IFERROR(GETPIVOTDATA("合計 / 処遇改善加算金",【ピボット】国保連売上!$A$3,"年月",$A292,"事業所コード",$B292,"事業所",$C292,"事業区分",D$1,"請求区分","単月"),0))</f>
        <v>1328201</v>
      </c>
      <c r="F292" s="659">
        <f ca="1">IF($A292="","",IFERROR(GETPIVOTDATA("合計 / 入金予定",【ピボット】国保連売上!$A$3,"年月",$A292,"事業所コード",$B292,"事業所",$C292,"事業区分",F$1,"請求区分","単月"),0)
+IFERROR(GETPIVOTDATA("合計 / 入金予定",【ピボット】国保連売上!$A$3,"年月",$A292,"事業所コード",$B292,"事業所",$C292,"事業区分",F$1,"請求区分","再請求"),0))</f>
        <v>2003636</v>
      </c>
      <c r="G292" s="659">
        <f ca="1">IF($A292="","",IFERROR(GETPIVOTDATA("合計 / 処遇改善加算金",【ピボット】国保連売上!$A$3,"年月",$A292,"事業所コード",$B292,"事業所",$C292,"事業区分",F$1,"請求区分","単月"),0))</f>
        <v>424882</v>
      </c>
      <c r="H292" s="659">
        <f ca="1">IF($A292="","",IFERROR(GETPIVOTDATA("合計 / 入金予定",【ピボット】国保連売上!$A$3,"年月",$A292,"事業所コード",$B292,"事業所",$C292,"事業区分",H$1,"請求区分","単月"),0)
+IFERROR(GETPIVOTDATA("合計 / 入金予定",【ピボット】国保連売上!$A$3,"年月",$A292,"事業所コード",$B292,"事業所",$C292,"事業区分",H$1,"請求区分","再請求"),0))</f>
        <v>839377</v>
      </c>
      <c r="I292" s="659">
        <f ca="1">IF($A292="","",IFERROR(GETPIVOTDATA("合計 / 入金予定",【ピボット】国保連売上!$A$3,"年月",$A292,"事業所コード",$B292,"事業所",$C292,"事業区分",I$1,"請求区分","単月"),0)
+IFERROR(GETPIVOTDATA("合計 / 入金予定",【ピボット】国保連売上!$A$3,"年月",$A292,"事業所コード",$B292,"事業所",$C292,"事業区分",I$1,"請求区分","再請求"),0))</f>
        <v>0</v>
      </c>
      <c r="J292" s="659">
        <f ca="1">IF($A292="","",IFERROR(GETPIVOTDATA("合計 / 処遇改善加算金",【ピボット】国保連売上!$A$3,"年月",$A292,"事業所コード",$B292,"事業所",$C292,"事業区分",I$1,"請求区分","単月"),0))</f>
        <v>0</v>
      </c>
      <c r="K292" s="659">
        <f ca="1">IF($A292="","",IFERROR(GETPIVOTDATA("合計 / 入金予定",【ピボット】国保連売上!$A$3,"年月",$A292,"事業所コード",$B292,"事業所",$C292,"事業区分",K$1,"請求区分","単月"),0)
+IFERROR(GETPIVOTDATA("合計 / 入金予定",【ピボット】国保連売上!$A$3,"年月",$A292,"事業所コード",$B292,"事業所",$C292,"事業区分",K$1,"請求区分","再請求"),0))</f>
        <v>0</v>
      </c>
      <c r="L292" s="659">
        <f ca="1">IF($A292="","",IFERROR(GETPIVOTDATA("合計 / 処遇改善加算金",【ピボット】国保連売上!$A$3,"年月",$A292,"事業所コード",$B292,"事業所",$C292,"事業区分",K$1,"請求区分","単月"),0))</f>
        <v>0</v>
      </c>
      <c r="M292" s="659">
        <f ca="1">IF($A292="","",IFERROR(GETPIVOTDATA("合計 / 入金予定",【ピボット】国保連売上!$A$3,"年月",$A292,"事業所コード",$B292,"事業所",$C292,"事業区分",M$1,"請求区分","単月"),0)
+IFERROR(GETPIVOTDATA("合計 / 入金予定",【ピボット】国保連売上!$A$3,"年月",$A292,"事業所コード",$B292,"事業所",$C292,"事業区分",M$1,"請求区分","再請求"),0))</f>
        <v>0</v>
      </c>
      <c r="N292" s="660">
        <v>87000</v>
      </c>
      <c r="O292" s="783">
        <v>40730</v>
      </c>
      <c r="P292" s="660">
        <v>278280</v>
      </c>
      <c r="Q292" s="660">
        <v>5982</v>
      </c>
      <c r="R292" s="783">
        <v>154320</v>
      </c>
      <c r="S292" s="660">
        <v>0</v>
      </c>
      <c r="T292" s="660">
        <v>0</v>
      </c>
      <c r="U292" s="660">
        <v>103680</v>
      </c>
      <c r="V292" s="660">
        <v>0</v>
      </c>
      <c r="W292" s="660">
        <v>0</v>
      </c>
      <c r="X292" s="660">
        <v>0</v>
      </c>
      <c r="Y292" s="659">
        <f t="shared" ca="1" si="12"/>
        <v>12821396</v>
      </c>
      <c r="Z292" s="659">
        <f t="shared" ca="1" si="14"/>
        <v>669992</v>
      </c>
    </row>
    <row r="293" spans="1:26" ht="15.95" customHeight="1" x14ac:dyDescent="0.15">
      <c r="A293" s="656">
        <v>43525</v>
      </c>
      <c r="B293" s="657" t="str">
        <f t="shared" ca="1" si="13"/>
        <v>02</v>
      </c>
      <c r="C293" s="658" t="s">
        <v>37</v>
      </c>
      <c r="D293" s="659">
        <f ca="1">IF($A293="","",IFERROR(GETPIVOTDATA("合計 / 入金予定",【ピボット】国保連売上!$A$3,"年月",$A293,"事業所コード",$B293,"事業所",$C293,"事業区分",D$1,"請求区分","単月"),0)
+IFERROR(GETPIVOTDATA("合計 / 入金予定",【ピボット】国保連売上!$A$3,"年月",$A293,"事業所コード",$B293,"事業所",$C293,"事業区分",D$1,"請求区分","再請求"),0))</f>
        <v>3648265</v>
      </c>
      <c r="E293" s="659">
        <f ca="1">IF($A293="","",IFERROR(GETPIVOTDATA("合計 / 処遇改善加算金",【ピボット】国保連売上!$A$3,"年月",$A293,"事業所コード",$B293,"事業所",$C293,"事業区分",D$1,"請求区分","単月"),0))</f>
        <v>373732</v>
      </c>
      <c r="F293" s="659">
        <f ca="1">IF($A293="","",IFERROR(GETPIVOTDATA("合計 / 入金予定",【ピボット】国保連売上!$A$3,"年月",$A293,"事業所コード",$B293,"事業所",$C293,"事業区分",F$1,"請求区分","単月"),0)
+IFERROR(GETPIVOTDATA("合計 / 入金予定",【ピボット】国保連売上!$A$3,"年月",$A293,"事業所コード",$B293,"事業所",$C293,"事業区分",F$1,"請求区分","再請求"),0))</f>
        <v>960910</v>
      </c>
      <c r="G293" s="659">
        <f ca="1">IF($A293="","",IFERROR(GETPIVOTDATA("合計 / 処遇改善加算金",【ピボット】国保連売上!$A$3,"年月",$A293,"事業所コード",$B293,"事業所",$C293,"事業区分",F$1,"請求区分","単月"),0))</f>
        <v>223423</v>
      </c>
      <c r="H293" s="659">
        <f ca="1">IF($A293="","",IFERROR(GETPIVOTDATA("合計 / 入金予定",【ピボット】国保連売上!$A$3,"年月",$A293,"事業所コード",$B293,"事業所",$C293,"事業区分",H$1,"請求区分","単月"),0)
+IFERROR(GETPIVOTDATA("合計 / 入金予定",【ピボット】国保連売上!$A$3,"年月",$A293,"事業所コード",$B293,"事業所",$C293,"事業区分",H$1,"請求区分","再請求"),0))</f>
        <v>481439</v>
      </c>
      <c r="I293" s="659">
        <f ca="1">IF($A293="","",IFERROR(GETPIVOTDATA("合計 / 入金予定",【ピボット】国保連売上!$A$3,"年月",$A293,"事業所コード",$B293,"事業所",$C293,"事業区分",I$1,"請求区分","単月"),0)
+IFERROR(GETPIVOTDATA("合計 / 入金予定",【ピボット】国保連売上!$A$3,"年月",$A293,"事業所コード",$B293,"事業所",$C293,"事業区分",I$1,"請求区分","再請求"),0))</f>
        <v>0</v>
      </c>
      <c r="J293" s="659">
        <f ca="1">IF($A293="","",IFERROR(GETPIVOTDATA("合計 / 処遇改善加算金",【ピボット】国保連売上!$A$3,"年月",$A293,"事業所コード",$B293,"事業所",$C293,"事業区分",I$1,"請求区分","単月"),0))</f>
        <v>0</v>
      </c>
      <c r="K293" s="659">
        <f ca="1">IF($A293="","",IFERROR(GETPIVOTDATA("合計 / 入金予定",【ピボット】国保連売上!$A$3,"年月",$A293,"事業所コード",$B293,"事業所",$C293,"事業区分",K$1,"請求区分","単月"),0)
+IFERROR(GETPIVOTDATA("合計 / 入金予定",【ピボット】国保連売上!$A$3,"年月",$A293,"事業所コード",$B293,"事業所",$C293,"事業区分",K$1,"請求区分","再請求"),0))</f>
        <v>0</v>
      </c>
      <c r="L293" s="659">
        <f ca="1">IF($A293="","",IFERROR(GETPIVOTDATA("合計 / 処遇改善加算金",【ピボット】国保連売上!$A$3,"年月",$A293,"事業所コード",$B293,"事業所",$C293,"事業区分",K$1,"請求区分","単月"),0))</f>
        <v>0</v>
      </c>
      <c r="M293" s="659">
        <f ca="1">IF($A293="","",IFERROR(GETPIVOTDATA("合計 / 入金予定",【ピボット】国保連売上!$A$3,"年月",$A293,"事業所コード",$B293,"事業所",$C293,"事業区分",M$1,"請求区分","単月"),0)
+IFERROR(GETPIVOTDATA("合計 / 入金予定",【ピボット】国保連売上!$A$3,"年月",$A293,"事業所コード",$B293,"事業所",$C293,"事業区分",M$1,"請求区分","再請求"),0))</f>
        <v>0</v>
      </c>
      <c r="N293" s="660">
        <v>236189</v>
      </c>
      <c r="O293" s="783">
        <v>8560</v>
      </c>
      <c r="P293" s="660">
        <v>0</v>
      </c>
      <c r="Q293" s="660">
        <v>4140</v>
      </c>
      <c r="R293" s="783">
        <v>118268</v>
      </c>
      <c r="S293" s="660">
        <v>0</v>
      </c>
      <c r="T293" s="660">
        <v>0</v>
      </c>
      <c r="U293" s="660">
        <v>0</v>
      </c>
      <c r="V293" s="660">
        <v>0</v>
      </c>
      <c r="W293" s="660">
        <v>0</v>
      </c>
      <c r="X293" s="660">
        <v>0</v>
      </c>
      <c r="Y293" s="659">
        <f t="shared" ca="1" si="12"/>
        <v>5457771</v>
      </c>
      <c r="Z293" s="659">
        <f t="shared" ca="1" si="14"/>
        <v>367157</v>
      </c>
    </row>
    <row r="294" spans="1:26" ht="15.95" customHeight="1" x14ac:dyDescent="0.15">
      <c r="A294" s="656">
        <v>43525</v>
      </c>
      <c r="B294" s="657" t="str">
        <f t="shared" ca="1" si="13"/>
        <v>03</v>
      </c>
      <c r="C294" s="658" t="s">
        <v>66</v>
      </c>
      <c r="D294" s="659">
        <f ca="1">IF($A294="","",IFERROR(GETPIVOTDATA("合計 / 入金予定",【ピボット】国保連売上!$A$3,"年月",$A294,"事業所コード",$B294,"事業所",$C294,"事業区分",D$1,"請求区分","単月"),0)
+IFERROR(GETPIVOTDATA("合計 / 入金予定",【ピボット】国保連売上!$A$3,"年月",$A294,"事業所コード",$B294,"事業所",$C294,"事業区分",D$1,"請求区分","再請求"),0))</f>
        <v>5036742</v>
      </c>
      <c r="E294" s="659">
        <f ca="1">IF($A294="","",IFERROR(GETPIVOTDATA("合計 / 処遇改善加算金",【ピボット】国保連売上!$A$3,"年月",$A294,"事業所コード",$B294,"事業所",$C294,"事業区分",D$1,"請求区分","単月"),0))</f>
        <v>511438</v>
      </c>
      <c r="F294" s="659">
        <f ca="1">IF($A294="","",IFERROR(GETPIVOTDATA("合計 / 入金予定",【ピボット】国保連売上!$A$3,"年月",$A294,"事業所コード",$B294,"事業所",$C294,"事業区分",F$1,"請求区分","単月"),0)
+IFERROR(GETPIVOTDATA("合計 / 入金予定",【ピボット】国保連売上!$A$3,"年月",$A294,"事業所コード",$B294,"事業所",$C294,"事業区分",F$1,"請求区分","再請求"),0))</f>
        <v>1668036</v>
      </c>
      <c r="G294" s="659">
        <f ca="1">IF($A294="","",IFERROR(GETPIVOTDATA("合計 / 処遇改善加算金",【ピボット】国保連売上!$A$3,"年月",$A294,"事業所コード",$B294,"事業所",$C294,"事業区分",F$1,"請求区分","単月"),0))</f>
        <v>387896</v>
      </c>
      <c r="H294" s="659">
        <f ca="1">IF($A294="","",IFERROR(GETPIVOTDATA("合計 / 入金予定",【ピボット】国保連売上!$A$3,"年月",$A294,"事業所コード",$B294,"事業所",$C294,"事業区分",H$1,"請求区分","単月"),0)
+IFERROR(GETPIVOTDATA("合計 / 入金予定",【ピボット】国保連売上!$A$3,"年月",$A294,"事業所コード",$B294,"事業所",$C294,"事業区分",H$1,"請求区分","再請求"),0))</f>
        <v>0</v>
      </c>
      <c r="I294" s="659">
        <f ca="1">IF($A294="","",IFERROR(GETPIVOTDATA("合計 / 入金予定",【ピボット】国保連売上!$A$3,"年月",$A294,"事業所コード",$B294,"事業所",$C294,"事業区分",I$1,"請求区分","単月"),0)
+IFERROR(GETPIVOTDATA("合計 / 入金予定",【ピボット】国保連売上!$A$3,"年月",$A294,"事業所コード",$B294,"事業所",$C294,"事業区分",I$1,"請求区分","再請求"),0))</f>
        <v>0</v>
      </c>
      <c r="J294" s="659">
        <f ca="1">IF($A294="","",IFERROR(GETPIVOTDATA("合計 / 処遇改善加算金",【ピボット】国保連売上!$A$3,"年月",$A294,"事業所コード",$B294,"事業所",$C294,"事業区分",I$1,"請求区分","単月"),0))</f>
        <v>0</v>
      </c>
      <c r="K294" s="659">
        <f ca="1">IF($A294="","",IFERROR(GETPIVOTDATA("合計 / 入金予定",【ピボット】国保連売上!$A$3,"年月",$A294,"事業所コード",$B294,"事業所",$C294,"事業区分",K$1,"請求区分","単月"),0)
+IFERROR(GETPIVOTDATA("合計 / 入金予定",【ピボット】国保連売上!$A$3,"年月",$A294,"事業所コード",$B294,"事業所",$C294,"事業区分",K$1,"請求区分","再請求"),0))</f>
        <v>0</v>
      </c>
      <c r="L294" s="659">
        <f ca="1">IF($A294="","",IFERROR(GETPIVOTDATA("合計 / 処遇改善加算金",【ピボット】国保連売上!$A$3,"年月",$A294,"事業所コード",$B294,"事業所",$C294,"事業区分",K$1,"請求区分","単月"),0))</f>
        <v>0</v>
      </c>
      <c r="M294" s="659">
        <f ca="1">IF($A294="","",IFERROR(GETPIVOTDATA("合計 / 入金予定",【ピボット】国保連売上!$A$3,"年月",$A294,"事業所コード",$B294,"事業所",$C294,"事業区分",M$1,"請求区分","単月"),0)
+IFERROR(GETPIVOTDATA("合計 / 入金予定",【ピボット】国保連売上!$A$3,"年月",$A294,"事業所コード",$B294,"事業所",$C294,"事業区分",M$1,"請求区分","再請求"),0))</f>
        <v>0</v>
      </c>
      <c r="N294" s="660">
        <v>77300</v>
      </c>
      <c r="O294" s="783">
        <v>153500</v>
      </c>
      <c r="P294" s="660">
        <v>42650</v>
      </c>
      <c r="Q294" s="660">
        <v>1371</v>
      </c>
      <c r="R294" s="660">
        <v>0</v>
      </c>
      <c r="S294" s="660">
        <v>0</v>
      </c>
      <c r="T294" s="660">
        <v>0</v>
      </c>
      <c r="U294" s="660">
        <v>0</v>
      </c>
      <c r="V294" s="660">
        <v>0</v>
      </c>
      <c r="W294" s="660">
        <v>0</v>
      </c>
      <c r="X294" s="660">
        <v>0</v>
      </c>
      <c r="Y294" s="659">
        <f t="shared" ca="1" si="12"/>
        <v>6979599</v>
      </c>
      <c r="Z294" s="659">
        <f t="shared" ca="1" si="14"/>
        <v>274821</v>
      </c>
    </row>
    <row r="295" spans="1:26" ht="15.95" customHeight="1" x14ac:dyDescent="0.15">
      <c r="A295" s="656">
        <v>43525</v>
      </c>
      <c r="B295" s="657" t="str">
        <f t="shared" ca="1" si="13"/>
        <v>12</v>
      </c>
      <c r="C295" s="658" t="s">
        <v>1143</v>
      </c>
      <c r="D295" s="659">
        <f ca="1">IF($A295="","",IFERROR(GETPIVOTDATA("合計 / 入金予定",【ピボット】国保連売上!$A$3,"年月",$A295,"事業所コード",$B295,"事業所",$C295,"事業区分",D$1,"請求区分","単月"),0)
+IFERROR(GETPIVOTDATA("合計 / 入金予定",【ピボット】国保連売上!$A$3,"年月",$A295,"事業所コード",$B295,"事業所",$C295,"事業区分",D$1,"請求区分","再請求"),0))</f>
        <v>965383</v>
      </c>
      <c r="E295" s="659">
        <f ca="1">IF($A295="","",IFERROR(GETPIVOTDATA("合計 / 処遇改善加算金",【ピボット】国保連売上!$A$3,"年月",$A295,"事業所コード",$B295,"事業所",$C295,"事業区分",D$1,"請求区分","単月"),0))</f>
        <v>74624</v>
      </c>
      <c r="F295" s="659">
        <f ca="1">IF($A295="","",IFERROR(GETPIVOTDATA("合計 / 入金予定",【ピボット】国保連売上!$A$3,"年月",$A295,"事業所コード",$B295,"事業所",$C295,"事業区分",F$1,"請求区分","単月"),0)
+IFERROR(GETPIVOTDATA("合計 / 入金予定",【ピボット】国保連売上!$A$3,"年月",$A295,"事業所コード",$B295,"事業所",$C295,"事業区分",F$1,"請求区分","再請求"),0))</f>
        <v>408589</v>
      </c>
      <c r="G295" s="659">
        <f ca="1">IF($A295="","",IFERROR(GETPIVOTDATA("合計 / 処遇改善加算金",【ピボット】国保連売上!$A$3,"年月",$A295,"事業所コード",$B295,"事業所",$C295,"事業区分",F$1,"請求区分","単月"),0))</f>
        <v>95009</v>
      </c>
      <c r="H295" s="659">
        <f ca="1">IF($A295="","",IFERROR(GETPIVOTDATA("合計 / 入金予定",【ピボット】国保連売上!$A$3,"年月",$A295,"事業所コード",$B295,"事業所",$C295,"事業区分",H$1,"請求区分","単月"),0)
+IFERROR(GETPIVOTDATA("合計 / 入金予定",【ピボット】国保連売上!$A$3,"年月",$A295,"事業所コード",$B295,"事業所",$C295,"事業区分",H$1,"請求区分","再請求"),0))</f>
        <v>0</v>
      </c>
      <c r="I295" s="659">
        <f ca="1">IF($A295="","",IFERROR(GETPIVOTDATA("合計 / 入金予定",【ピボット】国保連売上!$A$3,"年月",$A295,"事業所コード",$B295,"事業所",$C295,"事業区分",I$1,"請求区分","単月"),0)
+IFERROR(GETPIVOTDATA("合計 / 入金予定",【ピボット】国保連売上!$A$3,"年月",$A295,"事業所コード",$B295,"事業所",$C295,"事業区分",I$1,"請求区分","再請求"),0))</f>
        <v>0</v>
      </c>
      <c r="J295" s="659">
        <f ca="1">IF($A295="","",IFERROR(GETPIVOTDATA("合計 / 処遇改善加算金",【ピボット】国保連売上!$A$3,"年月",$A295,"事業所コード",$B295,"事業所",$C295,"事業区分",I$1,"請求区分","単月"),0))</f>
        <v>0</v>
      </c>
      <c r="K295" s="659">
        <f ca="1">IF($A295="","",IFERROR(GETPIVOTDATA("合計 / 入金予定",【ピボット】国保連売上!$A$3,"年月",$A295,"事業所コード",$B295,"事業所",$C295,"事業区分",K$1,"請求区分","単月"),0)
+IFERROR(GETPIVOTDATA("合計 / 入金予定",【ピボット】国保連売上!$A$3,"年月",$A295,"事業所コード",$B295,"事業所",$C295,"事業区分",K$1,"請求区分","再請求"),0))</f>
        <v>0</v>
      </c>
      <c r="L295" s="659">
        <f ca="1">IF($A295="","",IFERROR(GETPIVOTDATA("合計 / 処遇改善加算金",【ピボット】国保連売上!$A$3,"年月",$A295,"事業所コード",$B295,"事業所",$C295,"事業区分",K$1,"請求区分","単月"),0))</f>
        <v>0</v>
      </c>
      <c r="M295" s="659">
        <f ca="1">IF($A295="","",IFERROR(GETPIVOTDATA("合計 / 入金予定",【ピボット】国保連売上!$A$3,"年月",$A295,"事業所コード",$B295,"事業所",$C295,"事業区分",M$1,"請求区分","単月"),0)
+IFERROR(GETPIVOTDATA("合計 / 入金予定",【ピボット】国保連売上!$A$3,"年月",$A295,"事業所コード",$B295,"事業所",$C295,"事業区分",M$1,"請求区分","再請求"),0))</f>
        <v>0</v>
      </c>
      <c r="N295" s="660">
        <v>11050</v>
      </c>
      <c r="O295" s="783">
        <v>52740</v>
      </c>
      <c r="P295" s="660">
        <v>0</v>
      </c>
      <c r="Q295" s="660">
        <v>845</v>
      </c>
      <c r="R295" s="660">
        <v>0</v>
      </c>
      <c r="S295" s="660">
        <v>0</v>
      </c>
      <c r="T295" s="660">
        <v>0</v>
      </c>
      <c r="U295" s="660">
        <v>0</v>
      </c>
      <c r="V295" s="660">
        <v>0</v>
      </c>
      <c r="W295" s="660">
        <v>0</v>
      </c>
      <c r="X295" s="660">
        <v>0</v>
      </c>
      <c r="Y295" s="659">
        <f t="shared" ca="1" si="12"/>
        <v>1438607</v>
      </c>
      <c r="Z295" s="659">
        <f t="shared" ca="1" si="14"/>
        <v>64635</v>
      </c>
    </row>
    <row r="296" spans="1:26" ht="15.95" customHeight="1" x14ac:dyDescent="0.15">
      <c r="A296" s="656">
        <v>43525</v>
      </c>
      <c r="B296" s="657" t="str">
        <f t="shared" ca="1" si="13"/>
        <v>04</v>
      </c>
      <c r="C296" s="658" t="s">
        <v>358</v>
      </c>
      <c r="D296" s="659">
        <f ca="1">IF($A296="","",IFERROR(GETPIVOTDATA("合計 / 入金予定",【ピボット】国保連売上!$A$3,"年月",$A296,"事業所コード",$B296,"事業所",$C296,"事業区分",D$1,"請求区分","単月"),0)
+IFERROR(GETPIVOTDATA("合計 / 入金予定",【ピボット】国保連売上!$A$3,"年月",$A296,"事業所コード",$B296,"事業所",$C296,"事業区分",D$1,"請求区分","再請求"),0))</f>
        <v>0</v>
      </c>
      <c r="E296" s="659">
        <f ca="1">IF($A296="","",IFERROR(GETPIVOTDATA("合計 / 処遇改善加算金",【ピボット】国保連売上!$A$3,"年月",$A296,"事業所コード",$B296,"事業所",$C296,"事業区分",D$1,"請求区分","単月"),0))</f>
        <v>0</v>
      </c>
      <c r="F296" s="659">
        <f ca="1">IF($A296="","",IFERROR(GETPIVOTDATA("合計 / 入金予定",【ピボット】国保連売上!$A$3,"年月",$A296,"事業所コード",$B296,"事業所",$C296,"事業区分",F$1,"請求区分","単月"),0)
+IFERROR(GETPIVOTDATA("合計 / 入金予定",【ピボット】国保連売上!$A$3,"年月",$A296,"事業所コード",$B296,"事業所",$C296,"事業区分",F$1,"請求区分","再請求"),0))</f>
        <v>0</v>
      </c>
      <c r="G296" s="659">
        <f ca="1">IF($A296="","",IFERROR(GETPIVOTDATA("合計 / 処遇改善加算金",【ピボット】国保連売上!$A$3,"年月",$A296,"事業所コード",$B296,"事業所",$C296,"事業区分",F$1,"請求区分","単月"),0))</f>
        <v>0</v>
      </c>
      <c r="H296" s="659">
        <f ca="1">IF($A296="","",IFERROR(GETPIVOTDATA("合計 / 入金予定",【ピボット】国保連売上!$A$3,"年月",$A296,"事業所コード",$B296,"事業所",$C296,"事業区分",H$1,"請求区分","単月"),0)
+IFERROR(GETPIVOTDATA("合計 / 入金予定",【ピボット】国保連売上!$A$3,"年月",$A296,"事業所コード",$B296,"事業所",$C296,"事業区分",H$1,"請求区分","再請求"),0))</f>
        <v>0</v>
      </c>
      <c r="I296" s="659">
        <f ca="1">IF($A296="","",IFERROR(GETPIVOTDATA("合計 / 入金予定",【ピボット】国保連売上!$A$3,"年月",$A296,"事業所コード",$B296,"事業所",$C296,"事業区分",I$1,"請求区分","単月"),0)
+IFERROR(GETPIVOTDATA("合計 / 入金予定",【ピボット】国保連売上!$A$3,"年月",$A296,"事業所コード",$B296,"事業所",$C296,"事業区分",I$1,"請求区分","再請求"),0))</f>
        <v>4589983</v>
      </c>
      <c r="J296" s="659">
        <f ca="1">IF($A296="","",IFERROR(GETPIVOTDATA("合計 / 処遇改善加算金",【ピボット】国保連売上!$A$3,"年月",$A296,"事業所コード",$B296,"事業所",$C296,"事業区分",I$1,"請求区分","単月"),0))</f>
        <v>255703</v>
      </c>
      <c r="K296" s="659">
        <f ca="1">IF($A296="","",IFERROR(GETPIVOTDATA("合計 / 入金予定",【ピボット】国保連売上!$A$3,"年月",$A296,"事業所コード",$B296,"事業所",$C296,"事業区分",K$1,"請求区分","単月"),0)
+IFERROR(GETPIVOTDATA("合計 / 入金予定",【ピボット】国保連売上!$A$3,"年月",$A296,"事業所コード",$B296,"事業所",$C296,"事業区分",K$1,"請求区分","再請求"),0))</f>
        <v>0</v>
      </c>
      <c r="L296" s="659">
        <f ca="1">IF($A296="","",IFERROR(GETPIVOTDATA("合計 / 処遇改善加算金",【ピボット】国保連売上!$A$3,"年月",$A296,"事業所コード",$B296,"事業所",$C296,"事業区分",K$1,"請求区分","単月"),0))</f>
        <v>0</v>
      </c>
      <c r="M296" s="659">
        <f ca="1">IF($A296="","",IFERROR(GETPIVOTDATA("合計 / 入金予定",【ピボット】国保連売上!$A$3,"年月",$A296,"事業所コード",$B296,"事業所",$C296,"事業区分",M$1,"請求区分","単月"),0)
+IFERROR(GETPIVOTDATA("合計 / 入金予定",【ピボット】国保連売上!$A$3,"年月",$A296,"事業所コード",$B296,"事業所",$C296,"事業区分",M$1,"請求区分","再請求"),0))</f>
        <v>0</v>
      </c>
      <c r="N296" s="660">
        <v>11000</v>
      </c>
      <c r="O296" s="660">
        <v>0</v>
      </c>
      <c r="P296" s="660">
        <v>0</v>
      </c>
      <c r="Q296" s="660">
        <v>0</v>
      </c>
      <c r="R296" s="660">
        <v>0</v>
      </c>
      <c r="S296" s="660">
        <v>0</v>
      </c>
      <c r="T296" s="660">
        <v>330200</v>
      </c>
      <c r="U296" s="660">
        <v>0</v>
      </c>
      <c r="V296" s="660">
        <v>0</v>
      </c>
      <c r="W296" s="660">
        <v>0</v>
      </c>
      <c r="X296" s="660">
        <v>0</v>
      </c>
      <c r="Y296" s="659">
        <f t="shared" ca="1" si="12"/>
        <v>4931183</v>
      </c>
      <c r="Z296" s="659">
        <f t="shared" ca="1" si="14"/>
        <v>341200</v>
      </c>
    </row>
    <row r="297" spans="1:26" ht="15.95" customHeight="1" x14ac:dyDescent="0.15">
      <c r="A297" s="656">
        <v>43525</v>
      </c>
      <c r="B297" s="657" t="str">
        <f t="shared" ca="1" si="13"/>
        <v>05</v>
      </c>
      <c r="C297" s="658" t="s">
        <v>359</v>
      </c>
      <c r="D297" s="659">
        <f ca="1">IF($A297="","",IFERROR(GETPIVOTDATA("合計 / 入金予定",【ピボット】国保連売上!$A$3,"年月",$A297,"事業所コード",$B297,"事業所",$C297,"事業区分",D$1,"請求区分","単月"),0)
+IFERROR(GETPIVOTDATA("合計 / 入金予定",【ピボット】国保連売上!$A$3,"年月",$A297,"事業所コード",$B297,"事業所",$C297,"事業区分",D$1,"請求区分","再請求"),0))</f>
        <v>1715602</v>
      </c>
      <c r="E297" s="659">
        <f ca="1">IF($A297="","",IFERROR(GETPIVOTDATA("合計 / 処遇改善加算金",【ピボット】国保連売上!$A$3,"年月",$A297,"事業所コード",$B297,"事業所",$C297,"事業区分",D$1,"請求区分","単月"),0))</f>
        <v>0</v>
      </c>
      <c r="F297" s="659">
        <f ca="1">IF($A297="","",IFERROR(GETPIVOTDATA("合計 / 入金予定",【ピボット】国保連売上!$A$3,"年月",$A297,"事業所コード",$B297,"事業所",$C297,"事業区分",F$1,"請求区分","単月"),0)
+IFERROR(GETPIVOTDATA("合計 / 入金予定",【ピボット】国保連売上!$A$3,"年月",$A297,"事業所コード",$B297,"事業所",$C297,"事業区分",F$1,"請求区分","再請求"),0))</f>
        <v>0</v>
      </c>
      <c r="G297" s="659">
        <f ca="1">IF($A297="","",IFERROR(GETPIVOTDATA("合計 / 処遇改善加算金",【ピボット】国保連売上!$A$3,"年月",$A297,"事業所コード",$B297,"事業所",$C297,"事業区分",F$1,"請求区分","単月"),0))</f>
        <v>0</v>
      </c>
      <c r="H297" s="659">
        <f ca="1">IF($A297="","",IFERROR(GETPIVOTDATA("合計 / 入金予定",【ピボット】国保連売上!$A$3,"年月",$A297,"事業所コード",$B297,"事業所",$C297,"事業区分",H$1,"請求区分","単月"),0)
+IFERROR(GETPIVOTDATA("合計 / 入金予定",【ピボット】国保連売上!$A$3,"年月",$A297,"事業所コード",$B297,"事業所",$C297,"事業区分",H$1,"請求区分","再請求"),0))</f>
        <v>0</v>
      </c>
      <c r="I297" s="659">
        <f ca="1">IF($A297="","",IFERROR(GETPIVOTDATA("合計 / 入金予定",【ピボット】国保連売上!$A$3,"年月",$A297,"事業所コード",$B297,"事業所",$C297,"事業区分",I$1,"請求区分","単月"),0)
+IFERROR(GETPIVOTDATA("合計 / 入金予定",【ピボット】国保連売上!$A$3,"年月",$A297,"事業所コード",$B297,"事業所",$C297,"事業区分",I$1,"請求区分","再請求"),0))</f>
        <v>0</v>
      </c>
      <c r="J297" s="659">
        <f ca="1">IF($A297="","",IFERROR(GETPIVOTDATA("合計 / 処遇改善加算金",【ピボット】国保連売上!$A$3,"年月",$A297,"事業所コード",$B297,"事業所",$C297,"事業区分",I$1,"請求区分","単月"),0))</f>
        <v>0</v>
      </c>
      <c r="K297" s="659">
        <f ca="1">IF($A297="","",IFERROR(GETPIVOTDATA("合計 / 入金予定",【ピボット】国保連売上!$A$3,"年月",$A297,"事業所コード",$B297,"事業所",$C297,"事業区分",K$1,"請求区分","単月"),0)
+IFERROR(GETPIVOTDATA("合計 / 入金予定",【ピボット】国保連売上!$A$3,"年月",$A297,"事業所コード",$B297,"事業所",$C297,"事業区分",K$1,"請求区分","再請求"),0))</f>
        <v>0</v>
      </c>
      <c r="L297" s="659">
        <f ca="1">IF($A297="","",IFERROR(GETPIVOTDATA("合計 / 処遇改善加算金",【ピボット】国保連売上!$A$3,"年月",$A297,"事業所コード",$B297,"事業所",$C297,"事業区分",K$1,"請求区分","単月"),0))</f>
        <v>0</v>
      </c>
      <c r="M297" s="659">
        <f ca="1">IF($A297="","",IFERROR(GETPIVOTDATA("合計 / 入金予定",【ピボット】国保連売上!$A$3,"年月",$A297,"事業所コード",$B297,"事業所",$C297,"事業区分",M$1,"請求区分","単月"),0)
+IFERROR(GETPIVOTDATA("合計 / 入金予定",【ピボット】国保連売上!$A$3,"年月",$A297,"事業所コード",$B297,"事業所",$C297,"事業区分",M$1,"請求区分","再請求"),0))</f>
        <v>0</v>
      </c>
      <c r="N297" s="660">
        <v>0</v>
      </c>
      <c r="O297" s="660">
        <v>0</v>
      </c>
      <c r="P297" s="660">
        <v>0</v>
      </c>
      <c r="Q297" s="660">
        <v>0</v>
      </c>
      <c r="R297" s="660">
        <v>0</v>
      </c>
      <c r="S297" s="660">
        <v>782660</v>
      </c>
      <c r="T297" s="660">
        <v>0</v>
      </c>
      <c r="U297" s="660">
        <v>0</v>
      </c>
      <c r="V297" s="660">
        <v>0</v>
      </c>
      <c r="W297" s="660">
        <v>0</v>
      </c>
      <c r="X297" s="660">
        <v>0</v>
      </c>
      <c r="Y297" s="659">
        <f t="shared" ca="1" si="12"/>
        <v>2498262</v>
      </c>
      <c r="Z297" s="659">
        <f t="shared" ca="1" si="14"/>
        <v>782660</v>
      </c>
    </row>
    <row r="298" spans="1:26" ht="15.95" customHeight="1" x14ac:dyDescent="0.15">
      <c r="A298" s="656">
        <v>43525</v>
      </c>
      <c r="B298" s="657" t="str">
        <f t="shared" ca="1" si="13"/>
        <v>07</v>
      </c>
      <c r="C298" s="658" t="s">
        <v>119</v>
      </c>
      <c r="D298" s="659">
        <f ca="1">IF($A298="","",IFERROR(GETPIVOTDATA("合計 / 入金予定",【ピボット】国保連売上!$A$3,"年月",$A298,"事業所コード",$B298,"事業所",$C298,"事業区分",D$1,"請求区分","単月"),0)
+IFERROR(GETPIVOTDATA("合計 / 入金予定",【ピボット】国保連売上!$A$3,"年月",$A298,"事業所コード",$B298,"事業所",$C298,"事業区分",D$1,"請求区分","再請求"),0))</f>
        <v>0</v>
      </c>
      <c r="E298" s="659">
        <f ca="1">IF($A298="","",IFERROR(GETPIVOTDATA("合計 / 処遇改善加算金",【ピボット】国保連売上!$A$3,"年月",$A298,"事業所コード",$B298,"事業所",$C298,"事業区分",D$1,"請求区分","単月"),0))</f>
        <v>0</v>
      </c>
      <c r="F298" s="659">
        <f ca="1">IF($A298="","",IFERROR(GETPIVOTDATA("合計 / 入金予定",【ピボット】国保連売上!$A$3,"年月",$A298,"事業所コード",$B298,"事業所",$C298,"事業区分",F$1,"請求区分","単月"),0)
+IFERROR(GETPIVOTDATA("合計 / 入金予定",【ピボット】国保連売上!$A$3,"年月",$A298,"事業所コード",$B298,"事業所",$C298,"事業区分",F$1,"請求区分","再請求"),0))</f>
        <v>0</v>
      </c>
      <c r="G298" s="659">
        <f ca="1">IF($A298="","",IFERROR(GETPIVOTDATA("合計 / 処遇改善加算金",【ピボット】国保連売上!$A$3,"年月",$A298,"事業所コード",$B298,"事業所",$C298,"事業区分",F$1,"請求区分","単月"),0))</f>
        <v>0</v>
      </c>
      <c r="H298" s="659">
        <f ca="1">IF($A298="","",IFERROR(GETPIVOTDATA("合計 / 入金予定",【ピボット】国保連売上!$A$3,"年月",$A298,"事業所コード",$B298,"事業所",$C298,"事業区分",H$1,"請求区分","単月"),0)
+IFERROR(GETPIVOTDATA("合計 / 入金予定",【ピボット】国保連売上!$A$3,"年月",$A298,"事業所コード",$B298,"事業所",$C298,"事業区分",H$1,"請求区分","再請求"),0))</f>
        <v>0</v>
      </c>
      <c r="I298" s="659">
        <f ca="1">IF($A298="","",IFERROR(GETPIVOTDATA("合計 / 入金予定",【ピボット】国保連売上!$A$3,"年月",$A298,"事業所コード",$B298,"事業所",$C298,"事業区分",I$1,"請求区分","単月"),0)
+IFERROR(GETPIVOTDATA("合計 / 入金予定",【ピボット】国保連売上!$A$3,"年月",$A298,"事業所コード",$B298,"事業所",$C298,"事業区分",I$1,"請求区分","再請求"),0))</f>
        <v>0</v>
      </c>
      <c r="J298" s="659">
        <f ca="1">IF($A298="","",IFERROR(GETPIVOTDATA("合計 / 処遇改善加算金",【ピボット】国保連売上!$A$3,"年月",$A298,"事業所コード",$B298,"事業所",$C298,"事業区分",I$1,"請求区分","単月"),0))</f>
        <v>0</v>
      </c>
      <c r="K298" s="659">
        <f ca="1">IF($A298="","",IFERROR(GETPIVOTDATA("合計 / 入金予定",【ピボット】国保連売上!$A$3,"年月",$A298,"事業所コード",$B298,"事業所",$C298,"事業区分",K$1,"請求区分","単月"),0)
+IFERROR(GETPIVOTDATA("合計 / 入金予定",【ピボット】国保連売上!$A$3,"年月",$A298,"事業所コード",$B298,"事業所",$C298,"事業区分",K$1,"請求区分","再請求"),0))</f>
        <v>982644</v>
      </c>
      <c r="L298" s="659">
        <f ca="1">IF($A298="","",IFERROR(GETPIVOTDATA("合計 / 処遇改善加算金",【ピボット】国保連売上!$A$3,"年月",$A298,"事業所コード",$B298,"事業所",$C298,"事業区分",K$1,"請求区分","単月"),0))</f>
        <v>342112</v>
      </c>
      <c r="M298" s="659">
        <f ca="1">IF($A298="","",IFERROR(GETPIVOTDATA("合計 / 入金予定",【ピボット】国保連売上!$A$3,"年月",$A298,"事業所コード",$B298,"事業所",$C298,"事業区分",M$1,"請求区分","単月"),0)
+IFERROR(GETPIVOTDATA("合計 / 入金予定",【ピボット】国保連売上!$A$3,"年月",$A298,"事業所コード",$B298,"事業所",$C298,"事業区分",M$1,"請求区分","再請求"),0))</f>
        <v>0</v>
      </c>
      <c r="N298" s="660">
        <v>6800</v>
      </c>
      <c r="O298" s="660">
        <v>0</v>
      </c>
      <c r="P298" s="660">
        <v>0</v>
      </c>
      <c r="Q298" s="660">
        <v>0</v>
      </c>
      <c r="R298" s="660">
        <v>0</v>
      </c>
      <c r="S298" s="660">
        <v>78000</v>
      </c>
      <c r="T298" s="660">
        <v>0</v>
      </c>
      <c r="U298" s="660">
        <v>0</v>
      </c>
      <c r="V298" s="660">
        <v>-40000</v>
      </c>
      <c r="W298" s="660">
        <v>0</v>
      </c>
      <c r="X298" s="660">
        <v>0</v>
      </c>
      <c r="Y298" s="659">
        <f t="shared" ca="1" si="12"/>
        <v>1027444</v>
      </c>
      <c r="Z298" s="659">
        <f t="shared" ca="1" si="14"/>
        <v>44800</v>
      </c>
    </row>
    <row r="299" spans="1:26" ht="15.95" customHeight="1" x14ac:dyDescent="0.15">
      <c r="A299" s="656">
        <v>43525</v>
      </c>
      <c r="B299" s="657" t="str">
        <f t="shared" ca="1" si="13"/>
        <v>08</v>
      </c>
      <c r="C299" s="658" t="s">
        <v>189</v>
      </c>
      <c r="D299" s="659">
        <f ca="1">IF($A299="","",IFERROR(GETPIVOTDATA("合計 / 入金予定",【ピボット】国保連売上!$A$3,"年月",$A299,"事業所コード",$B299,"事業所",$C299,"事業区分",D$1,"請求区分","単月"),0)
+IFERROR(GETPIVOTDATA("合計 / 入金予定",【ピボット】国保連売上!$A$3,"年月",$A299,"事業所コード",$B299,"事業所",$C299,"事業区分",D$1,"請求区分","再請求"),0))</f>
        <v>0</v>
      </c>
      <c r="E299" s="659">
        <f ca="1">IF($A299="","",IFERROR(GETPIVOTDATA("合計 / 処遇改善加算金",【ピボット】国保連売上!$A$3,"年月",$A299,"事業所コード",$B299,"事業所",$C299,"事業区分",D$1,"請求区分","単月"),0))</f>
        <v>0</v>
      </c>
      <c r="F299" s="659">
        <f ca="1">IF($A299="","",IFERROR(GETPIVOTDATA("合計 / 入金予定",【ピボット】国保連売上!$A$3,"年月",$A299,"事業所コード",$B299,"事業所",$C299,"事業区分",F$1,"請求区分","単月"),0)
+IFERROR(GETPIVOTDATA("合計 / 入金予定",【ピボット】国保連売上!$A$3,"年月",$A299,"事業所コード",$B299,"事業所",$C299,"事業区分",F$1,"請求区分","再請求"),0))</f>
        <v>0</v>
      </c>
      <c r="G299" s="659">
        <f ca="1">IF($A299="","",IFERROR(GETPIVOTDATA("合計 / 処遇改善加算金",【ピボット】国保連売上!$A$3,"年月",$A299,"事業所コード",$B299,"事業所",$C299,"事業区分",F$1,"請求区分","単月"),0))</f>
        <v>0</v>
      </c>
      <c r="H299" s="659">
        <f ca="1">IF($A299="","",IFERROR(GETPIVOTDATA("合計 / 入金予定",【ピボット】国保連売上!$A$3,"年月",$A299,"事業所コード",$B299,"事業所",$C299,"事業区分",H$1,"請求区分","単月"),0)
+IFERROR(GETPIVOTDATA("合計 / 入金予定",【ピボット】国保連売上!$A$3,"年月",$A299,"事業所コード",$B299,"事業所",$C299,"事業区分",H$1,"請求区分","再請求"),0))</f>
        <v>0</v>
      </c>
      <c r="I299" s="659">
        <f ca="1">IF($A299="","",IFERROR(GETPIVOTDATA("合計 / 入金予定",【ピボット】国保連売上!$A$3,"年月",$A299,"事業所コード",$B299,"事業所",$C299,"事業区分",I$1,"請求区分","単月"),0)
+IFERROR(GETPIVOTDATA("合計 / 入金予定",【ピボット】国保連売上!$A$3,"年月",$A299,"事業所コード",$B299,"事業所",$C299,"事業区分",I$1,"請求区分","再請求"),0))</f>
        <v>0</v>
      </c>
      <c r="J299" s="659">
        <f ca="1">IF($A299="","",IFERROR(GETPIVOTDATA("合計 / 処遇改善加算金",【ピボット】国保連売上!$A$3,"年月",$A299,"事業所コード",$B299,"事業所",$C299,"事業区分",I$1,"請求区分","単月"),0))</f>
        <v>0</v>
      </c>
      <c r="K299" s="659">
        <f ca="1">IF($A299="","",IFERROR(GETPIVOTDATA("合計 / 入金予定",【ピボット】国保連売上!$A$3,"年月",$A299,"事業所コード",$B299,"事業所",$C299,"事業区分",K$1,"請求区分","単月"),0)
+IFERROR(GETPIVOTDATA("合計 / 入金予定",【ピボット】国保連売上!$A$3,"年月",$A299,"事業所コード",$B299,"事業所",$C299,"事業区分",K$1,"請求区分","再請求"),0))</f>
        <v>915793</v>
      </c>
      <c r="L299" s="659">
        <f ca="1">IF($A299="","",IFERROR(GETPIVOTDATA("合計 / 処遇改善加算金",【ピボット】国保連売上!$A$3,"年月",$A299,"事業所コード",$B299,"事業所",$C299,"事業区分",K$1,"請求区分","単月"),0))</f>
        <v>0</v>
      </c>
      <c r="M299" s="659">
        <f ca="1">IF($A299="","",IFERROR(GETPIVOTDATA("合計 / 入金予定",【ピボット】国保連売上!$A$3,"年月",$A299,"事業所コード",$B299,"事業所",$C299,"事業区分",M$1,"請求区分","単月"),0)
+IFERROR(GETPIVOTDATA("合計 / 入金予定",【ピボット】国保連売上!$A$3,"年月",$A299,"事業所コード",$B299,"事業所",$C299,"事業区分",M$1,"請求区分","再請求"),0))</f>
        <v>0</v>
      </c>
      <c r="N299" s="660">
        <v>0</v>
      </c>
      <c r="O299" s="660">
        <v>0</v>
      </c>
      <c r="P299" s="660">
        <v>0</v>
      </c>
      <c r="Q299" s="660">
        <v>0</v>
      </c>
      <c r="R299" s="660">
        <v>0</v>
      </c>
      <c r="S299" s="660">
        <v>98000</v>
      </c>
      <c r="T299" s="660">
        <v>0</v>
      </c>
      <c r="U299" s="660">
        <v>0</v>
      </c>
      <c r="V299" s="660">
        <v>-40000</v>
      </c>
      <c r="W299" s="660">
        <v>0</v>
      </c>
      <c r="X299" s="660">
        <v>0</v>
      </c>
      <c r="Y299" s="659">
        <f t="shared" ca="1" si="12"/>
        <v>973793</v>
      </c>
      <c r="Z299" s="659">
        <f t="shared" ca="1" si="14"/>
        <v>58000</v>
      </c>
    </row>
    <row r="300" spans="1:26" ht="15.95" customHeight="1" x14ac:dyDescent="0.15">
      <c r="A300" s="656">
        <v>43525</v>
      </c>
      <c r="B300" s="657" t="str">
        <f t="shared" ca="1" si="13"/>
        <v>09</v>
      </c>
      <c r="C300" s="658" t="s">
        <v>329</v>
      </c>
      <c r="D300" s="659">
        <f ca="1">IF($A300="","",IFERROR(GETPIVOTDATA("合計 / 入金予定",【ピボット】国保連売上!$A$3,"年月",$A300,"事業所コード",$B300,"事業所",$C300,"事業区分",D$1,"請求区分","単月"),0)
+IFERROR(GETPIVOTDATA("合計 / 入金予定",【ピボット】国保連売上!$A$3,"年月",$A300,"事業所コード",$B300,"事業所",$C300,"事業区分",D$1,"請求区分","再請求"),0))</f>
        <v>0</v>
      </c>
      <c r="E300" s="659">
        <f ca="1">IF($A300="","",IFERROR(GETPIVOTDATA("合計 / 処遇改善加算金",【ピボット】国保連売上!$A$3,"年月",$A300,"事業所コード",$B300,"事業所",$C300,"事業区分",D$1,"請求区分","単月"),0))</f>
        <v>0</v>
      </c>
      <c r="F300" s="659">
        <f ca="1">IF($A300="","",IFERROR(GETPIVOTDATA("合計 / 入金予定",【ピボット】国保連売上!$A$3,"年月",$A300,"事業所コード",$B300,"事業所",$C300,"事業区分",F$1,"請求区分","単月"),0)
+IFERROR(GETPIVOTDATA("合計 / 入金予定",【ピボット】国保連売上!$A$3,"年月",$A300,"事業所コード",$B300,"事業所",$C300,"事業区分",F$1,"請求区分","再請求"),0))</f>
        <v>0</v>
      </c>
      <c r="G300" s="659">
        <f ca="1">IF($A300="","",IFERROR(GETPIVOTDATA("合計 / 処遇改善加算金",【ピボット】国保連売上!$A$3,"年月",$A300,"事業所コード",$B300,"事業所",$C300,"事業区分",F$1,"請求区分","単月"),0))</f>
        <v>0</v>
      </c>
      <c r="H300" s="659">
        <f ca="1">IF($A300="","",IFERROR(GETPIVOTDATA("合計 / 入金予定",【ピボット】国保連売上!$A$3,"年月",$A300,"事業所コード",$B300,"事業所",$C300,"事業区分",H$1,"請求区分","単月"),0)
+IFERROR(GETPIVOTDATA("合計 / 入金予定",【ピボット】国保連売上!$A$3,"年月",$A300,"事業所コード",$B300,"事業所",$C300,"事業区分",H$1,"請求区分","再請求"),0))</f>
        <v>0</v>
      </c>
      <c r="I300" s="659">
        <f ca="1">IF($A300="","",IFERROR(GETPIVOTDATA("合計 / 入金予定",【ピボット】国保連売上!$A$3,"年月",$A300,"事業所コード",$B300,"事業所",$C300,"事業区分",I$1,"請求区分","単月"),0)
+IFERROR(GETPIVOTDATA("合計 / 入金予定",【ピボット】国保連売上!$A$3,"年月",$A300,"事業所コード",$B300,"事業所",$C300,"事業区分",I$1,"請求区分","再請求"),0))</f>
        <v>0</v>
      </c>
      <c r="J300" s="659">
        <f ca="1">IF($A300="","",IFERROR(GETPIVOTDATA("合計 / 処遇改善加算金",【ピボット】国保連売上!$A$3,"年月",$A300,"事業所コード",$B300,"事業所",$C300,"事業区分",I$1,"請求区分","単月"),0))</f>
        <v>0</v>
      </c>
      <c r="K300" s="659">
        <f ca="1">IF($A300="","",IFERROR(GETPIVOTDATA("合計 / 入金予定",【ピボット】国保連売上!$A$3,"年月",$A300,"事業所コード",$B300,"事業所",$C300,"事業区分",K$1,"請求区分","単月"),0)
+IFERROR(GETPIVOTDATA("合計 / 入金予定",【ピボット】国保連売上!$A$3,"年月",$A300,"事業所コード",$B300,"事業所",$C300,"事業区分",K$1,"請求区分","再請求"),0))</f>
        <v>1691368</v>
      </c>
      <c r="L300" s="659">
        <f ca="1">IF($A300="","",IFERROR(GETPIVOTDATA("合計 / 処遇改善加算金",【ピボット】国保連売上!$A$3,"年月",$A300,"事業所コード",$B300,"事業所",$C300,"事業区分",K$1,"請求区分","単月"),0))</f>
        <v>0</v>
      </c>
      <c r="M300" s="659">
        <f ca="1">IF($A300="","",IFERROR(GETPIVOTDATA("合計 / 入金予定",【ピボット】国保連売上!$A$3,"年月",$A300,"事業所コード",$B300,"事業所",$C300,"事業区分",M$1,"請求区分","単月"),0)
+IFERROR(GETPIVOTDATA("合計 / 入金予定",【ピボット】国保連売上!$A$3,"年月",$A300,"事業所コード",$B300,"事業所",$C300,"事業区分",M$1,"請求区分","再請求"),0))</f>
        <v>0</v>
      </c>
      <c r="N300" s="660">
        <v>10200</v>
      </c>
      <c r="O300" s="660">
        <v>0</v>
      </c>
      <c r="P300" s="660">
        <v>0</v>
      </c>
      <c r="Q300" s="660">
        <v>0</v>
      </c>
      <c r="R300" s="660">
        <v>0</v>
      </c>
      <c r="S300" s="660">
        <v>360000</v>
      </c>
      <c r="T300" s="660">
        <v>0</v>
      </c>
      <c r="U300" s="660">
        <v>0</v>
      </c>
      <c r="V300" s="660">
        <v>-90000</v>
      </c>
      <c r="W300" s="660">
        <v>27939</v>
      </c>
      <c r="X300" s="660">
        <v>0</v>
      </c>
      <c r="Y300" s="659">
        <f t="shared" ca="1" si="12"/>
        <v>1999507</v>
      </c>
      <c r="Z300" s="659">
        <f t="shared" ca="1" si="14"/>
        <v>308139</v>
      </c>
    </row>
    <row r="301" spans="1:26" ht="15.95" customHeight="1" x14ac:dyDescent="0.15">
      <c r="A301" s="656">
        <v>43525</v>
      </c>
      <c r="B301" s="657" t="str">
        <f t="shared" ca="1" si="13"/>
        <v>13</v>
      </c>
      <c r="C301" s="658" t="s">
        <v>1223</v>
      </c>
      <c r="D301" s="659">
        <f ca="1">IF($A301="","",IFERROR(GETPIVOTDATA("合計 / 入金予定",【ピボット】国保連売上!$A$3,"年月",$A301,"事業所コード",$B301,"事業所",$C301,"事業区分",D$1,"請求区分","単月"),0)
+IFERROR(GETPIVOTDATA("合計 / 入金予定",【ピボット】国保連売上!$A$3,"年月",$A301,"事業所コード",$B301,"事業所",$C301,"事業区分",D$1,"請求区分","再請求"),0))</f>
        <v>0</v>
      </c>
      <c r="E301" s="659">
        <f ca="1">IF($A301="","",IFERROR(GETPIVOTDATA("合計 / 処遇改善加算金",【ピボット】国保連売上!$A$3,"年月",$A301,"事業所コード",$B301,"事業所",$C301,"事業区分",D$1,"請求区分","単月"),0))</f>
        <v>0</v>
      </c>
      <c r="F301" s="659">
        <f ca="1">IF($A301="","",IFERROR(GETPIVOTDATA("合計 / 入金予定",【ピボット】国保連売上!$A$3,"年月",$A301,"事業所コード",$B301,"事業所",$C301,"事業区分",F$1,"請求区分","単月"),0)
+IFERROR(GETPIVOTDATA("合計 / 入金予定",【ピボット】国保連売上!$A$3,"年月",$A301,"事業所コード",$B301,"事業所",$C301,"事業区分",F$1,"請求区分","再請求"),0))</f>
        <v>0</v>
      </c>
      <c r="G301" s="659">
        <f ca="1">IF($A301="","",IFERROR(GETPIVOTDATA("合計 / 処遇改善加算金",【ピボット】国保連売上!$A$3,"年月",$A301,"事業所コード",$B301,"事業所",$C301,"事業区分",F$1,"請求区分","単月"),0))</f>
        <v>0</v>
      </c>
      <c r="H301" s="659">
        <f ca="1">IF($A301="","",IFERROR(GETPIVOTDATA("合計 / 入金予定",【ピボット】国保連売上!$A$3,"年月",$A301,"事業所コード",$B301,"事業所",$C301,"事業区分",H$1,"請求区分","単月"),0)
+IFERROR(GETPIVOTDATA("合計 / 入金予定",【ピボット】国保連売上!$A$3,"年月",$A301,"事業所コード",$B301,"事業所",$C301,"事業区分",H$1,"請求区分","再請求"),0))</f>
        <v>0</v>
      </c>
      <c r="I301" s="659">
        <f ca="1">IF($A301="","",IFERROR(GETPIVOTDATA("合計 / 入金予定",【ピボット】国保連売上!$A$3,"年月",$A301,"事業所コード",$B301,"事業所",$C301,"事業区分",I$1,"請求区分","単月"),0)
+IFERROR(GETPIVOTDATA("合計 / 入金予定",【ピボット】国保連売上!$A$3,"年月",$A301,"事業所コード",$B301,"事業所",$C301,"事業区分",I$1,"請求区分","再請求"),0))</f>
        <v>0</v>
      </c>
      <c r="J301" s="659">
        <f ca="1">IF($A301="","",IFERROR(GETPIVOTDATA("合計 / 処遇改善加算金",【ピボット】国保連売上!$A$3,"年月",$A301,"事業所コード",$B301,"事業所",$C301,"事業区分",I$1,"請求区分","単月"),0))</f>
        <v>0</v>
      </c>
      <c r="K301" s="659">
        <f ca="1">IF($A301="","",IFERROR(GETPIVOTDATA("合計 / 入金予定",【ピボット】国保連売上!$A$3,"年月",$A301,"事業所コード",$B301,"事業所",$C301,"事業区分",K$1,"請求区分","単月"),0)
+IFERROR(GETPIVOTDATA("合計 / 入金予定",【ピボット】国保連売上!$A$3,"年月",$A301,"事業所コード",$B301,"事業所",$C301,"事業区分",K$1,"請求区分","再請求"),0))</f>
        <v>1595131</v>
      </c>
      <c r="L301" s="659">
        <f ca="1">IF($A301="","",IFERROR(GETPIVOTDATA("合計 / 処遇改善加算金",【ピボット】国保連売上!$A$3,"年月",$A301,"事業所コード",$B301,"事業所",$C301,"事業区分",K$1,"請求区分","単月"),0))</f>
        <v>0</v>
      </c>
      <c r="M301" s="659">
        <f ca="1">IF($A301="","",IFERROR(GETPIVOTDATA("合計 / 入金予定",【ピボット】国保連売上!$A$3,"年月",$A301,"事業所コード",$B301,"事業所",$C301,"事業区分",M$1,"請求区分","単月"),0)
+IFERROR(GETPIVOTDATA("合計 / 入金予定",【ピボット】国保連売上!$A$3,"年月",$A301,"事業所コード",$B301,"事業所",$C301,"事業区分",M$1,"請求区分","再請求"),0))</f>
        <v>0</v>
      </c>
      <c r="N301" s="660">
        <v>0</v>
      </c>
      <c r="O301" s="660">
        <v>0</v>
      </c>
      <c r="P301" s="660">
        <v>0</v>
      </c>
      <c r="Q301" s="660">
        <v>0</v>
      </c>
      <c r="R301" s="660">
        <v>0</v>
      </c>
      <c r="S301" s="660">
        <v>240000</v>
      </c>
      <c r="T301" s="660">
        <v>0</v>
      </c>
      <c r="U301" s="660">
        <v>0</v>
      </c>
      <c r="V301" s="660">
        <v>-60000</v>
      </c>
      <c r="W301" s="660">
        <v>0</v>
      </c>
      <c r="X301" s="660">
        <v>0</v>
      </c>
      <c r="Y301" s="659">
        <f t="shared" ca="1" si="12"/>
        <v>1775131</v>
      </c>
      <c r="Z301" s="659">
        <f t="shared" ca="1" si="14"/>
        <v>180000</v>
      </c>
    </row>
    <row r="302" spans="1:26" ht="15.95" customHeight="1" x14ac:dyDescent="0.15">
      <c r="A302" s="656">
        <v>43556</v>
      </c>
      <c r="B302" s="657" t="str">
        <f t="shared" ca="1" si="13"/>
        <v>01</v>
      </c>
      <c r="C302" s="658" t="s">
        <v>34</v>
      </c>
      <c r="D302" s="659">
        <f ca="1">IF($A302="","",IFERROR(GETPIVOTDATA("合計 / 入金予定",【ピボット】国保連売上!$A$3,"年月",$A302,"事業所コード",$B302,"事業所",$C302,"事業区分",D$1,"請求区分","単月"),0)
+IFERROR(GETPIVOTDATA("合計 / 入金予定",【ピボット】国保連売上!$A$3,"年月",$A302,"事業所コード",$B302,"事業所",$C302,"事業区分",D$1,"請求区分","再請求"),0))</f>
        <v>9202118</v>
      </c>
      <c r="E302" s="659">
        <f ca="1">IF($A302="","",IFERROR(GETPIVOTDATA("合計 / 処遇改善加算金",【ピボット】国保連売上!$A$3,"年月",$A302,"事業所コード",$B302,"事業所",$C302,"事業区分",D$1,"請求区分","単月"),0))</f>
        <v>0</v>
      </c>
      <c r="F302" s="659">
        <f ca="1">IF($A302="","",IFERROR(GETPIVOTDATA("合計 / 入金予定",【ピボット】国保連売上!$A$3,"年月",$A302,"事業所コード",$B302,"事業所",$C302,"事業区分",F$1,"請求区分","単月"),0)
+IFERROR(GETPIVOTDATA("合計 / 入金予定",【ピボット】国保連売上!$A$3,"年月",$A302,"事業所コード",$B302,"事業所",$C302,"事業区分",F$1,"請求区分","再請求"),0))</f>
        <v>2177773</v>
      </c>
      <c r="G302" s="659">
        <f ca="1">IF($A302="","",IFERROR(GETPIVOTDATA("合計 / 処遇改善加算金",【ピボット】国保連売上!$A$3,"年月",$A302,"事業所コード",$B302,"事業所",$C302,"事業区分",F$1,"請求区分","単月"),0))</f>
        <v>0</v>
      </c>
      <c r="H302" s="659">
        <f ca="1">IF($A302="","",IFERROR(GETPIVOTDATA("合計 / 入金予定",【ピボット】国保連売上!$A$3,"年月",$A302,"事業所コード",$B302,"事業所",$C302,"事業区分",H$1,"請求区分","単月"),0)
+IFERROR(GETPIVOTDATA("合計 / 入金予定",【ピボット】国保連売上!$A$3,"年月",$A302,"事業所コード",$B302,"事業所",$C302,"事業区分",H$1,"請求区分","再請求"),0))</f>
        <v>864993</v>
      </c>
      <c r="I302" s="659">
        <f ca="1">IF($A302="","",IFERROR(GETPIVOTDATA("合計 / 入金予定",【ピボット】国保連売上!$A$3,"年月",$A302,"事業所コード",$B302,"事業所",$C302,"事業区分",I$1,"請求区分","単月"),0)
+IFERROR(GETPIVOTDATA("合計 / 入金予定",【ピボット】国保連売上!$A$3,"年月",$A302,"事業所コード",$B302,"事業所",$C302,"事業区分",I$1,"請求区分","再請求"),0))</f>
        <v>0</v>
      </c>
      <c r="J302" s="659">
        <f ca="1">IF($A302="","",IFERROR(GETPIVOTDATA("合計 / 処遇改善加算金",【ピボット】国保連売上!$A$3,"年月",$A302,"事業所コード",$B302,"事業所",$C302,"事業区分",I$1,"請求区分","単月"),0))</f>
        <v>0</v>
      </c>
      <c r="K302" s="659">
        <f ca="1">IF($A302="","",IFERROR(GETPIVOTDATA("合計 / 入金予定",【ピボット】国保連売上!$A$3,"年月",$A302,"事業所コード",$B302,"事業所",$C302,"事業区分",K$1,"請求区分","単月"),0)
+IFERROR(GETPIVOTDATA("合計 / 入金予定",【ピボット】国保連売上!$A$3,"年月",$A302,"事業所コード",$B302,"事業所",$C302,"事業区分",K$1,"請求区分","再請求"),0))</f>
        <v>0</v>
      </c>
      <c r="L302" s="659">
        <f ca="1">IF($A302="","",IFERROR(GETPIVOTDATA("合計 / 処遇改善加算金",【ピボット】国保連売上!$A$3,"年月",$A302,"事業所コード",$B302,"事業所",$C302,"事業区分",K$1,"請求区分","単月"),0))</f>
        <v>0</v>
      </c>
      <c r="M302" s="659">
        <f ca="1">IF($A302="","",IFERROR(GETPIVOTDATA("合計 / 入金予定",【ピボット】国保連売上!$A$3,"年月",$A302,"事業所コード",$B302,"事業所",$C302,"事業区分",M$1,"請求区分","単月"),0)
+IFERROR(GETPIVOTDATA("合計 / 入金予定",【ピボット】国保連売上!$A$3,"年月",$A302,"事業所コード",$B302,"事業所",$C302,"事業区分",M$1,"請求区分","再請求"),0))</f>
        <v>0</v>
      </c>
      <c r="N302" s="660">
        <v>116900</v>
      </c>
      <c r="O302" s="660">
        <v>48039</v>
      </c>
      <c r="P302" s="660">
        <v>250260</v>
      </c>
      <c r="Q302" s="660">
        <v>8065</v>
      </c>
      <c r="R302" s="660">
        <v>161440</v>
      </c>
      <c r="S302" s="660">
        <v>0</v>
      </c>
      <c r="T302" s="660">
        <v>0</v>
      </c>
      <c r="U302" s="660">
        <v>72000</v>
      </c>
      <c r="V302" s="660">
        <v>0</v>
      </c>
      <c r="W302" s="660">
        <v>0</v>
      </c>
      <c r="X302" s="660">
        <v>0</v>
      </c>
      <c r="Y302" s="659">
        <f t="shared" ca="1" si="12"/>
        <v>12901588</v>
      </c>
      <c r="Z302" s="659">
        <f t="shared" ca="1" si="14"/>
        <v>656704</v>
      </c>
    </row>
    <row r="303" spans="1:26" ht="15.95" customHeight="1" x14ac:dyDescent="0.15">
      <c r="A303" s="656">
        <v>43556</v>
      </c>
      <c r="B303" s="657" t="str">
        <f t="shared" ca="1" si="13"/>
        <v>02</v>
      </c>
      <c r="C303" s="658" t="s">
        <v>37</v>
      </c>
      <c r="D303" s="659">
        <f ca="1">IF($A303="","",IFERROR(GETPIVOTDATA("合計 / 入金予定",【ピボット】国保連売上!$A$3,"年月",$A303,"事業所コード",$B303,"事業所",$C303,"事業区分",D$1,"請求区分","単月"),0)
+IFERROR(GETPIVOTDATA("合計 / 入金予定",【ピボット】国保連売上!$A$3,"年月",$A303,"事業所コード",$B303,"事業所",$C303,"事業区分",D$1,"請求区分","再請求"),0))</f>
        <v>3923238</v>
      </c>
      <c r="E303" s="659">
        <f ca="1">IF($A303="","",IFERROR(GETPIVOTDATA("合計 / 処遇改善加算金",【ピボット】国保連売上!$A$3,"年月",$A303,"事業所コード",$B303,"事業所",$C303,"事業区分",D$1,"請求区分","単月"),0))</f>
        <v>0</v>
      </c>
      <c r="F303" s="659">
        <f ca="1">IF($A303="","",IFERROR(GETPIVOTDATA("合計 / 入金予定",【ピボット】国保連売上!$A$3,"年月",$A303,"事業所コード",$B303,"事業所",$C303,"事業区分",F$1,"請求区分","単月"),0)
+IFERROR(GETPIVOTDATA("合計 / 入金予定",【ピボット】国保連売上!$A$3,"年月",$A303,"事業所コード",$B303,"事業所",$C303,"事業区分",F$1,"請求区分","再請求"),0))</f>
        <v>1346991</v>
      </c>
      <c r="G303" s="659">
        <f ca="1">IF($A303="","",IFERROR(GETPIVOTDATA("合計 / 処遇改善加算金",【ピボット】国保連売上!$A$3,"年月",$A303,"事業所コード",$B303,"事業所",$C303,"事業区分",F$1,"請求区分","単月"),0))</f>
        <v>0</v>
      </c>
      <c r="H303" s="659">
        <f ca="1">IF($A303="","",IFERROR(GETPIVOTDATA("合計 / 入金予定",【ピボット】国保連売上!$A$3,"年月",$A303,"事業所コード",$B303,"事業所",$C303,"事業区分",H$1,"請求区分","単月"),0)
+IFERROR(GETPIVOTDATA("合計 / 入金予定",【ピボット】国保連売上!$A$3,"年月",$A303,"事業所コード",$B303,"事業所",$C303,"事業区分",H$1,"請求区分","再請求"),0))</f>
        <v>549559</v>
      </c>
      <c r="I303" s="659">
        <f ca="1">IF($A303="","",IFERROR(GETPIVOTDATA("合計 / 入金予定",【ピボット】国保連売上!$A$3,"年月",$A303,"事業所コード",$B303,"事業所",$C303,"事業区分",I$1,"請求区分","単月"),0)
+IFERROR(GETPIVOTDATA("合計 / 入金予定",【ピボット】国保連売上!$A$3,"年月",$A303,"事業所コード",$B303,"事業所",$C303,"事業区分",I$1,"請求区分","再請求"),0))</f>
        <v>0</v>
      </c>
      <c r="J303" s="659">
        <f ca="1">IF($A303="","",IFERROR(GETPIVOTDATA("合計 / 処遇改善加算金",【ピボット】国保連売上!$A$3,"年月",$A303,"事業所コード",$B303,"事業所",$C303,"事業区分",I$1,"請求区分","単月"),0))</f>
        <v>0</v>
      </c>
      <c r="K303" s="659">
        <f ca="1">IF($A303="","",IFERROR(GETPIVOTDATA("合計 / 入金予定",【ピボット】国保連売上!$A$3,"年月",$A303,"事業所コード",$B303,"事業所",$C303,"事業区分",K$1,"請求区分","単月"),0)
+IFERROR(GETPIVOTDATA("合計 / 入金予定",【ピボット】国保連売上!$A$3,"年月",$A303,"事業所コード",$B303,"事業所",$C303,"事業区分",K$1,"請求区分","再請求"),0))</f>
        <v>0</v>
      </c>
      <c r="L303" s="659">
        <f ca="1">IF($A303="","",IFERROR(GETPIVOTDATA("合計 / 処遇改善加算金",【ピボット】国保連売上!$A$3,"年月",$A303,"事業所コード",$B303,"事業所",$C303,"事業区分",K$1,"請求区分","単月"),0))</f>
        <v>0</v>
      </c>
      <c r="M303" s="659">
        <f ca="1">IF($A303="","",IFERROR(GETPIVOTDATA("合計 / 入金予定",【ピボット】国保連売上!$A$3,"年月",$A303,"事業所コード",$B303,"事業所",$C303,"事業区分",M$1,"請求区分","単月"),0)
+IFERROR(GETPIVOTDATA("合計 / 入金予定",【ピボット】国保連売上!$A$3,"年月",$A303,"事業所コード",$B303,"事業所",$C303,"事業区分",M$1,"請求区分","再請求"),0))</f>
        <v>0</v>
      </c>
      <c r="N303" s="660">
        <v>311054</v>
      </c>
      <c r="O303" s="660">
        <v>8560</v>
      </c>
      <c r="P303" s="660">
        <v>0</v>
      </c>
      <c r="Q303" s="660">
        <v>1467</v>
      </c>
      <c r="R303" s="660">
        <v>121360</v>
      </c>
      <c r="S303" s="660">
        <v>0</v>
      </c>
      <c r="T303" s="660">
        <v>0</v>
      </c>
      <c r="U303" s="660">
        <v>0</v>
      </c>
      <c r="V303" s="660">
        <v>0</v>
      </c>
      <c r="W303" s="660">
        <v>0</v>
      </c>
      <c r="X303" s="660">
        <v>0</v>
      </c>
      <c r="Y303" s="659">
        <f t="shared" ca="1" si="12"/>
        <v>6262229</v>
      </c>
      <c r="Z303" s="659">
        <f t="shared" ca="1" si="14"/>
        <v>442441</v>
      </c>
    </row>
    <row r="304" spans="1:26" ht="15.95" customHeight="1" x14ac:dyDescent="0.15">
      <c r="A304" s="656">
        <v>43556</v>
      </c>
      <c r="B304" s="657" t="str">
        <f t="shared" ca="1" si="13"/>
        <v>03</v>
      </c>
      <c r="C304" s="658" t="s">
        <v>66</v>
      </c>
      <c r="D304" s="659">
        <f ca="1">IF($A304="","",IFERROR(GETPIVOTDATA("合計 / 入金予定",【ピボット】国保連売上!$A$3,"年月",$A304,"事業所コード",$B304,"事業所",$C304,"事業区分",D$1,"請求区分","単月"),0)
+IFERROR(GETPIVOTDATA("合計 / 入金予定",【ピボット】国保連売上!$A$3,"年月",$A304,"事業所コード",$B304,"事業所",$C304,"事業区分",D$1,"請求区分","再請求"),0))</f>
        <v>4769253</v>
      </c>
      <c r="E304" s="659">
        <f ca="1">IF($A304="","",IFERROR(GETPIVOTDATA("合計 / 処遇改善加算金",【ピボット】国保連売上!$A$3,"年月",$A304,"事業所コード",$B304,"事業所",$C304,"事業区分",D$1,"請求区分","単月"),0))</f>
        <v>0</v>
      </c>
      <c r="F304" s="659">
        <f ca="1">IF($A304="","",IFERROR(GETPIVOTDATA("合計 / 入金予定",【ピボット】国保連売上!$A$3,"年月",$A304,"事業所コード",$B304,"事業所",$C304,"事業区分",F$1,"請求区分","単月"),0)
+IFERROR(GETPIVOTDATA("合計 / 入金予定",【ピボット】国保連売上!$A$3,"年月",$A304,"事業所コード",$B304,"事業所",$C304,"事業区分",F$1,"請求区分","再請求"),0))</f>
        <v>1980862</v>
      </c>
      <c r="G304" s="659">
        <f ca="1">IF($A304="","",IFERROR(GETPIVOTDATA("合計 / 処遇改善加算金",【ピボット】国保連売上!$A$3,"年月",$A304,"事業所コード",$B304,"事業所",$C304,"事業区分",F$1,"請求区分","単月"),0))</f>
        <v>0</v>
      </c>
      <c r="H304" s="659">
        <f ca="1">IF($A304="","",IFERROR(GETPIVOTDATA("合計 / 入金予定",【ピボット】国保連売上!$A$3,"年月",$A304,"事業所コード",$B304,"事業所",$C304,"事業区分",H$1,"請求区分","単月"),0)
+IFERROR(GETPIVOTDATA("合計 / 入金予定",【ピボット】国保連売上!$A$3,"年月",$A304,"事業所コード",$B304,"事業所",$C304,"事業区分",H$1,"請求区分","再請求"),0))</f>
        <v>0</v>
      </c>
      <c r="I304" s="659">
        <f ca="1">IF($A304="","",IFERROR(GETPIVOTDATA("合計 / 入金予定",【ピボット】国保連売上!$A$3,"年月",$A304,"事業所コード",$B304,"事業所",$C304,"事業区分",I$1,"請求区分","単月"),0)
+IFERROR(GETPIVOTDATA("合計 / 入金予定",【ピボット】国保連売上!$A$3,"年月",$A304,"事業所コード",$B304,"事業所",$C304,"事業区分",I$1,"請求区分","再請求"),0))</f>
        <v>0</v>
      </c>
      <c r="J304" s="659">
        <f ca="1">IF($A304="","",IFERROR(GETPIVOTDATA("合計 / 処遇改善加算金",【ピボット】国保連売上!$A$3,"年月",$A304,"事業所コード",$B304,"事業所",$C304,"事業区分",I$1,"請求区分","単月"),0))</f>
        <v>0</v>
      </c>
      <c r="K304" s="659">
        <f ca="1">IF($A304="","",IFERROR(GETPIVOTDATA("合計 / 入金予定",【ピボット】国保連売上!$A$3,"年月",$A304,"事業所コード",$B304,"事業所",$C304,"事業区分",K$1,"請求区分","単月"),0)
+IFERROR(GETPIVOTDATA("合計 / 入金予定",【ピボット】国保連売上!$A$3,"年月",$A304,"事業所コード",$B304,"事業所",$C304,"事業区分",K$1,"請求区分","再請求"),0))</f>
        <v>0</v>
      </c>
      <c r="L304" s="659">
        <f ca="1">IF($A304="","",IFERROR(GETPIVOTDATA("合計 / 処遇改善加算金",【ピボット】国保連売上!$A$3,"年月",$A304,"事業所コード",$B304,"事業所",$C304,"事業区分",K$1,"請求区分","単月"),0))</f>
        <v>0</v>
      </c>
      <c r="M304" s="659">
        <f ca="1">IF($A304="","",IFERROR(GETPIVOTDATA("合計 / 入金予定",【ピボット】国保連売上!$A$3,"年月",$A304,"事業所コード",$B304,"事業所",$C304,"事業区分",M$1,"請求区分","単月"),0)
+IFERROR(GETPIVOTDATA("合計 / 入金予定",【ピボット】国保連売上!$A$3,"年月",$A304,"事業所コード",$B304,"事業所",$C304,"事業区分",M$1,"請求区分","再請求"),0))</f>
        <v>0</v>
      </c>
      <c r="N304" s="660">
        <v>134300</v>
      </c>
      <c r="O304" s="660">
        <v>200620</v>
      </c>
      <c r="P304" s="660">
        <v>19950</v>
      </c>
      <c r="Q304" s="660">
        <v>5435</v>
      </c>
      <c r="R304" s="660">
        <v>0</v>
      </c>
      <c r="S304" s="660">
        <v>0</v>
      </c>
      <c r="T304" s="660">
        <v>0</v>
      </c>
      <c r="U304" s="660">
        <v>0</v>
      </c>
      <c r="V304" s="660">
        <v>0</v>
      </c>
      <c r="W304" s="660">
        <v>0</v>
      </c>
      <c r="X304" s="660">
        <v>0</v>
      </c>
      <c r="Y304" s="659">
        <f t="shared" ca="1" si="12"/>
        <v>7110420</v>
      </c>
      <c r="Z304" s="659">
        <f t="shared" ca="1" si="14"/>
        <v>360305</v>
      </c>
    </row>
    <row r="305" spans="1:26" ht="15.95" customHeight="1" x14ac:dyDescent="0.15">
      <c r="A305" s="656">
        <v>43556</v>
      </c>
      <c r="B305" s="657" t="str">
        <f t="shared" ca="1" si="13"/>
        <v>11</v>
      </c>
      <c r="C305" s="658" t="s">
        <v>967</v>
      </c>
      <c r="D305" s="659">
        <f ca="1">IF($A305="","",IFERROR(GETPIVOTDATA("合計 / 入金予定",【ピボット】国保連売上!$A$3,"年月",$A305,"事業所コード",$B305,"事業所",$C305,"事業区分",D$1,"請求区分","単月"),0)
+IFERROR(GETPIVOTDATA("合計 / 入金予定",【ピボット】国保連売上!$A$3,"年月",$A305,"事業所コード",$B305,"事業所",$C305,"事業区分",D$1,"請求区分","再請求"),0))</f>
        <v>13148</v>
      </c>
      <c r="E305" s="659">
        <f ca="1">IF($A305="","",IFERROR(GETPIVOTDATA("合計 / 処遇改善加算金",【ピボット】国保連売上!$A$3,"年月",$A305,"事業所コード",$B305,"事業所",$C305,"事業区分",D$1,"請求区分","単月"),0))</f>
        <v>0</v>
      </c>
      <c r="F305" s="659">
        <f ca="1">IF($A305="","",IFERROR(GETPIVOTDATA("合計 / 入金予定",【ピボット】国保連売上!$A$3,"年月",$A305,"事業所コード",$B305,"事業所",$C305,"事業区分",F$1,"請求区分","単月"),0)
+IFERROR(GETPIVOTDATA("合計 / 入金予定",【ピボット】国保連売上!$A$3,"年月",$A305,"事業所コード",$B305,"事業所",$C305,"事業区分",F$1,"請求区分","再請求"),0))</f>
        <v>0</v>
      </c>
      <c r="G305" s="659">
        <f ca="1">IF($A305="","",IFERROR(GETPIVOTDATA("合計 / 処遇改善加算金",【ピボット】国保連売上!$A$3,"年月",$A305,"事業所コード",$B305,"事業所",$C305,"事業区分",F$1,"請求区分","単月"),0))</f>
        <v>0</v>
      </c>
      <c r="H305" s="659">
        <f ca="1">IF($A305="","",IFERROR(GETPIVOTDATA("合計 / 入金予定",【ピボット】国保連売上!$A$3,"年月",$A305,"事業所コード",$B305,"事業所",$C305,"事業区分",H$1,"請求区分","単月"),0)
+IFERROR(GETPIVOTDATA("合計 / 入金予定",【ピボット】国保連売上!$A$3,"年月",$A305,"事業所コード",$B305,"事業所",$C305,"事業区分",H$1,"請求区分","再請求"),0))</f>
        <v>0</v>
      </c>
      <c r="I305" s="659">
        <f ca="1">IF($A305="","",IFERROR(GETPIVOTDATA("合計 / 入金予定",【ピボット】国保連売上!$A$3,"年月",$A305,"事業所コード",$B305,"事業所",$C305,"事業区分",I$1,"請求区分","単月"),0)
+IFERROR(GETPIVOTDATA("合計 / 入金予定",【ピボット】国保連売上!$A$3,"年月",$A305,"事業所コード",$B305,"事業所",$C305,"事業区分",I$1,"請求区分","再請求"),0))</f>
        <v>0</v>
      </c>
      <c r="J305" s="659">
        <f ca="1">IF($A305="","",IFERROR(GETPIVOTDATA("合計 / 処遇改善加算金",【ピボット】国保連売上!$A$3,"年月",$A305,"事業所コード",$B305,"事業所",$C305,"事業区分",I$1,"請求区分","単月"),0))</f>
        <v>0</v>
      </c>
      <c r="K305" s="659">
        <f ca="1">IF($A305="","",IFERROR(GETPIVOTDATA("合計 / 入金予定",【ピボット】国保連売上!$A$3,"年月",$A305,"事業所コード",$B305,"事業所",$C305,"事業区分",K$1,"請求区分","単月"),0)
+IFERROR(GETPIVOTDATA("合計 / 入金予定",【ピボット】国保連売上!$A$3,"年月",$A305,"事業所コード",$B305,"事業所",$C305,"事業区分",K$1,"請求区分","再請求"),0))</f>
        <v>0</v>
      </c>
      <c r="L305" s="659">
        <f ca="1">IF($A305="","",IFERROR(GETPIVOTDATA("合計 / 処遇改善加算金",【ピボット】国保連売上!$A$3,"年月",$A305,"事業所コード",$B305,"事業所",$C305,"事業区分",K$1,"請求区分","単月"),0))</f>
        <v>0</v>
      </c>
      <c r="M305" s="659">
        <f ca="1">IF($A305="","",IFERROR(GETPIVOTDATA("合計 / 入金予定",【ピボット】国保連売上!$A$3,"年月",$A305,"事業所コード",$B305,"事業所",$C305,"事業区分",M$1,"請求区分","単月"),0)
+IFERROR(GETPIVOTDATA("合計 / 入金予定",【ピボット】国保連売上!$A$3,"年月",$A305,"事業所コード",$B305,"事業所",$C305,"事業区分",M$1,"請求区分","再請求"),0))</f>
        <v>0</v>
      </c>
      <c r="N305" s="660">
        <v>0</v>
      </c>
      <c r="O305" s="660">
        <v>0</v>
      </c>
      <c r="P305" s="660">
        <v>0</v>
      </c>
      <c r="Q305" s="660">
        <v>0</v>
      </c>
      <c r="R305" s="660">
        <v>0</v>
      </c>
      <c r="S305" s="660">
        <v>0</v>
      </c>
      <c r="T305" s="660">
        <v>0</v>
      </c>
      <c r="U305" s="660">
        <v>0</v>
      </c>
      <c r="V305" s="660">
        <v>0</v>
      </c>
      <c r="W305" s="660">
        <v>0</v>
      </c>
      <c r="X305" s="660">
        <v>0</v>
      </c>
      <c r="Y305" s="659">
        <f t="shared" ca="1" si="12"/>
        <v>13148</v>
      </c>
      <c r="Z305" s="659">
        <f t="shared" ca="1" si="14"/>
        <v>0</v>
      </c>
    </row>
    <row r="306" spans="1:26" ht="15.95" customHeight="1" x14ac:dyDescent="0.15">
      <c r="A306" s="656">
        <v>43556</v>
      </c>
      <c r="B306" s="657" t="str">
        <f t="shared" ca="1" si="13"/>
        <v>12</v>
      </c>
      <c r="C306" s="658" t="s">
        <v>1143</v>
      </c>
      <c r="D306" s="659">
        <f ca="1">IF($A306="","",IFERROR(GETPIVOTDATA("合計 / 入金予定",【ピボット】国保連売上!$A$3,"年月",$A306,"事業所コード",$B306,"事業所",$C306,"事業区分",D$1,"請求区分","単月"),0)
+IFERROR(GETPIVOTDATA("合計 / 入金予定",【ピボット】国保連売上!$A$3,"年月",$A306,"事業所コード",$B306,"事業所",$C306,"事業区分",D$1,"請求区分","再請求"),0))</f>
        <v>1324858</v>
      </c>
      <c r="E306" s="659">
        <f ca="1">IF($A306="","",IFERROR(GETPIVOTDATA("合計 / 処遇改善加算金",【ピボット】国保連売上!$A$3,"年月",$A306,"事業所コード",$B306,"事業所",$C306,"事業区分",D$1,"請求区分","単月"),0))</f>
        <v>0</v>
      </c>
      <c r="F306" s="659">
        <f ca="1">IF($A306="","",IFERROR(GETPIVOTDATA("合計 / 入金予定",【ピボット】国保連売上!$A$3,"年月",$A306,"事業所コード",$B306,"事業所",$C306,"事業区分",F$1,"請求区分","単月"),0)
+IFERROR(GETPIVOTDATA("合計 / 入金予定",【ピボット】国保連売上!$A$3,"年月",$A306,"事業所コード",$B306,"事業所",$C306,"事業区分",F$1,"請求区分","再請求"),0))</f>
        <v>517678</v>
      </c>
      <c r="G306" s="659">
        <f ca="1">IF($A306="","",IFERROR(GETPIVOTDATA("合計 / 処遇改善加算金",【ピボット】国保連売上!$A$3,"年月",$A306,"事業所コード",$B306,"事業所",$C306,"事業区分",F$1,"請求区分","単月"),0))</f>
        <v>0</v>
      </c>
      <c r="H306" s="659">
        <f ca="1">IF($A306="","",IFERROR(GETPIVOTDATA("合計 / 入金予定",【ピボット】国保連売上!$A$3,"年月",$A306,"事業所コード",$B306,"事業所",$C306,"事業区分",H$1,"請求区分","単月"),0)
+IFERROR(GETPIVOTDATA("合計 / 入金予定",【ピボット】国保連売上!$A$3,"年月",$A306,"事業所コード",$B306,"事業所",$C306,"事業区分",H$1,"請求区分","再請求"),0))</f>
        <v>0</v>
      </c>
      <c r="I306" s="659">
        <f ca="1">IF($A306="","",IFERROR(GETPIVOTDATA("合計 / 入金予定",【ピボット】国保連売上!$A$3,"年月",$A306,"事業所コード",$B306,"事業所",$C306,"事業区分",I$1,"請求区分","単月"),0)
+IFERROR(GETPIVOTDATA("合計 / 入金予定",【ピボット】国保連売上!$A$3,"年月",$A306,"事業所コード",$B306,"事業所",$C306,"事業区分",I$1,"請求区分","再請求"),0))</f>
        <v>0</v>
      </c>
      <c r="J306" s="659">
        <f ca="1">IF($A306="","",IFERROR(GETPIVOTDATA("合計 / 処遇改善加算金",【ピボット】国保連売上!$A$3,"年月",$A306,"事業所コード",$B306,"事業所",$C306,"事業区分",I$1,"請求区分","単月"),0))</f>
        <v>0</v>
      </c>
      <c r="K306" s="659">
        <f ca="1">IF($A306="","",IFERROR(GETPIVOTDATA("合計 / 入金予定",【ピボット】国保連売上!$A$3,"年月",$A306,"事業所コード",$B306,"事業所",$C306,"事業区分",K$1,"請求区分","単月"),0)
+IFERROR(GETPIVOTDATA("合計 / 入金予定",【ピボット】国保連売上!$A$3,"年月",$A306,"事業所コード",$B306,"事業所",$C306,"事業区分",K$1,"請求区分","再請求"),0))</f>
        <v>0</v>
      </c>
      <c r="L306" s="659">
        <f ca="1">IF($A306="","",IFERROR(GETPIVOTDATA("合計 / 処遇改善加算金",【ピボット】国保連売上!$A$3,"年月",$A306,"事業所コード",$B306,"事業所",$C306,"事業区分",K$1,"請求区分","単月"),0))</f>
        <v>0</v>
      </c>
      <c r="M306" s="659">
        <f ca="1">IF($A306="","",IFERROR(GETPIVOTDATA("合計 / 入金予定",【ピボット】国保連売上!$A$3,"年月",$A306,"事業所コード",$B306,"事業所",$C306,"事業区分",M$1,"請求区分","単月"),0)
+IFERROR(GETPIVOTDATA("合計 / 入金予定",【ピボット】国保連売上!$A$3,"年月",$A306,"事業所コード",$B306,"事業所",$C306,"事業区分",M$1,"請求区分","再請求"),0))</f>
        <v>0</v>
      </c>
      <c r="N306" s="660">
        <v>11050</v>
      </c>
      <c r="O306" s="660">
        <v>50090</v>
      </c>
      <c r="P306" s="660">
        <v>0</v>
      </c>
      <c r="Q306" s="660">
        <v>1518</v>
      </c>
      <c r="R306" s="660">
        <v>0</v>
      </c>
      <c r="S306" s="660">
        <v>0</v>
      </c>
      <c r="T306" s="660">
        <v>0</v>
      </c>
      <c r="U306" s="660">
        <v>0</v>
      </c>
      <c r="V306" s="660">
        <v>0</v>
      </c>
      <c r="W306" s="660">
        <v>0</v>
      </c>
      <c r="X306" s="660">
        <v>0</v>
      </c>
      <c r="Y306" s="659">
        <f t="shared" ca="1" si="12"/>
        <v>1905194</v>
      </c>
      <c r="Z306" s="659">
        <f t="shared" ca="1" si="14"/>
        <v>62658</v>
      </c>
    </row>
    <row r="307" spans="1:26" ht="15.95" customHeight="1" x14ac:dyDescent="0.15">
      <c r="A307" s="656">
        <v>43556</v>
      </c>
      <c r="B307" s="657" t="str">
        <f t="shared" ca="1" si="13"/>
        <v>04</v>
      </c>
      <c r="C307" s="658" t="s">
        <v>358</v>
      </c>
      <c r="D307" s="659">
        <f ca="1">IF($A307="","",IFERROR(GETPIVOTDATA("合計 / 入金予定",【ピボット】国保連売上!$A$3,"年月",$A307,"事業所コード",$B307,"事業所",$C307,"事業区分",D$1,"請求区分","単月"),0)
+IFERROR(GETPIVOTDATA("合計 / 入金予定",【ピボット】国保連売上!$A$3,"年月",$A307,"事業所コード",$B307,"事業所",$C307,"事業区分",D$1,"請求区分","再請求"),0))</f>
        <v>0</v>
      </c>
      <c r="E307" s="659">
        <f ca="1">IF($A307="","",IFERROR(GETPIVOTDATA("合計 / 処遇改善加算金",【ピボット】国保連売上!$A$3,"年月",$A307,"事業所コード",$B307,"事業所",$C307,"事業区分",D$1,"請求区分","単月"),0))</f>
        <v>0</v>
      </c>
      <c r="F307" s="659">
        <f ca="1">IF($A307="","",IFERROR(GETPIVOTDATA("合計 / 入金予定",【ピボット】国保連売上!$A$3,"年月",$A307,"事業所コード",$B307,"事業所",$C307,"事業区分",F$1,"請求区分","単月"),0)
+IFERROR(GETPIVOTDATA("合計 / 入金予定",【ピボット】国保連売上!$A$3,"年月",$A307,"事業所コード",$B307,"事業所",$C307,"事業区分",F$1,"請求区分","再請求"),0))</f>
        <v>0</v>
      </c>
      <c r="G307" s="659">
        <f ca="1">IF($A307="","",IFERROR(GETPIVOTDATA("合計 / 処遇改善加算金",【ピボット】国保連売上!$A$3,"年月",$A307,"事業所コード",$B307,"事業所",$C307,"事業区分",F$1,"請求区分","単月"),0))</f>
        <v>0</v>
      </c>
      <c r="H307" s="659">
        <f ca="1">IF($A307="","",IFERROR(GETPIVOTDATA("合計 / 入金予定",【ピボット】国保連売上!$A$3,"年月",$A307,"事業所コード",$B307,"事業所",$C307,"事業区分",H$1,"請求区分","単月"),0)
+IFERROR(GETPIVOTDATA("合計 / 入金予定",【ピボット】国保連売上!$A$3,"年月",$A307,"事業所コード",$B307,"事業所",$C307,"事業区分",H$1,"請求区分","再請求"),0))</f>
        <v>0</v>
      </c>
      <c r="I307" s="659">
        <f ca="1">IF($A307="","",IFERROR(GETPIVOTDATA("合計 / 入金予定",【ピボット】国保連売上!$A$3,"年月",$A307,"事業所コード",$B307,"事業所",$C307,"事業区分",I$1,"請求区分","単月"),0)
+IFERROR(GETPIVOTDATA("合計 / 入金予定",【ピボット】国保連売上!$A$3,"年月",$A307,"事業所コード",$B307,"事業所",$C307,"事業区分",I$1,"請求区分","再請求"),0))</f>
        <v>4128975</v>
      </c>
      <c r="J307" s="659">
        <f ca="1">IF($A307="","",IFERROR(GETPIVOTDATA("合計 / 処遇改善加算金",【ピボット】国保連売上!$A$3,"年月",$A307,"事業所コード",$B307,"事業所",$C307,"事業区分",I$1,"請求区分","単月"),0))</f>
        <v>0</v>
      </c>
      <c r="K307" s="659">
        <f ca="1">IF($A307="","",IFERROR(GETPIVOTDATA("合計 / 入金予定",【ピボット】国保連売上!$A$3,"年月",$A307,"事業所コード",$B307,"事業所",$C307,"事業区分",K$1,"請求区分","単月"),0)
+IFERROR(GETPIVOTDATA("合計 / 入金予定",【ピボット】国保連売上!$A$3,"年月",$A307,"事業所コード",$B307,"事業所",$C307,"事業区分",K$1,"請求区分","再請求"),0))</f>
        <v>0</v>
      </c>
      <c r="L307" s="659">
        <f ca="1">IF($A307="","",IFERROR(GETPIVOTDATA("合計 / 処遇改善加算金",【ピボット】国保連売上!$A$3,"年月",$A307,"事業所コード",$B307,"事業所",$C307,"事業区分",K$1,"請求区分","単月"),0))</f>
        <v>0</v>
      </c>
      <c r="M307" s="659">
        <f ca="1">IF($A307="","",IFERROR(GETPIVOTDATA("合計 / 入金予定",【ピボット】国保連売上!$A$3,"年月",$A307,"事業所コード",$B307,"事業所",$C307,"事業区分",M$1,"請求区分","単月"),0)
+IFERROR(GETPIVOTDATA("合計 / 入金予定",【ピボット】国保連売上!$A$3,"年月",$A307,"事業所コード",$B307,"事業所",$C307,"事業区分",M$1,"請求区分","再請求"),0))</f>
        <v>0</v>
      </c>
      <c r="N307" s="660">
        <v>9000</v>
      </c>
      <c r="O307" s="660">
        <v>0</v>
      </c>
      <c r="P307" s="660">
        <v>0</v>
      </c>
      <c r="Q307" s="660">
        <v>0</v>
      </c>
      <c r="R307" s="660">
        <v>0</v>
      </c>
      <c r="S307" s="660">
        <v>0</v>
      </c>
      <c r="T307" s="660">
        <v>288000</v>
      </c>
      <c r="U307" s="660">
        <v>0</v>
      </c>
      <c r="V307" s="660">
        <v>0</v>
      </c>
      <c r="W307" s="660">
        <v>0</v>
      </c>
      <c r="X307" s="660">
        <v>0</v>
      </c>
      <c r="Y307" s="659">
        <f t="shared" ca="1" si="12"/>
        <v>4425975</v>
      </c>
      <c r="Z307" s="659">
        <f t="shared" ca="1" si="14"/>
        <v>297000</v>
      </c>
    </row>
    <row r="308" spans="1:26" ht="15.95" customHeight="1" x14ac:dyDescent="0.15">
      <c r="A308" s="656">
        <v>43556</v>
      </c>
      <c r="B308" s="657" t="str">
        <f t="shared" ca="1" si="13"/>
        <v>05</v>
      </c>
      <c r="C308" s="658" t="s">
        <v>359</v>
      </c>
      <c r="D308" s="659">
        <f ca="1">IF($A308="","",IFERROR(GETPIVOTDATA("合計 / 入金予定",【ピボット】国保連売上!$A$3,"年月",$A308,"事業所コード",$B308,"事業所",$C308,"事業区分",D$1,"請求区分","単月"),0)
+IFERROR(GETPIVOTDATA("合計 / 入金予定",【ピボット】国保連売上!$A$3,"年月",$A308,"事業所コード",$B308,"事業所",$C308,"事業区分",D$1,"請求区分","再請求"),0))</f>
        <v>1684049</v>
      </c>
      <c r="E308" s="659">
        <f ca="1">IF($A308="","",IFERROR(GETPIVOTDATA("合計 / 処遇改善加算金",【ピボット】国保連売上!$A$3,"年月",$A308,"事業所コード",$B308,"事業所",$C308,"事業区分",D$1,"請求区分","単月"),0))</f>
        <v>0</v>
      </c>
      <c r="F308" s="659">
        <f ca="1">IF($A308="","",IFERROR(GETPIVOTDATA("合計 / 入金予定",【ピボット】国保連売上!$A$3,"年月",$A308,"事業所コード",$B308,"事業所",$C308,"事業区分",F$1,"請求区分","単月"),0)
+IFERROR(GETPIVOTDATA("合計 / 入金予定",【ピボット】国保連売上!$A$3,"年月",$A308,"事業所コード",$B308,"事業所",$C308,"事業区分",F$1,"請求区分","再請求"),0))</f>
        <v>0</v>
      </c>
      <c r="G308" s="659">
        <f ca="1">IF($A308="","",IFERROR(GETPIVOTDATA("合計 / 処遇改善加算金",【ピボット】国保連売上!$A$3,"年月",$A308,"事業所コード",$B308,"事業所",$C308,"事業区分",F$1,"請求区分","単月"),0))</f>
        <v>0</v>
      </c>
      <c r="H308" s="659">
        <f ca="1">IF($A308="","",IFERROR(GETPIVOTDATA("合計 / 入金予定",【ピボット】国保連売上!$A$3,"年月",$A308,"事業所コード",$B308,"事業所",$C308,"事業区分",H$1,"請求区分","単月"),0)
+IFERROR(GETPIVOTDATA("合計 / 入金予定",【ピボット】国保連売上!$A$3,"年月",$A308,"事業所コード",$B308,"事業所",$C308,"事業区分",H$1,"請求区分","再請求"),0))</f>
        <v>0</v>
      </c>
      <c r="I308" s="659">
        <f ca="1">IF($A308="","",IFERROR(GETPIVOTDATA("合計 / 入金予定",【ピボット】国保連売上!$A$3,"年月",$A308,"事業所コード",$B308,"事業所",$C308,"事業区分",I$1,"請求区分","単月"),0)
+IFERROR(GETPIVOTDATA("合計 / 入金予定",【ピボット】国保連売上!$A$3,"年月",$A308,"事業所コード",$B308,"事業所",$C308,"事業区分",I$1,"請求区分","再請求"),0))</f>
        <v>0</v>
      </c>
      <c r="J308" s="659">
        <f ca="1">IF($A308="","",IFERROR(GETPIVOTDATA("合計 / 処遇改善加算金",【ピボット】国保連売上!$A$3,"年月",$A308,"事業所コード",$B308,"事業所",$C308,"事業区分",I$1,"請求区分","単月"),0))</f>
        <v>0</v>
      </c>
      <c r="K308" s="659">
        <f ca="1">IF($A308="","",IFERROR(GETPIVOTDATA("合計 / 入金予定",【ピボット】国保連売上!$A$3,"年月",$A308,"事業所コード",$B308,"事業所",$C308,"事業区分",K$1,"請求区分","単月"),0)
+IFERROR(GETPIVOTDATA("合計 / 入金予定",【ピボット】国保連売上!$A$3,"年月",$A308,"事業所コード",$B308,"事業所",$C308,"事業区分",K$1,"請求区分","再請求"),0))</f>
        <v>0</v>
      </c>
      <c r="L308" s="659">
        <f ca="1">IF($A308="","",IFERROR(GETPIVOTDATA("合計 / 処遇改善加算金",【ピボット】国保連売上!$A$3,"年月",$A308,"事業所コード",$B308,"事業所",$C308,"事業区分",K$1,"請求区分","単月"),0))</f>
        <v>0</v>
      </c>
      <c r="M308" s="659">
        <f ca="1">IF($A308="","",IFERROR(GETPIVOTDATA("合計 / 入金予定",【ピボット】国保連売上!$A$3,"年月",$A308,"事業所コード",$B308,"事業所",$C308,"事業区分",M$1,"請求区分","単月"),0)
+IFERROR(GETPIVOTDATA("合計 / 入金予定",【ピボット】国保連売上!$A$3,"年月",$A308,"事業所コード",$B308,"事業所",$C308,"事業区分",M$1,"請求区分","再請求"),0))</f>
        <v>0</v>
      </c>
      <c r="N308" s="660">
        <v>0</v>
      </c>
      <c r="O308" s="660">
        <v>0</v>
      </c>
      <c r="P308" s="660">
        <v>0</v>
      </c>
      <c r="Q308" s="660">
        <v>0</v>
      </c>
      <c r="R308" s="660">
        <v>0</v>
      </c>
      <c r="S308" s="660">
        <v>778420</v>
      </c>
      <c r="T308" s="660">
        <v>0</v>
      </c>
      <c r="U308" s="660">
        <v>0</v>
      </c>
      <c r="V308" s="660">
        <v>0</v>
      </c>
      <c r="W308" s="660">
        <v>0</v>
      </c>
      <c r="X308" s="660">
        <v>0</v>
      </c>
      <c r="Y308" s="659">
        <f t="shared" ca="1" si="12"/>
        <v>2462469</v>
      </c>
      <c r="Z308" s="659">
        <f t="shared" ca="1" si="14"/>
        <v>778420</v>
      </c>
    </row>
    <row r="309" spans="1:26" ht="15.95" customHeight="1" x14ac:dyDescent="0.15">
      <c r="A309" s="656">
        <v>43556</v>
      </c>
      <c r="B309" s="657" t="str">
        <f t="shared" ca="1" si="13"/>
        <v>07</v>
      </c>
      <c r="C309" s="658" t="s">
        <v>119</v>
      </c>
      <c r="D309" s="659">
        <f ca="1">IF($A309="","",IFERROR(GETPIVOTDATA("合計 / 入金予定",【ピボット】国保連売上!$A$3,"年月",$A309,"事業所コード",$B309,"事業所",$C309,"事業区分",D$1,"請求区分","単月"),0)
+IFERROR(GETPIVOTDATA("合計 / 入金予定",【ピボット】国保連売上!$A$3,"年月",$A309,"事業所コード",$B309,"事業所",$C309,"事業区分",D$1,"請求区分","再請求"),0))</f>
        <v>0</v>
      </c>
      <c r="E309" s="659">
        <f ca="1">IF($A309="","",IFERROR(GETPIVOTDATA("合計 / 処遇改善加算金",【ピボット】国保連売上!$A$3,"年月",$A309,"事業所コード",$B309,"事業所",$C309,"事業区分",D$1,"請求区分","単月"),0))</f>
        <v>0</v>
      </c>
      <c r="F309" s="659">
        <f ca="1">IF($A309="","",IFERROR(GETPIVOTDATA("合計 / 入金予定",【ピボット】国保連売上!$A$3,"年月",$A309,"事業所コード",$B309,"事業所",$C309,"事業区分",F$1,"請求区分","単月"),0)
+IFERROR(GETPIVOTDATA("合計 / 入金予定",【ピボット】国保連売上!$A$3,"年月",$A309,"事業所コード",$B309,"事業所",$C309,"事業区分",F$1,"請求区分","再請求"),0))</f>
        <v>0</v>
      </c>
      <c r="G309" s="659">
        <f ca="1">IF($A309="","",IFERROR(GETPIVOTDATA("合計 / 処遇改善加算金",【ピボット】国保連売上!$A$3,"年月",$A309,"事業所コード",$B309,"事業所",$C309,"事業区分",F$1,"請求区分","単月"),0))</f>
        <v>0</v>
      </c>
      <c r="H309" s="659">
        <f ca="1">IF($A309="","",IFERROR(GETPIVOTDATA("合計 / 入金予定",【ピボット】国保連売上!$A$3,"年月",$A309,"事業所コード",$B309,"事業所",$C309,"事業区分",H$1,"請求区分","単月"),0)
+IFERROR(GETPIVOTDATA("合計 / 入金予定",【ピボット】国保連売上!$A$3,"年月",$A309,"事業所コード",$B309,"事業所",$C309,"事業区分",H$1,"請求区分","再請求"),0))</f>
        <v>0</v>
      </c>
      <c r="I309" s="659">
        <f ca="1">IF($A309="","",IFERROR(GETPIVOTDATA("合計 / 入金予定",【ピボット】国保連売上!$A$3,"年月",$A309,"事業所コード",$B309,"事業所",$C309,"事業区分",I$1,"請求区分","単月"),0)
+IFERROR(GETPIVOTDATA("合計 / 入金予定",【ピボット】国保連売上!$A$3,"年月",$A309,"事業所コード",$B309,"事業所",$C309,"事業区分",I$1,"請求区分","再請求"),0))</f>
        <v>0</v>
      </c>
      <c r="J309" s="659">
        <f ca="1">IF($A309="","",IFERROR(GETPIVOTDATA("合計 / 処遇改善加算金",【ピボット】国保連売上!$A$3,"年月",$A309,"事業所コード",$B309,"事業所",$C309,"事業区分",I$1,"請求区分","単月"),0))</f>
        <v>0</v>
      </c>
      <c r="K309" s="659">
        <f ca="1">IF($A309="","",IFERROR(GETPIVOTDATA("合計 / 入金予定",【ピボット】国保連売上!$A$3,"年月",$A309,"事業所コード",$B309,"事業所",$C309,"事業区分",K$1,"請求区分","単月"),0)
+IFERROR(GETPIVOTDATA("合計 / 入金予定",【ピボット】国保連売上!$A$3,"年月",$A309,"事業所コード",$B309,"事業所",$C309,"事業区分",K$1,"請求区分","再請求"),0))</f>
        <v>1025725</v>
      </c>
      <c r="L309" s="659">
        <f ca="1">IF($A309="","",IFERROR(GETPIVOTDATA("合計 / 処遇改善加算金",【ピボット】国保連売上!$A$3,"年月",$A309,"事業所コード",$B309,"事業所",$C309,"事業区分",K$1,"請求区分","単月"),0))</f>
        <v>0</v>
      </c>
      <c r="M309" s="659">
        <f ca="1">IF($A309="","",IFERROR(GETPIVOTDATA("合計 / 入金予定",【ピボット】国保連売上!$A$3,"年月",$A309,"事業所コード",$B309,"事業所",$C309,"事業区分",M$1,"請求区分","単月"),0)
+IFERROR(GETPIVOTDATA("合計 / 入金予定",【ピボット】国保連売上!$A$3,"年月",$A309,"事業所コード",$B309,"事業所",$C309,"事業区分",M$1,"請求区分","再請求"),0))</f>
        <v>0</v>
      </c>
      <c r="N309" s="660">
        <v>0</v>
      </c>
      <c r="O309" s="660">
        <v>0</v>
      </c>
      <c r="P309" s="660">
        <v>0</v>
      </c>
      <c r="Q309" s="660">
        <v>0</v>
      </c>
      <c r="R309" s="660">
        <v>0</v>
      </c>
      <c r="S309" s="660">
        <v>78000</v>
      </c>
      <c r="T309" s="660">
        <v>0</v>
      </c>
      <c r="U309" s="660">
        <v>0</v>
      </c>
      <c r="V309" s="660">
        <v>-40000</v>
      </c>
      <c r="W309" s="660">
        <v>13336</v>
      </c>
      <c r="X309" s="660">
        <v>0</v>
      </c>
      <c r="Y309" s="659">
        <f t="shared" ca="1" si="12"/>
        <v>1077061</v>
      </c>
      <c r="Z309" s="659">
        <f t="shared" ca="1" si="14"/>
        <v>51336</v>
      </c>
    </row>
    <row r="310" spans="1:26" ht="15.95" customHeight="1" x14ac:dyDescent="0.15">
      <c r="A310" s="656">
        <v>43556</v>
      </c>
      <c r="B310" s="657" t="str">
        <f t="shared" ca="1" si="13"/>
        <v>08</v>
      </c>
      <c r="C310" s="658" t="s">
        <v>189</v>
      </c>
      <c r="D310" s="659">
        <f ca="1">IF($A310="","",IFERROR(GETPIVOTDATA("合計 / 入金予定",【ピボット】国保連売上!$A$3,"年月",$A310,"事業所コード",$B310,"事業所",$C310,"事業区分",D$1,"請求区分","単月"),0)
+IFERROR(GETPIVOTDATA("合計 / 入金予定",【ピボット】国保連売上!$A$3,"年月",$A310,"事業所コード",$B310,"事業所",$C310,"事業区分",D$1,"請求区分","再請求"),0))</f>
        <v>0</v>
      </c>
      <c r="E310" s="659">
        <f ca="1">IF($A310="","",IFERROR(GETPIVOTDATA("合計 / 処遇改善加算金",【ピボット】国保連売上!$A$3,"年月",$A310,"事業所コード",$B310,"事業所",$C310,"事業区分",D$1,"請求区分","単月"),0))</f>
        <v>0</v>
      </c>
      <c r="F310" s="659">
        <f ca="1">IF($A310="","",IFERROR(GETPIVOTDATA("合計 / 入金予定",【ピボット】国保連売上!$A$3,"年月",$A310,"事業所コード",$B310,"事業所",$C310,"事業区分",F$1,"請求区分","単月"),0)
+IFERROR(GETPIVOTDATA("合計 / 入金予定",【ピボット】国保連売上!$A$3,"年月",$A310,"事業所コード",$B310,"事業所",$C310,"事業区分",F$1,"請求区分","再請求"),0))</f>
        <v>0</v>
      </c>
      <c r="G310" s="659">
        <f ca="1">IF($A310="","",IFERROR(GETPIVOTDATA("合計 / 処遇改善加算金",【ピボット】国保連売上!$A$3,"年月",$A310,"事業所コード",$B310,"事業所",$C310,"事業区分",F$1,"請求区分","単月"),0))</f>
        <v>0</v>
      </c>
      <c r="H310" s="659">
        <f ca="1">IF($A310="","",IFERROR(GETPIVOTDATA("合計 / 入金予定",【ピボット】国保連売上!$A$3,"年月",$A310,"事業所コード",$B310,"事業所",$C310,"事業区分",H$1,"請求区分","単月"),0)
+IFERROR(GETPIVOTDATA("合計 / 入金予定",【ピボット】国保連売上!$A$3,"年月",$A310,"事業所コード",$B310,"事業所",$C310,"事業区分",H$1,"請求区分","再請求"),0))</f>
        <v>0</v>
      </c>
      <c r="I310" s="659">
        <f ca="1">IF($A310="","",IFERROR(GETPIVOTDATA("合計 / 入金予定",【ピボット】国保連売上!$A$3,"年月",$A310,"事業所コード",$B310,"事業所",$C310,"事業区分",I$1,"請求区分","単月"),0)
+IFERROR(GETPIVOTDATA("合計 / 入金予定",【ピボット】国保連売上!$A$3,"年月",$A310,"事業所コード",$B310,"事業所",$C310,"事業区分",I$1,"請求区分","再請求"),0))</f>
        <v>0</v>
      </c>
      <c r="J310" s="659">
        <f ca="1">IF($A310="","",IFERROR(GETPIVOTDATA("合計 / 処遇改善加算金",【ピボット】国保連売上!$A$3,"年月",$A310,"事業所コード",$B310,"事業所",$C310,"事業区分",I$1,"請求区分","単月"),0))</f>
        <v>0</v>
      </c>
      <c r="K310" s="659">
        <f ca="1">IF($A310="","",IFERROR(GETPIVOTDATA("合計 / 入金予定",【ピボット】国保連売上!$A$3,"年月",$A310,"事業所コード",$B310,"事業所",$C310,"事業区分",K$1,"請求区分","単月"),0)
+IFERROR(GETPIVOTDATA("合計 / 入金予定",【ピボット】国保連売上!$A$3,"年月",$A310,"事業所コード",$B310,"事業所",$C310,"事業区分",K$1,"請求区分","再請求"),0))</f>
        <v>746482</v>
      </c>
      <c r="L310" s="659">
        <f ca="1">IF($A310="","",IFERROR(GETPIVOTDATA("合計 / 処遇改善加算金",【ピボット】国保連売上!$A$3,"年月",$A310,"事業所コード",$B310,"事業所",$C310,"事業区分",K$1,"請求区分","単月"),0))</f>
        <v>0</v>
      </c>
      <c r="M310" s="659">
        <f ca="1">IF($A310="","",IFERROR(GETPIVOTDATA("合計 / 入金予定",【ピボット】国保連売上!$A$3,"年月",$A310,"事業所コード",$B310,"事業所",$C310,"事業区分",M$1,"請求区分","単月"),0)
+IFERROR(GETPIVOTDATA("合計 / 入金予定",【ピボット】国保連売上!$A$3,"年月",$A310,"事業所コード",$B310,"事業所",$C310,"事業区分",M$1,"請求区分","再請求"),0))</f>
        <v>0</v>
      </c>
      <c r="N310" s="660">
        <v>0</v>
      </c>
      <c r="O310" s="660">
        <v>0</v>
      </c>
      <c r="P310" s="660">
        <v>0</v>
      </c>
      <c r="Q310" s="660">
        <v>0</v>
      </c>
      <c r="R310" s="660">
        <v>0</v>
      </c>
      <c r="S310" s="660">
        <v>81000</v>
      </c>
      <c r="T310" s="660">
        <v>0</v>
      </c>
      <c r="U310" s="660">
        <v>0</v>
      </c>
      <c r="V310" s="660">
        <v>-30000</v>
      </c>
      <c r="W310" s="660">
        <v>0</v>
      </c>
      <c r="X310" s="660">
        <v>0</v>
      </c>
      <c r="Y310" s="659">
        <f t="shared" ref="Y310:Y373" ca="1" si="15">IF(A310="","",SUM(D310,F310,H310:I310,K310,M310:X310))</f>
        <v>797482</v>
      </c>
      <c r="Z310" s="659">
        <f t="shared" ca="1" si="14"/>
        <v>51000</v>
      </c>
    </row>
    <row r="311" spans="1:26" ht="15.95" customHeight="1" x14ac:dyDescent="0.15">
      <c r="A311" s="656">
        <v>43556</v>
      </c>
      <c r="B311" s="657" t="str">
        <f t="shared" ca="1" si="13"/>
        <v>09</v>
      </c>
      <c r="C311" s="658" t="s">
        <v>329</v>
      </c>
      <c r="D311" s="659">
        <f ca="1">IF($A311="","",IFERROR(GETPIVOTDATA("合計 / 入金予定",【ピボット】国保連売上!$A$3,"年月",$A311,"事業所コード",$B311,"事業所",$C311,"事業区分",D$1,"請求区分","単月"),0)
+IFERROR(GETPIVOTDATA("合計 / 入金予定",【ピボット】国保連売上!$A$3,"年月",$A311,"事業所コード",$B311,"事業所",$C311,"事業区分",D$1,"請求区分","再請求"),0))</f>
        <v>0</v>
      </c>
      <c r="E311" s="659">
        <f ca="1">IF($A311="","",IFERROR(GETPIVOTDATA("合計 / 処遇改善加算金",【ピボット】国保連売上!$A$3,"年月",$A311,"事業所コード",$B311,"事業所",$C311,"事業区分",D$1,"請求区分","単月"),0))</f>
        <v>0</v>
      </c>
      <c r="F311" s="659">
        <f ca="1">IF($A311="","",IFERROR(GETPIVOTDATA("合計 / 入金予定",【ピボット】国保連売上!$A$3,"年月",$A311,"事業所コード",$B311,"事業所",$C311,"事業区分",F$1,"請求区分","単月"),0)
+IFERROR(GETPIVOTDATA("合計 / 入金予定",【ピボット】国保連売上!$A$3,"年月",$A311,"事業所コード",$B311,"事業所",$C311,"事業区分",F$1,"請求区分","再請求"),0))</f>
        <v>0</v>
      </c>
      <c r="G311" s="659">
        <f ca="1">IF($A311="","",IFERROR(GETPIVOTDATA("合計 / 処遇改善加算金",【ピボット】国保連売上!$A$3,"年月",$A311,"事業所コード",$B311,"事業所",$C311,"事業区分",F$1,"請求区分","単月"),0))</f>
        <v>0</v>
      </c>
      <c r="H311" s="659">
        <f ca="1">IF($A311="","",IFERROR(GETPIVOTDATA("合計 / 入金予定",【ピボット】国保連売上!$A$3,"年月",$A311,"事業所コード",$B311,"事業所",$C311,"事業区分",H$1,"請求区分","単月"),0)
+IFERROR(GETPIVOTDATA("合計 / 入金予定",【ピボット】国保連売上!$A$3,"年月",$A311,"事業所コード",$B311,"事業所",$C311,"事業区分",H$1,"請求区分","再請求"),0))</f>
        <v>0</v>
      </c>
      <c r="I311" s="659">
        <f ca="1">IF($A311="","",IFERROR(GETPIVOTDATA("合計 / 入金予定",【ピボット】国保連売上!$A$3,"年月",$A311,"事業所コード",$B311,"事業所",$C311,"事業区分",I$1,"請求区分","単月"),0)
+IFERROR(GETPIVOTDATA("合計 / 入金予定",【ピボット】国保連売上!$A$3,"年月",$A311,"事業所コード",$B311,"事業所",$C311,"事業区分",I$1,"請求区分","再請求"),0))</f>
        <v>0</v>
      </c>
      <c r="J311" s="659">
        <f ca="1">IF($A311="","",IFERROR(GETPIVOTDATA("合計 / 処遇改善加算金",【ピボット】国保連売上!$A$3,"年月",$A311,"事業所コード",$B311,"事業所",$C311,"事業区分",I$1,"請求区分","単月"),0))</f>
        <v>0</v>
      </c>
      <c r="K311" s="659">
        <f ca="1">IF($A311="","",IFERROR(GETPIVOTDATA("合計 / 入金予定",【ピボット】国保連売上!$A$3,"年月",$A311,"事業所コード",$B311,"事業所",$C311,"事業区分",K$1,"請求区分","単月"),0)
+IFERROR(GETPIVOTDATA("合計 / 入金予定",【ピボット】国保連売上!$A$3,"年月",$A311,"事業所コード",$B311,"事業所",$C311,"事業区分",K$1,"請求区分","再請求"),0))</f>
        <v>2509810</v>
      </c>
      <c r="L311" s="659">
        <f ca="1">IF($A311="","",IFERROR(GETPIVOTDATA("合計 / 処遇改善加算金",【ピボット】国保連売上!$A$3,"年月",$A311,"事業所コード",$B311,"事業所",$C311,"事業区分",K$1,"請求区分","単月"),0))</f>
        <v>0</v>
      </c>
      <c r="M311" s="659">
        <f ca="1">IF($A311="","",IFERROR(GETPIVOTDATA("合計 / 入金予定",【ピボット】国保連売上!$A$3,"年月",$A311,"事業所コード",$B311,"事業所",$C311,"事業区分",M$1,"請求区分","単月"),0)
+IFERROR(GETPIVOTDATA("合計 / 入金予定",【ピボット】国保連売上!$A$3,"年月",$A311,"事業所コード",$B311,"事業所",$C311,"事業区分",M$1,"請求区分","再請求"),0))</f>
        <v>0</v>
      </c>
      <c r="N311" s="660">
        <v>0</v>
      </c>
      <c r="O311" s="660">
        <v>0</v>
      </c>
      <c r="P311" s="660">
        <v>0</v>
      </c>
      <c r="Q311" s="660">
        <v>0</v>
      </c>
      <c r="R311" s="660">
        <v>0</v>
      </c>
      <c r="S311" s="660">
        <v>400000</v>
      </c>
      <c r="T311" s="660">
        <v>0</v>
      </c>
      <c r="U311" s="660">
        <v>0</v>
      </c>
      <c r="V311" s="660">
        <v>-100000</v>
      </c>
      <c r="W311" s="660">
        <v>22010</v>
      </c>
      <c r="X311" s="660">
        <v>0</v>
      </c>
      <c r="Y311" s="659">
        <f t="shared" ca="1" si="15"/>
        <v>2831820</v>
      </c>
      <c r="Z311" s="659">
        <f t="shared" ca="1" si="14"/>
        <v>322010</v>
      </c>
    </row>
    <row r="312" spans="1:26" ht="15.95" customHeight="1" x14ac:dyDescent="0.15">
      <c r="A312" s="656">
        <v>43556</v>
      </c>
      <c r="B312" s="657" t="str">
        <f t="shared" ca="1" si="13"/>
        <v>13</v>
      </c>
      <c r="C312" s="658" t="s">
        <v>1223</v>
      </c>
      <c r="D312" s="659">
        <f ca="1">IF($A312="","",IFERROR(GETPIVOTDATA("合計 / 入金予定",【ピボット】国保連売上!$A$3,"年月",$A312,"事業所コード",$B312,"事業所",$C312,"事業区分",D$1,"請求区分","単月"),0)
+IFERROR(GETPIVOTDATA("合計 / 入金予定",【ピボット】国保連売上!$A$3,"年月",$A312,"事業所コード",$B312,"事業所",$C312,"事業区分",D$1,"請求区分","再請求"),0))</f>
        <v>0</v>
      </c>
      <c r="E312" s="659">
        <f ca="1">IF($A312="","",IFERROR(GETPIVOTDATA("合計 / 処遇改善加算金",【ピボット】国保連売上!$A$3,"年月",$A312,"事業所コード",$B312,"事業所",$C312,"事業区分",D$1,"請求区分","単月"),0))</f>
        <v>0</v>
      </c>
      <c r="F312" s="659">
        <f ca="1">IF($A312="","",IFERROR(GETPIVOTDATA("合計 / 入金予定",【ピボット】国保連売上!$A$3,"年月",$A312,"事業所コード",$B312,"事業所",$C312,"事業区分",F$1,"請求区分","単月"),0)
+IFERROR(GETPIVOTDATA("合計 / 入金予定",【ピボット】国保連売上!$A$3,"年月",$A312,"事業所コード",$B312,"事業所",$C312,"事業区分",F$1,"請求区分","再請求"),0))</f>
        <v>0</v>
      </c>
      <c r="G312" s="659">
        <f ca="1">IF($A312="","",IFERROR(GETPIVOTDATA("合計 / 処遇改善加算金",【ピボット】国保連売上!$A$3,"年月",$A312,"事業所コード",$B312,"事業所",$C312,"事業区分",F$1,"請求区分","単月"),0))</f>
        <v>0</v>
      </c>
      <c r="H312" s="659">
        <f ca="1">IF($A312="","",IFERROR(GETPIVOTDATA("合計 / 入金予定",【ピボット】国保連売上!$A$3,"年月",$A312,"事業所コード",$B312,"事業所",$C312,"事業区分",H$1,"請求区分","単月"),0)
+IFERROR(GETPIVOTDATA("合計 / 入金予定",【ピボット】国保連売上!$A$3,"年月",$A312,"事業所コード",$B312,"事業所",$C312,"事業区分",H$1,"請求区分","再請求"),0))</f>
        <v>0</v>
      </c>
      <c r="I312" s="659">
        <f ca="1">IF($A312="","",IFERROR(GETPIVOTDATA("合計 / 入金予定",【ピボット】国保連売上!$A$3,"年月",$A312,"事業所コード",$B312,"事業所",$C312,"事業区分",I$1,"請求区分","単月"),0)
+IFERROR(GETPIVOTDATA("合計 / 入金予定",【ピボット】国保連売上!$A$3,"年月",$A312,"事業所コード",$B312,"事業所",$C312,"事業区分",I$1,"請求区分","再請求"),0))</f>
        <v>0</v>
      </c>
      <c r="J312" s="659">
        <f ca="1">IF($A312="","",IFERROR(GETPIVOTDATA("合計 / 処遇改善加算金",【ピボット】国保連売上!$A$3,"年月",$A312,"事業所コード",$B312,"事業所",$C312,"事業区分",I$1,"請求区分","単月"),0))</f>
        <v>0</v>
      </c>
      <c r="K312" s="659">
        <f ca="1">IF($A312="","",IFERROR(GETPIVOTDATA("合計 / 入金予定",【ピボット】国保連売上!$A$3,"年月",$A312,"事業所コード",$B312,"事業所",$C312,"事業区分",K$1,"請求区分","単月"),0)
+IFERROR(GETPIVOTDATA("合計 / 入金予定",【ピボット】国保連売上!$A$3,"年月",$A312,"事業所コード",$B312,"事業所",$C312,"事業区分",K$1,"請求区分","再請求"),0))</f>
        <v>1867332</v>
      </c>
      <c r="L312" s="659">
        <f ca="1">IF($A312="","",IFERROR(GETPIVOTDATA("合計 / 処遇改善加算金",【ピボット】国保連売上!$A$3,"年月",$A312,"事業所コード",$B312,"事業所",$C312,"事業区分",K$1,"請求区分","単月"),0))</f>
        <v>0</v>
      </c>
      <c r="M312" s="659">
        <f ca="1">IF($A312="","",IFERROR(GETPIVOTDATA("合計 / 入金予定",【ピボット】国保連売上!$A$3,"年月",$A312,"事業所コード",$B312,"事業所",$C312,"事業区分",M$1,"請求区分","単月"),0)
+IFERROR(GETPIVOTDATA("合計 / 入金予定",【ピボット】国保連売上!$A$3,"年月",$A312,"事業所コード",$B312,"事業所",$C312,"事業区分",M$1,"請求区分","再請求"),0))</f>
        <v>0</v>
      </c>
      <c r="N312" s="660">
        <v>0</v>
      </c>
      <c r="O312" s="660">
        <v>0</v>
      </c>
      <c r="P312" s="660">
        <v>0</v>
      </c>
      <c r="Q312" s="660">
        <v>0</v>
      </c>
      <c r="R312" s="660">
        <v>0</v>
      </c>
      <c r="S312" s="660">
        <v>280000</v>
      </c>
      <c r="T312" s="660">
        <v>0</v>
      </c>
      <c r="U312" s="660">
        <v>0</v>
      </c>
      <c r="V312" s="660">
        <v>-70000</v>
      </c>
      <c r="W312" s="660">
        <v>0</v>
      </c>
      <c r="X312" s="660">
        <v>0</v>
      </c>
      <c r="Y312" s="659">
        <f t="shared" ca="1" si="15"/>
        <v>2077332</v>
      </c>
      <c r="Z312" s="659">
        <f t="shared" ca="1" si="14"/>
        <v>210000</v>
      </c>
    </row>
    <row r="313" spans="1:26" ht="15.95" customHeight="1" x14ac:dyDescent="0.15">
      <c r="A313" s="656"/>
      <c r="B313" s="657" t="str">
        <f t="shared" si="13"/>
        <v/>
      </c>
      <c r="C313" s="658"/>
      <c r="D313" s="659" t="str">
        <f>IF($A313="","",IFERROR(GETPIVOTDATA("合計 / 入金予定",【ピボット】国保連売上!$A$3,"年月",$A313,"事業所コード",$B313,"事業所",$C313,"事業区分",D$1,"請求区分","単月"),0)
+IFERROR(GETPIVOTDATA("合計 / 入金予定",【ピボット】国保連売上!$A$3,"年月",$A313,"事業所コード",$B313,"事業所",$C313,"事業区分",D$1,"請求区分","再請求"),0))</f>
        <v/>
      </c>
      <c r="E313" s="659" t="str">
        <f>IF($A313="","",IFERROR(GETPIVOTDATA("合計 / 処遇改善加算金",【ピボット】国保連売上!$A$3,"年月",$A313,"事業所コード",$B313,"事業所",$C313,"事業区分",D$1,"請求区分","単月"),0))</f>
        <v/>
      </c>
      <c r="F313" s="659" t="str">
        <f>IF($A313="","",IFERROR(GETPIVOTDATA("合計 / 入金予定",【ピボット】国保連売上!$A$3,"年月",$A313,"事業所コード",$B313,"事業所",$C313,"事業区分",F$1,"請求区分","単月"),0)
+IFERROR(GETPIVOTDATA("合計 / 入金予定",【ピボット】国保連売上!$A$3,"年月",$A313,"事業所コード",$B313,"事業所",$C313,"事業区分",F$1,"請求区分","再請求"),0))</f>
        <v/>
      </c>
      <c r="G313" s="659" t="str">
        <f>IF($A313="","",IFERROR(GETPIVOTDATA("合計 / 処遇改善加算金",【ピボット】国保連売上!$A$3,"年月",$A313,"事業所コード",$B313,"事業所",$C313,"事業区分",F$1,"請求区分","単月"),0))</f>
        <v/>
      </c>
      <c r="H313" s="659" t="str">
        <f>IF($A313="","",IFERROR(GETPIVOTDATA("合計 / 入金予定",【ピボット】国保連売上!$A$3,"年月",$A313,"事業所コード",$B313,"事業所",$C313,"事業区分",H$1,"請求区分","単月"),0)
+IFERROR(GETPIVOTDATA("合計 / 入金予定",【ピボット】国保連売上!$A$3,"年月",$A313,"事業所コード",$B313,"事業所",$C313,"事業区分",H$1,"請求区分","再請求"),0))</f>
        <v/>
      </c>
      <c r="I313" s="659" t="str">
        <f>IF($A313="","",IFERROR(GETPIVOTDATA("合計 / 入金予定",【ピボット】国保連売上!$A$3,"年月",$A313,"事業所コード",$B313,"事業所",$C313,"事業区分",I$1,"請求区分","単月"),0)
+IFERROR(GETPIVOTDATA("合計 / 入金予定",【ピボット】国保連売上!$A$3,"年月",$A313,"事業所コード",$B313,"事業所",$C313,"事業区分",I$1,"請求区分","再請求"),0))</f>
        <v/>
      </c>
      <c r="J313" s="659" t="str">
        <f>IF($A313="","",IFERROR(GETPIVOTDATA("合計 / 処遇改善加算金",【ピボット】国保連売上!$A$3,"年月",$A313,"事業所コード",$B313,"事業所",$C313,"事業区分",I$1,"請求区分","単月"),0))</f>
        <v/>
      </c>
      <c r="K313" s="659" t="str">
        <f>IF($A313="","",IFERROR(GETPIVOTDATA("合計 / 入金予定",【ピボット】国保連売上!$A$3,"年月",$A313,"事業所コード",$B313,"事業所",$C313,"事業区分",K$1,"請求区分","単月"),0)
+IFERROR(GETPIVOTDATA("合計 / 入金予定",【ピボット】国保連売上!$A$3,"年月",$A313,"事業所コード",$B313,"事業所",$C313,"事業区分",K$1,"請求区分","再請求"),0))</f>
        <v/>
      </c>
      <c r="L313" s="659" t="str">
        <f>IF($A313="","",IFERROR(GETPIVOTDATA("合計 / 処遇改善加算金",【ピボット】国保連売上!$A$3,"年月",$A313,"事業所コード",$B313,"事業所",$C313,"事業区分",K$1,"請求区分","単月"),0))</f>
        <v/>
      </c>
      <c r="M313" s="659" t="str">
        <f>IF($A313="","",IFERROR(GETPIVOTDATA("合計 / 入金予定",【ピボット】国保連売上!$A$3,"年月",$A313,"事業所コード",$B313,"事業所",$C313,"事業区分",M$1,"請求区分","単月"),0)
+IFERROR(GETPIVOTDATA("合計 / 入金予定",【ピボット】国保連売上!$A$3,"年月",$A313,"事業所コード",$B313,"事業所",$C313,"事業区分",M$1,"請求区分","再請求"),0))</f>
        <v/>
      </c>
      <c r="N313" s="660"/>
      <c r="O313" s="660"/>
      <c r="P313" s="660"/>
      <c r="Q313" s="660"/>
      <c r="R313" s="660"/>
      <c r="S313" s="660"/>
      <c r="T313" s="660"/>
      <c r="U313" s="660"/>
      <c r="V313" s="660"/>
      <c r="W313" s="660"/>
      <c r="X313" s="660"/>
      <c r="Y313" s="659" t="str">
        <f t="shared" si="15"/>
        <v/>
      </c>
      <c r="Z313" s="659" t="str">
        <f t="shared" si="14"/>
        <v/>
      </c>
    </row>
    <row r="314" spans="1:26" ht="15.95" customHeight="1" x14ac:dyDescent="0.15">
      <c r="A314" s="656"/>
      <c r="B314" s="657" t="str">
        <f t="shared" si="13"/>
        <v/>
      </c>
      <c r="C314" s="658"/>
      <c r="D314" s="659" t="str">
        <f>IF($A314="","",IFERROR(GETPIVOTDATA("合計 / 入金予定",【ピボット】国保連売上!$A$3,"年月",$A314,"事業所コード",$B314,"事業所",$C314,"事業区分",D$1,"請求区分","単月"),0)
+IFERROR(GETPIVOTDATA("合計 / 入金予定",【ピボット】国保連売上!$A$3,"年月",$A314,"事業所コード",$B314,"事業所",$C314,"事業区分",D$1,"請求区分","再請求"),0))</f>
        <v/>
      </c>
      <c r="E314" s="659" t="str">
        <f>IF($A314="","",IFERROR(GETPIVOTDATA("合計 / 処遇改善加算金",【ピボット】国保連売上!$A$3,"年月",$A314,"事業所コード",$B314,"事業所",$C314,"事業区分",D$1,"請求区分","単月"),0))</f>
        <v/>
      </c>
      <c r="F314" s="659" t="str">
        <f>IF($A314="","",IFERROR(GETPIVOTDATA("合計 / 入金予定",【ピボット】国保連売上!$A$3,"年月",$A314,"事業所コード",$B314,"事業所",$C314,"事業区分",F$1,"請求区分","単月"),0)
+IFERROR(GETPIVOTDATA("合計 / 入金予定",【ピボット】国保連売上!$A$3,"年月",$A314,"事業所コード",$B314,"事業所",$C314,"事業区分",F$1,"請求区分","再請求"),0))</f>
        <v/>
      </c>
      <c r="G314" s="659" t="str">
        <f>IF($A314="","",IFERROR(GETPIVOTDATA("合計 / 処遇改善加算金",【ピボット】国保連売上!$A$3,"年月",$A314,"事業所コード",$B314,"事業所",$C314,"事業区分",F$1,"請求区分","単月"),0))</f>
        <v/>
      </c>
      <c r="H314" s="659" t="str">
        <f>IF($A314="","",IFERROR(GETPIVOTDATA("合計 / 入金予定",【ピボット】国保連売上!$A$3,"年月",$A314,"事業所コード",$B314,"事業所",$C314,"事業区分",H$1,"請求区分","単月"),0)
+IFERROR(GETPIVOTDATA("合計 / 入金予定",【ピボット】国保連売上!$A$3,"年月",$A314,"事業所コード",$B314,"事業所",$C314,"事業区分",H$1,"請求区分","再請求"),0))</f>
        <v/>
      </c>
      <c r="I314" s="659" t="str">
        <f>IF($A314="","",IFERROR(GETPIVOTDATA("合計 / 入金予定",【ピボット】国保連売上!$A$3,"年月",$A314,"事業所コード",$B314,"事業所",$C314,"事業区分",I$1,"請求区分","単月"),0)
+IFERROR(GETPIVOTDATA("合計 / 入金予定",【ピボット】国保連売上!$A$3,"年月",$A314,"事業所コード",$B314,"事業所",$C314,"事業区分",I$1,"請求区分","再請求"),0))</f>
        <v/>
      </c>
      <c r="J314" s="659" t="str">
        <f>IF($A314="","",IFERROR(GETPIVOTDATA("合計 / 処遇改善加算金",【ピボット】国保連売上!$A$3,"年月",$A314,"事業所コード",$B314,"事業所",$C314,"事業区分",I$1,"請求区分","単月"),0))</f>
        <v/>
      </c>
      <c r="K314" s="659" t="str">
        <f>IF($A314="","",IFERROR(GETPIVOTDATA("合計 / 入金予定",【ピボット】国保連売上!$A$3,"年月",$A314,"事業所コード",$B314,"事業所",$C314,"事業区分",K$1,"請求区分","単月"),0)
+IFERROR(GETPIVOTDATA("合計 / 入金予定",【ピボット】国保連売上!$A$3,"年月",$A314,"事業所コード",$B314,"事業所",$C314,"事業区分",K$1,"請求区分","再請求"),0))</f>
        <v/>
      </c>
      <c r="L314" s="659" t="str">
        <f>IF($A314="","",IFERROR(GETPIVOTDATA("合計 / 処遇改善加算金",【ピボット】国保連売上!$A$3,"年月",$A314,"事業所コード",$B314,"事業所",$C314,"事業区分",K$1,"請求区分","単月"),0))</f>
        <v/>
      </c>
      <c r="M314" s="659" t="str">
        <f>IF($A314="","",IFERROR(GETPIVOTDATA("合計 / 入金予定",【ピボット】国保連売上!$A$3,"年月",$A314,"事業所コード",$B314,"事業所",$C314,"事業区分",M$1,"請求区分","単月"),0)
+IFERROR(GETPIVOTDATA("合計 / 入金予定",【ピボット】国保連売上!$A$3,"年月",$A314,"事業所コード",$B314,"事業所",$C314,"事業区分",M$1,"請求区分","再請求"),0))</f>
        <v/>
      </c>
      <c r="N314" s="660"/>
      <c r="O314" s="660"/>
      <c r="P314" s="660"/>
      <c r="Q314" s="660"/>
      <c r="R314" s="660"/>
      <c r="S314" s="660"/>
      <c r="T314" s="660"/>
      <c r="U314" s="660"/>
      <c r="V314" s="660"/>
      <c r="W314" s="660"/>
      <c r="X314" s="660"/>
      <c r="Y314" s="659" t="str">
        <f t="shared" si="15"/>
        <v/>
      </c>
      <c r="Z314" s="659" t="str">
        <f t="shared" si="14"/>
        <v/>
      </c>
    </row>
    <row r="315" spans="1:26" ht="15.95" customHeight="1" x14ac:dyDescent="0.15">
      <c r="A315" s="656"/>
      <c r="B315" s="657" t="str">
        <f t="shared" si="13"/>
        <v/>
      </c>
      <c r="C315" s="658"/>
      <c r="D315" s="659" t="str">
        <f>IF($A315="","",IFERROR(GETPIVOTDATA("合計 / 入金予定",【ピボット】国保連売上!$A$3,"年月",$A315,"事業所コード",$B315,"事業所",$C315,"事業区分",D$1,"請求区分","単月"),0)
+IFERROR(GETPIVOTDATA("合計 / 入金予定",【ピボット】国保連売上!$A$3,"年月",$A315,"事業所コード",$B315,"事業所",$C315,"事業区分",D$1,"請求区分","再請求"),0))</f>
        <v/>
      </c>
      <c r="E315" s="659" t="str">
        <f>IF($A315="","",IFERROR(GETPIVOTDATA("合計 / 処遇改善加算金",【ピボット】国保連売上!$A$3,"年月",$A315,"事業所コード",$B315,"事業所",$C315,"事業区分",D$1,"請求区分","単月"),0))</f>
        <v/>
      </c>
      <c r="F315" s="659" t="str">
        <f>IF($A315="","",IFERROR(GETPIVOTDATA("合計 / 入金予定",【ピボット】国保連売上!$A$3,"年月",$A315,"事業所コード",$B315,"事業所",$C315,"事業区分",F$1,"請求区分","単月"),0)
+IFERROR(GETPIVOTDATA("合計 / 入金予定",【ピボット】国保連売上!$A$3,"年月",$A315,"事業所コード",$B315,"事業所",$C315,"事業区分",F$1,"請求区分","再請求"),0))</f>
        <v/>
      </c>
      <c r="G315" s="659" t="str">
        <f>IF($A315="","",IFERROR(GETPIVOTDATA("合計 / 処遇改善加算金",【ピボット】国保連売上!$A$3,"年月",$A315,"事業所コード",$B315,"事業所",$C315,"事業区分",F$1,"請求区分","単月"),0))</f>
        <v/>
      </c>
      <c r="H315" s="659" t="str">
        <f>IF($A315="","",IFERROR(GETPIVOTDATA("合計 / 入金予定",【ピボット】国保連売上!$A$3,"年月",$A315,"事業所コード",$B315,"事業所",$C315,"事業区分",H$1,"請求区分","単月"),0)
+IFERROR(GETPIVOTDATA("合計 / 入金予定",【ピボット】国保連売上!$A$3,"年月",$A315,"事業所コード",$B315,"事業所",$C315,"事業区分",H$1,"請求区分","再請求"),0))</f>
        <v/>
      </c>
      <c r="I315" s="659" t="str">
        <f>IF($A315="","",IFERROR(GETPIVOTDATA("合計 / 入金予定",【ピボット】国保連売上!$A$3,"年月",$A315,"事業所コード",$B315,"事業所",$C315,"事業区分",I$1,"請求区分","単月"),0)
+IFERROR(GETPIVOTDATA("合計 / 入金予定",【ピボット】国保連売上!$A$3,"年月",$A315,"事業所コード",$B315,"事業所",$C315,"事業区分",I$1,"請求区分","再請求"),0))</f>
        <v/>
      </c>
      <c r="J315" s="659" t="str">
        <f>IF($A315="","",IFERROR(GETPIVOTDATA("合計 / 処遇改善加算金",【ピボット】国保連売上!$A$3,"年月",$A315,"事業所コード",$B315,"事業所",$C315,"事業区分",I$1,"請求区分","単月"),0))</f>
        <v/>
      </c>
      <c r="K315" s="659" t="str">
        <f>IF($A315="","",IFERROR(GETPIVOTDATA("合計 / 入金予定",【ピボット】国保連売上!$A$3,"年月",$A315,"事業所コード",$B315,"事業所",$C315,"事業区分",K$1,"請求区分","単月"),0)
+IFERROR(GETPIVOTDATA("合計 / 入金予定",【ピボット】国保連売上!$A$3,"年月",$A315,"事業所コード",$B315,"事業所",$C315,"事業区分",K$1,"請求区分","再請求"),0))</f>
        <v/>
      </c>
      <c r="L315" s="659" t="str">
        <f>IF($A315="","",IFERROR(GETPIVOTDATA("合計 / 処遇改善加算金",【ピボット】国保連売上!$A$3,"年月",$A315,"事業所コード",$B315,"事業所",$C315,"事業区分",K$1,"請求区分","単月"),0))</f>
        <v/>
      </c>
      <c r="M315" s="659" t="str">
        <f>IF($A315="","",IFERROR(GETPIVOTDATA("合計 / 入金予定",【ピボット】国保連売上!$A$3,"年月",$A315,"事業所コード",$B315,"事業所",$C315,"事業区分",M$1,"請求区分","単月"),0)
+IFERROR(GETPIVOTDATA("合計 / 入金予定",【ピボット】国保連売上!$A$3,"年月",$A315,"事業所コード",$B315,"事業所",$C315,"事業区分",M$1,"請求区分","再請求"),0))</f>
        <v/>
      </c>
      <c r="N315" s="660"/>
      <c r="O315" s="660"/>
      <c r="P315" s="660"/>
      <c r="Q315" s="660"/>
      <c r="R315" s="660"/>
      <c r="S315" s="660"/>
      <c r="T315" s="660"/>
      <c r="U315" s="660"/>
      <c r="V315" s="660"/>
      <c r="W315" s="660"/>
      <c r="X315" s="660"/>
      <c r="Y315" s="659" t="str">
        <f t="shared" si="15"/>
        <v/>
      </c>
      <c r="Z315" s="659" t="str">
        <f t="shared" si="14"/>
        <v/>
      </c>
    </row>
    <row r="316" spans="1:26" ht="15.95" customHeight="1" x14ac:dyDescent="0.15">
      <c r="A316" s="656"/>
      <c r="B316" s="657" t="str">
        <f t="shared" si="13"/>
        <v/>
      </c>
      <c r="C316" s="658"/>
      <c r="D316" s="659" t="str">
        <f>IF($A316="","",IFERROR(GETPIVOTDATA("合計 / 入金予定",【ピボット】国保連売上!$A$3,"年月",$A316,"事業所コード",$B316,"事業所",$C316,"事業区分",D$1,"請求区分","単月"),0)
+IFERROR(GETPIVOTDATA("合計 / 入金予定",【ピボット】国保連売上!$A$3,"年月",$A316,"事業所コード",$B316,"事業所",$C316,"事業区分",D$1,"請求区分","再請求"),0))</f>
        <v/>
      </c>
      <c r="E316" s="659" t="str">
        <f>IF($A316="","",IFERROR(GETPIVOTDATA("合計 / 処遇改善加算金",【ピボット】国保連売上!$A$3,"年月",$A316,"事業所コード",$B316,"事業所",$C316,"事業区分",D$1,"請求区分","単月"),0))</f>
        <v/>
      </c>
      <c r="F316" s="659" t="str">
        <f>IF($A316="","",IFERROR(GETPIVOTDATA("合計 / 入金予定",【ピボット】国保連売上!$A$3,"年月",$A316,"事業所コード",$B316,"事業所",$C316,"事業区分",F$1,"請求区分","単月"),0)
+IFERROR(GETPIVOTDATA("合計 / 入金予定",【ピボット】国保連売上!$A$3,"年月",$A316,"事業所コード",$B316,"事業所",$C316,"事業区分",F$1,"請求区分","再請求"),0))</f>
        <v/>
      </c>
      <c r="G316" s="659" t="str">
        <f>IF($A316="","",IFERROR(GETPIVOTDATA("合計 / 処遇改善加算金",【ピボット】国保連売上!$A$3,"年月",$A316,"事業所コード",$B316,"事業所",$C316,"事業区分",F$1,"請求区分","単月"),0))</f>
        <v/>
      </c>
      <c r="H316" s="659" t="str">
        <f>IF($A316="","",IFERROR(GETPIVOTDATA("合計 / 入金予定",【ピボット】国保連売上!$A$3,"年月",$A316,"事業所コード",$B316,"事業所",$C316,"事業区分",H$1,"請求区分","単月"),0)
+IFERROR(GETPIVOTDATA("合計 / 入金予定",【ピボット】国保連売上!$A$3,"年月",$A316,"事業所コード",$B316,"事業所",$C316,"事業区分",H$1,"請求区分","再請求"),0))</f>
        <v/>
      </c>
      <c r="I316" s="659" t="str">
        <f>IF($A316="","",IFERROR(GETPIVOTDATA("合計 / 入金予定",【ピボット】国保連売上!$A$3,"年月",$A316,"事業所コード",$B316,"事業所",$C316,"事業区分",I$1,"請求区分","単月"),0)
+IFERROR(GETPIVOTDATA("合計 / 入金予定",【ピボット】国保連売上!$A$3,"年月",$A316,"事業所コード",$B316,"事業所",$C316,"事業区分",I$1,"請求区分","再請求"),0))</f>
        <v/>
      </c>
      <c r="J316" s="659" t="str">
        <f>IF($A316="","",IFERROR(GETPIVOTDATA("合計 / 処遇改善加算金",【ピボット】国保連売上!$A$3,"年月",$A316,"事業所コード",$B316,"事業所",$C316,"事業区分",I$1,"請求区分","単月"),0))</f>
        <v/>
      </c>
      <c r="K316" s="659" t="str">
        <f>IF($A316="","",IFERROR(GETPIVOTDATA("合計 / 入金予定",【ピボット】国保連売上!$A$3,"年月",$A316,"事業所コード",$B316,"事業所",$C316,"事業区分",K$1,"請求区分","単月"),0)
+IFERROR(GETPIVOTDATA("合計 / 入金予定",【ピボット】国保連売上!$A$3,"年月",$A316,"事業所コード",$B316,"事業所",$C316,"事業区分",K$1,"請求区分","再請求"),0))</f>
        <v/>
      </c>
      <c r="L316" s="659" t="str">
        <f>IF($A316="","",IFERROR(GETPIVOTDATA("合計 / 処遇改善加算金",【ピボット】国保連売上!$A$3,"年月",$A316,"事業所コード",$B316,"事業所",$C316,"事業区分",K$1,"請求区分","単月"),0))</f>
        <v/>
      </c>
      <c r="M316" s="659" t="str">
        <f>IF($A316="","",IFERROR(GETPIVOTDATA("合計 / 入金予定",【ピボット】国保連売上!$A$3,"年月",$A316,"事業所コード",$B316,"事業所",$C316,"事業区分",M$1,"請求区分","単月"),0)
+IFERROR(GETPIVOTDATA("合計 / 入金予定",【ピボット】国保連売上!$A$3,"年月",$A316,"事業所コード",$B316,"事業所",$C316,"事業区分",M$1,"請求区分","再請求"),0))</f>
        <v/>
      </c>
      <c r="N316" s="660"/>
      <c r="O316" s="660"/>
      <c r="P316" s="660"/>
      <c r="Q316" s="660"/>
      <c r="R316" s="660"/>
      <c r="S316" s="660"/>
      <c r="T316" s="660"/>
      <c r="U316" s="660"/>
      <c r="V316" s="660"/>
      <c r="W316" s="660"/>
      <c r="X316" s="660"/>
      <c r="Y316" s="659" t="str">
        <f t="shared" si="15"/>
        <v/>
      </c>
      <c r="Z316" s="659" t="str">
        <f t="shared" si="14"/>
        <v/>
      </c>
    </row>
    <row r="317" spans="1:26" ht="15.95" customHeight="1" x14ac:dyDescent="0.15">
      <c r="A317" s="656"/>
      <c r="B317" s="657" t="str">
        <f t="shared" si="13"/>
        <v/>
      </c>
      <c r="C317" s="658"/>
      <c r="D317" s="659" t="str">
        <f>IF($A317="","",IFERROR(GETPIVOTDATA("合計 / 入金予定",【ピボット】国保連売上!$A$3,"年月",$A317,"事業所コード",$B317,"事業所",$C317,"事業区分",D$1,"請求区分","単月"),0)
+IFERROR(GETPIVOTDATA("合計 / 入金予定",【ピボット】国保連売上!$A$3,"年月",$A317,"事業所コード",$B317,"事業所",$C317,"事業区分",D$1,"請求区分","再請求"),0))</f>
        <v/>
      </c>
      <c r="E317" s="659" t="str">
        <f>IF($A317="","",IFERROR(GETPIVOTDATA("合計 / 処遇改善加算金",【ピボット】国保連売上!$A$3,"年月",$A317,"事業所コード",$B317,"事業所",$C317,"事業区分",D$1,"請求区分","単月"),0))</f>
        <v/>
      </c>
      <c r="F317" s="659" t="str">
        <f>IF($A317="","",IFERROR(GETPIVOTDATA("合計 / 入金予定",【ピボット】国保連売上!$A$3,"年月",$A317,"事業所コード",$B317,"事業所",$C317,"事業区分",F$1,"請求区分","単月"),0)
+IFERROR(GETPIVOTDATA("合計 / 入金予定",【ピボット】国保連売上!$A$3,"年月",$A317,"事業所コード",$B317,"事業所",$C317,"事業区分",F$1,"請求区分","再請求"),0))</f>
        <v/>
      </c>
      <c r="G317" s="659" t="str">
        <f>IF($A317="","",IFERROR(GETPIVOTDATA("合計 / 処遇改善加算金",【ピボット】国保連売上!$A$3,"年月",$A317,"事業所コード",$B317,"事業所",$C317,"事業区分",F$1,"請求区分","単月"),0))</f>
        <v/>
      </c>
      <c r="H317" s="659" t="str">
        <f>IF($A317="","",IFERROR(GETPIVOTDATA("合計 / 入金予定",【ピボット】国保連売上!$A$3,"年月",$A317,"事業所コード",$B317,"事業所",$C317,"事業区分",H$1,"請求区分","単月"),0)
+IFERROR(GETPIVOTDATA("合計 / 入金予定",【ピボット】国保連売上!$A$3,"年月",$A317,"事業所コード",$B317,"事業所",$C317,"事業区分",H$1,"請求区分","再請求"),0))</f>
        <v/>
      </c>
      <c r="I317" s="659" t="str">
        <f>IF($A317="","",IFERROR(GETPIVOTDATA("合計 / 入金予定",【ピボット】国保連売上!$A$3,"年月",$A317,"事業所コード",$B317,"事業所",$C317,"事業区分",I$1,"請求区分","単月"),0)
+IFERROR(GETPIVOTDATA("合計 / 入金予定",【ピボット】国保連売上!$A$3,"年月",$A317,"事業所コード",$B317,"事業所",$C317,"事業区分",I$1,"請求区分","再請求"),0))</f>
        <v/>
      </c>
      <c r="J317" s="659" t="str">
        <f>IF($A317="","",IFERROR(GETPIVOTDATA("合計 / 処遇改善加算金",【ピボット】国保連売上!$A$3,"年月",$A317,"事業所コード",$B317,"事業所",$C317,"事業区分",I$1,"請求区分","単月"),0))</f>
        <v/>
      </c>
      <c r="K317" s="659" t="str">
        <f>IF($A317="","",IFERROR(GETPIVOTDATA("合計 / 入金予定",【ピボット】国保連売上!$A$3,"年月",$A317,"事業所コード",$B317,"事業所",$C317,"事業区分",K$1,"請求区分","単月"),0)
+IFERROR(GETPIVOTDATA("合計 / 入金予定",【ピボット】国保連売上!$A$3,"年月",$A317,"事業所コード",$B317,"事業所",$C317,"事業区分",K$1,"請求区分","再請求"),0))</f>
        <v/>
      </c>
      <c r="L317" s="659" t="str">
        <f>IF($A317="","",IFERROR(GETPIVOTDATA("合計 / 処遇改善加算金",【ピボット】国保連売上!$A$3,"年月",$A317,"事業所コード",$B317,"事業所",$C317,"事業区分",K$1,"請求区分","単月"),0))</f>
        <v/>
      </c>
      <c r="M317" s="659" t="str">
        <f>IF($A317="","",IFERROR(GETPIVOTDATA("合計 / 入金予定",【ピボット】国保連売上!$A$3,"年月",$A317,"事業所コード",$B317,"事業所",$C317,"事業区分",M$1,"請求区分","単月"),0)
+IFERROR(GETPIVOTDATA("合計 / 入金予定",【ピボット】国保連売上!$A$3,"年月",$A317,"事業所コード",$B317,"事業所",$C317,"事業区分",M$1,"請求区分","再請求"),0))</f>
        <v/>
      </c>
      <c r="N317" s="660"/>
      <c r="O317" s="660"/>
      <c r="P317" s="660"/>
      <c r="Q317" s="660"/>
      <c r="R317" s="660"/>
      <c r="S317" s="660"/>
      <c r="T317" s="660"/>
      <c r="U317" s="660"/>
      <c r="V317" s="660"/>
      <c r="W317" s="660"/>
      <c r="X317" s="660"/>
      <c r="Y317" s="659" t="str">
        <f t="shared" si="15"/>
        <v/>
      </c>
      <c r="Z317" s="659" t="str">
        <f t="shared" si="14"/>
        <v/>
      </c>
    </row>
    <row r="318" spans="1:26" ht="15.95" customHeight="1" x14ac:dyDescent="0.15">
      <c r="A318" s="656"/>
      <c r="B318" s="657" t="str">
        <f t="shared" si="13"/>
        <v/>
      </c>
      <c r="C318" s="658"/>
      <c r="D318" s="659" t="str">
        <f>IF($A318="","",IFERROR(GETPIVOTDATA("合計 / 入金予定",【ピボット】国保連売上!$A$3,"年月",$A318,"事業所コード",$B318,"事業所",$C318,"事業区分",D$1,"請求区分","単月"),0)
+IFERROR(GETPIVOTDATA("合計 / 入金予定",【ピボット】国保連売上!$A$3,"年月",$A318,"事業所コード",$B318,"事業所",$C318,"事業区分",D$1,"請求区分","再請求"),0))</f>
        <v/>
      </c>
      <c r="E318" s="659" t="str">
        <f>IF($A318="","",IFERROR(GETPIVOTDATA("合計 / 処遇改善加算金",【ピボット】国保連売上!$A$3,"年月",$A318,"事業所コード",$B318,"事業所",$C318,"事業区分",D$1,"請求区分","単月"),0))</f>
        <v/>
      </c>
      <c r="F318" s="659" t="str">
        <f>IF($A318="","",IFERROR(GETPIVOTDATA("合計 / 入金予定",【ピボット】国保連売上!$A$3,"年月",$A318,"事業所コード",$B318,"事業所",$C318,"事業区分",F$1,"請求区分","単月"),0)
+IFERROR(GETPIVOTDATA("合計 / 入金予定",【ピボット】国保連売上!$A$3,"年月",$A318,"事業所コード",$B318,"事業所",$C318,"事業区分",F$1,"請求区分","再請求"),0))</f>
        <v/>
      </c>
      <c r="G318" s="659" t="str">
        <f>IF($A318="","",IFERROR(GETPIVOTDATA("合計 / 処遇改善加算金",【ピボット】国保連売上!$A$3,"年月",$A318,"事業所コード",$B318,"事業所",$C318,"事業区分",F$1,"請求区分","単月"),0))</f>
        <v/>
      </c>
      <c r="H318" s="659" t="str">
        <f>IF($A318="","",IFERROR(GETPIVOTDATA("合計 / 入金予定",【ピボット】国保連売上!$A$3,"年月",$A318,"事業所コード",$B318,"事業所",$C318,"事業区分",H$1,"請求区分","単月"),0)
+IFERROR(GETPIVOTDATA("合計 / 入金予定",【ピボット】国保連売上!$A$3,"年月",$A318,"事業所コード",$B318,"事業所",$C318,"事業区分",H$1,"請求区分","再請求"),0))</f>
        <v/>
      </c>
      <c r="I318" s="659" t="str">
        <f>IF($A318="","",IFERROR(GETPIVOTDATA("合計 / 入金予定",【ピボット】国保連売上!$A$3,"年月",$A318,"事業所コード",$B318,"事業所",$C318,"事業区分",I$1,"請求区分","単月"),0)
+IFERROR(GETPIVOTDATA("合計 / 入金予定",【ピボット】国保連売上!$A$3,"年月",$A318,"事業所コード",$B318,"事業所",$C318,"事業区分",I$1,"請求区分","再請求"),0))</f>
        <v/>
      </c>
      <c r="J318" s="659" t="str">
        <f>IF($A318="","",IFERROR(GETPIVOTDATA("合計 / 処遇改善加算金",【ピボット】国保連売上!$A$3,"年月",$A318,"事業所コード",$B318,"事業所",$C318,"事業区分",I$1,"請求区分","単月"),0))</f>
        <v/>
      </c>
      <c r="K318" s="659" t="str">
        <f>IF($A318="","",IFERROR(GETPIVOTDATA("合計 / 入金予定",【ピボット】国保連売上!$A$3,"年月",$A318,"事業所コード",$B318,"事業所",$C318,"事業区分",K$1,"請求区分","単月"),0)
+IFERROR(GETPIVOTDATA("合計 / 入金予定",【ピボット】国保連売上!$A$3,"年月",$A318,"事業所コード",$B318,"事業所",$C318,"事業区分",K$1,"請求区分","再請求"),0))</f>
        <v/>
      </c>
      <c r="L318" s="659" t="str">
        <f>IF($A318="","",IFERROR(GETPIVOTDATA("合計 / 処遇改善加算金",【ピボット】国保連売上!$A$3,"年月",$A318,"事業所コード",$B318,"事業所",$C318,"事業区分",K$1,"請求区分","単月"),0))</f>
        <v/>
      </c>
      <c r="M318" s="659" t="str">
        <f>IF($A318="","",IFERROR(GETPIVOTDATA("合計 / 入金予定",【ピボット】国保連売上!$A$3,"年月",$A318,"事業所コード",$B318,"事業所",$C318,"事業区分",M$1,"請求区分","単月"),0)
+IFERROR(GETPIVOTDATA("合計 / 入金予定",【ピボット】国保連売上!$A$3,"年月",$A318,"事業所コード",$B318,"事業所",$C318,"事業区分",M$1,"請求区分","再請求"),0))</f>
        <v/>
      </c>
      <c r="N318" s="660"/>
      <c r="O318" s="660"/>
      <c r="P318" s="660"/>
      <c r="Q318" s="660"/>
      <c r="R318" s="660"/>
      <c r="S318" s="660"/>
      <c r="T318" s="660"/>
      <c r="U318" s="660"/>
      <c r="V318" s="660"/>
      <c r="W318" s="660"/>
      <c r="X318" s="660"/>
      <c r="Y318" s="659" t="str">
        <f t="shared" si="15"/>
        <v/>
      </c>
      <c r="Z318" s="659" t="str">
        <f t="shared" si="14"/>
        <v/>
      </c>
    </row>
    <row r="319" spans="1:26" ht="15.95" customHeight="1" x14ac:dyDescent="0.15">
      <c r="A319" s="656"/>
      <c r="B319" s="657" t="str">
        <f t="shared" si="13"/>
        <v/>
      </c>
      <c r="C319" s="658"/>
      <c r="D319" s="659" t="str">
        <f>IF($A319="","",IFERROR(GETPIVOTDATA("合計 / 入金予定",【ピボット】国保連売上!$A$3,"年月",$A319,"事業所コード",$B319,"事業所",$C319,"事業区分",D$1,"請求区分","単月"),0)
+IFERROR(GETPIVOTDATA("合計 / 入金予定",【ピボット】国保連売上!$A$3,"年月",$A319,"事業所コード",$B319,"事業所",$C319,"事業区分",D$1,"請求区分","再請求"),0))</f>
        <v/>
      </c>
      <c r="E319" s="659" t="str">
        <f>IF($A319="","",IFERROR(GETPIVOTDATA("合計 / 処遇改善加算金",【ピボット】国保連売上!$A$3,"年月",$A319,"事業所コード",$B319,"事業所",$C319,"事業区分",D$1,"請求区分","単月"),0))</f>
        <v/>
      </c>
      <c r="F319" s="659" t="str">
        <f>IF($A319="","",IFERROR(GETPIVOTDATA("合計 / 入金予定",【ピボット】国保連売上!$A$3,"年月",$A319,"事業所コード",$B319,"事業所",$C319,"事業区分",F$1,"請求区分","単月"),0)
+IFERROR(GETPIVOTDATA("合計 / 入金予定",【ピボット】国保連売上!$A$3,"年月",$A319,"事業所コード",$B319,"事業所",$C319,"事業区分",F$1,"請求区分","再請求"),0))</f>
        <v/>
      </c>
      <c r="G319" s="659" t="str">
        <f>IF($A319="","",IFERROR(GETPIVOTDATA("合計 / 処遇改善加算金",【ピボット】国保連売上!$A$3,"年月",$A319,"事業所コード",$B319,"事業所",$C319,"事業区分",F$1,"請求区分","単月"),0))</f>
        <v/>
      </c>
      <c r="H319" s="659" t="str">
        <f>IF($A319="","",IFERROR(GETPIVOTDATA("合計 / 入金予定",【ピボット】国保連売上!$A$3,"年月",$A319,"事業所コード",$B319,"事業所",$C319,"事業区分",H$1,"請求区分","単月"),0)
+IFERROR(GETPIVOTDATA("合計 / 入金予定",【ピボット】国保連売上!$A$3,"年月",$A319,"事業所コード",$B319,"事業所",$C319,"事業区分",H$1,"請求区分","再請求"),0))</f>
        <v/>
      </c>
      <c r="I319" s="659" t="str">
        <f>IF($A319="","",IFERROR(GETPIVOTDATA("合計 / 入金予定",【ピボット】国保連売上!$A$3,"年月",$A319,"事業所コード",$B319,"事業所",$C319,"事業区分",I$1,"請求区分","単月"),0)
+IFERROR(GETPIVOTDATA("合計 / 入金予定",【ピボット】国保連売上!$A$3,"年月",$A319,"事業所コード",$B319,"事業所",$C319,"事業区分",I$1,"請求区分","再請求"),0))</f>
        <v/>
      </c>
      <c r="J319" s="659" t="str">
        <f>IF($A319="","",IFERROR(GETPIVOTDATA("合計 / 処遇改善加算金",【ピボット】国保連売上!$A$3,"年月",$A319,"事業所コード",$B319,"事業所",$C319,"事業区分",I$1,"請求区分","単月"),0))</f>
        <v/>
      </c>
      <c r="K319" s="659" t="str">
        <f>IF($A319="","",IFERROR(GETPIVOTDATA("合計 / 入金予定",【ピボット】国保連売上!$A$3,"年月",$A319,"事業所コード",$B319,"事業所",$C319,"事業区分",K$1,"請求区分","単月"),0)
+IFERROR(GETPIVOTDATA("合計 / 入金予定",【ピボット】国保連売上!$A$3,"年月",$A319,"事業所コード",$B319,"事業所",$C319,"事業区分",K$1,"請求区分","再請求"),0))</f>
        <v/>
      </c>
      <c r="L319" s="659" t="str">
        <f>IF($A319="","",IFERROR(GETPIVOTDATA("合計 / 処遇改善加算金",【ピボット】国保連売上!$A$3,"年月",$A319,"事業所コード",$B319,"事業所",$C319,"事業区分",K$1,"請求区分","単月"),0))</f>
        <v/>
      </c>
      <c r="M319" s="659" t="str">
        <f>IF($A319="","",IFERROR(GETPIVOTDATA("合計 / 入金予定",【ピボット】国保連売上!$A$3,"年月",$A319,"事業所コード",$B319,"事業所",$C319,"事業区分",M$1,"請求区分","単月"),0)
+IFERROR(GETPIVOTDATA("合計 / 入金予定",【ピボット】国保連売上!$A$3,"年月",$A319,"事業所コード",$B319,"事業所",$C319,"事業区分",M$1,"請求区分","再請求"),0))</f>
        <v/>
      </c>
      <c r="N319" s="660"/>
      <c r="O319" s="660"/>
      <c r="P319" s="660"/>
      <c r="Q319" s="660"/>
      <c r="R319" s="660"/>
      <c r="S319" s="660"/>
      <c r="T319" s="660"/>
      <c r="U319" s="660"/>
      <c r="V319" s="660"/>
      <c r="W319" s="660"/>
      <c r="X319" s="660"/>
      <c r="Y319" s="659" t="str">
        <f t="shared" si="15"/>
        <v/>
      </c>
      <c r="Z319" s="659" t="str">
        <f t="shared" si="14"/>
        <v/>
      </c>
    </row>
    <row r="320" spans="1:26" ht="15.95" customHeight="1" x14ac:dyDescent="0.15">
      <c r="A320" s="656"/>
      <c r="B320" s="657" t="str">
        <f t="shared" si="13"/>
        <v/>
      </c>
      <c r="C320" s="658"/>
      <c r="D320" s="659" t="str">
        <f>IF($A320="","",IFERROR(GETPIVOTDATA("合計 / 入金予定",【ピボット】国保連売上!$A$3,"年月",$A320,"事業所コード",$B320,"事業所",$C320,"事業区分",D$1,"請求区分","単月"),0)
+IFERROR(GETPIVOTDATA("合計 / 入金予定",【ピボット】国保連売上!$A$3,"年月",$A320,"事業所コード",$B320,"事業所",$C320,"事業区分",D$1,"請求区分","再請求"),0))</f>
        <v/>
      </c>
      <c r="E320" s="659" t="str">
        <f>IF($A320="","",IFERROR(GETPIVOTDATA("合計 / 処遇改善加算金",【ピボット】国保連売上!$A$3,"年月",$A320,"事業所コード",$B320,"事業所",$C320,"事業区分",D$1,"請求区分","単月"),0))</f>
        <v/>
      </c>
      <c r="F320" s="659" t="str">
        <f>IF($A320="","",IFERROR(GETPIVOTDATA("合計 / 入金予定",【ピボット】国保連売上!$A$3,"年月",$A320,"事業所コード",$B320,"事業所",$C320,"事業区分",F$1,"請求区分","単月"),0)
+IFERROR(GETPIVOTDATA("合計 / 入金予定",【ピボット】国保連売上!$A$3,"年月",$A320,"事業所コード",$B320,"事業所",$C320,"事業区分",F$1,"請求区分","再請求"),0))</f>
        <v/>
      </c>
      <c r="G320" s="659" t="str">
        <f>IF($A320="","",IFERROR(GETPIVOTDATA("合計 / 処遇改善加算金",【ピボット】国保連売上!$A$3,"年月",$A320,"事業所コード",$B320,"事業所",$C320,"事業区分",F$1,"請求区分","単月"),0))</f>
        <v/>
      </c>
      <c r="H320" s="659" t="str">
        <f>IF($A320="","",IFERROR(GETPIVOTDATA("合計 / 入金予定",【ピボット】国保連売上!$A$3,"年月",$A320,"事業所コード",$B320,"事業所",$C320,"事業区分",H$1,"請求区分","単月"),0)
+IFERROR(GETPIVOTDATA("合計 / 入金予定",【ピボット】国保連売上!$A$3,"年月",$A320,"事業所コード",$B320,"事業所",$C320,"事業区分",H$1,"請求区分","再請求"),0))</f>
        <v/>
      </c>
      <c r="I320" s="659" t="str">
        <f>IF($A320="","",IFERROR(GETPIVOTDATA("合計 / 入金予定",【ピボット】国保連売上!$A$3,"年月",$A320,"事業所コード",$B320,"事業所",$C320,"事業区分",I$1,"請求区分","単月"),0)
+IFERROR(GETPIVOTDATA("合計 / 入金予定",【ピボット】国保連売上!$A$3,"年月",$A320,"事業所コード",$B320,"事業所",$C320,"事業区分",I$1,"請求区分","再請求"),0))</f>
        <v/>
      </c>
      <c r="J320" s="659" t="str">
        <f>IF($A320="","",IFERROR(GETPIVOTDATA("合計 / 処遇改善加算金",【ピボット】国保連売上!$A$3,"年月",$A320,"事業所コード",$B320,"事業所",$C320,"事業区分",I$1,"請求区分","単月"),0))</f>
        <v/>
      </c>
      <c r="K320" s="659" t="str">
        <f>IF($A320="","",IFERROR(GETPIVOTDATA("合計 / 入金予定",【ピボット】国保連売上!$A$3,"年月",$A320,"事業所コード",$B320,"事業所",$C320,"事業区分",K$1,"請求区分","単月"),0)
+IFERROR(GETPIVOTDATA("合計 / 入金予定",【ピボット】国保連売上!$A$3,"年月",$A320,"事業所コード",$B320,"事業所",$C320,"事業区分",K$1,"請求区分","再請求"),0))</f>
        <v/>
      </c>
      <c r="L320" s="659" t="str">
        <f>IF($A320="","",IFERROR(GETPIVOTDATA("合計 / 処遇改善加算金",【ピボット】国保連売上!$A$3,"年月",$A320,"事業所コード",$B320,"事業所",$C320,"事業区分",K$1,"請求区分","単月"),0))</f>
        <v/>
      </c>
      <c r="M320" s="659" t="str">
        <f>IF($A320="","",IFERROR(GETPIVOTDATA("合計 / 入金予定",【ピボット】国保連売上!$A$3,"年月",$A320,"事業所コード",$B320,"事業所",$C320,"事業区分",M$1,"請求区分","単月"),0)
+IFERROR(GETPIVOTDATA("合計 / 入金予定",【ピボット】国保連売上!$A$3,"年月",$A320,"事業所コード",$B320,"事業所",$C320,"事業区分",M$1,"請求区分","再請求"),0))</f>
        <v/>
      </c>
      <c r="N320" s="660"/>
      <c r="O320" s="660"/>
      <c r="P320" s="660"/>
      <c r="Q320" s="660"/>
      <c r="R320" s="660"/>
      <c r="S320" s="660"/>
      <c r="T320" s="660"/>
      <c r="U320" s="660"/>
      <c r="V320" s="660"/>
      <c r="W320" s="660"/>
      <c r="X320" s="660"/>
      <c r="Y320" s="659" t="str">
        <f t="shared" si="15"/>
        <v/>
      </c>
      <c r="Z320" s="659" t="str">
        <f t="shared" si="14"/>
        <v/>
      </c>
    </row>
    <row r="321" spans="1:26" ht="15.95" customHeight="1" x14ac:dyDescent="0.15">
      <c r="A321" s="656"/>
      <c r="B321" s="657" t="str">
        <f t="shared" si="13"/>
        <v/>
      </c>
      <c r="C321" s="658"/>
      <c r="D321" s="659" t="str">
        <f>IF($A321="","",IFERROR(GETPIVOTDATA("合計 / 入金予定",【ピボット】国保連売上!$A$3,"年月",$A321,"事業所コード",$B321,"事業所",$C321,"事業区分",D$1,"請求区分","単月"),0)
+IFERROR(GETPIVOTDATA("合計 / 入金予定",【ピボット】国保連売上!$A$3,"年月",$A321,"事業所コード",$B321,"事業所",$C321,"事業区分",D$1,"請求区分","再請求"),0))</f>
        <v/>
      </c>
      <c r="E321" s="659" t="str">
        <f>IF($A321="","",IFERROR(GETPIVOTDATA("合計 / 処遇改善加算金",【ピボット】国保連売上!$A$3,"年月",$A321,"事業所コード",$B321,"事業所",$C321,"事業区分",D$1,"請求区分","単月"),0))</f>
        <v/>
      </c>
      <c r="F321" s="659" t="str">
        <f>IF($A321="","",IFERROR(GETPIVOTDATA("合計 / 入金予定",【ピボット】国保連売上!$A$3,"年月",$A321,"事業所コード",$B321,"事業所",$C321,"事業区分",F$1,"請求区分","単月"),0)
+IFERROR(GETPIVOTDATA("合計 / 入金予定",【ピボット】国保連売上!$A$3,"年月",$A321,"事業所コード",$B321,"事業所",$C321,"事業区分",F$1,"請求区分","再請求"),0))</f>
        <v/>
      </c>
      <c r="G321" s="659" t="str">
        <f>IF($A321="","",IFERROR(GETPIVOTDATA("合計 / 処遇改善加算金",【ピボット】国保連売上!$A$3,"年月",$A321,"事業所コード",$B321,"事業所",$C321,"事業区分",F$1,"請求区分","単月"),0))</f>
        <v/>
      </c>
      <c r="H321" s="659" t="str">
        <f>IF($A321="","",IFERROR(GETPIVOTDATA("合計 / 入金予定",【ピボット】国保連売上!$A$3,"年月",$A321,"事業所コード",$B321,"事業所",$C321,"事業区分",H$1,"請求区分","単月"),0)
+IFERROR(GETPIVOTDATA("合計 / 入金予定",【ピボット】国保連売上!$A$3,"年月",$A321,"事業所コード",$B321,"事業所",$C321,"事業区分",H$1,"請求区分","再請求"),0))</f>
        <v/>
      </c>
      <c r="I321" s="659" t="str">
        <f>IF($A321="","",IFERROR(GETPIVOTDATA("合計 / 入金予定",【ピボット】国保連売上!$A$3,"年月",$A321,"事業所コード",$B321,"事業所",$C321,"事業区分",I$1,"請求区分","単月"),0)
+IFERROR(GETPIVOTDATA("合計 / 入金予定",【ピボット】国保連売上!$A$3,"年月",$A321,"事業所コード",$B321,"事業所",$C321,"事業区分",I$1,"請求区分","再請求"),0))</f>
        <v/>
      </c>
      <c r="J321" s="659" t="str">
        <f>IF($A321="","",IFERROR(GETPIVOTDATA("合計 / 処遇改善加算金",【ピボット】国保連売上!$A$3,"年月",$A321,"事業所コード",$B321,"事業所",$C321,"事業区分",I$1,"請求区分","単月"),0))</f>
        <v/>
      </c>
      <c r="K321" s="659" t="str">
        <f>IF($A321="","",IFERROR(GETPIVOTDATA("合計 / 入金予定",【ピボット】国保連売上!$A$3,"年月",$A321,"事業所コード",$B321,"事業所",$C321,"事業区分",K$1,"請求区分","単月"),0)
+IFERROR(GETPIVOTDATA("合計 / 入金予定",【ピボット】国保連売上!$A$3,"年月",$A321,"事業所コード",$B321,"事業所",$C321,"事業区分",K$1,"請求区分","再請求"),0))</f>
        <v/>
      </c>
      <c r="L321" s="659" t="str">
        <f>IF($A321="","",IFERROR(GETPIVOTDATA("合計 / 処遇改善加算金",【ピボット】国保連売上!$A$3,"年月",$A321,"事業所コード",$B321,"事業所",$C321,"事業区分",K$1,"請求区分","単月"),0))</f>
        <v/>
      </c>
      <c r="M321" s="659" t="str">
        <f>IF($A321="","",IFERROR(GETPIVOTDATA("合計 / 入金予定",【ピボット】国保連売上!$A$3,"年月",$A321,"事業所コード",$B321,"事業所",$C321,"事業区分",M$1,"請求区分","単月"),0)
+IFERROR(GETPIVOTDATA("合計 / 入金予定",【ピボット】国保連売上!$A$3,"年月",$A321,"事業所コード",$B321,"事業所",$C321,"事業区分",M$1,"請求区分","再請求"),0))</f>
        <v/>
      </c>
      <c r="N321" s="660"/>
      <c r="O321" s="660"/>
      <c r="P321" s="660"/>
      <c r="Q321" s="660"/>
      <c r="R321" s="660"/>
      <c r="S321" s="660"/>
      <c r="T321" s="660"/>
      <c r="U321" s="660"/>
      <c r="V321" s="660"/>
      <c r="W321" s="660"/>
      <c r="X321" s="660"/>
      <c r="Y321" s="659" t="str">
        <f t="shared" si="15"/>
        <v/>
      </c>
      <c r="Z321" s="659" t="str">
        <f t="shared" si="14"/>
        <v/>
      </c>
    </row>
    <row r="322" spans="1:26" ht="15.95" customHeight="1" x14ac:dyDescent="0.15">
      <c r="A322" s="656"/>
      <c r="B322" s="657" t="str">
        <f t="shared" si="13"/>
        <v/>
      </c>
      <c r="C322" s="658"/>
      <c r="D322" s="659" t="str">
        <f>IF($A322="","",IFERROR(GETPIVOTDATA("合計 / 入金予定",【ピボット】国保連売上!$A$3,"年月",$A322,"事業所コード",$B322,"事業所",$C322,"事業区分",D$1,"請求区分","単月"),0)
+IFERROR(GETPIVOTDATA("合計 / 入金予定",【ピボット】国保連売上!$A$3,"年月",$A322,"事業所コード",$B322,"事業所",$C322,"事業区分",D$1,"請求区分","再請求"),0))</f>
        <v/>
      </c>
      <c r="E322" s="659" t="str">
        <f>IF($A322="","",IFERROR(GETPIVOTDATA("合計 / 処遇改善加算金",【ピボット】国保連売上!$A$3,"年月",$A322,"事業所コード",$B322,"事業所",$C322,"事業区分",D$1,"請求区分","単月"),0))</f>
        <v/>
      </c>
      <c r="F322" s="659" t="str">
        <f>IF($A322="","",IFERROR(GETPIVOTDATA("合計 / 入金予定",【ピボット】国保連売上!$A$3,"年月",$A322,"事業所コード",$B322,"事業所",$C322,"事業区分",F$1,"請求区分","単月"),0)
+IFERROR(GETPIVOTDATA("合計 / 入金予定",【ピボット】国保連売上!$A$3,"年月",$A322,"事業所コード",$B322,"事業所",$C322,"事業区分",F$1,"請求区分","再請求"),0))</f>
        <v/>
      </c>
      <c r="G322" s="659" t="str">
        <f>IF($A322="","",IFERROR(GETPIVOTDATA("合計 / 処遇改善加算金",【ピボット】国保連売上!$A$3,"年月",$A322,"事業所コード",$B322,"事業所",$C322,"事業区分",F$1,"請求区分","単月"),0))</f>
        <v/>
      </c>
      <c r="H322" s="659" t="str">
        <f>IF($A322="","",IFERROR(GETPIVOTDATA("合計 / 入金予定",【ピボット】国保連売上!$A$3,"年月",$A322,"事業所コード",$B322,"事業所",$C322,"事業区分",H$1,"請求区分","単月"),0)
+IFERROR(GETPIVOTDATA("合計 / 入金予定",【ピボット】国保連売上!$A$3,"年月",$A322,"事業所コード",$B322,"事業所",$C322,"事業区分",H$1,"請求区分","再請求"),0))</f>
        <v/>
      </c>
      <c r="I322" s="659" t="str">
        <f>IF($A322="","",IFERROR(GETPIVOTDATA("合計 / 入金予定",【ピボット】国保連売上!$A$3,"年月",$A322,"事業所コード",$B322,"事業所",$C322,"事業区分",I$1,"請求区分","単月"),0)
+IFERROR(GETPIVOTDATA("合計 / 入金予定",【ピボット】国保連売上!$A$3,"年月",$A322,"事業所コード",$B322,"事業所",$C322,"事業区分",I$1,"請求区分","再請求"),0))</f>
        <v/>
      </c>
      <c r="J322" s="659" t="str">
        <f>IF($A322="","",IFERROR(GETPIVOTDATA("合計 / 処遇改善加算金",【ピボット】国保連売上!$A$3,"年月",$A322,"事業所コード",$B322,"事業所",$C322,"事業区分",I$1,"請求区分","単月"),0))</f>
        <v/>
      </c>
      <c r="K322" s="659" t="str">
        <f>IF($A322="","",IFERROR(GETPIVOTDATA("合計 / 入金予定",【ピボット】国保連売上!$A$3,"年月",$A322,"事業所コード",$B322,"事業所",$C322,"事業区分",K$1,"請求区分","単月"),0)
+IFERROR(GETPIVOTDATA("合計 / 入金予定",【ピボット】国保連売上!$A$3,"年月",$A322,"事業所コード",$B322,"事業所",$C322,"事業区分",K$1,"請求区分","再請求"),0))</f>
        <v/>
      </c>
      <c r="L322" s="659" t="str">
        <f>IF($A322="","",IFERROR(GETPIVOTDATA("合計 / 処遇改善加算金",【ピボット】国保連売上!$A$3,"年月",$A322,"事業所コード",$B322,"事業所",$C322,"事業区分",K$1,"請求区分","単月"),0))</f>
        <v/>
      </c>
      <c r="M322" s="659" t="str">
        <f>IF($A322="","",IFERROR(GETPIVOTDATA("合計 / 入金予定",【ピボット】国保連売上!$A$3,"年月",$A322,"事業所コード",$B322,"事業所",$C322,"事業区分",M$1,"請求区分","単月"),0)
+IFERROR(GETPIVOTDATA("合計 / 入金予定",【ピボット】国保連売上!$A$3,"年月",$A322,"事業所コード",$B322,"事業所",$C322,"事業区分",M$1,"請求区分","再請求"),0))</f>
        <v/>
      </c>
      <c r="N322" s="660"/>
      <c r="O322" s="660"/>
      <c r="P322" s="660"/>
      <c r="Q322" s="660"/>
      <c r="R322" s="660"/>
      <c r="S322" s="660"/>
      <c r="T322" s="660"/>
      <c r="U322" s="660"/>
      <c r="V322" s="660"/>
      <c r="W322" s="660"/>
      <c r="X322" s="660"/>
      <c r="Y322" s="659" t="str">
        <f t="shared" si="15"/>
        <v/>
      </c>
      <c r="Z322" s="659" t="str">
        <f t="shared" si="14"/>
        <v/>
      </c>
    </row>
    <row r="323" spans="1:26" ht="15.95" customHeight="1" x14ac:dyDescent="0.15">
      <c r="A323" s="656"/>
      <c r="B323" s="657" t="str">
        <f t="shared" ref="B323:B386" si="16">IF(C323="","",VLOOKUP(C323,事業所コード2,2,FALSE))</f>
        <v/>
      </c>
      <c r="C323" s="658"/>
      <c r="D323" s="659" t="str">
        <f>IF($A323="","",IFERROR(GETPIVOTDATA("合計 / 入金予定",【ピボット】国保連売上!$A$3,"年月",$A323,"事業所コード",$B323,"事業所",$C323,"事業区分",D$1,"請求区分","単月"),0)
+IFERROR(GETPIVOTDATA("合計 / 入金予定",【ピボット】国保連売上!$A$3,"年月",$A323,"事業所コード",$B323,"事業所",$C323,"事業区分",D$1,"請求区分","再請求"),0))</f>
        <v/>
      </c>
      <c r="E323" s="659" t="str">
        <f>IF($A323="","",IFERROR(GETPIVOTDATA("合計 / 処遇改善加算金",【ピボット】国保連売上!$A$3,"年月",$A323,"事業所コード",$B323,"事業所",$C323,"事業区分",D$1,"請求区分","単月"),0))</f>
        <v/>
      </c>
      <c r="F323" s="659" t="str">
        <f>IF($A323="","",IFERROR(GETPIVOTDATA("合計 / 入金予定",【ピボット】国保連売上!$A$3,"年月",$A323,"事業所コード",$B323,"事業所",$C323,"事業区分",F$1,"請求区分","単月"),0)
+IFERROR(GETPIVOTDATA("合計 / 入金予定",【ピボット】国保連売上!$A$3,"年月",$A323,"事業所コード",$B323,"事業所",$C323,"事業区分",F$1,"請求区分","再請求"),0))</f>
        <v/>
      </c>
      <c r="G323" s="659" t="str">
        <f>IF($A323="","",IFERROR(GETPIVOTDATA("合計 / 処遇改善加算金",【ピボット】国保連売上!$A$3,"年月",$A323,"事業所コード",$B323,"事業所",$C323,"事業区分",F$1,"請求区分","単月"),0))</f>
        <v/>
      </c>
      <c r="H323" s="659" t="str">
        <f>IF($A323="","",IFERROR(GETPIVOTDATA("合計 / 入金予定",【ピボット】国保連売上!$A$3,"年月",$A323,"事業所コード",$B323,"事業所",$C323,"事業区分",H$1,"請求区分","単月"),0)
+IFERROR(GETPIVOTDATA("合計 / 入金予定",【ピボット】国保連売上!$A$3,"年月",$A323,"事業所コード",$B323,"事業所",$C323,"事業区分",H$1,"請求区分","再請求"),0))</f>
        <v/>
      </c>
      <c r="I323" s="659" t="str">
        <f>IF($A323="","",IFERROR(GETPIVOTDATA("合計 / 入金予定",【ピボット】国保連売上!$A$3,"年月",$A323,"事業所コード",$B323,"事業所",$C323,"事業区分",I$1,"請求区分","単月"),0)
+IFERROR(GETPIVOTDATA("合計 / 入金予定",【ピボット】国保連売上!$A$3,"年月",$A323,"事業所コード",$B323,"事業所",$C323,"事業区分",I$1,"請求区分","再請求"),0))</f>
        <v/>
      </c>
      <c r="J323" s="659" t="str">
        <f>IF($A323="","",IFERROR(GETPIVOTDATA("合計 / 処遇改善加算金",【ピボット】国保連売上!$A$3,"年月",$A323,"事業所コード",$B323,"事業所",$C323,"事業区分",I$1,"請求区分","単月"),0))</f>
        <v/>
      </c>
      <c r="K323" s="659" t="str">
        <f>IF($A323="","",IFERROR(GETPIVOTDATA("合計 / 入金予定",【ピボット】国保連売上!$A$3,"年月",$A323,"事業所コード",$B323,"事業所",$C323,"事業区分",K$1,"請求区分","単月"),0)
+IFERROR(GETPIVOTDATA("合計 / 入金予定",【ピボット】国保連売上!$A$3,"年月",$A323,"事業所コード",$B323,"事業所",$C323,"事業区分",K$1,"請求区分","再請求"),0))</f>
        <v/>
      </c>
      <c r="L323" s="659" t="str">
        <f>IF($A323="","",IFERROR(GETPIVOTDATA("合計 / 処遇改善加算金",【ピボット】国保連売上!$A$3,"年月",$A323,"事業所コード",$B323,"事業所",$C323,"事業区分",K$1,"請求区分","単月"),0))</f>
        <v/>
      </c>
      <c r="M323" s="659" t="str">
        <f>IF($A323="","",IFERROR(GETPIVOTDATA("合計 / 入金予定",【ピボット】国保連売上!$A$3,"年月",$A323,"事業所コード",$B323,"事業所",$C323,"事業区分",M$1,"請求区分","単月"),0)
+IFERROR(GETPIVOTDATA("合計 / 入金予定",【ピボット】国保連売上!$A$3,"年月",$A323,"事業所コード",$B323,"事業所",$C323,"事業区分",M$1,"請求区分","再請求"),0))</f>
        <v/>
      </c>
      <c r="N323" s="660"/>
      <c r="O323" s="660"/>
      <c r="P323" s="660"/>
      <c r="Q323" s="660"/>
      <c r="R323" s="660"/>
      <c r="S323" s="660"/>
      <c r="T323" s="660"/>
      <c r="U323" s="660"/>
      <c r="V323" s="660"/>
      <c r="W323" s="660"/>
      <c r="X323" s="660"/>
      <c r="Y323" s="659" t="str">
        <f t="shared" si="15"/>
        <v/>
      </c>
      <c r="Z323" s="659" t="str">
        <f t="shared" ref="Z323:Z386" si="17">IF(B323="","",SUM(N323:X323))</f>
        <v/>
      </c>
    </row>
    <row r="324" spans="1:26" ht="15.95" customHeight="1" x14ac:dyDescent="0.15">
      <c r="A324" s="656"/>
      <c r="B324" s="657" t="str">
        <f t="shared" si="16"/>
        <v/>
      </c>
      <c r="C324" s="658"/>
      <c r="D324" s="659" t="str">
        <f>IF($A324="","",IFERROR(GETPIVOTDATA("合計 / 入金予定",【ピボット】国保連売上!$A$3,"年月",$A324,"事業所コード",$B324,"事業所",$C324,"事業区分",D$1,"請求区分","単月"),0)
+IFERROR(GETPIVOTDATA("合計 / 入金予定",【ピボット】国保連売上!$A$3,"年月",$A324,"事業所コード",$B324,"事業所",$C324,"事業区分",D$1,"請求区分","再請求"),0))</f>
        <v/>
      </c>
      <c r="E324" s="659" t="str">
        <f>IF($A324="","",IFERROR(GETPIVOTDATA("合計 / 処遇改善加算金",【ピボット】国保連売上!$A$3,"年月",$A324,"事業所コード",$B324,"事業所",$C324,"事業区分",D$1,"請求区分","単月"),0))</f>
        <v/>
      </c>
      <c r="F324" s="659" t="str">
        <f>IF($A324="","",IFERROR(GETPIVOTDATA("合計 / 入金予定",【ピボット】国保連売上!$A$3,"年月",$A324,"事業所コード",$B324,"事業所",$C324,"事業区分",F$1,"請求区分","単月"),0)
+IFERROR(GETPIVOTDATA("合計 / 入金予定",【ピボット】国保連売上!$A$3,"年月",$A324,"事業所コード",$B324,"事業所",$C324,"事業区分",F$1,"請求区分","再請求"),0))</f>
        <v/>
      </c>
      <c r="G324" s="659" t="str">
        <f>IF($A324="","",IFERROR(GETPIVOTDATA("合計 / 処遇改善加算金",【ピボット】国保連売上!$A$3,"年月",$A324,"事業所コード",$B324,"事業所",$C324,"事業区分",F$1,"請求区分","単月"),0))</f>
        <v/>
      </c>
      <c r="H324" s="659" t="str">
        <f>IF($A324="","",IFERROR(GETPIVOTDATA("合計 / 入金予定",【ピボット】国保連売上!$A$3,"年月",$A324,"事業所コード",$B324,"事業所",$C324,"事業区分",H$1,"請求区分","単月"),0)
+IFERROR(GETPIVOTDATA("合計 / 入金予定",【ピボット】国保連売上!$A$3,"年月",$A324,"事業所コード",$B324,"事業所",$C324,"事業区分",H$1,"請求区分","再請求"),0))</f>
        <v/>
      </c>
      <c r="I324" s="659" t="str">
        <f>IF($A324="","",IFERROR(GETPIVOTDATA("合計 / 入金予定",【ピボット】国保連売上!$A$3,"年月",$A324,"事業所コード",$B324,"事業所",$C324,"事業区分",I$1,"請求区分","単月"),0)
+IFERROR(GETPIVOTDATA("合計 / 入金予定",【ピボット】国保連売上!$A$3,"年月",$A324,"事業所コード",$B324,"事業所",$C324,"事業区分",I$1,"請求区分","再請求"),0))</f>
        <v/>
      </c>
      <c r="J324" s="659" t="str">
        <f>IF($A324="","",IFERROR(GETPIVOTDATA("合計 / 処遇改善加算金",【ピボット】国保連売上!$A$3,"年月",$A324,"事業所コード",$B324,"事業所",$C324,"事業区分",I$1,"請求区分","単月"),0))</f>
        <v/>
      </c>
      <c r="K324" s="659" t="str">
        <f>IF($A324="","",IFERROR(GETPIVOTDATA("合計 / 入金予定",【ピボット】国保連売上!$A$3,"年月",$A324,"事業所コード",$B324,"事業所",$C324,"事業区分",K$1,"請求区分","単月"),0)
+IFERROR(GETPIVOTDATA("合計 / 入金予定",【ピボット】国保連売上!$A$3,"年月",$A324,"事業所コード",$B324,"事業所",$C324,"事業区分",K$1,"請求区分","再請求"),0))</f>
        <v/>
      </c>
      <c r="L324" s="659" t="str">
        <f>IF($A324="","",IFERROR(GETPIVOTDATA("合計 / 処遇改善加算金",【ピボット】国保連売上!$A$3,"年月",$A324,"事業所コード",$B324,"事業所",$C324,"事業区分",K$1,"請求区分","単月"),0))</f>
        <v/>
      </c>
      <c r="M324" s="659" t="str">
        <f>IF($A324="","",IFERROR(GETPIVOTDATA("合計 / 入金予定",【ピボット】国保連売上!$A$3,"年月",$A324,"事業所コード",$B324,"事業所",$C324,"事業区分",M$1,"請求区分","単月"),0)
+IFERROR(GETPIVOTDATA("合計 / 入金予定",【ピボット】国保連売上!$A$3,"年月",$A324,"事業所コード",$B324,"事業所",$C324,"事業区分",M$1,"請求区分","再請求"),0))</f>
        <v/>
      </c>
      <c r="N324" s="660"/>
      <c r="O324" s="660"/>
      <c r="P324" s="660"/>
      <c r="Q324" s="660"/>
      <c r="R324" s="660"/>
      <c r="S324" s="660"/>
      <c r="T324" s="660"/>
      <c r="U324" s="660"/>
      <c r="V324" s="660"/>
      <c r="W324" s="660"/>
      <c r="X324" s="660"/>
      <c r="Y324" s="659" t="str">
        <f t="shared" si="15"/>
        <v/>
      </c>
      <c r="Z324" s="659" t="str">
        <f t="shared" si="17"/>
        <v/>
      </c>
    </row>
    <row r="325" spans="1:26" ht="15.95" customHeight="1" x14ac:dyDescent="0.15">
      <c r="A325" s="656"/>
      <c r="B325" s="657" t="str">
        <f t="shared" si="16"/>
        <v/>
      </c>
      <c r="C325" s="658"/>
      <c r="D325" s="659" t="str">
        <f>IF($A325="","",IFERROR(GETPIVOTDATA("合計 / 入金予定",【ピボット】国保連売上!$A$3,"年月",$A325,"事業所コード",$B325,"事業所",$C325,"事業区分",D$1,"請求区分","単月"),0)
+IFERROR(GETPIVOTDATA("合計 / 入金予定",【ピボット】国保連売上!$A$3,"年月",$A325,"事業所コード",$B325,"事業所",$C325,"事業区分",D$1,"請求区分","再請求"),0))</f>
        <v/>
      </c>
      <c r="E325" s="659" t="str">
        <f>IF($A325="","",IFERROR(GETPIVOTDATA("合計 / 処遇改善加算金",【ピボット】国保連売上!$A$3,"年月",$A325,"事業所コード",$B325,"事業所",$C325,"事業区分",D$1,"請求区分","単月"),0))</f>
        <v/>
      </c>
      <c r="F325" s="659" t="str">
        <f>IF($A325="","",IFERROR(GETPIVOTDATA("合計 / 入金予定",【ピボット】国保連売上!$A$3,"年月",$A325,"事業所コード",$B325,"事業所",$C325,"事業区分",F$1,"請求区分","単月"),0)
+IFERROR(GETPIVOTDATA("合計 / 入金予定",【ピボット】国保連売上!$A$3,"年月",$A325,"事業所コード",$B325,"事業所",$C325,"事業区分",F$1,"請求区分","再請求"),0))</f>
        <v/>
      </c>
      <c r="G325" s="659" t="str">
        <f>IF($A325="","",IFERROR(GETPIVOTDATA("合計 / 処遇改善加算金",【ピボット】国保連売上!$A$3,"年月",$A325,"事業所コード",$B325,"事業所",$C325,"事業区分",F$1,"請求区分","単月"),0))</f>
        <v/>
      </c>
      <c r="H325" s="659" t="str">
        <f>IF($A325="","",IFERROR(GETPIVOTDATA("合計 / 入金予定",【ピボット】国保連売上!$A$3,"年月",$A325,"事業所コード",$B325,"事業所",$C325,"事業区分",H$1,"請求区分","単月"),0)
+IFERROR(GETPIVOTDATA("合計 / 入金予定",【ピボット】国保連売上!$A$3,"年月",$A325,"事業所コード",$B325,"事業所",$C325,"事業区分",H$1,"請求区分","再請求"),0))</f>
        <v/>
      </c>
      <c r="I325" s="659" t="str">
        <f>IF($A325="","",IFERROR(GETPIVOTDATA("合計 / 入金予定",【ピボット】国保連売上!$A$3,"年月",$A325,"事業所コード",$B325,"事業所",$C325,"事業区分",I$1,"請求区分","単月"),0)
+IFERROR(GETPIVOTDATA("合計 / 入金予定",【ピボット】国保連売上!$A$3,"年月",$A325,"事業所コード",$B325,"事業所",$C325,"事業区分",I$1,"請求区分","再請求"),0))</f>
        <v/>
      </c>
      <c r="J325" s="659" t="str">
        <f>IF($A325="","",IFERROR(GETPIVOTDATA("合計 / 処遇改善加算金",【ピボット】国保連売上!$A$3,"年月",$A325,"事業所コード",$B325,"事業所",$C325,"事業区分",I$1,"請求区分","単月"),0))</f>
        <v/>
      </c>
      <c r="K325" s="659" t="str">
        <f>IF($A325="","",IFERROR(GETPIVOTDATA("合計 / 入金予定",【ピボット】国保連売上!$A$3,"年月",$A325,"事業所コード",$B325,"事業所",$C325,"事業区分",K$1,"請求区分","単月"),0)
+IFERROR(GETPIVOTDATA("合計 / 入金予定",【ピボット】国保連売上!$A$3,"年月",$A325,"事業所コード",$B325,"事業所",$C325,"事業区分",K$1,"請求区分","再請求"),0))</f>
        <v/>
      </c>
      <c r="L325" s="659" t="str">
        <f>IF($A325="","",IFERROR(GETPIVOTDATA("合計 / 処遇改善加算金",【ピボット】国保連売上!$A$3,"年月",$A325,"事業所コード",$B325,"事業所",$C325,"事業区分",K$1,"請求区分","単月"),0))</f>
        <v/>
      </c>
      <c r="M325" s="659" t="str">
        <f>IF($A325="","",IFERROR(GETPIVOTDATA("合計 / 入金予定",【ピボット】国保連売上!$A$3,"年月",$A325,"事業所コード",$B325,"事業所",$C325,"事業区分",M$1,"請求区分","単月"),0)
+IFERROR(GETPIVOTDATA("合計 / 入金予定",【ピボット】国保連売上!$A$3,"年月",$A325,"事業所コード",$B325,"事業所",$C325,"事業区分",M$1,"請求区分","再請求"),0))</f>
        <v/>
      </c>
      <c r="N325" s="660"/>
      <c r="O325" s="660"/>
      <c r="P325" s="660"/>
      <c r="Q325" s="660"/>
      <c r="R325" s="660"/>
      <c r="S325" s="660"/>
      <c r="T325" s="660"/>
      <c r="U325" s="660"/>
      <c r="V325" s="660"/>
      <c r="W325" s="660"/>
      <c r="X325" s="660"/>
      <c r="Y325" s="659" t="str">
        <f t="shared" si="15"/>
        <v/>
      </c>
      <c r="Z325" s="659" t="str">
        <f t="shared" si="17"/>
        <v/>
      </c>
    </row>
    <row r="326" spans="1:26" ht="15.95" customHeight="1" x14ac:dyDescent="0.15">
      <c r="A326" s="656"/>
      <c r="B326" s="657" t="str">
        <f t="shared" si="16"/>
        <v/>
      </c>
      <c r="C326" s="658"/>
      <c r="D326" s="659" t="str">
        <f>IF($A326="","",IFERROR(GETPIVOTDATA("合計 / 入金予定",【ピボット】国保連売上!$A$3,"年月",$A326,"事業所コード",$B326,"事業所",$C326,"事業区分",D$1,"請求区分","単月"),0)
+IFERROR(GETPIVOTDATA("合計 / 入金予定",【ピボット】国保連売上!$A$3,"年月",$A326,"事業所コード",$B326,"事業所",$C326,"事業区分",D$1,"請求区分","再請求"),0))</f>
        <v/>
      </c>
      <c r="E326" s="659" t="str">
        <f>IF($A326="","",IFERROR(GETPIVOTDATA("合計 / 処遇改善加算金",【ピボット】国保連売上!$A$3,"年月",$A326,"事業所コード",$B326,"事業所",$C326,"事業区分",D$1,"請求区分","単月"),0))</f>
        <v/>
      </c>
      <c r="F326" s="659" t="str">
        <f>IF($A326="","",IFERROR(GETPIVOTDATA("合計 / 入金予定",【ピボット】国保連売上!$A$3,"年月",$A326,"事業所コード",$B326,"事業所",$C326,"事業区分",F$1,"請求区分","単月"),0)
+IFERROR(GETPIVOTDATA("合計 / 入金予定",【ピボット】国保連売上!$A$3,"年月",$A326,"事業所コード",$B326,"事業所",$C326,"事業区分",F$1,"請求区分","再請求"),0))</f>
        <v/>
      </c>
      <c r="G326" s="659" t="str">
        <f>IF($A326="","",IFERROR(GETPIVOTDATA("合計 / 処遇改善加算金",【ピボット】国保連売上!$A$3,"年月",$A326,"事業所コード",$B326,"事業所",$C326,"事業区分",F$1,"請求区分","単月"),0))</f>
        <v/>
      </c>
      <c r="H326" s="659" t="str">
        <f>IF($A326="","",IFERROR(GETPIVOTDATA("合計 / 入金予定",【ピボット】国保連売上!$A$3,"年月",$A326,"事業所コード",$B326,"事業所",$C326,"事業区分",H$1,"請求区分","単月"),0)
+IFERROR(GETPIVOTDATA("合計 / 入金予定",【ピボット】国保連売上!$A$3,"年月",$A326,"事業所コード",$B326,"事業所",$C326,"事業区分",H$1,"請求区分","再請求"),0))</f>
        <v/>
      </c>
      <c r="I326" s="659" t="str">
        <f>IF($A326="","",IFERROR(GETPIVOTDATA("合計 / 入金予定",【ピボット】国保連売上!$A$3,"年月",$A326,"事業所コード",$B326,"事業所",$C326,"事業区分",I$1,"請求区分","単月"),0)
+IFERROR(GETPIVOTDATA("合計 / 入金予定",【ピボット】国保連売上!$A$3,"年月",$A326,"事業所コード",$B326,"事業所",$C326,"事業区分",I$1,"請求区分","再請求"),0))</f>
        <v/>
      </c>
      <c r="J326" s="659" t="str">
        <f>IF($A326="","",IFERROR(GETPIVOTDATA("合計 / 処遇改善加算金",【ピボット】国保連売上!$A$3,"年月",$A326,"事業所コード",$B326,"事業所",$C326,"事業区分",I$1,"請求区分","単月"),0))</f>
        <v/>
      </c>
      <c r="K326" s="659" t="str">
        <f>IF($A326="","",IFERROR(GETPIVOTDATA("合計 / 入金予定",【ピボット】国保連売上!$A$3,"年月",$A326,"事業所コード",$B326,"事業所",$C326,"事業区分",K$1,"請求区分","単月"),0)
+IFERROR(GETPIVOTDATA("合計 / 入金予定",【ピボット】国保連売上!$A$3,"年月",$A326,"事業所コード",$B326,"事業所",$C326,"事業区分",K$1,"請求区分","再請求"),0))</f>
        <v/>
      </c>
      <c r="L326" s="659" t="str">
        <f>IF($A326="","",IFERROR(GETPIVOTDATA("合計 / 処遇改善加算金",【ピボット】国保連売上!$A$3,"年月",$A326,"事業所コード",$B326,"事業所",$C326,"事業区分",K$1,"請求区分","単月"),0))</f>
        <v/>
      </c>
      <c r="M326" s="659" t="str">
        <f>IF($A326="","",IFERROR(GETPIVOTDATA("合計 / 入金予定",【ピボット】国保連売上!$A$3,"年月",$A326,"事業所コード",$B326,"事業所",$C326,"事業区分",M$1,"請求区分","単月"),0)
+IFERROR(GETPIVOTDATA("合計 / 入金予定",【ピボット】国保連売上!$A$3,"年月",$A326,"事業所コード",$B326,"事業所",$C326,"事業区分",M$1,"請求区分","再請求"),0))</f>
        <v/>
      </c>
      <c r="N326" s="660"/>
      <c r="O326" s="660"/>
      <c r="P326" s="660"/>
      <c r="Q326" s="660"/>
      <c r="R326" s="660"/>
      <c r="S326" s="660"/>
      <c r="T326" s="660"/>
      <c r="U326" s="660"/>
      <c r="V326" s="660"/>
      <c r="W326" s="660"/>
      <c r="X326" s="660"/>
      <c r="Y326" s="659" t="str">
        <f t="shared" si="15"/>
        <v/>
      </c>
      <c r="Z326" s="659" t="str">
        <f t="shared" si="17"/>
        <v/>
      </c>
    </row>
    <row r="327" spans="1:26" ht="15.95" customHeight="1" x14ac:dyDescent="0.15">
      <c r="A327" s="656"/>
      <c r="B327" s="657" t="str">
        <f t="shared" si="16"/>
        <v/>
      </c>
      <c r="C327" s="658"/>
      <c r="D327" s="659" t="str">
        <f>IF($A327="","",IFERROR(GETPIVOTDATA("合計 / 入金予定",【ピボット】国保連売上!$A$3,"年月",$A327,"事業所コード",$B327,"事業所",$C327,"事業区分",D$1,"請求区分","単月"),0)
+IFERROR(GETPIVOTDATA("合計 / 入金予定",【ピボット】国保連売上!$A$3,"年月",$A327,"事業所コード",$B327,"事業所",$C327,"事業区分",D$1,"請求区分","再請求"),0))</f>
        <v/>
      </c>
      <c r="E327" s="659" t="str">
        <f>IF($A327="","",IFERROR(GETPIVOTDATA("合計 / 処遇改善加算金",【ピボット】国保連売上!$A$3,"年月",$A327,"事業所コード",$B327,"事業所",$C327,"事業区分",D$1,"請求区分","単月"),0))</f>
        <v/>
      </c>
      <c r="F327" s="659" t="str">
        <f>IF($A327="","",IFERROR(GETPIVOTDATA("合計 / 入金予定",【ピボット】国保連売上!$A$3,"年月",$A327,"事業所コード",$B327,"事業所",$C327,"事業区分",F$1,"請求区分","単月"),0)
+IFERROR(GETPIVOTDATA("合計 / 入金予定",【ピボット】国保連売上!$A$3,"年月",$A327,"事業所コード",$B327,"事業所",$C327,"事業区分",F$1,"請求区分","再請求"),0))</f>
        <v/>
      </c>
      <c r="G327" s="659" t="str">
        <f>IF($A327="","",IFERROR(GETPIVOTDATA("合計 / 処遇改善加算金",【ピボット】国保連売上!$A$3,"年月",$A327,"事業所コード",$B327,"事業所",$C327,"事業区分",F$1,"請求区分","単月"),0))</f>
        <v/>
      </c>
      <c r="H327" s="659" t="str">
        <f>IF($A327="","",IFERROR(GETPIVOTDATA("合計 / 入金予定",【ピボット】国保連売上!$A$3,"年月",$A327,"事業所コード",$B327,"事業所",$C327,"事業区分",H$1,"請求区分","単月"),0)
+IFERROR(GETPIVOTDATA("合計 / 入金予定",【ピボット】国保連売上!$A$3,"年月",$A327,"事業所コード",$B327,"事業所",$C327,"事業区分",H$1,"請求区分","再請求"),0))</f>
        <v/>
      </c>
      <c r="I327" s="659" t="str">
        <f>IF($A327="","",IFERROR(GETPIVOTDATA("合計 / 入金予定",【ピボット】国保連売上!$A$3,"年月",$A327,"事業所コード",$B327,"事業所",$C327,"事業区分",I$1,"請求区分","単月"),0)
+IFERROR(GETPIVOTDATA("合計 / 入金予定",【ピボット】国保連売上!$A$3,"年月",$A327,"事業所コード",$B327,"事業所",$C327,"事業区分",I$1,"請求区分","再請求"),0))</f>
        <v/>
      </c>
      <c r="J327" s="659" t="str">
        <f>IF($A327="","",IFERROR(GETPIVOTDATA("合計 / 処遇改善加算金",【ピボット】国保連売上!$A$3,"年月",$A327,"事業所コード",$B327,"事業所",$C327,"事業区分",I$1,"請求区分","単月"),0))</f>
        <v/>
      </c>
      <c r="K327" s="659" t="str">
        <f>IF($A327="","",IFERROR(GETPIVOTDATA("合計 / 入金予定",【ピボット】国保連売上!$A$3,"年月",$A327,"事業所コード",$B327,"事業所",$C327,"事業区分",K$1,"請求区分","単月"),0)
+IFERROR(GETPIVOTDATA("合計 / 入金予定",【ピボット】国保連売上!$A$3,"年月",$A327,"事業所コード",$B327,"事業所",$C327,"事業区分",K$1,"請求区分","再請求"),0))</f>
        <v/>
      </c>
      <c r="L327" s="659" t="str">
        <f>IF($A327="","",IFERROR(GETPIVOTDATA("合計 / 処遇改善加算金",【ピボット】国保連売上!$A$3,"年月",$A327,"事業所コード",$B327,"事業所",$C327,"事業区分",K$1,"請求区分","単月"),0))</f>
        <v/>
      </c>
      <c r="M327" s="659" t="str">
        <f>IF($A327="","",IFERROR(GETPIVOTDATA("合計 / 入金予定",【ピボット】国保連売上!$A$3,"年月",$A327,"事業所コード",$B327,"事業所",$C327,"事業区分",M$1,"請求区分","単月"),0)
+IFERROR(GETPIVOTDATA("合計 / 入金予定",【ピボット】国保連売上!$A$3,"年月",$A327,"事業所コード",$B327,"事業所",$C327,"事業区分",M$1,"請求区分","再請求"),0))</f>
        <v/>
      </c>
      <c r="N327" s="660"/>
      <c r="O327" s="660"/>
      <c r="P327" s="660"/>
      <c r="Q327" s="660"/>
      <c r="R327" s="660"/>
      <c r="S327" s="660"/>
      <c r="T327" s="660"/>
      <c r="U327" s="660"/>
      <c r="V327" s="660"/>
      <c r="W327" s="660"/>
      <c r="X327" s="660"/>
      <c r="Y327" s="659" t="str">
        <f t="shared" si="15"/>
        <v/>
      </c>
      <c r="Z327" s="659" t="str">
        <f t="shared" si="17"/>
        <v/>
      </c>
    </row>
    <row r="328" spans="1:26" ht="15.95" customHeight="1" x14ac:dyDescent="0.15">
      <c r="A328" s="656"/>
      <c r="B328" s="657" t="str">
        <f t="shared" si="16"/>
        <v/>
      </c>
      <c r="C328" s="658"/>
      <c r="D328" s="659" t="str">
        <f>IF($A328="","",IFERROR(GETPIVOTDATA("合計 / 入金予定",【ピボット】国保連売上!$A$3,"年月",$A328,"事業所コード",$B328,"事業所",$C328,"事業区分",D$1,"請求区分","単月"),0)
+IFERROR(GETPIVOTDATA("合計 / 入金予定",【ピボット】国保連売上!$A$3,"年月",$A328,"事業所コード",$B328,"事業所",$C328,"事業区分",D$1,"請求区分","再請求"),0))</f>
        <v/>
      </c>
      <c r="E328" s="659" t="str">
        <f>IF($A328="","",IFERROR(GETPIVOTDATA("合計 / 処遇改善加算金",【ピボット】国保連売上!$A$3,"年月",$A328,"事業所コード",$B328,"事業所",$C328,"事業区分",D$1,"請求区分","単月"),0))</f>
        <v/>
      </c>
      <c r="F328" s="659" t="str">
        <f>IF($A328="","",IFERROR(GETPIVOTDATA("合計 / 入金予定",【ピボット】国保連売上!$A$3,"年月",$A328,"事業所コード",$B328,"事業所",$C328,"事業区分",F$1,"請求区分","単月"),0)
+IFERROR(GETPIVOTDATA("合計 / 入金予定",【ピボット】国保連売上!$A$3,"年月",$A328,"事業所コード",$B328,"事業所",$C328,"事業区分",F$1,"請求区分","再請求"),0))</f>
        <v/>
      </c>
      <c r="G328" s="659" t="str">
        <f>IF($A328="","",IFERROR(GETPIVOTDATA("合計 / 処遇改善加算金",【ピボット】国保連売上!$A$3,"年月",$A328,"事業所コード",$B328,"事業所",$C328,"事業区分",F$1,"請求区分","単月"),0))</f>
        <v/>
      </c>
      <c r="H328" s="659" t="str">
        <f>IF($A328="","",IFERROR(GETPIVOTDATA("合計 / 入金予定",【ピボット】国保連売上!$A$3,"年月",$A328,"事業所コード",$B328,"事業所",$C328,"事業区分",H$1,"請求区分","単月"),0)
+IFERROR(GETPIVOTDATA("合計 / 入金予定",【ピボット】国保連売上!$A$3,"年月",$A328,"事業所コード",$B328,"事業所",$C328,"事業区分",H$1,"請求区分","再請求"),0))</f>
        <v/>
      </c>
      <c r="I328" s="659" t="str">
        <f>IF($A328="","",IFERROR(GETPIVOTDATA("合計 / 入金予定",【ピボット】国保連売上!$A$3,"年月",$A328,"事業所コード",$B328,"事業所",$C328,"事業区分",I$1,"請求区分","単月"),0)
+IFERROR(GETPIVOTDATA("合計 / 入金予定",【ピボット】国保連売上!$A$3,"年月",$A328,"事業所コード",$B328,"事業所",$C328,"事業区分",I$1,"請求区分","再請求"),0))</f>
        <v/>
      </c>
      <c r="J328" s="659" t="str">
        <f>IF($A328="","",IFERROR(GETPIVOTDATA("合計 / 処遇改善加算金",【ピボット】国保連売上!$A$3,"年月",$A328,"事業所コード",$B328,"事業所",$C328,"事業区分",I$1,"請求区分","単月"),0))</f>
        <v/>
      </c>
      <c r="K328" s="659" t="str">
        <f>IF($A328="","",IFERROR(GETPIVOTDATA("合計 / 入金予定",【ピボット】国保連売上!$A$3,"年月",$A328,"事業所コード",$B328,"事業所",$C328,"事業区分",K$1,"請求区分","単月"),0)
+IFERROR(GETPIVOTDATA("合計 / 入金予定",【ピボット】国保連売上!$A$3,"年月",$A328,"事業所コード",$B328,"事業所",$C328,"事業区分",K$1,"請求区分","再請求"),0))</f>
        <v/>
      </c>
      <c r="L328" s="659" t="str">
        <f>IF($A328="","",IFERROR(GETPIVOTDATA("合計 / 処遇改善加算金",【ピボット】国保連売上!$A$3,"年月",$A328,"事業所コード",$B328,"事業所",$C328,"事業区分",K$1,"請求区分","単月"),0))</f>
        <v/>
      </c>
      <c r="M328" s="659" t="str">
        <f>IF($A328="","",IFERROR(GETPIVOTDATA("合計 / 入金予定",【ピボット】国保連売上!$A$3,"年月",$A328,"事業所コード",$B328,"事業所",$C328,"事業区分",M$1,"請求区分","単月"),0)
+IFERROR(GETPIVOTDATA("合計 / 入金予定",【ピボット】国保連売上!$A$3,"年月",$A328,"事業所コード",$B328,"事業所",$C328,"事業区分",M$1,"請求区分","再請求"),0))</f>
        <v/>
      </c>
      <c r="N328" s="660"/>
      <c r="O328" s="660"/>
      <c r="P328" s="660"/>
      <c r="Q328" s="660"/>
      <c r="R328" s="660"/>
      <c r="S328" s="660"/>
      <c r="T328" s="660"/>
      <c r="U328" s="660"/>
      <c r="V328" s="660"/>
      <c r="W328" s="660"/>
      <c r="X328" s="660"/>
      <c r="Y328" s="659" t="str">
        <f t="shared" si="15"/>
        <v/>
      </c>
      <c r="Z328" s="659" t="str">
        <f t="shared" si="17"/>
        <v/>
      </c>
    </row>
    <row r="329" spans="1:26" ht="15.95" customHeight="1" x14ac:dyDescent="0.15">
      <c r="A329" s="656"/>
      <c r="B329" s="657" t="str">
        <f t="shared" si="16"/>
        <v/>
      </c>
      <c r="C329" s="658"/>
      <c r="D329" s="659" t="str">
        <f>IF($A329="","",IFERROR(GETPIVOTDATA("合計 / 入金予定",【ピボット】国保連売上!$A$3,"年月",$A329,"事業所コード",$B329,"事業所",$C329,"事業区分",D$1,"請求区分","単月"),0)
+IFERROR(GETPIVOTDATA("合計 / 入金予定",【ピボット】国保連売上!$A$3,"年月",$A329,"事業所コード",$B329,"事業所",$C329,"事業区分",D$1,"請求区分","再請求"),0))</f>
        <v/>
      </c>
      <c r="E329" s="659" t="str">
        <f>IF($A329="","",IFERROR(GETPIVOTDATA("合計 / 処遇改善加算金",【ピボット】国保連売上!$A$3,"年月",$A329,"事業所コード",$B329,"事業所",$C329,"事業区分",D$1,"請求区分","単月"),0))</f>
        <v/>
      </c>
      <c r="F329" s="659" t="str">
        <f>IF($A329="","",IFERROR(GETPIVOTDATA("合計 / 入金予定",【ピボット】国保連売上!$A$3,"年月",$A329,"事業所コード",$B329,"事業所",$C329,"事業区分",F$1,"請求区分","単月"),0)
+IFERROR(GETPIVOTDATA("合計 / 入金予定",【ピボット】国保連売上!$A$3,"年月",$A329,"事業所コード",$B329,"事業所",$C329,"事業区分",F$1,"請求区分","再請求"),0))</f>
        <v/>
      </c>
      <c r="G329" s="659" t="str">
        <f>IF($A329="","",IFERROR(GETPIVOTDATA("合計 / 処遇改善加算金",【ピボット】国保連売上!$A$3,"年月",$A329,"事業所コード",$B329,"事業所",$C329,"事業区分",F$1,"請求区分","単月"),0))</f>
        <v/>
      </c>
      <c r="H329" s="659" t="str">
        <f>IF($A329="","",IFERROR(GETPIVOTDATA("合計 / 入金予定",【ピボット】国保連売上!$A$3,"年月",$A329,"事業所コード",$B329,"事業所",$C329,"事業区分",H$1,"請求区分","単月"),0)
+IFERROR(GETPIVOTDATA("合計 / 入金予定",【ピボット】国保連売上!$A$3,"年月",$A329,"事業所コード",$B329,"事業所",$C329,"事業区分",H$1,"請求区分","再請求"),0))</f>
        <v/>
      </c>
      <c r="I329" s="659" t="str">
        <f>IF($A329="","",IFERROR(GETPIVOTDATA("合計 / 入金予定",【ピボット】国保連売上!$A$3,"年月",$A329,"事業所コード",$B329,"事業所",$C329,"事業区分",I$1,"請求区分","単月"),0)
+IFERROR(GETPIVOTDATA("合計 / 入金予定",【ピボット】国保連売上!$A$3,"年月",$A329,"事業所コード",$B329,"事業所",$C329,"事業区分",I$1,"請求区分","再請求"),0))</f>
        <v/>
      </c>
      <c r="J329" s="659" t="str">
        <f>IF($A329="","",IFERROR(GETPIVOTDATA("合計 / 処遇改善加算金",【ピボット】国保連売上!$A$3,"年月",$A329,"事業所コード",$B329,"事業所",$C329,"事業区分",I$1,"請求区分","単月"),0))</f>
        <v/>
      </c>
      <c r="K329" s="659" t="str">
        <f>IF($A329="","",IFERROR(GETPIVOTDATA("合計 / 入金予定",【ピボット】国保連売上!$A$3,"年月",$A329,"事業所コード",$B329,"事業所",$C329,"事業区分",K$1,"請求区分","単月"),0)
+IFERROR(GETPIVOTDATA("合計 / 入金予定",【ピボット】国保連売上!$A$3,"年月",$A329,"事業所コード",$B329,"事業所",$C329,"事業区分",K$1,"請求区分","再請求"),0))</f>
        <v/>
      </c>
      <c r="L329" s="659" t="str">
        <f>IF($A329="","",IFERROR(GETPIVOTDATA("合計 / 処遇改善加算金",【ピボット】国保連売上!$A$3,"年月",$A329,"事業所コード",$B329,"事業所",$C329,"事業区分",K$1,"請求区分","単月"),0))</f>
        <v/>
      </c>
      <c r="M329" s="659" t="str">
        <f>IF($A329="","",IFERROR(GETPIVOTDATA("合計 / 入金予定",【ピボット】国保連売上!$A$3,"年月",$A329,"事業所コード",$B329,"事業所",$C329,"事業区分",M$1,"請求区分","単月"),0)
+IFERROR(GETPIVOTDATA("合計 / 入金予定",【ピボット】国保連売上!$A$3,"年月",$A329,"事業所コード",$B329,"事業所",$C329,"事業区分",M$1,"請求区分","再請求"),0))</f>
        <v/>
      </c>
      <c r="N329" s="660"/>
      <c r="O329" s="660"/>
      <c r="P329" s="660"/>
      <c r="Q329" s="660"/>
      <c r="R329" s="660"/>
      <c r="S329" s="660"/>
      <c r="T329" s="660"/>
      <c r="U329" s="660"/>
      <c r="V329" s="660"/>
      <c r="W329" s="660"/>
      <c r="X329" s="660"/>
      <c r="Y329" s="659" t="str">
        <f t="shared" si="15"/>
        <v/>
      </c>
      <c r="Z329" s="659" t="str">
        <f t="shared" si="17"/>
        <v/>
      </c>
    </row>
    <row r="330" spans="1:26" ht="15.95" customHeight="1" x14ac:dyDescent="0.15">
      <c r="A330" s="656"/>
      <c r="B330" s="657" t="str">
        <f t="shared" si="16"/>
        <v/>
      </c>
      <c r="C330" s="658"/>
      <c r="D330" s="659" t="str">
        <f>IF($A330="","",IFERROR(GETPIVOTDATA("合計 / 入金予定",【ピボット】国保連売上!$A$3,"年月",$A330,"事業所コード",$B330,"事業所",$C330,"事業区分",D$1,"請求区分","単月"),0)
+IFERROR(GETPIVOTDATA("合計 / 入金予定",【ピボット】国保連売上!$A$3,"年月",$A330,"事業所コード",$B330,"事業所",$C330,"事業区分",D$1,"請求区分","再請求"),0))</f>
        <v/>
      </c>
      <c r="E330" s="659" t="str">
        <f>IF($A330="","",IFERROR(GETPIVOTDATA("合計 / 処遇改善加算金",【ピボット】国保連売上!$A$3,"年月",$A330,"事業所コード",$B330,"事業所",$C330,"事業区分",D$1,"請求区分","単月"),0))</f>
        <v/>
      </c>
      <c r="F330" s="659" t="str">
        <f>IF($A330="","",IFERROR(GETPIVOTDATA("合計 / 入金予定",【ピボット】国保連売上!$A$3,"年月",$A330,"事業所コード",$B330,"事業所",$C330,"事業区分",F$1,"請求区分","単月"),0)
+IFERROR(GETPIVOTDATA("合計 / 入金予定",【ピボット】国保連売上!$A$3,"年月",$A330,"事業所コード",$B330,"事業所",$C330,"事業区分",F$1,"請求区分","再請求"),0))</f>
        <v/>
      </c>
      <c r="G330" s="659" t="str">
        <f>IF($A330="","",IFERROR(GETPIVOTDATA("合計 / 処遇改善加算金",【ピボット】国保連売上!$A$3,"年月",$A330,"事業所コード",$B330,"事業所",$C330,"事業区分",F$1,"請求区分","単月"),0))</f>
        <v/>
      </c>
      <c r="H330" s="659" t="str">
        <f>IF($A330="","",IFERROR(GETPIVOTDATA("合計 / 入金予定",【ピボット】国保連売上!$A$3,"年月",$A330,"事業所コード",$B330,"事業所",$C330,"事業区分",H$1,"請求区分","単月"),0)
+IFERROR(GETPIVOTDATA("合計 / 入金予定",【ピボット】国保連売上!$A$3,"年月",$A330,"事業所コード",$B330,"事業所",$C330,"事業区分",H$1,"請求区分","再請求"),0))</f>
        <v/>
      </c>
      <c r="I330" s="659" t="str">
        <f>IF($A330="","",IFERROR(GETPIVOTDATA("合計 / 入金予定",【ピボット】国保連売上!$A$3,"年月",$A330,"事業所コード",$B330,"事業所",$C330,"事業区分",I$1,"請求区分","単月"),0)
+IFERROR(GETPIVOTDATA("合計 / 入金予定",【ピボット】国保連売上!$A$3,"年月",$A330,"事業所コード",$B330,"事業所",$C330,"事業区分",I$1,"請求区分","再請求"),0))</f>
        <v/>
      </c>
      <c r="J330" s="659" t="str">
        <f>IF($A330="","",IFERROR(GETPIVOTDATA("合計 / 処遇改善加算金",【ピボット】国保連売上!$A$3,"年月",$A330,"事業所コード",$B330,"事業所",$C330,"事業区分",I$1,"請求区分","単月"),0))</f>
        <v/>
      </c>
      <c r="K330" s="659" t="str">
        <f>IF($A330="","",IFERROR(GETPIVOTDATA("合計 / 入金予定",【ピボット】国保連売上!$A$3,"年月",$A330,"事業所コード",$B330,"事業所",$C330,"事業区分",K$1,"請求区分","単月"),0)
+IFERROR(GETPIVOTDATA("合計 / 入金予定",【ピボット】国保連売上!$A$3,"年月",$A330,"事業所コード",$B330,"事業所",$C330,"事業区分",K$1,"請求区分","再請求"),0))</f>
        <v/>
      </c>
      <c r="L330" s="659" t="str">
        <f>IF($A330="","",IFERROR(GETPIVOTDATA("合計 / 処遇改善加算金",【ピボット】国保連売上!$A$3,"年月",$A330,"事業所コード",$B330,"事業所",$C330,"事業区分",K$1,"請求区分","単月"),0))</f>
        <v/>
      </c>
      <c r="M330" s="659" t="str">
        <f>IF($A330="","",IFERROR(GETPIVOTDATA("合計 / 入金予定",【ピボット】国保連売上!$A$3,"年月",$A330,"事業所コード",$B330,"事業所",$C330,"事業区分",M$1,"請求区分","単月"),0)
+IFERROR(GETPIVOTDATA("合計 / 入金予定",【ピボット】国保連売上!$A$3,"年月",$A330,"事業所コード",$B330,"事業所",$C330,"事業区分",M$1,"請求区分","再請求"),0))</f>
        <v/>
      </c>
      <c r="N330" s="660"/>
      <c r="O330" s="660"/>
      <c r="P330" s="660"/>
      <c r="Q330" s="660"/>
      <c r="R330" s="660"/>
      <c r="S330" s="660"/>
      <c r="T330" s="660"/>
      <c r="U330" s="660"/>
      <c r="V330" s="660"/>
      <c r="W330" s="660"/>
      <c r="X330" s="660"/>
      <c r="Y330" s="659" t="str">
        <f t="shared" si="15"/>
        <v/>
      </c>
      <c r="Z330" s="659" t="str">
        <f t="shared" si="17"/>
        <v/>
      </c>
    </row>
    <row r="331" spans="1:26" ht="15.95" customHeight="1" x14ac:dyDescent="0.15">
      <c r="A331" s="656"/>
      <c r="B331" s="657" t="str">
        <f t="shared" si="16"/>
        <v/>
      </c>
      <c r="C331" s="658"/>
      <c r="D331" s="659" t="str">
        <f>IF($A331="","",IFERROR(GETPIVOTDATA("合計 / 入金予定",【ピボット】国保連売上!$A$3,"年月",$A331,"事業所コード",$B331,"事業所",$C331,"事業区分",D$1,"請求区分","単月"),0)
+IFERROR(GETPIVOTDATA("合計 / 入金予定",【ピボット】国保連売上!$A$3,"年月",$A331,"事業所コード",$B331,"事業所",$C331,"事業区分",D$1,"請求区分","再請求"),0))</f>
        <v/>
      </c>
      <c r="E331" s="659" t="str">
        <f>IF($A331="","",IFERROR(GETPIVOTDATA("合計 / 処遇改善加算金",【ピボット】国保連売上!$A$3,"年月",$A331,"事業所コード",$B331,"事業所",$C331,"事業区分",D$1,"請求区分","単月"),0))</f>
        <v/>
      </c>
      <c r="F331" s="659" t="str">
        <f>IF($A331="","",IFERROR(GETPIVOTDATA("合計 / 入金予定",【ピボット】国保連売上!$A$3,"年月",$A331,"事業所コード",$B331,"事業所",$C331,"事業区分",F$1,"請求区分","単月"),0)
+IFERROR(GETPIVOTDATA("合計 / 入金予定",【ピボット】国保連売上!$A$3,"年月",$A331,"事業所コード",$B331,"事業所",$C331,"事業区分",F$1,"請求区分","再請求"),0))</f>
        <v/>
      </c>
      <c r="G331" s="659" t="str">
        <f>IF($A331="","",IFERROR(GETPIVOTDATA("合計 / 処遇改善加算金",【ピボット】国保連売上!$A$3,"年月",$A331,"事業所コード",$B331,"事業所",$C331,"事業区分",F$1,"請求区分","単月"),0))</f>
        <v/>
      </c>
      <c r="H331" s="659" t="str">
        <f>IF($A331="","",IFERROR(GETPIVOTDATA("合計 / 入金予定",【ピボット】国保連売上!$A$3,"年月",$A331,"事業所コード",$B331,"事業所",$C331,"事業区分",H$1,"請求区分","単月"),0)
+IFERROR(GETPIVOTDATA("合計 / 入金予定",【ピボット】国保連売上!$A$3,"年月",$A331,"事業所コード",$B331,"事業所",$C331,"事業区分",H$1,"請求区分","再請求"),0))</f>
        <v/>
      </c>
      <c r="I331" s="659" t="str">
        <f>IF($A331="","",IFERROR(GETPIVOTDATA("合計 / 入金予定",【ピボット】国保連売上!$A$3,"年月",$A331,"事業所コード",$B331,"事業所",$C331,"事業区分",I$1,"請求区分","単月"),0)
+IFERROR(GETPIVOTDATA("合計 / 入金予定",【ピボット】国保連売上!$A$3,"年月",$A331,"事業所コード",$B331,"事業所",$C331,"事業区分",I$1,"請求区分","再請求"),0))</f>
        <v/>
      </c>
      <c r="J331" s="659" t="str">
        <f>IF($A331="","",IFERROR(GETPIVOTDATA("合計 / 処遇改善加算金",【ピボット】国保連売上!$A$3,"年月",$A331,"事業所コード",$B331,"事業所",$C331,"事業区分",I$1,"請求区分","単月"),0))</f>
        <v/>
      </c>
      <c r="K331" s="659" t="str">
        <f>IF($A331="","",IFERROR(GETPIVOTDATA("合計 / 入金予定",【ピボット】国保連売上!$A$3,"年月",$A331,"事業所コード",$B331,"事業所",$C331,"事業区分",K$1,"請求区分","単月"),0)
+IFERROR(GETPIVOTDATA("合計 / 入金予定",【ピボット】国保連売上!$A$3,"年月",$A331,"事業所コード",$B331,"事業所",$C331,"事業区分",K$1,"請求区分","再請求"),0))</f>
        <v/>
      </c>
      <c r="L331" s="659" t="str">
        <f>IF($A331="","",IFERROR(GETPIVOTDATA("合計 / 処遇改善加算金",【ピボット】国保連売上!$A$3,"年月",$A331,"事業所コード",$B331,"事業所",$C331,"事業区分",K$1,"請求区分","単月"),0))</f>
        <v/>
      </c>
      <c r="M331" s="659" t="str">
        <f>IF($A331="","",IFERROR(GETPIVOTDATA("合計 / 入金予定",【ピボット】国保連売上!$A$3,"年月",$A331,"事業所コード",$B331,"事業所",$C331,"事業区分",M$1,"請求区分","単月"),0)
+IFERROR(GETPIVOTDATA("合計 / 入金予定",【ピボット】国保連売上!$A$3,"年月",$A331,"事業所コード",$B331,"事業所",$C331,"事業区分",M$1,"請求区分","再請求"),0))</f>
        <v/>
      </c>
      <c r="N331" s="660"/>
      <c r="O331" s="660"/>
      <c r="P331" s="660"/>
      <c r="Q331" s="660"/>
      <c r="R331" s="660"/>
      <c r="S331" s="660"/>
      <c r="T331" s="660"/>
      <c r="U331" s="660"/>
      <c r="V331" s="660"/>
      <c r="W331" s="660"/>
      <c r="X331" s="660"/>
      <c r="Y331" s="659" t="str">
        <f t="shared" si="15"/>
        <v/>
      </c>
      <c r="Z331" s="659" t="str">
        <f t="shared" si="17"/>
        <v/>
      </c>
    </row>
    <row r="332" spans="1:26" ht="15.95" customHeight="1" x14ac:dyDescent="0.15">
      <c r="A332" s="656"/>
      <c r="B332" s="657" t="str">
        <f t="shared" si="16"/>
        <v/>
      </c>
      <c r="C332" s="658"/>
      <c r="D332" s="659" t="str">
        <f>IF($A332="","",IFERROR(GETPIVOTDATA("合計 / 入金予定",【ピボット】国保連売上!$A$3,"年月",$A332,"事業所コード",$B332,"事業所",$C332,"事業区分",D$1,"請求区分","単月"),0)
+IFERROR(GETPIVOTDATA("合計 / 入金予定",【ピボット】国保連売上!$A$3,"年月",$A332,"事業所コード",$B332,"事業所",$C332,"事業区分",D$1,"請求区分","再請求"),0))</f>
        <v/>
      </c>
      <c r="E332" s="659" t="str">
        <f>IF($A332="","",IFERROR(GETPIVOTDATA("合計 / 処遇改善加算金",【ピボット】国保連売上!$A$3,"年月",$A332,"事業所コード",$B332,"事業所",$C332,"事業区分",D$1,"請求区分","単月"),0))</f>
        <v/>
      </c>
      <c r="F332" s="659" t="str">
        <f>IF($A332="","",IFERROR(GETPIVOTDATA("合計 / 入金予定",【ピボット】国保連売上!$A$3,"年月",$A332,"事業所コード",$B332,"事業所",$C332,"事業区分",F$1,"請求区分","単月"),0)
+IFERROR(GETPIVOTDATA("合計 / 入金予定",【ピボット】国保連売上!$A$3,"年月",$A332,"事業所コード",$B332,"事業所",$C332,"事業区分",F$1,"請求区分","再請求"),0))</f>
        <v/>
      </c>
      <c r="G332" s="659" t="str">
        <f>IF($A332="","",IFERROR(GETPIVOTDATA("合計 / 処遇改善加算金",【ピボット】国保連売上!$A$3,"年月",$A332,"事業所コード",$B332,"事業所",$C332,"事業区分",F$1,"請求区分","単月"),0))</f>
        <v/>
      </c>
      <c r="H332" s="659" t="str">
        <f>IF($A332="","",IFERROR(GETPIVOTDATA("合計 / 入金予定",【ピボット】国保連売上!$A$3,"年月",$A332,"事業所コード",$B332,"事業所",$C332,"事業区分",H$1,"請求区分","単月"),0)
+IFERROR(GETPIVOTDATA("合計 / 入金予定",【ピボット】国保連売上!$A$3,"年月",$A332,"事業所コード",$B332,"事業所",$C332,"事業区分",H$1,"請求区分","再請求"),0))</f>
        <v/>
      </c>
      <c r="I332" s="659" t="str">
        <f>IF($A332="","",IFERROR(GETPIVOTDATA("合計 / 入金予定",【ピボット】国保連売上!$A$3,"年月",$A332,"事業所コード",$B332,"事業所",$C332,"事業区分",I$1,"請求区分","単月"),0)
+IFERROR(GETPIVOTDATA("合計 / 入金予定",【ピボット】国保連売上!$A$3,"年月",$A332,"事業所コード",$B332,"事業所",$C332,"事業区分",I$1,"請求区分","再請求"),0))</f>
        <v/>
      </c>
      <c r="J332" s="659" t="str">
        <f>IF($A332="","",IFERROR(GETPIVOTDATA("合計 / 処遇改善加算金",【ピボット】国保連売上!$A$3,"年月",$A332,"事業所コード",$B332,"事業所",$C332,"事業区分",I$1,"請求区分","単月"),0))</f>
        <v/>
      </c>
      <c r="K332" s="659" t="str">
        <f>IF($A332="","",IFERROR(GETPIVOTDATA("合計 / 入金予定",【ピボット】国保連売上!$A$3,"年月",$A332,"事業所コード",$B332,"事業所",$C332,"事業区分",K$1,"請求区分","単月"),0)
+IFERROR(GETPIVOTDATA("合計 / 入金予定",【ピボット】国保連売上!$A$3,"年月",$A332,"事業所コード",$B332,"事業所",$C332,"事業区分",K$1,"請求区分","再請求"),0))</f>
        <v/>
      </c>
      <c r="L332" s="659" t="str">
        <f>IF($A332="","",IFERROR(GETPIVOTDATA("合計 / 処遇改善加算金",【ピボット】国保連売上!$A$3,"年月",$A332,"事業所コード",$B332,"事業所",$C332,"事業区分",K$1,"請求区分","単月"),0))</f>
        <v/>
      </c>
      <c r="M332" s="659" t="str">
        <f>IF($A332="","",IFERROR(GETPIVOTDATA("合計 / 入金予定",【ピボット】国保連売上!$A$3,"年月",$A332,"事業所コード",$B332,"事業所",$C332,"事業区分",M$1,"請求区分","単月"),0)
+IFERROR(GETPIVOTDATA("合計 / 入金予定",【ピボット】国保連売上!$A$3,"年月",$A332,"事業所コード",$B332,"事業所",$C332,"事業区分",M$1,"請求区分","再請求"),0))</f>
        <v/>
      </c>
      <c r="N332" s="660"/>
      <c r="O332" s="660"/>
      <c r="P332" s="660"/>
      <c r="Q332" s="660"/>
      <c r="R332" s="660"/>
      <c r="S332" s="660"/>
      <c r="T332" s="660"/>
      <c r="U332" s="660"/>
      <c r="V332" s="660"/>
      <c r="W332" s="660"/>
      <c r="X332" s="660"/>
      <c r="Y332" s="659" t="str">
        <f t="shared" si="15"/>
        <v/>
      </c>
      <c r="Z332" s="659" t="str">
        <f t="shared" si="17"/>
        <v/>
      </c>
    </row>
    <row r="333" spans="1:26" ht="15.95" customHeight="1" x14ac:dyDescent="0.15">
      <c r="A333" s="656"/>
      <c r="B333" s="657" t="str">
        <f t="shared" si="16"/>
        <v/>
      </c>
      <c r="C333" s="658"/>
      <c r="D333" s="659" t="str">
        <f>IF($A333="","",IFERROR(GETPIVOTDATA("合計 / 入金予定",【ピボット】国保連売上!$A$3,"年月",$A333,"事業所コード",$B333,"事業所",$C333,"事業区分",D$1,"請求区分","単月"),0)
+IFERROR(GETPIVOTDATA("合計 / 入金予定",【ピボット】国保連売上!$A$3,"年月",$A333,"事業所コード",$B333,"事業所",$C333,"事業区分",D$1,"請求区分","再請求"),0))</f>
        <v/>
      </c>
      <c r="E333" s="659" t="str">
        <f>IF($A333="","",IFERROR(GETPIVOTDATA("合計 / 処遇改善加算金",【ピボット】国保連売上!$A$3,"年月",$A333,"事業所コード",$B333,"事業所",$C333,"事業区分",D$1,"請求区分","単月"),0))</f>
        <v/>
      </c>
      <c r="F333" s="659" t="str">
        <f>IF($A333="","",IFERROR(GETPIVOTDATA("合計 / 入金予定",【ピボット】国保連売上!$A$3,"年月",$A333,"事業所コード",$B333,"事業所",$C333,"事業区分",F$1,"請求区分","単月"),0)
+IFERROR(GETPIVOTDATA("合計 / 入金予定",【ピボット】国保連売上!$A$3,"年月",$A333,"事業所コード",$B333,"事業所",$C333,"事業区分",F$1,"請求区分","再請求"),0))</f>
        <v/>
      </c>
      <c r="G333" s="659" t="str">
        <f>IF($A333="","",IFERROR(GETPIVOTDATA("合計 / 処遇改善加算金",【ピボット】国保連売上!$A$3,"年月",$A333,"事業所コード",$B333,"事業所",$C333,"事業区分",F$1,"請求区分","単月"),0))</f>
        <v/>
      </c>
      <c r="H333" s="659" t="str">
        <f>IF($A333="","",IFERROR(GETPIVOTDATA("合計 / 入金予定",【ピボット】国保連売上!$A$3,"年月",$A333,"事業所コード",$B333,"事業所",$C333,"事業区分",H$1,"請求区分","単月"),0)
+IFERROR(GETPIVOTDATA("合計 / 入金予定",【ピボット】国保連売上!$A$3,"年月",$A333,"事業所コード",$B333,"事業所",$C333,"事業区分",H$1,"請求区分","再請求"),0))</f>
        <v/>
      </c>
      <c r="I333" s="659" t="str">
        <f>IF($A333="","",IFERROR(GETPIVOTDATA("合計 / 入金予定",【ピボット】国保連売上!$A$3,"年月",$A333,"事業所コード",$B333,"事業所",$C333,"事業区分",I$1,"請求区分","単月"),0)
+IFERROR(GETPIVOTDATA("合計 / 入金予定",【ピボット】国保連売上!$A$3,"年月",$A333,"事業所コード",$B333,"事業所",$C333,"事業区分",I$1,"請求区分","再請求"),0))</f>
        <v/>
      </c>
      <c r="J333" s="659" t="str">
        <f>IF($A333="","",IFERROR(GETPIVOTDATA("合計 / 処遇改善加算金",【ピボット】国保連売上!$A$3,"年月",$A333,"事業所コード",$B333,"事業所",$C333,"事業区分",I$1,"請求区分","単月"),0))</f>
        <v/>
      </c>
      <c r="K333" s="659" t="str">
        <f>IF($A333="","",IFERROR(GETPIVOTDATA("合計 / 入金予定",【ピボット】国保連売上!$A$3,"年月",$A333,"事業所コード",$B333,"事業所",$C333,"事業区分",K$1,"請求区分","単月"),0)
+IFERROR(GETPIVOTDATA("合計 / 入金予定",【ピボット】国保連売上!$A$3,"年月",$A333,"事業所コード",$B333,"事業所",$C333,"事業区分",K$1,"請求区分","再請求"),0))</f>
        <v/>
      </c>
      <c r="L333" s="659" t="str">
        <f>IF($A333="","",IFERROR(GETPIVOTDATA("合計 / 処遇改善加算金",【ピボット】国保連売上!$A$3,"年月",$A333,"事業所コード",$B333,"事業所",$C333,"事業区分",K$1,"請求区分","単月"),0))</f>
        <v/>
      </c>
      <c r="M333" s="659" t="str">
        <f>IF($A333="","",IFERROR(GETPIVOTDATA("合計 / 入金予定",【ピボット】国保連売上!$A$3,"年月",$A333,"事業所コード",$B333,"事業所",$C333,"事業区分",M$1,"請求区分","単月"),0)
+IFERROR(GETPIVOTDATA("合計 / 入金予定",【ピボット】国保連売上!$A$3,"年月",$A333,"事業所コード",$B333,"事業所",$C333,"事業区分",M$1,"請求区分","再請求"),0))</f>
        <v/>
      </c>
      <c r="N333" s="660"/>
      <c r="O333" s="660"/>
      <c r="P333" s="660"/>
      <c r="Q333" s="660"/>
      <c r="R333" s="660"/>
      <c r="S333" s="660"/>
      <c r="T333" s="660"/>
      <c r="U333" s="660"/>
      <c r="V333" s="660"/>
      <c r="W333" s="660"/>
      <c r="X333" s="660"/>
      <c r="Y333" s="659" t="str">
        <f t="shared" si="15"/>
        <v/>
      </c>
      <c r="Z333" s="659" t="str">
        <f t="shared" si="17"/>
        <v/>
      </c>
    </row>
    <row r="334" spans="1:26" ht="15.95" customHeight="1" x14ac:dyDescent="0.15">
      <c r="A334" s="656"/>
      <c r="B334" s="657" t="str">
        <f t="shared" si="16"/>
        <v/>
      </c>
      <c r="C334" s="658"/>
      <c r="D334" s="659" t="str">
        <f>IF($A334="","",IFERROR(GETPIVOTDATA("合計 / 入金予定",【ピボット】国保連売上!$A$3,"年月",$A334,"事業所コード",$B334,"事業所",$C334,"事業区分",D$1,"請求区分","単月"),0)
+IFERROR(GETPIVOTDATA("合計 / 入金予定",【ピボット】国保連売上!$A$3,"年月",$A334,"事業所コード",$B334,"事業所",$C334,"事業区分",D$1,"請求区分","再請求"),0))</f>
        <v/>
      </c>
      <c r="E334" s="659" t="str">
        <f>IF($A334="","",IFERROR(GETPIVOTDATA("合計 / 処遇改善加算金",【ピボット】国保連売上!$A$3,"年月",$A334,"事業所コード",$B334,"事業所",$C334,"事業区分",D$1,"請求区分","単月"),0))</f>
        <v/>
      </c>
      <c r="F334" s="659" t="str">
        <f>IF($A334="","",IFERROR(GETPIVOTDATA("合計 / 入金予定",【ピボット】国保連売上!$A$3,"年月",$A334,"事業所コード",$B334,"事業所",$C334,"事業区分",F$1,"請求区分","単月"),0)
+IFERROR(GETPIVOTDATA("合計 / 入金予定",【ピボット】国保連売上!$A$3,"年月",$A334,"事業所コード",$B334,"事業所",$C334,"事業区分",F$1,"請求区分","再請求"),0))</f>
        <v/>
      </c>
      <c r="G334" s="659" t="str">
        <f>IF($A334="","",IFERROR(GETPIVOTDATA("合計 / 処遇改善加算金",【ピボット】国保連売上!$A$3,"年月",$A334,"事業所コード",$B334,"事業所",$C334,"事業区分",F$1,"請求区分","単月"),0))</f>
        <v/>
      </c>
      <c r="H334" s="659" t="str">
        <f>IF($A334="","",IFERROR(GETPIVOTDATA("合計 / 入金予定",【ピボット】国保連売上!$A$3,"年月",$A334,"事業所コード",$B334,"事業所",$C334,"事業区分",H$1,"請求区分","単月"),0)
+IFERROR(GETPIVOTDATA("合計 / 入金予定",【ピボット】国保連売上!$A$3,"年月",$A334,"事業所コード",$B334,"事業所",$C334,"事業区分",H$1,"請求区分","再請求"),0))</f>
        <v/>
      </c>
      <c r="I334" s="659" t="str">
        <f>IF($A334="","",IFERROR(GETPIVOTDATA("合計 / 入金予定",【ピボット】国保連売上!$A$3,"年月",$A334,"事業所コード",$B334,"事業所",$C334,"事業区分",I$1,"請求区分","単月"),0)
+IFERROR(GETPIVOTDATA("合計 / 入金予定",【ピボット】国保連売上!$A$3,"年月",$A334,"事業所コード",$B334,"事業所",$C334,"事業区分",I$1,"請求区分","再請求"),0))</f>
        <v/>
      </c>
      <c r="J334" s="659" t="str">
        <f>IF($A334="","",IFERROR(GETPIVOTDATA("合計 / 処遇改善加算金",【ピボット】国保連売上!$A$3,"年月",$A334,"事業所コード",$B334,"事業所",$C334,"事業区分",I$1,"請求区分","単月"),0))</f>
        <v/>
      </c>
      <c r="K334" s="659" t="str">
        <f>IF($A334="","",IFERROR(GETPIVOTDATA("合計 / 入金予定",【ピボット】国保連売上!$A$3,"年月",$A334,"事業所コード",$B334,"事業所",$C334,"事業区分",K$1,"請求区分","単月"),0)
+IFERROR(GETPIVOTDATA("合計 / 入金予定",【ピボット】国保連売上!$A$3,"年月",$A334,"事業所コード",$B334,"事業所",$C334,"事業区分",K$1,"請求区分","再請求"),0))</f>
        <v/>
      </c>
      <c r="L334" s="659" t="str">
        <f>IF($A334="","",IFERROR(GETPIVOTDATA("合計 / 処遇改善加算金",【ピボット】国保連売上!$A$3,"年月",$A334,"事業所コード",$B334,"事業所",$C334,"事業区分",K$1,"請求区分","単月"),0))</f>
        <v/>
      </c>
      <c r="M334" s="659" t="str">
        <f>IF($A334="","",IFERROR(GETPIVOTDATA("合計 / 入金予定",【ピボット】国保連売上!$A$3,"年月",$A334,"事業所コード",$B334,"事業所",$C334,"事業区分",M$1,"請求区分","単月"),0)
+IFERROR(GETPIVOTDATA("合計 / 入金予定",【ピボット】国保連売上!$A$3,"年月",$A334,"事業所コード",$B334,"事業所",$C334,"事業区分",M$1,"請求区分","再請求"),0))</f>
        <v/>
      </c>
      <c r="N334" s="660"/>
      <c r="O334" s="660"/>
      <c r="P334" s="660"/>
      <c r="Q334" s="660"/>
      <c r="R334" s="660"/>
      <c r="S334" s="660"/>
      <c r="T334" s="660"/>
      <c r="U334" s="660"/>
      <c r="V334" s="660"/>
      <c r="W334" s="660"/>
      <c r="X334" s="660"/>
      <c r="Y334" s="659" t="str">
        <f t="shared" si="15"/>
        <v/>
      </c>
      <c r="Z334" s="659" t="str">
        <f t="shared" si="17"/>
        <v/>
      </c>
    </row>
    <row r="335" spans="1:26" ht="15.95" customHeight="1" x14ac:dyDescent="0.15">
      <c r="A335" s="656"/>
      <c r="B335" s="657" t="str">
        <f t="shared" si="16"/>
        <v/>
      </c>
      <c r="C335" s="658"/>
      <c r="D335" s="659" t="str">
        <f>IF($A335="","",IFERROR(GETPIVOTDATA("合計 / 入金予定",【ピボット】国保連売上!$A$3,"年月",$A335,"事業所コード",$B335,"事業所",$C335,"事業区分",D$1,"請求区分","単月"),0)
+IFERROR(GETPIVOTDATA("合計 / 入金予定",【ピボット】国保連売上!$A$3,"年月",$A335,"事業所コード",$B335,"事業所",$C335,"事業区分",D$1,"請求区分","再請求"),0))</f>
        <v/>
      </c>
      <c r="E335" s="659" t="str">
        <f>IF($A335="","",IFERROR(GETPIVOTDATA("合計 / 処遇改善加算金",【ピボット】国保連売上!$A$3,"年月",$A335,"事業所コード",$B335,"事業所",$C335,"事業区分",D$1,"請求区分","単月"),0))</f>
        <v/>
      </c>
      <c r="F335" s="659" t="str">
        <f>IF($A335="","",IFERROR(GETPIVOTDATA("合計 / 入金予定",【ピボット】国保連売上!$A$3,"年月",$A335,"事業所コード",$B335,"事業所",$C335,"事業区分",F$1,"請求区分","単月"),0)
+IFERROR(GETPIVOTDATA("合計 / 入金予定",【ピボット】国保連売上!$A$3,"年月",$A335,"事業所コード",$B335,"事業所",$C335,"事業区分",F$1,"請求区分","再請求"),0))</f>
        <v/>
      </c>
      <c r="G335" s="659" t="str">
        <f>IF($A335="","",IFERROR(GETPIVOTDATA("合計 / 処遇改善加算金",【ピボット】国保連売上!$A$3,"年月",$A335,"事業所コード",$B335,"事業所",$C335,"事業区分",F$1,"請求区分","単月"),0))</f>
        <v/>
      </c>
      <c r="H335" s="659" t="str">
        <f>IF($A335="","",IFERROR(GETPIVOTDATA("合計 / 入金予定",【ピボット】国保連売上!$A$3,"年月",$A335,"事業所コード",$B335,"事業所",$C335,"事業区分",H$1,"請求区分","単月"),0)
+IFERROR(GETPIVOTDATA("合計 / 入金予定",【ピボット】国保連売上!$A$3,"年月",$A335,"事業所コード",$B335,"事業所",$C335,"事業区分",H$1,"請求区分","再請求"),0))</f>
        <v/>
      </c>
      <c r="I335" s="659" t="str">
        <f>IF($A335="","",IFERROR(GETPIVOTDATA("合計 / 入金予定",【ピボット】国保連売上!$A$3,"年月",$A335,"事業所コード",$B335,"事業所",$C335,"事業区分",I$1,"請求区分","単月"),0)
+IFERROR(GETPIVOTDATA("合計 / 入金予定",【ピボット】国保連売上!$A$3,"年月",$A335,"事業所コード",$B335,"事業所",$C335,"事業区分",I$1,"請求区分","再請求"),0))</f>
        <v/>
      </c>
      <c r="J335" s="659" t="str">
        <f>IF($A335="","",IFERROR(GETPIVOTDATA("合計 / 処遇改善加算金",【ピボット】国保連売上!$A$3,"年月",$A335,"事業所コード",$B335,"事業所",$C335,"事業区分",I$1,"請求区分","単月"),0))</f>
        <v/>
      </c>
      <c r="K335" s="659" t="str">
        <f>IF($A335="","",IFERROR(GETPIVOTDATA("合計 / 入金予定",【ピボット】国保連売上!$A$3,"年月",$A335,"事業所コード",$B335,"事業所",$C335,"事業区分",K$1,"請求区分","単月"),0)
+IFERROR(GETPIVOTDATA("合計 / 入金予定",【ピボット】国保連売上!$A$3,"年月",$A335,"事業所コード",$B335,"事業所",$C335,"事業区分",K$1,"請求区分","再請求"),0))</f>
        <v/>
      </c>
      <c r="L335" s="659" t="str">
        <f>IF($A335="","",IFERROR(GETPIVOTDATA("合計 / 処遇改善加算金",【ピボット】国保連売上!$A$3,"年月",$A335,"事業所コード",$B335,"事業所",$C335,"事業区分",K$1,"請求区分","単月"),0))</f>
        <v/>
      </c>
      <c r="M335" s="659" t="str">
        <f>IF($A335="","",IFERROR(GETPIVOTDATA("合計 / 入金予定",【ピボット】国保連売上!$A$3,"年月",$A335,"事業所コード",$B335,"事業所",$C335,"事業区分",M$1,"請求区分","単月"),0)
+IFERROR(GETPIVOTDATA("合計 / 入金予定",【ピボット】国保連売上!$A$3,"年月",$A335,"事業所コード",$B335,"事業所",$C335,"事業区分",M$1,"請求区分","再請求"),0))</f>
        <v/>
      </c>
      <c r="N335" s="660"/>
      <c r="O335" s="660"/>
      <c r="P335" s="660"/>
      <c r="Q335" s="660"/>
      <c r="R335" s="660"/>
      <c r="S335" s="660"/>
      <c r="T335" s="660"/>
      <c r="U335" s="660"/>
      <c r="V335" s="660"/>
      <c r="W335" s="660"/>
      <c r="X335" s="660"/>
      <c r="Y335" s="659" t="str">
        <f t="shared" si="15"/>
        <v/>
      </c>
      <c r="Z335" s="659" t="str">
        <f t="shared" si="17"/>
        <v/>
      </c>
    </row>
    <row r="336" spans="1:26" ht="15.95" customHeight="1" x14ac:dyDescent="0.15">
      <c r="A336" s="656"/>
      <c r="B336" s="657" t="str">
        <f t="shared" si="16"/>
        <v/>
      </c>
      <c r="C336" s="658"/>
      <c r="D336" s="659" t="str">
        <f>IF($A336="","",IFERROR(GETPIVOTDATA("合計 / 入金予定",【ピボット】国保連売上!$A$3,"年月",$A336,"事業所コード",$B336,"事業所",$C336,"事業区分",D$1,"請求区分","単月"),0)
+IFERROR(GETPIVOTDATA("合計 / 入金予定",【ピボット】国保連売上!$A$3,"年月",$A336,"事業所コード",$B336,"事業所",$C336,"事業区分",D$1,"請求区分","再請求"),0))</f>
        <v/>
      </c>
      <c r="E336" s="659" t="str">
        <f>IF($A336="","",IFERROR(GETPIVOTDATA("合計 / 処遇改善加算金",【ピボット】国保連売上!$A$3,"年月",$A336,"事業所コード",$B336,"事業所",$C336,"事業区分",D$1,"請求区分","単月"),0))</f>
        <v/>
      </c>
      <c r="F336" s="659" t="str">
        <f>IF($A336="","",IFERROR(GETPIVOTDATA("合計 / 入金予定",【ピボット】国保連売上!$A$3,"年月",$A336,"事業所コード",$B336,"事業所",$C336,"事業区分",F$1,"請求区分","単月"),0)
+IFERROR(GETPIVOTDATA("合計 / 入金予定",【ピボット】国保連売上!$A$3,"年月",$A336,"事業所コード",$B336,"事業所",$C336,"事業区分",F$1,"請求区分","再請求"),0))</f>
        <v/>
      </c>
      <c r="G336" s="659" t="str">
        <f>IF($A336="","",IFERROR(GETPIVOTDATA("合計 / 処遇改善加算金",【ピボット】国保連売上!$A$3,"年月",$A336,"事業所コード",$B336,"事業所",$C336,"事業区分",F$1,"請求区分","単月"),0))</f>
        <v/>
      </c>
      <c r="H336" s="659" t="str">
        <f>IF($A336="","",IFERROR(GETPIVOTDATA("合計 / 入金予定",【ピボット】国保連売上!$A$3,"年月",$A336,"事業所コード",$B336,"事業所",$C336,"事業区分",H$1,"請求区分","単月"),0)
+IFERROR(GETPIVOTDATA("合計 / 入金予定",【ピボット】国保連売上!$A$3,"年月",$A336,"事業所コード",$B336,"事業所",$C336,"事業区分",H$1,"請求区分","再請求"),0))</f>
        <v/>
      </c>
      <c r="I336" s="659" t="str">
        <f>IF($A336="","",IFERROR(GETPIVOTDATA("合計 / 入金予定",【ピボット】国保連売上!$A$3,"年月",$A336,"事業所コード",$B336,"事業所",$C336,"事業区分",I$1,"請求区分","単月"),0)
+IFERROR(GETPIVOTDATA("合計 / 入金予定",【ピボット】国保連売上!$A$3,"年月",$A336,"事業所コード",$B336,"事業所",$C336,"事業区分",I$1,"請求区分","再請求"),0))</f>
        <v/>
      </c>
      <c r="J336" s="659" t="str">
        <f>IF($A336="","",IFERROR(GETPIVOTDATA("合計 / 処遇改善加算金",【ピボット】国保連売上!$A$3,"年月",$A336,"事業所コード",$B336,"事業所",$C336,"事業区分",I$1,"請求区分","単月"),0))</f>
        <v/>
      </c>
      <c r="K336" s="659" t="str">
        <f>IF($A336="","",IFERROR(GETPIVOTDATA("合計 / 入金予定",【ピボット】国保連売上!$A$3,"年月",$A336,"事業所コード",$B336,"事業所",$C336,"事業区分",K$1,"請求区分","単月"),0)
+IFERROR(GETPIVOTDATA("合計 / 入金予定",【ピボット】国保連売上!$A$3,"年月",$A336,"事業所コード",$B336,"事業所",$C336,"事業区分",K$1,"請求区分","再請求"),0))</f>
        <v/>
      </c>
      <c r="L336" s="659" t="str">
        <f>IF($A336="","",IFERROR(GETPIVOTDATA("合計 / 処遇改善加算金",【ピボット】国保連売上!$A$3,"年月",$A336,"事業所コード",$B336,"事業所",$C336,"事業区分",K$1,"請求区分","単月"),0))</f>
        <v/>
      </c>
      <c r="M336" s="659" t="str">
        <f>IF($A336="","",IFERROR(GETPIVOTDATA("合計 / 入金予定",【ピボット】国保連売上!$A$3,"年月",$A336,"事業所コード",$B336,"事業所",$C336,"事業区分",M$1,"請求区分","単月"),0)
+IFERROR(GETPIVOTDATA("合計 / 入金予定",【ピボット】国保連売上!$A$3,"年月",$A336,"事業所コード",$B336,"事業所",$C336,"事業区分",M$1,"請求区分","再請求"),0))</f>
        <v/>
      </c>
      <c r="N336" s="660"/>
      <c r="O336" s="660"/>
      <c r="P336" s="660"/>
      <c r="Q336" s="660"/>
      <c r="R336" s="660"/>
      <c r="S336" s="660"/>
      <c r="T336" s="660"/>
      <c r="U336" s="660"/>
      <c r="V336" s="660"/>
      <c r="W336" s="660"/>
      <c r="X336" s="660"/>
      <c r="Y336" s="659" t="str">
        <f t="shared" si="15"/>
        <v/>
      </c>
      <c r="Z336" s="659" t="str">
        <f t="shared" si="17"/>
        <v/>
      </c>
    </row>
    <row r="337" spans="1:26" ht="15.95" customHeight="1" x14ac:dyDescent="0.15">
      <c r="A337" s="656"/>
      <c r="B337" s="657" t="str">
        <f t="shared" si="16"/>
        <v/>
      </c>
      <c r="C337" s="658"/>
      <c r="D337" s="659" t="str">
        <f>IF($A337="","",IFERROR(GETPIVOTDATA("合計 / 入金予定",【ピボット】国保連売上!$A$3,"年月",$A337,"事業所コード",$B337,"事業所",$C337,"事業区分",D$1,"請求区分","単月"),0)
+IFERROR(GETPIVOTDATA("合計 / 入金予定",【ピボット】国保連売上!$A$3,"年月",$A337,"事業所コード",$B337,"事業所",$C337,"事業区分",D$1,"請求区分","再請求"),0))</f>
        <v/>
      </c>
      <c r="E337" s="659" t="str">
        <f>IF($A337="","",IFERROR(GETPIVOTDATA("合計 / 処遇改善加算金",【ピボット】国保連売上!$A$3,"年月",$A337,"事業所コード",$B337,"事業所",$C337,"事業区分",D$1,"請求区分","単月"),0))</f>
        <v/>
      </c>
      <c r="F337" s="659" t="str">
        <f>IF($A337="","",IFERROR(GETPIVOTDATA("合計 / 入金予定",【ピボット】国保連売上!$A$3,"年月",$A337,"事業所コード",$B337,"事業所",$C337,"事業区分",F$1,"請求区分","単月"),0)
+IFERROR(GETPIVOTDATA("合計 / 入金予定",【ピボット】国保連売上!$A$3,"年月",$A337,"事業所コード",$B337,"事業所",$C337,"事業区分",F$1,"請求区分","再請求"),0))</f>
        <v/>
      </c>
      <c r="G337" s="659" t="str">
        <f>IF($A337="","",IFERROR(GETPIVOTDATA("合計 / 処遇改善加算金",【ピボット】国保連売上!$A$3,"年月",$A337,"事業所コード",$B337,"事業所",$C337,"事業区分",F$1,"請求区分","単月"),0))</f>
        <v/>
      </c>
      <c r="H337" s="659" t="str">
        <f>IF($A337="","",IFERROR(GETPIVOTDATA("合計 / 入金予定",【ピボット】国保連売上!$A$3,"年月",$A337,"事業所コード",$B337,"事業所",$C337,"事業区分",H$1,"請求区分","単月"),0)
+IFERROR(GETPIVOTDATA("合計 / 入金予定",【ピボット】国保連売上!$A$3,"年月",$A337,"事業所コード",$B337,"事業所",$C337,"事業区分",H$1,"請求区分","再請求"),0))</f>
        <v/>
      </c>
      <c r="I337" s="659" t="str">
        <f>IF($A337="","",IFERROR(GETPIVOTDATA("合計 / 入金予定",【ピボット】国保連売上!$A$3,"年月",$A337,"事業所コード",$B337,"事業所",$C337,"事業区分",I$1,"請求区分","単月"),0)
+IFERROR(GETPIVOTDATA("合計 / 入金予定",【ピボット】国保連売上!$A$3,"年月",$A337,"事業所コード",$B337,"事業所",$C337,"事業区分",I$1,"請求区分","再請求"),0))</f>
        <v/>
      </c>
      <c r="J337" s="659" t="str">
        <f>IF($A337="","",IFERROR(GETPIVOTDATA("合計 / 処遇改善加算金",【ピボット】国保連売上!$A$3,"年月",$A337,"事業所コード",$B337,"事業所",$C337,"事業区分",I$1,"請求区分","単月"),0))</f>
        <v/>
      </c>
      <c r="K337" s="659" t="str">
        <f>IF($A337="","",IFERROR(GETPIVOTDATA("合計 / 入金予定",【ピボット】国保連売上!$A$3,"年月",$A337,"事業所コード",$B337,"事業所",$C337,"事業区分",K$1,"請求区分","単月"),0)
+IFERROR(GETPIVOTDATA("合計 / 入金予定",【ピボット】国保連売上!$A$3,"年月",$A337,"事業所コード",$B337,"事業所",$C337,"事業区分",K$1,"請求区分","再請求"),0))</f>
        <v/>
      </c>
      <c r="L337" s="659" t="str">
        <f>IF($A337="","",IFERROR(GETPIVOTDATA("合計 / 処遇改善加算金",【ピボット】国保連売上!$A$3,"年月",$A337,"事業所コード",$B337,"事業所",$C337,"事業区分",K$1,"請求区分","単月"),0))</f>
        <v/>
      </c>
      <c r="M337" s="659" t="str">
        <f>IF($A337="","",IFERROR(GETPIVOTDATA("合計 / 入金予定",【ピボット】国保連売上!$A$3,"年月",$A337,"事業所コード",$B337,"事業所",$C337,"事業区分",M$1,"請求区分","単月"),0)
+IFERROR(GETPIVOTDATA("合計 / 入金予定",【ピボット】国保連売上!$A$3,"年月",$A337,"事業所コード",$B337,"事業所",$C337,"事業区分",M$1,"請求区分","再請求"),0))</f>
        <v/>
      </c>
      <c r="N337" s="660"/>
      <c r="O337" s="660"/>
      <c r="P337" s="660"/>
      <c r="Q337" s="660"/>
      <c r="R337" s="660"/>
      <c r="S337" s="660"/>
      <c r="T337" s="660"/>
      <c r="U337" s="660"/>
      <c r="V337" s="660"/>
      <c r="W337" s="660"/>
      <c r="X337" s="660"/>
      <c r="Y337" s="659" t="str">
        <f t="shared" si="15"/>
        <v/>
      </c>
      <c r="Z337" s="659" t="str">
        <f t="shared" si="17"/>
        <v/>
      </c>
    </row>
    <row r="338" spans="1:26" ht="15.95" customHeight="1" x14ac:dyDescent="0.15">
      <c r="A338" s="656"/>
      <c r="B338" s="657" t="str">
        <f t="shared" si="16"/>
        <v/>
      </c>
      <c r="C338" s="658"/>
      <c r="D338" s="659" t="str">
        <f>IF($A338="","",IFERROR(GETPIVOTDATA("合計 / 入金予定",【ピボット】国保連売上!$A$3,"年月",$A338,"事業所コード",$B338,"事業所",$C338,"事業区分",D$1,"請求区分","単月"),0)
+IFERROR(GETPIVOTDATA("合計 / 入金予定",【ピボット】国保連売上!$A$3,"年月",$A338,"事業所コード",$B338,"事業所",$C338,"事業区分",D$1,"請求区分","再請求"),0))</f>
        <v/>
      </c>
      <c r="E338" s="659" t="str">
        <f>IF($A338="","",IFERROR(GETPIVOTDATA("合計 / 処遇改善加算金",【ピボット】国保連売上!$A$3,"年月",$A338,"事業所コード",$B338,"事業所",$C338,"事業区分",D$1,"請求区分","単月"),0))</f>
        <v/>
      </c>
      <c r="F338" s="659" t="str">
        <f>IF($A338="","",IFERROR(GETPIVOTDATA("合計 / 入金予定",【ピボット】国保連売上!$A$3,"年月",$A338,"事業所コード",$B338,"事業所",$C338,"事業区分",F$1,"請求区分","単月"),0)
+IFERROR(GETPIVOTDATA("合計 / 入金予定",【ピボット】国保連売上!$A$3,"年月",$A338,"事業所コード",$B338,"事業所",$C338,"事業区分",F$1,"請求区分","再請求"),0))</f>
        <v/>
      </c>
      <c r="G338" s="659" t="str">
        <f>IF($A338="","",IFERROR(GETPIVOTDATA("合計 / 処遇改善加算金",【ピボット】国保連売上!$A$3,"年月",$A338,"事業所コード",$B338,"事業所",$C338,"事業区分",F$1,"請求区分","単月"),0))</f>
        <v/>
      </c>
      <c r="H338" s="659" t="str">
        <f>IF($A338="","",IFERROR(GETPIVOTDATA("合計 / 入金予定",【ピボット】国保連売上!$A$3,"年月",$A338,"事業所コード",$B338,"事業所",$C338,"事業区分",H$1,"請求区分","単月"),0)
+IFERROR(GETPIVOTDATA("合計 / 入金予定",【ピボット】国保連売上!$A$3,"年月",$A338,"事業所コード",$B338,"事業所",$C338,"事業区分",H$1,"請求区分","再請求"),0))</f>
        <v/>
      </c>
      <c r="I338" s="659" t="str">
        <f>IF($A338="","",IFERROR(GETPIVOTDATA("合計 / 入金予定",【ピボット】国保連売上!$A$3,"年月",$A338,"事業所コード",$B338,"事業所",$C338,"事業区分",I$1,"請求区分","単月"),0)
+IFERROR(GETPIVOTDATA("合計 / 入金予定",【ピボット】国保連売上!$A$3,"年月",$A338,"事業所コード",$B338,"事業所",$C338,"事業区分",I$1,"請求区分","再請求"),0))</f>
        <v/>
      </c>
      <c r="J338" s="659" t="str">
        <f>IF($A338="","",IFERROR(GETPIVOTDATA("合計 / 処遇改善加算金",【ピボット】国保連売上!$A$3,"年月",$A338,"事業所コード",$B338,"事業所",$C338,"事業区分",I$1,"請求区分","単月"),0))</f>
        <v/>
      </c>
      <c r="K338" s="659" t="str">
        <f>IF($A338="","",IFERROR(GETPIVOTDATA("合計 / 入金予定",【ピボット】国保連売上!$A$3,"年月",$A338,"事業所コード",$B338,"事業所",$C338,"事業区分",K$1,"請求区分","単月"),0)
+IFERROR(GETPIVOTDATA("合計 / 入金予定",【ピボット】国保連売上!$A$3,"年月",$A338,"事業所コード",$B338,"事業所",$C338,"事業区分",K$1,"請求区分","再請求"),0))</f>
        <v/>
      </c>
      <c r="L338" s="659" t="str">
        <f>IF($A338="","",IFERROR(GETPIVOTDATA("合計 / 処遇改善加算金",【ピボット】国保連売上!$A$3,"年月",$A338,"事業所コード",$B338,"事業所",$C338,"事業区分",K$1,"請求区分","単月"),0))</f>
        <v/>
      </c>
      <c r="M338" s="659" t="str">
        <f>IF($A338="","",IFERROR(GETPIVOTDATA("合計 / 入金予定",【ピボット】国保連売上!$A$3,"年月",$A338,"事業所コード",$B338,"事業所",$C338,"事業区分",M$1,"請求区分","単月"),0)
+IFERROR(GETPIVOTDATA("合計 / 入金予定",【ピボット】国保連売上!$A$3,"年月",$A338,"事業所コード",$B338,"事業所",$C338,"事業区分",M$1,"請求区分","再請求"),0))</f>
        <v/>
      </c>
      <c r="N338" s="660"/>
      <c r="O338" s="660"/>
      <c r="P338" s="660"/>
      <c r="Q338" s="660"/>
      <c r="R338" s="660"/>
      <c r="S338" s="660"/>
      <c r="T338" s="660"/>
      <c r="U338" s="660"/>
      <c r="V338" s="660"/>
      <c r="W338" s="660"/>
      <c r="X338" s="660"/>
      <c r="Y338" s="659" t="str">
        <f t="shared" si="15"/>
        <v/>
      </c>
      <c r="Z338" s="659" t="str">
        <f t="shared" si="17"/>
        <v/>
      </c>
    </row>
    <row r="339" spans="1:26" ht="15.95" customHeight="1" x14ac:dyDescent="0.15">
      <c r="A339" s="656"/>
      <c r="B339" s="657" t="str">
        <f t="shared" si="16"/>
        <v/>
      </c>
      <c r="C339" s="658"/>
      <c r="D339" s="659" t="str">
        <f>IF($A339="","",IFERROR(GETPIVOTDATA("合計 / 入金予定",【ピボット】国保連売上!$A$3,"年月",$A339,"事業所コード",$B339,"事業所",$C339,"事業区分",D$1,"請求区分","単月"),0)
+IFERROR(GETPIVOTDATA("合計 / 入金予定",【ピボット】国保連売上!$A$3,"年月",$A339,"事業所コード",$B339,"事業所",$C339,"事業区分",D$1,"請求区分","再請求"),0))</f>
        <v/>
      </c>
      <c r="E339" s="659" t="str">
        <f>IF($A339="","",IFERROR(GETPIVOTDATA("合計 / 処遇改善加算金",【ピボット】国保連売上!$A$3,"年月",$A339,"事業所コード",$B339,"事業所",$C339,"事業区分",D$1,"請求区分","単月"),0))</f>
        <v/>
      </c>
      <c r="F339" s="659" t="str">
        <f>IF($A339="","",IFERROR(GETPIVOTDATA("合計 / 入金予定",【ピボット】国保連売上!$A$3,"年月",$A339,"事業所コード",$B339,"事業所",$C339,"事業区分",F$1,"請求区分","単月"),0)
+IFERROR(GETPIVOTDATA("合計 / 入金予定",【ピボット】国保連売上!$A$3,"年月",$A339,"事業所コード",$B339,"事業所",$C339,"事業区分",F$1,"請求区分","再請求"),0))</f>
        <v/>
      </c>
      <c r="G339" s="659" t="str">
        <f>IF($A339="","",IFERROR(GETPIVOTDATA("合計 / 処遇改善加算金",【ピボット】国保連売上!$A$3,"年月",$A339,"事業所コード",$B339,"事業所",$C339,"事業区分",F$1,"請求区分","単月"),0))</f>
        <v/>
      </c>
      <c r="H339" s="659" t="str">
        <f>IF($A339="","",IFERROR(GETPIVOTDATA("合計 / 入金予定",【ピボット】国保連売上!$A$3,"年月",$A339,"事業所コード",$B339,"事業所",$C339,"事業区分",H$1,"請求区分","単月"),0)
+IFERROR(GETPIVOTDATA("合計 / 入金予定",【ピボット】国保連売上!$A$3,"年月",$A339,"事業所コード",$B339,"事業所",$C339,"事業区分",H$1,"請求区分","再請求"),0))</f>
        <v/>
      </c>
      <c r="I339" s="659" t="str">
        <f>IF($A339="","",IFERROR(GETPIVOTDATA("合計 / 入金予定",【ピボット】国保連売上!$A$3,"年月",$A339,"事業所コード",$B339,"事業所",$C339,"事業区分",I$1,"請求区分","単月"),0)
+IFERROR(GETPIVOTDATA("合計 / 入金予定",【ピボット】国保連売上!$A$3,"年月",$A339,"事業所コード",$B339,"事業所",$C339,"事業区分",I$1,"請求区分","再請求"),0))</f>
        <v/>
      </c>
      <c r="J339" s="659" t="str">
        <f>IF($A339="","",IFERROR(GETPIVOTDATA("合計 / 処遇改善加算金",【ピボット】国保連売上!$A$3,"年月",$A339,"事業所コード",$B339,"事業所",$C339,"事業区分",I$1,"請求区分","単月"),0))</f>
        <v/>
      </c>
      <c r="K339" s="659" t="str">
        <f>IF($A339="","",IFERROR(GETPIVOTDATA("合計 / 入金予定",【ピボット】国保連売上!$A$3,"年月",$A339,"事業所コード",$B339,"事業所",$C339,"事業区分",K$1,"請求区分","単月"),0)
+IFERROR(GETPIVOTDATA("合計 / 入金予定",【ピボット】国保連売上!$A$3,"年月",$A339,"事業所コード",$B339,"事業所",$C339,"事業区分",K$1,"請求区分","再請求"),0))</f>
        <v/>
      </c>
      <c r="L339" s="659" t="str">
        <f>IF($A339="","",IFERROR(GETPIVOTDATA("合計 / 処遇改善加算金",【ピボット】国保連売上!$A$3,"年月",$A339,"事業所コード",$B339,"事業所",$C339,"事業区分",K$1,"請求区分","単月"),0))</f>
        <v/>
      </c>
      <c r="M339" s="659" t="str">
        <f>IF($A339="","",IFERROR(GETPIVOTDATA("合計 / 入金予定",【ピボット】国保連売上!$A$3,"年月",$A339,"事業所コード",$B339,"事業所",$C339,"事業区分",M$1,"請求区分","単月"),0)
+IFERROR(GETPIVOTDATA("合計 / 入金予定",【ピボット】国保連売上!$A$3,"年月",$A339,"事業所コード",$B339,"事業所",$C339,"事業区分",M$1,"請求区分","再請求"),0))</f>
        <v/>
      </c>
      <c r="N339" s="660"/>
      <c r="O339" s="660"/>
      <c r="P339" s="660"/>
      <c r="Q339" s="660"/>
      <c r="R339" s="660"/>
      <c r="S339" s="660"/>
      <c r="T339" s="660"/>
      <c r="U339" s="660"/>
      <c r="V339" s="660"/>
      <c r="W339" s="660"/>
      <c r="X339" s="660"/>
      <c r="Y339" s="659" t="str">
        <f t="shared" si="15"/>
        <v/>
      </c>
      <c r="Z339" s="659" t="str">
        <f t="shared" si="17"/>
        <v/>
      </c>
    </row>
    <row r="340" spans="1:26" ht="15.95" customHeight="1" x14ac:dyDescent="0.15">
      <c r="A340" s="656"/>
      <c r="B340" s="657" t="str">
        <f t="shared" si="16"/>
        <v/>
      </c>
      <c r="C340" s="658"/>
      <c r="D340" s="659" t="str">
        <f>IF($A340="","",IFERROR(GETPIVOTDATA("合計 / 入金予定",【ピボット】国保連売上!$A$3,"年月",$A340,"事業所コード",$B340,"事業所",$C340,"事業区分",D$1,"請求区分","単月"),0)
+IFERROR(GETPIVOTDATA("合計 / 入金予定",【ピボット】国保連売上!$A$3,"年月",$A340,"事業所コード",$B340,"事業所",$C340,"事業区分",D$1,"請求区分","再請求"),0))</f>
        <v/>
      </c>
      <c r="E340" s="659" t="str">
        <f>IF($A340="","",IFERROR(GETPIVOTDATA("合計 / 処遇改善加算金",【ピボット】国保連売上!$A$3,"年月",$A340,"事業所コード",$B340,"事業所",$C340,"事業区分",D$1,"請求区分","単月"),0))</f>
        <v/>
      </c>
      <c r="F340" s="659" t="str">
        <f>IF($A340="","",IFERROR(GETPIVOTDATA("合計 / 入金予定",【ピボット】国保連売上!$A$3,"年月",$A340,"事業所コード",$B340,"事業所",$C340,"事業区分",F$1,"請求区分","単月"),0)
+IFERROR(GETPIVOTDATA("合計 / 入金予定",【ピボット】国保連売上!$A$3,"年月",$A340,"事業所コード",$B340,"事業所",$C340,"事業区分",F$1,"請求区分","再請求"),0))</f>
        <v/>
      </c>
      <c r="G340" s="659" t="str">
        <f>IF($A340="","",IFERROR(GETPIVOTDATA("合計 / 処遇改善加算金",【ピボット】国保連売上!$A$3,"年月",$A340,"事業所コード",$B340,"事業所",$C340,"事業区分",F$1,"請求区分","単月"),0))</f>
        <v/>
      </c>
      <c r="H340" s="659" t="str">
        <f>IF($A340="","",IFERROR(GETPIVOTDATA("合計 / 入金予定",【ピボット】国保連売上!$A$3,"年月",$A340,"事業所コード",$B340,"事業所",$C340,"事業区分",H$1,"請求区分","単月"),0)
+IFERROR(GETPIVOTDATA("合計 / 入金予定",【ピボット】国保連売上!$A$3,"年月",$A340,"事業所コード",$B340,"事業所",$C340,"事業区分",H$1,"請求区分","再請求"),0))</f>
        <v/>
      </c>
      <c r="I340" s="659" t="str">
        <f>IF($A340="","",IFERROR(GETPIVOTDATA("合計 / 入金予定",【ピボット】国保連売上!$A$3,"年月",$A340,"事業所コード",$B340,"事業所",$C340,"事業区分",I$1,"請求区分","単月"),0)
+IFERROR(GETPIVOTDATA("合計 / 入金予定",【ピボット】国保連売上!$A$3,"年月",$A340,"事業所コード",$B340,"事業所",$C340,"事業区分",I$1,"請求区分","再請求"),0))</f>
        <v/>
      </c>
      <c r="J340" s="659" t="str">
        <f>IF($A340="","",IFERROR(GETPIVOTDATA("合計 / 処遇改善加算金",【ピボット】国保連売上!$A$3,"年月",$A340,"事業所コード",$B340,"事業所",$C340,"事業区分",I$1,"請求区分","単月"),0))</f>
        <v/>
      </c>
      <c r="K340" s="659" t="str">
        <f>IF($A340="","",IFERROR(GETPIVOTDATA("合計 / 入金予定",【ピボット】国保連売上!$A$3,"年月",$A340,"事業所コード",$B340,"事業所",$C340,"事業区分",K$1,"請求区分","単月"),0)
+IFERROR(GETPIVOTDATA("合計 / 入金予定",【ピボット】国保連売上!$A$3,"年月",$A340,"事業所コード",$B340,"事業所",$C340,"事業区分",K$1,"請求区分","再請求"),0))</f>
        <v/>
      </c>
      <c r="L340" s="659" t="str">
        <f>IF($A340="","",IFERROR(GETPIVOTDATA("合計 / 処遇改善加算金",【ピボット】国保連売上!$A$3,"年月",$A340,"事業所コード",$B340,"事業所",$C340,"事業区分",K$1,"請求区分","単月"),0))</f>
        <v/>
      </c>
      <c r="M340" s="659" t="str">
        <f>IF($A340="","",IFERROR(GETPIVOTDATA("合計 / 入金予定",【ピボット】国保連売上!$A$3,"年月",$A340,"事業所コード",$B340,"事業所",$C340,"事業区分",M$1,"請求区分","単月"),0)
+IFERROR(GETPIVOTDATA("合計 / 入金予定",【ピボット】国保連売上!$A$3,"年月",$A340,"事業所コード",$B340,"事業所",$C340,"事業区分",M$1,"請求区分","再請求"),0))</f>
        <v/>
      </c>
      <c r="N340" s="660"/>
      <c r="O340" s="660"/>
      <c r="P340" s="660"/>
      <c r="Q340" s="660"/>
      <c r="R340" s="660"/>
      <c r="S340" s="660"/>
      <c r="T340" s="660"/>
      <c r="U340" s="660"/>
      <c r="V340" s="660"/>
      <c r="W340" s="660"/>
      <c r="X340" s="660"/>
      <c r="Y340" s="659" t="str">
        <f t="shared" si="15"/>
        <v/>
      </c>
      <c r="Z340" s="659" t="str">
        <f t="shared" si="17"/>
        <v/>
      </c>
    </row>
    <row r="341" spans="1:26" ht="15.95" customHeight="1" x14ac:dyDescent="0.15">
      <c r="A341" s="656"/>
      <c r="B341" s="657" t="str">
        <f t="shared" si="16"/>
        <v/>
      </c>
      <c r="C341" s="658"/>
      <c r="D341" s="659" t="str">
        <f>IF($A341="","",IFERROR(GETPIVOTDATA("合計 / 入金予定",【ピボット】国保連売上!$A$3,"年月",$A341,"事業所コード",$B341,"事業所",$C341,"事業区分",D$1,"請求区分","単月"),0)
+IFERROR(GETPIVOTDATA("合計 / 入金予定",【ピボット】国保連売上!$A$3,"年月",$A341,"事業所コード",$B341,"事業所",$C341,"事業区分",D$1,"請求区分","再請求"),0))</f>
        <v/>
      </c>
      <c r="E341" s="659" t="str">
        <f>IF($A341="","",IFERROR(GETPIVOTDATA("合計 / 処遇改善加算金",【ピボット】国保連売上!$A$3,"年月",$A341,"事業所コード",$B341,"事業所",$C341,"事業区分",D$1,"請求区分","単月"),0))</f>
        <v/>
      </c>
      <c r="F341" s="659" t="str">
        <f>IF($A341="","",IFERROR(GETPIVOTDATA("合計 / 入金予定",【ピボット】国保連売上!$A$3,"年月",$A341,"事業所コード",$B341,"事業所",$C341,"事業区分",F$1,"請求区分","単月"),0)
+IFERROR(GETPIVOTDATA("合計 / 入金予定",【ピボット】国保連売上!$A$3,"年月",$A341,"事業所コード",$B341,"事業所",$C341,"事業区分",F$1,"請求区分","再請求"),0))</f>
        <v/>
      </c>
      <c r="G341" s="659" t="str">
        <f>IF($A341="","",IFERROR(GETPIVOTDATA("合計 / 処遇改善加算金",【ピボット】国保連売上!$A$3,"年月",$A341,"事業所コード",$B341,"事業所",$C341,"事業区分",F$1,"請求区分","単月"),0))</f>
        <v/>
      </c>
      <c r="H341" s="659" t="str">
        <f>IF($A341="","",IFERROR(GETPIVOTDATA("合計 / 入金予定",【ピボット】国保連売上!$A$3,"年月",$A341,"事業所コード",$B341,"事業所",$C341,"事業区分",H$1,"請求区分","単月"),0)
+IFERROR(GETPIVOTDATA("合計 / 入金予定",【ピボット】国保連売上!$A$3,"年月",$A341,"事業所コード",$B341,"事業所",$C341,"事業区分",H$1,"請求区分","再請求"),0))</f>
        <v/>
      </c>
      <c r="I341" s="659" t="str">
        <f>IF($A341="","",IFERROR(GETPIVOTDATA("合計 / 入金予定",【ピボット】国保連売上!$A$3,"年月",$A341,"事業所コード",$B341,"事業所",$C341,"事業区分",I$1,"請求区分","単月"),0)
+IFERROR(GETPIVOTDATA("合計 / 入金予定",【ピボット】国保連売上!$A$3,"年月",$A341,"事業所コード",$B341,"事業所",$C341,"事業区分",I$1,"請求区分","再請求"),0))</f>
        <v/>
      </c>
      <c r="J341" s="659" t="str">
        <f>IF($A341="","",IFERROR(GETPIVOTDATA("合計 / 処遇改善加算金",【ピボット】国保連売上!$A$3,"年月",$A341,"事業所コード",$B341,"事業所",$C341,"事業区分",I$1,"請求区分","単月"),0))</f>
        <v/>
      </c>
      <c r="K341" s="659" t="str">
        <f>IF($A341="","",IFERROR(GETPIVOTDATA("合計 / 入金予定",【ピボット】国保連売上!$A$3,"年月",$A341,"事業所コード",$B341,"事業所",$C341,"事業区分",K$1,"請求区分","単月"),0)
+IFERROR(GETPIVOTDATA("合計 / 入金予定",【ピボット】国保連売上!$A$3,"年月",$A341,"事業所コード",$B341,"事業所",$C341,"事業区分",K$1,"請求区分","再請求"),0))</f>
        <v/>
      </c>
      <c r="L341" s="659" t="str">
        <f>IF($A341="","",IFERROR(GETPIVOTDATA("合計 / 処遇改善加算金",【ピボット】国保連売上!$A$3,"年月",$A341,"事業所コード",$B341,"事業所",$C341,"事業区分",K$1,"請求区分","単月"),0))</f>
        <v/>
      </c>
      <c r="M341" s="659" t="str">
        <f>IF($A341="","",IFERROR(GETPIVOTDATA("合計 / 入金予定",【ピボット】国保連売上!$A$3,"年月",$A341,"事業所コード",$B341,"事業所",$C341,"事業区分",M$1,"請求区分","単月"),0)
+IFERROR(GETPIVOTDATA("合計 / 入金予定",【ピボット】国保連売上!$A$3,"年月",$A341,"事業所コード",$B341,"事業所",$C341,"事業区分",M$1,"請求区分","再請求"),0))</f>
        <v/>
      </c>
      <c r="N341" s="660"/>
      <c r="O341" s="660"/>
      <c r="P341" s="660"/>
      <c r="Q341" s="660"/>
      <c r="R341" s="660"/>
      <c r="S341" s="660"/>
      <c r="T341" s="660"/>
      <c r="U341" s="660"/>
      <c r="V341" s="660"/>
      <c r="W341" s="660"/>
      <c r="X341" s="660"/>
      <c r="Y341" s="659" t="str">
        <f t="shared" si="15"/>
        <v/>
      </c>
      <c r="Z341" s="659" t="str">
        <f t="shared" si="17"/>
        <v/>
      </c>
    </row>
    <row r="342" spans="1:26" ht="15.95" customHeight="1" x14ac:dyDescent="0.15">
      <c r="A342" s="656"/>
      <c r="B342" s="657" t="str">
        <f t="shared" si="16"/>
        <v/>
      </c>
      <c r="C342" s="658"/>
      <c r="D342" s="659" t="str">
        <f>IF($A342="","",IFERROR(GETPIVOTDATA("合計 / 入金予定",【ピボット】国保連売上!$A$3,"年月",$A342,"事業所コード",$B342,"事業所",$C342,"事業区分",D$1,"請求区分","単月"),0)
+IFERROR(GETPIVOTDATA("合計 / 入金予定",【ピボット】国保連売上!$A$3,"年月",$A342,"事業所コード",$B342,"事業所",$C342,"事業区分",D$1,"請求区分","再請求"),0))</f>
        <v/>
      </c>
      <c r="E342" s="659" t="str">
        <f>IF($A342="","",IFERROR(GETPIVOTDATA("合計 / 処遇改善加算金",【ピボット】国保連売上!$A$3,"年月",$A342,"事業所コード",$B342,"事業所",$C342,"事業区分",D$1,"請求区分","単月"),0))</f>
        <v/>
      </c>
      <c r="F342" s="659" t="str">
        <f>IF($A342="","",IFERROR(GETPIVOTDATA("合計 / 入金予定",【ピボット】国保連売上!$A$3,"年月",$A342,"事業所コード",$B342,"事業所",$C342,"事業区分",F$1,"請求区分","単月"),0)
+IFERROR(GETPIVOTDATA("合計 / 入金予定",【ピボット】国保連売上!$A$3,"年月",$A342,"事業所コード",$B342,"事業所",$C342,"事業区分",F$1,"請求区分","再請求"),0))</f>
        <v/>
      </c>
      <c r="G342" s="659" t="str">
        <f>IF($A342="","",IFERROR(GETPIVOTDATA("合計 / 処遇改善加算金",【ピボット】国保連売上!$A$3,"年月",$A342,"事業所コード",$B342,"事業所",$C342,"事業区分",F$1,"請求区分","単月"),0))</f>
        <v/>
      </c>
      <c r="H342" s="659" t="str">
        <f>IF($A342="","",IFERROR(GETPIVOTDATA("合計 / 入金予定",【ピボット】国保連売上!$A$3,"年月",$A342,"事業所コード",$B342,"事業所",$C342,"事業区分",H$1,"請求区分","単月"),0)
+IFERROR(GETPIVOTDATA("合計 / 入金予定",【ピボット】国保連売上!$A$3,"年月",$A342,"事業所コード",$B342,"事業所",$C342,"事業区分",H$1,"請求区分","再請求"),0))</f>
        <v/>
      </c>
      <c r="I342" s="659" t="str">
        <f>IF($A342="","",IFERROR(GETPIVOTDATA("合計 / 入金予定",【ピボット】国保連売上!$A$3,"年月",$A342,"事業所コード",$B342,"事業所",$C342,"事業区分",I$1,"請求区分","単月"),0)
+IFERROR(GETPIVOTDATA("合計 / 入金予定",【ピボット】国保連売上!$A$3,"年月",$A342,"事業所コード",$B342,"事業所",$C342,"事業区分",I$1,"請求区分","再請求"),0))</f>
        <v/>
      </c>
      <c r="J342" s="659" t="str">
        <f>IF($A342="","",IFERROR(GETPIVOTDATA("合計 / 処遇改善加算金",【ピボット】国保連売上!$A$3,"年月",$A342,"事業所コード",$B342,"事業所",$C342,"事業区分",I$1,"請求区分","単月"),0))</f>
        <v/>
      </c>
      <c r="K342" s="659" t="str">
        <f>IF($A342="","",IFERROR(GETPIVOTDATA("合計 / 入金予定",【ピボット】国保連売上!$A$3,"年月",$A342,"事業所コード",$B342,"事業所",$C342,"事業区分",K$1,"請求区分","単月"),0)
+IFERROR(GETPIVOTDATA("合計 / 入金予定",【ピボット】国保連売上!$A$3,"年月",$A342,"事業所コード",$B342,"事業所",$C342,"事業区分",K$1,"請求区分","再請求"),0))</f>
        <v/>
      </c>
      <c r="L342" s="659" t="str">
        <f>IF($A342="","",IFERROR(GETPIVOTDATA("合計 / 処遇改善加算金",【ピボット】国保連売上!$A$3,"年月",$A342,"事業所コード",$B342,"事業所",$C342,"事業区分",K$1,"請求区分","単月"),0))</f>
        <v/>
      </c>
      <c r="M342" s="659" t="str">
        <f>IF($A342="","",IFERROR(GETPIVOTDATA("合計 / 入金予定",【ピボット】国保連売上!$A$3,"年月",$A342,"事業所コード",$B342,"事業所",$C342,"事業区分",M$1,"請求区分","単月"),0)
+IFERROR(GETPIVOTDATA("合計 / 入金予定",【ピボット】国保連売上!$A$3,"年月",$A342,"事業所コード",$B342,"事業所",$C342,"事業区分",M$1,"請求区分","再請求"),0))</f>
        <v/>
      </c>
      <c r="N342" s="660"/>
      <c r="O342" s="660"/>
      <c r="P342" s="660"/>
      <c r="Q342" s="660"/>
      <c r="R342" s="660"/>
      <c r="S342" s="660"/>
      <c r="T342" s="660"/>
      <c r="U342" s="660"/>
      <c r="V342" s="660"/>
      <c r="W342" s="660"/>
      <c r="X342" s="660"/>
      <c r="Y342" s="659" t="str">
        <f t="shared" si="15"/>
        <v/>
      </c>
      <c r="Z342" s="659" t="str">
        <f t="shared" si="17"/>
        <v/>
      </c>
    </row>
    <row r="343" spans="1:26" ht="15.95" customHeight="1" x14ac:dyDescent="0.15">
      <c r="A343" s="656"/>
      <c r="B343" s="657" t="str">
        <f t="shared" si="16"/>
        <v/>
      </c>
      <c r="C343" s="658"/>
      <c r="D343" s="659" t="str">
        <f>IF($A343="","",IFERROR(GETPIVOTDATA("合計 / 入金予定",【ピボット】国保連売上!$A$3,"年月",$A343,"事業所コード",$B343,"事業所",$C343,"事業区分",D$1,"請求区分","単月"),0)
+IFERROR(GETPIVOTDATA("合計 / 入金予定",【ピボット】国保連売上!$A$3,"年月",$A343,"事業所コード",$B343,"事業所",$C343,"事業区分",D$1,"請求区分","再請求"),0))</f>
        <v/>
      </c>
      <c r="E343" s="659" t="str">
        <f>IF($A343="","",IFERROR(GETPIVOTDATA("合計 / 処遇改善加算金",【ピボット】国保連売上!$A$3,"年月",$A343,"事業所コード",$B343,"事業所",$C343,"事業区分",D$1,"請求区分","単月"),0))</f>
        <v/>
      </c>
      <c r="F343" s="659" t="str">
        <f>IF($A343="","",IFERROR(GETPIVOTDATA("合計 / 入金予定",【ピボット】国保連売上!$A$3,"年月",$A343,"事業所コード",$B343,"事業所",$C343,"事業区分",F$1,"請求区分","単月"),0)
+IFERROR(GETPIVOTDATA("合計 / 入金予定",【ピボット】国保連売上!$A$3,"年月",$A343,"事業所コード",$B343,"事業所",$C343,"事業区分",F$1,"請求区分","再請求"),0))</f>
        <v/>
      </c>
      <c r="G343" s="659" t="str">
        <f>IF($A343="","",IFERROR(GETPIVOTDATA("合計 / 処遇改善加算金",【ピボット】国保連売上!$A$3,"年月",$A343,"事業所コード",$B343,"事業所",$C343,"事業区分",F$1,"請求区分","単月"),0))</f>
        <v/>
      </c>
      <c r="H343" s="659" t="str">
        <f>IF($A343="","",IFERROR(GETPIVOTDATA("合計 / 入金予定",【ピボット】国保連売上!$A$3,"年月",$A343,"事業所コード",$B343,"事業所",$C343,"事業区分",H$1,"請求区分","単月"),0)
+IFERROR(GETPIVOTDATA("合計 / 入金予定",【ピボット】国保連売上!$A$3,"年月",$A343,"事業所コード",$B343,"事業所",$C343,"事業区分",H$1,"請求区分","再請求"),0))</f>
        <v/>
      </c>
      <c r="I343" s="659" t="str">
        <f>IF($A343="","",IFERROR(GETPIVOTDATA("合計 / 入金予定",【ピボット】国保連売上!$A$3,"年月",$A343,"事業所コード",$B343,"事業所",$C343,"事業区分",I$1,"請求区分","単月"),0)
+IFERROR(GETPIVOTDATA("合計 / 入金予定",【ピボット】国保連売上!$A$3,"年月",$A343,"事業所コード",$B343,"事業所",$C343,"事業区分",I$1,"請求区分","再請求"),0))</f>
        <v/>
      </c>
      <c r="J343" s="659" t="str">
        <f>IF($A343="","",IFERROR(GETPIVOTDATA("合計 / 処遇改善加算金",【ピボット】国保連売上!$A$3,"年月",$A343,"事業所コード",$B343,"事業所",$C343,"事業区分",I$1,"請求区分","単月"),0))</f>
        <v/>
      </c>
      <c r="K343" s="659" t="str">
        <f>IF($A343="","",IFERROR(GETPIVOTDATA("合計 / 入金予定",【ピボット】国保連売上!$A$3,"年月",$A343,"事業所コード",$B343,"事業所",$C343,"事業区分",K$1,"請求区分","単月"),0)
+IFERROR(GETPIVOTDATA("合計 / 入金予定",【ピボット】国保連売上!$A$3,"年月",$A343,"事業所コード",$B343,"事業所",$C343,"事業区分",K$1,"請求区分","再請求"),0))</f>
        <v/>
      </c>
      <c r="L343" s="659" t="str">
        <f>IF($A343="","",IFERROR(GETPIVOTDATA("合計 / 処遇改善加算金",【ピボット】国保連売上!$A$3,"年月",$A343,"事業所コード",$B343,"事業所",$C343,"事業区分",K$1,"請求区分","単月"),0))</f>
        <v/>
      </c>
      <c r="M343" s="659" t="str">
        <f>IF($A343="","",IFERROR(GETPIVOTDATA("合計 / 入金予定",【ピボット】国保連売上!$A$3,"年月",$A343,"事業所コード",$B343,"事業所",$C343,"事業区分",M$1,"請求区分","単月"),0)
+IFERROR(GETPIVOTDATA("合計 / 入金予定",【ピボット】国保連売上!$A$3,"年月",$A343,"事業所コード",$B343,"事業所",$C343,"事業区分",M$1,"請求区分","再請求"),0))</f>
        <v/>
      </c>
      <c r="N343" s="660"/>
      <c r="O343" s="660"/>
      <c r="P343" s="660"/>
      <c r="Q343" s="660"/>
      <c r="R343" s="660"/>
      <c r="S343" s="660"/>
      <c r="T343" s="660"/>
      <c r="U343" s="660"/>
      <c r="V343" s="660"/>
      <c r="W343" s="660"/>
      <c r="X343" s="660"/>
      <c r="Y343" s="659" t="str">
        <f t="shared" si="15"/>
        <v/>
      </c>
      <c r="Z343" s="659" t="str">
        <f t="shared" si="17"/>
        <v/>
      </c>
    </row>
    <row r="344" spans="1:26" ht="15.95" customHeight="1" x14ac:dyDescent="0.15">
      <c r="A344" s="656"/>
      <c r="B344" s="657" t="str">
        <f t="shared" si="16"/>
        <v/>
      </c>
      <c r="C344" s="658"/>
      <c r="D344" s="659" t="str">
        <f>IF($A344="","",IFERROR(GETPIVOTDATA("合計 / 入金予定",【ピボット】国保連売上!$A$3,"年月",$A344,"事業所コード",$B344,"事業所",$C344,"事業区分",D$1,"請求区分","単月"),0)
+IFERROR(GETPIVOTDATA("合計 / 入金予定",【ピボット】国保連売上!$A$3,"年月",$A344,"事業所コード",$B344,"事業所",$C344,"事業区分",D$1,"請求区分","再請求"),0))</f>
        <v/>
      </c>
      <c r="E344" s="659" t="str">
        <f>IF($A344="","",IFERROR(GETPIVOTDATA("合計 / 処遇改善加算金",【ピボット】国保連売上!$A$3,"年月",$A344,"事業所コード",$B344,"事業所",$C344,"事業区分",D$1,"請求区分","単月"),0))</f>
        <v/>
      </c>
      <c r="F344" s="659" t="str">
        <f>IF($A344="","",IFERROR(GETPIVOTDATA("合計 / 入金予定",【ピボット】国保連売上!$A$3,"年月",$A344,"事業所コード",$B344,"事業所",$C344,"事業区分",F$1,"請求区分","単月"),0)
+IFERROR(GETPIVOTDATA("合計 / 入金予定",【ピボット】国保連売上!$A$3,"年月",$A344,"事業所コード",$B344,"事業所",$C344,"事業区分",F$1,"請求区分","再請求"),0))</f>
        <v/>
      </c>
      <c r="G344" s="659" t="str">
        <f>IF($A344="","",IFERROR(GETPIVOTDATA("合計 / 処遇改善加算金",【ピボット】国保連売上!$A$3,"年月",$A344,"事業所コード",$B344,"事業所",$C344,"事業区分",F$1,"請求区分","単月"),0))</f>
        <v/>
      </c>
      <c r="H344" s="659" t="str">
        <f>IF($A344="","",IFERROR(GETPIVOTDATA("合計 / 入金予定",【ピボット】国保連売上!$A$3,"年月",$A344,"事業所コード",$B344,"事業所",$C344,"事業区分",H$1,"請求区分","単月"),0)
+IFERROR(GETPIVOTDATA("合計 / 入金予定",【ピボット】国保連売上!$A$3,"年月",$A344,"事業所コード",$B344,"事業所",$C344,"事業区分",H$1,"請求区分","再請求"),0))</f>
        <v/>
      </c>
      <c r="I344" s="659" t="str">
        <f>IF($A344="","",IFERROR(GETPIVOTDATA("合計 / 入金予定",【ピボット】国保連売上!$A$3,"年月",$A344,"事業所コード",$B344,"事業所",$C344,"事業区分",I$1,"請求区分","単月"),0)
+IFERROR(GETPIVOTDATA("合計 / 入金予定",【ピボット】国保連売上!$A$3,"年月",$A344,"事業所コード",$B344,"事業所",$C344,"事業区分",I$1,"請求区分","再請求"),0))</f>
        <v/>
      </c>
      <c r="J344" s="659" t="str">
        <f>IF($A344="","",IFERROR(GETPIVOTDATA("合計 / 処遇改善加算金",【ピボット】国保連売上!$A$3,"年月",$A344,"事業所コード",$B344,"事業所",$C344,"事業区分",I$1,"請求区分","単月"),0))</f>
        <v/>
      </c>
      <c r="K344" s="659" t="str">
        <f>IF($A344="","",IFERROR(GETPIVOTDATA("合計 / 入金予定",【ピボット】国保連売上!$A$3,"年月",$A344,"事業所コード",$B344,"事業所",$C344,"事業区分",K$1,"請求区分","単月"),0)
+IFERROR(GETPIVOTDATA("合計 / 入金予定",【ピボット】国保連売上!$A$3,"年月",$A344,"事業所コード",$B344,"事業所",$C344,"事業区分",K$1,"請求区分","再請求"),0))</f>
        <v/>
      </c>
      <c r="L344" s="659" t="str">
        <f>IF($A344="","",IFERROR(GETPIVOTDATA("合計 / 処遇改善加算金",【ピボット】国保連売上!$A$3,"年月",$A344,"事業所コード",$B344,"事業所",$C344,"事業区分",K$1,"請求区分","単月"),0))</f>
        <v/>
      </c>
      <c r="M344" s="659" t="str">
        <f>IF($A344="","",IFERROR(GETPIVOTDATA("合計 / 入金予定",【ピボット】国保連売上!$A$3,"年月",$A344,"事業所コード",$B344,"事業所",$C344,"事業区分",M$1,"請求区分","単月"),0)
+IFERROR(GETPIVOTDATA("合計 / 入金予定",【ピボット】国保連売上!$A$3,"年月",$A344,"事業所コード",$B344,"事業所",$C344,"事業区分",M$1,"請求区分","再請求"),0))</f>
        <v/>
      </c>
      <c r="N344" s="660"/>
      <c r="O344" s="660"/>
      <c r="P344" s="660"/>
      <c r="Q344" s="660"/>
      <c r="R344" s="660"/>
      <c r="S344" s="660"/>
      <c r="T344" s="660"/>
      <c r="U344" s="660"/>
      <c r="V344" s="660"/>
      <c r="W344" s="660"/>
      <c r="X344" s="660"/>
      <c r="Y344" s="659" t="str">
        <f t="shared" si="15"/>
        <v/>
      </c>
      <c r="Z344" s="659" t="str">
        <f t="shared" si="17"/>
        <v/>
      </c>
    </row>
    <row r="345" spans="1:26" ht="15.95" customHeight="1" x14ac:dyDescent="0.15">
      <c r="A345" s="656"/>
      <c r="B345" s="657" t="str">
        <f t="shared" si="16"/>
        <v/>
      </c>
      <c r="C345" s="658"/>
      <c r="D345" s="659" t="str">
        <f>IF($A345="","",IFERROR(GETPIVOTDATA("合計 / 入金予定",【ピボット】国保連売上!$A$3,"年月",$A345,"事業所コード",$B345,"事業所",$C345,"事業区分",D$1,"請求区分","単月"),0)
+IFERROR(GETPIVOTDATA("合計 / 入金予定",【ピボット】国保連売上!$A$3,"年月",$A345,"事業所コード",$B345,"事業所",$C345,"事業区分",D$1,"請求区分","再請求"),0))</f>
        <v/>
      </c>
      <c r="E345" s="659" t="str">
        <f>IF($A345="","",IFERROR(GETPIVOTDATA("合計 / 処遇改善加算金",【ピボット】国保連売上!$A$3,"年月",$A345,"事業所コード",$B345,"事業所",$C345,"事業区分",D$1,"請求区分","単月"),0))</f>
        <v/>
      </c>
      <c r="F345" s="659" t="str">
        <f>IF($A345="","",IFERROR(GETPIVOTDATA("合計 / 入金予定",【ピボット】国保連売上!$A$3,"年月",$A345,"事業所コード",$B345,"事業所",$C345,"事業区分",F$1,"請求区分","単月"),0)
+IFERROR(GETPIVOTDATA("合計 / 入金予定",【ピボット】国保連売上!$A$3,"年月",$A345,"事業所コード",$B345,"事業所",$C345,"事業区分",F$1,"請求区分","再請求"),0))</f>
        <v/>
      </c>
      <c r="G345" s="659" t="str">
        <f>IF($A345="","",IFERROR(GETPIVOTDATA("合計 / 処遇改善加算金",【ピボット】国保連売上!$A$3,"年月",$A345,"事業所コード",$B345,"事業所",$C345,"事業区分",F$1,"請求区分","単月"),0))</f>
        <v/>
      </c>
      <c r="H345" s="659" t="str">
        <f>IF($A345="","",IFERROR(GETPIVOTDATA("合計 / 入金予定",【ピボット】国保連売上!$A$3,"年月",$A345,"事業所コード",$B345,"事業所",$C345,"事業区分",H$1,"請求区分","単月"),0)
+IFERROR(GETPIVOTDATA("合計 / 入金予定",【ピボット】国保連売上!$A$3,"年月",$A345,"事業所コード",$B345,"事業所",$C345,"事業区分",H$1,"請求区分","再請求"),0))</f>
        <v/>
      </c>
      <c r="I345" s="659" t="str">
        <f>IF($A345="","",IFERROR(GETPIVOTDATA("合計 / 入金予定",【ピボット】国保連売上!$A$3,"年月",$A345,"事業所コード",$B345,"事業所",$C345,"事業区分",I$1,"請求区分","単月"),0)
+IFERROR(GETPIVOTDATA("合計 / 入金予定",【ピボット】国保連売上!$A$3,"年月",$A345,"事業所コード",$B345,"事業所",$C345,"事業区分",I$1,"請求区分","再請求"),0))</f>
        <v/>
      </c>
      <c r="J345" s="659" t="str">
        <f>IF($A345="","",IFERROR(GETPIVOTDATA("合計 / 処遇改善加算金",【ピボット】国保連売上!$A$3,"年月",$A345,"事業所コード",$B345,"事業所",$C345,"事業区分",I$1,"請求区分","単月"),0))</f>
        <v/>
      </c>
      <c r="K345" s="659" t="str">
        <f>IF($A345="","",IFERROR(GETPIVOTDATA("合計 / 入金予定",【ピボット】国保連売上!$A$3,"年月",$A345,"事業所コード",$B345,"事業所",$C345,"事業区分",K$1,"請求区分","単月"),0)
+IFERROR(GETPIVOTDATA("合計 / 入金予定",【ピボット】国保連売上!$A$3,"年月",$A345,"事業所コード",$B345,"事業所",$C345,"事業区分",K$1,"請求区分","再請求"),0))</f>
        <v/>
      </c>
      <c r="L345" s="659" t="str">
        <f>IF($A345="","",IFERROR(GETPIVOTDATA("合計 / 処遇改善加算金",【ピボット】国保連売上!$A$3,"年月",$A345,"事業所コード",$B345,"事業所",$C345,"事業区分",K$1,"請求区分","単月"),0))</f>
        <v/>
      </c>
      <c r="M345" s="659" t="str">
        <f>IF($A345="","",IFERROR(GETPIVOTDATA("合計 / 入金予定",【ピボット】国保連売上!$A$3,"年月",$A345,"事業所コード",$B345,"事業所",$C345,"事業区分",M$1,"請求区分","単月"),0)
+IFERROR(GETPIVOTDATA("合計 / 入金予定",【ピボット】国保連売上!$A$3,"年月",$A345,"事業所コード",$B345,"事業所",$C345,"事業区分",M$1,"請求区分","再請求"),0))</f>
        <v/>
      </c>
      <c r="N345" s="660"/>
      <c r="O345" s="660"/>
      <c r="P345" s="660"/>
      <c r="Q345" s="660"/>
      <c r="R345" s="660"/>
      <c r="S345" s="660"/>
      <c r="T345" s="660"/>
      <c r="U345" s="660"/>
      <c r="V345" s="660"/>
      <c r="W345" s="660"/>
      <c r="X345" s="660"/>
      <c r="Y345" s="659" t="str">
        <f t="shared" si="15"/>
        <v/>
      </c>
      <c r="Z345" s="659" t="str">
        <f t="shared" si="17"/>
        <v/>
      </c>
    </row>
    <row r="346" spans="1:26" ht="15.95" customHeight="1" x14ac:dyDescent="0.15">
      <c r="A346" s="656"/>
      <c r="B346" s="657" t="str">
        <f t="shared" si="16"/>
        <v/>
      </c>
      <c r="C346" s="658"/>
      <c r="D346" s="659" t="str">
        <f>IF($A346="","",IFERROR(GETPIVOTDATA("合計 / 入金予定",【ピボット】国保連売上!$A$3,"年月",$A346,"事業所コード",$B346,"事業所",$C346,"事業区分",D$1,"請求区分","単月"),0)
+IFERROR(GETPIVOTDATA("合計 / 入金予定",【ピボット】国保連売上!$A$3,"年月",$A346,"事業所コード",$B346,"事業所",$C346,"事業区分",D$1,"請求区分","再請求"),0))</f>
        <v/>
      </c>
      <c r="E346" s="659" t="str">
        <f>IF($A346="","",IFERROR(GETPIVOTDATA("合計 / 処遇改善加算金",【ピボット】国保連売上!$A$3,"年月",$A346,"事業所コード",$B346,"事業所",$C346,"事業区分",D$1,"請求区分","単月"),0))</f>
        <v/>
      </c>
      <c r="F346" s="659" t="str">
        <f>IF($A346="","",IFERROR(GETPIVOTDATA("合計 / 入金予定",【ピボット】国保連売上!$A$3,"年月",$A346,"事業所コード",$B346,"事業所",$C346,"事業区分",F$1,"請求区分","単月"),0)
+IFERROR(GETPIVOTDATA("合計 / 入金予定",【ピボット】国保連売上!$A$3,"年月",$A346,"事業所コード",$B346,"事業所",$C346,"事業区分",F$1,"請求区分","再請求"),0))</f>
        <v/>
      </c>
      <c r="G346" s="659" t="str">
        <f>IF($A346="","",IFERROR(GETPIVOTDATA("合計 / 処遇改善加算金",【ピボット】国保連売上!$A$3,"年月",$A346,"事業所コード",$B346,"事業所",$C346,"事業区分",F$1,"請求区分","単月"),0))</f>
        <v/>
      </c>
      <c r="H346" s="659" t="str">
        <f>IF($A346="","",IFERROR(GETPIVOTDATA("合計 / 入金予定",【ピボット】国保連売上!$A$3,"年月",$A346,"事業所コード",$B346,"事業所",$C346,"事業区分",H$1,"請求区分","単月"),0)
+IFERROR(GETPIVOTDATA("合計 / 入金予定",【ピボット】国保連売上!$A$3,"年月",$A346,"事業所コード",$B346,"事業所",$C346,"事業区分",H$1,"請求区分","再請求"),0))</f>
        <v/>
      </c>
      <c r="I346" s="659" t="str">
        <f>IF($A346="","",IFERROR(GETPIVOTDATA("合計 / 入金予定",【ピボット】国保連売上!$A$3,"年月",$A346,"事業所コード",$B346,"事業所",$C346,"事業区分",I$1,"請求区分","単月"),0)
+IFERROR(GETPIVOTDATA("合計 / 入金予定",【ピボット】国保連売上!$A$3,"年月",$A346,"事業所コード",$B346,"事業所",$C346,"事業区分",I$1,"請求区分","再請求"),0))</f>
        <v/>
      </c>
      <c r="J346" s="659" t="str">
        <f>IF($A346="","",IFERROR(GETPIVOTDATA("合計 / 処遇改善加算金",【ピボット】国保連売上!$A$3,"年月",$A346,"事業所コード",$B346,"事業所",$C346,"事業区分",I$1,"請求区分","単月"),0))</f>
        <v/>
      </c>
      <c r="K346" s="659" t="str">
        <f>IF($A346="","",IFERROR(GETPIVOTDATA("合計 / 入金予定",【ピボット】国保連売上!$A$3,"年月",$A346,"事業所コード",$B346,"事業所",$C346,"事業区分",K$1,"請求区分","単月"),0)
+IFERROR(GETPIVOTDATA("合計 / 入金予定",【ピボット】国保連売上!$A$3,"年月",$A346,"事業所コード",$B346,"事業所",$C346,"事業区分",K$1,"請求区分","再請求"),0))</f>
        <v/>
      </c>
      <c r="L346" s="659" t="str">
        <f>IF($A346="","",IFERROR(GETPIVOTDATA("合計 / 処遇改善加算金",【ピボット】国保連売上!$A$3,"年月",$A346,"事業所コード",$B346,"事業所",$C346,"事業区分",K$1,"請求区分","単月"),0))</f>
        <v/>
      </c>
      <c r="M346" s="659" t="str">
        <f>IF($A346="","",IFERROR(GETPIVOTDATA("合計 / 入金予定",【ピボット】国保連売上!$A$3,"年月",$A346,"事業所コード",$B346,"事業所",$C346,"事業区分",M$1,"請求区分","単月"),0)
+IFERROR(GETPIVOTDATA("合計 / 入金予定",【ピボット】国保連売上!$A$3,"年月",$A346,"事業所コード",$B346,"事業所",$C346,"事業区分",M$1,"請求区分","再請求"),0))</f>
        <v/>
      </c>
      <c r="N346" s="660"/>
      <c r="O346" s="660"/>
      <c r="P346" s="660"/>
      <c r="Q346" s="660"/>
      <c r="R346" s="660"/>
      <c r="S346" s="660"/>
      <c r="T346" s="660"/>
      <c r="U346" s="660"/>
      <c r="V346" s="660"/>
      <c r="W346" s="660"/>
      <c r="X346" s="660"/>
      <c r="Y346" s="659" t="str">
        <f t="shared" si="15"/>
        <v/>
      </c>
      <c r="Z346" s="659" t="str">
        <f t="shared" si="17"/>
        <v/>
      </c>
    </row>
    <row r="347" spans="1:26" ht="15.95" customHeight="1" x14ac:dyDescent="0.15">
      <c r="A347" s="656"/>
      <c r="B347" s="657" t="str">
        <f t="shared" si="16"/>
        <v/>
      </c>
      <c r="C347" s="658"/>
      <c r="D347" s="659" t="str">
        <f>IF($A347="","",IFERROR(GETPIVOTDATA("合計 / 入金予定",【ピボット】国保連売上!$A$3,"年月",$A347,"事業所コード",$B347,"事業所",$C347,"事業区分",D$1,"請求区分","単月"),0)
+IFERROR(GETPIVOTDATA("合計 / 入金予定",【ピボット】国保連売上!$A$3,"年月",$A347,"事業所コード",$B347,"事業所",$C347,"事業区分",D$1,"請求区分","再請求"),0))</f>
        <v/>
      </c>
      <c r="E347" s="659" t="str">
        <f>IF($A347="","",IFERROR(GETPIVOTDATA("合計 / 処遇改善加算金",【ピボット】国保連売上!$A$3,"年月",$A347,"事業所コード",$B347,"事業所",$C347,"事業区分",D$1,"請求区分","単月"),0))</f>
        <v/>
      </c>
      <c r="F347" s="659" t="str">
        <f>IF($A347="","",IFERROR(GETPIVOTDATA("合計 / 入金予定",【ピボット】国保連売上!$A$3,"年月",$A347,"事業所コード",$B347,"事業所",$C347,"事業区分",F$1,"請求区分","単月"),0)
+IFERROR(GETPIVOTDATA("合計 / 入金予定",【ピボット】国保連売上!$A$3,"年月",$A347,"事業所コード",$B347,"事業所",$C347,"事業区分",F$1,"請求区分","再請求"),0))</f>
        <v/>
      </c>
      <c r="G347" s="659" t="str">
        <f>IF($A347="","",IFERROR(GETPIVOTDATA("合計 / 処遇改善加算金",【ピボット】国保連売上!$A$3,"年月",$A347,"事業所コード",$B347,"事業所",$C347,"事業区分",F$1,"請求区分","単月"),0))</f>
        <v/>
      </c>
      <c r="H347" s="659" t="str">
        <f>IF($A347="","",IFERROR(GETPIVOTDATA("合計 / 入金予定",【ピボット】国保連売上!$A$3,"年月",$A347,"事業所コード",$B347,"事業所",$C347,"事業区分",H$1,"請求区分","単月"),0)
+IFERROR(GETPIVOTDATA("合計 / 入金予定",【ピボット】国保連売上!$A$3,"年月",$A347,"事業所コード",$B347,"事業所",$C347,"事業区分",H$1,"請求区分","再請求"),0))</f>
        <v/>
      </c>
      <c r="I347" s="659" t="str">
        <f>IF($A347="","",IFERROR(GETPIVOTDATA("合計 / 入金予定",【ピボット】国保連売上!$A$3,"年月",$A347,"事業所コード",$B347,"事業所",$C347,"事業区分",I$1,"請求区分","単月"),0)
+IFERROR(GETPIVOTDATA("合計 / 入金予定",【ピボット】国保連売上!$A$3,"年月",$A347,"事業所コード",$B347,"事業所",$C347,"事業区分",I$1,"請求区分","再請求"),0))</f>
        <v/>
      </c>
      <c r="J347" s="659" t="str">
        <f>IF($A347="","",IFERROR(GETPIVOTDATA("合計 / 処遇改善加算金",【ピボット】国保連売上!$A$3,"年月",$A347,"事業所コード",$B347,"事業所",$C347,"事業区分",I$1,"請求区分","単月"),0))</f>
        <v/>
      </c>
      <c r="K347" s="659" t="str">
        <f>IF($A347="","",IFERROR(GETPIVOTDATA("合計 / 入金予定",【ピボット】国保連売上!$A$3,"年月",$A347,"事業所コード",$B347,"事業所",$C347,"事業区分",K$1,"請求区分","単月"),0)
+IFERROR(GETPIVOTDATA("合計 / 入金予定",【ピボット】国保連売上!$A$3,"年月",$A347,"事業所コード",$B347,"事業所",$C347,"事業区分",K$1,"請求区分","再請求"),0))</f>
        <v/>
      </c>
      <c r="L347" s="659" t="str">
        <f>IF($A347="","",IFERROR(GETPIVOTDATA("合計 / 処遇改善加算金",【ピボット】国保連売上!$A$3,"年月",$A347,"事業所コード",$B347,"事業所",$C347,"事業区分",K$1,"請求区分","単月"),0))</f>
        <v/>
      </c>
      <c r="M347" s="659" t="str">
        <f>IF($A347="","",IFERROR(GETPIVOTDATA("合計 / 入金予定",【ピボット】国保連売上!$A$3,"年月",$A347,"事業所コード",$B347,"事業所",$C347,"事業区分",M$1,"請求区分","単月"),0)
+IFERROR(GETPIVOTDATA("合計 / 入金予定",【ピボット】国保連売上!$A$3,"年月",$A347,"事業所コード",$B347,"事業所",$C347,"事業区分",M$1,"請求区分","再請求"),0))</f>
        <v/>
      </c>
      <c r="N347" s="660"/>
      <c r="O347" s="660"/>
      <c r="P347" s="660"/>
      <c r="Q347" s="660"/>
      <c r="R347" s="660"/>
      <c r="S347" s="660"/>
      <c r="T347" s="660"/>
      <c r="U347" s="660"/>
      <c r="V347" s="660"/>
      <c r="W347" s="660"/>
      <c r="X347" s="660"/>
      <c r="Y347" s="659" t="str">
        <f t="shared" si="15"/>
        <v/>
      </c>
      <c r="Z347" s="659" t="str">
        <f t="shared" si="17"/>
        <v/>
      </c>
    </row>
    <row r="348" spans="1:26" ht="15.95" customHeight="1" x14ac:dyDescent="0.15">
      <c r="A348" s="656"/>
      <c r="B348" s="657" t="str">
        <f t="shared" si="16"/>
        <v/>
      </c>
      <c r="C348" s="658"/>
      <c r="D348" s="659" t="str">
        <f>IF($A348="","",IFERROR(GETPIVOTDATA("合計 / 入金予定",【ピボット】国保連売上!$A$3,"年月",$A348,"事業所コード",$B348,"事業所",$C348,"事業区分",D$1,"請求区分","単月"),0)
+IFERROR(GETPIVOTDATA("合計 / 入金予定",【ピボット】国保連売上!$A$3,"年月",$A348,"事業所コード",$B348,"事業所",$C348,"事業区分",D$1,"請求区分","再請求"),0))</f>
        <v/>
      </c>
      <c r="E348" s="659" t="str">
        <f>IF($A348="","",IFERROR(GETPIVOTDATA("合計 / 処遇改善加算金",【ピボット】国保連売上!$A$3,"年月",$A348,"事業所コード",$B348,"事業所",$C348,"事業区分",D$1,"請求区分","単月"),0))</f>
        <v/>
      </c>
      <c r="F348" s="659" t="str">
        <f>IF($A348="","",IFERROR(GETPIVOTDATA("合計 / 入金予定",【ピボット】国保連売上!$A$3,"年月",$A348,"事業所コード",$B348,"事業所",$C348,"事業区分",F$1,"請求区分","単月"),0)
+IFERROR(GETPIVOTDATA("合計 / 入金予定",【ピボット】国保連売上!$A$3,"年月",$A348,"事業所コード",$B348,"事業所",$C348,"事業区分",F$1,"請求区分","再請求"),0))</f>
        <v/>
      </c>
      <c r="G348" s="659" t="str">
        <f>IF($A348="","",IFERROR(GETPIVOTDATA("合計 / 処遇改善加算金",【ピボット】国保連売上!$A$3,"年月",$A348,"事業所コード",$B348,"事業所",$C348,"事業区分",F$1,"請求区分","単月"),0))</f>
        <v/>
      </c>
      <c r="H348" s="659" t="str">
        <f>IF($A348="","",IFERROR(GETPIVOTDATA("合計 / 入金予定",【ピボット】国保連売上!$A$3,"年月",$A348,"事業所コード",$B348,"事業所",$C348,"事業区分",H$1,"請求区分","単月"),0)
+IFERROR(GETPIVOTDATA("合計 / 入金予定",【ピボット】国保連売上!$A$3,"年月",$A348,"事業所コード",$B348,"事業所",$C348,"事業区分",H$1,"請求区分","再請求"),0))</f>
        <v/>
      </c>
      <c r="I348" s="659" t="str">
        <f>IF($A348="","",IFERROR(GETPIVOTDATA("合計 / 入金予定",【ピボット】国保連売上!$A$3,"年月",$A348,"事業所コード",$B348,"事業所",$C348,"事業区分",I$1,"請求区分","単月"),0)
+IFERROR(GETPIVOTDATA("合計 / 入金予定",【ピボット】国保連売上!$A$3,"年月",$A348,"事業所コード",$B348,"事業所",$C348,"事業区分",I$1,"請求区分","再請求"),0))</f>
        <v/>
      </c>
      <c r="J348" s="659" t="str">
        <f>IF($A348="","",IFERROR(GETPIVOTDATA("合計 / 処遇改善加算金",【ピボット】国保連売上!$A$3,"年月",$A348,"事業所コード",$B348,"事業所",$C348,"事業区分",I$1,"請求区分","単月"),0))</f>
        <v/>
      </c>
      <c r="K348" s="659" t="str">
        <f>IF($A348="","",IFERROR(GETPIVOTDATA("合計 / 入金予定",【ピボット】国保連売上!$A$3,"年月",$A348,"事業所コード",$B348,"事業所",$C348,"事業区分",K$1,"請求区分","単月"),0)
+IFERROR(GETPIVOTDATA("合計 / 入金予定",【ピボット】国保連売上!$A$3,"年月",$A348,"事業所コード",$B348,"事業所",$C348,"事業区分",K$1,"請求区分","再請求"),0))</f>
        <v/>
      </c>
      <c r="L348" s="659" t="str">
        <f>IF($A348="","",IFERROR(GETPIVOTDATA("合計 / 処遇改善加算金",【ピボット】国保連売上!$A$3,"年月",$A348,"事業所コード",$B348,"事業所",$C348,"事業区分",K$1,"請求区分","単月"),0))</f>
        <v/>
      </c>
      <c r="M348" s="659" t="str">
        <f>IF($A348="","",IFERROR(GETPIVOTDATA("合計 / 入金予定",【ピボット】国保連売上!$A$3,"年月",$A348,"事業所コード",$B348,"事業所",$C348,"事業区分",M$1,"請求区分","単月"),0)
+IFERROR(GETPIVOTDATA("合計 / 入金予定",【ピボット】国保連売上!$A$3,"年月",$A348,"事業所コード",$B348,"事業所",$C348,"事業区分",M$1,"請求区分","再請求"),0))</f>
        <v/>
      </c>
      <c r="N348" s="660"/>
      <c r="O348" s="660"/>
      <c r="P348" s="660"/>
      <c r="Q348" s="660"/>
      <c r="R348" s="660"/>
      <c r="S348" s="660"/>
      <c r="T348" s="660"/>
      <c r="U348" s="660"/>
      <c r="V348" s="660"/>
      <c r="W348" s="660"/>
      <c r="X348" s="660"/>
      <c r="Y348" s="659" t="str">
        <f t="shared" si="15"/>
        <v/>
      </c>
      <c r="Z348" s="659" t="str">
        <f t="shared" si="17"/>
        <v/>
      </c>
    </row>
    <row r="349" spans="1:26" ht="15.95" customHeight="1" x14ac:dyDescent="0.15">
      <c r="A349" s="656"/>
      <c r="B349" s="657" t="str">
        <f t="shared" si="16"/>
        <v/>
      </c>
      <c r="C349" s="658"/>
      <c r="D349" s="659" t="str">
        <f>IF($A349="","",IFERROR(GETPIVOTDATA("合計 / 入金予定",【ピボット】国保連売上!$A$3,"年月",$A349,"事業所コード",$B349,"事業所",$C349,"事業区分",D$1,"請求区分","単月"),0)
+IFERROR(GETPIVOTDATA("合計 / 入金予定",【ピボット】国保連売上!$A$3,"年月",$A349,"事業所コード",$B349,"事業所",$C349,"事業区分",D$1,"請求区分","再請求"),0))</f>
        <v/>
      </c>
      <c r="E349" s="659" t="str">
        <f>IF($A349="","",IFERROR(GETPIVOTDATA("合計 / 処遇改善加算金",【ピボット】国保連売上!$A$3,"年月",$A349,"事業所コード",$B349,"事業所",$C349,"事業区分",D$1,"請求区分","単月"),0))</f>
        <v/>
      </c>
      <c r="F349" s="659" t="str">
        <f>IF($A349="","",IFERROR(GETPIVOTDATA("合計 / 入金予定",【ピボット】国保連売上!$A$3,"年月",$A349,"事業所コード",$B349,"事業所",$C349,"事業区分",F$1,"請求区分","単月"),0)
+IFERROR(GETPIVOTDATA("合計 / 入金予定",【ピボット】国保連売上!$A$3,"年月",$A349,"事業所コード",$B349,"事業所",$C349,"事業区分",F$1,"請求区分","再請求"),0))</f>
        <v/>
      </c>
      <c r="G349" s="659" t="str">
        <f>IF($A349="","",IFERROR(GETPIVOTDATA("合計 / 処遇改善加算金",【ピボット】国保連売上!$A$3,"年月",$A349,"事業所コード",$B349,"事業所",$C349,"事業区分",F$1,"請求区分","単月"),0))</f>
        <v/>
      </c>
      <c r="H349" s="659" t="str">
        <f>IF($A349="","",IFERROR(GETPIVOTDATA("合計 / 入金予定",【ピボット】国保連売上!$A$3,"年月",$A349,"事業所コード",$B349,"事業所",$C349,"事業区分",H$1,"請求区分","単月"),0)
+IFERROR(GETPIVOTDATA("合計 / 入金予定",【ピボット】国保連売上!$A$3,"年月",$A349,"事業所コード",$B349,"事業所",$C349,"事業区分",H$1,"請求区分","再請求"),0))</f>
        <v/>
      </c>
      <c r="I349" s="659" t="str">
        <f>IF($A349="","",IFERROR(GETPIVOTDATA("合計 / 入金予定",【ピボット】国保連売上!$A$3,"年月",$A349,"事業所コード",$B349,"事業所",$C349,"事業区分",I$1,"請求区分","単月"),0)
+IFERROR(GETPIVOTDATA("合計 / 入金予定",【ピボット】国保連売上!$A$3,"年月",$A349,"事業所コード",$B349,"事業所",$C349,"事業区分",I$1,"請求区分","再請求"),0))</f>
        <v/>
      </c>
      <c r="J349" s="659" t="str">
        <f>IF($A349="","",IFERROR(GETPIVOTDATA("合計 / 処遇改善加算金",【ピボット】国保連売上!$A$3,"年月",$A349,"事業所コード",$B349,"事業所",$C349,"事業区分",I$1,"請求区分","単月"),0))</f>
        <v/>
      </c>
      <c r="K349" s="659" t="str">
        <f>IF($A349="","",IFERROR(GETPIVOTDATA("合計 / 入金予定",【ピボット】国保連売上!$A$3,"年月",$A349,"事業所コード",$B349,"事業所",$C349,"事業区分",K$1,"請求区分","単月"),0)
+IFERROR(GETPIVOTDATA("合計 / 入金予定",【ピボット】国保連売上!$A$3,"年月",$A349,"事業所コード",$B349,"事業所",$C349,"事業区分",K$1,"請求区分","再請求"),0))</f>
        <v/>
      </c>
      <c r="L349" s="659" t="str">
        <f>IF($A349="","",IFERROR(GETPIVOTDATA("合計 / 処遇改善加算金",【ピボット】国保連売上!$A$3,"年月",$A349,"事業所コード",$B349,"事業所",$C349,"事業区分",K$1,"請求区分","単月"),0))</f>
        <v/>
      </c>
      <c r="M349" s="659" t="str">
        <f>IF($A349="","",IFERROR(GETPIVOTDATA("合計 / 入金予定",【ピボット】国保連売上!$A$3,"年月",$A349,"事業所コード",$B349,"事業所",$C349,"事業区分",M$1,"請求区分","単月"),0)
+IFERROR(GETPIVOTDATA("合計 / 入金予定",【ピボット】国保連売上!$A$3,"年月",$A349,"事業所コード",$B349,"事業所",$C349,"事業区分",M$1,"請求区分","再請求"),0))</f>
        <v/>
      </c>
      <c r="N349" s="660"/>
      <c r="O349" s="660"/>
      <c r="P349" s="660"/>
      <c r="Q349" s="660"/>
      <c r="R349" s="660"/>
      <c r="S349" s="660"/>
      <c r="T349" s="660"/>
      <c r="U349" s="660"/>
      <c r="V349" s="660"/>
      <c r="W349" s="660"/>
      <c r="X349" s="660"/>
      <c r="Y349" s="659" t="str">
        <f t="shared" si="15"/>
        <v/>
      </c>
      <c r="Z349" s="659" t="str">
        <f t="shared" si="17"/>
        <v/>
      </c>
    </row>
    <row r="350" spans="1:26" ht="15.95" customHeight="1" x14ac:dyDescent="0.15">
      <c r="A350" s="656"/>
      <c r="B350" s="657" t="str">
        <f t="shared" si="16"/>
        <v/>
      </c>
      <c r="C350" s="658"/>
      <c r="D350" s="659" t="str">
        <f>IF($A350="","",IFERROR(GETPIVOTDATA("合計 / 入金予定",【ピボット】国保連売上!$A$3,"年月",$A350,"事業所コード",$B350,"事業所",$C350,"事業区分",D$1,"請求区分","単月"),0)
+IFERROR(GETPIVOTDATA("合計 / 入金予定",【ピボット】国保連売上!$A$3,"年月",$A350,"事業所コード",$B350,"事業所",$C350,"事業区分",D$1,"請求区分","再請求"),0))</f>
        <v/>
      </c>
      <c r="E350" s="659" t="str">
        <f>IF($A350="","",IFERROR(GETPIVOTDATA("合計 / 処遇改善加算金",【ピボット】国保連売上!$A$3,"年月",$A350,"事業所コード",$B350,"事業所",$C350,"事業区分",D$1,"請求区分","単月"),0))</f>
        <v/>
      </c>
      <c r="F350" s="659" t="str">
        <f>IF($A350="","",IFERROR(GETPIVOTDATA("合計 / 入金予定",【ピボット】国保連売上!$A$3,"年月",$A350,"事業所コード",$B350,"事業所",$C350,"事業区分",F$1,"請求区分","単月"),0)
+IFERROR(GETPIVOTDATA("合計 / 入金予定",【ピボット】国保連売上!$A$3,"年月",$A350,"事業所コード",$B350,"事業所",$C350,"事業区分",F$1,"請求区分","再請求"),0))</f>
        <v/>
      </c>
      <c r="G350" s="659" t="str">
        <f>IF($A350="","",IFERROR(GETPIVOTDATA("合計 / 処遇改善加算金",【ピボット】国保連売上!$A$3,"年月",$A350,"事業所コード",$B350,"事業所",$C350,"事業区分",F$1,"請求区分","単月"),0))</f>
        <v/>
      </c>
      <c r="H350" s="659" t="str">
        <f>IF($A350="","",IFERROR(GETPIVOTDATA("合計 / 入金予定",【ピボット】国保連売上!$A$3,"年月",$A350,"事業所コード",$B350,"事業所",$C350,"事業区分",H$1,"請求区分","単月"),0)
+IFERROR(GETPIVOTDATA("合計 / 入金予定",【ピボット】国保連売上!$A$3,"年月",$A350,"事業所コード",$B350,"事業所",$C350,"事業区分",H$1,"請求区分","再請求"),0))</f>
        <v/>
      </c>
      <c r="I350" s="659" t="str">
        <f>IF($A350="","",IFERROR(GETPIVOTDATA("合計 / 入金予定",【ピボット】国保連売上!$A$3,"年月",$A350,"事業所コード",$B350,"事業所",$C350,"事業区分",I$1,"請求区分","単月"),0)
+IFERROR(GETPIVOTDATA("合計 / 入金予定",【ピボット】国保連売上!$A$3,"年月",$A350,"事業所コード",$B350,"事業所",$C350,"事業区分",I$1,"請求区分","再請求"),0))</f>
        <v/>
      </c>
      <c r="J350" s="659" t="str">
        <f>IF($A350="","",IFERROR(GETPIVOTDATA("合計 / 処遇改善加算金",【ピボット】国保連売上!$A$3,"年月",$A350,"事業所コード",$B350,"事業所",$C350,"事業区分",I$1,"請求区分","単月"),0))</f>
        <v/>
      </c>
      <c r="K350" s="659" t="str">
        <f>IF($A350="","",IFERROR(GETPIVOTDATA("合計 / 入金予定",【ピボット】国保連売上!$A$3,"年月",$A350,"事業所コード",$B350,"事業所",$C350,"事業区分",K$1,"請求区分","単月"),0)
+IFERROR(GETPIVOTDATA("合計 / 入金予定",【ピボット】国保連売上!$A$3,"年月",$A350,"事業所コード",$B350,"事業所",$C350,"事業区分",K$1,"請求区分","再請求"),0))</f>
        <v/>
      </c>
      <c r="L350" s="659" t="str">
        <f>IF($A350="","",IFERROR(GETPIVOTDATA("合計 / 処遇改善加算金",【ピボット】国保連売上!$A$3,"年月",$A350,"事業所コード",$B350,"事業所",$C350,"事業区分",K$1,"請求区分","単月"),0))</f>
        <v/>
      </c>
      <c r="M350" s="659" t="str">
        <f>IF($A350="","",IFERROR(GETPIVOTDATA("合計 / 入金予定",【ピボット】国保連売上!$A$3,"年月",$A350,"事業所コード",$B350,"事業所",$C350,"事業区分",M$1,"請求区分","単月"),0)
+IFERROR(GETPIVOTDATA("合計 / 入金予定",【ピボット】国保連売上!$A$3,"年月",$A350,"事業所コード",$B350,"事業所",$C350,"事業区分",M$1,"請求区分","再請求"),0))</f>
        <v/>
      </c>
      <c r="N350" s="660"/>
      <c r="O350" s="660"/>
      <c r="P350" s="660"/>
      <c r="Q350" s="660"/>
      <c r="R350" s="660"/>
      <c r="S350" s="660"/>
      <c r="T350" s="660"/>
      <c r="U350" s="660"/>
      <c r="V350" s="660"/>
      <c r="W350" s="660"/>
      <c r="X350" s="660"/>
      <c r="Y350" s="659" t="str">
        <f t="shared" si="15"/>
        <v/>
      </c>
      <c r="Z350" s="659" t="str">
        <f t="shared" si="17"/>
        <v/>
      </c>
    </row>
    <row r="351" spans="1:26" ht="15.95" customHeight="1" x14ac:dyDescent="0.15">
      <c r="A351" s="656"/>
      <c r="B351" s="657" t="str">
        <f t="shared" si="16"/>
        <v/>
      </c>
      <c r="C351" s="658"/>
      <c r="D351" s="659" t="str">
        <f>IF($A351="","",IFERROR(GETPIVOTDATA("合計 / 入金予定",【ピボット】国保連売上!$A$3,"年月",$A351,"事業所コード",$B351,"事業所",$C351,"事業区分",D$1,"請求区分","単月"),0)
+IFERROR(GETPIVOTDATA("合計 / 入金予定",【ピボット】国保連売上!$A$3,"年月",$A351,"事業所コード",$B351,"事業所",$C351,"事業区分",D$1,"請求区分","再請求"),0))</f>
        <v/>
      </c>
      <c r="E351" s="659" t="str">
        <f>IF($A351="","",IFERROR(GETPIVOTDATA("合計 / 処遇改善加算金",【ピボット】国保連売上!$A$3,"年月",$A351,"事業所コード",$B351,"事業所",$C351,"事業区分",D$1,"請求区分","単月"),0))</f>
        <v/>
      </c>
      <c r="F351" s="659" t="str">
        <f>IF($A351="","",IFERROR(GETPIVOTDATA("合計 / 入金予定",【ピボット】国保連売上!$A$3,"年月",$A351,"事業所コード",$B351,"事業所",$C351,"事業区分",F$1,"請求区分","単月"),0)
+IFERROR(GETPIVOTDATA("合計 / 入金予定",【ピボット】国保連売上!$A$3,"年月",$A351,"事業所コード",$B351,"事業所",$C351,"事業区分",F$1,"請求区分","再請求"),0))</f>
        <v/>
      </c>
      <c r="G351" s="659" t="str">
        <f>IF($A351="","",IFERROR(GETPIVOTDATA("合計 / 処遇改善加算金",【ピボット】国保連売上!$A$3,"年月",$A351,"事業所コード",$B351,"事業所",$C351,"事業区分",F$1,"請求区分","単月"),0))</f>
        <v/>
      </c>
      <c r="H351" s="659" t="str">
        <f>IF($A351="","",IFERROR(GETPIVOTDATA("合計 / 入金予定",【ピボット】国保連売上!$A$3,"年月",$A351,"事業所コード",$B351,"事業所",$C351,"事業区分",H$1,"請求区分","単月"),0)
+IFERROR(GETPIVOTDATA("合計 / 入金予定",【ピボット】国保連売上!$A$3,"年月",$A351,"事業所コード",$B351,"事業所",$C351,"事業区分",H$1,"請求区分","再請求"),0))</f>
        <v/>
      </c>
      <c r="I351" s="659" t="str">
        <f>IF($A351="","",IFERROR(GETPIVOTDATA("合計 / 入金予定",【ピボット】国保連売上!$A$3,"年月",$A351,"事業所コード",$B351,"事業所",$C351,"事業区分",I$1,"請求区分","単月"),0)
+IFERROR(GETPIVOTDATA("合計 / 入金予定",【ピボット】国保連売上!$A$3,"年月",$A351,"事業所コード",$B351,"事業所",$C351,"事業区分",I$1,"請求区分","再請求"),0))</f>
        <v/>
      </c>
      <c r="J351" s="659" t="str">
        <f>IF($A351="","",IFERROR(GETPIVOTDATA("合計 / 処遇改善加算金",【ピボット】国保連売上!$A$3,"年月",$A351,"事業所コード",$B351,"事業所",$C351,"事業区分",I$1,"請求区分","単月"),0))</f>
        <v/>
      </c>
      <c r="K351" s="659" t="str">
        <f>IF($A351="","",IFERROR(GETPIVOTDATA("合計 / 入金予定",【ピボット】国保連売上!$A$3,"年月",$A351,"事業所コード",$B351,"事業所",$C351,"事業区分",K$1,"請求区分","単月"),0)
+IFERROR(GETPIVOTDATA("合計 / 入金予定",【ピボット】国保連売上!$A$3,"年月",$A351,"事業所コード",$B351,"事業所",$C351,"事業区分",K$1,"請求区分","再請求"),0))</f>
        <v/>
      </c>
      <c r="L351" s="659" t="str">
        <f>IF($A351="","",IFERROR(GETPIVOTDATA("合計 / 処遇改善加算金",【ピボット】国保連売上!$A$3,"年月",$A351,"事業所コード",$B351,"事業所",$C351,"事業区分",K$1,"請求区分","単月"),0))</f>
        <v/>
      </c>
      <c r="M351" s="659" t="str">
        <f>IF($A351="","",IFERROR(GETPIVOTDATA("合計 / 入金予定",【ピボット】国保連売上!$A$3,"年月",$A351,"事業所コード",$B351,"事業所",$C351,"事業区分",M$1,"請求区分","単月"),0)
+IFERROR(GETPIVOTDATA("合計 / 入金予定",【ピボット】国保連売上!$A$3,"年月",$A351,"事業所コード",$B351,"事業所",$C351,"事業区分",M$1,"請求区分","再請求"),0))</f>
        <v/>
      </c>
      <c r="N351" s="660"/>
      <c r="O351" s="660"/>
      <c r="P351" s="660"/>
      <c r="Q351" s="660"/>
      <c r="R351" s="660"/>
      <c r="S351" s="660"/>
      <c r="T351" s="660"/>
      <c r="U351" s="660"/>
      <c r="V351" s="660"/>
      <c r="W351" s="660"/>
      <c r="X351" s="660"/>
      <c r="Y351" s="659" t="str">
        <f t="shared" si="15"/>
        <v/>
      </c>
      <c r="Z351" s="659" t="str">
        <f t="shared" si="17"/>
        <v/>
      </c>
    </row>
    <row r="352" spans="1:26" ht="15.95" customHeight="1" x14ac:dyDescent="0.15">
      <c r="A352" s="656"/>
      <c r="B352" s="657" t="str">
        <f t="shared" si="16"/>
        <v/>
      </c>
      <c r="C352" s="658"/>
      <c r="D352" s="659" t="str">
        <f>IF($A352="","",IFERROR(GETPIVOTDATA("合計 / 入金予定",【ピボット】国保連売上!$A$3,"年月",$A352,"事業所コード",$B352,"事業所",$C352,"事業区分",D$1,"請求区分","単月"),0)
+IFERROR(GETPIVOTDATA("合計 / 入金予定",【ピボット】国保連売上!$A$3,"年月",$A352,"事業所コード",$B352,"事業所",$C352,"事業区分",D$1,"請求区分","再請求"),0))</f>
        <v/>
      </c>
      <c r="E352" s="659" t="str">
        <f>IF($A352="","",IFERROR(GETPIVOTDATA("合計 / 処遇改善加算金",【ピボット】国保連売上!$A$3,"年月",$A352,"事業所コード",$B352,"事業所",$C352,"事業区分",D$1,"請求区分","単月"),0))</f>
        <v/>
      </c>
      <c r="F352" s="659" t="str">
        <f>IF($A352="","",IFERROR(GETPIVOTDATA("合計 / 入金予定",【ピボット】国保連売上!$A$3,"年月",$A352,"事業所コード",$B352,"事業所",$C352,"事業区分",F$1,"請求区分","単月"),0)
+IFERROR(GETPIVOTDATA("合計 / 入金予定",【ピボット】国保連売上!$A$3,"年月",$A352,"事業所コード",$B352,"事業所",$C352,"事業区分",F$1,"請求区分","再請求"),0))</f>
        <v/>
      </c>
      <c r="G352" s="659" t="str">
        <f>IF($A352="","",IFERROR(GETPIVOTDATA("合計 / 処遇改善加算金",【ピボット】国保連売上!$A$3,"年月",$A352,"事業所コード",$B352,"事業所",$C352,"事業区分",F$1,"請求区分","単月"),0))</f>
        <v/>
      </c>
      <c r="H352" s="659" t="str">
        <f>IF($A352="","",IFERROR(GETPIVOTDATA("合計 / 入金予定",【ピボット】国保連売上!$A$3,"年月",$A352,"事業所コード",$B352,"事業所",$C352,"事業区分",H$1,"請求区分","単月"),0)
+IFERROR(GETPIVOTDATA("合計 / 入金予定",【ピボット】国保連売上!$A$3,"年月",$A352,"事業所コード",$B352,"事業所",$C352,"事業区分",H$1,"請求区分","再請求"),0))</f>
        <v/>
      </c>
      <c r="I352" s="659" t="str">
        <f>IF($A352="","",IFERROR(GETPIVOTDATA("合計 / 入金予定",【ピボット】国保連売上!$A$3,"年月",$A352,"事業所コード",$B352,"事業所",$C352,"事業区分",I$1,"請求区分","単月"),0)
+IFERROR(GETPIVOTDATA("合計 / 入金予定",【ピボット】国保連売上!$A$3,"年月",$A352,"事業所コード",$B352,"事業所",$C352,"事業区分",I$1,"請求区分","再請求"),0))</f>
        <v/>
      </c>
      <c r="J352" s="659" t="str">
        <f>IF($A352="","",IFERROR(GETPIVOTDATA("合計 / 処遇改善加算金",【ピボット】国保連売上!$A$3,"年月",$A352,"事業所コード",$B352,"事業所",$C352,"事業区分",I$1,"請求区分","単月"),0))</f>
        <v/>
      </c>
      <c r="K352" s="659" t="str">
        <f>IF($A352="","",IFERROR(GETPIVOTDATA("合計 / 入金予定",【ピボット】国保連売上!$A$3,"年月",$A352,"事業所コード",$B352,"事業所",$C352,"事業区分",K$1,"請求区分","単月"),0)
+IFERROR(GETPIVOTDATA("合計 / 入金予定",【ピボット】国保連売上!$A$3,"年月",$A352,"事業所コード",$B352,"事業所",$C352,"事業区分",K$1,"請求区分","再請求"),0))</f>
        <v/>
      </c>
      <c r="L352" s="659" t="str">
        <f>IF($A352="","",IFERROR(GETPIVOTDATA("合計 / 処遇改善加算金",【ピボット】国保連売上!$A$3,"年月",$A352,"事業所コード",$B352,"事業所",$C352,"事業区分",K$1,"請求区分","単月"),0))</f>
        <v/>
      </c>
      <c r="M352" s="659" t="str">
        <f>IF($A352="","",IFERROR(GETPIVOTDATA("合計 / 入金予定",【ピボット】国保連売上!$A$3,"年月",$A352,"事業所コード",$B352,"事業所",$C352,"事業区分",M$1,"請求区分","単月"),0)
+IFERROR(GETPIVOTDATA("合計 / 入金予定",【ピボット】国保連売上!$A$3,"年月",$A352,"事業所コード",$B352,"事業所",$C352,"事業区分",M$1,"請求区分","再請求"),0))</f>
        <v/>
      </c>
      <c r="N352" s="660"/>
      <c r="O352" s="660"/>
      <c r="P352" s="660"/>
      <c r="Q352" s="660"/>
      <c r="R352" s="660"/>
      <c r="S352" s="660"/>
      <c r="T352" s="660"/>
      <c r="U352" s="660"/>
      <c r="V352" s="660"/>
      <c r="W352" s="660"/>
      <c r="X352" s="660"/>
      <c r="Y352" s="659" t="str">
        <f t="shared" si="15"/>
        <v/>
      </c>
      <c r="Z352" s="659" t="str">
        <f t="shared" si="17"/>
        <v/>
      </c>
    </row>
    <row r="353" spans="1:26" ht="15.95" customHeight="1" x14ac:dyDescent="0.15">
      <c r="A353" s="656"/>
      <c r="B353" s="657" t="str">
        <f t="shared" si="16"/>
        <v/>
      </c>
      <c r="C353" s="658"/>
      <c r="D353" s="659" t="str">
        <f>IF($A353="","",IFERROR(GETPIVOTDATA("合計 / 入金予定",【ピボット】国保連売上!$A$3,"年月",$A353,"事業所コード",$B353,"事業所",$C353,"事業区分",D$1,"請求区分","単月"),0)
+IFERROR(GETPIVOTDATA("合計 / 入金予定",【ピボット】国保連売上!$A$3,"年月",$A353,"事業所コード",$B353,"事業所",$C353,"事業区分",D$1,"請求区分","再請求"),0))</f>
        <v/>
      </c>
      <c r="E353" s="659" t="str">
        <f>IF($A353="","",IFERROR(GETPIVOTDATA("合計 / 処遇改善加算金",【ピボット】国保連売上!$A$3,"年月",$A353,"事業所コード",$B353,"事業所",$C353,"事業区分",D$1,"請求区分","単月"),0))</f>
        <v/>
      </c>
      <c r="F353" s="659" t="str">
        <f>IF($A353="","",IFERROR(GETPIVOTDATA("合計 / 入金予定",【ピボット】国保連売上!$A$3,"年月",$A353,"事業所コード",$B353,"事業所",$C353,"事業区分",F$1,"請求区分","単月"),0)
+IFERROR(GETPIVOTDATA("合計 / 入金予定",【ピボット】国保連売上!$A$3,"年月",$A353,"事業所コード",$B353,"事業所",$C353,"事業区分",F$1,"請求区分","再請求"),0))</f>
        <v/>
      </c>
      <c r="G353" s="659" t="str">
        <f>IF($A353="","",IFERROR(GETPIVOTDATA("合計 / 処遇改善加算金",【ピボット】国保連売上!$A$3,"年月",$A353,"事業所コード",$B353,"事業所",$C353,"事業区分",F$1,"請求区分","単月"),0))</f>
        <v/>
      </c>
      <c r="H353" s="659" t="str">
        <f>IF($A353="","",IFERROR(GETPIVOTDATA("合計 / 入金予定",【ピボット】国保連売上!$A$3,"年月",$A353,"事業所コード",$B353,"事業所",$C353,"事業区分",H$1,"請求区分","単月"),0)
+IFERROR(GETPIVOTDATA("合計 / 入金予定",【ピボット】国保連売上!$A$3,"年月",$A353,"事業所コード",$B353,"事業所",$C353,"事業区分",H$1,"請求区分","再請求"),0))</f>
        <v/>
      </c>
      <c r="I353" s="659" t="str">
        <f>IF($A353="","",IFERROR(GETPIVOTDATA("合計 / 入金予定",【ピボット】国保連売上!$A$3,"年月",$A353,"事業所コード",$B353,"事業所",$C353,"事業区分",I$1,"請求区分","単月"),0)
+IFERROR(GETPIVOTDATA("合計 / 入金予定",【ピボット】国保連売上!$A$3,"年月",$A353,"事業所コード",$B353,"事業所",$C353,"事業区分",I$1,"請求区分","再請求"),0))</f>
        <v/>
      </c>
      <c r="J353" s="659" t="str">
        <f>IF($A353="","",IFERROR(GETPIVOTDATA("合計 / 処遇改善加算金",【ピボット】国保連売上!$A$3,"年月",$A353,"事業所コード",$B353,"事業所",$C353,"事業区分",I$1,"請求区分","単月"),0))</f>
        <v/>
      </c>
      <c r="K353" s="659" t="str">
        <f>IF($A353="","",IFERROR(GETPIVOTDATA("合計 / 入金予定",【ピボット】国保連売上!$A$3,"年月",$A353,"事業所コード",$B353,"事業所",$C353,"事業区分",K$1,"請求区分","単月"),0)
+IFERROR(GETPIVOTDATA("合計 / 入金予定",【ピボット】国保連売上!$A$3,"年月",$A353,"事業所コード",$B353,"事業所",$C353,"事業区分",K$1,"請求区分","再請求"),0))</f>
        <v/>
      </c>
      <c r="L353" s="659" t="str">
        <f>IF($A353="","",IFERROR(GETPIVOTDATA("合計 / 処遇改善加算金",【ピボット】国保連売上!$A$3,"年月",$A353,"事業所コード",$B353,"事業所",$C353,"事業区分",K$1,"請求区分","単月"),0))</f>
        <v/>
      </c>
      <c r="M353" s="659" t="str">
        <f>IF($A353="","",IFERROR(GETPIVOTDATA("合計 / 入金予定",【ピボット】国保連売上!$A$3,"年月",$A353,"事業所コード",$B353,"事業所",$C353,"事業区分",M$1,"請求区分","単月"),0)
+IFERROR(GETPIVOTDATA("合計 / 入金予定",【ピボット】国保連売上!$A$3,"年月",$A353,"事業所コード",$B353,"事業所",$C353,"事業区分",M$1,"請求区分","再請求"),0))</f>
        <v/>
      </c>
      <c r="N353" s="660"/>
      <c r="O353" s="660"/>
      <c r="P353" s="660"/>
      <c r="Q353" s="660"/>
      <c r="R353" s="660"/>
      <c r="S353" s="660"/>
      <c r="T353" s="660"/>
      <c r="U353" s="660"/>
      <c r="V353" s="660"/>
      <c r="W353" s="660"/>
      <c r="X353" s="660"/>
      <c r="Y353" s="659" t="str">
        <f t="shared" si="15"/>
        <v/>
      </c>
      <c r="Z353" s="659" t="str">
        <f t="shared" si="17"/>
        <v/>
      </c>
    </row>
    <row r="354" spans="1:26" ht="15.95" customHeight="1" x14ac:dyDescent="0.15">
      <c r="A354" s="656"/>
      <c r="B354" s="657" t="str">
        <f t="shared" si="16"/>
        <v/>
      </c>
      <c r="C354" s="658"/>
      <c r="D354" s="659" t="str">
        <f>IF($A354="","",IFERROR(GETPIVOTDATA("合計 / 入金予定",【ピボット】国保連売上!$A$3,"年月",$A354,"事業所コード",$B354,"事業所",$C354,"事業区分",D$1,"請求区分","単月"),0)
+IFERROR(GETPIVOTDATA("合計 / 入金予定",【ピボット】国保連売上!$A$3,"年月",$A354,"事業所コード",$B354,"事業所",$C354,"事業区分",D$1,"請求区分","再請求"),0))</f>
        <v/>
      </c>
      <c r="E354" s="659" t="str">
        <f>IF($A354="","",IFERROR(GETPIVOTDATA("合計 / 処遇改善加算金",【ピボット】国保連売上!$A$3,"年月",$A354,"事業所コード",$B354,"事業所",$C354,"事業区分",D$1,"請求区分","単月"),0))</f>
        <v/>
      </c>
      <c r="F354" s="659" t="str">
        <f>IF($A354="","",IFERROR(GETPIVOTDATA("合計 / 入金予定",【ピボット】国保連売上!$A$3,"年月",$A354,"事業所コード",$B354,"事業所",$C354,"事業区分",F$1,"請求区分","単月"),0)
+IFERROR(GETPIVOTDATA("合計 / 入金予定",【ピボット】国保連売上!$A$3,"年月",$A354,"事業所コード",$B354,"事業所",$C354,"事業区分",F$1,"請求区分","再請求"),0))</f>
        <v/>
      </c>
      <c r="G354" s="659" t="str">
        <f>IF($A354="","",IFERROR(GETPIVOTDATA("合計 / 処遇改善加算金",【ピボット】国保連売上!$A$3,"年月",$A354,"事業所コード",$B354,"事業所",$C354,"事業区分",F$1,"請求区分","単月"),0))</f>
        <v/>
      </c>
      <c r="H354" s="659" t="str">
        <f>IF($A354="","",IFERROR(GETPIVOTDATA("合計 / 入金予定",【ピボット】国保連売上!$A$3,"年月",$A354,"事業所コード",$B354,"事業所",$C354,"事業区分",H$1,"請求区分","単月"),0)
+IFERROR(GETPIVOTDATA("合計 / 入金予定",【ピボット】国保連売上!$A$3,"年月",$A354,"事業所コード",$B354,"事業所",$C354,"事業区分",H$1,"請求区分","再請求"),0))</f>
        <v/>
      </c>
      <c r="I354" s="659" t="str">
        <f>IF($A354="","",IFERROR(GETPIVOTDATA("合計 / 入金予定",【ピボット】国保連売上!$A$3,"年月",$A354,"事業所コード",$B354,"事業所",$C354,"事業区分",I$1,"請求区分","単月"),0)
+IFERROR(GETPIVOTDATA("合計 / 入金予定",【ピボット】国保連売上!$A$3,"年月",$A354,"事業所コード",$B354,"事業所",$C354,"事業区分",I$1,"請求区分","再請求"),0))</f>
        <v/>
      </c>
      <c r="J354" s="659" t="str">
        <f>IF($A354="","",IFERROR(GETPIVOTDATA("合計 / 処遇改善加算金",【ピボット】国保連売上!$A$3,"年月",$A354,"事業所コード",$B354,"事業所",$C354,"事業区分",I$1,"請求区分","単月"),0))</f>
        <v/>
      </c>
      <c r="K354" s="659" t="str">
        <f>IF($A354="","",IFERROR(GETPIVOTDATA("合計 / 入金予定",【ピボット】国保連売上!$A$3,"年月",$A354,"事業所コード",$B354,"事業所",$C354,"事業区分",K$1,"請求区分","単月"),0)
+IFERROR(GETPIVOTDATA("合計 / 入金予定",【ピボット】国保連売上!$A$3,"年月",$A354,"事業所コード",$B354,"事業所",$C354,"事業区分",K$1,"請求区分","再請求"),0))</f>
        <v/>
      </c>
      <c r="L354" s="659" t="str">
        <f>IF($A354="","",IFERROR(GETPIVOTDATA("合計 / 処遇改善加算金",【ピボット】国保連売上!$A$3,"年月",$A354,"事業所コード",$B354,"事業所",$C354,"事業区分",K$1,"請求区分","単月"),0))</f>
        <v/>
      </c>
      <c r="M354" s="659" t="str">
        <f>IF($A354="","",IFERROR(GETPIVOTDATA("合計 / 入金予定",【ピボット】国保連売上!$A$3,"年月",$A354,"事業所コード",$B354,"事業所",$C354,"事業区分",M$1,"請求区分","単月"),0)
+IFERROR(GETPIVOTDATA("合計 / 入金予定",【ピボット】国保連売上!$A$3,"年月",$A354,"事業所コード",$B354,"事業所",$C354,"事業区分",M$1,"請求区分","再請求"),0))</f>
        <v/>
      </c>
      <c r="N354" s="660"/>
      <c r="O354" s="660"/>
      <c r="P354" s="660"/>
      <c r="Q354" s="660"/>
      <c r="R354" s="660"/>
      <c r="S354" s="660"/>
      <c r="T354" s="660"/>
      <c r="U354" s="660"/>
      <c r="V354" s="660"/>
      <c r="W354" s="660"/>
      <c r="X354" s="660"/>
      <c r="Y354" s="659" t="str">
        <f t="shared" si="15"/>
        <v/>
      </c>
      <c r="Z354" s="659" t="str">
        <f t="shared" si="17"/>
        <v/>
      </c>
    </row>
    <row r="355" spans="1:26" ht="15.95" customHeight="1" x14ac:dyDescent="0.15">
      <c r="A355" s="656"/>
      <c r="B355" s="657" t="str">
        <f t="shared" si="16"/>
        <v/>
      </c>
      <c r="C355" s="658"/>
      <c r="D355" s="659" t="str">
        <f>IF($A355="","",IFERROR(GETPIVOTDATA("合計 / 入金予定",【ピボット】国保連売上!$A$3,"年月",$A355,"事業所コード",$B355,"事業所",$C355,"事業区分",D$1,"請求区分","単月"),0)
+IFERROR(GETPIVOTDATA("合計 / 入金予定",【ピボット】国保連売上!$A$3,"年月",$A355,"事業所コード",$B355,"事業所",$C355,"事業区分",D$1,"請求区分","再請求"),0))</f>
        <v/>
      </c>
      <c r="E355" s="659" t="str">
        <f>IF($A355="","",IFERROR(GETPIVOTDATA("合計 / 処遇改善加算金",【ピボット】国保連売上!$A$3,"年月",$A355,"事業所コード",$B355,"事業所",$C355,"事業区分",D$1,"請求区分","単月"),0))</f>
        <v/>
      </c>
      <c r="F355" s="659" t="str">
        <f>IF($A355="","",IFERROR(GETPIVOTDATA("合計 / 入金予定",【ピボット】国保連売上!$A$3,"年月",$A355,"事業所コード",$B355,"事業所",$C355,"事業区分",F$1,"請求区分","単月"),0)
+IFERROR(GETPIVOTDATA("合計 / 入金予定",【ピボット】国保連売上!$A$3,"年月",$A355,"事業所コード",$B355,"事業所",$C355,"事業区分",F$1,"請求区分","再請求"),0))</f>
        <v/>
      </c>
      <c r="G355" s="659" t="str">
        <f>IF($A355="","",IFERROR(GETPIVOTDATA("合計 / 処遇改善加算金",【ピボット】国保連売上!$A$3,"年月",$A355,"事業所コード",$B355,"事業所",$C355,"事業区分",F$1,"請求区分","単月"),0))</f>
        <v/>
      </c>
      <c r="H355" s="659" t="str">
        <f>IF($A355="","",IFERROR(GETPIVOTDATA("合計 / 入金予定",【ピボット】国保連売上!$A$3,"年月",$A355,"事業所コード",$B355,"事業所",$C355,"事業区分",H$1,"請求区分","単月"),0)
+IFERROR(GETPIVOTDATA("合計 / 入金予定",【ピボット】国保連売上!$A$3,"年月",$A355,"事業所コード",$B355,"事業所",$C355,"事業区分",H$1,"請求区分","再請求"),0))</f>
        <v/>
      </c>
      <c r="I355" s="659" t="str">
        <f>IF($A355="","",IFERROR(GETPIVOTDATA("合計 / 入金予定",【ピボット】国保連売上!$A$3,"年月",$A355,"事業所コード",$B355,"事業所",$C355,"事業区分",I$1,"請求区分","単月"),0)
+IFERROR(GETPIVOTDATA("合計 / 入金予定",【ピボット】国保連売上!$A$3,"年月",$A355,"事業所コード",$B355,"事業所",$C355,"事業区分",I$1,"請求区分","再請求"),0))</f>
        <v/>
      </c>
      <c r="J355" s="659" t="str">
        <f>IF($A355="","",IFERROR(GETPIVOTDATA("合計 / 処遇改善加算金",【ピボット】国保連売上!$A$3,"年月",$A355,"事業所コード",$B355,"事業所",$C355,"事業区分",I$1,"請求区分","単月"),0))</f>
        <v/>
      </c>
      <c r="K355" s="659" t="str">
        <f>IF($A355="","",IFERROR(GETPIVOTDATA("合計 / 入金予定",【ピボット】国保連売上!$A$3,"年月",$A355,"事業所コード",$B355,"事業所",$C355,"事業区分",K$1,"請求区分","単月"),0)
+IFERROR(GETPIVOTDATA("合計 / 入金予定",【ピボット】国保連売上!$A$3,"年月",$A355,"事業所コード",$B355,"事業所",$C355,"事業区分",K$1,"請求区分","再請求"),0))</f>
        <v/>
      </c>
      <c r="L355" s="659" t="str">
        <f>IF($A355="","",IFERROR(GETPIVOTDATA("合計 / 処遇改善加算金",【ピボット】国保連売上!$A$3,"年月",$A355,"事業所コード",$B355,"事業所",$C355,"事業区分",K$1,"請求区分","単月"),0))</f>
        <v/>
      </c>
      <c r="M355" s="659" t="str">
        <f>IF($A355="","",IFERROR(GETPIVOTDATA("合計 / 入金予定",【ピボット】国保連売上!$A$3,"年月",$A355,"事業所コード",$B355,"事業所",$C355,"事業区分",M$1,"請求区分","単月"),0)
+IFERROR(GETPIVOTDATA("合計 / 入金予定",【ピボット】国保連売上!$A$3,"年月",$A355,"事業所コード",$B355,"事業所",$C355,"事業区分",M$1,"請求区分","再請求"),0))</f>
        <v/>
      </c>
      <c r="N355" s="660"/>
      <c r="O355" s="660"/>
      <c r="P355" s="660"/>
      <c r="Q355" s="660"/>
      <c r="R355" s="660"/>
      <c r="S355" s="660"/>
      <c r="T355" s="660"/>
      <c r="U355" s="660"/>
      <c r="V355" s="660"/>
      <c r="W355" s="660"/>
      <c r="X355" s="660"/>
      <c r="Y355" s="659" t="str">
        <f t="shared" si="15"/>
        <v/>
      </c>
      <c r="Z355" s="659" t="str">
        <f t="shared" si="17"/>
        <v/>
      </c>
    </row>
    <row r="356" spans="1:26" ht="15.95" customHeight="1" x14ac:dyDescent="0.15">
      <c r="A356" s="656"/>
      <c r="B356" s="657" t="str">
        <f t="shared" si="16"/>
        <v/>
      </c>
      <c r="C356" s="658"/>
      <c r="D356" s="659" t="str">
        <f>IF($A356="","",IFERROR(GETPIVOTDATA("合計 / 入金予定",【ピボット】国保連売上!$A$3,"年月",$A356,"事業所コード",$B356,"事業所",$C356,"事業区分",D$1,"請求区分","単月"),0)
+IFERROR(GETPIVOTDATA("合計 / 入金予定",【ピボット】国保連売上!$A$3,"年月",$A356,"事業所コード",$B356,"事業所",$C356,"事業区分",D$1,"請求区分","再請求"),0))</f>
        <v/>
      </c>
      <c r="E356" s="659" t="str">
        <f>IF($A356="","",IFERROR(GETPIVOTDATA("合計 / 処遇改善加算金",【ピボット】国保連売上!$A$3,"年月",$A356,"事業所コード",$B356,"事業所",$C356,"事業区分",D$1,"請求区分","単月"),0))</f>
        <v/>
      </c>
      <c r="F356" s="659" t="str">
        <f>IF($A356="","",IFERROR(GETPIVOTDATA("合計 / 入金予定",【ピボット】国保連売上!$A$3,"年月",$A356,"事業所コード",$B356,"事業所",$C356,"事業区分",F$1,"請求区分","単月"),0)
+IFERROR(GETPIVOTDATA("合計 / 入金予定",【ピボット】国保連売上!$A$3,"年月",$A356,"事業所コード",$B356,"事業所",$C356,"事業区分",F$1,"請求区分","再請求"),0))</f>
        <v/>
      </c>
      <c r="G356" s="659" t="str">
        <f>IF($A356="","",IFERROR(GETPIVOTDATA("合計 / 処遇改善加算金",【ピボット】国保連売上!$A$3,"年月",$A356,"事業所コード",$B356,"事業所",$C356,"事業区分",F$1,"請求区分","単月"),0))</f>
        <v/>
      </c>
      <c r="H356" s="659" t="str">
        <f>IF($A356="","",IFERROR(GETPIVOTDATA("合計 / 入金予定",【ピボット】国保連売上!$A$3,"年月",$A356,"事業所コード",$B356,"事業所",$C356,"事業区分",H$1,"請求区分","単月"),0)
+IFERROR(GETPIVOTDATA("合計 / 入金予定",【ピボット】国保連売上!$A$3,"年月",$A356,"事業所コード",$B356,"事業所",$C356,"事業区分",H$1,"請求区分","再請求"),0))</f>
        <v/>
      </c>
      <c r="I356" s="659" t="str">
        <f>IF($A356="","",IFERROR(GETPIVOTDATA("合計 / 入金予定",【ピボット】国保連売上!$A$3,"年月",$A356,"事業所コード",$B356,"事業所",$C356,"事業区分",I$1,"請求区分","単月"),0)
+IFERROR(GETPIVOTDATA("合計 / 入金予定",【ピボット】国保連売上!$A$3,"年月",$A356,"事業所コード",$B356,"事業所",$C356,"事業区分",I$1,"請求区分","再請求"),0))</f>
        <v/>
      </c>
      <c r="J356" s="659" t="str">
        <f>IF($A356="","",IFERROR(GETPIVOTDATA("合計 / 処遇改善加算金",【ピボット】国保連売上!$A$3,"年月",$A356,"事業所コード",$B356,"事業所",$C356,"事業区分",I$1,"請求区分","単月"),0))</f>
        <v/>
      </c>
      <c r="K356" s="659" t="str">
        <f>IF($A356="","",IFERROR(GETPIVOTDATA("合計 / 入金予定",【ピボット】国保連売上!$A$3,"年月",$A356,"事業所コード",$B356,"事業所",$C356,"事業区分",K$1,"請求区分","単月"),0)
+IFERROR(GETPIVOTDATA("合計 / 入金予定",【ピボット】国保連売上!$A$3,"年月",$A356,"事業所コード",$B356,"事業所",$C356,"事業区分",K$1,"請求区分","再請求"),0))</f>
        <v/>
      </c>
      <c r="L356" s="659" t="str">
        <f>IF($A356="","",IFERROR(GETPIVOTDATA("合計 / 処遇改善加算金",【ピボット】国保連売上!$A$3,"年月",$A356,"事業所コード",$B356,"事業所",$C356,"事業区分",K$1,"請求区分","単月"),0))</f>
        <v/>
      </c>
      <c r="M356" s="659" t="str">
        <f>IF($A356="","",IFERROR(GETPIVOTDATA("合計 / 入金予定",【ピボット】国保連売上!$A$3,"年月",$A356,"事業所コード",$B356,"事業所",$C356,"事業区分",M$1,"請求区分","単月"),0)
+IFERROR(GETPIVOTDATA("合計 / 入金予定",【ピボット】国保連売上!$A$3,"年月",$A356,"事業所コード",$B356,"事業所",$C356,"事業区分",M$1,"請求区分","再請求"),0))</f>
        <v/>
      </c>
      <c r="N356" s="660"/>
      <c r="O356" s="660"/>
      <c r="P356" s="660"/>
      <c r="Q356" s="660"/>
      <c r="R356" s="660"/>
      <c r="S356" s="660"/>
      <c r="T356" s="660"/>
      <c r="U356" s="660"/>
      <c r="V356" s="660"/>
      <c r="W356" s="660"/>
      <c r="X356" s="660"/>
      <c r="Y356" s="659" t="str">
        <f t="shared" si="15"/>
        <v/>
      </c>
      <c r="Z356" s="659" t="str">
        <f t="shared" si="17"/>
        <v/>
      </c>
    </row>
    <row r="357" spans="1:26" ht="15.95" customHeight="1" x14ac:dyDescent="0.15">
      <c r="A357" s="656"/>
      <c r="B357" s="657" t="str">
        <f t="shared" si="16"/>
        <v/>
      </c>
      <c r="C357" s="658"/>
      <c r="D357" s="659" t="str">
        <f>IF($A357="","",IFERROR(GETPIVOTDATA("合計 / 入金予定",【ピボット】国保連売上!$A$3,"年月",$A357,"事業所コード",$B357,"事業所",$C357,"事業区分",D$1,"請求区分","単月"),0)
+IFERROR(GETPIVOTDATA("合計 / 入金予定",【ピボット】国保連売上!$A$3,"年月",$A357,"事業所コード",$B357,"事業所",$C357,"事業区分",D$1,"請求区分","再請求"),0))</f>
        <v/>
      </c>
      <c r="E357" s="659" t="str">
        <f>IF($A357="","",IFERROR(GETPIVOTDATA("合計 / 処遇改善加算金",【ピボット】国保連売上!$A$3,"年月",$A357,"事業所コード",$B357,"事業所",$C357,"事業区分",D$1,"請求区分","単月"),0))</f>
        <v/>
      </c>
      <c r="F357" s="659" t="str">
        <f>IF($A357="","",IFERROR(GETPIVOTDATA("合計 / 入金予定",【ピボット】国保連売上!$A$3,"年月",$A357,"事業所コード",$B357,"事業所",$C357,"事業区分",F$1,"請求区分","単月"),0)
+IFERROR(GETPIVOTDATA("合計 / 入金予定",【ピボット】国保連売上!$A$3,"年月",$A357,"事業所コード",$B357,"事業所",$C357,"事業区分",F$1,"請求区分","再請求"),0))</f>
        <v/>
      </c>
      <c r="G357" s="659" t="str">
        <f>IF($A357="","",IFERROR(GETPIVOTDATA("合計 / 処遇改善加算金",【ピボット】国保連売上!$A$3,"年月",$A357,"事業所コード",$B357,"事業所",$C357,"事業区分",F$1,"請求区分","単月"),0))</f>
        <v/>
      </c>
      <c r="H357" s="659" t="str">
        <f>IF($A357="","",IFERROR(GETPIVOTDATA("合計 / 入金予定",【ピボット】国保連売上!$A$3,"年月",$A357,"事業所コード",$B357,"事業所",$C357,"事業区分",H$1,"請求区分","単月"),0)
+IFERROR(GETPIVOTDATA("合計 / 入金予定",【ピボット】国保連売上!$A$3,"年月",$A357,"事業所コード",$B357,"事業所",$C357,"事業区分",H$1,"請求区分","再請求"),0))</f>
        <v/>
      </c>
      <c r="I357" s="659" t="str">
        <f>IF($A357="","",IFERROR(GETPIVOTDATA("合計 / 入金予定",【ピボット】国保連売上!$A$3,"年月",$A357,"事業所コード",$B357,"事業所",$C357,"事業区分",I$1,"請求区分","単月"),0)
+IFERROR(GETPIVOTDATA("合計 / 入金予定",【ピボット】国保連売上!$A$3,"年月",$A357,"事業所コード",$B357,"事業所",$C357,"事業区分",I$1,"請求区分","再請求"),0))</f>
        <v/>
      </c>
      <c r="J357" s="659" t="str">
        <f>IF($A357="","",IFERROR(GETPIVOTDATA("合計 / 処遇改善加算金",【ピボット】国保連売上!$A$3,"年月",$A357,"事業所コード",$B357,"事業所",$C357,"事業区分",I$1,"請求区分","単月"),0))</f>
        <v/>
      </c>
      <c r="K357" s="659" t="str">
        <f>IF($A357="","",IFERROR(GETPIVOTDATA("合計 / 入金予定",【ピボット】国保連売上!$A$3,"年月",$A357,"事業所コード",$B357,"事業所",$C357,"事業区分",K$1,"請求区分","単月"),0)
+IFERROR(GETPIVOTDATA("合計 / 入金予定",【ピボット】国保連売上!$A$3,"年月",$A357,"事業所コード",$B357,"事業所",$C357,"事業区分",K$1,"請求区分","再請求"),0))</f>
        <v/>
      </c>
      <c r="L357" s="659" t="str">
        <f>IF($A357="","",IFERROR(GETPIVOTDATA("合計 / 処遇改善加算金",【ピボット】国保連売上!$A$3,"年月",$A357,"事業所コード",$B357,"事業所",$C357,"事業区分",K$1,"請求区分","単月"),0))</f>
        <v/>
      </c>
      <c r="M357" s="659" t="str">
        <f>IF($A357="","",IFERROR(GETPIVOTDATA("合計 / 入金予定",【ピボット】国保連売上!$A$3,"年月",$A357,"事業所コード",$B357,"事業所",$C357,"事業区分",M$1,"請求区分","単月"),0)
+IFERROR(GETPIVOTDATA("合計 / 入金予定",【ピボット】国保連売上!$A$3,"年月",$A357,"事業所コード",$B357,"事業所",$C357,"事業区分",M$1,"請求区分","再請求"),0))</f>
        <v/>
      </c>
      <c r="N357" s="660"/>
      <c r="O357" s="660"/>
      <c r="P357" s="660"/>
      <c r="Q357" s="660"/>
      <c r="R357" s="660"/>
      <c r="S357" s="660"/>
      <c r="T357" s="660"/>
      <c r="U357" s="660"/>
      <c r="V357" s="660"/>
      <c r="W357" s="660"/>
      <c r="X357" s="660"/>
      <c r="Y357" s="659" t="str">
        <f t="shared" si="15"/>
        <v/>
      </c>
      <c r="Z357" s="659" t="str">
        <f t="shared" si="17"/>
        <v/>
      </c>
    </row>
    <row r="358" spans="1:26" ht="15.95" customHeight="1" x14ac:dyDescent="0.15">
      <c r="A358" s="656"/>
      <c r="B358" s="657" t="str">
        <f t="shared" si="16"/>
        <v/>
      </c>
      <c r="C358" s="658"/>
      <c r="D358" s="659" t="str">
        <f>IF($A358="","",IFERROR(GETPIVOTDATA("合計 / 入金予定",【ピボット】国保連売上!$A$3,"年月",$A358,"事業所コード",$B358,"事業所",$C358,"事業区分",D$1,"請求区分","単月"),0)
+IFERROR(GETPIVOTDATA("合計 / 入金予定",【ピボット】国保連売上!$A$3,"年月",$A358,"事業所コード",$B358,"事業所",$C358,"事業区分",D$1,"請求区分","再請求"),0))</f>
        <v/>
      </c>
      <c r="E358" s="659" t="str">
        <f>IF($A358="","",IFERROR(GETPIVOTDATA("合計 / 処遇改善加算金",【ピボット】国保連売上!$A$3,"年月",$A358,"事業所コード",$B358,"事業所",$C358,"事業区分",D$1,"請求区分","単月"),0))</f>
        <v/>
      </c>
      <c r="F358" s="659" t="str">
        <f>IF($A358="","",IFERROR(GETPIVOTDATA("合計 / 入金予定",【ピボット】国保連売上!$A$3,"年月",$A358,"事業所コード",$B358,"事業所",$C358,"事業区分",F$1,"請求区分","単月"),0)
+IFERROR(GETPIVOTDATA("合計 / 入金予定",【ピボット】国保連売上!$A$3,"年月",$A358,"事業所コード",$B358,"事業所",$C358,"事業区分",F$1,"請求区分","再請求"),0))</f>
        <v/>
      </c>
      <c r="G358" s="659" t="str">
        <f>IF($A358="","",IFERROR(GETPIVOTDATA("合計 / 処遇改善加算金",【ピボット】国保連売上!$A$3,"年月",$A358,"事業所コード",$B358,"事業所",$C358,"事業区分",F$1,"請求区分","単月"),0))</f>
        <v/>
      </c>
      <c r="H358" s="659" t="str">
        <f>IF($A358="","",IFERROR(GETPIVOTDATA("合計 / 入金予定",【ピボット】国保連売上!$A$3,"年月",$A358,"事業所コード",$B358,"事業所",$C358,"事業区分",H$1,"請求区分","単月"),0)
+IFERROR(GETPIVOTDATA("合計 / 入金予定",【ピボット】国保連売上!$A$3,"年月",$A358,"事業所コード",$B358,"事業所",$C358,"事業区分",H$1,"請求区分","再請求"),0))</f>
        <v/>
      </c>
      <c r="I358" s="659" t="str">
        <f>IF($A358="","",IFERROR(GETPIVOTDATA("合計 / 入金予定",【ピボット】国保連売上!$A$3,"年月",$A358,"事業所コード",$B358,"事業所",$C358,"事業区分",I$1,"請求区分","単月"),0)
+IFERROR(GETPIVOTDATA("合計 / 入金予定",【ピボット】国保連売上!$A$3,"年月",$A358,"事業所コード",$B358,"事業所",$C358,"事業区分",I$1,"請求区分","再請求"),0))</f>
        <v/>
      </c>
      <c r="J358" s="659" t="str">
        <f>IF($A358="","",IFERROR(GETPIVOTDATA("合計 / 処遇改善加算金",【ピボット】国保連売上!$A$3,"年月",$A358,"事業所コード",$B358,"事業所",$C358,"事業区分",I$1,"請求区分","単月"),0))</f>
        <v/>
      </c>
      <c r="K358" s="659" t="str">
        <f>IF($A358="","",IFERROR(GETPIVOTDATA("合計 / 入金予定",【ピボット】国保連売上!$A$3,"年月",$A358,"事業所コード",$B358,"事業所",$C358,"事業区分",K$1,"請求区分","単月"),0)
+IFERROR(GETPIVOTDATA("合計 / 入金予定",【ピボット】国保連売上!$A$3,"年月",$A358,"事業所コード",$B358,"事業所",$C358,"事業区分",K$1,"請求区分","再請求"),0))</f>
        <v/>
      </c>
      <c r="L358" s="659" t="str">
        <f>IF($A358="","",IFERROR(GETPIVOTDATA("合計 / 処遇改善加算金",【ピボット】国保連売上!$A$3,"年月",$A358,"事業所コード",$B358,"事業所",$C358,"事業区分",K$1,"請求区分","単月"),0))</f>
        <v/>
      </c>
      <c r="M358" s="659" t="str">
        <f>IF($A358="","",IFERROR(GETPIVOTDATA("合計 / 入金予定",【ピボット】国保連売上!$A$3,"年月",$A358,"事業所コード",$B358,"事業所",$C358,"事業区分",M$1,"請求区分","単月"),0)
+IFERROR(GETPIVOTDATA("合計 / 入金予定",【ピボット】国保連売上!$A$3,"年月",$A358,"事業所コード",$B358,"事業所",$C358,"事業区分",M$1,"請求区分","再請求"),0))</f>
        <v/>
      </c>
      <c r="N358" s="660"/>
      <c r="O358" s="660"/>
      <c r="P358" s="660"/>
      <c r="Q358" s="660"/>
      <c r="R358" s="660"/>
      <c r="S358" s="660"/>
      <c r="T358" s="660"/>
      <c r="U358" s="660"/>
      <c r="V358" s="660"/>
      <c r="W358" s="660"/>
      <c r="X358" s="660"/>
      <c r="Y358" s="659" t="str">
        <f t="shared" si="15"/>
        <v/>
      </c>
      <c r="Z358" s="659" t="str">
        <f t="shared" si="17"/>
        <v/>
      </c>
    </row>
    <row r="359" spans="1:26" ht="15.95" customHeight="1" x14ac:dyDescent="0.15">
      <c r="A359" s="656"/>
      <c r="B359" s="657" t="str">
        <f t="shared" si="16"/>
        <v/>
      </c>
      <c r="C359" s="658"/>
      <c r="D359" s="659" t="str">
        <f>IF($A359="","",IFERROR(GETPIVOTDATA("合計 / 入金予定",【ピボット】国保連売上!$A$3,"年月",$A359,"事業所コード",$B359,"事業所",$C359,"事業区分",D$1,"請求区分","単月"),0)
+IFERROR(GETPIVOTDATA("合計 / 入金予定",【ピボット】国保連売上!$A$3,"年月",$A359,"事業所コード",$B359,"事業所",$C359,"事業区分",D$1,"請求区分","再請求"),0))</f>
        <v/>
      </c>
      <c r="E359" s="659" t="str">
        <f>IF($A359="","",IFERROR(GETPIVOTDATA("合計 / 処遇改善加算金",【ピボット】国保連売上!$A$3,"年月",$A359,"事業所コード",$B359,"事業所",$C359,"事業区分",D$1,"請求区分","単月"),0))</f>
        <v/>
      </c>
      <c r="F359" s="659" t="str">
        <f>IF($A359="","",IFERROR(GETPIVOTDATA("合計 / 入金予定",【ピボット】国保連売上!$A$3,"年月",$A359,"事業所コード",$B359,"事業所",$C359,"事業区分",F$1,"請求区分","単月"),0)
+IFERROR(GETPIVOTDATA("合計 / 入金予定",【ピボット】国保連売上!$A$3,"年月",$A359,"事業所コード",$B359,"事業所",$C359,"事業区分",F$1,"請求区分","再請求"),0))</f>
        <v/>
      </c>
      <c r="G359" s="659" t="str">
        <f>IF($A359="","",IFERROR(GETPIVOTDATA("合計 / 処遇改善加算金",【ピボット】国保連売上!$A$3,"年月",$A359,"事業所コード",$B359,"事業所",$C359,"事業区分",F$1,"請求区分","単月"),0))</f>
        <v/>
      </c>
      <c r="H359" s="659" t="str">
        <f>IF($A359="","",IFERROR(GETPIVOTDATA("合計 / 入金予定",【ピボット】国保連売上!$A$3,"年月",$A359,"事業所コード",$B359,"事業所",$C359,"事業区分",H$1,"請求区分","単月"),0)
+IFERROR(GETPIVOTDATA("合計 / 入金予定",【ピボット】国保連売上!$A$3,"年月",$A359,"事業所コード",$B359,"事業所",$C359,"事業区分",H$1,"請求区分","再請求"),0))</f>
        <v/>
      </c>
      <c r="I359" s="659" t="str">
        <f>IF($A359="","",IFERROR(GETPIVOTDATA("合計 / 入金予定",【ピボット】国保連売上!$A$3,"年月",$A359,"事業所コード",$B359,"事業所",$C359,"事業区分",I$1,"請求区分","単月"),0)
+IFERROR(GETPIVOTDATA("合計 / 入金予定",【ピボット】国保連売上!$A$3,"年月",$A359,"事業所コード",$B359,"事業所",$C359,"事業区分",I$1,"請求区分","再請求"),0))</f>
        <v/>
      </c>
      <c r="J359" s="659" t="str">
        <f>IF($A359="","",IFERROR(GETPIVOTDATA("合計 / 処遇改善加算金",【ピボット】国保連売上!$A$3,"年月",$A359,"事業所コード",$B359,"事業所",$C359,"事業区分",I$1,"請求区分","単月"),0))</f>
        <v/>
      </c>
      <c r="K359" s="659" t="str">
        <f>IF($A359="","",IFERROR(GETPIVOTDATA("合計 / 入金予定",【ピボット】国保連売上!$A$3,"年月",$A359,"事業所コード",$B359,"事業所",$C359,"事業区分",K$1,"請求区分","単月"),0)
+IFERROR(GETPIVOTDATA("合計 / 入金予定",【ピボット】国保連売上!$A$3,"年月",$A359,"事業所コード",$B359,"事業所",$C359,"事業区分",K$1,"請求区分","再請求"),0))</f>
        <v/>
      </c>
      <c r="L359" s="659" t="str">
        <f>IF($A359="","",IFERROR(GETPIVOTDATA("合計 / 処遇改善加算金",【ピボット】国保連売上!$A$3,"年月",$A359,"事業所コード",$B359,"事業所",$C359,"事業区分",K$1,"請求区分","単月"),0))</f>
        <v/>
      </c>
      <c r="M359" s="659" t="str">
        <f>IF($A359="","",IFERROR(GETPIVOTDATA("合計 / 入金予定",【ピボット】国保連売上!$A$3,"年月",$A359,"事業所コード",$B359,"事業所",$C359,"事業区分",M$1,"請求区分","単月"),0)
+IFERROR(GETPIVOTDATA("合計 / 入金予定",【ピボット】国保連売上!$A$3,"年月",$A359,"事業所コード",$B359,"事業所",$C359,"事業区分",M$1,"請求区分","再請求"),0))</f>
        <v/>
      </c>
      <c r="N359" s="660"/>
      <c r="O359" s="660"/>
      <c r="P359" s="660"/>
      <c r="Q359" s="660"/>
      <c r="R359" s="660"/>
      <c r="S359" s="660"/>
      <c r="T359" s="660"/>
      <c r="U359" s="660"/>
      <c r="V359" s="660"/>
      <c r="W359" s="660"/>
      <c r="X359" s="660"/>
      <c r="Y359" s="659" t="str">
        <f t="shared" si="15"/>
        <v/>
      </c>
      <c r="Z359" s="659" t="str">
        <f t="shared" si="17"/>
        <v/>
      </c>
    </row>
    <row r="360" spans="1:26" ht="15.95" customHeight="1" x14ac:dyDescent="0.15">
      <c r="A360" s="656"/>
      <c r="B360" s="657" t="str">
        <f t="shared" si="16"/>
        <v/>
      </c>
      <c r="C360" s="658"/>
      <c r="D360" s="659" t="str">
        <f>IF($A360="","",IFERROR(GETPIVOTDATA("合計 / 入金予定",【ピボット】国保連売上!$A$3,"年月",$A360,"事業所コード",$B360,"事業所",$C360,"事業区分",D$1,"請求区分","単月"),0)
+IFERROR(GETPIVOTDATA("合計 / 入金予定",【ピボット】国保連売上!$A$3,"年月",$A360,"事業所コード",$B360,"事業所",$C360,"事業区分",D$1,"請求区分","再請求"),0))</f>
        <v/>
      </c>
      <c r="E360" s="659" t="str">
        <f>IF($A360="","",IFERROR(GETPIVOTDATA("合計 / 処遇改善加算金",【ピボット】国保連売上!$A$3,"年月",$A360,"事業所コード",$B360,"事業所",$C360,"事業区分",D$1,"請求区分","単月"),0))</f>
        <v/>
      </c>
      <c r="F360" s="659" t="str">
        <f>IF($A360="","",IFERROR(GETPIVOTDATA("合計 / 入金予定",【ピボット】国保連売上!$A$3,"年月",$A360,"事業所コード",$B360,"事業所",$C360,"事業区分",F$1,"請求区分","単月"),0)
+IFERROR(GETPIVOTDATA("合計 / 入金予定",【ピボット】国保連売上!$A$3,"年月",$A360,"事業所コード",$B360,"事業所",$C360,"事業区分",F$1,"請求区分","再請求"),0))</f>
        <v/>
      </c>
      <c r="G360" s="659" t="str">
        <f>IF($A360="","",IFERROR(GETPIVOTDATA("合計 / 処遇改善加算金",【ピボット】国保連売上!$A$3,"年月",$A360,"事業所コード",$B360,"事業所",$C360,"事業区分",F$1,"請求区分","単月"),0))</f>
        <v/>
      </c>
      <c r="H360" s="659" t="str">
        <f>IF($A360="","",IFERROR(GETPIVOTDATA("合計 / 入金予定",【ピボット】国保連売上!$A$3,"年月",$A360,"事業所コード",$B360,"事業所",$C360,"事業区分",H$1,"請求区分","単月"),0)
+IFERROR(GETPIVOTDATA("合計 / 入金予定",【ピボット】国保連売上!$A$3,"年月",$A360,"事業所コード",$B360,"事業所",$C360,"事業区分",H$1,"請求区分","再請求"),0))</f>
        <v/>
      </c>
      <c r="I360" s="659" t="str">
        <f>IF($A360="","",IFERROR(GETPIVOTDATA("合計 / 入金予定",【ピボット】国保連売上!$A$3,"年月",$A360,"事業所コード",$B360,"事業所",$C360,"事業区分",I$1,"請求区分","単月"),0)
+IFERROR(GETPIVOTDATA("合計 / 入金予定",【ピボット】国保連売上!$A$3,"年月",$A360,"事業所コード",$B360,"事業所",$C360,"事業区分",I$1,"請求区分","再請求"),0))</f>
        <v/>
      </c>
      <c r="J360" s="659" t="str">
        <f>IF($A360="","",IFERROR(GETPIVOTDATA("合計 / 処遇改善加算金",【ピボット】国保連売上!$A$3,"年月",$A360,"事業所コード",$B360,"事業所",$C360,"事業区分",I$1,"請求区分","単月"),0))</f>
        <v/>
      </c>
      <c r="K360" s="659" t="str">
        <f>IF($A360="","",IFERROR(GETPIVOTDATA("合計 / 入金予定",【ピボット】国保連売上!$A$3,"年月",$A360,"事業所コード",$B360,"事業所",$C360,"事業区分",K$1,"請求区分","単月"),0)
+IFERROR(GETPIVOTDATA("合計 / 入金予定",【ピボット】国保連売上!$A$3,"年月",$A360,"事業所コード",$B360,"事業所",$C360,"事業区分",K$1,"請求区分","再請求"),0))</f>
        <v/>
      </c>
      <c r="L360" s="659" t="str">
        <f>IF($A360="","",IFERROR(GETPIVOTDATA("合計 / 処遇改善加算金",【ピボット】国保連売上!$A$3,"年月",$A360,"事業所コード",$B360,"事業所",$C360,"事業区分",K$1,"請求区分","単月"),0))</f>
        <v/>
      </c>
      <c r="M360" s="659" t="str">
        <f>IF($A360="","",IFERROR(GETPIVOTDATA("合計 / 入金予定",【ピボット】国保連売上!$A$3,"年月",$A360,"事業所コード",$B360,"事業所",$C360,"事業区分",M$1,"請求区分","単月"),0)
+IFERROR(GETPIVOTDATA("合計 / 入金予定",【ピボット】国保連売上!$A$3,"年月",$A360,"事業所コード",$B360,"事業所",$C360,"事業区分",M$1,"請求区分","再請求"),0))</f>
        <v/>
      </c>
      <c r="N360" s="660"/>
      <c r="O360" s="660"/>
      <c r="P360" s="660"/>
      <c r="Q360" s="660"/>
      <c r="R360" s="660"/>
      <c r="S360" s="660"/>
      <c r="T360" s="660"/>
      <c r="U360" s="660"/>
      <c r="V360" s="660"/>
      <c r="W360" s="660"/>
      <c r="X360" s="660"/>
      <c r="Y360" s="659" t="str">
        <f t="shared" si="15"/>
        <v/>
      </c>
      <c r="Z360" s="659" t="str">
        <f t="shared" si="17"/>
        <v/>
      </c>
    </row>
    <row r="361" spans="1:26" ht="15.95" customHeight="1" x14ac:dyDescent="0.15">
      <c r="A361" s="656"/>
      <c r="B361" s="657" t="str">
        <f t="shared" si="16"/>
        <v/>
      </c>
      <c r="C361" s="658"/>
      <c r="D361" s="659" t="str">
        <f>IF($A361="","",IFERROR(GETPIVOTDATA("合計 / 入金予定",【ピボット】国保連売上!$A$3,"年月",$A361,"事業所コード",$B361,"事業所",$C361,"事業区分",D$1,"請求区分","単月"),0)
+IFERROR(GETPIVOTDATA("合計 / 入金予定",【ピボット】国保連売上!$A$3,"年月",$A361,"事業所コード",$B361,"事業所",$C361,"事業区分",D$1,"請求区分","再請求"),0))</f>
        <v/>
      </c>
      <c r="E361" s="659" t="str">
        <f>IF($A361="","",IFERROR(GETPIVOTDATA("合計 / 処遇改善加算金",【ピボット】国保連売上!$A$3,"年月",$A361,"事業所コード",$B361,"事業所",$C361,"事業区分",D$1,"請求区分","単月"),0))</f>
        <v/>
      </c>
      <c r="F361" s="659" t="str">
        <f>IF($A361="","",IFERROR(GETPIVOTDATA("合計 / 入金予定",【ピボット】国保連売上!$A$3,"年月",$A361,"事業所コード",$B361,"事業所",$C361,"事業区分",F$1,"請求区分","単月"),0)
+IFERROR(GETPIVOTDATA("合計 / 入金予定",【ピボット】国保連売上!$A$3,"年月",$A361,"事業所コード",$B361,"事業所",$C361,"事業区分",F$1,"請求区分","再請求"),0))</f>
        <v/>
      </c>
      <c r="G361" s="659" t="str">
        <f>IF($A361="","",IFERROR(GETPIVOTDATA("合計 / 処遇改善加算金",【ピボット】国保連売上!$A$3,"年月",$A361,"事業所コード",$B361,"事業所",$C361,"事業区分",F$1,"請求区分","単月"),0))</f>
        <v/>
      </c>
      <c r="H361" s="659" t="str">
        <f>IF($A361="","",IFERROR(GETPIVOTDATA("合計 / 入金予定",【ピボット】国保連売上!$A$3,"年月",$A361,"事業所コード",$B361,"事業所",$C361,"事業区分",H$1,"請求区分","単月"),0)
+IFERROR(GETPIVOTDATA("合計 / 入金予定",【ピボット】国保連売上!$A$3,"年月",$A361,"事業所コード",$B361,"事業所",$C361,"事業区分",H$1,"請求区分","再請求"),0))</f>
        <v/>
      </c>
      <c r="I361" s="659" t="str">
        <f>IF($A361="","",IFERROR(GETPIVOTDATA("合計 / 入金予定",【ピボット】国保連売上!$A$3,"年月",$A361,"事業所コード",$B361,"事業所",$C361,"事業区分",I$1,"請求区分","単月"),0)
+IFERROR(GETPIVOTDATA("合計 / 入金予定",【ピボット】国保連売上!$A$3,"年月",$A361,"事業所コード",$B361,"事業所",$C361,"事業区分",I$1,"請求区分","再請求"),0))</f>
        <v/>
      </c>
      <c r="J361" s="659" t="str">
        <f>IF($A361="","",IFERROR(GETPIVOTDATA("合計 / 処遇改善加算金",【ピボット】国保連売上!$A$3,"年月",$A361,"事業所コード",$B361,"事業所",$C361,"事業区分",I$1,"請求区分","単月"),0))</f>
        <v/>
      </c>
      <c r="K361" s="659" t="str">
        <f>IF($A361="","",IFERROR(GETPIVOTDATA("合計 / 入金予定",【ピボット】国保連売上!$A$3,"年月",$A361,"事業所コード",$B361,"事業所",$C361,"事業区分",K$1,"請求区分","単月"),0)
+IFERROR(GETPIVOTDATA("合計 / 入金予定",【ピボット】国保連売上!$A$3,"年月",$A361,"事業所コード",$B361,"事業所",$C361,"事業区分",K$1,"請求区分","再請求"),0))</f>
        <v/>
      </c>
      <c r="L361" s="659" t="str">
        <f>IF($A361="","",IFERROR(GETPIVOTDATA("合計 / 処遇改善加算金",【ピボット】国保連売上!$A$3,"年月",$A361,"事業所コード",$B361,"事業所",$C361,"事業区分",K$1,"請求区分","単月"),0))</f>
        <v/>
      </c>
      <c r="M361" s="659" t="str">
        <f>IF($A361="","",IFERROR(GETPIVOTDATA("合計 / 入金予定",【ピボット】国保連売上!$A$3,"年月",$A361,"事業所コード",$B361,"事業所",$C361,"事業区分",M$1,"請求区分","単月"),0)
+IFERROR(GETPIVOTDATA("合計 / 入金予定",【ピボット】国保連売上!$A$3,"年月",$A361,"事業所コード",$B361,"事業所",$C361,"事業区分",M$1,"請求区分","再請求"),0))</f>
        <v/>
      </c>
      <c r="N361" s="660"/>
      <c r="O361" s="660"/>
      <c r="P361" s="660"/>
      <c r="Q361" s="660"/>
      <c r="R361" s="660"/>
      <c r="S361" s="660"/>
      <c r="T361" s="660"/>
      <c r="U361" s="660"/>
      <c r="V361" s="660"/>
      <c r="W361" s="660"/>
      <c r="X361" s="660"/>
      <c r="Y361" s="659" t="str">
        <f t="shared" si="15"/>
        <v/>
      </c>
      <c r="Z361" s="659" t="str">
        <f t="shared" si="17"/>
        <v/>
      </c>
    </row>
    <row r="362" spans="1:26" ht="15.95" customHeight="1" x14ac:dyDescent="0.15">
      <c r="A362" s="656"/>
      <c r="B362" s="657" t="str">
        <f t="shared" si="16"/>
        <v/>
      </c>
      <c r="C362" s="658"/>
      <c r="D362" s="659" t="str">
        <f>IF($A362="","",IFERROR(GETPIVOTDATA("合計 / 入金予定",【ピボット】国保連売上!$A$3,"年月",$A362,"事業所コード",$B362,"事業所",$C362,"事業区分",D$1,"請求区分","単月"),0)
+IFERROR(GETPIVOTDATA("合計 / 入金予定",【ピボット】国保連売上!$A$3,"年月",$A362,"事業所コード",$B362,"事業所",$C362,"事業区分",D$1,"請求区分","再請求"),0))</f>
        <v/>
      </c>
      <c r="E362" s="659" t="str">
        <f>IF($A362="","",IFERROR(GETPIVOTDATA("合計 / 処遇改善加算金",【ピボット】国保連売上!$A$3,"年月",$A362,"事業所コード",$B362,"事業所",$C362,"事業区分",D$1,"請求区分","単月"),0))</f>
        <v/>
      </c>
      <c r="F362" s="659" t="str">
        <f>IF($A362="","",IFERROR(GETPIVOTDATA("合計 / 入金予定",【ピボット】国保連売上!$A$3,"年月",$A362,"事業所コード",$B362,"事業所",$C362,"事業区分",F$1,"請求区分","単月"),0)
+IFERROR(GETPIVOTDATA("合計 / 入金予定",【ピボット】国保連売上!$A$3,"年月",$A362,"事業所コード",$B362,"事業所",$C362,"事業区分",F$1,"請求区分","再請求"),0))</f>
        <v/>
      </c>
      <c r="G362" s="659" t="str">
        <f>IF($A362="","",IFERROR(GETPIVOTDATA("合計 / 処遇改善加算金",【ピボット】国保連売上!$A$3,"年月",$A362,"事業所コード",$B362,"事業所",$C362,"事業区分",F$1,"請求区分","単月"),0))</f>
        <v/>
      </c>
      <c r="H362" s="659" t="str">
        <f>IF($A362="","",IFERROR(GETPIVOTDATA("合計 / 入金予定",【ピボット】国保連売上!$A$3,"年月",$A362,"事業所コード",$B362,"事業所",$C362,"事業区分",H$1,"請求区分","単月"),0)
+IFERROR(GETPIVOTDATA("合計 / 入金予定",【ピボット】国保連売上!$A$3,"年月",$A362,"事業所コード",$B362,"事業所",$C362,"事業区分",H$1,"請求区分","再請求"),0))</f>
        <v/>
      </c>
      <c r="I362" s="659" t="str">
        <f>IF($A362="","",IFERROR(GETPIVOTDATA("合計 / 入金予定",【ピボット】国保連売上!$A$3,"年月",$A362,"事業所コード",$B362,"事業所",$C362,"事業区分",I$1,"請求区分","単月"),0)
+IFERROR(GETPIVOTDATA("合計 / 入金予定",【ピボット】国保連売上!$A$3,"年月",$A362,"事業所コード",$B362,"事業所",$C362,"事業区分",I$1,"請求区分","再請求"),0))</f>
        <v/>
      </c>
      <c r="J362" s="659" t="str">
        <f>IF($A362="","",IFERROR(GETPIVOTDATA("合計 / 処遇改善加算金",【ピボット】国保連売上!$A$3,"年月",$A362,"事業所コード",$B362,"事業所",$C362,"事業区分",I$1,"請求区分","単月"),0))</f>
        <v/>
      </c>
      <c r="K362" s="659" t="str">
        <f>IF($A362="","",IFERROR(GETPIVOTDATA("合計 / 入金予定",【ピボット】国保連売上!$A$3,"年月",$A362,"事業所コード",$B362,"事業所",$C362,"事業区分",K$1,"請求区分","単月"),0)
+IFERROR(GETPIVOTDATA("合計 / 入金予定",【ピボット】国保連売上!$A$3,"年月",$A362,"事業所コード",$B362,"事業所",$C362,"事業区分",K$1,"請求区分","再請求"),0))</f>
        <v/>
      </c>
      <c r="L362" s="659" t="str">
        <f>IF($A362="","",IFERROR(GETPIVOTDATA("合計 / 処遇改善加算金",【ピボット】国保連売上!$A$3,"年月",$A362,"事業所コード",$B362,"事業所",$C362,"事業区分",K$1,"請求区分","単月"),0))</f>
        <v/>
      </c>
      <c r="M362" s="659" t="str">
        <f>IF($A362="","",IFERROR(GETPIVOTDATA("合計 / 入金予定",【ピボット】国保連売上!$A$3,"年月",$A362,"事業所コード",$B362,"事業所",$C362,"事業区分",M$1,"請求区分","単月"),0)
+IFERROR(GETPIVOTDATA("合計 / 入金予定",【ピボット】国保連売上!$A$3,"年月",$A362,"事業所コード",$B362,"事業所",$C362,"事業区分",M$1,"請求区分","再請求"),0))</f>
        <v/>
      </c>
      <c r="N362" s="660"/>
      <c r="O362" s="660"/>
      <c r="P362" s="660"/>
      <c r="Q362" s="660"/>
      <c r="R362" s="660"/>
      <c r="S362" s="660"/>
      <c r="T362" s="660"/>
      <c r="U362" s="660"/>
      <c r="V362" s="660"/>
      <c r="W362" s="660"/>
      <c r="X362" s="660"/>
      <c r="Y362" s="659" t="str">
        <f t="shared" si="15"/>
        <v/>
      </c>
      <c r="Z362" s="659" t="str">
        <f t="shared" si="17"/>
        <v/>
      </c>
    </row>
    <row r="363" spans="1:26" ht="15.95" customHeight="1" x14ac:dyDescent="0.15">
      <c r="A363" s="656"/>
      <c r="B363" s="657" t="str">
        <f t="shared" si="16"/>
        <v/>
      </c>
      <c r="C363" s="658"/>
      <c r="D363" s="659" t="str">
        <f>IF($A363="","",IFERROR(GETPIVOTDATA("合計 / 入金予定",【ピボット】国保連売上!$A$3,"年月",$A363,"事業所コード",$B363,"事業所",$C363,"事業区分",D$1,"請求区分","単月"),0)
+IFERROR(GETPIVOTDATA("合計 / 入金予定",【ピボット】国保連売上!$A$3,"年月",$A363,"事業所コード",$B363,"事業所",$C363,"事業区分",D$1,"請求区分","再請求"),0))</f>
        <v/>
      </c>
      <c r="E363" s="659" t="str">
        <f>IF($A363="","",IFERROR(GETPIVOTDATA("合計 / 処遇改善加算金",【ピボット】国保連売上!$A$3,"年月",$A363,"事業所コード",$B363,"事業所",$C363,"事業区分",D$1,"請求区分","単月"),0))</f>
        <v/>
      </c>
      <c r="F363" s="659" t="str">
        <f>IF($A363="","",IFERROR(GETPIVOTDATA("合計 / 入金予定",【ピボット】国保連売上!$A$3,"年月",$A363,"事業所コード",$B363,"事業所",$C363,"事業区分",F$1,"請求区分","単月"),0)
+IFERROR(GETPIVOTDATA("合計 / 入金予定",【ピボット】国保連売上!$A$3,"年月",$A363,"事業所コード",$B363,"事業所",$C363,"事業区分",F$1,"請求区分","再請求"),0))</f>
        <v/>
      </c>
      <c r="G363" s="659" t="str">
        <f>IF($A363="","",IFERROR(GETPIVOTDATA("合計 / 処遇改善加算金",【ピボット】国保連売上!$A$3,"年月",$A363,"事業所コード",$B363,"事業所",$C363,"事業区分",F$1,"請求区分","単月"),0))</f>
        <v/>
      </c>
      <c r="H363" s="659" t="str">
        <f>IF($A363="","",IFERROR(GETPIVOTDATA("合計 / 入金予定",【ピボット】国保連売上!$A$3,"年月",$A363,"事業所コード",$B363,"事業所",$C363,"事業区分",H$1,"請求区分","単月"),0)
+IFERROR(GETPIVOTDATA("合計 / 入金予定",【ピボット】国保連売上!$A$3,"年月",$A363,"事業所コード",$B363,"事業所",$C363,"事業区分",H$1,"請求区分","再請求"),0))</f>
        <v/>
      </c>
      <c r="I363" s="659" t="str">
        <f>IF($A363="","",IFERROR(GETPIVOTDATA("合計 / 入金予定",【ピボット】国保連売上!$A$3,"年月",$A363,"事業所コード",$B363,"事業所",$C363,"事業区分",I$1,"請求区分","単月"),0)
+IFERROR(GETPIVOTDATA("合計 / 入金予定",【ピボット】国保連売上!$A$3,"年月",$A363,"事業所コード",$B363,"事業所",$C363,"事業区分",I$1,"請求区分","再請求"),0))</f>
        <v/>
      </c>
      <c r="J363" s="659" t="str">
        <f>IF($A363="","",IFERROR(GETPIVOTDATA("合計 / 処遇改善加算金",【ピボット】国保連売上!$A$3,"年月",$A363,"事業所コード",$B363,"事業所",$C363,"事業区分",I$1,"請求区分","単月"),0))</f>
        <v/>
      </c>
      <c r="K363" s="659" t="str">
        <f>IF($A363="","",IFERROR(GETPIVOTDATA("合計 / 入金予定",【ピボット】国保連売上!$A$3,"年月",$A363,"事業所コード",$B363,"事業所",$C363,"事業区分",K$1,"請求区分","単月"),0)
+IFERROR(GETPIVOTDATA("合計 / 入金予定",【ピボット】国保連売上!$A$3,"年月",$A363,"事業所コード",$B363,"事業所",$C363,"事業区分",K$1,"請求区分","再請求"),0))</f>
        <v/>
      </c>
      <c r="L363" s="659" t="str">
        <f>IF($A363="","",IFERROR(GETPIVOTDATA("合計 / 処遇改善加算金",【ピボット】国保連売上!$A$3,"年月",$A363,"事業所コード",$B363,"事業所",$C363,"事業区分",K$1,"請求区分","単月"),0))</f>
        <v/>
      </c>
      <c r="M363" s="659" t="str">
        <f>IF($A363="","",IFERROR(GETPIVOTDATA("合計 / 入金予定",【ピボット】国保連売上!$A$3,"年月",$A363,"事業所コード",$B363,"事業所",$C363,"事業区分",M$1,"請求区分","単月"),0)
+IFERROR(GETPIVOTDATA("合計 / 入金予定",【ピボット】国保連売上!$A$3,"年月",$A363,"事業所コード",$B363,"事業所",$C363,"事業区分",M$1,"請求区分","再請求"),0))</f>
        <v/>
      </c>
      <c r="N363" s="660"/>
      <c r="O363" s="660"/>
      <c r="P363" s="660"/>
      <c r="Q363" s="660"/>
      <c r="R363" s="660"/>
      <c r="S363" s="660"/>
      <c r="T363" s="660"/>
      <c r="U363" s="660"/>
      <c r="V363" s="660"/>
      <c r="W363" s="660"/>
      <c r="X363" s="660"/>
      <c r="Y363" s="659" t="str">
        <f t="shared" si="15"/>
        <v/>
      </c>
      <c r="Z363" s="659" t="str">
        <f t="shared" si="17"/>
        <v/>
      </c>
    </row>
    <row r="364" spans="1:26" ht="15.95" customHeight="1" x14ac:dyDescent="0.15">
      <c r="A364" s="656"/>
      <c r="B364" s="657" t="str">
        <f t="shared" si="16"/>
        <v/>
      </c>
      <c r="C364" s="658"/>
      <c r="D364" s="659" t="str">
        <f>IF($A364="","",IFERROR(GETPIVOTDATA("合計 / 入金予定",【ピボット】国保連売上!$A$3,"年月",$A364,"事業所コード",$B364,"事業所",$C364,"事業区分",D$1,"請求区分","単月"),0)
+IFERROR(GETPIVOTDATA("合計 / 入金予定",【ピボット】国保連売上!$A$3,"年月",$A364,"事業所コード",$B364,"事業所",$C364,"事業区分",D$1,"請求区分","再請求"),0))</f>
        <v/>
      </c>
      <c r="E364" s="659" t="str">
        <f>IF($A364="","",IFERROR(GETPIVOTDATA("合計 / 処遇改善加算金",【ピボット】国保連売上!$A$3,"年月",$A364,"事業所コード",$B364,"事業所",$C364,"事業区分",D$1,"請求区分","単月"),0))</f>
        <v/>
      </c>
      <c r="F364" s="659" t="str">
        <f>IF($A364="","",IFERROR(GETPIVOTDATA("合計 / 入金予定",【ピボット】国保連売上!$A$3,"年月",$A364,"事業所コード",$B364,"事業所",$C364,"事業区分",F$1,"請求区分","単月"),0)
+IFERROR(GETPIVOTDATA("合計 / 入金予定",【ピボット】国保連売上!$A$3,"年月",$A364,"事業所コード",$B364,"事業所",$C364,"事業区分",F$1,"請求区分","再請求"),0))</f>
        <v/>
      </c>
      <c r="G364" s="659" t="str">
        <f>IF($A364="","",IFERROR(GETPIVOTDATA("合計 / 処遇改善加算金",【ピボット】国保連売上!$A$3,"年月",$A364,"事業所コード",$B364,"事業所",$C364,"事業区分",F$1,"請求区分","単月"),0))</f>
        <v/>
      </c>
      <c r="H364" s="659" t="str">
        <f>IF($A364="","",IFERROR(GETPIVOTDATA("合計 / 入金予定",【ピボット】国保連売上!$A$3,"年月",$A364,"事業所コード",$B364,"事業所",$C364,"事業区分",H$1,"請求区分","単月"),0)
+IFERROR(GETPIVOTDATA("合計 / 入金予定",【ピボット】国保連売上!$A$3,"年月",$A364,"事業所コード",$B364,"事業所",$C364,"事業区分",H$1,"請求区分","再請求"),0))</f>
        <v/>
      </c>
      <c r="I364" s="659" t="str">
        <f>IF($A364="","",IFERROR(GETPIVOTDATA("合計 / 入金予定",【ピボット】国保連売上!$A$3,"年月",$A364,"事業所コード",$B364,"事業所",$C364,"事業区分",I$1,"請求区分","単月"),0)
+IFERROR(GETPIVOTDATA("合計 / 入金予定",【ピボット】国保連売上!$A$3,"年月",$A364,"事業所コード",$B364,"事業所",$C364,"事業区分",I$1,"請求区分","再請求"),0))</f>
        <v/>
      </c>
      <c r="J364" s="659" t="str">
        <f>IF($A364="","",IFERROR(GETPIVOTDATA("合計 / 処遇改善加算金",【ピボット】国保連売上!$A$3,"年月",$A364,"事業所コード",$B364,"事業所",$C364,"事業区分",I$1,"請求区分","単月"),0))</f>
        <v/>
      </c>
      <c r="K364" s="659" t="str">
        <f>IF($A364="","",IFERROR(GETPIVOTDATA("合計 / 入金予定",【ピボット】国保連売上!$A$3,"年月",$A364,"事業所コード",$B364,"事業所",$C364,"事業区分",K$1,"請求区分","単月"),0)
+IFERROR(GETPIVOTDATA("合計 / 入金予定",【ピボット】国保連売上!$A$3,"年月",$A364,"事業所コード",$B364,"事業所",$C364,"事業区分",K$1,"請求区分","再請求"),0))</f>
        <v/>
      </c>
      <c r="L364" s="659" t="str">
        <f>IF($A364="","",IFERROR(GETPIVOTDATA("合計 / 処遇改善加算金",【ピボット】国保連売上!$A$3,"年月",$A364,"事業所コード",$B364,"事業所",$C364,"事業区分",K$1,"請求区分","単月"),0))</f>
        <v/>
      </c>
      <c r="M364" s="659" t="str">
        <f>IF($A364="","",IFERROR(GETPIVOTDATA("合計 / 入金予定",【ピボット】国保連売上!$A$3,"年月",$A364,"事業所コード",$B364,"事業所",$C364,"事業区分",M$1,"請求区分","単月"),0)
+IFERROR(GETPIVOTDATA("合計 / 入金予定",【ピボット】国保連売上!$A$3,"年月",$A364,"事業所コード",$B364,"事業所",$C364,"事業区分",M$1,"請求区分","再請求"),0))</f>
        <v/>
      </c>
      <c r="N364" s="660"/>
      <c r="O364" s="660"/>
      <c r="P364" s="660"/>
      <c r="Q364" s="660"/>
      <c r="R364" s="660"/>
      <c r="S364" s="660"/>
      <c r="T364" s="660"/>
      <c r="U364" s="660"/>
      <c r="V364" s="660"/>
      <c r="W364" s="660"/>
      <c r="X364" s="660"/>
      <c r="Y364" s="659" t="str">
        <f t="shared" si="15"/>
        <v/>
      </c>
      <c r="Z364" s="659" t="str">
        <f t="shared" si="17"/>
        <v/>
      </c>
    </row>
    <row r="365" spans="1:26" ht="15.95" customHeight="1" x14ac:dyDescent="0.15">
      <c r="A365" s="656"/>
      <c r="B365" s="657" t="str">
        <f t="shared" si="16"/>
        <v/>
      </c>
      <c r="C365" s="658"/>
      <c r="D365" s="659" t="str">
        <f>IF($A365="","",IFERROR(GETPIVOTDATA("合計 / 入金予定",【ピボット】国保連売上!$A$3,"年月",$A365,"事業所コード",$B365,"事業所",$C365,"事業区分",D$1,"請求区分","単月"),0)
+IFERROR(GETPIVOTDATA("合計 / 入金予定",【ピボット】国保連売上!$A$3,"年月",$A365,"事業所コード",$B365,"事業所",$C365,"事業区分",D$1,"請求区分","再請求"),0))</f>
        <v/>
      </c>
      <c r="E365" s="659" t="str">
        <f>IF($A365="","",IFERROR(GETPIVOTDATA("合計 / 処遇改善加算金",【ピボット】国保連売上!$A$3,"年月",$A365,"事業所コード",$B365,"事業所",$C365,"事業区分",D$1,"請求区分","単月"),0))</f>
        <v/>
      </c>
      <c r="F365" s="659" t="str">
        <f>IF($A365="","",IFERROR(GETPIVOTDATA("合計 / 入金予定",【ピボット】国保連売上!$A$3,"年月",$A365,"事業所コード",$B365,"事業所",$C365,"事業区分",F$1,"請求区分","単月"),0)
+IFERROR(GETPIVOTDATA("合計 / 入金予定",【ピボット】国保連売上!$A$3,"年月",$A365,"事業所コード",$B365,"事業所",$C365,"事業区分",F$1,"請求区分","再請求"),0))</f>
        <v/>
      </c>
      <c r="G365" s="659" t="str">
        <f>IF($A365="","",IFERROR(GETPIVOTDATA("合計 / 処遇改善加算金",【ピボット】国保連売上!$A$3,"年月",$A365,"事業所コード",$B365,"事業所",$C365,"事業区分",F$1,"請求区分","単月"),0))</f>
        <v/>
      </c>
      <c r="H365" s="659" t="str">
        <f>IF($A365="","",IFERROR(GETPIVOTDATA("合計 / 入金予定",【ピボット】国保連売上!$A$3,"年月",$A365,"事業所コード",$B365,"事業所",$C365,"事業区分",H$1,"請求区分","単月"),0)
+IFERROR(GETPIVOTDATA("合計 / 入金予定",【ピボット】国保連売上!$A$3,"年月",$A365,"事業所コード",$B365,"事業所",$C365,"事業区分",H$1,"請求区分","再請求"),0))</f>
        <v/>
      </c>
      <c r="I365" s="659" t="str">
        <f>IF($A365="","",IFERROR(GETPIVOTDATA("合計 / 入金予定",【ピボット】国保連売上!$A$3,"年月",$A365,"事業所コード",$B365,"事業所",$C365,"事業区分",I$1,"請求区分","単月"),0)
+IFERROR(GETPIVOTDATA("合計 / 入金予定",【ピボット】国保連売上!$A$3,"年月",$A365,"事業所コード",$B365,"事業所",$C365,"事業区分",I$1,"請求区分","再請求"),0))</f>
        <v/>
      </c>
      <c r="J365" s="659" t="str">
        <f>IF($A365="","",IFERROR(GETPIVOTDATA("合計 / 処遇改善加算金",【ピボット】国保連売上!$A$3,"年月",$A365,"事業所コード",$B365,"事業所",$C365,"事業区分",I$1,"請求区分","単月"),0))</f>
        <v/>
      </c>
      <c r="K365" s="659" t="str">
        <f>IF($A365="","",IFERROR(GETPIVOTDATA("合計 / 入金予定",【ピボット】国保連売上!$A$3,"年月",$A365,"事業所コード",$B365,"事業所",$C365,"事業区分",K$1,"請求区分","単月"),0)
+IFERROR(GETPIVOTDATA("合計 / 入金予定",【ピボット】国保連売上!$A$3,"年月",$A365,"事業所コード",$B365,"事業所",$C365,"事業区分",K$1,"請求区分","再請求"),0))</f>
        <v/>
      </c>
      <c r="L365" s="659" t="str">
        <f>IF($A365="","",IFERROR(GETPIVOTDATA("合計 / 処遇改善加算金",【ピボット】国保連売上!$A$3,"年月",$A365,"事業所コード",$B365,"事業所",$C365,"事業区分",K$1,"請求区分","単月"),0))</f>
        <v/>
      </c>
      <c r="M365" s="659" t="str">
        <f>IF($A365="","",IFERROR(GETPIVOTDATA("合計 / 入金予定",【ピボット】国保連売上!$A$3,"年月",$A365,"事業所コード",$B365,"事業所",$C365,"事業区分",M$1,"請求区分","単月"),0)
+IFERROR(GETPIVOTDATA("合計 / 入金予定",【ピボット】国保連売上!$A$3,"年月",$A365,"事業所コード",$B365,"事業所",$C365,"事業区分",M$1,"請求区分","再請求"),0))</f>
        <v/>
      </c>
      <c r="N365" s="660"/>
      <c r="O365" s="660"/>
      <c r="P365" s="660"/>
      <c r="Q365" s="660"/>
      <c r="R365" s="660"/>
      <c r="S365" s="660"/>
      <c r="T365" s="660"/>
      <c r="U365" s="660"/>
      <c r="V365" s="660"/>
      <c r="W365" s="660"/>
      <c r="X365" s="660"/>
      <c r="Y365" s="659" t="str">
        <f t="shared" si="15"/>
        <v/>
      </c>
      <c r="Z365" s="659" t="str">
        <f t="shared" si="17"/>
        <v/>
      </c>
    </row>
    <row r="366" spans="1:26" ht="15.95" customHeight="1" x14ac:dyDescent="0.15">
      <c r="A366" s="656"/>
      <c r="B366" s="657" t="str">
        <f t="shared" si="16"/>
        <v/>
      </c>
      <c r="C366" s="658"/>
      <c r="D366" s="659" t="str">
        <f>IF($A366="","",IFERROR(GETPIVOTDATA("合計 / 入金予定",【ピボット】国保連売上!$A$3,"年月",$A366,"事業所コード",$B366,"事業所",$C366,"事業区分",D$1,"請求区分","単月"),0)
+IFERROR(GETPIVOTDATA("合計 / 入金予定",【ピボット】国保連売上!$A$3,"年月",$A366,"事業所コード",$B366,"事業所",$C366,"事業区分",D$1,"請求区分","再請求"),0))</f>
        <v/>
      </c>
      <c r="E366" s="659" t="str">
        <f>IF($A366="","",IFERROR(GETPIVOTDATA("合計 / 処遇改善加算金",【ピボット】国保連売上!$A$3,"年月",$A366,"事業所コード",$B366,"事業所",$C366,"事業区分",D$1,"請求区分","単月"),0))</f>
        <v/>
      </c>
      <c r="F366" s="659" t="str">
        <f>IF($A366="","",IFERROR(GETPIVOTDATA("合計 / 入金予定",【ピボット】国保連売上!$A$3,"年月",$A366,"事業所コード",$B366,"事業所",$C366,"事業区分",F$1,"請求区分","単月"),0)
+IFERROR(GETPIVOTDATA("合計 / 入金予定",【ピボット】国保連売上!$A$3,"年月",$A366,"事業所コード",$B366,"事業所",$C366,"事業区分",F$1,"請求区分","再請求"),0))</f>
        <v/>
      </c>
      <c r="G366" s="659" t="str">
        <f>IF($A366="","",IFERROR(GETPIVOTDATA("合計 / 処遇改善加算金",【ピボット】国保連売上!$A$3,"年月",$A366,"事業所コード",$B366,"事業所",$C366,"事業区分",F$1,"請求区分","単月"),0))</f>
        <v/>
      </c>
      <c r="H366" s="659" t="str">
        <f>IF($A366="","",IFERROR(GETPIVOTDATA("合計 / 入金予定",【ピボット】国保連売上!$A$3,"年月",$A366,"事業所コード",$B366,"事業所",$C366,"事業区分",H$1,"請求区分","単月"),0)
+IFERROR(GETPIVOTDATA("合計 / 入金予定",【ピボット】国保連売上!$A$3,"年月",$A366,"事業所コード",$B366,"事業所",$C366,"事業区分",H$1,"請求区分","再請求"),0))</f>
        <v/>
      </c>
      <c r="I366" s="659" t="str">
        <f>IF($A366="","",IFERROR(GETPIVOTDATA("合計 / 入金予定",【ピボット】国保連売上!$A$3,"年月",$A366,"事業所コード",$B366,"事業所",$C366,"事業区分",I$1,"請求区分","単月"),0)
+IFERROR(GETPIVOTDATA("合計 / 入金予定",【ピボット】国保連売上!$A$3,"年月",$A366,"事業所コード",$B366,"事業所",$C366,"事業区分",I$1,"請求区分","再請求"),0))</f>
        <v/>
      </c>
      <c r="J366" s="659" t="str">
        <f>IF($A366="","",IFERROR(GETPIVOTDATA("合計 / 処遇改善加算金",【ピボット】国保連売上!$A$3,"年月",$A366,"事業所コード",$B366,"事業所",$C366,"事業区分",I$1,"請求区分","単月"),0))</f>
        <v/>
      </c>
      <c r="K366" s="659" t="str">
        <f>IF($A366="","",IFERROR(GETPIVOTDATA("合計 / 入金予定",【ピボット】国保連売上!$A$3,"年月",$A366,"事業所コード",$B366,"事業所",$C366,"事業区分",K$1,"請求区分","単月"),0)
+IFERROR(GETPIVOTDATA("合計 / 入金予定",【ピボット】国保連売上!$A$3,"年月",$A366,"事業所コード",$B366,"事業所",$C366,"事業区分",K$1,"請求区分","再請求"),0))</f>
        <v/>
      </c>
      <c r="L366" s="659" t="str">
        <f>IF($A366="","",IFERROR(GETPIVOTDATA("合計 / 処遇改善加算金",【ピボット】国保連売上!$A$3,"年月",$A366,"事業所コード",$B366,"事業所",$C366,"事業区分",K$1,"請求区分","単月"),0))</f>
        <v/>
      </c>
      <c r="M366" s="659" t="str">
        <f>IF($A366="","",IFERROR(GETPIVOTDATA("合計 / 入金予定",【ピボット】国保連売上!$A$3,"年月",$A366,"事業所コード",$B366,"事業所",$C366,"事業区分",M$1,"請求区分","単月"),0)
+IFERROR(GETPIVOTDATA("合計 / 入金予定",【ピボット】国保連売上!$A$3,"年月",$A366,"事業所コード",$B366,"事業所",$C366,"事業区分",M$1,"請求区分","再請求"),0))</f>
        <v/>
      </c>
      <c r="N366" s="660"/>
      <c r="O366" s="660"/>
      <c r="P366" s="660"/>
      <c r="Q366" s="660"/>
      <c r="R366" s="660"/>
      <c r="S366" s="660"/>
      <c r="T366" s="660"/>
      <c r="U366" s="660"/>
      <c r="V366" s="660"/>
      <c r="W366" s="660"/>
      <c r="X366" s="660"/>
      <c r="Y366" s="659" t="str">
        <f t="shared" si="15"/>
        <v/>
      </c>
      <c r="Z366" s="659" t="str">
        <f t="shared" si="17"/>
        <v/>
      </c>
    </row>
    <row r="367" spans="1:26" ht="15.95" customHeight="1" x14ac:dyDescent="0.15">
      <c r="A367" s="656"/>
      <c r="B367" s="657" t="str">
        <f t="shared" si="16"/>
        <v/>
      </c>
      <c r="C367" s="658"/>
      <c r="D367" s="659" t="str">
        <f>IF($A367="","",IFERROR(GETPIVOTDATA("合計 / 入金予定",【ピボット】国保連売上!$A$3,"年月",$A367,"事業所コード",$B367,"事業所",$C367,"事業区分",D$1,"請求区分","単月"),0)
+IFERROR(GETPIVOTDATA("合計 / 入金予定",【ピボット】国保連売上!$A$3,"年月",$A367,"事業所コード",$B367,"事業所",$C367,"事業区分",D$1,"請求区分","再請求"),0))</f>
        <v/>
      </c>
      <c r="E367" s="659" t="str">
        <f>IF($A367="","",IFERROR(GETPIVOTDATA("合計 / 処遇改善加算金",【ピボット】国保連売上!$A$3,"年月",$A367,"事業所コード",$B367,"事業所",$C367,"事業区分",D$1,"請求区分","単月"),0))</f>
        <v/>
      </c>
      <c r="F367" s="659" t="str">
        <f>IF($A367="","",IFERROR(GETPIVOTDATA("合計 / 入金予定",【ピボット】国保連売上!$A$3,"年月",$A367,"事業所コード",$B367,"事業所",$C367,"事業区分",F$1,"請求区分","単月"),0)
+IFERROR(GETPIVOTDATA("合計 / 入金予定",【ピボット】国保連売上!$A$3,"年月",$A367,"事業所コード",$B367,"事業所",$C367,"事業区分",F$1,"請求区分","再請求"),0))</f>
        <v/>
      </c>
      <c r="G367" s="659" t="str">
        <f>IF($A367="","",IFERROR(GETPIVOTDATA("合計 / 処遇改善加算金",【ピボット】国保連売上!$A$3,"年月",$A367,"事業所コード",$B367,"事業所",$C367,"事業区分",F$1,"請求区分","単月"),0))</f>
        <v/>
      </c>
      <c r="H367" s="659" t="str">
        <f>IF($A367="","",IFERROR(GETPIVOTDATA("合計 / 入金予定",【ピボット】国保連売上!$A$3,"年月",$A367,"事業所コード",$B367,"事業所",$C367,"事業区分",H$1,"請求区分","単月"),0)
+IFERROR(GETPIVOTDATA("合計 / 入金予定",【ピボット】国保連売上!$A$3,"年月",$A367,"事業所コード",$B367,"事業所",$C367,"事業区分",H$1,"請求区分","再請求"),0))</f>
        <v/>
      </c>
      <c r="I367" s="659" t="str">
        <f>IF($A367="","",IFERROR(GETPIVOTDATA("合計 / 入金予定",【ピボット】国保連売上!$A$3,"年月",$A367,"事業所コード",$B367,"事業所",$C367,"事業区分",I$1,"請求区分","単月"),0)
+IFERROR(GETPIVOTDATA("合計 / 入金予定",【ピボット】国保連売上!$A$3,"年月",$A367,"事業所コード",$B367,"事業所",$C367,"事業区分",I$1,"請求区分","再請求"),0))</f>
        <v/>
      </c>
      <c r="J367" s="659" t="str">
        <f>IF($A367="","",IFERROR(GETPIVOTDATA("合計 / 処遇改善加算金",【ピボット】国保連売上!$A$3,"年月",$A367,"事業所コード",$B367,"事業所",$C367,"事業区分",I$1,"請求区分","単月"),0))</f>
        <v/>
      </c>
      <c r="K367" s="659" t="str">
        <f>IF($A367="","",IFERROR(GETPIVOTDATA("合計 / 入金予定",【ピボット】国保連売上!$A$3,"年月",$A367,"事業所コード",$B367,"事業所",$C367,"事業区分",K$1,"請求区分","単月"),0)
+IFERROR(GETPIVOTDATA("合計 / 入金予定",【ピボット】国保連売上!$A$3,"年月",$A367,"事業所コード",$B367,"事業所",$C367,"事業区分",K$1,"請求区分","再請求"),0))</f>
        <v/>
      </c>
      <c r="L367" s="659" t="str">
        <f>IF($A367="","",IFERROR(GETPIVOTDATA("合計 / 処遇改善加算金",【ピボット】国保連売上!$A$3,"年月",$A367,"事業所コード",$B367,"事業所",$C367,"事業区分",K$1,"請求区分","単月"),0))</f>
        <v/>
      </c>
      <c r="M367" s="659" t="str">
        <f>IF($A367="","",IFERROR(GETPIVOTDATA("合計 / 入金予定",【ピボット】国保連売上!$A$3,"年月",$A367,"事業所コード",$B367,"事業所",$C367,"事業区分",M$1,"請求区分","単月"),0)
+IFERROR(GETPIVOTDATA("合計 / 入金予定",【ピボット】国保連売上!$A$3,"年月",$A367,"事業所コード",$B367,"事業所",$C367,"事業区分",M$1,"請求区分","再請求"),0))</f>
        <v/>
      </c>
      <c r="N367" s="660"/>
      <c r="O367" s="660"/>
      <c r="P367" s="660"/>
      <c r="Q367" s="660"/>
      <c r="R367" s="660"/>
      <c r="S367" s="660"/>
      <c r="T367" s="660"/>
      <c r="U367" s="660"/>
      <c r="V367" s="660"/>
      <c r="W367" s="660"/>
      <c r="X367" s="660"/>
      <c r="Y367" s="659" t="str">
        <f t="shared" si="15"/>
        <v/>
      </c>
      <c r="Z367" s="659" t="str">
        <f t="shared" si="17"/>
        <v/>
      </c>
    </row>
    <row r="368" spans="1:26" ht="15.95" customHeight="1" x14ac:dyDescent="0.15">
      <c r="A368" s="656"/>
      <c r="B368" s="657" t="str">
        <f t="shared" si="16"/>
        <v/>
      </c>
      <c r="C368" s="658"/>
      <c r="D368" s="659" t="str">
        <f>IF($A368="","",IFERROR(GETPIVOTDATA("合計 / 入金予定",【ピボット】国保連売上!$A$3,"年月",$A368,"事業所コード",$B368,"事業所",$C368,"事業区分",D$1,"請求区分","単月"),0)
+IFERROR(GETPIVOTDATA("合計 / 入金予定",【ピボット】国保連売上!$A$3,"年月",$A368,"事業所コード",$B368,"事業所",$C368,"事業区分",D$1,"請求区分","再請求"),0))</f>
        <v/>
      </c>
      <c r="E368" s="659" t="str">
        <f>IF($A368="","",IFERROR(GETPIVOTDATA("合計 / 処遇改善加算金",【ピボット】国保連売上!$A$3,"年月",$A368,"事業所コード",$B368,"事業所",$C368,"事業区分",D$1,"請求区分","単月"),0))</f>
        <v/>
      </c>
      <c r="F368" s="659" t="str">
        <f>IF($A368="","",IFERROR(GETPIVOTDATA("合計 / 入金予定",【ピボット】国保連売上!$A$3,"年月",$A368,"事業所コード",$B368,"事業所",$C368,"事業区分",F$1,"請求区分","単月"),0)
+IFERROR(GETPIVOTDATA("合計 / 入金予定",【ピボット】国保連売上!$A$3,"年月",$A368,"事業所コード",$B368,"事業所",$C368,"事業区分",F$1,"請求区分","再請求"),0))</f>
        <v/>
      </c>
      <c r="G368" s="659" t="str">
        <f>IF($A368="","",IFERROR(GETPIVOTDATA("合計 / 処遇改善加算金",【ピボット】国保連売上!$A$3,"年月",$A368,"事業所コード",$B368,"事業所",$C368,"事業区分",F$1,"請求区分","単月"),0))</f>
        <v/>
      </c>
      <c r="H368" s="659" t="str">
        <f>IF($A368="","",IFERROR(GETPIVOTDATA("合計 / 入金予定",【ピボット】国保連売上!$A$3,"年月",$A368,"事業所コード",$B368,"事業所",$C368,"事業区分",H$1,"請求区分","単月"),0)
+IFERROR(GETPIVOTDATA("合計 / 入金予定",【ピボット】国保連売上!$A$3,"年月",$A368,"事業所コード",$B368,"事業所",$C368,"事業区分",H$1,"請求区分","再請求"),0))</f>
        <v/>
      </c>
      <c r="I368" s="659" t="str">
        <f>IF($A368="","",IFERROR(GETPIVOTDATA("合計 / 入金予定",【ピボット】国保連売上!$A$3,"年月",$A368,"事業所コード",$B368,"事業所",$C368,"事業区分",I$1,"請求区分","単月"),0)
+IFERROR(GETPIVOTDATA("合計 / 入金予定",【ピボット】国保連売上!$A$3,"年月",$A368,"事業所コード",$B368,"事業所",$C368,"事業区分",I$1,"請求区分","再請求"),0))</f>
        <v/>
      </c>
      <c r="J368" s="659" t="str">
        <f>IF($A368="","",IFERROR(GETPIVOTDATA("合計 / 処遇改善加算金",【ピボット】国保連売上!$A$3,"年月",$A368,"事業所コード",$B368,"事業所",$C368,"事業区分",I$1,"請求区分","単月"),0))</f>
        <v/>
      </c>
      <c r="K368" s="659" t="str">
        <f>IF($A368="","",IFERROR(GETPIVOTDATA("合計 / 入金予定",【ピボット】国保連売上!$A$3,"年月",$A368,"事業所コード",$B368,"事業所",$C368,"事業区分",K$1,"請求区分","単月"),0)
+IFERROR(GETPIVOTDATA("合計 / 入金予定",【ピボット】国保連売上!$A$3,"年月",$A368,"事業所コード",$B368,"事業所",$C368,"事業区分",K$1,"請求区分","再請求"),0))</f>
        <v/>
      </c>
      <c r="L368" s="659" t="str">
        <f>IF($A368="","",IFERROR(GETPIVOTDATA("合計 / 処遇改善加算金",【ピボット】国保連売上!$A$3,"年月",$A368,"事業所コード",$B368,"事業所",$C368,"事業区分",K$1,"請求区分","単月"),0))</f>
        <v/>
      </c>
      <c r="M368" s="659" t="str">
        <f>IF($A368="","",IFERROR(GETPIVOTDATA("合計 / 入金予定",【ピボット】国保連売上!$A$3,"年月",$A368,"事業所コード",$B368,"事業所",$C368,"事業区分",M$1,"請求区分","単月"),0)
+IFERROR(GETPIVOTDATA("合計 / 入金予定",【ピボット】国保連売上!$A$3,"年月",$A368,"事業所コード",$B368,"事業所",$C368,"事業区分",M$1,"請求区分","再請求"),0))</f>
        <v/>
      </c>
      <c r="N368" s="660"/>
      <c r="O368" s="660"/>
      <c r="P368" s="660"/>
      <c r="Q368" s="660"/>
      <c r="R368" s="660"/>
      <c r="S368" s="660"/>
      <c r="T368" s="660"/>
      <c r="U368" s="660"/>
      <c r="V368" s="660"/>
      <c r="W368" s="660"/>
      <c r="X368" s="660"/>
      <c r="Y368" s="659" t="str">
        <f t="shared" si="15"/>
        <v/>
      </c>
      <c r="Z368" s="659" t="str">
        <f t="shared" si="17"/>
        <v/>
      </c>
    </row>
    <row r="369" spans="1:26" ht="15.95" customHeight="1" x14ac:dyDescent="0.15">
      <c r="A369" s="656"/>
      <c r="B369" s="657" t="str">
        <f t="shared" si="16"/>
        <v/>
      </c>
      <c r="C369" s="658"/>
      <c r="D369" s="659" t="str">
        <f>IF($A369="","",IFERROR(GETPIVOTDATA("合計 / 入金予定",【ピボット】国保連売上!$A$3,"年月",$A369,"事業所コード",$B369,"事業所",$C369,"事業区分",D$1,"請求区分","単月"),0)
+IFERROR(GETPIVOTDATA("合計 / 入金予定",【ピボット】国保連売上!$A$3,"年月",$A369,"事業所コード",$B369,"事業所",$C369,"事業区分",D$1,"請求区分","再請求"),0))</f>
        <v/>
      </c>
      <c r="E369" s="659" t="str">
        <f>IF($A369="","",IFERROR(GETPIVOTDATA("合計 / 処遇改善加算金",【ピボット】国保連売上!$A$3,"年月",$A369,"事業所コード",$B369,"事業所",$C369,"事業区分",D$1,"請求区分","単月"),0))</f>
        <v/>
      </c>
      <c r="F369" s="659" t="str">
        <f>IF($A369="","",IFERROR(GETPIVOTDATA("合計 / 入金予定",【ピボット】国保連売上!$A$3,"年月",$A369,"事業所コード",$B369,"事業所",$C369,"事業区分",F$1,"請求区分","単月"),0)
+IFERROR(GETPIVOTDATA("合計 / 入金予定",【ピボット】国保連売上!$A$3,"年月",$A369,"事業所コード",$B369,"事業所",$C369,"事業区分",F$1,"請求区分","再請求"),0))</f>
        <v/>
      </c>
      <c r="G369" s="659" t="str">
        <f>IF($A369="","",IFERROR(GETPIVOTDATA("合計 / 処遇改善加算金",【ピボット】国保連売上!$A$3,"年月",$A369,"事業所コード",$B369,"事業所",$C369,"事業区分",F$1,"請求区分","単月"),0))</f>
        <v/>
      </c>
      <c r="H369" s="659" t="str">
        <f>IF($A369="","",IFERROR(GETPIVOTDATA("合計 / 入金予定",【ピボット】国保連売上!$A$3,"年月",$A369,"事業所コード",$B369,"事業所",$C369,"事業区分",H$1,"請求区分","単月"),0)
+IFERROR(GETPIVOTDATA("合計 / 入金予定",【ピボット】国保連売上!$A$3,"年月",$A369,"事業所コード",$B369,"事業所",$C369,"事業区分",H$1,"請求区分","再請求"),0))</f>
        <v/>
      </c>
      <c r="I369" s="659" t="str">
        <f>IF($A369="","",IFERROR(GETPIVOTDATA("合計 / 入金予定",【ピボット】国保連売上!$A$3,"年月",$A369,"事業所コード",$B369,"事業所",$C369,"事業区分",I$1,"請求区分","単月"),0)
+IFERROR(GETPIVOTDATA("合計 / 入金予定",【ピボット】国保連売上!$A$3,"年月",$A369,"事業所コード",$B369,"事業所",$C369,"事業区分",I$1,"請求区分","再請求"),0))</f>
        <v/>
      </c>
      <c r="J369" s="659" t="str">
        <f>IF($A369="","",IFERROR(GETPIVOTDATA("合計 / 処遇改善加算金",【ピボット】国保連売上!$A$3,"年月",$A369,"事業所コード",$B369,"事業所",$C369,"事業区分",I$1,"請求区分","単月"),0))</f>
        <v/>
      </c>
      <c r="K369" s="659" t="str">
        <f>IF($A369="","",IFERROR(GETPIVOTDATA("合計 / 入金予定",【ピボット】国保連売上!$A$3,"年月",$A369,"事業所コード",$B369,"事業所",$C369,"事業区分",K$1,"請求区分","単月"),0)
+IFERROR(GETPIVOTDATA("合計 / 入金予定",【ピボット】国保連売上!$A$3,"年月",$A369,"事業所コード",$B369,"事業所",$C369,"事業区分",K$1,"請求区分","再請求"),0))</f>
        <v/>
      </c>
      <c r="L369" s="659" t="str">
        <f>IF($A369="","",IFERROR(GETPIVOTDATA("合計 / 処遇改善加算金",【ピボット】国保連売上!$A$3,"年月",$A369,"事業所コード",$B369,"事業所",$C369,"事業区分",K$1,"請求区分","単月"),0))</f>
        <v/>
      </c>
      <c r="M369" s="659" t="str">
        <f>IF($A369="","",IFERROR(GETPIVOTDATA("合計 / 入金予定",【ピボット】国保連売上!$A$3,"年月",$A369,"事業所コード",$B369,"事業所",$C369,"事業区分",M$1,"請求区分","単月"),0)
+IFERROR(GETPIVOTDATA("合計 / 入金予定",【ピボット】国保連売上!$A$3,"年月",$A369,"事業所コード",$B369,"事業所",$C369,"事業区分",M$1,"請求区分","再請求"),0))</f>
        <v/>
      </c>
      <c r="N369" s="660"/>
      <c r="O369" s="660"/>
      <c r="P369" s="660"/>
      <c r="Q369" s="660"/>
      <c r="R369" s="660"/>
      <c r="S369" s="660"/>
      <c r="T369" s="660"/>
      <c r="U369" s="660"/>
      <c r="V369" s="660"/>
      <c r="W369" s="660"/>
      <c r="X369" s="660"/>
      <c r="Y369" s="659" t="str">
        <f t="shared" si="15"/>
        <v/>
      </c>
      <c r="Z369" s="659" t="str">
        <f t="shared" si="17"/>
        <v/>
      </c>
    </row>
    <row r="370" spans="1:26" ht="15.95" customHeight="1" x14ac:dyDescent="0.15">
      <c r="A370" s="656"/>
      <c r="B370" s="657" t="str">
        <f t="shared" si="16"/>
        <v/>
      </c>
      <c r="C370" s="658"/>
      <c r="D370" s="659" t="str">
        <f>IF($A370="","",IFERROR(GETPIVOTDATA("合計 / 入金予定",【ピボット】国保連売上!$A$3,"年月",$A370,"事業所コード",$B370,"事業所",$C370,"事業区分",D$1,"請求区分","単月"),0)
+IFERROR(GETPIVOTDATA("合計 / 入金予定",【ピボット】国保連売上!$A$3,"年月",$A370,"事業所コード",$B370,"事業所",$C370,"事業区分",D$1,"請求区分","再請求"),0))</f>
        <v/>
      </c>
      <c r="E370" s="659" t="str">
        <f>IF($A370="","",IFERROR(GETPIVOTDATA("合計 / 処遇改善加算金",【ピボット】国保連売上!$A$3,"年月",$A370,"事業所コード",$B370,"事業所",$C370,"事業区分",D$1,"請求区分","単月"),0))</f>
        <v/>
      </c>
      <c r="F370" s="659" t="str">
        <f>IF($A370="","",IFERROR(GETPIVOTDATA("合計 / 入金予定",【ピボット】国保連売上!$A$3,"年月",$A370,"事業所コード",$B370,"事業所",$C370,"事業区分",F$1,"請求区分","単月"),0)
+IFERROR(GETPIVOTDATA("合計 / 入金予定",【ピボット】国保連売上!$A$3,"年月",$A370,"事業所コード",$B370,"事業所",$C370,"事業区分",F$1,"請求区分","再請求"),0))</f>
        <v/>
      </c>
      <c r="G370" s="659" t="str">
        <f>IF($A370="","",IFERROR(GETPIVOTDATA("合計 / 処遇改善加算金",【ピボット】国保連売上!$A$3,"年月",$A370,"事業所コード",$B370,"事業所",$C370,"事業区分",F$1,"請求区分","単月"),0))</f>
        <v/>
      </c>
      <c r="H370" s="659" t="str">
        <f>IF($A370="","",IFERROR(GETPIVOTDATA("合計 / 入金予定",【ピボット】国保連売上!$A$3,"年月",$A370,"事業所コード",$B370,"事業所",$C370,"事業区分",H$1,"請求区分","単月"),0)
+IFERROR(GETPIVOTDATA("合計 / 入金予定",【ピボット】国保連売上!$A$3,"年月",$A370,"事業所コード",$B370,"事業所",$C370,"事業区分",H$1,"請求区分","再請求"),0))</f>
        <v/>
      </c>
      <c r="I370" s="659" t="str">
        <f>IF($A370="","",IFERROR(GETPIVOTDATA("合計 / 入金予定",【ピボット】国保連売上!$A$3,"年月",$A370,"事業所コード",$B370,"事業所",$C370,"事業区分",I$1,"請求区分","単月"),0)
+IFERROR(GETPIVOTDATA("合計 / 入金予定",【ピボット】国保連売上!$A$3,"年月",$A370,"事業所コード",$B370,"事業所",$C370,"事業区分",I$1,"請求区分","再請求"),0))</f>
        <v/>
      </c>
      <c r="J370" s="659" t="str">
        <f>IF($A370="","",IFERROR(GETPIVOTDATA("合計 / 処遇改善加算金",【ピボット】国保連売上!$A$3,"年月",$A370,"事業所コード",$B370,"事業所",$C370,"事業区分",I$1,"請求区分","単月"),0))</f>
        <v/>
      </c>
      <c r="K370" s="659" t="str">
        <f>IF($A370="","",IFERROR(GETPIVOTDATA("合計 / 入金予定",【ピボット】国保連売上!$A$3,"年月",$A370,"事業所コード",$B370,"事業所",$C370,"事業区分",K$1,"請求区分","単月"),0)
+IFERROR(GETPIVOTDATA("合計 / 入金予定",【ピボット】国保連売上!$A$3,"年月",$A370,"事業所コード",$B370,"事業所",$C370,"事業区分",K$1,"請求区分","再請求"),0))</f>
        <v/>
      </c>
      <c r="L370" s="659" t="str">
        <f>IF($A370="","",IFERROR(GETPIVOTDATA("合計 / 処遇改善加算金",【ピボット】国保連売上!$A$3,"年月",$A370,"事業所コード",$B370,"事業所",$C370,"事業区分",K$1,"請求区分","単月"),0))</f>
        <v/>
      </c>
      <c r="M370" s="659" t="str">
        <f>IF($A370="","",IFERROR(GETPIVOTDATA("合計 / 入金予定",【ピボット】国保連売上!$A$3,"年月",$A370,"事業所コード",$B370,"事業所",$C370,"事業区分",M$1,"請求区分","単月"),0)
+IFERROR(GETPIVOTDATA("合計 / 入金予定",【ピボット】国保連売上!$A$3,"年月",$A370,"事業所コード",$B370,"事業所",$C370,"事業区分",M$1,"請求区分","再請求"),0))</f>
        <v/>
      </c>
      <c r="N370" s="660"/>
      <c r="O370" s="660"/>
      <c r="P370" s="660"/>
      <c r="Q370" s="660"/>
      <c r="R370" s="660"/>
      <c r="S370" s="660"/>
      <c r="T370" s="660"/>
      <c r="U370" s="660"/>
      <c r="V370" s="660"/>
      <c r="W370" s="660"/>
      <c r="X370" s="660"/>
      <c r="Y370" s="659" t="str">
        <f t="shared" si="15"/>
        <v/>
      </c>
      <c r="Z370" s="659" t="str">
        <f t="shared" si="17"/>
        <v/>
      </c>
    </row>
    <row r="371" spans="1:26" ht="15.95" customHeight="1" x14ac:dyDescent="0.15">
      <c r="A371" s="656"/>
      <c r="B371" s="657" t="str">
        <f t="shared" si="16"/>
        <v/>
      </c>
      <c r="C371" s="658"/>
      <c r="D371" s="659" t="str">
        <f>IF($A371="","",IFERROR(GETPIVOTDATA("合計 / 入金予定",【ピボット】国保連売上!$A$3,"年月",$A371,"事業所コード",$B371,"事業所",$C371,"事業区分",D$1,"請求区分","単月"),0)
+IFERROR(GETPIVOTDATA("合計 / 入金予定",【ピボット】国保連売上!$A$3,"年月",$A371,"事業所コード",$B371,"事業所",$C371,"事業区分",D$1,"請求区分","再請求"),0))</f>
        <v/>
      </c>
      <c r="E371" s="659" t="str">
        <f>IF($A371="","",IFERROR(GETPIVOTDATA("合計 / 処遇改善加算金",【ピボット】国保連売上!$A$3,"年月",$A371,"事業所コード",$B371,"事業所",$C371,"事業区分",D$1,"請求区分","単月"),0))</f>
        <v/>
      </c>
      <c r="F371" s="659" t="str">
        <f>IF($A371="","",IFERROR(GETPIVOTDATA("合計 / 入金予定",【ピボット】国保連売上!$A$3,"年月",$A371,"事業所コード",$B371,"事業所",$C371,"事業区分",F$1,"請求区分","単月"),0)
+IFERROR(GETPIVOTDATA("合計 / 入金予定",【ピボット】国保連売上!$A$3,"年月",$A371,"事業所コード",$B371,"事業所",$C371,"事業区分",F$1,"請求区分","再請求"),0))</f>
        <v/>
      </c>
      <c r="G371" s="659" t="str">
        <f>IF($A371="","",IFERROR(GETPIVOTDATA("合計 / 処遇改善加算金",【ピボット】国保連売上!$A$3,"年月",$A371,"事業所コード",$B371,"事業所",$C371,"事業区分",F$1,"請求区分","単月"),0))</f>
        <v/>
      </c>
      <c r="H371" s="659" t="str">
        <f>IF($A371="","",IFERROR(GETPIVOTDATA("合計 / 入金予定",【ピボット】国保連売上!$A$3,"年月",$A371,"事業所コード",$B371,"事業所",$C371,"事業区分",H$1,"請求区分","単月"),0)
+IFERROR(GETPIVOTDATA("合計 / 入金予定",【ピボット】国保連売上!$A$3,"年月",$A371,"事業所コード",$B371,"事業所",$C371,"事業区分",H$1,"請求区分","再請求"),0))</f>
        <v/>
      </c>
      <c r="I371" s="659" t="str">
        <f>IF($A371="","",IFERROR(GETPIVOTDATA("合計 / 入金予定",【ピボット】国保連売上!$A$3,"年月",$A371,"事業所コード",$B371,"事業所",$C371,"事業区分",I$1,"請求区分","単月"),0)
+IFERROR(GETPIVOTDATA("合計 / 入金予定",【ピボット】国保連売上!$A$3,"年月",$A371,"事業所コード",$B371,"事業所",$C371,"事業区分",I$1,"請求区分","再請求"),0))</f>
        <v/>
      </c>
      <c r="J371" s="659" t="str">
        <f>IF($A371="","",IFERROR(GETPIVOTDATA("合計 / 処遇改善加算金",【ピボット】国保連売上!$A$3,"年月",$A371,"事業所コード",$B371,"事業所",$C371,"事業区分",I$1,"請求区分","単月"),0))</f>
        <v/>
      </c>
      <c r="K371" s="659" t="str">
        <f>IF($A371="","",IFERROR(GETPIVOTDATA("合計 / 入金予定",【ピボット】国保連売上!$A$3,"年月",$A371,"事業所コード",$B371,"事業所",$C371,"事業区分",K$1,"請求区分","単月"),0)
+IFERROR(GETPIVOTDATA("合計 / 入金予定",【ピボット】国保連売上!$A$3,"年月",$A371,"事業所コード",$B371,"事業所",$C371,"事業区分",K$1,"請求区分","再請求"),0))</f>
        <v/>
      </c>
      <c r="L371" s="659" t="str">
        <f>IF($A371="","",IFERROR(GETPIVOTDATA("合計 / 処遇改善加算金",【ピボット】国保連売上!$A$3,"年月",$A371,"事業所コード",$B371,"事業所",$C371,"事業区分",K$1,"請求区分","単月"),0))</f>
        <v/>
      </c>
      <c r="M371" s="659" t="str">
        <f>IF($A371="","",IFERROR(GETPIVOTDATA("合計 / 入金予定",【ピボット】国保連売上!$A$3,"年月",$A371,"事業所コード",$B371,"事業所",$C371,"事業区分",M$1,"請求区分","単月"),0)
+IFERROR(GETPIVOTDATA("合計 / 入金予定",【ピボット】国保連売上!$A$3,"年月",$A371,"事業所コード",$B371,"事業所",$C371,"事業区分",M$1,"請求区分","再請求"),0))</f>
        <v/>
      </c>
      <c r="N371" s="660"/>
      <c r="O371" s="660"/>
      <c r="P371" s="660"/>
      <c r="Q371" s="660"/>
      <c r="R371" s="660"/>
      <c r="S371" s="660"/>
      <c r="T371" s="660"/>
      <c r="U371" s="660"/>
      <c r="V371" s="660"/>
      <c r="W371" s="660"/>
      <c r="X371" s="660"/>
      <c r="Y371" s="659" t="str">
        <f t="shared" si="15"/>
        <v/>
      </c>
      <c r="Z371" s="659" t="str">
        <f t="shared" si="17"/>
        <v/>
      </c>
    </row>
    <row r="372" spans="1:26" ht="15.95" customHeight="1" x14ac:dyDescent="0.15">
      <c r="A372" s="656"/>
      <c r="B372" s="657" t="str">
        <f t="shared" si="16"/>
        <v/>
      </c>
      <c r="C372" s="658"/>
      <c r="D372" s="659" t="str">
        <f>IF($A372="","",IFERROR(GETPIVOTDATA("合計 / 入金予定",【ピボット】国保連売上!$A$3,"年月",$A372,"事業所コード",$B372,"事業所",$C372,"事業区分",D$1,"請求区分","単月"),0)
+IFERROR(GETPIVOTDATA("合計 / 入金予定",【ピボット】国保連売上!$A$3,"年月",$A372,"事業所コード",$B372,"事業所",$C372,"事業区分",D$1,"請求区分","再請求"),0))</f>
        <v/>
      </c>
      <c r="E372" s="659" t="str">
        <f>IF($A372="","",IFERROR(GETPIVOTDATA("合計 / 処遇改善加算金",【ピボット】国保連売上!$A$3,"年月",$A372,"事業所コード",$B372,"事業所",$C372,"事業区分",D$1,"請求区分","単月"),0))</f>
        <v/>
      </c>
      <c r="F372" s="659" t="str">
        <f>IF($A372="","",IFERROR(GETPIVOTDATA("合計 / 入金予定",【ピボット】国保連売上!$A$3,"年月",$A372,"事業所コード",$B372,"事業所",$C372,"事業区分",F$1,"請求区分","単月"),0)
+IFERROR(GETPIVOTDATA("合計 / 入金予定",【ピボット】国保連売上!$A$3,"年月",$A372,"事業所コード",$B372,"事業所",$C372,"事業区分",F$1,"請求区分","再請求"),0))</f>
        <v/>
      </c>
      <c r="G372" s="659" t="str">
        <f>IF($A372="","",IFERROR(GETPIVOTDATA("合計 / 処遇改善加算金",【ピボット】国保連売上!$A$3,"年月",$A372,"事業所コード",$B372,"事業所",$C372,"事業区分",F$1,"請求区分","単月"),0))</f>
        <v/>
      </c>
      <c r="H372" s="659" t="str">
        <f>IF($A372="","",IFERROR(GETPIVOTDATA("合計 / 入金予定",【ピボット】国保連売上!$A$3,"年月",$A372,"事業所コード",$B372,"事業所",$C372,"事業区分",H$1,"請求区分","単月"),0)
+IFERROR(GETPIVOTDATA("合計 / 入金予定",【ピボット】国保連売上!$A$3,"年月",$A372,"事業所コード",$B372,"事業所",$C372,"事業区分",H$1,"請求区分","再請求"),0))</f>
        <v/>
      </c>
      <c r="I372" s="659" t="str">
        <f>IF($A372="","",IFERROR(GETPIVOTDATA("合計 / 入金予定",【ピボット】国保連売上!$A$3,"年月",$A372,"事業所コード",$B372,"事業所",$C372,"事業区分",I$1,"請求区分","単月"),0)
+IFERROR(GETPIVOTDATA("合計 / 入金予定",【ピボット】国保連売上!$A$3,"年月",$A372,"事業所コード",$B372,"事業所",$C372,"事業区分",I$1,"請求区分","再請求"),0))</f>
        <v/>
      </c>
      <c r="J372" s="659" t="str">
        <f>IF($A372="","",IFERROR(GETPIVOTDATA("合計 / 処遇改善加算金",【ピボット】国保連売上!$A$3,"年月",$A372,"事業所コード",$B372,"事業所",$C372,"事業区分",I$1,"請求区分","単月"),0))</f>
        <v/>
      </c>
      <c r="K372" s="659" t="str">
        <f>IF($A372="","",IFERROR(GETPIVOTDATA("合計 / 入金予定",【ピボット】国保連売上!$A$3,"年月",$A372,"事業所コード",$B372,"事業所",$C372,"事業区分",K$1,"請求区分","単月"),0)
+IFERROR(GETPIVOTDATA("合計 / 入金予定",【ピボット】国保連売上!$A$3,"年月",$A372,"事業所コード",$B372,"事業所",$C372,"事業区分",K$1,"請求区分","再請求"),0))</f>
        <v/>
      </c>
      <c r="L372" s="659" t="str">
        <f>IF($A372="","",IFERROR(GETPIVOTDATA("合計 / 処遇改善加算金",【ピボット】国保連売上!$A$3,"年月",$A372,"事業所コード",$B372,"事業所",$C372,"事業区分",K$1,"請求区分","単月"),0))</f>
        <v/>
      </c>
      <c r="M372" s="659" t="str">
        <f>IF($A372="","",IFERROR(GETPIVOTDATA("合計 / 入金予定",【ピボット】国保連売上!$A$3,"年月",$A372,"事業所コード",$B372,"事業所",$C372,"事業区分",M$1,"請求区分","単月"),0)
+IFERROR(GETPIVOTDATA("合計 / 入金予定",【ピボット】国保連売上!$A$3,"年月",$A372,"事業所コード",$B372,"事業所",$C372,"事業区分",M$1,"請求区分","再請求"),0))</f>
        <v/>
      </c>
      <c r="N372" s="660"/>
      <c r="O372" s="660"/>
      <c r="P372" s="660"/>
      <c r="Q372" s="660"/>
      <c r="R372" s="660"/>
      <c r="S372" s="660"/>
      <c r="T372" s="660"/>
      <c r="U372" s="660"/>
      <c r="V372" s="660"/>
      <c r="W372" s="660"/>
      <c r="X372" s="660"/>
      <c r="Y372" s="659" t="str">
        <f t="shared" si="15"/>
        <v/>
      </c>
      <c r="Z372" s="659" t="str">
        <f t="shared" si="17"/>
        <v/>
      </c>
    </row>
    <row r="373" spans="1:26" ht="15.95" customHeight="1" x14ac:dyDescent="0.15">
      <c r="A373" s="656"/>
      <c r="B373" s="657" t="str">
        <f t="shared" si="16"/>
        <v/>
      </c>
      <c r="C373" s="658"/>
      <c r="D373" s="659" t="str">
        <f>IF($A373="","",IFERROR(GETPIVOTDATA("合計 / 入金予定",【ピボット】国保連売上!$A$3,"年月",$A373,"事業所コード",$B373,"事業所",$C373,"事業区分",D$1,"請求区分","単月"),0)
+IFERROR(GETPIVOTDATA("合計 / 入金予定",【ピボット】国保連売上!$A$3,"年月",$A373,"事業所コード",$B373,"事業所",$C373,"事業区分",D$1,"請求区分","再請求"),0))</f>
        <v/>
      </c>
      <c r="E373" s="659" t="str">
        <f>IF($A373="","",IFERROR(GETPIVOTDATA("合計 / 処遇改善加算金",【ピボット】国保連売上!$A$3,"年月",$A373,"事業所コード",$B373,"事業所",$C373,"事業区分",D$1,"請求区分","単月"),0))</f>
        <v/>
      </c>
      <c r="F373" s="659" t="str">
        <f>IF($A373="","",IFERROR(GETPIVOTDATA("合計 / 入金予定",【ピボット】国保連売上!$A$3,"年月",$A373,"事業所コード",$B373,"事業所",$C373,"事業区分",F$1,"請求区分","単月"),0)
+IFERROR(GETPIVOTDATA("合計 / 入金予定",【ピボット】国保連売上!$A$3,"年月",$A373,"事業所コード",$B373,"事業所",$C373,"事業区分",F$1,"請求区分","再請求"),0))</f>
        <v/>
      </c>
      <c r="G373" s="659" t="str">
        <f>IF($A373="","",IFERROR(GETPIVOTDATA("合計 / 処遇改善加算金",【ピボット】国保連売上!$A$3,"年月",$A373,"事業所コード",$B373,"事業所",$C373,"事業区分",F$1,"請求区分","単月"),0))</f>
        <v/>
      </c>
      <c r="H373" s="659" t="str">
        <f>IF($A373="","",IFERROR(GETPIVOTDATA("合計 / 入金予定",【ピボット】国保連売上!$A$3,"年月",$A373,"事業所コード",$B373,"事業所",$C373,"事業区分",H$1,"請求区分","単月"),0)
+IFERROR(GETPIVOTDATA("合計 / 入金予定",【ピボット】国保連売上!$A$3,"年月",$A373,"事業所コード",$B373,"事業所",$C373,"事業区分",H$1,"請求区分","再請求"),0))</f>
        <v/>
      </c>
      <c r="I373" s="659" t="str">
        <f>IF($A373="","",IFERROR(GETPIVOTDATA("合計 / 入金予定",【ピボット】国保連売上!$A$3,"年月",$A373,"事業所コード",$B373,"事業所",$C373,"事業区分",I$1,"請求区分","単月"),0)
+IFERROR(GETPIVOTDATA("合計 / 入金予定",【ピボット】国保連売上!$A$3,"年月",$A373,"事業所コード",$B373,"事業所",$C373,"事業区分",I$1,"請求区分","再請求"),0))</f>
        <v/>
      </c>
      <c r="J373" s="659" t="str">
        <f>IF($A373="","",IFERROR(GETPIVOTDATA("合計 / 処遇改善加算金",【ピボット】国保連売上!$A$3,"年月",$A373,"事業所コード",$B373,"事業所",$C373,"事業区分",I$1,"請求区分","単月"),0))</f>
        <v/>
      </c>
      <c r="K373" s="659" t="str">
        <f>IF($A373="","",IFERROR(GETPIVOTDATA("合計 / 入金予定",【ピボット】国保連売上!$A$3,"年月",$A373,"事業所コード",$B373,"事業所",$C373,"事業区分",K$1,"請求区分","単月"),0)
+IFERROR(GETPIVOTDATA("合計 / 入金予定",【ピボット】国保連売上!$A$3,"年月",$A373,"事業所コード",$B373,"事業所",$C373,"事業区分",K$1,"請求区分","再請求"),0))</f>
        <v/>
      </c>
      <c r="L373" s="659" t="str">
        <f>IF($A373="","",IFERROR(GETPIVOTDATA("合計 / 処遇改善加算金",【ピボット】国保連売上!$A$3,"年月",$A373,"事業所コード",$B373,"事業所",$C373,"事業区分",K$1,"請求区分","単月"),0))</f>
        <v/>
      </c>
      <c r="M373" s="659" t="str">
        <f>IF($A373="","",IFERROR(GETPIVOTDATA("合計 / 入金予定",【ピボット】国保連売上!$A$3,"年月",$A373,"事業所コード",$B373,"事業所",$C373,"事業区分",M$1,"請求区分","単月"),0)
+IFERROR(GETPIVOTDATA("合計 / 入金予定",【ピボット】国保連売上!$A$3,"年月",$A373,"事業所コード",$B373,"事業所",$C373,"事業区分",M$1,"請求区分","再請求"),0))</f>
        <v/>
      </c>
      <c r="N373" s="660"/>
      <c r="O373" s="660"/>
      <c r="P373" s="660"/>
      <c r="Q373" s="660"/>
      <c r="R373" s="660"/>
      <c r="S373" s="660"/>
      <c r="T373" s="660"/>
      <c r="U373" s="660"/>
      <c r="V373" s="660"/>
      <c r="W373" s="660"/>
      <c r="X373" s="660"/>
      <c r="Y373" s="659" t="str">
        <f t="shared" si="15"/>
        <v/>
      </c>
      <c r="Z373" s="659" t="str">
        <f t="shared" si="17"/>
        <v/>
      </c>
    </row>
    <row r="374" spans="1:26" ht="15.95" customHeight="1" x14ac:dyDescent="0.15">
      <c r="A374" s="656"/>
      <c r="B374" s="657" t="str">
        <f t="shared" si="16"/>
        <v/>
      </c>
      <c r="C374" s="658"/>
      <c r="D374" s="659" t="str">
        <f>IF($A374="","",IFERROR(GETPIVOTDATA("合計 / 入金予定",【ピボット】国保連売上!$A$3,"年月",$A374,"事業所コード",$B374,"事業所",$C374,"事業区分",D$1,"請求区分","単月"),0)
+IFERROR(GETPIVOTDATA("合計 / 入金予定",【ピボット】国保連売上!$A$3,"年月",$A374,"事業所コード",$B374,"事業所",$C374,"事業区分",D$1,"請求区分","再請求"),0))</f>
        <v/>
      </c>
      <c r="E374" s="659" t="str">
        <f>IF($A374="","",IFERROR(GETPIVOTDATA("合計 / 処遇改善加算金",【ピボット】国保連売上!$A$3,"年月",$A374,"事業所コード",$B374,"事業所",$C374,"事業区分",D$1,"請求区分","単月"),0))</f>
        <v/>
      </c>
      <c r="F374" s="659" t="str">
        <f>IF($A374="","",IFERROR(GETPIVOTDATA("合計 / 入金予定",【ピボット】国保連売上!$A$3,"年月",$A374,"事業所コード",$B374,"事業所",$C374,"事業区分",F$1,"請求区分","単月"),0)
+IFERROR(GETPIVOTDATA("合計 / 入金予定",【ピボット】国保連売上!$A$3,"年月",$A374,"事業所コード",$B374,"事業所",$C374,"事業区分",F$1,"請求区分","再請求"),0))</f>
        <v/>
      </c>
      <c r="G374" s="659" t="str">
        <f>IF($A374="","",IFERROR(GETPIVOTDATA("合計 / 処遇改善加算金",【ピボット】国保連売上!$A$3,"年月",$A374,"事業所コード",$B374,"事業所",$C374,"事業区分",F$1,"請求区分","単月"),0))</f>
        <v/>
      </c>
      <c r="H374" s="659" t="str">
        <f>IF($A374="","",IFERROR(GETPIVOTDATA("合計 / 入金予定",【ピボット】国保連売上!$A$3,"年月",$A374,"事業所コード",$B374,"事業所",$C374,"事業区分",H$1,"請求区分","単月"),0)
+IFERROR(GETPIVOTDATA("合計 / 入金予定",【ピボット】国保連売上!$A$3,"年月",$A374,"事業所コード",$B374,"事業所",$C374,"事業区分",H$1,"請求区分","再請求"),0))</f>
        <v/>
      </c>
      <c r="I374" s="659" t="str">
        <f>IF($A374="","",IFERROR(GETPIVOTDATA("合計 / 入金予定",【ピボット】国保連売上!$A$3,"年月",$A374,"事業所コード",$B374,"事業所",$C374,"事業区分",I$1,"請求区分","単月"),0)
+IFERROR(GETPIVOTDATA("合計 / 入金予定",【ピボット】国保連売上!$A$3,"年月",$A374,"事業所コード",$B374,"事業所",$C374,"事業区分",I$1,"請求区分","再請求"),0))</f>
        <v/>
      </c>
      <c r="J374" s="659" t="str">
        <f>IF($A374="","",IFERROR(GETPIVOTDATA("合計 / 処遇改善加算金",【ピボット】国保連売上!$A$3,"年月",$A374,"事業所コード",$B374,"事業所",$C374,"事業区分",I$1,"請求区分","単月"),0))</f>
        <v/>
      </c>
      <c r="K374" s="659" t="str">
        <f>IF($A374="","",IFERROR(GETPIVOTDATA("合計 / 入金予定",【ピボット】国保連売上!$A$3,"年月",$A374,"事業所コード",$B374,"事業所",$C374,"事業区分",K$1,"請求区分","単月"),0)
+IFERROR(GETPIVOTDATA("合計 / 入金予定",【ピボット】国保連売上!$A$3,"年月",$A374,"事業所コード",$B374,"事業所",$C374,"事業区分",K$1,"請求区分","再請求"),0))</f>
        <v/>
      </c>
      <c r="L374" s="659" t="str">
        <f>IF($A374="","",IFERROR(GETPIVOTDATA("合計 / 処遇改善加算金",【ピボット】国保連売上!$A$3,"年月",$A374,"事業所コード",$B374,"事業所",$C374,"事業区分",K$1,"請求区分","単月"),0))</f>
        <v/>
      </c>
      <c r="M374" s="659" t="str">
        <f>IF($A374="","",IFERROR(GETPIVOTDATA("合計 / 入金予定",【ピボット】国保連売上!$A$3,"年月",$A374,"事業所コード",$B374,"事業所",$C374,"事業区分",M$1,"請求区分","単月"),0)
+IFERROR(GETPIVOTDATA("合計 / 入金予定",【ピボット】国保連売上!$A$3,"年月",$A374,"事業所コード",$B374,"事業所",$C374,"事業区分",M$1,"請求区分","再請求"),0))</f>
        <v/>
      </c>
      <c r="N374" s="660"/>
      <c r="O374" s="660"/>
      <c r="P374" s="660"/>
      <c r="Q374" s="660"/>
      <c r="R374" s="660"/>
      <c r="S374" s="660"/>
      <c r="T374" s="660"/>
      <c r="U374" s="660"/>
      <c r="V374" s="660"/>
      <c r="W374" s="660"/>
      <c r="X374" s="660"/>
      <c r="Y374" s="659" t="str">
        <f t="shared" ref="Y374:Y437" si="18">IF(A374="","",SUM(D374,F374,H374:I374,K374,M374:X374))</f>
        <v/>
      </c>
      <c r="Z374" s="659" t="str">
        <f t="shared" si="17"/>
        <v/>
      </c>
    </row>
    <row r="375" spans="1:26" ht="15.95" customHeight="1" x14ac:dyDescent="0.15">
      <c r="A375" s="656"/>
      <c r="B375" s="657" t="str">
        <f t="shared" si="16"/>
        <v/>
      </c>
      <c r="C375" s="658"/>
      <c r="D375" s="659" t="str">
        <f>IF($A375="","",IFERROR(GETPIVOTDATA("合計 / 入金予定",【ピボット】国保連売上!$A$3,"年月",$A375,"事業所コード",$B375,"事業所",$C375,"事業区分",D$1,"請求区分","単月"),0)
+IFERROR(GETPIVOTDATA("合計 / 入金予定",【ピボット】国保連売上!$A$3,"年月",$A375,"事業所コード",$B375,"事業所",$C375,"事業区分",D$1,"請求区分","再請求"),0))</f>
        <v/>
      </c>
      <c r="E375" s="659" t="str">
        <f>IF($A375="","",IFERROR(GETPIVOTDATA("合計 / 処遇改善加算金",【ピボット】国保連売上!$A$3,"年月",$A375,"事業所コード",$B375,"事業所",$C375,"事業区分",D$1,"請求区分","単月"),0))</f>
        <v/>
      </c>
      <c r="F375" s="659" t="str">
        <f>IF($A375="","",IFERROR(GETPIVOTDATA("合計 / 入金予定",【ピボット】国保連売上!$A$3,"年月",$A375,"事業所コード",$B375,"事業所",$C375,"事業区分",F$1,"請求区分","単月"),0)
+IFERROR(GETPIVOTDATA("合計 / 入金予定",【ピボット】国保連売上!$A$3,"年月",$A375,"事業所コード",$B375,"事業所",$C375,"事業区分",F$1,"請求区分","再請求"),0))</f>
        <v/>
      </c>
      <c r="G375" s="659" t="str">
        <f>IF($A375="","",IFERROR(GETPIVOTDATA("合計 / 処遇改善加算金",【ピボット】国保連売上!$A$3,"年月",$A375,"事業所コード",$B375,"事業所",$C375,"事業区分",F$1,"請求区分","単月"),0))</f>
        <v/>
      </c>
      <c r="H375" s="659" t="str">
        <f>IF($A375="","",IFERROR(GETPIVOTDATA("合計 / 入金予定",【ピボット】国保連売上!$A$3,"年月",$A375,"事業所コード",$B375,"事業所",$C375,"事業区分",H$1,"請求区分","単月"),0)
+IFERROR(GETPIVOTDATA("合計 / 入金予定",【ピボット】国保連売上!$A$3,"年月",$A375,"事業所コード",$B375,"事業所",$C375,"事業区分",H$1,"請求区分","再請求"),0))</f>
        <v/>
      </c>
      <c r="I375" s="659" t="str">
        <f>IF($A375="","",IFERROR(GETPIVOTDATA("合計 / 入金予定",【ピボット】国保連売上!$A$3,"年月",$A375,"事業所コード",$B375,"事業所",$C375,"事業区分",I$1,"請求区分","単月"),0)
+IFERROR(GETPIVOTDATA("合計 / 入金予定",【ピボット】国保連売上!$A$3,"年月",$A375,"事業所コード",$B375,"事業所",$C375,"事業区分",I$1,"請求区分","再請求"),0))</f>
        <v/>
      </c>
      <c r="J375" s="659" t="str">
        <f>IF($A375="","",IFERROR(GETPIVOTDATA("合計 / 処遇改善加算金",【ピボット】国保連売上!$A$3,"年月",$A375,"事業所コード",$B375,"事業所",$C375,"事業区分",I$1,"請求区分","単月"),0))</f>
        <v/>
      </c>
      <c r="K375" s="659" t="str">
        <f>IF($A375="","",IFERROR(GETPIVOTDATA("合計 / 入金予定",【ピボット】国保連売上!$A$3,"年月",$A375,"事業所コード",$B375,"事業所",$C375,"事業区分",K$1,"請求区分","単月"),0)
+IFERROR(GETPIVOTDATA("合計 / 入金予定",【ピボット】国保連売上!$A$3,"年月",$A375,"事業所コード",$B375,"事業所",$C375,"事業区分",K$1,"請求区分","再請求"),0))</f>
        <v/>
      </c>
      <c r="L375" s="659" t="str">
        <f>IF($A375="","",IFERROR(GETPIVOTDATA("合計 / 処遇改善加算金",【ピボット】国保連売上!$A$3,"年月",$A375,"事業所コード",$B375,"事業所",$C375,"事業区分",K$1,"請求区分","単月"),0))</f>
        <v/>
      </c>
      <c r="M375" s="659" t="str">
        <f>IF($A375="","",IFERROR(GETPIVOTDATA("合計 / 入金予定",【ピボット】国保連売上!$A$3,"年月",$A375,"事業所コード",$B375,"事業所",$C375,"事業区分",M$1,"請求区分","単月"),0)
+IFERROR(GETPIVOTDATA("合計 / 入金予定",【ピボット】国保連売上!$A$3,"年月",$A375,"事業所コード",$B375,"事業所",$C375,"事業区分",M$1,"請求区分","再請求"),0))</f>
        <v/>
      </c>
      <c r="N375" s="660"/>
      <c r="O375" s="660"/>
      <c r="P375" s="660"/>
      <c r="Q375" s="660"/>
      <c r="R375" s="660"/>
      <c r="S375" s="660"/>
      <c r="T375" s="660"/>
      <c r="U375" s="660"/>
      <c r="V375" s="660"/>
      <c r="W375" s="660"/>
      <c r="X375" s="660"/>
      <c r="Y375" s="659" t="str">
        <f t="shared" si="18"/>
        <v/>
      </c>
      <c r="Z375" s="659" t="str">
        <f t="shared" si="17"/>
        <v/>
      </c>
    </row>
    <row r="376" spans="1:26" ht="15.95" customHeight="1" x14ac:dyDescent="0.15">
      <c r="A376" s="656"/>
      <c r="B376" s="657" t="str">
        <f t="shared" si="16"/>
        <v/>
      </c>
      <c r="C376" s="658"/>
      <c r="D376" s="659" t="str">
        <f>IF($A376="","",IFERROR(GETPIVOTDATA("合計 / 入金予定",【ピボット】国保連売上!$A$3,"年月",$A376,"事業所コード",$B376,"事業所",$C376,"事業区分",D$1,"請求区分","単月"),0)
+IFERROR(GETPIVOTDATA("合計 / 入金予定",【ピボット】国保連売上!$A$3,"年月",$A376,"事業所コード",$B376,"事業所",$C376,"事業区分",D$1,"請求区分","再請求"),0))</f>
        <v/>
      </c>
      <c r="E376" s="659" t="str">
        <f>IF($A376="","",IFERROR(GETPIVOTDATA("合計 / 処遇改善加算金",【ピボット】国保連売上!$A$3,"年月",$A376,"事業所コード",$B376,"事業所",$C376,"事業区分",D$1,"請求区分","単月"),0))</f>
        <v/>
      </c>
      <c r="F376" s="659" t="str">
        <f>IF($A376="","",IFERROR(GETPIVOTDATA("合計 / 入金予定",【ピボット】国保連売上!$A$3,"年月",$A376,"事業所コード",$B376,"事業所",$C376,"事業区分",F$1,"請求区分","単月"),0)
+IFERROR(GETPIVOTDATA("合計 / 入金予定",【ピボット】国保連売上!$A$3,"年月",$A376,"事業所コード",$B376,"事業所",$C376,"事業区分",F$1,"請求区分","再請求"),0))</f>
        <v/>
      </c>
      <c r="G376" s="659" t="str">
        <f>IF($A376="","",IFERROR(GETPIVOTDATA("合計 / 処遇改善加算金",【ピボット】国保連売上!$A$3,"年月",$A376,"事業所コード",$B376,"事業所",$C376,"事業区分",F$1,"請求区分","単月"),0))</f>
        <v/>
      </c>
      <c r="H376" s="659" t="str">
        <f>IF($A376="","",IFERROR(GETPIVOTDATA("合計 / 入金予定",【ピボット】国保連売上!$A$3,"年月",$A376,"事業所コード",$B376,"事業所",$C376,"事業区分",H$1,"請求区分","単月"),0)
+IFERROR(GETPIVOTDATA("合計 / 入金予定",【ピボット】国保連売上!$A$3,"年月",$A376,"事業所コード",$B376,"事業所",$C376,"事業区分",H$1,"請求区分","再請求"),0))</f>
        <v/>
      </c>
      <c r="I376" s="659" t="str">
        <f>IF($A376="","",IFERROR(GETPIVOTDATA("合計 / 入金予定",【ピボット】国保連売上!$A$3,"年月",$A376,"事業所コード",$B376,"事業所",$C376,"事業区分",I$1,"請求区分","単月"),0)
+IFERROR(GETPIVOTDATA("合計 / 入金予定",【ピボット】国保連売上!$A$3,"年月",$A376,"事業所コード",$B376,"事業所",$C376,"事業区分",I$1,"請求区分","再請求"),0))</f>
        <v/>
      </c>
      <c r="J376" s="659" t="str">
        <f>IF($A376="","",IFERROR(GETPIVOTDATA("合計 / 処遇改善加算金",【ピボット】国保連売上!$A$3,"年月",$A376,"事業所コード",$B376,"事業所",$C376,"事業区分",I$1,"請求区分","単月"),0))</f>
        <v/>
      </c>
      <c r="K376" s="659" t="str">
        <f>IF($A376="","",IFERROR(GETPIVOTDATA("合計 / 入金予定",【ピボット】国保連売上!$A$3,"年月",$A376,"事業所コード",$B376,"事業所",$C376,"事業区分",K$1,"請求区分","単月"),0)
+IFERROR(GETPIVOTDATA("合計 / 入金予定",【ピボット】国保連売上!$A$3,"年月",$A376,"事業所コード",$B376,"事業所",$C376,"事業区分",K$1,"請求区分","再請求"),0))</f>
        <v/>
      </c>
      <c r="L376" s="659" t="str">
        <f>IF($A376="","",IFERROR(GETPIVOTDATA("合計 / 処遇改善加算金",【ピボット】国保連売上!$A$3,"年月",$A376,"事業所コード",$B376,"事業所",$C376,"事業区分",K$1,"請求区分","単月"),0))</f>
        <v/>
      </c>
      <c r="M376" s="659" t="str">
        <f>IF($A376="","",IFERROR(GETPIVOTDATA("合計 / 入金予定",【ピボット】国保連売上!$A$3,"年月",$A376,"事業所コード",$B376,"事業所",$C376,"事業区分",M$1,"請求区分","単月"),0)
+IFERROR(GETPIVOTDATA("合計 / 入金予定",【ピボット】国保連売上!$A$3,"年月",$A376,"事業所コード",$B376,"事業所",$C376,"事業区分",M$1,"請求区分","再請求"),0))</f>
        <v/>
      </c>
      <c r="N376" s="660"/>
      <c r="O376" s="660"/>
      <c r="P376" s="660"/>
      <c r="Q376" s="660"/>
      <c r="R376" s="660"/>
      <c r="S376" s="660"/>
      <c r="T376" s="660"/>
      <c r="U376" s="660"/>
      <c r="V376" s="660"/>
      <c r="W376" s="660"/>
      <c r="X376" s="660"/>
      <c r="Y376" s="659" t="str">
        <f t="shared" si="18"/>
        <v/>
      </c>
      <c r="Z376" s="659" t="str">
        <f t="shared" si="17"/>
        <v/>
      </c>
    </row>
    <row r="377" spans="1:26" ht="15.95" customHeight="1" x14ac:dyDescent="0.15">
      <c r="A377" s="656"/>
      <c r="B377" s="657" t="str">
        <f t="shared" si="16"/>
        <v/>
      </c>
      <c r="C377" s="658"/>
      <c r="D377" s="659" t="str">
        <f>IF($A377="","",IFERROR(GETPIVOTDATA("合計 / 入金予定",【ピボット】国保連売上!$A$3,"年月",$A377,"事業所コード",$B377,"事業所",$C377,"事業区分",D$1,"請求区分","単月"),0)
+IFERROR(GETPIVOTDATA("合計 / 入金予定",【ピボット】国保連売上!$A$3,"年月",$A377,"事業所コード",$B377,"事業所",$C377,"事業区分",D$1,"請求区分","再請求"),0))</f>
        <v/>
      </c>
      <c r="E377" s="659" t="str">
        <f>IF($A377="","",IFERROR(GETPIVOTDATA("合計 / 処遇改善加算金",【ピボット】国保連売上!$A$3,"年月",$A377,"事業所コード",$B377,"事業所",$C377,"事業区分",D$1,"請求区分","単月"),0))</f>
        <v/>
      </c>
      <c r="F377" s="659" t="str">
        <f>IF($A377="","",IFERROR(GETPIVOTDATA("合計 / 入金予定",【ピボット】国保連売上!$A$3,"年月",$A377,"事業所コード",$B377,"事業所",$C377,"事業区分",F$1,"請求区分","単月"),0)
+IFERROR(GETPIVOTDATA("合計 / 入金予定",【ピボット】国保連売上!$A$3,"年月",$A377,"事業所コード",$B377,"事業所",$C377,"事業区分",F$1,"請求区分","再請求"),0))</f>
        <v/>
      </c>
      <c r="G377" s="659" t="str">
        <f>IF($A377="","",IFERROR(GETPIVOTDATA("合計 / 処遇改善加算金",【ピボット】国保連売上!$A$3,"年月",$A377,"事業所コード",$B377,"事業所",$C377,"事業区分",F$1,"請求区分","単月"),0))</f>
        <v/>
      </c>
      <c r="H377" s="659" t="str">
        <f>IF($A377="","",IFERROR(GETPIVOTDATA("合計 / 入金予定",【ピボット】国保連売上!$A$3,"年月",$A377,"事業所コード",$B377,"事業所",$C377,"事業区分",H$1,"請求区分","単月"),0)
+IFERROR(GETPIVOTDATA("合計 / 入金予定",【ピボット】国保連売上!$A$3,"年月",$A377,"事業所コード",$B377,"事業所",$C377,"事業区分",H$1,"請求区分","再請求"),0))</f>
        <v/>
      </c>
      <c r="I377" s="659" t="str">
        <f>IF($A377="","",IFERROR(GETPIVOTDATA("合計 / 入金予定",【ピボット】国保連売上!$A$3,"年月",$A377,"事業所コード",$B377,"事業所",$C377,"事業区分",I$1,"請求区分","単月"),0)
+IFERROR(GETPIVOTDATA("合計 / 入金予定",【ピボット】国保連売上!$A$3,"年月",$A377,"事業所コード",$B377,"事業所",$C377,"事業区分",I$1,"請求区分","再請求"),0))</f>
        <v/>
      </c>
      <c r="J377" s="659" t="str">
        <f>IF($A377="","",IFERROR(GETPIVOTDATA("合計 / 処遇改善加算金",【ピボット】国保連売上!$A$3,"年月",$A377,"事業所コード",$B377,"事業所",$C377,"事業区分",I$1,"請求区分","単月"),0))</f>
        <v/>
      </c>
      <c r="K377" s="659" t="str">
        <f>IF($A377="","",IFERROR(GETPIVOTDATA("合計 / 入金予定",【ピボット】国保連売上!$A$3,"年月",$A377,"事業所コード",$B377,"事業所",$C377,"事業区分",K$1,"請求区分","単月"),0)
+IFERROR(GETPIVOTDATA("合計 / 入金予定",【ピボット】国保連売上!$A$3,"年月",$A377,"事業所コード",$B377,"事業所",$C377,"事業区分",K$1,"請求区分","再請求"),0))</f>
        <v/>
      </c>
      <c r="L377" s="659" t="str">
        <f>IF($A377="","",IFERROR(GETPIVOTDATA("合計 / 処遇改善加算金",【ピボット】国保連売上!$A$3,"年月",$A377,"事業所コード",$B377,"事業所",$C377,"事業区分",K$1,"請求区分","単月"),0))</f>
        <v/>
      </c>
      <c r="M377" s="659" t="str">
        <f>IF($A377="","",IFERROR(GETPIVOTDATA("合計 / 入金予定",【ピボット】国保連売上!$A$3,"年月",$A377,"事業所コード",$B377,"事業所",$C377,"事業区分",M$1,"請求区分","単月"),0)
+IFERROR(GETPIVOTDATA("合計 / 入金予定",【ピボット】国保連売上!$A$3,"年月",$A377,"事業所コード",$B377,"事業所",$C377,"事業区分",M$1,"請求区分","再請求"),0))</f>
        <v/>
      </c>
      <c r="N377" s="660"/>
      <c r="O377" s="660"/>
      <c r="P377" s="660"/>
      <c r="Q377" s="660"/>
      <c r="R377" s="660"/>
      <c r="S377" s="660"/>
      <c r="T377" s="660"/>
      <c r="U377" s="660"/>
      <c r="V377" s="660"/>
      <c r="W377" s="660"/>
      <c r="X377" s="660"/>
      <c r="Y377" s="659" t="str">
        <f t="shared" si="18"/>
        <v/>
      </c>
      <c r="Z377" s="659" t="str">
        <f t="shared" si="17"/>
        <v/>
      </c>
    </row>
    <row r="378" spans="1:26" ht="15.95" customHeight="1" x14ac:dyDescent="0.15">
      <c r="A378" s="656"/>
      <c r="B378" s="657" t="str">
        <f t="shared" si="16"/>
        <v/>
      </c>
      <c r="C378" s="658"/>
      <c r="D378" s="659" t="str">
        <f>IF($A378="","",IFERROR(GETPIVOTDATA("合計 / 入金予定",【ピボット】国保連売上!$A$3,"年月",$A378,"事業所コード",$B378,"事業所",$C378,"事業区分",D$1,"請求区分","単月"),0)
+IFERROR(GETPIVOTDATA("合計 / 入金予定",【ピボット】国保連売上!$A$3,"年月",$A378,"事業所コード",$B378,"事業所",$C378,"事業区分",D$1,"請求区分","再請求"),0))</f>
        <v/>
      </c>
      <c r="E378" s="659" t="str">
        <f>IF($A378="","",IFERROR(GETPIVOTDATA("合計 / 処遇改善加算金",【ピボット】国保連売上!$A$3,"年月",$A378,"事業所コード",$B378,"事業所",$C378,"事業区分",D$1,"請求区分","単月"),0))</f>
        <v/>
      </c>
      <c r="F378" s="659" t="str">
        <f>IF($A378="","",IFERROR(GETPIVOTDATA("合計 / 入金予定",【ピボット】国保連売上!$A$3,"年月",$A378,"事業所コード",$B378,"事業所",$C378,"事業区分",F$1,"請求区分","単月"),0)
+IFERROR(GETPIVOTDATA("合計 / 入金予定",【ピボット】国保連売上!$A$3,"年月",$A378,"事業所コード",$B378,"事業所",$C378,"事業区分",F$1,"請求区分","再請求"),0))</f>
        <v/>
      </c>
      <c r="G378" s="659" t="str">
        <f>IF($A378="","",IFERROR(GETPIVOTDATA("合計 / 処遇改善加算金",【ピボット】国保連売上!$A$3,"年月",$A378,"事業所コード",$B378,"事業所",$C378,"事業区分",F$1,"請求区分","単月"),0))</f>
        <v/>
      </c>
      <c r="H378" s="659" t="str">
        <f>IF($A378="","",IFERROR(GETPIVOTDATA("合計 / 入金予定",【ピボット】国保連売上!$A$3,"年月",$A378,"事業所コード",$B378,"事業所",$C378,"事業区分",H$1,"請求区分","単月"),0)
+IFERROR(GETPIVOTDATA("合計 / 入金予定",【ピボット】国保連売上!$A$3,"年月",$A378,"事業所コード",$B378,"事業所",$C378,"事業区分",H$1,"請求区分","再請求"),0))</f>
        <v/>
      </c>
      <c r="I378" s="659" t="str">
        <f>IF($A378="","",IFERROR(GETPIVOTDATA("合計 / 入金予定",【ピボット】国保連売上!$A$3,"年月",$A378,"事業所コード",$B378,"事業所",$C378,"事業区分",I$1,"請求区分","単月"),0)
+IFERROR(GETPIVOTDATA("合計 / 入金予定",【ピボット】国保連売上!$A$3,"年月",$A378,"事業所コード",$B378,"事業所",$C378,"事業区分",I$1,"請求区分","再請求"),0))</f>
        <v/>
      </c>
      <c r="J378" s="659" t="str">
        <f>IF($A378="","",IFERROR(GETPIVOTDATA("合計 / 処遇改善加算金",【ピボット】国保連売上!$A$3,"年月",$A378,"事業所コード",$B378,"事業所",$C378,"事業区分",I$1,"請求区分","単月"),0))</f>
        <v/>
      </c>
      <c r="K378" s="659" t="str">
        <f>IF($A378="","",IFERROR(GETPIVOTDATA("合計 / 入金予定",【ピボット】国保連売上!$A$3,"年月",$A378,"事業所コード",$B378,"事業所",$C378,"事業区分",K$1,"請求区分","単月"),0)
+IFERROR(GETPIVOTDATA("合計 / 入金予定",【ピボット】国保連売上!$A$3,"年月",$A378,"事業所コード",$B378,"事業所",$C378,"事業区分",K$1,"請求区分","再請求"),0))</f>
        <v/>
      </c>
      <c r="L378" s="659" t="str">
        <f>IF($A378="","",IFERROR(GETPIVOTDATA("合計 / 処遇改善加算金",【ピボット】国保連売上!$A$3,"年月",$A378,"事業所コード",$B378,"事業所",$C378,"事業区分",K$1,"請求区分","単月"),0))</f>
        <v/>
      </c>
      <c r="M378" s="659" t="str">
        <f>IF($A378="","",IFERROR(GETPIVOTDATA("合計 / 入金予定",【ピボット】国保連売上!$A$3,"年月",$A378,"事業所コード",$B378,"事業所",$C378,"事業区分",M$1,"請求区分","単月"),0)
+IFERROR(GETPIVOTDATA("合計 / 入金予定",【ピボット】国保連売上!$A$3,"年月",$A378,"事業所コード",$B378,"事業所",$C378,"事業区分",M$1,"請求区分","再請求"),0))</f>
        <v/>
      </c>
      <c r="N378" s="660"/>
      <c r="O378" s="660"/>
      <c r="P378" s="660"/>
      <c r="Q378" s="660"/>
      <c r="R378" s="660"/>
      <c r="S378" s="660"/>
      <c r="T378" s="660"/>
      <c r="U378" s="660"/>
      <c r="V378" s="660"/>
      <c r="W378" s="660"/>
      <c r="X378" s="660"/>
      <c r="Y378" s="659" t="str">
        <f t="shared" si="18"/>
        <v/>
      </c>
      <c r="Z378" s="659" t="str">
        <f t="shared" si="17"/>
        <v/>
      </c>
    </row>
    <row r="379" spans="1:26" ht="15.95" customHeight="1" x14ac:dyDescent="0.15">
      <c r="A379" s="656"/>
      <c r="B379" s="657" t="str">
        <f t="shared" si="16"/>
        <v/>
      </c>
      <c r="C379" s="658"/>
      <c r="D379" s="659" t="str">
        <f>IF($A379="","",IFERROR(GETPIVOTDATA("合計 / 入金予定",【ピボット】国保連売上!$A$3,"年月",$A379,"事業所コード",$B379,"事業所",$C379,"事業区分",D$1,"請求区分","単月"),0)
+IFERROR(GETPIVOTDATA("合計 / 入金予定",【ピボット】国保連売上!$A$3,"年月",$A379,"事業所コード",$B379,"事業所",$C379,"事業区分",D$1,"請求区分","再請求"),0))</f>
        <v/>
      </c>
      <c r="E379" s="659" t="str">
        <f>IF($A379="","",IFERROR(GETPIVOTDATA("合計 / 処遇改善加算金",【ピボット】国保連売上!$A$3,"年月",$A379,"事業所コード",$B379,"事業所",$C379,"事業区分",D$1,"請求区分","単月"),0))</f>
        <v/>
      </c>
      <c r="F379" s="659" t="str">
        <f>IF($A379="","",IFERROR(GETPIVOTDATA("合計 / 入金予定",【ピボット】国保連売上!$A$3,"年月",$A379,"事業所コード",$B379,"事業所",$C379,"事業区分",F$1,"請求区分","単月"),0)
+IFERROR(GETPIVOTDATA("合計 / 入金予定",【ピボット】国保連売上!$A$3,"年月",$A379,"事業所コード",$B379,"事業所",$C379,"事業区分",F$1,"請求区分","再請求"),0))</f>
        <v/>
      </c>
      <c r="G379" s="659" t="str">
        <f>IF($A379="","",IFERROR(GETPIVOTDATA("合計 / 処遇改善加算金",【ピボット】国保連売上!$A$3,"年月",$A379,"事業所コード",$B379,"事業所",$C379,"事業区分",F$1,"請求区分","単月"),0))</f>
        <v/>
      </c>
      <c r="H379" s="659" t="str">
        <f>IF($A379="","",IFERROR(GETPIVOTDATA("合計 / 入金予定",【ピボット】国保連売上!$A$3,"年月",$A379,"事業所コード",$B379,"事業所",$C379,"事業区分",H$1,"請求区分","単月"),0)
+IFERROR(GETPIVOTDATA("合計 / 入金予定",【ピボット】国保連売上!$A$3,"年月",$A379,"事業所コード",$B379,"事業所",$C379,"事業区分",H$1,"請求区分","再請求"),0))</f>
        <v/>
      </c>
      <c r="I379" s="659" t="str">
        <f>IF($A379="","",IFERROR(GETPIVOTDATA("合計 / 入金予定",【ピボット】国保連売上!$A$3,"年月",$A379,"事業所コード",$B379,"事業所",$C379,"事業区分",I$1,"請求区分","単月"),0)
+IFERROR(GETPIVOTDATA("合計 / 入金予定",【ピボット】国保連売上!$A$3,"年月",$A379,"事業所コード",$B379,"事業所",$C379,"事業区分",I$1,"請求区分","再請求"),0))</f>
        <v/>
      </c>
      <c r="J379" s="659" t="str">
        <f>IF($A379="","",IFERROR(GETPIVOTDATA("合計 / 処遇改善加算金",【ピボット】国保連売上!$A$3,"年月",$A379,"事業所コード",$B379,"事業所",$C379,"事業区分",I$1,"請求区分","単月"),0))</f>
        <v/>
      </c>
      <c r="K379" s="659" t="str">
        <f>IF($A379="","",IFERROR(GETPIVOTDATA("合計 / 入金予定",【ピボット】国保連売上!$A$3,"年月",$A379,"事業所コード",$B379,"事業所",$C379,"事業区分",K$1,"請求区分","単月"),0)
+IFERROR(GETPIVOTDATA("合計 / 入金予定",【ピボット】国保連売上!$A$3,"年月",$A379,"事業所コード",$B379,"事業所",$C379,"事業区分",K$1,"請求区分","再請求"),0))</f>
        <v/>
      </c>
      <c r="L379" s="659" t="str">
        <f>IF($A379="","",IFERROR(GETPIVOTDATA("合計 / 処遇改善加算金",【ピボット】国保連売上!$A$3,"年月",$A379,"事業所コード",$B379,"事業所",$C379,"事業区分",K$1,"請求区分","単月"),0))</f>
        <v/>
      </c>
      <c r="M379" s="659" t="str">
        <f>IF($A379="","",IFERROR(GETPIVOTDATA("合計 / 入金予定",【ピボット】国保連売上!$A$3,"年月",$A379,"事業所コード",$B379,"事業所",$C379,"事業区分",M$1,"請求区分","単月"),0)
+IFERROR(GETPIVOTDATA("合計 / 入金予定",【ピボット】国保連売上!$A$3,"年月",$A379,"事業所コード",$B379,"事業所",$C379,"事業区分",M$1,"請求区分","再請求"),0))</f>
        <v/>
      </c>
      <c r="N379" s="660"/>
      <c r="O379" s="660"/>
      <c r="P379" s="660"/>
      <c r="Q379" s="660"/>
      <c r="R379" s="660"/>
      <c r="S379" s="660"/>
      <c r="T379" s="660"/>
      <c r="U379" s="660"/>
      <c r="V379" s="660"/>
      <c r="W379" s="660"/>
      <c r="X379" s="660"/>
      <c r="Y379" s="659" t="str">
        <f t="shared" si="18"/>
        <v/>
      </c>
      <c r="Z379" s="659" t="str">
        <f t="shared" si="17"/>
        <v/>
      </c>
    </row>
    <row r="380" spans="1:26" ht="15.95" customHeight="1" x14ac:dyDescent="0.15">
      <c r="A380" s="656"/>
      <c r="B380" s="657" t="str">
        <f t="shared" si="16"/>
        <v/>
      </c>
      <c r="C380" s="658"/>
      <c r="D380" s="659" t="str">
        <f>IF($A380="","",IFERROR(GETPIVOTDATA("合計 / 入金予定",【ピボット】国保連売上!$A$3,"年月",$A380,"事業所コード",$B380,"事業所",$C380,"事業区分",D$1,"請求区分","単月"),0)
+IFERROR(GETPIVOTDATA("合計 / 入金予定",【ピボット】国保連売上!$A$3,"年月",$A380,"事業所コード",$B380,"事業所",$C380,"事業区分",D$1,"請求区分","再請求"),0))</f>
        <v/>
      </c>
      <c r="E380" s="659" t="str">
        <f>IF($A380="","",IFERROR(GETPIVOTDATA("合計 / 処遇改善加算金",【ピボット】国保連売上!$A$3,"年月",$A380,"事業所コード",$B380,"事業所",$C380,"事業区分",D$1,"請求区分","単月"),0))</f>
        <v/>
      </c>
      <c r="F380" s="659" t="str">
        <f>IF($A380="","",IFERROR(GETPIVOTDATA("合計 / 入金予定",【ピボット】国保連売上!$A$3,"年月",$A380,"事業所コード",$B380,"事業所",$C380,"事業区分",F$1,"請求区分","単月"),0)
+IFERROR(GETPIVOTDATA("合計 / 入金予定",【ピボット】国保連売上!$A$3,"年月",$A380,"事業所コード",$B380,"事業所",$C380,"事業区分",F$1,"請求区分","再請求"),0))</f>
        <v/>
      </c>
      <c r="G380" s="659" t="str">
        <f>IF($A380="","",IFERROR(GETPIVOTDATA("合計 / 処遇改善加算金",【ピボット】国保連売上!$A$3,"年月",$A380,"事業所コード",$B380,"事業所",$C380,"事業区分",F$1,"請求区分","単月"),0))</f>
        <v/>
      </c>
      <c r="H380" s="659" t="str">
        <f>IF($A380="","",IFERROR(GETPIVOTDATA("合計 / 入金予定",【ピボット】国保連売上!$A$3,"年月",$A380,"事業所コード",$B380,"事業所",$C380,"事業区分",H$1,"請求区分","単月"),0)
+IFERROR(GETPIVOTDATA("合計 / 入金予定",【ピボット】国保連売上!$A$3,"年月",$A380,"事業所コード",$B380,"事業所",$C380,"事業区分",H$1,"請求区分","再請求"),0))</f>
        <v/>
      </c>
      <c r="I380" s="659" t="str">
        <f>IF($A380="","",IFERROR(GETPIVOTDATA("合計 / 入金予定",【ピボット】国保連売上!$A$3,"年月",$A380,"事業所コード",$B380,"事業所",$C380,"事業区分",I$1,"請求区分","単月"),0)
+IFERROR(GETPIVOTDATA("合計 / 入金予定",【ピボット】国保連売上!$A$3,"年月",$A380,"事業所コード",$B380,"事業所",$C380,"事業区分",I$1,"請求区分","再請求"),0))</f>
        <v/>
      </c>
      <c r="J380" s="659" t="str">
        <f>IF($A380="","",IFERROR(GETPIVOTDATA("合計 / 処遇改善加算金",【ピボット】国保連売上!$A$3,"年月",$A380,"事業所コード",$B380,"事業所",$C380,"事業区分",I$1,"請求区分","単月"),0))</f>
        <v/>
      </c>
      <c r="K380" s="659" t="str">
        <f>IF($A380="","",IFERROR(GETPIVOTDATA("合計 / 入金予定",【ピボット】国保連売上!$A$3,"年月",$A380,"事業所コード",$B380,"事業所",$C380,"事業区分",K$1,"請求区分","単月"),0)
+IFERROR(GETPIVOTDATA("合計 / 入金予定",【ピボット】国保連売上!$A$3,"年月",$A380,"事業所コード",$B380,"事業所",$C380,"事業区分",K$1,"請求区分","再請求"),0))</f>
        <v/>
      </c>
      <c r="L380" s="659" t="str">
        <f>IF($A380="","",IFERROR(GETPIVOTDATA("合計 / 処遇改善加算金",【ピボット】国保連売上!$A$3,"年月",$A380,"事業所コード",$B380,"事業所",$C380,"事業区分",K$1,"請求区分","単月"),0))</f>
        <v/>
      </c>
      <c r="M380" s="659" t="str">
        <f>IF($A380="","",IFERROR(GETPIVOTDATA("合計 / 入金予定",【ピボット】国保連売上!$A$3,"年月",$A380,"事業所コード",$B380,"事業所",$C380,"事業区分",M$1,"請求区分","単月"),0)
+IFERROR(GETPIVOTDATA("合計 / 入金予定",【ピボット】国保連売上!$A$3,"年月",$A380,"事業所コード",$B380,"事業所",$C380,"事業区分",M$1,"請求区分","再請求"),0))</f>
        <v/>
      </c>
      <c r="N380" s="660"/>
      <c r="O380" s="660"/>
      <c r="P380" s="660"/>
      <c r="Q380" s="660"/>
      <c r="R380" s="660"/>
      <c r="S380" s="660"/>
      <c r="T380" s="660"/>
      <c r="U380" s="660"/>
      <c r="V380" s="660"/>
      <c r="W380" s="660"/>
      <c r="X380" s="660"/>
      <c r="Y380" s="659" t="str">
        <f t="shared" si="18"/>
        <v/>
      </c>
      <c r="Z380" s="659" t="str">
        <f t="shared" si="17"/>
        <v/>
      </c>
    </row>
    <row r="381" spans="1:26" ht="15.95" customHeight="1" x14ac:dyDescent="0.15">
      <c r="A381" s="656"/>
      <c r="B381" s="657" t="str">
        <f t="shared" si="16"/>
        <v/>
      </c>
      <c r="C381" s="658"/>
      <c r="D381" s="659" t="str">
        <f>IF($A381="","",IFERROR(GETPIVOTDATA("合計 / 入金予定",【ピボット】国保連売上!$A$3,"年月",$A381,"事業所コード",$B381,"事業所",$C381,"事業区分",D$1,"請求区分","単月"),0)
+IFERROR(GETPIVOTDATA("合計 / 入金予定",【ピボット】国保連売上!$A$3,"年月",$A381,"事業所コード",$B381,"事業所",$C381,"事業区分",D$1,"請求区分","再請求"),0))</f>
        <v/>
      </c>
      <c r="E381" s="659" t="str">
        <f>IF($A381="","",IFERROR(GETPIVOTDATA("合計 / 処遇改善加算金",【ピボット】国保連売上!$A$3,"年月",$A381,"事業所コード",$B381,"事業所",$C381,"事業区分",D$1,"請求区分","単月"),0))</f>
        <v/>
      </c>
      <c r="F381" s="659" t="str">
        <f>IF($A381="","",IFERROR(GETPIVOTDATA("合計 / 入金予定",【ピボット】国保連売上!$A$3,"年月",$A381,"事業所コード",$B381,"事業所",$C381,"事業区分",F$1,"請求区分","単月"),0)
+IFERROR(GETPIVOTDATA("合計 / 入金予定",【ピボット】国保連売上!$A$3,"年月",$A381,"事業所コード",$B381,"事業所",$C381,"事業区分",F$1,"請求区分","再請求"),0))</f>
        <v/>
      </c>
      <c r="G381" s="659" t="str">
        <f>IF($A381="","",IFERROR(GETPIVOTDATA("合計 / 処遇改善加算金",【ピボット】国保連売上!$A$3,"年月",$A381,"事業所コード",$B381,"事業所",$C381,"事業区分",F$1,"請求区分","単月"),0))</f>
        <v/>
      </c>
      <c r="H381" s="659" t="str">
        <f>IF($A381="","",IFERROR(GETPIVOTDATA("合計 / 入金予定",【ピボット】国保連売上!$A$3,"年月",$A381,"事業所コード",$B381,"事業所",$C381,"事業区分",H$1,"請求区分","単月"),0)
+IFERROR(GETPIVOTDATA("合計 / 入金予定",【ピボット】国保連売上!$A$3,"年月",$A381,"事業所コード",$B381,"事業所",$C381,"事業区分",H$1,"請求区分","再請求"),0))</f>
        <v/>
      </c>
      <c r="I381" s="659" t="str">
        <f>IF($A381="","",IFERROR(GETPIVOTDATA("合計 / 入金予定",【ピボット】国保連売上!$A$3,"年月",$A381,"事業所コード",$B381,"事業所",$C381,"事業区分",I$1,"請求区分","単月"),0)
+IFERROR(GETPIVOTDATA("合計 / 入金予定",【ピボット】国保連売上!$A$3,"年月",$A381,"事業所コード",$B381,"事業所",$C381,"事業区分",I$1,"請求区分","再請求"),0))</f>
        <v/>
      </c>
      <c r="J381" s="659" t="str">
        <f>IF($A381="","",IFERROR(GETPIVOTDATA("合計 / 処遇改善加算金",【ピボット】国保連売上!$A$3,"年月",$A381,"事業所コード",$B381,"事業所",$C381,"事業区分",I$1,"請求区分","単月"),0))</f>
        <v/>
      </c>
      <c r="K381" s="659" t="str">
        <f>IF($A381="","",IFERROR(GETPIVOTDATA("合計 / 入金予定",【ピボット】国保連売上!$A$3,"年月",$A381,"事業所コード",$B381,"事業所",$C381,"事業区分",K$1,"請求区分","単月"),0)
+IFERROR(GETPIVOTDATA("合計 / 入金予定",【ピボット】国保連売上!$A$3,"年月",$A381,"事業所コード",$B381,"事業所",$C381,"事業区分",K$1,"請求区分","再請求"),0))</f>
        <v/>
      </c>
      <c r="L381" s="659" t="str">
        <f>IF($A381="","",IFERROR(GETPIVOTDATA("合計 / 処遇改善加算金",【ピボット】国保連売上!$A$3,"年月",$A381,"事業所コード",$B381,"事業所",$C381,"事業区分",K$1,"請求区分","単月"),0))</f>
        <v/>
      </c>
      <c r="M381" s="659" t="str">
        <f>IF($A381="","",IFERROR(GETPIVOTDATA("合計 / 入金予定",【ピボット】国保連売上!$A$3,"年月",$A381,"事業所コード",$B381,"事業所",$C381,"事業区分",M$1,"請求区分","単月"),0)
+IFERROR(GETPIVOTDATA("合計 / 入金予定",【ピボット】国保連売上!$A$3,"年月",$A381,"事業所コード",$B381,"事業所",$C381,"事業区分",M$1,"請求区分","再請求"),0))</f>
        <v/>
      </c>
      <c r="N381" s="660"/>
      <c r="O381" s="660"/>
      <c r="P381" s="660"/>
      <c r="Q381" s="660"/>
      <c r="R381" s="660"/>
      <c r="S381" s="660"/>
      <c r="T381" s="660"/>
      <c r="U381" s="660"/>
      <c r="V381" s="660"/>
      <c r="W381" s="660"/>
      <c r="X381" s="660"/>
      <c r="Y381" s="659" t="str">
        <f t="shared" si="18"/>
        <v/>
      </c>
      <c r="Z381" s="659" t="str">
        <f t="shared" si="17"/>
        <v/>
      </c>
    </row>
    <row r="382" spans="1:26" ht="15.95" customHeight="1" x14ac:dyDescent="0.15">
      <c r="A382" s="656"/>
      <c r="B382" s="657" t="str">
        <f t="shared" si="16"/>
        <v/>
      </c>
      <c r="C382" s="658"/>
      <c r="D382" s="659" t="str">
        <f>IF($A382="","",IFERROR(GETPIVOTDATA("合計 / 入金予定",【ピボット】国保連売上!$A$3,"年月",$A382,"事業所コード",$B382,"事業所",$C382,"事業区分",D$1,"請求区分","単月"),0)
+IFERROR(GETPIVOTDATA("合計 / 入金予定",【ピボット】国保連売上!$A$3,"年月",$A382,"事業所コード",$B382,"事業所",$C382,"事業区分",D$1,"請求区分","再請求"),0))</f>
        <v/>
      </c>
      <c r="E382" s="659" t="str">
        <f>IF($A382="","",IFERROR(GETPIVOTDATA("合計 / 処遇改善加算金",【ピボット】国保連売上!$A$3,"年月",$A382,"事業所コード",$B382,"事業所",$C382,"事業区分",D$1,"請求区分","単月"),0))</f>
        <v/>
      </c>
      <c r="F382" s="659" t="str">
        <f>IF($A382="","",IFERROR(GETPIVOTDATA("合計 / 入金予定",【ピボット】国保連売上!$A$3,"年月",$A382,"事業所コード",$B382,"事業所",$C382,"事業区分",F$1,"請求区分","単月"),0)
+IFERROR(GETPIVOTDATA("合計 / 入金予定",【ピボット】国保連売上!$A$3,"年月",$A382,"事業所コード",$B382,"事業所",$C382,"事業区分",F$1,"請求区分","再請求"),0))</f>
        <v/>
      </c>
      <c r="G382" s="659" t="str">
        <f>IF($A382="","",IFERROR(GETPIVOTDATA("合計 / 処遇改善加算金",【ピボット】国保連売上!$A$3,"年月",$A382,"事業所コード",$B382,"事業所",$C382,"事業区分",F$1,"請求区分","単月"),0))</f>
        <v/>
      </c>
      <c r="H382" s="659" t="str">
        <f>IF($A382="","",IFERROR(GETPIVOTDATA("合計 / 入金予定",【ピボット】国保連売上!$A$3,"年月",$A382,"事業所コード",$B382,"事業所",$C382,"事業区分",H$1,"請求区分","単月"),0)
+IFERROR(GETPIVOTDATA("合計 / 入金予定",【ピボット】国保連売上!$A$3,"年月",$A382,"事業所コード",$B382,"事業所",$C382,"事業区分",H$1,"請求区分","再請求"),0))</f>
        <v/>
      </c>
      <c r="I382" s="659" t="str">
        <f>IF($A382="","",IFERROR(GETPIVOTDATA("合計 / 入金予定",【ピボット】国保連売上!$A$3,"年月",$A382,"事業所コード",$B382,"事業所",$C382,"事業区分",I$1,"請求区分","単月"),0)
+IFERROR(GETPIVOTDATA("合計 / 入金予定",【ピボット】国保連売上!$A$3,"年月",$A382,"事業所コード",$B382,"事業所",$C382,"事業区分",I$1,"請求区分","再請求"),0))</f>
        <v/>
      </c>
      <c r="J382" s="659" t="str">
        <f>IF($A382="","",IFERROR(GETPIVOTDATA("合計 / 処遇改善加算金",【ピボット】国保連売上!$A$3,"年月",$A382,"事業所コード",$B382,"事業所",$C382,"事業区分",I$1,"請求区分","単月"),0))</f>
        <v/>
      </c>
      <c r="K382" s="659" t="str">
        <f>IF($A382="","",IFERROR(GETPIVOTDATA("合計 / 入金予定",【ピボット】国保連売上!$A$3,"年月",$A382,"事業所コード",$B382,"事業所",$C382,"事業区分",K$1,"請求区分","単月"),0)
+IFERROR(GETPIVOTDATA("合計 / 入金予定",【ピボット】国保連売上!$A$3,"年月",$A382,"事業所コード",$B382,"事業所",$C382,"事業区分",K$1,"請求区分","再請求"),0))</f>
        <v/>
      </c>
      <c r="L382" s="659" t="str">
        <f>IF($A382="","",IFERROR(GETPIVOTDATA("合計 / 処遇改善加算金",【ピボット】国保連売上!$A$3,"年月",$A382,"事業所コード",$B382,"事業所",$C382,"事業区分",K$1,"請求区分","単月"),0))</f>
        <v/>
      </c>
      <c r="M382" s="659" t="str">
        <f>IF($A382="","",IFERROR(GETPIVOTDATA("合計 / 入金予定",【ピボット】国保連売上!$A$3,"年月",$A382,"事業所コード",$B382,"事業所",$C382,"事業区分",M$1,"請求区分","単月"),0)
+IFERROR(GETPIVOTDATA("合計 / 入金予定",【ピボット】国保連売上!$A$3,"年月",$A382,"事業所コード",$B382,"事業所",$C382,"事業区分",M$1,"請求区分","再請求"),0))</f>
        <v/>
      </c>
      <c r="N382" s="660"/>
      <c r="O382" s="660"/>
      <c r="P382" s="660"/>
      <c r="Q382" s="660"/>
      <c r="R382" s="660"/>
      <c r="S382" s="660"/>
      <c r="T382" s="660"/>
      <c r="U382" s="660"/>
      <c r="V382" s="660"/>
      <c r="W382" s="660"/>
      <c r="X382" s="660"/>
      <c r="Y382" s="659" t="str">
        <f t="shared" si="18"/>
        <v/>
      </c>
      <c r="Z382" s="659" t="str">
        <f t="shared" si="17"/>
        <v/>
      </c>
    </row>
    <row r="383" spans="1:26" ht="15.95" customHeight="1" x14ac:dyDescent="0.15">
      <c r="A383" s="656"/>
      <c r="B383" s="657" t="str">
        <f t="shared" si="16"/>
        <v/>
      </c>
      <c r="C383" s="658"/>
      <c r="D383" s="659" t="str">
        <f>IF($A383="","",IFERROR(GETPIVOTDATA("合計 / 入金予定",【ピボット】国保連売上!$A$3,"年月",$A383,"事業所コード",$B383,"事業所",$C383,"事業区分",D$1,"請求区分","単月"),0)
+IFERROR(GETPIVOTDATA("合計 / 入金予定",【ピボット】国保連売上!$A$3,"年月",$A383,"事業所コード",$B383,"事業所",$C383,"事業区分",D$1,"請求区分","再請求"),0))</f>
        <v/>
      </c>
      <c r="E383" s="659" t="str">
        <f>IF($A383="","",IFERROR(GETPIVOTDATA("合計 / 処遇改善加算金",【ピボット】国保連売上!$A$3,"年月",$A383,"事業所コード",$B383,"事業所",$C383,"事業区分",D$1,"請求区分","単月"),0))</f>
        <v/>
      </c>
      <c r="F383" s="659" t="str">
        <f>IF($A383="","",IFERROR(GETPIVOTDATA("合計 / 入金予定",【ピボット】国保連売上!$A$3,"年月",$A383,"事業所コード",$B383,"事業所",$C383,"事業区分",F$1,"請求区分","単月"),0)
+IFERROR(GETPIVOTDATA("合計 / 入金予定",【ピボット】国保連売上!$A$3,"年月",$A383,"事業所コード",$B383,"事業所",$C383,"事業区分",F$1,"請求区分","再請求"),0))</f>
        <v/>
      </c>
      <c r="G383" s="659" t="str">
        <f>IF($A383="","",IFERROR(GETPIVOTDATA("合計 / 処遇改善加算金",【ピボット】国保連売上!$A$3,"年月",$A383,"事業所コード",$B383,"事業所",$C383,"事業区分",F$1,"請求区分","単月"),0))</f>
        <v/>
      </c>
      <c r="H383" s="659" t="str">
        <f>IF($A383="","",IFERROR(GETPIVOTDATA("合計 / 入金予定",【ピボット】国保連売上!$A$3,"年月",$A383,"事業所コード",$B383,"事業所",$C383,"事業区分",H$1,"請求区分","単月"),0)
+IFERROR(GETPIVOTDATA("合計 / 入金予定",【ピボット】国保連売上!$A$3,"年月",$A383,"事業所コード",$B383,"事業所",$C383,"事業区分",H$1,"請求区分","再請求"),0))</f>
        <v/>
      </c>
      <c r="I383" s="659" t="str">
        <f>IF($A383="","",IFERROR(GETPIVOTDATA("合計 / 入金予定",【ピボット】国保連売上!$A$3,"年月",$A383,"事業所コード",$B383,"事業所",$C383,"事業区分",I$1,"請求区分","単月"),0)
+IFERROR(GETPIVOTDATA("合計 / 入金予定",【ピボット】国保連売上!$A$3,"年月",$A383,"事業所コード",$B383,"事業所",$C383,"事業区分",I$1,"請求区分","再請求"),0))</f>
        <v/>
      </c>
      <c r="J383" s="659" t="str">
        <f>IF($A383="","",IFERROR(GETPIVOTDATA("合計 / 処遇改善加算金",【ピボット】国保連売上!$A$3,"年月",$A383,"事業所コード",$B383,"事業所",$C383,"事業区分",I$1,"請求区分","単月"),0))</f>
        <v/>
      </c>
      <c r="K383" s="659" t="str">
        <f>IF($A383="","",IFERROR(GETPIVOTDATA("合計 / 入金予定",【ピボット】国保連売上!$A$3,"年月",$A383,"事業所コード",$B383,"事業所",$C383,"事業区分",K$1,"請求区分","単月"),0)
+IFERROR(GETPIVOTDATA("合計 / 入金予定",【ピボット】国保連売上!$A$3,"年月",$A383,"事業所コード",$B383,"事業所",$C383,"事業区分",K$1,"請求区分","再請求"),0))</f>
        <v/>
      </c>
      <c r="L383" s="659" t="str">
        <f>IF($A383="","",IFERROR(GETPIVOTDATA("合計 / 処遇改善加算金",【ピボット】国保連売上!$A$3,"年月",$A383,"事業所コード",$B383,"事業所",$C383,"事業区分",K$1,"請求区分","単月"),0))</f>
        <v/>
      </c>
      <c r="M383" s="659" t="str">
        <f>IF($A383="","",IFERROR(GETPIVOTDATA("合計 / 入金予定",【ピボット】国保連売上!$A$3,"年月",$A383,"事業所コード",$B383,"事業所",$C383,"事業区分",M$1,"請求区分","単月"),0)
+IFERROR(GETPIVOTDATA("合計 / 入金予定",【ピボット】国保連売上!$A$3,"年月",$A383,"事業所コード",$B383,"事業所",$C383,"事業区分",M$1,"請求区分","再請求"),0))</f>
        <v/>
      </c>
      <c r="N383" s="660"/>
      <c r="O383" s="660"/>
      <c r="P383" s="660"/>
      <c r="Q383" s="660"/>
      <c r="R383" s="660"/>
      <c r="S383" s="660"/>
      <c r="T383" s="660"/>
      <c r="U383" s="660"/>
      <c r="V383" s="660"/>
      <c r="W383" s="660"/>
      <c r="X383" s="660"/>
      <c r="Y383" s="659" t="str">
        <f t="shared" si="18"/>
        <v/>
      </c>
      <c r="Z383" s="659" t="str">
        <f t="shared" si="17"/>
        <v/>
      </c>
    </row>
    <row r="384" spans="1:26" ht="15.95" customHeight="1" x14ac:dyDescent="0.15">
      <c r="A384" s="656"/>
      <c r="B384" s="657" t="str">
        <f t="shared" si="16"/>
        <v/>
      </c>
      <c r="C384" s="658"/>
      <c r="D384" s="659" t="str">
        <f>IF($A384="","",IFERROR(GETPIVOTDATA("合計 / 入金予定",【ピボット】国保連売上!$A$3,"年月",$A384,"事業所コード",$B384,"事業所",$C384,"事業区分",D$1,"請求区分","単月"),0)
+IFERROR(GETPIVOTDATA("合計 / 入金予定",【ピボット】国保連売上!$A$3,"年月",$A384,"事業所コード",$B384,"事業所",$C384,"事業区分",D$1,"請求区分","再請求"),0))</f>
        <v/>
      </c>
      <c r="E384" s="659" t="str">
        <f>IF($A384="","",IFERROR(GETPIVOTDATA("合計 / 処遇改善加算金",【ピボット】国保連売上!$A$3,"年月",$A384,"事業所コード",$B384,"事業所",$C384,"事業区分",D$1,"請求区分","単月"),0))</f>
        <v/>
      </c>
      <c r="F384" s="659" t="str">
        <f>IF($A384="","",IFERROR(GETPIVOTDATA("合計 / 入金予定",【ピボット】国保連売上!$A$3,"年月",$A384,"事業所コード",$B384,"事業所",$C384,"事業区分",F$1,"請求区分","単月"),0)
+IFERROR(GETPIVOTDATA("合計 / 入金予定",【ピボット】国保連売上!$A$3,"年月",$A384,"事業所コード",$B384,"事業所",$C384,"事業区分",F$1,"請求区分","再請求"),0))</f>
        <v/>
      </c>
      <c r="G384" s="659" t="str">
        <f>IF($A384="","",IFERROR(GETPIVOTDATA("合計 / 処遇改善加算金",【ピボット】国保連売上!$A$3,"年月",$A384,"事業所コード",$B384,"事業所",$C384,"事業区分",F$1,"請求区分","単月"),0))</f>
        <v/>
      </c>
      <c r="H384" s="659" t="str">
        <f>IF($A384="","",IFERROR(GETPIVOTDATA("合計 / 入金予定",【ピボット】国保連売上!$A$3,"年月",$A384,"事業所コード",$B384,"事業所",$C384,"事業区分",H$1,"請求区分","単月"),0)
+IFERROR(GETPIVOTDATA("合計 / 入金予定",【ピボット】国保連売上!$A$3,"年月",$A384,"事業所コード",$B384,"事業所",$C384,"事業区分",H$1,"請求区分","再請求"),0))</f>
        <v/>
      </c>
      <c r="I384" s="659" t="str">
        <f>IF($A384="","",IFERROR(GETPIVOTDATA("合計 / 入金予定",【ピボット】国保連売上!$A$3,"年月",$A384,"事業所コード",$B384,"事業所",$C384,"事業区分",I$1,"請求区分","単月"),0)
+IFERROR(GETPIVOTDATA("合計 / 入金予定",【ピボット】国保連売上!$A$3,"年月",$A384,"事業所コード",$B384,"事業所",$C384,"事業区分",I$1,"請求区分","再請求"),0))</f>
        <v/>
      </c>
      <c r="J384" s="659" t="str">
        <f>IF($A384="","",IFERROR(GETPIVOTDATA("合計 / 処遇改善加算金",【ピボット】国保連売上!$A$3,"年月",$A384,"事業所コード",$B384,"事業所",$C384,"事業区分",I$1,"請求区分","単月"),0))</f>
        <v/>
      </c>
      <c r="K384" s="659" t="str">
        <f>IF($A384="","",IFERROR(GETPIVOTDATA("合計 / 入金予定",【ピボット】国保連売上!$A$3,"年月",$A384,"事業所コード",$B384,"事業所",$C384,"事業区分",K$1,"請求区分","単月"),0)
+IFERROR(GETPIVOTDATA("合計 / 入金予定",【ピボット】国保連売上!$A$3,"年月",$A384,"事業所コード",$B384,"事業所",$C384,"事業区分",K$1,"請求区分","再請求"),0))</f>
        <v/>
      </c>
      <c r="L384" s="659" t="str">
        <f>IF($A384="","",IFERROR(GETPIVOTDATA("合計 / 処遇改善加算金",【ピボット】国保連売上!$A$3,"年月",$A384,"事業所コード",$B384,"事業所",$C384,"事業区分",K$1,"請求区分","単月"),0))</f>
        <v/>
      </c>
      <c r="M384" s="659" t="str">
        <f>IF($A384="","",IFERROR(GETPIVOTDATA("合計 / 入金予定",【ピボット】国保連売上!$A$3,"年月",$A384,"事業所コード",$B384,"事業所",$C384,"事業区分",M$1,"請求区分","単月"),0)
+IFERROR(GETPIVOTDATA("合計 / 入金予定",【ピボット】国保連売上!$A$3,"年月",$A384,"事業所コード",$B384,"事業所",$C384,"事業区分",M$1,"請求区分","再請求"),0))</f>
        <v/>
      </c>
      <c r="N384" s="660"/>
      <c r="O384" s="660"/>
      <c r="P384" s="660"/>
      <c r="Q384" s="660"/>
      <c r="R384" s="660"/>
      <c r="S384" s="660"/>
      <c r="T384" s="660"/>
      <c r="U384" s="660"/>
      <c r="V384" s="660"/>
      <c r="W384" s="660"/>
      <c r="X384" s="660"/>
      <c r="Y384" s="659" t="str">
        <f t="shared" si="18"/>
        <v/>
      </c>
      <c r="Z384" s="659" t="str">
        <f t="shared" si="17"/>
        <v/>
      </c>
    </row>
    <row r="385" spans="1:26" ht="15.95" customHeight="1" x14ac:dyDescent="0.15">
      <c r="A385" s="656"/>
      <c r="B385" s="657" t="str">
        <f t="shared" si="16"/>
        <v/>
      </c>
      <c r="C385" s="658"/>
      <c r="D385" s="659" t="str">
        <f>IF($A385="","",IFERROR(GETPIVOTDATA("合計 / 入金予定",【ピボット】国保連売上!$A$3,"年月",$A385,"事業所コード",$B385,"事業所",$C385,"事業区分",D$1,"請求区分","単月"),0)
+IFERROR(GETPIVOTDATA("合計 / 入金予定",【ピボット】国保連売上!$A$3,"年月",$A385,"事業所コード",$B385,"事業所",$C385,"事業区分",D$1,"請求区分","再請求"),0))</f>
        <v/>
      </c>
      <c r="E385" s="659" t="str">
        <f>IF($A385="","",IFERROR(GETPIVOTDATA("合計 / 処遇改善加算金",【ピボット】国保連売上!$A$3,"年月",$A385,"事業所コード",$B385,"事業所",$C385,"事業区分",D$1,"請求区分","単月"),0))</f>
        <v/>
      </c>
      <c r="F385" s="659" t="str">
        <f>IF($A385="","",IFERROR(GETPIVOTDATA("合計 / 入金予定",【ピボット】国保連売上!$A$3,"年月",$A385,"事業所コード",$B385,"事業所",$C385,"事業区分",F$1,"請求区分","単月"),0)
+IFERROR(GETPIVOTDATA("合計 / 入金予定",【ピボット】国保連売上!$A$3,"年月",$A385,"事業所コード",$B385,"事業所",$C385,"事業区分",F$1,"請求区分","再請求"),0))</f>
        <v/>
      </c>
      <c r="G385" s="659" t="str">
        <f>IF($A385="","",IFERROR(GETPIVOTDATA("合計 / 処遇改善加算金",【ピボット】国保連売上!$A$3,"年月",$A385,"事業所コード",$B385,"事業所",$C385,"事業区分",F$1,"請求区分","単月"),0))</f>
        <v/>
      </c>
      <c r="H385" s="659" t="str">
        <f>IF($A385="","",IFERROR(GETPIVOTDATA("合計 / 入金予定",【ピボット】国保連売上!$A$3,"年月",$A385,"事業所コード",$B385,"事業所",$C385,"事業区分",H$1,"請求区分","単月"),0)
+IFERROR(GETPIVOTDATA("合計 / 入金予定",【ピボット】国保連売上!$A$3,"年月",$A385,"事業所コード",$B385,"事業所",$C385,"事業区分",H$1,"請求区分","再請求"),0))</f>
        <v/>
      </c>
      <c r="I385" s="659" t="str">
        <f>IF($A385="","",IFERROR(GETPIVOTDATA("合計 / 入金予定",【ピボット】国保連売上!$A$3,"年月",$A385,"事業所コード",$B385,"事業所",$C385,"事業区分",I$1,"請求区分","単月"),0)
+IFERROR(GETPIVOTDATA("合計 / 入金予定",【ピボット】国保連売上!$A$3,"年月",$A385,"事業所コード",$B385,"事業所",$C385,"事業区分",I$1,"請求区分","再請求"),0))</f>
        <v/>
      </c>
      <c r="J385" s="659" t="str">
        <f>IF($A385="","",IFERROR(GETPIVOTDATA("合計 / 処遇改善加算金",【ピボット】国保連売上!$A$3,"年月",$A385,"事業所コード",$B385,"事業所",$C385,"事業区分",I$1,"請求区分","単月"),0))</f>
        <v/>
      </c>
      <c r="K385" s="659" t="str">
        <f>IF($A385="","",IFERROR(GETPIVOTDATA("合計 / 入金予定",【ピボット】国保連売上!$A$3,"年月",$A385,"事業所コード",$B385,"事業所",$C385,"事業区分",K$1,"請求区分","単月"),0)
+IFERROR(GETPIVOTDATA("合計 / 入金予定",【ピボット】国保連売上!$A$3,"年月",$A385,"事業所コード",$B385,"事業所",$C385,"事業区分",K$1,"請求区分","再請求"),0))</f>
        <v/>
      </c>
      <c r="L385" s="659" t="str">
        <f>IF($A385="","",IFERROR(GETPIVOTDATA("合計 / 処遇改善加算金",【ピボット】国保連売上!$A$3,"年月",$A385,"事業所コード",$B385,"事業所",$C385,"事業区分",K$1,"請求区分","単月"),0))</f>
        <v/>
      </c>
      <c r="M385" s="659" t="str">
        <f>IF($A385="","",IFERROR(GETPIVOTDATA("合計 / 入金予定",【ピボット】国保連売上!$A$3,"年月",$A385,"事業所コード",$B385,"事業所",$C385,"事業区分",M$1,"請求区分","単月"),0)
+IFERROR(GETPIVOTDATA("合計 / 入金予定",【ピボット】国保連売上!$A$3,"年月",$A385,"事業所コード",$B385,"事業所",$C385,"事業区分",M$1,"請求区分","再請求"),0))</f>
        <v/>
      </c>
      <c r="N385" s="660"/>
      <c r="O385" s="660"/>
      <c r="P385" s="660"/>
      <c r="Q385" s="660"/>
      <c r="R385" s="660"/>
      <c r="S385" s="660"/>
      <c r="T385" s="660"/>
      <c r="U385" s="660"/>
      <c r="V385" s="660"/>
      <c r="W385" s="660"/>
      <c r="X385" s="660"/>
      <c r="Y385" s="659" t="str">
        <f t="shared" si="18"/>
        <v/>
      </c>
      <c r="Z385" s="659" t="str">
        <f t="shared" si="17"/>
        <v/>
      </c>
    </row>
    <row r="386" spans="1:26" ht="15.95" customHeight="1" x14ac:dyDescent="0.15">
      <c r="A386" s="656"/>
      <c r="B386" s="657" t="str">
        <f t="shared" si="16"/>
        <v/>
      </c>
      <c r="C386" s="658"/>
      <c r="D386" s="659" t="str">
        <f>IF($A386="","",IFERROR(GETPIVOTDATA("合計 / 入金予定",【ピボット】国保連売上!$A$3,"年月",$A386,"事業所コード",$B386,"事業所",$C386,"事業区分",D$1,"請求区分","単月"),0)
+IFERROR(GETPIVOTDATA("合計 / 入金予定",【ピボット】国保連売上!$A$3,"年月",$A386,"事業所コード",$B386,"事業所",$C386,"事業区分",D$1,"請求区分","再請求"),0))</f>
        <v/>
      </c>
      <c r="E386" s="659" t="str">
        <f>IF($A386="","",IFERROR(GETPIVOTDATA("合計 / 処遇改善加算金",【ピボット】国保連売上!$A$3,"年月",$A386,"事業所コード",$B386,"事業所",$C386,"事業区分",D$1,"請求区分","単月"),0))</f>
        <v/>
      </c>
      <c r="F386" s="659" t="str">
        <f>IF($A386="","",IFERROR(GETPIVOTDATA("合計 / 入金予定",【ピボット】国保連売上!$A$3,"年月",$A386,"事業所コード",$B386,"事業所",$C386,"事業区分",F$1,"請求区分","単月"),0)
+IFERROR(GETPIVOTDATA("合計 / 入金予定",【ピボット】国保連売上!$A$3,"年月",$A386,"事業所コード",$B386,"事業所",$C386,"事業区分",F$1,"請求区分","再請求"),0))</f>
        <v/>
      </c>
      <c r="G386" s="659" t="str">
        <f>IF($A386="","",IFERROR(GETPIVOTDATA("合計 / 処遇改善加算金",【ピボット】国保連売上!$A$3,"年月",$A386,"事業所コード",$B386,"事業所",$C386,"事業区分",F$1,"請求区分","単月"),0))</f>
        <v/>
      </c>
      <c r="H386" s="659" t="str">
        <f>IF($A386="","",IFERROR(GETPIVOTDATA("合計 / 入金予定",【ピボット】国保連売上!$A$3,"年月",$A386,"事業所コード",$B386,"事業所",$C386,"事業区分",H$1,"請求区分","単月"),0)
+IFERROR(GETPIVOTDATA("合計 / 入金予定",【ピボット】国保連売上!$A$3,"年月",$A386,"事業所コード",$B386,"事業所",$C386,"事業区分",H$1,"請求区分","再請求"),0))</f>
        <v/>
      </c>
      <c r="I386" s="659" t="str">
        <f>IF($A386="","",IFERROR(GETPIVOTDATA("合計 / 入金予定",【ピボット】国保連売上!$A$3,"年月",$A386,"事業所コード",$B386,"事業所",$C386,"事業区分",I$1,"請求区分","単月"),0)
+IFERROR(GETPIVOTDATA("合計 / 入金予定",【ピボット】国保連売上!$A$3,"年月",$A386,"事業所コード",$B386,"事業所",$C386,"事業区分",I$1,"請求区分","再請求"),0))</f>
        <v/>
      </c>
      <c r="J386" s="659" t="str">
        <f>IF($A386="","",IFERROR(GETPIVOTDATA("合計 / 処遇改善加算金",【ピボット】国保連売上!$A$3,"年月",$A386,"事業所コード",$B386,"事業所",$C386,"事業区分",I$1,"請求区分","単月"),0))</f>
        <v/>
      </c>
      <c r="K386" s="659" t="str">
        <f>IF($A386="","",IFERROR(GETPIVOTDATA("合計 / 入金予定",【ピボット】国保連売上!$A$3,"年月",$A386,"事業所コード",$B386,"事業所",$C386,"事業区分",K$1,"請求区分","単月"),0)
+IFERROR(GETPIVOTDATA("合計 / 入金予定",【ピボット】国保連売上!$A$3,"年月",$A386,"事業所コード",$B386,"事業所",$C386,"事業区分",K$1,"請求区分","再請求"),0))</f>
        <v/>
      </c>
      <c r="L386" s="659" t="str">
        <f>IF($A386="","",IFERROR(GETPIVOTDATA("合計 / 処遇改善加算金",【ピボット】国保連売上!$A$3,"年月",$A386,"事業所コード",$B386,"事業所",$C386,"事業区分",K$1,"請求区分","単月"),0))</f>
        <v/>
      </c>
      <c r="M386" s="659" t="str">
        <f>IF($A386="","",IFERROR(GETPIVOTDATA("合計 / 入金予定",【ピボット】国保連売上!$A$3,"年月",$A386,"事業所コード",$B386,"事業所",$C386,"事業区分",M$1,"請求区分","単月"),0)
+IFERROR(GETPIVOTDATA("合計 / 入金予定",【ピボット】国保連売上!$A$3,"年月",$A386,"事業所コード",$B386,"事業所",$C386,"事業区分",M$1,"請求区分","再請求"),0))</f>
        <v/>
      </c>
      <c r="N386" s="660"/>
      <c r="O386" s="660"/>
      <c r="P386" s="660"/>
      <c r="Q386" s="660"/>
      <c r="R386" s="660"/>
      <c r="S386" s="660"/>
      <c r="T386" s="660"/>
      <c r="U386" s="660"/>
      <c r="V386" s="660"/>
      <c r="W386" s="660"/>
      <c r="X386" s="660"/>
      <c r="Y386" s="659" t="str">
        <f t="shared" si="18"/>
        <v/>
      </c>
      <c r="Z386" s="659" t="str">
        <f t="shared" si="17"/>
        <v/>
      </c>
    </row>
    <row r="387" spans="1:26" ht="15.95" customHeight="1" x14ac:dyDescent="0.15">
      <c r="A387" s="656"/>
      <c r="B387" s="657" t="str">
        <f t="shared" ref="B387:B450" si="19">IF(C387="","",VLOOKUP(C387,事業所コード2,2,FALSE))</f>
        <v/>
      </c>
      <c r="C387" s="658"/>
      <c r="D387" s="659" t="str">
        <f>IF($A387="","",IFERROR(GETPIVOTDATA("合計 / 入金予定",【ピボット】国保連売上!$A$3,"年月",$A387,"事業所コード",$B387,"事業所",$C387,"事業区分",D$1,"請求区分","単月"),0)
+IFERROR(GETPIVOTDATA("合計 / 入金予定",【ピボット】国保連売上!$A$3,"年月",$A387,"事業所コード",$B387,"事業所",$C387,"事業区分",D$1,"請求区分","再請求"),0))</f>
        <v/>
      </c>
      <c r="E387" s="659" t="str">
        <f>IF($A387="","",IFERROR(GETPIVOTDATA("合計 / 処遇改善加算金",【ピボット】国保連売上!$A$3,"年月",$A387,"事業所コード",$B387,"事業所",$C387,"事業区分",D$1,"請求区分","単月"),0))</f>
        <v/>
      </c>
      <c r="F387" s="659" t="str">
        <f>IF($A387="","",IFERROR(GETPIVOTDATA("合計 / 入金予定",【ピボット】国保連売上!$A$3,"年月",$A387,"事業所コード",$B387,"事業所",$C387,"事業区分",F$1,"請求区分","単月"),0)
+IFERROR(GETPIVOTDATA("合計 / 入金予定",【ピボット】国保連売上!$A$3,"年月",$A387,"事業所コード",$B387,"事業所",$C387,"事業区分",F$1,"請求区分","再請求"),0))</f>
        <v/>
      </c>
      <c r="G387" s="659" t="str">
        <f>IF($A387="","",IFERROR(GETPIVOTDATA("合計 / 処遇改善加算金",【ピボット】国保連売上!$A$3,"年月",$A387,"事業所コード",$B387,"事業所",$C387,"事業区分",F$1,"請求区分","単月"),0))</f>
        <v/>
      </c>
      <c r="H387" s="659" t="str">
        <f>IF($A387="","",IFERROR(GETPIVOTDATA("合計 / 入金予定",【ピボット】国保連売上!$A$3,"年月",$A387,"事業所コード",$B387,"事業所",$C387,"事業区分",H$1,"請求区分","単月"),0)
+IFERROR(GETPIVOTDATA("合計 / 入金予定",【ピボット】国保連売上!$A$3,"年月",$A387,"事業所コード",$B387,"事業所",$C387,"事業区分",H$1,"請求区分","再請求"),0))</f>
        <v/>
      </c>
      <c r="I387" s="659" t="str">
        <f>IF($A387="","",IFERROR(GETPIVOTDATA("合計 / 入金予定",【ピボット】国保連売上!$A$3,"年月",$A387,"事業所コード",$B387,"事業所",$C387,"事業区分",I$1,"請求区分","単月"),0)
+IFERROR(GETPIVOTDATA("合計 / 入金予定",【ピボット】国保連売上!$A$3,"年月",$A387,"事業所コード",$B387,"事業所",$C387,"事業区分",I$1,"請求区分","再請求"),0))</f>
        <v/>
      </c>
      <c r="J387" s="659" t="str">
        <f>IF($A387="","",IFERROR(GETPIVOTDATA("合計 / 処遇改善加算金",【ピボット】国保連売上!$A$3,"年月",$A387,"事業所コード",$B387,"事業所",$C387,"事業区分",I$1,"請求区分","単月"),0))</f>
        <v/>
      </c>
      <c r="K387" s="659" t="str">
        <f>IF($A387="","",IFERROR(GETPIVOTDATA("合計 / 入金予定",【ピボット】国保連売上!$A$3,"年月",$A387,"事業所コード",$B387,"事業所",$C387,"事業区分",K$1,"請求区分","単月"),0)
+IFERROR(GETPIVOTDATA("合計 / 入金予定",【ピボット】国保連売上!$A$3,"年月",$A387,"事業所コード",$B387,"事業所",$C387,"事業区分",K$1,"請求区分","再請求"),0))</f>
        <v/>
      </c>
      <c r="L387" s="659" t="str">
        <f>IF($A387="","",IFERROR(GETPIVOTDATA("合計 / 処遇改善加算金",【ピボット】国保連売上!$A$3,"年月",$A387,"事業所コード",$B387,"事業所",$C387,"事業区分",K$1,"請求区分","単月"),0))</f>
        <v/>
      </c>
      <c r="M387" s="659" t="str">
        <f>IF($A387="","",IFERROR(GETPIVOTDATA("合計 / 入金予定",【ピボット】国保連売上!$A$3,"年月",$A387,"事業所コード",$B387,"事業所",$C387,"事業区分",M$1,"請求区分","単月"),0)
+IFERROR(GETPIVOTDATA("合計 / 入金予定",【ピボット】国保連売上!$A$3,"年月",$A387,"事業所コード",$B387,"事業所",$C387,"事業区分",M$1,"請求区分","再請求"),0))</f>
        <v/>
      </c>
      <c r="N387" s="660"/>
      <c r="O387" s="660"/>
      <c r="P387" s="660"/>
      <c r="Q387" s="660"/>
      <c r="R387" s="660"/>
      <c r="S387" s="660"/>
      <c r="T387" s="660"/>
      <c r="U387" s="660"/>
      <c r="V387" s="660"/>
      <c r="W387" s="660"/>
      <c r="X387" s="660"/>
      <c r="Y387" s="659" t="str">
        <f t="shared" si="18"/>
        <v/>
      </c>
      <c r="Z387" s="659" t="str">
        <f t="shared" ref="Z387:Z450" si="20">IF(B387="","",SUM(N387:X387))</f>
        <v/>
      </c>
    </row>
    <row r="388" spans="1:26" ht="15.95" customHeight="1" x14ac:dyDescent="0.15">
      <c r="A388" s="656"/>
      <c r="B388" s="657" t="str">
        <f t="shared" si="19"/>
        <v/>
      </c>
      <c r="C388" s="658"/>
      <c r="D388" s="659" t="str">
        <f>IF($A388="","",IFERROR(GETPIVOTDATA("合計 / 入金予定",【ピボット】国保連売上!$A$3,"年月",$A388,"事業所コード",$B388,"事業所",$C388,"事業区分",D$1,"請求区分","単月"),0)
+IFERROR(GETPIVOTDATA("合計 / 入金予定",【ピボット】国保連売上!$A$3,"年月",$A388,"事業所コード",$B388,"事業所",$C388,"事業区分",D$1,"請求区分","再請求"),0))</f>
        <v/>
      </c>
      <c r="E388" s="659" t="str">
        <f>IF($A388="","",IFERROR(GETPIVOTDATA("合計 / 処遇改善加算金",【ピボット】国保連売上!$A$3,"年月",$A388,"事業所コード",$B388,"事業所",$C388,"事業区分",D$1,"請求区分","単月"),0))</f>
        <v/>
      </c>
      <c r="F388" s="659" t="str">
        <f>IF($A388="","",IFERROR(GETPIVOTDATA("合計 / 入金予定",【ピボット】国保連売上!$A$3,"年月",$A388,"事業所コード",$B388,"事業所",$C388,"事業区分",F$1,"請求区分","単月"),0)
+IFERROR(GETPIVOTDATA("合計 / 入金予定",【ピボット】国保連売上!$A$3,"年月",$A388,"事業所コード",$B388,"事業所",$C388,"事業区分",F$1,"請求区分","再請求"),0))</f>
        <v/>
      </c>
      <c r="G388" s="659" t="str">
        <f>IF($A388="","",IFERROR(GETPIVOTDATA("合計 / 処遇改善加算金",【ピボット】国保連売上!$A$3,"年月",$A388,"事業所コード",$B388,"事業所",$C388,"事業区分",F$1,"請求区分","単月"),0))</f>
        <v/>
      </c>
      <c r="H388" s="659" t="str">
        <f>IF($A388="","",IFERROR(GETPIVOTDATA("合計 / 入金予定",【ピボット】国保連売上!$A$3,"年月",$A388,"事業所コード",$B388,"事業所",$C388,"事業区分",H$1,"請求区分","単月"),0)
+IFERROR(GETPIVOTDATA("合計 / 入金予定",【ピボット】国保連売上!$A$3,"年月",$A388,"事業所コード",$B388,"事業所",$C388,"事業区分",H$1,"請求区分","再請求"),0))</f>
        <v/>
      </c>
      <c r="I388" s="659" t="str">
        <f>IF($A388="","",IFERROR(GETPIVOTDATA("合計 / 入金予定",【ピボット】国保連売上!$A$3,"年月",$A388,"事業所コード",$B388,"事業所",$C388,"事業区分",I$1,"請求区分","単月"),0)
+IFERROR(GETPIVOTDATA("合計 / 入金予定",【ピボット】国保連売上!$A$3,"年月",$A388,"事業所コード",$B388,"事業所",$C388,"事業区分",I$1,"請求区分","再請求"),0))</f>
        <v/>
      </c>
      <c r="J388" s="659" t="str">
        <f>IF($A388="","",IFERROR(GETPIVOTDATA("合計 / 処遇改善加算金",【ピボット】国保連売上!$A$3,"年月",$A388,"事業所コード",$B388,"事業所",$C388,"事業区分",I$1,"請求区分","単月"),0))</f>
        <v/>
      </c>
      <c r="K388" s="659" t="str">
        <f>IF($A388="","",IFERROR(GETPIVOTDATA("合計 / 入金予定",【ピボット】国保連売上!$A$3,"年月",$A388,"事業所コード",$B388,"事業所",$C388,"事業区分",K$1,"請求区分","単月"),0)
+IFERROR(GETPIVOTDATA("合計 / 入金予定",【ピボット】国保連売上!$A$3,"年月",$A388,"事業所コード",$B388,"事業所",$C388,"事業区分",K$1,"請求区分","再請求"),0))</f>
        <v/>
      </c>
      <c r="L388" s="659" t="str">
        <f>IF($A388="","",IFERROR(GETPIVOTDATA("合計 / 処遇改善加算金",【ピボット】国保連売上!$A$3,"年月",$A388,"事業所コード",$B388,"事業所",$C388,"事業区分",K$1,"請求区分","単月"),0))</f>
        <v/>
      </c>
      <c r="M388" s="659" t="str">
        <f>IF($A388="","",IFERROR(GETPIVOTDATA("合計 / 入金予定",【ピボット】国保連売上!$A$3,"年月",$A388,"事業所コード",$B388,"事業所",$C388,"事業区分",M$1,"請求区分","単月"),0)
+IFERROR(GETPIVOTDATA("合計 / 入金予定",【ピボット】国保連売上!$A$3,"年月",$A388,"事業所コード",$B388,"事業所",$C388,"事業区分",M$1,"請求区分","再請求"),0))</f>
        <v/>
      </c>
      <c r="N388" s="660"/>
      <c r="O388" s="660"/>
      <c r="P388" s="660"/>
      <c r="Q388" s="660"/>
      <c r="R388" s="660"/>
      <c r="S388" s="660"/>
      <c r="T388" s="660"/>
      <c r="U388" s="660"/>
      <c r="V388" s="660"/>
      <c r="W388" s="660"/>
      <c r="X388" s="660"/>
      <c r="Y388" s="659" t="str">
        <f t="shared" si="18"/>
        <v/>
      </c>
      <c r="Z388" s="659" t="str">
        <f t="shared" si="20"/>
        <v/>
      </c>
    </row>
    <row r="389" spans="1:26" ht="15.95" customHeight="1" x14ac:dyDescent="0.15">
      <c r="A389" s="656"/>
      <c r="B389" s="657" t="str">
        <f t="shared" si="19"/>
        <v/>
      </c>
      <c r="C389" s="658"/>
      <c r="D389" s="659" t="str">
        <f>IF($A389="","",IFERROR(GETPIVOTDATA("合計 / 入金予定",【ピボット】国保連売上!$A$3,"年月",$A389,"事業所コード",$B389,"事業所",$C389,"事業区分",D$1,"請求区分","単月"),0)
+IFERROR(GETPIVOTDATA("合計 / 入金予定",【ピボット】国保連売上!$A$3,"年月",$A389,"事業所コード",$B389,"事業所",$C389,"事業区分",D$1,"請求区分","再請求"),0))</f>
        <v/>
      </c>
      <c r="E389" s="659" t="str">
        <f>IF($A389="","",IFERROR(GETPIVOTDATA("合計 / 処遇改善加算金",【ピボット】国保連売上!$A$3,"年月",$A389,"事業所コード",$B389,"事業所",$C389,"事業区分",D$1,"請求区分","単月"),0))</f>
        <v/>
      </c>
      <c r="F389" s="659" t="str">
        <f>IF($A389="","",IFERROR(GETPIVOTDATA("合計 / 入金予定",【ピボット】国保連売上!$A$3,"年月",$A389,"事業所コード",$B389,"事業所",$C389,"事業区分",F$1,"請求区分","単月"),0)
+IFERROR(GETPIVOTDATA("合計 / 入金予定",【ピボット】国保連売上!$A$3,"年月",$A389,"事業所コード",$B389,"事業所",$C389,"事業区分",F$1,"請求区分","再請求"),0))</f>
        <v/>
      </c>
      <c r="G389" s="659" t="str">
        <f>IF($A389="","",IFERROR(GETPIVOTDATA("合計 / 処遇改善加算金",【ピボット】国保連売上!$A$3,"年月",$A389,"事業所コード",$B389,"事業所",$C389,"事業区分",F$1,"請求区分","単月"),0))</f>
        <v/>
      </c>
      <c r="H389" s="659" t="str">
        <f>IF($A389="","",IFERROR(GETPIVOTDATA("合計 / 入金予定",【ピボット】国保連売上!$A$3,"年月",$A389,"事業所コード",$B389,"事業所",$C389,"事業区分",H$1,"請求区分","単月"),0)
+IFERROR(GETPIVOTDATA("合計 / 入金予定",【ピボット】国保連売上!$A$3,"年月",$A389,"事業所コード",$B389,"事業所",$C389,"事業区分",H$1,"請求区分","再請求"),0))</f>
        <v/>
      </c>
      <c r="I389" s="659" t="str">
        <f>IF($A389="","",IFERROR(GETPIVOTDATA("合計 / 入金予定",【ピボット】国保連売上!$A$3,"年月",$A389,"事業所コード",$B389,"事業所",$C389,"事業区分",I$1,"請求区分","単月"),0)
+IFERROR(GETPIVOTDATA("合計 / 入金予定",【ピボット】国保連売上!$A$3,"年月",$A389,"事業所コード",$B389,"事業所",$C389,"事業区分",I$1,"請求区分","再請求"),0))</f>
        <v/>
      </c>
      <c r="J389" s="659" t="str">
        <f>IF($A389="","",IFERROR(GETPIVOTDATA("合計 / 処遇改善加算金",【ピボット】国保連売上!$A$3,"年月",$A389,"事業所コード",$B389,"事業所",$C389,"事業区分",I$1,"請求区分","単月"),0))</f>
        <v/>
      </c>
      <c r="K389" s="659" t="str">
        <f>IF($A389="","",IFERROR(GETPIVOTDATA("合計 / 入金予定",【ピボット】国保連売上!$A$3,"年月",$A389,"事業所コード",$B389,"事業所",$C389,"事業区分",K$1,"請求区分","単月"),0)
+IFERROR(GETPIVOTDATA("合計 / 入金予定",【ピボット】国保連売上!$A$3,"年月",$A389,"事業所コード",$B389,"事業所",$C389,"事業区分",K$1,"請求区分","再請求"),0))</f>
        <v/>
      </c>
      <c r="L389" s="659" t="str">
        <f>IF($A389="","",IFERROR(GETPIVOTDATA("合計 / 処遇改善加算金",【ピボット】国保連売上!$A$3,"年月",$A389,"事業所コード",$B389,"事業所",$C389,"事業区分",K$1,"請求区分","単月"),0))</f>
        <v/>
      </c>
      <c r="M389" s="659" t="str">
        <f>IF($A389="","",IFERROR(GETPIVOTDATA("合計 / 入金予定",【ピボット】国保連売上!$A$3,"年月",$A389,"事業所コード",$B389,"事業所",$C389,"事業区分",M$1,"請求区分","単月"),0)
+IFERROR(GETPIVOTDATA("合計 / 入金予定",【ピボット】国保連売上!$A$3,"年月",$A389,"事業所コード",$B389,"事業所",$C389,"事業区分",M$1,"請求区分","再請求"),0))</f>
        <v/>
      </c>
      <c r="N389" s="660"/>
      <c r="O389" s="660"/>
      <c r="P389" s="660"/>
      <c r="Q389" s="660"/>
      <c r="R389" s="660"/>
      <c r="S389" s="660"/>
      <c r="T389" s="660"/>
      <c r="U389" s="660"/>
      <c r="V389" s="660"/>
      <c r="W389" s="660"/>
      <c r="X389" s="660"/>
      <c r="Y389" s="659" t="str">
        <f t="shared" si="18"/>
        <v/>
      </c>
      <c r="Z389" s="659" t="str">
        <f t="shared" si="20"/>
        <v/>
      </c>
    </row>
    <row r="390" spans="1:26" ht="15.95" customHeight="1" x14ac:dyDescent="0.15">
      <c r="A390" s="656"/>
      <c r="B390" s="657" t="str">
        <f t="shared" si="19"/>
        <v/>
      </c>
      <c r="C390" s="658"/>
      <c r="D390" s="659" t="str">
        <f>IF($A390="","",IFERROR(GETPIVOTDATA("合計 / 入金予定",【ピボット】国保連売上!$A$3,"年月",$A390,"事業所コード",$B390,"事業所",$C390,"事業区分",D$1,"請求区分","単月"),0)
+IFERROR(GETPIVOTDATA("合計 / 入金予定",【ピボット】国保連売上!$A$3,"年月",$A390,"事業所コード",$B390,"事業所",$C390,"事業区分",D$1,"請求区分","再請求"),0))</f>
        <v/>
      </c>
      <c r="E390" s="659" t="str">
        <f>IF($A390="","",IFERROR(GETPIVOTDATA("合計 / 処遇改善加算金",【ピボット】国保連売上!$A$3,"年月",$A390,"事業所コード",$B390,"事業所",$C390,"事業区分",D$1,"請求区分","単月"),0))</f>
        <v/>
      </c>
      <c r="F390" s="659" t="str">
        <f>IF($A390="","",IFERROR(GETPIVOTDATA("合計 / 入金予定",【ピボット】国保連売上!$A$3,"年月",$A390,"事業所コード",$B390,"事業所",$C390,"事業区分",F$1,"請求区分","単月"),0)
+IFERROR(GETPIVOTDATA("合計 / 入金予定",【ピボット】国保連売上!$A$3,"年月",$A390,"事業所コード",$B390,"事業所",$C390,"事業区分",F$1,"請求区分","再請求"),0))</f>
        <v/>
      </c>
      <c r="G390" s="659" t="str">
        <f>IF($A390="","",IFERROR(GETPIVOTDATA("合計 / 処遇改善加算金",【ピボット】国保連売上!$A$3,"年月",$A390,"事業所コード",$B390,"事業所",$C390,"事業区分",F$1,"請求区分","単月"),0))</f>
        <v/>
      </c>
      <c r="H390" s="659" t="str">
        <f>IF($A390="","",IFERROR(GETPIVOTDATA("合計 / 入金予定",【ピボット】国保連売上!$A$3,"年月",$A390,"事業所コード",$B390,"事業所",$C390,"事業区分",H$1,"請求区分","単月"),0)
+IFERROR(GETPIVOTDATA("合計 / 入金予定",【ピボット】国保連売上!$A$3,"年月",$A390,"事業所コード",$B390,"事業所",$C390,"事業区分",H$1,"請求区分","再請求"),0))</f>
        <v/>
      </c>
      <c r="I390" s="659" t="str">
        <f>IF($A390="","",IFERROR(GETPIVOTDATA("合計 / 入金予定",【ピボット】国保連売上!$A$3,"年月",$A390,"事業所コード",$B390,"事業所",$C390,"事業区分",I$1,"請求区分","単月"),0)
+IFERROR(GETPIVOTDATA("合計 / 入金予定",【ピボット】国保連売上!$A$3,"年月",$A390,"事業所コード",$B390,"事業所",$C390,"事業区分",I$1,"請求区分","再請求"),0))</f>
        <v/>
      </c>
      <c r="J390" s="659" t="str">
        <f>IF($A390="","",IFERROR(GETPIVOTDATA("合計 / 処遇改善加算金",【ピボット】国保連売上!$A$3,"年月",$A390,"事業所コード",$B390,"事業所",$C390,"事業区分",I$1,"請求区分","単月"),0))</f>
        <v/>
      </c>
      <c r="K390" s="659" t="str">
        <f>IF($A390="","",IFERROR(GETPIVOTDATA("合計 / 入金予定",【ピボット】国保連売上!$A$3,"年月",$A390,"事業所コード",$B390,"事業所",$C390,"事業区分",K$1,"請求区分","単月"),0)
+IFERROR(GETPIVOTDATA("合計 / 入金予定",【ピボット】国保連売上!$A$3,"年月",$A390,"事業所コード",$B390,"事業所",$C390,"事業区分",K$1,"請求区分","再請求"),0))</f>
        <v/>
      </c>
      <c r="L390" s="659" t="str">
        <f>IF($A390="","",IFERROR(GETPIVOTDATA("合計 / 処遇改善加算金",【ピボット】国保連売上!$A$3,"年月",$A390,"事業所コード",$B390,"事業所",$C390,"事業区分",K$1,"請求区分","単月"),0))</f>
        <v/>
      </c>
      <c r="M390" s="659" t="str">
        <f>IF($A390="","",IFERROR(GETPIVOTDATA("合計 / 入金予定",【ピボット】国保連売上!$A$3,"年月",$A390,"事業所コード",$B390,"事業所",$C390,"事業区分",M$1,"請求区分","単月"),0)
+IFERROR(GETPIVOTDATA("合計 / 入金予定",【ピボット】国保連売上!$A$3,"年月",$A390,"事業所コード",$B390,"事業所",$C390,"事業区分",M$1,"請求区分","再請求"),0))</f>
        <v/>
      </c>
      <c r="N390" s="660"/>
      <c r="O390" s="660"/>
      <c r="P390" s="660"/>
      <c r="Q390" s="660"/>
      <c r="R390" s="660"/>
      <c r="S390" s="660"/>
      <c r="T390" s="660"/>
      <c r="U390" s="660"/>
      <c r="V390" s="660"/>
      <c r="W390" s="660"/>
      <c r="X390" s="660"/>
      <c r="Y390" s="659" t="str">
        <f t="shared" si="18"/>
        <v/>
      </c>
      <c r="Z390" s="659" t="str">
        <f t="shared" si="20"/>
        <v/>
      </c>
    </row>
    <row r="391" spans="1:26" ht="15.95" customHeight="1" x14ac:dyDescent="0.15">
      <c r="A391" s="656"/>
      <c r="B391" s="657" t="str">
        <f t="shared" si="19"/>
        <v/>
      </c>
      <c r="C391" s="658"/>
      <c r="D391" s="659" t="str">
        <f>IF($A391="","",IFERROR(GETPIVOTDATA("合計 / 入金予定",【ピボット】国保連売上!$A$3,"年月",$A391,"事業所コード",$B391,"事業所",$C391,"事業区分",D$1,"請求区分","単月"),0)
+IFERROR(GETPIVOTDATA("合計 / 入金予定",【ピボット】国保連売上!$A$3,"年月",$A391,"事業所コード",$B391,"事業所",$C391,"事業区分",D$1,"請求区分","再請求"),0))</f>
        <v/>
      </c>
      <c r="E391" s="659" t="str">
        <f>IF($A391="","",IFERROR(GETPIVOTDATA("合計 / 処遇改善加算金",【ピボット】国保連売上!$A$3,"年月",$A391,"事業所コード",$B391,"事業所",$C391,"事業区分",D$1,"請求区分","単月"),0))</f>
        <v/>
      </c>
      <c r="F391" s="659" t="str">
        <f>IF($A391="","",IFERROR(GETPIVOTDATA("合計 / 入金予定",【ピボット】国保連売上!$A$3,"年月",$A391,"事業所コード",$B391,"事業所",$C391,"事業区分",F$1,"請求区分","単月"),0)
+IFERROR(GETPIVOTDATA("合計 / 入金予定",【ピボット】国保連売上!$A$3,"年月",$A391,"事業所コード",$B391,"事業所",$C391,"事業区分",F$1,"請求区分","再請求"),0))</f>
        <v/>
      </c>
      <c r="G391" s="659" t="str">
        <f>IF($A391="","",IFERROR(GETPIVOTDATA("合計 / 処遇改善加算金",【ピボット】国保連売上!$A$3,"年月",$A391,"事業所コード",$B391,"事業所",$C391,"事業区分",F$1,"請求区分","単月"),0))</f>
        <v/>
      </c>
      <c r="H391" s="659" t="str">
        <f>IF($A391="","",IFERROR(GETPIVOTDATA("合計 / 入金予定",【ピボット】国保連売上!$A$3,"年月",$A391,"事業所コード",$B391,"事業所",$C391,"事業区分",H$1,"請求区分","単月"),0)
+IFERROR(GETPIVOTDATA("合計 / 入金予定",【ピボット】国保連売上!$A$3,"年月",$A391,"事業所コード",$B391,"事業所",$C391,"事業区分",H$1,"請求区分","再請求"),0))</f>
        <v/>
      </c>
      <c r="I391" s="659" t="str">
        <f>IF($A391="","",IFERROR(GETPIVOTDATA("合計 / 入金予定",【ピボット】国保連売上!$A$3,"年月",$A391,"事業所コード",$B391,"事業所",$C391,"事業区分",I$1,"請求区分","単月"),0)
+IFERROR(GETPIVOTDATA("合計 / 入金予定",【ピボット】国保連売上!$A$3,"年月",$A391,"事業所コード",$B391,"事業所",$C391,"事業区分",I$1,"請求区分","再請求"),0))</f>
        <v/>
      </c>
      <c r="J391" s="659" t="str">
        <f>IF($A391="","",IFERROR(GETPIVOTDATA("合計 / 処遇改善加算金",【ピボット】国保連売上!$A$3,"年月",$A391,"事業所コード",$B391,"事業所",$C391,"事業区分",I$1,"請求区分","単月"),0))</f>
        <v/>
      </c>
      <c r="K391" s="659" t="str">
        <f>IF($A391="","",IFERROR(GETPIVOTDATA("合計 / 入金予定",【ピボット】国保連売上!$A$3,"年月",$A391,"事業所コード",$B391,"事業所",$C391,"事業区分",K$1,"請求区分","単月"),0)
+IFERROR(GETPIVOTDATA("合計 / 入金予定",【ピボット】国保連売上!$A$3,"年月",$A391,"事業所コード",$B391,"事業所",$C391,"事業区分",K$1,"請求区分","再請求"),0))</f>
        <v/>
      </c>
      <c r="L391" s="659" t="str">
        <f>IF($A391="","",IFERROR(GETPIVOTDATA("合計 / 処遇改善加算金",【ピボット】国保連売上!$A$3,"年月",$A391,"事業所コード",$B391,"事業所",$C391,"事業区分",K$1,"請求区分","単月"),0))</f>
        <v/>
      </c>
      <c r="M391" s="659" t="str">
        <f>IF($A391="","",IFERROR(GETPIVOTDATA("合計 / 入金予定",【ピボット】国保連売上!$A$3,"年月",$A391,"事業所コード",$B391,"事業所",$C391,"事業区分",M$1,"請求区分","単月"),0)
+IFERROR(GETPIVOTDATA("合計 / 入金予定",【ピボット】国保連売上!$A$3,"年月",$A391,"事業所コード",$B391,"事業所",$C391,"事業区分",M$1,"請求区分","再請求"),0))</f>
        <v/>
      </c>
      <c r="N391" s="660"/>
      <c r="O391" s="660"/>
      <c r="P391" s="660"/>
      <c r="Q391" s="660"/>
      <c r="R391" s="660"/>
      <c r="S391" s="660"/>
      <c r="T391" s="660"/>
      <c r="U391" s="660"/>
      <c r="V391" s="660"/>
      <c r="W391" s="660"/>
      <c r="X391" s="660"/>
      <c r="Y391" s="659" t="str">
        <f t="shared" si="18"/>
        <v/>
      </c>
      <c r="Z391" s="659" t="str">
        <f t="shared" si="20"/>
        <v/>
      </c>
    </row>
    <row r="392" spans="1:26" ht="15.95" customHeight="1" x14ac:dyDescent="0.15">
      <c r="A392" s="656"/>
      <c r="B392" s="657" t="str">
        <f t="shared" si="19"/>
        <v/>
      </c>
      <c r="C392" s="658"/>
      <c r="D392" s="659" t="str">
        <f>IF($A392="","",IFERROR(GETPIVOTDATA("合計 / 入金予定",【ピボット】国保連売上!$A$3,"年月",$A392,"事業所コード",$B392,"事業所",$C392,"事業区分",D$1,"請求区分","単月"),0)
+IFERROR(GETPIVOTDATA("合計 / 入金予定",【ピボット】国保連売上!$A$3,"年月",$A392,"事業所コード",$B392,"事業所",$C392,"事業区分",D$1,"請求区分","再請求"),0))</f>
        <v/>
      </c>
      <c r="E392" s="659" t="str">
        <f>IF($A392="","",IFERROR(GETPIVOTDATA("合計 / 処遇改善加算金",【ピボット】国保連売上!$A$3,"年月",$A392,"事業所コード",$B392,"事業所",$C392,"事業区分",D$1,"請求区分","単月"),0))</f>
        <v/>
      </c>
      <c r="F392" s="659" t="str">
        <f>IF($A392="","",IFERROR(GETPIVOTDATA("合計 / 入金予定",【ピボット】国保連売上!$A$3,"年月",$A392,"事業所コード",$B392,"事業所",$C392,"事業区分",F$1,"請求区分","単月"),0)
+IFERROR(GETPIVOTDATA("合計 / 入金予定",【ピボット】国保連売上!$A$3,"年月",$A392,"事業所コード",$B392,"事業所",$C392,"事業区分",F$1,"請求区分","再請求"),0))</f>
        <v/>
      </c>
      <c r="G392" s="659" t="str">
        <f>IF($A392="","",IFERROR(GETPIVOTDATA("合計 / 処遇改善加算金",【ピボット】国保連売上!$A$3,"年月",$A392,"事業所コード",$B392,"事業所",$C392,"事業区分",F$1,"請求区分","単月"),0))</f>
        <v/>
      </c>
      <c r="H392" s="659" t="str">
        <f>IF($A392="","",IFERROR(GETPIVOTDATA("合計 / 入金予定",【ピボット】国保連売上!$A$3,"年月",$A392,"事業所コード",$B392,"事業所",$C392,"事業区分",H$1,"請求区分","単月"),0)
+IFERROR(GETPIVOTDATA("合計 / 入金予定",【ピボット】国保連売上!$A$3,"年月",$A392,"事業所コード",$B392,"事業所",$C392,"事業区分",H$1,"請求区分","再請求"),0))</f>
        <v/>
      </c>
      <c r="I392" s="659" t="str">
        <f>IF($A392="","",IFERROR(GETPIVOTDATA("合計 / 入金予定",【ピボット】国保連売上!$A$3,"年月",$A392,"事業所コード",$B392,"事業所",$C392,"事業区分",I$1,"請求区分","単月"),0)
+IFERROR(GETPIVOTDATA("合計 / 入金予定",【ピボット】国保連売上!$A$3,"年月",$A392,"事業所コード",$B392,"事業所",$C392,"事業区分",I$1,"請求区分","再請求"),0))</f>
        <v/>
      </c>
      <c r="J392" s="659" t="str">
        <f>IF($A392="","",IFERROR(GETPIVOTDATA("合計 / 処遇改善加算金",【ピボット】国保連売上!$A$3,"年月",$A392,"事業所コード",$B392,"事業所",$C392,"事業区分",I$1,"請求区分","単月"),0))</f>
        <v/>
      </c>
      <c r="K392" s="659" t="str">
        <f>IF($A392="","",IFERROR(GETPIVOTDATA("合計 / 入金予定",【ピボット】国保連売上!$A$3,"年月",$A392,"事業所コード",$B392,"事業所",$C392,"事業区分",K$1,"請求区分","単月"),0)
+IFERROR(GETPIVOTDATA("合計 / 入金予定",【ピボット】国保連売上!$A$3,"年月",$A392,"事業所コード",$B392,"事業所",$C392,"事業区分",K$1,"請求区分","再請求"),0))</f>
        <v/>
      </c>
      <c r="L392" s="659" t="str">
        <f>IF($A392="","",IFERROR(GETPIVOTDATA("合計 / 処遇改善加算金",【ピボット】国保連売上!$A$3,"年月",$A392,"事業所コード",$B392,"事業所",$C392,"事業区分",K$1,"請求区分","単月"),0))</f>
        <v/>
      </c>
      <c r="M392" s="659" t="str">
        <f>IF($A392="","",IFERROR(GETPIVOTDATA("合計 / 入金予定",【ピボット】国保連売上!$A$3,"年月",$A392,"事業所コード",$B392,"事業所",$C392,"事業区分",M$1,"請求区分","単月"),0)
+IFERROR(GETPIVOTDATA("合計 / 入金予定",【ピボット】国保連売上!$A$3,"年月",$A392,"事業所コード",$B392,"事業所",$C392,"事業区分",M$1,"請求区分","再請求"),0))</f>
        <v/>
      </c>
      <c r="N392" s="660"/>
      <c r="O392" s="660"/>
      <c r="P392" s="660"/>
      <c r="Q392" s="660"/>
      <c r="R392" s="660"/>
      <c r="S392" s="660"/>
      <c r="T392" s="660"/>
      <c r="U392" s="660"/>
      <c r="V392" s="660"/>
      <c r="W392" s="660"/>
      <c r="X392" s="660"/>
      <c r="Y392" s="659" t="str">
        <f t="shared" si="18"/>
        <v/>
      </c>
      <c r="Z392" s="659" t="str">
        <f t="shared" si="20"/>
        <v/>
      </c>
    </row>
    <row r="393" spans="1:26" ht="15.95" customHeight="1" x14ac:dyDescent="0.15">
      <c r="A393" s="656"/>
      <c r="B393" s="657" t="str">
        <f t="shared" si="19"/>
        <v/>
      </c>
      <c r="C393" s="658"/>
      <c r="D393" s="659" t="str">
        <f>IF($A393="","",IFERROR(GETPIVOTDATA("合計 / 入金予定",【ピボット】国保連売上!$A$3,"年月",$A393,"事業所コード",$B393,"事業所",$C393,"事業区分",D$1,"請求区分","単月"),0)
+IFERROR(GETPIVOTDATA("合計 / 入金予定",【ピボット】国保連売上!$A$3,"年月",$A393,"事業所コード",$B393,"事業所",$C393,"事業区分",D$1,"請求区分","再請求"),0))</f>
        <v/>
      </c>
      <c r="E393" s="659" t="str">
        <f>IF($A393="","",IFERROR(GETPIVOTDATA("合計 / 処遇改善加算金",【ピボット】国保連売上!$A$3,"年月",$A393,"事業所コード",$B393,"事業所",$C393,"事業区分",D$1,"請求区分","単月"),0))</f>
        <v/>
      </c>
      <c r="F393" s="659" t="str">
        <f>IF($A393="","",IFERROR(GETPIVOTDATA("合計 / 入金予定",【ピボット】国保連売上!$A$3,"年月",$A393,"事業所コード",$B393,"事業所",$C393,"事業区分",F$1,"請求区分","単月"),0)
+IFERROR(GETPIVOTDATA("合計 / 入金予定",【ピボット】国保連売上!$A$3,"年月",$A393,"事業所コード",$B393,"事業所",$C393,"事業区分",F$1,"請求区分","再請求"),0))</f>
        <v/>
      </c>
      <c r="G393" s="659" t="str">
        <f>IF($A393="","",IFERROR(GETPIVOTDATA("合計 / 処遇改善加算金",【ピボット】国保連売上!$A$3,"年月",$A393,"事業所コード",$B393,"事業所",$C393,"事業区分",F$1,"請求区分","単月"),0))</f>
        <v/>
      </c>
      <c r="H393" s="659" t="str">
        <f>IF($A393="","",IFERROR(GETPIVOTDATA("合計 / 入金予定",【ピボット】国保連売上!$A$3,"年月",$A393,"事業所コード",$B393,"事業所",$C393,"事業区分",H$1,"請求区分","単月"),0)
+IFERROR(GETPIVOTDATA("合計 / 入金予定",【ピボット】国保連売上!$A$3,"年月",$A393,"事業所コード",$B393,"事業所",$C393,"事業区分",H$1,"請求区分","再請求"),0))</f>
        <v/>
      </c>
      <c r="I393" s="659" t="str">
        <f>IF($A393="","",IFERROR(GETPIVOTDATA("合計 / 入金予定",【ピボット】国保連売上!$A$3,"年月",$A393,"事業所コード",$B393,"事業所",$C393,"事業区分",I$1,"請求区分","単月"),0)
+IFERROR(GETPIVOTDATA("合計 / 入金予定",【ピボット】国保連売上!$A$3,"年月",$A393,"事業所コード",$B393,"事業所",$C393,"事業区分",I$1,"請求区分","再請求"),0))</f>
        <v/>
      </c>
      <c r="J393" s="659" t="str">
        <f>IF($A393="","",IFERROR(GETPIVOTDATA("合計 / 処遇改善加算金",【ピボット】国保連売上!$A$3,"年月",$A393,"事業所コード",$B393,"事業所",$C393,"事業区分",I$1,"請求区分","単月"),0))</f>
        <v/>
      </c>
      <c r="K393" s="659" t="str">
        <f>IF($A393="","",IFERROR(GETPIVOTDATA("合計 / 入金予定",【ピボット】国保連売上!$A$3,"年月",$A393,"事業所コード",$B393,"事業所",$C393,"事業区分",K$1,"請求区分","単月"),0)
+IFERROR(GETPIVOTDATA("合計 / 入金予定",【ピボット】国保連売上!$A$3,"年月",$A393,"事業所コード",$B393,"事業所",$C393,"事業区分",K$1,"請求区分","再請求"),0))</f>
        <v/>
      </c>
      <c r="L393" s="659" t="str">
        <f>IF($A393="","",IFERROR(GETPIVOTDATA("合計 / 処遇改善加算金",【ピボット】国保連売上!$A$3,"年月",$A393,"事業所コード",$B393,"事業所",$C393,"事業区分",K$1,"請求区分","単月"),0))</f>
        <v/>
      </c>
      <c r="M393" s="659" t="str">
        <f>IF($A393="","",IFERROR(GETPIVOTDATA("合計 / 入金予定",【ピボット】国保連売上!$A$3,"年月",$A393,"事業所コード",$B393,"事業所",$C393,"事業区分",M$1,"請求区分","単月"),0)
+IFERROR(GETPIVOTDATA("合計 / 入金予定",【ピボット】国保連売上!$A$3,"年月",$A393,"事業所コード",$B393,"事業所",$C393,"事業区分",M$1,"請求区分","再請求"),0))</f>
        <v/>
      </c>
      <c r="N393" s="660"/>
      <c r="O393" s="660"/>
      <c r="P393" s="660"/>
      <c r="Q393" s="660"/>
      <c r="R393" s="660"/>
      <c r="S393" s="660"/>
      <c r="T393" s="660"/>
      <c r="U393" s="660"/>
      <c r="V393" s="660"/>
      <c r="W393" s="660"/>
      <c r="X393" s="660"/>
      <c r="Y393" s="659" t="str">
        <f t="shared" si="18"/>
        <v/>
      </c>
      <c r="Z393" s="659" t="str">
        <f t="shared" si="20"/>
        <v/>
      </c>
    </row>
    <row r="394" spans="1:26" ht="15.95" customHeight="1" x14ac:dyDescent="0.15">
      <c r="A394" s="656"/>
      <c r="B394" s="657" t="str">
        <f t="shared" si="19"/>
        <v/>
      </c>
      <c r="C394" s="658"/>
      <c r="D394" s="659" t="str">
        <f>IF($A394="","",IFERROR(GETPIVOTDATA("合計 / 入金予定",【ピボット】国保連売上!$A$3,"年月",$A394,"事業所コード",$B394,"事業所",$C394,"事業区分",D$1,"請求区分","単月"),0)
+IFERROR(GETPIVOTDATA("合計 / 入金予定",【ピボット】国保連売上!$A$3,"年月",$A394,"事業所コード",$B394,"事業所",$C394,"事業区分",D$1,"請求区分","再請求"),0))</f>
        <v/>
      </c>
      <c r="E394" s="659" t="str">
        <f>IF($A394="","",IFERROR(GETPIVOTDATA("合計 / 処遇改善加算金",【ピボット】国保連売上!$A$3,"年月",$A394,"事業所コード",$B394,"事業所",$C394,"事業区分",D$1,"請求区分","単月"),0))</f>
        <v/>
      </c>
      <c r="F394" s="659" t="str">
        <f>IF($A394="","",IFERROR(GETPIVOTDATA("合計 / 入金予定",【ピボット】国保連売上!$A$3,"年月",$A394,"事業所コード",$B394,"事業所",$C394,"事業区分",F$1,"請求区分","単月"),0)
+IFERROR(GETPIVOTDATA("合計 / 入金予定",【ピボット】国保連売上!$A$3,"年月",$A394,"事業所コード",$B394,"事業所",$C394,"事業区分",F$1,"請求区分","再請求"),0))</f>
        <v/>
      </c>
      <c r="G394" s="659" t="str">
        <f>IF($A394="","",IFERROR(GETPIVOTDATA("合計 / 処遇改善加算金",【ピボット】国保連売上!$A$3,"年月",$A394,"事業所コード",$B394,"事業所",$C394,"事業区分",F$1,"請求区分","単月"),0))</f>
        <v/>
      </c>
      <c r="H394" s="659" t="str">
        <f>IF($A394="","",IFERROR(GETPIVOTDATA("合計 / 入金予定",【ピボット】国保連売上!$A$3,"年月",$A394,"事業所コード",$B394,"事業所",$C394,"事業区分",H$1,"請求区分","単月"),0)
+IFERROR(GETPIVOTDATA("合計 / 入金予定",【ピボット】国保連売上!$A$3,"年月",$A394,"事業所コード",$B394,"事業所",$C394,"事業区分",H$1,"請求区分","再請求"),0))</f>
        <v/>
      </c>
      <c r="I394" s="659" t="str">
        <f>IF($A394="","",IFERROR(GETPIVOTDATA("合計 / 入金予定",【ピボット】国保連売上!$A$3,"年月",$A394,"事業所コード",$B394,"事業所",$C394,"事業区分",I$1,"請求区分","単月"),0)
+IFERROR(GETPIVOTDATA("合計 / 入金予定",【ピボット】国保連売上!$A$3,"年月",$A394,"事業所コード",$B394,"事業所",$C394,"事業区分",I$1,"請求区分","再請求"),0))</f>
        <v/>
      </c>
      <c r="J394" s="659" t="str">
        <f>IF($A394="","",IFERROR(GETPIVOTDATA("合計 / 処遇改善加算金",【ピボット】国保連売上!$A$3,"年月",$A394,"事業所コード",$B394,"事業所",$C394,"事業区分",I$1,"請求区分","単月"),0))</f>
        <v/>
      </c>
      <c r="K394" s="659" t="str">
        <f>IF($A394="","",IFERROR(GETPIVOTDATA("合計 / 入金予定",【ピボット】国保連売上!$A$3,"年月",$A394,"事業所コード",$B394,"事業所",$C394,"事業区分",K$1,"請求区分","単月"),0)
+IFERROR(GETPIVOTDATA("合計 / 入金予定",【ピボット】国保連売上!$A$3,"年月",$A394,"事業所コード",$B394,"事業所",$C394,"事業区分",K$1,"請求区分","再請求"),0))</f>
        <v/>
      </c>
      <c r="L394" s="659" t="str">
        <f>IF($A394="","",IFERROR(GETPIVOTDATA("合計 / 処遇改善加算金",【ピボット】国保連売上!$A$3,"年月",$A394,"事業所コード",$B394,"事業所",$C394,"事業区分",K$1,"請求区分","単月"),0))</f>
        <v/>
      </c>
      <c r="M394" s="659" t="str">
        <f>IF($A394="","",IFERROR(GETPIVOTDATA("合計 / 入金予定",【ピボット】国保連売上!$A$3,"年月",$A394,"事業所コード",$B394,"事業所",$C394,"事業区分",M$1,"請求区分","単月"),0)
+IFERROR(GETPIVOTDATA("合計 / 入金予定",【ピボット】国保連売上!$A$3,"年月",$A394,"事業所コード",$B394,"事業所",$C394,"事業区分",M$1,"請求区分","再請求"),0))</f>
        <v/>
      </c>
      <c r="N394" s="660"/>
      <c r="O394" s="660"/>
      <c r="P394" s="660"/>
      <c r="Q394" s="660"/>
      <c r="R394" s="660"/>
      <c r="S394" s="660"/>
      <c r="T394" s="660"/>
      <c r="U394" s="660"/>
      <c r="V394" s="660"/>
      <c r="W394" s="660"/>
      <c r="X394" s="660"/>
      <c r="Y394" s="659" t="str">
        <f t="shared" si="18"/>
        <v/>
      </c>
      <c r="Z394" s="659" t="str">
        <f t="shared" si="20"/>
        <v/>
      </c>
    </row>
    <row r="395" spans="1:26" ht="15.95" customHeight="1" x14ac:dyDescent="0.15">
      <c r="A395" s="656"/>
      <c r="B395" s="657" t="str">
        <f t="shared" si="19"/>
        <v/>
      </c>
      <c r="C395" s="658"/>
      <c r="D395" s="659" t="str">
        <f>IF($A395="","",IFERROR(GETPIVOTDATA("合計 / 入金予定",【ピボット】国保連売上!$A$3,"年月",$A395,"事業所コード",$B395,"事業所",$C395,"事業区分",D$1,"請求区分","単月"),0)
+IFERROR(GETPIVOTDATA("合計 / 入金予定",【ピボット】国保連売上!$A$3,"年月",$A395,"事業所コード",$B395,"事業所",$C395,"事業区分",D$1,"請求区分","再請求"),0))</f>
        <v/>
      </c>
      <c r="E395" s="659" t="str">
        <f>IF($A395="","",IFERROR(GETPIVOTDATA("合計 / 処遇改善加算金",【ピボット】国保連売上!$A$3,"年月",$A395,"事業所コード",$B395,"事業所",$C395,"事業区分",D$1,"請求区分","単月"),0))</f>
        <v/>
      </c>
      <c r="F395" s="659" t="str">
        <f>IF($A395="","",IFERROR(GETPIVOTDATA("合計 / 入金予定",【ピボット】国保連売上!$A$3,"年月",$A395,"事業所コード",$B395,"事業所",$C395,"事業区分",F$1,"請求区分","単月"),0)
+IFERROR(GETPIVOTDATA("合計 / 入金予定",【ピボット】国保連売上!$A$3,"年月",$A395,"事業所コード",$B395,"事業所",$C395,"事業区分",F$1,"請求区分","再請求"),0))</f>
        <v/>
      </c>
      <c r="G395" s="659" t="str">
        <f>IF($A395="","",IFERROR(GETPIVOTDATA("合計 / 処遇改善加算金",【ピボット】国保連売上!$A$3,"年月",$A395,"事業所コード",$B395,"事業所",$C395,"事業区分",F$1,"請求区分","単月"),0))</f>
        <v/>
      </c>
      <c r="H395" s="659" t="str">
        <f>IF($A395="","",IFERROR(GETPIVOTDATA("合計 / 入金予定",【ピボット】国保連売上!$A$3,"年月",$A395,"事業所コード",$B395,"事業所",$C395,"事業区分",H$1,"請求区分","単月"),0)
+IFERROR(GETPIVOTDATA("合計 / 入金予定",【ピボット】国保連売上!$A$3,"年月",$A395,"事業所コード",$B395,"事業所",$C395,"事業区分",H$1,"請求区分","再請求"),0))</f>
        <v/>
      </c>
      <c r="I395" s="659" t="str">
        <f>IF($A395="","",IFERROR(GETPIVOTDATA("合計 / 入金予定",【ピボット】国保連売上!$A$3,"年月",$A395,"事業所コード",$B395,"事業所",$C395,"事業区分",I$1,"請求区分","単月"),0)
+IFERROR(GETPIVOTDATA("合計 / 入金予定",【ピボット】国保連売上!$A$3,"年月",$A395,"事業所コード",$B395,"事業所",$C395,"事業区分",I$1,"請求区分","再請求"),0))</f>
        <v/>
      </c>
      <c r="J395" s="659" t="str">
        <f>IF($A395="","",IFERROR(GETPIVOTDATA("合計 / 処遇改善加算金",【ピボット】国保連売上!$A$3,"年月",$A395,"事業所コード",$B395,"事業所",$C395,"事業区分",I$1,"請求区分","単月"),0))</f>
        <v/>
      </c>
      <c r="K395" s="659" t="str">
        <f>IF($A395="","",IFERROR(GETPIVOTDATA("合計 / 入金予定",【ピボット】国保連売上!$A$3,"年月",$A395,"事業所コード",$B395,"事業所",$C395,"事業区分",K$1,"請求区分","単月"),0)
+IFERROR(GETPIVOTDATA("合計 / 入金予定",【ピボット】国保連売上!$A$3,"年月",$A395,"事業所コード",$B395,"事業所",$C395,"事業区分",K$1,"請求区分","再請求"),0))</f>
        <v/>
      </c>
      <c r="L395" s="659" t="str">
        <f>IF($A395="","",IFERROR(GETPIVOTDATA("合計 / 処遇改善加算金",【ピボット】国保連売上!$A$3,"年月",$A395,"事業所コード",$B395,"事業所",$C395,"事業区分",K$1,"請求区分","単月"),0))</f>
        <v/>
      </c>
      <c r="M395" s="659" t="str">
        <f>IF($A395="","",IFERROR(GETPIVOTDATA("合計 / 入金予定",【ピボット】国保連売上!$A$3,"年月",$A395,"事業所コード",$B395,"事業所",$C395,"事業区分",M$1,"請求区分","単月"),0)
+IFERROR(GETPIVOTDATA("合計 / 入金予定",【ピボット】国保連売上!$A$3,"年月",$A395,"事業所コード",$B395,"事業所",$C395,"事業区分",M$1,"請求区分","再請求"),0))</f>
        <v/>
      </c>
      <c r="N395" s="660"/>
      <c r="O395" s="660"/>
      <c r="P395" s="660"/>
      <c r="Q395" s="660"/>
      <c r="R395" s="660"/>
      <c r="S395" s="660"/>
      <c r="T395" s="660"/>
      <c r="U395" s="660"/>
      <c r="V395" s="660"/>
      <c r="W395" s="660"/>
      <c r="X395" s="660"/>
      <c r="Y395" s="659" t="str">
        <f t="shared" si="18"/>
        <v/>
      </c>
      <c r="Z395" s="659" t="str">
        <f t="shared" si="20"/>
        <v/>
      </c>
    </row>
    <row r="396" spans="1:26" ht="15.95" customHeight="1" x14ac:dyDescent="0.15">
      <c r="A396" s="656"/>
      <c r="B396" s="657" t="str">
        <f t="shared" si="19"/>
        <v/>
      </c>
      <c r="C396" s="658"/>
      <c r="D396" s="659" t="str">
        <f>IF($A396="","",IFERROR(GETPIVOTDATA("合計 / 入金予定",【ピボット】国保連売上!$A$3,"年月",$A396,"事業所コード",$B396,"事業所",$C396,"事業区分",D$1,"請求区分","単月"),0)
+IFERROR(GETPIVOTDATA("合計 / 入金予定",【ピボット】国保連売上!$A$3,"年月",$A396,"事業所コード",$B396,"事業所",$C396,"事業区分",D$1,"請求区分","再請求"),0))</f>
        <v/>
      </c>
      <c r="E396" s="659" t="str">
        <f>IF($A396="","",IFERROR(GETPIVOTDATA("合計 / 処遇改善加算金",【ピボット】国保連売上!$A$3,"年月",$A396,"事業所コード",$B396,"事業所",$C396,"事業区分",D$1,"請求区分","単月"),0))</f>
        <v/>
      </c>
      <c r="F396" s="659" t="str">
        <f>IF($A396="","",IFERROR(GETPIVOTDATA("合計 / 入金予定",【ピボット】国保連売上!$A$3,"年月",$A396,"事業所コード",$B396,"事業所",$C396,"事業区分",F$1,"請求区分","単月"),0)
+IFERROR(GETPIVOTDATA("合計 / 入金予定",【ピボット】国保連売上!$A$3,"年月",$A396,"事業所コード",$B396,"事業所",$C396,"事業区分",F$1,"請求区分","再請求"),0))</f>
        <v/>
      </c>
      <c r="G396" s="659" t="str">
        <f>IF($A396="","",IFERROR(GETPIVOTDATA("合計 / 処遇改善加算金",【ピボット】国保連売上!$A$3,"年月",$A396,"事業所コード",$B396,"事業所",$C396,"事業区分",F$1,"請求区分","単月"),0))</f>
        <v/>
      </c>
      <c r="H396" s="659" t="str">
        <f>IF($A396="","",IFERROR(GETPIVOTDATA("合計 / 入金予定",【ピボット】国保連売上!$A$3,"年月",$A396,"事業所コード",$B396,"事業所",$C396,"事業区分",H$1,"請求区分","単月"),0)
+IFERROR(GETPIVOTDATA("合計 / 入金予定",【ピボット】国保連売上!$A$3,"年月",$A396,"事業所コード",$B396,"事業所",$C396,"事業区分",H$1,"請求区分","再請求"),0))</f>
        <v/>
      </c>
      <c r="I396" s="659" t="str">
        <f>IF($A396="","",IFERROR(GETPIVOTDATA("合計 / 入金予定",【ピボット】国保連売上!$A$3,"年月",$A396,"事業所コード",$B396,"事業所",$C396,"事業区分",I$1,"請求区分","単月"),0)
+IFERROR(GETPIVOTDATA("合計 / 入金予定",【ピボット】国保連売上!$A$3,"年月",$A396,"事業所コード",$B396,"事業所",$C396,"事業区分",I$1,"請求区分","再請求"),0))</f>
        <v/>
      </c>
      <c r="J396" s="659" t="str">
        <f>IF($A396="","",IFERROR(GETPIVOTDATA("合計 / 処遇改善加算金",【ピボット】国保連売上!$A$3,"年月",$A396,"事業所コード",$B396,"事業所",$C396,"事業区分",I$1,"請求区分","単月"),0))</f>
        <v/>
      </c>
      <c r="K396" s="659" t="str">
        <f>IF($A396="","",IFERROR(GETPIVOTDATA("合計 / 入金予定",【ピボット】国保連売上!$A$3,"年月",$A396,"事業所コード",$B396,"事業所",$C396,"事業区分",K$1,"請求区分","単月"),0)
+IFERROR(GETPIVOTDATA("合計 / 入金予定",【ピボット】国保連売上!$A$3,"年月",$A396,"事業所コード",$B396,"事業所",$C396,"事業区分",K$1,"請求区分","再請求"),0))</f>
        <v/>
      </c>
      <c r="L396" s="659" t="str">
        <f>IF($A396="","",IFERROR(GETPIVOTDATA("合計 / 処遇改善加算金",【ピボット】国保連売上!$A$3,"年月",$A396,"事業所コード",$B396,"事業所",$C396,"事業区分",K$1,"請求区分","単月"),0))</f>
        <v/>
      </c>
      <c r="M396" s="659" t="str">
        <f>IF($A396="","",IFERROR(GETPIVOTDATA("合計 / 入金予定",【ピボット】国保連売上!$A$3,"年月",$A396,"事業所コード",$B396,"事業所",$C396,"事業区分",M$1,"請求区分","単月"),0)
+IFERROR(GETPIVOTDATA("合計 / 入金予定",【ピボット】国保連売上!$A$3,"年月",$A396,"事業所コード",$B396,"事業所",$C396,"事業区分",M$1,"請求区分","再請求"),0))</f>
        <v/>
      </c>
      <c r="N396" s="660"/>
      <c r="O396" s="660"/>
      <c r="P396" s="660"/>
      <c r="Q396" s="660"/>
      <c r="R396" s="660"/>
      <c r="S396" s="660"/>
      <c r="T396" s="660"/>
      <c r="U396" s="660"/>
      <c r="V396" s="660"/>
      <c r="W396" s="660"/>
      <c r="X396" s="660"/>
      <c r="Y396" s="659" t="str">
        <f t="shared" si="18"/>
        <v/>
      </c>
      <c r="Z396" s="659" t="str">
        <f t="shared" si="20"/>
        <v/>
      </c>
    </row>
    <row r="397" spans="1:26" ht="15.95" customHeight="1" x14ac:dyDescent="0.15">
      <c r="A397" s="656"/>
      <c r="B397" s="657" t="str">
        <f t="shared" si="19"/>
        <v/>
      </c>
      <c r="C397" s="658"/>
      <c r="D397" s="659" t="str">
        <f>IF($A397="","",IFERROR(GETPIVOTDATA("合計 / 入金予定",【ピボット】国保連売上!$A$3,"年月",$A397,"事業所コード",$B397,"事業所",$C397,"事業区分",D$1,"請求区分","単月"),0)
+IFERROR(GETPIVOTDATA("合計 / 入金予定",【ピボット】国保連売上!$A$3,"年月",$A397,"事業所コード",$B397,"事業所",$C397,"事業区分",D$1,"請求区分","再請求"),0))</f>
        <v/>
      </c>
      <c r="E397" s="659" t="str">
        <f>IF($A397="","",IFERROR(GETPIVOTDATA("合計 / 処遇改善加算金",【ピボット】国保連売上!$A$3,"年月",$A397,"事業所コード",$B397,"事業所",$C397,"事業区分",D$1,"請求区分","単月"),0))</f>
        <v/>
      </c>
      <c r="F397" s="659" t="str">
        <f>IF($A397="","",IFERROR(GETPIVOTDATA("合計 / 入金予定",【ピボット】国保連売上!$A$3,"年月",$A397,"事業所コード",$B397,"事業所",$C397,"事業区分",F$1,"請求区分","単月"),0)
+IFERROR(GETPIVOTDATA("合計 / 入金予定",【ピボット】国保連売上!$A$3,"年月",$A397,"事業所コード",$B397,"事業所",$C397,"事業区分",F$1,"請求区分","再請求"),0))</f>
        <v/>
      </c>
      <c r="G397" s="659" t="str">
        <f>IF($A397="","",IFERROR(GETPIVOTDATA("合計 / 処遇改善加算金",【ピボット】国保連売上!$A$3,"年月",$A397,"事業所コード",$B397,"事業所",$C397,"事業区分",F$1,"請求区分","単月"),0))</f>
        <v/>
      </c>
      <c r="H397" s="659" t="str">
        <f>IF($A397="","",IFERROR(GETPIVOTDATA("合計 / 入金予定",【ピボット】国保連売上!$A$3,"年月",$A397,"事業所コード",$B397,"事業所",$C397,"事業区分",H$1,"請求区分","単月"),0)
+IFERROR(GETPIVOTDATA("合計 / 入金予定",【ピボット】国保連売上!$A$3,"年月",$A397,"事業所コード",$B397,"事業所",$C397,"事業区分",H$1,"請求区分","再請求"),0))</f>
        <v/>
      </c>
      <c r="I397" s="659" t="str">
        <f>IF($A397="","",IFERROR(GETPIVOTDATA("合計 / 入金予定",【ピボット】国保連売上!$A$3,"年月",$A397,"事業所コード",$B397,"事業所",$C397,"事業区分",I$1,"請求区分","単月"),0)
+IFERROR(GETPIVOTDATA("合計 / 入金予定",【ピボット】国保連売上!$A$3,"年月",$A397,"事業所コード",$B397,"事業所",$C397,"事業区分",I$1,"請求区分","再請求"),0))</f>
        <v/>
      </c>
      <c r="J397" s="659" t="str">
        <f>IF($A397="","",IFERROR(GETPIVOTDATA("合計 / 処遇改善加算金",【ピボット】国保連売上!$A$3,"年月",$A397,"事業所コード",$B397,"事業所",$C397,"事業区分",I$1,"請求区分","単月"),0))</f>
        <v/>
      </c>
      <c r="K397" s="659" t="str">
        <f>IF($A397="","",IFERROR(GETPIVOTDATA("合計 / 入金予定",【ピボット】国保連売上!$A$3,"年月",$A397,"事業所コード",$B397,"事業所",$C397,"事業区分",K$1,"請求区分","単月"),0)
+IFERROR(GETPIVOTDATA("合計 / 入金予定",【ピボット】国保連売上!$A$3,"年月",$A397,"事業所コード",$B397,"事業所",$C397,"事業区分",K$1,"請求区分","再請求"),0))</f>
        <v/>
      </c>
      <c r="L397" s="659" t="str">
        <f>IF($A397="","",IFERROR(GETPIVOTDATA("合計 / 処遇改善加算金",【ピボット】国保連売上!$A$3,"年月",$A397,"事業所コード",$B397,"事業所",$C397,"事業区分",K$1,"請求区分","単月"),0))</f>
        <v/>
      </c>
      <c r="M397" s="659" t="str">
        <f>IF($A397="","",IFERROR(GETPIVOTDATA("合計 / 入金予定",【ピボット】国保連売上!$A$3,"年月",$A397,"事業所コード",$B397,"事業所",$C397,"事業区分",M$1,"請求区分","単月"),0)
+IFERROR(GETPIVOTDATA("合計 / 入金予定",【ピボット】国保連売上!$A$3,"年月",$A397,"事業所コード",$B397,"事業所",$C397,"事業区分",M$1,"請求区分","再請求"),0))</f>
        <v/>
      </c>
      <c r="N397" s="660"/>
      <c r="O397" s="660"/>
      <c r="P397" s="660"/>
      <c r="Q397" s="660"/>
      <c r="R397" s="660"/>
      <c r="S397" s="660"/>
      <c r="T397" s="660"/>
      <c r="U397" s="660"/>
      <c r="V397" s="660"/>
      <c r="W397" s="660"/>
      <c r="X397" s="660"/>
      <c r="Y397" s="659" t="str">
        <f t="shared" si="18"/>
        <v/>
      </c>
      <c r="Z397" s="659" t="str">
        <f t="shared" si="20"/>
        <v/>
      </c>
    </row>
    <row r="398" spans="1:26" ht="15.95" customHeight="1" x14ac:dyDescent="0.15">
      <c r="A398" s="656"/>
      <c r="B398" s="657" t="str">
        <f t="shared" si="19"/>
        <v/>
      </c>
      <c r="C398" s="658"/>
      <c r="D398" s="659" t="str">
        <f>IF($A398="","",IFERROR(GETPIVOTDATA("合計 / 入金予定",【ピボット】国保連売上!$A$3,"年月",$A398,"事業所コード",$B398,"事業所",$C398,"事業区分",D$1,"請求区分","単月"),0)
+IFERROR(GETPIVOTDATA("合計 / 入金予定",【ピボット】国保連売上!$A$3,"年月",$A398,"事業所コード",$B398,"事業所",$C398,"事業区分",D$1,"請求区分","再請求"),0))</f>
        <v/>
      </c>
      <c r="E398" s="659" t="str">
        <f>IF($A398="","",IFERROR(GETPIVOTDATA("合計 / 処遇改善加算金",【ピボット】国保連売上!$A$3,"年月",$A398,"事業所コード",$B398,"事業所",$C398,"事業区分",D$1,"請求区分","単月"),0))</f>
        <v/>
      </c>
      <c r="F398" s="659" t="str">
        <f>IF($A398="","",IFERROR(GETPIVOTDATA("合計 / 入金予定",【ピボット】国保連売上!$A$3,"年月",$A398,"事業所コード",$B398,"事業所",$C398,"事業区分",F$1,"請求区分","単月"),0)
+IFERROR(GETPIVOTDATA("合計 / 入金予定",【ピボット】国保連売上!$A$3,"年月",$A398,"事業所コード",$B398,"事業所",$C398,"事業区分",F$1,"請求区分","再請求"),0))</f>
        <v/>
      </c>
      <c r="G398" s="659" t="str">
        <f>IF($A398="","",IFERROR(GETPIVOTDATA("合計 / 処遇改善加算金",【ピボット】国保連売上!$A$3,"年月",$A398,"事業所コード",$B398,"事業所",$C398,"事業区分",F$1,"請求区分","単月"),0))</f>
        <v/>
      </c>
      <c r="H398" s="659" t="str">
        <f>IF($A398="","",IFERROR(GETPIVOTDATA("合計 / 入金予定",【ピボット】国保連売上!$A$3,"年月",$A398,"事業所コード",$B398,"事業所",$C398,"事業区分",H$1,"請求区分","単月"),0)
+IFERROR(GETPIVOTDATA("合計 / 入金予定",【ピボット】国保連売上!$A$3,"年月",$A398,"事業所コード",$B398,"事業所",$C398,"事業区分",H$1,"請求区分","再請求"),0))</f>
        <v/>
      </c>
      <c r="I398" s="659" t="str">
        <f>IF($A398="","",IFERROR(GETPIVOTDATA("合計 / 入金予定",【ピボット】国保連売上!$A$3,"年月",$A398,"事業所コード",$B398,"事業所",$C398,"事業区分",I$1,"請求区分","単月"),0)
+IFERROR(GETPIVOTDATA("合計 / 入金予定",【ピボット】国保連売上!$A$3,"年月",$A398,"事業所コード",$B398,"事業所",$C398,"事業区分",I$1,"請求区分","再請求"),0))</f>
        <v/>
      </c>
      <c r="J398" s="659" t="str">
        <f>IF($A398="","",IFERROR(GETPIVOTDATA("合計 / 処遇改善加算金",【ピボット】国保連売上!$A$3,"年月",$A398,"事業所コード",$B398,"事業所",$C398,"事業区分",I$1,"請求区分","単月"),0))</f>
        <v/>
      </c>
      <c r="K398" s="659" t="str">
        <f>IF($A398="","",IFERROR(GETPIVOTDATA("合計 / 入金予定",【ピボット】国保連売上!$A$3,"年月",$A398,"事業所コード",$B398,"事業所",$C398,"事業区分",K$1,"請求区分","単月"),0)
+IFERROR(GETPIVOTDATA("合計 / 入金予定",【ピボット】国保連売上!$A$3,"年月",$A398,"事業所コード",$B398,"事業所",$C398,"事業区分",K$1,"請求区分","再請求"),0))</f>
        <v/>
      </c>
      <c r="L398" s="659" t="str">
        <f>IF($A398="","",IFERROR(GETPIVOTDATA("合計 / 処遇改善加算金",【ピボット】国保連売上!$A$3,"年月",$A398,"事業所コード",$B398,"事業所",$C398,"事業区分",K$1,"請求区分","単月"),0))</f>
        <v/>
      </c>
      <c r="M398" s="659" t="str">
        <f>IF($A398="","",IFERROR(GETPIVOTDATA("合計 / 入金予定",【ピボット】国保連売上!$A$3,"年月",$A398,"事業所コード",$B398,"事業所",$C398,"事業区分",M$1,"請求区分","単月"),0)
+IFERROR(GETPIVOTDATA("合計 / 入金予定",【ピボット】国保連売上!$A$3,"年月",$A398,"事業所コード",$B398,"事業所",$C398,"事業区分",M$1,"請求区分","再請求"),0))</f>
        <v/>
      </c>
      <c r="N398" s="660"/>
      <c r="O398" s="660"/>
      <c r="P398" s="660"/>
      <c r="Q398" s="660"/>
      <c r="R398" s="660"/>
      <c r="S398" s="660"/>
      <c r="T398" s="660"/>
      <c r="U398" s="660"/>
      <c r="V398" s="660"/>
      <c r="W398" s="660"/>
      <c r="X398" s="660"/>
      <c r="Y398" s="659" t="str">
        <f t="shared" si="18"/>
        <v/>
      </c>
      <c r="Z398" s="659" t="str">
        <f t="shared" si="20"/>
        <v/>
      </c>
    </row>
    <row r="399" spans="1:26" ht="15.95" customHeight="1" x14ac:dyDescent="0.15">
      <c r="A399" s="656"/>
      <c r="B399" s="657" t="str">
        <f t="shared" si="19"/>
        <v/>
      </c>
      <c r="C399" s="658"/>
      <c r="D399" s="659" t="str">
        <f>IF($A399="","",IFERROR(GETPIVOTDATA("合計 / 入金予定",【ピボット】国保連売上!$A$3,"年月",$A399,"事業所コード",$B399,"事業所",$C399,"事業区分",D$1,"請求区分","単月"),0)
+IFERROR(GETPIVOTDATA("合計 / 入金予定",【ピボット】国保連売上!$A$3,"年月",$A399,"事業所コード",$B399,"事業所",$C399,"事業区分",D$1,"請求区分","再請求"),0))</f>
        <v/>
      </c>
      <c r="E399" s="659" t="str">
        <f>IF($A399="","",IFERROR(GETPIVOTDATA("合計 / 処遇改善加算金",【ピボット】国保連売上!$A$3,"年月",$A399,"事業所コード",$B399,"事業所",$C399,"事業区分",D$1,"請求区分","単月"),0))</f>
        <v/>
      </c>
      <c r="F399" s="659" t="str">
        <f>IF($A399="","",IFERROR(GETPIVOTDATA("合計 / 入金予定",【ピボット】国保連売上!$A$3,"年月",$A399,"事業所コード",$B399,"事業所",$C399,"事業区分",F$1,"請求区分","単月"),0)
+IFERROR(GETPIVOTDATA("合計 / 入金予定",【ピボット】国保連売上!$A$3,"年月",$A399,"事業所コード",$B399,"事業所",$C399,"事業区分",F$1,"請求区分","再請求"),0))</f>
        <v/>
      </c>
      <c r="G399" s="659" t="str">
        <f>IF($A399="","",IFERROR(GETPIVOTDATA("合計 / 処遇改善加算金",【ピボット】国保連売上!$A$3,"年月",$A399,"事業所コード",$B399,"事業所",$C399,"事業区分",F$1,"請求区分","単月"),0))</f>
        <v/>
      </c>
      <c r="H399" s="659" t="str">
        <f>IF($A399="","",IFERROR(GETPIVOTDATA("合計 / 入金予定",【ピボット】国保連売上!$A$3,"年月",$A399,"事業所コード",$B399,"事業所",$C399,"事業区分",H$1,"請求区分","単月"),0)
+IFERROR(GETPIVOTDATA("合計 / 入金予定",【ピボット】国保連売上!$A$3,"年月",$A399,"事業所コード",$B399,"事業所",$C399,"事業区分",H$1,"請求区分","再請求"),0))</f>
        <v/>
      </c>
      <c r="I399" s="659" t="str">
        <f>IF($A399="","",IFERROR(GETPIVOTDATA("合計 / 入金予定",【ピボット】国保連売上!$A$3,"年月",$A399,"事業所コード",$B399,"事業所",$C399,"事業区分",I$1,"請求区分","単月"),0)
+IFERROR(GETPIVOTDATA("合計 / 入金予定",【ピボット】国保連売上!$A$3,"年月",$A399,"事業所コード",$B399,"事業所",$C399,"事業区分",I$1,"請求区分","再請求"),0))</f>
        <v/>
      </c>
      <c r="J399" s="659" t="str">
        <f>IF($A399="","",IFERROR(GETPIVOTDATA("合計 / 処遇改善加算金",【ピボット】国保連売上!$A$3,"年月",$A399,"事業所コード",$B399,"事業所",$C399,"事業区分",I$1,"請求区分","単月"),0))</f>
        <v/>
      </c>
      <c r="K399" s="659" t="str">
        <f>IF($A399="","",IFERROR(GETPIVOTDATA("合計 / 入金予定",【ピボット】国保連売上!$A$3,"年月",$A399,"事業所コード",$B399,"事業所",$C399,"事業区分",K$1,"請求区分","単月"),0)
+IFERROR(GETPIVOTDATA("合計 / 入金予定",【ピボット】国保連売上!$A$3,"年月",$A399,"事業所コード",$B399,"事業所",$C399,"事業区分",K$1,"請求区分","再請求"),0))</f>
        <v/>
      </c>
      <c r="L399" s="659" t="str">
        <f>IF($A399="","",IFERROR(GETPIVOTDATA("合計 / 処遇改善加算金",【ピボット】国保連売上!$A$3,"年月",$A399,"事業所コード",$B399,"事業所",$C399,"事業区分",K$1,"請求区分","単月"),0))</f>
        <v/>
      </c>
      <c r="M399" s="659" t="str">
        <f>IF($A399="","",IFERROR(GETPIVOTDATA("合計 / 入金予定",【ピボット】国保連売上!$A$3,"年月",$A399,"事業所コード",$B399,"事業所",$C399,"事業区分",M$1,"請求区分","単月"),0)
+IFERROR(GETPIVOTDATA("合計 / 入金予定",【ピボット】国保連売上!$A$3,"年月",$A399,"事業所コード",$B399,"事業所",$C399,"事業区分",M$1,"請求区分","再請求"),0))</f>
        <v/>
      </c>
      <c r="N399" s="660"/>
      <c r="O399" s="660"/>
      <c r="P399" s="660"/>
      <c r="Q399" s="660"/>
      <c r="R399" s="660"/>
      <c r="S399" s="660"/>
      <c r="T399" s="660"/>
      <c r="U399" s="660"/>
      <c r="V399" s="660"/>
      <c r="W399" s="660"/>
      <c r="X399" s="660"/>
      <c r="Y399" s="659" t="str">
        <f t="shared" si="18"/>
        <v/>
      </c>
      <c r="Z399" s="659" t="str">
        <f t="shared" si="20"/>
        <v/>
      </c>
    </row>
    <row r="400" spans="1:26" ht="15.95" customHeight="1" x14ac:dyDescent="0.15">
      <c r="A400" s="656"/>
      <c r="B400" s="657" t="str">
        <f t="shared" si="19"/>
        <v/>
      </c>
      <c r="C400" s="658"/>
      <c r="D400" s="659" t="str">
        <f>IF($A400="","",IFERROR(GETPIVOTDATA("合計 / 入金予定",【ピボット】国保連売上!$A$3,"年月",$A400,"事業所コード",$B400,"事業所",$C400,"事業区分",D$1,"請求区分","単月"),0)
+IFERROR(GETPIVOTDATA("合計 / 入金予定",【ピボット】国保連売上!$A$3,"年月",$A400,"事業所コード",$B400,"事業所",$C400,"事業区分",D$1,"請求区分","再請求"),0))</f>
        <v/>
      </c>
      <c r="E400" s="659" t="str">
        <f>IF($A400="","",IFERROR(GETPIVOTDATA("合計 / 処遇改善加算金",【ピボット】国保連売上!$A$3,"年月",$A400,"事業所コード",$B400,"事業所",$C400,"事業区分",D$1,"請求区分","単月"),0))</f>
        <v/>
      </c>
      <c r="F400" s="659" t="str">
        <f>IF($A400="","",IFERROR(GETPIVOTDATA("合計 / 入金予定",【ピボット】国保連売上!$A$3,"年月",$A400,"事業所コード",$B400,"事業所",$C400,"事業区分",F$1,"請求区分","単月"),0)
+IFERROR(GETPIVOTDATA("合計 / 入金予定",【ピボット】国保連売上!$A$3,"年月",$A400,"事業所コード",$B400,"事業所",$C400,"事業区分",F$1,"請求区分","再請求"),0))</f>
        <v/>
      </c>
      <c r="G400" s="659" t="str">
        <f>IF($A400="","",IFERROR(GETPIVOTDATA("合計 / 処遇改善加算金",【ピボット】国保連売上!$A$3,"年月",$A400,"事業所コード",$B400,"事業所",$C400,"事業区分",F$1,"請求区分","単月"),0))</f>
        <v/>
      </c>
      <c r="H400" s="659" t="str">
        <f>IF($A400="","",IFERROR(GETPIVOTDATA("合計 / 入金予定",【ピボット】国保連売上!$A$3,"年月",$A400,"事業所コード",$B400,"事業所",$C400,"事業区分",H$1,"請求区分","単月"),0)
+IFERROR(GETPIVOTDATA("合計 / 入金予定",【ピボット】国保連売上!$A$3,"年月",$A400,"事業所コード",$B400,"事業所",$C400,"事業区分",H$1,"請求区分","再請求"),0))</f>
        <v/>
      </c>
      <c r="I400" s="659" t="str">
        <f>IF($A400="","",IFERROR(GETPIVOTDATA("合計 / 入金予定",【ピボット】国保連売上!$A$3,"年月",$A400,"事業所コード",$B400,"事業所",$C400,"事業区分",I$1,"請求区分","単月"),0)
+IFERROR(GETPIVOTDATA("合計 / 入金予定",【ピボット】国保連売上!$A$3,"年月",$A400,"事業所コード",$B400,"事業所",$C400,"事業区分",I$1,"請求区分","再請求"),0))</f>
        <v/>
      </c>
      <c r="J400" s="659" t="str">
        <f>IF($A400="","",IFERROR(GETPIVOTDATA("合計 / 処遇改善加算金",【ピボット】国保連売上!$A$3,"年月",$A400,"事業所コード",$B400,"事業所",$C400,"事業区分",I$1,"請求区分","単月"),0))</f>
        <v/>
      </c>
      <c r="K400" s="659" t="str">
        <f>IF($A400="","",IFERROR(GETPIVOTDATA("合計 / 入金予定",【ピボット】国保連売上!$A$3,"年月",$A400,"事業所コード",$B400,"事業所",$C400,"事業区分",K$1,"請求区分","単月"),0)
+IFERROR(GETPIVOTDATA("合計 / 入金予定",【ピボット】国保連売上!$A$3,"年月",$A400,"事業所コード",$B400,"事業所",$C400,"事業区分",K$1,"請求区分","再請求"),0))</f>
        <v/>
      </c>
      <c r="L400" s="659" t="str">
        <f>IF($A400="","",IFERROR(GETPIVOTDATA("合計 / 処遇改善加算金",【ピボット】国保連売上!$A$3,"年月",$A400,"事業所コード",$B400,"事業所",$C400,"事業区分",K$1,"請求区分","単月"),0))</f>
        <v/>
      </c>
      <c r="M400" s="659" t="str">
        <f>IF($A400="","",IFERROR(GETPIVOTDATA("合計 / 入金予定",【ピボット】国保連売上!$A$3,"年月",$A400,"事業所コード",$B400,"事業所",$C400,"事業区分",M$1,"請求区分","単月"),0)
+IFERROR(GETPIVOTDATA("合計 / 入金予定",【ピボット】国保連売上!$A$3,"年月",$A400,"事業所コード",$B400,"事業所",$C400,"事業区分",M$1,"請求区分","再請求"),0))</f>
        <v/>
      </c>
      <c r="N400" s="660"/>
      <c r="O400" s="660"/>
      <c r="P400" s="660"/>
      <c r="Q400" s="660"/>
      <c r="R400" s="660"/>
      <c r="S400" s="660"/>
      <c r="T400" s="660"/>
      <c r="U400" s="660"/>
      <c r="V400" s="660"/>
      <c r="W400" s="660"/>
      <c r="X400" s="660"/>
      <c r="Y400" s="659" t="str">
        <f t="shared" si="18"/>
        <v/>
      </c>
      <c r="Z400" s="659" t="str">
        <f t="shared" si="20"/>
        <v/>
      </c>
    </row>
    <row r="401" spans="1:26" ht="15.95" customHeight="1" x14ac:dyDescent="0.15">
      <c r="A401" s="656"/>
      <c r="B401" s="657" t="str">
        <f t="shared" si="19"/>
        <v/>
      </c>
      <c r="C401" s="658"/>
      <c r="D401" s="659" t="str">
        <f>IF($A401="","",IFERROR(GETPIVOTDATA("合計 / 入金予定",【ピボット】国保連売上!$A$3,"年月",$A401,"事業所コード",$B401,"事業所",$C401,"事業区分",D$1,"請求区分","単月"),0)
+IFERROR(GETPIVOTDATA("合計 / 入金予定",【ピボット】国保連売上!$A$3,"年月",$A401,"事業所コード",$B401,"事業所",$C401,"事業区分",D$1,"請求区分","再請求"),0))</f>
        <v/>
      </c>
      <c r="E401" s="659" t="str">
        <f>IF($A401="","",IFERROR(GETPIVOTDATA("合計 / 処遇改善加算金",【ピボット】国保連売上!$A$3,"年月",$A401,"事業所コード",$B401,"事業所",$C401,"事業区分",D$1,"請求区分","単月"),0))</f>
        <v/>
      </c>
      <c r="F401" s="659" t="str">
        <f>IF($A401="","",IFERROR(GETPIVOTDATA("合計 / 入金予定",【ピボット】国保連売上!$A$3,"年月",$A401,"事業所コード",$B401,"事業所",$C401,"事業区分",F$1,"請求区分","単月"),0)
+IFERROR(GETPIVOTDATA("合計 / 入金予定",【ピボット】国保連売上!$A$3,"年月",$A401,"事業所コード",$B401,"事業所",$C401,"事業区分",F$1,"請求区分","再請求"),0))</f>
        <v/>
      </c>
      <c r="G401" s="659" t="str">
        <f>IF($A401="","",IFERROR(GETPIVOTDATA("合計 / 処遇改善加算金",【ピボット】国保連売上!$A$3,"年月",$A401,"事業所コード",$B401,"事業所",$C401,"事業区分",F$1,"請求区分","単月"),0))</f>
        <v/>
      </c>
      <c r="H401" s="659" t="str">
        <f>IF($A401="","",IFERROR(GETPIVOTDATA("合計 / 入金予定",【ピボット】国保連売上!$A$3,"年月",$A401,"事業所コード",$B401,"事業所",$C401,"事業区分",H$1,"請求区分","単月"),0)
+IFERROR(GETPIVOTDATA("合計 / 入金予定",【ピボット】国保連売上!$A$3,"年月",$A401,"事業所コード",$B401,"事業所",$C401,"事業区分",H$1,"請求区分","再請求"),0))</f>
        <v/>
      </c>
      <c r="I401" s="659" t="str">
        <f>IF($A401="","",IFERROR(GETPIVOTDATA("合計 / 入金予定",【ピボット】国保連売上!$A$3,"年月",$A401,"事業所コード",$B401,"事業所",$C401,"事業区分",I$1,"請求区分","単月"),0)
+IFERROR(GETPIVOTDATA("合計 / 入金予定",【ピボット】国保連売上!$A$3,"年月",$A401,"事業所コード",$B401,"事業所",$C401,"事業区分",I$1,"請求区分","再請求"),0))</f>
        <v/>
      </c>
      <c r="J401" s="659" t="str">
        <f>IF($A401="","",IFERROR(GETPIVOTDATA("合計 / 処遇改善加算金",【ピボット】国保連売上!$A$3,"年月",$A401,"事業所コード",$B401,"事業所",$C401,"事業区分",I$1,"請求区分","単月"),0))</f>
        <v/>
      </c>
      <c r="K401" s="659" t="str">
        <f>IF($A401="","",IFERROR(GETPIVOTDATA("合計 / 入金予定",【ピボット】国保連売上!$A$3,"年月",$A401,"事業所コード",$B401,"事業所",$C401,"事業区分",K$1,"請求区分","単月"),0)
+IFERROR(GETPIVOTDATA("合計 / 入金予定",【ピボット】国保連売上!$A$3,"年月",$A401,"事業所コード",$B401,"事業所",$C401,"事業区分",K$1,"請求区分","再請求"),0))</f>
        <v/>
      </c>
      <c r="L401" s="659" t="str">
        <f>IF($A401="","",IFERROR(GETPIVOTDATA("合計 / 処遇改善加算金",【ピボット】国保連売上!$A$3,"年月",$A401,"事業所コード",$B401,"事業所",$C401,"事業区分",K$1,"請求区分","単月"),0))</f>
        <v/>
      </c>
      <c r="M401" s="659" t="str">
        <f>IF($A401="","",IFERROR(GETPIVOTDATA("合計 / 入金予定",【ピボット】国保連売上!$A$3,"年月",$A401,"事業所コード",$B401,"事業所",$C401,"事業区分",M$1,"請求区分","単月"),0)
+IFERROR(GETPIVOTDATA("合計 / 入金予定",【ピボット】国保連売上!$A$3,"年月",$A401,"事業所コード",$B401,"事業所",$C401,"事業区分",M$1,"請求区分","再請求"),0))</f>
        <v/>
      </c>
      <c r="N401" s="660"/>
      <c r="O401" s="660"/>
      <c r="P401" s="660"/>
      <c r="Q401" s="660"/>
      <c r="R401" s="660"/>
      <c r="S401" s="660"/>
      <c r="T401" s="660"/>
      <c r="U401" s="660"/>
      <c r="V401" s="660"/>
      <c r="W401" s="660"/>
      <c r="X401" s="660"/>
      <c r="Y401" s="659" t="str">
        <f t="shared" si="18"/>
        <v/>
      </c>
      <c r="Z401" s="659" t="str">
        <f t="shared" si="20"/>
        <v/>
      </c>
    </row>
    <row r="402" spans="1:26" ht="15.95" customHeight="1" x14ac:dyDescent="0.15">
      <c r="A402" s="656"/>
      <c r="B402" s="657" t="str">
        <f t="shared" si="19"/>
        <v/>
      </c>
      <c r="C402" s="658"/>
      <c r="D402" s="659" t="str">
        <f>IF($A402="","",IFERROR(GETPIVOTDATA("合計 / 入金予定",【ピボット】国保連売上!$A$3,"年月",$A402,"事業所コード",$B402,"事業所",$C402,"事業区分",D$1,"請求区分","単月"),0)
+IFERROR(GETPIVOTDATA("合計 / 入金予定",【ピボット】国保連売上!$A$3,"年月",$A402,"事業所コード",$B402,"事業所",$C402,"事業区分",D$1,"請求区分","再請求"),0))</f>
        <v/>
      </c>
      <c r="E402" s="659" t="str">
        <f>IF($A402="","",IFERROR(GETPIVOTDATA("合計 / 処遇改善加算金",【ピボット】国保連売上!$A$3,"年月",$A402,"事業所コード",$B402,"事業所",$C402,"事業区分",D$1,"請求区分","単月"),0))</f>
        <v/>
      </c>
      <c r="F402" s="659" t="str">
        <f>IF($A402="","",IFERROR(GETPIVOTDATA("合計 / 入金予定",【ピボット】国保連売上!$A$3,"年月",$A402,"事業所コード",$B402,"事業所",$C402,"事業区分",F$1,"請求区分","単月"),0)
+IFERROR(GETPIVOTDATA("合計 / 入金予定",【ピボット】国保連売上!$A$3,"年月",$A402,"事業所コード",$B402,"事業所",$C402,"事業区分",F$1,"請求区分","再請求"),0))</f>
        <v/>
      </c>
      <c r="G402" s="659" t="str">
        <f>IF($A402="","",IFERROR(GETPIVOTDATA("合計 / 処遇改善加算金",【ピボット】国保連売上!$A$3,"年月",$A402,"事業所コード",$B402,"事業所",$C402,"事業区分",F$1,"請求区分","単月"),0))</f>
        <v/>
      </c>
      <c r="H402" s="659" t="str">
        <f>IF($A402="","",IFERROR(GETPIVOTDATA("合計 / 入金予定",【ピボット】国保連売上!$A$3,"年月",$A402,"事業所コード",$B402,"事業所",$C402,"事業区分",H$1,"請求区分","単月"),0)
+IFERROR(GETPIVOTDATA("合計 / 入金予定",【ピボット】国保連売上!$A$3,"年月",$A402,"事業所コード",$B402,"事業所",$C402,"事業区分",H$1,"請求区分","再請求"),0))</f>
        <v/>
      </c>
      <c r="I402" s="659" t="str">
        <f>IF($A402="","",IFERROR(GETPIVOTDATA("合計 / 入金予定",【ピボット】国保連売上!$A$3,"年月",$A402,"事業所コード",$B402,"事業所",$C402,"事業区分",I$1,"請求区分","単月"),0)
+IFERROR(GETPIVOTDATA("合計 / 入金予定",【ピボット】国保連売上!$A$3,"年月",$A402,"事業所コード",$B402,"事業所",$C402,"事業区分",I$1,"請求区分","再請求"),0))</f>
        <v/>
      </c>
      <c r="J402" s="659" t="str">
        <f>IF($A402="","",IFERROR(GETPIVOTDATA("合計 / 処遇改善加算金",【ピボット】国保連売上!$A$3,"年月",$A402,"事業所コード",$B402,"事業所",$C402,"事業区分",I$1,"請求区分","単月"),0))</f>
        <v/>
      </c>
      <c r="K402" s="659" t="str">
        <f>IF($A402="","",IFERROR(GETPIVOTDATA("合計 / 入金予定",【ピボット】国保連売上!$A$3,"年月",$A402,"事業所コード",$B402,"事業所",$C402,"事業区分",K$1,"請求区分","単月"),0)
+IFERROR(GETPIVOTDATA("合計 / 入金予定",【ピボット】国保連売上!$A$3,"年月",$A402,"事業所コード",$B402,"事業所",$C402,"事業区分",K$1,"請求区分","再請求"),0))</f>
        <v/>
      </c>
      <c r="L402" s="659" t="str">
        <f>IF($A402="","",IFERROR(GETPIVOTDATA("合計 / 処遇改善加算金",【ピボット】国保連売上!$A$3,"年月",$A402,"事業所コード",$B402,"事業所",$C402,"事業区分",K$1,"請求区分","単月"),0))</f>
        <v/>
      </c>
      <c r="M402" s="659" t="str">
        <f>IF($A402="","",IFERROR(GETPIVOTDATA("合計 / 入金予定",【ピボット】国保連売上!$A$3,"年月",$A402,"事業所コード",$B402,"事業所",$C402,"事業区分",M$1,"請求区分","単月"),0)
+IFERROR(GETPIVOTDATA("合計 / 入金予定",【ピボット】国保連売上!$A$3,"年月",$A402,"事業所コード",$B402,"事業所",$C402,"事業区分",M$1,"請求区分","再請求"),0))</f>
        <v/>
      </c>
      <c r="N402" s="660"/>
      <c r="O402" s="660"/>
      <c r="P402" s="660"/>
      <c r="Q402" s="660"/>
      <c r="R402" s="660"/>
      <c r="S402" s="660"/>
      <c r="T402" s="660"/>
      <c r="U402" s="660"/>
      <c r="V402" s="660"/>
      <c r="W402" s="660"/>
      <c r="X402" s="660"/>
      <c r="Y402" s="659" t="str">
        <f t="shared" si="18"/>
        <v/>
      </c>
      <c r="Z402" s="659" t="str">
        <f t="shared" si="20"/>
        <v/>
      </c>
    </row>
    <row r="403" spans="1:26" ht="15.95" customHeight="1" x14ac:dyDescent="0.15">
      <c r="A403" s="656"/>
      <c r="B403" s="657" t="str">
        <f t="shared" si="19"/>
        <v/>
      </c>
      <c r="C403" s="658"/>
      <c r="D403" s="659" t="str">
        <f>IF($A403="","",IFERROR(GETPIVOTDATA("合計 / 入金予定",【ピボット】国保連売上!$A$3,"年月",$A403,"事業所コード",$B403,"事業所",$C403,"事業区分",D$1,"請求区分","単月"),0)
+IFERROR(GETPIVOTDATA("合計 / 入金予定",【ピボット】国保連売上!$A$3,"年月",$A403,"事業所コード",$B403,"事業所",$C403,"事業区分",D$1,"請求区分","再請求"),0))</f>
        <v/>
      </c>
      <c r="E403" s="659" t="str">
        <f>IF($A403="","",IFERROR(GETPIVOTDATA("合計 / 処遇改善加算金",【ピボット】国保連売上!$A$3,"年月",$A403,"事業所コード",$B403,"事業所",$C403,"事業区分",D$1,"請求区分","単月"),0))</f>
        <v/>
      </c>
      <c r="F403" s="659" t="str">
        <f>IF($A403="","",IFERROR(GETPIVOTDATA("合計 / 入金予定",【ピボット】国保連売上!$A$3,"年月",$A403,"事業所コード",$B403,"事業所",$C403,"事業区分",F$1,"請求区分","単月"),0)
+IFERROR(GETPIVOTDATA("合計 / 入金予定",【ピボット】国保連売上!$A$3,"年月",$A403,"事業所コード",$B403,"事業所",$C403,"事業区分",F$1,"請求区分","再請求"),0))</f>
        <v/>
      </c>
      <c r="G403" s="659" t="str">
        <f>IF($A403="","",IFERROR(GETPIVOTDATA("合計 / 処遇改善加算金",【ピボット】国保連売上!$A$3,"年月",$A403,"事業所コード",$B403,"事業所",$C403,"事業区分",F$1,"請求区分","単月"),0))</f>
        <v/>
      </c>
      <c r="H403" s="659" t="str">
        <f>IF($A403="","",IFERROR(GETPIVOTDATA("合計 / 入金予定",【ピボット】国保連売上!$A$3,"年月",$A403,"事業所コード",$B403,"事業所",$C403,"事業区分",H$1,"請求区分","単月"),0)
+IFERROR(GETPIVOTDATA("合計 / 入金予定",【ピボット】国保連売上!$A$3,"年月",$A403,"事業所コード",$B403,"事業所",$C403,"事業区分",H$1,"請求区分","再請求"),0))</f>
        <v/>
      </c>
      <c r="I403" s="659" t="str">
        <f>IF($A403="","",IFERROR(GETPIVOTDATA("合計 / 入金予定",【ピボット】国保連売上!$A$3,"年月",$A403,"事業所コード",$B403,"事業所",$C403,"事業区分",I$1,"請求区分","単月"),0)
+IFERROR(GETPIVOTDATA("合計 / 入金予定",【ピボット】国保連売上!$A$3,"年月",$A403,"事業所コード",$B403,"事業所",$C403,"事業区分",I$1,"請求区分","再請求"),0))</f>
        <v/>
      </c>
      <c r="J403" s="659" t="str">
        <f>IF($A403="","",IFERROR(GETPIVOTDATA("合計 / 処遇改善加算金",【ピボット】国保連売上!$A$3,"年月",$A403,"事業所コード",$B403,"事業所",$C403,"事業区分",I$1,"請求区分","単月"),0))</f>
        <v/>
      </c>
      <c r="K403" s="659" t="str">
        <f>IF($A403="","",IFERROR(GETPIVOTDATA("合計 / 入金予定",【ピボット】国保連売上!$A$3,"年月",$A403,"事業所コード",$B403,"事業所",$C403,"事業区分",K$1,"請求区分","単月"),0)
+IFERROR(GETPIVOTDATA("合計 / 入金予定",【ピボット】国保連売上!$A$3,"年月",$A403,"事業所コード",$B403,"事業所",$C403,"事業区分",K$1,"請求区分","再請求"),0))</f>
        <v/>
      </c>
      <c r="L403" s="659" t="str">
        <f>IF($A403="","",IFERROR(GETPIVOTDATA("合計 / 処遇改善加算金",【ピボット】国保連売上!$A$3,"年月",$A403,"事業所コード",$B403,"事業所",$C403,"事業区分",K$1,"請求区分","単月"),0))</f>
        <v/>
      </c>
      <c r="M403" s="659" t="str">
        <f>IF($A403="","",IFERROR(GETPIVOTDATA("合計 / 入金予定",【ピボット】国保連売上!$A$3,"年月",$A403,"事業所コード",$B403,"事業所",$C403,"事業区分",M$1,"請求区分","単月"),0)
+IFERROR(GETPIVOTDATA("合計 / 入金予定",【ピボット】国保連売上!$A$3,"年月",$A403,"事業所コード",$B403,"事業所",$C403,"事業区分",M$1,"請求区分","再請求"),0))</f>
        <v/>
      </c>
      <c r="N403" s="660"/>
      <c r="O403" s="660"/>
      <c r="P403" s="660"/>
      <c r="Q403" s="660"/>
      <c r="R403" s="660"/>
      <c r="S403" s="660"/>
      <c r="T403" s="660"/>
      <c r="U403" s="660"/>
      <c r="V403" s="660"/>
      <c r="W403" s="660"/>
      <c r="X403" s="660"/>
      <c r="Y403" s="659" t="str">
        <f t="shared" si="18"/>
        <v/>
      </c>
      <c r="Z403" s="659" t="str">
        <f t="shared" si="20"/>
        <v/>
      </c>
    </row>
    <row r="404" spans="1:26" ht="15.95" customHeight="1" x14ac:dyDescent="0.15">
      <c r="A404" s="656"/>
      <c r="B404" s="657" t="str">
        <f t="shared" si="19"/>
        <v/>
      </c>
      <c r="C404" s="658"/>
      <c r="D404" s="659" t="str">
        <f>IF($A404="","",IFERROR(GETPIVOTDATA("合計 / 入金予定",【ピボット】国保連売上!$A$3,"年月",$A404,"事業所コード",$B404,"事業所",$C404,"事業区分",D$1,"請求区分","単月"),0)
+IFERROR(GETPIVOTDATA("合計 / 入金予定",【ピボット】国保連売上!$A$3,"年月",$A404,"事業所コード",$B404,"事業所",$C404,"事業区分",D$1,"請求区分","再請求"),0))</f>
        <v/>
      </c>
      <c r="E404" s="659" t="str">
        <f>IF($A404="","",IFERROR(GETPIVOTDATA("合計 / 処遇改善加算金",【ピボット】国保連売上!$A$3,"年月",$A404,"事業所コード",$B404,"事業所",$C404,"事業区分",D$1,"請求区分","単月"),0))</f>
        <v/>
      </c>
      <c r="F404" s="659" t="str">
        <f>IF($A404="","",IFERROR(GETPIVOTDATA("合計 / 入金予定",【ピボット】国保連売上!$A$3,"年月",$A404,"事業所コード",$B404,"事業所",$C404,"事業区分",F$1,"請求区分","単月"),0)
+IFERROR(GETPIVOTDATA("合計 / 入金予定",【ピボット】国保連売上!$A$3,"年月",$A404,"事業所コード",$B404,"事業所",$C404,"事業区分",F$1,"請求区分","再請求"),0))</f>
        <v/>
      </c>
      <c r="G404" s="659" t="str">
        <f>IF($A404="","",IFERROR(GETPIVOTDATA("合計 / 処遇改善加算金",【ピボット】国保連売上!$A$3,"年月",$A404,"事業所コード",$B404,"事業所",$C404,"事業区分",F$1,"請求区分","単月"),0))</f>
        <v/>
      </c>
      <c r="H404" s="659" t="str">
        <f>IF($A404="","",IFERROR(GETPIVOTDATA("合計 / 入金予定",【ピボット】国保連売上!$A$3,"年月",$A404,"事業所コード",$B404,"事業所",$C404,"事業区分",H$1,"請求区分","単月"),0)
+IFERROR(GETPIVOTDATA("合計 / 入金予定",【ピボット】国保連売上!$A$3,"年月",$A404,"事業所コード",$B404,"事業所",$C404,"事業区分",H$1,"請求区分","再請求"),0))</f>
        <v/>
      </c>
      <c r="I404" s="659" t="str">
        <f>IF($A404="","",IFERROR(GETPIVOTDATA("合計 / 入金予定",【ピボット】国保連売上!$A$3,"年月",$A404,"事業所コード",$B404,"事業所",$C404,"事業区分",I$1,"請求区分","単月"),0)
+IFERROR(GETPIVOTDATA("合計 / 入金予定",【ピボット】国保連売上!$A$3,"年月",$A404,"事業所コード",$B404,"事業所",$C404,"事業区分",I$1,"請求区分","再請求"),0))</f>
        <v/>
      </c>
      <c r="J404" s="659" t="str">
        <f>IF($A404="","",IFERROR(GETPIVOTDATA("合計 / 処遇改善加算金",【ピボット】国保連売上!$A$3,"年月",$A404,"事業所コード",$B404,"事業所",$C404,"事業区分",I$1,"請求区分","単月"),0))</f>
        <v/>
      </c>
      <c r="K404" s="659" t="str">
        <f>IF($A404="","",IFERROR(GETPIVOTDATA("合計 / 入金予定",【ピボット】国保連売上!$A$3,"年月",$A404,"事業所コード",$B404,"事業所",$C404,"事業区分",K$1,"請求区分","単月"),0)
+IFERROR(GETPIVOTDATA("合計 / 入金予定",【ピボット】国保連売上!$A$3,"年月",$A404,"事業所コード",$B404,"事業所",$C404,"事業区分",K$1,"請求区分","再請求"),0))</f>
        <v/>
      </c>
      <c r="L404" s="659" t="str">
        <f>IF($A404="","",IFERROR(GETPIVOTDATA("合計 / 処遇改善加算金",【ピボット】国保連売上!$A$3,"年月",$A404,"事業所コード",$B404,"事業所",$C404,"事業区分",K$1,"請求区分","単月"),0))</f>
        <v/>
      </c>
      <c r="M404" s="659" t="str">
        <f>IF($A404="","",IFERROR(GETPIVOTDATA("合計 / 入金予定",【ピボット】国保連売上!$A$3,"年月",$A404,"事業所コード",$B404,"事業所",$C404,"事業区分",M$1,"請求区分","単月"),0)
+IFERROR(GETPIVOTDATA("合計 / 入金予定",【ピボット】国保連売上!$A$3,"年月",$A404,"事業所コード",$B404,"事業所",$C404,"事業区分",M$1,"請求区分","再請求"),0))</f>
        <v/>
      </c>
      <c r="N404" s="660"/>
      <c r="O404" s="660"/>
      <c r="P404" s="660"/>
      <c r="Q404" s="660"/>
      <c r="R404" s="660"/>
      <c r="S404" s="660"/>
      <c r="T404" s="660"/>
      <c r="U404" s="660"/>
      <c r="V404" s="660"/>
      <c r="W404" s="660"/>
      <c r="X404" s="660"/>
      <c r="Y404" s="659" t="str">
        <f t="shared" si="18"/>
        <v/>
      </c>
      <c r="Z404" s="659" t="str">
        <f t="shared" si="20"/>
        <v/>
      </c>
    </row>
    <row r="405" spans="1:26" ht="15.95" customHeight="1" x14ac:dyDescent="0.15">
      <c r="A405" s="656"/>
      <c r="B405" s="657" t="str">
        <f t="shared" si="19"/>
        <v/>
      </c>
      <c r="C405" s="658"/>
      <c r="D405" s="659" t="str">
        <f>IF($A405="","",IFERROR(GETPIVOTDATA("合計 / 入金予定",【ピボット】国保連売上!$A$3,"年月",$A405,"事業所コード",$B405,"事業所",$C405,"事業区分",D$1,"請求区分","単月"),0)
+IFERROR(GETPIVOTDATA("合計 / 入金予定",【ピボット】国保連売上!$A$3,"年月",$A405,"事業所コード",$B405,"事業所",$C405,"事業区分",D$1,"請求区分","再請求"),0))</f>
        <v/>
      </c>
      <c r="E405" s="659" t="str">
        <f>IF($A405="","",IFERROR(GETPIVOTDATA("合計 / 処遇改善加算金",【ピボット】国保連売上!$A$3,"年月",$A405,"事業所コード",$B405,"事業所",$C405,"事業区分",D$1,"請求区分","単月"),0))</f>
        <v/>
      </c>
      <c r="F405" s="659" t="str">
        <f>IF($A405="","",IFERROR(GETPIVOTDATA("合計 / 入金予定",【ピボット】国保連売上!$A$3,"年月",$A405,"事業所コード",$B405,"事業所",$C405,"事業区分",F$1,"請求区分","単月"),0)
+IFERROR(GETPIVOTDATA("合計 / 入金予定",【ピボット】国保連売上!$A$3,"年月",$A405,"事業所コード",$B405,"事業所",$C405,"事業区分",F$1,"請求区分","再請求"),0))</f>
        <v/>
      </c>
      <c r="G405" s="659" t="str">
        <f>IF($A405="","",IFERROR(GETPIVOTDATA("合計 / 処遇改善加算金",【ピボット】国保連売上!$A$3,"年月",$A405,"事業所コード",$B405,"事業所",$C405,"事業区分",F$1,"請求区分","単月"),0))</f>
        <v/>
      </c>
      <c r="H405" s="659" t="str">
        <f>IF($A405="","",IFERROR(GETPIVOTDATA("合計 / 入金予定",【ピボット】国保連売上!$A$3,"年月",$A405,"事業所コード",$B405,"事業所",$C405,"事業区分",H$1,"請求区分","単月"),0)
+IFERROR(GETPIVOTDATA("合計 / 入金予定",【ピボット】国保連売上!$A$3,"年月",$A405,"事業所コード",$B405,"事業所",$C405,"事業区分",H$1,"請求区分","再請求"),0))</f>
        <v/>
      </c>
      <c r="I405" s="659" t="str">
        <f>IF($A405="","",IFERROR(GETPIVOTDATA("合計 / 入金予定",【ピボット】国保連売上!$A$3,"年月",$A405,"事業所コード",$B405,"事業所",$C405,"事業区分",I$1,"請求区分","単月"),0)
+IFERROR(GETPIVOTDATA("合計 / 入金予定",【ピボット】国保連売上!$A$3,"年月",$A405,"事業所コード",$B405,"事業所",$C405,"事業区分",I$1,"請求区分","再請求"),0))</f>
        <v/>
      </c>
      <c r="J405" s="659" t="str">
        <f>IF($A405="","",IFERROR(GETPIVOTDATA("合計 / 処遇改善加算金",【ピボット】国保連売上!$A$3,"年月",$A405,"事業所コード",$B405,"事業所",$C405,"事業区分",I$1,"請求区分","単月"),0))</f>
        <v/>
      </c>
      <c r="K405" s="659" t="str">
        <f>IF($A405="","",IFERROR(GETPIVOTDATA("合計 / 入金予定",【ピボット】国保連売上!$A$3,"年月",$A405,"事業所コード",$B405,"事業所",$C405,"事業区分",K$1,"請求区分","単月"),0)
+IFERROR(GETPIVOTDATA("合計 / 入金予定",【ピボット】国保連売上!$A$3,"年月",$A405,"事業所コード",$B405,"事業所",$C405,"事業区分",K$1,"請求区分","再請求"),0))</f>
        <v/>
      </c>
      <c r="L405" s="659" t="str">
        <f>IF($A405="","",IFERROR(GETPIVOTDATA("合計 / 処遇改善加算金",【ピボット】国保連売上!$A$3,"年月",$A405,"事業所コード",$B405,"事業所",$C405,"事業区分",K$1,"請求区分","単月"),0))</f>
        <v/>
      </c>
      <c r="M405" s="659" t="str">
        <f>IF($A405="","",IFERROR(GETPIVOTDATA("合計 / 入金予定",【ピボット】国保連売上!$A$3,"年月",$A405,"事業所コード",$B405,"事業所",$C405,"事業区分",M$1,"請求区分","単月"),0)
+IFERROR(GETPIVOTDATA("合計 / 入金予定",【ピボット】国保連売上!$A$3,"年月",$A405,"事業所コード",$B405,"事業所",$C405,"事業区分",M$1,"請求区分","再請求"),0))</f>
        <v/>
      </c>
      <c r="N405" s="660"/>
      <c r="O405" s="660"/>
      <c r="P405" s="660"/>
      <c r="Q405" s="660"/>
      <c r="R405" s="660"/>
      <c r="S405" s="660"/>
      <c r="T405" s="660"/>
      <c r="U405" s="660"/>
      <c r="V405" s="660"/>
      <c r="W405" s="660"/>
      <c r="X405" s="660"/>
      <c r="Y405" s="659" t="str">
        <f t="shared" si="18"/>
        <v/>
      </c>
      <c r="Z405" s="659" t="str">
        <f t="shared" si="20"/>
        <v/>
      </c>
    </row>
    <row r="406" spans="1:26" ht="15.95" customHeight="1" x14ac:dyDescent="0.15">
      <c r="A406" s="656"/>
      <c r="B406" s="657" t="str">
        <f t="shared" si="19"/>
        <v/>
      </c>
      <c r="C406" s="658"/>
      <c r="D406" s="659" t="str">
        <f>IF($A406="","",IFERROR(GETPIVOTDATA("合計 / 入金予定",【ピボット】国保連売上!$A$3,"年月",$A406,"事業所コード",$B406,"事業所",$C406,"事業区分",D$1,"請求区分","単月"),0)
+IFERROR(GETPIVOTDATA("合計 / 入金予定",【ピボット】国保連売上!$A$3,"年月",$A406,"事業所コード",$B406,"事業所",$C406,"事業区分",D$1,"請求区分","再請求"),0))</f>
        <v/>
      </c>
      <c r="E406" s="659" t="str">
        <f>IF($A406="","",IFERROR(GETPIVOTDATA("合計 / 処遇改善加算金",【ピボット】国保連売上!$A$3,"年月",$A406,"事業所コード",$B406,"事業所",$C406,"事業区分",D$1,"請求区分","単月"),0))</f>
        <v/>
      </c>
      <c r="F406" s="659" t="str">
        <f>IF($A406="","",IFERROR(GETPIVOTDATA("合計 / 入金予定",【ピボット】国保連売上!$A$3,"年月",$A406,"事業所コード",$B406,"事業所",$C406,"事業区分",F$1,"請求区分","単月"),0)
+IFERROR(GETPIVOTDATA("合計 / 入金予定",【ピボット】国保連売上!$A$3,"年月",$A406,"事業所コード",$B406,"事業所",$C406,"事業区分",F$1,"請求区分","再請求"),0))</f>
        <v/>
      </c>
      <c r="G406" s="659" t="str">
        <f>IF($A406="","",IFERROR(GETPIVOTDATA("合計 / 処遇改善加算金",【ピボット】国保連売上!$A$3,"年月",$A406,"事業所コード",$B406,"事業所",$C406,"事業区分",F$1,"請求区分","単月"),0))</f>
        <v/>
      </c>
      <c r="H406" s="659" t="str">
        <f>IF($A406="","",IFERROR(GETPIVOTDATA("合計 / 入金予定",【ピボット】国保連売上!$A$3,"年月",$A406,"事業所コード",$B406,"事業所",$C406,"事業区分",H$1,"請求区分","単月"),0)
+IFERROR(GETPIVOTDATA("合計 / 入金予定",【ピボット】国保連売上!$A$3,"年月",$A406,"事業所コード",$B406,"事業所",$C406,"事業区分",H$1,"請求区分","再請求"),0))</f>
        <v/>
      </c>
      <c r="I406" s="659" t="str">
        <f>IF($A406="","",IFERROR(GETPIVOTDATA("合計 / 入金予定",【ピボット】国保連売上!$A$3,"年月",$A406,"事業所コード",$B406,"事業所",$C406,"事業区分",I$1,"請求区分","単月"),0)
+IFERROR(GETPIVOTDATA("合計 / 入金予定",【ピボット】国保連売上!$A$3,"年月",$A406,"事業所コード",$B406,"事業所",$C406,"事業区分",I$1,"請求区分","再請求"),0))</f>
        <v/>
      </c>
      <c r="J406" s="659" t="str">
        <f>IF($A406="","",IFERROR(GETPIVOTDATA("合計 / 処遇改善加算金",【ピボット】国保連売上!$A$3,"年月",$A406,"事業所コード",$B406,"事業所",$C406,"事業区分",I$1,"請求区分","単月"),0))</f>
        <v/>
      </c>
      <c r="K406" s="659" t="str">
        <f>IF($A406="","",IFERROR(GETPIVOTDATA("合計 / 入金予定",【ピボット】国保連売上!$A$3,"年月",$A406,"事業所コード",$B406,"事業所",$C406,"事業区分",K$1,"請求区分","単月"),0)
+IFERROR(GETPIVOTDATA("合計 / 入金予定",【ピボット】国保連売上!$A$3,"年月",$A406,"事業所コード",$B406,"事業所",$C406,"事業区分",K$1,"請求区分","再請求"),0))</f>
        <v/>
      </c>
      <c r="L406" s="659" t="str">
        <f>IF($A406="","",IFERROR(GETPIVOTDATA("合計 / 処遇改善加算金",【ピボット】国保連売上!$A$3,"年月",$A406,"事業所コード",$B406,"事業所",$C406,"事業区分",K$1,"請求区分","単月"),0))</f>
        <v/>
      </c>
      <c r="M406" s="659" t="str">
        <f>IF($A406="","",IFERROR(GETPIVOTDATA("合計 / 入金予定",【ピボット】国保連売上!$A$3,"年月",$A406,"事業所コード",$B406,"事業所",$C406,"事業区分",M$1,"請求区分","単月"),0)
+IFERROR(GETPIVOTDATA("合計 / 入金予定",【ピボット】国保連売上!$A$3,"年月",$A406,"事業所コード",$B406,"事業所",$C406,"事業区分",M$1,"請求区分","再請求"),0))</f>
        <v/>
      </c>
      <c r="N406" s="660"/>
      <c r="O406" s="660"/>
      <c r="P406" s="660"/>
      <c r="Q406" s="660"/>
      <c r="R406" s="660"/>
      <c r="S406" s="660"/>
      <c r="T406" s="660"/>
      <c r="U406" s="660"/>
      <c r="V406" s="660"/>
      <c r="W406" s="660"/>
      <c r="X406" s="660"/>
      <c r="Y406" s="659" t="str">
        <f t="shared" si="18"/>
        <v/>
      </c>
      <c r="Z406" s="659" t="str">
        <f t="shared" si="20"/>
        <v/>
      </c>
    </row>
    <row r="407" spans="1:26" ht="15.95" customHeight="1" x14ac:dyDescent="0.15">
      <c r="A407" s="656"/>
      <c r="B407" s="657" t="str">
        <f t="shared" si="19"/>
        <v/>
      </c>
      <c r="C407" s="658"/>
      <c r="D407" s="659" t="str">
        <f>IF($A407="","",IFERROR(GETPIVOTDATA("合計 / 入金予定",【ピボット】国保連売上!$A$3,"年月",$A407,"事業所コード",$B407,"事業所",$C407,"事業区分",D$1,"請求区分","単月"),0)
+IFERROR(GETPIVOTDATA("合計 / 入金予定",【ピボット】国保連売上!$A$3,"年月",$A407,"事業所コード",$B407,"事業所",$C407,"事業区分",D$1,"請求区分","再請求"),0))</f>
        <v/>
      </c>
      <c r="E407" s="659" t="str">
        <f>IF($A407="","",IFERROR(GETPIVOTDATA("合計 / 処遇改善加算金",【ピボット】国保連売上!$A$3,"年月",$A407,"事業所コード",$B407,"事業所",$C407,"事業区分",D$1,"請求区分","単月"),0))</f>
        <v/>
      </c>
      <c r="F407" s="659" t="str">
        <f>IF($A407="","",IFERROR(GETPIVOTDATA("合計 / 入金予定",【ピボット】国保連売上!$A$3,"年月",$A407,"事業所コード",$B407,"事業所",$C407,"事業区分",F$1,"請求区分","単月"),0)
+IFERROR(GETPIVOTDATA("合計 / 入金予定",【ピボット】国保連売上!$A$3,"年月",$A407,"事業所コード",$B407,"事業所",$C407,"事業区分",F$1,"請求区分","再請求"),0))</f>
        <v/>
      </c>
      <c r="G407" s="659" t="str">
        <f>IF($A407="","",IFERROR(GETPIVOTDATA("合計 / 処遇改善加算金",【ピボット】国保連売上!$A$3,"年月",$A407,"事業所コード",$B407,"事業所",$C407,"事業区分",F$1,"請求区分","単月"),0))</f>
        <v/>
      </c>
      <c r="H407" s="659" t="str">
        <f>IF($A407="","",IFERROR(GETPIVOTDATA("合計 / 入金予定",【ピボット】国保連売上!$A$3,"年月",$A407,"事業所コード",$B407,"事業所",$C407,"事業区分",H$1,"請求区分","単月"),0)
+IFERROR(GETPIVOTDATA("合計 / 入金予定",【ピボット】国保連売上!$A$3,"年月",$A407,"事業所コード",$B407,"事業所",$C407,"事業区分",H$1,"請求区分","再請求"),0))</f>
        <v/>
      </c>
      <c r="I407" s="659" t="str">
        <f>IF($A407="","",IFERROR(GETPIVOTDATA("合計 / 入金予定",【ピボット】国保連売上!$A$3,"年月",$A407,"事業所コード",$B407,"事業所",$C407,"事業区分",I$1,"請求区分","単月"),0)
+IFERROR(GETPIVOTDATA("合計 / 入金予定",【ピボット】国保連売上!$A$3,"年月",$A407,"事業所コード",$B407,"事業所",$C407,"事業区分",I$1,"請求区分","再請求"),0))</f>
        <v/>
      </c>
      <c r="J407" s="659" t="str">
        <f>IF($A407="","",IFERROR(GETPIVOTDATA("合計 / 処遇改善加算金",【ピボット】国保連売上!$A$3,"年月",$A407,"事業所コード",$B407,"事業所",$C407,"事業区分",I$1,"請求区分","単月"),0))</f>
        <v/>
      </c>
      <c r="K407" s="659" t="str">
        <f>IF($A407="","",IFERROR(GETPIVOTDATA("合計 / 入金予定",【ピボット】国保連売上!$A$3,"年月",$A407,"事業所コード",$B407,"事業所",$C407,"事業区分",K$1,"請求区分","単月"),0)
+IFERROR(GETPIVOTDATA("合計 / 入金予定",【ピボット】国保連売上!$A$3,"年月",$A407,"事業所コード",$B407,"事業所",$C407,"事業区分",K$1,"請求区分","再請求"),0))</f>
        <v/>
      </c>
      <c r="L407" s="659" t="str">
        <f>IF($A407="","",IFERROR(GETPIVOTDATA("合計 / 処遇改善加算金",【ピボット】国保連売上!$A$3,"年月",$A407,"事業所コード",$B407,"事業所",$C407,"事業区分",K$1,"請求区分","単月"),0))</f>
        <v/>
      </c>
      <c r="M407" s="659" t="str">
        <f>IF($A407="","",IFERROR(GETPIVOTDATA("合計 / 入金予定",【ピボット】国保連売上!$A$3,"年月",$A407,"事業所コード",$B407,"事業所",$C407,"事業区分",M$1,"請求区分","単月"),0)
+IFERROR(GETPIVOTDATA("合計 / 入金予定",【ピボット】国保連売上!$A$3,"年月",$A407,"事業所コード",$B407,"事業所",$C407,"事業区分",M$1,"請求区分","再請求"),0))</f>
        <v/>
      </c>
      <c r="N407" s="660"/>
      <c r="O407" s="660"/>
      <c r="P407" s="660"/>
      <c r="Q407" s="660"/>
      <c r="R407" s="660"/>
      <c r="S407" s="660"/>
      <c r="T407" s="660"/>
      <c r="U407" s="660"/>
      <c r="V407" s="660"/>
      <c r="W407" s="660"/>
      <c r="X407" s="660"/>
      <c r="Y407" s="659" t="str">
        <f t="shared" si="18"/>
        <v/>
      </c>
      <c r="Z407" s="659" t="str">
        <f t="shared" si="20"/>
        <v/>
      </c>
    </row>
    <row r="408" spans="1:26" ht="15.95" customHeight="1" x14ac:dyDescent="0.15">
      <c r="A408" s="656"/>
      <c r="B408" s="657" t="str">
        <f t="shared" si="19"/>
        <v/>
      </c>
      <c r="C408" s="658"/>
      <c r="D408" s="659" t="str">
        <f>IF($A408="","",IFERROR(GETPIVOTDATA("合計 / 入金予定",【ピボット】国保連売上!$A$3,"年月",$A408,"事業所コード",$B408,"事業所",$C408,"事業区分",D$1,"請求区分","単月"),0)
+IFERROR(GETPIVOTDATA("合計 / 入金予定",【ピボット】国保連売上!$A$3,"年月",$A408,"事業所コード",$B408,"事業所",$C408,"事業区分",D$1,"請求区分","再請求"),0))</f>
        <v/>
      </c>
      <c r="E408" s="659" t="str">
        <f>IF($A408="","",IFERROR(GETPIVOTDATA("合計 / 処遇改善加算金",【ピボット】国保連売上!$A$3,"年月",$A408,"事業所コード",$B408,"事業所",$C408,"事業区分",D$1,"請求区分","単月"),0))</f>
        <v/>
      </c>
      <c r="F408" s="659" t="str">
        <f>IF($A408="","",IFERROR(GETPIVOTDATA("合計 / 入金予定",【ピボット】国保連売上!$A$3,"年月",$A408,"事業所コード",$B408,"事業所",$C408,"事業区分",F$1,"請求区分","単月"),0)
+IFERROR(GETPIVOTDATA("合計 / 入金予定",【ピボット】国保連売上!$A$3,"年月",$A408,"事業所コード",$B408,"事業所",$C408,"事業区分",F$1,"請求区分","再請求"),0))</f>
        <v/>
      </c>
      <c r="G408" s="659" t="str">
        <f>IF($A408="","",IFERROR(GETPIVOTDATA("合計 / 処遇改善加算金",【ピボット】国保連売上!$A$3,"年月",$A408,"事業所コード",$B408,"事業所",$C408,"事業区分",F$1,"請求区分","単月"),0))</f>
        <v/>
      </c>
      <c r="H408" s="659" t="str">
        <f>IF($A408="","",IFERROR(GETPIVOTDATA("合計 / 入金予定",【ピボット】国保連売上!$A$3,"年月",$A408,"事業所コード",$B408,"事業所",$C408,"事業区分",H$1,"請求区分","単月"),0)
+IFERROR(GETPIVOTDATA("合計 / 入金予定",【ピボット】国保連売上!$A$3,"年月",$A408,"事業所コード",$B408,"事業所",$C408,"事業区分",H$1,"請求区分","再請求"),0))</f>
        <v/>
      </c>
      <c r="I408" s="659" t="str">
        <f>IF($A408="","",IFERROR(GETPIVOTDATA("合計 / 入金予定",【ピボット】国保連売上!$A$3,"年月",$A408,"事業所コード",$B408,"事業所",$C408,"事業区分",I$1,"請求区分","単月"),0)
+IFERROR(GETPIVOTDATA("合計 / 入金予定",【ピボット】国保連売上!$A$3,"年月",$A408,"事業所コード",$B408,"事業所",$C408,"事業区分",I$1,"請求区分","再請求"),0))</f>
        <v/>
      </c>
      <c r="J408" s="659" t="str">
        <f>IF($A408="","",IFERROR(GETPIVOTDATA("合計 / 処遇改善加算金",【ピボット】国保連売上!$A$3,"年月",$A408,"事業所コード",$B408,"事業所",$C408,"事業区分",I$1,"請求区分","単月"),0))</f>
        <v/>
      </c>
      <c r="K408" s="659" t="str">
        <f>IF($A408="","",IFERROR(GETPIVOTDATA("合計 / 入金予定",【ピボット】国保連売上!$A$3,"年月",$A408,"事業所コード",$B408,"事業所",$C408,"事業区分",K$1,"請求区分","単月"),0)
+IFERROR(GETPIVOTDATA("合計 / 入金予定",【ピボット】国保連売上!$A$3,"年月",$A408,"事業所コード",$B408,"事業所",$C408,"事業区分",K$1,"請求区分","再請求"),0))</f>
        <v/>
      </c>
      <c r="L408" s="659" t="str">
        <f>IF($A408="","",IFERROR(GETPIVOTDATA("合計 / 処遇改善加算金",【ピボット】国保連売上!$A$3,"年月",$A408,"事業所コード",$B408,"事業所",$C408,"事業区分",K$1,"請求区分","単月"),0))</f>
        <v/>
      </c>
      <c r="M408" s="659" t="str">
        <f>IF($A408="","",IFERROR(GETPIVOTDATA("合計 / 入金予定",【ピボット】国保連売上!$A$3,"年月",$A408,"事業所コード",$B408,"事業所",$C408,"事業区分",M$1,"請求区分","単月"),0)
+IFERROR(GETPIVOTDATA("合計 / 入金予定",【ピボット】国保連売上!$A$3,"年月",$A408,"事業所コード",$B408,"事業所",$C408,"事業区分",M$1,"請求区分","再請求"),0))</f>
        <v/>
      </c>
      <c r="N408" s="660"/>
      <c r="O408" s="660"/>
      <c r="P408" s="660"/>
      <c r="Q408" s="660"/>
      <c r="R408" s="660"/>
      <c r="S408" s="660"/>
      <c r="T408" s="660"/>
      <c r="U408" s="660"/>
      <c r="V408" s="660"/>
      <c r="W408" s="660"/>
      <c r="X408" s="660"/>
      <c r="Y408" s="659" t="str">
        <f t="shared" si="18"/>
        <v/>
      </c>
      <c r="Z408" s="659" t="str">
        <f t="shared" si="20"/>
        <v/>
      </c>
    </row>
    <row r="409" spans="1:26" ht="15.95" customHeight="1" x14ac:dyDescent="0.15">
      <c r="A409" s="656"/>
      <c r="B409" s="657" t="str">
        <f t="shared" si="19"/>
        <v/>
      </c>
      <c r="C409" s="658"/>
      <c r="D409" s="659" t="str">
        <f>IF($A409="","",IFERROR(GETPIVOTDATA("合計 / 入金予定",【ピボット】国保連売上!$A$3,"年月",$A409,"事業所コード",$B409,"事業所",$C409,"事業区分",D$1,"請求区分","単月"),0)
+IFERROR(GETPIVOTDATA("合計 / 入金予定",【ピボット】国保連売上!$A$3,"年月",$A409,"事業所コード",$B409,"事業所",$C409,"事業区分",D$1,"請求区分","再請求"),0))</f>
        <v/>
      </c>
      <c r="E409" s="659" t="str">
        <f>IF($A409="","",IFERROR(GETPIVOTDATA("合計 / 処遇改善加算金",【ピボット】国保連売上!$A$3,"年月",$A409,"事業所コード",$B409,"事業所",$C409,"事業区分",D$1,"請求区分","単月"),0))</f>
        <v/>
      </c>
      <c r="F409" s="659" t="str">
        <f>IF($A409="","",IFERROR(GETPIVOTDATA("合計 / 入金予定",【ピボット】国保連売上!$A$3,"年月",$A409,"事業所コード",$B409,"事業所",$C409,"事業区分",F$1,"請求区分","単月"),0)
+IFERROR(GETPIVOTDATA("合計 / 入金予定",【ピボット】国保連売上!$A$3,"年月",$A409,"事業所コード",$B409,"事業所",$C409,"事業区分",F$1,"請求区分","再請求"),0))</f>
        <v/>
      </c>
      <c r="G409" s="659" t="str">
        <f>IF($A409="","",IFERROR(GETPIVOTDATA("合計 / 処遇改善加算金",【ピボット】国保連売上!$A$3,"年月",$A409,"事業所コード",$B409,"事業所",$C409,"事業区分",F$1,"請求区分","単月"),0))</f>
        <v/>
      </c>
      <c r="H409" s="659" t="str">
        <f>IF($A409="","",IFERROR(GETPIVOTDATA("合計 / 入金予定",【ピボット】国保連売上!$A$3,"年月",$A409,"事業所コード",$B409,"事業所",$C409,"事業区分",H$1,"請求区分","単月"),0)
+IFERROR(GETPIVOTDATA("合計 / 入金予定",【ピボット】国保連売上!$A$3,"年月",$A409,"事業所コード",$B409,"事業所",$C409,"事業区分",H$1,"請求区分","再請求"),0))</f>
        <v/>
      </c>
      <c r="I409" s="659" t="str">
        <f>IF($A409="","",IFERROR(GETPIVOTDATA("合計 / 入金予定",【ピボット】国保連売上!$A$3,"年月",$A409,"事業所コード",$B409,"事業所",$C409,"事業区分",I$1,"請求区分","単月"),0)
+IFERROR(GETPIVOTDATA("合計 / 入金予定",【ピボット】国保連売上!$A$3,"年月",$A409,"事業所コード",$B409,"事業所",$C409,"事業区分",I$1,"請求区分","再請求"),0))</f>
        <v/>
      </c>
      <c r="J409" s="659" t="str">
        <f>IF($A409="","",IFERROR(GETPIVOTDATA("合計 / 処遇改善加算金",【ピボット】国保連売上!$A$3,"年月",$A409,"事業所コード",$B409,"事業所",$C409,"事業区分",I$1,"請求区分","単月"),0))</f>
        <v/>
      </c>
      <c r="K409" s="659" t="str">
        <f>IF($A409="","",IFERROR(GETPIVOTDATA("合計 / 入金予定",【ピボット】国保連売上!$A$3,"年月",$A409,"事業所コード",$B409,"事業所",$C409,"事業区分",K$1,"請求区分","単月"),0)
+IFERROR(GETPIVOTDATA("合計 / 入金予定",【ピボット】国保連売上!$A$3,"年月",$A409,"事業所コード",$B409,"事業所",$C409,"事業区分",K$1,"請求区分","再請求"),0))</f>
        <v/>
      </c>
      <c r="L409" s="659" t="str">
        <f>IF($A409="","",IFERROR(GETPIVOTDATA("合計 / 処遇改善加算金",【ピボット】国保連売上!$A$3,"年月",$A409,"事業所コード",$B409,"事業所",$C409,"事業区分",K$1,"請求区分","単月"),0))</f>
        <v/>
      </c>
      <c r="M409" s="659" t="str">
        <f>IF($A409="","",IFERROR(GETPIVOTDATA("合計 / 入金予定",【ピボット】国保連売上!$A$3,"年月",$A409,"事業所コード",$B409,"事業所",$C409,"事業区分",M$1,"請求区分","単月"),0)
+IFERROR(GETPIVOTDATA("合計 / 入金予定",【ピボット】国保連売上!$A$3,"年月",$A409,"事業所コード",$B409,"事業所",$C409,"事業区分",M$1,"請求区分","再請求"),0))</f>
        <v/>
      </c>
      <c r="N409" s="660"/>
      <c r="O409" s="660"/>
      <c r="P409" s="660"/>
      <c r="Q409" s="660"/>
      <c r="R409" s="660"/>
      <c r="S409" s="660"/>
      <c r="T409" s="660"/>
      <c r="U409" s="660"/>
      <c r="V409" s="660"/>
      <c r="W409" s="660"/>
      <c r="X409" s="660"/>
      <c r="Y409" s="659" t="str">
        <f t="shared" si="18"/>
        <v/>
      </c>
      <c r="Z409" s="659" t="str">
        <f t="shared" si="20"/>
        <v/>
      </c>
    </row>
    <row r="410" spans="1:26" ht="15.95" customHeight="1" x14ac:dyDescent="0.15">
      <c r="A410" s="656"/>
      <c r="B410" s="657" t="str">
        <f t="shared" si="19"/>
        <v/>
      </c>
      <c r="C410" s="658"/>
      <c r="D410" s="659" t="str">
        <f>IF($A410="","",IFERROR(GETPIVOTDATA("合計 / 入金予定",【ピボット】国保連売上!$A$3,"年月",$A410,"事業所コード",$B410,"事業所",$C410,"事業区分",D$1,"請求区分","単月"),0)
+IFERROR(GETPIVOTDATA("合計 / 入金予定",【ピボット】国保連売上!$A$3,"年月",$A410,"事業所コード",$B410,"事業所",$C410,"事業区分",D$1,"請求区分","再請求"),0))</f>
        <v/>
      </c>
      <c r="E410" s="659" t="str">
        <f>IF($A410="","",IFERROR(GETPIVOTDATA("合計 / 処遇改善加算金",【ピボット】国保連売上!$A$3,"年月",$A410,"事業所コード",$B410,"事業所",$C410,"事業区分",D$1,"請求区分","単月"),0))</f>
        <v/>
      </c>
      <c r="F410" s="659" t="str">
        <f>IF($A410="","",IFERROR(GETPIVOTDATA("合計 / 入金予定",【ピボット】国保連売上!$A$3,"年月",$A410,"事業所コード",$B410,"事業所",$C410,"事業区分",F$1,"請求区分","単月"),0)
+IFERROR(GETPIVOTDATA("合計 / 入金予定",【ピボット】国保連売上!$A$3,"年月",$A410,"事業所コード",$B410,"事業所",$C410,"事業区分",F$1,"請求区分","再請求"),0))</f>
        <v/>
      </c>
      <c r="G410" s="659" t="str">
        <f>IF($A410="","",IFERROR(GETPIVOTDATA("合計 / 処遇改善加算金",【ピボット】国保連売上!$A$3,"年月",$A410,"事業所コード",$B410,"事業所",$C410,"事業区分",F$1,"請求区分","単月"),0))</f>
        <v/>
      </c>
      <c r="H410" s="659" t="str">
        <f>IF($A410="","",IFERROR(GETPIVOTDATA("合計 / 入金予定",【ピボット】国保連売上!$A$3,"年月",$A410,"事業所コード",$B410,"事業所",$C410,"事業区分",H$1,"請求区分","単月"),0)
+IFERROR(GETPIVOTDATA("合計 / 入金予定",【ピボット】国保連売上!$A$3,"年月",$A410,"事業所コード",$B410,"事業所",$C410,"事業区分",H$1,"請求区分","再請求"),0))</f>
        <v/>
      </c>
      <c r="I410" s="659" t="str">
        <f>IF($A410="","",IFERROR(GETPIVOTDATA("合計 / 入金予定",【ピボット】国保連売上!$A$3,"年月",$A410,"事業所コード",$B410,"事業所",$C410,"事業区分",I$1,"請求区分","単月"),0)
+IFERROR(GETPIVOTDATA("合計 / 入金予定",【ピボット】国保連売上!$A$3,"年月",$A410,"事業所コード",$B410,"事業所",$C410,"事業区分",I$1,"請求区分","再請求"),0))</f>
        <v/>
      </c>
      <c r="J410" s="659" t="str">
        <f>IF($A410="","",IFERROR(GETPIVOTDATA("合計 / 処遇改善加算金",【ピボット】国保連売上!$A$3,"年月",$A410,"事業所コード",$B410,"事業所",$C410,"事業区分",I$1,"請求区分","単月"),0))</f>
        <v/>
      </c>
      <c r="K410" s="659" t="str">
        <f>IF($A410="","",IFERROR(GETPIVOTDATA("合計 / 入金予定",【ピボット】国保連売上!$A$3,"年月",$A410,"事業所コード",$B410,"事業所",$C410,"事業区分",K$1,"請求区分","単月"),0)
+IFERROR(GETPIVOTDATA("合計 / 入金予定",【ピボット】国保連売上!$A$3,"年月",$A410,"事業所コード",$B410,"事業所",$C410,"事業区分",K$1,"請求区分","再請求"),0))</f>
        <v/>
      </c>
      <c r="L410" s="659" t="str">
        <f>IF($A410="","",IFERROR(GETPIVOTDATA("合計 / 処遇改善加算金",【ピボット】国保連売上!$A$3,"年月",$A410,"事業所コード",$B410,"事業所",$C410,"事業区分",K$1,"請求区分","単月"),0))</f>
        <v/>
      </c>
      <c r="M410" s="659" t="str">
        <f>IF($A410="","",IFERROR(GETPIVOTDATA("合計 / 入金予定",【ピボット】国保連売上!$A$3,"年月",$A410,"事業所コード",$B410,"事業所",$C410,"事業区分",M$1,"請求区分","単月"),0)
+IFERROR(GETPIVOTDATA("合計 / 入金予定",【ピボット】国保連売上!$A$3,"年月",$A410,"事業所コード",$B410,"事業所",$C410,"事業区分",M$1,"請求区分","再請求"),0))</f>
        <v/>
      </c>
      <c r="N410" s="660"/>
      <c r="O410" s="660"/>
      <c r="P410" s="660"/>
      <c r="Q410" s="660"/>
      <c r="R410" s="660"/>
      <c r="S410" s="660"/>
      <c r="T410" s="660"/>
      <c r="U410" s="660"/>
      <c r="V410" s="660"/>
      <c r="W410" s="660"/>
      <c r="X410" s="660"/>
      <c r="Y410" s="659" t="str">
        <f t="shared" si="18"/>
        <v/>
      </c>
      <c r="Z410" s="659" t="str">
        <f t="shared" si="20"/>
        <v/>
      </c>
    </row>
    <row r="411" spans="1:26" ht="15.95" customHeight="1" x14ac:dyDescent="0.15">
      <c r="A411" s="656"/>
      <c r="B411" s="657" t="str">
        <f t="shared" si="19"/>
        <v/>
      </c>
      <c r="C411" s="658"/>
      <c r="D411" s="659" t="str">
        <f>IF($A411="","",IFERROR(GETPIVOTDATA("合計 / 入金予定",【ピボット】国保連売上!$A$3,"年月",$A411,"事業所コード",$B411,"事業所",$C411,"事業区分",D$1,"請求区分","単月"),0)
+IFERROR(GETPIVOTDATA("合計 / 入金予定",【ピボット】国保連売上!$A$3,"年月",$A411,"事業所コード",$B411,"事業所",$C411,"事業区分",D$1,"請求区分","再請求"),0))</f>
        <v/>
      </c>
      <c r="E411" s="659" t="str">
        <f>IF($A411="","",IFERROR(GETPIVOTDATA("合計 / 処遇改善加算金",【ピボット】国保連売上!$A$3,"年月",$A411,"事業所コード",$B411,"事業所",$C411,"事業区分",D$1,"請求区分","単月"),0))</f>
        <v/>
      </c>
      <c r="F411" s="659" t="str">
        <f>IF($A411="","",IFERROR(GETPIVOTDATA("合計 / 入金予定",【ピボット】国保連売上!$A$3,"年月",$A411,"事業所コード",$B411,"事業所",$C411,"事業区分",F$1,"請求区分","単月"),0)
+IFERROR(GETPIVOTDATA("合計 / 入金予定",【ピボット】国保連売上!$A$3,"年月",$A411,"事業所コード",$B411,"事業所",$C411,"事業区分",F$1,"請求区分","再請求"),0))</f>
        <v/>
      </c>
      <c r="G411" s="659" t="str">
        <f>IF($A411="","",IFERROR(GETPIVOTDATA("合計 / 処遇改善加算金",【ピボット】国保連売上!$A$3,"年月",$A411,"事業所コード",$B411,"事業所",$C411,"事業区分",F$1,"請求区分","単月"),0))</f>
        <v/>
      </c>
      <c r="H411" s="659" t="str">
        <f>IF($A411="","",IFERROR(GETPIVOTDATA("合計 / 入金予定",【ピボット】国保連売上!$A$3,"年月",$A411,"事業所コード",$B411,"事業所",$C411,"事業区分",H$1,"請求区分","単月"),0)
+IFERROR(GETPIVOTDATA("合計 / 入金予定",【ピボット】国保連売上!$A$3,"年月",$A411,"事業所コード",$B411,"事業所",$C411,"事業区分",H$1,"請求区分","再請求"),0))</f>
        <v/>
      </c>
      <c r="I411" s="659" t="str">
        <f>IF($A411="","",IFERROR(GETPIVOTDATA("合計 / 入金予定",【ピボット】国保連売上!$A$3,"年月",$A411,"事業所コード",$B411,"事業所",$C411,"事業区分",I$1,"請求区分","単月"),0)
+IFERROR(GETPIVOTDATA("合計 / 入金予定",【ピボット】国保連売上!$A$3,"年月",$A411,"事業所コード",$B411,"事業所",$C411,"事業区分",I$1,"請求区分","再請求"),0))</f>
        <v/>
      </c>
      <c r="J411" s="659" t="str">
        <f>IF($A411="","",IFERROR(GETPIVOTDATA("合計 / 処遇改善加算金",【ピボット】国保連売上!$A$3,"年月",$A411,"事業所コード",$B411,"事業所",$C411,"事業区分",I$1,"請求区分","単月"),0))</f>
        <v/>
      </c>
      <c r="K411" s="659" t="str">
        <f>IF($A411="","",IFERROR(GETPIVOTDATA("合計 / 入金予定",【ピボット】国保連売上!$A$3,"年月",$A411,"事業所コード",$B411,"事業所",$C411,"事業区分",K$1,"請求区分","単月"),0)
+IFERROR(GETPIVOTDATA("合計 / 入金予定",【ピボット】国保連売上!$A$3,"年月",$A411,"事業所コード",$B411,"事業所",$C411,"事業区分",K$1,"請求区分","再請求"),0))</f>
        <v/>
      </c>
      <c r="L411" s="659" t="str">
        <f>IF($A411="","",IFERROR(GETPIVOTDATA("合計 / 処遇改善加算金",【ピボット】国保連売上!$A$3,"年月",$A411,"事業所コード",$B411,"事業所",$C411,"事業区分",K$1,"請求区分","単月"),0))</f>
        <v/>
      </c>
      <c r="M411" s="659" t="str">
        <f>IF($A411="","",IFERROR(GETPIVOTDATA("合計 / 入金予定",【ピボット】国保連売上!$A$3,"年月",$A411,"事業所コード",$B411,"事業所",$C411,"事業区分",M$1,"請求区分","単月"),0)
+IFERROR(GETPIVOTDATA("合計 / 入金予定",【ピボット】国保連売上!$A$3,"年月",$A411,"事業所コード",$B411,"事業所",$C411,"事業区分",M$1,"請求区分","再請求"),0))</f>
        <v/>
      </c>
      <c r="N411" s="660"/>
      <c r="O411" s="660"/>
      <c r="P411" s="660"/>
      <c r="Q411" s="660"/>
      <c r="R411" s="660"/>
      <c r="S411" s="660"/>
      <c r="T411" s="660"/>
      <c r="U411" s="660"/>
      <c r="V411" s="660"/>
      <c r="W411" s="660"/>
      <c r="X411" s="660"/>
      <c r="Y411" s="659" t="str">
        <f t="shared" si="18"/>
        <v/>
      </c>
      <c r="Z411" s="659" t="str">
        <f t="shared" si="20"/>
        <v/>
      </c>
    </row>
    <row r="412" spans="1:26" ht="15.95" customHeight="1" x14ac:dyDescent="0.15">
      <c r="A412" s="656"/>
      <c r="B412" s="657" t="str">
        <f t="shared" si="19"/>
        <v/>
      </c>
      <c r="C412" s="658"/>
      <c r="D412" s="659" t="str">
        <f>IF($A412="","",IFERROR(GETPIVOTDATA("合計 / 入金予定",【ピボット】国保連売上!$A$3,"年月",$A412,"事業所コード",$B412,"事業所",$C412,"事業区分",D$1,"請求区分","単月"),0)
+IFERROR(GETPIVOTDATA("合計 / 入金予定",【ピボット】国保連売上!$A$3,"年月",$A412,"事業所コード",$B412,"事業所",$C412,"事業区分",D$1,"請求区分","再請求"),0))</f>
        <v/>
      </c>
      <c r="E412" s="659" t="str">
        <f>IF($A412="","",IFERROR(GETPIVOTDATA("合計 / 処遇改善加算金",【ピボット】国保連売上!$A$3,"年月",$A412,"事業所コード",$B412,"事業所",$C412,"事業区分",D$1,"請求区分","単月"),0))</f>
        <v/>
      </c>
      <c r="F412" s="659" t="str">
        <f>IF($A412="","",IFERROR(GETPIVOTDATA("合計 / 入金予定",【ピボット】国保連売上!$A$3,"年月",$A412,"事業所コード",$B412,"事業所",$C412,"事業区分",F$1,"請求区分","単月"),0)
+IFERROR(GETPIVOTDATA("合計 / 入金予定",【ピボット】国保連売上!$A$3,"年月",$A412,"事業所コード",$B412,"事業所",$C412,"事業区分",F$1,"請求区分","再請求"),0))</f>
        <v/>
      </c>
      <c r="G412" s="659" t="str">
        <f>IF($A412="","",IFERROR(GETPIVOTDATA("合計 / 処遇改善加算金",【ピボット】国保連売上!$A$3,"年月",$A412,"事業所コード",$B412,"事業所",$C412,"事業区分",F$1,"請求区分","単月"),0))</f>
        <v/>
      </c>
      <c r="H412" s="659" t="str">
        <f>IF($A412="","",IFERROR(GETPIVOTDATA("合計 / 入金予定",【ピボット】国保連売上!$A$3,"年月",$A412,"事業所コード",$B412,"事業所",$C412,"事業区分",H$1,"請求区分","単月"),0)
+IFERROR(GETPIVOTDATA("合計 / 入金予定",【ピボット】国保連売上!$A$3,"年月",$A412,"事業所コード",$B412,"事業所",$C412,"事業区分",H$1,"請求区分","再請求"),0))</f>
        <v/>
      </c>
      <c r="I412" s="659" t="str">
        <f>IF($A412="","",IFERROR(GETPIVOTDATA("合計 / 入金予定",【ピボット】国保連売上!$A$3,"年月",$A412,"事業所コード",$B412,"事業所",$C412,"事業区分",I$1,"請求区分","単月"),0)
+IFERROR(GETPIVOTDATA("合計 / 入金予定",【ピボット】国保連売上!$A$3,"年月",$A412,"事業所コード",$B412,"事業所",$C412,"事業区分",I$1,"請求区分","再請求"),0))</f>
        <v/>
      </c>
      <c r="J412" s="659" t="str">
        <f>IF($A412="","",IFERROR(GETPIVOTDATA("合計 / 処遇改善加算金",【ピボット】国保連売上!$A$3,"年月",$A412,"事業所コード",$B412,"事業所",$C412,"事業区分",I$1,"請求区分","単月"),0))</f>
        <v/>
      </c>
      <c r="K412" s="659" t="str">
        <f>IF($A412="","",IFERROR(GETPIVOTDATA("合計 / 入金予定",【ピボット】国保連売上!$A$3,"年月",$A412,"事業所コード",$B412,"事業所",$C412,"事業区分",K$1,"請求区分","単月"),0)
+IFERROR(GETPIVOTDATA("合計 / 入金予定",【ピボット】国保連売上!$A$3,"年月",$A412,"事業所コード",$B412,"事業所",$C412,"事業区分",K$1,"請求区分","再請求"),0))</f>
        <v/>
      </c>
      <c r="L412" s="659" t="str">
        <f>IF($A412="","",IFERROR(GETPIVOTDATA("合計 / 処遇改善加算金",【ピボット】国保連売上!$A$3,"年月",$A412,"事業所コード",$B412,"事業所",$C412,"事業区分",K$1,"請求区分","単月"),0))</f>
        <v/>
      </c>
      <c r="M412" s="659" t="str">
        <f>IF($A412="","",IFERROR(GETPIVOTDATA("合計 / 入金予定",【ピボット】国保連売上!$A$3,"年月",$A412,"事業所コード",$B412,"事業所",$C412,"事業区分",M$1,"請求区分","単月"),0)
+IFERROR(GETPIVOTDATA("合計 / 入金予定",【ピボット】国保連売上!$A$3,"年月",$A412,"事業所コード",$B412,"事業所",$C412,"事業区分",M$1,"請求区分","再請求"),0))</f>
        <v/>
      </c>
      <c r="N412" s="660"/>
      <c r="O412" s="660"/>
      <c r="P412" s="660"/>
      <c r="Q412" s="660"/>
      <c r="R412" s="660"/>
      <c r="S412" s="660"/>
      <c r="T412" s="660"/>
      <c r="U412" s="660"/>
      <c r="V412" s="660"/>
      <c r="W412" s="660"/>
      <c r="X412" s="660"/>
      <c r="Y412" s="659" t="str">
        <f t="shared" si="18"/>
        <v/>
      </c>
      <c r="Z412" s="659" t="str">
        <f t="shared" si="20"/>
        <v/>
      </c>
    </row>
    <row r="413" spans="1:26" ht="15.95" customHeight="1" x14ac:dyDescent="0.15">
      <c r="A413" s="656"/>
      <c r="B413" s="657" t="str">
        <f t="shared" si="19"/>
        <v/>
      </c>
      <c r="C413" s="658"/>
      <c r="D413" s="659" t="str">
        <f>IF($A413="","",IFERROR(GETPIVOTDATA("合計 / 入金予定",【ピボット】国保連売上!$A$3,"年月",$A413,"事業所コード",$B413,"事業所",$C413,"事業区分",D$1,"請求区分","単月"),0)
+IFERROR(GETPIVOTDATA("合計 / 入金予定",【ピボット】国保連売上!$A$3,"年月",$A413,"事業所コード",$B413,"事業所",$C413,"事業区分",D$1,"請求区分","再請求"),0))</f>
        <v/>
      </c>
      <c r="E413" s="659" t="str">
        <f>IF($A413="","",IFERROR(GETPIVOTDATA("合計 / 処遇改善加算金",【ピボット】国保連売上!$A$3,"年月",$A413,"事業所コード",$B413,"事業所",$C413,"事業区分",D$1,"請求区分","単月"),0))</f>
        <v/>
      </c>
      <c r="F413" s="659" t="str">
        <f>IF($A413="","",IFERROR(GETPIVOTDATA("合計 / 入金予定",【ピボット】国保連売上!$A$3,"年月",$A413,"事業所コード",$B413,"事業所",$C413,"事業区分",F$1,"請求区分","単月"),0)
+IFERROR(GETPIVOTDATA("合計 / 入金予定",【ピボット】国保連売上!$A$3,"年月",$A413,"事業所コード",$B413,"事業所",$C413,"事業区分",F$1,"請求区分","再請求"),0))</f>
        <v/>
      </c>
      <c r="G413" s="659" t="str">
        <f>IF($A413="","",IFERROR(GETPIVOTDATA("合計 / 処遇改善加算金",【ピボット】国保連売上!$A$3,"年月",$A413,"事業所コード",$B413,"事業所",$C413,"事業区分",F$1,"請求区分","単月"),0))</f>
        <v/>
      </c>
      <c r="H413" s="659" t="str">
        <f>IF($A413="","",IFERROR(GETPIVOTDATA("合計 / 入金予定",【ピボット】国保連売上!$A$3,"年月",$A413,"事業所コード",$B413,"事業所",$C413,"事業区分",H$1,"請求区分","単月"),0)
+IFERROR(GETPIVOTDATA("合計 / 入金予定",【ピボット】国保連売上!$A$3,"年月",$A413,"事業所コード",$B413,"事業所",$C413,"事業区分",H$1,"請求区分","再請求"),0))</f>
        <v/>
      </c>
      <c r="I413" s="659" t="str">
        <f>IF($A413="","",IFERROR(GETPIVOTDATA("合計 / 入金予定",【ピボット】国保連売上!$A$3,"年月",$A413,"事業所コード",$B413,"事業所",$C413,"事業区分",I$1,"請求区分","単月"),0)
+IFERROR(GETPIVOTDATA("合計 / 入金予定",【ピボット】国保連売上!$A$3,"年月",$A413,"事業所コード",$B413,"事業所",$C413,"事業区分",I$1,"請求区分","再請求"),0))</f>
        <v/>
      </c>
      <c r="J413" s="659" t="str">
        <f>IF($A413="","",IFERROR(GETPIVOTDATA("合計 / 処遇改善加算金",【ピボット】国保連売上!$A$3,"年月",$A413,"事業所コード",$B413,"事業所",$C413,"事業区分",I$1,"請求区分","単月"),0))</f>
        <v/>
      </c>
      <c r="K413" s="659" t="str">
        <f>IF($A413="","",IFERROR(GETPIVOTDATA("合計 / 入金予定",【ピボット】国保連売上!$A$3,"年月",$A413,"事業所コード",$B413,"事業所",$C413,"事業区分",K$1,"請求区分","単月"),0)
+IFERROR(GETPIVOTDATA("合計 / 入金予定",【ピボット】国保連売上!$A$3,"年月",$A413,"事業所コード",$B413,"事業所",$C413,"事業区分",K$1,"請求区分","再請求"),0))</f>
        <v/>
      </c>
      <c r="L413" s="659" t="str">
        <f>IF($A413="","",IFERROR(GETPIVOTDATA("合計 / 処遇改善加算金",【ピボット】国保連売上!$A$3,"年月",$A413,"事業所コード",$B413,"事業所",$C413,"事業区分",K$1,"請求区分","単月"),0))</f>
        <v/>
      </c>
      <c r="M413" s="659" t="str">
        <f>IF($A413="","",IFERROR(GETPIVOTDATA("合計 / 入金予定",【ピボット】国保連売上!$A$3,"年月",$A413,"事業所コード",$B413,"事業所",$C413,"事業区分",M$1,"請求区分","単月"),0)
+IFERROR(GETPIVOTDATA("合計 / 入金予定",【ピボット】国保連売上!$A$3,"年月",$A413,"事業所コード",$B413,"事業所",$C413,"事業区分",M$1,"請求区分","再請求"),0))</f>
        <v/>
      </c>
      <c r="N413" s="660"/>
      <c r="O413" s="660"/>
      <c r="P413" s="660"/>
      <c r="Q413" s="660"/>
      <c r="R413" s="660"/>
      <c r="S413" s="660"/>
      <c r="T413" s="660"/>
      <c r="U413" s="660"/>
      <c r="V413" s="660"/>
      <c r="W413" s="660"/>
      <c r="X413" s="660"/>
      <c r="Y413" s="659" t="str">
        <f t="shared" si="18"/>
        <v/>
      </c>
      <c r="Z413" s="659" t="str">
        <f t="shared" si="20"/>
        <v/>
      </c>
    </row>
    <row r="414" spans="1:26" ht="15.95" customHeight="1" x14ac:dyDescent="0.15">
      <c r="A414" s="656"/>
      <c r="B414" s="657" t="str">
        <f t="shared" si="19"/>
        <v/>
      </c>
      <c r="C414" s="658"/>
      <c r="D414" s="659" t="str">
        <f>IF($A414="","",IFERROR(GETPIVOTDATA("合計 / 入金予定",【ピボット】国保連売上!$A$3,"年月",$A414,"事業所コード",$B414,"事業所",$C414,"事業区分",D$1,"請求区分","単月"),0)
+IFERROR(GETPIVOTDATA("合計 / 入金予定",【ピボット】国保連売上!$A$3,"年月",$A414,"事業所コード",$B414,"事業所",$C414,"事業区分",D$1,"請求区分","再請求"),0))</f>
        <v/>
      </c>
      <c r="E414" s="659" t="str">
        <f>IF($A414="","",IFERROR(GETPIVOTDATA("合計 / 処遇改善加算金",【ピボット】国保連売上!$A$3,"年月",$A414,"事業所コード",$B414,"事業所",$C414,"事業区分",D$1,"請求区分","単月"),0))</f>
        <v/>
      </c>
      <c r="F414" s="659" t="str">
        <f>IF($A414="","",IFERROR(GETPIVOTDATA("合計 / 入金予定",【ピボット】国保連売上!$A$3,"年月",$A414,"事業所コード",$B414,"事業所",$C414,"事業区分",F$1,"請求区分","単月"),0)
+IFERROR(GETPIVOTDATA("合計 / 入金予定",【ピボット】国保連売上!$A$3,"年月",$A414,"事業所コード",$B414,"事業所",$C414,"事業区分",F$1,"請求区分","再請求"),0))</f>
        <v/>
      </c>
      <c r="G414" s="659" t="str">
        <f>IF($A414="","",IFERROR(GETPIVOTDATA("合計 / 処遇改善加算金",【ピボット】国保連売上!$A$3,"年月",$A414,"事業所コード",$B414,"事業所",$C414,"事業区分",F$1,"請求区分","単月"),0))</f>
        <v/>
      </c>
      <c r="H414" s="659" t="str">
        <f>IF($A414="","",IFERROR(GETPIVOTDATA("合計 / 入金予定",【ピボット】国保連売上!$A$3,"年月",$A414,"事業所コード",$B414,"事業所",$C414,"事業区分",H$1,"請求区分","単月"),0)
+IFERROR(GETPIVOTDATA("合計 / 入金予定",【ピボット】国保連売上!$A$3,"年月",$A414,"事業所コード",$B414,"事業所",$C414,"事業区分",H$1,"請求区分","再請求"),0))</f>
        <v/>
      </c>
      <c r="I414" s="659" t="str">
        <f>IF($A414="","",IFERROR(GETPIVOTDATA("合計 / 入金予定",【ピボット】国保連売上!$A$3,"年月",$A414,"事業所コード",$B414,"事業所",$C414,"事業区分",I$1,"請求区分","単月"),0)
+IFERROR(GETPIVOTDATA("合計 / 入金予定",【ピボット】国保連売上!$A$3,"年月",$A414,"事業所コード",$B414,"事業所",$C414,"事業区分",I$1,"請求区分","再請求"),0))</f>
        <v/>
      </c>
      <c r="J414" s="659" t="str">
        <f>IF($A414="","",IFERROR(GETPIVOTDATA("合計 / 処遇改善加算金",【ピボット】国保連売上!$A$3,"年月",$A414,"事業所コード",$B414,"事業所",$C414,"事業区分",I$1,"請求区分","単月"),0))</f>
        <v/>
      </c>
      <c r="K414" s="659" t="str">
        <f>IF($A414="","",IFERROR(GETPIVOTDATA("合計 / 入金予定",【ピボット】国保連売上!$A$3,"年月",$A414,"事業所コード",$B414,"事業所",$C414,"事業区分",K$1,"請求区分","単月"),0)
+IFERROR(GETPIVOTDATA("合計 / 入金予定",【ピボット】国保連売上!$A$3,"年月",$A414,"事業所コード",$B414,"事業所",$C414,"事業区分",K$1,"請求区分","再請求"),0))</f>
        <v/>
      </c>
      <c r="L414" s="659" t="str">
        <f>IF($A414="","",IFERROR(GETPIVOTDATA("合計 / 処遇改善加算金",【ピボット】国保連売上!$A$3,"年月",$A414,"事業所コード",$B414,"事業所",$C414,"事業区分",K$1,"請求区分","単月"),0))</f>
        <v/>
      </c>
      <c r="M414" s="659" t="str">
        <f>IF($A414="","",IFERROR(GETPIVOTDATA("合計 / 入金予定",【ピボット】国保連売上!$A$3,"年月",$A414,"事業所コード",$B414,"事業所",$C414,"事業区分",M$1,"請求区分","単月"),0)
+IFERROR(GETPIVOTDATA("合計 / 入金予定",【ピボット】国保連売上!$A$3,"年月",$A414,"事業所コード",$B414,"事業所",$C414,"事業区分",M$1,"請求区分","再請求"),0))</f>
        <v/>
      </c>
      <c r="N414" s="660"/>
      <c r="O414" s="660"/>
      <c r="P414" s="660"/>
      <c r="Q414" s="660"/>
      <c r="R414" s="660"/>
      <c r="S414" s="660"/>
      <c r="T414" s="660"/>
      <c r="U414" s="660"/>
      <c r="V414" s="660"/>
      <c r="W414" s="660"/>
      <c r="X414" s="660"/>
      <c r="Y414" s="659" t="str">
        <f t="shared" si="18"/>
        <v/>
      </c>
      <c r="Z414" s="659" t="str">
        <f t="shared" si="20"/>
        <v/>
      </c>
    </row>
    <row r="415" spans="1:26" ht="15.95" customHeight="1" x14ac:dyDescent="0.15">
      <c r="A415" s="656"/>
      <c r="B415" s="657" t="str">
        <f t="shared" si="19"/>
        <v/>
      </c>
      <c r="C415" s="658"/>
      <c r="D415" s="659" t="str">
        <f>IF($A415="","",IFERROR(GETPIVOTDATA("合計 / 入金予定",【ピボット】国保連売上!$A$3,"年月",$A415,"事業所コード",$B415,"事業所",$C415,"事業区分",D$1,"請求区分","単月"),0)
+IFERROR(GETPIVOTDATA("合計 / 入金予定",【ピボット】国保連売上!$A$3,"年月",$A415,"事業所コード",$B415,"事業所",$C415,"事業区分",D$1,"請求区分","再請求"),0))</f>
        <v/>
      </c>
      <c r="E415" s="659" t="str">
        <f>IF($A415="","",IFERROR(GETPIVOTDATA("合計 / 処遇改善加算金",【ピボット】国保連売上!$A$3,"年月",$A415,"事業所コード",$B415,"事業所",$C415,"事業区分",D$1,"請求区分","単月"),0))</f>
        <v/>
      </c>
      <c r="F415" s="659" t="str">
        <f>IF($A415="","",IFERROR(GETPIVOTDATA("合計 / 入金予定",【ピボット】国保連売上!$A$3,"年月",$A415,"事業所コード",$B415,"事業所",$C415,"事業区分",F$1,"請求区分","単月"),0)
+IFERROR(GETPIVOTDATA("合計 / 入金予定",【ピボット】国保連売上!$A$3,"年月",$A415,"事業所コード",$B415,"事業所",$C415,"事業区分",F$1,"請求区分","再請求"),0))</f>
        <v/>
      </c>
      <c r="G415" s="659" t="str">
        <f>IF($A415="","",IFERROR(GETPIVOTDATA("合計 / 処遇改善加算金",【ピボット】国保連売上!$A$3,"年月",$A415,"事業所コード",$B415,"事業所",$C415,"事業区分",F$1,"請求区分","単月"),0))</f>
        <v/>
      </c>
      <c r="H415" s="659" t="str">
        <f>IF($A415="","",IFERROR(GETPIVOTDATA("合計 / 入金予定",【ピボット】国保連売上!$A$3,"年月",$A415,"事業所コード",$B415,"事業所",$C415,"事業区分",H$1,"請求区分","単月"),0)
+IFERROR(GETPIVOTDATA("合計 / 入金予定",【ピボット】国保連売上!$A$3,"年月",$A415,"事業所コード",$B415,"事業所",$C415,"事業区分",H$1,"請求区分","再請求"),0))</f>
        <v/>
      </c>
      <c r="I415" s="659" t="str">
        <f>IF($A415="","",IFERROR(GETPIVOTDATA("合計 / 入金予定",【ピボット】国保連売上!$A$3,"年月",$A415,"事業所コード",$B415,"事業所",$C415,"事業区分",I$1,"請求区分","単月"),0)
+IFERROR(GETPIVOTDATA("合計 / 入金予定",【ピボット】国保連売上!$A$3,"年月",$A415,"事業所コード",$B415,"事業所",$C415,"事業区分",I$1,"請求区分","再請求"),0))</f>
        <v/>
      </c>
      <c r="J415" s="659" t="str">
        <f>IF($A415="","",IFERROR(GETPIVOTDATA("合計 / 処遇改善加算金",【ピボット】国保連売上!$A$3,"年月",$A415,"事業所コード",$B415,"事業所",$C415,"事業区分",I$1,"請求区分","単月"),0))</f>
        <v/>
      </c>
      <c r="K415" s="659" t="str">
        <f>IF($A415="","",IFERROR(GETPIVOTDATA("合計 / 入金予定",【ピボット】国保連売上!$A$3,"年月",$A415,"事業所コード",$B415,"事業所",$C415,"事業区分",K$1,"請求区分","単月"),0)
+IFERROR(GETPIVOTDATA("合計 / 入金予定",【ピボット】国保連売上!$A$3,"年月",$A415,"事業所コード",$B415,"事業所",$C415,"事業区分",K$1,"請求区分","再請求"),0))</f>
        <v/>
      </c>
      <c r="L415" s="659" t="str">
        <f>IF($A415="","",IFERROR(GETPIVOTDATA("合計 / 処遇改善加算金",【ピボット】国保連売上!$A$3,"年月",$A415,"事業所コード",$B415,"事業所",$C415,"事業区分",K$1,"請求区分","単月"),0))</f>
        <v/>
      </c>
      <c r="M415" s="659" t="str">
        <f>IF($A415="","",IFERROR(GETPIVOTDATA("合計 / 入金予定",【ピボット】国保連売上!$A$3,"年月",$A415,"事業所コード",$B415,"事業所",$C415,"事業区分",M$1,"請求区分","単月"),0)
+IFERROR(GETPIVOTDATA("合計 / 入金予定",【ピボット】国保連売上!$A$3,"年月",$A415,"事業所コード",$B415,"事業所",$C415,"事業区分",M$1,"請求区分","再請求"),0))</f>
        <v/>
      </c>
      <c r="N415" s="660"/>
      <c r="O415" s="660"/>
      <c r="P415" s="660"/>
      <c r="Q415" s="660"/>
      <c r="R415" s="660"/>
      <c r="S415" s="660"/>
      <c r="T415" s="660"/>
      <c r="U415" s="660"/>
      <c r="V415" s="660"/>
      <c r="W415" s="660"/>
      <c r="X415" s="660"/>
      <c r="Y415" s="659" t="str">
        <f t="shared" si="18"/>
        <v/>
      </c>
      <c r="Z415" s="659" t="str">
        <f t="shared" si="20"/>
        <v/>
      </c>
    </row>
    <row r="416" spans="1:26" ht="15.95" customHeight="1" x14ac:dyDescent="0.15">
      <c r="A416" s="656"/>
      <c r="B416" s="657" t="str">
        <f t="shared" si="19"/>
        <v/>
      </c>
      <c r="C416" s="658"/>
      <c r="D416" s="659" t="str">
        <f>IF($A416="","",IFERROR(GETPIVOTDATA("合計 / 入金予定",【ピボット】国保連売上!$A$3,"年月",$A416,"事業所コード",$B416,"事業所",$C416,"事業区分",D$1,"請求区分","単月"),0)
+IFERROR(GETPIVOTDATA("合計 / 入金予定",【ピボット】国保連売上!$A$3,"年月",$A416,"事業所コード",$B416,"事業所",$C416,"事業区分",D$1,"請求区分","再請求"),0))</f>
        <v/>
      </c>
      <c r="E416" s="659" t="str">
        <f>IF($A416="","",IFERROR(GETPIVOTDATA("合計 / 処遇改善加算金",【ピボット】国保連売上!$A$3,"年月",$A416,"事業所コード",$B416,"事業所",$C416,"事業区分",D$1,"請求区分","単月"),0))</f>
        <v/>
      </c>
      <c r="F416" s="659" t="str">
        <f>IF($A416="","",IFERROR(GETPIVOTDATA("合計 / 入金予定",【ピボット】国保連売上!$A$3,"年月",$A416,"事業所コード",$B416,"事業所",$C416,"事業区分",F$1,"請求区分","単月"),0)
+IFERROR(GETPIVOTDATA("合計 / 入金予定",【ピボット】国保連売上!$A$3,"年月",$A416,"事業所コード",$B416,"事業所",$C416,"事業区分",F$1,"請求区分","再請求"),0))</f>
        <v/>
      </c>
      <c r="G416" s="659" t="str">
        <f>IF($A416="","",IFERROR(GETPIVOTDATA("合計 / 処遇改善加算金",【ピボット】国保連売上!$A$3,"年月",$A416,"事業所コード",$B416,"事業所",$C416,"事業区分",F$1,"請求区分","単月"),0))</f>
        <v/>
      </c>
      <c r="H416" s="659" t="str">
        <f>IF($A416="","",IFERROR(GETPIVOTDATA("合計 / 入金予定",【ピボット】国保連売上!$A$3,"年月",$A416,"事業所コード",$B416,"事業所",$C416,"事業区分",H$1,"請求区分","単月"),0)
+IFERROR(GETPIVOTDATA("合計 / 入金予定",【ピボット】国保連売上!$A$3,"年月",$A416,"事業所コード",$B416,"事業所",$C416,"事業区分",H$1,"請求区分","再請求"),0))</f>
        <v/>
      </c>
      <c r="I416" s="659" t="str">
        <f>IF($A416="","",IFERROR(GETPIVOTDATA("合計 / 入金予定",【ピボット】国保連売上!$A$3,"年月",$A416,"事業所コード",$B416,"事業所",$C416,"事業区分",I$1,"請求区分","単月"),0)
+IFERROR(GETPIVOTDATA("合計 / 入金予定",【ピボット】国保連売上!$A$3,"年月",$A416,"事業所コード",$B416,"事業所",$C416,"事業区分",I$1,"請求区分","再請求"),0))</f>
        <v/>
      </c>
      <c r="J416" s="659" t="str">
        <f>IF($A416="","",IFERROR(GETPIVOTDATA("合計 / 処遇改善加算金",【ピボット】国保連売上!$A$3,"年月",$A416,"事業所コード",$B416,"事業所",$C416,"事業区分",I$1,"請求区分","単月"),0))</f>
        <v/>
      </c>
      <c r="K416" s="659" t="str">
        <f>IF($A416="","",IFERROR(GETPIVOTDATA("合計 / 入金予定",【ピボット】国保連売上!$A$3,"年月",$A416,"事業所コード",$B416,"事業所",$C416,"事業区分",K$1,"請求区分","単月"),0)
+IFERROR(GETPIVOTDATA("合計 / 入金予定",【ピボット】国保連売上!$A$3,"年月",$A416,"事業所コード",$B416,"事業所",$C416,"事業区分",K$1,"請求区分","再請求"),0))</f>
        <v/>
      </c>
      <c r="L416" s="659" t="str">
        <f>IF($A416="","",IFERROR(GETPIVOTDATA("合計 / 処遇改善加算金",【ピボット】国保連売上!$A$3,"年月",$A416,"事業所コード",$B416,"事業所",$C416,"事業区分",K$1,"請求区分","単月"),0))</f>
        <v/>
      </c>
      <c r="M416" s="659" t="str">
        <f>IF($A416="","",IFERROR(GETPIVOTDATA("合計 / 入金予定",【ピボット】国保連売上!$A$3,"年月",$A416,"事業所コード",$B416,"事業所",$C416,"事業区分",M$1,"請求区分","単月"),0)
+IFERROR(GETPIVOTDATA("合計 / 入金予定",【ピボット】国保連売上!$A$3,"年月",$A416,"事業所コード",$B416,"事業所",$C416,"事業区分",M$1,"請求区分","再請求"),0))</f>
        <v/>
      </c>
      <c r="N416" s="660"/>
      <c r="O416" s="660"/>
      <c r="P416" s="660"/>
      <c r="Q416" s="660"/>
      <c r="R416" s="660"/>
      <c r="S416" s="660"/>
      <c r="T416" s="660"/>
      <c r="U416" s="660"/>
      <c r="V416" s="660"/>
      <c r="W416" s="660"/>
      <c r="X416" s="660"/>
      <c r="Y416" s="659" t="str">
        <f t="shared" si="18"/>
        <v/>
      </c>
      <c r="Z416" s="659" t="str">
        <f t="shared" si="20"/>
        <v/>
      </c>
    </row>
    <row r="417" spans="1:26" ht="15.95" customHeight="1" x14ac:dyDescent="0.15">
      <c r="A417" s="656"/>
      <c r="B417" s="657" t="str">
        <f t="shared" si="19"/>
        <v/>
      </c>
      <c r="C417" s="658"/>
      <c r="D417" s="659" t="str">
        <f>IF($A417="","",IFERROR(GETPIVOTDATA("合計 / 入金予定",【ピボット】国保連売上!$A$3,"年月",$A417,"事業所コード",$B417,"事業所",$C417,"事業区分",D$1,"請求区分","単月"),0)
+IFERROR(GETPIVOTDATA("合計 / 入金予定",【ピボット】国保連売上!$A$3,"年月",$A417,"事業所コード",$B417,"事業所",$C417,"事業区分",D$1,"請求区分","再請求"),0))</f>
        <v/>
      </c>
      <c r="E417" s="659" t="str">
        <f>IF($A417="","",IFERROR(GETPIVOTDATA("合計 / 処遇改善加算金",【ピボット】国保連売上!$A$3,"年月",$A417,"事業所コード",$B417,"事業所",$C417,"事業区分",D$1,"請求区分","単月"),0))</f>
        <v/>
      </c>
      <c r="F417" s="659" t="str">
        <f>IF($A417="","",IFERROR(GETPIVOTDATA("合計 / 入金予定",【ピボット】国保連売上!$A$3,"年月",$A417,"事業所コード",$B417,"事業所",$C417,"事業区分",F$1,"請求区分","単月"),0)
+IFERROR(GETPIVOTDATA("合計 / 入金予定",【ピボット】国保連売上!$A$3,"年月",$A417,"事業所コード",$B417,"事業所",$C417,"事業区分",F$1,"請求区分","再請求"),0))</f>
        <v/>
      </c>
      <c r="G417" s="659" t="str">
        <f>IF($A417="","",IFERROR(GETPIVOTDATA("合計 / 処遇改善加算金",【ピボット】国保連売上!$A$3,"年月",$A417,"事業所コード",$B417,"事業所",$C417,"事業区分",F$1,"請求区分","単月"),0))</f>
        <v/>
      </c>
      <c r="H417" s="659" t="str">
        <f>IF($A417="","",IFERROR(GETPIVOTDATA("合計 / 入金予定",【ピボット】国保連売上!$A$3,"年月",$A417,"事業所コード",$B417,"事業所",$C417,"事業区分",H$1,"請求区分","単月"),0)
+IFERROR(GETPIVOTDATA("合計 / 入金予定",【ピボット】国保連売上!$A$3,"年月",$A417,"事業所コード",$B417,"事業所",$C417,"事業区分",H$1,"請求区分","再請求"),0))</f>
        <v/>
      </c>
      <c r="I417" s="659" t="str">
        <f>IF($A417="","",IFERROR(GETPIVOTDATA("合計 / 入金予定",【ピボット】国保連売上!$A$3,"年月",$A417,"事業所コード",$B417,"事業所",$C417,"事業区分",I$1,"請求区分","単月"),0)
+IFERROR(GETPIVOTDATA("合計 / 入金予定",【ピボット】国保連売上!$A$3,"年月",$A417,"事業所コード",$B417,"事業所",$C417,"事業区分",I$1,"請求区分","再請求"),0))</f>
        <v/>
      </c>
      <c r="J417" s="659" t="str">
        <f>IF($A417="","",IFERROR(GETPIVOTDATA("合計 / 処遇改善加算金",【ピボット】国保連売上!$A$3,"年月",$A417,"事業所コード",$B417,"事業所",$C417,"事業区分",I$1,"請求区分","単月"),0))</f>
        <v/>
      </c>
      <c r="K417" s="659" t="str">
        <f>IF($A417="","",IFERROR(GETPIVOTDATA("合計 / 入金予定",【ピボット】国保連売上!$A$3,"年月",$A417,"事業所コード",$B417,"事業所",$C417,"事業区分",K$1,"請求区分","単月"),0)
+IFERROR(GETPIVOTDATA("合計 / 入金予定",【ピボット】国保連売上!$A$3,"年月",$A417,"事業所コード",$B417,"事業所",$C417,"事業区分",K$1,"請求区分","再請求"),0))</f>
        <v/>
      </c>
      <c r="L417" s="659" t="str">
        <f>IF($A417="","",IFERROR(GETPIVOTDATA("合計 / 処遇改善加算金",【ピボット】国保連売上!$A$3,"年月",$A417,"事業所コード",$B417,"事業所",$C417,"事業区分",K$1,"請求区分","単月"),0))</f>
        <v/>
      </c>
      <c r="M417" s="659" t="str">
        <f>IF($A417="","",IFERROR(GETPIVOTDATA("合計 / 入金予定",【ピボット】国保連売上!$A$3,"年月",$A417,"事業所コード",$B417,"事業所",$C417,"事業区分",M$1,"請求区分","単月"),0)
+IFERROR(GETPIVOTDATA("合計 / 入金予定",【ピボット】国保連売上!$A$3,"年月",$A417,"事業所コード",$B417,"事業所",$C417,"事業区分",M$1,"請求区分","再請求"),0))</f>
        <v/>
      </c>
      <c r="N417" s="660"/>
      <c r="O417" s="660"/>
      <c r="P417" s="660"/>
      <c r="Q417" s="660"/>
      <c r="R417" s="660"/>
      <c r="S417" s="660"/>
      <c r="T417" s="660"/>
      <c r="U417" s="660"/>
      <c r="V417" s="660"/>
      <c r="W417" s="660"/>
      <c r="X417" s="660"/>
      <c r="Y417" s="659" t="str">
        <f t="shared" si="18"/>
        <v/>
      </c>
      <c r="Z417" s="659" t="str">
        <f t="shared" si="20"/>
        <v/>
      </c>
    </row>
    <row r="418" spans="1:26" ht="15.95" customHeight="1" x14ac:dyDescent="0.15">
      <c r="A418" s="656"/>
      <c r="B418" s="657" t="str">
        <f t="shared" si="19"/>
        <v/>
      </c>
      <c r="C418" s="658"/>
      <c r="D418" s="659" t="str">
        <f>IF($A418="","",IFERROR(GETPIVOTDATA("合計 / 入金予定",【ピボット】国保連売上!$A$3,"年月",$A418,"事業所コード",$B418,"事業所",$C418,"事業区分",D$1,"請求区分","単月"),0)
+IFERROR(GETPIVOTDATA("合計 / 入金予定",【ピボット】国保連売上!$A$3,"年月",$A418,"事業所コード",$B418,"事業所",$C418,"事業区分",D$1,"請求区分","再請求"),0))</f>
        <v/>
      </c>
      <c r="E418" s="659" t="str">
        <f>IF($A418="","",IFERROR(GETPIVOTDATA("合計 / 処遇改善加算金",【ピボット】国保連売上!$A$3,"年月",$A418,"事業所コード",$B418,"事業所",$C418,"事業区分",D$1,"請求区分","単月"),0))</f>
        <v/>
      </c>
      <c r="F418" s="659" t="str">
        <f>IF($A418="","",IFERROR(GETPIVOTDATA("合計 / 入金予定",【ピボット】国保連売上!$A$3,"年月",$A418,"事業所コード",$B418,"事業所",$C418,"事業区分",F$1,"請求区分","単月"),0)
+IFERROR(GETPIVOTDATA("合計 / 入金予定",【ピボット】国保連売上!$A$3,"年月",$A418,"事業所コード",$B418,"事業所",$C418,"事業区分",F$1,"請求区分","再請求"),0))</f>
        <v/>
      </c>
      <c r="G418" s="659" t="str">
        <f>IF($A418="","",IFERROR(GETPIVOTDATA("合計 / 処遇改善加算金",【ピボット】国保連売上!$A$3,"年月",$A418,"事業所コード",$B418,"事業所",$C418,"事業区分",F$1,"請求区分","単月"),0))</f>
        <v/>
      </c>
      <c r="H418" s="659" t="str">
        <f>IF($A418="","",IFERROR(GETPIVOTDATA("合計 / 入金予定",【ピボット】国保連売上!$A$3,"年月",$A418,"事業所コード",$B418,"事業所",$C418,"事業区分",H$1,"請求区分","単月"),0)
+IFERROR(GETPIVOTDATA("合計 / 入金予定",【ピボット】国保連売上!$A$3,"年月",$A418,"事業所コード",$B418,"事業所",$C418,"事業区分",H$1,"請求区分","再請求"),0))</f>
        <v/>
      </c>
      <c r="I418" s="659" t="str">
        <f>IF($A418="","",IFERROR(GETPIVOTDATA("合計 / 入金予定",【ピボット】国保連売上!$A$3,"年月",$A418,"事業所コード",$B418,"事業所",$C418,"事業区分",I$1,"請求区分","単月"),0)
+IFERROR(GETPIVOTDATA("合計 / 入金予定",【ピボット】国保連売上!$A$3,"年月",$A418,"事業所コード",$B418,"事業所",$C418,"事業区分",I$1,"請求区分","再請求"),0))</f>
        <v/>
      </c>
      <c r="J418" s="659" t="str">
        <f>IF($A418="","",IFERROR(GETPIVOTDATA("合計 / 処遇改善加算金",【ピボット】国保連売上!$A$3,"年月",$A418,"事業所コード",$B418,"事業所",$C418,"事業区分",I$1,"請求区分","単月"),0))</f>
        <v/>
      </c>
      <c r="K418" s="659" t="str">
        <f>IF($A418="","",IFERROR(GETPIVOTDATA("合計 / 入金予定",【ピボット】国保連売上!$A$3,"年月",$A418,"事業所コード",$B418,"事業所",$C418,"事業区分",K$1,"請求区分","単月"),0)
+IFERROR(GETPIVOTDATA("合計 / 入金予定",【ピボット】国保連売上!$A$3,"年月",$A418,"事業所コード",$B418,"事業所",$C418,"事業区分",K$1,"請求区分","再請求"),0))</f>
        <v/>
      </c>
      <c r="L418" s="659" t="str">
        <f>IF($A418="","",IFERROR(GETPIVOTDATA("合計 / 処遇改善加算金",【ピボット】国保連売上!$A$3,"年月",$A418,"事業所コード",$B418,"事業所",$C418,"事業区分",K$1,"請求区分","単月"),0))</f>
        <v/>
      </c>
      <c r="M418" s="659" t="str">
        <f>IF($A418="","",IFERROR(GETPIVOTDATA("合計 / 入金予定",【ピボット】国保連売上!$A$3,"年月",$A418,"事業所コード",$B418,"事業所",$C418,"事業区分",M$1,"請求区分","単月"),0)
+IFERROR(GETPIVOTDATA("合計 / 入金予定",【ピボット】国保連売上!$A$3,"年月",$A418,"事業所コード",$B418,"事業所",$C418,"事業区分",M$1,"請求区分","再請求"),0))</f>
        <v/>
      </c>
      <c r="N418" s="660"/>
      <c r="O418" s="660"/>
      <c r="P418" s="660"/>
      <c r="Q418" s="660"/>
      <c r="R418" s="660"/>
      <c r="S418" s="660"/>
      <c r="T418" s="660"/>
      <c r="U418" s="660"/>
      <c r="V418" s="660"/>
      <c r="W418" s="660"/>
      <c r="X418" s="660"/>
      <c r="Y418" s="659" t="str">
        <f t="shared" si="18"/>
        <v/>
      </c>
      <c r="Z418" s="659" t="str">
        <f t="shared" si="20"/>
        <v/>
      </c>
    </row>
    <row r="419" spans="1:26" ht="15.95" customHeight="1" x14ac:dyDescent="0.15">
      <c r="A419" s="656"/>
      <c r="B419" s="657" t="str">
        <f t="shared" si="19"/>
        <v/>
      </c>
      <c r="C419" s="658"/>
      <c r="D419" s="659" t="str">
        <f>IF($A419="","",IFERROR(GETPIVOTDATA("合計 / 入金予定",【ピボット】国保連売上!$A$3,"年月",$A419,"事業所コード",$B419,"事業所",$C419,"事業区分",D$1,"請求区分","単月"),0)
+IFERROR(GETPIVOTDATA("合計 / 入金予定",【ピボット】国保連売上!$A$3,"年月",$A419,"事業所コード",$B419,"事業所",$C419,"事業区分",D$1,"請求区分","再請求"),0))</f>
        <v/>
      </c>
      <c r="E419" s="659" t="str">
        <f>IF($A419="","",IFERROR(GETPIVOTDATA("合計 / 処遇改善加算金",【ピボット】国保連売上!$A$3,"年月",$A419,"事業所コード",$B419,"事業所",$C419,"事業区分",D$1,"請求区分","単月"),0))</f>
        <v/>
      </c>
      <c r="F419" s="659" t="str">
        <f>IF($A419="","",IFERROR(GETPIVOTDATA("合計 / 入金予定",【ピボット】国保連売上!$A$3,"年月",$A419,"事業所コード",$B419,"事業所",$C419,"事業区分",F$1,"請求区分","単月"),0)
+IFERROR(GETPIVOTDATA("合計 / 入金予定",【ピボット】国保連売上!$A$3,"年月",$A419,"事業所コード",$B419,"事業所",$C419,"事業区分",F$1,"請求区分","再請求"),0))</f>
        <v/>
      </c>
      <c r="G419" s="659" t="str">
        <f>IF($A419="","",IFERROR(GETPIVOTDATA("合計 / 処遇改善加算金",【ピボット】国保連売上!$A$3,"年月",$A419,"事業所コード",$B419,"事業所",$C419,"事業区分",F$1,"請求区分","単月"),0))</f>
        <v/>
      </c>
      <c r="H419" s="659" t="str">
        <f>IF($A419="","",IFERROR(GETPIVOTDATA("合計 / 入金予定",【ピボット】国保連売上!$A$3,"年月",$A419,"事業所コード",$B419,"事業所",$C419,"事業区分",H$1,"請求区分","単月"),0)
+IFERROR(GETPIVOTDATA("合計 / 入金予定",【ピボット】国保連売上!$A$3,"年月",$A419,"事業所コード",$B419,"事業所",$C419,"事業区分",H$1,"請求区分","再請求"),0))</f>
        <v/>
      </c>
      <c r="I419" s="659" t="str">
        <f>IF($A419="","",IFERROR(GETPIVOTDATA("合計 / 入金予定",【ピボット】国保連売上!$A$3,"年月",$A419,"事業所コード",$B419,"事業所",$C419,"事業区分",I$1,"請求区分","単月"),0)
+IFERROR(GETPIVOTDATA("合計 / 入金予定",【ピボット】国保連売上!$A$3,"年月",$A419,"事業所コード",$B419,"事業所",$C419,"事業区分",I$1,"請求区分","再請求"),0))</f>
        <v/>
      </c>
      <c r="J419" s="659" t="str">
        <f>IF($A419="","",IFERROR(GETPIVOTDATA("合計 / 処遇改善加算金",【ピボット】国保連売上!$A$3,"年月",$A419,"事業所コード",$B419,"事業所",$C419,"事業区分",I$1,"請求区分","単月"),0))</f>
        <v/>
      </c>
      <c r="K419" s="659" t="str">
        <f>IF($A419="","",IFERROR(GETPIVOTDATA("合計 / 入金予定",【ピボット】国保連売上!$A$3,"年月",$A419,"事業所コード",$B419,"事業所",$C419,"事業区分",K$1,"請求区分","単月"),0)
+IFERROR(GETPIVOTDATA("合計 / 入金予定",【ピボット】国保連売上!$A$3,"年月",$A419,"事業所コード",$B419,"事業所",$C419,"事業区分",K$1,"請求区分","再請求"),0))</f>
        <v/>
      </c>
      <c r="L419" s="659" t="str">
        <f>IF($A419="","",IFERROR(GETPIVOTDATA("合計 / 処遇改善加算金",【ピボット】国保連売上!$A$3,"年月",$A419,"事業所コード",$B419,"事業所",$C419,"事業区分",K$1,"請求区分","単月"),0))</f>
        <v/>
      </c>
      <c r="M419" s="659" t="str">
        <f>IF($A419="","",IFERROR(GETPIVOTDATA("合計 / 入金予定",【ピボット】国保連売上!$A$3,"年月",$A419,"事業所コード",$B419,"事業所",$C419,"事業区分",M$1,"請求区分","単月"),0)
+IFERROR(GETPIVOTDATA("合計 / 入金予定",【ピボット】国保連売上!$A$3,"年月",$A419,"事業所コード",$B419,"事業所",$C419,"事業区分",M$1,"請求区分","再請求"),0))</f>
        <v/>
      </c>
      <c r="N419" s="660"/>
      <c r="O419" s="660"/>
      <c r="P419" s="660"/>
      <c r="Q419" s="660"/>
      <c r="R419" s="660"/>
      <c r="S419" s="660"/>
      <c r="T419" s="660"/>
      <c r="U419" s="660"/>
      <c r="V419" s="660"/>
      <c r="W419" s="660"/>
      <c r="X419" s="660"/>
      <c r="Y419" s="659" t="str">
        <f t="shared" si="18"/>
        <v/>
      </c>
      <c r="Z419" s="659" t="str">
        <f t="shared" si="20"/>
        <v/>
      </c>
    </row>
    <row r="420" spans="1:26" ht="15.95" customHeight="1" x14ac:dyDescent="0.15">
      <c r="A420" s="656"/>
      <c r="B420" s="657" t="str">
        <f t="shared" si="19"/>
        <v/>
      </c>
      <c r="C420" s="658"/>
      <c r="D420" s="659" t="str">
        <f>IF($A420="","",IFERROR(GETPIVOTDATA("合計 / 入金予定",【ピボット】国保連売上!$A$3,"年月",$A420,"事業所コード",$B420,"事業所",$C420,"事業区分",D$1,"請求区分","単月"),0)
+IFERROR(GETPIVOTDATA("合計 / 入金予定",【ピボット】国保連売上!$A$3,"年月",$A420,"事業所コード",$B420,"事業所",$C420,"事業区分",D$1,"請求区分","再請求"),0))</f>
        <v/>
      </c>
      <c r="E420" s="659" t="str">
        <f>IF($A420="","",IFERROR(GETPIVOTDATA("合計 / 処遇改善加算金",【ピボット】国保連売上!$A$3,"年月",$A420,"事業所コード",$B420,"事業所",$C420,"事業区分",D$1,"請求区分","単月"),0))</f>
        <v/>
      </c>
      <c r="F420" s="659" t="str">
        <f>IF($A420="","",IFERROR(GETPIVOTDATA("合計 / 入金予定",【ピボット】国保連売上!$A$3,"年月",$A420,"事業所コード",$B420,"事業所",$C420,"事業区分",F$1,"請求区分","単月"),0)
+IFERROR(GETPIVOTDATA("合計 / 入金予定",【ピボット】国保連売上!$A$3,"年月",$A420,"事業所コード",$B420,"事業所",$C420,"事業区分",F$1,"請求区分","再請求"),0))</f>
        <v/>
      </c>
      <c r="G420" s="659" t="str">
        <f>IF($A420="","",IFERROR(GETPIVOTDATA("合計 / 処遇改善加算金",【ピボット】国保連売上!$A$3,"年月",$A420,"事業所コード",$B420,"事業所",$C420,"事業区分",F$1,"請求区分","単月"),0))</f>
        <v/>
      </c>
      <c r="H420" s="659" t="str">
        <f>IF($A420="","",IFERROR(GETPIVOTDATA("合計 / 入金予定",【ピボット】国保連売上!$A$3,"年月",$A420,"事業所コード",$B420,"事業所",$C420,"事業区分",H$1,"請求区分","単月"),0)
+IFERROR(GETPIVOTDATA("合計 / 入金予定",【ピボット】国保連売上!$A$3,"年月",$A420,"事業所コード",$B420,"事業所",$C420,"事業区分",H$1,"請求区分","再請求"),0))</f>
        <v/>
      </c>
      <c r="I420" s="659" t="str">
        <f>IF($A420="","",IFERROR(GETPIVOTDATA("合計 / 入金予定",【ピボット】国保連売上!$A$3,"年月",$A420,"事業所コード",$B420,"事業所",$C420,"事業区分",I$1,"請求区分","単月"),0)
+IFERROR(GETPIVOTDATA("合計 / 入金予定",【ピボット】国保連売上!$A$3,"年月",$A420,"事業所コード",$B420,"事業所",$C420,"事業区分",I$1,"請求区分","再請求"),0))</f>
        <v/>
      </c>
      <c r="J420" s="659" t="str">
        <f>IF($A420="","",IFERROR(GETPIVOTDATA("合計 / 処遇改善加算金",【ピボット】国保連売上!$A$3,"年月",$A420,"事業所コード",$B420,"事業所",$C420,"事業区分",I$1,"請求区分","単月"),0))</f>
        <v/>
      </c>
      <c r="K420" s="659" t="str">
        <f>IF($A420="","",IFERROR(GETPIVOTDATA("合計 / 入金予定",【ピボット】国保連売上!$A$3,"年月",$A420,"事業所コード",$B420,"事業所",$C420,"事業区分",K$1,"請求区分","単月"),0)
+IFERROR(GETPIVOTDATA("合計 / 入金予定",【ピボット】国保連売上!$A$3,"年月",$A420,"事業所コード",$B420,"事業所",$C420,"事業区分",K$1,"請求区分","再請求"),0))</f>
        <v/>
      </c>
      <c r="L420" s="659" t="str">
        <f>IF($A420="","",IFERROR(GETPIVOTDATA("合計 / 処遇改善加算金",【ピボット】国保連売上!$A$3,"年月",$A420,"事業所コード",$B420,"事業所",$C420,"事業区分",K$1,"請求区分","単月"),0))</f>
        <v/>
      </c>
      <c r="M420" s="659" t="str">
        <f>IF($A420="","",IFERROR(GETPIVOTDATA("合計 / 入金予定",【ピボット】国保連売上!$A$3,"年月",$A420,"事業所コード",$B420,"事業所",$C420,"事業区分",M$1,"請求区分","単月"),0)
+IFERROR(GETPIVOTDATA("合計 / 入金予定",【ピボット】国保連売上!$A$3,"年月",$A420,"事業所コード",$B420,"事業所",$C420,"事業区分",M$1,"請求区分","再請求"),0))</f>
        <v/>
      </c>
      <c r="N420" s="660"/>
      <c r="O420" s="660"/>
      <c r="P420" s="660"/>
      <c r="Q420" s="660"/>
      <c r="R420" s="660"/>
      <c r="S420" s="660"/>
      <c r="T420" s="660"/>
      <c r="U420" s="660"/>
      <c r="V420" s="660"/>
      <c r="W420" s="660"/>
      <c r="X420" s="660"/>
      <c r="Y420" s="659" t="str">
        <f t="shared" si="18"/>
        <v/>
      </c>
      <c r="Z420" s="659" t="str">
        <f t="shared" si="20"/>
        <v/>
      </c>
    </row>
    <row r="421" spans="1:26" ht="15.95" customHeight="1" x14ac:dyDescent="0.15">
      <c r="A421" s="656"/>
      <c r="B421" s="657" t="str">
        <f t="shared" si="19"/>
        <v/>
      </c>
      <c r="C421" s="658"/>
      <c r="D421" s="659" t="str">
        <f>IF($A421="","",IFERROR(GETPIVOTDATA("合計 / 入金予定",【ピボット】国保連売上!$A$3,"年月",$A421,"事業所コード",$B421,"事業所",$C421,"事業区分",D$1,"請求区分","単月"),0)
+IFERROR(GETPIVOTDATA("合計 / 入金予定",【ピボット】国保連売上!$A$3,"年月",$A421,"事業所コード",$B421,"事業所",$C421,"事業区分",D$1,"請求区分","再請求"),0))</f>
        <v/>
      </c>
      <c r="E421" s="659" t="str">
        <f>IF($A421="","",IFERROR(GETPIVOTDATA("合計 / 処遇改善加算金",【ピボット】国保連売上!$A$3,"年月",$A421,"事業所コード",$B421,"事業所",$C421,"事業区分",D$1,"請求区分","単月"),0))</f>
        <v/>
      </c>
      <c r="F421" s="659" t="str">
        <f>IF($A421="","",IFERROR(GETPIVOTDATA("合計 / 入金予定",【ピボット】国保連売上!$A$3,"年月",$A421,"事業所コード",$B421,"事業所",$C421,"事業区分",F$1,"請求区分","単月"),0)
+IFERROR(GETPIVOTDATA("合計 / 入金予定",【ピボット】国保連売上!$A$3,"年月",$A421,"事業所コード",$B421,"事業所",$C421,"事業区分",F$1,"請求区分","再請求"),0))</f>
        <v/>
      </c>
      <c r="G421" s="659" t="str">
        <f>IF($A421="","",IFERROR(GETPIVOTDATA("合計 / 処遇改善加算金",【ピボット】国保連売上!$A$3,"年月",$A421,"事業所コード",$B421,"事業所",$C421,"事業区分",F$1,"請求区分","単月"),0))</f>
        <v/>
      </c>
      <c r="H421" s="659" t="str">
        <f>IF($A421="","",IFERROR(GETPIVOTDATA("合計 / 入金予定",【ピボット】国保連売上!$A$3,"年月",$A421,"事業所コード",$B421,"事業所",$C421,"事業区分",H$1,"請求区分","単月"),0)
+IFERROR(GETPIVOTDATA("合計 / 入金予定",【ピボット】国保連売上!$A$3,"年月",$A421,"事業所コード",$B421,"事業所",$C421,"事業区分",H$1,"請求区分","再請求"),0))</f>
        <v/>
      </c>
      <c r="I421" s="659" t="str">
        <f>IF($A421="","",IFERROR(GETPIVOTDATA("合計 / 入金予定",【ピボット】国保連売上!$A$3,"年月",$A421,"事業所コード",$B421,"事業所",$C421,"事業区分",I$1,"請求区分","単月"),0)
+IFERROR(GETPIVOTDATA("合計 / 入金予定",【ピボット】国保連売上!$A$3,"年月",$A421,"事業所コード",$B421,"事業所",$C421,"事業区分",I$1,"請求区分","再請求"),0))</f>
        <v/>
      </c>
      <c r="J421" s="659" t="str">
        <f>IF($A421="","",IFERROR(GETPIVOTDATA("合計 / 処遇改善加算金",【ピボット】国保連売上!$A$3,"年月",$A421,"事業所コード",$B421,"事業所",$C421,"事業区分",I$1,"請求区分","単月"),0))</f>
        <v/>
      </c>
      <c r="K421" s="659" t="str">
        <f>IF($A421="","",IFERROR(GETPIVOTDATA("合計 / 入金予定",【ピボット】国保連売上!$A$3,"年月",$A421,"事業所コード",$B421,"事業所",$C421,"事業区分",K$1,"請求区分","単月"),0)
+IFERROR(GETPIVOTDATA("合計 / 入金予定",【ピボット】国保連売上!$A$3,"年月",$A421,"事業所コード",$B421,"事業所",$C421,"事業区分",K$1,"請求区分","再請求"),0))</f>
        <v/>
      </c>
      <c r="L421" s="659" t="str">
        <f>IF($A421="","",IFERROR(GETPIVOTDATA("合計 / 処遇改善加算金",【ピボット】国保連売上!$A$3,"年月",$A421,"事業所コード",$B421,"事業所",$C421,"事業区分",K$1,"請求区分","単月"),0))</f>
        <v/>
      </c>
      <c r="M421" s="659" t="str">
        <f>IF($A421="","",IFERROR(GETPIVOTDATA("合計 / 入金予定",【ピボット】国保連売上!$A$3,"年月",$A421,"事業所コード",$B421,"事業所",$C421,"事業区分",M$1,"請求区分","単月"),0)
+IFERROR(GETPIVOTDATA("合計 / 入金予定",【ピボット】国保連売上!$A$3,"年月",$A421,"事業所コード",$B421,"事業所",$C421,"事業区分",M$1,"請求区分","再請求"),0))</f>
        <v/>
      </c>
      <c r="N421" s="660"/>
      <c r="O421" s="660"/>
      <c r="P421" s="660"/>
      <c r="Q421" s="660"/>
      <c r="R421" s="660"/>
      <c r="S421" s="660"/>
      <c r="T421" s="660"/>
      <c r="U421" s="660"/>
      <c r="V421" s="660"/>
      <c r="W421" s="660"/>
      <c r="X421" s="660"/>
      <c r="Y421" s="659" t="str">
        <f t="shared" si="18"/>
        <v/>
      </c>
      <c r="Z421" s="659" t="str">
        <f t="shared" si="20"/>
        <v/>
      </c>
    </row>
    <row r="422" spans="1:26" ht="15.95" customHeight="1" x14ac:dyDescent="0.15">
      <c r="A422" s="656"/>
      <c r="B422" s="657" t="str">
        <f t="shared" si="19"/>
        <v/>
      </c>
      <c r="C422" s="658"/>
      <c r="D422" s="659" t="str">
        <f>IF($A422="","",IFERROR(GETPIVOTDATA("合計 / 入金予定",【ピボット】国保連売上!$A$3,"年月",$A422,"事業所コード",$B422,"事業所",$C422,"事業区分",D$1,"請求区分","単月"),0)
+IFERROR(GETPIVOTDATA("合計 / 入金予定",【ピボット】国保連売上!$A$3,"年月",$A422,"事業所コード",$B422,"事業所",$C422,"事業区分",D$1,"請求区分","再請求"),0))</f>
        <v/>
      </c>
      <c r="E422" s="659" t="str">
        <f>IF($A422="","",IFERROR(GETPIVOTDATA("合計 / 処遇改善加算金",【ピボット】国保連売上!$A$3,"年月",$A422,"事業所コード",$B422,"事業所",$C422,"事業区分",D$1,"請求区分","単月"),0))</f>
        <v/>
      </c>
      <c r="F422" s="659" t="str">
        <f>IF($A422="","",IFERROR(GETPIVOTDATA("合計 / 入金予定",【ピボット】国保連売上!$A$3,"年月",$A422,"事業所コード",$B422,"事業所",$C422,"事業区分",F$1,"請求区分","単月"),0)
+IFERROR(GETPIVOTDATA("合計 / 入金予定",【ピボット】国保連売上!$A$3,"年月",$A422,"事業所コード",$B422,"事業所",$C422,"事業区分",F$1,"請求区分","再請求"),0))</f>
        <v/>
      </c>
      <c r="G422" s="659" t="str">
        <f>IF($A422="","",IFERROR(GETPIVOTDATA("合計 / 処遇改善加算金",【ピボット】国保連売上!$A$3,"年月",$A422,"事業所コード",$B422,"事業所",$C422,"事業区分",F$1,"請求区分","単月"),0))</f>
        <v/>
      </c>
      <c r="H422" s="659" t="str">
        <f>IF($A422="","",IFERROR(GETPIVOTDATA("合計 / 入金予定",【ピボット】国保連売上!$A$3,"年月",$A422,"事業所コード",$B422,"事業所",$C422,"事業区分",H$1,"請求区分","単月"),0)
+IFERROR(GETPIVOTDATA("合計 / 入金予定",【ピボット】国保連売上!$A$3,"年月",$A422,"事業所コード",$B422,"事業所",$C422,"事業区分",H$1,"請求区分","再請求"),0))</f>
        <v/>
      </c>
      <c r="I422" s="659" t="str">
        <f>IF($A422="","",IFERROR(GETPIVOTDATA("合計 / 入金予定",【ピボット】国保連売上!$A$3,"年月",$A422,"事業所コード",$B422,"事業所",$C422,"事業区分",I$1,"請求区分","単月"),0)
+IFERROR(GETPIVOTDATA("合計 / 入金予定",【ピボット】国保連売上!$A$3,"年月",$A422,"事業所コード",$B422,"事業所",$C422,"事業区分",I$1,"請求区分","再請求"),0))</f>
        <v/>
      </c>
      <c r="J422" s="659" t="str">
        <f>IF($A422="","",IFERROR(GETPIVOTDATA("合計 / 処遇改善加算金",【ピボット】国保連売上!$A$3,"年月",$A422,"事業所コード",$B422,"事業所",$C422,"事業区分",I$1,"請求区分","単月"),0))</f>
        <v/>
      </c>
      <c r="K422" s="659" t="str">
        <f>IF($A422="","",IFERROR(GETPIVOTDATA("合計 / 入金予定",【ピボット】国保連売上!$A$3,"年月",$A422,"事業所コード",$B422,"事業所",$C422,"事業区分",K$1,"請求区分","単月"),0)
+IFERROR(GETPIVOTDATA("合計 / 入金予定",【ピボット】国保連売上!$A$3,"年月",$A422,"事業所コード",$B422,"事業所",$C422,"事業区分",K$1,"請求区分","再請求"),0))</f>
        <v/>
      </c>
      <c r="L422" s="659" t="str">
        <f>IF($A422="","",IFERROR(GETPIVOTDATA("合計 / 処遇改善加算金",【ピボット】国保連売上!$A$3,"年月",$A422,"事業所コード",$B422,"事業所",$C422,"事業区分",K$1,"請求区分","単月"),0))</f>
        <v/>
      </c>
      <c r="M422" s="659" t="str">
        <f>IF($A422="","",IFERROR(GETPIVOTDATA("合計 / 入金予定",【ピボット】国保連売上!$A$3,"年月",$A422,"事業所コード",$B422,"事業所",$C422,"事業区分",M$1,"請求区分","単月"),0)
+IFERROR(GETPIVOTDATA("合計 / 入金予定",【ピボット】国保連売上!$A$3,"年月",$A422,"事業所コード",$B422,"事業所",$C422,"事業区分",M$1,"請求区分","再請求"),0))</f>
        <v/>
      </c>
      <c r="N422" s="660"/>
      <c r="O422" s="660"/>
      <c r="P422" s="660"/>
      <c r="Q422" s="660"/>
      <c r="R422" s="660"/>
      <c r="S422" s="660"/>
      <c r="T422" s="660"/>
      <c r="U422" s="660"/>
      <c r="V422" s="660"/>
      <c r="W422" s="660"/>
      <c r="X422" s="660"/>
      <c r="Y422" s="659" t="str">
        <f t="shared" si="18"/>
        <v/>
      </c>
      <c r="Z422" s="659" t="str">
        <f t="shared" si="20"/>
        <v/>
      </c>
    </row>
    <row r="423" spans="1:26" ht="15.95" customHeight="1" x14ac:dyDescent="0.15">
      <c r="A423" s="656"/>
      <c r="B423" s="657" t="str">
        <f t="shared" si="19"/>
        <v/>
      </c>
      <c r="C423" s="658"/>
      <c r="D423" s="659" t="str">
        <f>IF($A423="","",IFERROR(GETPIVOTDATA("合計 / 入金予定",【ピボット】国保連売上!$A$3,"年月",$A423,"事業所コード",$B423,"事業所",$C423,"事業区分",D$1,"請求区分","単月"),0)
+IFERROR(GETPIVOTDATA("合計 / 入金予定",【ピボット】国保連売上!$A$3,"年月",$A423,"事業所コード",$B423,"事業所",$C423,"事業区分",D$1,"請求区分","再請求"),0))</f>
        <v/>
      </c>
      <c r="E423" s="659" t="str">
        <f>IF($A423="","",IFERROR(GETPIVOTDATA("合計 / 処遇改善加算金",【ピボット】国保連売上!$A$3,"年月",$A423,"事業所コード",$B423,"事業所",$C423,"事業区分",D$1,"請求区分","単月"),0))</f>
        <v/>
      </c>
      <c r="F423" s="659" t="str">
        <f>IF($A423="","",IFERROR(GETPIVOTDATA("合計 / 入金予定",【ピボット】国保連売上!$A$3,"年月",$A423,"事業所コード",$B423,"事業所",$C423,"事業区分",F$1,"請求区分","単月"),0)
+IFERROR(GETPIVOTDATA("合計 / 入金予定",【ピボット】国保連売上!$A$3,"年月",$A423,"事業所コード",$B423,"事業所",$C423,"事業区分",F$1,"請求区分","再請求"),0))</f>
        <v/>
      </c>
      <c r="G423" s="659" t="str">
        <f>IF($A423="","",IFERROR(GETPIVOTDATA("合計 / 処遇改善加算金",【ピボット】国保連売上!$A$3,"年月",$A423,"事業所コード",$B423,"事業所",$C423,"事業区分",F$1,"請求区分","単月"),0))</f>
        <v/>
      </c>
      <c r="H423" s="659" t="str">
        <f>IF($A423="","",IFERROR(GETPIVOTDATA("合計 / 入金予定",【ピボット】国保連売上!$A$3,"年月",$A423,"事業所コード",$B423,"事業所",$C423,"事業区分",H$1,"請求区分","単月"),0)
+IFERROR(GETPIVOTDATA("合計 / 入金予定",【ピボット】国保連売上!$A$3,"年月",$A423,"事業所コード",$B423,"事業所",$C423,"事業区分",H$1,"請求区分","再請求"),0))</f>
        <v/>
      </c>
      <c r="I423" s="659" t="str">
        <f>IF($A423="","",IFERROR(GETPIVOTDATA("合計 / 入金予定",【ピボット】国保連売上!$A$3,"年月",$A423,"事業所コード",$B423,"事業所",$C423,"事業区分",I$1,"請求区分","単月"),0)
+IFERROR(GETPIVOTDATA("合計 / 入金予定",【ピボット】国保連売上!$A$3,"年月",$A423,"事業所コード",$B423,"事業所",$C423,"事業区分",I$1,"請求区分","再請求"),0))</f>
        <v/>
      </c>
      <c r="J423" s="659" t="str">
        <f>IF($A423="","",IFERROR(GETPIVOTDATA("合計 / 処遇改善加算金",【ピボット】国保連売上!$A$3,"年月",$A423,"事業所コード",$B423,"事業所",$C423,"事業区分",I$1,"請求区分","単月"),0))</f>
        <v/>
      </c>
      <c r="K423" s="659" t="str">
        <f>IF($A423="","",IFERROR(GETPIVOTDATA("合計 / 入金予定",【ピボット】国保連売上!$A$3,"年月",$A423,"事業所コード",$B423,"事業所",$C423,"事業区分",K$1,"請求区分","単月"),0)
+IFERROR(GETPIVOTDATA("合計 / 入金予定",【ピボット】国保連売上!$A$3,"年月",$A423,"事業所コード",$B423,"事業所",$C423,"事業区分",K$1,"請求区分","再請求"),0))</f>
        <v/>
      </c>
      <c r="L423" s="659" t="str">
        <f>IF($A423="","",IFERROR(GETPIVOTDATA("合計 / 処遇改善加算金",【ピボット】国保連売上!$A$3,"年月",$A423,"事業所コード",$B423,"事業所",$C423,"事業区分",K$1,"請求区分","単月"),0))</f>
        <v/>
      </c>
      <c r="M423" s="659" t="str">
        <f>IF($A423="","",IFERROR(GETPIVOTDATA("合計 / 入金予定",【ピボット】国保連売上!$A$3,"年月",$A423,"事業所コード",$B423,"事業所",$C423,"事業区分",M$1,"請求区分","単月"),0)
+IFERROR(GETPIVOTDATA("合計 / 入金予定",【ピボット】国保連売上!$A$3,"年月",$A423,"事業所コード",$B423,"事業所",$C423,"事業区分",M$1,"請求区分","再請求"),0))</f>
        <v/>
      </c>
      <c r="N423" s="660"/>
      <c r="O423" s="660"/>
      <c r="P423" s="660"/>
      <c r="Q423" s="660"/>
      <c r="R423" s="660"/>
      <c r="S423" s="660"/>
      <c r="T423" s="660"/>
      <c r="U423" s="660"/>
      <c r="V423" s="660"/>
      <c r="W423" s="660"/>
      <c r="X423" s="660"/>
      <c r="Y423" s="659" t="str">
        <f t="shared" si="18"/>
        <v/>
      </c>
      <c r="Z423" s="659" t="str">
        <f t="shared" si="20"/>
        <v/>
      </c>
    </row>
    <row r="424" spans="1:26" ht="15.95" customHeight="1" x14ac:dyDescent="0.15">
      <c r="A424" s="656"/>
      <c r="B424" s="657" t="str">
        <f t="shared" si="19"/>
        <v/>
      </c>
      <c r="C424" s="658"/>
      <c r="D424" s="659" t="str">
        <f>IF($A424="","",IFERROR(GETPIVOTDATA("合計 / 入金予定",【ピボット】国保連売上!$A$3,"年月",$A424,"事業所コード",$B424,"事業所",$C424,"事業区分",D$1,"請求区分","単月"),0)
+IFERROR(GETPIVOTDATA("合計 / 入金予定",【ピボット】国保連売上!$A$3,"年月",$A424,"事業所コード",$B424,"事業所",$C424,"事業区分",D$1,"請求区分","再請求"),0))</f>
        <v/>
      </c>
      <c r="E424" s="659" t="str">
        <f>IF($A424="","",IFERROR(GETPIVOTDATA("合計 / 処遇改善加算金",【ピボット】国保連売上!$A$3,"年月",$A424,"事業所コード",$B424,"事業所",$C424,"事業区分",D$1,"請求区分","単月"),0))</f>
        <v/>
      </c>
      <c r="F424" s="659" t="str">
        <f>IF($A424="","",IFERROR(GETPIVOTDATA("合計 / 入金予定",【ピボット】国保連売上!$A$3,"年月",$A424,"事業所コード",$B424,"事業所",$C424,"事業区分",F$1,"請求区分","単月"),0)
+IFERROR(GETPIVOTDATA("合計 / 入金予定",【ピボット】国保連売上!$A$3,"年月",$A424,"事業所コード",$B424,"事業所",$C424,"事業区分",F$1,"請求区分","再請求"),0))</f>
        <v/>
      </c>
      <c r="G424" s="659" t="str">
        <f>IF($A424="","",IFERROR(GETPIVOTDATA("合計 / 処遇改善加算金",【ピボット】国保連売上!$A$3,"年月",$A424,"事業所コード",$B424,"事業所",$C424,"事業区分",F$1,"請求区分","単月"),0))</f>
        <v/>
      </c>
      <c r="H424" s="659" t="str">
        <f>IF($A424="","",IFERROR(GETPIVOTDATA("合計 / 入金予定",【ピボット】国保連売上!$A$3,"年月",$A424,"事業所コード",$B424,"事業所",$C424,"事業区分",H$1,"請求区分","単月"),0)
+IFERROR(GETPIVOTDATA("合計 / 入金予定",【ピボット】国保連売上!$A$3,"年月",$A424,"事業所コード",$B424,"事業所",$C424,"事業区分",H$1,"請求区分","再請求"),0))</f>
        <v/>
      </c>
      <c r="I424" s="659" t="str">
        <f>IF($A424="","",IFERROR(GETPIVOTDATA("合計 / 入金予定",【ピボット】国保連売上!$A$3,"年月",$A424,"事業所コード",$B424,"事業所",$C424,"事業区分",I$1,"請求区分","単月"),0)
+IFERROR(GETPIVOTDATA("合計 / 入金予定",【ピボット】国保連売上!$A$3,"年月",$A424,"事業所コード",$B424,"事業所",$C424,"事業区分",I$1,"請求区分","再請求"),0))</f>
        <v/>
      </c>
      <c r="J424" s="659" t="str">
        <f>IF($A424="","",IFERROR(GETPIVOTDATA("合計 / 処遇改善加算金",【ピボット】国保連売上!$A$3,"年月",$A424,"事業所コード",$B424,"事業所",$C424,"事業区分",I$1,"請求区分","単月"),0))</f>
        <v/>
      </c>
      <c r="K424" s="659" t="str">
        <f>IF($A424="","",IFERROR(GETPIVOTDATA("合計 / 入金予定",【ピボット】国保連売上!$A$3,"年月",$A424,"事業所コード",$B424,"事業所",$C424,"事業区分",K$1,"請求区分","単月"),0)
+IFERROR(GETPIVOTDATA("合計 / 入金予定",【ピボット】国保連売上!$A$3,"年月",$A424,"事業所コード",$B424,"事業所",$C424,"事業区分",K$1,"請求区分","再請求"),0))</f>
        <v/>
      </c>
      <c r="L424" s="659" t="str">
        <f>IF($A424="","",IFERROR(GETPIVOTDATA("合計 / 処遇改善加算金",【ピボット】国保連売上!$A$3,"年月",$A424,"事業所コード",$B424,"事業所",$C424,"事業区分",K$1,"請求区分","単月"),0))</f>
        <v/>
      </c>
      <c r="M424" s="659" t="str">
        <f>IF($A424="","",IFERROR(GETPIVOTDATA("合計 / 入金予定",【ピボット】国保連売上!$A$3,"年月",$A424,"事業所コード",$B424,"事業所",$C424,"事業区分",M$1,"請求区分","単月"),0)
+IFERROR(GETPIVOTDATA("合計 / 入金予定",【ピボット】国保連売上!$A$3,"年月",$A424,"事業所コード",$B424,"事業所",$C424,"事業区分",M$1,"請求区分","再請求"),0))</f>
        <v/>
      </c>
      <c r="N424" s="660"/>
      <c r="O424" s="660"/>
      <c r="P424" s="660"/>
      <c r="Q424" s="660"/>
      <c r="R424" s="660"/>
      <c r="S424" s="660"/>
      <c r="T424" s="660"/>
      <c r="U424" s="660"/>
      <c r="V424" s="660"/>
      <c r="W424" s="660"/>
      <c r="X424" s="660"/>
      <c r="Y424" s="659" t="str">
        <f t="shared" si="18"/>
        <v/>
      </c>
      <c r="Z424" s="659" t="str">
        <f t="shared" si="20"/>
        <v/>
      </c>
    </row>
    <row r="425" spans="1:26" ht="15.95" customHeight="1" x14ac:dyDescent="0.15">
      <c r="A425" s="656"/>
      <c r="B425" s="657" t="str">
        <f t="shared" si="19"/>
        <v/>
      </c>
      <c r="C425" s="658"/>
      <c r="D425" s="659" t="str">
        <f>IF($A425="","",IFERROR(GETPIVOTDATA("合計 / 入金予定",【ピボット】国保連売上!$A$3,"年月",$A425,"事業所コード",$B425,"事業所",$C425,"事業区分",D$1,"請求区分","単月"),0)
+IFERROR(GETPIVOTDATA("合計 / 入金予定",【ピボット】国保連売上!$A$3,"年月",$A425,"事業所コード",$B425,"事業所",$C425,"事業区分",D$1,"請求区分","再請求"),0))</f>
        <v/>
      </c>
      <c r="E425" s="659" t="str">
        <f>IF($A425="","",IFERROR(GETPIVOTDATA("合計 / 処遇改善加算金",【ピボット】国保連売上!$A$3,"年月",$A425,"事業所コード",$B425,"事業所",$C425,"事業区分",D$1,"請求区分","単月"),0))</f>
        <v/>
      </c>
      <c r="F425" s="659" t="str">
        <f>IF($A425="","",IFERROR(GETPIVOTDATA("合計 / 入金予定",【ピボット】国保連売上!$A$3,"年月",$A425,"事業所コード",$B425,"事業所",$C425,"事業区分",F$1,"請求区分","単月"),0)
+IFERROR(GETPIVOTDATA("合計 / 入金予定",【ピボット】国保連売上!$A$3,"年月",$A425,"事業所コード",$B425,"事業所",$C425,"事業区分",F$1,"請求区分","再請求"),0))</f>
        <v/>
      </c>
      <c r="G425" s="659" t="str">
        <f>IF($A425="","",IFERROR(GETPIVOTDATA("合計 / 処遇改善加算金",【ピボット】国保連売上!$A$3,"年月",$A425,"事業所コード",$B425,"事業所",$C425,"事業区分",F$1,"請求区分","単月"),0))</f>
        <v/>
      </c>
      <c r="H425" s="659" t="str">
        <f>IF($A425="","",IFERROR(GETPIVOTDATA("合計 / 入金予定",【ピボット】国保連売上!$A$3,"年月",$A425,"事業所コード",$B425,"事業所",$C425,"事業区分",H$1,"請求区分","単月"),0)
+IFERROR(GETPIVOTDATA("合計 / 入金予定",【ピボット】国保連売上!$A$3,"年月",$A425,"事業所コード",$B425,"事業所",$C425,"事業区分",H$1,"請求区分","再請求"),0))</f>
        <v/>
      </c>
      <c r="I425" s="659" t="str">
        <f>IF($A425="","",IFERROR(GETPIVOTDATA("合計 / 入金予定",【ピボット】国保連売上!$A$3,"年月",$A425,"事業所コード",$B425,"事業所",$C425,"事業区分",I$1,"請求区分","単月"),0)
+IFERROR(GETPIVOTDATA("合計 / 入金予定",【ピボット】国保連売上!$A$3,"年月",$A425,"事業所コード",$B425,"事業所",$C425,"事業区分",I$1,"請求区分","再請求"),0))</f>
        <v/>
      </c>
      <c r="J425" s="659" t="str">
        <f>IF($A425="","",IFERROR(GETPIVOTDATA("合計 / 処遇改善加算金",【ピボット】国保連売上!$A$3,"年月",$A425,"事業所コード",$B425,"事業所",$C425,"事業区分",I$1,"請求区分","単月"),0))</f>
        <v/>
      </c>
      <c r="K425" s="659" t="str">
        <f>IF($A425="","",IFERROR(GETPIVOTDATA("合計 / 入金予定",【ピボット】国保連売上!$A$3,"年月",$A425,"事業所コード",$B425,"事業所",$C425,"事業区分",K$1,"請求区分","単月"),0)
+IFERROR(GETPIVOTDATA("合計 / 入金予定",【ピボット】国保連売上!$A$3,"年月",$A425,"事業所コード",$B425,"事業所",$C425,"事業区分",K$1,"請求区分","再請求"),0))</f>
        <v/>
      </c>
      <c r="L425" s="659" t="str">
        <f>IF($A425="","",IFERROR(GETPIVOTDATA("合計 / 処遇改善加算金",【ピボット】国保連売上!$A$3,"年月",$A425,"事業所コード",$B425,"事業所",$C425,"事業区分",K$1,"請求区分","単月"),0))</f>
        <v/>
      </c>
      <c r="M425" s="659" t="str">
        <f>IF($A425="","",IFERROR(GETPIVOTDATA("合計 / 入金予定",【ピボット】国保連売上!$A$3,"年月",$A425,"事業所コード",$B425,"事業所",$C425,"事業区分",M$1,"請求区分","単月"),0)
+IFERROR(GETPIVOTDATA("合計 / 入金予定",【ピボット】国保連売上!$A$3,"年月",$A425,"事業所コード",$B425,"事業所",$C425,"事業区分",M$1,"請求区分","再請求"),0))</f>
        <v/>
      </c>
      <c r="N425" s="660"/>
      <c r="O425" s="660"/>
      <c r="P425" s="660"/>
      <c r="Q425" s="660"/>
      <c r="R425" s="660"/>
      <c r="S425" s="660"/>
      <c r="T425" s="660"/>
      <c r="U425" s="660"/>
      <c r="V425" s="660"/>
      <c r="W425" s="660"/>
      <c r="X425" s="660"/>
      <c r="Y425" s="659" t="str">
        <f t="shared" si="18"/>
        <v/>
      </c>
      <c r="Z425" s="659" t="str">
        <f t="shared" si="20"/>
        <v/>
      </c>
    </row>
    <row r="426" spans="1:26" ht="15.95" customHeight="1" x14ac:dyDescent="0.15">
      <c r="A426" s="656"/>
      <c r="B426" s="657" t="str">
        <f t="shared" si="19"/>
        <v/>
      </c>
      <c r="C426" s="658"/>
      <c r="D426" s="659" t="str">
        <f>IF($A426="","",IFERROR(GETPIVOTDATA("合計 / 入金予定",【ピボット】国保連売上!$A$3,"年月",$A426,"事業所コード",$B426,"事業所",$C426,"事業区分",D$1,"請求区分","単月"),0)
+IFERROR(GETPIVOTDATA("合計 / 入金予定",【ピボット】国保連売上!$A$3,"年月",$A426,"事業所コード",$B426,"事業所",$C426,"事業区分",D$1,"請求区分","再請求"),0))</f>
        <v/>
      </c>
      <c r="E426" s="659" t="str">
        <f>IF($A426="","",IFERROR(GETPIVOTDATA("合計 / 処遇改善加算金",【ピボット】国保連売上!$A$3,"年月",$A426,"事業所コード",$B426,"事業所",$C426,"事業区分",D$1,"請求区分","単月"),0))</f>
        <v/>
      </c>
      <c r="F426" s="659" t="str">
        <f>IF($A426="","",IFERROR(GETPIVOTDATA("合計 / 入金予定",【ピボット】国保連売上!$A$3,"年月",$A426,"事業所コード",$B426,"事業所",$C426,"事業区分",F$1,"請求区分","単月"),0)
+IFERROR(GETPIVOTDATA("合計 / 入金予定",【ピボット】国保連売上!$A$3,"年月",$A426,"事業所コード",$B426,"事業所",$C426,"事業区分",F$1,"請求区分","再請求"),0))</f>
        <v/>
      </c>
      <c r="G426" s="659" t="str">
        <f>IF($A426="","",IFERROR(GETPIVOTDATA("合計 / 処遇改善加算金",【ピボット】国保連売上!$A$3,"年月",$A426,"事業所コード",$B426,"事業所",$C426,"事業区分",F$1,"請求区分","単月"),0))</f>
        <v/>
      </c>
      <c r="H426" s="659" t="str">
        <f>IF($A426="","",IFERROR(GETPIVOTDATA("合計 / 入金予定",【ピボット】国保連売上!$A$3,"年月",$A426,"事業所コード",$B426,"事業所",$C426,"事業区分",H$1,"請求区分","単月"),0)
+IFERROR(GETPIVOTDATA("合計 / 入金予定",【ピボット】国保連売上!$A$3,"年月",$A426,"事業所コード",$B426,"事業所",$C426,"事業区分",H$1,"請求区分","再請求"),0))</f>
        <v/>
      </c>
      <c r="I426" s="659" t="str">
        <f>IF($A426="","",IFERROR(GETPIVOTDATA("合計 / 入金予定",【ピボット】国保連売上!$A$3,"年月",$A426,"事業所コード",$B426,"事業所",$C426,"事業区分",I$1,"請求区分","単月"),0)
+IFERROR(GETPIVOTDATA("合計 / 入金予定",【ピボット】国保連売上!$A$3,"年月",$A426,"事業所コード",$B426,"事業所",$C426,"事業区分",I$1,"請求区分","再請求"),0))</f>
        <v/>
      </c>
      <c r="J426" s="659" t="str">
        <f>IF($A426="","",IFERROR(GETPIVOTDATA("合計 / 処遇改善加算金",【ピボット】国保連売上!$A$3,"年月",$A426,"事業所コード",$B426,"事業所",$C426,"事業区分",I$1,"請求区分","単月"),0))</f>
        <v/>
      </c>
      <c r="K426" s="659" t="str">
        <f>IF($A426="","",IFERROR(GETPIVOTDATA("合計 / 入金予定",【ピボット】国保連売上!$A$3,"年月",$A426,"事業所コード",$B426,"事業所",$C426,"事業区分",K$1,"請求区分","単月"),0)
+IFERROR(GETPIVOTDATA("合計 / 入金予定",【ピボット】国保連売上!$A$3,"年月",$A426,"事業所コード",$B426,"事業所",$C426,"事業区分",K$1,"請求区分","再請求"),0))</f>
        <v/>
      </c>
      <c r="L426" s="659" t="str">
        <f>IF($A426="","",IFERROR(GETPIVOTDATA("合計 / 処遇改善加算金",【ピボット】国保連売上!$A$3,"年月",$A426,"事業所コード",$B426,"事業所",$C426,"事業区分",K$1,"請求区分","単月"),0))</f>
        <v/>
      </c>
      <c r="M426" s="659" t="str">
        <f>IF($A426="","",IFERROR(GETPIVOTDATA("合計 / 入金予定",【ピボット】国保連売上!$A$3,"年月",$A426,"事業所コード",$B426,"事業所",$C426,"事業区分",M$1,"請求区分","単月"),0)
+IFERROR(GETPIVOTDATA("合計 / 入金予定",【ピボット】国保連売上!$A$3,"年月",$A426,"事業所コード",$B426,"事業所",$C426,"事業区分",M$1,"請求区分","再請求"),0))</f>
        <v/>
      </c>
      <c r="N426" s="660"/>
      <c r="O426" s="660"/>
      <c r="P426" s="660"/>
      <c r="Q426" s="660"/>
      <c r="R426" s="660"/>
      <c r="S426" s="660"/>
      <c r="T426" s="660"/>
      <c r="U426" s="660"/>
      <c r="V426" s="660"/>
      <c r="W426" s="660"/>
      <c r="X426" s="660"/>
      <c r="Y426" s="659" t="str">
        <f t="shared" si="18"/>
        <v/>
      </c>
      <c r="Z426" s="659" t="str">
        <f t="shared" si="20"/>
        <v/>
      </c>
    </row>
    <row r="427" spans="1:26" ht="15.95" customHeight="1" x14ac:dyDescent="0.15">
      <c r="A427" s="656"/>
      <c r="B427" s="657" t="str">
        <f t="shared" si="19"/>
        <v/>
      </c>
      <c r="C427" s="658"/>
      <c r="D427" s="659" t="str">
        <f>IF($A427="","",IFERROR(GETPIVOTDATA("合計 / 入金予定",【ピボット】国保連売上!$A$3,"年月",$A427,"事業所コード",$B427,"事業所",$C427,"事業区分",D$1,"請求区分","単月"),0)
+IFERROR(GETPIVOTDATA("合計 / 入金予定",【ピボット】国保連売上!$A$3,"年月",$A427,"事業所コード",$B427,"事業所",$C427,"事業区分",D$1,"請求区分","再請求"),0))</f>
        <v/>
      </c>
      <c r="E427" s="659" t="str">
        <f>IF($A427="","",IFERROR(GETPIVOTDATA("合計 / 処遇改善加算金",【ピボット】国保連売上!$A$3,"年月",$A427,"事業所コード",$B427,"事業所",$C427,"事業区分",D$1,"請求区分","単月"),0))</f>
        <v/>
      </c>
      <c r="F427" s="659" t="str">
        <f>IF($A427="","",IFERROR(GETPIVOTDATA("合計 / 入金予定",【ピボット】国保連売上!$A$3,"年月",$A427,"事業所コード",$B427,"事業所",$C427,"事業区分",F$1,"請求区分","単月"),0)
+IFERROR(GETPIVOTDATA("合計 / 入金予定",【ピボット】国保連売上!$A$3,"年月",$A427,"事業所コード",$B427,"事業所",$C427,"事業区分",F$1,"請求区分","再請求"),0))</f>
        <v/>
      </c>
      <c r="G427" s="659" t="str">
        <f>IF($A427="","",IFERROR(GETPIVOTDATA("合計 / 処遇改善加算金",【ピボット】国保連売上!$A$3,"年月",$A427,"事業所コード",$B427,"事業所",$C427,"事業区分",F$1,"請求区分","単月"),0))</f>
        <v/>
      </c>
      <c r="H427" s="659" t="str">
        <f>IF($A427="","",IFERROR(GETPIVOTDATA("合計 / 入金予定",【ピボット】国保連売上!$A$3,"年月",$A427,"事業所コード",$B427,"事業所",$C427,"事業区分",H$1,"請求区分","単月"),0)
+IFERROR(GETPIVOTDATA("合計 / 入金予定",【ピボット】国保連売上!$A$3,"年月",$A427,"事業所コード",$B427,"事業所",$C427,"事業区分",H$1,"請求区分","再請求"),0))</f>
        <v/>
      </c>
      <c r="I427" s="659" t="str">
        <f>IF($A427="","",IFERROR(GETPIVOTDATA("合計 / 入金予定",【ピボット】国保連売上!$A$3,"年月",$A427,"事業所コード",$B427,"事業所",$C427,"事業区分",I$1,"請求区分","単月"),0)
+IFERROR(GETPIVOTDATA("合計 / 入金予定",【ピボット】国保連売上!$A$3,"年月",$A427,"事業所コード",$B427,"事業所",$C427,"事業区分",I$1,"請求区分","再請求"),0))</f>
        <v/>
      </c>
      <c r="J427" s="659" t="str">
        <f>IF($A427="","",IFERROR(GETPIVOTDATA("合計 / 処遇改善加算金",【ピボット】国保連売上!$A$3,"年月",$A427,"事業所コード",$B427,"事業所",$C427,"事業区分",I$1,"請求区分","単月"),0))</f>
        <v/>
      </c>
      <c r="K427" s="659" t="str">
        <f>IF($A427="","",IFERROR(GETPIVOTDATA("合計 / 入金予定",【ピボット】国保連売上!$A$3,"年月",$A427,"事業所コード",$B427,"事業所",$C427,"事業区分",K$1,"請求区分","単月"),0)
+IFERROR(GETPIVOTDATA("合計 / 入金予定",【ピボット】国保連売上!$A$3,"年月",$A427,"事業所コード",$B427,"事業所",$C427,"事業区分",K$1,"請求区分","再請求"),0))</f>
        <v/>
      </c>
      <c r="L427" s="659" t="str">
        <f>IF($A427="","",IFERROR(GETPIVOTDATA("合計 / 処遇改善加算金",【ピボット】国保連売上!$A$3,"年月",$A427,"事業所コード",$B427,"事業所",$C427,"事業区分",K$1,"請求区分","単月"),0))</f>
        <v/>
      </c>
      <c r="M427" s="659" t="str">
        <f>IF($A427="","",IFERROR(GETPIVOTDATA("合計 / 入金予定",【ピボット】国保連売上!$A$3,"年月",$A427,"事業所コード",$B427,"事業所",$C427,"事業区分",M$1,"請求区分","単月"),0)
+IFERROR(GETPIVOTDATA("合計 / 入金予定",【ピボット】国保連売上!$A$3,"年月",$A427,"事業所コード",$B427,"事業所",$C427,"事業区分",M$1,"請求区分","再請求"),0))</f>
        <v/>
      </c>
      <c r="N427" s="660"/>
      <c r="O427" s="660"/>
      <c r="P427" s="660"/>
      <c r="Q427" s="660"/>
      <c r="R427" s="660"/>
      <c r="S427" s="660"/>
      <c r="T427" s="660"/>
      <c r="U427" s="660"/>
      <c r="V427" s="660"/>
      <c r="W427" s="660"/>
      <c r="X427" s="660"/>
      <c r="Y427" s="659" t="str">
        <f t="shared" si="18"/>
        <v/>
      </c>
      <c r="Z427" s="659" t="str">
        <f t="shared" si="20"/>
        <v/>
      </c>
    </row>
    <row r="428" spans="1:26" ht="15.95" customHeight="1" x14ac:dyDescent="0.15">
      <c r="A428" s="656"/>
      <c r="B428" s="657" t="str">
        <f t="shared" si="19"/>
        <v/>
      </c>
      <c r="C428" s="658"/>
      <c r="D428" s="659" t="str">
        <f>IF($A428="","",IFERROR(GETPIVOTDATA("合計 / 入金予定",【ピボット】国保連売上!$A$3,"年月",$A428,"事業所コード",$B428,"事業所",$C428,"事業区分",D$1,"請求区分","単月"),0)
+IFERROR(GETPIVOTDATA("合計 / 入金予定",【ピボット】国保連売上!$A$3,"年月",$A428,"事業所コード",$B428,"事業所",$C428,"事業区分",D$1,"請求区分","再請求"),0))</f>
        <v/>
      </c>
      <c r="E428" s="659" t="str">
        <f>IF($A428="","",IFERROR(GETPIVOTDATA("合計 / 処遇改善加算金",【ピボット】国保連売上!$A$3,"年月",$A428,"事業所コード",$B428,"事業所",$C428,"事業区分",D$1,"請求区分","単月"),0))</f>
        <v/>
      </c>
      <c r="F428" s="659" t="str">
        <f>IF($A428="","",IFERROR(GETPIVOTDATA("合計 / 入金予定",【ピボット】国保連売上!$A$3,"年月",$A428,"事業所コード",$B428,"事業所",$C428,"事業区分",F$1,"請求区分","単月"),0)
+IFERROR(GETPIVOTDATA("合計 / 入金予定",【ピボット】国保連売上!$A$3,"年月",$A428,"事業所コード",$B428,"事業所",$C428,"事業区分",F$1,"請求区分","再請求"),0))</f>
        <v/>
      </c>
      <c r="G428" s="659" t="str">
        <f>IF($A428="","",IFERROR(GETPIVOTDATA("合計 / 処遇改善加算金",【ピボット】国保連売上!$A$3,"年月",$A428,"事業所コード",$B428,"事業所",$C428,"事業区分",F$1,"請求区分","単月"),0))</f>
        <v/>
      </c>
      <c r="H428" s="659" t="str">
        <f>IF($A428="","",IFERROR(GETPIVOTDATA("合計 / 入金予定",【ピボット】国保連売上!$A$3,"年月",$A428,"事業所コード",$B428,"事業所",$C428,"事業区分",H$1,"請求区分","単月"),0)
+IFERROR(GETPIVOTDATA("合計 / 入金予定",【ピボット】国保連売上!$A$3,"年月",$A428,"事業所コード",$B428,"事業所",$C428,"事業区分",H$1,"請求区分","再請求"),0))</f>
        <v/>
      </c>
      <c r="I428" s="659" t="str">
        <f>IF($A428="","",IFERROR(GETPIVOTDATA("合計 / 入金予定",【ピボット】国保連売上!$A$3,"年月",$A428,"事業所コード",$B428,"事業所",$C428,"事業区分",I$1,"請求区分","単月"),0)
+IFERROR(GETPIVOTDATA("合計 / 入金予定",【ピボット】国保連売上!$A$3,"年月",$A428,"事業所コード",$B428,"事業所",$C428,"事業区分",I$1,"請求区分","再請求"),0))</f>
        <v/>
      </c>
      <c r="J428" s="659" t="str">
        <f>IF($A428="","",IFERROR(GETPIVOTDATA("合計 / 処遇改善加算金",【ピボット】国保連売上!$A$3,"年月",$A428,"事業所コード",$B428,"事業所",$C428,"事業区分",I$1,"請求区分","単月"),0))</f>
        <v/>
      </c>
      <c r="K428" s="659" t="str">
        <f>IF($A428="","",IFERROR(GETPIVOTDATA("合計 / 入金予定",【ピボット】国保連売上!$A$3,"年月",$A428,"事業所コード",$B428,"事業所",$C428,"事業区分",K$1,"請求区分","単月"),0)
+IFERROR(GETPIVOTDATA("合計 / 入金予定",【ピボット】国保連売上!$A$3,"年月",$A428,"事業所コード",$B428,"事業所",$C428,"事業区分",K$1,"請求区分","再請求"),0))</f>
        <v/>
      </c>
      <c r="L428" s="659" t="str">
        <f>IF($A428="","",IFERROR(GETPIVOTDATA("合計 / 処遇改善加算金",【ピボット】国保連売上!$A$3,"年月",$A428,"事業所コード",$B428,"事業所",$C428,"事業区分",K$1,"請求区分","単月"),0))</f>
        <v/>
      </c>
      <c r="M428" s="659" t="str">
        <f>IF($A428="","",IFERROR(GETPIVOTDATA("合計 / 入金予定",【ピボット】国保連売上!$A$3,"年月",$A428,"事業所コード",$B428,"事業所",$C428,"事業区分",M$1,"請求区分","単月"),0)
+IFERROR(GETPIVOTDATA("合計 / 入金予定",【ピボット】国保連売上!$A$3,"年月",$A428,"事業所コード",$B428,"事業所",$C428,"事業区分",M$1,"請求区分","再請求"),0))</f>
        <v/>
      </c>
      <c r="N428" s="660"/>
      <c r="O428" s="660"/>
      <c r="P428" s="660"/>
      <c r="Q428" s="660"/>
      <c r="R428" s="660"/>
      <c r="S428" s="660"/>
      <c r="T428" s="660"/>
      <c r="U428" s="660"/>
      <c r="V428" s="660"/>
      <c r="W428" s="660"/>
      <c r="X428" s="660"/>
      <c r="Y428" s="659" t="str">
        <f t="shared" si="18"/>
        <v/>
      </c>
      <c r="Z428" s="659" t="str">
        <f t="shared" si="20"/>
        <v/>
      </c>
    </row>
    <row r="429" spans="1:26" ht="15.95" customHeight="1" x14ac:dyDescent="0.15">
      <c r="A429" s="656"/>
      <c r="B429" s="657" t="str">
        <f t="shared" si="19"/>
        <v/>
      </c>
      <c r="C429" s="658"/>
      <c r="D429" s="659" t="str">
        <f>IF($A429="","",IFERROR(GETPIVOTDATA("合計 / 入金予定",【ピボット】国保連売上!$A$3,"年月",$A429,"事業所コード",$B429,"事業所",$C429,"事業区分",D$1,"請求区分","単月"),0)
+IFERROR(GETPIVOTDATA("合計 / 入金予定",【ピボット】国保連売上!$A$3,"年月",$A429,"事業所コード",$B429,"事業所",$C429,"事業区分",D$1,"請求区分","再請求"),0))</f>
        <v/>
      </c>
      <c r="E429" s="659" t="str">
        <f>IF($A429="","",IFERROR(GETPIVOTDATA("合計 / 処遇改善加算金",【ピボット】国保連売上!$A$3,"年月",$A429,"事業所コード",$B429,"事業所",$C429,"事業区分",D$1,"請求区分","単月"),0))</f>
        <v/>
      </c>
      <c r="F429" s="659" t="str">
        <f>IF($A429="","",IFERROR(GETPIVOTDATA("合計 / 入金予定",【ピボット】国保連売上!$A$3,"年月",$A429,"事業所コード",$B429,"事業所",$C429,"事業区分",F$1,"請求区分","単月"),0)
+IFERROR(GETPIVOTDATA("合計 / 入金予定",【ピボット】国保連売上!$A$3,"年月",$A429,"事業所コード",$B429,"事業所",$C429,"事業区分",F$1,"請求区分","再請求"),0))</f>
        <v/>
      </c>
      <c r="G429" s="659" t="str">
        <f>IF($A429="","",IFERROR(GETPIVOTDATA("合計 / 処遇改善加算金",【ピボット】国保連売上!$A$3,"年月",$A429,"事業所コード",$B429,"事業所",$C429,"事業区分",F$1,"請求区分","単月"),0))</f>
        <v/>
      </c>
      <c r="H429" s="659" t="str">
        <f>IF($A429="","",IFERROR(GETPIVOTDATA("合計 / 入金予定",【ピボット】国保連売上!$A$3,"年月",$A429,"事業所コード",$B429,"事業所",$C429,"事業区分",H$1,"請求区分","単月"),0)
+IFERROR(GETPIVOTDATA("合計 / 入金予定",【ピボット】国保連売上!$A$3,"年月",$A429,"事業所コード",$B429,"事業所",$C429,"事業区分",H$1,"請求区分","再請求"),0))</f>
        <v/>
      </c>
      <c r="I429" s="659" t="str">
        <f>IF($A429="","",IFERROR(GETPIVOTDATA("合計 / 入金予定",【ピボット】国保連売上!$A$3,"年月",$A429,"事業所コード",$B429,"事業所",$C429,"事業区分",I$1,"請求区分","単月"),0)
+IFERROR(GETPIVOTDATA("合計 / 入金予定",【ピボット】国保連売上!$A$3,"年月",$A429,"事業所コード",$B429,"事業所",$C429,"事業区分",I$1,"請求区分","再請求"),0))</f>
        <v/>
      </c>
      <c r="J429" s="659" t="str">
        <f>IF($A429="","",IFERROR(GETPIVOTDATA("合計 / 処遇改善加算金",【ピボット】国保連売上!$A$3,"年月",$A429,"事業所コード",$B429,"事業所",$C429,"事業区分",I$1,"請求区分","単月"),0))</f>
        <v/>
      </c>
      <c r="K429" s="659" t="str">
        <f>IF($A429="","",IFERROR(GETPIVOTDATA("合計 / 入金予定",【ピボット】国保連売上!$A$3,"年月",$A429,"事業所コード",$B429,"事業所",$C429,"事業区分",K$1,"請求区分","単月"),0)
+IFERROR(GETPIVOTDATA("合計 / 入金予定",【ピボット】国保連売上!$A$3,"年月",$A429,"事業所コード",$B429,"事業所",$C429,"事業区分",K$1,"請求区分","再請求"),0))</f>
        <v/>
      </c>
      <c r="L429" s="659" t="str">
        <f>IF($A429="","",IFERROR(GETPIVOTDATA("合計 / 処遇改善加算金",【ピボット】国保連売上!$A$3,"年月",$A429,"事業所コード",$B429,"事業所",$C429,"事業区分",K$1,"請求区分","単月"),0))</f>
        <v/>
      </c>
      <c r="M429" s="659" t="str">
        <f>IF($A429="","",IFERROR(GETPIVOTDATA("合計 / 入金予定",【ピボット】国保連売上!$A$3,"年月",$A429,"事業所コード",$B429,"事業所",$C429,"事業区分",M$1,"請求区分","単月"),0)
+IFERROR(GETPIVOTDATA("合計 / 入金予定",【ピボット】国保連売上!$A$3,"年月",$A429,"事業所コード",$B429,"事業所",$C429,"事業区分",M$1,"請求区分","再請求"),0))</f>
        <v/>
      </c>
      <c r="N429" s="660"/>
      <c r="O429" s="660"/>
      <c r="P429" s="660"/>
      <c r="Q429" s="660"/>
      <c r="R429" s="660"/>
      <c r="S429" s="660"/>
      <c r="T429" s="660"/>
      <c r="U429" s="660"/>
      <c r="V429" s="660"/>
      <c r="W429" s="660"/>
      <c r="X429" s="660"/>
      <c r="Y429" s="659" t="str">
        <f t="shared" si="18"/>
        <v/>
      </c>
      <c r="Z429" s="659" t="str">
        <f t="shared" si="20"/>
        <v/>
      </c>
    </row>
    <row r="430" spans="1:26" ht="15.95" customHeight="1" x14ac:dyDescent="0.15">
      <c r="A430" s="656"/>
      <c r="B430" s="657" t="str">
        <f t="shared" si="19"/>
        <v/>
      </c>
      <c r="C430" s="658"/>
      <c r="D430" s="659" t="str">
        <f>IF($A430="","",IFERROR(GETPIVOTDATA("合計 / 入金予定",【ピボット】国保連売上!$A$3,"年月",$A430,"事業所コード",$B430,"事業所",$C430,"事業区分",D$1,"請求区分","単月"),0)
+IFERROR(GETPIVOTDATA("合計 / 入金予定",【ピボット】国保連売上!$A$3,"年月",$A430,"事業所コード",$B430,"事業所",$C430,"事業区分",D$1,"請求区分","再請求"),0))</f>
        <v/>
      </c>
      <c r="E430" s="659" t="str">
        <f>IF($A430="","",IFERROR(GETPIVOTDATA("合計 / 処遇改善加算金",【ピボット】国保連売上!$A$3,"年月",$A430,"事業所コード",$B430,"事業所",$C430,"事業区分",D$1,"請求区分","単月"),0))</f>
        <v/>
      </c>
      <c r="F430" s="659" t="str">
        <f>IF($A430="","",IFERROR(GETPIVOTDATA("合計 / 入金予定",【ピボット】国保連売上!$A$3,"年月",$A430,"事業所コード",$B430,"事業所",$C430,"事業区分",F$1,"請求区分","単月"),0)
+IFERROR(GETPIVOTDATA("合計 / 入金予定",【ピボット】国保連売上!$A$3,"年月",$A430,"事業所コード",$B430,"事業所",$C430,"事業区分",F$1,"請求区分","再請求"),0))</f>
        <v/>
      </c>
      <c r="G430" s="659" t="str">
        <f>IF($A430="","",IFERROR(GETPIVOTDATA("合計 / 処遇改善加算金",【ピボット】国保連売上!$A$3,"年月",$A430,"事業所コード",$B430,"事業所",$C430,"事業区分",F$1,"請求区分","単月"),0))</f>
        <v/>
      </c>
      <c r="H430" s="659" t="str">
        <f>IF($A430="","",IFERROR(GETPIVOTDATA("合計 / 入金予定",【ピボット】国保連売上!$A$3,"年月",$A430,"事業所コード",$B430,"事業所",$C430,"事業区分",H$1,"請求区分","単月"),0)
+IFERROR(GETPIVOTDATA("合計 / 入金予定",【ピボット】国保連売上!$A$3,"年月",$A430,"事業所コード",$B430,"事業所",$C430,"事業区分",H$1,"請求区分","再請求"),0))</f>
        <v/>
      </c>
      <c r="I430" s="659" t="str">
        <f>IF($A430="","",IFERROR(GETPIVOTDATA("合計 / 入金予定",【ピボット】国保連売上!$A$3,"年月",$A430,"事業所コード",$B430,"事業所",$C430,"事業区分",I$1,"請求区分","単月"),0)
+IFERROR(GETPIVOTDATA("合計 / 入金予定",【ピボット】国保連売上!$A$3,"年月",$A430,"事業所コード",$B430,"事業所",$C430,"事業区分",I$1,"請求区分","再請求"),0))</f>
        <v/>
      </c>
      <c r="J430" s="659" t="str">
        <f>IF($A430="","",IFERROR(GETPIVOTDATA("合計 / 処遇改善加算金",【ピボット】国保連売上!$A$3,"年月",$A430,"事業所コード",$B430,"事業所",$C430,"事業区分",I$1,"請求区分","単月"),0))</f>
        <v/>
      </c>
      <c r="K430" s="659" t="str">
        <f>IF($A430="","",IFERROR(GETPIVOTDATA("合計 / 入金予定",【ピボット】国保連売上!$A$3,"年月",$A430,"事業所コード",$B430,"事業所",$C430,"事業区分",K$1,"請求区分","単月"),0)
+IFERROR(GETPIVOTDATA("合計 / 入金予定",【ピボット】国保連売上!$A$3,"年月",$A430,"事業所コード",$B430,"事業所",$C430,"事業区分",K$1,"請求区分","再請求"),0))</f>
        <v/>
      </c>
      <c r="L430" s="659" t="str">
        <f>IF($A430="","",IFERROR(GETPIVOTDATA("合計 / 処遇改善加算金",【ピボット】国保連売上!$A$3,"年月",$A430,"事業所コード",$B430,"事業所",$C430,"事業区分",K$1,"請求区分","単月"),0))</f>
        <v/>
      </c>
      <c r="M430" s="659" t="str">
        <f>IF($A430="","",IFERROR(GETPIVOTDATA("合計 / 入金予定",【ピボット】国保連売上!$A$3,"年月",$A430,"事業所コード",$B430,"事業所",$C430,"事業区分",M$1,"請求区分","単月"),0)
+IFERROR(GETPIVOTDATA("合計 / 入金予定",【ピボット】国保連売上!$A$3,"年月",$A430,"事業所コード",$B430,"事業所",$C430,"事業区分",M$1,"請求区分","再請求"),0))</f>
        <v/>
      </c>
      <c r="N430" s="660"/>
      <c r="O430" s="660"/>
      <c r="P430" s="660"/>
      <c r="Q430" s="660"/>
      <c r="R430" s="660"/>
      <c r="S430" s="660"/>
      <c r="T430" s="660"/>
      <c r="U430" s="660"/>
      <c r="V430" s="660"/>
      <c r="W430" s="660"/>
      <c r="X430" s="660"/>
      <c r="Y430" s="659" t="str">
        <f t="shared" si="18"/>
        <v/>
      </c>
      <c r="Z430" s="659" t="str">
        <f t="shared" si="20"/>
        <v/>
      </c>
    </row>
    <row r="431" spans="1:26" ht="15.95" customHeight="1" x14ac:dyDescent="0.15">
      <c r="A431" s="656"/>
      <c r="B431" s="657" t="str">
        <f t="shared" si="19"/>
        <v/>
      </c>
      <c r="C431" s="658"/>
      <c r="D431" s="659" t="str">
        <f>IF($A431="","",IFERROR(GETPIVOTDATA("合計 / 入金予定",【ピボット】国保連売上!$A$3,"年月",$A431,"事業所コード",$B431,"事業所",$C431,"事業区分",D$1,"請求区分","単月"),0)
+IFERROR(GETPIVOTDATA("合計 / 入金予定",【ピボット】国保連売上!$A$3,"年月",$A431,"事業所コード",$B431,"事業所",$C431,"事業区分",D$1,"請求区分","再請求"),0))</f>
        <v/>
      </c>
      <c r="E431" s="659" t="str">
        <f>IF($A431="","",IFERROR(GETPIVOTDATA("合計 / 処遇改善加算金",【ピボット】国保連売上!$A$3,"年月",$A431,"事業所コード",$B431,"事業所",$C431,"事業区分",D$1,"請求区分","単月"),0))</f>
        <v/>
      </c>
      <c r="F431" s="659" t="str">
        <f>IF($A431="","",IFERROR(GETPIVOTDATA("合計 / 入金予定",【ピボット】国保連売上!$A$3,"年月",$A431,"事業所コード",$B431,"事業所",$C431,"事業区分",F$1,"請求区分","単月"),0)
+IFERROR(GETPIVOTDATA("合計 / 入金予定",【ピボット】国保連売上!$A$3,"年月",$A431,"事業所コード",$B431,"事業所",$C431,"事業区分",F$1,"請求区分","再請求"),0))</f>
        <v/>
      </c>
      <c r="G431" s="659" t="str">
        <f>IF($A431="","",IFERROR(GETPIVOTDATA("合計 / 処遇改善加算金",【ピボット】国保連売上!$A$3,"年月",$A431,"事業所コード",$B431,"事業所",$C431,"事業区分",F$1,"請求区分","単月"),0))</f>
        <v/>
      </c>
      <c r="H431" s="659" t="str">
        <f>IF($A431="","",IFERROR(GETPIVOTDATA("合計 / 入金予定",【ピボット】国保連売上!$A$3,"年月",$A431,"事業所コード",$B431,"事業所",$C431,"事業区分",H$1,"請求区分","単月"),0)
+IFERROR(GETPIVOTDATA("合計 / 入金予定",【ピボット】国保連売上!$A$3,"年月",$A431,"事業所コード",$B431,"事業所",$C431,"事業区分",H$1,"請求区分","再請求"),0))</f>
        <v/>
      </c>
      <c r="I431" s="659" t="str">
        <f>IF($A431="","",IFERROR(GETPIVOTDATA("合計 / 入金予定",【ピボット】国保連売上!$A$3,"年月",$A431,"事業所コード",$B431,"事業所",$C431,"事業区分",I$1,"請求区分","単月"),0)
+IFERROR(GETPIVOTDATA("合計 / 入金予定",【ピボット】国保連売上!$A$3,"年月",$A431,"事業所コード",$B431,"事業所",$C431,"事業区分",I$1,"請求区分","再請求"),0))</f>
        <v/>
      </c>
      <c r="J431" s="659" t="str">
        <f>IF($A431="","",IFERROR(GETPIVOTDATA("合計 / 処遇改善加算金",【ピボット】国保連売上!$A$3,"年月",$A431,"事業所コード",$B431,"事業所",$C431,"事業区分",I$1,"請求区分","単月"),0))</f>
        <v/>
      </c>
      <c r="K431" s="659" t="str">
        <f>IF($A431="","",IFERROR(GETPIVOTDATA("合計 / 入金予定",【ピボット】国保連売上!$A$3,"年月",$A431,"事業所コード",$B431,"事業所",$C431,"事業区分",K$1,"請求区分","単月"),0)
+IFERROR(GETPIVOTDATA("合計 / 入金予定",【ピボット】国保連売上!$A$3,"年月",$A431,"事業所コード",$B431,"事業所",$C431,"事業区分",K$1,"請求区分","再請求"),0))</f>
        <v/>
      </c>
      <c r="L431" s="659" t="str">
        <f>IF($A431="","",IFERROR(GETPIVOTDATA("合計 / 処遇改善加算金",【ピボット】国保連売上!$A$3,"年月",$A431,"事業所コード",$B431,"事業所",$C431,"事業区分",K$1,"請求区分","単月"),0))</f>
        <v/>
      </c>
      <c r="M431" s="659" t="str">
        <f>IF($A431="","",IFERROR(GETPIVOTDATA("合計 / 入金予定",【ピボット】国保連売上!$A$3,"年月",$A431,"事業所コード",$B431,"事業所",$C431,"事業区分",M$1,"請求区分","単月"),0)
+IFERROR(GETPIVOTDATA("合計 / 入金予定",【ピボット】国保連売上!$A$3,"年月",$A431,"事業所コード",$B431,"事業所",$C431,"事業区分",M$1,"請求区分","再請求"),0))</f>
        <v/>
      </c>
      <c r="N431" s="660"/>
      <c r="O431" s="660"/>
      <c r="P431" s="660"/>
      <c r="Q431" s="660"/>
      <c r="R431" s="660"/>
      <c r="S431" s="660"/>
      <c r="T431" s="660"/>
      <c r="U431" s="660"/>
      <c r="V431" s="660"/>
      <c r="W431" s="660"/>
      <c r="X431" s="660"/>
      <c r="Y431" s="659" t="str">
        <f t="shared" si="18"/>
        <v/>
      </c>
      <c r="Z431" s="659" t="str">
        <f t="shared" si="20"/>
        <v/>
      </c>
    </row>
    <row r="432" spans="1:26" ht="15.95" customHeight="1" x14ac:dyDescent="0.15">
      <c r="A432" s="656"/>
      <c r="B432" s="657" t="str">
        <f t="shared" si="19"/>
        <v/>
      </c>
      <c r="C432" s="658"/>
      <c r="D432" s="659" t="str">
        <f>IF($A432="","",IFERROR(GETPIVOTDATA("合計 / 入金予定",【ピボット】国保連売上!$A$3,"年月",$A432,"事業所コード",$B432,"事業所",$C432,"事業区分",D$1,"請求区分","単月"),0)
+IFERROR(GETPIVOTDATA("合計 / 入金予定",【ピボット】国保連売上!$A$3,"年月",$A432,"事業所コード",$B432,"事業所",$C432,"事業区分",D$1,"請求区分","再請求"),0))</f>
        <v/>
      </c>
      <c r="E432" s="659" t="str">
        <f>IF($A432="","",IFERROR(GETPIVOTDATA("合計 / 処遇改善加算金",【ピボット】国保連売上!$A$3,"年月",$A432,"事業所コード",$B432,"事業所",$C432,"事業区分",D$1,"請求区分","単月"),0))</f>
        <v/>
      </c>
      <c r="F432" s="659" t="str">
        <f>IF($A432="","",IFERROR(GETPIVOTDATA("合計 / 入金予定",【ピボット】国保連売上!$A$3,"年月",$A432,"事業所コード",$B432,"事業所",$C432,"事業区分",F$1,"請求区分","単月"),0)
+IFERROR(GETPIVOTDATA("合計 / 入金予定",【ピボット】国保連売上!$A$3,"年月",$A432,"事業所コード",$B432,"事業所",$C432,"事業区分",F$1,"請求区分","再請求"),0))</f>
        <v/>
      </c>
      <c r="G432" s="659" t="str">
        <f>IF($A432="","",IFERROR(GETPIVOTDATA("合計 / 処遇改善加算金",【ピボット】国保連売上!$A$3,"年月",$A432,"事業所コード",$B432,"事業所",$C432,"事業区分",F$1,"請求区分","単月"),0))</f>
        <v/>
      </c>
      <c r="H432" s="659" t="str">
        <f>IF($A432="","",IFERROR(GETPIVOTDATA("合計 / 入金予定",【ピボット】国保連売上!$A$3,"年月",$A432,"事業所コード",$B432,"事業所",$C432,"事業区分",H$1,"請求区分","単月"),0)
+IFERROR(GETPIVOTDATA("合計 / 入金予定",【ピボット】国保連売上!$A$3,"年月",$A432,"事業所コード",$B432,"事業所",$C432,"事業区分",H$1,"請求区分","再請求"),0))</f>
        <v/>
      </c>
      <c r="I432" s="659" t="str">
        <f>IF($A432="","",IFERROR(GETPIVOTDATA("合計 / 入金予定",【ピボット】国保連売上!$A$3,"年月",$A432,"事業所コード",$B432,"事業所",$C432,"事業区分",I$1,"請求区分","単月"),0)
+IFERROR(GETPIVOTDATA("合計 / 入金予定",【ピボット】国保連売上!$A$3,"年月",$A432,"事業所コード",$B432,"事業所",$C432,"事業区分",I$1,"請求区分","再請求"),0))</f>
        <v/>
      </c>
      <c r="J432" s="659" t="str">
        <f>IF($A432="","",IFERROR(GETPIVOTDATA("合計 / 処遇改善加算金",【ピボット】国保連売上!$A$3,"年月",$A432,"事業所コード",$B432,"事業所",$C432,"事業区分",I$1,"請求区分","単月"),0))</f>
        <v/>
      </c>
      <c r="K432" s="659" t="str">
        <f>IF($A432="","",IFERROR(GETPIVOTDATA("合計 / 入金予定",【ピボット】国保連売上!$A$3,"年月",$A432,"事業所コード",$B432,"事業所",$C432,"事業区分",K$1,"請求区分","単月"),0)
+IFERROR(GETPIVOTDATA("合計 / 入金予定",【ピボット】国保連売上!$A$3,"年月",$A432,"事業所コード",$B432,"事業所",$C432,"事業区分",K$1,"請求区分","再請求"),0))</f>
        <v/>
      </c>
      <c r="L432" s="659" t="str">
        <f>IF($A432="","",IFERROR(GETPIVOTDATA("合計 / 処遇改善加算金",【ピボット】国保連売上!$A$3,"年月",$A432,"事業所コード",$B432,"事業所",$C432,"事業区分",K$1,"請求区分","単月"),0))</f>
        <v/>
      </c>
      <c r="M432" s="659" t="str">
        <f>IF($A432="","",IFERROR(GETPIVOTDATA("合計 / 入金予定",【ピボット】国保連売上!$A$3,"年月",$A432,"事業所コード",$B432,"事業所",$C432,"事業区分",M$1,"請求区分","単月"),0)
+IFERROR(GETPIVOTDATA("合計 / 入金予定",【ピボット】国保連売上!$A$3,"年月",$A432,"事業所コード",$B432,"事業所",$C432,"事業区分",M$1,"請求区分","再請求"),0))</f>
        <v/>
      </c>
      <c r="N432" s="660"/>
      <c r="O432" s="660"/>
      <c r="P432" s="660"/>
      <c r="Q432" s="660"/>
      <c r="R432" s="660"/>
      <c r="S432" s="660"/>
      <c r="T432" s="660"/>
      <c r="U432" s="660"/>
      <c r="V432" s="660"/>
      <c r="W432" s="660"/>
      <c r="X432" s="660"/>
      <c r="Y432" s="659" t="str">
        <f t="shared" si="18"/>
        <v/>
      </c>
      <c r="Z432" s="659" t="str">
        <f t="shared" si="20"/>
        <v/>
      </c>
    </row>
    <row r="433" spans="1:26" ht="15.95" customHeight="1" x14ac:dyDescent="0.15">
      <c r="A433" s="656"/>
      <c r="B433" s="657" t="str">
        <f t="shared" si="19"/>
        <v/>
      </c>
      <c r="C433" s="658"/>
      <c r="D433" s="659" t="str">
        <f>IF($A433="","",IFERROR(GETPIVOTDATA("合計 / 入金予定",【ピボット】国保連売上!$A$3,"年月",$A433,"事業所コード",$B433,"事業所",$C433,"事業区分",D$1,"請求区分","単月"),0)
+IFERROR(GETPIVOTDATA("合計 / 入金予定",【ピボット】国保連売上!$A$3,"年月",$A433,"事業所コード",$B433,"事業所",$C433,"事業区分",D$1,"請求区分","再請求"),0))</f>
        <v/>
      </c>
      <c r="E433" s="659" t="str">
        <f>IF($A433="","",IFERROR(GETPIVOTDATA("合計 / 処遇改善加算金",【ピボット】国保連売上!$A$3,"年月",$A433,"事業所コード",$B433,"事業所",$C433,"事業区分",D$1,"請求区分","単月"),0))</f>
        <v/>
      </c>
      <c r="F433" s="659" t="str">
        <f>IF($A433="","",IFERROR(GETPIVOTDATA("合計 / 入金予定",【ピボット】国保連売上!$A$3,"年月",$A433,"事業所コード",$B433,"事業所",$C433,"事業区分",F$1,"請求区分","単月"),0)
+IFERROR(GETPIVOTDATA("合計 / 入金予定",【ピボット】国保連売上!$A$3,"年月",$A433,"事業所コード",$B433,"事業所",$C433,"事業区分",F$1,"請求区分","再請求"),0))</f>
        <v/>
      </c>
      <c r="G433" s="659" t="str">
        <f>IF($A433="","",IFERROR(GETPIVOTDATA("合計 / 処遇改善加算金",【ピボット】国保連売上!$A$3,"年月",$A433,"事業所コード",$B433,"事業所",$C433,"事業区分",F$1,"請求区分","単月"),0))</f>
        <v/>
      </c>
      <c r="H433" s="659" t="str">
        <f>IF($A433="","",IFERROR(GETPIVOTDATA("合計 / 入金予定",【ピボット】国保連売上!$A$3,"年月",$A433,"事業所コード",$B433,"事業所",$C433,"事業区分",H$1,"請求区分","単月"),0)
+IFERROR(GETPIVOTDATA("合計 / 入金予定",【ピボット】国保連売上!$A$3,"年月",$A433,"事業所コード",$B433,"事業所",$C433,"事業区分",H$1,"請求区分","再請求"),0))</f>
        <v/>
      </c>
      <c r="I433" s="659" t="str">
        <f>IF($A433="","",IFERROR(GETPIVOTDATA("合計 / 入金予定",【ピボット】国保連売上!$A$3,"年月",$A433,"事業所コード",$B433,"事業所",$C433,"事業区分",I$1,"請求区分","単月"),0)
+IFERROR(GETPIVOTDATA("合計 / 入金予定",【ピボット】国保連売上!$A$3,"年月",$A433,"事業所コード",$B433,"事業所",$C433,"事業区分",I$1,"請求区分","再請求"),0))</f>
        <v/>
      </c>
      <c r="J433" s="659" t="str">
        <f>IF($A433="","",IFERROR(GETPIVOTDATA("合計 / 処遇改善加算金",【ピボット】国保連売上!$A$3,"年月",$A433,"事業所コード",$B433,"事業所",$C433,"事業区分",I$1,"請求区分","単月"),0))</f>
        <v/>
      </c>
      <c r="K433" s="659" t="str">
        <f>IF($A433="","",IFERROR(GETPIVOTDATA("合計 / 入金予定",【ピボット】国保連売上!$A$3,"年月",$A433,"事業所コード",$B433,"事業所",$C433,"事業区分",K$1,"請求区分","単月"),0)
+IFERROR(GETPIVOTDATA("合計 / 入金予定",【ピボット】国保連売上!$A$3,"年月",$A433,"事業所コード",$B433,"事業所",$C433,"事業区分",K$1,"請求区分","再請求"),0))</f>
        <v/>
      </c>
      <c r="L433" s="659" t="str">
        <f>IF($A433="","",IFERROR(GETPIVOTDATA("合計 / 処遇改善加算金",【ピボット】国保連売上!$A$3,"年月",$A433,"事業所コード",$B433,"事業所",$C433,"事業区分",K$1,"請求区分","単月"),0))</f>
        <v/>
      </c>
      <c r="M433" s="659" t="str">
        <f>IF($A433="","",IFERROR(GETPIVOTDATA("合計 / 入金予定",【ピボット】国保連売上!$A$3,"年月",$A433,"事業所コード",$B433,"事業所",$C433,"事業区分",M$1,"請求区分","単月"),0)
+IFERROR(GETPIVOTDATA("合計 / 入金予定",【ピボット】国保連売上!$A$3,"年月",$A433,"事業所コード",$B433,"事業所",$C433,"事業区分",M$1,"請求区分","再請求"),0))</f>
        <v/>
      </c>
      <c r="N433" s="660"/>
      <c r="O433" s="660"/>
      <c r="P433" s="660"/>
      <c r="Q433" s="660"/>
      <c r="R433" s="660"/>
      <c r="S433" s="660"/>
      <c r="T433" s="660"/>
      <c r="U433" s="660"/>
      <c r="V433" s="660"/>
      <c r="W433" s="660"/>
      <c r="X433" s="660"/>
      <c r="Y433" s="659" t="str">
        <f t="shared" si="18"/>
        <v/>
      </c>
      <c r="Z433" s="659" t="str">
        <f t="shared" si="20"/>
        <v/>
      </c>
    </row>
    <row r="434" spans="1:26" ht="15.95" customHeight="1" x14ac:dyDescent="0.15">
      <c r="A434" s="656"/>
      <c r="B434" s="657" t="str">
        <f t="shared" si="19"/>
        <v/>
      </c>
      <c r="C434" s="658"/>
      <c r="D434" s="659" t="str">
        <f>IF($A434="","",IFERROR(GETPIVOTDATA("合計 / 入金予定",【ピボット】国保連売上!$A$3,"年月",$A434,"事業所コード",$B434,"事業所",$C434,"事業区分",D$1,"請求区分","単月"),0)
+IFERROR(GETPIVOTDATA("合計 / 入金予定",【ピボット】国保連売上!$A$3,"年月",$A434,"事業所コード",$B434,"事業所",$C434,"事業区分",D$1,"請求区分","再請求"),0))</f>
        <v/>
      </c>
      <c r="E434" s="659" t="str">
        <f>IF($A434="","",IFERROR(GETPIVOTDATA("合計 / 処遇改善加算金",【ピボット】国保連売上!$A$3,"年月",$A434,"事業所コード",$B434,"事業所",$C434,"事業区分",D$1,"請求区分","単月"),0))</f>
        <v/>
      </c>
      <c r="F434" s="659" t="str">
        <f>IF($A434="","",IFERROR(GETPIVOTDATA("合計 / 入金予定",【ピボット】国保連売上!$A$3,"年月",$A434,"事業所コード",$B434,"事業所",$C434,"事業区分",F$1,"請求区分","単月"),0)
+IFERROR(GETPIVOTDATA("合計 / 入金予定",【ピボット】国保連売上!$A$3,"年月",$A434,"事業所コード",$B434,"事業所",$C434,"事業区分",F$1,"請求区分","再請求"),0))</f>
        <v/>
      </c>
      <c r="G434" s="659" t="str">
        <f>IF($A434="","",IFERROR(GETPIVOTDATA("合計 / 処遇改善加算金",【ピボット】国保連売上!$A$3,"年月",$A434,"事業所コード",$B434,"事業所",$C434,"事業区分",F$1,"請求区分","単月"),0))</f>
        <v/>
      </c>
      <c r="H434" s="659" t="str">
        <f>IF($A434="","",IFERROR(GETPIVOTDATA("合計 / 入金予定",【ピボット】国保連売上!$A$3,"年月",$A434,"事業所コード",$B434,"事業所",$C434,"事業区分",H$1,"請求区分","単月"),0)
+IFERROR(GETPIVOTDATA("合計 / 入金予定",【ピボット】国保連売上!$A$3,"年月",$A434,"事業所コード",$B434,"事業所",$C434,"事業区分",H$1,"請求区分","再請求"),0))</f>
        <v/>
      </c>
      <c r="I434" s="659" t="str">
        <f>IF($A434="","",IFERROR(GETPIVOTDATA("合計 / 入金予定",【ピボット】国保連売上!$A$3,"年月",$A434,"事業所コード",$B434,"事業所",$C434,"事業区分",I$1,"請求区分","単月"),0)
+IFERROR(GETPIVOTDATA("合計 / 入金予定",【ピボット】国保連売上!$A$3,"年月",$A434,"事業所コード",$B434,"事業所",$C434,"事業区分",I$1,"請求区分","再請求"),0))</f>
        <v/>
      </c>
      <c r="J434" s="659" t="str">
        <f>IF($A434="","",IFERROR(GETPIVOTDATA("合計 / 処遇改善加算金",【ピボット】国保連売上!$A$3,"年月",$A434,"事業所コード",$B434,"事業所",$C434,"事業区分",I$1,"請求区分","単月"),0))</f>
        <v/>
      </c>
      <c r="K434" s="659" t="str">
        <f>IF($A434="","",IFERROR(GETPIVOTDATA("合計 / 入金予定",【ピボット】国保連売上!$A$3,"年月",$A434,"事業所コード",$B434,"事業所",$C434,"事業区分",K$1,"請求区分","単月"),0)
+IFERROR(GETPIVOTDATA("合計 / 入金予定",【ピボット】国保連売上!$A$3,"年月",$A434,"事業所コード",$B434,"事業所",$C434,"事業区分",K$1,"請求区分","再請求"),0))</f>
        <v/>
      </c>
      <c r="L434" s="659" t="str">
        <f>IF($A434="","",IFERROR(GETPIVOTDATA("合計 / 処遇改善加算金",【ピボット】国保連売上!$A$3,"年月",$A434,"事業所コード",$B434,"事業所",$C434,"事業区分",K$1,"請求区分","単月"),0))</f>
        <v/>
      </c>
      <c r="M434" s="659" t="str">
        <f>IF($A434="","",IFERROR(GETPIVOTDATA("合計 / 入金予定",【ピボット】国保連売上!$A$3,"年月",$A434,"事業所コード",$B434,"事業所",$C434,"事業区分",M$1,"請求区分","単月"),0)
+IFERROR(GETPIVOTDATA("合計 / 入金予定",【ピボット】国保連売上!$A$3,"年月",$A434,"事業所コード",$B434,"事業所",$C434,"事業区分",M$1,"請求区分","再請求"),0))</f>
        <v/>
      </c>
      <c r="N434" s="660"/>
      <c r="O434" s="660"/>
      <c r="P434" s="660"/>
      <c r="Q434" s="660"/>
      <c r="R434" s="660"/>
      <c r="S434" s="660"/>
      <c r="T434" s="660"/>
      <c r="U434" s="660"/>
      <c r="V434" s="660"/>
      <c r="W434" s="660"/>
      <c r="X434" s="660"/>
      <c r="Y434" s="659" t="str">
        <f t="shared" si="18"/>
        <v/>
      </c>
      <c r="Z434" s="659" t="str">
        <f t="shared" si="20"/>
        <v/>
      </c>
    </row>
    <row r="435" spans="1:26" ht="15.95" customHeight="1" x14ac:dyDescent="0.15">
      <c r="A435" s="656"/>
      <c r="B435" s="657" t="str">
        <f t="shared" si="19"/>
        <v/>
      </c>
      <c r="C435" s="658"/>
      <c r="D435" s="659" t="str">
        <f>IF($A435="","",IFERROR(GETPIVOTDATA("合計 / 入金予定",【ピボット】国保連売上!$A$3,"年月",$A435,"事業所コード",$B435,"事業所",$C435,"事業区分",D$1,"請求区分","単月"),0)
+IFERROR(GETPIVOTDATA("合計 / 入金予定",【ピボット】国保連売上!$A$3,"年月",$A435,"事業所コード",$B435,"事業所",$C435,"事業区分",D$1,"請求区分","再請求"),0))</f>
        <v/>
      </c>
      <c r="E435" s="659" t="str">
        <f>IF($A435="","",IFERROR(GETPIVOTDATA("合計 / 処遇改善加算金",【ピボット】国保連売上!$A$3,"年月",$A435,"事業所コード",$B435,"事業所",$C435,"事業区分",D$1,"請求区分","単月"),0))</f>
        <v/>
      </c>
      <c r="F435" s="659" t="str">
        <f>IF($A435="","",IFERROR(GETPIVOTDATA("合計 / 入金予定",【ピボット】国保連売上!$A$3,"年月",$A435,"事業所コード",$B435,"事業所",$C435,"事業区分",F$1,"請求区分","単月"),0)
+IFERROR(GETPIVOTDATA("合計 / 入金予定",【ピボット】国保連売上!$A$3,"年月",$A435,"事業所コード",$B435,"事業所",$C435,"事業区分",F$1,"請求区分","再請求"),0))</f>
        <v/>
      </c>
      <c r="G435" s="659" t="str">
        <f>IF($A435="","",IFERROR(GETPIVOTDATA("合計 / 処遇改善加算金",【ピボット】国保連売上!$A$3,"年月",$A435,"事業所コード",$B435,"事業所",$C435,"事業区分",F$1,"請求区分","単月"),0))</f>
        <v/>
      </c>
      <c r="H435" s="659" t="str">
        <f>IF($A435="","",IFERROR(GETPIVOTDATA("合計 / 入金予定",【ピボット】国保連売上!$A$3,"年月",$A435,"事業所コード",$B435,"事業所",$C435,"事業区分",H$1,"請求区分","単月"),0)
+IFERROR(GETPIVOTDATA("合計 / 入金予定",【ピボット】国保連売上!$A$3,"年月",$A435,"事業所コード",$B435,"事業所",$C435,"事業区分",H$1,"請求区分","再請求"),0))</f>
        <v/>
      </c>
      <c r="I435" s="659" t="str">
        <f>IF($A435="","",IFERROR(GETPIVOTDATA("合計 / 入金予定",【ピボット】国保連売上!$A$3,"年月",$A435,"事業所コード",$B435,"事業所",$C435,"事業区分",I$1,"請求区分","単月"),0)
+IFERROR(GETPIVOTDATA("合計 / 入金予定",【ピボット】国保連売上!$A$3,"年月",$A435,"事業所コード",$B435,"事業所",$C435,"事業区分",I$1,"請求区分","再請求"),0))</f>
        <v/>
      </c>
      <c r="J435" s="659" t="str">
        <f>IF($A435="","",IFERROR(GETPIVOTDATA("合計 / 処遇改善加算金",【ピボット】国保連売上!$A$3,"年月",$A435,"事業所コード",$B435,"事業所",$C435,"事業区分",I$1,"請求区分","単月"),0))</f>
        <v/>
      </c>
      <c r="K435" s="659" t="str">
        <f>IF($A435="","",IFERROR(GETPIVOTDATA("合計 / 入金予定",【ピボット】国保連売上!$A$3,"年月",$A435,"事業所コード",$B435,"事業所",$C435,"事業区分",K$1,"請求区分","単月"),0)
+IFERROR(GETPIVOTDATA("合計 / 入金予定",【ピボット】国保連売上!$A$3,"年月",$A435,"事業所コード",$B435,"事業所",$C435,"事業区分",K$1,"請求区分","再請求"),0))</f>
        <v/>
      </c>
      <c r="L435" s="659" t="str">
        <f>IF($A435="","",IFERROR(GETPIVOTDATA("合計 / 処遇改善加算金",【ピボット】国保連売上!$A$3,"年月",$A435,"事業所コード",$B435,"事業所",$C435,"事業区分",K$1,"請求区分","単月"),0))</f>
        <v/>
      </c>
      <c r="M435" s="659" t="str">
        <f>IF($A435="","",IFERROR(GETPIVOTDATA("合計 / 入金予定",【ピボット】国保連売上!$A$3,"年月",$A435,"事業所コード",$B435,"事業所",$C435,"事業区分",M$1,"請求区分","単月"),0)
+IFERROR(GETPIVOTDATA("合計 / 入金予定",【ピボット】国保連売上!$A$3,"年月",$A435,"事業所コード",$B435,"事業所",$C435,"事業区分",M$1,"請求区分","再請求"),0))</f>
        <v/>
      </c>
      <c r="N435" s="660"/>
      <c r="O435" s="660"/>
      <c r="P435" s="660"/>
      <c r="Q435" s="660"/>
      <c r="R435" s="660"/>
      <c r="S435" s="660"/>
      <c r="T435" s="660"/>
      <c r="U435" s="660"/>
      <c r="V435" s="660"/>
      <c r="W435" s="660"/>
      <c r="X435" s="660"/>
      <c r="Y435" s="659" t="str">
        <f t="shared" si="18"/>
        <v/>
      </c>
      <c r="Z435" s="659" t="str">
        <f t="shared" si="20"/>
        <v/>
      </c>
    </row>
    <row r="436" spans="1:26" ht="15.95" customHeight="1" x14ac:dyDescent="0.15">
      <c r="A436" s="656"/>
      <c r="B436" s="657" t="str">
        <f t="shared" si="19"/>
        <v/>
      </c>
      <c r="C436" s="658"/>
      <c r="D436" s="659" t="str">
        <f>IF($A436="","",IFERROR(GETPIVOTDATA("合計 / 入金予定",【ピボット】国保連売上!$A$3,"年月",$A436,"事業所コード",$B436,"事業所",$C436,"事業区分",D$1,"請求区分","単月"),0)
+IFERROR(GETPIVOTDATA("合計 / 入金予定",【ピボット】国保連売上!$A$3,"年月",$A436,"事業所コード",$B436,"事業所",$C436,"事業区分",D$1,"請求区分","再請求"),0))</f>
        <v/>
      </c>
      <c r="E436" s="659" t="str">
        <f>IF($A436="","",IFERROR(GETPIVOTDATA("合計 / 処遇改善加算金",【ピボット】国保連売上!$A$3,"年月",$A436,"事業所コード",$B436,"事業所",$C436,"事業区分",D$1,"請求区分","単月"),0))</f>
        <v/>
      </c>
      <c r="F436" s="659" t="str">
        <f>IF($A436="","",IFERROR(GETPIVOTDATA("合計 / 入金予定",【ピボット】国保連売上!$A$3,"年月",$A436,"事業所コード",$B436,"事業所",$C436,"事業区分",F$1,"請求区分","単月"),0)
+IFERROR(GETPIVOTDATA("合計 / 入金予定",【ピボット】国保連売上!$A$3,"年月",$A436,"事業所コード",$B436,"事業所",$C436,"事業区分",F$1,"請求区分","再請求"),0))</f>
        <v/>
      </c>
      <c r="G436" s="659" t="str">
        <f>IF($A436="","",IFERROR(GETPIVOTDATA("合計 / 処遇改善加算金",【ピボット】国保連売上!$A$3,"年月",$A436,"事業所コード",$B436,"事業所",$C436,"事業区分",F$1,"請求区分","単月"),0))</f>
        <v/>
      </c>
      <c r="H436" s="659" t="str">
        <f>IF($A436="","",IFERROR(GETPIVOTDATA("合計 / 入金予定",【ピボット】国保連売上!$A$3,"年月",$A436,"事業所コード",$B436,"事業所",$C436,"事業区分",H$1,"請求区分","単月"),0)
+IFERROR(GETPIVOTDATA("合計 / 入金予定",【ピボット】国保連売上!$A$3,"年月",$A436,"事業所コード",$B436,"事業所",$C436,"事業区分",H$1,"請求区分","再請求"),0))</f>
        <v/>
      </c>
      <c r="I436" s="659" t="str">
        <f>IF($A436="","",IFERROR(GETPIVOTDATA("合計 / 入金予定",【ピボット】国保連売上!$A$3,"年月",$A436,"事業所コード",$B436,"事業所",$C436,"事業区分",I$1,"請求区分","単月"),0)
+IFERROR(GETPIVOTDATA("合計 / 入金予定",【ピボット】国保連売上!$A$3,"年月",$A436,"事業所コード",$B436,"事業所",$C436,"事業区分",I$1,"請求区分","再請求"),0))</f>
        <v/>
      </c>
      <c r="J436" s="659" t="str">
        <f>IF($A436="","",IFERROR(GETPIVOTDATA("合計 / 処遇改善加算金",【ピボット】国保連売上!$A$3,"年月",$A436,"事業所コード",$B436,"事業所",$C436,"事業区分",I$1,"請求区分","単月"),0))</f>
        <v/>
      </c>
      <c r="K436" s="659" t="str">
        <f>IF($A436="","",IFERROR(GETPIVOTDATA("合計 / 入金予定",【ピボット】国保連売上!$A$3,"年月",$A436,"事業所コード",$B436,"事業所",$C436,"事業区分",K$1,"請求区分","単月"),0)
+IFERROR(GETPIVOTDATA("合計 / 入金予定",【ピボット】国保連売上!$A$3,"年月",$A436,"事業所コード",$B436,"事業所",$C436,"事業区分",K$1,"請求区分","再請求"),0))</f>
        <v/>
      </c>
      <c r="L436" s="659" t="str">
        <f>IF($A436="","",IFERROR(GETPIVOTDATA("合計 / 処遇改善加算金",【ピボット】国保連売上!$A$3,"年月",$A436,"事業所コード",$B436,"事業所",$C436,"事業区分",K$1,"請求区分","単月"),0))</f>
        <v/>
      </c>
      <c r="M436" s="659" t="str">
        <f>IF($A436="","",IFERROR(GETPIVOTDATA("合計 / 入金予定",【ピボット】国保連売上!$A$3,"年月",$A436,"事業所コード",$B436,"事業所",$C436,"事業区分",M$1,"請求区分","単月"),0)
+IFERROR(GETPIVOTDATA("合計 / 入金予定",【ピボット】国保連売上!$A$3,"年月",$A436,"事業所コード",$B436,"事業所",$C436,"事業区分",M$1,"請求区分","再請求"),0))</f>
        <v/>
      </c>
      <c r="N436" s="660"/>
      <c r="O436" s="660"/>
      <c r="P436" s="660"/>
      <c r="Q436" s="660"/>
      <c r="R436" s="660"/>
      <c r="S436" s="660"/>
      <c r="T436" s="660"/>
      <c r="U436" s="660"/>
      <c r="V436" s="660"/>
      <c r="W436" s="660"/>
      <c r="X436" s="660"/>
      <c r="Y436" s="659" t="str">
        <f t="shared" si="18"/>
        <v/>
      </c>
      <c r="Z436" s="659" t="str">
        <f t="shared" si="20"/>
        <v/>
      </c>
    </row>
    <row r="437" spans="1:26" ht="15.95" customHeight="1" x14ac:dyDescent="0.15">
      <c r="A437" s="656"/>
      <c r="B437" s="657" t="str">
        <f t="shared" si="19"/>
        <v/>
      </c>
      <c r="C437" s="658"/>
      <c r="D437" s="659" t="str">
        <f>IF($A437="","",IFERROR(GETPIVOTDATA("合計 / 入金予定",【ピボット】国保連売上!$A$3,"年月",$A437,"事業所コード",$B437,"事業所",$C437,"事業区分",D$1,"請求区分","単月"),0)
+IFERROR(GETPIVOTDATA("合計 / 入金予定",【ピボット】国保連売上!$A$3,"年月",$A437,"事業所コード",$B437,"事業所",$C437,"事業区分",D$1,"請求区分","再請求"),0))</f>
        <v/>
      </c>
      <c r="E437" s="659" t="str">
        <f>IF($A437="","",IFERROR(GETPIVOTDATA("合計 / 処遇改善加算金",【ピボット】国保連売上!$A$3,"年月",$A437,"事業所コード",$B437,"事業所",$C437,"事業区分",D$1,"請求区分","単月"),0))</f>
        <v/>
      </c>
      <c r="F437" s="659" t="str">
        <f>IF($A437="","",IFERROR(GETPIVOTDATA("合計 / 入金予定",【ピボット】国保連売上!$A$3,"年月",$A437,"事業所コード",$B437,"事業所",$C437,"事業区分",F$1,"請求区分","単月"),0)
+IFERROR(GETPIVOTDATA("合計 / 入金予定",【ピボット】国保連売上!$A$3,"年月",$A437,"事業所コード",$B437,"事業所",$C437,"事業区分",F$1,"請求区分","再請求"),0))</f>
        <v/>
      </c>
      <c r="G437" s="659" t="str">
        <f>IF($A437="","",IFERROR(GETPIVOTDATA("合計 / 処遇改善加算金",【ピボット】国保連売上!$A$3,"年月",$A437,"事業所コード",$B437,"事業所",$C437,"事業区分",F$1,"請求区分","単月"),0))</f>
        <v/>
      </c>
      <c r="H437" s="659" t="str">
        <f>IF($A437="","",IFERROR(GETPIVOTDATA("合計 / 入金予定",【ピボット】国保連売上!$A$3,"年月",$A437,"事業所コード",$B437,"事業所",$C437,"事業区分",H$1,"請求区分","単月"),0)
+IFERROR(GETPIVOTDATA("合計 / 入金予定",【ピボット】国保連売上!$A$3,"年月",$A437,"事業所コード",$B437,"事業所",$C437,"事業区分",H$1,"請求区分","再請求"),0))</f>
        <v/>
      </c>
      <c r="I437" s="659" t="str">
        <f>IF($A437="","",IFERROR(GETPIVOTDATA("合計 / 入金予定",【ピボット】国保連売上!$A$3,"年月",$A437,"事業所コード",$B437,"事業所",$C437,"事業区分",I$1,"請求区分","単月"),0)
+IFERROR(GETPIVOTDATA("合計 / 入金予定",【ピボット】国保連売上!$A$3,"年月",$A437,"事業所コード",$B437,"事業所",$C437,"事業区分",I$1,"請求区分","再請求"),0))</f>
        <v/>
      </c>
      <c r="J437" s="659" t="str">
        <f>IF($A437="","",IFERROR(GETPIVOTDATA("合計 / 処遇改善加算金",【ピボット】国保連売上!$A$3,"年月",$A437,"事業所コード",$B437,"事業所",$C437,"事業区分",I$1,"請求区分","単月"),0))</f>
        <v/>
      </c>
      <c r="K437" s="659" t="str">
        <f>IF($A437="","",IFERROR(GETPIVOTDATA("合計 / 入金予定",【ピボット】国保連売上!$A$3,"年月",$A437,"事業所コード",$B437,"事業所",$C437,"事業区分",K$1,"請求区分","単月"),0)
+IFERROR(GETPIVOTDATA("合計 / 入金予定",【ピボット】国保連売上!$A$3,"年月",$A437,"事業所コード",$B437,"事業所",$C437,"事業区分",K$1,"請求区分","再請求"),0))</f>
        <v/>
      </c>
      <c r="L437" s="659" t="str">
        <f>IF($A437="","",IFERROR(GETPIVOTDATA("合計 / 処遇改善加算金",【ピボット】国保連売上!$A$3,"年月",$A437,"事業所コード",$B437,"事業所",$C437,"事業区分",K$1,"請求区分","単月"),0))</f>
        <v/>
      </c>
      <c r="M437" s="659" t="str">
        <f>IF($A437="","",IFERROR(GETPIVOTDATA("合計 / 入金予定",【ピボット】国保連売上!$A$3,"年月",$A437,"事業所コード",$B437,"事業所",$C437,"事業区分",M$1,"請求区分","単月"),0)
+IFERROR(GETPIVOTDATA("合計 / 入金予定",【ピボット】国保連売上!$A$3,"年月",$A437,"事業所コード",$B437,"事業所",$C437,"事業区分",M$1,"請求区分","再請求"),0))</f>
        <v/>
      </c>
      <c r="N437" s="660"/>
      <c r="O437" s="660"/>
      <c r="P437" s="660"/>
      <c r="Q437" s="660"/>
      <c r="R437" s="660"/>
      <c r="S437" s="660"/>
      <c r="T437" s="660"/>
      <c r="U437" s="660"/>
      <c r="V437" s="660"/>
      <c r="W437" s="660"/>
      <c r="X437" s="660"/>
      <c r="Y437" s="659" t="str">
        <f t="shared" si="18"/>
        <v/>
      </c>
      <c r="Z437" s="659" t="str">
        <f t="shared" si="20"/>
        <v/>
      </c>
    </row>
    <row r="438" spans="1:26" ht="15.95" customHeight="1" x14ac:dyDescent="0.15">
      <c r="A438" s="656"/>
      <c r="B438" s="657" t="str">
        <f t="shared" si="19"/>
        <v/>
      </c>
      <c r="C438" s="658"/>
      <c r="D438" s="659" t="str">
        <f>IF($A438="","",IFERROR(GETPIVOTDATA("合計 / 入金予定",【ピボット】国保連売上!$A$3,"年月",$A438,"事業所コード",$B438,"事業所",$C438,"事業区分",D$1,"請求区分","単月"),0)
+IFERROR(GETPIVOTDATA("合計 / 入金予定",【ピボット】国保連売上!$A$3,"年月",$A438,"事業所コード",$B438,"事業所",$C438,"事業区分",D$1,"請求区分","再請求"),0))</f>
        <v/>
      </c>
      <c r="E438" s="659" t="str">
        <f>IF($A438="","",IFERROR(GETPIVOTDATA("合計 / 処遇改善加算金",【ピボット】国保連売上!$A$3,"年月",$A438,"事業所コード",$B438,"事業所",$C438,"事業区分",D$1,"請求区分","単月"),0))</f>
        <v/>
      </c>
      <c r="F438" s="659" t="str">
        <f>IF($A438="","",IFERROR(GETPIVOTDATA("合計 / 入金予定",【ピボット】国保連売上!$A$3,"年月",$A438,"事業所コード",$B438,"事業所",$C438,"事業区分",F$1,"請求区分","単月"),0)
+IFERROR(GETPIVOTDATA("合計 / 入金予定",【ピボット】国保連売上!$A$3,"年月",$A438,"事業所コード",$B438,"事業所",$C438,"事業区分",F$1,"請求区分","再請求"),0))</f>
        <v/>
      </c>
      <c r="G438" s="659" t="str">
        <f>IF($A438="","",IFERROR(GETPIVOTDATA("合計 / 処遇改善加算金",【ピボット】国保連売上!$A$3,"年月",$A438,"事業所コード",$B438,"事業所",$C438,"事業区分",F$1,"請求区分","単月"),0))</f>
        <v/>
      </c>
      <c r="H438" s="659" t="str">
        <f>IF($A438="","",IFERROR(GETPIVOTDATA("合計 / 入金予定",【ピボット】国保連売上!$A$3,"年月",$A438,"事業所コード",$B438,"事業所",$C438,"事業区分",H$1,"請求区分","単月"),0)
+IFERROR(GETPIVOTDATA("合計 / 入金予定",【ピボット】国保連売上!$A$3,"年月",$A438,"事業所コード",$B438,"事業所",$C438,"事業区分",H$1,"請求区分","再請求"),0))</f>
        <v/>
      </c>
      <c r="I438" s="659" t="str">
        <f>IF($A438="","",IFERROR(GETPIVOTDATA("合計 / 入金予定",【ピボット】国保連売上!$A$3,"年月",$A438,"事業所コード",$B438,"事業所",$C438,"事業区分",I$1,"請求区分","単月"),0)
+IFERROR(GETPIVOTDATA("合計 / 入金予定",【ピボット】国保連売上!$A$3,"年月",$A438,"事業所コード",$B438,"事業所",$C438,"事業区分",I$1,"請求区分","再請求"),0))</f>
        <v/>
      </c>
      <c r="J438" s="659" t="str">
        <f>IF($A438="","",IFERROR(GETPIVOTDATA("合計 / 処遇改善加算金",【ピボット】国保連売上!$A$3,"年月",$A438,"事業所コード",$B438,"事業所",$C438,"事業区分",I$1,"請求区分","単月"),0))</f>
        <v/>
      </c>
      <c r="K438" s="659" t="str">
        <f>IF($A438="","",IFERROR(GETPIVOTDATA("合計 / 入金予定",【ピボット】国保連売上!$A$3,"年月",$A438,"事業所コード",$B438,"事業所",$C438,"事業区分",K$1,"請求区分","単月"),0)
+IFERROR(GETPIVOTDATA("合計 / 入金予定",【ピボット】国保連売上!$A$3,"年月",$A438,"事業所コード",$B438,"事業所",$C438,"事業区分",K$1,"請求区分","再請求"),0))</f>
        <v/>
      </c>
      <c r="L438" s="659" t="str">
        <f>IF($A438="","",IFERROR(GETPIVOTDATA("合計 / 処遇改善加算金",【ピボット】国保連売上!$A$3,"年月",$A438,"事業所コード",$B438,"事業所",$C438,"事業区分",K$1,"請求区分","単月"),0))</f>
        <v/>
      </c>
      <c r="M438" s="659" t="str">
        <f>IF($A438="","",IFERROR(GETPIVOTDATA("合計 / 入金予定",【ピボット】国保連売上!$A$3,"年月",$A438,"事業所コード",$B438,"事業所",$C438,"事業区分",M$1,"請求区分","単月"),0)
+IFERROR(GETPIVOTDATA("合計 / 入金予定",【ピボット】国保連売上!$A$3,"年月",$A438,"事業所コード",$B438,"事業所",$C438,"事業区分",M$1,"請求区分","再請求"),0))</f>
        <v/>
      </c>
      <c r="N438" s="660"/>
      <c r="O438" s="660"/>
      <c r="P438" s="660"/>
      <c r="Q438" s="660"/>
      <c r="R438" s="660"/>
      <c r="S438" s="660"/>
      <c r="T438" s="660"/>
      <c r="U438" s="660"/>
      <c r="V438" s="660"/>
      <c r="W438" s="660"/>
      <c r="X438" s="660"/>
      <c r="Y438" s="659" t="str">
        <f t="shared" ref="Y438:Y499" si="21">IF(A438="","",SUM(D438,F438,H438:I438,K438,M438:X438))</f>
        <v/>
      </c>
      <c r="Z438" s="659" t="str">
        <f t="shared" si="20"/>
        <v/>
      </c>
    </row>
    <row r="439" spans="1:26" ht="15.95" customHeight="1" x14ac:dyDescent="0.15">
      <c r="A439" s="656"/>
      <c r="B439" s="657" t="str">
        <f t="shared" si="19"/>
        <v/>
      </c>
      <c r="C439" s="658"/>
      <c r="D439" s="659" t="str">
        <f>IF($A439="","",IFERROR(GETPIVOTDATA("合計 / 入金予定",【ピボット】国保連売上!$A$3,"年月",$A439,"事業所コード",$B439,"事業所",$C439,"事業区分",D$1,"請求区分","単月"),0)
+IFERROR(GETPIVOTDATA("合計 / 入金予定",【ピボット】国保連売上!$A$3,"年月",$A439,"事業所コード",$B439,"事業所",$C439,"事業区分",D$1,"請求区分","再請求"),0))</f>
        <v/>
      </c>
      <c r="E439" s="659" t="str">
        <f>IF($A439="","",IFERROR(GETPIVOTDATA("合計 / 処遇改善加算金",【ピボット】国保連売上!$A$3,"年月",$A439,"事業所コード",$B439,"事業所",$C439,"事業区分",D$1,"請求区分","単月"),0))</f>
        <v/>
      </c>
      <c r="F439" s="659" t="str">
        <f>IF($A439="","",IFERROR(GETPIVOTDATA("合計 / 入金予定",【ピボット】国保連売上!$A$3,"年月",$A439,"事業所コード",$B439,"事業所",$C439,"事業区分",F$1,"請求区分","単月"),0)
+IFERROR(GETPIVOTDATA("合計 / 入金予定",【ピボット】国保連売上!$A$3,"年月",$A439,"事業所コード",$B439,"事業所",$C439,"事業区分",F$1,"請求区分","再請求"),0))</f>
        <v/>
      </c>
      <c r="G439" s="659" t="str">
        <f>IF($A439="","",IFERROR(GETPIVOTDATA("合計 / 処遇改善加算金",【ピボット】国保連売上!$A$3,"年月",$A439,"事業所コード",$B439,"事業所",$C439,"事業区分",F$1,"請求区分","単月"),0))</f>
        <v/>
      </c>
      <c r="H439" s="659" t="str">
        <f>IF($A439="","",IFERROR(GETPIVOTDATA("合計 / 入金予定",【ピボット】国保連売上!$A$3,"年月",$A439,"事業所コード",$B439,"事業所",$C439,"事業区分",H$1,"請求区分","単月"),0)
+IFERROR(GETPIVOTDATA("合計 / 入金予定",【ピボット】国保連売上!$A$3,"年月",$A439,"事業所コード",$B439,"事業所",$C439,"事業区分",H$1,"請求区分","再請求"),0))</f>
        <v/>
      </c>
      <c r="I439" s="659" t="str">
        <f>IF($A439="","",IFERROR(GETPIVOTDATA("合計 / 入金予定",【ピボット】国保連売上!$A$3,"年月",$A439,"事業所コード",$B439,"事業所",$C439,"事業区分",I$1,"請求区分","単月"),0)
+IFERROR(GETPIVOTDATA("合計 / 入金予定",【ピボット】国保連売上!$A$3,"年月",$A439,"事業所コード",$B439,"事業所",$C439,"事業区分",I$1,"請求区分","再請求"),0))</f>
        <v/>
      </c>
      <c r="J439" s="659" t="str">
        <f>IF($A439="","",IFERROR(GETPIVOTDATA("合計 / 処遇改善加算金",【ピボット】国保連売上!$A$3,"年月",$A439,"事業所コード",$B439,"事業所",$C439,"事業区分",I$1,"請求区分","単月"),0))</f>
        <v/>
      </c>
      <c r="K439" s="659" t="str">
        <f>IF($A439="","",IFERROR(GETPIVOTDATA("合計 / 入金予定",【ピボット】国保連売上!$A$3,"年月",$A439,"事業所コード",$B439,"事業所",$C439,"事業区分",K$1,"請求区分","単月"),0)
+IFERROR(GETPIVOTDATA("合計 / 入金予定",【ピボット】国保連売上!$A$3,"年月",$A439,"事業所コード",$B439,"事業所",$C439,"事業区分",K$1,"請求区分","再請求"),0))</f>
        <v/>
      </c>
      <c r="L439" s="659" t="str">
        <f>IF($A439="","",IFERROR(GETPIVOTDATA("合計 / 処遇改善加算金",【ピボット】国保連売上!$A$3,"年月",$A439,"事業所コード",$B439,"事業所",$C439,"事業区分",K$1,"請求区分","単月"),0))</f>
        <v/>
      </c>
      <c r="M439" s="659" t="str">
        <f>IF($A439="","",IFERROR(GETPIVOTDATA("合計 / 入金予定",【ピボット】国保連売上!$A$3,"年月",$A439,"事業所コード",$B439,"事業所",$C439,"事業区分",M$1,"請求区分","単月"),0)
+IFERROR(GETPIVOTDATA("合計 / 入金予定",【ピボット】国保連売上!$A$3,"年月",$A439,"事業所コード",$B439,"事業所",$C439,"事業区分",M$1,"請求区分","再請求"),0))</f>
        <v/>
      </c>
      <c r="N439" s="660"/>
      <c r="O439" s="660"/>
      <c r="P439" s="660"/>
      <c r="Q439" s="660"/>
      <c r="R439" s="660"/>
      <c r="S439" s="660"/>
      <c r="T439" s="660"/>
      <c r="U439" s="660"/>
      <c r="V439" s="660"/>
      <c r="W439" s="660"/>
      <c r="X439" s="660"/>
      <c r="Y439" s="659" t="str">
        <f t="shared" si="21"/>
        <v/>
      </c>
      <c r="Z439" s="659" t="str">
        <f t="shared" si="20"/>
        <v/>
      </c>
    </row>
    <row r="440" spans="1:26" ht="15.95" customHeight="1" x14ac:dyDescent="0.15">
      <c r="A440" s="656"/>
      <c r="B440" s="657" t="str">
        <f t="shared" si="19"/>
        <v/>
      </c>
      <c r="C440" s="658"/>
      <c r="D440" s="659" t="str">
        <f>IF($A440="","",IFERROR(GETPIVOTDATA("合計 / 入金予定",【ピボット】国保連売上!$A$3,"年月",$A440,"事業所コード",$B440,"事業所",$C440,"事業区分",D$1,"請求区分","単月"),0)
+IFERROR(GETPIVOTDATA("合計 / 入金予定",【ピボット】国保連売上!$A$3,"年月",$A440,"事業所コード",$B440,"事業所",$C440,"事業区分",D$1,"請求区分","再請求"),0))</f>
        <v/>
      </c>
      <c r="E440" s="659" t="str">
        <f>IF($A440="","",IFERROR(GETPIVOTDATA("合計 / 処遇改善加算金",【ピボット】国保連売上!$A$3,"年月",$A440,"事業所コード",$B440,"事業所",$C440,"事業区分",D$1,"請求区分","単月"),0))</f>
        <v/>
      </c>
      <c r="F440" s="659" t="str">
        <f>IF($A440="","",IFERROR(GETPIVOTDATA("合計 / 入金予定",【ピボット】国保連売上!$A$3,"年月",$A440,"事業所コード",$B440,"事業所",$C440,"事業区分",F$1,"請求区分","単月"),0)
+IFERROR(GETPIVOTDATA("合計 / 入金予定",【ピボット】国保連売上!$A$3,"年月",$A440,"事業所コード",$B440,"事業所",$C440,"事業区分",F$1,"請求区分","再請求"),0))</f>
        <v/>
      </c>
      <c r="G440" s="659" t="str">
        <f>IF($A440="","",IFERROR(GETPIVOTDATA("合計 / 処遇改善加算金",【ピボット】国保連売上!$A$3,"年月",$A440,"事業所コード",$B440,"事業所",$C440,"事業区分",F$1,"請求区分","単月"),0))</f>
        <v/>
      </c>
      <c r="H440" s="659" t="str">
        <f>IF($A440="","",IFERROR(GETPIVOTDATA("合計 / 入金予定",【ピボット】国保連売上!$A$3,"年月",$A440,"事業所コード",$B440,"事業所",$C440,"事業区分",H$1,"請求区分","単月"),0)
+IFERROR(GETPIVOTDATA("合計 / 入金予定",【ピボット】国保連売上!$A$3,"年月",$A440,"事業所コード",$B440,"事業所",$C440,"事業区分",H$1,"請求区分","再請求"),0))</f>
        <v/>
      </c>
      <c r="I440" s="659" t="str">
        <f>IF($A440="","",IFERROR(GETPIVOTDATA("合計 / 入金予定",【ピボット】国保連売上!$A$3,"年月",$A440,"事業所コード",$B440,"事業所",$C440,"事業区分",I$1,"請求区分","単月"),0)
+IFERROR(GETPIVOTDATA("合計 / 入金予定",【ピボット】国保連売上!$A$3,"年月",$A440,"事業所コード",$B440,"事業所",$C440,"事業区分",I$1,"請求区分","再請求"),0))</f>
        <v/>
      </c>
      <c r="J440" s="659" t="str">
        <f>IF($A440="","",IFERROR(GETPIVOTDATA("合計 / 処遇改善加算金",【ピボット】国保連売上!$A$3,"年月",$A440,"事業所コード",$B440,"事業所",$C440,"事業区分",I$1,"請求区分","単月"),0))</f>
        <v/>
      </c>
      <c r="K440" s="659" t="str">
        <f>IF($A440="","",IFERROR(GETPIVOTDATA("合計 / 入金予定",【ピボット】国保連売上!$A$3,"年月",$A440,"事業所コード",$B440,"事業所",$C440,"事業区分",K$1,"請求区分","単月"),0)
+IFERROR(GETPIVOTDATA("合計 / 入金予定",【ピボット】国保連売上!$A$3,"年月",$A440,"事業所コード",$B440,"事業所",$C440,"事業区分",K$1,"請求区分","再請求"),0))</f>
        <v/>
      </c>
      <c r="L440" s="659" t="str">
        <f>IF($A440="","",IFERROR(GETPIVOTDATA("合計 / 処遇改善加算金",【ピボット】国保連売上!$A$3,"年月",$A440,"事業所コード",$B440,"事業所",$C440,"事業区分",K$1,"請求区分","単月"),0))</f>
        <v/>
      </c>
      <c r="M440" s="659" t="str">
        <f>IF($A440="","",IFERROR(GETPIVOTDATA("合計 / 入金予定",【ピボット】国保連売上!$A$3,"年月",$A440,"事業所コード",$B440,"事業所",$C440,"事業区分",M$1,"請求区分","単月"),0)
+IFERROR(GETPIVOTDATA("合計 / 入金予定",【ピボット】国保連売上!$A$3,"年月",$A440,"事業所コード",$B440,"事業所",$C440,"事業区分",M$1,"請求区分","再請求"),0))</f>
        <v/>
      </c>
      <c r="N440" s="660"/>
      <c r="O440" s="660"/>
      <c r="P440" s="660"/>
      <c r="Q440" s="660"/>
      <c r="R440" s="660"/>
      <c r="S440" s="660"/>
      <c r="T440" s="660"/>
      <c r="U440" s="660"/>
      <c r="V440" s="660"/>
      <c r="W440" s="660"/>
      <c r="X440" s="660"/>
      <c r="Y440" s="659" t="str">
        <f t="shared" si="21"/>
        <v/>
      </c>
      <c r="Z440" s="659" t="str">
        <f t="shared" si="20"/>
        <v/>
      </c>
    </row>
    <row r="441" spans="1:26" ht="15.95" customHeight="1" x14ac:dyDescent="0.15">
      <c r="A441" s="656"/>
      <c r="B441" s="657" t="str">
        <f t="shared" si="19"/>
        <v/>
      </c>
      <c r="C441" s="658"/>
      <c r="D441" s="659" t="str">
        <f>IF($A441="","",IFERROR(GETPIVOTDATA("合計 / 入金予定",【ピボット】国保連売上!$A$3,"年月",$A441,"事業所コード",$B441,"事業所",$C441,"事業区分",D$1,"請求区分","単月"),0)
+IFERROR(GETPIVOTDATA("合計 / 入金予定",【ピボット】国保連売上!$A$3,"年月",$A441,"事業所コード",$B441,"事業所",$C441,"事業区分",D$1,"請求区分","再請求"),0))</f>
        <v/>
      </c>
      <c r="E441" s="659" t="str">
        <f>IF($A441="","",IFERROR(GETPIVOTDATA("合計 / 処遇改善加算金",【ピボット】国保連売上!$A$3,"年月",$A441,"事業所コード",$B441,"事業所",$C441,"事業区分",D$1,"請求区分","単月"),0))</f>
        <v/>
      </c>
      <c r="F441" s="659" t="str">
        <f>IF($A441="","",IFERROR(GETPIVOTDATA("合計 / 入金予定",【ピボット】国保連売上!$A$3,"年月",$A441,"事業所コード",$B441,"事業所",$C441,"事業区分",F$1,"請求区分","単月"),0)
+IFERROR(GETPIVOTDATA("合計 / 入金予定",【ピボット】国保連売上!$A$3,"年月",$A441,"事業所コード",$B441,"事業所",$C441,"事業区分",F$1,"請求区分","再請求"),0))</f>
        <v/>
      </c>
      <c r="G441" s="659" t="str">
        <f>IF($A441="","",IFERROR(GETPIVOTDATA("合計 / 処遇改善加算金",【ピボット】国保連売上!$A$3,"年月",$A441,"事業所コード",$B441,"事業所",$C441,"事業区分",F$1,"請求区分","単月"),0))</f>
        <v/>
      </c>
      <c r="H441" s="659" t="str">
        <f>IF($A441="","",IFERROR(GETPIVOTDATA("合計 / 入金予定",【ピボット】国保連売上!$A$3,"年月",$A441,"事業所コード",$B441,"事業所",$C441,"事業区分",H$1,"請求区分","単月"),0)
+IFERROR(GETPIVOTDATA("合計 / 入金予定",【ピボット】国保連売上!$A$3,"年月",$A441,"事業所コード",$B441,"事業所",$C441,"事業区分",H$1,"請求区分","再請求"),0))</f>
        <v/>
      </c>
      <c r="I441" s="659" t="str">
        <f>IF($A441="","",IFERROR(GETPIVOTDATA("合計 / 入金予定",【ピボット】国保連売上!$A$3,"年月",$A441,"事業所コード",$B441,"事業所",$C441,"事業区分",I$1,"請求区分","単月"),0)
+IFERROR(GETPIVOTDATA("合計 / 入金予定",【ピボット】国保連売上!$A$3,"年月",$A441,"事業所コード",$B441,"事業所",$C441,"事業区分",I$1,"請求区分","再請求"),0))</f>
        <v/>
      </c>
      <c r="J441" s="659" t="str">
        <f>IF($A441="","",IFERROR(GETPIVOTDATA("合計 / 処遇改善加算金",【ピボット】国保連売上!$A$3,"年月",$A441,"事業所コード",$B441,"事業所",$C441,"事業区分",I$1,"請求区分","単月"),0))</f>
        <v/>
      </c>
      <c r="K441" s="659" t="str">
        <f>IF($A441="","",IFERROR(GETPIVOTDATA("合計 / 入金予定",【ピボット】国保連売上!$A$3,"年月",$A441,"事業所コード",$B441,"事業所",$C441,"事業区分",K$1,"請求区分","単月"),0)
+IFERROR(GETPIVOTDATA("合計 / 入金予定",【ピボット】国保連売上!$A$3,"年月",$A441,"事業所コード",$B441,"事業所",$C441,"事業区分",K$1,"請求区分","再請求"),0))</f>
        <v/>
      </c>
      <c r="L441" s="659" t="str">
        <f>IF($A441="","",IFERROR(GETPIVOTDATA("合計 / 処遇改善加算金",【ピボット】国保連売上!$A$3,"年月",$A441,"事業所コード",$B441,"事業所",$C441,"事業区分",K$1,"請求区分","単月"),0))</f>
        <v/>
      </c>
      <c r="M441" s="659" t="str">
        <f>IF($A441="","",IFERROR(GETPIVOTDATA("合計 / 入金予定",【ピボット】国保連売上!$A$3,"年月",$A441,"事業所コード",$B441,"事業所",$C441,"事業区分",M$1,"請求区分","単月"),0)
+IFERROR(GETPIVOTDATA("合計 / 入金予定",【ピボット】国保連売上!$A$3,"年月",$A441,"事業所コード",$B441,"事業所",$C441,"事業区分",M$1,"請求区分","再請求"),0))</f>
        <v/>
      </c>
      <c r="N441" s="660"/>
      <c r="O441" s="660"/>
      <c r="P441" s="660"/>
      <c r="Q441" s="660"/>
      <c r="R441" s="660"/>
      <c r="S441" s="660"/>
      <c r="T441" s="660"/>
      <c r="U441" s="660"/>
      <c r="V441" s="660"/>
      <c r="W441" s="660"/>
      <c r="X441" s="660"/>
      <c r="Y441" s="659" t="str">
        <f t="shared" si="21"/>
        <v/>
      </c>
      <c r="Z441" s="659" t="str">
        <f t="shared" si="20"/>
        <v/>
      </c>
    </row>
    <row r="442" spans="1:26" ht="15.95" customHeight="1" x14ac:dyDescent="0.15">
      <c r="A442" s="656"/>
      <c r="B442" s="657" t="str">
        <f t="shared" si="19"/>
        <v/>
      </c>
      <c r="C442" s="658"/>
      <c r="D442" s="659" t="str">
        <f>IF($A442="","",IFERROR(GETPIVOTDATA("合計 / 入金予定",【ピボット】国保連売上!$A$3,"年月",$A442,"事業所コード",$B442,"事業所",$C442,"事業区分",D$1,"請求区分","単月"),0)
+IFERROR(GETPIVOTDATA("合計 / 入金予定",【ピボット】国保連売上!$A$3,"年月",$A442,"事業所コード",$B442,"事業所",$C442,"事業区分",D$1,"請求区分","再請求"),0))</f>
        <v/>
      </c>
      <c r="E442" s="659" t="str">
        <f>IF($A442="","",IFERROR(GETPIVOTDATA("合計 / 処遇改善加算金",【ピボット】国保連売上!$A$3,"年月",$A442,"事業所コード",$B442,"事業所",$C442,"事業区分",D$1,"請求区分","単月"),0))</f>
        <v/>
      </c>
      <c r="F442" s="659" t="str">
        <f>IF($A442="","",IFERROR(GETPIVOTDATA("合計 / 入金予定",【ピボット】国保連売上!$A$3,"年月",$A442,"事業所コード",$B442,"事業所",$C442,"事業区分",F$1,"請求区分","単月"),0)
+IFERROR(GETPIVOTDATA("合計 / 入金予定",【ピボット】国保連売上!$A$3,"年月",$A442,"事業所コード",$B442,"事業所",$C442,"事業区分",F$1,"請求区分","再請求"),0))</f>
        <v/>
      </c>
      <c r="G442" s="659" t="str">
        <f>IF($A442="","",IFERROR(GETPIVOTDATA("合計 / 処遇改善加算金",【ピボット】国保連売上!$A$3,"年月",$A442,"事業所コード",$B442,"事業所",$C442,"事業区分",F$1,"請求区分","単月"),0))</f>
        <v/>
      </c>
      <c r="H442" s="659" t="str">
        <f>IF($A442="","",IFERROR(GETPIVOTDATA("合計 / 入金予定",【ピボット】国保連売上!$A$3,"年月",$A442,"事業所コード",$B442,"事業所",$C442,"事業区分",H$1,"請求区分","単月"),0)
+IFERROR(GETPIVOTDATA("合計 / 入金予定",【ピボット】国保連売上!$A$3,"年月",$A442,"事業所コード",$B442,"事業所",$C442,"事業区分",H$1,"請求区分","再請求"),0))</f>
        <v/>
      </c>
      <c r="I442" s="659" t="str">
        <f>IF($A442="","",IFERROR(GETPIVOTDATA("合計 / 入金予定",【ピボット】国保連売上!$A$3,"年月",$A442,"事業所コード",$B442,"事業所",$C442,"事業区分",I$1,"請求区分","単月"),0)
+IFERROR(GETPIVOTDATA("合計 / 入金予定",【ピボット】国保連売上!$A$3,"年月",$A442,"事業所コード",$B442,"事業所",$C442,"事業区分",I$1,"請求区分","再請求"),0))</f>
        <v/>
      </c>
      <c r="J442" s="659" t="str">
        <f>IF($A442="","",IFERROR(GETPIVOTDATA("合計 / 処遇改善加算金",【ピボット】国保連売上!$A$3,"年月",$A442,"事業所コード",$B442,"事業所",$C442,"事業区分",I$1,"請求区分","単月"),0))</f>
        <v/>
      </c>
      <c r="K442" s="659" t="str">
        <f>IF($A442="","",IFERROR(GETPIVOTDATA("合計 / 入金予定",【ピボット】国保連売上!$A$3,"年月",$A442,"事業所コード",$B442,"事業所",$C442,"事業区分",K$1,"請求区分","単月"),0)
+IFERROR(GETPIVOTDATA("合計 / 入金予定",【ピボット】国保連売上!$A$3,"年月",$A442,"事業所コード",$B442,"事業所",$C442,"事業区分",K$1,"請求区分","再請求"),0))</f>
        <v/>
      </c>
      <c r="L442" s="659" t="str">
        <f>IF($A442="","",IFERROR(GETPIVOTDATA("合計 / 処遇改善加算金",【ピボット】国保連売上!$A$3,"年月",$A442,"事業所コード",$B442,"事業所",$C442,"事業区分",K$1,"請求区分","単月"),0))</f>
        <v/>
      </c>
      <c r="M442" s="659" t="str">
        <f>IF($A442="","",IFERROR(GETPIVOTDATA("合計 / 入金予定",【ピボット】国保連売上!$A$3,"年月",$A442,"事業所コード",$B442,"事業所",$C442,"事業区分",M$1,"請求区分","単月"),0)
+IFERROR(GETPIVOTDATA("合計 / 入金予定",【ピボット】国保連売上!$A$3,"年月",$A442,"事業所コード",$B442,"事業所",$C442,"事業区分",M$1,"請求区分","再請求"),0))</f>
        <v/>
      </c>
      <c r="N442" s="660"/>
      <c r="O442" s="660"/>
      <c r="P442" s="660"/>
      <c r="Q442" s="660"/>
      <c r="R442" s="660"/>
      <c r="S442" s="660"/>
      <c r="T442" s="660"/>
      <c r="U442" s="660"/>
      <c r="V442" s="660"/>
      <c r="W442" s="660"/>
      <c r="X442" s="660"/>
      <c r="Y442" s="659" t="str">
        <f t="shared" si="21"/>
        <v/>
      </c>
      <c r="Z442" s="659" t="str">
        <f t="shared" si="20"/>
        <v/>
      </c>
    </row>
    <row r="443" spans="1:26" ht="15.95" customHeight="1" x14ac:dyDescent="0.15">
      <c r="A443" s="656"/>
      <c r="B443" s="657" t="str">
        <f t="shared" si="19"/>
        <v/>
      </c>
      <c r="C443" s="658"/>
      <c r="D443" s="659" t="str">
        <f>IF($A443="","",IFERROR(GETPIVOTDATA("合計 / 入金予定",【ピボット】国保連売上!$A$3,"年月",$A443,"事業所コード",$B443,"事業所",$C443,"事業区分",D$1,"請求区分","単月"),0)
+IFERROR(GETPIVOTDATA("合計 / 入金予定",【ピボット】国保連売上!$A$3,"年月",$A443,"事業所コード",$B443,"事業所",$C443,"事業区分",D$1,"請求区分","再請求"),0))</f>
        <v/>
      </c>
      <c r="E443" s="659" t="str">
        <f>IF($A443="","",IFERROR(GETPIVOTDATA("合計 / 処遇改善加算金",【ピボット】国保連売上!$A$3,"年月",$A443,"事業所コード",$B443,"事業所",$C443,"事業区分",D$1,"請求区分","単月"),0))</f>
        <v/>
      </c>
      <c r="F443" s="659" t="str">
        <f>IF($A443="","",IFERROR(GETPIVOTDATA("合計 / 入金予定",【ピボット】国保連売上!$A$3,"年月",$A443,"事業所コード",$B443,"事業所",$C443,"事業区分",F$1,"請求区分","単月"),0)
+IFERROR(GETPIVOTDATA("合計 / 入金予定",【ピボット】国保連売上!$A$3,"年月",$A443,"事業所コード",$B443,"事業所",$C443,"事業区分",F$1,"請求区分","再請求"),0))</f>
        <v/>
      </c>
      <c r="G443" s="659" t="str">
        <f>IF($A443="","",IFERROR(GETPIVOTDATA("合計 / 処遇改善加算金",【ピボット】国保連売上!$A$3,"年月",$A443,"事業所コード",$B443,"事業所",$C443,"事業区分",F$1,"請求区分","単月"),0))</f>
        <v/>
      </c>
      <c r="H443" s="659" t="str">
        <f>IF($A443="","",IFERROR(GETPIVOTDATA("合計 / 入金予定",【ピボット】国保連売上!$A$3,"年月",$A443,"事業所コード",$B443,"事業所",$C443,"事業区分",H$1,"請求区分","単月"),0)
+IFERROR(GETPIVOTDATA("合計 / 入金予定",【ピボット】国保連売上!$A$3,"年月",$A443,"事業所コード",$B443,"事業所",$C443,"事業区分",H$1,"請求区分","再請求"),0))</f>
        <v/>
      </c>
      <c r="I443" s="659" t="str">
        <f>IF($A443="","",IFERROR(GETPIVOTDATA("合計 / 入金予定",【ピボット】国保連売上!$A$3,"年月",$A443,"事業所コード",$B443,"事業所",$C443,"事業区分",I$1,"請求区分","単月"),0)
+IFERROR(GETPIVOTDATA("合計 / 入金予定",【ピボット】国保連売上!$A$3,"年月",$A443,"事業所コード",$B443,"事業所",$C443,"事業区分",I$1,"請求区分","再請求"),0))</f>
        <v/>
      </c>
      <c r="J443" s="659" t="str">
        <f>IF($A443="","",IFERROR(GETPIVOTDATA("合計 / 処遇改善加算金",【ピボット】国保連売上!$A$3,"年月",$A443,"事業所コード",$B443,"事業所",$C443,"事業区分",I$1,"請求区分","単月"),0))</f>
        <v/>
      </c>
      <c r="K443" s="659" t="str">
        <f>IF($A443="","",IFERROR(GETPIVOTDATA("合計 / 入金予定",【ピボット】国保連売上!$A$3,"年月",$A443,"事業所コード",$B443,"事業所",$C443,"事業区分",K$1,"請求区分","単月"),0)
+IFERROR(GETPIVOTDATA("合計 / 入金予定",【ピボット】国保連売上!$A$3,"年月",$A443,"事業所コード",$B443,"事業所",$C443,"事業区分",K$1,"請求区分","再請求"),0))</f>
        <v/>
      </c>
      <c r="L443" s="659" t="str">
        <f>IF($A443="","",IFERROR(GETPIVOTDATA("合計 / 処遇改善加算金",【ピボット】国保連売上!$A$3,"年月",$A443,"事業所コード",$B443,"事業所",$C443,"事業区分",K$1,"請求区分","単月"),0))</f>
        <v/>
      </c>
      <c r="M443" s="659" t="str">
        <f>IF($A443="","",IFERROR(GETPIVOTDATA("合計 / 入金予定",【ピボット】国保連売上!$A$3,"年月",$A443,"事業所コード",$B443,"事業所",$C443,"事業区分",M$1,"請求区分","単月"),0)
+IFERROR(GETPIVOTDATA("合計 / 入金予定",【ピボット】国保連売上!$A$3,"年月",$A443,"事業所コード",$B443,"事業所",$C443,"事業区分",M$1,"請求区分","再請求"),0))</f>
        <v/>
      </c>
      <c r="N443" s="660"/>
      <c r="O443" s="660"/>
      <c r="P443" s="660"/>
      <c r="Q443" s="660"/>
      <c r="R443" s="660"/>
      <c r="S443" s="660"/>
      <c r="T443" s="660"/>
      <c r="U443" s="660"/>
      <c r="V443" s="660"/>
      <c r="W443" s="660"/>
      <c r="X443" s="660"/>
      <c r="Y443" s="659" t="str">
        <f t="shared" si="21"/>
        <v/>
      </c>
      <c r="Z443" s="659" t="str">
        <f t="shared" si="20"/>
        <v/>
      </c>
    </row>
    <row r="444" spans="1:26" ht="15.95" customHeight="1" x14ac:dyDescent="0.15">
      <c r="A444" s="656"/>
      <c r="B444" s="657" t="str">
        <f t="shared" si="19"/>
        <v/>
      </c>
      <c r="C444" s="658"/>
      <c r="D444" s="659" t="str">
        <f>IF($A444="","",IFERROR(GETPIVOTDATA("合計 / 入金予定",【ピボット】国保連売上!$A$3,"年月",$A444,"事業所コード",$B444,"事業所",$C444,"事業区分",D$1,"請求区分","単月"),0)
+IFERROR(GETPIVOTDATA("合計 / 入金予定",【ピボット】国保連売上!$A$3,"年月",$A444,"事業所コード",$B444,"事業所",$C444,"事業区分",D$1,"請求区分","再請求"),0))</f>
        <v/>
      </c>
      <c r="E444" s="659" t="str">
        <f>IF($A444="","",IFERROR(GETPIVOTDATA("合計 / 処遇改善加算金",【ピボット】国保連売上!$A$3,"年月",$A444,"事業所コード",$B444,"事業所",$C444,"事業区分",D$1,"請求区分","単月"),0))</f>
        <v/>
      </c>
      <c r="F444" s="659" t="str">
        <f>IF($A444="","",IFERROR(GETPIVOTDATA("合計 / 入金予定",【ピボット】国保連売上!$A$3,"年月",$A444,"事業所コード",$B444,"事業所",$C444,"事業区分",F$1,"請求区分","単月"),0)
+IFERROR(GETPIVOTDATA("合計 / 入金予定",【ピボット】国保連売上!$A$3,"年月",$A444,"事業所コード",$B444,"事業所",$C444,"事業区分",F$1,"請求区分","再請求"),0))</f>
        <v/>
      </c>
      <c r="G444" s="659" t="str">
        <f>IF($A444="","",IFERROR(GETPIVOTDATA("合計 / 処遇改善加算金",【ピボット】国保連売上!$A$3,"年月",$A444,"事業所コード",$B444,"事業所",$C444,"事業区分",F$1,"請求区分","単月"),0))</f>
        <v/>
      </c>
      <c r="H444" s="659" t="str">
        <f>IF($A444="","",IFERROR(GETPIVOTDATA("合計 / 入金予定",【ピボット】国保連売上!$A$3,"年月",$A444,"事業所コード",$B444,"事業所",$C444,"事業区分",H$1,"請求区分","単月"),0)
+IFERROR(GETPIVOTDATA("合計 / 入金予定",【ピボット】国保連売上!$A$3,"年月",$A444,"事業所コード",$B444,"事業所",$C444,"事業区分",H$1,"請求区分","再請求"),0))</f>
        <v/>
      </c>
      <c r="I444" s="659" t="str">
        <f>IF($A444="","",IFERROR(GETPIVOTDATA("合計 / 入金予定",【ピボット】国保連売上!$A$3,"年月",$A444,"事業所コード",$B444,"事業所",$C444,"事業区分",I$1,"請求区分","単月"),0)
+IFERROR(GETPIVOTDATA("合計 / 入金予定",【ピボット】国保連売上!$A$3,"年月",$A444,"事業所コード",$B444,"事業所",$C444,"事業区分",I$1,"請求区分","再請求"),0))</f>
        <v/>
      </c>
      <c r="J444" s="659" t="str">
        <f>IF($A444="","",IFERROR(GETPIVOTDATA("合計 / 処遇改善加算金",【ピボット】国保連売上!$A$3,"年月",$A444,"事業所コード",$B444,"事業所",$C444,"事業区分",I$1,"請求区分","単月"),0))</f>
        <v/>
      </c>
      <c r="K444" s="659" t="str">
        <f>IF($A444="","",IFERROR(GETPIVOTDATA("合計 / 入金予定",【ピボット】国保連売上!$A$3,"年月",$A444,"事業所コード",$B444,"事業所",$C444,"事業区分",K$1,"請求区分","単月"),0)
+IFERROR(GETPIVOTDATA("合計 / 入金予定",【ピボット】国保連売上!$A$3,"年月",$A444,"事業所コード",$B444,"事業所",$C444,"事業区分",K$1,"請求区分","再請求"),0))</f>
        <v/>
      </c>
      <c r="L444" s="659" t="str">
        <f>IF($A444="","",IFERROR(GETPIVOTDATA("合計 / 処遇改善加算金",【ピボット】国保連売上!$A$3,"年月",$A444,"事業所コード",$B444,"事業所",$C444,"事業区分",K$1,"請求区分","単月"),0))</f>
        <v/>
      </c>
      <c r="M444" s="659" t="str">
        <f>IF($A444="","",IFERROR(GETPIVOTDATA("合計 / 入金予定",【ピボット】国保連売上!$A$3,"年月",$A444,"事業所コード",$B444,"事業所",$C444,"事業区分",M$1,"請求区分","単月"),0)
+IFERROR(GETPIVOTDATA("合計 / 入金予定",【ピボット】国保連売上!$A$3,"年月",$A444,"事業所コード",$B444,"事業所",$C444,"事業区分",M$1,"請求区分","再請求"),0))</f>
        <v/>
      </c>
      <c r="N444" s="660"/>
      <c r="O444" s="660"/>
      <c r="P444" s="660"/>
      <c r="Q444" s="660"/>
      <c r="R444" s="660"/>
      <c r="S444" s="660"/>
      <c r="T444" s="660"/>
      <c r="U444" s="660"/>
      <c r="V444" s="660"/>
      <c r="W444" s="660"/>
      <c r="X444" s="660"/>
      <c r="Y444" s="659" t="str">
        <f t="shared" si="21"/>
        <v/>
      </c>
      <c r="Z444" s="659" t="str">
        <f t="shared" si="20"/>
        <v/>
      </c>
    </row>
    <row r="445" spans="1:26" ht="15.95" customHeight="1" x14ac:dyDescent="0.15">
      <c r="A445" s="656"/>
      <c r="B445" s="657" t="str">
        <f t="shared" si="19"/>
        <v/>
      </c>
      <c r="C445" s="658"/>
      <c r="D445" s="659" t="str">
        <f>IF($A445="","",IFERROR(GETPIVOTDATA("合計 / 入金予定",【ピボット】国保連売上!$A$3,"年月",$A445,"事業所コード",$B445,"事業所",$C445,"事業区分",D$1,"請求区分","単月"),0)
+IFERROR(GETPIVOTDATA("合計 / 入金予定",【ピボット】国保連売上!$A$3,"年月",$A445,"事業所コード",$B445,"事業所",$C445,"事業区分",D$1,"請求区分","再請求"),0))</f>
        <v/>
      </c>
      <c r="E445" s="659" t="str">
        <f>IF($A445="","",IFERROR(GETPIVOTDATA("合計 / 処遇改善加算金",【ピボット】国保連売上!$A$3,"年月",$A445,"事業所コード",$B445,"事業所",$C445,"事業区分",D$1,"請求区分","単月"),0))</f>
        <v/>
      </c>
      <c r="F445" s="659" t="str">
        <f>IF($A445="","",IFERROR(GETPIVOTDATA("合計 / 入金予定",【ピボット】国保連売上!$A$3,"年月",$A445,"事業所コード",$B445,"事業所",$C445,"事業区分",F$1,"請求区分","単月"),0)
+IFERROR(GETPIVOTDATA("合計 / 入金予定",【ピボット】国保連売上!$A$3,"年月",$A445,"事業所コード",$B445,"事業所",$C445,"事業区分",F$1,"請求区分","再請求"),0))</f>
        <v/>
      </c>
      <c r="G445" s="659" t="str">
        <f>IF($A445="","",IFERROR(GETPIVOTDATA("合計 / 処遇改善加算金",【ピボット】国保連売上!$A$3,"年月",$A445,"事業所コード",$B445,"事業所",$C445,"事業区分",F$1,"請求区分","単月"),0))</f>
        <v/>
      </c>
      <c r="H445" s="659" t="str">
        <f>IF($A445="","",IFERROR(GETPIVOTDATA("合計 / 入金予定",【ピボット】国保連売上!$A$3,"年月",$A445,"事業所コード",$B445,"事業所",$C445,"事業区分",H$1,"請求区分","単月"),0)
+IFERROR(GETPIVOTDATA("合計 / 入金予定",【ピボット】国保連売上!$A$3,"年月",$A445,"事業所コード",$B445,"事業所",$C445,"事業区分",H$1,"請求区分","再請求"),0))</f>
        <v/>
      </c>
      <c r="I445" s="659" t="str">
        <f>IF($A445="","",IFERROR(GETPIVOTDATA("合計 / 入金予定",【ピボット】国保連売上!$A$3,"年月",$A445,"事業所コード",$B445,"事業所",$C445,"事業区分",I$1,"請求区分","単月"),0)
+IFERROR(GETPIVOTDATA("合計 / 入金予定",【ピボット】国保連売上!$A$3,"年月",$A445,"事業所コード",$B445,"事業所",$C445,"事業区分",I$1,"請求区分","再請求"),0))</f>
        <v/>
      </c>
      <c r="J445" s="659" t="str">
        <f>IF($A445="","",IFERROR(GETPIVOTDATA("合計 / 処遇改善加算金",【ピボット】国保連売上!$A$3,"年月",$A445,"事業所コード",$B445,"事業所",$C445,"事業区分",I$1,"請求区分","単月"),0))</f>
        <v/>
      </c>
      <c r="K445" s="659" t="str">
        <f>IF($A445="","",IFERROR(GETPIVOTDATA("合計 / 入金予定",【ピボット】国保連売上!$A$3,"年月",$A445,"事業所コード",$B445,"事業所",$C445,"事業区分",K$1,"請求区分","単月"),0)
+IFERROR(GETPIVOTDATA("合計 / 入金予定",【ピボット】国保連売上!$A$3,"年月",$A445,"事業所コード",$B445,"事業所",$C445,"事業区分",K$1,"請求区分","再請求"),0))</f>
        <v/>
      </c>
      <c r="L445" s="659" t="str">
        <f>IF($A445="","",IFERROR(GETPIVOTDATA("合計 / 処遇改善加算金",【ピボット】国保連売上!$A$3,"年月",$A445,"事業所コード",$B445,"事業所",$C445,"事業区分",K$1,"請求区分","単月"),0))</f>
        <v/>
      </c>
      <c r="M445" s="659" t="str">
        <f>IF($A445="","",IFERROR(GETPIVOTDATA("合計 / 入金予定",【ピボット】国保連売上!$A$3,"年月",$A445,"事業所コード",$B445,"事業所",$C445,"事業区分",M$1,"請求区分","単月"),0)
+IFERROR(GETPIVOTDATA("合計 / 入金予定",【ピボット】国保連売上!$A$3,"年月",$A445,"事業所コード",$B445,"事業所",$C445,"事業区分",M$1,"請求区分","再請求"),0))</f>
        <v/>
      </c>
      <c r="N445" s="660"/>
      <c r="O445" s="660"/>
      <c r="P445" s="660"/>
      <c r="Q445" s="660"/>
      <c r="R445" s="660"/>
      <c r="S445" s="660"/>
      <c r="T445" s="660"/>
      <c r="U445" s="660"/>
      <c r="V445" s="660"/>
      <c r="W445" s="660"/>
      <c r="X445" s="660"/>
      <c r="Y445" s="659" t="str">
        <f t="shared" si="21"/>
        <v/>
      </c>
      <c r="Z445" s="659" t="str">
        <f t="shared" si="20"/>
        <v/>
      </c>
    </row>
    <row r="446" spans="1:26" ht="15.95" customHeight="1" x14ac:dyDescent="0.15">
      <c r="A446" s="656"/>
      <c r="B446" s="657" t="str">
        <f t="shared" si="19"/>
        <v/>
      </c>
      <c r="C446" s="658"/>
      <c r="D446" s="659" t="str">
        <f>IF($A446="","",IFERROR(GETPIVOTDATA("合計 / 入金予定",【ピボット】国保連売上!$A$3,"年月",$A446,"事業所コード",$B446,"事業所",$C446,"事業区分",D$1,"請求区分","単月"),0)
+IFERROR(GETPIVOTDATA("合計 / 入金予定",【ピボット】国保連売上!$A$3,"年月",$A446,"事業所コード",$B446,"事業所",$C446,"事業区分",D$1,"請求区分","再請求"),0))</f>
        <v/>
      </c>
      <c r="E446" s="659" t="str">
        <f>IF($A446="","",IFERROR(GETPIVOTDATA("合計 / 処遇改善加算金",【ピボット】国保連売上!$A$3,"年月",$A446,"事業所コード",$B446,"事業所",$C446,"事業区分",D$1,"請求区分","単月"),0))</f>
        <v/>
      </c>
      <c r="F446" s="659" t="str">
        <f>IF($A446="","",IFERROR(GETPIVOTDATA("合計 / 入金予定",【ピボット】国保連売上!$A$3,"年月",$A446,"事業所コード",$B446,"事業所",$C446,"事業区分",F$1,"請求区分","単月"),0)
+IFERROR(GETPIVOTDATA("合計 / 入金予定",【ピボット】国保連売上!$A$3,"年月",$A446,"事業所コード",$B446,"事業所",$C446,"事業区分",F$1,"請求区分","再請求"),0))</f>
        <v/>
      </c>
      <c r="G446" s="659" t="str">
        <f>IF($A446="","",IFERROR(GETPIVOTDATA("合計 / 処遇改善加算金",【ピボット】国保連売上!$A$3,"年月",$A446,"事業所コード",$B446,"事業所",$C446,"事業区分",F$1,"請求区分","単月"),0))</f>
        <v/>
      </c>
      <c r="H446" s="659" t="str">
        <f>IF($A446="","",IFERROR(GETPIVOTDATA("合計 / 入金予定",【ピボット】国保連売上!$A$3,"年月",$A446,"事業所コード",$B446,"事業所",$C446,"事業区分",H$1,"請求区分","単月"),0)
+IFERROR(GETPIVOTDATA("合計 / 入金予定",【ピボット】国保連売上!$A$3,"年月",$A446,"事業所コード",$B446,"事業所",$C446,"事業区分",H$1,"請求区分","再請求"),0))</f>
        <v/>
      </c>
      <c r="I446" s="659" t="str">
        <f>IF($A446="","",IFERROR(GETPIVOTDATA("合計 / 入金予定",【ピボット】国保連売上!$A$3,"年月",$A446,"事業所コード",$B446,"事業所",$C446,"事業区分",I$1,"請求区分","単月"),0)
+IFERROR(GETPIVOTDATA("合計 / 入金予定",【ピボット】国保連売上!$A$3,"年月",$A446,"事業所コード",$B446,"事業所",$C446,"事業区分",I$1,"請求区分","再請求"),0))</f>
        <v/>
      </c>
      <c r="J446" s="659" t="str">
        <f>IF($A446="","",IFERROR(GETPIVOTDATA("合計 / 処遇改善加算金",【ピボット】国保連売上!$A$3,"年月",$A446,"事業所コード",$B446,"事業所",$C446,"事業区分",I$1,"請求区分","単月"),0))</f>
        <v/>
      </c>
      <c r="K446" s="659" t="str">
        <f>IF($A446="","",IFERROR(GETPIVOTDATA("合計 / 入金予定",【ピボット】国保連売上!$A$3,"年月",$A446,"事業所コード",$B446,"事業所",$C446,"事業区分",K$1,"請求区分","単月"),0)
+IFERROR(GETPIVOTDATA("合計 / 入金予定",【ピボット】国保連売上!$A$3,"年月",$A446,"事業所コード",$B446,"事業所",$C446,"事業区分",K$1,"請求区分","再請求"),0))</f>
        <v/>
      </c>
      <c r="L446" s="659" t="str">
        <f>IF($A446="","",IFERROR(GETPIVOTDATA("合計 / 処遇改善加算金",【ピボット】国保連売上!$A$3,"年月",$A446,"事業所コード",$B446,"事業所",$C446,"事業区分",K$1,"請求区分","単月"),0))</f>
        <v/>
      </c>
      <c r="M446" s="659" t="str">
        <f>IF($A446="","",IFERROR(GETPIVOTDATA("合計 / 入金予定",【ピボット】国保連売上!$A$3,"年月",$A446,"事業所コード",$B446,"事業所",$C446,"事業区分",M$1,"請求区分","単月"),0)
+IFERROR(GETPIVOTDATA("合計 / 入金予定",【ピボット】国保連売上!$A$3,"年月",$A446,"事業所コード",$B446,"事業所",$C446,"事業区分",M$1,"請求区分","再請求"),0))</f>
        <v/>
      </c>
      <c r="N446" s="660"/>
      <c r="O446" s="660"/>
      <c r="P446" s="660"/>
      <c r="Q446" s="660"/>
      <c r="R446" s="660"/>
      <c r="S446" s="660"/>
      <c r="T446" s="660"/>
      <c r="U446" s="660"/>
      <c r="V446" s="660"/>
      <c r="W446" s="660"/>
      <c r="X446" s="660"/>
      <c r="Y446" s="659" t="str">
        <f t="shared" si="21"/>
        <v/>
      </c>
      <c r="Z446" s="659" t="str">
        <f t="shared" si="20"/>
        <v/>
      </c>
    </row>
    <row r="447" spans="1:26" ht="15.95" customHeight="1" x14ac:dyDescent="0.15">
      <c r="A447" s="656"/>
      <c r="B447" s="657" t="str">
        <f t="shared" si="19"/>
        <v/>
      </c>
      <c r="C447" s="658"/>
      <c r="D447" s="659" t="str">
        <f>IF($A447="","",IFERROR(GETPIVOTDATA("合計 / 入金予定",【ピボット】国保連売上!$A$3,"年月",$A447,"事業所コード",$B447,"事業所",$C447,"事業区分",D$1,"請求区分","単月"),0)
+IFERROR(GETPIVOTDATA("合計 / 入金予定",【ピボット】国保連売上!$A$3,"年月",$A447,"事業所コード",$B447,"事業所",$C447,"事業区分",D$1,"請求区分","再請求"),0))</f>
        <v/>
      </c>
      <c r="E447" s="659" t="str">
        <f>IF($A447="","",IFERROR(GETPIVOTDATA("合計 / 処遇改善加算金",【ピボット】国保連売上!$A$3,"年月",$A447,"事業所コード",$B447,"事業所",$C447,"事業区分",D$1,"請求区分","単月"),0))</f>
        <v/>
      </c>
      <c r="F447" s="659" t="str">
        <f>IF($A447="","",IFERROR(GETPIVOTDATA("合計 / 入金予定",【ピボット】国保連売上!$A$3,"年月",$A447,"事業所コード",$B447,"事業所",$C447,"事業区分",F$1,"請求区分","単月"),0)
+IFERROR(GETPIVOTDATA("合計 / 入金予定",【ピボット】国保連売上!$A$3,"年月",$A447,"事業所コード",$B447,"事業所",$C447,"事業区分",F$1,"請求区分","再請求"),0))</f>
        <v/>
      </c>
      <c r="G447" s="659" t="str">
        <f>IF($A447="","",IFERROR(GETPIVOTDATA("合計 / 処遇改善加算金",【ピボット】国保連売上!$A$3,"年月",$A447,"事業所コード",$B447,"事業所",$C447,"事業区分",F$1,"請求区分","単月"),0))</f>
        <v/>
      </c>
      <c r="H447" s="659" t="str">
        <f>IF($A447="","",IFERROR(GETPIVOTDATA("合計 / 入金予定",【ピボット】国保連売上!$A$3,"年月",$A447,"事業所コード",$B447,"事業所",$C447,"事業区分",H$1,"請求区分","単月"),0)
+IFERROR(GETPIVOTDATA("合計 / 入金予定",【ピボット】国保連売上!$A$3,"年月",$A447,"事業所コード",$B447,"事業所",$C447,"事業区分",H$1,"請求区分","再請求"),0))</f>
        <v/>
      </c>
      <c r="I447" s="659" t="str">
        <f>IF($A447="","",IFERROR(GETPIVOTDATA("合計 / 入金予定",【ピボット】国保連売上!$A$3,"年月",$A447,"事業所コード",$B447,"事業所",$C447,"事業区分",I$1,"請求区分","単月"),0)
+IFERROR(GETPIVOTDATA("合計 / 入金予定",【ピボット】国保連売上!$A$3,"年月",$A447,"事業所コード",$B447,"事業所",$C447,"事業区分",I$1,"請求区分","再請求"),0))</f>
        <v/>
      </c>
      <c r="J447" s="659" t="str">
        <f>IF($A447="","",IFERROR(GETPIVOTDATA("合計 / 処遇改善加算金",【ピボット】国保連売上!$A$3,"年月",$A447,"事業所コード",$B447,"事業所",$C447,"事業区分",I$1,"請求区分","単月"),0))</f>
        <v/>
      </c>
      <c r="K447" s="659" t="str">
        <f>IF($A447="","",IFERROR(GETPIVOTDATA("合計 / 入金予定",【ピボット】国保連売上!$A$3,"年月",$A447,"事業所コード",$B447,"事業所",$C447,"事業区分",K$1,"請求区分","単月"),0)
+IFERROR(GETPIVOTDATA("合計 / 入金予定",【ピボット】国保連売上!$A$3,"年月",$A447,"事業所コード",$B447,"事業所",$C447,"事業区分",K$1,"請求区分","再請求"),0))</f>
        <v/>
      </c>
      <c r="L447" s="659" t="str">
        <f>IF($A447="","",IFERROR(GETPIVOTDATA("合計 / 処遇改善加算金",【ピボット】国保連売上!$A$3,"年月",$A447,"事業所コード",$B447,"事業所",$C447,"事業区分",K$1,"請求区分","単月"),0))</f>
        <v/>
      </c>
      <c r="M447" s="659" t="str">
        <f>IF($A447="","",IFERROR(GETPIVOTDATA("合計 / 入金予定",【ピボット】国保連売上!$A$3,"年月",$A447,"事業所コード",$B447,"事業所",$C447,"事業区分",M$1,"請求区分","単月"),0)
+IFERROR(GETPIVOTDATA("合計 / 入金予定",【ピボット】国保連売上!$A$3,"年月",$A447,"事業所コード",$B447,"事業所",$C447,"事業区分",M$1,"請求区分","再請求"),0))</f>
        <v/>
      </c>
      <c r="N447" s="660"/>
      <c r="O447" s="660"/>
      <c r="P447" s="660"/>
      <c r="Q447" s="660"/>
      <c r="R447" s="660"/>
      <c r="S447" s="660"/>
      <c r="T447" s="660"/>
      <c r="U447" s="660"/>
      <c r="V447" s="660"/>
      <c r="W447" s="660"/>
      <c r="X447" s="660"/>
      <c r="Y447" s="659" t="str">
        <f t="shared" si="21"/>
        <v/>
      </c>
      <c r="Z447" s="659" t="str">
        <f t="shared" si="20"/>
        <v/>
      </c>
    </row>
    <row r="448" spans="1:26" ht="15.95" customHeight="1" x14ac:dyDescent="0.15">
      <c r="A448" s="656"/>
      <c r="B448" s="657" t="str">
        <f t="shared" si="19"/>
        <v/>
      </c>
      <c r="C448" s="658"/>
      <c r="D448" s="659" t="str">
        <f>IF($A448="","",IFERROR(GETPIVOTDATA("合計 / 入金予定",【ピボット】国保連売上!$A$3,"年月",$A448,"事業所コード",$B448,"事業所",$C448,"事業区分",D$1,"請求区分","単月"),0)
+IFERROR(GETPIVOTDATA("合計 / 入金予定",【ピボット】国保連売上!$A$3,"年月",$A448,"事業所コード",$B448,"事業所",$C448,"事業区分",D$1,"請求区分","再請求"),0))</f>
        <v/>
      </c>
      <c r="E448" s="659" t="str">
        <f>IF($A448="","",IFERROR(GETPIVOTDATA("合計 / 処遇改善加算金",【ピボット】国保連売上!$A$3,"年月",$A448,"事業所コード",$B448,"事業所",$C448,"事業区分",D$1,"請求区分","単月"),0))</f>
        <v/>
      </c>
      <c r="F448" s="659" t="str">
        <f>IF($A448="","",IFERROR(GETPIVOTDATA("合計 / 入金予定",【ピボット】国保連売上!$A$3,"年月",$A448,"事業所コード",$B448,"事業所",$C448,"事業区分",F$1,"請求区分","単月"),0)
+IFERROR(GETPIVOTDATA("合計 / 入金予定",【ピボット】国保連売上!$A$3,"年月",$A448,"事業所コード",$B448,"事業所",$C448,"事業区分",F$1,"請求区分","再請求"),0))</f>
        <v/>
      </c>
      <c r="G448" s="659" t="str">
        <f>IF($A448="","",IFERROR(GETPIVOTDATA("合計 / 処遇改善加算金",【ピボット】国保連売上!$A$3,"年月",$A448,"事業所コード",$B448,"事業所",$C448,"事業区分",F$1,"請求区分","単月"),0))</f>
        <v/>
      </c>
      <c r="H448" s="659" t="str">
        <f>IF($A448="","",IFERROR(GETPIVOTDATA("合計 / 入金予定",【ピボット】国保連売上!$A$3,"年月",$A448,"事業所コード",$B448,"事業所",$C448,"事業区分",H$1,"請求区分","単月"),0)
+IFERROR(GETPIVOTDATA("合計 / 入金予定",【ピボット】国保連売上!$A$3,"年月",$A448,"事業所コード",$B448,"事業所",$C448,"事業区分",H$1,"請求区分","再請求"),0))</f>
        <v/>
      </c>
      <c r="I448" s="659" t="str">
        <f>IF($A448="","",IFERROR(GETPIVOTDATA("合計 / 入金予定",【ピボット】国保連売上!$A$3,"年月",$A448,"事業所コード",$B448,"事業所",$C448,"事業区分",I$1,"請求区分","単月"),0)
+IFERROR(GETPIVOTDATA("合計 / 入金予定",【ピボット】国保連売上!$A$3,"年月",$A448,"事業所コード",$B448,"事業所",$C448,"事業区分",I$1,"請求区分","再請求"),0))</f>
        <v/>
      </c>
      <c r="J448" s="659" t="str">
        <f>IF($A448="","",IFERROR(GETPIVOTDATA("合計 / 処遇改善加算金",【ピボット】国保連売上!$A$3,"年月",$A448,"事業所コード",$B448,"事業所",$C448,"事業区分",I$1,"請求区分","単月"),0))</f>
        <v/>
      </c>
      <c r="K448" s="659" t="str">
        <f>IF($A448="","",IFERROR(GETPIVOTDATA("合計 / 入金予定",【ピボット】国保連売上!$A$3,"年月",$A448,"事業所コード",$B448,"事業所",$C448,"事業区分",K$1,"請求区分","単月"),0)
+IFERROR(GETPIVOTDATA("合計 / 入金予定",【ピボット】国保連売上!$A$3,"年月",$A448,"事業所コード",$B448,"事業所",$C448,"事業区分",K$1,"請求区分","再請求"),0))</f>
        <v/>
      </c>
      <c r="L448" s="659" t="str">
        <f>IF($A448="","",IFERROR(GETPIVOTDATA("合計 / 処遇改善加算金",【ピボット】国保連売上!$A$3,"年月",$A448,"事業所コード",$B448,"事業所",$C448,"事業区分",K$1,"請求区分","単月"),0))</f>
        <v/>
      </c>
      <c r="M448" s="659" t="str">
        <f>IF($A448="","",IFERROR(GETPIVOTDATA("合計 / 入金予定",【ピボット】国保連売上!$A$3,"年月",$A448,"事業所コード",$B448,"事業所",$C448,"事業区分",M$1,"請求区分","単月"),0)
+IFERROR(GETPIVOTDATA("合計 / 入金予定",【ピボット】国保連売上!$A$3,"年月",$A448,"事業所コード",$B448,"事業所",$C448,"事業区分",M$1,"請求区分","再請求"),0))</f>
        <v/>
      </c>
      <c r="N448" s="660"/>
      <c r="O448" s="660"/>
      <c r="P448" s="660"/>
      <c r="Q448" s="660"/>
      <c r="R448" s="660"/>
      <c r="S448" s="660"/>
      <c r="T448" s="660"/>
      <c r="U448" s="660"/>
      <c r="V448" s="660"/>
      <c r="W448" s="660"/>
      <c r="X448" s="660"/>
      <c r="Y448" s="659" t="str">
        <f t="shared" si="21"/>
        <v/>
      </c>
      <c r="Z448" s="659" t="str">
        <f t="shared" si="20"/>
        <v/>
      </c>
    </row>
    <row r="449" spans="1:26" ht="15.95" customHeight="1" x14ac:dyDescent="0.15">
      <c r="A449" s="656"/>
      <c r="B449" s="657" t="str">
        <f t="shared" si="19"/>
        <v/>
      </c>
      <c r="C449" s="658"/>
      <c r="D449" s="659" t="str">
        <f>IF($A449="","",IFERROR(GETPIVOTDATA("合計 / 入金予定",【ピボット】国保連売上!$A$3,"年月",$A449,"事業所コード",$B449,"事業所",$C449,"事業区分",D$1,"請求区分","単月"),0)
+IFERROR(GETPIVOTDATA("合計 / 入金予定",【ピボット】国保連売上!$A$3,"年月",$A449,"事業所コード",$B449,"事業所",$C449,"事業区分",D$1,"請求区分","再請求"),0))</f>
        <v/>
      </c>
      <c r="E449" s="659" t="str">
        <f>IF($A449="","",IFERROR(GETPIVOTDATA("合計 / 処遇改善加算金",【ピボット】国保連売上!$A$3,"年月",$A449,"事業所コード",$B449,"事業所",$C449,"事業区分",D$1,"請求区分","単月"),0))</f>
        <v/>
      </c>
      <c r="F449" s="659" t="str">
        <f>IF($A449="","",IFERROR(GETPIVOTDATA("合計 / 入金予定",【ピボット】国保連売上!$A$3,"年月",$A449,"事業所コード",$B449,"事業所",$C449,"事業区分",F$1,"請求区分","単月"),0)
+IFERROR(GETPIVOTDATA("合計 / 入金予定",【ピボット】国保連売上!$A$3,"年月",$A449,"事業所コード",$B449,"事業所",$C449,"事業区分",F$1,"請求区分","再請求"),0))</f>
        <v/>
      </c>
      <c r="G449" s="659" t="str">
        <f>IF($A449="","",IFERROR(GETPIVOTDATA("合計 / 処遇改善加算金",【ピボット】国保連売上!$A$3,"年月",$A449,"事業所コード",$B449,"事業所",$C449,"事業区分",F$1,"請求区分","単月"),0))</f>
        <v/>
      </c>
      <c r="H449" s="659" t="str">
        <f>IF($A449="","",IFERROR(GETPIVOTDATA("合計 / 入金予定",【ピボット】国保連売上!$A$3,"年月",$A449,"事業所コード",$B449,"事業所",$C449,"事業区分",H$1,"請求区分","単月"),0)
+IFERROR(GETPIVOTDATA("合計 / 入金予定",【ピボット】国保連売上!$A$3,"年月",$A449,"事業所コード",$B449,"事業所",$C449,"事業区分",H$1,"請求区分","再請求"),0))</f>
        <v/>
      </c>
      <c r="I449" s="659" t="str">
        <f>IF($A449="","",IFERROR(GETPIVOTDATA("合計 / 入金予定",【ピボット】国保連売上!$A$3,"年月",$A449,"事業所コード",$B449,"事業所",$C449,"事業区分",I$1,"請求区分","単月"),0)
+IFERROR(GETPIVOTDATA("合計 / 入金予定",【ピボット】国保連売上!$A$3,"年月",$A449,"事業所コード",$B449,"事業所",$C449,"事業区分",I$1,"請求区分","再請求"),0))</f>
        <v/>
      </c>
      <c r="J449" s="659" t="str">
        <f>IF($A449="","",IFERROR(GETPIVOTDATA("合計 / 処遇改善加算金",【ピボット】国保連売上!$A$3,"年月",$A449,"事業所コード",$B449,"事業所",$C449,"事業区分",I$1,"請求区分","単月"),0))</f>
        <v/>
      </c>
      <c r="K449" s="659" t="str">
        <f>IF($A449="","",IFERROR(GETPIVOTDATA("合計 / 入金予定",【ピボット】国保連売上!$A$3,"年月",$A449,"事業所コード",$B449,"事業所",$C449,"事業区分",K$1,"請求区分","単月"),0)
+IFERROR(GETPIVOTDATA("合計 / 入金予定",【ピボット】国保連売上!$A$3,"年月",$A449,"事業所コード",$B449,"事業所",$C449,"事業区分",K$1,"請求区分","再請求"),0))</f>
        <v/>
      </c>
      <c r="L449" s="659" t="str">
        <f>IF($A449="","",IFERROR(GETPIVOTDATA("合計 / 処遇改善加算金",【ピボット】国保連売上!$A$3,"年月",$A449,"事業所コード",$B449,"事業所",$C449,"事業区分",K$1,"請求区分","単月"),0))</f>
        <v/>
      </c>
      <c r="M449" s="659" t="str">
        <f>IF($A449="","",IFERROR(GETPIVOTDATA("合計 / 入金予定",【ピボット】国保連売上!$A$3,"年月",$A449,"事業所コード",$B449,"事業所",$C449,"事業区分",M$1,"請求区分","単月"),0)
+IFERROR(GETPIVOTDATA("合計 / 入金予定",【ピボット】国保連売上!$A$3,"年月",$A449,"事業所コード",$B449,"事業所",$C449,"事業区分",M$1,"請求区分","再請求"),0))</f>
        <v/>
      </c>
      <c r="N449" s="660"/>
      <c r="O449" s="660"/>
      <c r="P449" s="660"/>
      <c r="Q449" s="660"/>
      <c r="R449" s="660"/>
      <c r="S449" s="660"/>
      <c r="T449" s="660"/>
      <c r="U449" s="660"/>
      <c r="V449" s="660"/>
      <c r="W449" s="660"/>
      <c r="X449" s="660"/>
      <c r="Y449" s="659" t="str">
        <f t="shared" si="21"/>
        <v/>
      </c>
      <c r="Z449" s="659" t="str">
        <f t="shared" si="20"/>
        <v/>
      </c>
    </row>
    <row r="450" spans="1:26" ht="15.95" customHeight="1" x14ac:dyDescent="0.15">
      <c r="A450" s="656"/>
      <c r="B450" s="657" t="str">
        <f t="shared" si="19"/>
        <v/>
      </c>
      <c r="C450" s="658"/>
      <c r="D450" s="659" t="str">
        <f>IF($A450="","",IFERROR(GETPIVOTDATA("合計 / 入金予定",【ピボット】国保連売上!$A$3,"年月",$A450,"事業所コード",$B450,"事業所",$C450,"事業区分",D$1,"請求区分","単月"),0)
+IFERROR(GETPIVOTDATA("合計 / 入金予定",【ピボット】国保連売上!$A$3,"年月",$A450,"事業所コード",$B450,"事業所",$C450,"事業区分",D$1,"請求区分","再請求"),0))</f>
        <v/>
      </c>
      <c r="E450" s="659" t="str">
        <f>IF($A450="","",IFERROR(GETPIVOTDATA("合計 / 処遇改善加算金",【ピボット】国保連売上!$A$3,"年月",$A450,"事業所コード",$B450,"事業所",$C450,"事業区分",D$1,"請求区分","単月"),0))</f>
        <v/>
      </c>
      <c r="F450" s="659" t="str">
        <f>IF($A450="","",IFERROR(GETPIVOTDATA("合計 / 入金予定",【ピボット】国保連売上!$A$3,"年月",$A450,"事業所コード",$B450,"事業所",$C450,"事業区分",F$1,"請求区分","単月"),0)
+IFERROR(GETPIVOTDATA("合計 / 入金予定",【ピボット】国保連売上!$A$3,"年月",$A450,"事業所コード",$B450,"事業所",$C450,"事業区分",F$1,"請求区分","再請求"),0))</f>
        <v/>
      </c>
      <c r="G450" s="659" t="str">
        <f>IF($A450="","",IFERROR(GETPIVOTDATA("合計 / 処遇改善加算金",【ピボット】国保連売上!$A$3,"年月",$A450,"事業所コード",$B450,"事業所",$C450,"事業区分",F$1,"請求区分","単月"),0))</f>
        <v/>
      </c>
      <c r="H450" s="659" t="str">
        <f>IF($A450="","",IFERROR(GETPIVOTDATA("合計 / 入金予定",【ピボット】国保連売上!$A$3,"年月",$A450,"事業所コード",$B450,"事業所",$C450,"事業区分",H$1,"請求区分","単月"),0)
+IFERROR(GETPIVOTDATA("合計 / 入金予定",【ピボット】国保連売上!$A$3,"年月",$A450,"事業所コード",$B450,"事業所",$C450,"事業区分",H$1,"請求区分","再請求"),0))</f>
        <v/>
      </c>
      <c r="I450" s="659" t="str">
        <f>IF($A450="","",IFERROR(GETPIVOTDATA("合計 / 入金予定",【ピボット】国保連売上!$A$3,"年月",$A450,"事業所コード",$B450,"事業所",$C450,"事業区分",I$1,"請求区分","単月"),0)
+IFERROR(GETPIVOTDATA("合計 / 入金予定",【ピボット】国保連売上!$A$3,"年月",$A450,"事業所コード",$B450,"事業所",$C450,"事業区分",I$1,"請求区分","再請求"),0))</f>
        <v/>
      </c>
      <c r="J450" s="659" t="str">
        <f>IF($A450="","",IFERROR(GETPIVOTDATA("合計 / 処遇改善加算金",【ピボット】国保連売上!$A$3,"年月",$A450,"事業所コード",$B450,"事業所",$C450,"事業区分",I$1,"請求区分","単月"),0))</f>
        <v/>
      </c>
      <c r="K450" s="659" t="str">
        <f>IF($A450="","",IFERROR(GETPIVOTDATA("合計 / 入金予定",【ピボット】国保連売上!$A$3,"年月",$A450,"事業所コード",$B450,"事業所",$C450,"事業区分",K$1,"請求区分","単月"),0)
+IFERROR(GETPIVOTDATA("合計 / 入金予定",【ピボット】国保連売上!$A$3,"年月",$A450,"事業所コード",$B450,"事業所",$C450,"事業区分",K$1,"請求区分","再請求"),0))</f>
        <v/>
      </c>
      <c r="L450" s="659" t="str">
        <f>IF($A450="","",IFERROR(GETPIVOTDATA("合計 / 処遇改善加算金",【ピボット】国保連売上!$A$3,"年月",$A450,"事業所コード",$B450,"事業所",$C450,"事業区分",K$1,"請求区分","単月"),0))</f>
        <v/>
      </c>
      <c r="M450" s="659" t="str">
        <f>IF($A450="","",IFERROR(GETPIVOTDATA("合計 / 入金予定",【ピボット】国保連売上!$A$3,"年月",$A450,"事業所コード",$B450,"事業所",$C450,"事業区分",M$1,"請求区分","単月"),0)
+IFERROR(GETPIVOTDATA("合計 / 入金予定",【ピボット】国保連売上!$A$3,"年月",$A450,"事業所コード",$B450,"事業所",$C450,"事業区分",M$1,"請求区分","再請求"),0))</f>
        <v/>
      </c>
      <c r="N450" s="660"/>
      <c r="O450" s="660"/>
      <c r="P450" s="660"/>
      <c r="Q450" s="660"/>
      <c r="R450" s="660"/>
      <c r="S450" s="660"/>
      <c r="T450" s="660"/>
      <c r="U450" s="660"/>
      <c r="V450" s="660"/>
      <c r="W450" s="660"/>
      <c r="X450" s="660"/>
      <c r="Y450" s="659" t="str">
        <f t="shared" si="21"/>
        <v/>
      </c>
      <c r="Z450" s="659" t="str">
        <f t="shared" si="20"/>
        <v/>
      </c>
    </row>
    <row r="451" spans="1:26" ht="15.95" customHeight="1" x14ac:dyDescent="0.15">
      <c r="A451" s="656"/>
      <c r="B451" s="657" t="str">
        <f t="shared" ref="B451:B500" si="22">IF(C451="","",VLOOKUP(C451,事業所コード2,2,FALSE))</f>
        <v/>
      </c>
      <c r="C451" s="658"/>
      <c r="D451" s="659" t="str">
        <f>IF($A451="","",IFERROR(GETPIVOTDATA("合計 / 入金予定",【ピボット】国保連売上!$A$3,"年月",$A451,"事業所コード",$B451,"事業所",$C451,"事業区分",D$1,"請求区分","単月"),0)
+IFERROR(GETPIVOTDATA("合計 / 入金予定",【ピボット】国保連売上!$A$3,"年月",$A451,"事業所コード",$B451,"事業所",$C451,"事業区分",D$1,"請求区分","再請求"),0))</f>
        <v/>
      </c>
      <c r="E451" s="659" t="str">
        <f>IF($A451="","",IFERROR(GETPIVOTDATA("合計 / 処遇改善加算金",【ピボット】国保連売上!$A$3,"年月",$A451,"事業所コード",$B451,"事業所",$C451,"事業区分",D$1,"請求区分","単月"),0))</f>
        <v/>
      </c>
      <c r="F451" s="659" t="str">
        <f>IF($A451="","",IFERROR(GETPIVOTDATA("合計 / 入金予定",【ピボット】国保連売上!$A$3,"年月",$A451,"事業所コード",$B451,"事業所",$C451,"事業区分",F$1,"請求区分","単月"),0)
+IFERROR(GETPIVOTDATA("合計 / 入金予定",【ピボット】国保連売上!$A$3,"年月",$A451,"事業所コード",$B451,"事業所",$C451,"事業区分",F$1,"請求区分","再請求"),0))</f>
        <v/>
      </c>
      <c r="G451" s="659" t="str">
        <f>IF($A451="","",IFERROR(GETPIVOTDATA("合計 / 処遇改善加算金",【ピボット】国保連売上!$A$3,"年月",$A451,"事業所コード",$B451,"事業所",$C451,"事業区分",F$1,"請求区分","単月"),0))</f>
        <v/>
      </c>
      <c r="H451" s="659" t="str">
        <f>IF($A451="","",IFERROR(GETPIVOTDATA("合計 / 入金予定",【ピボット】国保連売上!$A$3,"年月",$A451,"事業所コード",$B451,"事業所",$C451,"事業区分",H$1,"請求区分","単月"),0)
+IFERROR(GETPIVOTDATA("合計 / 入金予定",【ピボット】国保連売上!$A$3,"年月",$A451,"事業所コード",$B451,"事業所",$C451,"事業区分",H$1,"請求区分","再請求"),0))</f>
        <v/>
      </c>
      <c r="I451" s="659" t="str">
        <f>IF($A451="","",IFERROR(GETPIVOTDATA("合計 / 入金予定",【ピボット】国保連売上!$A$3,"年月",$A451,"事業所コード",$B451,"事業所",$C451,"事業区分",I$1,"請求区分","単月"),0)
+IFERROR(GETPIVOTDATA("合計 / 入金予定",【ピボット】国保連売上!$A$3,"年月",$A451,"事業所コード",$B451,"事業所",$C451,"事業区分",I$1,"請求区分","再請求"),0))</f>
        <v/>
      </c>
      <c r="J451" s="659" t="str">
        <f>IF($A451="","",IFERROR(GETPIVOTDATA("合計 / 処遇改善加算金",【ピボット】国保連売上!$A$3,"年月",$A451,"事業所コード",$B451,"事業所",$C451,"事業区分",I$1,"請求区分","単月"),0))</f>
        <v/>
      </c>
      <c r="K451" s="659" t="str">
        <f>IF($A451="","",IFERROR(GETPIVOTDATA("合計 / 入金予定",【ピボット】国保連売上!$A$3,"年月",$A451,"事業所コード",$B451,"事業所",$C451,"事業区分",K$1,"請求区分","単月"),0)
+IFERROR(GETPIVOTDATA("合計 / 入金予定",【ピボット】国保連売上!$A$3,"年月",$A451,"事業所コード",$B451,"事業所",$C451,"事業区分",K$1,"請求区分","再請求"),0))</f>
        <v/>
      </c>
      <c r="L451" s="659" t="str">
        <f>IF($A451="","",IFERROR(GETPIVOTDATA("合計 / 処遇改善加算金",【ピボット】国保連売上!$A$3,"年月",$A451,"事業所コード",$B451,"事業所",$C451,"事業区分",K$1,"請求区分","単月"),0))</f>
        <v/>
      </c>
      <c r="M451" s="659" t="str">
        <f>IF($A451="","",IFERROR(GETPIVOTDATA("合計 / 入金予定",【ピボット】国保連売上!$A$3,"年月",$A451,"事業所コード",$B451,"事業所",$C451,"事業区分",M$1,"請求区分","単月"),0)
+IFERROR(GETPIVOTDATA("合計 / 入金予定",【ピボット】国保連売上!$A$3,"年月",$A451,"事業所コード",$B451,"事業所",$C451,"事業区分",M$1,"請求区分","再請求"),0))</f>
        <v/>
      </c>
      <c r="N451" s="660"/>
      <c r="O451" s="660"/>
      <c r="P451" s="660"/>
      <c r="Q451" s="660"/>
      <c r="R451" s="660"/>
      <c r="S451" s="660"/>
      <c r="T451" s="660"/>
      <c r="U451" s="660"/>
      <c r="V451" s="660"/>
      <c r="W451" s="660"/>
      <c r="X451" s="660"/>
      <c r="Y451" s="659" t="str">
        <f t="shared" si="21"/>
        <v/>
      </c>
      <c r="Z451" s="659" t="str">
        <f t="shared" ref="Z451:Z500" si="23">IF(B451="","",SUM(N451:X451))</f>
        <v/>
      </c>
    </row>
    <row r="452" spans="1:26" ht="15.95" customHeight="1" x14ac:dyDescent="0.15">
      <c r="A452" s="656"/>
      <c r="B452" s="657" t="str">
        <f t="shared" si="22"/>
        <v/>
      </c>
      <c r="C452" s="658"/>
      <c r="D452" s="659" t="str">
        <f>IF($A452="","",IFERROR(GETPIVOTDATA("合計 / 入金予定",【ピボット】国保連売上!$A$3,"年月",$A452,"事業所コード",$B452,"事業所",$C452,"事業区分",D$1,"請求区分","単月"),0)
+IFERROR(GETPIVOTDATA("合計 / 入金予定",【ピボット】国保連売上!$A$3,"年月",$A452,"事業所コード",$B452,"事業所",$C452,"事業区分",D$1,"請求区分","再請求"),0))</f>
        <v/>
      </c>
      <c r="E452" s="659" t="str">
        <f>IF($A452="","",IFERROR(GETPIVOTDATA("合計 / 処遇改善加算金",【ピボット】国保連売上!$A$3,"年月",$A452,"事業所コード",$B452,"事業所",$C452,"事業区分",D$1,"請求区分","単月"),0))</f>
        <v/>
      </c>
      <c r="F452" s="659" t="str">
        <f>IF($A452="","",IFERROR(GETPIVOTDATA("合計 / 入金予定",【ピボット】国保連売上!$A$3,"年月",$A452,"事業所コード",$B452,"事業所",$C452,"事業区分",F$1,"請求区分","単月"),0)
+IFERROR(GETPIVOTDATA("合計 / 入金予定",【ピボット】国保連売上!$A$3,"年月",$A452,"事業所コード",$B452,"事業所",$C452,"事業区分",F$1,"請求区分","再請求"),0))</f>
        <v/>
      </c>
      <c r="G452" s="659" t="str">
        <f>IF($A452="","",IFERROR(GETPIVOTDATA("合計 / 処遇改善加算金",【ピボット】国保連売上!$A$3,"年月",$A452,"事業所コード",$B452,"事業所",$C452,"事業区分",F$1,"請求区分","単月"),0))</f>
        <v/>
      </c>
      <c r="H452" s="659" t="str">
        <f>IF($A452="","",IFERROR(GETPIVOTDATA("合計 / 入金予定",【ピボット】国保連売上!$A$3,"年月",$A452,"事業所コード",$B452,"事業所",$C452,"事業区分",H$1,"請求区分","単月"),0)
+IFERROR(GETPIVOTDATA("合計 / 入金予定",【ピボット】国保連売上!$A$3,"年月",$A452,"事業所コード",$B452,"事業所",$C452,"事業区分",H$1,"請求区分","再請求"),0))</f>
        <v/>
      </c>
      <c r="I452" s="659" t="str">
        <f>IF($A452="","",IFERROR(GETPIVOTDATA("合計 / 入金予定",【ピボット】国保連売上!$A$3,"年月",$A452,"事業所コード",$B452,"事業所",$C452,"事業区分",I$1,"請求区分","単月"),0)
+IFERROR(GETPIVOTDATA("合計 / 入金予定",【ピボット】国保連売上!$A$3,"年月",$A452,"事業所コード",$B452,"事業所",$C452,"事業区分",I$1,"請求区分","再請求"),0))</f>
        <v/>
      </c>
      <c r="J452" s="659" t="str">
        <f>IF($A452="","",IFERROR(GETPIVOTDATA("合計 / 処遇改善加算金",【ピボット】国保連売上!$A$3,"年月",$A452,"事業所コード",$B452,"事業所",$C452,"事業区分",I$1,"請求区分","単月"),0))</f>
        <v/>
      </c>
      <c r="K452" s="659" t="str">
        <f>IF($A452="","",IFERROR(GETPIVOTDATA("合計 / 入金予定",【ピボット】国保連売上!$A$3,"年月",$A452,"事業所コード",$B452,"事業所",$C452,"事業区分",K$1,"請求区分","単月"),0)
+IFERROR(GETPIVOTDATA("合計 / 入金予定",【ピボット】国保連売上!$A$3,"年月",$A452,"事業所コード",$B452,"事業所",$C452,"事業区分",K$1,"請求区分","再請求"),0))</f>
        <v/>
      </c>
      <c r="L452" s="659" t="str">
        <f>IF($A452="","",IFERROR(GETPIVOTDATA("合計 / 処遇改善加算金",【ピボット】国保連売上!$A$3,"年月",$A452,"事業所コード",$B452,"事業所",$C452,"事業区分",K$1,"請求区分","単月"),0))</f>
        <v/>
      </c>
      <c r="M452" s="659" t="str">
        <f>IF($A452="","",IFERROR(GETPIVOTDATA("合計 / 入金予定",【ピボット】国保連売上!$A$3,"年月",$A452,"事業所コード",$B452,"事業所",$C452,"事業区分",M$1,"請求区分","単月"),0)
+IFERROR(GETPIVOTDATA("合計 / 入金予定",【ピボット】国保連売上!$A$3,"年月",$A452,"事業所コード",$B452,"事業所",$C452,"事業区分",M$1,"請求区分","再請求"),0))</f>
        <v/>
      </c>
      <c r="N452" s="660"/>
      <c r="O452" s="660"/>
      <c r="P452" s="660"/>
      <c r="Q452" s="660"/>
      <c r="R452" s="660"/>
      <c r="S452" s="660"/>
      <c r="T452" s="660"/>
      <c r="U452" s="660"/>
      <c r="V452" s="660"/>
      <c r="W452" s="660"/>
      <c r="X452" s="660"/>
      <c r="Y452" s="659" t="str">
        <f t="shared" si="21"/>
        <v/>
      </c>
      <c r="Z452" s="659" t="str">
        <f t="shared" si="23"/>
        <v/>
      </c>
    </row>
    <row r="453" spans="1:26" ht="15.95" customHeight="1" x14ac:dyDescent="0.15">
      <c r="A453" s="656"/>
      <c r="B453" s="657" t="str">
        <f t="shared" si="22"/>
        <v/>
      </c>
      <c r="C453" s="658"/>
      <c r="D453" s="659" t="str">
        <f>IF($A453="","",IFERROR(GETPIVOTDATA("合計 / 入金予定",【ピボット】国保連売上!$A$3,"年月",$A453,"事業所コード",$B453,"事業所",$C453,"事業区分",D$1,"請求区分","単月"),0)
+IFERROR(GETPIVOTDATA("合計 / 入金予定",【ピボット】国保連売上!$A$3,"年月",$A453,"事業所コード",$B453,"事業所",$C453,"事業区分",D$1,"請求区分","再請求"),0))</f>
        <v/>
      </c>
      <c r="E453" s="659" t="str">
        <f>IF($A453="","",IFERROR(GETPIVOTDATA("合計 / 処遇改善加算金",【ピボット】国保連売上!$A$3,"年月",$A453,"事業所コード",$B453,"事業所",$C453,"事業区分",D$1,"請求区分","単月"),0))</f>
        <v/>
      </c>
      <c r="F453" s="659" t="str">
        <f>IF($A453="","",IFERROR(GETPIVOTDATA("合計 / 入金予定",【ピボット】国保連売上!$A$3,"年月",$A453,"事業所コード",$B453,"事業所",$C453,"事業区分",F$1,"請求区分","単月"),0)
+IFERROR(GETPIVOTDATA("合計 / 入金予定",【ピボット】国保連売上!$A$3,"年月",$A453,"事業所コード",$B453,"事業所",$C453,"事業区分",F$1,"請求区分","再請求"),0))</f>
        <v/>
      </c>
      <c r="G453" s="659" t="str">
        <f>IF($A453="","",IFERROR(GETPIVOTDATA("合計 / 処遇改善加算金",【ピボット】国保連売上!$A$3,"年月",$A453,"事業所コード",$B453,"事業所",$C453,"事業区分",F$1,"請求区分","単月"),0))</f>
        <v/>
      </c>
      <c r="H453" s="659" t="str">
        <f>IF($A453="","",IFERROR(GETPIVOTDATA("合計 / 入金予定",【ピボット】国保連売上!$A$3,"年月",$A453,"事業所コード",$B453,"事業所",$C453,"事業区分",H$1,"請求区分","単月"),0)
+IFERROR(GETPIVOTDATA("合計 / 入金予定",【ピボット】国保連売上!$A$3,"年月",$A453,"事業所コード",$B453,"事業所",$C453,"事業区分",H$1,"請求区分","再請求"),0))</f>
        <v/>
      </c>
      <c r="I453" s="659" t="str">
        <f>IF($A453="","",IFERROR(GETPIVOTDATA("合計 / 入金予定",【ピボット】国保連売上!$A$3,"年月",$A453,"事業所コード",$B453,"事業所",$C453,"事業区分",I$1,"請求区分","単月"),0)
+IFERROR(GETPIVOTDATA("合計 / 入金予定",【ピボット】国保連売上!$A$3,"年月",$A453,"事業所コード",$B453,"事業所",$C453,"事業区分",I$1,"請求区分","再請求"),0))</f>
        <v/>
      </c>
      <c r="J453" s="659" t="str">
        <f>IF($A453="","",IFERROR(GETPIVOTDATA("合計 / 処遇改善加算金",【ピボット】国保連売上!$A$3,"年月",$A453,"事業所コード",$B453,"事業所",$C453,"事業区分",I$1,"請求区分","単月"),0))</f>
        <v/>
      </c>
      <c r="K453" s="659" t="str">
        <f>IF($A453="","",IFERROR(GETPIVOTDATA("合計 / 入金予定",【ピボット】国保連売上!$A$3,"年月",$A453,"事業所コード",$B453,"事業所",$C453,"事業区分",K$1,"請求区分","単月"),0)
+IFERROR(GETPIVOTDATA("合計 / 入金予定",【ピボット】国保連売上!$A$3,"年月",$A453,"事業所コード",$B453,"事業所",$C453,"事業区分",K$1,"請求区分","再請求"),0))</f>
        <v/>
      </c>
      <c r="L453" s="659" t="str">
        <f>IF($A453="","",IFERROR(GETPIVOTDATA("合計 / 処遇改善加算金",【ピボット】国保連売上!$A$3,"年月",$A453,"事業所コード",$B453,"事業所",$C453,"事業区分",K$1,"請求区分","単月"),0))</f>
        <v/>
      </c>
      <c r="M453" s="659" t="str">
        <f>IF($A453="","",IFERROR(GETPIVOTDATA("合計 / 入金予定",【ピボット】国保連売上!$A$3,"年月",$A453,"事業所コード",$B453,"事業所",$C453,"事業区分",M$1,"請求区分","単月"),0)
+IFERROR(GETPIVOTDATA("合計 / 入金予定",【ピボット】国保連売上!$A$3,"年月",$A453,"事業所コード",$B453,"事業所",$C453,"事業区分",M$1,"請求区分","再請求"),0))</f>
        <v/>
      </c>
      <c r="N453" s="660"/>
      <c r="O453" s="660"/>
      <c r="P453" s="660"/>
      <c r="Q453" s="660"/>
      <c r="R453" s="660"/>
      <c r="S453" s="660"/>
      <c r="T453" s="660"/>
      <c r="U453" s="660"/>
      <c r="V453" s="660"/>
      <c r="W453" s="660"/>
      <c r="X453" s="660"/>
      <c r="Y453" s="659" t="str">
        <f t="shared" si="21"/>
        <v/>
      </c>
      <c r="Z453" s="659" t="str">
        <f t="shared" si="23"/>
        <v/>
      </c>
    </row>
    <row r="454" spans="1:26" ht="15.95" customHeight="1" x14ac:dyDescent="0.15">
      <c r="A454" s="656"/>
      <c r="B454" s="657" t="str">
        <f t="shared" si="22"/>
        <v/>
      </c>
      <c r="C454" s="658"/>
      <c r="D454" s="659" t="str">
        <f>IF($A454="","",IFERROR(GETPIVOTDATA("合計 / 入金予定",【ピボット】国保連売上!$A$3,"年月",$A454,"事業所コード",$B454,"事業所",$C454,"事業区分",D$1,"請求区分","単月"),0)
+IFERROR(GETPIVOTDATA("合計 / 入金予定",【ピボット】国保連売上!$A$3,"年月",$A454,"事業所コード",$B454,"事業所",$C454,"事業区分",D$1,"請求区分","再請求"),0))</f>
        <v/>
      </c>
      <c r="E454" s="659" t="str">
        <f>IF($A454="","",IFERROR(GETPIVOTDATA("合計 / 処遇改善加算金",【ピボット】国保連売上!$A$3,"年月",$A454,"事業所コード",$B454,"事業所",$C454,"事業区分",D$1,"請求区分","単月"),0))</f>
        <v/>
      </c>
      <c r="F454" s="659" t="str">
        <f>IF($A454="","",IFERROR(GETPIVOTDATA("合計 / 入金予定",【ピボット】国保連売上!$A$3,"年月",$A454,"事業所コード",$B454,"事業所",$C454,"事業区分",F$1,"請求区分","単月"),0)
+IFERROR(GETPIVOTDATA("合計 / 入金予定",【ピボット】国保連売上!$A$3,"年月",$A454,"事業所コード",$B454,"事業所",$C454,"事業区分",F$1,"請求区分","再請求"),0))</f>
        <v/>
      </c>
      <c r="G454" s="659" t="str">
        <f>IF($A454="","",IFERROR(GETPIVOTDATA("合計 / 処遇改善加算金",【ピボット】国保連売上!$A$3,"年月",$A454,"事業所コード",$B454,"事業所",$C454,"事業区分",F$1,"請求区分","単月"),0))</f>
        <v/>
      </c>
      <c r="H454" s="659" t="str">
        <f>IF($A454="","",IFERROR(GETPIVOTDATA("合計 / 入金予定",【ピボット】国保連売上!$A$3,"年月",$A454,"事業所コード",$B454,"事業所",$C454,"事業区分",H$1,"請求区分","単月"),0)
+IFERROR(GETPIVOTDATA("合計 / 入金予定",【ピボット】国保連売上!$A$3,"年月",$A454,"事業所コード",$B454,"事業所",$C454,"事業区分",H$1,"請求区分","再請求"),0))</f>
        <v/>
      </c>
      <c r="I454" s="659" t="str">
        <f>IF($A454="","",IFERROR(GETPIVOTDATA("合計 / 入金予定",【ピボット】国保連売上!$A$3,"年月",$A454,"事業所コード",$B454,"事業所",$C454,"事業区分",I$1,"請求区分","単月"),0)
+IFERROR(GETPIVOTDATA("合計 / 入金予定",【ピボット】国保連売上!$A$3,"年月",$A454,"事業所コード",$B454,"事業所",$C454,"事業区分",I$1,"請求区分","再請求"),0))</f>
        <v/>
      </c>
      <c r="J454" s="659" t="str">
        <f>IF($A454="","",IFERROR(GETPIVOTDATA("合計 / 処遇改善加算金",【ピボット】国保連売上!$A$3,"年月",$A454,"事業所コード",$B454,"事業所",$C454,"事業区分",I$1,"請求区分","単月"),0))</f>
        <v/>
      </c>
      <c r="K454" s="659" t="str">
        <f>IF($A454="","",IFERROR(GETPIVOTDATA("合計 / 入金予定",【ピボット】国保連売上!$A$3,"年月",$A454,"事業所コード",$B454,"事業所",$C454,"事業区分",K$1,"請求区分","単月"),0)
+IFERROR(GETPIVOTDATA("合計 / 入金予定",【ピボット】国保連売上!$A$3,"年月",$A454,"事業所コード",$B454,"事業所",$C454,"事業区分",K$1,"請求区分","再請求"),0))</f>
        <v/>
      </c>
      <c r="L454" s="659" t="str">
        <f>IF($A454="","",IFERROR(GETPIVOTDATA("合計 / 処遇改善加算金",【ピボット】国保連売上!$A$3,"年月",$A454,"事業所コード",$B454,"事業所",$C454,"事業区分",K$1,"請求区分","単月"),0))</f>
        <v/>
      </c>
      <c r="M454" s="659" t="str">
        <f>IF($A454="","",IFERROR(GETPIVOTDATA("合計 / 入金予定",【ピボット】国保連売上!$A$3,"年月",$A454,"事業所コード",$B454,"事業所",$C454,"事業区分",M$1,"請求区分","単月"),0)
+IFERROR(GETPIVOTDATA("合計 / 入金予定",【ピボット】国保連売上!$A$3,"年月",$A454,"事業所コード",$B454,"事業所",$C454,"事業区分",M$1,"請求区分","再請求"),0))</f>
        <v/>
      </c>
      <c r="N454" s="660"/>
      <c r="O454" s="660"/>
      <c r="P454" s="660"/>
      <c r="Q454" s="660"/>
      <c r="R454" s="660"/>
      <c r="S454" s="660"/>
      <c r="T454" s="660"/>
      <c r="U454" s="660"/>
      <c r="V454" s="660"/>
      <c r="W454" s="660"/>
      <c r="X454" s="660"/>
      <c r="Y454" s="659" t="str">
        <f t="shared" si="21"/>
        <v/>
      </c>
      <c r="Z454" s="659" t="str">
        <f t="shared" si="23"/>
        <v/>
      </c>
    </row>
    <row r="455" spans="1:26" ht="15.95" customHeight="1" x14ac:dyDescent="0.15">
      <c r="A455" s="656"/>
      <c r="B455" s="657" t="str">
        <f t="shared" si="22"/>
        <v/>
      </c>
      <c r="C455" s="658"/>
      <c r="D455" s="659" t="str">
        <f>IF($A455="","",IFERROR(GETPIVOTDATA("合計 / 入金予定",【ピボット】国保連売上!$A$3,"年月",$A455,"事業所コード",$B455,"事業所",$C455,"事業区分",D$1,"請求区分","単月"),0)
+IFERROR(GETPIVOTDATA("合計 / 入金予定",【ピボット】国保連売上!$A$3,"年月",$A455,"事業所コード",$B455,"事業所",$C455,"事業区分",D$1,"請求区分","再請求"),0))</f>
        <v/>
      </c>
      <c r="E455" s="659" t="str">
        <f>IF($A455="","",IFERROR(GETPIVOTDATA("合計 / 処遇改善加算金",【ピボット】国保連売上!$A$3,"年月",$A455,"事業所コード",$B455,"事業所",$C455,"事業区分",D$1,"請求区分","単月"),0))</f>
        <v/>
      </c>
      <c r="F455" s="659" t="str">
        <f>IF($A455="","",IFERROR(GETPIVOTDATA("合計 / 入金予定",【ピボット】国保連売上!$A$3,"年月",$A455,"事業所コード",$B455,"事業所",$C455,"事業区分",F$1,"請求区分","単月"),0)
+IFERROR(GETPIVOTDATA("合計 / 入金予定",【ピボット】国保連売上!$A$3,"年月",$A455,"事業所コード",$B455,"事業所",$C455,"事業区分",F$1,"請求区分","再請求"),0))</f>
        <v/>
      </c>
      <c r="G455" s="659" t="str">
        <f>IF($A455="","",IFERROR(GETPIVOTDATA("合計 / 処遇改善加算金",【ピボット】国保連売上!$A$3,"年月",$A455,"事業所コード",$B455,"事業所",$C455,"事業区分",F$1,"請求区分","単月"),0))</f>
        <v/>
      </c>
      <c r="H455" s="659" t="str">
        <f>IF($A455="","",IFERROR(GETPIVOTDATA("合計 / 入金予定",【ピボット】国保連売上!$A$3,"年月",$A455,"事業所コード",$B455,"事業所",$C455,"事業区分",H$1,"請求区分","単月"),0)
+IFERROR(GETPIVOTDATA("合計 / 入金予定",【ピボット】国保連売上!$A$3,"年月",$A455,"事業所コード",$B455,"事業所",$C455,"事業区分",H$1,"請求区分","再請求"),0))</f>
        <v/>
      </c>
      <c r="I455" s="659" t="str">
        <f>IF($A455="","",IFERROR(GETPIVOTDATA("合計 / 入金予定",【ピボット】国保連売上!$A$3,"年月",$A455,"事業所コード",$B455,"事業所",$C455,"事業区分",I$1,"請求区分","単月"),0)
+IFERROR(GETPIVOTDATA("合計 / 入金予定",【ピボット】国保連売上!$A$3,"年月",$A455,"事業所コード",$B455,"事業所",$C455,"事業区分",I$1,"請求区分","再請求"),0))</f>
        <v/>
      </c>
      <c r="J455" s="659" t="str">
        <f>IF($A455="","",IFERROR(GETPIVOTDATA("合計 / 処遇改善加算金",【ピボット】国保連売上!$A$3,"年月",$A455,"事業所コード",$B455,"事業所",$C455,"事業区分",I$1,"請求区分","単月"),0))</f>
        <v/>
      </c>
      <c r="K455" s="659" t="str">
        <f>IF($A455="","",IFERROR(GETPIVOTDATA("合計 / 入金予定",【ピボット】国保連売上!$A$3,"年月",$A455,"事業所コード",$B455,"事業所",$C455,"事業区分",K$1,"請求区分","単月"),0)
+IFERROR(GETPIVOTDATA("合計 / 入金予定",【ピボット】国保連売上!$A$3,"年月",$A455,"事業所コード",$B455,"事業所",$C455,"事業区分",K$1,"請求区分","再請求"),0))</f>
        <v/>
      </c>
      <c r="L455" s="659" t="str">
        <f>IF($A455="","",IFERROR(GETPIVOTDATA("合計 / 処遇改善加算金",【ピボット】国保連売上!$A$3,"年月",$A455,"事業所コード",$B455,"事業所",$C455,"事業区分",K$1,"請求区分","単月"),0))</f>
        <v/>
      </c>
      <c r="M455" s="659" t="str">
        <f>IF($A455="","",IFERROR(GETPIVOTDATA("合計 / 入金予定",【ピボット】国保連売上!$A$3,"年月",$A455,"事業所コード",$B455,"事業所",$C455,"事業区分",M$1,"請求区分","単月"),0)
+IFERROR(GETPIVOTDATA("合計 / 入金予定",【ピボット】国保連売上!$A$3,"年月",$A455,"事業所コード",$B455,"事業所",$C455,"事業区分",M$1,"請求区分","再請求"),0))</f>
        <v/>
      </c>
      <c r="N455" s="660"/>
      <c r="O455" s="660"/>
      <c r="P455" s="660"/>
      <c r="Q455" s="660"/>
      <c r="R455" s="660"/>
      <c r="S455" s="660"/>
      <c r="T455" s="660"/>
      <c r="U455" s="660"/>
      <c r="V455" s="660"/>
      <c r="W455" s="660"/>
      <c r="X455" s="660"/>
      <c r="Y455" s="659" t="str">
        <f t="shared" si="21"/>
        <v/>
      </c>
      <c r="Z455" s="659" t="str">
        <f t="shared" si="23"/>
        <v/>
      </c>
    </row>
    <row r="456" spans="1:26" ht="15.95" customHeight="1" x14ac:dyDescent="0.15">
      <c r="A456" s="656"/>
      <c r="B456" s="657" t="str">
        <f t="shared" si="22"/>
        <v/>
      </c>
      <c r="C456" s="658"/>
      <c r="D456" s="659" t="str">
        <f>IF($A456="","",IFERROR(GETPIVOTDATA("合計 / 入金予定",【ピボット】国保連売上!$A$3,"年月",$A456,"事業所コード",$B456,"事業所",$C456,"事業区分",D$1,"請求区分","単月"),0)
+IFERROR(GETPIVOTDATA("合計 / 入金予定",【ピボット】国保連売上!$A$3,"年月",$A456,"事業所コード",$B456,"事業所",$C456,"事業区分",D$1,"請求区分","再請求"),0))</f>
        <v/>
      </c>
      <c r="E456" s="659" t="str">
        <f>IF($A456="","",IFERROR(GETPIVOTDATA("合計 / 処遇改善加算金",【ピボット】国保連売上!$A$3,"年月",$A456,"事業所コード",$B456,"事業所",$C456,"事業区分",D$1,"請求区分","単月"),0))</f>
        <v/>
      </c>
      <c r="F456" s="659" t="str">
        <f>IF($A456="","",IFERROR(GETPIVOTDATA("合計 / 入金予定",【ピボット】国保連売上!$A$3,"年月",$A456,"事業所コード",$B456,"事業所",$C456,"事業区分",F$1,"請求区分","単月"),0)
+IFERROR(GETPIVOTDATA("合計 / 入金予定",【ピボット】国保連売上!$A$3,"年月",$A456,"事業所コード",$B456,"事業所",$C456,"事業区分",F$1,"請求区分","再請求"),0))</f>
        <v/>
      </c>
      <c r="G456" s="659" t="str">
        <f>IF($A456="","",IFERROR(GETPIVOTDATA("合計 / 処遇改善加算金",【ピボット】国保連売上!$A$3,"年月",$A456,"事業所コード",$B456,"事業所",$C456,"事業区分",F$1,"請求区分","単月"),0))</f>
        <v/>
      </c>
      <c r="H456" s="659" t="str">
        <f>IF($A456="","",IFERROR(GETPIVOTDATA("合計 / 入金予定",【ピボット】国保連売上!$A$3,"年月",$A456,"事業所コード",$B456,"事業所",$C456,"事業区分",H$1,"請求区分","単月"),0)
+IFERROR(GETPIVOTDATA("合計 / 入金予定",【ピボット】国保連売上!$A$3,"年月",$A456,"事業所コード",$B456,"事業所",$C456,"事業区分",H$1,"請求区分","再請求"),0))</f>
        <v/>
      </c>
      <c r="I456" s="659" t="str">
        <f>IF($A456="","",IFERROR(GETPIVOTDATA("合計 / 入金予定",【ピボット】国保連売上!$A$3,"年月",$A456,"事業所コード",$B456,"事業所",$C456,"事業区分",I$1,"請求区分","単月"),0)
+IFERROR(GETPIVOTDATA("合計 / 入金予定",【ピボット】国保連売上!$A$3,"年月",$A456,"事業所コード",$B456,"事業所",$C456,"事業区分",I$1,"請求区分","再請求"),0))</f>
        <v/>
      </c>
      <c r="J456" s="659" t="str">
        <f>IF($A456="","",IFERROR(GETPIVOTDATA("合計 / 処遇改善加算金",【ピボット】国保連売上!$A$3,"年月",$A456,"事業所コード",$B456,"事業所",$C456,"事業区分",I$1,"請求区分","単月"),0))</f>
        <v/>
      </c>
      <c r="K456" s="659" t="str">
        <f>IF($A456="","",IFERROR(GETPIVOTDATA("合計 / 入金予定",【ピボット】国保連売上!$A$3,"年月",$A456,"事業所コード",$B456,"事業所",$C456,"事業区分",K$1,"請求区分","単月"),0)
+IFERROR(GETPIVOTDATA("合計 / 入金予定",【ピボット】国保連売上!$A$3,"年月",$A456,"事業所コード",$B456,"事業所",$C456,"事業区分",K$1,"請求区分","再請求"),0))</f>
        <v/>
      </c>
      <c r="L456" s="659" t="str">
        <f>IF($A456="","",IFERROR(GETPIVOTDATA("合計 / 処遇改善加算金",【ピボット】国保連売上!$A$3,"年月",$A456,"事業所コード",$B456,"事業所",$C456,"事業区分",K$1,"請求区分","単月"),0))</f>
        <v/>
      </c>
      <c r="M456" s="659" t="str">
        <f>IF($A456="","",IFERROR(GETPIVOTDATA("合計 / 入金予定",【ピボット】国保連売上!$A$3,"年月",$A456,"事業所コード",$B456,"事業所",$C456,"事業区分",M$1,"請求区分","単月"),0)
+IFERROR(GETPIVOTDATA("合計 / 入金予定",【ピボット】国保連売上!$A$3,"年月",$A456,"事業所コード",$B456,"事業所",$C456,"事業区分",M$1,"請求区分","再請求"),0))</f>
        <v/>
      </c>
      <c r="N456" s="660"/>
      <c r="O456" s="660"/>
      <c r="P456" s="660"/>
      <c r="Q456" s="660"/>
      <c r="R456" s="660"/>
      <c r="S456" s="660"/>
      <c r="T456" s="660"/>
      <c r="U456" s="660"/>
      <c r="V456" s="660"/>
      <c r="W456" s="660"/>
      <c r="X456" s="660"/>
      <c r="Y456" s="659" t="str">
        <f t="shared" si="21"/>
        <v/>
      </c>
      <c r="Z456" s="659" t="str">
        <f t="shared" si="23"/>
        <v/>
      </c>
    </row>
    <row r="457" spans="1:26" ht="15.95" customHeight="1" x14ac:dyDescent="0.15">
      <c r="A457" s="656"/>
      <c r="B457" s="657" t="str">
        <f t="shared" si="22"/>
        <v/>
      </c>
      <c r="C457" s="658"/>
      <c r="D457" s="659" t="str">
        <f>IF($A457="","",IFERROR(GETPIVOTDATA("合計 / 入金予定",【ピボット】国保連売上!$A$3,"年月",$A457,"事業所コード",$B457,"事業所",$C457,"事業区分",D$1,"請求区分","単月"),0)
+IFERROR(GETPIVOTDATA("合計 / 入金予定",【ピボット】国保連売上!$A$3,"年月",$A457,"事業所コード",$B457,"事業所",$C457,"事業区分",D$1,"請求区分","再請求"),0))</f>
        <v/>
      </c>
      <c r="E457" s="659" t="str">
        <f>IF($A457="","",IFERROR(GETPIVOTDATA("合計 / 処遇改善加算金",【ピボット】国保連売上!$A$3,"年月",$A457,"事業所コード",$B457,"事業所",$C457,"事業区分",D$1,"請求区分","単月"),0))</f>
        <v/>
      </c>
      <c r="F457" s="659" t="str">
        <f>IF($A457="","",IFERROR(GETPIVOTDATA("合計 / 入金予定",【ピボット】国保連売上!$A$3,"年月",$A457,"事業所コード",$B457,"事業所",$C457,"事業区分",F$1,"請求区分","単月"),0)
+IFERROR(GETPIVOTDATA("合計 / 入金予定",【ピボット】国保連売上!$A$3,"年月",$A457,"事業所コード",$B457,"事業所",$C457,"事業区分",F$1,"請求区分","再請求"),0))</f>
        <v/>
      </c>
      <c r="G457" s="659" t="str">
        <f>IF($A457="","",IFERROR(GETPIVOTDATA("合計 / 処遇改善加算金",【ピボット】国保連売上!$A$3,"年月",$A457,"事業所コード",$B457,"事業所",$C457,"事業区分",F$1,"請求区分","単月"),0))</f>
        <v/>
      </c>
      <c r="H457" s="659" t="str">
        <f>IF($A457="","",IFERROR(GETPIVOTDATA("合計 / 入金予定",【ピボット】国保連売上!$A$3,"年月",$A457,"事業所コード",$B457,"事業所",$C457,"事業区分",H$1,"請求区分","単月"),0)
+IFERROR(GETPIVOTDATA("合計 / 入金予定",【ピボット】国保連売上!$A$3,"年月",$A457,"事業所コード",$B457,"事業所",$C457,"事業区分",H$1,"請求区分","再請求"),0))</f>
        <v/>
      </c>
      <c r="I457" s="659" t="str">
        <f>IF($A457="","",IFERROR(GETPIVOTDATA("合計 / 入金予定",【ピボット】国保連売上!$A$3,"年月",$A457,"事業所コード",$B457,"事業所",$C457,"事業区分",I$1,"請求区分","単月"),0)
+IFERROR(GETPIVOTDATA("合計 / 入金予定",【ピボット】国保連売上!$A$3,"年月",$A457,"事業所コード",$B457,"事業所",$C457,"事業区分",I$1,"請求区分","再請求"),0))</f>
        <v/>
      </c>
      <c r="J457" s="659" t="str">
        <f>IF($A457="","",IFERROR(GETPIVOTDATA("合計 / 処遇改善加算金",【ピボット】国保連売上!$A$3,"年月",$A457,"事業所コード",$B457,"事業所",$C457,"事業区分",I$1,"請求区分","単月"),0))</f>
        <v/>
      </c>
      <c r="K457" s="659" t="str">
        <f>IF($A457="","",IFERROR(GETPIVOTDATA("合計 / 入金予定",【ピボット】国保連売上!$A$3,"年月",$A457,"事業所コード",$B457,"事業所",$C457,"事業区分",K$1,"請求区分","単月"),0)
+IFERROR(GETPIVOTDATA("合計 / 入金予定",【ピボット】国保連売上!$A$3,"年月",$A457,"事業所コード",$B457,"事業所",$C457,"事業区分",K$1,"請求区分","再請求"),0))</f>
        <v/>
      </c>
      <c r="L457" s="659" t="str">
        <f>IF($A457="","",IFERROR(GETPIVOTDATA("合計 / 処遇改善加算金",【ピボット】国保連売上!$A$3,"年月",$A457,"事業所コード",$B457,"事業所",$C457,"事業区分",K$1,"請求区分","単月"),0))</f>
        <v/>
      </c>
      <c r="M457" s="659" t="str">
        <f>IF($A457="","",IFERROR(GETPIVOTDATA("合計 / 入金予定",【ピボット】国保連売上!$A$3,"年月",$A457,"事業所コード",$B457,"事業所",$C457,"事業区分",M$1,"請求区分","単月"),0)
+IFERROR(GETPIVOTDATA("合計 / 入金予定",【ピボット】国保連売上!$A$3,"年月",$A457,"事業所コード",$B457,"事業所",$C457,"事業区分",M$1,"請求区分","再請求"),0))</f>
        <v/>
      </c>
      <c r="N457" s="660"/>
      <c r="O457" s="660"/>
      <c r="P457" s="660"/>
      <c r="Q457" s="660"/>
      <c r="R457" s="660"/>
      <c r="S457" s="660"/>
      <c r="T457" s="660"/>
      <c r="U457" s="660"/>
      <c r="V457" s="660"/>
      <c r="W457" s="660"/>
      <c r="X457" s="660"/>
      <c r="Y457" s="659" t="str">
        <f t="shared" si="21"/>
        <v/>
      </c>
      <c r="Z457" s="659" t="str">
        <f t="shared" si="23"/>
        <v/>
      </c>
    </row>
    <row r="458" spans="1:26" ht="15.95" customHeight="1" x14ac:dyDescent="0.15">
      <c r="A458" s="656"/>
      <c r="B458" s="657" t="str">
        <f t="shared" si="22"/>
        <v/>
      </c>
      <c r="C458" s="658"/>
      <c r="D458" s="659" t="str">
        <f>IF($A458="","",IFERROR(GETPIVOTDATA("合計 / 入金予定",【ピボット】国保連売上!$A$3,"年月",$A458,"事業所コード",$B458,"事業所",$C458,"事業区分",D$1,"請求区分","単月"),0)
+IFERROR(GETPIVOTDATA("合計 / 入金予定",【ピボット】国保連売上!$A$3,"年月",$A458,"事業所コード",$B458,"事業所",$C458,"事業区分",D$1,"請求区分","再請求"),0))</f>
        <v/>
      </c>
      <c r="E458" s="659" t="str">
        <f>IF($A458="","",IFERROR(GETPIVOTDATA("合計 / 処遇改善加算金",【ピボット】国保連売上!$A$3,"年月",$A458,"事業所コード",$B458,"事業所",$C458,"事業区分",D$1,"請求区分","単月"),0))</f>
        <v/>
      </c>
      <c r="F458" s="659" t="str">
        <f>IF($A458="","",IFERROR(GETPIVOTDATA("合計 / 入金予定",【ピボット】国保連売上!$A$3,"年月",$A458,"事業所コード",$B458,"事業所",$C458,"事業区分",F$1,"請求区分","単月"),0)
+IFERROR(GETPIVOTDATA("合計 / 入金予定",【ピボット】国保連売上!$A$3,"年月",$A458,"事業所コード",$B458,"事業所",$C458,"事業区分",F$1,"請求区分","再請求"),0))</f>
        <v/>
      </c>
      <c r="G458" s="659" t="str">
        <f>IF($A458="","",IFERROR(GETPIVOTDATA("合計 / 処遇改善加算金",【ピボット】国保連売上!$A$3,"年月",$A458,"事業所コード",$B458,"事業所",$C458,"事業区分",F$1,"請求区分","単月"),0))</f>
        <v/>
      </c>
      <c r="H458" s="659" t="str">
        <f>IF($A458="","",IFERROR(GETPIVOTDATA("合計 / 入金予定",【ピボット】国保連売上!$A$3,"年月",$A458,"事業所コード",$B458,"事業所",$C458,"事業区分",H$1,"請求区分","単月"),0)
+IFERROR(GETPIVOTDATA("合計 / 入金予定",【ピボット】国保連売上!$A$3,"年月",$A458,"事業所コード",$B458,"事業所",$C458,"事業区分",H$1,"請求区分","再請求"),0))</f>
        <v/>
      </c>
      <c r="I458" s="659" t="str">
        <f>IF($A458="","",IFERROR(GETPIVOTDATA("合計 / 入金予定",【ピボット】国保連売上!$A$3,"年月",$A458,"事業所コード",$B458,"事業所",$C458,"事業区分",I$1,"請求区分","単月"),0)
+IFERROR(GETPIVOTDATA("合計 / 入金予定",【ピボット】国保連売上!$A$3,"年月",$A458,"事業所コード",$B458,"事業所",$C458,"事業区分",I$1,"請求区分","再請求"),0))</f>
        <v/>
      </c>
      <c r="J458" s="659" t="str">
        <f>IF($A458="","",IFERROR(GETPIVOTDATA("合計 / 処遇改善加算金",【ピボット】国保連売上!$A$3,"年月",$A458,"事業所コード",$B458,"事業所",$C458,"事業区分",I$1,"請求区分","単月"),0))</f>
        <v/>
      </c>
      <c r="K458" s="659" t="str">
        <f>IF($A458="","",IFERROR(GETPIVOTDATA("合計 / 入金予定",【ピボット】国保連売上!$A$3,"年月",$A458,"事業所コード",$B458,"事業所",$C458,"事業区分",K$1,"請求区分","単月"),0)
+IFERROR(GETPIVOTDATA("合計 / 入金予定",【ピボット】国保連売上!$A$3,"年月",$A458,"事業所コード",$B458,"事業所",$C458,"事業区分",K$1,"請求区分","再請求"),0))</f>
        <v/>
      </c>
      <c r="L458" s="659" t="str">
        <f>IF($A458="","",IFERROR(GETPIVOTDATA("合計 / 処遇改善加算金",【ピボット】国保連売上!$A$3,"年月",$A458,"事業所コード",$B458,"事業所",$C458,"事業区分",K$1,"請求区分","単月"),0))</f>
        <v/>
      </c>
      <c r="M458" s="659" t="str">
        <f>IF($A458="","",IFERROR(GETPIVOTDATA("合計 / 入金予定",【ピボット】国保連売上!$A$3,"年月",$A458,"事業所コード",$B458,"事業所",$C458,"事業区分",M$1,"請求区分","単月"),0)
+IFERROR(GETPIVOTDATA("合計 / 入金予定",【ピボット】国保連売上!$A$3,"年月",$A458,"事業所コード",$B458,"事業所",$C458,"事業区分",M$1,"請求区分","再請求"),0))</f>
        <v/>
      </c>
      <c r="N458" s="660"/>
      <c r="O458" s="660"/>
      <c r="P458" s="660"/>
      <c r="Q458" s="660"/>
      <c r="R458" s="660"/>
      <c r="S458" s="660"/>
      <c r="T458" s="660"/>
      <c r="U458" s="660"/>
      <c r="V458" s="660"/>
      <c r="W458" s="660"/>
      <c r="X458" s="660"/>
      <c r="Y458" s="659" t="str">
        <f t="shared" si="21"/>
        <v/>
      </c>
      <c r="Z458" s="659" t="str">
        <f t="shared" si="23"/>
        <v/>
      </c>
    </row>
    <row r="459" spans="1:26" ht="15.95" customHeight="1" x14ac:dyDescent="0.15">
      <c r="A459" s="656"/>
      <c r="B459" s="657" t="str">
        <f t="shared" si="22"/>
        <v/>
      </c>
      <c r="C459" s="658"/>
      <c r="D459" s="659" t="str">
        <f>IF($A459="","",IFERROR(GETPIVOTDATA("合計 / 入金予定",【ピボット】国保連売上!$A$3,"年月",$A459,"事業所コード",$B459,"事業所",$C459,"事業区分",D$1,"請求区分","単月"),0)
+IFERROR(GETPIVOTDATA("合計 / 入金予定",【ピボット】国保連売上!$A$3,"年月",$A459,"事業所コード",$B459,"事業所",$C459,"事業区分",D$1,"請求区分","再請求"),0))</f>
        <v/>
      </c>
      <c r="E459" s="659" t="str">
        <f>IF($A459="","",IFERROR(GETPIVOTDATA("合計 / 処遇改善加算金",【ピボット】国保連売上!$A$3,"年月",$A459,"事業所コード",$B459,"事業所",$C459,"事業区分",D$1,"請求区分","単月"),0))</f>
        <v/>
      </c>
      <c r="F459" s="659" t="str">
        <f>IF($A459="","",IFERROR(GETPIVOTDATA("合計 / 入金予定",【ピボット】国保連売上!$A$3,"年月",$A459,"事業所コード",$B459,"事業所",$C459,"事業区分",F$1,"請求区分","単月"),0)
+IFERROR(GETPIVOTDATA("合計 / 入金予定",【ピボット】国保連売上!$A$3,"年月",$A459,"事業所コード",$B459,"事業所",$C459,"事業区分",F$1,"請求区分","再請求"),0))</f>
        <v/>
      </c>
      <c r="G459" s="659" t="str">
        <f>IF($A459="","",IFERROR(GETPIVOTDATA("合計 / 処遇改善加算金",【ピボット】国保連売上!$A$3,"年月",$A459,"事業所コード",$B459,"事業所",$C459,"事業区分",F$1,"請求区分","単月"),0))</f>
        <v/>
      </c>
      <c r="H459" s="659" t="str">
        <f>IF($A459="","",IFERROR(GETPIVOTDATA("合計 / 入金予定",【ピボット】国保連売上!$A$3,"年月",$A459,"事業所コード",$B459,"事業所",$C459,"事業区分",H$1,"請求区分","単月"),0)
+IFERROR(GETPIVOTDATA("合計 / 入金予定",【ピボット】国保連売上!$A$3,"年月",$A459,"事業所コード",$B459,"事業所",$C459,"事業区分",H$1,"請求区分","再請求"),0))</f>
        <v/>
      </c>
      <c r="I459" s="659" t="str">
        <f>IF($A459="","",IFERROR(GETPIVOTDATA("合計 / 入金予定",【ピボット】国保連売上!$A$3,"年月",$A459,"事業所コード",$B459,"事業所",$C459,"事業区分",I$1,"請求区分","単月"),0)
+IFERROR(GETPIVOTDATA("合計 / 入金予定",【ピボット】国保連売上!$A$3,"年月",$A459,"事業所コード",$B459,"事業所",$C459,"事業区分",I$1,"請求区分","再請求"),0))</f>
        <v/>
      </c>
      <c r="J459" s="659" t="str">
        <f>IF($A459="","",IFERROR(GETPIVOTDATA("合計 / 処遇改善加算金",【ピボット】国保連売上!$A$3,"年月",$A459,"事業所コード",$B459,"事業所",$C459,"事業区分",I$1,"請求区分","単月"),0))</f>
        <v/>
      </c>
      <c r="K459" s="659" t="str">
        <f>IF($A459="","",IFERROR(GETPIVOTDATA("合計 / 入金予定",【ピボット】国保連売上!$A$3,"年月",$A459,"事業所コード",$B459,"事業所",$C459,"事業区分",K$1,"請求区分","単月"),0)
+IFERROR(GETPIVOTDATA("合計 / 入金予定",【ピボット】国保連売上!$A$3,"年月",$A459,"事業所コード",$B459,"事業所",$C459,"事業区分",K$1,"請求区分","再請求"),0))</f>
        <v/>
      </c>
      <c r="L459" s="659" t="str">
        <f>IF($A459="","",IFERROR(GETPIVOTDATA("合計 / 処遇改善加算金",【ピボット】国保連売上!$A$3,"年月",$A459,"事業所コード",$B459,"事業所",$C459,"事業区分",K$1,"請求区分","単月"),0))</f>
        <v/>
      </c>
      <c r="M459" s="659" t="str">
        <f>IF($A459="","",IFERROR(GETPIVOTDATA("合計 / 入金予定",【ピボット】国保連売上!$A$3,"年月",$A459,"事業所コード",$B459,"事業所",$C459,"事業区分",M$1,"請求区分","単月"),0)
+IFERROR(GETPIVOTDATA("合計 / 入金予定",【ピボット】国保連売上!$A$3,"年月",$A459,"事業所コード",$B459,"事業所",$C459,"事業区分",M$1,"請求区分","再請求"),0))</f>
        <v/>
      </c>
      <c r="N459" s="660"/>
      <c r="O459" s="660"/>
      <c r="P459" s="660"/>
      <c r="Q459" s="660"/>
      <c r="R459" s="660"/>
      <c r="S459" s="660"/>
      <c r="T459" s="660"/>
      <c r="U459" s="660"/>
      <c r="V459" s="660"/>
      <c r="W459" s="660"/>
      <c r="X459" s="660"/>
      <c r="Y459" s="659" t="str">
        <f t="shared" si="21"/>
        <v/>
      </c>
      <c r="Z459" s="659" t="str">
        <f t="shared" si="23"/>
        <v/>
      </c>
    </row>
    <row r="460" spans="1:26" ht="15.95" customHeight="1" x14ac:dyDescent="0.15">
      <c r="A460" s="656"/>
      <c r="B460" s="657" t="str">
        <f t="shared" si="22"/>
        <v/>
      </c>
      <c r="C460" s="658"/>
      <c r="D460" s="659" t="str">
        <f>IF($A460="","",IFERROR(GETPIVOTDATA("合計 / 入金予定",【ピボット】国保連売上!$A$3,"年月",$A460,"事業所コード",$B460,"事業所",$C460,"事業区分",D$1,"請求区分","単月"),0)
+IFERROR(GETPIVOTDATA("合計 / 入金予定",【ピボット】国保連売上!$A$3,"年月",$A460,"事業所コード",$B460,"事業所",$C460,"事業区分",D$1,"請求区分","再請求"),0))</f>
        <v/>
      </c>
      <c r="E460" s="659" t="str">
        <f>IF($A460="","",IFERROR(GETPIVOTDATA("合計 / 処遇改善加算金",【ピボット】国保連売上!$A$3,"年月",$A460,"事業所コード",$B460,"事業所",$C460,"事業区分",D$1,"請求区分","単月"),0))</f>
        <v/>
      </c>
      <c r="F460" s="659" t="str">
        <f>IF($A460="","",IFERROR(GETPIVOTDATA("合計 / 入金予定",【ピボット】国保連売上!$A$3,"年月",$A460,"事業所コード",$B460,"事業所",$C460,"事業区分",F$1,"請求区分","単月"),0)
+IFERROR(GETPIVOTDATA("合計 / 入金予定",【ピボット】国保連売上!$A$3,"年月",$A460,"事業所コード",$B460,"事業所",$C460,"事業区分",F$1,"請求区分","再請求"),0))</f>
        <v/>
      </c>
      <c r="G460" s="659" t="str">
        <f>IF($A460="","",IFERROR(GETPIVOTDATA("合計 / 処遇改善加算金",【ピボット】国保連売上!$A$3,"年月",$A460,"事業所コード",$B460,"事業所",$C460,"事業区分",F$1,"請求区分","単月"),0))</f>
        <v/>
      </c>
      <c r="H460" s="659" t="str">
        <f>IF($A460="","",IFERROR(GETPIVOTDATA("合計 / 入金予定",【ピボット】国保連売上!$A$3,"年月",$A460,"事業所コード",$B460,"事業所",$C460,"事業区分",H$1,"請求区分","単月"),0)
+IFERROR(GETPIVOTDATA("合計 / 入金予定",【ピボット】国保連売上!$A$3,"年月",$A460,"事業所コード",$B460,"事業所",$C460,"事業区分",H$1,"請求区分","再請求"),0))</f>
        <v/>
      </c>
      <c r="I460" s="659" t="str">
        <f>IF($A460="","",IFERROR(GETPIVOTDATA("合計 / 入金予定",【ピボット】国保連売上!$A$3,"年月",$A460,"事業所コード",$B460,"事業所",$C460,"事業区分",I$1,"請求区分","単月"),0)
+IFERROR(GETPIVOTDATA("合計 / 入金予定",【ピボット】国保連売上!$A$3,"年月",$A460,"事業所コード",$B460,"事業所",$C460,"事業区分",I$1,"請求区分","再請求"),0))</f>
        <v/>
      </c>
      <c r="J460" s="659" t="str">
        <f>IF($A460="","",IFERROR(GETPIVOTDATA("合計 / 処遇改善加算金",【ピボット】国保連売上!$A$3,"年月",$A460,"事業所コード",$B460,"事業所",$C460,"事業区分",I$1,"請求区分","単月"),0))</f>
        <v/>
      </c>
      <c r="K460" s="659" t="str">
        <f>IF($A460="","",IFERROR(GETPIVOTDATA("合計 / 入金予定",【ピボット】国保連売上!$A$3,"年月",$A460,"事業所コード",$B460,"事業所",$C460,"事業区分",K$1,"請求区分","単月"),0)
+IFERROR(GETPIVOTDATA("合計 / 入金予定",【ピボット】国保連売上!$A$3,"年月",$A460,"事業所コード",$B460,"事業所",$C460,"事業区分",K$1,"請求区分","再請求"),0))</f>
        <v/>
      </c>
      <c r="L460" s="659" t="str">
        <f>IF($A460="","",IFERROR(GETPIVOTDATA("合計 / 処遇改善加算金",【ピボット】国保連売上!$A$3,"年月",$A460,"事業所コード",$B460,"事業所",$C460,"事業区分",K$1,"請求区分","単月"),0))</f>
        <v/>
      </c>
      <c r="M460" s="659" t="str">
        <f>IF($A460="","",IFERROR(GETPIVOTDATA("合計 / 入金予定",【ピボット】国保連売上!$A$3,"年月",$A460,"事業所コード",$B460,"事業所",$C460,"事業区分",M$1,"請求区分","単月"),0)
+IFERROR(GETPIVOTDATA("合計 / 入金予定",【ピボット】国保連売上!$A$3,"年月",$A460,"事業所コード",$B460,"事業所",$C460,"事業区分",M$1,"請求区分","再請求"),0))</f>
        <v/>
      </c>
      <c r="N460" s="660"/>
      <c r="O460" s="660"/>
      <c r="P460" s="660"/>
      <c r="Q460" s="660"/>
      <c r="R460" s="660"/>
      <c r="S460" s="660"/>
      <c r="T460" s="660"/>
      <c r="U460" s="660"/>
      <c r="V460" s="660"/>
      <c r="W460" s="660"/>
      <c r="X460" s="660"/>
      <c r="Y460" s="659" t="str">
        <f t="shared" si="21"/>
        <v/>
      </c>
      <c r="Z460" s="659" t="str">
        <f t="shared" si="23"/>
        <v/>
      </c>
    </row>
    <row r="461" spans="1:26" ht="15.95" customHeight="1" x14ac:dyDescent="0.15">
      <c r="A461" s="656"/>
      <c r="B461" s="657" t="str">
        <f t="shared" si="22"/>
        <v/>
      </c>
      <c r="C461" s="658"/>
      <c r="D461" s="659" t="str">
        <f>IF($A461="","",IFERROR(GETPIVOTDATA("合計 / 入金予定",【ピボット】国保連売上!$A$3,"年月",$A461,"事業所コード",$B461,"事業所",$C461,"事業区分",D$1,"請求区分","単月"),0)
+IFERROR(GETPIVOTDATA("合計 / 入金予定",【ピボット】国保連売上!$A$3,"年月",$A461,"事業所コード",$B461,"事業所",$C461,"事業区分",D$1,"請求区分","再請求"),0))</f>
        <v/>
      </c>
      <c r="E461" s="659" t="str">
        <f>IF($A461="","",IFERROR(GETPIVOTDATA("合計 / 処遇改善加算金",【ピボット】国保連売上!$A$3,"年月",$A461,"事業所コード",$B461,"事業所",$C461,"事業区分",D$1,"請求区分","単月"),0))</f>
        <v/>
      </c>
      <c r="F461" s="659" t="str">
        <f>IF($A461="","",IFERROR(GETPIVOTDATA("合計 / 入金予定",【ピボット】国保連売上!$A$3,"年月",$A461,"事業所コード",$B461,"事業所",$C461,"事業区分",F$1,"請求区分","単月"),0)
+IFERROR(GETPIVOTDATA("合計 / 入金予定",【ピボット】国保連売上!$A$3,"年月",$A461,"事業所コード",$B461,"事業所",$C461,"事業区分",F$1,"請求区分","再請求"),0))</f>
        <v/>
      </c>
      <c r="G461" s="659" t="str">
        <f>IF($A461="","",IFERROR(GETPIVOTDATA("合計 / 処遇改善加算金",【ピボット】国保連売上!$A$3,"年月",$A461,"事業所コード",$B461,"事業所",$C461,"事業区分",F$1,"請求区分","単月"),0))</f>
        <v/>
      </c>
      <c r="H461" s="659" t="str">
        <f>IF($A461="","",IFERROR(GETPIVOTDATA("合計 / 入金予定",【ピボット】国保連売上!$A$3,"年月",$A461,"事業所コード",$B461,"事業所",$C461,"事業区分",H$1,"請求区分","単月"),0)
+IFERROR(GETPIVOTDATA("合計 / 入金予定",【ピボット】国保連売上!$A$3,"年月",$A461,"事業所コード",$B461,"事業所",$C461,"事業区分",H$1,"請求区分","再請求"),0))</f>
        <v/>
      </c>
      <c r="I461" s="659" t="str">
        <f>IF($A461="","",IFERROR(GETPIVOTDATA("合計 / 入金予定",【ピボット】国保連売上!$A$3,"年月",$A461,"事業所コード",$B461,"事業所",$C461,"事業区分",I$1,"請求区分","単月"),0)
+IFERROR(GETPIVOTDATA("合計 / 入金予定",【ピボット】国保連売上!$A$3,"年月",$A461,"事業所コード",$B461,"事業所",$C461,"事業区分",I$1,"請求区分","再請求"),0))</f>
        <v/>
      </c>
      <c r="J461" s="659" t="str">
        <f>IF($A461="","",IFERROR(GETPIVOTDATA("合計 / 処遇改善加算金",【ピボット】国保連売上!$A$3,"年月",$A461,"事業所コード",$B461,"事業所",$C461,"事業区分",I$1,"請求区分","単月"),0))</f>
        <v/>
      </c>
      <c r="K461" s="659" t="str">
        <f>IF($A461="","",IFERROR(GETPIVOTDATA("合計 / 入金予定",【ピボット】国保連売上!$A$3,"年月",$A461,"事業所コード",$B461,"事業所",$C461,"事業区分",K$1,"請求区分","単月"),0)
+IFERROR(GETPIVOTDATA("合計 / 入金予定",【ピボット】国保連売上!$A$3,"年月",$A461,"事業所コード",$B461,"事業所",$C461,"事業区分",K$1,"請求区分","再請求"),0))</f>
        <v/>
      </c>
      <c r="L461" s="659" t="str">
        <f>IF($A461="","",IFERROR(GETPIVOTDATA("合計 / 処遇改善加算金",【ピボット】国保連売上!$A$3,"年月",$A461,"事業所コード",$B461,"事業所",$C461,"事業区分",K$1,"請求区分","単月"),0))</f>
        <v/>
      </c>
      <c r="M461" s="659" t="str">
        <f>IF($A461="","",IFERROR(GETPIVOTDATA("合計 / 入金予定",【ピボット】国保連売上!$A$3,"年月",$A461,"事業所コード",$B461,"事業所",$C461,"事業区分",M$1,"請求区分","単月"),0)
+IFERROR(GETPIVOTDATA("合計 / 入金予定",【ピボット】国保連売上!$A$3,"年月",$A461,"事業所コード",$B461,"事業所",$C461,"事業区分",M$1,"請求区分","再請求"),0))</f>
        <v/>
      </c>
      <c r="N461" s="660"/>
      <c r="O461" s="660"/>
      <c r="P461" s="660"/>
      <c r="Q461" s="660"/>
      <c r="R461" s="660"/>
      <c r="S461" s="660"/>
      <c r="T461" s="660"/>
      <c r="U461" s="660"/>
      <c r="V461" s="660"/>
      <c r="W461" s="660"/>
      <c r="X461" s="660"/>
      <c r="Y461" s="659" t="str">
        <f t="shared" si="21"/>
        <v/>
      </c>
      <c r="Z461" s="659" t="str">
        <f t="shared" si="23"/>
        <v/>
      </c>
    </row>
    <row r="462" spans="1:26" ht="15.95" customHeight="1" x14ac:dyDescent="0.15">
      <c r="A462" s="656"/>
      <c r="B462" s="657" t="str">
        <f t="shared" si="22"/>
        <v/>
      </c>
      <c r="C462" s="658"/>
      <c r="D462" s="659" t="str">
        <f>IF($A462="","",IFERROR(GETPIVOTDATA("合計 / 入金予定",【ピボット】国保連売上!$A$3,"年月",$A462,"事業所コード",$B462,"事業所",$C462,"事業区分",D$1,"請求区分","単月"),0)
+IFERROR(GETPIVOTDATA("合計 / 入金予定",【ピボット】国保連売上!$A$3,"年月",$A462,"事業所コード",$B462,"事業所",$C462,"事業区分",D$1,"請求区分","再請求"),0))</f>
        <v/>
      </c>
      <c r="E462" s="659" t="str">
        <f>IF($A462="","",IFERROR(GETPIVOTDATA("合計 / 処遇改善加算金",【ピボット】国保連売上!$A$3,"年月",$A462,"事業所コード",$B462,"事業所",$C462,"事業区分",D$1,"請求区分","単月"),0))</f>
        <v/>
      </c>
      <c r="F462" s="659" t="str">
        <f>IF($A462="","",IFERROR(GETPIVOTDATA("合計 / 入金予定",【ピボット】国保連売上!$A$3,"年月",$A462,"事業所コード",$B462,"事業所",$C462,"事業区分",F$1,"請求区分","単月"),0)
+IFERROR(GETPIVOTDATA("合計 / 入金予定",【ピボット】国保連売上!$A$3,"年月",$A462,"事業所コード",$B462,"事業所",$C462,"事業区分",F$1,"請求区分","再請求"),0))</f>
        <v/>
      </c>
      <c r="G462" s="659" t="str">
        <f>IF($A462="","",IFERROR(GETPIVOTDATA("合計 / 処遇改善加算金",【ピボット】国保連売上!$A$3,"年月",$A462,"事業所コード",$B462,"事業所",$C462,"事業区分",F$1,"請求区分","単月"),0))</f>
        <v/>
      </c>
      <c r="H462" s="659" t="str">
        <f>IF($A462="","",IFERROR(GETPIVOTDATA("合計 / 入金予定",【ピボット】国保連売上!$A$3,"年月",$A462,"事業所コード",$B462,"事業所",$C462,"事業区分",H$1,"請求区分","単月"),0)
+IFERROR(GETPIVOTDATA("合計 / 入金予定",【ピボット】国保連売上!$A$3,"年月",$A462,"事業所コード",$B462,"事業所",$C462,"事業区分",H$1,"請求区分","再請求"),0))</f>
        <v/>
      </c>
      <c r="I462" s="659" t="str">
        <f>IF($A462="","",IFERROR(GETPIVOTDATA("合計 / 入金予定",【ピボット】国保連売上!$A$3,"年月",$A462,"事業所コード",$B462,"事業所",$C462,"事業区分",I$1,"請求区分","単月"),0)
+IFERROR(GETPIVOTDATA("合計 / 入金予定",【ピボット】国保連売上!$A$3,"年月",$A462,"事業所コード",$B462,"事業所",$C462,"事業区分",I$1,"請求区分","再請求"),0))</f>
        <v/>
      </c>
      <c r="J462" s="659" t="str">
        <f>IF($A462="","",IFERROR(GETPIVOTDATA("合計 / 処遇改善加算金",【ピボット】国保連売上!$A$3,"年月",$A462,"事業所コード",$B462,"事業所",$C462,"事業区分",I$1,"請求区分","単月"),0))</f>
        <v/>
      </c>
      <c r="K462" s="659" t="str">
        <f>IF($A462="","",IFERROR(GETPIVOTDATA("合計 / 入金予定",【ピボット】国保連売上!$A$3,"年月",$A462,"事業所コード",$B462,"事業所",$C462,"事業区分",K$1,"請求区分","単月"),0)
+IFERROR(GETPIVOTDATA("合計 / 入金予定",【ピボット】国保連売上!$A$3,"年月",$A462,"事業所コード",$B462,"事業所",$C462,"事業区分",K$1,"請求区分","再請求"),0))</f>
        <v/>
      </c>
      <c r="L462" s="659" t="str">
        <f>IF($A462="","",IFERROR(GETPIVOTDATA("合計 / 処遇改善加算金",【ピボット】国保連売上!$A$3,"年月",$A462,"事業所コード",$B462,"事業所",$C462,"事業区分",K$1,"請求区分","単月"),0))</f>
        <v/>
      </c>
      <c r="M462" s="659" t="str">
        <f>IF($A462="","",IFERROR(GETPIVOTDATA("合計 / 入金予定",【ピボット】国保連売上!$A$3,"年月",$A462,"事業所コード",$B462,"事業所",$C462,"事業区分",M$1,"請求区分","単月"),0)
+IFERROR(GETPIVOTDATA("合計 / 入金予定",【ピボット】国保連売上!$A$3,"年月",$A462,"事業所コード",$B462,"事業所",$C462,"事業区分",M$1,"請求区分","再請求"),0))</f>
        <v/>
      </c>
      <c r="N462" s="660"/>
      <c r="O462" s="660"/>
      <c r="P462" s="660"/>
      <c r="Q462" s="660"/>
      <c r="R462" s="660"/>
      <c r="S462" s="660"/>
      <c r="T462" s="660"/>
      <c r="U462" s="660"/>
      <c r="V462" s="660"/>
      <c r="W462" s="660"/>
      <c r="X462" s="660"/>
      <c r="Y462" s="659" t="str">
        <f t="shared" si="21"/>
        <v/>
      </c>
      <c r="Z462" s="659" t="str">
        <f t="shared" si="23"/>
        <v/>
      </c>
    </row>
    <row r="463" spans="1:26" ht="15.95" customHeight="1" x14ac:dyDescent="0.15">
      <c r="A463" s="656"/>
      <c r="B463" s="657" t="str">
        <f t="shared" si="22"/>
        <v/>
      </c>
      <c r="C463" s="658"/>
      <c r="D463" s="659" t="str">
        <f>IF($A463="","",IFERROR(GETPIVOTDATA("合計 / 入金予定",【ピボット】国保連売上!$A$3,"年月",$A463,"事業所コード",$B463,"事業所",$C463,"事業区分",D$1,"請求区分","単月"),0)
+IFERROR(GETPIVOTDATA("合計 / 入金予定",【ピボット】国保連売上!$A$3,"年月",$A463,"事業所コード",$B463,"事業所",$C463,"事業区分",D$1,"請求区分","再請求"),0))</f>
        <v/>
      </c>
      <c r="E463" s="659" t="str">
        <f>IF($A463="","",IFERROR(GETPIVOTDATA("合計 / 処遇改善加算金",【ピボット】国保連売上!$A$3,"年月",$A463,"事業所コード",$B463,"事業所",$C463,"事業区分",D$1,"請求区分","単月"),0))</f>
        <v/>
      </c>
      <c r="F463" s="659" t="str">
        <f>IF($A463="","",IFERROR(GETPIVOTDATA("合計 / 入金予定",【ピボット】国保連売上!$A$3,"年月",$A463,"事業所コード",$B463,"事業所",$C463,"事業区分",F$1,"請求区分","単月"),0)
+IFERROR(GETPIVOTDATA("合計 / 入金予定",【ピボット】国保連売上!$A$3,"年月",$A463,"事業所コード",$B463,"事業所",$C463,"事業区分",F$1,"請求区分","再請求"),0))</f>
        <v/>
      </c>
      <c r="G463" s="659" t="str">
        <f>IF($A463="","",IFERROR(GETPIVOTDATA("合計 / 処遇改善加算金",【ピボット】国保連売上!$A$3,"年月",$A463,"事業所コード",$B463,"事業所",$C463,"事業区分",F$1,"請求区分","単月"),0))</f>
        <v/>
      </c>
      <c r="H463" s="659" t="str">
        <f>IF($A463="","",IFERROR(GETPIVOTDATA("合計 / 入金予定",【ピボット】国保連売上!$A$3,"年月",$A463,"事業所コード",$B463,"事業所",$C463,"事業区分",H$1,"請求区分","単月"),0)
+IFERROR(GETPIVOTDATA("合計 / 入金予定",【ピボット】国保連売上!$A$3,"年月",$A463,"事業所コード",$B463,"事業所",$C463,"事業区分",H$1,"請求区分","再請求"),0))</f>
        <v/>
      </c>
      <c r="I463" s="659" t="str">
        <f>IF($A463="","",IFERROR(GETPIVOTDATA("合計 / 入金予定",【ピボット】国保連売上!$A$3,"年月",$A463,"事業所コード",$B463,"事業所",$C463,"事業区分",I$1,"請求区分","単月"),0)
+IFERROR(GETPIVOTDATA("合計 / 入金予定",【ピボット】国保連売上!$A$3,"年月",$A463,"事業所コード",$B463,"事業所",$C463,"事業区分",I$1,"請求区分","再請求"),0))</f>
        <v/>
      </c>
      <c r="J463" s="659" t="str">
        <f>IF($A463="","",IFERROR(GETPIVOTDATA("合計 / 処遇改善加算金",【ピボット】国保連売上!$A$3,"年月",$A463,"事業所コード",$B463,"事業所",$C463,"事業区分",I$1,"請求区分","単月"),0))</f>
        <v/>
      </c>
      <c r="K463" s="659" t="str">
        <f>IF($A463="","",IFERROR(GETPIVOTDATA("合計 / 入金予定",【ピボット】国保連売上!$A$3,"年月",$A463,"事業所コード",$B463,"事業所",$C463,"事業区分",K$1,"請求区分","単月"),0)
+IFERROR(GETPIVOTDATA("合計 / 入金予定",【ピボット】国保連売上!$A$3,"年月",$A463,"事業所コード",$B463,"事業所",$C463,"事業区分",K$1,"請求区分","再請求"),0))</f>
        <v/>
      </c>
      <c r="L463" s="659" t="str">
        <f>IF($A463="","",IFERROR(GETPIVOTDATA("合計 / 処遇改善加算金",【ピボット】国保連売上!$A$3,"年月",$A463,"事業所コード",$B463,"事業所",$C463,"事業区分",K$1,"請求区分","単月"),0))</f>
        <v/>
      </c>
      <c r="M463" s="659" t="str">
        <f>IF($A463="","",IFERROR(GETPIVOTDATA("合計 / 入金予定",【ピボット】国保連売上!$A$3,"年月",$A463,"事業所コード",$B463,"事業所",$C463,"事業区分",M$1,"請求区分","単月"),0)
+IFERROR(GETPIVOTDATA("合計 / 入金予定",【ピボット】国保連売上!$A$3,"年月",$A463,"事業所コード",$B463,"事業所",$C463,"事業区分",M$1,"請求区分","再請求"),0))</f>
        <v/>
      </c>
      <c r="N463" s="660"/>
      <c r="O463" s="660"/>
      <c r="P463" s="660"/>
      <c r="Q463" s="660"/>
      <c r="R463" s="660"/>
      <c r="S463" s="660"/>
      <c r="T463" s="660"/>
      <c r="U463" s="660"/>
      <c r="V463" s="660"/>
      <c r="W463" s="660"/>
      <c r="X463" s="660"/>
      <c r="Y463" s="659" t="str">
        <f t="shared" si="21"/>
        <v/>
      </c>
      <c r="Z463" s="659" t="str">
        <f t="shared" si="23"/>
        <v/>
      </c>
    </row>
    <row r="464" spans="1:26" ht="15.95" customHeight="1" x14ac:dyDescent="0.15">
      <c r="A464" s="656"/>
      <c r="B464" s="657" t="str">
        <f t="shared" si="22"/>
        <v/>
      </c>
      <c r="C464" s="658"/>
      <c r="D464" s="659" t="str">
        <f>IF($A464="","",IFERROR(GETPIVOTDATA("合計 / 入金予定",【ピボット】国保連売上!$A$3,"年月",$A464,"事業所コード",$B464,"事業所",$C464,"事業区分",D$1,"請求区分","単月"),0)
+IFERROR(GETPIVOTDATA("合計 / 入金予定",【ピボット】国保連売上!$A$3,"年月",$A464,"事業所コード",$B464,"事業所",$C464,"事業区分",D$1,"請求区分","再請求"),0))</f>
        <v/>
      </c>
      <c r="E464" s="659" t="str">
        <f>IF($A464="","",IFERROR(GETPIVOTDATA("合計 / 処遇改善加算金",【ピボット】国保連売上!$A$3,"年月",$A464,"事業所コード",$B464,"事業所",$C464,"事業区分",D$1,"請求区分","単月"),0))</f>
        <v/>
      </c>
      <c r="F464" s="659" t="str">
        <f>IF($A464="","",IFERROR(GETPIVOTDATA("合計 / 入金予定",【ピボット】国保連売上!$A$3,"年月",$A464,"事業所コード",$B464,"事業所",$C464,"事業区分",F$1,"請求区分","単月"),0)
+IFERROR(GETPIVOTDATA("合計 / 入金予定",【ピボット】国保連売上!$A$3,"年月",$A464,"事業所コード",$B464,"事業所",$C464,"事業区分",F$1,"請求区分","再請求"),0))</f>
        <v/>
      </c>
      <c r="G464" s="659" t="str">
        <f>IF($A464="","",IFERROR(GETPIVOTDATA("合計 / 処遇改善加算金",【ピボット】国保連売上!$A$3,"年月",$A464,"事業所コード",$B464,"事業所",$C464,"事業区分",F$1,"請求区分","単月"),0))</f>
        <v/>
      </c>
      <c r="H464" s="659" t="str">
        <f>IF($A464="","",IFERROR(GETPIVOTDATA("合計 / 入金予定",【ピボット】国保連売上!$A$3,"年月",$A464,"事業所コード",$B464,"事業所",$C464,"事業区分",H$1,"請求区分","単月"),0)
+IFERROR(GETPIVOTDATA("合計 / 入金予定",【ピボット】国保連売上!$A$3,"年月",$A464,"事業所コード",$B464,"事業所",$C464,"事業区分",H$1,"請求区分","再請求"),0))</f>
        <v/>
      </c>
      <c r="I464" s="659" t="str">
        <f>IF($A464="","",IFERROR(GETPIVOTDATA("合計 / 入金予定",【ピボット】国保連売上!$A$3,"年月",$A464,"事業所コード",$B464,"事業所",$C464,"事業区分",I$1,"請求区分","単月"),0)
+IFERROR(GETPIVOTDATA("合計 / 入金予定",【ピボット】国保連売上!$A$3,"年月",$A464,"事業所コード",$B464,"事業所",$C464,"事業区分",I$1,"請求区分","再請求"),0))</f>
        <v/>
      </c>
      <c r="J464" s="659" t="str">
        <f>IF($A464="","",IFERROR(GETPIVOTDATA("合計 / 処遇改善加算金",【ピボット】国保連売上!$A$3,"年月",$A464,"事業所コード",$B464,"事業所",$C464,"事業区分",I$1,"請求区分","単月"),0))</f>
        <v/>
      </c>
      <c r="K464" s="659" t="str">
        <f>IF($A464="","",IFERROR(GETPIVOTDATA("合計 / 入金予定",【ピボット】国保連売上!$A$3,"年月",$A464,"事業所コード",$B464,"事業所",$C464,"事業区分",K$1,"請求区分","単月"),0)
+IFERROR(GETPIVOTDATA("合計 / 入金予定",【ピボット】国保連売上!$A$3,"年月",$A464,"事業所コード",$B464,"事業所",$C464,"事業区分",K$1,"請求区分","再請求"),0))</f>
        <v/>
      </c>
      <c r="L464" s="659" t="str">
        <f>IF($A464="","",IFERROR(GETPIVOTDATA("合計 / 処遇改善加算金",【ピボット】国保連売上!$A$3,"年月",$A464,"事業所コード",$B464,"事業所",$C464,"事業区分",K$1,"請求区分","単月"),0))</f>
        <v/>
      </c>
      <c r="M464" s="659" t="str">
        <f>IF($A464="","",IFERROR(GETPIVOTDATA("合計 / 入金予定",【ピボット】国保連売上!$A$3,"年月",$A464,"事業所コード",$B464,"事業所",$C464,"事業区分",M$1,"請求区分","単月"),0)
+IFERROR(GETPIVOTDATA("合計 / 入金予定",【ピボット】国保連売上!$A$3,"年月",$A464,"事業所コード",$B464,"事業所",$C464,"事業区分",M$1,"請求区分","再請求"),0))</f>
        <v/>
      </c>
      <c r="N464" s="660"/>
      <c r="O464" s="660"/>
      <c r="P464" s="660"/>
      <c r="Q464" s="660"/>
      <c r="R464" s="660"/>
      <c r="S464" s="660"/>
      <c r="T464" s="660"/>
      <c r="U464" s="660"/>
      <c r="V464" s="660"/>
      <c r="W464" s="660"/>
      <c r="X464" s="660"/>
      <c r="Y464" s="659" t="str">
        <f t="shared" si="21"/>
        <v/>
      </c>
      <c r="Z464" s="659" t="str">
        <f t="shared" si="23"/>
        <v/>
      </c>
    </row>
    <row r="465" spans="1:26" ht="15.95" customHeight="1" x14ac:dyDescent="0.15">
      <c r="A465" s="656"/>
      <c r="B465" s="657" t="str">
        <f t="shared" si="22"/>
        <v/>
      </c>
      <c r="C465" s="658"/>
      <c r="D465" s="659" t="str">
        <f>IF($A465="","",IFERROR(GETPIVOTDATA("合計 / 入金予定",【ピボット】国保連売上!$A$3,"年月",$A465,"事業所コード",$B465,"事業所",$C465,"事業区分",D$1,"請求区分","単月"),0)
+IFERROR(GETPIVOTDATA("合計 / 入金予定",【ピボット】国保連売上!$A$3,"年月",$A465,"事業所コード",$B465,"事業所",$C465,"事業区分",D$1,"請求区分","再請求"),0))</f>
        <v/>
      </c>
      <c r="E465" s="659" t="str">
        <f>IF($A465="","",IFERROR(GETPIVOTDATA("合計 / 処遇改善加算金",【ピボット】国保連売上!$A$3,"年月",$A465,"事業所コード",$B465,"事業所",$C465,"事業区分",D$1,"請求区分","単月"),0))</f>
        <v/>
      </c>
      <c r="F465" s="659" t="str">
        <f>IF($A465="","",IFERROR(GETPIVOTDATA("合計 / 入金予定",【ピボット】国保連売上!$A$3,"年月",$A465,"事業所コード",$B465,"事業所",$C465,"事業区分",F$1,"請求区分","単月"),0)
+IFERROR(GETPIVOTDATA("合計 / 入金予定",【ピボット】国保連売上!$A$3,"年月",$A465,"事業所コード",$B465,"事業所",$C465,"事業区分",F$1,"請求区分","再請求"),0))</f>
        <v/>
      </c>
      <c r="G465" s="659" t="str">
        <f>IF($A465="","",IFERROR(GETPIVOTDATA("合計 / 処遇改善加算金",【ピボット】国保連売上!$A$3,"年月",$A465,"事業所コード",$B465,"事業所",$C465,"事業区分",F$1,"請求区分","単月"),0))</f>
        <v/>
      </c>
      <c r="H465" s="659" t="str">
        <f>IF($A465="","",IFERROR(GETPIVOTDATA("合計 / 入金予定",【ピボット】国保連売上!$A$3,"年月",$A465,"事業所コード",$B465,"事業所",$C465,"事業区分",H$1,"請求区分","単月"),0)
+IFERROR(GETPIVOTDATA("合計 / 入金予定",【ピボット】国保連売上!$A$3,"年月",$A465,"事業所コード",$B465,"事業所",$C465,"事業区分",H$1,"請求区分","再請求"),0))</f>
        <v/>
      </c>
      <c r="I465" s="659" t="str">
        <f>IF($A465="","",IFERROR(GETPIVOTDATA("合計 / 入金予定",【ピボット】国保連売上!$A$3,"年月",$A465,"事業所コード",$B465,"事業所",$C465,"事業区分",I$1,"請求区分","単月"),0)
+IFERROR(GETPIVOTDATA("合計 / 入金予定",【ピボット】国保連売上!$A$3,"年月",$A465,"事業所コード",$B465,"事業所",$C465,"事業区分",I$1,"請求区分","再請求"),0))</f>
        <v/>
      </c>
      <c r="J465" s="659" t="str">
        <f>IF($A465="","",IFERROR(GETPIVOTDATA("合計 / 処遇改善加算金",【ピボット】国保連売上!$A$3,"年月",$A465,"事業所コード",$B465,"事業所",$C465,"事業区分",I$1,"請求区分","単月"),0))</f>
        <v/>
      </c>
      <c r="K465" s="659" t="str">
        <f>IF($A465="","",IFERROR(GETPIVOTDATA("合計 / 入金予定",【ピボット】国保連売上!$A$3,"年月",$A465,"事業所コード",$B465,"事業所",$C465,"事業区分",K$1,"請求区分","単月"),0)
+IFERROR(GETPIVOTDATA("合計 / 入金予定",【ピボット】国保連売上!$A$3,"年月",$A465,"事業所コード",$B465,"事業所",$C465,"事業区分",K$1,"請求区分","再請求"),0))</f>
        <v/>
      </c>
      <c r="L465" s="659" t="str">
        <f>IF($A465="","",IFERROR(GETPIVOTDATA("合計 / 処遇改善加算金",【ピボット】国保連売上!$A$3,"年月",$A465,"事業所コード",$B465,"事業所",$C465,"事業区分",K$1,"請求区分","単月"),0))</f>
        <v/>
      </c>
      <c r="M465" s="659" t="str">
        <f>IF($A465="","",IFERROR(GETPIVOTDATA("合計 / 入金予定",【ピボット】国保連売上!$A$3,"年月",$A465,"事業所コード",$B465,"事業所",$C465,"事業区分",M$1,"請求区分","単月"),0)
+IFERROR(GETPIVOTDATA("合計 / 入金予定",【ピボット】国保連売上!$A$3,"年月",$A465,"事業所コード",$B465,"事業所",$C465,"事業区分",M$1,"請求区分","再請求"),0))</f>
        <v/>
      </c>
      <c r="N465" s="660"/>
      <c r="O465" s="660"/>
      <c r="P465" s="660"/>
      <c r="Q465" s="660"/>
      <c r="R465" s="660"/>
      <c r="S465" s="660"/>
      <c r="T465" s="660"/>
      <c r="U465" s="660"/>
      <c r="V465" s="660"/>
      <c r="W465" s="660"/>
      <c r="X465" s="660"/>
      <c r="Y465" s="659" t="str">
        <f t="shared" si="21"/>
        <v/>
      </c>
      <c r="Z465" s="659" t="str">
        <f t="shared" si="23"/>
        <v/>
      </c>
    </row>
    <row r="466" spans="1:26" ht="15.95" customHeight="1" x14ac:dyDescent="0.15">
      <c r="A466" s="656"/>
      <c r="B466" s="657" t="str">
        <f t="shared" si="22"/>
        <v/>
      </c>
      <c r="C466" s="658"/>
      <c r="D466" s="659" t="str">
        <f>IF($A466="","",IFERROR(GETPIVOTDATA("合計 / 入金予定",【ピボット】国保連売上!$A$3,"年月",$A466,"事業所コード",$B466,"事業所",$C466,"事業区分",D$1,"請求区分","単月"),0)
+IFERROR(GETPIVOTDATA("合計 / 入金予定",【ピボット】国保連売上!$A$3,"年月",$A466,"事業所コード",$B466,"事業所",$C466,"事業区分",D$1,"請求区分","再請求"),0))</f>
        <v/>
      </c>
      <c r="E466" s="659" t="str">
        <f>IF($A466="","",IFERROR(GETPIVOTDATA("合計 / 処遇改善加算金",【ピボット】国保連売上!$A$3,"年月",$A466,"事業所コード",$B466,"事業所",$C466,"事業区分",D$1,"請求区分","単月"),0))</f>
        <v/>
      </c>
      <c r="F466" s="659" t="str">
        <f>IF($A466="","",IFERROR(GETPIVOTDATA("合計 / 入金予定",【ピボット】国保連売上!$A$3,"年月",$A466,"事業所コード",$B466,"事業所",$C466,"事業区分",F$1,"請求区分","単月"),0)
+IFERROR(GETPIVOTDATA("合計 / 入金予定",【ピボット】国保連売上!$A$3,"年月",$A466,"事業所コード",$B466,"事業所",$C466,"事業区分",F$1,"請求区分","再請求"),0))</f>
        <v/>
      </c>
      <c r="G466" s="659" t="str">
        <f>IF($A466="","",IFERROR(GETPIVOTDATA("合計 / 処遇改善加算金",【ピボット】国保連売上!$A$3,"年月",$A466,"事業所コード",$B466,"事業所",$C466,"事業区分",F$1,"請求区分","単月"),0))</f>
        <v/>
      </c>
      <c r="H466" s="659" t="str">
        <f>IF($A466="","",IFERROR(GETPIVOTDATA("合計 / 入金予定",【ピボット】国保連売上!$A$3,"年月",$A466,"事業所コード",$B466,"事業所",$C466,"事業区分",H$1,"請求区分","単月"),0)
+IFERROR(GETPIVOTDATA("合計 / 入金予定",【ピボット】国保連売上!$A$3,"年月",$A466,"事業所コード",$B466,"事業所",$C466,"事業区分",H$1,"請求区分","再請求"),0))</f>
        <v/>
      </c>
      <c r="I466" s="659" t="str">
        <f>IF($A466="","",IFERROR(GETPIVOTDATA("合計 / 入金予定",【ピボット】国保連売上!$A$3,"年月",$A466,"事業所コード",$B466,"事業所",$C466,"事業区分",I$1,"請求区分","単月"),0)
+IFERROR(GETPIVOTDATA("合計 / 入金予定",【ピボット】国保連売上!$A$3,"年月",$A466,"事業所コード",$B466,"事業所",$C466,"事業区分",I$1,"請求区分","再請求"),0))</f>
        <v/>
      </c>
      <c r="J466" s="659" t="str">
        <f>IF($A466="","",IFERROR(GETPIVOTDATA("合計 / 処遇改善加算金",【ピボット】国保連売上!$A$3,"年月",$A466,"事業所コード",$B466,"事業所",$C466,"事業区分",I$1,"請求区分","単月"),0))</f>
        <v/>
      </c>
      <c r="K466" s="659" t="str">
        <f>IF($A466="","",IFERROR(GETPIVOTDATA("合計 / 入金予定",【ピボット】国保連売上!$A$3,"年月",$A466,"事業所コード",$B466,"事業所",$C466,"事業区分",K$1,"請求区分","単月"),0)
+IFERROR(GETPIVOTDATA("合計 / 入金予定",【ピボット】国保連売上!$A$3,"年月",$A466,"事業所コード",$B466,"事業所",$C466,"事業区分",K$1,"請求区分","再請求"),0))</f>
        <v/>
      </c>
      <c r="L466" s="659" t="str">
        <f>IF($A466="","",IFERROR(GETPIVOTDATA("合計 / 処遇改善加算金",【ピボット】国保連売上!$A$3,"年月",$A466,"事業所コード",$B466,"事業所",$C466,"事業区分",K$1,"請求区分","単月"),0))</f>
        <v/>
      </c>
      <c r="M466" s="659" t="str">
        <f>IF($A466="","",IFERROR(GETPIVOTDATA("合計 / 入金予定",【ピボット】国保連売上!$A$3,"年月",$A466,"事業所コード",$B466,"事業所",$C466,"事業区分",M$1,"請求区分","単月"),0)
+IFERROR(GETPIVOTDATA("合計 / 入金予定",【ピボット】国保連売上!$A$3,"年月",$A466,"事業所コード",$B466,"事業所",$C466,"事業区分",M$1,"請求区分","再請求"),0))</f>
        <v/>
      </c>
      <c r="N466" s="660"/>
      <c r="O466" s="660"/>
      <c r="P466" s="660"/>
      <c r="Q466" s="660"/>
      <c r="R466" s="660"/>
      <c r="S466" s="660"/>
      <c r="T466" s="660"/>
      <c r="U466" s="660"/>
      <c r="V466" s="660"/>
      <c r="W466" s="660"/>
      <c r="X466" s="660"/>
      <c r="Y466" s="659" t="str">
        <f t="shared" si="21"/>
        <v/>
      </c>
      <c r="Z466" s="659" t="str">
        <f t="shared" si="23"/>
        <v/>
      </c>
    </row>
    <row r="467" spans="1:26" ht="15.95" customHeight="1" x14ac:dyDescent="0.15">
      <c r="A467" s="656"/>
      <c r="B467" s="657" t="str">
        <f t="shared" si="22"/>
        <v/>
      </c>
      <c r="C467" s="658"/>
      <c r="D467" s="659" t="str">
        <f>IF($A467="","",IFERROR(GETPIVOTDATA("合計 / 入金予定",【ピボット】国保連売上!$A$3,"年月",$A467,"事業所コード",$B467,"事業所",$C467,"事業区分",D$1,"請求区分","単月"),0)
+IFERROR(GETPIVOTDATA("合計 / 入金予定",【ピボット】国保連売上!$A$3,"年月",$A467,"事業所コード",$B467,"事業所",$C467,"事業区分",D$1,"請求区分","再請求"),0))</f>
        <v/>
      </c>
      <c r="E467" s="659" t="str">
        <f>IF($A467="","",IFERROR(GETPIVOTDATA("合計 / 処遇改善加算金",【ピボット】国保連売上!$A$3,"年月",$A467,"事業所コード",$B467,"事業所",$C467,"事業区分",D$1,"請求区分","単月"),0))</f>
        <v/>
      </c>
      <c r="F467" s="659" t="str">
        <f>IF($A467="","",IFERROR(GETPIVOTDATA("合計 / 入金予定",【ピボット】国保連売上!$A$3,"年月",$A467,"事業所コード",$B467,"事業所",$C467,"事業区分",F$1,"請求区分","単月"),0)
+IFERROR(GETPIVOTDATA("合計 / 入金予定",【ピボット】国保連売上!$A$3,"年月",$A467,"事業所コード",$B467,"事業所",$C467,"事業区分",F$1,"請求区分","再請求"),0))</f>
        <v/>
      </c>
      <c r="G467" s="659" t="str">
        <f>IF($A467="","",IFERROR(GETPIVOTDATA("合計 / 処遇改善加算金",【ピボット】国保連売上!$A$3,"年月",$A467,"事業所コード",$B467,"事業所",$C467,"事業区分",F$1,"請求区分","単月"),0))</f>
        <v/>
      </c>
      <c r="H467" s="659" t="str">
        <f>IF($A467="","",IFERROR(GETPIVOTDATA("合計 / 入金予定",【ピボット】国保連売上!$A$3,"年月",$A467,"事業所コード",$B467,"事業所",$C467,"事業区分",H$1,"請求区分","単月"),0)
+IFERROR(GETPIVOTDATA("合計 / 入金予定",【ピボット】国保連売上!$A$3,"年月",$A467,"事業所コード",$B467,"事業所",$C467,"事業区分",H$1,"請求区分","再請求"),0))</f>
        <v/>
      </c>
      <c r="I467" s="659" t="str">
        <f>IF($A467="","",IFERROR(GETPIVOTDATA("合計 / 入金予定",【ピボット】国保連売上!$A$3,"年月",$A467,"事業所コード",$B467,"事業所",$C467,"事業区分",I$1,"請求区分","単月"),0)
+IFERROR(GETPIVOTDATA("合計 / 入金予定",【ピボット】国保連売上!$A$3,"年月",$A467,"事業所コード",$B467,"事業所",$C467,"事業区分",I$1,"請求区分","再請求"),0))</f>
        <v/>
      </c>
      <c r="J467" s="659" t="str">
        <f>IF($A467="","",IFERROR(GETPIVOTDATA("合計 / 処遇改善加算金",【ピボット】国保連売上!$A$3,"年月",$A467,"事業所コード",$B467,"事業所",$C467,"事業区分",I$1,"請求区分","単月"),0))</f>
        <v/>
      </c>
      <c r="K467" s="659" t="str">
        <f>IF($A467="","",IFERROR(GETPIVOTDATA("合計 / 入金予定",【ピボット】国保連売上!$A$3,"年月",$A467,"事業所コード",$B467,"事業所",$C467,"事業区分",K$1,"請求区分","単月"),0)
+IFERROR(GETPIVOTDATA("合計 / 入金予定",【ピボット】国保連売上!$A$3,"年月",$A467,"事業所コード",$B467,"事業所",$C467,"事業区分",K$1,"請求区分","再請求"),0))</f>
        <v/>
      </c>
      <c r="L467" s="659" t="str">
        <f>IF($A467="","",IFERROR(GETPIVOTDATA("合計 / 処遇改善加算金",【ピボット】国保連売上!$A$3,"年月",$A467,"事業所コード",$B467,"事業所",$C467,"事業区分",K$1,"請求区分","単月"),0))</f>
        <v/>
      </c>
      <c r="M467" s="659" t="str">
        <f>IF($A467="","",IFERROR(GETPIVOTDATA("合計 / 入金予定",【ピボット】国保連売上!$A$3,"年月",$A467,"事業所コード",$B467,"事業所",$C467,"事業区分",M$1,"請求区分","単月"),0)
+IFERROR(GETPIVOTDATA("合計 / 入金予定",【ピボット】国保連売上!$A$3,"年月",$A467,"事業所コード",$B467,"事業所",$C467,"事業区分",M$1,"請求区分","再請求"),0))</f>
        <v/>
      </c>
      <c r="N467" s="660"/>
      <c r="O467" s="660"/>
      <c r="P467" s="660"/>
      <c r="Q467" s="660"/>
      <c r="R467" s="660"/>
      <c r="S467" s="660"/>
      <c r="T467" s="660"/>
      <c r="U467" s="660"/>
      <c r="V467" s="660"/>
      <c r="W467" s="660"/>
      <c r="X467" s="660"/>
      <c r="Y467" s="659" t="str">
        <f t="shared" si="21"/>
        <v/>
      </c>
      <c r="Z467" s="659" t="str">
        <f t="shared" si="23"/>
        <v/>
      </c>
    </row>
    <row r="468" spans="1:26" ht="15.95" customHeight="1" x14ac:dyDescent="0.15">
      <c r="A468" s="656"/>
      <c r="B468" s="657" t="str">
        <f t="shared" si="22"/>
        <v/>
      </c>
      <c r="C468" s="658"/>
      <c r="D468" s="659" t="str">
        <f>IF($A468="","",IFERROR(GETPIVOTDATA("合計 / 入金予定",【ピボット】国保連売上!$A$3,"年月",$A468,"事業所コード",$B468,"事業所",$C468,"事業区分",D$1,"請求区分","単月"),0)
+IFERROR(GETPIVOTDATA("合計 / 入金予定",【ピボット】国保連売上!$A$3,"年月",$A468,"事業所コード",$B468,"事業所",$C468,"事業区分",D$1,"請求区分","再請求"),0))</f>
        <v/>
      </c>
      <c r="E468" s="659" t="str">
        <f>IF($A468="","",IFERROR(GETPIVOTDATA("合計 / 処遇改善加算金",【ピボット】国保連売上!$A$3,"年月",$A468,"事業所コード",$B468,"事業所",$C468,"事業区分",D$1,"請求区分","単月"),0))</f>
        <v/>
      </c>
      <c r="F468" s="659" t="str">
        <f>IF($A468="","",IFERROR(GETPIVOTDATA("合計 / 入金予定",【ピボット】国保連売上!$A$3,"年月",$A468,"事業所コード",$B468,"事業所",$C468,"事業区分",F$1,"請求区分","単月"),0)
+IFERROR(GETPIVOTDATA("合計 / 入金予定",【ピボット】国保連売上!$A$3,"年月",$A468,"事業所コード",$B468,"事業所",$C468,"事業区分",F$1,"請求区分","再請求"),0))</f>
        <v/>
      </c>
      <c r="G468" s="659" t="str">
        <f>IF($A468="","",IFERROR(GETPIVOTDATA("合計 / 処遇改善加算金",【ピボット】国保連売上!$A$3,"年月",$A468,"事業所コード",$B468,"事業所",$C468,"事業区分",F$1,"請求区分","単月"),0))</f>
        <v/>
      </c>
      <c r="H468" s="659" t="str">
        <f>IF($A468="","",IFERROR(GETPIVOTDATA("合計 / 入金予定",【ピボット】国保連売上!$A$3,"年月",$A468,"事業所コード",$B468,"事業所",$C468,"事業区分",H$1,"請求区分","単月"),0)
+IFERROR(GETPIVOTDATA("合計 / 入金予定",【ピボット】国保連売上!$A$3,"年月",$A468,"事業所コード",$B468,"事業所",$C468,"事業区分",H$1,"請求区分","再請求"),0))</f>
        <v/>
      </c>
      <c r="I468" s="659" t="str">
        <f>IF($A468="","",IFERROR(GETPIVOTDATA("合計 / 入金予定",【ピボット】国保連売上!$A$3,"年月",$A468,"事業所コード",$B468,"事業所",$C468,"事業区分",I$1,"請求区分","単月"),0)
+IFERROR(GETPIVOTDATA("合計 / 入金予定",【ピボット】国保連売上!$A$3,"年月",$A468,"事業所コード",$B468,"事業所",$C468,"事業区分",I$1,"請求区分","再請求"),0))</f>
        <v/>
      </c>
      <c r="J468" s="659" t="str">
        <f>IF($A468="","",IFERROR(GETPIVOTDATA("合計 / 処遇改善加算金",【ピボット】国保連売上!$A$3,"年月",$A468,"事業所コード",$B468,"事業所",$C468,"事業区分",I$1,"請求区分","単月"),0))</f>
        <v/>
      </c>
      <c r="K468" s="659" t="str">
        <f>IF($A468="","",IFERROR(GETPIVOTDATA("合計 / 入金予定",【ピボット】国保連売上!$A$3,"年月",$A468,"事業所コード",$B468,"事業所",$C468,"事業区分",K$1,"請求区分","単月"),0)
+IFERROR(GETPIVOTDATA("合計 / 入金予定",【ピボット】国保連売上!$A$3,"年月",$A468,"事業所コード",$B468,"事業所",$C468,"事業区分",K$1,"請求区分","再請求"),0))</f>
        <v/>
      </c>
      <c r="L468" s="659" t="str">
        <f>IF($A468="","",IFERROR(GETPIVOTDATA("合計 / 処遇改善加算金",【ピボット】国保連売上!$A$3,"年月",$A468,"事業所コード",$B468,"事業所",$C468,"事業区分",K$1,"請求区分","単月"),0))</f>
        <v/>
      </c>
      <c r="M468" s="659" t="str">
        <f>IF($A468="","",IFERROR(GETPIVOTDATA("合計 / 入金予定",【ピボット】国保連売上!$A$3,"年月",$A468,"事業所コード",$B468,"事業所",$C468,"事業区分",M$1,"請求区分","単月"),0)
+IFERROR(GETPIVOTDATA("合計 / 入金予定",【ピボット】国保連売上!$A$3,"年月",$A468,"事業所コード",$B468,"事業所",$C468,"事業区分",M$1,"請求区分","再請求"),0))</f>
        <v/>
      </c>
      <c r="N468" s="660"/>
      <c r="O468" s="660"/>
      <c r="P468" s="660"/>
      <c r="Q468" s="660"/>
      <c r="R468" s="660"/>
      <c r="S468" s="660"/>
      <c r="T468" s="660"/>
      <c r="U468" s="660"/>
      <c r="V468" s="660"/>
      <c r="W468" s="660"/>
      <c r="X468" s="660"/>
      <c r="Y468" s="659" t="str">
        <f t="shared" si="21"/>
        <v/>
      </c>
      <c r="Z468" s="659" t="str">
        <f t="shared" si="23"/>
        <v/>
      </c>
    </row>
    <row r="469" spans="1:26" ht="15.95" customHeight="1" x14ac:dyDescent="0.15">
      <c r="A469" s="656"/>
      <c r="B469" s="657" t="str">
        <f t="shared" si="22"/>
        <v/>
      </c>
      <c r="C469" s="658"/>
      <c r="D469" s="659" t="str">
        <f>IF($A469="","",IFERROR(GETPIVOTDATA("合計 / 入金予定",【ピボット】国保連売上!$A$3,"年月",$A469,"事業所コード",$B469,"事業所",$C469,"事業区分",D$1,"請求区分","単月"),0)
+IFERROR(GETPIVOTDATA("合計 / 入金予定",【ピボット】国保連売上!$A$3,"年月",$A469,"事業所コード",$B469,"事業所",$C469,"事業区分",D$1,"請求区分","再請求"),0))</f>
        <v/>
      </c>
      <c r="E469" s="659" t="str">
        <f>IF($A469="","",IFERROR(GETPIVOTDATA("合計 / 処遇改善加算金",【ピボット】国保連売上!$A$3,"年月",$A469,"事業所コード",$B469,"事業所",$C469,"事業区分",D$1,"請求区分","単月"),0))</f>
        <v/>
      </c>
      <c r="F469" s="659" t="str">
        <f>IF($A469="","",IFERROR(GETPIVOTDATA("合計 / 入金予定",【ピボット】国保連売上!$A$3,"年月",$A469,"事業所コード",$B469,"事業所",$C469,"事業区分",F$1,"請求区分","単月"),0)
+IFERROR(GETPIVOTDATA("合計 / 入金予定",【ピボット】国保連売上!$A$3,"年月",$A469,"事業所コード",$B469,"事業所",$C469,"事業区分",F$1,"請求区分","再請求"),0))</f>
        <v/>
      </c>
      <c r="G469" s="659" t="str">
        <f>IF($A469="","",IFERROR(GETPIVOTDATA("合計 / 処遇改善加算金",【ピボット】国保連売上!$A$3,"年月",$A469,"事業所コード",$B469,"事業所",$C469,"事業区分",F$1,"請求区分","単月"),0))</f>
        <v/>
      </c>
      <c r="H469" s="659" t="str">
        <f>IF($A469="","",IFERROR(GETPIVOTDATA("合計 / 入金予定",【ピボット】国保連売上!$A$3,"年月",$A469,"事業所コード",$B469,"事業所",$C469,"事業区分",H$1,"請求区分","単月"),0)
+IFERROR(GETPIVOTDATA("合計 / 入金予定",【ピボット】国保連売上!$A$3,"年月",$A469,"事業所コード",$B469,"事業所",$C469,"事業区分",H$1,"請求区分","再請求"),0))</f>
        <v/>
      </c>
      <c r="I469" s="659" t="str">
        <f>IF($A469="","",IFERROR(GETPIVOTDATA("合計 / 入金予定",【ピボット】国保連売上!$A$3,"年月",$A469,"事業所コード",$B469,"事業所",$C469,"事業区分",I$1,"請求区分","単月"),0)
+IFERROR(GETPIVOTDATA("合計 / 入金予定",【ピボット】国保連売上!$A$3,"年月",$A469,"事業所コード",$B469,"事業所",$C469,"事業区分",I$1,"請求区分","再請求"),0))</f>
        <v/>
      </c>
      <c r="J469" s="659" t="str">
        <f>IF($A469="","",IFERROR(GETPIVOTDATA("合計 / 処遇改善加算金",【ピボット】国保連売上!$A$3,"年月",$A469,"事業所コード",$B469,"事業所",$C469,"事業区分",I$1,"請求区分","単月"),0))</f>
        <v/>
      </c>
      <c r="K469" s="659" t="str">
        <f>IF($A469="","",IFERROR(GETPIVOTDATA("合計 / 入金予定",【ピボット】国保連売上!$A$3,"年月",$A469,"事業所コード",$B469,"事業所",$C469,"事業区分",K$1,"請求区分","単月"),0)
+IFERROR(GETPIVOTDATA("合計 / 入金予定",【ピボット】国保連売上!$A$3,"年月",$A469,"事業所コード",$B469,"事業所",$C469,"事業区分",K$1,"請求区分","再請求"),0))</f>
        <v/>
      </c>
      <c r="L469" s="659" t="str">
        <f>IF($A469="","",IFERROR(GETPIVOTDATA("合計 / 処遇改善加算金",【ピボット】国保連売上!$A$3,"年月",$A469,"事業所コード",$B469,"事業所",$C469,"事業区分",K$1,"請求区分","単月"),0))</f>
        <v/>
      </c>
      <c r="M469" s="659" t="str">
        <f>IF($A469="","",IFERROR(GETPIVOTDATA("合計 / 入金予定",【ピボット】国保連売上!$A$3,"年月",$A469,"事業所コード",$B469,"事業所",$C469,"事業区分",M$1,"請求区分","単月"),0)
+IFERROR(GETPIVOTDATA("合計 / 入金予定",【ピボット】国保連売上!$A$3,"年月",$A469,"事業所コード",$B469,"事業所",$C469,"事業区分",M$1,"請求区分","再請求"),0))</f>
        <v/>
      </c>
      <c r="N469" s="660"/>
      <c r="O469" s="660"/>
      <c r="P469" s="660"/>
      <c r="Q469" s="660"/>
      <c r="R469" s="660"/>
      <c r="S469" s="660"/>
      <c r="T469" s="660"/>
      <c r="U469" s="660"/>
      <c r="V469" s="660"/>
      <c r="W469" s="660"/>
      <c r="X469" s="660"/>
      <c r="Y469" s="659" t="str">
        <f t="shared" si="21"/>
        <v/>
      </c>
      <c r="Z469" s="659" t="str">
        <f t="shared" si="23"/>
        <v/>
      </c>
    </row>
    <row r="470" spans="1:26" ht="15.95" customHeight="1" x14ac:dyDescent="0.15">
      <c r="A470" s="656"/>
      <c r="B470" s="657" t="str">
        <f t="shared" si="22"/>
        <v/>
      </c>
      <c r="C470" s="658"/>
      <c r="D470" s="659" t="str">
        <f>IF($A470="","",IFERROR(GETPIVOTDATA("合計 / 入金予定",【ピボット】国保連売上!$A$3,"年月",$A470,"事業所コード",$B470,"事業所",$C470,"事業区分",D$1,"請求区分","単月"),0)
+IFERROR(GETPIVOTDATA("合計 / 入金予定",【ピボット】国保連売上!$A$3,"年月",$A470,"事業所コード",$B470,"事業所",$C470,"事業区分",D$1,"請求区分","再請求"),0))</f>
        <v/>
      </c>
      <c r="E470" s="659" t="str">
        <f>IF($A470="","",IFERROR(GETPIVOTDATA("合計 / 処遇改善加算金",【ピボット】国保連売上!$A$3,"年月",$A470,"事業所コード",$B470,"事業所",$C470,"事業区分",D$1,"請求区分","単月"),0))</f>
        <v/>
      </c>
      <c r="F470" s="659" t="str">
        <f>IF($A470="","",IFERROR(GETPIVOTDATA("合計 / 入金予定",【ピボット】国保連売上!$A$3,"年月",$A470,"事業所コード",$B470,"事業所",$C470,"事業区分",F$1,"請求区分","単月"),0)
+IFERROR(GETPIVOTDATA("合計 / 入金予定",【ピボット】国保連売上!$A$3,"年月",$A470,"事業所コード",$B470,"事業所",$C470,"事業区分",F$1,"請求区分","再請求"),0))</f>
        <v/>
      </c>
      <c r="G470" s="659" t="str">
        <f>IF($A470="","",IFERROR(GETPIVOTDATA("合計 / 処遇改善加算金",【ピボット】国保連売上!$A$3,"年月",$A470,"事業所コード",$B470,"事業所",$C470,"事業区分",F$1,"請求区分","単月"),0))</f>
        <v/>
      </c>
      <c r="H470" s="659" t="str">
        <f>IF($A470="","",IFERROR(GETPIVOTDATA("合計 / 入金予定",【ピボット】国保連売上!$A$3,"年月",$A470,"事業所コード",$B470,"事業所",$C470,"事業区分",H$1,"請求区分","単月"),0)
+IFERROR(GETPIVOTDATA("合計 / 入金予定",【ピボット】国保連売上!$A$3,"年月",$A470,"事業所コード",$B470,"事業所",$C470,"事業区分",H$1,"請求区分","再請求"),0))</f>
        <v/>
      </c>
      <c r="I470" s="659" t="str">
        <f>IF($A470="","",IFERROR(GETPIVOTDATA("合計 / 入金予定",【ピボット】国保連売上!$A$3,"年月",$A470,"事業所コード",$B470,"事業所",$C470,"事業区分",I$1,"請求区分","単月"),0)
+IFERROR(GETPIVOTDATA("合計 / 入金予定",【ピボット】国保連売上!$A$3,"年月",$A470,"事業所コード",$B470,"事業所",$C470,"事業区分",I$1,"請求区分","再請求"),0))</f>
        <v/>
      </c>
      <c r="J470" s="659" t="str">
        <f>IF($A470="","",IFERROR(GETPIVOTDATA("合計 / 処遇改善加算金",【ピボット】国保連売上!$A$3,"年月",$A470,"事業所コード",$B470,"事業所",$C470,"事業区分",I$1,"請求区分","単月"),0))</f>
        <v/>
      </c>
      <c r="K470" s="659" t="str">
        <f>IF($A470="","",IFERROR(GETPIVOTDATA("合計 / 入金予定",【ピボット】国保連売上!$A$3,"年月",$A470,"事業所コード",$B470,"事業所",$C470,"事業区分",K$1,"請求区分","単月"),0)
+IFERROR(GETPIVOTDATA("合計 / 入金予定",【ピボット】国保連売上!$A$3,"年月",$A470,"事業所コード",$B470,"事業所",$C470,"事業区分",K$1,"請求区分","再請求"),0))</f>
        <v/>
      </c>
      <c r="L470" s="659" t="str">
        <f>IF($A470="","",IFERROR(GETPIVOTDATA("合計 / 処遇改善加算金",【ピボット】国保連売上!$A$3,"年月",$A470,"事業所コード",$B470,"事業所",$C470,"事業区分",K$1,"請求区分","単月"),0))</f>
        <v/>
      </c>
      <c r="M470" s="659" t="str">
        <f>IF($A470="","",IFERROR(GETPIVOTDATA("合計 / 入金予定",【ピボット】国保連売上!$A$3,"年月",$A470,"事業所コード",$B470,"事業所",$C470,"事業区分",M$1,"請求区分","単月"),0)
+IFERROR(GETPIVOTDATA("合計 / 入金予定",【ピボット】国保連売上!$A$3,"年月",$A470,"事業所コード",$B470,"事業所",$C470,"事業区分",M$1,"請求区分","再請求"),0))</f>
        <v/>
      </c>
      <c r="N470" s="660"/>
      <c r="O470" s="660"/>
      <c r="P470" s="660"/>
      <c r="Q470" s="660"/>
      <c r="R470" s="660"/>
      <c r="S470" s="660"/>
      <c r="T470" s="660"/>
      <c r="U470" s="660"/>
      <c r="V470" s="660"/>
      <c r="W470" s="660"/>
      <c r="X470" s="660"/>
      <c r="Y470" s="659" t="str">
        <f t="shared" si="21"/>
        <v/>
      </c>
      <c r="Z470" s="659" t="str">
        <f t="shared" si="23"/>
        <v/>
      </c>
    </row>
    <row r="471" spans="1:26" ht="15.95" customHeight="1" x14ac:dyDescent="0.15">
      <c r="A471" s="656"/>
      <c r="B471" s="657" t="str">
        <f t="shared" si="22"/>
        <v/>
      </c>
      <c r="C471" s="658"/>
      <c r="D471" s="659" t="str">
        <f>IF($A471="","",IFERROR(GETPIVOTDATA("合計 / 入金予定",【ピボット】国保連売上!$A$3,"年月",$A471,"事業所コード",$B471,"事業所",$C471,"事業区分",D$1,"請求区分","単月"),0)
+IFERROR(GETPIVOTDATA("合計 / 入金予定",【ピボット】国保連売上!$A$3,"年月",$A471,"事業所コード",$B471,"事業所",$C471,"事業区分",D$1,"請求区分","再請求"),0))</f>
        <v/>
      </c>
      <c r="E471" s="659" t="str">
        <f>IF($A471="","",IFERROR(GETPIVOTDATA("合計 / 処遇改善加算金",【ピボット】国保連売上!$A$3,"年月",$A471,"事業所コード",$B471,"事業所",$C471,"事業区分",D$1,"請求区分","単月"),0))</f>
        <v/>
      </c>
      <c r="F471" s="659" t="str">
        <f>IF($A471="","",IFERROR(GETPIVOTDATA("合計 / 入金予定",【ピボット】国保連売上!$A$3,"年月",$A471,"事業所コード",$B471,"事業所",$C471,"事業区分",F$1,"請求区分","単月"),0)
+IFERROR(GETPIVOTDATA("合計 / 入金予定",【ピボット】国保連売上!$A$3,"年月",$A471,"事業所コード",$B471,"事業所",$C471,"事業区分",F$1,"請求区分","再請求"),0))</f>
        <v/>
      </c>
      <c r="G471" s="659" t="str">
        <f>IF($A471="","",IFERROR(GETPIVOTDATA("合計 / 処遇改善加算金",【ピボット】国保連売上!$A$3,"年月",$A471,"事業所コード",$B471,"事業所",$C471,"事業区分",F$1,"請求区分","単月"),0))</f>
        <v/>
      </c>
      <c r="H471" s="659" t="str">
        <f>IF($A471="","",IFERROR(GETPIVOTDATA("合計 / 入金予定",【ピボット】国保連売上!$A$3,"年月",$A471,"事業所コード",$B471,"事業所",$C471,"事業区分",H$1,"請求区分","単月"),0)
+IFERROR(GETPIVOTDATA("合計 / 入金予定",【ピボット】国保連売上!$A$3,"年月",$A471,"事業所コード",$B471,"事業所",$C471,"事業区分",H$1,"請求区分","再請求"),0))</f>
        <v/>
      </c>
      <c r="I471" s="659" t="str">
        <f>IF($A471="","",IFERROR(GETPIVOTDATA("合計 / 入金予定",【ピボット】国保連売上!$A$3,"年月",$A471,"事業所コード",$B471,"事業所",$C471,"事業区分",I$1,"請求区分","単月"),0)
+IFERROR(GETPIVOTDATA("合計 / 入金予定",【ピボット】国保連売上!$A$3,"年月",$A471,"事業所コード",$B471,"事業所",$C471,"事業区分",I$1,"請求区分","再請求"),0))</f>
        <v/>
      </c>
      <c r="J471" s="659" t="str">
        <f>IF($A471="","",IFERROR(GETPIVOTDATA("合計 / 処遇改善加算金",【ピボット】国保連売上!$A$3,"年月",$A471,"事業所コード",$B471,"事業所",$C471,"事業区分",I$1,"請求区分","単月"),0))</f>
        <v/>
      </c>
      <c r="K471" s="659" t="str">
        <f>IF($A471="","",IFERROR(GETPIVOTDATA("合計 / 入金予定",【ピボット】国保連売上!$A$3,"年月",$A471,"事業所コード",$B471,"事業所",$C471,"事業区分",K$1,"請求区分","単月"),0)
+IFERROR(GETPIVOTDATA("合計 / 入金予定",【ピボット】国保連売上!$A$3,"年月",$A471,"事業所コード",$B471,"事業所",$C471,"事業区分",K$1,"請求区分","再請求"),0))</f>
        <v/>
      </c>
      <c r="L471" s="659" t="str">
        <f>IF($A471="","",IFERROR(GETPIVOTDATA("合計 / 処遇改善加算金",【ピボット】国保連売上!$A$3,"年月",$A471,"事業所コード",$B471,"事業所",$C471,"事業区分",K$1,"請求区分","単月"),0))</f>
        <v/>
      </c>
      <c r="M471" s="659" t="str">
        <f>IF($A471="","",IFERROR(GETPIVOTDATA("合計 / 入金予定",【ピボット】国保連売上!$A$3,"年月",$A471,"事業所コード",$B471,"事業所",$C471,"事業区分",M$1,"請求区分","単月"),0)
+IFERROR(GETPIVOTDATA("合計 / 入金予定",【ピボット】国保連売上!$A$3,"年月",$A471,"事業所コード",$B471,"事業所",$C471,"事業区分",M$1,"請求区分","再請求"),0))</f>
        <v/>
      </c>
      <c r="N471" s="660"/>
      <c r="O471" s="660"/>
      <c r="P471" s="660"/>
      <c r="Q471" s="660"/>
      <c r="R471" s="660"/>
      <c r="S471" s="660"/>
      <c r="T471" s="660"/>
      <c r="U471" s="660"/>
      <c r="V471" s="660"/>
      <c r="W471" s="660"/>
      <c r="X471" s="660"/>
      <c r="Y471" s="659" t="str">
        <f t="shared" si="21"/>
        <v/>
      </c>
      <c r="Z471" s="659" t="str">
        <f t="shared" si="23"/>
        <v/>
      </c>
    </row>
    <row r="472" spans="1:26" ht="15.95" customHeight="1" x14ac:dyDescent="0.15">
      <c r="A472" s="656"/>
      <c r="B472" s="657" t="str">
        <f t="shared" si="22"/>
        <v/>
      </c>
      <c r="C472" s="658"/>
      <c r="D472" s="659" t="str">
        <f>IF($A472="","",IFERROR(GETPIVOTDATA("合計 / 入金予定",【ピボット】国保連売上!$A$3,"年月",$A472,"事業所コード",$B472,"事業所",$C472,"事業区分",D$1,"請求区分","単月"),0)
+IFERROR(GETPIVOTDATA("合計 / 入金予定",【ピボット】国保連売上!$A$3,"年月",$A472,"事業所コード",$B472,"事業所",$C472,"事業区分",D$1,"請求区分","再請求"),0))</f>
        <v/>
      </c>
      <c r="E472" s="659" t="str">
        <f>IF($A472="","",IFERROR(GETPIVOTDATA("合計 / 処遇改善加算金",【ピボット】国保連売上!$A$3,"年月",$A472,"事業所コード",$B472,"事業所",$C472,"事業区分",D$1,"請求区分","単月"),0))</f>
        <v/>
      </c>
      <c r="F472" s="659" t="str">
        <f>IF($A472="","",IFERROR(GETPIVOTDATA("合計 / 入金予定",【ピボット】国保連売上!$A$3,"年月",$A472,"事業所コード",$B472,"事業所",$C472,"事業区分",F$1,"請求区分","単月"),0)
+IFERROR(GETPIVOTDATA("合計 / 入金予定",【ピボット】国保連売上!$A$3,"年月",$A472,"事業所コード",$B472,"事業所",$C472,"事業区分",F$1,"請求区分","再請求"),0))</f>
        <v/>
      </c>
      <c r="G472" s="659" t="str">
        <f>IF($A472="","",IFERROR(GETPIVOTDATA("合計 / 処遇改善加算金",【ピボット】国保連売上!$A$3,"年月",$A472,"事業所コード",$B472,"事業所",$C472,"事業区分",F$1,"請求区分","単月"),0))</f>
        <v/>
      </c>
      <c r="H472" s="659" t="str">
        <f>IF($A472="","",IFERROR(GETPIVOTDATA("合計 / 入金予定",【ピボット】国保連売上!$A$3,"年月",$A472,"事業所コード",$B472,"事業所",$C472,"事業区分",H$1,"請求区分","単月"),0)
+IFERROR(GETPIVOTDATA("合計 / 入金予定",【ピボット】国保連売上!$A$3,"年月",$A472,"事業所コード",$B472,"事業所",$C472,"事業区分",H$1,"請求区分","再請求"),0))</f>
        <v/>
      </c>
      <c r="I472" s="659" t="str">
        <f>IF($A472="","",IFERROR(GETPIVOTDATA("合計 / 入金予定",【ピボット】国保連売上!$A$3,"年月",$A472,"事業所コード",$B472,"事業所",$C472,"事業区分",I$1,"請求区分","単月"),0)
+IFERROR(GETPIVOTDATA("合計 / 入金予定",【ピボット】国保連売上!$A$3,"年月",$A472,"事業所コード",$B472,"事業所",$C472,"事業区分",I$1,"請求区分","再請求"),0))</f>
        <v/>
      </c>
      <c r="J472" s="659" t="str">
        <f>IF($A472="","",IFERROR(GETPIVOTDATA("合計 / 処遇改善加算金",【ピボット】国保連売上!$A$3,"年月",$A472,"事業所コード",$B472,"事業所",$C472,"事業区分",I$1,"請求区分","単月"),0))</f>
        <v/>
      </c>
      <c r="K472" s="659" t="str">
        <f>IF($A472="","",IFERROR(GETPIVOTDATA("合計 / 入金予定",【ピボット】国保連売上!$A$3,"年月",$A472,"事業所コード",$B472,"事業所",$C472,"事業区分",K$1,"請求区分","単月"),0)
+IFERROR(GETPIVOTDATA("合計 / 入金予定",【ピボット】国保連売上!$A$3,"年月",$A472,"事業所コード",$B472,"事業所",$C472,"事業区分",K$1,"請求区分","再請求"),0))</f>
        <v/>
      </c>
      <c r="L472" s="659" t="str">
        <f>IF($A472="","",IFERROR(GETPIVOTDATA("合計 / 処遇改善加算金",【ピボット】国保連売上!$A$3,"年月",$A472,"事業所コード",$B472,"事業所",$C472,"事業区分",K$1,"請求区分","単月"),0))</f>
        <v/>
      </c>
      <c r="M472" s="659" t="str">
        <f>IF($A472="","",IFERROR(GETPIVOTDATA("合計 / 入金予定",【ピボット】国保連売上!$A$3,"年月",$A472,"事業所コード",$B472,"事業所",$C472,"事業区分",M$1,"請求区分","単月"),0)
+IFERROR(GETPIVOTDATA("合計 / 入金予定",【ピボット】国保連売上!$A$3,"年月",$A472,"事業所コード",$B472,"事業所",$C472,"事業区分",M$1,"請求区分","再請求"),0))</f>
        <v/>
      </c>
      <c r="N472" s="660"/>
      <c r="O472" s="660"/>
      <c r="P472" s="660"/>
      <c r="Q472" s="660"/>
      <c r="R472" s="660"/>
      <c r="S472" s="660"/>
      <c r="T472" s="660"/>
      <c r="U472" s="660"/>
      <c r="V472" s="660"/>
      <c r="W472" s="660"/>
      <c r="X472" s="660"/>
      <c r="Y472" s="659" t="str">
        <f t="shared" si="21"/>
        <v/>
      </c>
      <c r="Z472" s="659" t="str">
        <f t="shared" si="23"/>
        <v/>
      </c>
    </row>
    <row r="473" spans="1:26" ht="15.95" customHeight="1" x14ac:dyDescent="0.15">
      <c r="A473" s="656"/>
      <c r="B473" s="657" t="str">
        <f t="shared" si="22"/>
        <v/>
      </c>
      <c r="C473" s="658"/>
      <c r="D473" s="659" t="str">
        <f>IF($A473="","",IFERROR(GETPIVOTDATA("合計 / 入金予定",【ピボット】国保連売上!$A$3,"年月",$A473,"事業所コード",$B473,"事業所",$C473,"事業区分",D$1,"請求区分","単月"),0)
+IFERROR(GETPIVOTDATA("合計 / 入金予定",【ピボット】国保連売上!$A$3,"年月",$A473,"事業所コード",$B473,"事業所",$C473,"事業区分",D$1,"請求区分","再請求"),0))</f>
        <v/>
      </c>
      <c r="E473" s="659" t="str">
        <f>IF($A473="","",IFERROR(GETPIVOTDATA("合計 / 処遇改善加算金",【ピボット】国保連売上!$A$3,"年月",$A473,"事業所コード",$B473,"事業所",$C473,"事業区分",D$1,"請求区分","単月"),0))</f>
        <v/>
      </c>
      <c r="F473" s="659" t="str">
        <f>IF($A473="","",IFERROR(GETPIVOTDATA("合計 / 入金予定",【ピボット】国保連売上!$A$3,"年月",$A473,"事業所コード",$B473,"事業所",$C473,"事業区分",F$1,"請求区分","単月"),0)
+IFERROR(GETPIVOTDATA("合計 / 入金予定",【ピボット】国保連売上!$A$3,"年月",$A473,"事業所コード",$B473,"事業所",$C473,"事業区分",F$1,"請求区分","再請求"),0))</f>
        <v/>
      </c>
      <c r="G473" s="659" t="str">
        <f>IF($A473="","",IFERROR(GETPIVOTDATA("合計 / 処遇改善加算金",【ピボット】国保連売上!$A$3,"年月",$A473,"事業所コード",$B473,"事業所",$C473,"事業区分",F$1,"請求区分","単月"),0))</f>
        <v/>
      </c>
      <c r="H473" s="659" t="str">
        <f>IF($A473="","",IFERROR(GETPIVOTDATA("合計 / 入金予定",【ピボット】国保連売上!$A$3,"年月",$A473,"事業所コード",$B473,"事業所",$C473,"事業区分",H$1,"請求区分","単月"),0)
+IFERROR(GETPIVOTDATA("合計 / 入金予定",【ピボット】国保連売上!$A$3,"年月",$A473,"事業所コード",$B473,"事業所",$C473,"事業区分",H$1,"請求区分","再請求"),0))</f>
        <v/>
      </c>
      <c r="I473" s="659" t="str">
        <f>IF($A473="","",IFERROR(GETPIVOTDATA("合計 / 入金予定",【ピボット】国保連売上!$A$3,"年月",$A473,"事業所コード",$B473,"事業所",$C473,"事業区分",I$1,"請求区分","単月"),0)
+IFERROR(GETPIVOTDATA("合計 / 入金予定",【ピボット】国保連売上!$A$3,"年月",$A473,"事業所コード",$B473,"事業所",$C473,"事業区分",I$1,"請求区分","再請求"),0))</f>
        <v/>
      </c>
      <c r="J473" s="659" t="str">
        <f>IF($A473="","",IFERROR(GETPIVOTDATA("合計 / 処遇改善加算金",【ピボット】国保連売上!$A$3,"年月",$A473,"事業所コード",$B473,"事業所",$C473,"事業区分",I$1,"請求区分","単月"),0))</f>
        <v/>
      </c>
      <c r="K473" s="659" t="str">
        <f>IF($A473="","",IFERROR(GETPIVOTDATA("合計 / 入金予定",【ピボット】国保連売上!$A$3,"年月",$A473,"事業所コード",$B473,"事業所",$C473,"事業区分",K$1,"請求区分","単月"),0)
+IFERROR(GETPIVOTDATA("合計 / 入金予定",【ピボット】国保連売上!$A$3,"年月",$A473,"事業所コード",$B473,"事業所",$C473,"事業区分",K$1,"請求区分","再請求"),0))</f>
        <v/>
      </c>
      <c r="L473" s="659" t="str">
        <f>IF($A473="","",IFERROR(GETPIVOTDATA("合計 / 処遇改善加算金",【ピボット】国保連売上!$A$3,"年月",$A473,"事業所コード",$B473,"事業所",$C473,"事業区分",K$1,"請求区分","単月"),0))</f>
        <v/>
      </c>
      <c r="M473" s="659" t="str">
        <f>IF($A473="","",IFERROR(GETPIVOTDATA("合計 / 入金予定",【ピボット】国保連売上!$A$3,"年月",$A473,"事業所コード",$B473,"事業所",$C473,"事業区分",M$1,"請求区分","単月"),0)
+IFERROR(GETPIVOTDATA("合計 / 入金予定",【ピボット】国保連売上!$A$3,"年月",$A473,"事業所コード",$B473,"事業所",$C473,"事業区分",M$1,"請求区分","再請求"),0))</f>
        <v/>
      </c>
      <c r="N473" s="660"/>
      <c r="O473" s="660"/>
      <c r="P473" s="660"/>
      <c r="Q473" s="660"/>
      <c r="R473" s="660"/>
      <c r="S473" s="660"/>
      <c r="T473" s="660"/>
      <c r="U473" s="660"/>
      <c r="V473" s="660"/>
      <c r="W473" s="660"/>
      <c r="X473" s="660"/>
      <c r="Y473" s="659" t="str">
        <f t="shared" si="21"/>
        <v/>
      </c>
      <c r="Z473" s="659" t="str">
        <f t="shared" si="23"/>
        <v/>
      </c>
    </row>
    <row r="474" spans="1:26" ht="15.95" customHeight="1" x14ac:dyDescent="0.15">
      <c r="A474" s="656"/>
      <c r="B474" s="657" t="str">
        <f t="shared" si="22"/>
        <v/>
      </c>
      <c r="C474" s="658"/>
      <c r="D474" s="659" t="str">
        <f>IF($A474="","",IFERROR(GETPIVOTDATA("合計 / 入金予定",【ピボット】国保連売上!$A$3,"年月",$A474,"事業所コード",$B474,"事業所",$C474,"事業区分",D$1,"請求区分","単月"),0)
+IFERROR(GETPIVOTDATA("合計 / 入金予定",【ピボット】国保連売上!$A$3,"年月",$A474,"事業所コード",$B474,"事業所",$C474,"事業区分",D$1,"請求区分","再請求"),0))</f>
        <v/>
      </c>
      <c r="E474" s="659" t="str">
        <f>IF($A474="","",IFERROR(GETPIVOTDATA("合計 / 処遇改善加算金",【ピボット】国保連売上!$A$3,"年月",$A474,"事業所コード",$B474,"事業所",$C474,"事業区分",D$1,"請求区分","単月"),0))</f>
        <v/>
      </c>
      <c r="F474" s="659" t="str">
        <f>IF($A474="","",IFERROR(GETPIVOTDATA("合計 / 入金予定",【ピボット】国保連売上!$A$3,"年月",$A474,"事業所コード",$B474,"事業所",$C474,"事業区分",F$1,"請求区分","単月"),0)
+IFERROR(GETPIVOTDATA("合計 / 入金予定",【ピボット】国保連売上!$A$3,"年月",$A474,"事業所コード",$B474,"事業所",$C474,"事業区分",F$1,"請求区分","再請求"),0))</f>
        <v/>
      </c>
      <c r="G474" s="659" t="str">
        <f>IF($A474="","",IFERROR(GETPIVOTDATA("合計 / 処遇改善加算金",【ピボット】国保連売上!$A$3,"年月",$A474,"事業所コード",$B474,"事業所",$C474,"事業区分",F$1,"請求区分","単月"),0))</f>
        <v/>
      </c>
      <c r="H474" s="659" t="str">
        <f>IF($A474="","",IFERROR(GETPIVOTDATA("合計 / 入金予定",【ピボット】国保連売上!$A$3,"年月",$A474,"事業所コード",$B474,"事業所",$C474,"事業区分",H$1,"請求区分","単月"),0)
+IFERROR(GETPIVOTDATA("合計 / 入金予定",【ピボット】国保連売上!$A$3,"年月",$A474,"事業所コード",$B474,"事業所",$C474,"事業区分",H$1,"請求区分","再請求"),0))</f>
        <v/>
      </c>
      <c r="I474" s="659" t="str">
        <f>IF($A474="","",IFERROR(GETPIVOTDATA("合計 / 入金予定",【ピボット】国保連売上!$A$3,"年月",$A474,"事業所コード",$B474,"事業所",$C474,"事業区分",I$1,"請求区分","単月"),0)
+IFERROR(GETPIVOTDATA("合計 / 入金予定",【ピボット】国保連売上!$A$3,"年月",$A474,"事業所コード",$B474,"事業所",$C474,"事業区分",I$1,"請求区分","再請求"),0))</f>
        <v/>
      </c>
      <c r="J474" s="659" t="str">
        <f>IF($A474="","",IFERROR(GETPIVOTDATA("合計 / 処遇改善加算金",【ピボット】国保連売上!$A$3,"年月",$A474,"事業所コード",$B474,"事業所",$C474,"事業区分",I$1,"請求区分","単月"),0))</f>
        <v/>
      </c>
      <c r="K474" s="659" t="str">
        <f>IF($A474="","",IFERROR(GETPIVOTDATA("合計 / 入金予定",【ピボット】国保連売上!$A$3,"年月",$A474,"事業所コード",$B474,"事業所",$C474,"事業区分",K$1,"請求区分","単月"),0)
+IFERROR(GETPIVOTDATA("合計 / 入金予定",【ピボット】国保連売上!$A$3,"年月",$A474,"事業所コード",$B474,"事業所",$C474,"事業区分",K$1,"請求区分","再請求"),0))</f>
        <v/>
      </c>
      <c r="L474" s="659" t="str">
        <f>IF($A474="","",IFERROR(GETPIVOTDATA("合計 / 処遇改善加算金",【ピボット】国保連売上!$A$3,"年月",$A474,"事業所コード",$B474,"事業所",$C474,"事業区分",K$1,"請求区分","単月"),0))</f>
        <v/>
      </c>
      <c r="M474" s="659" t="str">
        <f>IF($A474="","",IFERROR(GETPIVOTDATA("合計 / 入金予定",【ピボット】国保連売上!$A$3,"年月",$A474,"事業所コード",$B474,"事業所",$C474,"事業区分",M$1,"請求区分","単月"),0)
+IFERROR(GETPIVOTDATA("合計 / 入金予定",【ピボット】国保連売上!$A$3,"年月",$A474,"事業所コード",$B474,"事業所",$C474,"事業区分",M$1,"請求区分","再請求"),0))</f>
        <v/>
      </c>
      <c r="N474" s="660"/>
      <c r="O474" s="660"/>
      <c r="P474" s="660"/>
      <c r="Q474" s="660"/>
      <c r="R474" s="660"/>
      <c r="S474" s="660"/>
      <c r="T474" s="660"/>
      <c r="U474" s="660"/>
      <c r="V474" s="660"/>
      <c r="W474" s="660"/>
      <c r="X474" s="660"/>
      <c r="Y474" s="659" t="str">
        <f t="shared" si="21"/>
        <v/>
      </c>
      <c r="Z474" s="659" t="str">
        <f t="shared" si="23"/>
        <v/>
      </c>
    </row>
    <row r="475" spans="1:26" ht="15.95" customHeight="1" x14ac:dyDescent="0.15">
      <c r="A475" s="656"/>
      <c r="B475" s="657" t="str">
        <f t="shared" si="22"/>
        <v/>
      </c>
      <c r="C475" s="658"/>
      <c r="D475" s="659" t="str">
        <f>IF($A475="","",IFERROR(GETPIVOTDATA("合計 / 入金予定",【ピボット】国保連売上!$A$3,"年月",$A475,"事業所コード",$B475,"事業所",$C475,"事業区分",D$1,"請求区分","単月"),0)
+IFERROR(GETPIVOTDATA("合計 / 入金予定",【ピボット】国保連売上!$A$3,"年月",$A475,"事業所コード",$B475,"事業所",$C475,"事業区分",D$1,"請求区分","再請求"),0))</f>
        <v/>
      </c>
      <c r="E475" s="659" t="str">
        <f>IF($A475="","",IFERROR(GETPIVOTDATA("合計 / 処遇改善加算金",【ピボット】国保連売上!$A$3,"年月",$A475,"事業所コード",$B475,"事業所",$C475,"事業区分",D$1,"請求区分","単月"),0))</f>
        <v/>
      </c>
      <c r="F475" s="659" t="str">
        <f>IF($A475="","",IFERROR(GETPIVOTDATA("合計 / 入金予定",【ピボット】国保連売上!$A$3,"年月",$A475,"事業所コード",$B475,"事業所",$C475,"事業区分",F$1,"請求区分","単月"),0)
+IFERROR(GETPIVOTDATA("合計 / 入金予定",【ピボット】国保連売上!$A$3,"年月",$A475,"事業所コード",$B475,"事業所",$C475,"事業区分",F$1,"請求区分","再請求"),0))</f>
        <v/>
      </c>
      <c r="G475" s="659" t="str">
        <f>IF($A475="","",IFERROR(GETPIVOTDATA("合計 / 処遇改善加算金",【ピボット】国保連売上!$A$3,"年月",$A475,"事業所コード",$B475,"事業所",$C475,"事業区分",F$1,"請求区分","単月"),0))</f>
        <v/>
      </c>
      <c r="H475" s="659" t="str">
        <f>IF($A475="","",IFERROR(GETPIVOTDATA("合計 / 入金予定",【ピボット】国保連売上!$A$3,"年月",$A475,"事業所コード",$B475,"事業所",$C475,"事業区分",H$1,"請求区分","単月"),0)
+IFERROR(GETPIVOTDATA("合計 / 入金予定",【ピボット】国保連売上!$A$3,"年月",$A475,"事業所コード",$B475,"事業所",$C475,"事業区分",H$1,"請求区分","再請求"),0))</f>
        <v/>
      </c>
      <c r="I475" s="659" t="str">
        <f>IF($A475="","",IFERROR(GETPIVOTDATA("合計 / 入金予定",【ピボット】国保連売上!$A$3,"年月",$A475,"事業所コード",$B475,"事業所",$C475,"事業区分",I$1,"請求区分","単月"),0)
+IFERROR(GETPIVOTDATA("合計 / 入金予定",【ピボット】国保連売上!$A$3,"年月",$A475,"事業所コード",$B475,"事業所",$C475,"事業区分",I$1,"請求区分","再請求"),0))</f>
        <v/>
      </c>
      <c r="J475" s="659" t="str">
        <f>IF($A475="","",IFERROR(GETPIVOTDATA("合計 / 処遇改善加算金",【ピボット】国保連売上!$A$3,"年月",$A475,"事業所コード",$B475,"事業所",$C475,"事業区分",I$1,"請求区分","単月"),0))</f>
        <v/>
      </c>
      <c r="K475" s="659" t="str">
        <f>IF($A475="","",IFERROR(GETPIVOTDATA("合計 / 入金予定",【ピボット】国保連売上!$A$3,"年月",$A475,"事業所コード",$B475,"事業所",$C475,"事業区分",K$1,"請求区分","単月"),0)
+IFERROR(GETPIVOTDATA("合計 / 入金予定",【ピボット】国保連売上!$A$3,"年月",$A475,"事業所コード",$B475,"事業所",$C475,"事業区分",K$1,"請求区分","再請求"),0))</f>
        <v/>
      </c>
      <c r="L475" s="659" t="str">
        <f>IF($A475="","",IFERROR(GETPIVOTDATA("合計 / 処遇改善加算金",【ピボット】国保連売上!$A$3,"年月",$A475,"事業所コード",$B475,"事業所",$C475,"事業区分",K$1,"請求区分","単月"),0))</f>
        <v/>
      </c>
      <c r="M475" s="659" t="str">
        <f>IF($A475="","",IFERROR(GETPIVOTDATA("合計 / 入金予定",【ピボット】国保連売上!$A$3,"年月",$A475,"事業所コード",$B475,"事業所",$C475,"事業区分",M$1,"請求区分","単月"),0)
+IFERROR(GETPIVOTDATA("合計 / 入金予定",【ピボット】国保連売上!$A$3,"年月",$A475,"事業所コード",$B475,"事業所",$C475,"事業区分",M$1,"請求区分","再請求"),0))</f>
        <v/>
      </c>
      <c r="N475" s="660"/>
      <c r="O475" s="660"/>
      <c r="P475" s="660"/>
      <c r="Q475" s="660"/>
      <c r="R475" s="660"/>
      <c r="S475" s="660"/>
      <c r="T475" s="660"/>
      <c r="U475" s="660"/>
      <c r="V475" s="660"/>
      <c r="W475" s="660"/>
      <c r="X475" s="660"/>
      <c r="Y475" s="659" t="str">
        <f t="shared" si="21"/>
        <v/>
      </c>
      <c r="Z475" s="659" t="str">
        <f t="shared" si="23"/>
        <v/>
      </c>
    </row>
    <row r="476" spans="1:26" ht="15.95" customHeight="1" x14ac:dyDescent="0.15">
      <c r="A476" s="656"/>
      <c r="B476" s="657" t="str">
        <f t="shared" si="22"/>
        <v/>
      </c>
      <c r="C476" s="658"/>
      <c r="D476" s="659" t="str">
        <f>IF($A476="","",IFERROR(GETPIVOTDATA("合計 / 入金予定",【ピボット】国保連売上!$A$3,"年月",$A476,"事業所コード",$B476,"事業所",$C476,"事業区分",D$1,"請求区分","単月"),0)
+IFERROR(GETPIVOTDATA("合計 / 入金予定",【ピボット】国保連売上!$A$3,"年月",$A476,"事業所コード",$B476,"事業所",$C476,"事業区分",D$1,"請求区分","再請求"),0))</f>
        <v/>
      </c>
      <c r="E476" s="659" t="str">
        <f>IF($A476="","",IFERROR(GETPIVOTDATA("合計 / 処遇改善加算金",【ピボット】国保連売上!$A$3,"年月",$A476,"事業所コード",$B476,"事業所",$C476,"事業区分",D$1,"請求区分","単月"),0))</f>
        <v/>
      </c>
      <c r="F476" s="659" t="str">
        <f>IF($A476="","",IFERROR(GETPIVOTDATA("合計 / 入金予定",【ピボット】国保連売上!$A$3,"年月",$A476,"事業所コード",$B476,"事業所",$C476,"事業区分",F$1,"請求区分","単月"),0)
+IFERROR(GETPIVOTDATA("合計 / 入金予定",【ピボット】国保連売上!$A$3,"年月",$A476,"事業所コード",$B476,"事業所",$C476,"事業区分",F$1,"請求区分","再請求"),0))</f>
        <v/>
      </c>
      <c r="G476" s="659" t="str">
        <f>IF($A476="","",IFERROR(GETPIVOTDATA("合計 / 処遇改善加算金",【ピボット】国保連売上!$A$3,"年月",$A476,"事業所コード",$B476,"事業所",$C476,"事業区分",F$1,"請求区分","単月"),0))</f>
        <v/>
      </c>
      <c r="H476" s="659" t="str">
        <f>IF($A476="","",IFERROR(GETPIVOTDATA("合計 / 入金予定",【ピボット】国保連売上!$A$3,"年月",$A476,"事業所コード",$B476,"事業所",$C476,"事業区分",H$1,"請求区分","単月"),0)
+IFERROR(GETPIVOTDATA("合計 / 入金予定",【ピボット】国保連売上!$A$3,"年月",$A476,"事業所コード",$B476,"事業所",$C476,"事業区分",H$1,"請求区分","再請求"),0))</f>
        <v/>
      </c>
      <c r="I476" s="659" t="str">
        <f>IF($A476="","",IFERROR(GETPIVOTDATA("合計 / 入金予定",【ピボット】国保連売上!$A$3,"年月",$A476,"事業所コード",$B476,"事業所",$C476,"事業区分",I$1,"請求区分","単月"),0)
+IFERROR(GETPIVOTDATA("合計 / 入金予定",【ピボット】国保連売上!$A$3,"年月",$A476,"事業所コード",$B476,"事業所",$C476,"事業区分",I$1,"請求区分","再請求"),0))</f>
        <v/>
      </c>
      <c r="J476" s="659" t="str">
        <f>IF($A476="","",IFERROR(GETPIVOTDATA("合計 / 処遇改善加算金",【ピボット】国保連売上!$A$3,"年月",$A476,"事業所コード",$B476,"事業所",$C476,"事業区分",I$1,"請求区分","単月"),0))</f>
        <v/>
      </c>
      <c r="K476" s="659" t="str">
        <f>IF($A476="","",IFERROR(GETPIVOTDATA("合計 / 入金予定",【ピボット】国保連売上!$A$3,"年月",$A476,"事業所コード",$B476,"事業所",$C476,"事業区分",K$1,"請求区分","単月"),0)
+IFERROR(GETPIVOTDATA("合計 / 入金予定",【ピボット】国保連売上!$A$3,"年月",$A476,"事業所コード",$B476,"事業所",$C476,"事業区分",K$1,"請求区分","再請求"),0))</f>
        <v/>
      </c>
      <c r="L476" s="659" t="str">
        <f>IF($A476="","",IFERROR(GETPIVOTDATA("合計 / 処遇改善加算金",【ピボット】国保連売上!$A$3,"年月",$A476,"事業所コード",$B476,"事業所",$C476,"事業区分",K$1,"請求区分","単月"),0))</f>
        <v/>
      </c>
      <c r="M476" s="659" t="str">
        <f>IF($A476="","",IFERROR(GETPIVOTDATA("合計 / 入金予定",【ピボット】国保連売上!$A$3,"年月",$A476,"事業所コード",$B476,"事業所",$C476,"事業区分",M$1,"請求区分","単月"),0)
+IFERROR(GETPIVOTDATA("合計 / 入金予定",【ピボット】国保連売上!$A$3,"年月",$A476,"事業所コード",$B476,"事業所",$C476,"事業区分",M$1,"請求区分","再請求"),0))</f>
        <v/>
      </c>
      <c r="N476" s="660"/>
      <c r="O476" s="660"/>
      <c r="P476" s="660"/>
      <c r="Q476" s="660"/>
      <c r="R476" s="660"/>
      <c r="S476" s="660"/>
      <c r="T476" s="660"/>
      <c r="U476" s="660"/>
      <c r="V476" s="660"/>
      <c r="W476" s="660"/>
      <c r="X476" s="660"/>
      <c r="Y476" s="659" t="str">
        <f t="shared" si="21"/>
        <v/>
      </c>
      <c r="Z476" s="659" t="str">
        <f t="shared" si="23"/>
        <v/>
      </c>
    </row>
    <row r="477" spans="1:26" ht="15.95" customHeight="1" x14ac:dyDescent="0.15">
      <c r="A477" s="656"/>
      <c r="B477" s="657" t="str">
        <f t="shared" si="22"/>
        <v/>
      </c>
      <c r="C477" s="658"/>
      <c r="D477" s="659" t="str">
        <f>IF($A477="","",IFERROR(GETPIVOTDATA("合計 / 入金予定",【ピボット】国保連売上!$A$3,"年月",$A477,"事業所コード",$B477,"事業所",$C477,"事業区分",D$1,"請求区分","単月"),0)
+IFERROR(GETPIVOTDATA("合計 / 入金予定",【ピボット】国保連売上!$A$3,"年月",$A477,"事業所コード",$B477,"事業所",$C477,"事業区分",D$1,"請求区分","再請求"),0))</f>
        <v/>
      </c>
      <c r="E477" s="659" t="str">
        <f>IF($A477="","",IFERROR(GETPIVOTDATA("合計 / 処遇改善加算金",【ピボット】国保連売上!$A$3,"年月",$A477,"事業所コード",$B477,"事業所",$C477,"事業区分",D$1,"請求区分","単月"),0))</f>
        <v/>
      </c>
      <c r="F477" s="659" t="str">
        <f>IF($A477="","",IFERROR(GETPIVOTDATA("合計 / 入金予定",【ピボット】国保連売上!$A$3,"年月",$A477,"事業所コード",$B477,"事業所",$C477,"事業区分",F$1,"請求区分","単月"),0)
+IFERROR(GETPIVOTDATA("合計 / 入金予定",【ピボット】国保連売上!$A$3,"年月",$A477,"事業所コード",$B477,"事業所",$C477,"事業区分",F$1,"請求区分","再請求"),0))</f>
        <v/>
      </c>
      <c r="G477" s="659" t="str">
        <f>IF($A477="","",IFERROR(GETPIVOTDATA("合計 / 処遇改善加算金",【ピボット】国保連売上!$A$3,"年月",$A477,"事業所コード",$B477,"事業所",$C477,"事業区分",F$1,"請求区分","単月"),0))</f>
        <v/>
      </c>
      <c r="H477" s="659" t="str">
        <f>IF($A477="","",IFERROR(GETPIVOTDATA("合計 / 入金予定",【ピボット】国保連売上!$A$3,"年月",$A477,"事業所コード",$B477,"事業所",$C477,"事業区分",H$1,"請求区分","単月"),0)
+IFERROR(GETPIVOTDATA("合計 / 入金予定",【ピボット】国保連売上!$A$3,"年月",$A477,"事業所コード",$B477,"事業所",$C477,"事業区分",H$1,"請求区分","再請求"),0))</f>
        <v/>
      </c>
      <c r="I477" s="659" t="str">
        <f>IF($A477="","",IFERROR(GETPIVOTDATA("合計 / 入金予定",【ピボット】国保連売上!$A$3,"年月",$A477,"事業所コード",$B477,"事業所",$C477,"事業区分",I$1,"請求区分","単月"),0)
+IFERROR(GETPIVOTDATA("合計 / 入金予定",【ピボット】国保連売上!$A$3,"年月",$A477,"事業所コード",$B477,"事業所",$C477,"事業区分",I$1,"請求区分","再請求"),0))</f>
        <v/>
      </c>
      <c r="J477" s="659" t="str">
        <f>IF($A477="","",IFERROR(GETPIVOTDATA("合計 / 処遇改善加算金",【ピボット】国保連売上!$A$3,"年月",$A477,"事業所コード",$B477,"事業所",$C477,"事業区分",I$1,"請求区分","単月"),0))</f>
        <v/>
      </c>
      <c r="K477" s="659" t="str">
        <f>IF($A477="","",IFERROR(GETPIVOTDATA("合計 / 入金予定",【ピボット】国保連売上!$A$3,"年月",$A477,"事業所コード",$B477,"事業所",$C477,"事業区分",K$1,"請求区分","単月"),0)
+IFERROR(GETPIVOTDATA("合計 / 入金予定",【ピボット】国保連売上!$A$3,"年月",$A477,"事業所コード",$B477,"事業所",$C477,"事業区分",K$1,"請求区分","再請求"),0))</f>
        <v/>
      </c>
      <c r="L477" s="659" t="str">
        <f>IF($A477="","",IFERROR(GETPIVOTDATA("合計 / 処遇改善加算金",【ピボット】国保連売上!$A$3,"年月",$A477,"事業所コード",$B477,"事業所",$C477,"事業区分",K$1,"請求区分","単月"),0))</f>
        <v/>
      </c>
      <c r="M477" s="659" t="str">
        <f>IF($A477="","",IFERROR(GETPIVOTDATA("合計 / 入金予定",【ピボット】国保連売上!$A$3,"年月",$A477,"事業所コード",$B477,"事業所",$C477,"事業区分",M$1,"請求区分","単月"),0)
+IFERROR(GETPIVOTDATA("合計 / 入金予定",【ピボット】国保連売上!$A$3,"年月",$A477,"事業所コード",$B477,"事業所",$C477,"事業区分",M$1,"請求区分","再請求"),0))</f>
        <v/>
      </c>
      <c r="N477" s="660"/>
      <c r="O477" s="660"/>
      <c r="P477" s="660"/>
      <c r="Q477" s="660"/>
      <c r="R477" s="660"/>
      <c r="S477" s="660"/>
      <c r="T477" s="660"/>
      <c r="U477" s="660"/>
      <c r="V477" s="660"/>
      <c r="W477" s="660"/>
      <c r="X477" s="660"/>
      <c r="Y477" s="659" t="str">
        <f t="shared" si="21"/>
        <v/>
      </c>
      <c r="Z477" s="659" t="str">
        <f t="shared" si="23"/>
        <v/>
      </c>
    </row>
    <row r="478" spans="1:26" ht="15.95" customHeight="1" x14ac:dyDescent="0.15">
      <c r="A478" s="656"/>
      <c r="B478" s="657" t="str">
        <f t="shared" si="22"/>
        <v/>
      </c>
      <c r="C478" s="658"/>
      <c r="D478" s="659" t="str">
        <f>IF($A478="","",IFERROR(GETPIVOTDATA("合計 / 入金予定",【ピボット】国保連売上!$A$3,"年月",$A478,"事業所コード",$B478,"事業所",$C478,"事業区分",D$1,"請求区分","単月"),0)
+IFERROR(GETPIVOTDATA("合計 / 入金予定",【ピボット】国保連売上!$A$3,"年月",$A478,"事業所コード",$B478,"事業所",$C478,"事業区分",D$1,"請求区分","再請求"),0))</f>
        <v/>
      </c>
      <c r="E478" s="659" t="str">
        <f>IF($A478="","",IFERROR(GETPIVOTDATA("合計 / 処遇改善加算金",【ピボット】国保連売上!$A$3,"年月",$A478,"事業所コード",$B478,"事業所",$C478,"事業区分",D$1,"請求区分","単月"),0))</f>
        <v/>
      </c>
      <c r="F478" s="659" t="str">
        <f>IF($A478="","",IFERROR(GETPIVOTDATA("合計 / 入金予定",【ピボット】国保連売上!$A$3,"年月",$A478,"事業所コード",$B478,"事業所",$C478,"事業区分",F$1,"請求区分","単月"),0)
+IFERROR(GETPIVOTDATA("合計 / 入金予定",【ピボット】国保連売上!$A$3,"年月",$A478,"事業所コード",$B478,"事業所",$C478,"事業区分",F$1,"請求区分","再請求"),0))</f>
        <v/>
      </c>
      <c r="G478" s="659" t="str">
        <f>IF($A478="","",IFERROR(GETPIVOTDATA("合計 / 処遇改善加算金",【ピボット】国保連売上!$A$3,"年月",$A478,"事業所コード",$B478,"事業所",$C478,"事業区分",F$1,"請求区分","単月"),0))</f>
        <v/>
      </c>
      <c r="H478" s="659" t="str">
        <f>IF($A478="","",IFERROR(GETPIVOTDATA("合計 / 入金予定",【ピボット】国保連売上!$A$3,"年月",$A478,"事業所コード",$B478,"事業所",$C478,"事業区分",H$1,"請求区分","単月"),0)
+IFERROR(GETPIVOTDATA("合計 / 入金予定",【ピボット】国保連売上!$A$3,"年月",$A478,"事業所コード",$B478,"事業所",$C478,"事業区分",H$1,"請求区分","再請求"),0))</f>
        <v/>
      </c>
      <c r="I478" s="659" t="str">
        <f>IF($A478="","",IFERROR(GETPIVOTDATA("合計 / 入金予定",【ピボット】国保連売上!$A$3,"年月",$A478,"事業所コード",$B478,"事業所",$C478,"事業区分",I$1,"請求区分","単月"),0)
+IFERROR(GETPIVOTDATA("合計 / 入金予定",【ピボット】国保連売上!$A$3,"年月",$A478,"事業所コード",$B478,"事業所",$C478,"事業区分",I$1,"請求区分","再請求"),0))</f>
        <v/>
      </c>
      <c r="J478" s="659" t="str">
        <f>IF($A478="","",IFERROR(GETPIVOTDATA("合計 / 処遇改善加算金",【ピボット】国保連売上!$A$3,"年月",$A478,"事業所コード",$B478,"事業所",$C478,"事業区分",I$1,"請求区分","単月"),0))</f>
        <v/>
      </c>
      <c r="K478" s="659" t="str">
        <f>IF($A478="","",IFERROR(GETPIVOTDATA("合計 / 入金予定",【ピボット】国保連売上!$A$3,"年月",$A478,"事業所コード",$B478,"事業所",$C478,"事業区分",K$1,"請求区分","単月"),0)
+IFERROR(GETPIVOTDATA("合計 / 入金予定",【ピボット】国保連売上!$A$3,"年月",$A478,"事業所コード",$B478,"事業所",$C478,"事業区分",K$1,"請求区分","再請求"),0))</f>
        <v/>
      </c>
      <c r="L478" s="659" t="str">
        <f>IF($A478="","",IFERROR(GETPIVOTDATA("合計 / 処遇改善加算金",【ピボット】国保連売上!$A$3,"年月",$A478,"事業所コード",$B478,"事業所",$C478,"事業区分",K$1,"請求区分","単月"),0))</f>
        <v/>
      </c>
      <c r="M478" s="659" t="str">
        <f>IF($A478="","",IFERROR(GETPIVOTDATA("合計 / 入金予定",【ピボット】国保連売上!$A$3,"年月",$A478,"事業所コード",$B478,"事業所",$C478,"事業区分",M$1,"請求区分","単月"),0)
+IFERROR(GETPIVOTDATA("合計 / 入金予定",【ピボット】国保連売上!$A$3,"年月",$A478,"事業所コード",$B478,"事業所",$C478,"事業区分",M$1,"請求区分","再請求"),0))</f>
        <v/>
      </c>
      <c r="N478" s="660"/>
      <c r="O478" s="660"/>
      <c r="P478" s="660"/>
      <c r="Q478" s="660"/>
      <c r="R478" s="660"/>
      <c r="S478" s="660"/>
      <c r="T478" s="660"/>
      <c r="U478" s="660"/>
      <c r="V478" s="660"/>
      <c r="W478" s="660"/>
      <c r="X478" s="660"/>
      <c r="Y478" s="659" t="str">
        <f t="shared" si="21"/>
        <v/>
      </c>
      <c r="Z478" s="659" t="str">
        <f t="shared" si="23"/>
        <v/>
      </c>
    </row>
    <row r="479" spans="1:26" ht="15.95" customHeight="1" x14ac:dyDescent="0.15">
      <c r="A479" s="656"/>
      <c r="B479" s="657" t="str">
        <f t="shared" si="22"/>
        <v/>
      </c>
      <c r="C479" s="658"/>
      <c r="D479" s="659" t="str">
        <f>IF($A479="","",IFERROR(GETPIVOTDATA("合計 / 入金予定",【ピボット】国保連売上!$A$3,"年月",$A479,"事業所コード",$B479,"事業所",$C479,"事業区分",D$1,"請求区分","単月"),0)
+IFERROR(GETPIVOTDATA("合計 / 入金予定",【ピボット】国保連売上!$A$3,"年月",$A479,"事業所コード",$B479,"事業所",$C479,"事業区分",D$1,"請求区分","再請求"),0))</f>
        <v/>
      </c>
      <c r="E479" s="659" t="str">
        <f>IF($A479="","",IFERROR(GETPIVOTDATA("合計 / 処遇改善加算金",【ピボット】国保連売上!$A$3,"年月",$A479,"事業所コード",$B479,"事業所",$C479,"事業区分",D$1,"請求区分","単月"),0))</f>
        <v/>
      </c>
      <c r="F479" s="659" t="str">
        <f>IF($A479="","",IFERROR(GETPIVOTDATA("合計 / 入金予定",【ピボット】国保連売上!$A$3,"年月",$A479,"事業所コード",$B479,"事業所",$C479,"事業区分",F$1,"請求区分","単月"),0)
+IFERROR(GETPIVOTDATA("合計 / 入金予定",【ピボット】国保連売上!$A$3,"年月",$A479,"事業所コード",$B479,"事業所",$C479,"事業区分",F$1,"請求区分","再請求"),0))</f>
        <v/>
      </c>
      <c r="G479" s="659" t="str">
        <f>IF($A479="","",IFERROR(GETPIVOTDATA("合計 / 処遇改善加算金",【ピボット】国保連売上!$A$3,"年月",$A479,"事業所コード",$B479,"事業所",$C479,"事業区分",F$1,"請求区分","単月"),0))</f>
        <v/>
      </c>
      <c r="H479" s="659" t="str">
        <f>IF($A479="","",IFERROR(GETPIVOTDATA("合計 / 入金予定",【ピボット】国保連売上!$A$3,"年月",$A479,"事業所コード",$B479,"事業所",$C479,"事業区分",H$1,"請求区分","単月"),0)
+IFERROR(GETPIVOTDATA("合計 / 入金予定",【ピボット】国保連売上!$A$3,"年月",$A479,"事業所コード",$B479,"事業所",$C479,"事業区分",H$1,"請求区分","再請求"),0))</f>
        <v/>
      </c>
      <c r="I479" s="659" t="str">
        <f>IF($A479="","",IFERROR(GETPIVOTDATA("合計 / 入金予定",【ピボット】国保連売上!$A$3,"年月",$A479,"事業所コード",$B479,"事業所",$C479,"事業区分",I$1,"請求区分","単月"),0)
+IFERROR(GETPIVOTDATA("合計 / 入金予定",【ピボット】国保連売上!$A$3,"年月",$A479,"事業所コード",$B479,"事業所",$C479,"事業区分",I$1,"請求区分","再請求"),0))</f>
        <v/>
      </c>
      <c r="J479" s="659" t="str">
        <f>IF($A479="","",IFERROR(GETPIVOTDATA("合計 / 処遇改善加算金",【ピボット】国保連売上!$A$3,"年月",$A479,"事業所コード",$B479,"事業所",$C479,"事業区分",I$1,"請求区分","単月"),0))</f>
        <v/>
      </c>
      <c r="K479" s="659" t="str">
        <f>IF($A479="","",IFERROR(GETPIVOTDATA("合計 / 入金予定",【ピボット】国保連売上!$A$3,"年月",$A479,"事業所コード",$B479,"事業所",$C479,"事業区分",K$1,"請求区分","単月"),0)
+IFERROR(GETPIVOTDATA("合計 / 入金予定",【ピボット】国保連売上!$A$3,"年月",$A479,"事業所コード",$B479,"事業所",$C479,"事業区分",K$1,"請求区分","再請求"),0))</f>
        <v/>
      </c>
      <c r="L479" s="659" t="str">
        <f>IF($A479="","",IFERROR(GETPIVOTDATA("合計 / 処遇改善加算金",【ピボット】国保連売上!$A$3,"年月",$A479,"事業所コード",$B479,"事業所",$C479,"事業区分",K$1,"請求区分","単月"),0))</f>
        <v/>
      </c>
      <c r="M479" s="659" t="str">
        <f>IF($A479="","",IFERROR(GETPIVOTDATA("合計 / 入金予定",【ピボット】国保連売上!$A$3,"年月",$A479,"事業所コード",$B479,"事業所",$C479,"事業区分",M$1,"請求区分","単月"),0)
+IFERROR(GETPIVOTDATA("合計 / 入金予定",【ピボット】国保連売上!$A$3,"年月",$A479,"事業所コード",$B479,"事業所",$C479,"事業区分",M$1,"請求区分","再請求"),0))</f>
        <v/>
      </c>
      <c r="N479" s="660"/>
      <c r="O479" s="660"/>
      <c r="P479" s="660"/>
      <c r="Q479" s="660"/>
      <c r="R479" s="660"/>
      <c r="S479" s="660"/>
      <c r="T479" s="660"/>
      <c r="U479" s="660"/>
      <c r="V479" s="660"/>
      <c r="W479" s="660"/>
      <c r="X479" s="660"/>
      <c r="Y479" s="659" t="str">
        <f t="shared" si="21"/>
        <v/>
      </c>
      <c r="Z479" s="659" t="str">
        <f t="shared" si="23"/>
        <v/>
      </c>
    </row>
    <row r="480" spans="1:26" ht="15.95" customHeight="1" x14ac:dyDescent="0.15">
      <c r="A480" s="656"/>
      <c r="B480" s="657" t="str">
        <f t="shared" si="22"/>
        <v/>
      </c>
      <c r="C480" s="658"/>
      <c r="D480" s="659" t="str">
        <f>IF($A480="","",IFERROR(GETPIVOTDATA("合計 / 入金予定",【ピボット】国保連売上!$A$3,"年月",$A480,"事業所コード",$B480,"事業所",$C480,"事業区分",D$1,"請求区分","単月"),0)
+IFERROR(GETPIVOTDATA("合計 / 入金予定",【ピボット】国保連売上!$A$3,"年月",$A480,"事業所コード",$B480,"事業所",$C480,"事業区分",D$1,"請求区分","再請求"),0))</f>
        <v/>
      </c>
      <c r="E480" s="659" t="str">
        <f>IF($A480="","",IFERROR(GETPIVOTDATA("合計 / 処遇改善加算金",【ピボット】国保連売上!$A$3,"年月",$A480,"事業所コード",$B480,"事業所",$C480,"事業区分",D$1,"請求区分","単月"),0))</f>
        <v/>
      </c>
      <c r="F480" s="659" t="str">
        <f>IF($A480="","",IFERROR(GETPIVOTDATA("合計 / 入金予定",【ピボット】国保連売上!$A$3,"年月",$A480,"事業所コード",$B480,"事業所",$C480,"事業区分",F$1,"請求区分","単月"),0)
+IFERROR(GETPIVOTDATA("合計 / 入金予定",【ピボット】国保連売上!$A$3,"年月",$A480,"事業所コード",$B480,"事業所",$C480,"事業区分",F$1,"請求区分","再請求"),0))</f>
        <v/>
      </c>
      <c r="G480" s="659" t="str">
        <f>IF($A480="","",IFERROR(GETPIVOTDATA("合計 / 処遇改善加算金",【ピボット】国保連売上!$A$3,"年月",$A480,"事業所コード",$B480,"事業所",$C480,"事業区分",F$1,"請求区分","単月"),0))</f>
        <v/>
      </c>
      <c r="H480" s="659" t="str">
        <f>IF($A480="","",IFERROR(GETPIVOTDATA("合計 / 入金予定",【ピボット】国保連売上!$A$3,"年月",$A480,"事業所コード",$B480,"事業所",$C480,"事業区分",H$1,"請求区分","単月"),0)
+IFERROR(GETPIVOTDATA("合計 / 入金予定",【ピボット】国保連売上!$A$3,"年月",$A480,"事業所コード",$B480,"事業所",$C480,"事業区分",H$1,"請求区分","再請求"),0))</f>
        <v/>
      </c>
      <c r="I480" s="659" t="str">
        <f>IF($A480="","",IFERROR(GETPIVOTDATA("合計 / 入金予定",【ピボット】国保連売上!$A$3,"年月",$A480,"事業所コード",$B480,"事業所",$C480,"事業区分",I$1,"請求区分","単月"),0)
+IFERROR(GETPIVOTDATA("合計 / 入金予定",【ピボット】国保連売上!$A$3,"年月",$A480,"事業所コード",$B480,"事業所",$C480,"事業区分",I$1,"請求区分","再請求"),0))</f>
        <v/>
      </c>
      <c r="J480" s="659" t="str">
        <f>IF($A480="","",IFERROR(GETPIVOTDATA("合計 / 処遇改善加算金",【ピボット】国保連売上!$A$3,"年月",$A480,"事業所コード",$B480,"事業所",$C480,"事業区分",I$1,"請求区分","単月"),0))</f>
        <v/>
      </c>
      <c r="K480" s="659" t="str">
        <f>IF($A480="","",IFERROR(GETPIVOTDATA("合計 / 入金予定",【ピボット】国保連売上!$A$3,"年月",$A480,"事業所コード",$B480,"事業所",$C480,"事業区分",K$1,"請求区分","単月"),0)
+IFERROR(GETPIVOTDATA("合計 / 入金予定",【ピボット】国保連売上!$A$3,"年月",$A480,"事業所コード",$B480,"事業所",$C480,"事業区分",K$1,"請求区分","再請求"),0))</f>
        <v/>
      </c>
      <c r="L480" s="659" t="str">
        <f>IF($A480="","",IFERROR(GETPIVOTDATA("合計 / 処遇改善加算金",【ピボット】国保連売上!$A$3,"年月",$A480,"事業所コード",$B480,"事業所",$C480,"事業区分",K$1,"請求区分","単月"),0))</f>
        <v/>
      </c>
      <c r="M480" s="659" t="str">
        <f>IF($A480="","",IFERROR(GETPIVOTDATA("合計 / 入金予定",【ピボット】国保連売上!$A$3,"年月",$A480,"事業所コード",$B480,"事業所",$C480,"事業区分",M$1,"請求区分","単月"),0)
+IFERROR(GETPIVOTDATA("合計 / 入金予定",【ピボット】国保連売上!$A$3,"年月",$A480,"事業所コード",$B480,"事業所",$C480,"事業区分",M$1,"請求区分","再請求"),0))</f>
        <v/>
      </c>
      <c r="N480" s="660"/>
      <c r="O480" s="660"/>
      <c r="P480" s="660"/>
      <c r="Q480" s="660"/>
      <c r="R480" s="660"/>
      <c r="S480" s="660"/>
      <c r="T480" s="660"/>
      <c r="U480" s="660"/>
      <c r="V480" s="660"/>
      <c r="W480" s="660"/>
      <c r="X480" s="660"/>
      <c r="Y480" s="659" t="str">
        <f t="shared" si="21"/>
        <v/>
      </c>
      <c r="Z480" s="659" t="str">
        <f t="shared" si="23"/>
        <v/>
      </c>
    </row>
    <row r="481" spans="1:26" ht="15.95" customHeight="1" x14ac:dyDescent="0.15">
      <c r="A481" s="656"/>
      <c r="B481" s="657" t="str">
        <f t="shared" si="22"/>
        <v/>
      </c>
      <c r="C481" s="658"/>
      <c r="D481" s="659" t="str">
        <f>IF($A481="","",IFERROR(GETPIVOTDATA("合計 / 入金予定",【ピボット】国保連売上!$A$3,"年月",$A481,"事業所コード",$B481,"事業所",$C481,"事業区分",D$1,"請求区分","単月"),0)
+IFERROR(GETPIVOTDATA("合計 / 入金予定",【ピボット】国保連売上!$A$3,"年月",$A481,"事業所コード",$B481,"事業所",$C481,"事業区分",D$1,"請求区分","再請求"),0))</f>
        <v/>
      </c>
      <c r="E481" s="659" t="str">
        <f>IF($A481="","",IFERROR(GETPIVOTDATA("合計 / 処遇改善加算金",【ピボット】国保連売上!$A$3,"年月",$A481,"事業所コード",$B481,"事業所",$C481,"事業区分",D$1,"請求区分","単月"),0))</f>
        <v/>
      </c>
      <c r="F481" s="659" t="str">
        <f>IF($A481="","",IFERROR(GETPIVOTDATA("合計 / 入金予定",【ピボット】国保連売上!$A$3,"年月",$A481,"事業所コード",$B481,"事業所",$C481,"事業区分",F$1,"請求区分","単月"),0)
+IFERROR(GETPIVOTDATA("合計 / 入金予定",【ピボット】国保連売上!$A$3,"年月",$A481,"事業所コード",$B481,"事業所",$C481,"事業区分",F$1,"請求区分","再請求"),0))</f>
        <v/>
      </c>
      <c r="G481" s="659" t="str">
        <f>IF($A481="","",IFERROR(GETPIVOTDATA("合計 / 処遇改善加算金",【ピボット】国保連売上!$A$3,"年月",$A481,"事業所コード",$B481,"事業所",$C481,"事業区分",F$1,"請求区分","単月"),0))</f>
        <v/>
      </c>
      <c r="H481" s="659" t="str">
        <f>IF($A481="","",IFERROR(GETPIVOTDATA("合計 / 入金予定",【ピボット】国保連売上!$A$3,"年月",$A481,"事業所コード",$B481,"事業所",$C481,"事業区分",H$1,"請求区分","単月"),0)
+IFERROR(GETPIVOTDATA("合計 / 入金予定",【ピボット】国保連売上!$A$3,"年月",$A481,"事業所コード",$B481,"事業所",$C481,"事業区分",H$1,"請求区分","再請求"),0))</f>
        <v/>
      </c>
      <c r="I481" s="659" t="str">
        <f>IF($A481="","",IFERROR(GETPIVOTDATA("合計 / 入金予定",【ピボット】国保連売上!$A$3,"年月",$A481,"事業所コード",$B481,"事業所",$C481,"事業区分",I$1,"請求区分","単月"),0)
+IFERROR(GETPIVOTDATA("合計 / 入金予定",【ピボット】国保連売上!$A$3,"年月",$A481,"事業所コード",$B481,"事業所",$C481,"事業区分",I$1,"請求区分","再請求"),0))</f>
        <v/>
      </c>
      <c r="J481" s="659" t="str">
        <f>IF($A481="","",IFERROR(GETPIVOTDATA("合計 / 処遇改善加算金",【ピボット】国保連売上!$A$3,"年月",$A481,"事業所コード",$B481,"事業所",$C481,"事業区分",I$1,"請求区分","単月"),0))</f>
        <v/>
      </c>
      <c r="K481" s="659" t="str">
        <f>IF($A481="","",IFERROR(GETPIVOTDATA("合計 / 入金予定",【ピボット】国保連売上!$A$3,"年月",$A481,"事業所コード",$B481,"事業所",$C481,"事業区分",K$1,"請求区分","単月"),0)
+IFERROR(GETPIVOTDATA("合計 / 入金予定",【ピボット】国保連売上!$A$3,"年月",$A481,"事業所コード",$B481,"事業所",$C481,"事業区分",K$1,"請求区分","再請求"),0))</f>
        <v/>
      </c>
      <c r="L481" s="659" t="str">
        <f>IF($A481="","",IFERROR(GETPIVOTDATA("合計 / 処遇改善加算金",【ピボット】国保連売上!$A$3,"年月",$A481,"事業所コード",$B481,"事業所",$C481,"事業区分",K$1,"請求区分","単月"),0))</f>
        <v/>
      </c>
      <c r="M481" s="659" t="str">
        <f>IF($A481="","",IFERROR(GETPIVOTDATA("合計 / 入金予定",【ピボット】国保連売上!$A$3,"年月",$A481,"事業所コード",$B481,"事業所",$C481,"事業区分",M$1,"請求区分","単月"),0)
+IFERROR(GETPIVOTDATA("合計 / 入金予定",【ピボット】国保連売上!$A$3,"年月",$A481,"事業所コード",$B481,"事業所",$C481,"事業区分",M$1,"請求区分","再請求"),0))</f>
        <v/>
      </c>
      <c r="N481" s="660"/>
      <c r="O481" s="660"/>
      <c r="P481" s="660"/>
      <c r="Q481" s="660"/>
      <c r="R481" s="660"/>
      <c r="S481" s="660"/>
      <c r="T481" s="660"/>
      <c r="U481" s="660"/>
      <c r="V481" s="660"/>
      <c r="W481" s="660"/>
      <c r="X481" s="660"/>
      <c r="Y481" s="659" t="str">
        <f t="shared" si="21"/>
        <v/>
      </c>
      <c r="Z481" s="659" t="str">
        <f t="shared" si="23"/>
        <v/>
      </c>
    </row>
    <row r="482" spans="1:26" ht="15.95" customHeight="1" x14ac:dyDescent="0.15">
      <c r="A482" s="656"/>
      <c r="B482" s="657" t="str">
        <f t="shared" si="22"/>
        <v/>
      </c>
      <c r="C482" s="658"/>
      <c r="D482" s="659" t="str">
        <f>IF($A482="","",IFERROR(GETPIVOTDATA("合計 / 入金予定",【ピボット】国保連売上!$A$3,"年月",$A482,"事業所コード",$B482,"事業所",$C482,"事業区分",D$1,"請求区分","単月"),0)
+IFERROR(GETPIVOTDATA("合計 / 入金予定",【ピボット】国保連売上!$A$3,"年月",$A482,"事業所コード",$B482,"事業所",$C482,"事業区分",D$1,"請求区分","再請求"),0))</f>
        <v/>
      </c>
      <c r="E482" s="659" t="str">
        <f>IF($A482="","",IFERROR(GETPIVOTDATA("合計 / 処遇改善加算金",【ピボット】国保連売上!$A$3,"年月",$A482,"事業所コード",$B482,"事業所",$C482,"事業区分",D$1,"請求区分","単月"),0))</f>
        <v/>
      </c>
      <c r="F482" s="659" t="str">
        <f>IF($A482="","",IFERROR(GETPIVOTDATA("合計 / 入金予定",【ピボット】国保連売上!$A$3,"年月",$A482,"事業所コード",$B482,"事業所",$C482,"事業区分",F$1,"請求区分","単月"),0)
+IFERROR(GETPIVOTDATA("合計 / 入金予定",【ピボット】国保連売上!$A$3,"年月",$A482,"事業所コード",$B482,"事業所",$C482,"事業区分",F$1,"請求区分","再請求"),0))</f>
        <v/>
      </c>
      <c r="G482" s="659" t="str">
        <f>IF($A482="","",IFERROR(GETPIVOTDATA("合計 / 処遇改善加算金",【ピボット】国保連売上!$A$3,"年月",$A482,"事業所コード",$B482,"事業所",$C482,"事業区分",F$1,"請求区分","単月"),0))</f>
        <v/>
      </c>
      <c r="H482" s="659" t="str">
        <f>IF($A482="","",IFERROR(GETPIVOTDATA("合計 / 入金予定",【ピボット】国保連売上!$A$3,"年月",$A482,"事業所コード",$B482,"事業所",$C482,"事業区分",H$1,"請求区分","単月"),0)
+IFERROR(GETPIVOTDATA("合計 / 入金予定",【ピボット】国保連売上!$A$3,"年月",$A482,"事業所コード",$B482,"事業所",$C482,"事業区分",H$1,"請求区分","再請求"),0))</f>
        <v/>
      </c>
      <c r="I482" s="659" t="str">
        <f>IF($A482="","",IFERROR(GETPIVOTDATA("合計 / 入金予定",【ピボット】国保連売上!$A$3,"年月",$A482,"事業所コード",$B482,"事業所",$C482,"事業区分",I$1,"請求区分","単月"),0)
+IFERROR(GETPIVOTDATA("合計 / 入金予定",【ピボット】国保連売上!$A$3,"年月",$A482,"事業所コード",$B482,"事業所",$C482,"事業区分",I$1,"請求区分","再請求"),0))</f>
        <v/>
      </c>
      <c r="J482" s="659" t="str">
        <f>IF($A482="","",IFERROR(GETPIVOTDATA("合計 / 処遇改善加算金",【ピボット】国保連売上!$A$3,"年月",$A482,"事業所コード",$B482,"事業所",$C482,"事業区分",I$1,"請求区分","単月"),0))</f>
        <v/>
      </c>
      <c r="K482" s="659" t="str">
        <f>IF($A482="","",IFERROR(GETPIVOTDATA("合計 / 入金予定",【ピボット】国保連売上!$A$3,"年月",$A482,"事業所コード",$B482,"事業所",$C482,"事業区分",K$1,"請求区分","単月"),0)
+IFERROR(GETPIVOTDATA("合計 / 入金予定",【ピボット】国保連売上!$A$3,"年月",$A482,"事業所コード",$B482,"事業所",$C482,"事業区分",K$1,"請求区分","再請求"),0))</f>
        <v/>
      </c>
      <c r="L482" s="659" t="str">
        <f>IF($A482="","",IFERROR(GETPIVOTDATA("合計 / 処遇改善加算金",【ピボット】国保連売上!$A$3,"年月",$A482,"事業所コード",$B482,"事業所",$C482,"事業区分",K$1,"請求区分","単月"),0))</f>
        <v/>
      </c>
      <c r="M482" s="659" t="str">
        <f>IF($A482="","",IFERROR(GETPIVOTDATA("合計 / 入金予定",【ピボット】国保連売上!$A$3,"年月",$A482,"事業所コード",$B482,"事業所",$C482,"事業区分",M$1,"請求区分","単月"),0)
+IFERROR(GETPIVOTDATA("合計 / 入金予定",【ピボット】国保連売上!$A$3,"年月",$A482,"事業所コード",$B482,"事業所",$C482,"事業区分",M$1,"請求区分","再請求"),0))</f>
        <v/>
      </c>
      <c r="N482" s="660"/>
      <c r="O482" s="660"/>
      <c r="P482" s="660"/>
      <c r="Q482" s="660"/>
      <c r="R482" s="660"/>
      <c r="S482" s="660"/>
      <c r="T482" s="660"/>
      <c r="U482" s="660"/>
      <c r="V482" s="660"/>
      <c r="W482" s="660"/>
      <c r="X482" s="660"/>
      <c r="Y482" s="659" t="str">
        <f t="shared" si="21"/>
        <v/>
      </c>
      <c r="Z482" s="659" t="str">
        <f t="shared" si="23"/>
        <v/>
      </c>
    </row>
    <row r="483" spans="1:26" ht="15.95" customHeight="1" x14ac:dyDescent="0.15">
      <c r="A483" s="656"/>
      <c r="B483" s="657" t="str">
        <f t="shared" si="22"/>
        <v/>
      </c>
      <c r="C483" s="658"/>
      <c r="D483" s="659" t="str">
        <f>IF($A483="","",IFERROR(GETPIVOTDATA("合計 / 入金予定",【ピボット】国保連売上!$A$3,"年月",$A483,"事業所コード",$B483,"事業所",$C483,"事業区分",D$1,"請求区分","単月"),0)
+IFERROR(GETPIVOTDATA("合計 / 入金予定",【ピボット】国保連売上!$A$3,"年月",$A483,"事業所コード",$B483,"事業所",$C483,"事業区分",D$1,"請求区分","再請求"),0))</f>
        <v/>
      </c>
      <c r="E483" s="659" t="str">
        <f>IF($A483="","",IFERROR(GETPIVOTDATA("合計 / 処遇改善加算金",【ピボット】国保連売上!$A$3,"年月",$A483,"事業所コード",$B483,"事業所",$C483,"事業区分",D$1,"請求区分","単月"),0))</f>
        <v/>
      </c>
      <c r="F483" s="659" t="str">
        <f>IF($A483="","",IFERROR(GETPIVOTDATA("合計 / 入金予定",【ピボット】国保連売上!$A$3,"年月",$A483,"事業所コード",$B483,"事業所",$C483,"事業区分",F$1,"請求区分","単月"),0)
+IFERROR(GETPIVOTDATA("合計 / 入金予定",【ピボット】国保連売上!$A$3,"年月",$A483,"事業所コード",$B483,"事業所",$C483,"事業区分",F$1,"請求区分","再請求"),0))</f>
        <v/>
      </c>
      <c r="G483" s="659" t="str">
        <f>IF($A483="","",IFERROR(GETPIVOTDATA("合計 / 処遇改善加算金",【ピボット】国保連売上!$A$3,"年月",$A483,"事業所コード",$B483,"事業所",$C483,"事業区分",F$1,"請求区分","単月"),0))</f>
        <v/>
      </c>
      <c r="H483" s="659" t="str">
        <f>IF($A483="","",IFERROR(GETPIVOTDATA("合計 / 入金予定",【ピボット】国保連売上!$A$3,"年月",$A483,"事業所コード",$B483,"事業所",$C483,"事業区分",H$1,"請求区分","単月"),0)
+IFERROR(GETPIVOTDATA("合計 / 入金予定",【ピボット】国保連売上!$A$3,"年月",$A483,"事業所コード",$B483,"事業所",$C483,"事業区分",H$1,"請求区分","再請求"),0))</f>
        <v/>
      </c>
      <c r="I483" s="659" t="str">
        <f>IF($A483="","",IFERROR(GETPIVOTDATA("合計 / 入金予定",【ピボット】国保連売上!$A$3,"年月",$A483,"事業所コード",$B483,"事業所",$C483,"事業区分",I$1,"請求区分","単月"),0)
+IFERROR(GETPIVOTDATA("合計 / 入金予定",【ピボット】国保連売上!$A$3,"年月",$A483,"事業所コード",$B483,"事業所",$C483,"事業区分",I$1,"請求区分","再請求"),0))</f>
        <v/>
      </c>
      <c r="J483" s="659" t="str">
        <f>IF($A483="","",IFERROR(GETPIVOTDATA("合計 / 処遇改善加算金",【ピボット】国保連売上!$A$3,"年月",$A483,"事業所コード",$B483,"事業所",$C483,"事業区分",I$1,"請求区分","単月"),0))</f>
        <v/>
      </c>
      <c r="K483" s="659" t="str">
        <f>IF($A483="","",IFERROR(GETPIVOTDATA("合計 / 入金予定",【ピボット】国保連売上!$A$3,"年月",$A483,"事業所コード",$B483,"事業所",$C483,"事業区分",K$1,"請求区分","単月"),0)
+IFERROR(GETPIVOTDATA("合計 / 入金予定",【ピボット】国保連売上!$A$3,"年月",$A483,"事業所コード",$B483,"事業所",$C483,"事業区分",K$1,"請求区分","再請求"),0))</f>
        <v/>
      </c>
      <c r="L483" s="659" t="str">
        <f>IF($A483="","",IFERROR(GETPIVOTDATA("合計 / 処遇改善加算金",【ピボット】国保連売上!$A$3,"年月",$A483,"事業所コード",$B483,"事業所",$C483,"事業区分",K$1,"請求区分","単月"),0))</f>
        <v/>
      </c>
      <c r="M483" s="659" t="str">
        <f>IF($A483="","",IFERROR(GETPIVOTDATA("合計 / 入金予定",【ピボット】国保連売上!$A$3,"年月",$A483,"事業所コード",$B483,"事業所",$C483,"事業区分",M$1,"請求区分","単月"),0)
+IFERROR(GETPIVOTDATA("合計 / 入金予定",【ピボット】国保連売上!$A$3,"年月",$A483,"事業所コード",$B483,"事業所",$C483,"事業区分",M$1,"請求区分","再請求"),0))</f>
        <v/>
      </c>
      <c r="N483" s="660"/>
      <c r="O483" s="660"/>
      <c r="P483" s="660"/>
      <c r="Q483" s="660"/>
      <c r="R483" s="660"/>
      <c r="S483" s="660"/>
      <c r="T483" s="660"/>
      <c r="U483" s="660"/>
      <c r="V483" s="660"/>
      <c r="W483" s="660"/>
      <c r="X483" s="660"/>
      <c r="Y483" s="659" t="str">
        <f t="shared" si="21"/>
        <v/>
      </c>
      <c r="Z483" s="659" t="str">
        <f t="shared" si="23"/>
        <v/>
      </c>
    </row>
    <row r="484" spans="1:26" ht="15.95" customHeight="1" x14ac:dyDescent="0.15">
      <c r="A484" s="656"/>
      <c r="B484" s="657" t="str">
        <f t="shared" si="22"/>
        <v/>
      </c>
      <c r="C484" s="658"/>
      <c r="D484" s="659" t="str">
        <f>IF($A484="","",IFERROR(GETPIVOTDATA("合計 / 入金予定",【ピボット】国保連売上!$A$3,"年月",$A484,"事業所コード",$B484,"事業所",$C484,"事業区分",D$1,"請求区分","単月"),0)
+IFERROR(GETPIVOTDATA("合計 / 入金予定",【ピボット】国保連売上!$A$3,"年月",$A484,"事業所コード",$B484,"事業所",$C484,"事業区分",D$1,"請求区分","再請求"),0))</f>
        <v/>
      </c>
      <c r="E484" s="659" t="str">
        <f>IF($A484="","",IFERROR(GETPIVOTDATA("合計 / 処遇改善加算金",【ピボット】国保連売上!$A$3,"年月",$A484,"事業所コード",$B484,"事業所",$C484,"事業区分",D$1,"請求区分","単月"),0))</f>
        <v/>
      </c>
      <c r="F484" s="659" t="str">
        <f>IF($A484="","",IFERROR(GETPIVOTDATA("合計 / 入金予定",【ピボット】国保連売上!$A$3,"年月",$A484,"事業所コード",$B484,"事業所",$C484,"事業区分",F$1,"請求区分","単月"),0)
+IFERROR(GETPIVOTDATA("合計 / 入金予定",【ピボット】国保連売上!$A$3,"年月",$A484,"事業所コード",$B484,"事業所",$C484,"事業区分",F$1,"請求区分","再請求"),0))</f>
        <v/>
      </c>
      <c r="G484" s="659" t="str">
        <f>IF($A484="","",IFERROR(GETPIVOTDATA("合計 / 処遇改善加算金",【ピボット】国保連売上!$A$3,"年月",$A484,"事業所コード",$B484,"事業所",$C484,"事業区分",F$1,"請求区分","単月"),0))</f>
        <v/>
      </c>
      <c r="H484" s="659" t="str">
        <f>IF($A484="","",IFERROR(GETPIVOTDATA("合計 / 入金予定",【ピボット】国保連売上!$A$3,"年月",$A484,"事業所コード",$B484,"事業所",$C484,"事業区分",H$1,"請求区分","単月"),0)
+IFERROR(GETPIVOTDATA("合計 / 入金予定",【ピボット】国保連売上!$A$3,"年月",$A484,"事業所コード",$B484,"事業所",$C484,"事業区分",H$1,"請求区分","再請求"),0))</f>
        <v/>
      </c>
      <c r="I484" s="659" t="str">
        <f>IF($A484="","",IFERROR(GETPIVOTDATA("合計 / 入金予定",【ピボット】国保連売上!$A$3,"年月",$A484,"事業所コード",$B484,"事業所",$C484,"事業区分",I$1,"請求区分","単月"),0)
+IFERROR(GETPIVOTDATA("合計 / 入金予定",【ピボット】国保連売上!$A$3,"年月",$A484,"事業所コード",$B484,"事業所",$C484,"事業区分",I$1,"請求区分","再請求"),0))</f>
        <v/>
      </c>
      <c r="J484" s="659" t="str">
        <f>IF($A484="","",IFERROR(GETPIVOTDATA("合計 / 処遇改善加算金",【ピボット】国保連売上!$A$3,"年月",$A484,"事業所コード",$B484,"事業所",$C484,"事業区分",I$1,"請求区分","単月"),0))</f>
        <v/>
      </c>
      <c r="K484" s="659" t="str">
        <f>IF($A484="","",IFERROR(GETPIVOTDATA("合計 / 入金予定",【ピボット】国保連売上!$A$3,"年月",$A484,"事業所コード",$B484,"事業所",$C484,"事業区分",K$1,"請求区分","単月"),0)
+IFERROR(GETPIVOTDATA("合計 / 入金予定",【ピボット】国保連売上!$A$3,"年月",$A484,"事業所コード",$B484,"事業所",$C484,"事業区分",K$1,"請求区分","再請求"),0))</f>
        <v/>
      </c>
      <c r="L484" s="659" t="str">
        <f>IF($A484="","",IFERROR(GETPIVOTDATA("合計 / 処遇改善加算金",【ピボット】国保連売上!$A$3,"年月",$A484,"事業所コード",$B484,"事業所",$C484,"事業区分",K$1,"請求区分","単月"),0))</f>
        <v/>
      </c>
      <c r="M484" s="659" t="str">
        <f>IF($A484="","",IFERROR(GETPIVOTDATA("合計 / 入金予定",【ピボット】国保連売上!$A$3,"年月",$A484,"事業所コード",$B484,"事業所",$C484,"事業区分",M$1,"請求区分","単月"),0)
+IFERROR(GETPIVOTDATA("合計 / 入金予定",【ピボット】国保連売上!$A$3,"年月",$A484,"事業所コード",$B484,"事業所",$C484,"事業区分",M$1,"請求区分","再請求"),0))</f>
        <v/>
      </c>
      <c r="N484" s="660"/>
      <c r="O484" s="660"/>
      <c r="P484" s="660"/>
      <c r="Q484" s="660"/>
      <c r="R484" s="660"/>
      <c r="S484" s="660"/>
      <c r="T484" s="660"/>
      <c r="U484" s="660"/>
      <c r="V484" s="660"/>
      <c r="W484" s="660"/>
      <c r="X484" s="660"/>
      <c r="Y484" s="659" t="str">
        <f t="shared" si="21"/>
        <v/>
      </c>
      <c r="Z484" s="659" t="str">
        <f t="shared" si="23"/>
        <v/>
      </c>
    </row>
    <row r="485" spans="1:26" ht="15.95" customHeight="1" x14ac:dyDescent="0.15">
      <c r="A485" s="656"/>
      <c r="B485" s="657" t="str">
        <f t="shared" si="22"/>
        <v/>
      </c>
      <c r="C485" s="658"/>
      <c r="D485" s="659" t="str">
        <f>IF($A485="","",IFERROR(GETPIVOTDATA("合計 / 入金予定",【ピボット】国保連売上!$A$3,"年月",$A485,"事業所コード",$B485,"事業所",$C485,"事業区分",D$1,"請求区分","単月"),0)
+IFERROR(GETPIVOTDATA("合計 / 入金予定",【ピボット】国保連売上!$A$3,"年月",$A485,"事業所コード",$B485,"事業所",$C485,"事業区分",D$1,"請求区分","再請求"),0))</f>
        <v/>
      </c>
      <c r="E485" s="659" t="str">
        <f>IF($A485="","",IFERROR(GETPIVOTDATA("合計 / 処遇改善加算金",【ピボット】国保連売上!$A$3,"年月",$A485,"事業所コード",$B485,"事業所",$C485,"事業区分",D$1,"請求区分","単月"),0))</f>
        <v/>
      </c>
      <c r="F485" s="659" t="str">
        <f>IF($A485="","",IFERROR(GETPIVOTDATA("合計 / 入金予定",【ピボット】国保連売上!$A$3,"年月",$A485,"事業所コード",$B485,"事業所",$C485,"事業区分",F$1,"請求区分","単月"),0)
+IFERROR(GETPIVOTDATA("合計 / 入金予定",【ピボット】国保連売上!$A$3,"年月",$A485,"事業所コード",$B485,"事業所",$C485,"事業区分",F$1,"請求区分","再請求"),0))</f>
        <v/>
      </c>
      <c r="G485" s="659" t="str">
        <f>IF($A485="","",IFERROR(GETPIVOTDATA("合計 / 処遇改善加算金",【ピボット】国保連売上!$A$3,"年月",$A485,"事業所コード",$B485,"事業所",$C485,"事業区分",F$1,"請求区分","単月"),0))</f>
        <v/>
      </c>
      <c r="H485" s="659" t="str">
        <f>IF($A485="","",IFERROR(GETPIVOTDATA("合計 / 入金予定",【ピボット】国保連売上!$A$3,"年月",$A485,"事業所コード",$B485,"事業所",$C485,"事業区分",H$1,"請求区分","単月"),0)
+IFERROR(GETPIVOTDATA("合計 / 入金予定",【ピボット】国保連売上!$A$3,"年月",$A485,"事業所コード",$B485,"事業所",$C485,"事業区分",H$1,"請求区分","再請求"),0))</f>
        <v/>
      </c>
      <c r="I485" s="659" t="str">
        <f>IF($A485="","",IFERROR(GETPIVOTDATA("合計 / 入金予定",【ピボット】国保連売上!$A$3,"年月",$A485,"事業所コード",$B485,"事業所",$C485,"事業区分",I$1,"請求区分","単月"),0)
+IFERROR(GETPIVOTDATA("合計 / 入金予定",【ピボット】国保連売上!$A$3,"年月",$A485,"事業所コード",$B485,"事業所",$C485,"事業区分",I$1,"請求区分","再請求"),0))</f>
        <v/>
      </c>
      <c r="J485" s="659" t="str">
        <f>IF($A485="","",IFERROR(GETPIVOTDATA("合計 / 処遇改善加算金",【ピボット】国保連売上!$A$3,"年月",$A485,"事業所コード",$B485,"事業所",$C485,"事業区分",I$1,"請求区分","単月"),0))</f>
        <v/>
      </c>
      <c r="K485" s="659" t="str">
        <f>IF($A485="","",IFERROR(GETPIVOTDATA("合計 / 入金予定",【ピボット】国保連売上!$A$3,"年月",$A485,"事業所コード",$B485,"事業所",$C485,"事業区分",K$1,"請求区分","単月"),0)
+IFERROR(GETPIVOTDATA("合計 / 入金予定",【ピボット】国保連売上!$A$3,"年月",$A485,"事業所コード",$B485,"事業所",$C485,"事業区分",K$1,"請求区分","再請求"),0))</f>
        <v/>
      </c>
      <c r="L485" s="659" t="str">
        <f>IF($A485="","",IFERROR(GETPIVOTDATA("合計 / 処遇改善加算金",【ピボット】国保連売上!$A$3,"年月",$A485,"事業所コード",$B485,"事業所",$C485,"事業区分",K$1,"請求区分","単月"),0))</f>
        <v/>
      </c>
      <c r="M485" s="659" t="str">
        <f>IF($A485="","",IFERROR(GETPIVOTDATA("合計 / 入金予定",【ピボット】国保連売上!$A$3,"年月",$A485,"事業所コード",$B485,"事業所",$C485,"事業区分",M$1,"請求区分","単月"),0)
+IFERROR(GETPIVOTDATA("合計 / 入金予定",【ピボット】国保連売上!$A$3,"年月",$A485,"事業所コード",$B485,"事業所",$C485,"事業区分",M$1,"請求区分","再請求"),0))</f>
        <v/>
      </c>
      <c r="N485" s="660"/>
      <c r="O485" s="660"/>
      <c r="P485" s="660"/>
      <c r="Q485" s="660"/>
      <c r="R485" s="660"/>
      <c r="S485" s="660"/>
      <c r="T485" s="660"/>
      <c r="U485" s="660"/>
      <c r="V485" s="660"/>
      <c r="W485" s="660"/>
      <c r="X485" s="660"/>
      <c r="Y485" s="659" t="str">
        <f t="shared" si="21"/>
        <v/>
      </c>
      <c r="Z485" s="659" t="str">
        <f t="shared" si="23"/>
        <v/>
      </c>
    </row>
    <row r="486" spans="1:26" ht="15.95" customHeight="1" x14ac:dyDescent="0.15">
      <c r="A486" s="656"/>
      <c r="B486" s="657" t="str">
        <f t="shared" si="22"/>
        <v/>
      </c>
      <c r="C486" s="658"/>
      <c r="D486" s="659" t="str">
        <f>IF($A486="","",IFERROR(GETPIVOTDATA("合計 / 入金予定",【ピボット】国保連売上!$A$3,"年月",$A486,"事業所コード",$B486,"事業所",$C486,"事業区分",D$1,"請求区分","単月"),0)
+IFERROR(GETPIVOTDATA("合計 / 入金予定",【ピボット】国保連売上!$A$3,"年月",$A486,"事業所コード",$B486,"事業所",$C486,"事業区分",D$1,"請求区分","再請求"),0))</f>
        <v/>
      </c>
      <c r="E486" s="659" t="str">
        <f>IF($A486="","",IFERROR(GETPIVOTDATA("合計 / 処遇改善加算金",【ピボット】国保連売上!$A$3,"年月",$A486,"事業所コード",$B486,"事業所",$C486,"事業区分",D$1,"請求区分","単月"),0))</f>
        <v/>
      </c>
      <c r="F486" s="659" t="str">
        <f>IF($A486="","",IFERROR(GETPIVOTDATA("合計 / 入金予定",【ピボット】国保連売上!$A$3,"年月",$A486,"事業所コード",$B486,"事業所",$C486,"事業区分",F$1,"請求区分","単月"),0)
+IFERROR(GETPIVOTDATA("合計 / 入金予定",【ピボット】国保連売上!$A$3,"年月",$A486,"事業所コード",$B486,"事業所",$C486,"事業区分",F$1,"請求区分","再請求"),0))</f>
        <v/>
      </c>
      <c r="G486" s="659" t="str">
        <f>IF($A486="","",IFERROR(GETPIVOTDATA("合計 / 処遇改善加算金",【ピボット】国保連売上!$A$3,"年月",$A486,"事業所コード",$B486,"事業所",$C486,"事業区分",F$1,"請求区分","単月"),0))</f>
        <v/>
      </c>
      <c r="H486" s="659" t="str">
        <f>IF($A486="","",IFERROR(GETPIVOTDATA("合計 / 入金予定",【ピボット】国保連売上!$A$3,"年月",$A486,"事業所コード",$B486,"事業所",$C486,"事業区分",H$1,"請求区分","単月"),0)
+IFERROR(GETPIVOTDATA("合計 / 入金予定",【ピボット】国保連売上!$A$3,"年月",$A486,"事業所コード",$B486,"事業所",$C486,"事業区分",H$1,"請求区分","再請求"),0))</f>
        <v/>
      </c>
      <c r="I486" s="659" t="str">
        <f>IF($A486="","",IFERROR(GETPIVOTDATA("合計 / 入金予定",【ピボット】国保連売上!$A$3,"年月",$A486,"事業所コード",$B486,"事業所",$C486,"事業区分",I$1,"請求区分","単月"),0)
+IFERROR(GETPIVOTDATA("合計 / 入金予定",【ピボット】国保連売上!$A$3,"年月",$A486,"事業所コード",$B486,"事業所",$C486,"事業区分",I$1,"請求区分","再請求"),0))</f>
        <v/>
      </c>
      <c r="J486" s="659" t="str">
        <f>IF($A486="","",IFERROR(GETPIVOTDATA("合計 / 処遇改善加算金",【ピボット】国保連売上!$A$3,"年月",$A486,"事業所コード",$B486,"事業所",$C486,"事業区分",I$1,"請求区分","単月"),0))</f>
        <v/>
      </c>
      <c r="K486" s="659" t="str">
        <f>IF($A486="","",IFERROR(GETPIVOTDATA("合計 / 入金予定",【ピボット】国保連売上!$A$3,"年月",$A486,"事業所コード",$B486,"事業所",$C486,"事業区分",K$1,"請求区分","単月"),0)
+IFERROR(GETPIVOTDATA("合計 / 入金予定",【ピボット】国保連売上!$A$3,"年月",$A486,"事業所コード",$B486,"事業所",$C486,"事業区分",K$1,"請求区分","再請求"),0))</f>
        <v/>
      </c>
      <c r="L486" s="659" t="str">
        <f>IF($A486="","",IFERROR(GETPIVOTDATA("合計 / 処遇改善加算金",【ピボット】国保連売上!$A$3,"年月",$A486,"事業所コード",$B486,"事業所",$C486,"事業区分",K$1,"請求区分","単月"),0))</f>
        <v/>
      </c>
      <c r="M486" s="659" t="str">
        <f>IF($A486="","",IFERROR(GETPIVOTDATA("合計 / 入金予定",【ピボット】国保連売上!$A$3,"年月",$A486,"事業所コード",$B486,"事業所",$C486,"事業区分",M$1,"請求区分","単月"),0)
+IFERROR(GETPIVOTDATA("合計 / 入金予定",【ピボット】国保連売上!$A$3,"年月",$A486,"事業所コード",$B486,"事業所",$C486,"事業区分",M$1,"請求区分","再請求"),0))</f>
        <v/>
      </c>
      <c r="N486" s="660"/>
      <c r="O486" s="660"/>
      <c r="P486" s="660"/>
      <c r="Q486" s="660"/>
      <c r="R486" s="660"/>
      <c r="S486" s="660"/>
      <c r="T486" s="660"/>
      <c r="U486" s="660"/>
      <c r="V486" s="660"/>
      <c r="W486" s="660"/>
      <c r="X486" s="660"/>
      <c r="Y486" s="659" t="str">
        <f t="shared" si="21"/>
        <v/>
      </c>
      <c r="Z486" s="659" t="str">
        <f t="shared" si="23"/>
        <v/>
      </c>
    </row>
    <row r="487" spans="1:26" ht="15.95" customHeight="1" x14ac:dyDescent="0.15">
      <c r="A487" s="656"/>
      <c r="B487" s="657" t="str">
        <f t="shared" si="22"/>
        <v/>
      </c>
      <c r="C487" s="658"/>
      <c r="D487" s="659" t="str">
        <f>IF($A487="","",IFERROR(GETPIVOTDATA("合計 / 入金予定",【ピボット】国保連売上!$A$3,"年月",$A487,"事業所コード",$B487,"事業所",$C487,"事業区分",D$1,"請求区分","単月"),0)
+IFERROR(GETPIVOTDATA("合計 / 入金予定",【ピボット】国保連売上!$A$3,"年月",$A487,"事業所コード",$B487,"事業所",$C487,"事業区分",D$1,"請求区分","再請求"),0))</f>
        <v/>
      </c>
      <c r="E487" s="659" t="str">
        <f>IF($A487="","",IFERROR(GETPIVOTDATA("合計 / 処遇改善加算金",【ピボット】国保連売上!$A$3,"年月",$A487,"事業所コード",$B487,"事業所",$C487,"事業区分",D$1,"請求区分","単月"),0))</f>
        <v/>
      </c>
      <c r="F487" s="659" t="str">
        <f>IF($A487="","",IFERROR(GETPIVOTDATA("合計 / 入金予定",【ピボット】国保連売上!$A$3,"年月",$A487,"事業所コード",$B487,"事業所",$C487,"事業区分",F$1,"請求区分","単月"),0)
+IFERROR(GETPIVOTDATA("合計 / 入金予定",【ピボット】国保連売上!$A$3,"年月",$A487,"事業所コード",$B487,"事業所",$C487,"事業区分",F$1,"請求区分","再請求"),0))</f>
        <v/>
      </c>
      <c r="G487" s="659" t="str">
        <f>IF($A487="","",IFERROR(GETPIVOTDATA("合計 / 処遇改善加算金",【ピボット】国保連売上!$A$3,"年月",$A487,"事業所コード",$B487,"事業所",$C487,"事業区分",F$1,"請求区分","単月"),0))</f>
        <v/>
      </c>
      <c r="H487" s="659" t="str">
        <f>IF($A487="","",IFERROR(GETPIVOTDATA("合計 / 入金予定",【ピボット】国保連売上!$A$3,"年月",$A487,"事業所コード",$B487,"事業所",$C487,"事業区分",H$1,"請求区分","単月"),0)
+IFERROR(GETPIVOTDATA("合計 / 入金予定",【ピボット】国保連売上!$A$3,"年月",$A487,"事業所コード",$B487,"事業所",$C487,"事業区分",H$1,"請求区分","再請求"),0))</f>
        <v/>
      </c>
      <c r="I487" s="659" t="str">
        <f>IF($A487="","",IFERROR(GETPIVOTDATA("合計 / 入金予定",【ピボット】国保連売上!$A$3,"年月",$A487,"事業所コード",$B487,"事業所",$C487,"事業区分",I$1,"請求区分","単月"),0)
+IFERROR(GETPIVOTDATA("合計 / 入金予定",【ピボット】国保連売上!$A$3,"年月",$A487,"事業所コード",$B487,"事業所",$C487,"事業区分",I$1,"請求区分","再請求"),0))</f>
        <v/>
      </c>
      <c r="J487" s="659" t="str">
        <f>IF($A487="","",IFERROR(GETPIVOTDATA("合計 / 処遇改善加算金",【ピボット】国保連売上!$A$3,"年月",$A487,"事業所コード",$B487,"事業所",$C487,"事業区分",I$1,"請求区分","単月"),0))</f>
        <v/>
      </c>
      <c r="K487" s="659" t="str">
        <f>IF($A487="","",IFERROR(GETPIVOTDATA("合計 / 入金予定",【ピボット】国保連売上!$A$3,"年月",$A487,"事業所コード",$B487,"事業所",$C487,"事業区分",K$1,"請求区分","単月"),0)
+IFERROR(GETPIVOTDATA("合計 / 入金予定",【ピボット】国保連売上!$A$3,"年月",$A487,"事業所コード",$B487,"事業所",$C487,"事業区分",K$1,"請求区分","再請求"),0))</f>
        <v/>
      </c>
      <c r="L487" s="659" t="str">
        <f>IF($A487="","",IFERROR(GETPIVOTDATA("合計 / 処遇改善加算金",【ピボット】国保連売上!$A$3,"年月",$A487,"事業所コード",$B487,"事業所",$C487,"事業区分",K$1,"請求区分","単月"),0))</f>
        <v/>
      </c>
      <c r="M487" s="659" t="str">
        <f>IF($A487="","",IFERROR(GETPIVOTDATA("合計 / 入金予定",【ピボット】国保連売上!$A$3,"年月",$A487,"事業所コード",$B487,"事業所",$C487,"事業区分",M$1,"請求区分","単月"),0)
+IFERROR(GETPIVOTDATA("合計 / 入金予定",【ピボット】国保連売上!$A$3,"年月",$A487,"事業所コード",$B487,"事業所",$C487,"事業区分",M$1,"請求区分","再請求"),0))</f>
        <v/>
      </c>
      <c r="N487" s="660"/>
      <c r="O487" s="660"/>
      <c r="P487" s="660"/>
      <c r="Q487" s="660"/>
      <c r="R487" s="660"/>
      <c r="S487" s="660"/>
      <c r="T487" s="660"/>
      <c r="U487" s="660"/>
      <c r="V487" s="660"/>
      <c r="W487" s="660"/>
      <c r="X487" s="660"/>
      <c r="Y487" s="659" t="str">
        <f t="shared" si="21"/>
        <v/>
      </c>
      <c r="Z487" s="659" t="str">
        <f t="shared" si="23"/>
        <v/>
      </c>
    </row>
    <row r="488" spans="1:26" ht="15.95" customHeight="1" x14ac:dyDescent="0.15">
      <c r="A488" s="656"/>
      <c r="B488" s="657" t="str">
        <f t="shared" si="22"/>
        <v/>
      </c>
      <c r="C488" s="658"/>
      <c r="D488" s="659" t="str">
        <f>IF($A488="","",IFERROR(GETPIVOTDATA("合計 / 入金予定",【ピボット】国保連売上!$A$3,"年月",$A488,"事業所コード",$B488,"事業所",$C488,"事業区分",D$1,"請求区分","単月"),0)
+IFERROR(GETPIVOTDATA("合計 / 入金予定",【ピボット】国保連売上!$A$3,"年月",$A488,"事業所コード",$B488,"事業所",$C488,"事業区分",D$1,"請求区分","再請求"),0))</f>
        <v/>
      </c>
      <c r="E488" s="659" t="str">
        <f>IF($A488="","",IFERROR(GETPIVOTDATA("合計 / 処遇改善加算金",【ピボット】国保連売上!$A$3,"年月",$A488,"事業所コード",$B488,"事業所",$C488,"事業区分",D$1,"請求区分","単月"),0))</f>
        <v/>
      </c>
      <c r="F488" s="659" t="str">
        <f>IF($A488="","",IFERROR(GETPIVOTDATA("合計 / 入金予定",【ピボット】国保連売上!$A$3,"年月",$A488,"事業所コード",$B488,"事業所",$C488,"事業区分",F$1,"請求区分","単月"),0)
+IFERROR(GETPIVOTDATA("合計 / 入金予定",【ピボット】国保連売上!$A$3,"年月",$A488,"事業所コード",$B488,"事業所",$C488,"事業区分",F$1,"請求区分","再請求"),0))</f>
        <v/>
      </c>
      <c r="G488" s="659" t="str">
        <f>IF($A488="","",IFERROR(GETPIVOTDATA("合計 / 処遇改善加算金",【ピボット】国保連売上!$A$3,"年月",$A488,"事業所コード",$B488,"事業所",$C488,"事業区分",F$1,"請求区分","単月"),0))</f>
        <v/>
      </c>
      <c r="H488" s="659" t="str">
        <f>IF($A488="","",IFERROR(GETPIVOTDATA("合計 / 入金予定",【ピボット】国保連売上!$A$3,"年月",$A488,"事業所コード",$B488,"事業所",$C488,"事業区分",H$1,"請求区分","単月"),0)
+IFERROR(GETPIVOTDATA("合計 / 入金予定",【ピボット】国保連売上!$A$3,"年月",$A488,"事業所コード",$B488,"事業所",$C488,"事業区分",H$1,"請求区分","再請求"),0))</f>
        <v/>
      </c>
      <c r="I488" s="659" t="str">
        <f>IF($A488="","",IFERROR(GETPIVOTDATA("合計 / 入金予定",【ピボット】国保連売上!$A$3,"年月",$A488,"事業所コード",$B488,"事業所",$C488,"事業区分",I$1,"請求区分","単月"),0)
+IFERROR(GETPIVOTDATA("合計 / 入金予定",【ピボット】国保連売上!$A$3,"年月",$A488,"事業所コード",$B488,"事業所",$C488,"事業区分",I$1,"請求区分","再請求"),0))</f>
        <v/>
      </c>
      <c r="J488" s="659" t="str">
        <f>IF($A488="","",IFERROR(GETPIVOTDATA("合計 / 処遇改善加算金",【ピボット】国保連売上!$A$3,"年月",$A488,"事業所コード",$B488,"事業所",$C488,"事業区分",I$1,"請求区分","単月"),0))</f>
        <v/>
      </c>
      <c r="K488" s="659" t="str">
        <f>IF($A488="","",IFERROR(GETPIVOTDATA("合計 / 入金予定",【ピボット】国保連売上!$A$3,"年月",$A488,"事業所コード",$B488,"事業所",$C488,"事業区分",K$1,"請求区分","単月"),0)
+IFERROR(GETPIVOTDATA("合計 / 入金予定",【ピボット】国保連売上!$A$3,"年月",$A488,"事業所コード",$B488,"事業所",$C488,"事業区分",K$1,"請求区分","再請求"),0))</f>
        <v/>
      </c>
      <c r="L488" s="659" t="str">
        <f>IF($A488="","",IFERROR(GETPIVOTDATA("合計 / 処遇改善加算金",【ピボット】国保連売上!$A$3,"年月",$A488,"事業所コード",$B488,"事業所",$C488,"事業区分",K$1,"請求区分","単月"),0))</f>
        <v/>
      </c>
      <c r="M488" s="659" t="str">
        <f>IF($A488="","",IFERROR(GETPIVOTDATA("合計 / 入金予定",【ピボット】国保連売上!$A$3,"年月",$A488,"事業所コード",$B488,"事業所",$C488,"事業区分",M$1,"請求区分","単月"),0)
+IFERROR(GETPIVOTDATA("合計 / 入金予定",【ピボット】国保連売上!$A$3,"年月",$A488,"事業所コード",$B488,"事業所",$C488,"事業区分",M$1,"請求区分","再請求"),0))</f>
        <v/>
      </c>
      <c r="N488" s="660"/>
      <c r="O488" s="660"/>
      <c r="P488" s="660"/>
      <c r="Q488" s="660"/>
      <c r="R488" s="660"/>
      <c r="S488" s="660"/>
      <c r="T488" s="660"/>
      <c r="U488" s="660"/>
      <c r="V488" s="660"/>
      <c r="W488" s="660"/>
      <c r="X488" s="660"/>
      <c r="Y488" s="659" t="str">
        <f t="shared" si="21"/>
        <v/>
      </c>
      <c r="Z488" s="659" t="str">
        <f t="shared" si="23"/>
        <v/>
      </c>
    </row>
    <row r="489" spans="1:26" ht="15.95" customHeight="1" x14ac:dyDescent="0.15">
      <c r="A489" s="656"/>
      <c r="B489" s="657" t="str">
        <f t="shared" si="22"/>
        <v/>
      </c>
      <c r="C489" s="658"/>
      <c r="D489" s="659" t="str">
        <f>IF($A489="","",IFERROR(GETPIVOTDATA("合計 / 入金予定",【ピボット】国保連売上!$A$3,"年月",$A489,"事業所コード",$B489,"事業所",$C489,"事業区分",D$1,"請求区分","単月"),0)
+IFERROR(GETPIVOTDATA("合計 / 入金予定",【ピボット】国保連売上!$A$3,"年月",$A489,"事業所コード",$B489,"事業所",$C489,"事業区分",D$1,"請求区分","再請求"),0))</f>
        <v/>
      </c>
      <c r="E489" s="659" t="str">
        <f>IF($A489="","",IFERROR(GETPIVOTDATA("合計 / 処遇改善加算金",【ピボット】国保連売上!$A$3,"年月",$A489,"事業所コード",$B489,"事業所",$C489,"事業区分",D$1,"請求区分","単月"),0))</f>
        <v/>
      </c>
      <c r="F489" s="659" t="str">
        <f>IF($A489="","",IFERROR(GETPIVOTDATA("合計 / 入金予定",【ピボット】国保連売上!$A$3,"年月",$A489,"事業所コード",$B489,"事業所",$C489,"事業区分",F$1,"請求区分","単月"),0)
+IFERROR(GETPIVOTDATA("合計 / 入金予定",【ピボット】国保連売上!$A$3,"年月",$A489,"事業所コード",$B489,"事業所",$C489,"事業区分",F$1,"請求区分","再請求"),0))</f>
        <v/>
      </c>
      <c r="G489" s="659" t="str">
        <f>IF($A489="","",IFERROR(GETPIVOTDATA("合計 / 処遇改善加算金",【ピボット】国保連売上!$A$3,"年月",$A489,"事業所コード",$B489,"事業所",$C489,"事業区分",F$1,"請求区分","単月"),0))</f>
        <v/>
      </c>
      <c r="H489" s="659" t="str">
        <f>IF($A489="","",IFERROR(GETPIVOTDATA("合計 / 入金予定",【ピボット】国保連売上!$A$3,"年月",$A489,"事業所コード",$B489,"事業所",$C489,"事業区分",H$1,"請求区分","単月"),0)
+IFERROR(GETPIVOTDATA("合計 / 入金予定",【ピボット】国保連売上!$A$3,"年月",$A489,"事業所コード",$B489,"事業所",$C489,"事業区分",H$1,"請求区分","再請求"),0))</f>
        <v/>
      </c>
      <c r="I489" s="659" t="str">
        <f>IF($A489="","",IFERROR(GETPIVOTDATA("合計 / 入金予定",【ピボット】国保連売上!$A$3,"年月",$A489,"事業所コード",$B489,"事業所",$C489,"事業区分",I$1,"請求区分","単月"),0)
+IFERROR(GETPIVOTDATA("合計 / 入金予定",【ピボット】国保連売上!$A$3,"年月",$A489,"事業所コード",$B489,"事業所",$C489,"事業区分",I$1,"請求区分","再請求"),0))</f>
        <v/>
      </c>
      <c r="J489" s="659" t="str">
        <f>IF($A489="","",IFERROR(GETPIVOTDATA("合計 / 処遇改善加算金",【ピボット】国保連売上!$A$3,"年月",$A489,"事業所コード",$B489,"事業所",$C489,"事業区分",I$1,"請求区分","単月"),0))</f>
        <v/>
      </c>
      <c r="K489" s="659" t="str">
        <f>IF($A489="","",IFERROR(GETPIVOTDATA("合計 / 入金予定",【ピボット】国保連売上!$A$3,"年月",$A489,"事業所コード",$B489,"事業所",$C489,"事業区分",K$1,"請求区分","単月"),0)
+IFERROR(GETPIVOTDATA("合計 / 入金予定",【ピボット】国保連売上!$A$3,"年月",$A489,"事業所コード",$B489,"事業所",$C489,"事業区分",K$1,"請求区分","再請求"),0))</f>
        <v/>
      </c>
      <c r="L489" s="659" t="str">
        <f>IF($A489="","",IFERROR(GETPIVOTDATA("合計 / 処遇改善加算金",【ピボット】国保連売上!$A$3,"年月",$A489,"事業所コード",$B489,"事業所",$C489,"事業区分",K$1,"請求区分","単月"),0))</f>
        <v/>
      </c>
      <c r="M489" s="659" t="str">
        <f>IF($A489="","",IFERROR(GETPIVOTDATA("合計 / 入金予定",【ピボット】国保連売上!$A$3,"年月",$A489,"事業所コード",$B489,"事業所",$C489,"事業区分",M$1,"請求区分","単月"),0)
+IFERROR(GETPIVOTDATA("合計 / 入金予定",【ピボット】国保連売上!$A$3,"年月",$A489,"事業所コード",$B489,"事業所",$C489,"事業区分",M$1,"請求区分","再請求"),0))</f>
        <v/>
      </c>
      <c r="N489" s="660"/>
      <c r="O489" s="660"/>
      <c r="P489" s="660"/>
      <c r="Q489" s="660"/>
      <c r="R489" s="660"/>
      <c r="S489" s="660"/>
      <c r="T489" s="660"/>
      <c r="U489" s="660"/>
      <c r="V489" s="660"/>
      <c r="W489" s="660"/>
      <c r="X489" s="660"/>
      <c r="Y489" s="659" t="str">
        <f t="shared" si="21"/>
        <v/>
      </c>
      <c r="Z489" s="659" t="str">
        <f t="shared" si="23"/>
        <v/>
      </c>
    </row>
    <row r="490" spans="1:26" ht="15.95" customHeight="1" x14ac:dyDescent="0.15">
      <c r="A490" s="656"/>
      <c r="B490" s="657" t="str">
        <f t="shared" si="22"/>
        <v/>
      </c>
      <c r="C490" s="658"/>
      <c r="D490" s="659" t="str">
        <f>IF($A490="","",IFERROR(GETPIVOTDATA("合計 / 入金予定",【ピボット】国保連売上!$A$3,"年月",$A490,"事業所コード",$B490,"事業所",$C490,"事業区分",D$1,"請求区分","単月"),0)
+IFERROR(GETPIVOTDATA("合計 / 入金予定",【ピボット】国保連売上!$A$3,"年月",$A490,"事業所コード",$B490,"事業所",$C490,"事業区分",D$1,"請求区分","再請求"),0))</f>
        <v/>
      </c>
      <c r="E490" s="659" t="str">
        <f>IF($A490="","",IFERROR(GETPIVOTDATA("合計 / 処遇改善加算金",【ピボット】国保連売上!$A$3,"年月",$A490,"事業所コード",$B490,"事業所",$C490,"事業区分",D$1,"請求区分","単月"),0))</f>
        <v/>
      </c>
      <c r="F490" s="659" t="str">
        <f>IF($A490="","",IFERROR(GETPIVOTDATA("合計 / 入金予定",【ピボット】国保連売上!$A$3,"年月",$A490,"事業所コード",$B490,"事業所",$C490,"事業区分",F$1,"請求区分","単月"),0)
+IFERROR(GETPIVOTDATA("合計 / 入金予定",【ピボット】国保連売上!$A$3,"年月",$A490,"事業所コード",$B490,"事業所",$C490,"事業区分",F$1,"請求区分","再請求"),0))</f>
        <v/>
      </c>
      <c r="G490" s="659" t="str">
        <f>IF($A490="","",IFERROR(GETPIVOTDATA("合計 / 処遇改善加算金",【ピボット】国保連売上!$A$3,"年月",$A490,"事業所コード",$B490,"事業所",$C490,"事業区分",F$1,"請求区分","単月"),0))</f>
        <v/>
      </c>
      <c r="H490" s="659" t="str">
        <f>IF($A490="","",IFERROR(GETPIVOTDATA("合計 / 入金予定",【ピボット】国保連売上!$A$3,"年月",$A490,"事業所コード",$B490,"事業所",$C490,"事業区分",H$1,"請求区分","単月"),0)
+IFERROR(GETPIVOTDATA("合計 / 入金予定",【ピボット】国保連売上!$A$3,"年月",$A490,"事業所コード",$B490,"事業所",$C490,"事業区分",H$1,"請求区分","再請求"),0))</f>
        <v/>
      </c>
      <c r="I490" s="659" t="str">
        <f>IF($A490="","",IFERROR(GETPIVOTDATA("合計 / 入金予定",【ピボット】国保連売上!$A$3,"年月",$A490,"事業所コード",$B490,"事業所",$C490,"事業区分",I$1,"請求区分","単月"),0)
+IFERROR(GETPIVOTDATA("合計 / 入金予定",【ピボット】国保連売上!$A$3,"年月",$A490,"事業所コード",$B490,"事業所",$C490,"事業区分",I$1,"請求区分","再請求"),0))</f>
        <v/>
      </c>
      <c r="J490" s="659" t="str">
        <f>IF($A490="","",IFERROR(GETPIVOTDATA("合計 / 処遇改善加算金",【ピボット】国保連売上!$A$3,"年月",$A490,"事業所コード",$B490,"事業所",$C490,"事業区分",I$1,"請求区分","単月"),0))</f>
        <v/>
      </c>
      <c r="K490" s="659" t="str">
        <f>IF($A490="","",IFERROR(GETPIVOTDATA("合計 / 入金予定",【ピボット】国保連売上!$A$3,"年月",$A490,"事業所コード",$B490,"事業所",$C490,"事業区分",K$1,"請求区分","単月"),0)
+IFERROR(GETPIVOTDATA("合計 / 入金予定",【ピボット】国保連売上!$A$3,"年月",$A490,"事業所コード",$B490,"事業所",$C490,"事業区分",K$1,"請求区分","再請求"),0))</f>
        <v/>
      </c>
      <c r="L490" s="659" t="str">
        <f>IF($A490="","",IFERROR(GETPIVOTDATA("合計 / 処遇改善加算金",【ピボット】国保連売上!$A$3,"年月",$A490,"事業所コード",$B490,"事業所",$C490,"事業区分",K$1,"請求区分","単月"),0))</f>
        <v/>
      </c>
      <c r="M490" s="659" t="str">
        <f>IF($A490="","",IFERROR(GETPIVOTDATA("合計 / 入金予定",【ピボット】国保連売上!$A$3,"年月",$A490,"事業所コード",$B490,"事業所",$C490,"事業区分",M$1,"請求区分","単月"),0)
+IFERROR(GETPIVOTDATA("合計 / 入金予定",【ピボット】国保連売上!$A$3,"年月",$A490,"事業所コード",$B490,"事業所",$C490,"事業区分",M$1,"請求区分","再請求"),0))</f>
        <v/>
      </c>
      <c r="N490" s="660"/>
      <c r="O490" s="660"/>
      <c r="P490" s="660"/>
      <c r="Q490" s="660"/>
      <c r="R490" s="660"/>
      <c r="S490" s="660"/>
      <c r="T490" s="660"/>
      <c r="U490" s="660"/>
      <c r="V490" s="660"/>
      <c r="W490" s="660"/>
      <c r="X490" s="660"/>
      <c r="Y490" s="659" t="str">
        <f t="shared" si="21"/>
        <v/>
      </c>
      <c r="Z490" s="659" t="str">
        <f t="shared" si="23"/>
        <v/>
      </c>
    </row>
    <row r="491" spans="1:26" ht="15.95" customHeight="1" x14ac:dyDescent="0.15">
      <c r="A491" s="656"/>
      <c r="B491" s="657" t="str">
        <f t="shared" si="22"/>
        <v/>
      </c>
      <c r="C491" s="658"/>
      <c r="D491" s="659" t="str">
        <f>IF($A491="","",IFERROR(GETPIVOTDATA("合計 / 入金予定",【ピボット】国保連売上!$A$3,"年月",$A491,"事業所コード",$B491,"事業所",$C491,"事業区分",D$1,"請求区分","単月"),0)
+IFERROR(GETPIVOTDATA("合計 / 入金予定",【ピボット】国保連売上!$A$3,"年月",$A491,"事業所コード",$B491,"事業所",$C491,"事業区分",D$1,"請求区分","再請求"),0))</f>
        <v/>
      </c>
      <c r="E491" s="659" t="str">
        <f>IF($A491="","",IFERROR(GETPIVOTDATA("合計 / 処遇改善加算金",【ピボット】国保連売上!$A$3,"年月",$A491,"事業所コード",$B491,"事業所",$C491,"事業区分",D$1,"請求区分","単月"),0))</f>
        <v/>
      </c>
      <c r="F491" s="659" t="str">
        <f>IF($A491="","",IFERROR(GETPIVOTDATA("合計 / 入金予定",【ピボット】国保連売上!$A$3,"年月",$A491,"事業所コード",$B491,"事業所",$C491,"事業区分",F$1,"請求区分","単月"),0)
+IFERROR(GETPIVOTDATA("合計 / 入金予定",【ピボット】国保連売上!$A$3,"年月",$A491,"事業所コード",$B491,"事業所",$C491,"事業区分",F$1,"請求区分","再請求"),0))</f>
        <v/>
      </c>
      <c r="G491" s="659" t="str">
        <f>IF($A491="","",IFERROR(GETPIVOTDATA("合計 / 処遇改善加算金",【ピボット】国保連売上!$A$3,"年月",$A491,"事業所コード",$B491,"事業所",$C491,"事業区分",F$1,"請求区分","単月"),0))</f>
        <v/>
      </c>
      <c r="H491" s="659" t="str">
        <f>IF($A491="","",IFERROR(GETPIVOTDATA("合計 / 入金予定",【ピボット】国保連売上!$A$3,"年月",$A491,"事業所コード",$B491,"事業所",$C491,"事業区分",H$1,"請求区分","単月"),0)
+IFERROR(GETPIVOTDATA("合計 / 入金予定",【ピボット】国保連売上!$A$3,"年月",$A491,"事業所コード",$B491,"事業所",$C491,"事業区分",H$1,"請求区分","再請求"),0))</f>
        <v/>
      </c>
      <c r="I491" s="659" t="str">
        <f>IF($A491="","",IFERROR(GETPIVOTDATA("合計 / 入金予定",【ピボット】国保連売上!$A$3,"年月",$A491,"事業所コード",$B491,"事業所",$C491,"事業区分",I$1,"請求区分","単月"),0)
+IFERROR(GETPIVOTDATA("合計 / 入金予定",【ピボット】国保連売上!$A$3,"年月",$A491,"事業所コード",$B491,"事業所",$C491,"事業区分",I$1,"請求区分","再請求"),0))</f>
        <v/>
      </c>
      <c r="J491" s="659" t="str">
        <f>IF($A491="","",IFERROR(GETPIVOTDATA("合計 / 処遇改善加算金",【ピボット】国保連売上!$A$3,"年月",$A491,"事業所コード",$B491,"事業所",$C491,"事業区分",I$1,"請求区分","単月"),0))</f>
        <v/>
      </c>
      <c r="K491" s="659" t="str">
        <f>IF($A491="","",IFERROR(GETPIVOTDATA("合計 / 入金予定",【ピボット】国保連売上!$A$3,"年月",$A491,"事業所コード",$B491,"事業所",$C491,"事業区分",K$1,"請求区分","単月"),0)
+IFERROR(GETPIVOTDATA("合計 / 入金予定",【ピボット】国保連売上!$A$3,"年月",$A491,"事業所コード",$B491,"事業所",$C491,"事業区分",K$1,"請求区分","再請求"),0))</f>
        <v/>
      </c>
      <c r="L491" s="659" t="str">
        <f>IF($A491="","",IFERROR(GETPIVOTDATA("合計 / 処遇改善加算金",【ピボット】国保連売上!$A$3,"年月",$A491,"事業所コード",$B491,"事業所",$C491,"事業区分",K$1,"請求区分","単月"),0))</f>
        <v/>
      </c>
      <c r="M491" s="659" t="str">
        <f>IF($A491="","",IFERROR(GETPIVOTDATA("合計 / 入金予定",【ピボット】国保連売上!$A$3,"年月",$A491,"事業所コード",$B491,"事業所",$C491,"事業区分",M$1,"請求区分","単月"),0)
+IFERROR(GETPIVOTDATA("合計 / 入金予定",【ピボット】国保連売上!$A$3,"年月",$A491,"事業所コード",$B491,"事業所",$C491,"事業区分",M$1,"請求区分","再請求"),0))</f>
        <v/>
      </c>
      <c r="N491" s="660"/>
      <c r="O491" s="660"/>
      <c r="P491" s="660"/>
      <c r="Q491" s="660"/>
      <c r="R491" s="660"/>
      <c r="S491" s="660"/>
      <c r="T491" s="660"/>
      <c r="U491" s="660"/>
      <c r="V491" s="660"/>
      <c r="W491" s="660"/>
      <c r="X491" s="660"/>
      <c r="Y491" s="659" t="str">
        <f t="shared" si="21"/>
        <v/>
      </c>
      <c r="Z491" s="659" t="str">
        <f t="shared" si="23"/>
        <v/>
      </c>
    </row>
    <row r="492" spans="1:26" ht="15.95" customHeight="1" x14ac:dyDescent="0.15">
      <c r="A492" s="656"/>
      <c r="B492" s="657" t="str">
        <f t="shared" si="22"/>
        <v/>
      </c>
      <c r="C492" s="658"/>
      <c r="D492" s="659" t="str">
        <f>IF($A492="","",IFERROR(GETPIVOTDATA("合計 / 入金予定",【ピボット】国保連売上!$A$3,"年月",$A492,"事業所コード",$B492,"事業所",$C492,"事業区分",D$1,"請求区分","単月"),0)
+IFERROR(GETPIVOTDATA("合計 / 入金予定",【ピボット】国保連売上!$A$3,"年月",$A492,"事業所コード",$B492,"事業所",$C492,"事業区分",D$1,"請求区分","再請求"),0))</f>
        <v/>
      </c>
      <c r="E492" s="659" t="str">
        <f>IF($A492="","",IFERROR(GETPIVOTDATA("合計 / 処遇改善加算金",【ピボット】国保連売上!$A$3,"年月",$A492,"事業所コード",$B492,"事業所",$C492,"事業区分",D$1,"請求区分","単月"),0))</f>
        <v/>
      </c>
      <c r="F492" s="659" t="str">
        <f>IF($A492="","",IFERROR(GETPIVOTDATA("合計 / 入金予定",【ピボット】国保連売上!$A$3,"年月",$A492,"事業所コード",$B492,"事業所",$C492,"事業区分",F$1,"請求区分","単月"),0)
+IFERROR(GETPIVOTDATA("合計 / 入金予定",【ピボット】国保連売上!$A$3,"年月",$A492,"事業所コード",$B492,"事業所",$C492,"事業区分",F$1,"請求区分","再請求"),0))</f>
        <v/>
      </c>
      <c r="G492" s="659" t="str">
        <f>IF($A492="","",IFERROR(GETPIVOTDATA("合計 / 処遇改善加算金",【ピボット】国保連売上!$A$3,"年月",$A492,"事業所コード",$B492,"事業所",$C492,"事業区分",F$1,"請求区分","単月"),0))</f>
        <v/>
      </c>
      <c r="H492" s="659" t="str">
        <f>IF($A492="","",IFERROR(GETPIVOTDATA("合計 / 入金予定",【ピボット】国保連売上!$A$3,"年月",$A492,"事業所コード",$B492,"事業所",$C492,"事業区分",H$1,"請求区分","単月"),0)
+IFERROR(GETPIVOTDATA("合計 / 入金予定",【ピボット】国保連売上!$A$3,"年月",$A492,"事業所コード",$B492,"事業所",$C492,"事業区分",H$1,"請求区分","再請求"),0))</f>
        <v/>
      </c>
      <c r="I492" s="659" t="str">
        <f>IF($A492="","",IFERROR(GETPIVOTDATA("合計 / 入金予定",【ピボット】国保連売上!$A$3,"年月",$A492,"事業所コード",$B492,"事業所",$C492,"事業区分",I$1,"請求区分","単月"),0)
+IFERROR(GETPIVOTDATA("合計 / 入金予定",【ピボット】国保連売上!$A$3,"年月",$A492,"事業所コード",$B492,"事業所",$C492,"事業区分",I$1,"請求区分","再請求"),0))</f>
        <v/>
      </c>
      <c r="J492" s="659" t="str">
        <f>IF($A492="","",IFERROR(GETPIVOTDATA("合計 / 処遇改善加算金",【ピボット】国保連売上!$A$3,"年月",$A492,"事業所コード",$B492,"事業所",$C492,"事業区分",I$1,"請求区分","単月"),0))</f>
        <v/>
      </c>
      <c r="K492" s="659" t="str">
        <f>IF($A492="","",IFERROR(GETPIVOTDATA("合計 / 入金予定",【ピボット】国保連売上!$A$3,"年月",$A492,"事業所コード",$B492,"事業所",$C492,"事業区分",K$1,"請求区分","単月"),0)
+IFERROR(GETPIVOTDATA("合計 / 入金予定",【ピボット】国保連売上!$A$3,"年月",$A492,"事業所コード",$B492,"事業所",$C492,"事業区分",K$1,"請求区分","再請求"),0))</f>
        <v/>
      </c>
      <c r="L492" s="659" t="str">
        <f>IF($A492="","",IFERROR(GETPIVOTDATA("合計 / 処遇改善加算金",【ピボット】国保連売上!$A$3,"年月",$A492,"事業所コード",$B492,"事業所",$C492,"事業区分",K$1,"請求区分","単月"),0))</f>
        <v/>
      </c>
      <c r="M492" s="659" t="str">
        <f>IF($A492="","",IFERROR(GETPIVOTDATA("合計 / 入金予定",【ピボット】国保連売上!$A$3,"年月",$A492,"事業所コード",$B492,"事業所",$C492,"事業区分",M$1,"請求区分","単月"),0)
+IFERROR(GETPIVOTDATA("合計 / 入金予定",【ピボット】国保連売上!$A$3,"年月",$A492,"事業所コード",$B492,"事業所",$C492,"事業区分",M$1,"請求区分","再請求"),0))</f>
        <v/>
      </c>
      <c r="N492" s="660"/>
      <c r="O492" s="660"/>
      <c r="P492" s="660"/>
      <c r="Q492" s="660"/>
      <c r="R492" s="660"/>
      <c r="S492" s="660"/>
      <c r="T492" s="660"/>
      <c r="U492" s="660"/>
      <c r="V492" s="660"/>
      <c r="W492" s="660"/>
      <c r="X492" s="660"/>
      <c r="Y492" s="659" t="str">
        <f t="shared" si="21"/>
        <v/>
      </c>
      <c r="Z492" s="659" t="str">
        <f t="shared" si="23"/>
        <v/>
      </c>
    </row>
    <row r="493" spans="1:26" ht="15.95" customHeight="1" x14ac:dyDescent="0.15">
      <c r="A493" s="656"/>
      <c r="B493" s="657" t="str">
        <f t="shared" si="22"/>
        <v/>
      </c>
      <c r="C493" s="658"/>
      <c r="D493" s="659" t="str">
        <f>IF($A493="","",IFERROR(GETPIVOTDATA("合計 / 入金予定",【ピボット】国保連売上!$A$3,"年月",$A493,"事業所コード",$B493,"事業所",$C493,"事業区分",D$1,"請求区分","単月"),0)
+IFERROR(GETPIVOTDATA("合計 / 入金予定",【ピボット】国保連売上!$A$3,"年月",$A493,"事業所コード",$B493,"事業所",$C493,"事業区分",D$1,"請求区分","再請求"),0))</f>
        <v/>
      </c>
      <c r="E493" s="659" t="str">
        <f>IF($A493="","",IFERROR(GETPIVOTDATA("合計 / 処遇改善加算金",【ピボット】国保連売上!$A$3,"年月",$A493,"事業所コード",$B493,"事業所",$C493,"事業区分",D$1,"請求区分","単月"),0))</f>
        <v/>
      </c>
      <c r="F493" s="659" t="str">
        <f>IF($A493="","",IFERROR(GETPIVOTDATA("合計 / 入金予定",【ピボット】国保連売上!$A$3,"年月",$A493,"事業所コード",$B493,"事業所",$C493,"事業区分",F$1,"請求区分","単月"),0)
+IFERROR(GETPIVOTDATA("合計 / 入金予定",【ピボット】国保連売上!$A$3,"年月",$A493,"事業所コード",$B493,"事業所",$C493,"事業区分",F$1,"請求区分","再請求"),0))</f>
        <v/>
      </c>
      <c r="G493" s="659" t="str">
        <f>IF($A493="","",IFERROR(GETPIVOTDATA("合計 / 処遇改善加算金",【ピボット】国保連売上!$A$3,"年月",$A493,"事業所コード",$B493,"事業所",$C493,"事業区分",F$1,"請求区分","単月"),0))</f>
        <v/>
      </c>
      <c r="H493" s="659" t="str">
        <f>IF($A493="","",IFERROR(GETPIVOTDATA("合計 / 入金予定",【ピボット】国保連売上!$A$3,"年月",$A493,"事業所コード",$B493,"事業所",$C493,"事業区分",H$1,"請求区分","単月"),0)
+IFERROR(GETPIVOTDATA("合計 / 入金予定",【ピボット】国保連売上!$A$3,"年月",$A493,"事業所コード",$B493,"事業所",$C493,"事業区分",H$1,"請求区分","再請求"),0))</f>
        <v/>
      </c>
      <c r="I493" s="659" t="str">
        <f>IF($A493="","",IFERROR(GETPIVOTDATA("合計 / 入金予定",【ピボット】国保連売上!$A$3,"年月",$A493,"事業所コード",$B493,"事業所",$C493,"事業区分",I$1,"請求区分","単月"),0)
+IFERROR(GETPIVOTDATA("合計 / 入金予定",【ピボット】国保連売上!$A$3,"年月",$A493,"事業所コード",$B493,"事業所",$C493,"事業区分",I$1,"請求区分","再請求"),0))</f>
        <v/>
      </c>
      <c r="J493" s="659" t="str">
        <f>IF($A493="","",IFERROR(GETPIVOTDATA("合計 / 処遇改善加算金",【ピボット】国保連売上!$A$3,"年月",$A493,"事業所コード",$B493,"事業所",$C493,"事業区分",I$1,"請求区分","単月"),0))</f>
        <v/>
      </c>
      <c r="K493" s="659" t="str">
        <f>IF($A493="","",IFERROR(GETPIVOTDATA("合計 / 入金予定",【ピボット】国保連売上!$A$3,"年月",$A493,"事業所コード",$B493,"事業所",$C493,"事業区分",K$1,"請求区分","単月"),0)
+IFERROR(GETPIVOTDATA("合計 / 入金予定",【ピボット】国保連売上!$A$3,"年月",$A493,"事業所コード",$B493,"事業所",$C493,"事業区分",K$1,"請求区分","再請求"),0))</f>
        <v/>
      </c>
      <c r="L493" s="659" t="str">
        <f>IF($A493="","",IFERROR(GETPIVOTDATA("合計 / 処遇改善加算金",【ピボット】国保連売上!$A$3,"年月",$A493,"事業所コード",$B493,"事業所",$C493,"事業区分",K$1,"請求区分","単月"),0))</f>
        <v/>
      </c>
      <c r="M493" s="659" t="str">
        <f>IF($A493="","",IFERROR(GETPIVOTDATA("合計 / 入金予定",【ピボット】国保連売上!$A$3,"年月",$A493,"事業所コード",$B493,"事業所",$C493,"事業区分",M$1,"請求区分","単月"),0)
+IFERROR(GETPIVOTDATA("合計 / 入金予定",【ピボット】国保連売上!$A$3,"年月",$A493,"事業所コード",$B493,"事業所",$C493,"事業区分",M$1,"請求区分","再請求"),0))</f>
        <v/>
      </c>
      <c r="N493" s="660"/>
      <c r="O493" s="660"/>
      <c r="P493" s="660"/>
      <c r="Q493" s="660"/>
      <c r="R493" s="660"/>
      <c r="S493" s="660"/>
      <c r="T493" s="660"/>
      <c r="U493" s="660"/>
      <c r="V493" s="660"/>
      <c r="W493" s="660"/>
      <c r="X493" s="660"/>
      <c r="Y493" s="659" t="str">
        <f t="shared" si="21"/>
        <v/>
      </c>
      <c r="Z493" s="659" t="str">
        <f t="shared" si="23"/>
        <v/>
      </c>
    </row>
    <row r="494" spans="1:26" ht="15.95" customHeight="1" x14ac:dyDescent="0.15">
      <c r="A494" s="656"/>
      <c r="B494" s="657" t="str">
        <f t="shared" si="22"/>
        <v/>
      </c>
      <c r="C494" s="658"/>
      <c r="D494" s="659" t="str">
        <f>IF($A494="","",IFERROR(GETPIVOTDATA("合計 / 入金予定",【ピボット】国保連売上!$A$3,"年月",$A494,"事業所コード",$B494,"事業所",$C494,"事業区分",D$1,"請求区分","単月"),0)
+IFERROR(GETPIVOTDATA("合計 / 入金予定",【ピボット】国保連売上!$A$3,"年月",$A494,"事業所コード",$B494,"事業所",$C494,"事業区分",D$1,"請求区分","再請求"),0))</f>
        <v/>
      </c>
      <c r="E494" s="659" t="str">
        <f>IF($A494="","",IFERROR(GETPIVOTDATA("合計 / 処遇改善加算金",【ピボット】国保連売上!$A$3,"年月",$A494,"事業所コード",$B494,"事業所",$C494,"事業区分",D$1,"請求区分","単月"),0))</f>
        <v/>
      </c>
      <c r="F494" s="659" t="str">
        <f>IF($A494="","",IFERROR(GETPIVOTDATA("合計 / 入金予定",【ピボット】国保連売上!$A$3,"年月",$A494,"事業所コード",$B494,"事業所",$C494,"事業区分",F$1,"請求区分","単月"),0)
+IFERROR(GETPIVOTDATA("合計 / 入金予定",【ピボット】国保連売上!$A$3,"年月",$A494,"事業所コード",$B494,"事業所",$C494,"事業区分",F$1,"請求区分","再請求"),0))</f>
        <v/>
      </c>
      <c r="G494" s="659" t="str">
        <f>IF($A494="","",IFERROR(GETPIVOTDATA("合計 / 処遇改善加算金",【ピボット】国保連売上!$A$3,"年月",$A494,"事業所コード",$B494,"事業所",$C494,"事業区分",F$1,"請求区分","単月"),0))</f>
        <v/>
      </c>
      <c r="H494" s="659" t="str">
        <f>IF($A494="","",IFERROR(GETPIVOTDATA("合計 / 入金予定",【ピボット】国保連売上!$A$3,"年月",$A494,"事業所コード",$B494,"事業所",$C494,"事業区分",H$1,"請求区分","単月"),0)
+IFERROR(GETPIVOTDATA("合計 / 入金予定",【ピボット】国保連売上!$A$3,"年月",$A494,"事業所コード",$B494,"事業所",$C494,"事業区分",H$1,"請求区分","再請求"),0))</f>
        <v/>
      </c>
      <c r="I494" s="659" t="str">
        <f>IF($A494="","",IFERROR(GETPIVOTDATA("合計 / 入金予定",【ピボット】国保連売上!$A$3,"年月",$A494,"事業所コード",$B494,"事業所",$C494,"事業区分",I$1,"請求区分","単月"),0)
+IFERROR(GETPIVOTDATA("合計 / 入金予定",【ピボット】国保連売上!$A$3,"年月",$A494,"事業所コード",$B494,"事業所",$C494,"事業区分",I$1,"請求区分","再請求"),0))</f>
        <v/>
      </c>
      <c r="J494" s="659" t="str">
        <f>IF($A494="","",IFERROR(GETPIVOTDATA("合計 / 処遇改善加算金",【ピボット】国保連売上!$A$3,"年月",$A494,"事業所コード",$B494,"事業所",$C494,"事業区分",I$1,"請求区分","単月"),0))</f>
        <v/>
      </c>
      <c r="K494" s="659" t="str">
        <f>IF($A494="","",IFERROR(GETPIVOTDATA("合計 / 入金予定",【ピボット】国保連売上!$A$3,"年月",$A494,"事業所コード",$B494,"事業所",$C494,"事業区分",K$1,"請求区分","単月"),0)
+IFERROR(GETPIVOTDATA("合計 / 入金予定",【ピボット】国保連売上!$A$3,"年月",$A494,"事業所コード",$B494,"事業所",$C494,"事業区分",K$1,"請求区分","再請求"),0))</f>
        <v/>
      </c>
      <c r="L494" s="659" t="str">
        <f>IF($A494="","",IFERROR(GETPIVOTDATA("合計 / 処遇改善加算金",【ピボット】国保連売上!$A$3,"年月",$A494,"事業所コード",$B494,"事業所",$C494,"事業区分",K$1,"請求区分","単月"),0))</f>
        <v/>
      </c>
      <c r="M494" s="659" t="str">
        <f>IF($A494="","",IFERROR(GETPIVOTDATA("合計 / 入金予定",【ピボット】国保連売上!$A$3,"年月",$A494,"事業所コード",$B494,"事業所",$C494,"事業区分",M$1,"請求区分","単月"),0)
+IFERROR(GETPIVOTDATA("合計 / 入金予定",【ピボット】国保連売上!$A$3,"年月",$A494,"事業所コード",$B494,"事業所",$C494,"事業区分",M$1,"請求区分","再請求"),0))</f>
        <v/>
      </c>
      <c r="N494" s="660"/>
      <c r="O494" s="660"/>
      <c r="P494" s="660"/>
      <c r="Q494" s="660"/>
      <c r="R494" s="660"/>
      <c r="S494" s="660"/>
      <c r="T494" s="660"/>
      <c r="U494" s="660"/>
      <c r="V494" s="660"/>
      <c r="W494" s="660"/>
      <c r="X494" s="660"/>
      <c r="Y494" s="659" t="str">
        <f t="shared" si="21"/>
        <v/>
      </c>
      <c r="Z494" s="659" t="str">
        <f t="shared" si="23"/>
        <v/>
      </c>
    </row>
    <row r="495" spans="1:26" ht="15.95" customHeight="1" x14ac:dyDescent="0.15">
      <c r="A495" s="656"/>
      <c r="B495" s="657" t="str">
        <f t="shared" si="22"/>
        <v/>
      </c>
      <c r="C495" s="658"/>
      <c r="D495" s="659" t="str">
        <f>IF($A495="","",IFERROR(GETPIVOTDATA("合計 / 入金予定",【ピボット】国保連売上!$A$3,"年月",$A495,"事業所コード",$B495,"事業所",$C495,"事業区分",D$1,"請求区分","単月"),0)
+IFERROR(GETPIVOTDATA("合計 / 入金予定",【ピボット】国保連売上!$A$3,"年月",$A495,"事業所コード",$B495,"事業所",$C495,"事業区分",D$1,"請求区分","再請求"),0))</f>
        <v/>
      </c>
      <c r="E495" s="659" t="str">
        <f>IF($A495="","",IFERROR(GETPIVOTDATA("合計 / 処遇改善加算金",【ピボット】国保連売上!$A$3,"年月",$A495,"事業所コード",$B495,"事業所",$C495,"事業区分",D$1,"請求区分","単月"),0))</f>
        <v/>
      </c>
      <c r="F495" s="659" t="str">
        <f>IF($A495="","",IFERROR(GETPIVOTDATA("合計 / 入金予定",【ピボット】国保連売上!$A$3,"年月",$A495,"事業所コード",$B495,"事業所",$C495,"事業区分",F$1,"請求区分","単月"),0)
+IFERROR(GETPIVOTDATA("合計 / 入金予定",【ピボット】国保連売上!$A$3,"年月",$A495,"事業所コード",$B495,"事業所",$C495,"事業区分",F$1,"請求区分","再請求"),0))</f>
        <v/>
      </c>
      <c r="G495" s="659" t="str">
        <f>IF($A495="","",IFERROR(GETPIVOTDATA("合計 / 処遇改善加算金",【ピボット】国保連売上!$A$3,"年月",$A495,"事業所コード",$B495,"事業所",$C495,"事業区分",F$1,"請求区分","単月"),0))</f>
        <v/>
      </c>
      <c r="H495" s="659" t="str">
        <f>IF($A495="","",IFERROR(GETPIVOTDATA("合計 / 入金予定",【ピボット】国保連売上!$A$3,"年月",$A495,"事業所コード",$B495,"事業所",$C495,"事業区分",H$1,"請求区分","単月"),0)
+IFERROR(GETPIVOTDATA("合計 / 入金予定",【ピボット】国保連売上!$A$3,"年月",$A495,"事業所コード",$B495,"事業所",$C495,"事業区分",H$1,"請求区分","再請求"),0))</f>
        <v/>
      </c>
      <c r="I495" s="659" t="str">
        <f>IF($A495="","",IFERROR(GETPIVOTDATA("合計 / 入金予定",【ピボット】国保連売上!$A$3,"年月",$A495,"事業所コード",$B495,"事業所",$C495,"事業区分",I$1,"請求区分","単月"),0)
+IFERROR(GETPIVOTDATA("合計 / 入金予定",【ピボット】国保連売上!$A$3,"年月",$A495,"事業所コード",$B495,"事業所",$C495,"事業区分",I$1,"請求区分","再請求"),0))</f>
        <v/>
      </c>
      <c r="J495" s="659" t="str">
        <f>IF($A495="","",IFERROR(GETPIVOTDATA("合計 / 処遇改善加算金",【ピボット】国保連売上!$A$3,"年月",$A495,"事業所コード",$B495,"事業所",$C495,"事業区分",I$1,"請求区分","単月"),0))</f>
        <v/>
      </c>
      <c r="K495" s="659" t="str">
        <f>IF($A495="","",IFERROR(GETPIVOTDATA("合計 / 入金予定",【ピボット】国保連売上!$A$3,"年月",$A495,"事業所コード",$B495,"事業所",$C495,"事業区分",K$1,"請求区分","単月"),0)
+IFERROR(GETPIVOTDATA("合計 / 入金予定",【ピボット】国保連売上!$A$3,"年月",$A495,"事業所コード",$B495,"事業所",$C495,"事業区分",K$1,"請求区分","再請求"),0))</f>
        <v/>
      </c>
      <c r="L495" s="659" t="str">
        <f>IF($A495="","",IFERROR(GETPIVOTDATA("合計 / 処遇改善加算金",【ピボット】国保連売上!$A$3,"年月",$A495,"事業所コード",$B495,"事業所",$C495,"事業区分",K$1,"請求区分","単月"),0))</f>
        <v/>
      </c>
      <c r="M495" s="659" t="str">
        <f>IF($A495="","",IFERROR(GETPIVOTDATA("合計 / 入金予定",【ピボット】国保連売上!$A$3,"年月",$A495,"事業所コード",$B495,"事業所",$C495,"事業区分",M$1,"請求区分","単月"),0)
+IFERROR(GETPIVOTDATA("合計 / 入金予定",【ピボット】国保連売上!$A$3,"年月",$A495,"事業所コード",$B495,"事業所",$C495,"事業区分",M$1,"請求区分","再請求"),0))</f>
        <v/>
      </c>
      <c r="N495" s="660"/>
      <c r="O495" s="660"/>
      <c r="P495" s="660"/>
      <c r="Q495" s="660"/>
      <c r="R495" s="660"/>
      <c r="S495" s="660"/>
      <c r="T495" s="660"/>
      <c r="U495" s="660"/>
      <c r="V495" s="660"/>
      <c r="W495" s="660"/>
      <c r="X495" s="660"/>
      <c r="Y495" s="659" t="str">
        <f t="shared" si="21"/>
        <v/>
      </c>
      <c r="Z495" s="659" t="str">
        <f t="shared" si="23"/>
        <v/>
      </c>
    </row>
    <row r="496" spans="1:26" ht="15.95" customHeight="1" x14ac:dyDescent="0.15">
      <c r="A496" s="656"/>
      <c r="B496" s="657" t="str">
        <f t="shared" si="22"/>
        <v/>
      </c>
      <c r="C496" s="658"/>
      <c r="D496" s="659" t="str">
        <f>IF($A496="","",IFERROR(GETPIVOTDATA("合計 / 入金予定",【ピボット】国保連売上!$A$3,"年月",$A496,"事業所コード",$B496,"事業所",$C496,"事業区分",D$1,"請求区分","単月"),0)
+IFERROR(GETPIVOTDATA("合計 / 入金予定",【ピボット】国保連売上!$A$3,"年月",$A496,"事業所コード",$B496,"事業所",$C496,"事業区分",D$1,"請求区分","再請求"),0))</f>
        <v/>
      </c>
      <c r="E496" s="659" t="str">
        <f>IF($A496="","",IFERROR(GETPIVOTDATA("合計 / 処遇改善加算金",【ピボット】国保連売上!$A$3,"年月",$A496,"事業所コード",$B496,"事業所",$C496,"事業区分",D$1,"請求区分","単月"),0))</f>
        <v/>
      </c>
      <c r="F496" s="659" t="str">
        <f>IF($A496="","",IFERROR(GETPIVOTDATA("合計 / 入金予定",【ピボット】国保連売上!$A$3,"年月",$A496,"事業所コード",$B496,"事業所",$C496,"事業区分",F$1,"請求区分","単月"),0)
+IFERROR(GETPIVOTDATA("合計 / 入金予定",【ピボット】国保連売上!$A$3,"年月",$A496,"事業所コード",$B496,"事業所",$C496,"事業区分",F$1,"請求区分","再請求"),0))</f>
        <v/>
      </c>
      <c r="G496" s="659" t="str">
        <f>IF($A496="","",IFERROR(GETPIVOTDATA("合計 / 処遇改善加算金",【ピボット】国保連売上!$A$3,"年月",$A496,"事業所コード",$B496,"事業所",$C496,"事業区分",F$1,"請求区分","単月"),0))</f>
        <v/>
      </c>
      <c r="H496" s="659" t="str">
        <f>IF($A496="","",IFERROR(GETPIVOTDATA("合計 / 入金予定",【ピボット】国保連売上!$A$3,"年月",$A496,"事業所コード",$B496,"事業所",$C496,"事業区分",H$1,"請求区分","単月"),0)
+IFERROR(GETPIVOTDATA("合計 / 入金予定",【ピボット】国保連売上!$A$3,"年月",$A496,"事業所コード",$B496,"事業所",$C496,"事業区分",H$1,"請求区分","再請求"),0))</f>
        <v/>
      </c>
      <c r="I496" s="659" t="str">
        <f>IF($A496="","",IFERROR(GETPIVOTDATA("合計 / 入金予定",【ピボット】国保連売上!$A$3,"年月",$A496,"事業所コード",$B496,"事業所",$C496,"事業区分",I$1,"請求区分","単月"),0)
+IFERROR(GETPIVOTDATA("合計 / 入金予定",【ピボット】国保連売上!$A$3,"年月",$A496,"事業所コード",$B496,"事業所",$C496,"事業区分",I$1,"請求区分","再請求"),0))</f>
        <v/>
      </c>
      <c r="J496" s="659" t="str">
        <f>IF($A496="","",IFERROR(GETPIVOTDATA("合計 / 処遇改善加算金",【ピボット】国保連売上!$A$3,"年月",$A496,"事業所コード",$B496,"事業所",$C496,"事業区分",I$1,"請求区分","単月"),0))</f>
        <v/>
      </c>
      <c r="K496" s="659" t="str">
        <f>IF($A496="","",IFERROR(GETPIVOTDATA("合計 / 入金予定",【ピボット】国保連売上!$A$3,"年月",$A496,"事業所コード",$B496,"事業所",$C496,"事業区分",K$1,"請求区分","単月"),0)
+IFERROR(GETPIVOTDATA("合計 / 入金予定",【ピボット】国保連売上!$A$3,"年月",$A496,"事業所コード",$B496,"事業所",$C496,"事業区分",K$1,"請求区分","再請求"),0))</f>
        <v/>
      </c>
      <c r="L496" s="659" t="str">
        <f>IF($A496="","",IFERROR(GETPIVOTDATA("合計 / 処遇改善加算金",【ピボット】国保連売上!$A$3,"年月",$A496,"事業所コード",$B496,"事業所",$C496,"事業区分",K$1,"請求区分","単月"),0))</f>
        <v/>
      </c>
      <c r="M496" s="659" t="str">
        <f>IF($A496="","",IFERROR(GETPIVOTDATA("合計 / 入金予定",【ピボット】国保連売上!$A$3,"年月",$A496,"事業所コード",$B496,"事業所",$C496,"事業区分",M$1,"請求区分","単月"),0)
+IFERROR(GETPIVOTDATA("合計 / 入金予定",【ピボット】国保連売上!$A$3,"年月",$A496,"事業所コード",$B496,"事業所",$C496,"事業区分",M$1,"請求区分","再請求"),0))</f>
        <v/>
      </c>
      <c r="N496" s="660"/>
      <c r="O496" s="660"/>
      <c r="P496" s="660"/>
      <c r="Q496" s="660"/>
      <c r="R496" s="660"/>
      <c r="S496" s="660"/>
      <c r="T496" s="660"/>
      <c r="U496" s="660"/>
      <c r="V496" s="660"/>
      <c r="W496" s="660"/>
      <c r="X496" s="660"/>
      <c r="Y496" s="659" t="str">
        <f t="shared" si="21"/>
        <v/>
      </c>
      <c r="Z496" s="659" t="str">
        <f t="shared" si="23"/>
        <v/>
      </c>
    </row>
    <row r="497" spans="1:26" ht="15.95" customHeight="1" x14ac:dyDescent="0.15">
      <c r="A497" s="656"/>
      <c r="B497" s="657" t="str">
        <f t="shared" si="22"/>
        <v/>
      </c>
      <c r="C497" s="658"/>
      <c r="D497" s="659" t="str">
        <f>IF($A497="","",IFERROR(GETPIVOTDATA("合計 / 入金予定",【ピボット】国保連売上!$A$3,"年月",$A497,"事業所コード",$B497,"事業所",$C497,"事業区分",D$1,"請求区分","単月"),0)
+IFERROR(GETPIVOTDATA("合計 / 入金予定",【ピボット】国保連売上!$A$3,"年月",$A497,"事業所コード",$B497,"事業所",$C497,"事業区分",D$1,"請求区分","再請求"),0))</f>
        <v/>
      </c>
      <c r="E497" s="659" t="str">
        <f>IF($A497="","",IFERROR(GETPIVOTDATA("合計 / 処遇改善加算金",【ピボット】国保連売上!$A$3,"年月",$A497,"事業所コード",$B497,"事業所",$C497,"事業区分",D$1,"請求区分","単月"),0))</f>
        <v/>
      </c>
      <c r="F497" s="659" t="str">
        <f>IF($A497="","",IFERROR(GETPIVOTDATA("合計 / 入金予定",【ピボット】国保連売上!$A$3,"年月",$A497,"事業所コード",$B497,"事業所",$C497,"事業区分",F$1,"請求区分","単月"),0)
+IFERROR(GETPIVOTDATA("合計 / 入金予定",【ピボット】国保連売上!$A$3,"年月",$A497,"事業所コード",$B497,"事業所",$C497,"事業区分",F$1,"請求区分","再請求"),0))</f>
        <v/>
      </c>
      <c r="G497" s="659" t="str">
        <f>IF($A497="","",IFERROR(GETPIVOTDATA("合計 / 処遇改善加算金",【ピボット】国保連売上!$A$3,"年月",$A497,"事業所コード",$B497,"事業所",$C497,"事業区分",F$1,"請求区分","単月"),0))</f>
        <v/>
      </c>
      <c r="H497" s="659" t="str">
        <f>IF($A497="","",IFERROR(GETPIVOTDATA("合計 / 入金予定",【ピボット】国保連売上!$A$3,"年月",$A497,"事業所コード",$B497,"事業所",$C497,"事業区分",H$1,"請求区分","単月"),0)
+IFERROR(GETPIVOTDATA("合計 / 入金予定",【ピボット】国保連売上!$A$3,"年月",$A497,"事業所コード",$B497,"事業所",$C497,"事業区分",H$1,"請求区分","再請求"),0))</f>
        <v/>
      </c>
      <c r="I497" s="659" t="str">
        <f>IF($A497="","",IFERROR(GETPIVOTDATA("合計 / 入金予定",【ピボット】国保連売上!$A$3,"年月",$A497,"事業所コード",$B497,"事業所",$C497,"事業区分",I$1,"請求区分","単月"),0)
+IFERROR(GETPIVOTDATA("合計 / 入金予定",【ピボット】国保連売上!$A$3,"年月",$A497,"事業所コード",$B497,"事業所",$C497,"事業区分",I$1,"請求区分","再請求"),0))</f>
        <v/>
      </c>
      <c r="J497" s="659" t="str">
        <f>IF($A497="","",IFERROR(GETPIVOTDATA("合計 / 処遇改善加算金",【ピボット】国保連売上!$A$3,"年月",$A497,"事業所コード",$B497,"事業所",$C497,"事業区分",I$1,"請求区分","単月"),0))</f>
        <v/>
      </c>
      <c r="K497" s="659" t="str">
        <f>IF($A497="","",IFERROR(GETPIVOTDATA("合計 / 入金予定",【ピボット】国保連売上!$A$3,"年月",$A497,"事業所コード",$B497,"事業所",$C497,"事業区分",K$1,"請求区分","単月"),0)
+IFERROR(GETPIVOTDATA("合計 / 入金予定",【ピボット】国保連売上!$A$3,"年月",$A497,"事業所コード",$B497,"事業所",$C497,"事業区分",K$1,"請求区分","再請求"),0))</f>
        <v/>
      </c>
      <c r="L497" s="659" t="str">
        <f>IF($A497="","",IFERROR(GETPIVOTDATA("合計 / 処遇改善加算金",【ピボット】国保連売上!$A$3,"年月",$A497,"事業所コード",$B497,"事業所",$C497,"事業区分",K$1,"請求区分","単月"),0))</f>
        <v/>
      </c>
      <c r="M497" s="659" t="str">
        <f>IF($A497="","",IFERROR(GETPIVOTDATA("合計 / 入金予定",【ピボット】国保連売上!$A$3,"年月",$A497,"事業所コード",$B497,"事業所",$C497,"事業区分",M$1,"請求区分","単月"),0)
+IFERROR(GETPIVOTDATA("合計 / 入金予定",【ピボット】国保連売上!$A$3,"年月",$A497,"事業所コード",$B497,"事業所",$C497,"事業区分",M$1,"請求区分","再請求"),0))</f>
        <v/>
      </c>
      <c r="N497" s="660"/>
      <c r="O497" s="660"/>
      <c r="P497" s="660"/>
      <c r="Q497" s="660"/>
      <c r="R497" s="660"/>
      <c r="S497" s="660"/>
      <c r="T497" s="660"/>
      <c r="U497" s="660"/>
      <c r="V497" s="660"/>
      <c r="W497" s="660"/>
      <c r="X497" s="660"/>
      <c r="Y497" s="659" t="str">
        <f t="shared" si="21"/>
        <v/>
      </c>
      <c r="Z497" s="659" t="str">
        <f t="shared" si="23"/>
        <v/>
      </c>
    </row>
    <row r="498" spans="1:26" ht="15.95" customHeight="1" x14ac:dyDescent="0.15">
      <c r="A498" s="656"/>
      <c r="B498" s="657" t="str">
        <f t="shared" si="22"/>
        <v/>
      </c>
      <c r="C498" s="658"/>
      <c r="D498" s="659" t="str">
        <f>IF($A498="","",IFERROR(GETPIVOTDATA("合計 / 入金予定",【ピボット】国保連売上!$A$3,"年月",$A498,"事業所コード",$B498,"事業所",$C498,"事業区分",D$1,"請求区分","単月"),0)
+IFERROR(GETPIVOTDATA("合計 / 入金予定",【ピボット】国保連売上!$A$3,"年月",$A498,"事業所コード",$B498,"事業所",$C498,"事業区分",D$1,"請求区分","再請求"),0))</f>
        <v/>
      </c>
      <c r="E498" s="659" t="str">
        <f>IF($A498="","",IFERROR(GETPIVOTDATA("合計 / 処遇改善加算金",【ピボット】国保連売上!$A$3,"年月",$A498,"事業所コード",$B498,"事業所",$C498,"事業区分",D$1,"請求区分","単月"),0))</f>
        <v/>
      </c>
      <c r="F498" s="659" t="str">
        <f>IF($A498="","",IFERROR(GETPIVOTDATA("合計 / 入金予定",【ピボット】国保連売上!$A$3,"年月",$A498,"事業所コード",$B498,"事業所",$C498,"事業区分",F$1,"請求区分","単月"),0)
+IFERROR(GETPIVOTDATA("合計 / 入金予定",【ピボット】国保連売上!$A$3,"年月",$A498,"事業所コード",$B498,"事業所",$C498,"事業区分",F$1,"請求区分","再請求"),0))</f>
        <v/>
      </c>
      <c r="G498" s="659" t="str">
        <f>IF($A498="","",IFERROR(GETPIVOTDATA("合計 / 処遇改善加算金",【ピボット】国保連売上!$A$3,"年月",$A498,"事業所コード",$B498,"事業所",$C498,"事業区分",F$1,"請求区分","単月"),0))</f>
        <v/>
      </c>
      <c r="H498" s="659" t="str">
        <f>IF($A498="","",IFERROR(GETPIVOTDATA("合計 / 入金予定",【ピボット】国保連売上!$A$3,"年月",$A498,"事業所コード",$B498,"事業所",$C498,"事業区分",H$1,"請求区分","単月"),0)
+IFERROR(GETPIVOTDATA("合計 / 入金予定",【ピボット】国保連売上!$A$3,"年月",$A498,"事業所コード",$B498,"事業所",$C498,"事業区分",H$1,"請求区分","再請求"),0))</f>
        <v/>
      </c>
      <c r="I498" s="659" t="str">
        <f>IF($A498="","",IFERROR(GETPIVOTDATA("合計 / 入金予定",【ピボット】国保連売上!$A$3,"年月",$A498,"事業所コード",$B498,"事業所",$C498,"事業区分",I$1,"請求区分","単月"),0)
+IFERROR(GETPIVOTDATA("合計 / 入金予定",【ピボット】国保連売上!$A$3,"年月",$A498,"事業所コード",$B498,"事業所",$C498,"事業区分",I$1,"請求区分","再請求"),0))</f>
        <v/>
      </c>
      <c r="J498" s="659" t="str">
        <f>IF($A498="","",IFERROR(GETPIVOTDATA("合計 / 処遇改善加算金",【ピボット】国保連売上!$A$3,"年月",$A498,"事業所コード",$B498,"事業所",$C498,"事業区分",I$1,"請求区分","単月"),0))</f>
        <v/>
      </c>
      <c r="K498" s="659" t="str">
        <f>IF($A498="","",IFERROR(GETPIVOTDATA("合計 / 入金予定",【ピボット】国保連売上!$A$3,"年月",$A498,"事業所コード",$B498,"事業所",$C498,"事業区分",K$1,"請求区分","単月"),0)
+IFERROR(GETPIVOTDATA("合計 / 入金予定",【ピボット】国保連売上!$A$3,"年月",$A498,"事業所コード",$B498,"事業所",$C498,"事業区分",K$1,"請求区分","再請求"),0))</f>
        <v/>
      </c>
      <c r="L498" s="659" t="str">
        <f>IF($A498="","",IFERROR(GETPIVOTDATA("合計 / 処遇改善加算金",【ピボット】国保連売上!$A$3,"年月",$A498,"事業所コード",$B498,"事業所",$C498,"事業区分",K$1,"請求区分","単月"),0))</f>
        <v/>
      </c>
      <c r="M498" s="659" t="str">
        <f>IF($A498="","",IFERROR(GETPIVOTDATA("合計 / 入金予定",【ピボット】国保連売上!$A$3,"年月",$A498,"事業所コード",$B498,"事業所",$C498,"事業区分",M$1,"請求区分","単月"),0)
+IFERROR(GETPIVOTDATA("合計 / 入金予定",【ピボット】国保連売上!$A$3,"年月",$A498,"事業所コード",$B498,"事業所",$C498,"事業区分",M$1,"請求区分","再請求"),0))</f>
        <v/>
      </c>
      <c r="N498" s="660"/>
      <c r="O498" s="660"/>
      <c r="P498" s="660"/>
      <c r="Q498" s="660"/>
      <c r="R498" s="660"/>
      <c r="S498" s="660"/>
      <c r="T498" s="660"/>
      <c r="U498" s="660"/>
      <c r="V498" s="660"/>
      <c r="W498" s="660"/>
      <c r="X498" s="660"/>
      <c r="Y498" s="659" t="str">
        <f>IF(A498="","",SUM(D498,F498,H498:I498,K498,M498:X498))</f>
        <v/>
      </c>
      <c r="Z498" s="659" t="str">
        <f t="shared" si="23"/>
        <v/>
      </c>
    </row>
    <row r="499" spans="1:26" ht="15.95" customHeight="1" x14ac:dyDescent="0.15">
      <c r="A499" s="656"/>
      <c r="B499" s="657" t="str">
        <f t="shared" si="22"/>
        <v/>
      </c>
      <c r="C499" s="658"/>
      <c r="D499" s="659" t="str">
        <f>IF($A499="","",IFERROR(GETPIVOTDATA("合計 / 入金予定",【ピボット】国保連売上!$A$3,"年月",$A499,"事業所コード",$B499,"事業所",$C499,"事業区分",D$1,"請求区分","単月"),0)
+IFERROR(GETPIVOTDATA("合計 / 入金予定",【ピボット】国保連売上!$A$3,"年月",$A499,"事業所コード",$B499,"事業所",$C499,"事業区分",D$1,"請求区分","再請求"),0))</f>
        <v/>
      </c>
      <c r="E499" s="659" t="str">
        <f>IF($A499="","",IFERROR(GETPIVOTDATA("合計 / 処遇改善加算金",【ピボット】国保連売上!$A$3,"年月",$A499,"事業所コード",$B499,"事業所",$C499,"事業区分",D$1,"請求区分","単月"),0))</f>
        <v/>
      </c>
      <c r="F499" s="659" t="str">
        <f>IF($A499="","",IFERROR(GETPIVOTDATA("合計 / 入金予定",【ピボット】国保連売上!$A$3,"年月",$A499,"事業所コード",$B499,"事業所",$C499,"事業区分",F$1,"請求区分","単月"),0)
+IFERROR(GETPIVOTDATA("合計 / 入金予定",【ピボット】国保連売上!$A$3,"年月",$A499,"事業所コード",$B499,"事業所",$C499,"事業区分",F$1,"請求区分","再請求"),0))</f>
        <v/>
      </c>
      <c r="G499" s="659" t="str">
        <f>IF($A499="","",IFERROR(GETPIVOTDATA("合計 / 処遇改善加算金",【ピボット】国保連売上!$A$3,"年月",$A499,"事業所コード",$B499,"事業所",$C499,"事業区分",F$1,"請求区分","単月"),0))</f>
        <v/>
      </c>
      <c r="H499" s="659" t="str">
        <f>IF($A499="","",IFERROR(GETPIVOTDATA("合計 / 入金予定",【ピボット】国保連売上!$A$3,"年月",$A499,"事業所コード",$B499,"事業所",$C499,"事業区分",H$1,"請求区分","単月"),0)
+IFERROR(GETPIVOTDATA("合計 / 入金予定",【ピボット】国保連売上!$A$3,"年月",$A499,"事業所コード",$B499,"事業所",$C499,"事業区分",H$1,"請求区分","再請求"),0))</f>
        <v/>
      </c>
      <c r="I499" s="659" t="str">
        <f>IF($A499="","",IFERROR(GETPIVOTDATA("合計 / 入金予定",【ピボット】国保連売上!$A$3,"年月",$A499,"事業所コード",$B499,"事業所",$C499,"事業区分",I$1,"請求区分","単月"),0)
+IFERROR(GETPIVOTDATA("合計 / 入金予定",【ピボット】国保連売上!$A$3,"年月",$A499,"事業所コード",$B499,"事業所",$C499,"事業区分",I$1,"請求区分","再請求"),0))</f>
        <v/>
      </c>
      <c r="J499" s="659" t="str">
        <f>IF($A499="","",IFERROR(GETPIVOTDATA("合計 / 処遇改善加算金",【ピボット】国保連売上!$A$3,"年月",$A499,"事業所コード",$B499,"事業所",$C499,"事業区分",I$1,"請求区分","単月"),0))</f>
        <v/>
      </c>
      <c r="K499" s="659" t="str">
        <f>IF($A499="","",IFERROR(GETPIVOTDATA("合計 / 入金予定",【ピボット】国保連売上!$A$3,"年月",$A499,"事業所コード",$B499,"事業所",$C499,"事業区分",K$1,"請求区分","単月"),0)
+IFERROR(GETPIVOTDATA("合計 / 入金予定",【ピボット】国保連売上!$A$3,"年月",$A499,"事業所コード",$B499,"事業所",$C499,"事業区分",K$1,"請求区分","再請求"),0))</f>
        <v/>
      </c>
      <c r="L499" s="659" t="str">
        <f>IF($A499="","",IFERROR(GETPIVOTDATA("合計 / 処遇改善加算金",【ピボット】国保連売上!$A$3,"年月",$A499,"事業所コード",$B499,"事業所",$C499,"事業区分",K$1,"請求区分","単月"),0))</f>
        <v/>
      </c>
      <c r="M499" s="659" t="str">
        <f>IF($A499="","",IFERROR(GETPIVOTDATA("合計 / 入金予定",【ピボット】国保連売上!$A$3,"年月",$A499,"事業所コード",$B499,"事業所",$C499,"事業区分",M$1,"請求区分","単月"),0)
+IFERROR(GETPIVOTDATA("合計 / 入金予定",【ピボット】国保連売上!$A$3,"年月",$A499,"事業所コード",$B499,"事業所",$C499,"事業区分",M$1,"請求区分","再請求"),0))</f>
        <v/>
      </c>
      <c r="N499" s="660"/>
      <c r="O499" s="660"/>
      <c r="P499" s="660"/>
      <c r="Q499" s="660"/>
      <c r="R499" s="660"/>
      <c r="S499" s="660"/>
      <c r="T499" s="660"/>
      <c r="U499" s="660"/>
      <c r="V499" s="660"/>
      <c r="W499" s="660"/>
      <c r="X499" s="660"/>
      <c r="Y499" s="659" t="str">
        <f t="shared" si="21"/>
        <v/>
      </c>
      <c r="Z499" s="659" t="str">
        <f t="shared" si="23"/>
        <v/>
      </c>
    </row>
    <row r="500" spans="1:26" ht="15.95" customHeight="1" x14ac:dyDescent="0.15">
      <c r="A500" s="656"/>
      <c r="B500" s="657" t="str">
        <f t="shared" si="22"/>
        <v/>
      </c>
      <c r="C500" s="658"/>
      <c r="D500" s="659" t="str">
        <f>IF($A500="","",IFERROR(GETPIVOTDATA("合計 / 入金予定",【ピボット】国保連売上!$A$3,"年月",$A500,"事業所コード",$B500,"事業所",$C500,"事業区分",D$1,"請求区分","単月"),0)
+IFERROR(GETPIVOTDATA("合計 / 入金予定",【ピボット】国保連売上!$A$3,"年月",$A500,"事業所コード",$B500,"事業所",$C500,"事業区分",D$1,"請求区分","再請求"),0))</f>
        <v/>
      </c>
      <c r="E500" s="659" t="str">
        <f>IF($A500="","",IFERROR(GETPIVOTDATA("合計 / 処遇改善加算金",【ピボット】国保連売上!$A$3,"年月",$A500,"事業所コード",$B500,"事業所",$C500,"事業区分",D$1,"請求区分","単月"),0))</f>
        <v/>
      </c>
      <c r="F500" s="659" t="str">
        <f>IF($A500="","",IFERROR(GETPIVOTDATA("合計 / 入金予定",【ピボット】国保連売上!$A$3,"年月",$A500,"事業所コード",$B500,"事業所",$C500,"事業区分",F$1,"請求区分","単月"),0)
+IFERROR(GETPIVOTDATA("合計 / 入金予定",【ピボット】国保連売上!$A$3,"年月",$A500,"事業所コード",$B500,"事業所",$C500,"事業区分",F$1,"請求区分","再請求"),0))</f>
        <v/>
      </c>
      <c r="G500" s="659" t="str">
        <f>IF($A500="","",IFERROR(GETPIVOTDATA("合計 / 処遇改善加算金",【ピボット】国保連売上!$A$3,"年月",$A500,"事業所コード",$B500,"事業所",$C500,"事業区分",F$1,"請求区分","単月"),0))</f>
        <v/>
      </c>
      <c r="H500" s="659" t="str">
        <f>IF($A500="","",IFERROR(GETPIVOTDATA("合計 / 入金予定",【ピボット】国保連売上!$A$3,"年月",$A500,"事業所コード",$B500,"事業所",$C500,"事業区分",H$1,"請求区分","単月"),0)
+IFERROR(GETPIVOTDATA("合計 / 入金予定",【ピボット】国保連売上!$A$3,"年月",$A500,"事業所コード",$B500,"事業所",$C500,"事業区分",H$1,"請求区分","再請求"),0))</f>
        <v/>
      </c>
      <c r="I500" s="659" t="str">
        <f>IF($A500="","",IFERROR(GETPIVOTDATA("合計 / 入金予定",【ピボット】国保連売上!$A$3,"年月",$A500,"事業所コード",$B500,"事業所",$C500,"事業区分",I$1,"請求区分","単月"),0)
+IFERROR(GETPIVOTDATA("合計 / 入金予定",【ピボット】国保連売上!$A$3,"年月",$A500,"事業所コード",$B500,"事業所",$C500,"事業区分",I$1,"請求区分","再請求"),0))</f>
        <v/>
      </c>
      <c r="J500" s="659" t="str">
        <f>IF($A500="","",IFERROR(GETPIVOTDATA("合計 / 処遇改善加算金",【ピボット】国保連売上!$A$3,"年月",$A500,"事業所コード",$B500,"事業所",$C500,"事業区分",I$1,"請求区分","単月"),0))</f>
        <v/>
      </c>
      <c r="K500" s="659" t="str">
        <f>IF($A500="","",IFERROR(GETPIVOTDATA("合計 / 入金予定",【ピボット】国保連売上!$A$3,"年月",$A500,"事業所コード",$B500,"事業所",$C500,"事業区分",K$1,"請求区分","単月"),0)
+IFERROR(GETPIVOTDATA("合計 / 入金予定",【ピボット】国保連売上!$A$3,"年月",$A500,"事業所コード",$B500,"事業所",$C500,"事業区分",K$1,"請求区分","再請求"),0))</f>
        <v/>
      </c>
      <c r="L500" s="659" t="str">
        <f>IF($A500="","",IFERROR(GETPIVOTDATA("合計 / 処遇改善加算金",【ピボット】国保連売上!$A$3,"年月",$A500,"事業所コード",$B500,"事業所",$C500,"事業区分",K$1,"請求区分","単月"),0))</f>
        <v/>
      </c>
      <c r="M500" s="659" t="str">
        <f>IF($A500="","",IFERROR(GETPIVOTDATA("合計 / 入金予定",【ピボット】国保連売上!$A$3,"年月",$A500,"事業所コード",$B500,"事業所",$C500,"事業区分",M$1,"請求区分","単月"),0)
+IFERROR(GETPIVOTDATA("合計 / 入金予定",【ピボット】国保連売上!$A$3,"年月",$A500,"事業所コード",$B500,"事業所",$C500,"事業区分",M$1,"請求区分","再請求"),0))</f>
        <v/>
      </c>
      <c r="N500" s="660"/>
      <c r="O500" s="660"/>
      <c r="P500" s="660"/>
      <c r="Q500" s="660"/>
      <c r="R500" s="660"/>
      <c r="S500" s="660"/>
      <c r="T500" s="660"/>
      <c r="U500" s="660"/>
      <c r="V500" s="660"/>
      <c r="W500" s="660"/>
      <c r="X500" s="660"/>
      <c r="Y500" s="659" t="str">
        <f>IF(A500="","",SUM(D500,F500,H500:I500,K500,M500:X500))</f>
        <v/>
      </c>
      <c r="Z500" s="659" t="str">
        <f t="shared" si="23"/>
        <v/>
      </c>
    </row>
  </sheetData>
  <autoFilter ref="A2:X500">
    <sortState ref="A4:W500">
      <sortCondition ref="A2"/>
    </sortState>
  </autoFilter>
  <mergeCells count="4">
    <mergeCell ref="D1:E1"/>
    <mergeCell ref="F1:G1"/>
    <mergeCell ref="I1:J1"/>
    <mergeCell ref="K1:L1"/>
  </mergeCells>
  <phoneticPr fontId="40"/>
  <conditionalFormatting sqref="D3:X500">
    <cfRule type="expression" dxfId="378" priority="2">
      <formula>D3=0</formula>
    </cfRule>
  </conditionalFormatting>
  <conditionalFormatting sqref="A3:Z500">
    <cfRule type="expression" dxfId="377" priority="1">
      <formula>AND($A3&lt;&gt;"",MONTH($A3)&lt;&gt;MONTH($A2))</formula>
    </cfRule>
  </conditionalFormatting>
  <dataValidations count="1">
    <dataValidation type="list" allowBlank="1" showInputMessage="1" showErrorMessage="1" sqref="C3:C500">
      <formula1>事業所コード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AB586"/>
  <sheetViews>
    <sheetView topLeftCell="A11" zoomScale="80" zoomScaleNormal="80" workbookViewId="0">
      <pane xSplit="2" ySplit="3" topLeftCell="I58" activePane="bottomRight" state="frozen"/>
      <selection activeCell="A11" sqref="A11"/>
      <selection pane="topRight" activeCell="C11" sqref="C11"/>
      <selection pane="bottomLeft" activeCell="A14" sqref="A14"/>
      <selection pane="bottomRight" activeCell="P225" sqref="P225"/>
    </sheetView>
  </sheetViews>
  <sheetFormatPr defaultRowHeight="14.25" outlineLevelRow="1" x14ac:dyDescent="0.15"/>
  <cols>
    <col min="1" max="1" width="9" hidden="1" customWidth="1"/>
    <col min="2" max="2" width="16.625" customWidth="1"/>
    <col min="3" max="8" width="13.625" style="435" hidden="1" customWidth="1"/>
    <col min="9" max="26" width="13.625" style="435" customWidth="1"/>
    <col min="27" max="28" width="11" customWidth="1"/>
  </cols>
  <sheetData>
    <row r="1" spans="1:28" ht="17.25" hidden="1" outlineLevel="1" x14ac:dyDescent="0.15">
      <c r="B1" s="44" t="s">
        <v>114</v>
      </c>
    </row>
    <row r="2" spans="1:28" ht="17.25" hidden="1" outlineLevel="1" x14ac:dyDescent="0.15">
      <c r="B2" s="44" t="s">
        <v>113</v>
      </c>
      <c r="AA2" s="12"/>
      <c r="AB2" t="s">
        <v>279</v>
      </c>
    </row>
    <row r="3" spans="1:28" ht="17.25" hidden="1" outlineLevel="1" x14ac:dyDescent="0.15">
      <c r="B3" s="44" t="s">
        <v>115</v>
      </c>
      <c r="AA3" s="49"/>
      <c r="AB3" t="s">
        <v>280</v>
      </c>
    </row>
    <row r="4" spans="1:28" ht="17.25" hidden="1" outlineLevel="1" x14ac:dyDescent="0.15">
      <c r="B4" s="44" t="s">
        <v>116</v>
      </c>
    </row>
    <row r="5" spans="1:28" ht="17.25" hidden="1" outlineLevel="1" x14ac:dyDescent="0.15">
      <c r="B5" s="44" t="s">
        <v>117</v>
      </c>
    </row>
    <row r="6" spans="1:28" ht="17.25" hidden="1" outlineLevel="1" x14ac:dyDescent="0.15">
      <c r="B6" s="44" t="s">
        <v>118</v>
      </c>
    </row>
    <row r="7" spans="1:28" ht="17.25" hidden="1" outlineLevel="1" x14ac:dyDescent="0.15">
      <c r="B7" s="44" t="s">
        <v>232</v>
      </c>
    </row>
    <row r="8" spans="1:28" ht="17.25" hidden="1" outlineLevel="1" x14ac:dyDescent="0.15">
      <c r="B8" s="44" t="s">
        <v>503</v>
      </c>
    </row>
    <row r="9" spans="1:28" ht="17.25" hidden="1" outlineLevel="1" x14ac:dyDescent="0.15">
      <c r="B9" s="44" t="s">
        <v>504</v>
      </c>
    </row>
    <row r="10" spans="1:28" ht="17.25" hidden="1" outlineLevel="1" x14ac:dyDescent="0.15">
      <c r="B10" s="44" t="s">
        <v>311</v>
      </c>
    </row>
    <row r="11" spans="1:28" collapsed="1" x14ac:dyDescent="0.15"/>
    <row r="12" spans="1:28" ht="18.75" x14ac:dyDescent="0.15">
      <c r="A12" t="s">
        <v>744</v>
      </c>
      <c r="B12" s="43" t="str">
        <f>A12 &amp; "収支"</f>
        <v>白金収支</v>
      </c>
    </row>
    <row r="13" spans="1:28" x14ac:dyDescent="0.15">
      <c r="B13" s="10"/>
      <c r="C13" s="668">
        <f t="shared" ref="C13:K13" si="0">EDATE(D13,-1)</f>
        <v>42856</v>
      </c>
      <c r="D13" s="668">
        <f t="shared" si="0"/>
        <v>42887</v>
      </c>
      <c r="E13" s="668">
        <f t="shared" si="0"/>
        <v>42917</v>
      </c>
      <c r="F13" s="668">
        <f t="shared" si="0"/>
        <v>42948</v>
      </c>
      <c r="G13" s="668">
        <f t="shared" si="0"/>
        <v>42979</v>
      </c>
      <c r="H13" s="668">
        <f t="shared" si="0"/>
        <v>43009</v>
      </c>
      <c r="I13" s="668">
        <f t="shared" si="0"/>
        <v>43040</v>
      </c>
      <c r="J13" s="668">
        <f t="shared" si="0"/>
        <v>43070</v>
      </c>
      <c r="K13" s="668">
        <f t="shared" si="0"/>
        <v>43101</v>
      </c>
      <c r="L13" s="668">
        <f t="shared" ref="L13:X13" si="1">EDATE(M13,-1)</f>
        <v>43132</v>
      </c>
      <c r="M13" s="668">
        <f t="shared" si="1"/>
        <v>43160</v>
      </c>
      <c r="N13" s="668">
        <f t="shared" si="1"/>
        <v>43191</v>
      </c>
      <c r="O13" s="668">
        <f t="shared" si="1"/>
        <v>43221</v>
      </c>
      <c r="P13" s="668">
        <f t="shared" si="1"/>
        <v>43252</v>
      </c>
      <c r="Q13" s="668">
        <f t="shared" si="1"/>
        <v>43282</v>
      </c>
      <c r="R13" s="668">
        <f t="shared" si="1"/>
        <v>43313</v>
      </c>
      <c r="S13" s="668">
        <f t="shared" si="1"/>
        <v>43344</v>
      </c>
      <c r="T13" s="668">
        <f t="shared" si="1"/>
        <v>43374</v>
      </c>
      <c r="U13" s="668">
        <f t="shared" si="1"/>
        <v>43405</v>
      </c>
      <c r="V13" s="668">
        <f t="shared" si="1"/>
        <v>43435</v>
      </c>
      <c r="W13" s="668">
        <f t="shared" si="1"/>
        <v>43466</v>
      </c>
      <c r="X13" s="668">
        <f t="shared" si="1"/>
        <v>43497</v>
      </c>
      <c r="Y13" s="668">
        <f>EDATE(Z13,-1)</f>
        <v>43525</v>
      </c>
      <c r="Z13" s="668">
        <f>推移!AA2</f>
        <v>43556</v>
      </c>
    </row>
    <row r="14" spans="1:28" x14ac:dyDescent="0.15">
      <c r="B14" s="12" t="s">
        <v>21</v>
      </c>
      <c r="C14" s="482">
        <f>IFERROR(IF(GETPIVOTDATA("合計 / " &amp; $B14,【ピボット】事業所収支!$A$3,"年月",C$13,"事業所",$A$12)=0,#N/A,GETPIVOTDATA("合計 / " &amp; $B14,【ピボット】事業所収支!$A$3,"年月",C$13,"事業所",$A$12)),#N/A)</f>
        <v>10081728</v>
      </c>
      <c r="D14" s="482">
        <f>IFERROR(IF(GETPIVOTDATA("合計 / " &amp; $B14,【ピボット】事業所収支!$A$3,"年月",D$13,"事業所",$A$12)=0,#N/A,GETPIVOTDATA("合計 / " &amp; $B14,【ピボット】事業所収支!$A$3,"年月",D$13,"事業所",$A$12)),#N/A)</f>
        <v>9528673</v>
      </c>
      <c r="E14" s="482">
        <f>IFERROR(IF(GETPIVOTDATA("合計 / " &amp; $B14,【ピボット】事業所収支!$A$3,"年月",E$13,"事業所",$A$12)=0,#N/A,GETPIVOTDATA("合計 / " &amp; $B14,【ピボット】事業所収支!$A$3,"年月",E$13,"事業所",$A$12)),#N/A)</f>
        <v>10338554</v>
      </c>
      <c r="F14" s="482">
        <f>IFERROR(IF(GETPIVOTDATA("合計 / " &amp; $B14,【ピボット】事業所収支!$A$3,"年月",F$13,"事業所",$A$12)=0,#N/A,GETPIVOTDATA("合計 / " &amp; $B14,【ピボット】事業所収支!$A$3,"年月",F$13,"事業所",$A$12)),#N/A)</f>
        <v>10004240</v>
      </c>
      <c r="G14" s="482">
        <f>IFERROR(IF(GETPIVOTDATA("合計 / " &amp; $B14,【ピボット】事業所収支!$A$3,"年月",G$13,"事業所",$A$12)=0,#N/A,GETPIVOTDATA("合計 / " &amp; $B14,【ピボット】事業所収支!$A$3,"年月",G$13,"事業所",$A$12)),#N/A)</f>
        <v>10291903</v>
      </c>
      <c r="H14" s="482">
        <f>IFERROR(IF(GETPIVOTDATA("合計 / " &amp; $B14,【ピボット】事業所収支!$A$3,"年月",H$13,"事業所",$A$12)=0,#N/A,GETPIVOTDATA("合計 / " &amp; $B14,【ピボット】事業所収支!$A$3,"年月",H$13,"事業所",$A$12)),#N/A)</f>
        <v>10634528</v>
      </c>
      <c r="I14" s="482">
        <f>IFERROR(IF(GETPIVOTDATA("合計 / " &amp; $B14,【ピボット】事業所収支!$A$3,"年月",I$13,"事業所",$A$12)=0,#N/A,GETPIVOTDATA("合計 / " &amp; $B14,【ピボット】事業所収支!$A$3,"年月",I$13,"事業所",$A$12)),#N/A)</f>
        <v>9718481</v>
      </c>
      <c r="J14" s="482">
        <f>IFERROR(IF(GETPIVOTDATA("合計 / " &amp; $B14,【ピボット】事業所収支!$A$3,"年月",J$13,"事業所",$A$12)=0,#N/A,GETPIVOTDATA("合計 / " &amp; $B14,【ピボット】事業所収支!$A$3,"年月",J$13,"事業所",$A$12)),#N/A)</f>
        <v>10007332</v>
      </c>
      <c r="K14" s="482">
        <f>IFERROR(IF(GETPIVOTDATA("合計 / " &amp; $B14,【ピボット】事業所収支!$A$3,"年月",K$13,"事業所",$A$12)=0,#N/A,GETPIVOTDATA("合計 / " &amp; $B14,【ピボット】事業所収支!$A$3,"年月",K$13,"事業所",$A$12)),#N/A)</f>
        <v>10050857</v>
      </c>
      <c r="L14" s="482">
        <f>IFERROR(IF(GETPIVOTDATA("合計 / " &amp; $B14,【ピボット】事業所収支!$A$3,"年月",L$13,"事業所",$A$12)=0,#N/A,GETPIVOTDATA("合計 / " &amp; $B14,【ピボット】事業所収支!$A$3,"年月",L$13,"事業所",$A$12)),#N/A)</f>
        <v>9647827</v>
      </c>
      <c r="M14" s="482">
        <f>IFERROR(IF(GETPIVOTDATA("合計 / " &amp; $B14,【ピボット】事業所収支!$A$3,"年月",M$13,"事業所",$A$12)=0,#N/A,GETPIVOTDATA("合計 / " &amp; $B14,【ピボット】事業所収支!$A$3,"年月",M$13,"事業所",$A$12)),#N/A)</f>
        <v>10237581</v>
      </c>
      <c r="N14" s="482">
        <f>IFERROR(IF(GETPIVOTDATA("合計 / " &amp; $B14,【ピボット】事業所収支!$A$3,"年月",N$13,"事業所",$A$12)=0,#N/A,GETPIVOTDATA("合計 / " &amp; $B14,【ピボット】事業所収支!$A$3,"年月",N$13,"事業所",$A$12)),#N/A)</f>
        <v>10301194</v>
      </c>
      <c r="O14" s="482">
        <f>IFERROR(IF(GETPIVOTDATA("合計 / " &amp; $B14,【ピボット】事業所収支!$A$3,"年月",O$13,"事業所",$A$12)=0,#N/A,GETPIVOTDATA("合計 / " &amp; $B14,【ピボット】事業所収支!$A$3,"年月",O$13,"事業所",$A$12)),#N/A)</f>
        <v>10772827</v>
      </c>
      <c r="P14" s="482">
        <f>IFERROR(IF(GETPIVOTDATA("合計 / " &amp; $B14,【ピボット】事業所収支!$A$3,"年月",P$13,"事業所",$A$12)=0,#N/A,GETPIVOTDATA("合計 / " &amp; $B14,【ピボット】事業所収支!$A$3,"年月",P$13,"事業所",$A$12)),#N/A)</f>
        <v>9835106</v>
      </c>
      <c r="Q14" s="482">
        <f>IFERROR(IF(GETPIVOTDATA("合計 / " &amp; $B14,【ピボット】事業所収支!$A$3,"年月",Q$13,"事業所",$A$12)=0,#N/A,GETPIVOTDATA("合計 / " &amp; $B14,【ピボット】事業所収支!$A$3,"年月",Q$13,"事業所",$A$12)),#N/A)</f>
        <v>11042771</v>
      </c>
      <c r="R14" s="482">
        <f>IFERROR(IF(GETPIVOTDATA("合計 / " &amp; $B14,【ピボット】事業所収支!$A$3,"年月",R$13,"事業所",$A$12)=0,#N/A,GETPIVOTDATA("合計 / " &amp; $B14,【ピボット】事業所収支!$A$3,"年月",R$13,"事業所",$A$12)),#N/A)</f>
        <v>9842755</v>
      </c>
      <c r="S14" s="482">
        <f>IFERROR(IF(GETPIVOTDATA("合計 / " &amp; $B14,【ピボット】事業所収支!$A$3,"年月",S$13,"事業所",$A$12)=0,#N/A,GETPIVOTDATA("合計 / " &amp; $B14,【ピボット】事業所収支!$A$3,"年月",S$13,"事業所",$A$12)),#N/A)</f>
        <v>11239510</v>
      </c>
      <c r="T14" s="482">
        <f>IFERROR(IF(GETPIVOTDATA("合計 / " &amp; $B14,【ピボット】事業所収支!$A$3,"年月",T$13,"事業所",$A$12)=0,#N/A,GETPIVOTDATA("合計 / " &amp; $B14,【ピボット】事業所収支!$A$3,"年月",T$13,"事業所",$A$12)),#N/A)</f>
        <v>12511332</v>
      </c>
      <c r="U14" s="482">
        <f>IFERROR(IF(GETPIVOTDATA("合計 / " &amp; $B14,【ピボット】事業所収支!$A$3,"年月",U$13,"事業所",$A$12)=0,#N/A,GETPIVOTDATA("合計 / " &amp; $B14,【ピボット】事業所収支!$A$3,"年月",U$13,"事業所",$A$12)),#N/A)</f>
        <v>12778671</v>
      </c>
      <c r="V14" s="482">
        <f>IFERROR(IF(GETPIVOTDATA("合計 / " &amp; $B14,【ピボット】事業所収支!$A$3,"年月",V$13,"事業所",$A$12)=0,#N/A,GETPIVOTDATA("合計 / " &amp; $B14,【ピボット】事業所収支!$A$3,"年月",V$13,"事業所",$A$12)),#N/A)</f>
        <v>12163091</v>
      </c>
      <c r="W14" s="482">
        <f>IFERROR(IF(GETPIVOTDATA("合計 / " &amp; $B14,【ピボット】事業所収支!$A$3,"年月",W$13,"事業所",$A$12)=0,#N/A,GETPIVOTDATA("合計 / " &amp; $B14,【ピボット】事業所収支!$A$3,"年月",W$13,"事業所",$A$12)),#N/A)</f>
        <v>12668826</v>
      </c>
      <c r="X14" s="482">
        <f>IFERROR(IF(GETPIVOTDATA("合計 / " &amp; $B14,【ピボット】事業所収支!$A$3,"年月",X$13,"事業所",$A$12)=0,#N/A,GETPIVOTDATA("合計 / " &amp; $B14,【ピボット】事業所収支!$A$3,"年月",X$13,"事業所",$A$12)),#N/A)</f>
        <v>11458207</v>
      </c>
      <c r="Y14" s="482">
        <f>IFERROR(IF(GETPIVOTDATA("合計 / " &amp; $B14,【ピボット】事業所収支!$A$3,"年月",Y$13,"事業所",$A$12)=0,#N/A,GETPIVOTDATA("合計 / " &amp; $B14,【ピボット】事業所収支!$A$3,"年月",Y$13,"事業所",$A$12)),#N/A)</f>
        <v>12821396</v>
      </c>
      <c r="Z14" s="482">
        <f>IFERROR(IF(GETPIVOTDATA("合計 / " &amp; $B14,【ピボット】事業所収支!$A$3,"年月",Z$13,"事業所",$A$12)=0,#N/A,GETPIVOTDATA("合計 / " &amp; $B14,【ピボット】事業所収支!$A$3,"年月",Z$13,"事業所",$A$12)),#N/A)</f>
        <v>12901588</v>
      </c>
    </row>
    <row r="15" spans="1:28" x14ac:dyDescent="0.15">
      <c r="B15" s="7" t="s">
        <v>28</v>
      </c>
      <c r="C15" s="483">
        <f>IFERROR(IF(GETPIVOTDATA("合計 / " &amp; $B15,【ピボット】事業所収支!$A$3,"年月",C$13,"事業所",$A$12)=0,#N/A,GETPIVOTDATA("合計 / " &amp; $B15,【ピボット】事業所収支!$A$3,"年月",C$13,"事業所",$A$12)),#N/A)</f>
        <v>3280321</v>
      </c>
      <c r="D15" s="483">
        <f>IFERROR(IF(GETPIVOTDATA("合計 / " &amp; $B15,【ピボット】事業所収支!$A$3,"年月",D$13,"事業所",$A$12)=0,#N/A,GETPIVOTDATA("合計 / " &amp; $B15,【ピボット】事業所収支!$A$3,"年月",D$13,"事業所",$A$12)),#N/A)</f>
        <v>3117534</v>
      </c>
      <c r="E15" s="483">
        <f>IFERROR(IF(GETPIVOTDATA("合計 / " &amp; $B15,【ピボット】事業所収支!$A$3,"年月",E$13,"事業所",$A$12)=0,#N/A,GETPIVOTDATA("合計 / " &amp; $B15,【ピボット】事業所収支!$A$3,"年月",E$13,"事業所",$A$12)),#N/A)</f>
        <v>3419849</v>
      </c>
      <c r="F15" s="483">
        <f>IFERROR(IF(GETPIVOTDATA("合計 / " &amp; $B15,【ピボット】事業所収支!$A$3,"年月",F$13,"事業所",$A$12)=0,#N/A,GETPIVOTDATA("合計 / " &amp; $B15,【ピボット】事業所収支!$A$3,"年月",F$13,"事業所",$A$12)),#N/A)</f>
        <v>3491027</v>
      </c>
      <c r="G15" s="483">
        <f>IFERROR(IF(GETPIVOTDATA("合計 / " &amp; $B15,【ピボット】事業所収支!$A$3,"年月",G$13,"事業所",$A$12)=0,#N/A,GETPIVOTDATA("合計 / " &amp; $B15,【ピボット】事業所収支!$A$3,"年月",G$13,"事業所",$A$12)),#N/A)</f>
        <v>3534345</v>
      </c>
      <c r="H15" s="483">
        <f>IFERROR(IF(GETPIVOTDATA("合計 / " &amp; $B15,【ピボット】事業所収支!$A$3,"年月",H$13,"事業所",$A$12)=0,#N/A,GETPIVOTDATA("合計 / " &amp; $B15,【ピボット】事業所収支!$A$3,"年月",H$13,"事業所",$A$12)),#N/A)</f>
        <v>3565236</v>
      </c>
      <c r="I15" s="483">
        <f>IFERROR(IF(GETPIVOTDATA("合計 / " &amp; $B15,【ピボット】事業所収支!$A$3,"年月",I$13,"事業所",$A$12)=0,#N/A,GETPIVOTDATA("合計 / " &amp; $B15,【ピボット】事業所収支!$A$3,"年月",I$13,"事業所",$A$12)),#N/A)</f>
        <v>3514473</v>
      </c>
      <c r="J15" s="483">
        <f>IFERROR(IF(GETPIVOTDATA("合計 / " &amp; $B15,【ピボット】事業所収支!$A$3,"年月",J$13,"事業所",$A$12)=0,#N/A,GETPIVOTDATA("合計 / " &amp; $B15,【ピボット】事業所収支!$A$3,"年月",J$13,"事業所",$A$12)),#N/A)</f>
        <v>3446593</v>
      </c>
      <c r="K15" s="483">
        <f>IFERROR(IF(GETPIVOTDATA("合計 / " &amp; $B15,【ピボット】事業所収支!$A$3,"年月",K$13,"事業所",$A$12)=0,#N/A,GETPIVOTDATA("合計 / " &amp; $B15,【ピボット】事業所収支!$A$3,"年月",K$13,"事業所",$A$12)),#N/A)</f>
        <v>3471506</v>
      </c>
      <c r="L15" s="483">
        <f>IFERROR(IF(GETPIVOTDATA("合計 / " &amp; $B15,【ピボット】事業所収支!$A$3,"年月",L$13,"事業所",$A$12)=0,#N/A,GETPIVOTDATA("合計 / " &amp; $B15,【ピボット】事業所収支!$A$3,"年月",L$13,"事業所",$A$12)),#N/A)</f>
        <v>3312925</v>
      </c>
      <c r="M15" s="483">
        <f>IFERROR(IF(GETPIVOTDATA("合計 / " &amp; $B15,【ピボット】事業所収支!$A$3,"年月",M$13,"事業所",$A$12)=0,#N/A,GETPIVOTDATA("合計 / " &amp; $B15,【ピボット】事業所収支!$A$3,"年月",M$13,"事業所",$A$12)),#N/A)</f>
        <v>3641116</v>
      </c>
      <c r="N15" s="483">
        <f>IFERROR(IF(GETPIVOTDATA("合計 / " &amp; $B15,【ピボット】事業所収支!$A$3,"年月",N$13,"事業所",$A$12)=0,#N/A,GETPIVOTDATA("合計 / " &amp; $B15,【ピボット】事業所収支!$A$3,"年月",N$13,"事業所",$A$12)),#N/A)</f>
        <v>3701711</v>
      </c>
      <c r="O15" s="483">
        <f>IFERROR(IF(GETPIVOTDATA("合計 / " &amp; $B15,【ピボット】事業所収支!$A$3,"年月",O$13,"事業所",$A$12)=0,#N/A,GETPIVOTDATA("合計 / " &amp; $B15,【ピボット】事業所収支!$A$3,"年月",O$13,"事業所",$A$12)),#N/A)</f>
        <v>3683627</v>
      </c>
      <c r="P15" s="483">
        <f>IFERROR(IF(GETPIVOTDATA("合計 / " &amp; $B15,【ピボット】事業所収支!$A$3,"年月",P$13,"事業所",$A$12)=0,#N/A,GETPIVOTDATA("合計 / " &amp; $B15,【ピボット】事業所収支!$A$3,"年月",P$13,"事業所",$A$12)),#N/A)</f>
        <v>3691486</v>
      </c>
      <c r="Q15" s="483">
        <f>IFERROR(IF(GETPIVOTDATA("合計 / " &amp; $B15,【ピボット】事業所収支!$A$3,"年月",Q$13,"事業所",$A$12)=0,#N/A,GETPIVOTDATA("合計 / " &amp; $B15,【ピボット】事業所収支!$A$3,"年月",Q$13,"事業所",$A$12)),#N/A)</f>
        <v>3888723</v>
      </c>
      <c r="R15" s="483">
        <f>IFERROR(IF(GETPIVOTDATA("合計 / " &amp; $B15,【ピボット】事業所収支!$A$3,"年月",R$13,"事業所",$A$12)=0,#N/A,GETPIVOTDATA("合計 / " &amp; $B15,【ピボット】事業所収支!$A$3,"年月",R$13,"事業所",$A$12)),#N/A)</f>
        <v>3352850</v>
      </c>
      <c r="S15" s="483">
        <f>IFERROR(IF(GETPIVOTDATA("合計 / " &amp; $B15,【ピボット】事業所収支!$A$3,"年月",S$13,"事業所",$A$12)=0,#N/A,GETPIVOTDATA("合計 / " &amp; $B15,【ピボット】事業所収支!$A$3,"年月",S$13,"事業所",$A$12)),#N/A)</f>
        <v>3676096</v>
      </c>
      <c r="T15" s="483">
        <f>IFERROR(IF(GETPIVOTDATA("合計 / " &amp; $B15,【ピボット】事業所収支!$A$3,"年月",T$13,"事業所",$A$12)=0,#N/A,GETPIVOTDATA("合計 / " &amp; $B15,【ピボット】事業所収支!$A$3,"年月",T$13,"事業所",$A$12)),#N/A)</f>
        <v>3940179</v>
      </c>
      <c r="U15" s="483">
        <f>IFERROR(IF(GETPIVOTDATA("合計 / " &amp; $B15,【ピボット】事業所収支!$A$3,"年月",U$13,"事業所",$A$12)=0,#N/A,GETPIVOTDATA("合計 / " &amp; $B15,【ピボット】事業所収支!$A$3,"年月",U$13,"事業所",$A$12)),#N/A)</f>
        <v>3988130</v>
      </c>
      <c r="V15" s="483">
        <f>IFERROR(IF(GETPIVOTDATA("合計 / " &amp; $B15,【ピボット】事業所収支!$A$3,"年月",V$13,"事業所",$A$12)=0,#N/A,GETPIVOTDATA("合計 / " &amp; $B15,【ピボット】事業所収支!$A$3,"年月",V$13,"事業所",$A$12)),#N/A)</f>
        <v>4039207</v>
      </c>
      <c r="W15" s="483">
        <f>IFERROR(IF(GETPIVOTDATA("合計 / " &amp; $B15,【ピボット】事業所収支!$A$3,"年月",W$13,"事業所",$A$12)=0,#N/A,GETPIVOTDATA("合計 / " &amp; $B15,【ピボット】事業所収支!$A$3,"年月",W$13,"事業所",$A$12)),#N/A)</f>
        <v>4011359</v>
      </c>
      <c r="X15" s="483">
        <f>IFERROR(IF(GETPIVOTDATA("合計 / " &amp; $B15,【ピボット】事業所収支!$A$3,"年月",X$13,"事業所",$A$12)=0,#N/A,GETPIVOTDATA("合計 / " &amp; $B15,【ピボット】事業所収支!$A$3,"年月",X$13,"事業所",$A$12)),#N/A)</f>
        <v>3725142</v>
      </c>
      <c r="Y15" s="483">
        <f>IFERROR(IF(GETPIVOTDATA("合計 / " &amp; $B15,【ピボット】事業所収支!$A$3,"年月",Y$13,"事業所",$A$12)=0,#N/A,GETPIVOTDATA("合計 / " &amp; $B15,【ピボット】事業所収支!$A$3,"年月",Y$13,"事業所",$A$12)),#N/A)</f>
        <v>3994054</v>
      </c>
      <c r="Z15" s="483">
        <f>IFERROR(IF(GETPIVOTDATA("合計 / " &amp; $B15,【ピボット】事業所収支!$A$3,"年月",Z$13,"事業所",$A$12)=0,#N/A,GETPIVOTDATA("合計 / " &amp; $B15,【ピボット】事業所収支!$A$3,"年月",Z$13,"事業所",$A$12)),#N/A)</f>
        <v>3892391</v>
      </c>
    </row>
    <row r="16" spans="1:28" x14ac:dyDescent="0.15">
      <c r="B16" s="8" t="s">
        <v>27</v>
      </c>
      <c r="C16" s="483">
        <f>IFERROR(IF(GETPIVOTDATA("合計 / " &amp; $B16,【ピボット】事業所収支!$A$3,"年月",C$13,"事業所",$A$12)=0,#N/A,GETPIVOTDATA("合計 / " &amp; $B16,【ピボット】事業所収支!$A$3,"年月",C$13,"事業所",$A$12)),#N/A)</f>
        <v>1843335</v>
      </c>
      <c r="D16" s="483">
        <f>IFERROR(IF(GETPIVOTDATA("合計 / " &amp; $B16,【ピボット】事業所収支!$A$3,"年月",D$13,"事業所",$A$12)=0,#N/A,GETPIVOTDATA("合計 / " &amp; $B16,【ピボット】事業所収支!$A$3,"年月",D$13,"事業所",$A$12)),#N/A)</f>
        <v>1920952</v>
      </c>
      <c r="E16" s="483">
        <f>IFERROR(IF(GETPIVOTDATA("合計 / " &amp; $B16,【ピボット】事業所収支!$A$3,"年月",E$13,"事業所",$A$12)=0,#N/A,GETPIVOTDATA("合計 / " &amp; $B16,【ピボット】事業所収支!$A$3,"年月",E$13,"事業所",$A$12)),#N/A)</f>
        <v>2024642</v>
      </c>
      <c r="F16" s="483">
        <f>IFERROR(IF(GETPIVOTDATA("合計 / " &amp; $B16,【ピボット】事業所収支!$A$3,"年月",F$13,"事業所",$A$12)=0,#N/A,GETPIVOTDATA("合計 / " &amp; $B16,【ピボット】事業所収支!$A$3,"年月",F$13,"事業所",$A$12)),#N/A)</f>
        <v>2014985</v>
      </c>
      <c r="G16" s="483">
        <f>IFERROR(IF(GETPIVOTDATA("合計 / " &amp; $B16,【ピボット】事業所収支!$A$3,"年月",G$13,"事業所",$A$12)=0,#N/A,GETPIVOTDATA("合計 / " &amp; $B16,【ピボット】事業所収支!$A$3,"年月",G$13,"事業所",$A$12)),#N/A)</f>
        <v>1892823</v>
      </c>
      <c r="H16" s="483">
        <f>IFERROR(IF(GETPIVOTDATA("合計 / " &amp; $B16,【ピボット】事業所収支!$A$3,"年月",H$13,"事業所",$A$12)=0,#N/A,GETPIVOTDATA("合計 / " &amp; $B16,【ピボット】事業所収支!$A$3,"年月",H$13,"事業所",$A$12)),#N/A)</f>
        <v>1980393</v>
      </c>
      <c r="I16" s="483">
        <f>IFERROR(IF(GETPIVOTDATA("合計 / " &amp; $B16,【ピボット】事業所収支!$A$3,"年月",I$13,"事業所",$A$12)=0,#N/A,GETPIVOTDATA("合計 / " &amp; $B16,【ピボット】事業所収支!$A$3,"年月",I$13,"事業所",$A$12)),#N/A)</f>
        <v>1988138</v>
      </c>
      <c r="J16" s="483">
        <f>IFERROR(IF(GETPIVOTDATA("合計 / " &amp; $B16,【ピボット】事業所収支!$A$3,"年月",J$13,"事業所",$A$12)=0,#N/A,GETPIVOTDATA("合計 / " &amp; $B16,【ピボット】事業所収支!$A$3,"年月",J$13,"事業所",$A$12)),#N/A)</f>
        <v>1976032</v>
      </c>
      <c r="K16" s="483">
        <f>IFERROR(IF(GETPIVOTDATA("合計 / " &amp; $B16,【ピボット】事業所収支!$A$3,"年月",K$13,"事業所",$A$12)=0,#N/A,GETPIVOTDATA("合計 / " &amp; $B16,【ピボット】事業所収支!$A$3,"年月",K$13,"事業所",$A$12)),#N/A)</f>
        <v>1575046</v>
      </c>
      <c r="L16" s="483">
        <f>IFERROR(IF(GETPIVOTDATA("合計 / " &amp; $B16,【ピボット】事業所収支!$A$3,"年月",L$13,"事業所",$A$12)=0,#N/A,GETPIVOTDATA("合計 / " &amp; $B16,【ピボット】事業所収支!$A$3,"年月",L$13,"事業所",$A$12)),#N/A)</f>
        <v>1516081</v>
      </c>
      <c r="M16" s="483">
        <f>IFERROR(IF(GETPIVOTDATA("合計 / " &amp; $B16,【ピボット】事業所収支!$A$3,"年月",M$13,"事業所",$A$12)=0,#N/A,GETPIVOTDATA("合計 / " &amp; $B16,【ピボット】事業所収支!$A$3,"年月",M$13,"事業所",$A$12)),#N/A)</f>
        <v>1504051</v>
      </c>
      <c r="N16" s="483">
        <f>IFERROR(IF(GETPIVOTDATA("合計 / " &amp; $B16,【ピボット】事業所収支!$A$3,"年月",N$13,"事業所",$A$12)=0,#N/A,GETPIVOTDATA("合計 / " &amp; $B16,【ピボット】事業所収支!$A$3,"年月",N$13,"事業所",$A$12)),#N/A)</f>
        <v>1605173</v>
      </c>
      <c r="O16" s="483">
        <f>IFERROR(IF(GETPIVOTDATA("合計 / " &amp; $B16,【ピボット】事業所収支!$A$3,"年月",O$13,"事業所",$A$12)=0,#N/A,GETPIVOTDATA("合計 / " &amp; $B16,【ピボット】事業所収支!$A$3,"年月",O$13,"事業所",$A$12)),#N/A)</f>
        <v>1603715</v>
      </c>
      <c r="P16" s="483">
        <f>IFERROR(IF(GETPIVOTDATA("合計 / " &amp; $B16,【ピボット】事業所収支!$A$3,"年月",P$13,"事業所",$A$12)=0,#N/A,GETPIVOTDATA("合計 / " &amp; $B16,【ピボット】事業所収支!$A$3,"年月",P$13,"事業所",$A$12)),#N/A)</f>
        <v>1674777</v>
      </c>
      <c r="Q16" s="483">
        <f>IFERROR(IF(GETPIVOTDATA("合計 / " &amp; $B16,【ピボット】事業所収支!$A$3,"年月",Q$13,"事業所",$A$12)=0,#N/A,GETPIVOTDATA("合計 / " &amp; $B16,【ピボット】事業所収支!$A$3,"年月",Q$13,"事業所",$A$12)),#N/A)</f>
        <v>1734830</v>
      </c>
      <c r="R16" s="483">
        <f>IFERROR(IF(GETPIVOTDATA("合計 / " &amp; $B16,【ピボット】事業所収支!$A$3,"年月",R$13,"事業所",$A$12)=0,#N/A,GETPIVOTDATA("合計 / " &amp; $B16,【ピボット】事業所収支!$A$3,"年月",R$13,"事業所",$A$12)),#N/A)</f>
        <v>1946584</v>
      </c>
      <c r="S16" s="483">
        <f>IFERROR(IF(GETPIVOTDATA("合計 / " &amp; $B16,【ピボット】事業所収支!$A$3,"年月",S$13,"事業所",$A$12)=0,#N/A,GETPIVOTDATA("合計 / " &amp; $B16,【ピボット】事業所収支!$A$3,"年月",S$13,"事業所",$A$12)),#N/A)</f>
        <v>1938036</v>
      </c>
      <c r="T16" s="483">
        <f>IFERROR(IF(GETPIVOTDATA("合計 / " &amp; $B16,【ピボット】事業所収支!$A$3,"年月",T$13,"事業所",$A$12)=0,#N/A,GETPIVOTDATA("合計 / " &amp; $B16,【ピボット】事業所収支!$A$3,"年月",T$13,"事業所",$A$12)),#N/A)</f>
        <v>2473417</v>
      </c>
      <c r="U16" s="483">
        <f>IFERROR(IF(GETPIVOTDATA("合計 / " &amp; $B16,【ピボット】事業所収支!$A$3,"年月",U$13,"事業所",$A$12)=0,#N/A,GETPIVOTDATA("合計 / " &amp; $B16,【ピボット】事業所収支!$A$3,"年月",U$13,"事業所",$A$12)),#N/A)</f>
        <v>2563994</v>
      </c>
      <c r="V16" s="483">
        <f>IFERROR(IF(GETPIVOTDATA("合計 / " &amp; $B16,【ピボット】事業所収支!$A$3,"年月",V$13,"事業所",$A$12)=0,#N/A,GETPIVOTDATA("合計 / " &amp; $B16,【ピボット】事業所収支!$A$3,"年月",V$13,"事業所",$A$12)),#N/A)</f>
        <v>2539827</v>
      </c>
      <c r="W16" s="483">
        <f>IFERROR(IF(GETPIVOTDATA("合計 / " &amp; $B16,【ピボット】事業所収支!$A$3,"年月",W$13,"事業所",$A$12)=0,#N/A,GETPIVOTDATA("合計 / " &amp; $B16,【ピボット】事業所収支!$A$3,"年月",W$13,"事業所",$A$12)),#N/A)</f>
        <v>2678960</v>
      </c>
      <c r="X16" s="483">
        <f>IFERROR(IF(GETPIVOTDATA("合計 / " &amp; $B16,【ピボット】事業所収支!$A$3,"年月",X$13,"事業所",$A$12)=0,#N/A,GETPIVOTDATA("合計 / " &amp; $B16,【ピボット】事業所収支!$A$3,"年月",X$13,"事業所",$A$12)),#N/A)</f>
        <v>2819691</v>
      </c>
      <c r="Y16" s="483">
        <f>IFERROR(IF(GETPIVOTDATA("合計 / " &amp; $B16,【ピボット】事業所収支!$A$3,"年月",Y$13,"事業所",$A$12)=0,#N/A,GETPIVOTDATA("合計 / " &amp; $B16,【ピボット】事業所収支!$A$3,"年月",Y$13,"事業所",$A$12)),#N/A)</f>
        <v>2752108</v>
      </c>
      <c r="Z16" s="483">
        <f>IFERROR(IF(GETPIVOTDATA("合計 / " &amp; $B16,【ピボット】事業所収支!$A$3,"年月",Z$13,"事業所",$A$12)=0,#N/A,GETPIVOTDATA("合計 / " &amp; $B16,【ピボット】事業所収支!$A$3,"年月",Z$13,"事業所",$A$12)),#N/A)</f>
        <v>2306540</v>
      </c>
    </row>
    <row r="17" spans="2:27" x14ac:dyDescent="0.15">
      <c r="B17" s="8" t="s">
        <v>60</v>
      </c>
      <c r="C17" s="483" t="e">
        <f>IFERROR(IF(GETPIVOTDATA("合計 / " &amp; $B17,【ピボット】事業所収支!$A$3,"年月",C$13,"事業所",$A$12)=0,#N/A,GETPIVOTDATA("合計 / " &amp; $B17,【ピボット】事業所収支!$A$3,"年月",C$13,"事業所",$A$12)),#N/A)</f>
        <v>#N/A</v>
      </c>
      <c r="D17" s="483">
        <f>IFERROR(IF(GETPIVOTDATA("合計 / " &amp; $B17,【ピボット】事業所収支!$A$3,"年月",D$13,"事業所",$A$12)=0,#N/A,GETPIVOTDATA("合計 / " &amp; $B17,【ピボット】事業所収支!$A$3,"年月",D$13,"事業所",$A$12)),#N/A)</f>
        <v>3015000</v>
      </c>
      <c r="E17" s="483" t="e">
        <f>IFERROR(IF(GETPIVOTDATA("合計 / " &amp; $B17,【ピボット】事業所収支!$A$3,"年月",E$13,"事業所",$A$12)=0,#N/A,GETPIVOTDATA("合計 / " &amp; $B17,【ピボット】事業所収支!$A$3,"年月",E$13,"事業所",$A$12)),#N/A)</f>
        <v>#N/A</v>
      </c>
      <c r="F17" s="483">
        <f>IFERROR(IF(GETPIVOTDATA("合計 / " &amp; $B17,【ピボット】事業所収支!$A$3,"年月",F$13,"事業所",$A$12)=0,#N/A,GETPIVOTDATA("合計 / " &amp; $B17,【ピボット】事業所収支!$A$3,"年月",F$13,"事業所",$A$12)),#N/A)</f>
        <v>180000</v>
      </c>
      <c r="G17" s="483" t="e">
        <f>IFERROR(IF(GETPIVOTDATA("合計 / " &amp; $B17,【ピボット】事業所収支!$A$3,"年月",G$13,"事業所",$A$12)=0,#N/A,GETPIVOTDATA("合計 / " &amp; $B17,【ピボット】事業所収支!$A$3,"年月",G$13,"事業所",$A$12)),#N/A)</f>
        <v>#N/A</v>
      </c>
      <c r="H17" s="483" t="e">
        <f>IFERROR(IF(GETPIVOTDATA("合計 / " &amp; $B17,【ピボット】事業所収支!$A$3,"年月",H$13,"事業所",$A$12)=0,#N/A,GETPIVOTDATA("合計 / " &amp; $B17,【ピボット】事業所収支!$A$3,"年月",H$13,"事業所",$A$12)),#N/A)</f>
        <v>#N/A</v>
      </c>
      <c r="I17" s="483" t="e">
        <f>IFERROR(IF(GETPIVOTDATA("合計 / " &amp; $B17,【ピボット】事業所収支!$A$3,"年月",I$13,"事業所",$A$12)=0,#N/A,GETPIVOTDATA("合計 / " &amp; $B17,【ピボット】事業所収支!$A$3,"年月",I$13,"事業所",$A$12)),#N/A)</f>
        <v>#N/A</v>
      </c>
      <c r="J17" s="483">
        <f>IFERROR(IF(GETPIVOTDATA("合計 / " &amp; $B17,【ピボット】事業所収支!$A$3,"年月",J$13,"事業所",$A$12)=0,#N/A,GETPIVOTDATA("合計 / " &amp; $B17,【ピボット】事業所収支!$A$3,"年月",J$13,"事業所",$A$12)),#N/A)</f>
        <v>3800875</v>
      </c>
      <c r="K17" s="483" t="e">
        <f>IFERROR(IF(GETPIVOTDATA("合計 / " &amp; $B17,【ピボット】事業所収支!$A$3,"年月",K$13,"事業所",$A$12)=0,#N/A,GETPIVOTDATA("合計 / " &amp; $B17,【ピボット】事業所収支!$A$3,"年月",K$13,"事業所",$A$12)),#N/A)</f>
        <v>#N/A</v>
      </c>
      <c r="L17" s="483" t="e">
        <f>IFERROR(IF(GETPIVOTDATA("合計 / " &amp; $B17,【ピボット】事業所収支!$A$3,"年月",L$13,"事業所",$A$12)=0,#N/A,GETPIVOTDATA("合計 / " &amp; $B17,【ピボット】事業所収支!$A$3,"年月",L$13,"事業所",$A$12)),#N/A)</f>
        <v>#N/A</v>
      </c>
      <c r="M17" s="483" t="e">
        <f>IFERROR(IF(GETPIVOTDATA("合計 / " &amp; $B17,【ピボット】事業所収支!$A$3,"年月",M$13,"事業所",$A$12)=0,#N/A,GETPIVOTDATA("合計 / " &amp; $B17,【ピボット】事業所収支!$A$3,"年月",M$13,"事業所",$A$12)),#N/A)</f>
        <v>#N/A</v>
      </c>
      <c r="N17" s="483" t="e">
        <f>IFERROR(IF(GETPIVOTDATA("合計 / " &amp; $B17,【ピボット】事業所収支!$A$3,"年月",N$13,"事業所",$A$12)=0,#N/A,GETPIVOTDATA("合計 / " &amp; $B17,【ピボット】事業所収支!$A$3,"年月",N$13,"事業所",$A$12)),#N/A)</f>
        <v>#N/A</v>
      </c>
      <c r="O17" s="483" t="e">
        <f>IFERROR(IF(GETPIVOTDATA("合計 / " &amp; $B17,【ピボット】事業所収支!$A$3,"年月",O$13,"事業所",$A$12)=0,#N/A,GETPIVOTDATA("合計 / " &amp; $B17,【ピボット】事業所収支!$A$3,"年月",O$13,"事業所",$A$12)),#N/A)</f>
        <v>#N/A</v>
      </c>
      <c r="P17" s="483">
        <f>IFERROR(IF(GETPIVOTDATA("合計 / " &amp; $B17,【ピボット】事業所収支!$A$3,"年月",P$13,"事業所",$A$12)=0,#N/A,GETPIVOTDATA("合計 / " &amp; $B17,【ピボット】事業所収支!$A$3,"年月",P$13,"事業所",$A$12)),#N/A)</f>
        <v>2730000</v>
      </c>
      <c r="Q17" s="483" t="e">
        <f>IFERROR(IF(GETPIVOTDATA("合計 / " &amp; $B17,【ピボット】事業所収支!$A$3,"年月",Q$13,"事業所",$A$12)=0,#N/A,GETPIVOTDATA("合計 / " &amp; $B17,【ピボット】事業所収支!$A$3,"年月",Q$13,"事業所",$A$12)),#N/A)</f>
        <v>#N/A</v>
      </c>
      <c r="R17" s="483">
        <f>IFERROR(IF(GETPIVOTDATA("合計 / " &amp; $B17,【ピボット】事業所収支!$A$3,"年月",R$13,"事業所",$A$12)=0,#N/A,GETPIVOTDATA("合計 / " &amp; $B17,【ピボット】事業所収支!$A$3,"年月",R$13,"事業所",$A$12)),#N/A)</f>
        <v>400000</v>
      </c>
      <c r="S17" s="483" t="e">
        <f>IFERROR(IF(GETPIVOTDATA("合計 / " &amp; $B17,【ピボット】事業所収支!$A$3,"年月",S$13,"事業所",$A$12)=0,#N/A,GETPIVOTDATA("合計 / " &amp; $B17,【ピボット】事業所収支!$A$3,"年月",S$13,"事業所",$A$12)),#N/A)</f>
        <v>#N/A</v>
      </c>
      <c r="T17" s="483" t="e">
        <f>IFERROR(IF(GETPIVOTDATA("合計 / " &amp; $B17,【ピボット】事業所収支!$A$3,"年月",T$13,"事業所",$A$12)=0,#N/A,GETPIVOTDATA("合計 / " &amp; $B17,【ピボット】事業所収支!$A$3,"年月",T$13,"事業所",$A$12)),#N/A)</f>
        <v>#N/A</v>
      </c>
      <c r="U17" s="483" t="e">
        <f>IFERROR(IF(GETPIVOTDATA("合計 / " &amp; $B17,【ピボット】事業所収支!$A$3,"年月",U$13,"事業所",$A$12)=0,#N/A,GETPIVOTDATA("合計 / " &amp; $B17,【ピボット】事業所収支!$A$3,"年月",U$13,"事業所",$A$12)),#N/A)</f>
        <v>#N/A</v>
      </c>
      <c r="V17" s="483">
        <f>IFERROR(IF(GETPIVOTDATA("合計 / " &amp; $B17,【ピボット】事業所収支!$A$3,"年月",V$13,"事業所",$A$12)=0,#N/A,GETPIVOTDATA("合計 / " &amp; $B17,【ピボット】事業所収支!$A$3,"年月",V$13,"事業所",$A$12)),#N/A)</f>
        <v>2990500</v>
      </c>
      <c r="W17" s="483" t="e">
        <f>IFERROR(IF(GETPIVOTDATA("合計 / " &amp; $B17,【ピボット】事業所収支!$A$3,"年月",W$13,"事業所",$A$12)=0,#N/A,GETPIVOTDATA("合計 / " &amp; $B17,【ピボット】事業所収支!$A$3,"年月",W$13,"事業所",$A$12)),#N/A)</f>
        <v>#N/A</v>
      </c>
      <c r="X17" s="483" t="e">
        <f>IFERROR(IF(GETPIVOTDATA("合計 / " &amp; $B17,【ピボット】事業所収支!$A$3,"年月",X$13,"事業所",$A$12)=0,#N/A,GETPIVOTDATA("合計 / " &amp; $B17,【ピボット】事業所収支!$A$3,"年月",X$13,"事業所",$A$12)),#N/A)</f>
        <v>#N/A</v>
      </c>
      <c r="Y17" s="483" t="e">
        <f>IFERROR(IF(GETPIVOTDATA("合計 / " &amp; $B17,【ピボット】事業所収支!$A$3,"年月",Y$13,"事業所",$A$12)=0,#N/A,GETPIVOTDATA("合計 / " &amp; $B17,【ピボット】事業所収支!$A$3,"年月",Y$13,"事業所",$A$12)),#N/A)</f>
        <v>#N/A</v>
      </c>
      <c r="Z17" s="483" t="e">
        <f>IFERROR(IF(GETPIVOTDATA("合計 / " &amp; $B17,【ピボット】事業所収支!$A$3,"年月",Z$13,"事業所",$A$12)=0,#N/A,GETPIVOTDATA("合計 / " &amp; $B17,【ピボット】事業所収支!$A$3,"年月",Z$13,"事業所",$A$12)),#N/A)</f>
        <v>#N/A</v>
      </c>
    </row>
    <row r="18" spans="2:27" x14ac:dyDescent="0.15">
      <c r="B18" s="8" t="s">
        <v>50</v>
      </c>
      <c r="C18" s="483" t="e">
        <f>IFERROR(IF(GETPIVOTDATA("合計 / " &amp; $B18,【ピボット】事業所収支!$A$3,"年月",C$13,"事業所",$A$12)=0,#N/A,GETPIVOTDATA("合計 / " &amp; $B18,【ピボット】事業所収支!$A$3,"年月",C$13,"事業所",$A$12)),#N/A)</f>
        <v>#N/A</v>
      </c>
      <c r="D18" s="483" t="e">
        <f>IFERROR(IF(GETPIVOTDATA("合計 / " &amp; $B18,【ピボット】事業所収支!$A$3,"年月",D$13,"事業所",$A$12)=0,#N/A,GETPIVOTDATA("合計 / " &amp; $B18,【ピボット】事業所収支!$A$3,"年月",D$13,"事業所",$A$12)),#N/A)</f>
        <v>#N/A</v>
      </c>
      <c r="E18" s="483" t="e">
        <f>IFERROR(IF(GETPIVOTDATA("合計 / " &amp; $B18,【ピボット】事業所収支!$A$3,"年月",E$13,"事業所",$A$12)=0,#N/A,GETPIVOTDATA("合計 / " &amp; $B18,【ピボット】事業所収支!$A$3,"年月",E$13,"事業所",$A$12)),#N/A)</f>
        <v>#N/A</v>
      </c>
      <c r="F18" s="483" t="e">
        <f>IFERROR(IF(GETPIVOTDATA("合計 / " &amp; $B18,【ピボット】事業所収支!$A$3,"年月",F$13,"事業所",$A$12)=0,#N/A,GETPIVOTDATA("合計 / " &amp; $B18,【ピボット】事業所収支!$A$3,"年月",F$13,"事業所",$A$12)),#N/A)</f>
        <v>#N/A</v>
      </c>
      <c r="G18" s="483" t="e">
        <f>IFERROR(IF(GETPIVOTDATA("合計 / " &amp; $B18,【ピボット】事業所収支!$A$3,"年月",G$13,"事業所",$A$12)=0,#N/A,GETPIVOTDATA("合計 / " &amp; $B18,【ピボット】事業所収支!$A$3,"年月",G$13,"事業所",$A$12)),#N/A)</f>
        <v>#N/A</v>
      </c>
      <c r="H18" s="483" t="e">
        <f>IFERROR(IF(GETPIVOTDATA("合計 / " &amp; $B18,【ピボット】事業所収支!$A$3,"年月",H$13,"事業所",$A$12)=0,#N/A,GETPIVOTDATA("合計 / " &amp; $B18,【ピボット】事業所収支!$A$3,"年月",H$13,"事業所",$A$12)),#N/A)</f>
        <v>#N/A</v>
      </c>
      <c r="I18" s="483" t="e">
        <f>IFERROR(IF(GETPIVOTDATA("合計 / " &amp; $B18,【ピボット】事業所収支!$A$3,"年月",I$13,"事業所",$A$12)=0,#N/A,GETPIVOTDATA("合計 / " &amp; $B18,【ピボット】事業所収支!$A$3,"年月",I$13,"事業所",$A$12)),#N/A)</f>
        <v>#N/A</v>
      </c>
      <c r="J18" s="483" t="e">
        <f>IFERROR(IF(GETPIVOTDATA("合計 / " &amp; $B18,【ピボット】事業所収支!$A$3,"年月",J$13,"事業所",$A$12)=0,#N/A,GETPIVOTDATA("合計 / " &amp; $B18,【ピボット】事業所収支!$A$3,"年月",J$13,"事業所",$A$12)),#N/A)</f>
        <v>#N/A</v>
      </c>
      <c r="K18" s="483" t="e">
        <f>IFERROR(IF(GETPIVOTDATA("合計 / " &amp; $B18,【ピボット】事業所収支!$A$3,"年月",K$13,"事業所",$A$12)=0,#N/A,GETPIVOTDATA("合計 / " &amp; $B18,【ピボット】事業所収支!$A$3,"年月",K$13,"事業所",$A$12)),#N/A)</f>
        <v>#N/A</v>
      </c>
      <c r="L18" s="483" t="e">
        <f>IFERROR(IF(GETPIVOTDATA("合計 / " &amp; $B18,【ピボット】事業所収支!$A$3,"年月",L$13,"事業所",$A$12)=0,#N/A,GETPIVOTDATA("合計 / " &amp; $B18,【ピボット】事業所収支!$A$3,"年月",L$13,"事業所",$A$12)),#N/A)</f>
        <v>#N/A</v>
      </c>
      <c r="M18" s="483" t="e">
        <f>IFERROR(IF(GETPIVOTDATA("合計 / " &amp; $B18,【ピボット】事業所収支!$A$3,"年月",M$13,"事業所",$A$12)=0,#N/A,GETPIVOTDATA("合計 / " &amp; $B18,【ピボット】事業所収支!$A$3,"年月",M$13,"事業所",$A$12)),#N/A)</f>
        <v>#N/A</v>
      </c>
      <c r="N18" s="483" t="e">
        <f>IFERROR(IF(GETPIVOTDATA("合計 / " &amp; $B18,【ピボット】事業所収支!$A$3,"年月",N$13,"事業所",$A$12)=0,#N/A,GETPIVOTDATA("合計 / " &amp; $B18,【ピボット】事業所収支!$A$3,"年月",N$13,"事業所",$A$12)),#N/A)</f>
        <v>#N/A</v>
      </c>
      <c r="O18" s="483" t="e">
        <f>IFERROR(IF(GETPIVOTDATA("合計 / " &amp; $B18,【ピボット】事業所収支!$A$3,"年月",O$13,"事業所",$A$12)=0,#N/A,GETPIVOTDATA("合計 / " &amp; $B18,【ピボット】事業所収支!$A$3,"年月",O$13,"事業所",$A$12)),#N/A)</f>
        <v>#N/A</v>
      </c>
      <c r="P18" s="483" t="e">
        <f>IFERROR(IF(GETPIVOTDATA("合計 / " &amp; $B18,【ピボット】事業所収支!$A$3,"年月",P$13,"事業所",$A$12)=0,#N/A,GETPIVOTDATA("合計 / " &amp; $B18,【ピボット】事業所収支!$A$3,"年月",P$13,"事業所",$A$12)),#N/A)</f>
        <v>#N/A</v>
      </c>
      <c r="Q18" s="483" t="e">
        <f>IFERROR(IF(GETPIVOTDATA("合計 / " &amp; $B18,【ピボット】事業所収支!$A$3,"年月",Q$13,"事業所",$A$12)=0,#N/A,GETPIVOTDATA("合計 / " &amp; $B18,【ピボット】事業所収支!$A$3,"年月",Q$13,"事業所",$A$12)),#N/A)</f>
        <v>#N/A</v>
      </c>
      <c r="R18" s="483" t="e">
        <f>IFERROR(IF(GETPIVOTDATA("合計 / " &amp; $B18,【ピボット】事業所収支!$A$3,"年月",R$13,"事業所",$A$12)=0,#N/A,GETPIVOTDATA("合計 / " &amp; $B18,【ピボット】事業所収支!$A$3,"年月",R$13,"事業所",$A$12)),#N/A)</f>
        <v>#N/A</v>
      </c>
      <c r="S18" s="483" t="e">
        <f>IFERROR(IF(GETPIVOTDATA("合計 / " &amp; $B18,【ピボット】事業所収支!$A$3,"年月",S$13,"事業所",$A$12)=0,#N/A,GETPIVOTDATA("合計 / " &amp; $B18,【ピボット】事業所収支!$A$3,"年月",S$13,"事業所",$A$12)),#N/A)</f>
        <v>#N/A</v>
      </c>
      <c r="T18" s="483" t="e">
        <f>IFERROR(IF(GETPIVOTDATA("合計 / " &amp; $B18,【ピボット】事業所収支!$A$3,"年月",T$13,"事業所",$A$12)=0,#N/A,GETPIVOTDATA("合計 / " &amp; $B18,【ピボット】事業所収支!$A$3,"年月",T$13,"事業所",$A$12)),#N/A)</f>
        <v>#N/A</v>
      </c>
      <c r="U18" s="483" t="e">
        <f>IFERROR(IF(GETPIVOTDATA("合計 / " &amp; $B18,【ピボット】事業所収支!$A$3,"年月",U$13,"事業所",$A$12)=0,#N/A,GETPIVOTDATA("合計 / " &amp; $B18,【ピボット】事業所収支!$A$3,"年月",U$13,"事業所",$A$12)),#N/A)</f>
        <v>#N/A</v>
      </c>
      <c r="V18" s="483" t="e">
        <f>IFERROR(IF(GETPIVOTDATA("合計 / " &amp; $B18,【ピボット】事業所収支!$A$3,"年月",V$13,"事業所",$A$12)=0,#N/A,GETPIVOTDATA("合計 / " &amp; $B18,【ピボット】事業所収支!$A$3,"年月",V$13,"事業所",$A$12)),#N/A)</f>
        <v>#N/A</v>
      </c>
      <c r="W18" s="483" t="e">
        <f>IFERROR(IF(GETPIVOTDATA("合計 / " &amp; $B18,【ピボット】事業所収支!$A$3,"年月",W$13,"事業所",$A$12)=0,#N/A,GETPIVOTDATA("合計 / " &amp; $B18,【ピボット】事業所収支!$A$3,"年月",W$13,"事業所",$A$12)),#N/A)</f>
        <v>#N/A</v>
      </c>
      <c r="X18" s="483" t="e">
        <f>IFERROR(IF(GETPIVOTDATA("合計 / " &amp; $B18,【ピボット】事業所収支!$A$3,"年月",X$13,"事業所",$A$12)=0,#N/A,GETPIVOTDATA("合計 / " &amp; $B18,【ピボット】事業所収支!$A$3,"年月",X$13,"事業所",$A$12)),#N/A)</f>
        <v>#N/A</v>
      </c>
      <c r="Y18" s="483" t="e">
        <f>IFERROR(IF(GETPIVOTDATA("合計 / " &amp; $B18,【ピボット】事業所収支!$A$3,"年月",Y$13,"事業所",$A$12)=0,#N/A,GETPIVOTDATA("合計 / " &amp; $B18,【ピボット】事業所収支!$A$3,"年月",Y$13,"事業所",$A$12)),#N/A)</f>
        <v>#N/A</v>
      </c>
      <c r="Z18" s="483" t="e">
        <f>IFERROR(IF(GETPIVOTDATA("合計 / " &amp; $B18,【ピボット】事業所収支!$A$3,"年月",Z$13,"事業所",$A$12)=0,#N/A,GETPIVOTDATA("合計 / " &amp; $B18,【ピボット】事業所収支!$A$3,"年月",Z$13,"事業所",$A$12)),#N/A)</f>
        <v>#N/A</v>
      </c>
    </row>
    <row r="19" spans="2:27" x14ac:dyDescent="0.15">
      <c r="B19" s="9" t="s">
        <v>29</v>
      </c>
      <c r="C19" s="484">
        <f>IFERROR(IF(GETPIVOTDATA("合計 / " &amp; $B19,【ピボット】事業所収支!$A$3,"年月",C$13,"事業所",$A$12)=0,#N/A,GETPIVOTDATA("合計 / " &amp; $B19,【ピボット】事業所収支!$A$3,"年月",C$13,"事業所",$A$12)),#N/A)</f>
        <v>282511</v>
      </c>
      <c r="D19" s="484">
        <f>IFERROR(IF(GETPIVOTDATA("合計 / " &amp; $B19,【ピボット】事業所収支!$A$3,"年月",D$13,"事業所",$A$12)=0,#N/A,GETPIVOTDATA("合計 / " &amp; $B19,【ピボット】事業所収支!$A$3,"年月",D$13,"事業所",$A$12)),#N/A)</f>
        <v>321780</v>
      </c>
      <c r="E19" s="484">
        <f>IFERROR(IF(GETPIVOTDATA("合計 / " &amp; $B19,【ピボット】事業所収支!$A$3,"年月",E$13,"事業所",$A$12)=0,#N/A,GETPIVOTDATA("合計 / " &amp; $B19,【ピボット】事業所収支!$A$3,"年月",E$13,"事業所",$A$12)),#N/A)</f>
        <v>499361</v>
      </c>
      <c r="F19" s="484">
        <f>IFERROR(IF(GETPIVOTDATA("合計 / " &amp; $B19,【ピボット】事業所収支!$A$3,"年月",F$13,"事業所",$A$12)=0,#N/A,GETPIVOTDATA("合計 / " &amp; $B19,【ピボット】事業所収支!$A$3,"年月",F$13,"事業所",$A$12)),#N/A)</f>
        <v>245348</v>
      </c>
      <c r="G19" s="484">
        <f>IFERROR(IF(GETPIVOTDATA("合計 / " &amp; $B19,【ピボット】事業所収支!$A$3,"年月",G$13,"事業所",$A$12)=0,#N/A,GETPIVOTDATA("合計 / " &amp; $B19,【ピボット】事業所収支!$A$3,"年月",G$13,"事業所",$A$12)),#N/A)</f>
        <v>229609</v>
      </c>
      <c r="H19" s="484">
        <f>IFERROR(IF(GETPIVOTDATA("合計 / " &amp; $B19,【ピボット】事業所収支!$A$3,"年月",H$13,"事業所",$A$12)=0,#N/A,GETPIVOTDATA("合計 / " &amp; $B19,【ピボット】事業所収支!$A$3,"年月",H$13,"事業所",$A$12)),#N/A)</f>
        <v>356726</v>
      </c>
      <c r="I19" s="484">
        <f>IFERROR(IF(GETPIVOTDATA("合計 / " &amp; $B19,【ピボット】事業所収支!$A$3,"年月",I$13,"事業所",$A$12)=0,#N/A,GETPIVOTDATA("合計 / " &amp; $B19,【ピボット】事業所収支!$A$3,"年月",I$13,"事業所",$A$12)),#N/A)</f>
        <v>321067</v>
      </c>
      <c r="J19" s="484">
        <f>IFERROR(IF(GETPIVOTDATA("合計 / " &amp; $B19,【ピボット】事業所収支!$A$3,"年月",J$13,"事業所",$A$12)=0,#N/A,GETPIVOTDATA("合計 / " &amp; $B19,【ピボット】事業所収支!$A$3,"年月",J$13,"事業所",$A$12)),#N/A)</f>
        <v>-50421.419093419929</v>
      </c>
      <c r="K19" s="484">
        <f>IFERROR(IF(GETPIVOTDATA("合計 / " &amp; $B19,【ピボット】事業所収支!$A$3,"年月",K$13,"事業所",$A$12)=0,#N/A,GETPIVOTDATA("合計 / " &amp; $B19,【ピボット】事業所収支!$A$3,"年月",K$13,"事業所",$A$12)),#N/A)</f>
        <v>1013336</v>
      </c>
      <c r="L19" s="484">
        <f>IFERROR(IF(GETPIVOTDATA("合計 / " &amp; $B19,【ピボット】事業所収支!$A$3,"年月",L$13,"事業所",$A$12)=0,#N/A,GETPIVOTDATA("合計 / " &amp; $B19,【ピボット】事業所収支!$A$3,"年月",L$13,"事業所",$A$12)),#N/A)</f>
        <v>257023</v>
      </c>
      <c r="M19" s="484">
        <f>IFERROR(IF(GETPIVOTDATA("合計 / " &amp; $B19,【ピボット】事業所収支!$A$3,"年月",M$13,"事業所",$A$12)=0,#N/A,GETPIVOTDATA("合計 / " &amp; $B19,【ピボット】事業所収支!$A$3,"年月",M$13,"事業所",$A$12)),#N/A)</f>
        <v>314706</v>
      </c>
      <c r="N19" s="484">
        <f>IFERROR(IF(GETPIVOTDATA("合計 / " &amp; $B19,【ピボット】事業所収支!$A$3,"年月",N$13,"事業所",$A$12)=0,#N/A,GETPIVOTDATA("合計 / " &amp; $B19,【ピボット】事業所収支!$A$3,"年月",N$13,"事業所",$A$12)),#N/A)</f>
        <v>293378</v>
      </c>
      <c r="O19" s="484">
        <f>IFERROR(IF(GETPIVOTDATA("合計 / " &amp; $B19,【ピボット】事業所収支!$A$3,"年月",O$13,"事業所",$A$12)=0,#N/A,GETPIVOTDATA("合計 / " &amp; $B19,【ピボット】事業所収支!$A$3,"年月",O$13,"事業所",$A$12)),#N/A)</f>
        <v>300544</v>
      </c>
      <c r="P19" s="484">
        <f>IFERROR(IF(GETPIVOTDATA("合計 / " &amp; $B19,【ピボット】事業所収支!$A$3,"年月",P$13,"事業所",$A$12)=0,#N/A,GETPIVOTDATA("合計 / " &amp; $B19,【ピボット】事業所収支!$A$3,"年月",P$13,"事業所",$A$12)),#N/A)</f>
        <v>262532</v>
      </c>
      <c r="Q19" s="484">
        <f>IFERROR(IF(GETPIVOTDATA("合計 / " &amp; $B19,【ピボット】事業所収支!$A$3,"年月",Q$13,"事業所",$A$12)=0,#N/A,GETPIVOTDATA("合計 / " &amp; $B19,【ピボット】事業所収支!$A$3,"年月",Q$13,"事業所",$A$12)),#N/A)</f>
        <v>673537</v>
      </c>
      <c r="R19" s="484">
        <f>IFERROR(IF(GETPIVOTDATA("合計 / " &amp; $B19,【ピボット】事業所収支!$A$3,"年月",R$13,"事業所",$A$12)=0,#N/A,GETPIVOTDATA("合計 / " &amp; $B19,【ピボット】事業所収支!$A$3,"年月",R$13,"事業所",$A$12)),#N/A)</f>
        <v>283190</v>
      </c>
      <c r="S19" s="484" t="e">
        <f>IFERROR(IF(GETPIVOTDATA("合計 / " &amp; $B19,【ピボット】事業所収支!$A$3,"年月",S$13,"事業所",$A$12)=0,#N/A,GETPIVOTDATA("合計 / " &amp; $B19,【ピボット】事業所収支!$A$3,"年月",S$13,"事業所",$A$12)),#N/A)</f>
        <v>#N/A</v>
      </c>
      <c r="T19" s="484">
        <f>IFERROR(IF(GETPIVOTDATA("合計 / " &amp; $B19,【ピボット】事業所収支!$A$3,"年月",T$13,"事業所",$A$12)=0,#N/A,GETPIVOTDATA("合計 / " &amp; $B19,【ピボット】事業所収支!$A$3,"年月",T$13,"事業所",$A$12)),#N/A)</f>
        <v>379848</v>
      </c>
      <c r="U19" s="484">
        <f>IFERROR(IF(GETPIVOTDATA("合計 / " &amp; $B19,【ピボット】事業所収支!$A$3,"年月",U$13,"事業所",$A$12)=0,#N/A,GETPIVOTDATA("合計 / " &amp; $B19,【ピボット】事業所収支!$A$3,"年月",U$13,"事業所",$A$12)),#N/A)</f>
        <v>319575</v>
      </c>
      <c r="V19" s="484">
        <f>IFERROR(IF(GETPIVOTDATA("合計 / " &amp; $B19,【ピボット】事業所収支!$A$3,"年月",V$13,"事業所",$A$12)=0,#N/A,GETPIVOTDATA("合計 / " &amp; $B19,【ピボット】事業所収支!$A$3,"年月",V$13,"事業所",$A$12)),#N/A)</f>
        <v>791423</v>
      </c>
      <c r="W19" s="484">
        <f>IFERROR(IF(GETPIVOTDATA("合計 / " &amp; $B19,【ピボット】事業所収支!$A$3,"年月",W$13,"事業所",$A$12)=0,#N/A,GETPIVOTDATA("合計 / " &amp; $B19,【ピボット】事業所収支!$A$3,"年月",W$13,"事業所",$A$12)),#N/A)</f>
        <v>343436</v>
      </c>
      <c r="X19" s="484">
        <f>IFERROR(IF(GETPIVOTDATA("合計 / " &amp; $B19,【ピボット】事業所収支!$A$3,"年月",X$13,"事業所",$A$12)=0,#N/A,GETPIVOTDATA("合計 / " &amp; $B19,【ピボット】事業所収支!$A$3,"年月",X$13,"事業所",$A$12)),#N/A)</f>
        <v>382642</v>
      </c>
      <c r="Y19" s="484">
        <f>IFERROR(IF(GETPIVOTDATA("合計 / " &amp; $B19,【ピボット】事業所収支!$A$3,"年月",Y$13,"事業所",$A$12)=0,#N/A,GETPIVOTDATA("合計 / " &amp; $B19,【ピボット】事業所収支!$A$3,"年月",Y$13,"事業所",$A$12)),#N/A)</f>
        <v>383094</v>
      </c>
      <c r="Z19" s="484">
        <f>IFERROR(IF(GETPIVOTDATA("合計 / " &amp; $B19,【ピボット】事業所収支!$A$3,"年月",Z$13,"事業所",$A$12)=0,#N/A,GETPIVOTDATA("合計 / " &amp; $B19,【ピボット】事業所収支!$A$3,"年月",Z$13,"事業所",$A$12)),#N/A)</f>
        <v>343198</v>
      </c>
      <c r="AA19" s="4"/>
    </row>
    <row r="20" spans="2:27" x14ac:dyDescent="0.15">
      <c r="B20" s="9" t="s">
        <v>51</v>
      </c>
      <c r="C20" s="485">
        <f>IFERROR(IF(GETPIVOTDATA("合計 / " &amp; $B20,【ピボット】事業所収支!$A$3,"年月",C$13,"事業所",$A$12)=0,#N/A,GETPIVOTDATA("合計 / " &amp; $B20,【ピボット】事業所収支!$A$3,"年月",C$13,"事業所",$A$12)),#N/A)</f>
        <v>8111</v>
      </c>
      <c r="D20" s="485">
        <f>IFERROR(IF(GETPIVOTDATA("合計 / " &amp; $B20,【ピボット】事業所収支!$A$3,"年月",D$13,"事業所",$A$12)=0,#N/A,GETPIVOTDATA("合計 / " &amp; $B20,【ピボット】事業所収支!$A$3,"年月",D$13,"事業所",$A$12)),#N/A)</f>
        <v>14634</v>
      </c>
      <c r="E20" s="485">
        <f>IFERROR(IF(GETPIVOTDATA("合計 / " &amp; $B20,【ピボット】事業所収支!$A$3,"年月",E$13,"事業所",$A$12)=0,#N/A,GETPIVOTDATA("合計 / " &amp; $B20,【ピボット】事業所収支!$A$3,"年月",E$13,"事業所",$A$12)),#N/A)</f>
        <v>19599</v>
      </c>
      <c r="F20" s="485">
        <f>IFERROR(IF(GETPIVOTDATA("合計 / " &amp; $B20,【ピボット】事業所収支!$A$3,"年月",F$13,"事業所",$A$12)=0,#N/A,GETPIVOTDATA("合計 / " &amp; $B20,【ピボット】事業所収支!$A$3,"年月",F$13,"事業所",$A$12)),#N/A)</f>
        <v>13744</v>
      </c>
      <c r="G20" s="485">
        <f>IFERROR(IF(GETPIVOTDATA("合計 / " &amp; $B20,【ピボット】事業所収支!$A$3,"年月",G$13,"事業所",$A$12)=0,#N/A,GETPIVOTDATA("合計 / " &amp; $B20,【ピボット】事業所収支!$A$3,"年月",G$13,"事業所",$A$12)),#N/A)</f>
        <v>30081</v>
      </c>
      <c r="H20" s="485">
        <f>IFERROR(IF(GETPIVOTDATA("合計 / " &amp; $B20,【ピボット】事業所収支!$A$3,"年月",H$13,"事業所",$A$12)=0,#N/A,GETPIVOTDATA("合計 / " &amp; $B20,【ピボット】事業所収支!$A$3,"年月",H$13,"事業所",$A$12)),#N/A)</f>
        <v>24390</v>
      </c>
      <c r="I20" s="485">
        <f>IFERROR(IF(GETPIVOTDATA("合計 / " &amp; $B20,【ピボット】事業所収支!$A$3,"年月",I$13,"事業所",$A$12)=0,#N/A,GETPIVOTDATA("合計 / " &amp; $B20,【ピボット】事業所収支!$A$3,"年月",I$13,"事業所",$A$12)),#N/A)</f>
        <v>51243</v>
      </c>
      <c r="J20" s="485">
        <f>IFERROR(IF(GETPIVOTDATA("合計 / " &amp; $B20,【ピボット】事業所収支!$A$3,"年月",J$13,"事業所",$A$12)=0,#N/A,GETPIVOTDATA("合計 / " &amp; $B20,【ピボット】事業所収支!$A$3,"年月",J$13,"事業所",$A$12)),#N/A)</f>
        <v>73335</v>
      </c>
      <c r="K20" s="485">
        <f>IFERROR(IF(GETPIVOTDATA("合計 / " &amp; $B20,【ピボット】事業所収支!$A$3,"年月",K$13,"事業所",$A$12)=0,#N/A,GETPIVOTDATA("合計 / " &amp; $B20,【ピボット】事業所収支!$A$3,"年月",K$13,"事業所",$A$12)),#N/A)</f>
        <v>58110</v>
      </c>
      <c r="L20" s="485">
        <f>IFERROR(IF(GETPIVOTDATA("合計 / " &amp; $B20,【ピボット】事業所収支!$A$3,"年月",L$13,"事業所",$A$12)=0,#N/A,GETPIVOTDATA("合計 / " &amp; $B20,【ピボット】事業所収支!$A$3,"年月",L$13,"事業所",$A$12)),#N/A)</f>
        <v>13705</v>
      </c>
      <c r="M20" s="485">
        <f>IFERROR(IF(GETPIVOTDATA("合計 / " &amp; $B20,【ピボット】事業所収支!$A$3,"年月",M$13,"事業所",$A$12)=0,#N/A,GETPIVOTDATA("合計 / " &amp; $B20,【ピボット】事業所収支!$A$3,"年月",M$13,"事業所",$A$12)),#N/A)</f>
        <v>69849</v>
      </c>
      <c r="N20" s="485">
        <f>IFERROR(IF(GETPIVOTDATA("合計 / " &amp; $B20,【ピボット】事業所収支!$A$3,"年月",N$13,"事業所",$A$12)=0,#N/A,GETPIVOTDATA("合計 / " &amp; $B20,【ピボット】事業所収支!$A$3,"年月",N$13,"事業所",$A$12)),#N/A)</f>
        <v>9792</v>
      </c>
      <c r="O20" s="485">
        <f>IFERROR(IF(GETPIVOTDATA("合計 / " &amp; $B20,【ピボット】事業所収支!$A$3,"年月",O$13,"事業所",$A$12)=0,#N/A,GETPIVOTDATA("合計 / " &amp; $B20,【ピボット】事業所収支!$A$3,"年月",O$13,"事業所",$A$12)),#N/A)</f>
        <v>9765</v>
      </c>
      <c r="P20" s="485">
        <f>IFERROR(IF(GETPIVOTDATA("合計 / " &amp; $B20,【ピボット】事業所収支!$A$3,"年月",P$13,"事業所",$A$12)=0,#N/A,GETPIVOTDATA("合計 / " &amp; $B20,【ピボット】事業所収支!$A$3,"年月",P$13,"事業所",$A$12)),#N/A)</f>
        <v>-14849</v>
      </c>
      <c r="Q20" s="485">
        <f>IFERROR(IF(GETPIVOTDATA("合計 / " &amp; $B20,【ピボット】事業所収支!$A$3,"年月",Q$13,"事業所",$A$12)=0,#N/A,GETPIVOTDATA("合計 / " &amp; $B20,【ピボット】事業所収支!$A$3,"年月",Q$13,"事業所",$A$12)),#N/A)</f>
        <v>26707</v>
      </c>
      <c r="R20" s="485">
        <f>IFERROR(IF(GETPIVOTDATA("合計 / " &amp; $B20,【ピボット】事業所収支!$A$3,"年月",R$13,"事業所",$A$12)=0,#N/A,GETPIVOTDATA("合計 / " &amp; $B20,【ピボット】事業所収支!$A$3,"年月",R$13,"事業所",$A$12)),#N/A)</f>
        <v>30192</v>
      </c>
      <c r="S20" s="485">
        <f>IFERROR(IF(GETPIVOTDATA("合計 / " &amp; $B20,【ピボット】事業所収支!$A$3,"年月",S$13,"事業所",$A$12)=0,#N/A,GETPIVOTDATA("合計 / " &amp; $B20,【ピボット】事業所収支!$A$3,"年月",S$13,"事業所",$A$12)),#N/A)</f>
        <v>114366</v>
      </c>
      <c r="T20" s="485">
        <f>IFERROR(IF(GETPIVOTDATA("合計 / " &amp; $B20,【ピボット】事業所収支!$A$3,"年月",T$13,"事業所",$A$12)=0,#N/A,GETPIVOTDATA("合計 / " &amp; $B20,【ピボット】事業所収支!$A$3,"年月",T$13,"事業所",$A$12)),#N/A)</f>
        <v>57078</v>
      </c>
      <c r="U20" s="485">
        <f>IFERROR(IF(GETPIVOTDATA("合計 / " &amp; $B20,【ピボット】事業所収支!$A$3,"年月",U$13,"事業所",$A$12)=0,#N/A,GETPIVOTDATA("合計 / " &amp; $B20,【ピボット】事業所収支!$A$3,"年月",U$13,"事業所",$A$12)),#N/A)</f>
        <v>26550</v>
      </c>
      <c r="V20" s="485">
        <f>IFERROR(IF(GETPIVOTDATA("合計 / " &amp; $B20,【ピボット】事業所収支!$A$3,"年月",V$13,"事業所",$A$12)=0,#N/A,GETPIVOTDATA("合計 / " &amp; $B20,【ピボット】事業所収支!$A$3,"年月",V$13,"事業所",$A$12)),#N/A)</f>
        <v>36004</v>
      </c>
      <c r="W20" s="485">
        <f>IFERROR(IF(GETPIVOTDATA("合計 / " &amp; $B20,【ピボット】事業所収支!$A$3,"年月",W$13,"事業所",$A$12)=0,#N/A,GETPIVOTDATA("合計 / " &amp; $B20,【ピボット】事業所収支!$A$3,"年月",W$13,"事業所",$A$12)),#N/A)</f>
        <v>72624</v>
      </c>
      <c r="X20" s="485">
        <f>IFERROR(IF(GETPIVOTDATA("合計 / " &amp; $B20,【ピボット】事業所収支!$A$3,"年月",X$13,"事業所",$A$12)=0,#N/A,GETPIVOTDATA("合計 / " &amp; $B20,【ピボット】事業所収支!$A$3,"年月",X$13,"事業所",$A$12)),#N/A)</f>
        <v>49696</v>
      </c>
      <c r="Y20" s="485">
        <f>IFERROR(IF(GETPIVOTDATA("合計 / " &amp; $B20,【ピボット】事業所収支!$A$3,"年月",Y$13,"事業所",$A$12)=0,#N/A,GETPIVOTDATA("合計 / " &amp; $B20,【ピボット】事業所収支!$A$3,"年月",Y$13,"事業所",$A$12)),#N/A)</f>
        <v>45927</v>
      </c>
      <c r="Z20" s="485">
        <f>IFERROR(IF(GETPIVOTDATA("合計 / " &amp; $B20,【ピボット】事業所収支!$A$3,"年月",Z$13,"事業所",$A$12)=0,#N/A,GETPIVOTDATA("合計 / " &amp; $B20,【ピボット】事業所収支!$A$3,"年月",Z$13,"事業所",$A$12)),#N/A)</f>
        <v>49542</v>
      </c>
    </row>
    <row r="21" spans="2:27" x14ac:dyDescent="0.15">
      <c r="B21" s="41" t="s">
        <v>15</v>
      </c>
      <c r="C21" s="486">
        <f>IFERROR(IF(GETPIVOTDATA("合計 / " &amp; $B21,【ピボット】事業所収支!$A$3,"年月",C$13,"事業所",$A$12)=0,#N/A,GETPIVOTDATA("合計 / " &amp; $B21,【ピボット】事業所収支!$A$3,"年月",C$13,"事業所",$A$12)),#N/A)</f>
        <v>5414278</v>
      </c>
      <c r="D21" s="486">
        <f>IFERROR(IF(GETPIVOTDATA("合計 / " &amp; $B21,【ピボット】事業所収支!$A$3,"年月",D$13,"事業所",$A$12)=0,#N/A,GETPIVOTDATA("合計 / " &amp; $B21,【ピボット】事業所収支!$A$3,"年月",D$13,"事業所",$A$12)),#N/A)</f>
        <v>8389900</v>
      </c>
      <c r="E21" s="486">
        <f>IFERROR(IF(GETPIVOTDATA("合計 / " &amp; $B21,【ピボット】事業所収支!$A$3,"年月",E$13,"事業所",$A$12)=0,#N/A,GETPIVOTDATA("合計 / " &amp; $B21,【ピボット】事業所収支!$A$3,"年月",E$13,"事業所",$A$12)),#N/A)</f>
        <v>5963451</v>
      </c>
      <c r="F21" s="486">
        <f>IFERROR(IF(GETPIVOTDATA("合計 / " &amp; $B21,【ピボット】事業所収支!$A$3,"年月",F$13,"事業所",$A$12)=0,#N/A,GETPIVOTDATA("合計 / " &amp; $B21,【ピボット】事業所収支!$A$3,"年月",F$13,"事業所",$A$12)),#N/A)</f>
        <v>5945104</v>
      </c>
      <c r="G21" s="486">
        <f>IFERROR(IF(GETPIVOTDATA("合計 / " &amp; $B21,【ピボット】事業所収支!$A$3,"年月",G$13,"事業所",$A$12)=0,#N/A,GETPIVOTDATA("合計 / " &amp; $B21,【ピボット】事業所収支!$A$3,"年月",G$13,"事業所",$A$12)),#N/A)</f>
        <v>5686858</v>
      </c>
      <c r="H21" s="486">
        <f>IFERROR(IF(GETPIVOTDATA("合計 / " &amp; $B21,【ピボット】事業所収支!$A$3,"年月",H$13,"事業所",$A$12)=0,#N/A,GETPIVOTDATA("合計 / " &amp; $B21,【ピボット】事業所収支!$A$3,"年月",H$13,"事業所",$A$12)),#N/A)</f>
        <v>5926745</v>
      </c>
      <c r="I21" s="486">
        <f>IFERROR(IF(GETPIVOTDATA("合計 / " &amp; $B21,【ピボット】事業所収支!$A$3,"年月",I$13,"事業所",$A$12)=0,#N/A,GETPIVOTDATA("合計 / " &amp; $B21,【ピボット】事業所収支!$A$3,"年月",I$13,"事業所",$A$12)),#N/A)</f>
        <v>5874921</v>
      </c>
      <c r="J21" s="486">
        <f>IFERROR(IF(GETPIVOTDATA("合計 / " &amp; $B21,【ピボット】事業所収支!$A$3,"年月",J$13,"事業所",$A$12)=0,#N/A,GETPIVOTDATA("合計 / " &amp; $B21,【ピボット】事業所収支!$A$3,"年月",J$13,"事業所",$A$12)),#N/A)</f>
        <v>9246413.5809065793</v>
      </c>
      <c r="K21" s="486">
        <f>IFERROR(IF(GETPIVOTDATA("合計 / " &amp; $B21,【ピボット】事業所収支!$A$3,"年月",K$13,"事業所",$A$12)=0,#N/A,GETPIVOTDATA("合計 / " &amp; $B21,【ピボット】事業所収支!$A$3,"年月",K$13,"事業所",$A$12)),#N/A)</f>
        <v>6117998</v>
      </c>
      <c r="L21" s="486">
        <f>IFERROR(IF(GETPIVOTDATA("合計 / " &amp; $B21,【ピボット】事業所収支!$A$3,"年月",L$13,"事業所",$A$12)=0,#N/A,GETPIVOTDATA("合計 / " &amp; $B21,【ピボット】事業所収支!$A$3,"年月",L$13,"事業所",$A$12)),#N/A)</f>
        <v>5099734</v>
      </c>
      <c r="M21" s="486">
        <f>IFERROR(IF(GETPIVOTDATA("合計 / " &amp; $B21,【ピボット】事業所収支!$A$3,"年月",M$13,"事業所",$A$12)=0,#N/A,GETPIVOTDATA("合計 / " &amp; $B21,【ピボット】事業所収支!$A$3,"年月",M$13,"事業所",$A$12)),#N/A)</f>
        <v>5529722</v>
      </c>
      <c r="N21" s="486">
        <f>IFERROR(IF(GETPIVOTDATA("合計 / " &amp; $B21,【ピボット】事業所収支!$A$3,"年月",N$13,"事業所",$A$12)=0,#N/A,GETPIVOTDATA("合計 / " &amp; $B21,【ピボット】事業所収支!$A$3,"年月",N$13,"事業所",$A$12)),#N/A)</f>
        <v>5610054</v>
      </c>
      <c r="O21" s="486">
        <f>IFERROR(IF(GETPIVOTDATA("合計 / " &amp; $B21,【ピボット】事業所収支!$A$3,"年月",O$13,"事業所",$A$12)=0,#N/A,GETPIVOTDATA("合計 / " &amp; $B21,【ピボット】事業所収支!$A$3,"年月",O$13,"事業所",$A$12)),#N/A)</f>
        <v>5597651</v>
      </c>
      <c r="P21" s="486">
        <f>IFERROR(IF(GETPIVOTDATA("合計 / " &amp; $B21,【ピボット】事業所収支!$A$3,"年月",P$13,"事業所",$A$12)=0,#N/A,GETPIVOTDATA("合計 / " &amp; $B21,【ピボット】事業所収支!$A$3,"年月",P$13,"事業所",$A$12)),#N/A)</f>
        <v>8343946</v>
      </c>
      <c r="Q21" s="486">
        <f>IFERROR(IF(GETPIVOTDATA("合計 / " &amp; $B21,【ピボット】事業所収支!$A$3,"年月",Q$13,"事業所",$A$12)=0,#N/A,GETPIVOTDATA("合計 / " &amp; $B21,【ピボット】事業所収支!$A$3,"年月",Q$13,"事業所",$A$12)),#N/A)</f>
        <v>6323797</v>
      </c>
      <c r="R21" s="486">
        <f>IFERROR(IF(GETPIVOTDATA("合計 / " &amp; $B21,【ピボット】事業所収支!$A$3,"年月",R$13,"事業所",$A$12)=0,#N/A,GETPIVOTDATA("合計 / " &amp; $B21,【ピボット】事業所収支!$A$3,"年月",R$13,"事業所",$A$12)),#N/A)</f>
        <v>6012816</v>
      </c>
      <c r="S21" s="486">
        <f>IFERROR(IF(GETPIVOTDATA("合計 / " &amp; $B21,【ピボット】事業所収支!$A$3,"年月",S$13,"事業所",$A$12)=0,#N/A,GETPIVOTDATA("合計 / " &amp; $B21,【ピボット】事業所収支!$A$3,"年月",S$13,"事業所",$A$12)),#N/A)</f>
        <v>5728498</v>
      </c>
      <c r="T21" s="486">
        <f>IFERROR(IF(GETPIVOTDATA("合計 / " &amp; $B21,【ピボット】事業所収支!$A$3,"年月",T$13,"事業所",$A$12)=0,#N/A,GETPIVOTDATA("合計 / " &amp; $B21,【ピボット】事業所収支!$A$3,"年月",T$13,"事業所",$A$12)),#N/A)</f>
        <v>6850522</v>
      </c>
      <c r="U21" s="486">
        <f>IFERROR(IF(GETPIVOTDATA("合計 / " &amp; $B21,【ピボット】事業所収支!$A$3,"年月",U$13,"事業所",$A$12)=0,#N/A,GETPIVOTDATA("合計 / " &amp; $B21,【ピボット】事業所収支!$A$3,"年月",U$13,"事業所",$A$12)),#N/A)</f>
        <v>6898249</v>
      </c>
      <c r="V21" s="486">
        <f>IFERROR(IF(GETPIVOTDATA("合計 / " &amp; $B21,【ピボット】事業所収支!$A$3,"年月",V$13,"事業所",$A$12)=0,#N/A,GETPIVOTDATA("合計 / " &amp; $B21,【ピボット】事業所収支!$A$3,"年月",V$13,"事業所",$A$12)),#N/A)</f>
        <v>10396961</v>
      </c>
      <c r="W21" s="486">
        <f>IFERROR(IF(GETPIVOTDATA("合計 / " &amp; $B21,【ピボット】事業所収支!$A$3,"年月",W$13,"事業所",$A$12)=0,#N/A,GETPIVOTDATA("合計 / " &amp; $B21,【ピボット】事業所収支!$A$3,"年月",W$13,"事業所",$A$12)),#N/A)</f>
        <v>7106379</v>
      </c>
      <c r="X21" s="486">
        <f>IFERROR(IF(GETPIVOTDATA("合計 / " &amp; $B21,【ピボット】事業所収支!$A$3,"年月",X$13,"事業所",$A$12)=0,#N/A,GETPIVOTDATA("合計 / " &amp; $B21,【ピボット】事業所収支!$A$3,"年月",X$13,"事業所",$A$12)),#N/A)</f>
        <v>6977171</v>
      </c>
      <c r="Y21" s="486">
        <f>IFERROR(IF(GETPIVOTDATA("合計 / " &amp; $B21,【ピボット】事業所収支!$A$3,"年月",Y$13,"事業所",$A$12)=0,#N/A,GETPIVOTDATA("合計 / " &amp; $B21,【ピボット】事業所収支!$A$3,"年月",Y$13,"事業所",$A$12)),#N/A)</f>
        <v>7175183</v>
      </c>
      <c r="Z21" s="486">
        <f>IFERROR(IF(GETPIVOTDATA("合計 / " &amp; $B21,【ピボット】事業所収支!$A$3,"年月",Z$13,"事業所",$A$12)=0,#N/A,GETPIVOTDATA("合計 / " &amp; $B21,【ピボット】事業所収支!$A$3,"年月",Z$13,"事業所",$A$12)),#N/A)</f>
        <v>6591671</v>
      </c>
    </row>
    <row r="22" spans="2:27" x14ac:dyDescent="0.15">
      <c r="B22" s="48" t="s">
        <v>30</v>
      </c>
      <c r="C22" s="487">
        <f>IFERROR(IF(GETPIVOTDATA("合計 / " &amp; $B22&amp;"計",【ピボット】事業所収支!$A$3,"年月",C$13,"事業所",$A$12)=0,#N/A,GETPIVOTDATA("合計 / " &amp; $B22&amp;"計",【ピボット】事業所収支!$A$3,"年月",C$13,"事業所",$A$12)),#N/A)</f>
        <v>691271</v>
      </c>
      <c r="D22" s="487">
        <f>IFERROR(IF(GETPIVOTDATA("合計 / " &amp; $B22&amp;"計",【ピボット】事業所収支!$A$3,"年月",D$13,"事業所",$A$12)=0,#N/A,GETPIVOTDATA("合計 / " &amp; $B22&amp;"計",【ピボット】事業所収支!$A$3,"年月",D$13,"事業所",$A$12)),#N/A)</f>
        <v>687623</v>
      </c>
      <c r="E22" s="487">
        <f>IFERROR(IF(GETPIVOTDATA("合計 / " &amp; $B22&amp;"計",【ピボット】事業所収支!$A$3,"年月",E$13,"事業所",$A$12)=0,#N/A,GETPIVOTDATA("合計 / " &amp; $B22&amp;"計",【ピボット】事業所収支!$A$3,"年月",E$13,"事業所",$A$12)),#N/A)</f>
        <v>686383</v>
      </c>
      <c r="F22" s="487">
        <f>IFERROR(IF(GETPIVOTDATA("合計 / " &amp; $B22&amp;"計",【ピボット】事業所収支!$A$3,"年月",F$13,"事業所",$A$12)=0,#N/A,GETPIVOTDATA("合計 / " &amp; $B22&amp;"計",【ピボット】事業所収支!$A$3,"年月",F$13,"事業所",$A$12)),#N/A)</f>
        <v>815869</v>
      </c>
      <c r="G22" s="487">
        <f>IFERROR(IF(GETPIVOTDATA("合計 / " &amp; $B22&amp;"計",【ピボット】事業所収支!$A$3,"年月",G$13,"事業所",$A$12)=0,#N/A,GETPIVOTDATA("合計 / " &amp; $B22&amp;"計",【ピボット】事業所収支!$A$3,"年月",G$13,"事業所",$A$12)),#N/A)</f>
        <v>693471</v>
      </c>
      <c r="H22" s="487">
        <f>IFERROR(IF(GETPIVOTDATA("合計 / " &amp; $B22&amp;"計",【ピボット】事業所収支!$A$3,"年月",H$13,"事業所",$A$12)=0,#N/A,GETPIVOTDATA("合計 / " &amp; $B22&amp;"計",【ピボット】事業所収支!$A$3,"年月",H$13,"事業所",$A$12)),#N/A)</f>
        <v>731238</v>
      </c>
      <c r="I22" s="487">
        <f>IFERROR(IF(GETPIVOTDATA("合計 / " &amp; $B22&amp;"計",【ピボット】事業所収支!$A$3,"年月",I$13,"事業所",$A$12)=0,#N/A,GETPIVOTDATA("合計 / " &amp; $B22&amp;"計",【ピボット】事業所収支!$A$3,"年月",I$13,"事業所",$A$12)),#N/A)</f>
        <v>718518</v>
      </c>
      <c r="J22" s="487">
        <f>IFERROR(IF(GETPIVOTDATA("合計 / " &amp; $B22&amp;"計",【ピボット】事業所収支!$A$3,"年月",J$13,"事業所",$A$12)=0,#N/A,GETPIVOTDATA("合計 / " &amp; $B22&amp;"計",【ピボット】事業所収支!$A$3,"年月",J$13,"事業所",$A$12)),#N/A)</f>
        <v>1226343</v>
      </c>
      <c r="K22" s="487">
        <f>IFERROR(IF(GETPIVOTDATA("合計 / " &amp; $B22&amp;"計",【ピボット】事業所収支!$A$3,"年月",K$13,"事業所",$A$12)=0,#N/A,GETPIVOTDATA("合計 / " &amp; $B22&amp;"計",【ピボット】事業所収支!$A$3,"年月",K$13,"事業所",$A$12)),#N/A)</f>
        <v>748654</v>
      </c>
      <c r="L22" s="487">
        <f>IFERROR(IF(GETPIVOTDATA("合計 / " &amp; $B22&amp;"計",【ピボット】事業所収支!$A$3,"年月",L$13,"事業所",$A$12)=0,#N/A,GETPIVOTDATA("合計 / " &amp; $B22&amp;"計",【ピボット】事業所収支!$A$3,"年月",L$13,"事業所",$A$12)),#N/A)</f>
        <v>865331</v>
      </c>
      <c r="M22" s="487">
        <f>IFERROR(IF(GETPIVOTDATA("合計 / " &amp; $B22&amp;"計",【ピボット】事業所収支!$A$3,"年月",M$13,"事業所",$A$12)=0,#N/A,GETPIVOTDATA("合計 / " &amp; $B22&amp;"計",【ピボット】事業所収支!$A$3,"年月",M$13,"事業所",$A$12)),#N/A)</f>
        <v>1009607</v>
      </c>
      <c r="N22" s="487">
        <f>IFERROR(IF(GETPIVOTDATA("合計 / " &amp; $B22&amp;"計",【ピボット】事業所収支!$A$3,"年月",N$13,"事業所",$A$12)=0,#N/A,GETPIVOTDATA("合計 / " &amp; $B22&amp;"計",【ピボット】事業所収支!$A$3,"年月",N$13,"事業所",$A$12)),#N/A)</f>
        <v>923174</v>
      </c>
      <c r="O22" s="487">
        <f>IFERROR(IF(GETPIVOTDATA("合計 / " &amp; $B22&amp;"計",【ピボット】事業所収支!$A$3,"年月",O$13,"事業所",$A$12)=0,#N/A,GETPIVOTDATA("合計 / " &amp; $B22&amp;"計",【ピボット】事業所収支!$A$3,"年月",O$13,"事業所",$A$12)),#N/A)</f>
        <v>1100663</v>
      </c>
      <c r="P22" s="487">
        <f>IFERROR(IF(GETPIVOTDATA("合計 / " &amp; $B22&amp;"計",【ピボット】事業所収支!$A$3,"年月",P$13,"事業所",$A$12)=0,#N/A,GETPIVOTDATA("合計 / " &amp; $B22&amp;"計",【ピボット】事業所収支!$A$3,"年月",P$13,"事業所",$A$12)),#N/A)</f>
        <v>816030</v>
      </c>
      <c r="Q22" s="487">
        <f>IFERROR(IF(GETPIVOTDATA("合計 / " &amp; $B22&amp;"計",【ピボット】事業所収支!$A$3,"年月",Q$13,"事業所",$A$12)=0,#N/A,GETPIVOTDATA("合計 / " &amp; $B22&amp;"計",【ピボット】事業所収支!$A$3,"年月",Q$13,"事業所",$A$12)),#N/A)</f>
        <v>1023675</v>
      </c>
      <c r="R22" s="487">
        <f>IFERROR(IF(GETPIVOTDATA("合計 / " &amp; $B22&amp;"計",【ピボット】事業所収支!$A$3,"年月",R$13,"事業所",$A$12)=0,#N/A,GETPIVOTDATA("合計 / " &amp; $B22&amp;"計",【ピボット】事業所収支!$A$3,"年月",R$13,"事業所",$A$12)),#N/A)</f>
        <v>1058189</v>
      </c>
      <c r="S22" s="487">
        <f>IFERROR(IF(GETPIVOTDATA("合計 / " &amp; $B22&amp;"計",【ピボット】事業所収支!$A$3,"年月",S$13,"事業所",$A$12)=0,#N/A,GETPIVOTDATA("合計 / " &amp; $B22&amp;"計",【ピボット】事業所収支!$A$3,"年月",S$13,"事業所",$A$12)),#N/A)</f>
        <v>830297</v>
      </c>
      <c r="T22" s="487">
        <f>IFERROR(IF(GETPIVOTDATA("合計 / " &amp; $B22&amp;"計",【ピボット】事業所収支!$A$3,"年月",T$13,"事業所",$A$12)=0,#N/A,GETPIVOTDATA("合計 / " &amp; $B22&amp;"計",【ピボット】事業所収支!$A$3,"年月",T$13,"事業所",$A$12)),#N/A)</f>
        <v>1854621</v>
      </c>
      <c r="U22" s="487">
        <f>IFERROR(IF(GETPIVOTDATA("合計 / " &amp; $B22&amp;"計",【ピボット】事業所収支!$A$3,"年月",U$13,"事業所",$A$12)=0,#N/A,GETPIVOTDATA("合計 / " &amp; $B22&amp;"計",【ピボット】事業所収支!$A$3,"年月",U$13,"事業所",$A$12)),#N/A)</f>
        <v>1365541</v>
      </c>
      <c r="V22" s="487">
        <f>IFERROR(IF(GETPIVOTDATA("合計 / " &amp; $B22&amp;"計",【ピボット】事業所収支!$A$3,"年月",V$13,"事業所",$A$12)=0,#N/A,GETPIVOTDATA("合計 / " &amp; $B22&amp;"計",【ピボット】事業所収支!$A$3,"年月",V$13,"事業所",$A$12)),#N/A)</f>
        <v>1361625</v>
      </c>
      <c r="W22" s="487">
        <f>IFERROR(IF(GETPIVOTDATA("合計 / " &amp; $B22&amp;"計",【ピボット】事業所収支!$A$3,"年月",W$13,"事業所",$A$12)=0,#N/A,GETPIVOTDATA("合計 / " &amp; $B22&amp;"計",【ピボット】事業所収支!$A$3,"年月",W$13,"事業所",$A$12)),#N/A)</f>
        <v>1548843</v>
      </c>
      <c r="X22" s="487">
        <f>IFERROR(IF(GETPIVOTDATA("合計 / " &amp; $B22&amp;"計",【ピボット】事業所収支!$A$3,"年月",X$13,"事業所",$A$12)=0,#N/A,GETPIVOTDATA("合計 / " &amp; $B22&amp;"計",【ピボット】事業所収支!$A$3,"年月",X$13,"事業所",$A$12)),#N/A)</f>
        <v>1273886</v>
      </c>
      <c r="Y22" s="487">
        <f>IFERROR(IF(GETPIVOTDATA("合計 / " &amp; $B22&amp;"計",【ピボット】事業所収支!$A$3,"年月",Y$13,"事業所",$A$12)=0,#N/A,GETPIVOTDATA("合計 / " &amp; $B22&amp;"計",【ピボット】事業所収支!$A$3,"年月",Y$13,"事業所",$A$12)),#N/A)</f>
        <v>1155405</v>
      </c>
      <c r="Z22" s="487">
        <f>IFERROR(IF(GETPIVOTDATA("合計 / " &amp; $B22&amp;"計",【ピボット】事業所収支!$A$3,"年月",Z$13,"事業所",$A$12)=0,#N/A,GETPIVOTDATA("合計 / " &amp; $B22&amp;"計",【ピボット】事業所収支!$A$3,"年月",Z$13,"事業所",$A$12)),#N/A)</f>
        <v>1067661</v>
      </c>
      <c r="AA22" s="4"/>
    </row>
    <row r="23" spans="2:27" hidden="1" x14ac:dyDescent="0.15">
      <c r="B23" s="48" t="s">
        <v>52</v>
      </c>
      <c r="C23" s="487" t="e">
        <f>#REF!</f>
        <v>#REF!</v>
      </c>
      <c r="D23" s="487" t="e">
        <f>#REF!</f>
        <v>#REF!</v>
      </c>
      <c r="E23" s="487" t="e">
        <f>#REF!</f>
        <v>#REF!</v>
      </c>
      <c r="F23" s="487" t="e">
        <f>#REF!</f>
        <v>#REF!</v>
      </c>
      <c r="G23" s="487" t="e">
        <f>#REF!</f>
        <v>#REF!</v>
      </c>
      <c r="H23" s="487" t="e">
        <f>#REF!</f>
        <v>#REF!</v>
      </c>
      <c r="I23" s="487" t="e">
        <f>#REF!</f>
        <v>#REF!</v>
      </c>
      <c r="J23" s="487" t="e">
        <f>#REF!</f>
        <v>#REF!</v>
      </c>
      <c r="K23" s="487" t="e">
        <f>#REF!</f>
        <v>#REF!</v>
      </c>
      <c r="L23" s="487" t="e">
        <f>#REF!</f>
        <v>#REF!</v>
      </c>
      <c r="M23" s="487" t="e">
        <f>#REF!</f>
        <v>#REF!</v>
      </c>
      <c r="N23" s="487" t="e">
        <f>#REF!</f>
        <v>#REF!</v>
      </c>
      <c r="O23" s="487" t="e">
        <f>#REF!</f>
        <v>#REF!</v>
      </c>
      <c r="P23" s="487" t="e">
        <f>#REF!</f>
        <v>#REF!</v>
      </c>
      <c r="Q23" s="487" t="e">
        <f>#REF!</f>
        <v>#REF!</v>
      </c>
      <c r="R23" s="487" t="e">
        <f>#REF!</f>
        <v>#REF!</v>
      </c>
      <c r="S23" s="487" t="e">
        <f>#REF!</f>
        <v>#REF!</v>
      </c>
      <c r="T23" s="487" t="e">
        <f>#REF!</f>
        <v>#REF!</v>
      </c>
      <c r="U23" s="487" t="e">
        <f>#REF!</f>
        <v>#REF!</v>
      </c>
      <c r="V23" s="487" t="e">
        <f>#REF!</f>
        <v>#REF!</v>
      </c>
      <c r="W23" s="487" t="e">
        <f>#REF!</f>
        <v>#REF!</v>
      </c>
      <c r="X23" s="487" t="e">
        <f>#REF!</f>
        <v>#REF!</v>
      </c>
      <c r="Y23" s="487" t="e">
        <f>#REF!</f>
        <v>#REF!</v>
      </c>
      <c r="Z23" s="487" t="e">
        <f>#REF!</f>
        <v>#REF!</v>
      </c>
      <c r="AA23" s="4"/>
    </row>
    <row r="24" spans="2:27" x14ac:dyDescent="0.15">
      <c r="B24" s="8" t="s">
        <v>53</v>
      </c>
      <c r="C24" s="483">
        <f t="shared" ref="C24:Z24" si="2">IFERROR(C21,0)+IFERROR(C22,0)</f>
        <v>6105549</v>
      </c>
      <c r="D24" s="483">
        <f t="shared" si="2"/>
        <v>9077523</v>
      </c>
      <c r="E24" s="483">
        <f t="shared" si="2"/>
        <v>6649834</v>
      </c>
      <c r="F24" s="483">
        <f t="shared" si="2"/>
        <v>6760973</v>
      </c>
      <c r="G24" s="483">
        <f t="shared" si="2"/>
        <v>6380329</v>
      </c>
      <c r="H24" s="483">
        <f t="shared" si="2"/>
        <v>6657983</v>
      </c>
      <c r="I24" s="483">
        <f t="shared" si="2"/>
        <v>6593439</v>
      </c>
      <c r="J24" s="483">
        <f t="shared" si="2"/>
        <v>10472756.580906579</v>
      </c>
      <c r="K24" s="483">
        <f t="shared" si="2"/>
        <v>6866652</v>
      </c>
      <c r="L24" s="483">
        <f t="shared" si="2"/>
        <v>5965065</v>
      </c>
      <c r="M24" s="483">
        <f t="shared" si="2"/>
        <v>6539329</v>
      </c>
      <c r="N24" s="483">
        <f t="shared" si="2"/>
        <v>6533228</v>
      </c>
      <c r="O24" s="483">
        <f t="shared" si="2"/>
        <v>6698314</v>
      </c>
      <c r="P24" s="483">
        <f t="shared" si="2"/>
        <v>9159976</v>
      </c>
      <c r="Q24" s="483">
        <f t="shared" si="2"/>
        <v>7347472</v>
      </c>
      <c r="R24" s="483">
        <f t="shared" si="2"/>
        <v>7071005</v>
      </c>
      <c r="S24" s="483">
        <f t="shared" si="2"/>
        <v>6558795</v>
      </c>
      <c r="T24" s="483">
        <f t="shared" si="2"/>
        <v>8705143</v>
      </c>
      <c r="U24" s="483">
        <f t="shared" si="2"/>
        <v>8263790</v>
      </c>
      <c r="V24" s="483">
        <f t="shared" si="2"/>
        <v>11758586</v>
      </c>
      <c r="W24" s="483">
        <f t="shared" si="2"/>
        <v>8655222</v>
      </c>
      <c r="X24" s="483">
        <f t="shared" si="2"/>
        <v>8251057</v>
      </c>
      <c r="Y24" s="483">
        <f t="shared" si="2"/>
        <v>8330588</v>
      </c>
      <c r="Z24" s="483">
        <f t="shared" si="2"/>
        <v>7659332</v>
      </c>
    </row>
    <row r="25" spans="2:27" x14ac:dyDescent="0.15">
      <c r="B25" s="11" t="s">
        <v>32</v>
      </c>
      <c r="C25" s="488">
        <f>IFERROR(SUM(C14,-C24),0)</f>
        <v>3976179</v>
      </c>
      <c r="D25" s="488">
        <f t="shared" ref="D25:Z25" si="3">IFERROR(SUM(D14,-D24),0)</f>
        <v>451150</v>
      </c>
      <c r="E25" s="488">
        <f t="shared" si="3"/>
        <v>3688720</v>
      </c>
      <c r="F25" s="488">
        <f>IFERROR(SUM(F14,-F24),0)</f>
        <v>3243267</v>
      </c>
      <c r="G25" s="488">
        <f t="shared" si="3"/>
        <v>3911574</v>
      </c>
      <c r="H25" s="488">
        <f t="shared" si="3"/>
        <v>3976545</v>
      </c>
      <c r="I25" s="488">
        <f t="shared" si="3"/>
        <v>3125042</v>
      </c>
      <c r="J25" s="488">
        <f t="shared" si="3"/>
        <v>-465424.58090657927</v>
      </c>
      <c r="K25" s="488">
        <f t="shared" si="3"/>
        <v>3184205</v>
      </c>
      <c r="L25" s="488">
        <f t="shared" si="3"/>
        <v>3682762</v>
      </c>
      <c r="M25" s="488">
        <f t="shared" si="3"/>
        <v>3698252</v>
      </c>
      <c r="N25" s="488">
        <f t="shared" si="3"/>
        <v>3767966</v>
      </c>
      <c r="O25" s="488">
        <f t="shared" si="3"/>
        <v>4074513</v>
      </c>
      <c r="P25" s="488">
        <f t="shared" si="3"/>
        <v>675130</v>
      </c>
      <c r="Q25" s="488">
        <f t="shared" si="3"/>
        <v>3695299</v>
      </c>
      <c r="R25" s="488">
        <f t="shared" si="3"/>
        <v>2771750</v>
      </c>
      <c r="S25" s="488">
        <f t="shared" si="3"/>
        <v>4680715</v>
      </c>
      <c r="T25" s="488">
        <f t="shared" si="3"/>
        <v>3806189</v>
      </c>
      <c r="U25" s="488">
        <f t="shared" si="3"/>
        <v>4514881</v>
      </c>
      <c r="V25" s="488">
        <f t="shared" si="3"/>
        <v>404505</v>
      </c>
      <c r="W25" s="488">
        <f t="shared" si="3"/>
        <v>4013604</v>
      </c>
      <c r="X25" s="488">
        <f t="shared" si="3"/>
        <v>3207150</v>
      </c>
      <c r="Y25" s="488">
        <f t="shared" si="3"/>
        <v>4490808</v>
      </c>
      <c r="Z25" s="488">
        <f t="shared" si="3"/>
        <v>5242256</v>
      </c>
      <c r="AA25" s="4">
        <f>SUM(O25:Z25)</f>
        <v>41576800</v>
      </c>
    </row>
    <row r="26" spans="2:27" x14ac:dyDescent="0.15">
      <c r="B26" s="11"/>
      <c r="C26" s="489"/>
      <c r="D26" s="489"/>
      <c r="E26" s="489"/>
      <c r="F26" s="489"/>
      <c r="G26" s="489"/>
      <c r="H26" s="489"/>
      <c r="I26" s="489"/>
      <c r="J26" s="489"/>
      <c r="K26" s="489"/>
      <c r="L26" s="489"/>
      <c r="M26" s="489"/>
      <c r="N26" s="489"/>
      <c r="O26" s="489"/>
      <c r="P26" s="489"/>
      <c r="Q26" s="489"/>
      <c r="R26" s="489"/>
      <c r="S26" s="489"/>
      <c r="T26" s="489"/>
      <c r="U26" s="489"/>
      <c r="V26" s="489"/>
      <c r="W26" s="489"/>
      <c r="X26" s="489"/>
      <c r="Y26" s="489"/>
      <c r="Z26" s="489"/>
    </row>
    <row r="27" spans="2:27" x14ac:dyDescent="0.15">
      <c r="B27" s="11"/>
      <c r="X27" s="489"/>
      <c r="Y27" s="489"/>
      <c r="Z27" s="489"/>
    </row>
    <row r="51" spans="1:27" x14ac:dyDescent="0.15">
      <c r="C51" s="489"/>
      <c r="D51" s="489"/>
      <c r="E51" s="489"/>
      <c r="F51" s="489"/>
      <c r="G51" s="489"/>
      <c r="H51" s="489"/>
      <c r="I51" s="489"/>
      <c r="J51" s="489"/>
      <c r="K51" s="489"/>
      <c r="L51" s="489"/>
      <c r="M51" s="489"/>
      <c r="N51" s="489"/>
      <c r="O51" s="489"/>
      <c r="P51" s="489"/>
      <c r="Q51" s="489"/>
      <c r="R51" s="489"/>
      <c r="S51" s="489"/>
      <c r="T51" s="489"/>
      <c r="U51" s="489"/>
      <c r="V51" s="489"/>
      <c r="W51" s="489"/>
      <c r="X51" s="489"/>
      <c r="Y51" s="489"/>
      <c r="Z51" s="489"/>
    </row>
    <row r="52" spans="1:27" ht="18.75" x14ac:dyDescent="0.15">
      <c r="A52" t="s">
        <v>753</v>
      </c>
      <c r="B52" s="43" t="str">
        <f>A52 &amp; "収支"</f>
        <v>蘇我収支</v>
      </c>
    </row>
    <row r="53" spans="1:27" x14ac:dyDescent="0.15">
      <c r="B53" s="10"/>
      <c r="C53" s="668">
        <f t="shared" ref="C53:Z53" si="4">C$13</f>
        <v>42856</v>
      </c>
      <c r="D53" s="668">
        <f t="shared" si="4"/>
        <v>42887</v>
      </c>
      <c r="E53" s="668">
        <f t="shared" si="4"/>
        <v>42917</v>
      </c>
      <c r="F53" s="668">
        <f t="shared" si="4"/>
        <v>42948</v>
      </c>
      <c r="G53" s="668">
        <f t="shared" si="4"/>
        <v>42979</v>
      </c>
      <c r="H53" s="668">
        <f t="shared" si="4"/>
        <v>43009</v>
      </c>
      <c r="I53" s="668">
        <f t="shared" si="4"/>
        <v>43040</v>
      </c>
      <c r="J53" s="668">
        <f t="shared" si="4"/>
        <v>43070</v>
      </c>
      <c r="K53" s="668">
        <f t="shared" si="4"/>
        <v>43101</v>
      </c>
      <c r="L53" s="668">
        <f t="shared" si="4"/>
        <v>43132</v>
      </c>
      <c r="M53" s="668">
        <f t="shared" si="4"/>
        <v>43160</v>
      </c>
      <c r="N53" s="668">
        <f t="shared" si="4"/>
        <v>43191</v>
      </c>
      <c r="O53" s="668">
        <f t="shared" si="4"/>
        <v>43221</v>
      </c>
      <c r="P53" s="668">
        <f t="shared" si="4"/>
        <v>43252</v>
      </c>
      <c r="Q53" s="668">
        <f t="shared" si="4"/>
        <v>43282</v>
      </c>
      <c r="R53" s="668">
        <f t="shared" si="4"/>
        <v>43313</v>
      </c>
      <c r="S53" s="668">
        <f t="shared" si="4"/>
        <v>43344</v>
      </c>
      <c r="T53" s="668">
        <f t="shared" si="4"/>
        <v>43374</v>
      </c>
      <c r="U53" s="668">
        <f t="shared" si="4"/>
        <v>43405</v>
      </c>
      <c r="V53" s="668">
        <f t="shared" si="4"/>
        <v>43435</v>
      </c>
      <c r="W53" s="668">
        <f t="shared" si="4"/>
        <v>43466</v>
      </c>
      <c r="X53" s="668">
        <f t="shared" si="4"/>
        <v>43497</v>
      </c>
      <c r="Y53" s="668">
        <f t="shared" si="4"/>
        <v>43525</v>
      </c>
      <c r="Z53" s="668">
        <f t="shared" si="4"/>
        <v>43556</v>
      </c>
    </row>
    <row r="54" spans="1:27" x14ac:dyDescent="0.15">
      <c r="B54" s="12" t="s">
        <v>21</v>
      </c>
      <c r="C54" s="482">
        <f>IFERROR(IF(GETPIVOTDATA("合計 / " &amp; $B54,【ピボット】事業所収支!$A$3,"年月",C$13,"事業所",$A$52)=0,#N/A,GETPIVOTDATA("合計 / " &amp; $B54,【ピボット】事業所収支!$A$3,"年月",C$13,"事業所",$A$52)),#N/A)</f>
        <v>5342987</v>
      </c>
      <c r="D54" s="482">
        <f>IFERROR(IF(GETPIVOTDATA("合計 / " &amp; $B54,【ピボット】事業所収支!$A$3,"年月",D$13,"事業所",$A$52)=0,#N/A,GETPIVOTDATA("合計 / " &amp; $B54,【ピボット】事業所収支!$A$3,"年月",D$13,"事業所",$A$52)),#N/A)</f>
        <v>5683733</v>
      </c>
      <c r="E54" s="482">
        <f>IFERROR(IF(GETPIVOTDATA("合計 / " &amp; $B54,【ピボット】事業所収支!$A$3,"年月",E$13,"事業所",$A$52)=0,#N/A,GETPIVOTDATA("合計 / " &amp; $B54,【ピボット】事業所収支!$A$3,"年月",E$13,"事業所",$A$52)),#N/A)</f>
        <v>5487698</v>
      </c>
      <c r="F54" s="482">
        <f>IFERROR(IF(GETPIVOTDATA("合計 / " &amp; $B54,【ピボット】事業所収支!$A$3,"年月",F$13,"事業所",$A$52)=0,#N/A,GETPIVOTDATA("合計 / " &amp; $B54,【ピボット】事業所収支!$A$3,"年月",F$13,"事業所",$A$52)),#N/A)</f>
        <v>5643961</v>
      </c>
      <c r="G54" s="482">
        <f>IFERROR(IF(GETPIVOTDATA("合計 / " &amp; $B54,【ピボット】事業所収支!$A$3,"年月",G$13,"事業所",$A$52)=0,#N/A,GETPIVOTDATA("合計 / " &amp; $B54,【ピボット】事業所収支!$A$3,"年月",G$13,"事業所",$A$52)),#N/A)</f>
        <v>6023613</v>
      </c>
      <c r="H54" s="482">
        <f>IFERROR(IF(GETPIVOTDATA("合計 / " &amp; $B54,【ピボット】事業所収支!$A$3,"年月",H$13,"事業所",$A$52)=0,#N/A,GETPIVOTDATA("合計 / " &amp; $B54,【ピボット】事業所収支!$A$3,"年月",H$13,"事業所",$A$52)),#N/A)</f>
        <v>6290993</v>
      </c>
      <c r="I54" s="482">
        <f>IFERROR(IF(GETPIVOTDATA("合計 / " &amp; $B54,【ピボット】事業所収支!$A$3,"年月",I$13,"事業所",$A$52)=0,#N/A,GETPIVOTDATA("合計 / " &amp; $B54,【ピボット】事業所収支!$A$3,"年月",I$13,"事業所",$A$52)),#N/A)</f>
        <v>5954408</v>
      </c>
      <c r="J54" s="482">
        <f>IFERROR(IF(GETPIVOTDATA("合計 / " &amp; $B54,【ピボット】事業所収支!$A$3,"年月",J$13,"事業所",$A$52)=0,#N/A,GETPIVOTDATA("合計 / " &amp; $B54,【ピボット】事業所収支!$A$3,"年月",J$13,"事業所",$A$52)),#N/A)</f>
        <v>5963920</v>
      </c>
      <c r="K54" s="482">
        <f>IFERROR(IF(GETPIVOTDATA("合計 / " &amp; $B54,【ピボット】事業所収支!$A$3,"年月",K$13,"事業所",$A$52)=0,#N/A,GETPIVOTDATA("合計 / " &amp; $B54,【ピボット】事業所収支!$A$3,"年月",K$13,"事業所",$A$52)),#N/A)</f>
        <v>5489569</v>
      </c>
      <c r="L54" s="482">
        <f>IFERROR(IF(GETPIVOTDATA("合計 / " &amp; $B54,【ピボット】事業所収支!$A$3,"年月",L$13,"事業所",$A$52)=0,#N/A,GETPIVOTDATA("合計 / " &amp; $B54,【ピボット】事業所収支!$A$3,"年月",L$13,"事業所",$A$52)),#N/A)</f>
        <v>5383737</v>
      </c>
      <c r="M54" s="482">
        <f>IFERROR(IF(GETPIVOTDATA("合計 / " &amp; $B54,【ピボット】事業所収支!$A$3,"年月",M$13,"事業所",$A$52)=0,#N/A,GETPIVOTDATA("合計 / " &amp; $B54,【ピボット】事業所収支!$A$3,"年月",M$13,"事業所",$A$52)),#N/A)</f>
        <v>5385437</v>
      </c>
      <c r="N54" s="482">
        <f>IFERROR(IF(GETPIVOTDATA("合計 / " &amp; $B54,【ピボット】事業所収支!$A$3,"年月",N$13,"事業所",$A$52)=0,#N/A,GETPIVOTDATA("合計 / " &amp; $B54,【ピボット】事業所収支!$A$3,"年月",N$13,"事業所",$A$52)),#N/A)</f>
        <v>7729590</v>
      </c>
      <c r="O54" s="482">
        <f>IFERROR(IF(GETPIVOTDATA("合計 / " &amp; $B54,【ピボット】事業所収支!$A$3,"年月",O$13,"事業所",$A$52)=0,#N/A,GETPIVOTDATA("合計 / " &amp; $B54,【ピボット】事業所収支!$A$3,"年月",O$13,"事業所",$A$52)),#N/A)</f>
        <v>6731026</v>
      </c>
      <c r="P54" s="482">
        <f>IFERROR(IF(GETPIVOTDATA("合計 / " &amp; $B54,【ピボット】事業所収支!$A$3,"年月",P$13,"事業所",$A$52)=0,#N/A,GETPIVOTDATA("合計 / " &amp; $B54,【ピボット】事業所収支!$A$3,"年月",P$13,"事業所",$A$52)),#N/A)</f>
        <v>6530234</v>
      </c>
      <c r="Q54" s="482">
        <f>IFERROR(IF(GETPIVOTDATA("合計 / " &amp; $B54,【ピボット】事業所収支!$A$3,"年月",Q$13,"事業所",$A$52)=0,#N/A,GETPIVOTDATA("合計 / " &amp; $B54,【ピボット】事業所収支!$A$3,"年月",Q$13,"事業所",$A$52)),#N/A)</f>
        <v>6075758</v>
      </c>
      <c r="R54" s="482">
        <f>IFERROR(IF(GETPIVOTDATA("合計 / " &amp; $B54,【ピボット】事業所収支!$A$3,"年月",R$13,"事業所",$A$52)=0,#N/A,GETPIVOTDATA("合計 / " &amp; $B54,【ピボット】事業所収支!$A$3,"年月",R$13,"事業所",$A$52)),#N/A)</f>
        <v>6170804</v>
      </c>
      <c r="S54" s="482">
        <f>IFERROR(IF(GETPIVOTDATA("合計 / " &amp; $B54,【ピボット】事業所収支!$A$3,"年月",S$13,"事業所",$A$52)=0,#N/A,GETPIVOTDATA("合計 / " &amp; $B54,【ピボット】事業所収支!$A$3,"年月",S$13,"事業所",$A$52)),#N/A)</f>
        <v>6157056</v>
      </c>
      <c r="T54" s="482">
        <f>IFERROR(IF(GETPIVOTDATA("合計 / " &amp; $B54,【ピボット】事業所収支!$A$3,"年月",T$13,"事業所",$A$52)=0,#N/A,GETPIVOTDATA("合計 / " &amp; $B54,【ピボット】事業所収支!$A$3,"年月",T$13,"事業所",$A$52)),#N/A)</f>
        <v>7557882</v>
      </c>
      <c r="U54" s="482">
        <f>IFERROR(IF(GETPIVOTDATA("合計 / " &amp; $B54,【ピボット】事業所収支!$A$3,"年月",U$13,"事業所",$A$52)=0,#N/A,GETPIVOTDATA("合計 / " &amp; $B54,【ピボット】事業所収支!$A$3,"年月",U$13,"事業所",$A$52)),#N/A)</f>
        <v>7285298</v>
      </c>
      <c r="V54" s="482">
        <f>IFERROR(IF(GETPIVOTDATA("合計 / " &amp; $B54,【ピボット】事業所収支!$A$3,"年月",V$13,"事業所",$A$52)=0,#N/A,GETPIVOTDATA("合計 / " &amp; $B54,【ピボット】事業所収支!$A$3,"年月",V$13,"事業所",$A$52)),#N/A)</f>
        <v>6678253</v>
      </c>
      <c r="W54" s="482">
        <f>IFERROR(IF(GETPIVOTDATA("合計 / " &amp; $B54,【ピボット】事業所収支!$A$3,"年月",W$13,"事業所",$A$52)=0,#N/A,GETPIVOTDATA("合計 / " &amp; $B54,【ピボット】事業所収支!$A$3,"年月",W$13,"事業所",$A$52)),#N/A)</f>
        <v>5940817</v>
      </c>
      <c r="X54" s="482">
        <f>IFERROR(IF(GETPIVOTDATA("合計 / " &amp; $B54,【ピボット】事業所収支!$A$3,"年月",X$13,"事業所",$A$52)=0,#N/A,GETPIVOTDATA("合計 / " &amp; $B54,【ピボット】事業所収支!$A$3,"年月",X$13,"事業所",$A$52)),#N/A)</f>
        <v>6270597</v>
      </c>
      <c r="Y54" s="482">
        <f>IFERROR(IF(GETPIVOTDATA("合計 / " &amp; $B54,【ピボット】事業所収支!$A$3,"年月",Y$13,"事業所",$A$52)=0,#N/A,GETPIVOTDATA("合計 / " &amp; $B54,【ピボット】事業所収支!$A$3,"年月",Y$13,"事業所",$A$52)),#N/A)</f>
        <v>5457771</v>
      </c>
      <c r="Z54" s="482">
        <f>IFERROR(IF(GETPIVOTDATA("合計 / " &amp; $B54,【ピボット】事業所収支!$A$3,"年月",Z$13,"事業所",$A$52)=0,#N/A,GETPIVOTDATA("合計 / " &amp; $B54,【ピボット】事業所収支!$A$3,"年月",Z$13,"事業所",$A$52)),#N/A)</f>
        <v>6262229</v>
      </c>
    </row>
    <row r="55" spans="1:27" x14ac:dyDescent="0.15">
      <c r="B55" s="7" t="s">
        <v>28</v>
      </c>
      <c r="C55" s="483">
        <f>IFERROR(IF(GETPIVOTDATA("合計 / " &amp; $B55,【ピボット】事業所収支!$A$3,"年月",C$13,"事業所",$A$52)=0,#N/A,GETPIVOTDATA("合計 / " &amp; $B55,【ピボット】事業所収支!$A$3,"年月",C$13,"事業所",$A$52)),#N/A)</f>
        <v>1191288</v>
      </c>
      <c r="D55" s="483">
        <f>IFERROR(IF(GETPIVOTDATA("合計 / " &amp; $B55,【ピボット】事業所収支!$A$3,"年月",D$13,"事業所",$A$52)=0,#N/A,GETPIVOTDATA("合計 / " &amp; $B55,【ピボット】事業所収支!$A$3,"年月",D$13,"事業所",$A$52)),#N/A)</f>
        <v>1364384</v>
      </c>
      <c r="E55" s="483">
        <f>IFERROR(IF(GETPIVOTDATA("合計 / " &amp; $B55,【ピボット】事業所収支!$A$3,"年月",E$13,"事業所",$A$52)=0,#N/A,GETPIVOTDATA("合計 / " &amp; $B55,【ピボット】事業所収支!$A$3,"年月",E$13,"事業所",$A$52)),#N/A)</f>
        <v>1356331</v>
      </c>
      <c r="F55" s="483">
        <f>IFERROR(IF(GETPIVOTDATA("合計 / " &amp; $B55,【ピボット】事業所収支!$A$3,"年月",F$13,"事業所",$A$52)=0,#N/A,GETPIVOTDATA("合計 / " &amp; $B55,【ピボット】事業所収支!$A$3,"年月",F$13,"事業所",$A$52)),#N/A)</f>
        <v>1351010</v>
      </c>
      <c r="G55" s="483">
        <f>IFERROR(IF(GETPIVOTDATA("合計 / " &amp; $B55,【ピボット】事業所収支!$A$3,"年月",G$13,"事業所",$A$52)=0,#N/A,GETPIVOTDATA("合計 / " &amp; $B55,【ピボット】事業所収支!$A$3,"年月",G$13,"事業所",$A$52)),#N/A)</f>
        <v>1513407</v>
      </c>
      <c r="H55" s="483">
        <f>IFERROR(IF(GETPIVOTDATA("合計 / " &amp; $B55,【ピボット】事業所収支!$A$3,"年月",H$13,"事業所",$A$52)=0,#N/A,GETPIVOTDATA("合計 / " &amp; $B55,【ピボット】事業所収支!$A$3,"年月",H$13,"事業所",$A$52)),#N/A)</f>
        <v>1521600</v>
      </c>
      <c r="I55" s="483">
        <f>IFERROR(IF(GETPIVOTDATA("合計 / " &amp; $B55,【ピボット】事業所収支!$A$3,"年月",I$13,"事業所",$A$52)=0,#N/A,GETPIVOTDATA("合計 / " &amp; $B55,【ピボット】事業所収支!$A$3,"年月",I$13,"事業所",$A$52)),#N/A)</f>
        <v>1346063</v>
      </c>
      <c r="J55" s="483">
        <f>IFERROR(IF(GETPIVOTDATA("合計 / " &amp; $B55,【ピボット】事業所収支!$A$3,"年月",J$13,"事業所",$A$52)=0,#N/A,GETPIVOTDATA("合計 / " &amp; $B55,【ピボット】事業所収支!$A$3,"年月",J$13,"事業所",$A$52)),#N/A)</f>
        <v>1316877</v>
      </c>
      <c r="K55" s="483">
        <f>IFERROR(IF(GETPIVOTDATA("合計 / " &amp; $B55,【ピボット】事業所収支!$A$3,"年月",K$13,"事業所",$A$52)=0,#N/A,GETPIVOTDATA("合計 / " &amp; $B55,【ピボット】事業所収支!$A$3,"年月",K$13,"事業所",$A$52)),#N/A)</f>
        <v>1289087</v>
      </c>
      <c r="L55" s="483">
        <f>IFERROR(IF(GETPIVOTDATA("合計 / " &amp; $B55,【ピボット】事業所収支!$A$3,"年月",L$13,"事業所",$A$52)=0,#N/A,GETPIVOTDATA("合計 / " &amp; $B55,【ピボット】事業所収支!$A$3,"年月",L$13,"事業所",$A$52)),#N/A)</f>
        <v>1305453</v>
      </c>
      <c r="M55" s="483">
        <f>IFERROR(IF(GETPIVOTDATA("合計 / " &amp; $B55,【ピボット】事業所収支!$A$3,"年月",M$13,"事業所",$A$52)=0,#N/A,GETPIVOTDATA("合計 / " &amp; $B55,【ピボット】事業所収支!$A$3,"年月",M$13,"事業所",$A$52)),#N/A)</f>
        <v>1522073</v>
      </c>
      <c r="N55" s="483">
        <f>IFERROR(IF(GETPIVOTDATA("合計 / " &amp; $B55,【ピボット】事業所収支!$A$3,"年月",N$13,"事業所",$A$52)=0,#N/A,GETPIVOTDATA("合計 / " &amp; $B55,【ピボット】事業所収支!$A$3,"年月",N$13,"事業所",$A$52)),#N/A)</f>
        <v>1506172</v>
      </c>
      <c r="O55" s="483">
        <f>IFERROR(IF(GETPIVOTDATA("合計 / " &amp; $B55,【ピボット】事業所収支!$A$3,"年月",O$13,"事業所",$A$52)=0,#N/A,GETPIVOTDATA("合計 / " &amp; $B55,【ピボット】事業所収支!$A$3,"年月",O$13,"事業所",$A$52)),#N/A)</f>
        <v>1344542</v>
      </c>
      <c r="P55" s="483">
        <f>IFERROR(IF(GETPIVOTDATA("合計 / " &amp; $B55,【ピボット】事業所収支!$A$3,"年月",P$13,"事業所",$A$52)=0,#N/A,GETPIVOTDATA("合計 / " &amp; $B55,【ピボット】事業所収支!$A$3,"年月",P$13,"事業所",$A$52)),#N/A)</f>
        <v>1393370</v>
      </c>
      <c r="Q55" s="483">
        <f>IFERROR(IF(GETPIVOTDATA("合計 / " &amp; $B55,【ピボット】事業所収支!$A$3,"年月",Q$13,"事業所",$A$52)=0,#N/A,GETPIVOTDATA("合計 / " &amp; $B55,【ピボット】事業所収支!$A$3,"年月",Q$13,"事業所",$A$52)),#N/A)</f>
        <v>1478590</v>
      </c>
      <c r="R55" s="483">
        <f>IFERROR(IF(GETPIVOTDATA("合計 / " &amp; $B55,【ピボット】事業所収支!$A$3,"年月",R$13,"事業所",$A$52)=0,#N/A,GETPIVOTDATA("合計 / " &amp; $B55,【ピボット】事業所収支!$A$3,"年月",R$13,"事業所",$A$52)),#N/A)</f>
        <v>1216831</v>
      </c>
      <c r="S55" s="483">
        <f>IFERROR(IF(GETPIVOTDATA("合計 / " &amp; $B55,【ピボット】事業所収支!$A$3,"年月",S$13,"事業所",$A$52)=0,#N/A,GETPIVOTDATA("合計 / " &amp; $B55,【ピボット】事業所収支!$A$3,"年月",S$13,"事業所",$A$52)),#N/A)</f>
        <v>1309950</v>
      </c>
      <c r="T55" s="483">
        <f>IFERROR(IF(GETPIVOTDATA("合計 / " &amp; $B55,【ピボット】事業所収支!$A$3,"年月",T$13,"事業所",$A$52)=0,#N/A,GETPIVOTDATA("合計 / " &amp; $B55,【ピボット】事業所収支!$A$3,"年月",T$13,"事業所",$A$52)),#N/A)</f>
        <v>1568464</v>
      </c>
      <c r="U55" s="483">
        <f>IFERROR(IF(GETPIVOTDATA("合計 / " &amp; $B55,【ピボット】事業所収支!$A$3,"年月",U$13,"事業所",$A$52)=0,#N/A,GETPIVOTDATA("合計 / " &amp; $B55,【ピボット】事業所収支!$A$3,"年月",U$13,"事業所",$A$52)),#N/A)</f>
        <v>1559609</v>
      </c>
      <c r="V55" s="483">
        <f>IFERROR(IF(GETPIVOTDATA("合計 / " &amp; $B55,【ピボット】事業所収支!$A$3,"年月",V$13,"事業所",$A$52)=0,#N/A,GETPIVOTDATA("合計 / " &amp; $B55,【ピボット】事業所収支!$A$3,"年月",V$13,"事業所",$A$52)),#N/A)</f>
        <v>1573342</v>
      </c>
      <c r="W55" s="483">
        <f>IFERROR(IF(GETPIVOTDATA("合計 / " &amp; $B55,【ピボット】事業所収支!$A$3,"年月",W$13,"事業所",$A$52)=0,#N/A,GETPIVOTDATA("合計 / " &amp; $B55,【ピボット】事業所収支!$A$3,"年月",W$13,"事業所",$A$52)),#N/A)</f>
        <v>1653712</v>
      </c>
      <c r="X55" s="483">
        <f>IFERROR(IF(GETPIVOTDATA("合計 / " &amp; $B55,【ピボット】事業所収支!$A$3,"年月",X$13,"事業所",$A$52)=0,#N/A,GETPIVOTDATA("合計 / " &amp; $B55,【ピボット】事業所収支!$A$3,"年月",X$13,"事業所",$A$52)),#N/A)</f>
        <v>1497153</v>
      </c>
      <c r="Y55" s="483">
        <f>IFERROR(IF(GETPIVOTDATA("合計 / " &amp; $B55,【ピボット】事業所収支!$A$3,"年月",Y$13,"事業所",$A$52)=0,#N/A,GETPIVOTDATA("合計 / " &amp; $B55,【ピボット】事業所収支!$A$3,"年月",Y$13,"事業所",$A$52)),#N/A)</f>
        <v>1672913</v>
      </c>
      <c r="Z55" s="483">
        <f>IFERROR(IF(GETPIVOTDATA("合計 / " &amp; $B55,【ピボット】事業所収支!$A$3,"年月",Z$13,"事業所",$A$52)=0,#N/A,GETPIVOTDATA("合計 / " &amp; $B55,【ピボット】事業所収支!$A$3,"年月",Z$13,"事業所",$A$52)),#N/A)</f>
        <v>1593804</v>
      </c>
    </row>
    <row r="56" spans="1:27" x14ac:dyDescent="0.15">
      <c r="B56" s="8" t="s">
        <v>27</v>
      </c>
      <c r="C56" s="483">
        <f>IFERROR(IF(GETPIVOTDATA("合計 / " &amp; $B56,【ピボット】事業所収支!$A$3,"年月",C$13,"事業所",$A$52)=0,#N/A,GETPIVOTDATA("合計 / " &amp; $B56,【ピボット】事業所収支!$A$3,"年月",C$13,"事業所",$A$52)),#N/A)</f>
        <v>1639385</v>
      </c>
      <c r="D56" s="483">
        <f>IFERROR(IF(GETPIVOTDATA("合計 / " &amp; $B56,【ピボット】事業所収支!$A$3,"年月",D$13,"事業所",$A$52)=0,#N/A,GETPIVOTDATA("合計 / " &amp; $B56,【ピボット】事業所収支!$A$3,"年月",D$13,"事業所",$A$52)),#N/A)</f>
        <v>1861802</v>
      </c>
      <c r="E56" s="483">
        <f>IFERROR(IF(GETPIVOTDATA("合計 / " &amp; $B56,【ピボット】事業所収支!$A$3,"年月",E$13,"事業所",$A$52)=0,#N/A,GETPIVOTDATA("合計 / " &amp; $B56,【ピボット】事業所収支!$A$3,"年月",E$13,"事業所",$A$52)),#N/A)</f>
        <v>1880316</v>
      </c>
      <c r="F56" s="483">
        <f>IFERROR(IF(GETPIVOTDATA("合計 / " &amp; $B56,【ピボット】事業所収支!$A$3,"年月",F$13,"事業所",$A$52)=0,#N/A,GETPIVOTDATA("合計 / " &amp; $B56,【ピボット】事業所収支!$A$3,"年月",F$13,"事業所",$A$52)),#N/A)</f>
        <v>1913410</v>
      </c>
      <c r="G56" s="483">
        <f>IFERROR(IF(GETPIVOTDATA("合計 / " &amp; $B56,【ピボット】事業所収支!$A$3,"年月",G$13,"事業所",$A$52)=0,#N/A,GETPIVOTDATA("合計 / " &amp; $B56,【ピボット】事業所収支!$A$3,"年月",G$13,"事業所",$A$52)),#N/A)</f>
        <v>1782831</v>
      </c>
      <c r="H56" s="483">
        <f>IFERROR(IF(GETPIVOTDATA("合計 / " &amp; $B56,【ピボット】事業所収支!$A$3,"年月",H$13,"事業所",$A$52)=0,#N/A,GETPIVOTDATA("合計 / " &amp; $B56,【ピボット】事業所収支!$A$3,"年月",H$13,"事業所",$A$52)),#N/A)</f>
        <v>1925714</v>
      </c>
      <c r="I56" s="483">
        <f>IFERROR(IF(GETPIVOTDATA("合計 / " &amp; $B56,【ピボット】事業所収支!$A$3,"年月",I$13,"事業所",$A$52)=0,#N/A,GETPIVOTDATA("合計 / " &amp; $B56,【ピボット】事業所収支!$A$3,"年月",I$13,"事業所",$A$52)),#N/A)</f>
        <v>2118936</v>
      </c>
      <c r="J56" s="483">
        <f>IFERROR(IF(GETPIVOTDATA("合計 / " &amp; $B56,【ピボット】事業所収支!$A$3,"年月",J$13,"事業所",$A$52)=0,#N/A,GETPIVOTDATA("合計 / " &amp; $B56,【ピボット】事業所収支!$A$3,"年月",J$13,"事業所",$A$52)),#N/A)</f>
        <v>2260418</v>
      </c>
      <c r="K56" s="483">
        <f>IFERROR(IF(GETPIVOTDATA("合計 / " &amp; $B56,【ピボット】事業所収支!$A$3,"年月",K$13,"事業所",$A$52)=0,#N/A,GETPIVOTDATA("合計 / " &amp; $B56,【ピボット】事業所収支!$A$3,"年月",K$13,"事業所",$A$52)),#N/A)</f>
        <v>2246591</v>
      </c>
      <c r="L56" s="483">
        <f>IFERROR(IF(GETPIVOTDATA("合計 / " &amp; $B56,【ピボット】事業所収支!$A$3,"年月",L$13,"事業所",$A$52)=0,#N/A,GETPIVOTDATA("合計 / " &amp; $B56,【ピボット】事業所収支!$A$3,"年月",L$13,"事業所",$A$52)),#N/A)</f>
        <v>2541385</v>
      </c>
      <c r="M56" s="483">
        <f>IFERROR(IF(GETPIVOTDATA("合計 / " &amp; $B56,【ピボット】事業所収支!$A$3,"年月",M$13,"事業所",$A$52)=0,#N/A,GETPIVOTDATA("合計 / " &amp; $B56,【ピボット】事業所収支!$A$3,"年月",M$13,"事業所",$A$52)),#N/A)</f>
        <v>2285024</v>
      </c>
      <c r="N56" s="483">
        <f>IFERROR(IF(GETPIVOTDATA("合計 / " &amp; $B56,【ピボット】事業所収支!$A$3,"年月",N$13,"事業所",$A$52)=0,#N/A,GETPIVOTDATA("合計 / " &amp; $B56,【ピボット】事業所収支!$A$3,"年月",N$13,"事業所",$A$52)),#N/A)</f>
        <v>2278943</v>
      </c>
      <c r="O56" s="483">
        <f>IFERROR(IF(GETPIVOTDATA("合計 / " &amp; $B56,【ピボット】事業所収支!$A$3,"年月",O$13,"事業所",$A$52)=0,#N/A,GETPIVOTDATA("合計 / " &amp; $B56,【ピボット】事業所収支!$A$3,"年月",O$13,"事業所",$A$52)),#N/A)</f>
        <v>2271244</v>
      </c>
      <c r="P56" s="483">
        <f>IFERROR(IF(GETPIVOTDATA("合計 / " &amp; $B56,【ピボット】事業所収支!$A$3,"年月",P$13,"事業所",$A$52)=0,#N/A,GETPIVOTDATA("合計 / " &amp; $B56,【ピボット】事業所収支!$A$3,"年月",P$13,"事業所",$A$52)),#N/A)</f>
        <v>2330446</v>
      </c>
      <c r="Q56" s="483">
        <f>IFERROR(IF(GETPIVOTDATA("合計 / " &amp; $B56,【ピボット】事業所収支!$A$3,"年月",Q$13,"事業所",$A$52)=0,#N/A,GETPIVOTDATA("合計 / " &amp; $B56,【ピボット】事業所収支!$A$3,"年月",Q$13,"事業所",$A$52)),#N/A)</f>
        <v>2419865</v>
      </c>
      <c r="R56" s="483">
        <f>IFERROR(IF(GETPIVOTDATA("合計 / " &amp; $B56,【ピボット】事業所収支!$A$3,"年月",R$13,"事業所",$A$52)=0,#N/A,GETPIVOTDATA("合計 / " &amp; $B56,【ピボット】事業所収支!$A$3,"年月",R$13,"事業所",$A$52)),#N/A)</f>
        <v>2767327</v>
      </c>
      <c r="S56" s="483">
        <f>IFERROR(IF(GETPIVOTDATA("合計 / " &amp; $B56,【ピボット】事業所収支!$A$3,"年月",S$13,"事業所",$A$52)=0,#N/A,GETPIVOTDATA("合計 / " &amp; $B56,【ピボット】事業所収支!$A$3,"年月",S$13,"事業所",$A$52)),#N/A)</f>
        <v>2731021</v>
      </c>
      <c r="T56" s="483">
        <f>IFERROR(IF(GETPIVOTDATA("合計 / " &amp; $B56,【ピボット】事業所収支!$A$3,"年月",T$13,"事業所",$A$52)=0,#N/A,GETPIVOTDATA("合計 / " &amp; $B56,【ピボット】事業所収支!$A$3,"年月",T$13,"事業所",$A$52)),#N/A)</f>
        <v>2303355</v>
      </c>
      <c r="U56" s="483">
        <f>IFERROR(IF(GETPIVOTDATA("合計 / " &amp; $B56,【ピボット】事業所収支!$A$3,"年月",U$13,"事業所",$A$52)=0,#N/A,GETPIVOTDATA("合計 / " &amp; $B56,【ピボット】事業所収支!$A$3,"年月",U$13,"事業所",$A$52)),#N/A)</f>
        <v>2437257</v>
      </c>
      <c r="V56" s="483">
        <f>IFERROR(IF(GETPIVOTDATA("合計 / " &amp; $B56,【ピボット】事業所収支!$A$3,"年月",V$13,"事業所",$A$52)=0,#N/A,GETPIVOTDATA("合計 / " &amp; $B56,【ピボット】事業所収支!$A$3,"年月",V$13,"事業所",$A$52)),#N/A)</f>
        <v>2489582</v>
      </c>
      <c r="W56" s="483">
        <f>IFERROR(IF(GETPIVOTDATA("合計 / " &amp; $B56,【ピボット】事業所収支!$A$3,"年月",W$13,"事業所",$A$52)=0,#N/A,GETPIVOTDATA("合計 / " &amp; $B56,【ピボット】事業所収支!$A$3,"年月",W$13,"事業所",$A$52)),#N/A)</f>
        <v>1864940</v>
      </c>
      <c r="X56" s="483">
        <f>IFERROR(IF(GETPIVOTDATA("合計 / " &amp; $B56,【ピボット】事業所収支!$A$3,"年月",X$13,"事業所",$A$52)=0,#N/A,GETPIVOTDATA("合計 / " &amp; $B56,【ピボット】事業所収支!$A$3,"年月",X$13,"事業所",$A$52)),#N/A)</f>
        <v>1768840</v>
      </c>
      <c r="Y56" s="483">
        <f>IFERROR(IF(GETPIVOTDATA("合計 / " &amp; $B56,【ピボット】事業所収支!$A$3,"年月",Y$13,"事業所",$A$52)=0,#N/A,GETPIVOTDATA("合計 / " &amp; $B56,【ピボット】事業所収支!$A$3,"年月",Y$13,"事業所",$A$52)),#N/A)</f>
        <v>1466687</v>
      </c>
      <c r="Z56" s="483">
        <f>IFERROR(IF(GETPIVOTDATA("合計 / " &amp; $B56,【ピボット】事業所収支!$A$3,"年月",Z$13,"事業所",$A$52)=0,#N/A,GETPIVOTDATA("合計 / " &amp; $B56,【ピボット】事業所収支!$A$3,"年月",Z$13,"事業所",$A$52)),#N/A)</f>
        <v>1672796</v>
      </c>
    </row>
    <row r="57" spans="1:27" x14ac:dyDescent="0.15">
      <c r="B57" s="8" t="s">
        <v>61</v>
      </c>
      <c r="C57" s="483" t="e">
        <f>IFERROR(IF(GETPIVOTDATA("合計 / " &amp; $B57,【ピボット】事業所収支!$A$3,"年月",C$13,"事業所",$A$52)=0,#N/A,GETPIVOTDATA("合計 / " &amp; $B57,【ピボット】事業所収支!$A$3,"年月",C$13,"事業所",$A$52)),#N/A)</f>
        <v>#N/A</v>
      </c>
      <c r="D57" s="483" t="e">
        <f>IFERROR(IF(GETPIVOTDATA("合計 / " &amp; $B57,【ピボット】事業所収支!$A$3,"年月",D$13,"事業所",$A$52)=0,#N/A,GETPIVOTDATA("合計 / " &amp; $B57,【ピボット】事業所収支!$A$3,"年月",D$13,"事業所",$A$52)),#N/A)</f>
        <v>#N/A</v>
      </c>
      <c r="E57" s="483" t="e">
        <f>IFERROR(IF(GETPIVOTDATA("合計 / " &amp; $B57,【ピボット】事業所収支!$A$3,"年月",E$13,"事業所",$A$52)=0,#N/A,GETPIVOTDATA("合計 / " &amp; $B57,【ピボット】事業所収支!$A$3,"年月",E$13,"事業所",$A$52)),#N/A)</f>
        <v>#N/A</v>
      </c>
      <c r="F57" s="483">
        <f>IFERROR(IF(GETPIVOTDATA("合計 / " &amp; $B57,【ピボット】事業所収支!$A$3,"年月",F$13,"事業所",$A$52)=0,#N/A,GETPIVOTDATA("合計 / " &amp; $B57,【ピボット】事業所収支!$A$3,"年月",F$13,"事業所",$A$52)),#N/A)</f>
        <v>210000</v>
      </c>
      <c r="G57" s="483" t="e">
        <f>IFERROR(IF(GETPIVOTDATA("合計 / " &amp; $B57,【ピボット】事業所収支!$A$3,"年月",G$13,"事業所",$A$52)=0,#N/A,GETPIVOTDATA("合計 / " &amp; $B57,【ピボット】事業所収支!$A$3,"年月",G$13,"事業所",$A$52)),#N/A)</f>
        <v>#N/A</v>
      </c>
      <c r="H57" s="483" t="e">
        <f>IFERROR(IF(GETPIVOTDATA("合計 / " &amp; $B57,【ピボット】事業所収支!$A$3,"年月",H$13,"事業所",$A$52)=0,#N/A,GETPIVOTDATA("合計 / " &amp; $B57,【ピボット】事業所収支!$A$3,"年月",H$13,"事業所",$A$52)),#N/A)</f>
        <v>#N/A</v>
      </c>
      <c r="I57" s="483" t="e">
        <f>IFERROR(IF(GETPIVOTDATA("合計 / " &amp; $B57,【ピボット】事業所収支!$A$3,"年月",I$13,"事業所",$A$52)=0,#N/A,GETPIVOTDATA("合計 / " &amp; $B57,【ピボット】事業所収支!$A$3,"年月",I$13,"事業所",$A$52)),#N/A)</f>
        <v>#N/A</v>
      </c>
      <c r="J57" s="483">
        <f>IFERROR(IF(GETPIVOTDATA("合計 / " &amp; $B57,【ピボット】事業所収支!$A$3,"年月",J$13,"事業所",$A$52)=0,#N/A,GETPIVOTDATA("合計 / " &amp; $B57,【ピボット】事業所収支!$A$3,"年月",J$13,"事業所",$A$52)),#N/A)</f>
        <v>3385000</v>
      </c>
      <c r="K57" s="483" t="e">
        <f>IFERROR(IF(GETPIVOTDATA("合計 / " &amp; $B57,【ピボット】事業所収支!$A$3,"年月",K$13,"事業所",$A$52)=0,#N/A,GETPIVOTDATA("合計 / " &amp; $B57,【ピボット】事業所収支!$A$3,"年月",K$13,"事業所",$A$52)),#N/A)</f>
        <v>#N/A</v>
      </c>
      <c r="L57" s="483" t="e">
        <f>IFERROR(IF(GETPIVOTDATA("合計 / " &amp; $B57,【ピボット】事業所収支!$A$3,"年月",L$13,"事業所",$A$52)=0,#N/A,GETPIVOTDATA("合計 / " &amp; $B57,【ピボット】事業所収支!$A$3,"年月",L$13,"事業所",$A$52)),#N/A)</f>
        <v>#N/A</v>
      </c>
      <c r="M57" s="483" t="e">
        <f>IFERROR(IF(GETPIVOTDATA("合計 / " &amp; $B57,【ピボット】事業所収支!$A$3,"年月",M$13,"事業所",$A$52)=0,#N/A,GETPIVOTDATA("合計 / " &amp; $B57,【ピボット】事業所収支!$A$3,"年月",M$13,"事業所",$A$52)),#N/A)</f>
        <v>#N/A</v>
      </c>
      <c r="N57" s="483" t="e">
        <f>IFERROR(IF(GETPIVOTDATA("合計 / " &amp; $B57,【ピボット】事業所収支!$A$3,"年月",N$13,"事業所",$A$52)=0,#N/A,GETPIVOTDATA("合計 / " &amp; $B57,【ピボット】事業所収支!$A$3,"年月",N$13,"事業所",$A$52)),#N/A)</f>
        <v>#N/A</v>
      </c>
      <c r="O57" s="483" t="e">
        <f>IFERROR(IF(GETPIVOTDATA("合計 / " &amp; $B57,【ピボット】事業所収支!$A$3,"年月",O$13,"事業所",$A$52)=0,#N/A,GETPIVOTDATA("合計 / " &amp; $B57,【ピボット】事業所収支!$A$3,"年月",O$13,"事業所",$A$52)),#N/A)</f>
        <v>#N/A</v>
      </c>
      <c r="P57" s="483">
        <f>IFERROR(IF(GETPIVOTDATA("合計 / " &amp; $B57,【ピボット】事業所収支!$A$3,"年月",P$13,"事業所",$A$52)=0,#N/A,GETPIVOTDATA("合計 / " &amp; $B57,【ピボット】事業所収支!$A$3,"年月",P$13,"事業所",$A$52)),#N/A)</f>
        <v>650000</v>
      </c>
      <c r="Q57" s="483" t="e">
        <f>IFERROR(IF(GETPIVOTDATA("合計 / " &amp; $B57,【ピボット】事業所収支!$A$3,"年月",Q$13,"事業所",$A$52)=0,#N/A,GETPIVOTDATA("合計 / " &amp; $B57,【ピボット】事業所収支!$A$3,"年月",Q$13,"事業所",$A$52)),#N/A)</f>
        <v>#N/A</v>
      </c>
      <c r="R57" s="483">
        <f>IFERROR(IF(GETPIVOTDATA("合計 / " &amp; $B57,【ピボット】事業所収支!$A$3,"年月",R$13,"事業所",$A$52)=0,#N/A,GETPIVOTDATA("合計 / " &amp; $B57,【ピボット】事業所収支!$A$3,"年月",R$13,"事業所",$A$52)),#N/A)</f>
        <v>500000</v>
      </c>
      <c r="S57" s="483" t="e">
        <f>IFERROR(IF(GETPIVOTDATA("合計 / " &amp; $B57,【ピボット】事業所収支!$A$3,"年月",S$13,"事業所",$A$52)=0,#N/A,GETPIVOTDATA("合計 / " &amp; $B57,【ピボット】事業所収支!$A$3,"年月",S$13,"事業所",$A$52)),#N/A)</f>
        <v>#N/A</v>
      </c>
      <c r="T57" s="483" t="e">
        <f>IFERROR(IF(GETPIVOTDATA("合計 / " &amp; $B57,【ピボット】事業所収支!$A$3,"年月",T$13,"事業所",$A$52)=0,#N/A,GETPIVOTDATA("合計 / " &amp; $B57,【ピボット】事業所収支!$A$3,"年月",T$13,"事業所",$A$52)),#N/A)</f>
        <v>#N/A</v>
      </c>
      <c r="U57" s="483" t="e">
        <f>IFERROR(IF(GETPIVOTDATA("合計 / " &amp; $B57,【ピボット】事業所収支!$A$3,"年月",U$13,"事業所",$A$52)=0,#N/A,GETPIVOTDATA("合計 / " &amp; $B57,【ピボット】事業所収支!$A$3,"年月",U$13,"事業所",$A$52)),#N/A)</f>
        <v>#N/A</v>
      </c>
      <c r="V57" s="483">
        <f>IFERROR(IF(GETPIVOTDATA("合計 / " &amp; $B57,【ピボット】事業所収支!$A$3,"年月",V$13,"事業所",$A$52)=0,#N/A,GETPIVOTDATA("合計 / " &amp; $B57,【ピボット】事業所収支!$A$3,"年月",V$13,"事業所",$A$52)),#N/A)</f>
        <v>2468595</v>
      </c>
      <c r="W57" s="483" t="e">
        <f>IFERROR(IF(GETPIVOTDATA("合計 / " &amp; $B57,【ピボット】事業所収支!$A$3,"年月",W$13,"事業所",$A$52)=0,#N/A,GETPIVOTDATA("合計 / " &amp; $B57,【ピボット】事業所収支!$A$3,"年月",W$13,"事業所",$A$52)),#N/A)</f>
        <v>#N/A</v>
      </c>
      <c r="X57" s="483" t="e">
        <f>IFERROR(IF(GETPIVOTDATA("合計 / " &amp; $B57,【ピボット】事業所収支!$A$3,"年月",X$13,"事業所",$A$52)=0,#N/A,GETPIVOTDATA("合計 / " &amp; $B57,【ピボット】事業所収支!$A$3,"年月",X$13,"事業所",$A$52)),#N/A)</f>
        <v>#N/A</v>
      </c>
      <c r="Y57" s="483" t="e">
        <f>IFERROR(IF(GETPIVOTDATA("合計 / " &amp; $B57,【ピボット】事業所収支!$A$3,"年月",Y$13,"事業所",$A$52)=0,#N/A,GETPIVOTDATA("合計 / " &amp; $B57,【ピボット】事業所収支!$A$3,"年月",Y$13,"事業所",$A$52)),#N/A)</f>
        <v>#N/A</v>
      </c>
      <c r="Z57" s="483" t="e">
        <f>IFERROR(IF(GETPIVOTDATA("合計 / " &amp; $B57,【ピボット】事業所収支!$A$3,"年月",Z$13,"事業所",$A$52)=0,#N/A,GETPIVOTDATA("合計 / " &amp; $B57,【ピボット】事業所収支!$A$3,"年月",Z$13,"事業所",$A$52)),#N/A)</f>
        <v>#N/A</v>
      </c>
    </row>
    <row r="58" spans="1:27" x14ac:dyDescent="0.15">
      <c r="B58" s="8" t="s">
        <v>50</v>
      </c>
      <c r="C58" s="483" t="e">
        <f>IFERROR(IF(GETPIVOTDATA("合計 / " &amp; $B58,【ピボット】事業所収支!$A$3,"年月",C$13,"事業所",$A$52)=0,#N/A,GETPIVOTDATA("合計 / " &amp; $B58,【ピボット】事業所収支!$A$3,"年月",C$13,"事業所",$A$52)),#N/A)</f>
        <v>#N/A</v>
      </c>
      <c r="D58" s="483" t="e">
        <f>IFERROR(IF(GETPIVOTDATA("合計 / " &amp; $B58,【ピボット】事業所収支!$A$3,"年月",D$13,"事業所",$A$52)=0,#N/A,GETPIVOTDATA("合計 / " &amp; $B58,【ピボット】事業所収支!$A$3,"年月",D$13,"事業所",$A$52)),#N/A)</f>
        <v>#N/A</v>
      </c>
      <c r="E58" s="483" t="e">
        <f>IFERROR(IF(GETPIVOTDATA("合計 / " &amp; $B58,【ピボット】事業所収支!$A$3,"年月",E$13,"事業所",$A$52)=0,#N/A,GETPIVOTDATA("合計 / " &amp; $B58,【ピボット】事業所収支!$A$3,"年月",E$13,"事業所",$A$52)),#N/A)</f>
        <v>#N/A</v>
      </c>
      <c r="F58" s="483" t="e">
        <f>IFERROR(IF(GETPIVOTDATA("合計 / " &amp; $B58,【ピボット】事業所収支!$A$3,"年月",F$13,"事業所",$A$52)=0,#N/A,GETPIVOTDATA("合計 / " &amp; $B58,【ピボット】事業所収支!$A$3,"年月",F$13,"事業所",$A$52)),#N/A)</f>
        <v>#N/A</v>
      </c>
      <c r="G58" s="483" t="e">
        <f>IFERROR(IF(GETPIVOTDATA("合計 / " &amp; $B58,【ピボット】事業所収支!$A$3,"年月",G$13,"事業所",$A$52)=0,#N/A,GETPIVOTDATA("合計 / " &amp; $B58,【ピボット】事業所収支!$A$3,"年月",G$13,"事業所",$A$52)),#N/A)</f>
        <v>#N/A</v>
      </c>
      <c r="H58" s="483" t="e">
        <f>IFERROR(IF(GETPIVOTDATA("合計 / " &amp; $B58,【ピボット】事業所収支!$A$3,"年月",H$13,"事業所",$A$52)=0,#N/A,GETPIVOTDATA("合計 / " &amp; $B58,【ピボット】事業所収支!$A$3,"年月",H$13,"事業所",$A$52)),#N/A)</f>
        <v>#N/A</v>
      </c>
      <c r="I58" s="483" t="e">
        <f>IFERROR(IF(GETPIVOTDATA("合計 / " &amp; $B58,【ピボット】事業所収支!$A$3,"年月",I$13,"事業所",$A$52)=0,#N/A,GETPIVOTDATA("合計 / " &amp; $B58,【ピボット】事業所収支!$A$3,"年月",I$13,"事業所",$A$52)),#N/A)</f>
        <v>#N/A</v>
      </c>
      <c r="J58" s="483" t="e">
        <f>IFERROR(IF(GETPIVOTDATA("合計 / " &amp; $B58,【ピボット】事業所収支!$A$3,"年月",J$13,"事業所",$A$52)=0,#N/A,GETPIVOTDATA("合計 / " &amp; $B58,【ピボット】事業所収支!$A$3,"年月",J$13,"事業所",$A$52)),#N/A)</f>
        <v>#N/A</v>
      </c>
      <c r="K58" s="483" t="e">
        <f>IFERROR(IF(GETPIVOTDATA("合計 / " &amp; $B58,【ピボット】事業所収支!$A$3,"年月",K$13,"事業所",$A$52)=0,#N/A,GETPIVOTDATA("合計 / " &amp; $B58,【ピボット】事業所収支!$A$3,"年月",K$13,"事業所",$A$52)),#N/A)</f>
        <v>#N/A</v>
      </c>
      <c r="L58" s="483" t="e">
        <f>IFERROR(IF(GETPIVOTDATA("合計 / " &amp; $B58,【ピボット】事業所収支!$A$3,"年月",L$13,"事業所",$A$52)=0,#N/A,GETPIVOTDATA("合計 / " &amp; $B58,【ピボット】事業所収支!$A$3,"年月",L$13,"事業所",$A$52)),#N/A)</f>
        <v>#N/A</v>
      </c>
      <c r="M58" s="483" t="e">
        <f>IFERROR(IF(GETPIVOTDATA("合計 / " &amp; $B58,【ピボット】事業所収支!$A$3,"年月",M$13,"事業所",$A$52)=0,#N/A,GETPIVOTDATA("合計 / " &amp; $B58,【ピボット】事業所収支!$A$3,"年月",M$13,"事業所",$A$52)),#N/A)</f>
        <v>#N/A</v>
      </c>
      <c r="N58" s="483" t="e">
        <f>IFERROR(IF(GETPIVOTDATA("合計 / " &amp; $B58,【ピボット】事業所収支!$A$3,"年月",N$13,"事業所",$A$52)=0,#N/A,GETPIVOTDATA("合計 / " &amp; $B58,【ピボット】事業所収支!$A$3,"年月",N$13,"事業所",$A$52)),#N/A)</f>
        <v>#N/A</v>
      </c>
      <c r="O58" s="483" t="e">
        <f>IFERROR(IF(GETPIVOTDATA("合計 / " &amp; $B58,【ピボット】事業所収支!$A$3,"年月",O$13,"事業所",$A$52)=0,#N/A,GETPIVOTDATA("合計 / " &amp; $B58,【ピボット】事業所収支!$A$3,"年月",O$13,"事業所",$A$52)),#N/A)</f>
        <v>#N/A</v>
      </c>
      <c r="P58" s="483" t="e">
        <f>IFERROR(IF(GETPIVOTDATA("合計 / " &amp; $B58,【ピボット】事業所収支!$A$3,"年月",P$13,"事業所",$A$52)=0,#N/A,GETPIVOTDATA("合計 / " &amp; $B58,【ピボット】事業所収支!$A$3,"年月",P$13,"事業所",$A$52)),#N/A)</f>
        <v>#N/A</v>
      </c>
      <c r="Q58" s="483" t="e">
        <f>IFERROR(IF(GETPIVOTDATA("合計 / " &amp; $B58,【ピボット】事業所収支!$A$3,"年月",Q$13,"事業所",$A$52)=0,#N/A,GETPIVOTDATA("合計 / " &amp; $B58,【ピボット】事業所収支!$A$3,"年月",Q$13,"事業所",$A$52)),#N/A)</f>
        <v>#N/A</v>
      </c>
      <c r="R58" s="483" t="e">
        <f>IFERROR(IF(GETPIVOTDATA("合計 / " &amp; $B58,【ピボット】事業所収支!$A$3,"年月",R$13,"事業所",$A$52)=0,#N/A,GETPIVOTDATA("合計 / " &amp; $B58,【ピボット】事業所収支!$A$3,"年月",R$13,"事業所",$A$52)),#N/A)</f>
        <v>#N/A</v>
      </c>
      <c r="S58" s="483" t="e">
        <f>IFERROR(IF(GETPIVOTDATA("合計 / " &amp; $B58,【ピボット】事業所収支!$A$3,"年月",S$13,"事業所",$A$52)=0,#N/A,GETPIVOTDATA("合計 / " &amp; $B58,【ピボット】事業所収支!$A$3,"年月",S$13,"事業所",$A$52)),#N/A)</f>
        <v>#N/A</v>
      </c>
      <c r="T58" s="483" t="e">
        <f>IFERROR(IF(GETPIVOTDATA("合計 / " &amp; $B58,【ピボット】事業所収支!$A$3,"年月",T$13,"事業所",$A$52)=0,#N/A,GETPIVOTDATA("合計 / " &amp; $B58,【ピボット】事業所収支!$A$3,"年月",T$13,"事業所",$A$52)),#N/A)</f>
        <v>#N/A</v>
      </c>
      <c r="U58" s="483" t="e">
        <f>IFERROR(IF(GETPIVOTDATA("合計 / " &amp; $B58,【ピボット】事業所収支!$A$3,"年月",U$13,"事業所",$A$52)=0,#N/A,GETPIVOTDATA("合計 / " &amp; $B58,【ピボット】事業所収支!$A$3,"年月",U$13,"事業所",$A$52)),#N/A)</f>
        <v>#N/A</v>
      </c>
      <c r="V58" s="483" t="e">
        <f>IFERROR(IF(GETPIVOTDATA("合計 / " &amp; $B58,【ピボット】事業所収支!$A$3,"年月",V$13,"事業所",$A$52)=0,#N/A,GETPIVOTDATA("合計 / " &amp; $B58,【ピボット】事業所収支!$A$3,"年月",V$13,"事業所",$A$52)),#N/A)</f>
        <v>#N/A</v>
      </c>
      <c r="W58" s="483" t="e">
        <f>IFERROR(IF(GETPIVOTDATA("合計 / " &amp; $B58,【ピボット】事業所収支!$A$3,"年月",W$13,"事業所",$A$52)=0,#N/A,GETPIVOTDATA("合計 / " &amp; $B58,【ピボット】事業所収支!$A$3,"年月",W$13,"事業所",$A$52)),#N/A)</f>
        <v>#N/A</v>
      </c>
      <c r="X58" s="483" t="e">
        <f>IFERROR(IF(GETPIVOTDATA("合計 / " &amp; $B58,【ピボット】事業所収支!$A$3,"年月",X$13,"事業所",$A$52)=0,#N/A,GETPIVOTDATA("合計 / " &amp; $B58,【ピボット】事業所収支!$A$3,"年月",X$13,"事業所",$A$52)),#N/A)</f>
        <v>#N/A</v>
      </c>
      <c r="Y58" s="483" t="e">
        <f>IFERROR(IF(GETPIVOTDATA("合計 / " &amp; $B58,【ピボット】事業所収支!$A$3,"年月",Y$13,"事業所",$A$52)=0,#N/A,GETPIVOTDATA("合計 / " &amp; $B58,【ピボット】事業所収支!$A$3,"年月",Y$13,"事業所",$A$52)),#N/A)</f>
        <v>#N/A</v>
      </c>
      <c r="Z58" s="483" t="e">
        <f>IFERROR(IF(GETPIVOTDATA("合計 / " &amp; $B58,【ピボット】事業所収支!$A$3,"年月",Z$13,"事業所",$A$52)=0,#N/A,GETPIVOTDATA("合計 / " &amp; $B58,【ピボット】事業所収支!$A$3,"年月",Z$13,"事業所",$A$52)),#N/A)</f>
        <v>#N/A</v>
      </c>
    </row>
    <row r="59" spans="1:27" x14ac:dyDescent="0.15">
      <c r="B59" s="9" t="s">
        <v>29</v>
      </c>
      <c r="C59" s="484">
        <f>IFERROR(IF(GETPIVOTDATA("合計 / " &amp; $B59,【ピボット】事業所収支!$A$3,"年月",C$13,"事業所",$A$52)=0,#N/A,GETPIVOTDATA("合計 / " &amp; $B59,【ピボット】事業所収支!$A$3,"年月",C$13,"事業所",$A$52)),#N/A)</f>
        <v>264633</v>
      </c>
      <c r="D59" s="484">
        <f>IFERROR(IF(GETPIVOTDATA("合計 / " &amp; $B59,【ピボット】事業所収支!$A$3,"年月",D$13,"事業所",$A$52)=0,#N/A,GETPIVOTDATA("合計 / " &amp; $B59,【ピボット】事業所収支!$A$3,"年月",D$13,"事業所",$A$52)),#N/A)</f>
        <v>326629</v>
      </c>
      <c r="E59" s="484">
        <f>IFERROR(IF(GETPIVOTDATA("合計 / " &amp; $B59,【ピボット】事業所収支!$A$3,"年月",E$13,"事業所",$A$52)=0,#N/A,GETPIVOTDATA("合計 / " &amp; $B59,【ピボット】事業所収支!$A$3,"年月",E$13,"事業所",$A$52)),#N/A)</f>
        <v>506326</v>
      </c>
      <c r="F59" s="484">
        <f>IFERROR(IF(GETPIVOTDATA("合計 / " &amp; $B59,【ピボット】事業所収支!$A$3,"年月",F$13,"事業所",$A$52)=0,#N/A,GETPIVOTDATA("合計 / " &amp; $B59,【ピボット】事業所収支!$A$3,"年月",F$13,"事業所",$A$52)),#N/A)</f>
        <v>266490</v>
      </c>
      <c r="G59" s="484">
        <f>IFERROR(IF(GETPIVOTDATA("合計 / " &amp; $B59,【ピボット】事業所収支!$A$3,"年月",G$13,"事業所",$A$52)=0,#N/A,GETPIVOTDATA("合計 / " &amp; $B59,【ピボット】事業所収支!$A$3,"年月",G$13,"事業所",$A$52)),#N/A)</f>
        <v>230223</v>
      </c>
      <c r="H59" s="484">
        <f>IFERROR(IF(GETPIVOTDATA("合計 / " &amp; $B59,【ピボット】事業所収支!$A$3,"年月",H$13,"事業所",$A$52)=0,#N/A,GETPIVOTDATA("合計 / " &amp; $B59,【ピボット】事業所収支!$A$3,"年月",H$13,"事業所",$A$52)),#N/A)</f>
        <v>384882</v>
      </c>
      <c r="I59" s="484">
        <f>IFERROR(IF(GETPIVOTDATA("合計 / " &amp; $B59,【ピボット】事業所収支!$A$3,"年月",I$13,"事業所",$A$52)=0,#N/A,GETPIVOTDATA("合計 / " &amp; $B59,【ピボット】事業所収支!$A$3,"年月",I$13,"事業所",$A$52)),#N/A)</f>
        <v>376349</v>
      </c>
      <c r="J59" s="484">
        <f>IFERROR(IF(GETPIVOTDATA("合計 / " &amp; $B59,【ピボット】事業所収支!$A$3,"年月",J$13,"事業所",$A$52)=0,#N/A,GETPIVOTDATA("合計 / " &amp; $B59,【ピボット】事業所収支!$A$3,"年月",J$13,"事業所",$A$52)),#N/A)</f>
        <v>-66173.033578658826</v>
      </c>
      <c r="K59" s="484">
        <f>IFERROR(IF(GETPIVOTDATA("合計 / " &amp; $B59,【ピボット】事業所収支!$A$3,"年月",K$13,"事業所",$A$52)=0,#N/A,GETPIVOTDATA("合計 / " &amp; $B59,【ピボット】事業所収支!$A$3,"年月",K$13,"事業所",$A$52)),#N/A)</f>
        <v>1338312</v>
      </c>
      <c r="L59" s="484">
        <f>IFERROR(IF(GETPIVOTDATA("合計 / " &amp; $B59,【ピボット】事業所収支!$A$3,"年月",L$13,"事業所",$A$52)=0,#N/A,GETPIVOTDATA("合計 / " &amp; $B59,【ピボット】事業所収支!$A$3,"年月",L$13,"事業所",$A$52)),#N/A)</f>
        <v>341038</v>
      </c>
      <c r="M59" s="484">
        <f>IFERROR(IF(GETPIVOTDATA("合計 / " &amp; $B59,【ピボット】事業所収支!$A$3,"年月",M$13,"事業所",$A$52)=0,#N/A,GETPIVOTDATA("合計 / " &amp; $B59,【ピボット】事業所収支!$A$3,"年月",M$13,"事業所",$A$52)),#N/A)</f>
        <v>379398</v>
      </c>
      <c r="N59" s="484">
        <f>IFERROR(IF(GETPIVOTDATA("合計 / " &amp; $B59,【ピボット】事業所収支!$A$3,"年月",N$13,"事業所",$A$52)=0,#N/A,GETPIVOTDATA("合計 / " &amp; $B59,【ピボット】事業所収支!$A$3,"年月",N$13,"事業所",$A$52)),#N/A)</f>
        <v>356215</v>
      </c>
      <c r="O59" s="484">
        <f>IFERROR(IF(GETPIVOTDATA("合計 / " &amp; $B59,【ピボット】事業所収支!$A$3,"年月",O$13,"事業所",$A$52)=0,#N/A,GETPIVOTDATA("合計 / " &amp; $B59,【ピボット】事業所収支!$A$3,"年月",O$13,"事業所",$A$52)),#N/A)</f>
        <v>332605</v>
      </c>
      <c r="P59" s="484">
        <f>IFERROR(IF(GETPIVOTDATA("合計 / " &amp; $B59,【ピボット】事業所収支!$A$3,"年月",P$13,"事業所",$A$52)=0,#N/A,GETPIVOTDATA("合計 / " &amp; $B59,【ピボット】事業所収支!$A$3,"年月",P$13,"事業所",$A$52)),#N/A)</f>
        <v>290376</v>
      </c>
      <c r="Q59" s="484">
        <f>IFERROR(IF(GETPIVOTDATA("合計 / " &amp; $B59,【ピボット】事業所収支!$A$3,"年月",Q$13,"事業所",$A$52)=0,#N/A,GETPIVOTDATA("合計 / " &amp; $B59,【ピボット】事業所収支!$A$3,"年月",Q$13,"事業所",$A$52)),#N/A)</f>
        <v>745189</v>
      </c>
      <c r="R59" s="484">
        <f>IFERROR(IF(GETPIVOTDATA("合計 / " &amp; $B59,【ピボット】事業所収支!$A$3,"年月",R$13,"事業所",$A$52)=0,#N/A,GETPIVOTDATA("合計 / " &amp; $B59,【ピボット】事業所収支!$A$3,"年月",R$13,"事業所",$A$52)),#N/A)</f>
        <v>353085</v>
      </c>
      <c r="S59" s="484">
        <f>IFERROR(IF(GETPIVOTDATA("合計 / " &amp; $B59,【ピボット】事業所収支!$A$3,"年月",S$13,"事業所",$A$52)=0,#N/A,GETPIVOTDATA("合計 / " &amp; $B59,【ピボット】事業所収支!$A$3,"年月",S$13,"事業所",$A$52)),#N/A)</f>
        <v>373120</v>
      </c>
      <c r="T59" s="484">
        <f>IFERROR(IF(GETPIVOTDATA("合計 / " &amp; $B59,【ピボット】事業所収支!$A$3,"年月",T$13,"事業所",$A$52)=0,#N/A,GETPIVOTDATA("合計 / " &amp; $B59,【ピボット】事業所収支!$A$3,"年月",T$13,"事業所",$A$52)),#N/A)</f>
        <v>421567</v>
      </c>
      <c r="U59" s="484">
        <f>IFERROR(IF(GETPIVOTDATA("合計 / " &amp; $B59,【ピボット】事業所収支!$A$3,"年月",U$13,"事業所",$A$52)=0,#N/A,GETPIVOTDATA("合計 / " &amp; $B59,【ピボット】事業所収支!$A$3,"年月",U$13,"事業所",$A$52)),#N/A)</f>
        <v>354571</v>
      </c>
      <c r="V59" s="484">
        <f>IFERROR(IF(GETPIVOTDATA("合計 / " &amp; $B59,【ピボット】事業所収支!$A$3,"年月",V$13,"事業所",$A$52)=0,#N/A,GETPIVOTDATA("合計 / " &amp; $B59,【ピボット】事業所収支!$A$3,"年月",V$13,"事業所",$A$52)),#N/A)</f>
        <v>758696</v>
      </c>
      <c r="W59" s="484">
        <f>IFERROR(IF(GETPIVOTDATA("合計 / " &amp; $B59,【ピボット】事業所収支!$A$3,"年月",W$13,"事業所",$A$52)=0,#N/A,GETPIVOTDATA("合計 / " &amp; $B59,【ピボット】事業所収支!$A$3,"年月",W$13,"事業所",$A$52)),#N/A)</f>
        <v>282525</v>
      </c>
      <c r="X59" s="484">
        <f>IFERROR(IF(GETPIVOTDATA("合計 / " &amp; $B59,【ピボット】事業所収支!$A$3,"年月",X$13,"事業所",$A$52)=0,#N/A,GETPIVOTDATA("合計 / " &amp; $B59,【ピボット】事業所収支!$A$3,"年月",X$13,"事業所",$A$52)),#N/A)</f>
        <v>290101</v>
      </c>
      <c r="Y59" s="484">
        <f>IFERROR(IF(GETPIVOTDATA("合計 / " &amp; $B59,【ピボット】事業所収支!$A$3,"年月",Y$13,"事業所",$A$52)=0,#N/A,GETPIVOTDATA("合計 / " &amp; $B59,【ピボット】事業所収支!$A$3,"年月",Y$13,"事業所",$A$52)),#N/A)</f>
        <v>256001</v>
      </c>
      <c r="Z59" s="484">
        <f>IFERROR(IF(GETPIVOTDATA("合計 / " &amp; $B59,【ピボット】事業所収支!$A$3,"年月",Z$13,"事業所",$A$52)=0,#N/A,GETPIVOTDATA("合計 / " &amp; $B59,【ピボット】事業所収支!$A$3,"年月",Z$13,"事業所",$A$52)),#N/A)</f>
        <v>303004</v>
      </c>
      <c r="AA59" s="4"/>
    </row>
    <row r="60" spans="1:27" x14ac:dyDescent="0.15">
      <c r="B60" s="9" t="s">
        <v>51</v>
      </c>
      <c r="C60" s="483">
        <f>IFERROR(IF(GETPIVOTDATA("合計 / " &amp; $B60,【ピボット】事業所収支!$A$3,"年月",C$13,"事業所",$A$52)=0,#N/A,GETPIVOTDATA("合計 / " &amp; $B60,【ピボット】事業所収支!$A$3,"年月",C$13,"事業所",$A$52)),#N/A)</f>
        <v>9072</v>
      </c>
      <c r="D60" s="483">
        <f>IFERROR(IF(GETPIVOTDATA("合計 / " &amp; $B60,【ピボット】事業所収支!$A$3,"年月",D$13,"事業所",$A$52)=0,#N/A,GETPIVOTDATA("合計 / " &amp; $B60,【ピボット】事業所収支!$A$3,"年月",D$13,"事業所",$A$52)),#N/A)</f>
        <v>19356</v>
      </c>
      <c r="E60" s="483">
        <f>IFERROR(IF(GETPIVOTDATA("合計 / " &amp; $B60,【ピボット】事業所収支!$A$3,"年月",E$13,"事業所",$A$52)=0,#N/A,GETPIVOTDATA("合計 / " &amp; $B60,【ピボット】事業所収支!$A$3,"年月",E$13,"事業所",$A$52)),#N/A)</f>
        <v>9072</v>
      </c>
      <c r="F60" s="483" t="e">
        <f>IFERROR(IF(GETPIVOTDATA("合計 / " &amp; $B60,【ピボット】事業所収支!$A$3,"年月",F$13,"事業所",$A$52)=0,#N/A,GETPIVOTDATA("合計 / " &amp; $B60,【ピボット】事業所収支!$A$3,"年月",F$13,"事業所",$A$52)),#N/A)</f>
        <v>#N/A</v>
      </c>
      <c r="G60" s="483" t="e">
        <f>IFERROR(IF(GETPIVOTDATA("合計 / " &amp; $B60,【ピボット】事業所収支!$A$3,"年月",G$13,"事業所",$A$52)=0,#N/A,GETPIVOTDATA("合計 / " &amp; $B60,【ピボット】事業所収支!$A$3,"年月",G$13,"事業所",$A$52)),#N/A)</f>
        <v>#N/A</v>
      </c>
      <c r="H60" s="483">
        <f>IFERROR(IF(GETPIVOTDATA("合計 / " &amp; $B60,【ピボット】事業所収支!$A$3,"年月",H$13,"事業所",$A$52)=0,#N/A,GETPIVOTDATA("合計 / " &amp; $B60,【ピボット】事業所収支!$A$3,"年月",H$13,"事業所",$A$52)),#N/A)</f>
        <v>163333</v>
      </c>
      <c r="I60" s="483">
        <f>IFERROR(IF(GETPIVOTDATA("合計 / " &amp; $B60,【ピボット】事業所収支!$A$3,"年月",I$13,"事業所",$A$52)=0,#N/A,GETPIVOTDATA("合計 / " &amp; $B60,【ピボット】事業所収支!$A$3,"年月",I$13,"事業所",$A$52)),#N/A)</f>
        <v>15553</v>
      </c>
      <c r="J60" s="483" t="e">
        <f>IFERROR(IF(GETPIVOTDATA("合計 / " &amp; $B60,【ピボット】事業所収支!$A$3,"年月",J$13,"事業所",$A$52)=0,#N/A,GETPIVOTDATA("合計 / " &amp; $B60,【ピボット】事業所収支!$A$3,"年月",J$13,"事業所",$A$52)),#N/A)</f>
        <v>#N/A</v>
      </c>
      <c r="K60" s="483" t="e">
        <f>IFERROR(IF(GETPIVOTDATA("合計 / " &amp; $B60,【ピボット】事業所収支!$A$3,"年月",K$13,"事業所",$A$52)=0,#N/A,GETPIVOTDATA("合計 / " &amp; $B60,【ピボット】事業所収支!$A$3,"年月",K$13,"事業所",$A$52)),#N/A)</f>
        <v>#N/A</v>
      </c>
      <c r="L60" s="483">
        <f>IFERROR(IF(GETPIVOTDATA("合計 / " &amp; $B60,【ピボット】事業所収支!$A$3,"年月",L$13,"事業所",$A$52)=0,#N/A,GETPIVOTDATA("合計 / " &amp; $B60,【ピボット】事業所収支!$A$3,"年月",L$13,"事業所",$A$52)),#N/A)</f>
        <v>3005</v>
      </c>
      <c r="M60" s="483">
        <f>IFERROR(IF(GETPIVOTDATA("合計 / " &amp; $B60,【ピボット】事業所収支!$A$3,"年月",M$13,"事業所",$A$52)=0,#N/A,GETPIVOTDATA("合計 / " &amp; $B60,【ピボット】事業所収支!$A$3,"年月",M$13,"事業所",$A$52)),#N/A)</f>
        <v>2869</v>
      </c>
      <c r="N60" s="483">
        <f>IFERROR(IF(GETPIVOTDATA("合計 / " &amp; $B60,【ピボット】事業所収支!$A$3,"年月",N$13,"事業所",$A$52)=0,#N/A,GETPIVOTDATA("合計 / " &amp; $B60,【ピボット】事業所収支!$A$3,"年月",N$13,"事業所",$A$52)),#N/A)</f>
        <v>8990</v>
      </c>
      <c r="O60" s="483">
        <f>IFERROR(IF(GETPIVOTDATA("合計 / " &amp; $B60,【ピボット】事業所収支!$A$3,"年月",O$13,"事業所",$A$52)=0,#N/A,GETPIVOTDATA("合計 / " &amp; $B60,【ピボット】事業所収支!$A$3,"年月",O$13,"事業所",$A$52)),#N/A)</f>
        <v>2500</v>
      </c>
      <c r="P60" s="483">
        <f>IFERROR(IF(GETPIVOTDATA("合計 / " &amp; $B60,【ピボット】事業所収支!$A$3,"年月",P$13,"事業所",$A$52)=0,#N/A,GETPIVOTDATA("合計 / " &amp; $B60,【ピボット】事業所収支!$A$3,"年月",P$13,"事業所",$A$52)),#N/A)</f>
        <v>82228</v>
      </c>
      <c r="Q60" s="483">
        <f>IFERROR(IF(GETPIVOTDATA("合計 / " &amp; $B60,【ピボット】事業所収支!$A$3,"年月",Q$13,"事業所",$A$52)=0,#N/A,GETPIVOTDATA("合計 / " &amp; $B60,【ピボット】事業所収支!$A$3,"年月",Q$13,"事業所",$A$52)),#N/A)</f>
        <v>7595</v>
      </c>
      <c r="R60" s="483">
        <f>IFERROR(IF(GETPIVOTDATA("合計 / " &amp; $B60,【ピボット】事業所収支!$A$3,"年月",R$13,"事業所",$A$52)=0,#N/A,GETPIVOTDATA("合計 / " &amp; $B60,【ピボット】事業所収支!$A$3,"年月",R$13,"事業所",$A$52)),#N/A)</f>
        <v>11277</v>
      </c>
      <c r="S60" s="483">
        <f>IFERROR(IF(GETPIVOTDATA("合計 / " &amp; $B60,【ピボット】事業所収支!$A$3,"年月",S$13,"事業所",$A$52)=0,#N/A,GETPIVOTDATA("合計 / " &amp; $B60,【ピボット】事業所収支!$A$3,"年月",S$13,"事業所",$A$52)),#N/A)</f>
        <v>492</v>
      </c>
      <c r="T60" s="483">
        <f>IFERROR(IF(GETPIVOTDATA("合計 / " &amp; $B60,【ピボット】事業所収支!$A$3,"年月",T$13,"事業所",$A$52)=0,#N/A,GETPIVOTDATA("合計 / " &amp; $B60,【ピボット】事業所収支!$A$3,"年月",T$13,"事業所",$A$52)),#N/A)</f>
        <v>20664</v>
      </c>
      <c r="U60" s="483">
        <f>IFERROR(IF(GETPIVOTDATA("合計 / " &amp; $B60,【ピボット】事業所収支!$A$3,"年月",U$13,"事業所",$A$52)=0,#N/A,GETPIVOTDATA("合計 / " &amp; $B60,【ピボット】事業所収支!$A$3,"年月",U$13,"事業所",$A$52)),#N/A)</f>
        <v>24569</v>
      </c>
      <c r="V60" s="483">
        <f>IFERROR(IF(GETPIVOTDATA("合計 / " &amp; $B60,【ピボット】事業所収支!$A$3,"年月",V$13,"事業所",$A$52)=0,#N/A,GETPIVOTDATA("合計 / " &amp; $B60,【ピボット】事業所収支!$A$3,"年月",V$13,"事業所",$A$52)),#N/A)</f>
        <v>17854</v>
      </c>
      <c r="W60" s="483">
        <f>IFERROR(IF(GETPIVOTDATA("合計 / " &amp; $B60,【ピボット】事業所収支!$A$3,"年月",W$13,"事業所",$A$52)=0,#N/A,GETPIVOTDATA("合計 / " &amp; $B60,【ピボット】事業所収支!$A$3,"年月",W$13,"事業所",$A$52)),#N/A)</f>
        <v>206088</v>
      </c>
      <c r="X60" s="483">
        <f>IFERROR(IF(GETPIVOTDATA("合計 / " &amp; $B60,【ピボット】事業所収支!$A$3,"年月",X$13,"事業所",$A$52)=0,#N/A,GETPIVOTDATA("合計 / " &amp; $B60,【ピボット】事業所収支!$A$3,"年月",X$13,"事業所",$A$52)),#N/A)</f>
        <v>7882</v>
      </c>
      <c r="Y60" s="483">
        <f>IFERROR(IF(GETPIVOTDATA("合計 / " &amp; $B60,【ピボット】事業所収支!$A$3,"年月",Y$13,"事業所",$A$52)=0,#N/A,GETPIVOTDATA("合計 / " &amp; $B60,【ピボット】事業所収支!$A$3,"年月",Y$13,"事業所",$A$52)),#N/A)</f>
        <v>3831</v>
      </c>
      <c r="Z60" s="483">
        <f>IFERROR(IF(GETPIVOTDATA("合計 / " &amp; $B60,【ピボット】事業所収支!$A$3,"年月",Z$13,"事業所",$A$52)=0,#N/A,GETPIVOTDATA("合計 / " &amp; $B60,【ピボット】事業所収支!$A$3,"年月",Z$13,"事業所",$A$52)),#N/A)</f>
        <v>15808</v>
      </c>
      <c r="AA60" s="4"/>
    </row>
    <row r="61" spans="1:27" x14ac:dyDescent="0.15">
      <c r="B61" s="41" t="s">
        <v>15</v>
      </c>
      <c r="C61" s="486">
        <f>IFERROR(IF(GETPIVOTDATA("合計 / " &amp; $B61,【ピボット】事業所収支!$A$3,"年月",C$13,"事業所",$A$52)=0,#N/A,GETPIVOTDATA("合計 / " &amp; $B61,【ピボット】事業所収支!$A$3,"年月",C$13,"事業所",$A$52)),#N/A)</f>
        <v>3104378</v>
      </c>
      <c r="D61" s="486">
        <f>IFERROR(IF(GETPIVOTDATA("合計 / " &amp; $B61,【ピボット】事業所収支!$A$3,"年月",D$13,"事業所",$A$52)=0,#N/A,GETPIVOTDATA("合計 / " &amp; $B61,【ピボット】事業所収支!$A$3,"年月",D$13,"事業所",$A$52)),#N/A)</f>
        <v>3572171</v>
      </c>
      <c r="E61" s="486">
        <f>IFERROR(IF(GETPIVOTDATA("合計 / " &amp; $B61,【ピボット】事業所収支!$A$3,"年月",E$13,"事業所",$A$52)=0,#N/A,GETPIVOTDATA("合計 / " &amp; $B61,【ピボット】事業所収支!$A$3,"年月",E$13,"事業所",$A$52)),#N/A)</f>
        <v>3752045</v>
      </c>
      <c r="F61" s="486">
        <f>IFERROR(IF(GETPIVOTDATA("合計 / " &amp; $B61,【ピボット】事業所収支!$A$3,"年月",F$13,"事業所",$A$52)=0,#N/A,GETPIVOTDATA("合計 / " &amp; $B61,【ピボット】事業所収支!$A$3,"年月",F$13,"事業所",$A$52)),#N/A)</f>
        <v>3740910</v>
      </c>
      <c r="G61" s="486">
        <f>IFERROR(IF(GETPIVOTDATA("合計 / " &amp; $B61,【ピボット】事業所収支!$A$3,"年月",G$13,"事業所",$A$52)=0,#N/A,GETPIVOTDATA("合計 / " &amp; $B61,【ピボット】事業所収支!$A$3,"年月",G$13,"事業所",$A$52)),#N/A)</f>
        <v>3526461</v>
      </c>
      <c r="H61" s="486">
        <f>IFERROR(IF(GETPIVOTDATA("合計 / " &amp; $B61,【ピボット】事業所収支!$A$3,"年月",H$13,"事業所",$A$52)=0,#N/A,GETPIVOTDATA("合計 / " &amp; $B61,【ピボット】事業所収支!$A$3,"年月",H$13,"事業所",$A$52)),#N/A)</f>
        <v>3995529</v>
      </c>
      <c r="I61" s="486">
        <f>IFERROR(IF(GETPIVOTDATA("合計 / " &amp; $B61,【ピボット】事業所収支!$A$3,"年月",I$13,"事業所",$A$52)=0,#N/A,GETPIVOTDATA("合計 / " &amp; $B61,【ピボット】事業所収支!$A$3,"年月",I$13,"事業所",$A$52)),#N/A)</f>
        <v>3856901</v>
      </c>
      <c r="J61" s="486">
        <f>IFERROR(IF(GETPIVOTDATA("合計 / " &amp; $B61,【ピボット】事業所収支!$A$3,"年月",J$13,"事業所",$A$52)=0,#N/A,GETPIVOTDATA("合計 / " &amp; $B61,【ピボット】事業所収支!$A$3,"年月",J$13,"事業所",$A$52)),#N/A)</f>
        <v>6896121.9664213415</v>
      </c>
      <c r="K61" s="486">
        <f>IFERROR(IF(GETPIVOTDATA("合計 / " &amp; $B61,【ピボット】事業所収支!$A$3,"年月",K$13,"事業所",$A$52)=0,#N/A,GETPIVOTDATA("合計 / " &amp; $B61,【ピボット】事業所収支!$A$3,"年月",K$13,"事業所",$A$52)),#N/A)</f>
        <v>4873990</v>
      </c>
      <c r="L61" s="486">
        <f>IFERROR(IF(GETPIVOTDATA("合計 / " &amp; $B61,【ピボット】事業所収支!$A$3,"年月",L$13,"事業所",$A$52)=0,#N/A,GETPIVOTDATA("合計 / " &amp; $B61,【ピボット】事業所収支!$A$3,"年月",L$13,"事業所",$A$52)),#N/A)</f>
        <v>4190881</v>
      </c>
      <c r="M61" s="486">
        <f>IFERROR(IF(GETPIVOTDATA("合計 / " &amp; $B61,【ピボット】事業所収支!$A$3,"年月",M$13,"事業所",$A$52)=0,#N/A,GETPIVOTDATA("合計 / " &amp; $B61,【ピボット】事業所収支!$A$3,"年月",M$13,"事業所",$A$52)),#N/A)</f>
        <v>4189364</v>
      </c>
      <c r="N61" s="486">
        <f>IFERROR(IF(GETPIVOTDATA("合計 / " &amp; $B61,【ピボット】事業所収支!$A$3,"年月",N$13,"事業所",$A$52)=0,#N/A,GETPIVOTDATA("合計 / " &amp; $B61,【ピボット】事業所収支!$A$3,"年月",N$13,"事業所",$A$52)),#N/A)</f>
        <v>4150320</v>
      </c>
      <c r="O61" s="486">
        <f>IFERROR(IF(GETPIVOTDATA("合計 / " &amp; $B61,【ピボット】事業所収支!$A$3,"年月",O$13,"事業所",$A$52)=0,#N/A,GETPIVOTDATA("合計 / " &amp; $B61,【ピボット】事業所収支!$A$3,"年月",O$13,"事業所",$A$52)),#N/A)</f>
        <v>3950891</v>
      </c>
      <c r="P61" s="486">
        <f>IFERROR(IF(GETPIVOTDATA("合計 / " &amp; $B61,【ピボット】事業所収支!$A$3,"年月",P$13,"事業所",$A$52)=0,#N/A,GETPIVOTDATA("合計 / " &amp; $B61,【ピボット】事業所収支!$A$3,"年月",P$13,"事業所",$A$52)),#N/A)</f>
        <v>4746420</v>
      </c>
      <c r="Q61" s="486">
        <f>IFERROR(IF(GETPIVOTDATA("合計 / " &amp; $B61,【ピボット】事業所収支!$A$3,"年月",Q$13,"事業所",$A$52)=0,#N/A,GETPIVOTDATA("合計 / " &amp; $B61,【ピボット】事業所収支!$A$3,"年月",Q$13,"事業所",$A$52)),#N/A)</f>
        <v>4651239</v>
      </c>
      <c r="R61" s="486">
        <f>IFERROR(IF(GETPIVOTDATA("合計 / " &amp; $B61,【ピボット】事業所収支!$A$3,"年月",R$13,"事業所",$A$52)=0,#N/A,GETPIVOTDATA("合計 / " &amp; $B61,【ピボット】事業所収支!$A$3,"年月",R$13,"事業所",$A$52)),#N/A)</f>
        <v>4848520</v>
      </c>
      <c r="S61" s="486">
        <f>IFERROR(IF(GETPIVOTDATA("合計 / " &amp; $B61,【ピボット】事業所収支!$A$3,"年月",S$13,"事業所",$A$52)=0,#N/A,GETPIVOTDATA("合計 / " &amp; $B61,【ピボット】事業所収支!$A$3,"年月",S$13,"事業所",$A$52)),#N/A)</f>
        <v>4414583</v>
      </c>
      <c r="T61" s="486">
        <f>IFERROR(IF(GETPIVOTDATA("合計 / " &amp; $B61,【ピボット】事業所収支!$A$3,"年月",T$13,"事業所",$A$52)=0,#N/A,GETPIVOTDATA("合計 / " &amp; $B61,【ピボット】事業所収支!$A$3,"年月",T$13,"事業所",$A$52)),#N/A)</f>
        <v>4314050</v>
      </c>
      <c r="U61" s="486">
        <f>IFERROR(IF(GETPIVOTDATA("合計 / " &amp; $B61,【ピボット】事業所収支!$A$3,"年月",U$13,"事業所",$A$52)=0,#N/A,GETPIVOTDATA("合計 / " &amp; $B61,【ピボット】事業所収支!$A$3,"年月",U$13,"事業所",$A$52)),#N/A)</f>
        <v>4376006</v>
      </c>
      <c r="V61" s="486">
        <f>IFERROR(IF(GETPIVOTDATA("合計 / " &amp; $B61,【ピボット】事業所収支!$A$3,"年月",V$13,"事業所",$A$52)=0,#N/A,GETPIVOTDATA("合計 / " &amp; $B61,【ピボット】事業所収支!$A$3,"年月",V$13,"事業所",$A$52)),#N/A)</f>
        <v>7308069</v>
      </c>
      <c r="W61" s="486">
        <f>IFERROR(IF(GETPIVOTDATA("合計 / " &amp; $B61,【ピボット】事業所収支!$A$3,"年月",W$13,"事業所",$A$52)=0,#N/A,GETPIVOTDATA("合計 / " &amp; $B61,【ピボット】事業所収支!$A$3,"年月",W$13,"事業所",$A$52)),#N/A)</f>
        <v>4007265</v>
      </c>
      <c r="X61" s="486">
        <f>IFERROR(IF(GETPIVOTDATA("合計 / " &amp; $B61,【ピボット】事業所収支!$A$3,"年月",X$13,"事業所",$A$52)=0,#N/A,GETPIVOTDATA("合計 / " &amp; $B61,【ピボット】事業所収支!$A$3,"年月",X$13,"事業所",$A$52)),#N/A)</f>
        <v>3563976</v>
      </c>
      <c r="Y61" s="486">
        <f>IFERROR(IF(GETPIVOTDATA("合計 / " &amp; $B61,【ピボット】事業所収支!$A$3,"年月",Y$13,"事業所",$A$52)=0,#N/A,GETPIVOTDATA("合計 / " &amp; $B61,【ピボット】事業所収支!$A$3,"年月",Y$13,"事業所",$A$52)),#N/A)</f>
        <v>3399432</v>
      </c>
      <c r="Z61" s="486">
        <f>IFERROR(IF(GETPIVOTDATA("合計 / " &amp; $B61,【ピボット】事業所収支!$A$3,"年月",Z$13,"事業所",$A$52)=0,#N/A,GETPIVOTDATA("合計 / " &amp; $B61,【ピボット】事業所収支!$A$3,"年月",Z$13,"事業所",$A$52)),#N/A)</f>
        <v>3585412</v>
      </c>
      <c r="AA61" s="4"/>
    </row>
    <row r="62" spans="1:27" x14ac:dyDescent="0.15">
      <c r="B62" s="48" t="s">
        <v>30</v>
      </c>
      <c r="C62" s="487">
        <f>IFERROR(IF(GETPIVOTDATA("合計 / " &amp; $B62&amp;"計",【ピボット】事業所収支!$A$3,"年月",C$13,"事業所",$A$52)=0,#N/A,GETPIVOTDATA("合計 / " &amp; $B62&amp;"計",【ピボット】事業所収支!$A$3,"年月",C$13,"事業所",$A$52)),#N/A)</f>
        <v>866374</v>
      </c>
      <c r="D62" s="487">
        <f>IFERROR(IF(GETPIVOTDATA("合計 / " &amp; $B62&amp;"計",【ピボット】事業所収支!$A$3,"年月",D$13,"事業所",$A$52)=0,#N/A,GETPIVOTDATA("合計 / " &amp; $B62&amp;"計",【ピボット】事業所収支!$A$3,"年月",D$13,"事業所",$A$52)),#N/A)</f>
        <v>984939</v>
      </c>
      <c r="E62" s="487">
        <f>IFERROR(IF(GETPIVOTDATA("合計 / " &amp; $B62&amp;"計",【ピボット】事業所収支!$A$3,"年月",E$13,"事業所",$A$52)=0,#N/A,GETPIVOTDATA("合計 / " &amp; $B62&amp;"計",【ピボット】事業所収支!$A$3,"年月",E$13,"事業所",$A$52)),#N/A)</f>
        <v>908008</v>
      </c>
      <c r="F62" s="487">
        <f>IFERROR(IF(GETPIVOTDATA("合計 / " &amp; $B62&amp;"計",【ピボット】事業所収支!$A$3,"年月",F$13,"事業所",$A$52)=0,#N/A,GETPIVOTDATA("合計 / " &amp; $B62&amp;"計",【ピボット】事業所収支!$A$3,"年月",F$13,"事業所",$A$52)),#N/A)</f>
        <v>1109072</v>
      </c>
      <c r="G62" s="487">
        <f>IFERROR(IF(GETPIVOTDATA("合計 / " &amp; $B62&amp;"計",【ピボット】事業所収支!$A$3,"年月",G$13,"事業所",$A$52)=0,#N/A,GETPIVOTDATA("合計 / " &amp; $B62&amp;"計",【ピボット】事業所収支!$A$3,"年月",G$13,"事業所",$A$52)),#N/A)</f>
        <v>942537</v>
      </c>
      <c r="H62" s="487">
        <f>IFERROR(IF(GETPIVOTDATA("合計 / " &amp; $B62&amp;"計",【ピボット】事業所収支!$A$3,"年月",H$13,"事業所",$A$52)=0,#N/A,GETPIVOTDATA("合計 / " &amp; $B62&amp;"計",【ピボット】事業所収支!$A$3,"年月",H$13,"事業所",$A$52)),#N/A)</f>
        <v>879489</v>
      </c>
      <c r="I62" s="487">
        <f>IFERROR(IF(GETPIVOTDATA("合計 / " &amp; $B62&amp;"計",【ピボット】事業所収支!$A$3,"年月",I$13,"事業所",$A$52)=0,#N/A,GETPIVOTDATA("合計 / " &amp; $B62&amp;"計",【ピボット】事業所収支!$A$3,"年月",I$13,"事業所",$A$52)),#N/A)</f>
        <v>1009541</v>
      </c>
      <c r="J62" s="487">
        <f>IFERROR(IF(GETPIVOTDATA("合計 / " &amp; $B62&amp;"計",【ピボット】事業所収支!$A$3,"年月",J$13,"事業所",$A$52)=0,#N/A,GETPIVOTDATA("合計 / " &amp; $B62&amp;"計",【ピボット】事業所収支!$A$3,"年月",J$13,"事業所",$A$52)),#N/A)</f>
        <v>894494</v>
      </c>
      <c r="K62" s="487">
        <f>IFERROR(IF(GETPIVOTDATA("合計 / " &amp; $B62&amp;"計",【ピボット】事業所収支!$A$3,"年月",K$13,"事業所",$A$52)=0,#N/A,GETPIVOTDATA("合計 / " &amp; $B62&amp;"計",【ピボット】事業所収支!$A$3,"年月",K$13,"事業所",$A$52)),#N/A)</f>
        <v>973495</v>
      </c>
      <c r="L62" s="487">
        <f>IFERROR(IF(GETPIVOTDATA("合計 / " &amp; $B62&amp;"計",【ピボット】事業所収支!$A$3,"年月",L$13,"事業所",$A$52)=0,#N/A,GETPIVOTDATA("合計 / " &amp; $B62&amp;"計",【ピボット】事業所収支!$A$3,"年月",L$13,"事業所",$A$52)),#N/A)</f>
        <v>981443</v>
      </c>
      <c r="M62" s="487">
        <f>IFERROR(IF(GETPIVOTDATA("合計 / " &amp; $B62&amp;"計",【ピボット】事業所収支!$A$3,"年月",M$13,"事業所",$A$52)=0,#N/A,GETPIVOTDATA("合計 / " &amp; $B62&amp;"計",【ピボット】事業所収支!$A$3,"年月",M$13,"事業所",$A$52)),#N/A)</f>
        <v>1138983</v>
      </c>
      <c r="N62" s="487">
        <f>IFERROR(IF(GETPIVOTDATA("合計 / " &amp; $B62&amp;"計",【ピボット】事業所収支!$A$3,"年月",N$13,"事業所",$A$52)=0,#N/A,GETPIVOTDATA("合計 / " &amp; $B62&amp;"計",【ピボット】事業所収支!$A$3,"年月",N$13,"事業所",$A$52)),#N/A)</f>
        <v>1027364</v>
      </c>
      <c r="O62" s="487">
        <f>IFERROR(IF(GETPIVOTDATA("合計 / " &amp; $B62&amp;"計",【ピボット】事業所収支!$A$3,"年月",O$13,"事業所",$A$52)=0,#N/A,GETPIVOTDATA("合計 / " &amp; $B62&amp;"計",【ピボット】事業所収支!$A$3,"年月",O$13,"事業所",$A$52)),#N/A)</f>
        <v>1004094</v>
      </c>
      <c r="P62" s="487">
        <f>IFERROR(IF(GETPIVOTDATA("合計 / " &amp; $B62&amp;"計",【ピボット】事業所収支!$A$3,"年月",P$13,"事業所",$A$52)=0,#N/A,GETPIVOTDATA("合計 / " &amp; $B62&amp;"計",【ピボット】事業所収支!$A$3,"年月",P$13,"事業所",$A$52)),#N/A)</f>
        <v>1000461</v>
      </c>
      <c r="Q62" s="487">
        <f>IFERROR(IF(GETPIVOTDATA("合計 / " &amp; $B62&amp;"計",【ピボット】事業所収支!$A$3,"年月",Q$13,"事業所",$A$52)=0,#N/A,GETPIVOTDATA("合計 / " &amp; $B62&amp;"計",【ピボット】事業所収支!$A$3,"年月",Q$13,"事業所",$A$52)),#N/A)</f>
        <v>1024705</v>
      </c>
      <c r="R62" s="487">
        <f>IFERROR(IF(GETPIVOTDATA("合計 / " &amp; $B62&amp;"計",【ピボット】事業所収支!$A$3,"年月",R$13,"事業所",$A$52)=0,#N/A,GETPIVOTDATA("合計 / " &amp; $B62&amp;"計",【ピボット】事業所収支!$A$3,"年月",R$13,"事業所",$A$52)),#N/A)</f>
        <v>972141</v>
      </c>
      <c r="S62" s="487">
        <f>IFERROR(IF(GETPIVOTDATA("合計 / " &amp; $B62&amp;"計",【ピボット】事業所収支!$A$3,"年月",S$13,"事業所",$A$52)=0,#N/A,GETPIVOTDATA("合計 / " &amp; $B62&amp;"計",【ピボット】事業所収支!$A$3,"年月",S$13,"事業所",$A$52)),#N/A)</f>
        <v>1096851</v>
      </c>
      <c r="T62" s="487">
        <f>IFERROR(IF(GETPIVOTDATA("合計 / " &amp; $B62&amp;"計",【ピボット】事業所収支!$A$3,"年月",T$13,"事業所",$A$52)=0,#N/A,GETPIVOTDATA("合計 / " &amp; $B62&amp;"計",【ピボット】事業所収支!$A$3,"年月",T$13,"事業所",$A$52)),#N/A)</f>
        <v>1080585</v>
      </c>
      <c r="U62" s="487">
        <f>IFERROR(IF(GETPIVOTDATA("合計 / " &amp; $B62&amp;"計",【ピボット】事業所収支!$A$3,"年月",U$13,"事業所",$A$52)=0,#N/A,GETPIVOTDATA("合計 / " &amp; $B62&amp;"計",【ピボット】事業所収支!$A$3,"年月",U$13,"事業所",$A$52)),#N/A)</f>
        <v>906143</v>
      </c>
      <c r="V62" s="487">
        <f>IFERROR(IF(GETPIVOTDATA("合計 / " &amp; $B62&amp;"計",【ピボット】事業所収支!$A$3,"年月",V$13,"事業所",$A$52)=0,#N/A,GETPIVOTDATA("合計 / " &amp; $B62&amp;"計",【ピボット】事業所収支!$A$3,"年月",V$13,"事業所",$A$52)),#N/A)</f>
        <v>864935</v>
      </c>
      <c r="W62" s="487">
        <f>IFERROR(IF(GETPIVOTDATA("合計 / " &amp; $B62&amp;"計",【ピボット】事業所収支!$A$3,"年月",W$13,"事業所",$A$52)=0,#N/A,GETPIVOTDATA("合計 / " &amp; $B62&amp;"計",【ピボット】事業所収支!$A$3,"年月",W$13,"事業所",$A$52)),#N/A)</f>
        <v>894137</v>
      </c>
      <c r="X62" s="487">
        <f>IFERROR(IF(GETPIVOTDATA("合計 / " &amp; $B62&amp;"計",【ピボット】事業所収支!$A$3,"年月",X$13,"事業所",$A$52)=0,#N/A,GETPIVOTDATA("合計 / " &amp; $B62&amp;"計",【ピボット】事業所収支!$A$3,"年月",X$13,"事業所",$A$52)),#N/A)</f>
        <v>861953</v>
      </c>
      <c r="Y62" s="487">
        <f>IFERROR(IF(GETPIVOTDATA("合計 / " &amp; $B62&amp;"計",【ピボット】事業所収支!$A$3,"年月",Y$13,"事業所",$A$52)=0,#N/A,GETPIVOTDATA("合計 / " &amp; $B62&amp;"計",【ピボット】事業所収支!$A$3,"年月",Y$13,"事業所",$A$52)),#N/A)</f>
        <v>817415</v>
      </c>
      <c r="Z62" s="487">
        <f>IFERROR(IF(GETPIVOTDATA("合計 / " &amp; $B62&amp;"計",【ピボット】事業所収支!$A$3,"年月",Z$13,"事業所",$A$52)=0,#N/A,GETPIVOTDATA("合計 / " &amp; $B62&amp;"計",【ピボット】事業所収支!$A$3,"年月",Z$13,"事業所",$A$52)),#N/A)</f>
        <v>946371</v>
      </c>
      <c r="AA62" s="4"/>
    </row>
    <row r="63" spans="1:27" hidden="1" x14ac:dyDescent="0.15">
      <c r="B63" s="48" t="s">
        <v>52</v>
      </c>
      <c r="C63" s="487" t="e">
        <f>#REF!</f>
        <v>#REF!</v>
      </c>
      <c r="D63" s="487" t="e">
        <f>#REF!</f>
        <v>#REF!</v>
      </c>
      <c r="E63" s="487" t="e">
        <f>#REF!</f>
        <v>#REF!</v>
      </c>
      <c r="F63" s="487" t="e">
        <f>#REF!</f>
        <v>#REF!</v>
      </c>
      <c r="G63" s="487" t="e">
        <f>#REF!</f>
        <v>#REF!</v>
      </c>
      <c r="H63" s="487" t="e">
        <f>#REF!</f>
        <v>#REF!</v>
      </c>
      <c r="I63" s="487" t="e">
        <f>#REF!</f>
        <v>#REF!</v>
      </c>
      <c r="J63" s="487" t="e">
        <f>#REF!</f>
        <v>#REF!</v>
      </c>
      <c r="K63" s="487" t="e">
        <f>#REF!</f>
        <v>#REF!</v>
      </c>
      <c r="L63" s="487" t="e">
        <f>#REF!</f>
        <v>#REF!</v>
      </c>
      <c r="M63" s="487" t="e">
        <f>#REF!</f>
        <v>#REF!</v>
      </c>
      <c r="N63" s="487" t="e">
        <f>#REF!</f>
        <v>#REF!</v>
      </c>
      <c r="O63" s="487" t="e">
        <f>#REF!</f>
        <v>#REF!</v>
      </c>
      <c r="P63" s="487" t="e">
        <f>#REF!</f>
        <v>#REF!</v>
      </c>
      <c r="Q63" s="487" t="e">
        <f>#REF!</f>
        <v>#REF!</v>
      </c>
      <c r="R63" s="487" t="e">
        <f>#REF!</f>
        <v>#REF!</v>
      </c>
      <c r="S63" s="487" t="e">
        <f>#REF!</f>
        <v>#REF!</v>
      </c>
      <c r="T63" s="487" t="e">
        <f>#REF!</f>
        <v>#REF!</v>
      </c>
      <c r="U63" s="487" t="e">
        <f>#REF!</f>
        <v>#REF!</v>
      </c>
      <c r="V63" s="487" t="e">
        <f>#REF!</f>
        <v>#REF!</v>
      </c>
      <c r="W63" s="487" t="e">
        <f>#REF!</f>
        <v>#REF!</v>
      </c>
      <c r="X63" s="487" t="e">
        <f>#REF!</f>
        <v>#REF!</v>
      </c>
      <c r="Y63" s="487" t="e">
        <f>#REF!</f>
        <v>#REF!</v>
      </c>
      <c r="Z63" s="487" t="e">
        <f>#REF!</f>
        <v>#REF!</v>
      </c>
      <c r="AA63" s="4"/>
    </row>
    <row r="64" spans="1:27" x14ac:dyDescent="0.15">
      <c r="B64" s="8" t="s">
        <v>53</v>
      </c>
      <c r="C64" s="483">
        <f t="shared" ref="C64:Z64" si="5">IFERROR(C61,0)+IFERROR(C62,0)</f>
        <v>3970752</v>
      </c>
      <c r="D64" s="483">
        <f t="shared" si="5"/>
        <v>4557110</v>
      </c>
      <c r="E64" s="483">
        <f t="shared" si="5"/>
        <v>4660053</v>
      </c>
      <c r="F64" s="483">
        <f t="shared" si="5"/>
        <v>4849982</v>
      </c>
      <c r="G64" s="483">
        <f t="shared" si="5"/>
        <v>4468998</v>
      </c>
      <c r="H64" s="483">
        <f t="shared" si="5"/>
        <v>4875018</v>
      </c>
      <c r="I64" s="483">
        <f t="shared" si="5"/>
        <v>4866442</v>
      </c>
      <c r="J64" s="483">
        <f t="shared" si="5"/>
        <v>7790615.9664213415</v>
      </c>
      <c r="K64" s="483">
        <f t="shared" si="5"/>
        <v>5847485</v>
      </c>
      <c r="L64" s="483">
        <f t="shared" si="5"/>
        <v>5172324</v>
      </c>
      <c r="M64" s="483">
        <f t="shared" si="5"/>
        <v>5328347</v>
      </c>
      <c r="N64" s="483">
        <f t="shared" si="5"/>
        <v>5177684</v>
      </c>
      <c r="O64" s="483">
        <f t="shared" si="5"/>
        <v>4954985</v>
      </c>
      <c r="P64" s="483">
        <f t="shared" si="5"/>
        <v>5746881</v>
      </c>
      <c r="Q64" s="483">
        <f t="shared" si="5"/>
        <v>5675944</v>
      </c>
      <c r="R64" s="483">
        <f t="shared" si="5"/>
        <v>5820661</v>
      </c>
      <c r="S64" s="483">
        <f t="shared" si="5"/>
        <v>5511434</v>
      </c>
      <c r="T64" s="483">
        <f t="shared" si="5"/>
        <v>5394635</v>
      </c>
      <c r="U64" s="483">
        <f t="shared" si="5"/>
        <v>5282149</v>
      </c>
      <c r="V64" s="483">
        <f t="shared" si="5"/>
        <v>8173004</v>
      </c>
      <c r="W64" s="483">
        <f t="shared" si="5"/>
        <v>4901402</v>
      </c>
      <c r="X64" s="483">
        <f t="shared" si="5"/>
        <v>4425929</v>
      </c>
      <c r="Y64" s="483">
        <f t="shared" si="5"/>
        <v>4216847</v>
      </c>
      <c r="Z64" s="483">
        <f t="shared" si="5"/>
        <v>4531783</v>
      </c>
    </row>
    <row r="65" spans="2:27" x14ac:dyDescent="0.15">
      <c r="B65" s="11" t="s">
        <v>32</v>
      </c>
      <c r="C65" s="488">
        <f t="shared" ref="C65:Z65" si="6">IFERROR(SUM(C54,-C64),0)</f>
        <v>1372235</v>
      </c>
      <c r="D65" s="488">
        <f t="shared" si="6"/>
        <v>1126623</v>
      </c>
      <c r="E65" s="488">
        <f t="shared" si="6"/>
        <v>827645</v>
      </c>
      <c r="F65" s="488">
        <f t="shared" si="6"/>
        <v>793979</v>
      </c>
      <c r="G65" s="488">
        <f t="shared" si="6"/>
        <v>1554615</v>
      </c>
      <c r="H65" s="488">
        <f t="shared" si="6"/>
        <v>1415975</v>
      </c>
      <c r="I65" s="488">
        <f t="shared" si="6"/>
        <v>1087966</v>
      </c>
      <c r="J65" s="488">
        <f t="shared" si="6"/>
        <v>-1826695.9664213415</v>
      </c>
      <c r="K65" s="488">
        <f t="shared" si="6"/>
        <v>-357916</v>
      </c>
      <c r="L65" s="488">
        <f t="shared" si="6"/>
        <v>211413</v>
      </c>
      <c r="M65" s="488">
        <f t="shared" si="6"/>
        <v>57090</v>
      </c>
      <c r="N65" s="488">
        <f t="shared" si="6"/>
        <v>2551906</v>
      </c>
      <c r="O65" s="488">
        <f t="shared" si="6"/>
        <v>1776041</v>
      </c>
      <c r="P65" s="488">
        <f t="shared" si="6"/>
        <v>783353</v>
      </c>
      <c r="Q65" s="488">
        <f t="shared" si="6"/>
        <v>399814</v>
      </c>
      <c r="R65" s="488">
        <f t="shared" si="6"/>
        <v>350143</v>
      </c>
      <c r="S65" s="488">
        <f t="shared" si="6"/>
        <v>645622</v>
      </c>
      <c r="T65" s="488">
        <f t="shared" si="6"/>
        <v>2163247</v>
      </c>
      <c r="U65" s="488">
        <f t="shared" si="6"/>
        <v>2003149</v>
      </c>
      <c r="V65" s="488">
        <f t="shared" si="6"/>
        <v>-1494751</v>
      </c>
      <c r="W65" s="488">
        <f t="shared" si="6"/>
        <v>1039415</v>
      </c>
      <c r="X65" s="488">
        <f t="shared" si="6"/>
        <v>1844668</v>
      </c>
      <c r="Y65" s="488">
        <f t="shared" si="6"/>
        <v>1240924</v>
      </c>
      <c r="Z65" s="488">
        <f t="shared" si="6"/>
        <v>1730446</v>
      </c>
      <c r="AA65" s="4">
        <f>SUM(O65:Z65)</f>
        <v>12482071</v>
      </c>
    </row>
    <row r="66" spans="2:27" x14ac:dyDescent="0.15">
      <c r="B66" s="11"/>
    </row>
    <row r="67" spans="2:27" x14ac:dyDescent="0.15">
      <c r="B67" s="11"/>
      <c r="X67" s="489"/>
      <c r="Y67" s="489"/>
      <c r="Z67" s="489"/>
    </row>
    <row r="92" spans="1:27" ht="18.75" x14ac:dyDescent="0.15">
      <c r="A92" t="s">
        <v>752</v>
      </c>
      <c r="B92" s="43" t="str">
        <f>A92 &amp; "収支"</f>
        <v>誉田収支</v>
      </c>
    </row>
    <row r="93" spans="1:27" x14ac:dyDescent="0.15">
      <c r="B93" s="10"/>
      <c r="C93" s="668">
        <f t="shared" ref="C93:Z93" si="7">C$13</f>
        <v>42856</v>
      </c>
      <c r="D93" s="668">
        <f t="shared" si="7"/>
        <v>42887</v>
      </c>
      <c r="E93" s="668">
        <f t="shared" si="7"/>
        <v>42917</v>
      </c>
      <c r="F93" s="668">
        <f t="shared" si="7"/>
        <v>42948</v>
      </c>
      <c r="G93" s="668">
        <f t="shared" si="7"/>
        <v>42979</v>
      </c>
      <c r="H93" s="668">
        <f t="shared" si="7"/>
        <v>43009</v>
      </c>
      <c r="I93" s="668">
        <f t="shared" si="7"/>
        <v>43040</v>
      </c>
      <c r="J93" s="668">
        <f t="shared" si="7"/>
        <v>43070</v>
      </c>
      <c r="K93" s="668">
        <f t="shared" si="7"/>
        <v>43101</v>
      </c>
      <c r="L93" s="668">
        <f t="shared" si="7"/>
        <v>43132</v>
      </c>
      <c r="M93" s="668">
        <f t="shared" si="7"/>
        <v>43160</v>
      </c>
      <c r="N93" s="668">
        <f t="shared" si="7"/>
        <v>43191</v>
      </c>
      <c r="O93" s="668">
        <f t="shared" si="7"/>
        <v>43221</v>
      </c>
      <c r="P93" s="668">
        <f t="shared" si="7"/>
        <v>43252</v>
      </c>
      <c r="Q93" s="668">
        <f t="shared" si="7"/>
        <v>43282</v>
      </c>
      <c r="R93" s="668">
        <f t="shared" si="7"/>
        <v>43313</v>
      </c>
      <c r="S93" s="668">
        <f t="shared" si="7"/>
        <v>43344</v>
      </c>
      <c r="T93" s="668">
        <f t="shared" si="7"/>
        <v>43374</v>
      </c>
      <c r="U93" s="668">
        <f t="shared" si="7"/>
        <v>43405</v>
      </c>
      <c r="V93" s="668">
        <f t="shared" si="7"/>
        <v>43435</v>
      </c>
      <c r="W93" s="668">
        <f t="shared" si="7"/>
        <v>43466</v>
      </c>
      <c r="X93" s="668">
        <f t="shared" si="7"/>
        <v>43497</v>
      </c>
      <c r="Y93" s="668">
        <f t="shared" si="7"/>
        <v>43525</v>
      </c>
      <c r="Z93" s="668">
        <f t="shared" si="7"/>
        <v>43556</v>
      </c>
    </row>
    <row r="94" spans="1:27" x14ac:dyDescent="0.15">
      <c r="B94" s="12" t="s">
        <v>21</v>
      </c>
      <c r="C94" s="482">
        <f>IFERROR(IF(GETPIVOTDATA("合計 / " &amp; $B94,【ピボット】事業所収支!$A$3,"年月",C$13,"事業所",$A$92)=0,#N/A,GETPIVOTDATA("合計 / " &amp; $B94,【ピボット】事業所収支!$A$3,"年月",C$13,"事業所",$A$92)),#N/A)</f>
        <v>5374919</v>
      </c>
      <c r="D94" s="482">
        <f>IFERROR(IF(GETPIVOTDATA("合計 / " &amp; $B94,【ピボット】事業所収支!$A$3,"年月",D$13,"事業所",$A$92)=0,#N/A,GETPIVOTDATA("合計 / " &amp; $B94,【ピボット】事業所収支!$A$3,"年月",D$13,"事業所",$A$92)),#N/A)</f>
        <v>5697582</v>
      </c>
      <c r="E94" s="482">
        <f>IFERROR(IF(GETPIVOTDATA("合計 / " &amp; $B94,【ピボット】事業所収支!$A$3,"年月",E$13,"事業所",$A$92)=0,#N/A,GETPIVOTDATA("合計 / " &amp; $B94,【ピボット】事業所収支!$A$3,"年月",E$13,"事業所",$A$92)),#N/A)</f>
        <v>5897081</v>
      </c>
      <c r="F94" s="482">
        <f>IFERROR(IF(GETPIVOTDATA("合計 / " &amp; $B94,【ピボット】事業所収支!$A$3,"年月",F$13,"事業所",$A$92)=0,#N/A,GETPIVOTDATA("合計 / " &amp; $B94,【ピボット】事業所収支!$A$3,"年月",F$13,"事業所",$A$92)),#N/A)</f>
        <v>5788645</v>
      </c>
      <c r="G94" s="482">
        <f>IFERROR(IF(GETPIVOTDATA("合計 / " &amp; $B94,【ピボット】事業所収支!$A$3,"年月",G$13,"事業所",$A$92)=0,#N/A,GETPIVOTDATA("合計 / " &amp; $B94,【ピボット】事業所収支!$A$3,"年月",G$13,"事業所",$A$92)),#N/A)</f>
        <v>5817896</v>
      </c>
      <c r="H94" s="482">
        <f>IFERROR(IF(GETPIVOTDATA("合計 / " &amp; $B94,【ピボット】事業所収支!$A$3,"年月",H$13,"事業所",$A$92)=0,#N/A,GETPIVOTDATA("合計 / " &amp; $B94,【ピボット】事業所収支!$A$3,"年月",H$13,"事業所",$A$92)),#N/A)</f>
        <v>5787410</v>
      </c>
      <c r="I94" s="482">
        <f>IFERROR(IF(GETPIVOTDATA("合計 / " &amp; $B94,【ピボット】事業所収支!$A$3,"年月",I$13,"事業所",$A$92)=0,#N/A,GETPIVOTDATA("合計 / " &amp; $B94,【ピボット】事業所収支!$A$3,"年月",I$13,"事業所",$A$92)),#N/A)</f>
        <v>5899891</v>
      </c>
      <c r="J94" s="482">
        <f>IFERROR(IF(GETPIVOTDATA("合計 / " &amp; $B94,【ピボット】事業所収支!$A$3,"年月",J$13,"事業所",$A$92)=0,#N/A,GETPIVOTDATA("合計 / " &amp; $B94,【ピボット】事業所収支!$A$3,"年月",J$13,"事業所",$A$92)),#N/A)</f>
        <v>5629984</v>
      </c>
      <c r="K94" s="482">
        <f>IFERROR(IF(GETPIVOTDATA("合計 / " &amp; $B94,【ピボット】事業所収支!$A$3,"年月",K$13,"事業所",$A$92)=0,#N/A,GETPIVOTDATA("合計 / " &amp; $B94,【ピボット】事業所収支!$A$3,"年月",K$13,"事業所",$A$92)),#N/A)</f>
        <v>6168362</v>
      </c>
      <c r="L94" s="482">
        <f>IFERROR(IF(GETPIVOTDATA("合計 / " &amp; $B94,【ピボット】事業所収支!$A$3,"年月",L$13,"事業所",$A$92)=0,#N/A,GETPIVOTDATA("合計 / " &amp; $B94,【ピボット】事業所収支!$A$3,"年月",L$13,"事業所",$A$92)),#N/A)</f>
        <v>5709957</v>
      </c>
      <c r="M94" s="482">
        <f>IFERROR(IF(GETPIVOTDATA("合計 / " &amp; $B94,【ピボット】事業所収支!$A$3,"年月",M$13,"事業所",$A$92)=0,#N/A,GETPIVOTDATA("合計 / " &amp; $B94,【ピボット】事業所収支!$A$3,"年月",M$13,"事業所",$A$92)),#N/A)</f>
        <v>5793244</v>
      </c>
      <c r="N94" s="482">
        <f>IFERROR(IF(GETPIVOTDATA("合計 / " &amp; $B94,【ピボット】事業所収支!$A$3,"年月",N$13,"事業所",$A$92)=0,#N/A,GETPIVOTDATA("合計 / " &amp; $B94,【ピボット】事業所収支!$A$3,"年月",N$13,"事業所",$A$92)),#N/A)</f>
        <v>6587828</v>
      </c>
      <c r="O94" s="482">
        <f>IFERROR(IF(GETPIVOTDATA("合計 / " &amp; $B94,【ピボット】事業所収支!$A$3,"年月",O$13,"事業所",$A$92)=0,#N/A,GETPIVOTDATA("合計 / " &amp; $B94,【ピボット】事業所収支!$A$3,"年月",O$13,"事業所",$A$92)),#N/A)</f>
        <v>6479560</v>
      </c>
      <c r="P94" s="482">
        <f>IFERROR(IF(GETPIVOTDATA("合計 / " &amp; $B94,【ピボット】事業所収支!$A$3,"年月",P$13,"事業所",$A$92)=0,#N/A,GETPIVOTDATA("合計 / " &amp; $B94,【ピボット】事業所収支!$A$3,"年月",P$13,"事業所",$A$92)),#N/A)</f>
        <v>6806472</v>
      </c>
      <c r="Q94" s="482">
        <f>IFERROR(IF(GETPIVOTDATA("合計 / " &amp; $B94,【ピボット】事業所収支!$A$3,"年月",Q$13,"事業所",$A$92)=0,#N/A,GETPIVOTDATA("合計 / " &amp; $B94,【ピボット】事業所収支!$A$3,"年月",Q$13,"事業所",$A$92)),#N/A)</f>
        <v>6915528</v>
      </c>
      <c r="R94" s="482">
        <f>IFERROR(IF(GETPIVOTDATA("合計 / " &amp; $B94,【ピボット】事業所収支!$A$3,"年月",R$13,"事業所",$A$92)=0,#N/A,GETPIVOTDATA("合計 / " &amp; $B94,【ピボット】事業所収支!$A$3,"年月",R$13,"事業所",$A$92)),#N/A)</f>
        <v>7519354</v>
      </c>
      <c r="S94" s="482">
        <f>IFERROR(IF(GETPIVOTDATA("合計 / " &amp; $B94,【ピボット】事業所収支!$A$3,"年月",S$13,"事業所",$A$92)=0,#N/A,GETPIVOTDATA("合計 / " &amp; $B94,【ピボット】事業所収支!$A$3,"年月",S$13,"事業所",$A$92)),#N/A)</f>
        <v>6774361</v>
      </c>
      <c r="T94" s="482">
        <f>IFERROR(IF(GETPIVOTDATA("合計 / " &amp; $B94,【ピボット】事業所収支!$A$3,"年月",T$13,"事業所",$A$92)=0,#N/A,GETPIVOTDATA("合計 / " &amp; $B94,【ピボット】事業所収支!$A$3,"年月",T$13,"事業所",$A$92)),#N/A)</f>
        <v>7419604</v>
      </c>
      <c r="U94" s="482">
        <f>IFERROR(IF(GETPIVOTDATA("合計 / " &amp; $B94,【ピボット】事業所収支!$A$3,"年月",U$13,"事業所",$A$92)=0,#N/A,GETPIVOTDATA("合計 / " &amp; $B94,【ピボット】事業所収支!$A$3,"年月",U$13,"事業所",$A$92)),#N/A)</f>
        <v>7099035</v>
      </c>
      <c r="V94" s="482">
        <f>IFERROR(IF(GETPIVOTDATA("合計 / " &amp; $B94,【ピボット】事業所収支!$A$3,"年月",V$13,"事業所",$A$92)=0,#N/A,GETPIVOTDATA("合計 / " &amp; $B94,【ピボット】事業所収支!$A$3,"年月",V$13,"事業所",$A$92)),#N/A)</f>
        <v>7065580</v>
      </c>
      <c r="W94" s="482">
        <f>IFERROR(IF(GETPIVOTDATA("合計 / " &amp; $B94,【ピボット】事業所収支!$A$3,"年月",W$13,"事業所",$A$92)=0,#N/A,GETPIVOTDATA("合計 / " &amp; $B94,【ピボット】事業所収支!$A$3,"年月",W$13,"事業所",$A$92)),#N/A)</f>
        <v>7041908</v>
      </c>
      <c r="X94" s="482">
        <f>IFERROR(IF(GETPIVOTDATA("合計 / " &amp; $B94,【ピボット】事業所収支!$A$3,"年月",X$13,"事業所",$A$92)=0,#N/A,GETPIVOTDATA("合計 / " &amp; $B94,【ピボット】事業所収支!$A$3,"年月",X$13,"事業所",$A$92)),#N/A)</f>
        <v>6369053</v>
      </c>
      <c r="Y94" s="482">
        <f>IFERROR(IF(GETPIVOTDATA("合計 / " &amp; $B94,【ピボット】事業所収支!$A$3,"年月",Y$13,"事業所",$A$92)=0,#N/A,GETPIVOTDATA("合計 / " &amp; $B94,【ピボット】事業所収支!$A$3,"年月",Y$13,"事業所",$A$92)),#N/A)</f>
        <v>6979599</v>
      </c>
      <c r="Z94" s="482">
        <f>IFERROR(IF(GETPIVOTDATA("合計 / " &amp; $B94,【ピボット】事業所収支!$A$3,"年月",Z$13,"事業所",$A$92)=0,#N/A,GETPIVOTDATA("合計 / " &amp; $B94,【ピボット】事業所収支!$A$3,"年月",Z$13,"事業所",$A$92)),#N/A)</f>
        <v>7110420</v>
      </c>
      <c r="AA94" s="4"/>
    </row>
    <row r="95" spans="1:27" x14ac:dyDescent="0.15">
      <c r="B95" s="7" t="s">
        <v>28</v>
      </c>
      <c r="C95" s="483">
        <f>IFERROR(IF(GETPIVOTDATA("合計 / " &amp; $B95,【ピボット】事業所収支!$A$3,"年月",C$13,"事業所",$A$92)=0,#N/A,GETPIVOTDATA("合計 / " &amp; $B95,【ピボット】事業所収支!$A$3,"年月",C$13,"事業所",$A$92)),#N/A)</f>
        <v>1485376</v>
      </c>
      <c r="D95" s="483">
        <f>IFERROR(IF(GETPIVOTDATA("合計 / " &amp; $B95,【ピボット】事業所収支!$A$3,"年月",D$13,"事業所",$A$92)=0,#N/A,GETPIVOTDATA("合計 / " &amp; $B95,【ピボット】事業所収支!$A$3,"年月",D$13,"事業所",$A$92)),#N/A)</f>
        <v>1523579</v>
      </c>
      <c r="E95" s="483">
        <f>IFERROR(IF(GETPIVOTDATA("合計 / " &amp; $B95,【ピボット】事業所収支!$A$3,"年月",E$13,"事業所",$A$92)=0,#N/A,GETPIVOTDATA("合計 / " &amp; $B95,【ピボット】事業所収支!$A$3,"年月",E$13,"事業所",$A$92)),#N/A)</f>
        <v>1660664</v>
      </c>
      <c r="F95" s="483">
        <f>IFERROR(IF(GETPIVOTDATA("合計 / " &amp; $B95,【ピボット】事業所収支!$A$3,"年月",F$13,"事業所",$A$92)=0,#N/A,GETPIVOTDATA("合計 / " &amp; $B95,【ピボット】事業所収支!$A$3,"年月",F$13,"事業所",$A$92)),#N/A)</f>
        <v>1591278</v>
      </c>
      <c r="G95" s="483">
        <f>IFERROR(IF(GETPIVOTDATA("合計 / " &amp; $B95,【ピボット】事業所収支!$A$3,"年月",G$13,"事業所",$A$92)=0,#N/A,GETPIVOTDATA("合計 / " &amp; $B95,【ピボット】事業所収支!$A$3,"年月",G$13,"事業所",$A$92)),#N/A)</f>
        <v>1583827</v>
      </c>
      <c r="H95" s="483">
        <f>IFERROR(IF(GETPIVOTDATA("合計 / " &amp; $B95,【ピボット】事業所収支!$A$3,"年月",H$13,"事業所",$A$92)=0,#N/A,GETPIVOTDATA("合計 / " &amp; $B95,【ピボット】事業所収支!$A$3,"年月",H$13,"事業所",$A$92)),#N/A)</f>
        <v>1824962</v>
      </c>
      <c r="I95" s="483">
        <f>IFERROR(IF(GETPIVOTDATA("合計 / " &amp; $B95,【ピボット】事業所収支!$A$3,"年月",I$13,"事業所",$A$92)=0,#N/A,GETPIVOTDATA("合計 / " &amp; $B95,【ピボット】事業所収支!$A$3,"年月",I$13,"事業所",$A$92)),#N/A)</f>
        <v>1878917</v>
      </c>
      <c r="J95" s="483">
        <f>IFERROR(IF(GETPIVOTDATA("合計 / " &amp; $B95,【ピボット】事業所収支!$A$3,"年月",J$13,"事業所",$A$92)=0,#N/A,GETPIVOTDATA("合計 / " &amp; $B95,【ピボット】事業所収支!$A$3,"年月",J$13,"事業所",$A$92)),#N/A)</f>
        <v>1864962</v>
      </c>
      <c r="K95" s="483">
        <f>IFERROR(IF(GETPIVOTDATA("合計 / " &amp; $B95,【ピボット】事業所収支!$A$3,"年月",K$13,"事業所",$A$92)=0,#N/A,GETPIVOTDATA("合計 / " &amp; $B95,【ピボット】事業所収支!$A$3,"年月",K$13,"事業所",$A$92)),#N/A)</f>
        <v>2029268</v>
      </c>
      <c r="L95" s="483">
        <f>IFERROR(IF(GETPIVOTDATA("合計 / " &amp; $B95,【ピボット】事業所収支!$A$3,"年月",L$13,"事業所",$A$92)=0,#N/A,GETPIVOTDATA("合計 / " &amp; $B95,【ピボット】事業所収支!$A$3,"年月",L$13,"事業所",$A$92)),#N/A)</f>
        <v>1811119</v>
      </c>
      <c r="M95" s="483">
        <f>IFERROR(IF(GETPIVOTDATA("合計 / " &amp; $B95,【ピボット】事業所収支!$A$3,"年月",M$13,"事業所",$A$92)=0,#N/A,GETPIVOTDATA("合計 / " &amp; $B95,【ピボット】事業所収支!$A$3,"年月",M$13,"事業所",$A$92)),#N/A)</f>
        <v>1857613</v>
      </c>
      <c r="N95" s="483">
        <f>IFERROR(IF(GETPIVOTDATA("合計 / " &amp; $B95,【ピボット】事業所収支!$A$3,"年月",N$13,"事業所",$A$92)=0,#N/A,GETPIVOTDATA("合計 / " &amp; $B95,【ピボット】事業所収支!$A$3,"年月",N$13,"事業所",$A$92)),#N/A)</f>
        <v>1806032</v>
      </c>
      <c r="O95" s="483">
        <f>IFERROR(IF(GETPIVOTDATA("合計 / " &amp; $B95,【ピボット】事業所収支!$A$3,"年月",O$13,"事業所",$A$92)=0,#N/A,GETPIVOTDATA("合計 / " &amp; $B95,【ピボット】事業所収支!$A$3,"年月",O$13,"事業所",$A$92)),#N/A)</f>
        <v>1756736</v>
      </c>
      <c r="P95" s="483">
        <f>IFERROR(IF(GETPIVOTDATA("合計 / " &amp; $B95,【ピボット】事業所収支!$A$3,"年月",P$13,"事業所",$A$92)=0,#N/A,GETPIVOTDATA("合計 / " &amp; $B95,【ピボット】事業所収支!$A$3,"年月",P$13,"事業所",$A$92)),#N/A)</f>
        <v>2004093</v>
      </c>
      <c r="Q95" s="483">
        <f>IFERROR(IF(GETPIVOTDATA("合計 / " &amp; $B95,【ピボット】事業所収支!$A$3,"年月",Q$13,"事業所",$A$92)=0,#N/A,GETPIVOTDATA("合計 / " &amp; $B95,【ピボット】事業所収支!$A$3,"年月",Q$13,"事業所",$A$92)),#N/A)</f>
        <v>1955103</v>
      </c>
      <c r="R95" s="483">
        <f>IFERROR(IF(GETPIVOTDATA("合計 / " &amp; $B95,【ピボット】事業所収支!$A$3,"年月",R$13,"事業所",$A$92)=0,#N/A,GETPIVOTDATA("合計 / " &amp; $B95,【ピボット】事業所収支!$A$3,"年月",R$13,"事業所",$A$92)),#N/A)</f>
        <v>1913718</v>
      </c>
      <c r="S95" s="483">
        <f>IFERROR(IF(GETPIVOTDATA("合計 / " &amp; $B95,【ピボット】事業所収支!$A$3,"年月",S$13,"事業所",$A$92)=0,#N/A,GETPIVOTDATA("合計 / " &amp; $B95,【ピボット】事業所収支!$A$3,"年月",S$13,"事業所",$A$92)),#N/A)</f>
        <v>1972654</v>
      </c>
      <c r="T95" s="483">
        <f>IFERROR(IF(GETPIVOTDATA("合計 / " &amp; $B95,【ピボット】事業所収支!$A$3,"年月",T$13,"事業所",$A$92)=0,#N/A,GETPIVOTDATA("合計 / " &amp; $B95,【ピボット】事業所収支!$A$3,"年月",T$13,"事業所",$A$92)),#N/A)</f>
        <v>2165081</v>
      </c>
      <c r="U95" s="483">
        <f>IFERROR(IF(GETPIVOTDATA("合計 / " &amp; $B95,【ピボット】事業所収支!$A$3,"年月",U$13,"事業所",$A$92)=0,#N/A,GETPIVOTDATA("合計 / " &amp; $B95,【ピボット】事業所収支!$A$3,"年月",U$13,"事業所",$A$92)),#N/A)</f>
        <v>2058665</v>
      </c>
      <c r="V95" s="483">
        <f>IFERROR(IF(GETPIVOTDATA("合計 / " &amp; $B95,【ピボット】事業所収支!$A$3,"年月",V$13,"事業所",$A$92)=0,#N/A,GETPIVOTDATA("合計 / " &amp; $B95,【ピボット】事業所収支!$A$3,"年月",V$13,"事業所",$A$92)),#N/A)</f>
        <v>1972014</v>
      </c>
      <c r="W95" s="483">
        <f>IFERROR(IF(GETPIVOTDATA("合計 / " &amp; $B95,【ピボット】事業所収支!$A$3,"年月",W$13,"事業所",$A$92)=0,#N/A,GETPIVOTDATA("合計 / " &amp; $B95,【ピボット】事業所収支!$A$3,"年月",W$13,"事業所",$A$92)),#N/A)</f>
        <v>2139316</v>
      </c>
      <c r="X95" s="483">
        <f>IFERROR(IF(GETPIVOTDATA("合計 / " &amp; $B95,【ピボット】事業所収支!$A$3,"年月",X$13,"事業所",$A$92)=0,#N/A,GETPIVOTDATA("合計 / " &amp; $B95,【ピボット】事業所収支!$A$3,"年月",X$13,"事業所",$A$92)),#N/A)</f>
        <v>1722646</v>
      </c>
      <c r="Y95" s="483">
        <f>IFERROR(IF(GETPIVOTDATA("合計 / " &amp; $B95,【ピボット】事業所収支!$A$3,"年月",Y$13,"事業所",$A$92)=0,#N/A,GETPIVOTDATA("合計 / " &amp; $B95,【ピボット】事業所収支!$A$3,"年月",Y$13,"事業所",$A$92)),#N/A)</f>
        <v>1925498</v>
      </c>
      <c r="Z95" s="483">
        <f>IFERROR(IF(GETPIVOTDATA("合計 / " &amp; $B95,【ピボット】事業所収支!$A$3,"年月",Z$13,"事業所",$A$92)=0,#N/A,GETPIVOTDATA("合計 / " &amp; $B95,【ピボット】事業所収支!$A$3,"年月",Z$13,"事業所",$A$92)),#N/A)</f>
        <v>2019702</v>
      </c>
    </row>
    <row r="96" spans="1:27" x14ac:dyDescent="0.15">
      <c r="B96" s="8" t="s">
        <v>27</v>
      </c>
      <c r="C96" s="483">
        <f>IFERROR(IF(GETPIVOTDATA("合計 / " &amp; $B96,【ピボット】事業所収支!$A$3,"年月",C$13,"事業所",$A$92)=0,#N/A,GETPIVOTDATA("合計 / " &amp; $B96,【ピボット】事業所収支!$A$3,"年月",C$13,"事業所",$A$92)),#N/A)</f>
        <v>1431140</v>
      </c>
      <c r="D96" s="483">
        <f>IFERROR(IF(GETPIVOTDATA("合計 / " &amp; $B96,【ピボット】事業所収支!$A$3,"年月",D$13,"事業所",$A$92)=0,#N/A,GETPIVOTDATA("合計 / " &amp; $B96,【ピボット】事業所収支!$A$3,"年月",D$13,"事業所",$A$92)),#N/A)</f>
        <v>1502072</v>
      </c>
      <c r="E96" s="483">
        <f>IFERROR(IF(GETPIVOTDATA("合計 / " &amp; $B96,【ピボット】事業所収支!$A$3,"年月",E$13,"事業所",$A$92)=0,#N/A,GETPIVOTDATA("合計 / " &amp; $B96,【ピボット】事業所収支!$A$3,"年月",E$13,"事業所",$A$92)),#N/A)</f>
        <v>1529773</v>
      </c>
      <c r="F96" s="483">
        <f>IFERROR(IF(GETPIVOTDATA("合計 / " &amp; $B96,【ピボット】事業所収支!$A$3,"年月",F$13,"事業所",$A$92)=0,#N/A,GETPIVOTDATA("合計 / " &amp; $B96,【ピボット】事業所収支!$A$3,"年月",F$13,"事業所",$A$92)),#N/A)</f>
        <v>1551514</v>
      </c>
      <c r="G96" s="483">
        <f>IFERROR(IF(GETPIVOTDATA("合計 / " &amp; $B96,【ピボット】事業所収支!$A$3,"年月",G$13,"事業所",$A$92)=0,#N/A,GETPIVOTDATA("合計 / " &amp; $B96,【ピボット】事業所収支!$A$3,"年月",G$13,"事業所",$A$92)),#N/A)</f>
        <v>1557365</v>
      </c>
      <c r="H96" s="483">
        <f>IFERROR(IF(GETPIVOTDATA("合計 / " &amp; $B96,【ピボット】事業所収支!$A$3,"年月",H$13,"事業所",$A$92)=0,#N/A,GETPIVOTDATA("合計 / " &amp; $B96,【ピボット】事業所収支!$A$3,"年月",H$13,"事業所",$A$92)),#N/A)</f>
        <v>1342495</v>
      </c>
      <c r="I96" s="483">
        <f>IFERROR(IF(GETPIVOTDATA("合計 / " &amp; $B96,【ピボット】事業所収支!$A$3,"年月",I$13,"事業所",$A$92)=0,#N/A,GETPIVOTDATA("合計 / " &amp; $B96,【ピボット】事業所収支!$A$3,"年月",I$13,"事業所",$A$92)),#N/A)</f>
        <v>1348645</v>
      </c>
      <c r="J96" s="483">
        <f>IFERROR(IF(GETPIVOTDATA("合計 / " &amp; $B96,【ピボット】事業所収支!$A$3,"年月",J$13,"事業所",$A$92)=0,#N/A,GETPIVOTDATA("合計 / " &amp; $B96,【ピボット】事業所収支!$A$3,"年月",J$13,"事業所",$A$92)),#N/A)</f>
        <v>1333245</v>
      </c>
      <c r="K96" s="483">
        <f>IFERROR(IF(GETPIVOTDATA("合計 / " &amp; $B96,【ピボット】事業所収支!$A$3,"年月",K$13,"事業所",$A$92)=0,#N/A,GETPIVOTDATA("合計 / " &amp; $B96,【ピボット】事業所収支!$A$3,"年月",K$13,"事業所",$A$92)),#N/A)</f>
        <v>1339385</v>
      </c>
      <c r="L96" s="483">
        <f>IFERROR(IF(GETPIVOTDATA("合計 / " &amp; $B96,【ピボット】事業所収支!$A$3,"年月",L$13,"事業所",$A$92)=0,#N/A,GETPIVOTDATA("合計 / " &amp; $B96,【ピボット】事業所収支!$A$3,"年月",L$13,"事業所",$A$92)),#N/A)</f>
        <v>1828831</v>
      </c>
      <c r="M96" s="483">
        <f>IFERROR(IF(GETPIVOTDATA("合計 / " &amp; $B96,【ピボット】事業所収支!$A$3,"年月",M$13,"事業所",$A$92)=0,#N/A,GETPIVOTDATA("合計 / " &amp; $B96,【ピボット】事業所収支!$A$3,"年月",M$13,"事業所",$A$92)),#N/A)</f>
        <v>1642018</v>
      </c>
      <c r="N96" s="483">
        <f>IFERROR(IF(GETPIVOTDATA("合計 / " &amp; $B96,【ピボット】事業所収支!$A$3,"年月",N$13,"事業所",$A$92)=0,#N/A,GETPIVOTDATA("合計 / " &amp; $B96,【ピボット】事業所収支!$A$3,"年月",N$13,"事業所",$A$92)),#N/A)</f>
        <v>1762060</v>
      </c>
      <c r="O96" s="483">
        <f>IFERROR(IF(GETPIVOTDATA("合計 / " &amp; $B96,【ピボット】事業所収支!$A$3,"年月",O$13,"事業所",$A$92)=0,#N/A,GETPIVOTDATA("合計 / " &amp; $B96,【ピボット】事業所収支!$A$3,"年月",O$13,"事業所",$A$92)),#N/A)</f>
        <v>1764224</v>
      </c>
      <c r="P96" s="483">
        <f>IFERROR(IF(GETPIVOTDATA("合計 / " &amp; $B96,【ピボット】事業所収支!$A$3,"年月",P$13,"事業所",$A$92)=0,#N/A,GETPIVOTDATA("合計 / " &amp; $B96,【ピボット】事業所収支!$A$3,"年月",P$13,"事業所",$A$92)),#N/A)</f>
        <v>1804000</v>
      </c>
      <c r="Q96" s="483">
        <f>IFERROR(IF(GETPIVOTDATA("合計 / " &amp; $B96,【ピボット】事業所収支!$A$3,"年月",Q$13,"事業所",$A$92)=0,#N/A,GETPIVOTDATA("合計 / " &amp; $B96,【ピボット】事業所収支!$A$3,"年月",Q$13,"事業所",$A$92)),#N/A)</f>
        <v>1848415</v>
      </c>
      <c r="R96" s="483">
        <f>IFERROR(IF(GETPIVOTDATA("合計 / " &amp; $B96,【ピボット】事業所収支!$A$3,"年月",R$13,"事業所",$A$92)=0,#N/A,GETPIVOTDATA("合計 / " &amp; $B96,【ピボット】事業所収支!$A$3,"年月",R$13,"事業所",$A$92)),#N/A)</f>
        <v>1894373</v>
      </c>
      <c r="S96" s="483">
        <f>IFERROR(IF(GETPIVOTDATA("合計 / " &amp; $B96,【ピボット】事業所収支!$A$3,"年月",S$13,"事業所",$A$92)=0,#N/A,GETPIVOTDATA("合計 / " &amp; $B96,【ピボット】事業所収支!$A$3,"年月",S$13,"事業所",$A$92)),#N/A)</f>
        <v>1822022</v>
      </c>
      <c r="T96" s="483">
        <f>IFERROR(IF(GETPIVOTDATA("合計 / " &amp; $B96,【ピボット】事業所収支!$A$3,"年月",T$13,"事業所",$A$92)=0,#N/A,GETPIVOTDATA("合計 / " &amp; $B96,【ピボット】事業所収支!$A$3,"年月",T$13,"事業所",$A$92)),#N/A)</f>
        <v>1959643</v>
      </c>
      <c r="U96" s="483">
        <f>IFERROR(IF(GETPIVOTDATA("合計 / " &amp; $B96,【ピボット】事業所収支!$A$3,"年月",U$13,"事業所",$A$92)=0,#N/A,GETPIVOTDATA("合計 / " &amp; $B96,【ピボット】事業所収支!$A$3,"年月",U$13,"事業所",$A$92)),#N/A)</f>
        <v>2274286</v>
      </c>
      <c r="V96" s="483">
        <f>IFERROR(IF(GETPIVOTDATA("合計 / " &amp; $B96,【ピボット】事業所収支!$A$3,"年月",V$13,"事業所",$A$92)=0,#N/A,GETPIVOTDATA("合計 / " &amp; $B96,【ピボット】事業所収支!$A$3,"年月",V$13,"事業所",$A$92)),#N/A)</f>
        <v>2405521</v>
      </c>
      <c r="W96" s="483">
        <f>IFERROR(IF(GETPIVOTDATA("合計 / " &amp; $B96,【ピボット】事業所収支!$A$3,"年月",W$13,"事業所",$A$92)=0,#N/A,GETPIVOTDATA("合計 / " &amp; $B96,【ピボット】事業所収支!$A$3,"年月",W$13,"事業所",$A$92)),#N/A)</f>
        <v>2408503</v>
      </c>
      <c r="X96" s="483">
        <f>IFERROR(IF(GETPIVOTDATA("合計 / " &amp; $B96,【ピボット】事業所収支!$A$3,"年月",X$13,"事業所",$A$92)=0,#N/A,GETPIVOTDATA("合計 / " &amp; $B96,【ピボット】事業所収支!$A$3,"年月",X$13,"事業所",$A$92)),#N/A)</f>
        <v>2220430</v>
      </c>
      <c r="Y96" s="483">
        <f>IFERROR(IF(GETPIVOTDATA("合計 / " &amp; $B96,【ピボット】事業所収支!$A$3,"年月",Y$13,"事業所",$A$92)=0,#N/A,GETPIVOTDATA("合計 / " &amp; $B96,【ピボット】事業所収支!$A$3,"年月",Y$13,"事業所",$A$92)),#N/A)</f>
        <v>2252064</v>
      </c>
      <c r="Z96" s="483">
        <f>IFERROR(IF(GETPIVOTDATA("合計 / " &amp; $B96,【ピボット】事業所収支!$A$3,"年月",Z$13,"事業所",$A$92)=0,#N/A,GETPIVOTDATA("合計 / " &amp; $B96,【ピボット】事業所収支!$A$3,"年月",Z$13,"事業所",$A$92)),#N/A)</f>
        <v>2250088</v>
      </c>
    </row>
    <row r="97" spans="2:27" x14ac:dyDescent="0.15">
      <c r="B97" s="8" t="s">
        <v>60</v>
      </c>
      <c r="C97" s="483" t="e">
        <f>IFERROR(IF(GETPIVOTDATA("合計 / " &amp; $B97,【ピボット】事業所収支!$A$3,"年月",C$13,"事業所",$A$92)=0,#N/A,GETPIVOTDATA("合計 / " &amp; $B97,【ピボット】事業所収支!$A$3,"年月",C$13,"事業所",$A$92)),#N/A)</f>
        <v>#N/A</v>
      </c>
      <c r="D97" s="483">
        <f>IFERROR(IF(GETPIVOTDATA("合計 / " &amp; $B97,【ピボット】事業所収支!$A$3,"年月",D$13,"事業所",$A$92)=0,#N/A,GETPIVOTDATA("合計 / " &amp; $B97,【ピボット】事業所収支!$A$3,"年月",D$13,"事業所",$A$92)),#N/A)</f>
        <v>986000</v>
      </c>
      <c r="E97" s="483" t="e">
        <f>IFERROR(IF(GETPIVOTDATA("合計 / " &amp; $B97,【ピボット】事業所収支!$A$3,"年月",E$13,"事業所",$A$92)=0,#N/A,GETPIVOTDATA("合計 / " &amp; $B97,【ピボット】事業所収支!$A$3,"年月",E$13,"事業所",$A$92)),#N/A)</f>
        <v>#N/A</v>
      </c>
      <c r="F97" s="483">
        <f>IFERROR(IF(GETPIVOTDATA("合計 / " &amp; $B97,【ピボット】事業所収支!$A$3,"年月",F$13,"事業所",$A$92)=0,#N/A,GETPIVOTDATA("合計 / " &amp; $B97,【ピボット】事業所収支!$A$3,"年月",F$13,"事業所",$A$92)),#N/A)</f>
        <v>150000</v>
      </c>
      <c r="G97" s="483" t="e">
        <f>IFERROR(IF(GETPIVOTDATA("合計 / " &amp; $B97,【ピボット】事業所収支!$A$3,"年月",G$13,"事業所",$A$92)=0,#N/A,GETPIVOTDATA("合計 / " &amp; $B97,【ピボット】事業所収支!$A$3,"年月",G$13,"事業所",$A$92)),#N/A)</f>
        <v>#N/A</v>
      </c>
      <c r="H97" s="483" t="e">
        <f>IFERROR(IF(GETPIVOTDATA("合計 / " &amp; $B97,【ピボット】事業所収支!$A$3,"年月",H$13,"事業所",$A$92)=0,#N/A,GETPIVOTDATA("合計 / " &amp; $B97,【ピボット】事業所収支!$A$3,"年月",H$13,"事業所",$A$92)),#N/A)</f>
        <v>#N/A</v>
      </c>
      <c r="I97" s="483" t="e">
        <f>IFERROR(IF(GETPIVOTDATA("合計 / " &amp; $B97,【ピボット】事業所収支!$A$3,"年月",I$13,"事業所",$A$92)=0,#N/A,GETPIVOTDATA("合計 / " &amp; $B97,【ピボット】事業所収支!$A$3,"年月",I$13,"事業所",$A$92)),#N/A)</f>
        <v>#N/A</v>
      </c>
      <c r="J97" s="483">
        <f>IFERROR(IF(GETPIVOTDATA("合計 / " &amp; $B97,【ピボット】事業所収支!$A$3,"年月",J$13,"事業所",$A$92)=0,#N/A,GETPIVOTDATA("合計 / " &amp; $B97,【ピボット】事業所収支!$A$3,"年月",J$13,"事業所",$A$92)),#N/A)</f>
        <v>2770000</v>
      </c>
      <c r="K97" s="483" t="e">
        <f>IFERROR(IF(GETPIVOTDATA("合計 / " &amp; $B97,【ピボット】事業所収支!$A$3,"年月",K$13,"事業所",$A$92)=0,#N/A,GETPIVOTDATA("合計 / " &amp; $B97,【ピボット】事業所収支!$A$3,"年月",K$13,"事業所",$A$92)),#N/A)</f>
        <v>#N/A</v>
      </c>
      <c r="L97" s="483" t="e">
        <f>IFERROR(IF(GETPIVOTDATA("合計 / " &amp; $B97,【ピボット】事業所収支!$A$3,"年月",L$13,"事業所",$A$92)=0,#N/A,GETPIVOTDATA("合計 / " &amp; $B97,【ピボット】事業所収支!$A$3,"年月",L$13,"事業所",$A$92)),#N/A)</f>
        <v>#N/A</v>
      </c>
      <c r="M97" s="483" t="e">
        <f>IFERROR(IF(GETPIVOTDATA("合計 / " &amp; $B97,【ピボット】事業所収支!$A$3,"年月",M$13,"事業所",$A$92)=0,#N/A,GETPIVOTDATA("合計 / " &amp; $B97,【ピボット】事業所収支!$A$3,"年月",M$13,"事業所",$A$92)),#N/A)</f>
        <v>#N/A</v>
      </c>
      <c r="N97" s="483" t="e">
        <f>IFERROR(IF(GETPIVOTDATA("合計 / " &amp; $B97,【ピボット】事業所収支!$A$3,"年月",N$13,"事業所",$A$92)=0,#N/A,GETPIVOTDATA("合計 / " &amp; $B97,【ピボット】事業所収支!$A$3,"年月",N$13,"事業所",$A$92)),#N/A)</f>
        <v>#N/A</v>
      </c>
      <c r="O97" s="483" t="e">
        <f>IFERROR(IF(GETPIVOTDATA("合計 / " &amp; $B97,【ピボット】事業所収支!$A$3,"年月",O$13,"事業所",$A$92)=0,#N/A,GETPIVOTDATA("合計 / " &amp; $B97,【ピボット】事業所収支!$A$3,"年月",O$13,"事業所",$A$92)),#N/A)</f>
        <v>#N/A</v>
      </c>
      <c r="P97" s="483">
        <f>IFERROR(IF(GETPIVOTDATA("合計 / " &amp; $B97,【ピボット】事業所収支!$A$3,"年月",P$13,"事業所",$A$92)=0,#N/A,GETPIVOTDATA("合計 / " &amp; $B97,【ピボット】事業所収支!$A$3,"年月",P$13,"事業所",$A$92)),#N/A)</f>
        <v>1645000</v>
      </c>
      <c r="Q97" s="483" t="e">
        <f>IFERROR(IF(GETPIVOTDATA("合計 / " &amp; $B97,【ピボット】事業所収支!$A$3,"年月",Q$13,"事業所",$A$92)=0,#N/A,GETPIVOTDATA("合計 / " &amp; $B97,【ピボット】事業所収支!$A$3,"年月",Q$13,"事業所",$A$92)),#N/A)</f>
        <v>#N/A</v>
      </c>
      <c r="R97" s="483">
        <f>IFERROR(IF(GETPIVOTDATA("合計 / " &amp; $B97,【ピボット】事業所収支!$A$3,"年月",R$13,"事業所",$A$92)=0,#N/A,GETPIVOTDATA("合計 / " &amp; $B97,【ピボット】事業所収支!$A$3,"年月",R$13,"事業所",$A$92)),#N/A)</f>
        <v>350000</v>
      </c>
      <c r="S97" s="483" t="e">
        <f>IFERROR(IF(GETPIVOTDATA("合計 / " &amp; $B97,【ピボット】事業所収支!$A$3,"年月",S$13,"事業所",$A$92)=0,#N/A,GETPIVOTDATA("合計 / " &amp; $B97,【ピボット】事業所収支!$A$3,"年月",S$13,"事業所",$A$92)),#N/A)</f>
        <v>#N/A</v>
      </c>
      <c r="T97" s="483" t="e">
        <f>IFERROR(IF(GETPIVOTDATA("合計 / " &amp; $B97,【ピボット】事業所収支!$A$3,"年月",T$13,"事業所",$A$92)=0,#N/A,GETPIVOTDATA("合計 / " &amp; $B97,【ピボット】事業所収支!$A$3,"年月",T$13,"事業所",$A$92)),#N/A)</f>
        <v>#N/A</v>
      </c>
      <c r="U97" s="483" t="e">
        <f>IFERROR(IF(GETPIVOTDATA("合計 / " &amp; $B97,【ピボット】事業所収支!$A$3,"年月",U$13,"事業所",$A$92)=0,#N/A,GETPIVOTDATA("合計 / " &amp; $B97,【ピボット】事業所収支!$A$3,"年月",U$13,"事業所",$A$92)),#N/A)</f>
        <v>#N/A</v>
      </c>
      <c r="V97" s="483">
        <f>IFERROR(IF(GETPIVOTDATA("合計 / " &amp; $B97,【ピボット】事業所収支!$A$3,"年月",V$13,"事業所",$A$92)=0,#N/A,GETPIVOTDATA("合計 / " &amp; $B97,【ピボット】事業所収支!$A$3,"年月",V$13,"事業所",$A$92)),#N/A)</f>
        <v>2905500</v>
      </c>
      <c r="W97" s="483" t="e">
        <f>IFERROR(IF(GETPIVOTDATA("合計 / " &amp; $B97,【ピボット】事業所収支!$A$3,"年月",W$13,"事業所",$A$92)=0,#N/A,GETPIVOTDATA("合計 / " &amp; $B97,【ピボット】事業所収支!$A$3,"年月",W$13,"事業所",$A$92)),#N/A)</f>
        <v>#N/A</v>
      </c>
      <c r="X97" s="483" t="e">
        <f>IFERROR(IF(GETPIVOTDATA("合計 / " &amp; $B97,【ピボット】事業所収支!$A$3,"年月",X$13,"事業所",$A$92)=0,#N/A,GETPIVOTDATA("合計 / " &amp; $B97,【ピボット】事業所収支!$A$3,"年月",X$13,"事業所",$A$92)),#N/A)</f>
        <v>#N/A</v>
      </c>
      <c r="Y97" s="483" t="e">
        <f>IFERROR(IF(GETPIVOTDATA("合計 / " &amp; $B97,【ピボット】事業所収支!$A$3,"年月",Y$13,"事業所",$A$92)=0,#N/A,GETPIVOTDATA("合計 / " &amp; $B97,【ピボット】事業所収支!$A$3,"年月",Y$13,"事業所",$A$92)),#N/A)</f>
        <v>#N/A</v>
      </c>
      <c r="Z97" s="483" t="e">
        <f>IFERROR(IF(GETPIVOTDATA("合計 / " &amp; $B97,【ピボット】事業所収支!$A$3,"年月",Z$13,"事業所",$A$92)=0,#N/A,GETPIVOTDATA("合計 / " &amp; $B97,【ピボット】事業所収支!$A$3,"年月",Z$13,"事業所",$A$92)),#N/A)</f>
        <v>#N/A</v>
      </c>
    </row>
    <row r="98" spans="2:27" x14ac:dyDescent="0.15">
      <c r="B98" s="8" t="s">
        <v>50</v>
      </c>
      <c r="C98" s="483" t="e">
        <f>IFERROR(IF(GETPIVOTDATA("合計 / " &amp; $B98,【ピボット】事業所収支!$A$3,"年月",C$13,"事業所",$A$92)=0,#N/A,GETPIVOTDATA("合計 / " &amp; $B98,【ピボット】事業所収支!$A$3,"年月",C$13,"事業所",$A$92)),#N/A)</f>
        <v>#N/A</v>
      </c>
      <c r="D98" s="483" t="e">
        <f>IFERROR(IF(GETPIVOTDATA("合計 / " &amp; $B98,【ピボット】事業所収支!$A$3,"年月",D$13,"事業所",$A$92)=0,#N/A,GETPIVOTDATA("合計 / " &amp; $B98,【ピボット】事業所収支!$A$3,"年月",D$13,"事業所",$A$92)),#N/A)</f>
        <v>#N/A</v>
      </c>
      <c r="E98" s="483" t="e">
        <f>IFERROR(IF(GETPIVOTDATA("合計 / " &amp; $B98,【ピボット】事業所収支!$A$3,"年月",E$13,"事業所",$A$92)=0,#N/A,GETPIVOTDATA("合計 / " &amp; $B98,【ピボット】事業所収支!$A$3,"年月",E$13,"事業所",$A$92)),#N/A)</f>
        <v>#N/A</v>
      </c>
      <c r="F98" s="483" t="e">
        <f>IFERROR(IF(GETPIVOTDATA("合計 / " &amp; $B98,【ピボット】事業所収支!$A$3,"年月",F$13,"事業所",$A$92)=0,#N/A,GETPIVOTDATA("合計 / " &amp; $B98,【ピボット】事業所収支!$A$3,"年月",F$13,"事業所",$A$92)),#N/A)</f>
        <v>#N/A</v>
      </c>
      <c r="G98" s="483" t="e">
        <f>IFERROR(IF(GETPIVOTDATA("合計 / " &amp; $B98,【ピボット】事業所収支!$A$3,"年月",G$13,"事業所",$A$92)=0,#N/A,GETPIVOTDATA("合計 / " &amp; $B98,【ピボット】事業所収支!$A$3,"年月",G$13,"事業所",$A$92)),#N/A)</f>
        <v>#N/A</v>
      </c>
      <c r="H98" s="483" t="e">
        <f>IFERROR(IF(GETPIVOTDATA("合計 / " &amp; $B98,【ピボット】事業所収支!$A$3,"年月",H$13,"事業所",$A$92)=0,#N/A,GETPIVOTDATA("合計 / " &amp; $B98,【ピボット】事業所収支!$A$3,"年月",H$13,"事業所",$A$92)),#N/A)</f>
        <v>#N/A</v>
      </c>
      <c r="I98" s="483" t="e">
        <f>IFERROR(IF(GETPIVOTDATA("合計 / " &amp; $B98,【ピボット】事業所収支!$A$3,"年月",I$13,"事業所",$A$92)=0,#N/A,GETPIVOTDATA("合計 / " &amp; $B98,【ピボット】事業所収支!$A$3,"年月",I$13,"事業所",$A$92)),#N/A)</f>
        <v>#N/A</v>
      </c>
      <c r="J98" s="483" t="e">
        <f>IFERROR(IF(GETPIVOTDATA("合計 / " &amp; $B98,【ピボット】事業所収支!$A$3,"年月",J$13,"事業所",$A$92)=0,#N/A,GETPIVOTDATA("合計 / " &amp; $B98,【ピボット】事業所収支!$A$3,"年月",J$13,"事業所",$A$92)),#N/A)</f>
        <v>#N/A</v>
      </c>
      <c r="K98" s="483" t="e">
        <f>IFERROR(IF(GETPIVOTDATA("合計 / " &amp; $B98,【ピボット】事業所収支!$A$3,"年月",K$13,"事業所",$A$92)=0,#N/A,GETPIVOTDATA("合計 / " &amp; $B98,【ピボット】事業所収支!$A$3,"年月",K$13,"事業所",$A$92)),#N/A)</f>
        <v>#N/A</v>
      </c>
      <c r="L98" s="483" t="e">
        <f>IFERROR(IF(GETPIVOTDATA("合計 / " &amp; $B98,【ピボット】事業所収支!$A$3,"年月",L$13,"事業所",$A$92)=0,#N/A,GETPIVOTDATA("合計 / " &amp; $B98,【ピボット】事業所収支!$A$3,"年月",L$13,"事業所",$A$92)),#N/A)</f>
        <v>#N/A</v>
      </c>
      <c r="M98" s="483" t="e">
        <f>IFERROR(IF(GETPIVOTDATA("合計 / " &amp; $B98,【ピボット】事業所収支!$A$3,"年月",M$13,"事業所",$A$92)=0,#N/A,GETPIVOTDATA("合計 / " &amp; $B98,【ピボット】事業所収支!$A$3,"年月",M$13,"事業所",$A$92)),#N/A)</f>
        <v>#N/A</v>
      </c>
      <c r="N98" s="483" t="e">
        <f>IFERROR(IF(GETPIVOTDATA("合計 / " &amp; $B98,【ピボット】事業所収支!$A$3,"年月",N$13,"事業所",$A$92)=0,#N/A,GETPIVOTDATA("合計 / " &amp; $B98,【ピボット】事業所収支!$A$3,"年月",N$13,"事業所",$A$92)),#N/A)</f>
        <v>#N/A</v>
      </c>
      <c r="O98" s="483" t="e">
        <f>IFERROR(IF(GETPIVOTDATA("合計 / " &amp; $B98,【ピボット】事業所収支!$A$3,"年月",O$13,"事業所",$A$92)=0,#N/A,GETPIVOTDATA("合計 / " &amp; $B98,【ピボット】事業所収支!$A$3,"年月",O$13,"事業所",$A$92)),#N/A)</f>
        <v>#N/A</v>
      </c>
      <c r="P98" s="483" t="e">
        <f>IFERROR(IF(GETPIVOTDATA("合計 / " &amp; $B98,【ピボット】事業所収支!$A$3,"年月",P$13,"事業所",$A$92)=0,#N/A,GETPIVOTDATA("合計 / " &amp; $B98,【ピボット】事業所収支!$A$3,"年月",P$13,"事業所",$A$92)),#N/A)</f>
        <v>#N/A</v>
      </c>
      <c r="Q98" s="483" t="e">
        <f>IFERROR(IF(GETPIVOTDATA("合計 / " &amp; $B98,【ピボット】事業所収支!$A$3,"年月",Q$13,"事業所",$A$92)=0,#N/A,GETPIVOTDATA("合計 / " &amp; $B98,【ピボット】事業所収支!$A$3,"年月",Q$13,"事業所",$A$92)),#N/A)</f>
        <v>#N/A</v>
      </c>
      <c r="R98" s="483" t="e">
        <f>IFERROR(IF(GETPIVOTDATA("合計 / " &amp; $B98,【ピボット】事業所収支!$A$3,"年月",R$13,"事業所",$A$92)=0,#N/A,GETPIVOTDATA("合計 / " &amp; $B98,【ピボット】事業所収支!$A$3,"年月",R$13,"事業所",$A$92)),#N/A)</f>
        <v>#N/A</v>
      </c>
      <c r="S98" s="483" t="e">
        <f>IFERROR(IF(GETPIVOTDATA("合計 / " &amp; $B98,【ピボット】事業所収支!$A$3,"年月",S$13,"事業所",$A$92)=0,#N/A,GETPIVOTDATA("合計 / " &amp; $B98,【ピボット】事業所収支!$A$3,"年月",S$13,"事業所",$A$92)),#N/A)</f>
        <v>#N/A</v>
      </c>
      <c r="T98" s="483" t="e">
        <f>IFERROR(IF(GETPIVOTDATA("合計 / " &amp; $B98,【ピボット】事業所収支!$A$3,"年月",T$13,"事業所",$A$92)=0,#N/A,GETPIVOTDATA("合計 / " &amp; $B98,【ピボット】事業所収支!$A$3,"年月",T$13,"事業所",$A$92)),#N/A)</f>
        <v>#N/A</v>
      </c>
      <c r="U98" s="483" t="e">
        <f>IFERROR(IF(GETPIVOTDATA("合計 / " &amp; $B98,【ピボット】事業所収支!$A$3,"年月",U$13,"事業所",$A$92)=0,#N/A,GETPIVOTDATA("合計 / " &amp; $B98,【ピボット】事業所収支!$A$3,"年月",U$13,"事業所",$A$92)),#N/A)</f>
        <v>#N/A</v>
      </c>
      <c r="V98" s="483" t="e">
        <f>IFERROR(IF(GETPIVOTDATA("合計 / " &amp; $B98,【ピボット】事業所収支!$A$3,"年月",V$13,"事業所",$A$92)=0,#N/A,GETPIVOTDATA("合計 / " &amp; $B98,【ピボット】事業所収支!$A$3,"年月",V$13,"事業所",$A$92)),#N/A)</f>
        <v>#N/A</v>
      </c>
      <c r="W98" s="483" t="e">
        <f>IFERROR(IF(GETPIVOTDATA("合計 / " &amp; $B98,【ピボット】事業所収支!$A$3,"年月",W$13,"事業所",$A$92)=0,#N/A,GETPIVOTDATA("合計 / " &amp; $B98,【ピボット】事業所収支!$A$3,"年月",W$13,"事業所",$A$92)),#N/A)</f>
        <v>#N/A</v>
      </c>
      <c r="X98" s="483" t="e">
        <f>IFERROR(IF(GETPIVOTDATA("合計 / " &amp; $B98,【ピボット】事業所収支!$A$3,"年月",X$13,"事業所",$A$92)=0,#N/A,GETPIVOTDATA("合計 / " &amp; $B98,【ピボット】事業所収支!$A$3,"年月",X$13,"事業所",$A$92)),#N/A)</f>
        <v>#N/A</v>
      </c>
      <c r="Y98" s="483" t="e">
        <f>IFERROR(IF(GETPIVOTDATA("合計 / " &amp; $B98,【ピボット】事業所収支!$A$3,"年月",Y$13,"事業所",$A$92)=0,#N/A,GETPIVOTDATA("合計 / " &amp; $B98,【ピボット】事業所収支!$A$3,"年月",Y$13,"事業所",$A$92)),#N/A)</f>
        <v>#N/A</v>
      </c>
      <c r="Z98" s="483" t="e">
        <f>IFERROR(IF(GETPIVOTDATA("合計 / " &amp; $B98,【ピボット】事業所収支!$A$3,"年月",Z$13,"事業所",$A$92)=0,#N/A,GETPIVOTDATA("合計 / " &amp; $B98,【ピボット】事業所収支!$A$3,"年月",Z$13,"事業所",$A$92)),#N/A)</f>
        <v>#N/A</v>
      </c>
    </row>
    <row r="99" spans="2:27" x14ac:dyDescent="0.15">
      <c r="B99" s="9" t="s">
        <v>29</v>
      </c>
      <c r="C99" s="484">
        <f>IFERROR(IF(GETPIVOTDATA("合計 / " &amp; $B99,【ピボット】事業所収支!$A$3,"年月",C$13,"事業所",$A$92)=0,#N/A,GETPIVOTDATA("合計 / " &amp; $B99,【ピボット】事業所収支!$A$3,"年月",C$13,"事業所",$A$92)),#N/A)</f>
        <v>263048</v>
      </c>
      <c r="D99" s="484">
        <f>IFERROR(IF(GETPIVOTDATA("合計 / " &amp; $B99,【ピボット】事業所収支!$A$3,"年月",D$13,"事業所",$A$92)=0,#N/A,GETPIVOTDATA("合計 / " &amp; $B99,【ピボット】事業所収支!$A$3,"年月",D$13,"事業所",$A$92)),#N/A)</f>
        <v>299629</v>
      </c>
      <c r="E99" s="484">
        <f>IFERROR(IF(GETPIVOTDATA("合計 / " &amp; $B99,【ピボット】事業所収支!$A$3,"年月",E$13,"事業所",$A$92)=0,#N/A,GETPIVOTDATA("合計 / " &amp; $B99,【ピボット】事業所収支!$A$3,"年月",E$13,"事業所",$A$92)),#N/A)</f>
        <v>464646</v>
      </c>
      <c r="F99" s="484">
        <f>IFERROR(IF(GETPIVOTDATA("合計 / " &amp; $B99,【ピボット】事業所収支!$A$3,"年月",F$13,"事業所",$A$92)=0,#N/A,GETPIVOTDATA("合計 / " &amp; $B99,【ピボット】事業所収支!$A$3,"年月",F$13,"事業所",$A$92)),#N/A)</f>
        <v>233753</v>
      </c>
      <c r="G99" s="484">
        <f>IFERROR(IF(GETPIVOTDATA("合計 / " &amp; $B99,【ピボット】事業所収支!$A$3,"年月",G$13,"事業所",$A$92)=0,#N/A,GETPIVOTDATA("合計 / " &amp; $B99,【ピボット】事業所収支!$A$3,"年月",G$13,"事業所",$A$92)),#N/A)</f>
        <v>217502</v>
      </c>
      <c r="H99" s="484">
        <f>IFERROR(IF(GETPIVOTDATA("合計 / " &amp; $B99,【ピボット】事業所収支!$A$3,"年月",H$13,"事業所",$A$92)=0,#N/A,GETPIVOTDATA("合計 / " &amp; $B99,【ピボット】事業所収支!$A$3,"年月",H$13,"事業所",$A$92)),#N/A)</f>
        <v>297113</v>
      </c>
      <c r="I99" s="484">
        <f>IFERROR(IF(GETPIVOTDATA("合計 / " &amp; $B99,【ピボット】事業所収支!$A$3,"年月",I$13,"事業所",$A$92)=0,#N/A,GETPIVOTDATA("合計 / " &amp; $B99,【ピボット】事業所収支!$A$3,"年月",I$13,"事業所",$A$92)),#N/A)</f>
        <v>269819</v>
      </c>
      <c r="J99" s="484">
        <f>IFERROR(IF(GETPIVOTDATA("合計 / " &amp; $B99,【ピボット】事業所収支!$A$3,"年月",J$13,"事業所",$A$92)=0,#N/A,GETPIVOTDATA("合計 / " &amp; $B99,【ピボット】事業所収支!$A$3,"年月",J$13,"事業所",$A$92)),#N/A)</f>
        <v>-39239.055500687333</v>
      </c>
      <c r="K99" s="484">
        <f>IFERROR(IF(GETPIVOTDATA("合計 / " &amp; $B99,【ピボット】事業所収支!$A$3,"年月",K$13,"事業所",$A$92)=0,#N/A,GETPIVOTDATA("合計 / " &amp; $B99,【ピボット】事業所収支!$A$3,"年月",K$13,"事業所",$A$92)),#N/A)</f>
        <v>839406</v>
      </c>
      <c r="L99" s="484">
        <f>IFERROR(IF(GETPIVOTDATA("合計 / " &amp; $B99,【ピボット】事業所収支!$A$3,"年月",L$13,"事業所",$A$92)=0,#N/A,GETPIVOTDATA("合計 / " &amp; $B99,【ピボット】事業所収支!$A$3,"年月",L$13,"事業所",$A$92)),#N/A)</f>
        <v>312594</v>
      </c>
      <c r="M99" s="484">
        <f>IFERROR(IF(GETPIVOTDATA("合計 / " &amp; $B99,【ピボット】事業所収支!$A$3,"年月",M$13,"事業所",$A$92)=0,#N/A,GETPIVOTDATA("合計 / " &amp; $B99,【ピボット】事業所収支!$A$3,"年月",M$13,"事業所",$A$92)),#N/A)</f>
        <v>325425</v>
      </c>
      <c r="N99" s="484">
        <f>IFERROR(IF(GETPIVOTDATA("合計 / " &amp; $B99,【ピボット】事業所収支!$A$3,"年月",N$13,"事業所",$A$92)=0,#N/A,GETPIVOTDATA("合計 / " &amp; $B99,【ピボット】事業所収支!$A$3,"年月",N$13,"事業所",$A$92)),#N/A)</f>
        <v>303341</v>
      </c>
      <c r="O99" s="484">
        <f>IFERROR(IF(GETPIVOTDATA("合計 / " &amp; $B99,【ピボット】事業所収支!$A$3,"年月",O$13,"事業所",$A$92)=0,#N/A,GETPIVOTDATA("合計 / " &amp; $B99,【ピボット】事業所収支!$A$3,"年月",O$13,"事業所",$A$92)),#N/A)</f>
        <v>310574</v>
      </c>
      <c r="P99" s="484">
        <f>IFERROR(IF(GETPIVOTDATA("合計 / " &amp; $B99,【ピボット】事業所収支!$A$3,"年月",P$13,"事業所",$A$92)=0,#N/A,GETPIVOTDATA("合計 / " &amp; $B99,【ピボット】事業所収支!$A$3,"年月",P$13,"事業所",$A$92)),#N/A)</f>
        <v>271347</v>
      </c>
      <c r="Q99" s="484">
        <f>IFERROR(IF(GETPIVOTDATA("合計 / " &amp; $B99,【ピボット】事業所収支!$A$3,"年月",Q$13,"事業所",$A$92)=0,#N/A,GETPIVOTDATA("合計 / " &amp; $B99,【ピボット】事業所収支!$A$3,"年月",Q$13,"事業所",$A$92)),#N/A)</f>
        <v>695963</v>
      </c>
      <c r="R99" s="484">
        <f>IFERROR(IF(GETPIVOTDATA("合計 / " &amp; $B99,【ピボット】事業所収支!$A$3,"年月",R$13,"事業所",$A$92)=0,#N/A,GETPIVOTDATA("合計 / " &amp; $B99,【ピボット】事業所収支!$A$3,"年月",R$13,"事業所",$A$92)),#N/A)</f>
        <v>292839</v>
      </c>
      <c r="S99" s="484">
        <f>IFERROR(IF(GETPIVOTDATA("合計 / " &amp; $B99,【ピボット】事業所収支!$A$3,"年月",S$13,"事業所",$A$92)=0,#N/A,GETPIVOTDATA("合計 / " &amp; $B99,【ピボット】事業所収支!$A$3,"年月",S$13,"事業所",$A$92)),#N/A)</f>
        <v>463913</v>
      </c>
      <c r="T99" s="484">
        <f>IFERROR(IF(GETPIVOTDATA("合計 / " &amp; $B99,【ピボット】事業所収支!$A$3,"年月",T$13,"事業所",$A$92)=0,#N/A,GETPIVOTDATA("合計 / " &amp; $B99,【ピボット】事業所収支!$A$3,"年月",T$13,"事業所",$A$92)),#N/A)</f>
        <v>391763</v>
      </c>
      <c r="U99" s="484">
        <f>IFERROR(IF(GETPIVOTDATA("合計 / " &amp; $B99,【ピボット】事業所収支!$A$3,"年月",U$13,"事業所",$A$92)=0,#N/A,GETPIVOTDATA("合計 / " &amp; $B99,【ピボット】事業所収支!$A$3,"年月",U$13,"事業所",$A$92)),#N/A)</f>
        <v>359020</v>
      </c>
      <c r="V99" s="484">
        <f>IFERROR(IF(GETPIVOTDATA("合計 / " &amp; $B99,【ピボット】事業所収支!$A$3,"年月",V$13,"事業所",$A$92)=0,#N/A,GETPIVOTDATA("合計 / " &amp; $B99,【ピボット】事業所収支!$A$3,"年月",V$13,"事業所",$A$92)),#N/A)</f>
        <v>829363</v>
      </c>
      <c r="W99" s="484">
        <f>IFERROR(IF(GETPIVOTDATA("合計 / " &amp; $B99,【ピボット】事業所収支!$A$3,"年月",W$13,"事業所",$A$92)=0,#N/A,GETPIVOTDATA("合計 / " &amp; $B99,【ピボット】事業所収支!$A$3,"年月",W$13,"事業所",$A$92)),#N/A)</f>
        <v>385802</v>
      </c>
      <c r="X99" s="484">
        <f>IFERROR(IF(GETPIVOTDATA("合計 / " &amp; $B99,【ピボット】事業所収支!$A$3,"年月",X$13,"事業所",$A$92)=0,#N/A,GETPIVOTDATA("合計 / " &amp; $B99,【ピボット】事業所収支!$A$3,"年月",X$13,"事業所",$A$92)),#N/A)</f>
        <v>330411</v>
      </c>
      <c r="Y99" s="484">
        <f>IFERROR(IF(GETPIVOTDATA("合計 / " &amp; $B99,【ピボット】事業所収支!$A$3,"年月",Y$13,"事業所",$A$92)=0,#N/A,GETPIVOTDATA("合計 / " &amp; $B99,【ピボット】事業所収支!$A$3,"年月",Y$13,"事業所",$A$92)),#N/A)</f>
        <v>333160</v>
      </c>
      <c r="Z99" s="484">
        <f>IFERROR(IF(GETPIVOTDATA("合計 / " &amp; $B99,【ピボット】事業所収支!$A$3,"年月",Z$13,"事業所",$A$92)=0,#N/A,GETPIVOTDATA("合計 / " &amp; $B99,【ピボット】事業所収支!$A$3,"年月",Z$13,"事業所",$A$92)),#N/A)</f>
        <v>358588</v>
      </c>
      <c r="AA99" s="4"/>
    </row>
    <row r="100" spans="2:27" x14ac:dyDescent="0.15">
      <c r="B100" s="9" t="s">
        <v>51</v>
      </c>
      <c r="C100" s="483">
        <f>IFERROR(IF(GETPIVOTDATA("合計 / " &amp; $B100,【ピボット】事業所収支!$A$3,"年月",C$13,"事業所",$A$92)=0,#N/A,GETPIVOTDATA("合計 / " &amp; $B100,【ピボット】事業所収支!$A$3,"年月",C$13,"事業所",$A$92)),#N/A)</f>
        <v>19454</v>
      </c>
      <c r="D100" s="483">
        <f>IFERROR(IF(GETPIVOTDATA("合計 / " &amp; $B100,【ピボット】事業所収支!$A$3,"年月",D$13,"事業所",$A$92)=0,#N/A,GETPIVOTDATA("合計 / " &amp; $B100,【ピボット】事業所収支!$A$3,"年月",D$13,"事業所",$A$92)),#N/A)</f>
        <v>15892</v>
      </c>
      <c r="E100" s="483">
        <f>IFERROR(IF(GETPIVOTDATA("合計 / " &amp; $B100,【ピボット】事業所収支!$A$3,"年月",E$13,"事業所",$A$92)=0,#N/A,GETPIVOTDATA("合計 / " &amp; $B100,【ピボット】事業所収支!$A$3,"年月",E$13,"事業所",$A$92)),#N/A)</f>
        <v>14981</v>
      </c>
      <c r="F100" s="483">
        <f>IFERROR(IF(GETPIVOTDATA("合計 / " &amp; $B100,【ピボット】事業所収支!$A$3,"年月",F$13,"事業所",$A$92)=0,#N/A,GETPIVOTDATA("合計 / " &amp; $B100,【ピボット】事業所収支!$A$3,"年月",F$13,"事業所",$A$92)),#N/A)</f>
        <v>7658</v>
      </c>
      <c r="G100" s="483">
        <f>IFERROR(IF(GETPIVOTDATA("合計 / " &amp; $B100,【ピボット】事業所収支!$A$3,"年月",G$13,"事業所",$A$92)=0,#N/A,GETPIVOTDATA("合計 / " &amp; $B100,【ピボット】事業所収支!$A$3,"年月",G$13,"事業所",$A$92)),#N/A)</f>
        <v>13049</v>
      </c>
      <c r="H100" s="483">
        <f>IFERROR(IF(GETPIVOTDATA("合計 / " &amp; $B100,【ピボット】事業所収支!$A$3,"年月",H$13,"事業所",$A$92)=0,#N/A,GETPIVOTDATA("合計 / " &amp; $B100,【ピボット】事業所収支!$A$3,"年月",H$13,"事業所",$A$92)),#N/A)</f>
        <v>1143</v>
      </c>
      <c r="I100" s="483">
        <f>IFERROR(IF(GETPIVOTDATA("合計 / " &amp; $B100,【ピボット】事業所収支!$A$3,"年月",I$13,"事業所",$A$92)=0,#N/A,GETPIVOTDATA("合計 / " &amp; $B100,【ピボット】事業所収支!$A$3,"年月",I$13,"事業所",$A$92)),#N/A)</f>
        <v>23071</v>
      </c>
      <c r="J100" s="483">
        <f>IFERROR(IF(GETPIVOTDATA("合計 / " &amp; $B100,【ピボット】事業所収支!$A$3,"年月",J$13,"事業所",$A$92)=0,#N/A,GETPIVOTDATA("合計 / " &amp; $B100,【ピボット】事業所収支!$A$3,"年月",J$13,"事業所",$A$92)),#N/A)</f>
        <v>123018</v>
      </c>
      <c r="K100" s="483">
        <f>IFERROR(IF(GETPIVOTDATA("合計 / " &amp; $B100,【ピボット】事業所収支!$A$3,"年月",K$13,"事業所",$A$92)=0,#N/A,GETPIVOTDATA("合計 / " &amp; $B100,【ピボット】事業所収支!$A$3,"年月",K$13,"事業所",$A$92)),#N/A)</f>
        <v>996</v>
      </c>
      <c r="L100" s="483">
        <f>IFERROR(IF(GETPIVOTDATA("合計 / " &amp; $B100,【ピボット】事業所収支!$A$3,"年月",L$13,"事業所",$A$92)=0,#N/A,GETPIVOTDATA("合計 / " &amp; $B100,【ピボット】事業所収支!$A$3,"年月",L$13,"事業所",$A$92)),#N/A)</f>
        <v>16901</v>
      </c>
      <c r="M100" s="483">
        <f>IFERROR(IF(GETPIVOTDATA("合計 / " &amp; $B100,【ピボット】事業所収支!$A$3,"年月",M$13,"事業所",$A$92)=0,#N/A,GETPIVOTDATA("合計 / " &amp; $B100,【ピボット】事業所収支!$A$3,"年月",M$13,"事業所",$A$92)),#N/A)</f>
        <v>3621</v>
      </c>
      <c r="N100" s="483">
        <f>IFERROR(IF(GETPIVOTDATA("合計 / " &amp; $B100,【ピボット】事業所収支!$A$3,"年月",N$13,"事業所",$A$92)=0,#N/A,GETPIVOTDATA("合計 / " &amp; $B100,【ピボット】事業所収支!$A$3,"年月",N$13,"事業所",$A$92)),#N/A)</f>
        <v>6952</v>
      </c>
      <c r="O100" s="483">
        <f>IFERROR(IF(GETPIVOTDATA("合計 / " &amp; $B100,【ピボット】事業所収支!$A$3,"年月",O$13,"事業所",$A$92)=0,#N/A,GETPIVOTDATA("合計 / " &amp; $B100,【ピボット】事業所収支!$A$3,"年月",O$13,"事業所",$A$92)),#N/A)</f>
        <v>8768</v>
      </c>
      <c r="P100" s="483">
        <f>IFERROR(IF(GETPIVOTDATA("合計 / " &amp; $B100,【ピボット】事業所収支!$A$3,"年月",P$13,"事業所",$A$92)=0,#N/A,GETPIVOTDATA("合計 / " &amp; $B100,【ピボット】事業所収支!$A$3,"年月",P$13,"事業所",$A$92)),#N/A)</f>
        <v>6683</v>
      </c>
      <c r="Q100" s="483">
        <f>IFERROR(IF(GETPIVOTDATA("合計 / " &amp; $B100,【ピボット】事業所収支!$A$3,"年月",Q$13,"事業所",$A$92)=0,#N/A,GETPIVOTDATA("合計 / " &amp; $B100,【ピボット】事業所収支!$A$3,"年月",Q$13,"事業所",$A$92)),#N/A)</f>
        <v>2571</v>
      </c>
      <c r="R100" s="483">
        <f>IFERROR(IF(GETPIVOTDATA("合計 / " &amp; $B100,【ピボット】事業所収支!$A$3,"年月",R$13,"事業所",$A$92)=0,#N/A,GETPIVOTDATA("合計 / " &amp; $B100,【ピボット】事業所収支!$A$3,"年月",R$13,"事業所",$A$92)),#N/A)</f>
        <v>56664</v>
      </c>
      <c r="S100" s="483">
        <f>IFERROR(IF(GETPIVOTDATA("合計 / " &amp; $B100,【ピボット】事業所収支!$A$3,"年月",S$13,"事業所",$A$92)=0,#N/A,GETPIVOTDATA("合計 / " &amp; $B100,【ピボット】事業所収支!$A$3,"年月",S$13,"事業所",$A$92)),#N/A)</f>
        <v>39170</v>
      </c>
      <c r="T100" s="483">
        <f>IFERROR(IF(GETPIVOTDATA("合計 / " &amp; $B100,【ピボット】事業所収支!$A$3,"年月",T$13,"事業所",$A$92)=0,#N/A,GETPIVOTDATA("合計 / " &amp; $B100,【ピボット】事業所収支!$A$3,"年月",T$13,"事業所",$A$92)),#N/A)</f>
        <v>5122</v>
      </c>
      <c r="U100" s="483">
        <f>IFERROR(IF(GETPIVOTDATA("合計 / " &amp; $B100,【ピボット】事業所収支!$A$3,"年月",U$13,"事業所",$A$92)=0,#N/A,GETPIVOTDATA("合計 / " &amp; $B100,【ピボット】事業所収支!$A$3,"年月",U$13,"事業所",$A$92)),#N/A)</f>
        <v>133821</v>
      </c>
      <c r="V100" s="483">
        <f>IFERROR(IF(GETPIVOTDATA("合計 / " &amp; $B100,【ピボット】事業所収支!$A$3,"年月",V$13,"事業所",$A$92)=0,#N/A,GETPIVOTDATA("合計 / " &amp; $B100,【ピボット】事業所収支!$A$3,"年月",V$13,"事業所",$A$92)),#N/A)</f>
        <v>62926</v>
      </c>
      <c r="W100" s="483">
        <f>IFERROR(IF(GETPIVOTDATA("合計 / " &amp; $B100,【ピボット】事業所収支!$A$3,"年月",W$13,"事業所",$A$92)=0,#N/A,GETPIVOTDATA("合計 / " &amp; $B100,【ピボット】事業所収支!$A$3,"年月",W$13,"事業所",$A$92)),#N/A)</f>
        <v>8658</v>
      </c>
      <c r="X100" s="483" t="e">
        <f>IFERROR(IF(GETPIVOTDATA("合計 / " &amp; $B100,【ピボット】事業所収支!$A$3,"年月",X$13,"事業所",$A$92)=0,#N/A,GETPIVOTDATA("合計 / " &amp; $B100,【ピボット】事業所収支!$A$3,"年月",X$13,"事業所",$A$92)),#N/A)</f>
        <v>#N/A</v>
      </c>
      <c r="Y100" s="483">
        <f>IFERROR(IF(GETPIVOTDATA("合計 / " &amp; $B100,【ピボット】事業所収支!$A$3,"年月",Y$13,"事業所",$A$92)=0,#N/A,GETPIVOTDATA("合計 / " &amp; $B100,【ピボット】事業所収支!$A$3,"年月",Y$13,"事業所",$A$92)),#N/A)</f>
        <v>5859</v>
      </c>
      <c r="Z100" s="483">
        <f>IFERROR(IF(GETPIVOTDATA("合計 / " &amp; $B100,【ピボット】事業所収支!$A$3,"年月",Z$13,"事業所",$A$92)=0,#N/A,GETPIVOTDATA("合計 / " &amp; $B100,【ピボット】事業所収支!$A$3,"年月",Z$13,"事業所",$A$92)),#N/A)</f>
        <v>14946</v>
      </c>
      <c r="AA100" s="4"/>
    </row>
    <row r="101" spans="2:27" x14ac:dyDescent="0.15">
      <c r="B101" s="41" t="s">
        <v>15</v>
      </c>
      <c r="C101" s="486">
        <f>IFERROR(IF(GETPIVOTDATA("合計 / " &amp; $B101,【ピボット】事業所収支!$A$3,"年月",C$13,"事業所",$A$92)=0,#N/A,GETPIVOTDATA("合計 / " &amp; $B101,【ピボット】事業所収支!$A$3,"年月",C$13,"事業所",$A$92)),#N/A)</f>
        <v>3199018</v>
      </c>
      <c r="D101" s="486">
        <f>IFERROR(IF(GETPIVOTDATA("合計 / " &amp; $B101,【ピボット】事業所収支!$A$3,"年月",D$13,"事業所",$A$92)=0,#N/A,GETPIVOTDATA("合計 / " &amp; $B101,【ピボット】事業所収支!$A$3,"年月",D$13,"事業所",$A$92)),#N/A)</f>
        <v>4327172</v>
      </c>
      <c r="E101" s="486">
        <f>IFERROR(IF(GETPIVOTDATA("合計 / " &amp; $B101,【ピボット】事業所収支!$A$3,"年月",E$13,"事業所",$A$92)=0,#N/A,GETPIVOTDATA("合計 / " &amp; $B101,【ピボット】事業所収支!$A$3,"年月",E$13,"事業所",$A$92)),#N/A)</f>
        <v>3670064</v>
      </c>
      <c r="F101" s="486">
        <f>IFERROR(IF(GETPIVOTDATA("合計 / " &amp; $B101,【ピボット】事業所収支!$A$3,"年月",F$13,"事業所",$A$92)=0,#N/A,GETPIVOTDATA("合計 / " &amp; $B101,【ピボット】事業所収支!$A$3,"年月",F$13,"事業所",$A$92)),#N/A)</f>
        <v>3534203</v>
      </c>
      <c r="G101" s="486">
        <f>IFERROR(IF(GETPIVOTDATA("合計 / " &amp; $B101,【ピボット】事業所収支!$A$3,"年月",G$13,"事業所",$A$92)=0,#N/A,GETPIVOTDATA("合計 / " &amp; $B101,【ピボット】事業所収支!$A$3,"年月",G$13,"事業所",$A$92)),#N/A)</f>
        <v>3371743</v>
      </c>
      <c r="H101" s="486">
        <f>IFERROR(IF(GETPIVOTDATA("合計 / " &amp; $B101,【ピボット】事業所収支!$A$3,"年月",H$13,"事業所",$A$92)=0,#N/A,GETPIVOTDATA("合計 / " &amp; $B101,【ピボット】事業所収支!$A$3,"年月",H$13,"事業所",$A$92)),#N/A)</f>
        <v>3465713</v>
      </c>
      <c r="I101" s="486">
        <f>IFERROR(IF(GETPIVOTDATA("合計 / " &amp; $B101,【ピボット】事業所収支!$A$3,"年月",I$13,"事業所",$A$92)=0,#N/A,GETPIVOTDATA("合計 / " &amp; $B101,【ピボット】事業所収支!$A$3,"年月",I$13,"事業所",$A$92)),#N/A)</f>
        <v>3520452</v>
      </c>
      <c r="J101" s="486">
        <f>IFERROR(IF(GETPIVOTDATA("合計 / " &amp; $B101,【ピボット】事業所収支!$A$3,"年月",J$13,"事業所",$A$92)=0,#N/A,GETPIVOTDATA("合計 / " &amp; $B101,【ピボット】事業所収支!$A$3,"年月",J$13,"事業所",$A$92)),#N/A)</f>
        <v>6051985.9444993129</v>
      </c>
      <c r="K101" s="486">
        <f>IFERROR(IF(GETPIVOTDATA("合計 / " &amp; $B101,【ピボット】事業所収支!$A$3,"年月",K$13,"事業所",$A$92)=0,#N/A,GETPIVOTDATA("合計 / " &amp; $B101,【ピボット】事業所収支!$A$3,"年月",K$13,"事業所",$A$92)),#N/A)</f>
        <v>4209055</v>
      </c>
      <c r="L101" s="486">
        <f>IFERROR(IF(GETPIVOTDATA("合計 / " &amp; $B101,【ピボット】事業所収支!$A$3,"年月",L$13,"事業所",$A$92)=0,#N/A,GETPIVOTDATA("合計 / " &amp; $B101,【ピボット】事業所収支!$A$3,"年月",L$13,"事業所",$A$92)),#N/A)</f>
        <v>3969445</v>
      </c>
      <c r="M101" s="486">
        <f>IFERROR(IF(GETPIVOTDATA("合計 / " &amp; $B101,【ピボット】事業所収支!$A$3,"年月",M$13,"事業所",$A$92)=0,#N/A,GETPIVOTDATA("合計 / " &amp; $B101,【ピボット】事業所収支!$A$3,"年月",M$13,"事業所",$A$92)),#N/A)</f>
        <v>3828677</v>
      </c>
      <c r="N101" s="486">
        <f>IFERROR(IF(GETPIVOTDATA("合計 / " &amp; $B101,【ピボット】事業所収支!$A$3,"年月",N$13,"事業所",$A$92)=0,#N/A,GETPIVOTDATA("合計 / " &amp; $B101,【ピボット】事業所収支!$A$3,"年月",N$13,"事業所",$A$92)),#N/A)</f>
        <v>3878385</v>
      </c>
      <c r="O101" s="486">
        <f>IFERROR(IF(GETPIVOTDATA("合計 / " &amp; $B101,【ピボット】事業所収支!$A$3,"年月",O$13,"事業所",$A$92)=0,#N/A,GETPIVOTDATA("合計 / " &amp; $B101,【ピボット】事業所収支!$A$3,"年月",O$13,"事業所",$A$92)),#N/A)</f>
        <v>3840302</v>
      </c>
      <c r="P101" s="486">
        <f>IFERROR(IF(GETPIVOTDATA("合計 / " &amp; $B101,【ピボット】事業所収支!$A$3,"年月",P$13,"事業所",$A$92)=0,#N/A,GETPIVOTDATA("合計 / " &amp; $B101,【ピボット】事業所収支!$A$3,"年月",P$13,"事業所",$A$92)),#N/A)</f>
        <v>5731123</v>
      </c>
      <c r="Q101" s="486">
        <f>IFERROR(IF(GETPIVOTDATA("合計 / " &amp; $B101,【ピボット】事業所収支!$A$3,"年月",Q$13,"事業所",$A$92)=0,#N/A,GETPIVOTDATA("合計 / " &amp; $B101,【ピボット】事業所収支!$A$3,"年月",Q$13,"事業所",$A$92)),#N/A)</f>
        <v>4502052</v>
      </c>
      <c r="R101" s="486">
        <f>IFERROR(IF(GETPIVOTDATA("合計 / " &amp; $B101,【ピボット】事業所収支!$A$3,"年月",R$13,"事業所",$A$92)=0,#N/A,GETPIVOTDATA("合計 / " &amp; $B101,【ピボット】事業所収支!$A$3,"年月",R$13,"事業所",$A$92)),#N/A)</f>
        <v>4507594</v>
      </c>
      <c r="S101" s="486">
        <f>IFERROR(IF(GETPIVOTDATA("合計 / " &amp; $B101,【ピボット】事業所収支!$A$3,"年月",S$13,"事業所",$A$92)=0,#N/A,GETPIVOTDATA("合計 / " &amp; $B101,【ピボット】事業所収支!$A$3,"年月",S$13,"事業所",$A$92)),#N/A)</f>
        <v>4297759</v>
      </c>
      <c r="T101" s="486">
        <f>IFERROR(IF(GETPIVOTDATA("合計 / " &amp; $B101,【ピボット】事業所収支!$A$3,"年月",T$13,"事業所",$A$92)=0,#N/A,GETPIVOTDATA("合計 / " &amp; $B101,【ピボット】事業所収支!$A$3,"年月",T$13,"事業所",$A$92)),#N/A)</f>
        <v>4521609</v>
      </c>
      <c r="U101" s="486">
        <f>IFERROR(IF(GETPIVOTDATA("合計 / " &amp; $B101,【ピボット】事業所収支!$A$3,"年月",U$13,"事業所",$A$92)=0,#N/A,GETPIVOTDATA("合計 / " &amp; $B101,【ピボット】事業所収支!$A$3,"年月",U$13,"事業所",$A$92)),#N/A)</f>
        <v>4825792</v>
      </c>
      <c r="V101" s="486">
        <f>IFERROR(IF(GETPIVOTDATA("合計 / " &amp; $B101,【ピボット】事業所収支!$A$3,"年月",V$13,"事業所",$A$92)=0,#N/A,GETPIVOTDATA("合計 / " &amp; $B101,【ピボット】事業所収支!$A$3,"年月",V$13,"事業所",$A$92)),#N/A)</f>
        <v>8175324</v>
      </c>
      <c r="W101" s="486">
        <f>IFERROR(IF(GETPIVOTDATA("合計 / " &amp; $B101,【ピボット】事業所収支!$A$3,"年月",W$13,"事業所",$A$92)=0,#N/A,GETPIVOTDATA("合計 / " &amp; $B101,【ピボット】事業所収支!$A$3,"年月",W$13,"事業所",$A$92)),#N/A)</f>
        <v>4942279</v>
      </c>
      <c r="X101" s="486">
        <f>IFERROR(IF(GETPIVOTDATA("合計 / " &amp; $B101,【ピボット】事業所収支!$A$3,"年月",X$13,"事業所",$A$92)=0,#N/A,GETPIVOTDATA("合計 / " &amp; $B101,【ピボット】事業所収支!$A$3,"年月",X$13,"事業所",$A$92)),#N/A)</f>
        <v>4273487</v>
      </c>
      <c r="Y101" s="486">
        <f>IFERROR(IF(GETPIVOTDATA("合計 / " &amp; $B101,【ピボット】事業所収支!$A$3,"年月",Y$13,"事業所",$A$92)=0,#N/A,GETPIVOTDATA("合計 / " &amp; $B101,【ピボット】事業所収支!$A$3,"年月",Y$13,"事業所",$A$92)),#N/A)</f>
        <v>4516581</v>
      </c>
      <c r="Z101" s="486">
        <f>IFERROR(IF(GETPIVOTDATA("合計 / " &amp; $B101,【ピボット】事業所収支!$A$3,"年月",Z$13,"事業所",$A$92)=0,#N/A,GETPIVOTDATA("合計 / " &amp; $B101,【ピボット】事業所収支!$A$3,"年月",Z$13,"事業所",$A$92)),#N/A)</f>
        <v>4643324</v>
      </c>
      <c r="AA101" s="4"/>
    </row>
    <row r="102" spans="2:27" x14ac:dyDescent="0.15">
      <c r="B102" s="48" t="s">
        <v>30</v>
      </c>
      <c r="C102" s="487">
        <f>IFERROR(IF(GETPIVOTDATA("合計 / " &amp; $B102 &amp;"計",【ピボット】事業所収支!$A$3,"年月",C$13,"事業所",$A$92)=0,#N/A,GETPIVOTDATA("合計 / " &amp; $B102 &amp;"計",【ピボット】事業所収支!$A$3,"年月",C$13,"事業所",$A$92)),#N/A)</f>
        <v>827102</v>
      </c>
      <c r="D102" s="487">
        <f>IFERROR(IF(GETPIVOTDATA("合計 / " &amp; $B102 &amp;"計",【ピボット】事業所収支!$A$3,"年月",D$13,"事業所",$A$92)=0,#N/A,GETPIVOTDATA("合計 / " &amp; $B102 &amp;"計",【ピボット】事業所収支!$A$3,"年月",D$13,"事業所",$A$92)),#N/A)</f>
        <v>718514</v>
      </c>
      <c r="E102" s="487">
        <f>IFERROR(IF(GETPIVOTDATA("合計 / " &amp; $B102 &amp;"計",【ピボット】事業所収支!$A$3,"年月",E$13,"事業所",$A$92)=0,#N/A,GETPIVOTDATA("合計 / " &amp; $B102 &amp;"計",【ピボット】事業所収支!$A$3,"年月",E$13,"事業所",$A$92)),#N/A)</f>
        <v>729566</v>
      </c>
      <c r="F102" s="487">
        <f>IFERROR(IF(GETPIVOTDATA("合計 / " &amp; $B102 &amp;"計",【ピボット】事業所収支!$A$3,"年月",F$13,"事業所",$A$92)=0,#N/A,GETPIVOTDATA("合計 / " &amp; $B102 &amp;"計",【ピボット】事業所収支!$A$3,"年月",F$13,"事業所",$A$92)),#N/A)</f>
        <v>846397</v>
      </c>
      <c r="G102" s="487">
        <f>IFERROR(IF(GETPIVOTDATA("合計 / " &amp; $B102 &amp;"計",【ピボット】事業所収支!$A$3,"年月",G$13,"事業所",$A$92)=0,#N/A,GETPIVOTDATA("合計 / " &amp; $B102 &amp;"計",【ピボット】事業所収支!$A$3,"年月",G$13,"事業所",$A$92)),#N/A)</f>
        <v>744536</v>
      </c>
      <c r="H102" s="487">
        <f>IFERROR(IF(GETPIVOTDATA("合計 / " &amp; $B102 &amp;"計",【ピボット】事業所収支!$A$3,"年月",H$13,"事業所",$A$92)=0,#N/A,GETPIVOTDATA("合計 / " &amp; $B102 &amp;"計",【ピボット】事業所収支!$A$3,"年月",H$13,"事業所",$A$92)),#N/A)</f>
        <v>902306</v>
      </c>
      <c r="I102" s="487">
        <f>IFERROR(IF(GETPIVOTDATA("合計 / " &amp; $B102 &amp;"計",【ピボット】事業所収支!$A$3,"年月",I$13,"事業所",$A$92)=0,#N/A,GETPIVOTDATA("合計 / " &amp; $B102 &amp;"計",【ピボット】事業所収支!$A$3,"年月",I$13,"事業所",$A$92)),#N/A)</f>
        <v>829374</v>
      </c>
      <c r="J102" s="487">
        <f>IFERROR(IF(GETPIVOTDATA("合計 / " &amp; $B102 &amp;"計",【ピボット】事業所収支!$A$3,"年月",J$13,"事業所",$A$92)=0,#N/A,GETPIVOTDATA("合計 / " &amp; $B102 &amp;"計",【ピボット】事業所収支!$A$3,"年月",J$13,"事業所",$A$92)),#N/A)</f>
        <v>997975</v>
      </c>
      <c r="K102" s="487">
        <f>IFERROR(IF(GETPIVOTDATA("合計 / " &amp; $B102 &amp;"計",【ピボット】事業所収支!$A$3,"年月",K$13,"事業所",$A$92)=0,#N/A,GETPIVOTDATA("合計 / " &amp; $B102 &amp;"計",【ピボット】事業所収支!$A$3,"年月",K$13,"事業所",$A$92)),#N/A)</f>
        <v>927618</v>
      </c>
      <c r="L102" s="487">
        <f>IFERROR(IF(GETPIVOTDATA("合計 / " &amp; $B102 &amp;"計",【ピボット】事業所収支!$A$3,"年月",L$13,"事業所",$A$92)=0,#N/A,GETPIVOTDATA("合計 / " &amp; $B102 &amp;"計",【ピボット】事業所収支!$A$3,"年月",L$13,"事業所",$A$92)),#N/A)</f>
        <v>785358</v>
      </c>
      <c r="M102" s="487">
        <f>IFERROR(IF(GETPIVOTDATA("合計 / " &amp; $B102 &amp;"計",【ピボット】事業所収支!$A$3,"年月",M$13,"事業所",$A$92)=0,#N/A,GETPIVOTDATA("合計 / " &amp; $B102 &amp;"計",【ピボット】事業所収支!$A$3,"年月",M$13,"事業所",$A$92)),#N/A)</f>
        <v>859073</v>
      </c>
      <c r="N102" s="487">
        <f>IFERROR(IF(GETPIVOTDATA("合計 / " &amp; $B102 &amp;"計",【ピボット】事業所収支!$A$3,"年月",N$13,"事業所",$A$92)=0,#N/A,GETPIVOTDATA("合計 / " &amp; $B102 &amp;"計",【ピボット】事業所収支!$A$3,"年月",N$13,"事業所",$A$92)),#N/A)</f>
        <v>777798</v>
      </c>
      <c r="O102" s="487">
        <f>IFERROR(IF(GETPIVOTDATA("合計 / " &amp; $B102 &amp;"計",【ピボット】事業所収支!$A$3,"年月",O$13,"事業所",$A$92)=0,#N/A,GETPIVOTDATA("合計 / " &amp; $B102 &amp;"計",【ピボット】事業所収支!$A$3,"年月",O$13,"事業所",$A$92)),#N/A)</f>
        <v>870485</v>
      </c>
      <c r="P102" s="487">
        <f>IFERROR(IF(GETPIVOTDATA("合計 / " &amp; $B102 &amp;"計",【ピボット】事業所収支!$A$3,"年月",P$13,"事業所",$A$92)=0,#N/A,GETPIVOTDATA("合計 / " &amp; $B102 &amp;"計",【ピボット】事業所収支!$A$3,"年月",P$13,"事業所",$A$92)),#N/A)</f>
        <v>946985</v>
      </c>
      <c r="Q102" s="487">
        <f>IFERROR(IF(GETPIVOTDATA("合計 / " &amp; $B102 &amp;"計",【ピボット】事業所収支!$A$3,"年月",Q$13,"事業所",$A$92)=0,#N/A,GETPIVOTDATA("合計 / " &amp; $B102 &amp;"計",【ピボット】事業所収支!$A$3,"年月",Q$13,"事業所",$A$92)),#N/A)</f>
        <v>817228</v>
      </c>
      <c r="R102" s="487">
        <f>IFERROR(IF(GETPIVOTDATA("合計 / " &amp; $B102 &amp;"計",【ピボット】事業所収支!$A$3,"年月",R$13,"事業所",$A$92)=0,#N/A,GETPIVOTDATA("合計 / " &amp; $B102 &amp;"計",【ピボット】事業所収支!$A$3,"年月",R$13,"事業所",$A$92)),#N/A)</f>
        <v>1126297</v>
      </c>
      <c r="S102" s="487">
        <f>IFERROR(IF(GETPIVOTDATA("合計 / " &amp; $B102 &amp;"計",【ピボット】事業所収支!$A$3,"年月",S$13,"事業所",$A$92)=0,#N/A,GETPIVOTDATA("合計 / " &amp; $B102 &amp;"計",【ピボット】事業所収支!$A$3,"年月",S$13,"事業所",$A$92)),#N/A)</f>
        <v>801389</v>
      </c>
      <c r="T102" s="487">
        <f>IFERROR(IF(GETPIVOTDATA("合計 / " &amp; $B102 &amp;"計",【ピボット】事業所収支!$A$3,"年月",T$13,"事業所",$A$92)=0,#N/A,GETPIVOTDATA("合計 / " &amp; $B102 &amp;"計",【ピボット】事業所収支!$A$3,"年月",T$13,"事業所",$A$92)),#N/A)</f>
        <v>1522750</v>
      </c>
      <c r="U102" s="487">
        <f>IFERROR(IF(GETPIVOTDATA("合計 / " &amp; $B102 &amp;"計",【ピボット】事業所収支!$A$3,"年月",U$13,"事業所",$A$92)=0,#N/A,GETPIVOTDATA("合計 / " &amp; $B102 &amp;"計",【ピボット】事業所収支!$A$3,"年月",U$13,"事業所",$A$92)),#N/A)</f>
        <v>937541</v>
      </c>
      <c r="V102" s="487">
        <f>IFERROR(IF(GETPIVOTDATA("合計 / " &amp; $B102 &amp;"計",【ピボット】事業所収支!$A$3,"年月",V$13,"事業所",$A$92)=0,#N/A,GETPIVOTDATA("合計 / " &amp; $B102 &amp;"計",【ピボット】事業所収支!$A$3,"年月",V$13,"事業所",$A$92)),#N/A)</f>
        <v>844228</v>
      </c>
      <c r="W102" s="487">
        <f>IFERROR(IF(GETPIVOTDATA("合計 / " &amp; $B102 &amp;"計",【ピボット】事業所収支!$A$3,"年月",W$13,"事業所",$A$92)=0,#N/A,GETPIVOTDATA("合計 / " &amp; $B102 &amp;"計",【ピボット】事業所収支!$A$3,"年月",W$13,"事業所",$A$92)),#N/A)</f>
        <v>1033335</v>
      </c>
      <c r="X102" s="487">
        <f>IFERROR(IF(GETPIVOTDATA("合計 / " &amp; $B102 &amp;"計",【ピボット】事業所収支!$A$3,"年月",X$13,"事業所",$A$92)=0,#N/A,GETPIVOTDATA("合計 / " &amp; $B102 &amp;"計",【ピボット】事業所収支!$A$3,"年月",X$13,"事業所",$A$92)),#N/A)</f>
        <v>773129</v>
      </c>
      <c r="Y102" s="487">
        <f>IFERROR(IF(GETPIVOTDATA("合計 / " &amp; $B102 &amp;"計",【ピボット】事業所収支!$A$3,"年月",Y$13,"事業所",$A$92)=0,#N/A,GETPIVOTDATA("合計 / " &amp; $B102 &amp;"計",【ピボット】事業所収支!$A$3,"年月",Y$13,"事業所",$A$92)),#N/A)</f>
        <v>726515</v>
      </c>
      <c r="Z102" s="487">
        <f>IFERROR(IF(GETPIVOTDATA("合計 / " &amp; $B102 &amp;"計",【ピボット】事業所収支!$A$3,"年月",Z$13,"事業所",$A$92)=0,#N/A,GETPIVOTDATA("合計 / " &amp; $B102 &amp;"計",【ピボット】事業所収支!$A$3,"年月",Z$13,"事業所",$A$92)),#N/A)</f>
        <v>738059</v>
      </c>
      <c r="AA102" s="4"/>
    </row>
    <row r="103" spans="2:27" hidden="1" x14ac:dyDescent="0.15">
      <c r="B103" s="48" t="s">
        <v>52</v>
      </c>
      <c r="C103" s="487" t="e">
        <f>#REF!</f>
        <v>#REF!</v>
      </c>
      <c r="D103" s="487" t="e">
        <f>#REF!</f>
        <v>#REF!</v>
      </c>
      <c r="E103" s="487" t="e">
        <f>#REF!</f>
        <v>#REF!</v>
      </c>
      <c r="F103" s="487" t="e">
        <f>#REF!</f>
        <v>#REF!</v>
      </c>
      <c r="G103" s="487" t="e">
        <f>#REF!</f>
        <v>#REF!</v>
      </c>
      <c r="H103" s="487" t="e">
        <f>#REF!</f>
        <v>#REF!</v>
      </c>
      <c r="I103" s="487" t="e">
        <f>#REF!</f>
        <v>#REF!</v>
      </c>
      <c r="J103" s="487" t="e">
        <f>#REF!</f>
        <v>#REF!</v>
      </c>
      <c r="K103" s="487" t="e">
        <f>#REF!</f>
        <v>#REF!</v>
      </c>
      <c r="L103" s="487" t="e">
        <f>#REF!</f>
        <v>#REF!</v>
      </c>
      <c r="M103" s="487" t="e">
        <f>#REF!</f>
        <v>#REF!</v>
      </c>
      <c r="N103" s="487" t="e">
        <f>#REF!</f>
        <v>#REF!</v>
      </c>
      <c r="O103" s="487" t="e">
        <f>#REF!</f>
        <v>#REF!</v>
      </c>
      <c r="P103" s="487" t="e">
        <f>#REF!</f>
        <v>#REF!</v>
      </c>
      <c r="Q103" s="487" t="e">
        <f>#REF!</f>
        <v>#REF!</v>
      </c>
      <c r="R103" s="487" t="e">
        <f>#REF!</f>
        <v>#REF!</v>
      </c>
      <c r="S103" s="487" t="e">
        <f>#REF!</f>
        <v>#REF!</v>
      </c>
      <c r="T103" s="487" t="e">
        <f>#REF!</f>
        <v>#REF!</v>
      </c>
      <c r="U103" s="487" t="e">
        <f>#REF!</f>
        <v>#REF!</v>
      </c>
      <c r="V103" s="487" t="e">
        <f>#REF!</f>
        <v>#REF!</v>
      </c>
      <c r="W103" s="487" t="e">
        <f>#REF!</f>
        <v>#REF!</v>
      </c>
      <c r="X103" s="487" t="e">
        <f>#REF!</f>
        <v>#REF!</v>
      </c>
      <c r="Y103" s="487" t="e">
        <f>#REF!</f>
        <v>#REF!</v>
      </c>
      <c r="Z103" s="487" t="e">
        <f>#REF!</f>
        <v>#REF!</v>
      </c>
      <c r="AA103" s="4"/>
    </row>
    <row r="104" spans="2:27" x14ac:dyDescent="0.15">
      <c r="B104" s="8" t="s">
        <v>53</v>
      </c>
      <c r="C104" s="483">
        <f t="shared" ref="C104:Z104" si="8">IFERROR(C101,0)+IFERROR(C102,0)</f>
        <v>4026120</v>
      </c>
      <c r="D104" s="483">
        <f t="shared" si="8"/>
        <v>5045686</v>
      </c>
      <c r="E104" s="483">
        <f t="shared" si="8"/>
        <v>4399630</v>
      </c>
      <c r="F104" s="483">
        <f t="shared" si="8"/>
        <v>4380600</v>
      </c>
      <c r="G104" s="483">
        <f t="shared" si="8"/>
        <v>4116279</v>
      </c>
      <c r="H104" s="483">
        <f t="shared" si="8"/>
        <v>4368019</v>
      </c>
      <c r="I104" s="483">
        <f t="shared" si="8"/>
        <v>4349826</v>
      </c>
      <c r="J104" s="483">
        <f t="shared" si="8"/>
        <v>7049960.9444993129</v>
      </c>
      <c r="K104" s="483">
        <f t="shared" si="8"/>
        <v>5136673</v>
      </c>
      <c r="L104" s="483">
        <f t="shared" si="8"/>
        <v>4754803</v>
      </c>
      <c r="M104" s="483">
        <f t="shared" si="8"/>
        <v>4687750</v>
      </c>
      <c r="N104" s="483">
        <f t="shared" si="8"/>
        <v>4656183</v>
      </c>
      <c r="O104" s="483">
        <f t="shared" si="8"/>
        <v>4710787</v>
      </c>
      <c r="P104" s="483">
        <f t="shared" si="8"/>
        <v>6678108</v>
      </c>
      <c r="Q104" s="483">
        <f t="shared" si="8"/>
        <v>5319280</v>
      </c>
      <c r="R104" s="483">
        <f t="shared" si="8"/>
        <v>5633891</v>
      </c>
      <c r="S104" s="483">
        <f t="shared" si="8"/>
        <v>5099148</v>
      </c>
      <c r="T104" s="483">
        <f t="shared" si="8"/>
        <v>6044359</v>
      </c>
      <c r="U104" s="483">
        <f t="shared" si="8"/>
        <v>5763333</v>
      </c>
      <c r="V104" s="483">
        <f t="shared" si="8"/>
        <v>9019552</v>
      </c>
      <c r="W104" s="483">
        <f t="shared" si="8"/>
        <v>5975614</v>
      </c>
      <c r="X104" s="483">
        <f t="shared" si="8"/>
        <v>5046616</v>
      </c>
      <c r="Y104" s="483">
        <f t="shared" si="8"/>
        <v>5243096</v>
      </c>
      <c r="Z104" s="483">
        <f t="shared" si="8"/>
        <v>5381383</v>
      </c>
    </row>
    <row r="105" spans="2:27" x14ac:dyDescent="0.15">
      <c r="B105" s="11" t="s">
        <v>32</v>
      </c>
      <c r="C105" s="488">
        <f t="shared" ref="C105:Z105" si="9">IFERROR(SUM(C94,-C104),0)</f>
        <v>1348799</v>
      </c>
      <c r="D105" s="488">
        <f t="shared" si="9"/>
        <v>651896</v>
      </c>
      <c r="E105" s="488">
        <f t="shared" si="9"/>
        <v>1497451</v>
      </c>
      <c r="F105" s="488">
        <f t="shared" si="9"/>
        <v>1408045</v>
      </c>
      <c r="G105" s="488">
        <f t="shared" si="9"/>
        <v>1701617</v>
      </c>
      <c r="H105" s="488">
        <f t="shared" si="9"/>
        <v>1419391</v>
      </c>
      <c r="I105" s="488">
        <f t="shared" si="9"/>
        <v>1550065</v>
      </c>
      <c r="J105" s="488">
        <f t="shared" si="9"/>
        <v>-1419976.9444993129</v>
      </c>
      <c r="K105" s="488">
        <f t="shared" si="9"/>
        <v>1031689</v>
      </c>
      <c r="L105" s="488">
        <f t="shared" si="9"/>
        <v>955154</v>
      </c>
      <c r="M105" s="488">
        <f t="shared" si="9"/>
        <v>1105494</v>
      </c>
      <c r="N105" s="488">
        <f t="shared" si="9"/>
        <v>1931645</v>
      </c>
      <c r="O105" s="488">
        <f t="shared" si="9"/>
        <v>1768773</v>
      </c>
      <c r="P105" s="488">
        <f t="shared" si="9"/>
        <v>128364</v>
      </c>
      <c r="Q105" s="488">
        <f t="shared" si="9"/>
        <v>1596248</v>
      </c>
      <c r="R105" s="488">
        <f t="shared" si="9"/>
        <v>1885463</v>
      </c>
      <c r="S105" s="488">
        <f t="shared" si="9"/>
        <v>1675213</v>
      </c>
      <c r="T105" s="488">
        <f t="shared" si="9"/>
        <v>1375245</v>
      </c>
      <c r="U105" s="488">
        <f t="shared" si="9"/>
        <v>1335702</v>
      </c>
      <c r="V105" s="488">
        <f t="shared" si="9"/>
        <v>-1953972</v>
      </c>
      <c r="W105" s="488">
        <f t="shared" si="9"/>
        <v>1066294</v>
      </c>
      <c r="X105" s="488">
        <f t="shared" si="9"/>
        <v>1322437</v>
      </c>
      <c r="Y105" s="488">
        <f t="shared" si="9"/>
        <v>1736503</v>
      </c>
      <c r="Z105" s="488">
        <f t="shared" si="9"/>
        <v>1729037</v>
      </c>
      <c r="AA105" s="4">
        <f>SUM(O105:Z105)</f>
        <v>13665307</v>
      </c>
    </row>
    <row r="106" spans="2:27" x14ac:dyDescent="0.15">
      <c r="B106" s="11"/>
    </row>
    <row r="107" spans="2:27" x14ac:dyDescent="0.15">
      <c r="B107" s="11"/>
      <c r="X107" s="489"/>
      <c r="Y107" s="489"/>
      <c r="Z107" s="489"/>
    </row>
    <row r="133" spans="1:27" ht="18.75" x14ac:dyDescent="0.15">
      <c r="A133" t="s">
        <v>967</v>
      </c>
      <c r="B133" s="43" t="str">
        <f>A133 &amp; "収支"</f>
        <v>千葉東収支</v>
      </c>
    </row>
    <row r="134" spans="1:27" x14ac:dyDescent="0.15">
      <c r="B134" s="10"/>
      <c r="C134" s="668">
        <f t="shared" ref="C134:Z134" si="10">C$13</f>
        <v>42856</v>
      </c>
      <c r="D134" s="668">
        <f t="shared" si="10"/>
        <v>42887</v>
      </c>
      <c r="E134" s="668">
        <f t="shared" si="10"/>
        <v>42917</v>
      </c>
      <c r="F134" s="668">
        <f t="shared" si="10"/>
        <v>42948</v>
      </c>
      <c r="G134" s="668">
        <f t="shared" si="10"/>
        <v>42979</v>
      </c>
      <c r="H134" s="668">
        <f t="shared" si="10"/>
        <v>43009</v>
      </c>
      <c r="I134" s="668">
        <f t="shared" si="10"/>
        <v>43040</v>
      </c>
      <c r="J134" s="668">
        <f t="shared" si="10"/>
        <v>43070</v>
      </c>
      <c r="K134" s="668">
        <f t="shared" si="10"/>
        <v>43101</v>
      </c>
      <c r="L134" s="668">
        <f t="shared" si="10"/>
        <v>43132</v>
      </c>
      <c r="M134" s="668">
        <f t="shared" si="10"/>
        <v>43160</v>
      </c>
      <c r="N134" s="668">
        <f t="shared" si="10"/>
        <v>43191</v>
      </c>
      <c r="O134" s="668">
        <f t="shared" si="10"/>
        <v>43221</v>
      </c>
      <c r="P134" s="668">
        <f t="shared" si="10"/>
        <v>43252</v>
      </c>
      <c r="Q134" s="668">
        <f t="shared" si="10"/>
        <v>43282</v>
      </c>
      <c r="R134" s="668">
        <f t="shared" si="10"/>
        <v>43313</v>
      </c>
      <c r="S134" s="668">
        <f t="shared" si="10"/>
        <v>43344</v>
      </c>
      <c r="T134" s="668">
        <f t="shared" si="10"/>
        <v>43374</v>
      </c>
      <c r="U134" s="668">
        <f t="shared" si="10"/>
        <v>43405</v>
      </c>
      <c r="V134" s="668">
        <f t="shared" si="10"/>
        <v>43435</v>
      </c>
      <c r="W134" s="668">
        <f t="shared" si="10"/>
        <v>43466</v>
      </c>
      <c r="X134" s="668">
        <f t="shared" si="10"/>
        <v>43497</v>
      </c>
      <c r="Y134" s="668">
        <f t="shared" si="10"/>
        <v>43525</v>
      </c>
      <c r="Z134" s="668">
        <f t="shared" si="10"/>
        <v>43556</v>
      </c>
    </row>
    <row r="135" spans="1:27" x14ac:dyDescent="0.15">
      <c r="B135" s="12" t="s">
        <v>21</v>
      </c>
      <c r="C135" s="482" t="e">
        <f>IFERROR(IF(GETPIVOTDATA("合計 / " &amp; $B135,【ピボット】事業所収支!$A$3,"年月",C$13,"事業所",$A$133)=0,#N/A,GETPIVOTDATA("合計 / " &amp; $B135,【ピボット】事業所収支!$A$3,"年月",C$13,"事業所",$A$133)),#N/A)</f>
        <v>#N/A</v>
      </c>
      <c r="D135" s="482" t="e">
        <f>IFERROR(IF(GETPIVOTDATA("合計 / " &amp; $B135,【ピボット】事業所収支!$A$3,"年月",D$13,"事業所",$A$133)=0,#N/A,GETPIVOTDATA("合計 / " &amp; $B135,【ピボット】事業所収支!$A$3,"年月",D$13,"事業所",$A$133)),#N/A)</f>
        <v>#N/A</v>
      </c>
      <c r="E135" s="482" t="e">
        <f>IFERROR(IF(GETPIVOTDATA("合計 / " &amp; $B135,【ピボット】事業所収支!$A$3,"年月",E$13,"事業所",$A$133)=0,#N/A,GETPIVOTDATA("合計 / " &amp; $B135,【ピボット】事業所収支!$A$3,"年月",E$13,"事業所",$A$133)),#N/A)</f>
        <v>#N/A</v>
      </c>
      <c r="F135" s="482" t="e">
        <f>IFERROR(IF(GETPIVOTDATA("合計 / " &amp; $B135,【ピボット】事業所収支!$A$3,"年月",F$13,"事業所",$A$133)=0,#N/A,GETPIVOTDATA("合計 / " &amp; $B135,【ピボット】事業所収支!$A$3,"年月",F$13,"事業所",$A$133)),#N/A)</f>
        <v>#N/A</v>
      </c>
      <c r="G135" s="482" t="e">
        <f>IFERROR(IF(GETPIVOTDATA("合計 / " &amp; $B135,【ピボット】事業所収支!$A$3,"年月",G$13,"事業所",$A$133)=0,#N/A,GETPIVOTDATA("合計 / " &amp; $B135,【ピボット】事業所収支!$A$3,"年月",G$13,"事業所",$A$133)),#N/A)</f>
        <v>#N/A</v>
      </c>
      <c r="H135" s="482" t="e">
        <f>IFERROR(IF(GETPIVOTDATA("合計 / " &amp; $B135,【ピボット】事業所収支!$A$3,"年月",H$13,"事業所",$A$133)=0,#N/A,GETPIVOTDATA("合計 / " &amp; $B135,【ピボット】事業所収支!$A$3,"年月",H$13,"事業所",$A$133)),#N/A)</f>
        <v>#N/A</v>
      </c>
      <c r="I135" s="482" t="e">
        <f>IFERROR(IF(GETPIVOTDATA("合計 / " &amp; $B135,【ピボット】事業所収支!$A$3,"年月",I$13,"事業所",$A$133)=0,#N/A,GETPIVOTDATA("合計 / " &amp; $B135,【ピボット】事業所収支!$A$3,"年月",I$13,"事業所",$A$133)),#N/A)</f>
        <v>#N/A</v>
      </c>
      <c r="J135" s="482" t="e">
        <f>IFERROR(IF(GETPIVOTDATA("合計 / " &amp; $B135,【ピボット】事業所収支!$A$3,"年月",J$13,"事業所",$A$133)=0,#N/A,GETPIVOTDATA("合計 / " &amp; $B135,【ピボット】事業所収支!$A$3,"年月",J$13,"事業所",$A$133)),#N/A)</f>
        <v>#N/A</v>
      </c>
      <c r="K135" s="482" t="e">
        <f>IFERROR(IF(GETPIVOTDATA("合計 / " &amp; $B135,【ピボット】事業所収支!$A$3,"年月",K$13,"事業所",$A$133)=0,#N/A,GETPIVOTDATA("合計 / " &amp; $B135,【ピボット】事業所収支!$A$3,"年月",K$13,"事業所",$A$133)),#N/A)</f>
        <v>#N/A</v>
      </c>
      <c r="L135" s="482" t="e">
        <f>IFERROR(IF(GETPIVOTDATA("合計 / " &amp; $B135,【ピボット】事業所収支!$A$3,"年月",L$13,"事業所",$A$133)=0,#N/A,GETPIVOTDATA("合計 / " &amp; $B135,【ピボット】事業所収支!$A$3,"年月",L$13,"事業所",$A$133)),#N/A)</f>
        <v>#N/A</v>
      </c>
      <c r="M135" s="482" t="e">
        <f>IFERROR(IF(GETPIVOTDATA("合計 / " &amp; $B135,【ピボット】事業所収支!$A$3,"年月",M$13,"事業所",$A$133)=0,#N/A,GETPIVOTDATA("合計 / " &amp; $B135,【ピボット】事業所収支!$A$3,"年月",M$13,"事業所",$A$133)),#N/A)</f>
        <v>#N/A</v>
      </c>
      <c r="N135" s="482" t="e">
        <f>IFERROR(IF(GETPIVOTDATA("合計 / " &amp; $B135,【ピボット】事業所収支!$A$3,"年月",N$13,"事業所",$A$133)=0,#N/A,GETPIVOTDATA("合計 / " &amp; $B135,【ピボット】事業所収支!$A$3,"年月",N$13,"事業所",$A$133)),#N/A)</f>
        <v>#N/A</v>
      </c>
      <c r="O135" s="482" t="e">
        <f>IFERROR(IF(GETPIVOTDATA("合計 / " &amp; $B135,【ピボット】事業所収支!$A$3,"年月",O$13,"事業所",$A$133)=0,#N/A,GETPIVOTDATA("合計 / " &amp; $B135,【ピボット】事業所収支!$A$3,"年月",O$13,"事業所",$A$133)),#N/A)</f>
        <v>#N/A</v>
      </c>
      <c r="P135" s="482">
        <f>IFERROR(IF(GETPIVOTDATA("合計 / " &amp; $B135,【ピボット】事業所収支!$A$3,"年月",P$13,"事業所",$A$133)=0,#N/A,GETPIVOTDATA("合計 / " &amp; $B135,【ピボット】事業所収支!$A$3,"年月",P$13,"事業所",$A$133)),#N/A)</f>
        <v>100885</v>
      </c>
      <c r="Q135" s="482">
        <f>IFERROR(IF(GETPIVOTDATA("合計 / " &amp; $B135,【ピボット】事業所収支!$A$3,"年月",Q$13,"事業所",$A$133)=0,#N/A,GETPIVOTDATA("合計 / " &amp; $B135,【ピボット】事業所収支!$A$3,"年月",Q$13,"事業所",$A$133)),#N/A)</f>
        <v>663080</v>
      </c>
      <c r="R135" s="482">
        <f>IFERROR(IF(GETPIVOTDATA("合計 / " &amp; $B135,【ピボット】事業所収支!$A$3,"年月",R$13,"事業所",$A$133)=0,#N/A,GETPIVOTDATA("合計 / " &amp; $B135,【ピボット】事業所収支!$A$3,"年月",R$13,"事業所",$A$133)),#N/A)</f>
        <v>624826</v>
      </c>
      <c r="S135" s="482">
        <f>IFERROR(IF(GETPIVOTDATA("合計 / " &amp; $B135,【ピボット】事業所収支!$A$3,"年月",S$13,"事業所",$A$133)=0,#N/A,GETPIVOTDATA("合計 / " &amp; $B135,【ピボット】事業所収支!$A$3,"年月",S$13,"事業所",$A$133)),#N/A)</f>
        <v>1193278</v>
      </c>
      <c r="T135" s="482">
        <f>IFERROR(IF(GETPIVOTDATA("合計 / " &amp; $B135,【ピボット】事業所収支!$A$3,"年月",T$13,"事業所",$A$133)=0,#N/A,GETPIVOTDATA("合計 / " &amp; $B135,【ピボット】事業所収支!$A$3,"年月",T$13,"事業所",$A$133)),#N/A)</f>
        <v>1631546</v>
      </c>
      <c r="U135" s="482">
        <f>IFERROR(IF(GETPIVOTDATA("合計 / " &amp; $B135,【ピボット】事業所収支!$A$3,"年月",U$13,"事業所",$A$133)=0,#N/A,GETPIVOTDATA("合計 / " &amp; $B135,【ピボット】事業所収支!$A$3,"年月",U$13,"事業所",$A$133)),#N/A)</f>
        <v>1296114</v>
      </c>
      <c r="V135" s="482">
        <f>IFERROR(IF(GETPIVOTDATA("合計 / " &amp; $B135,【ピボット】事業所収支!$A$3,"年月",V$13,"事業所",$A$133)=0,#N/A,GETPIVOTDATA("合計 / " &amp; $B135,【ピボット】事業所収支!$A$3,"年月",V$13,"事業所",$A$133)),#N/A)</f>
        <v>1520846</v>
      </c>
      <c r="W135" s="482">
        <f>IFERROR(IF(GETPIVOTDATA("合計 / " &amp; $B135,【ピボット】事業所収支!$A$3,"年月",W$13,"事業所",$A$133)=0,#N/A,GETPIVOTDATA("合計 / " &amp; $B135,【ピボット】事業所収支!$A$3,"年月",W$13,"事業所",$A$133)),#N/A)</f>
        <v>1160774</v>
      </c>
      <c r="X135" s="482">
        <f>IFERROR(IF(GETPIVOTDATA("合計 / " &amp; $B135,【ピボット】事業所収支!$A$3,"年月",X$13,"事業所",$A$133)=0,#N/A,GETPIVOTDATA("合計 / " &amp; $B135,【ピボット】事業所収支!$A$3,"年月",X$13,"事業所",$A$133)),#N/A)</f>
        <v>903949</v>
      </c>
      <c r="Y135" s="482" t="e">
        <f>IFERROR(IF(GETPIVOTDATA("合計 / " &amp; $B135,【ピボット】事業所収支!$A$3,"年月",Y$13,"事業所",$A$133)=0,#N/A,GETPIVOTDATA("合計 / " &amp; $B135,【ピボット】事業所収支!$A$3,"年月",Y$13,"事業所",$A$133)),#N/A)</f>
        <v>#N/A</v>
      </c>
      <c r="Z135" s="482">
        <f>IFERROR(IF(GETPIVOTDATA("合計 / " &amp; $B135,【ピボット】事業所収支!$A$3,"年月",Z$13,"事業所",$A$133)=0,#N/A,GETPIVOTDATA("合計 / " &amp; $B135,【ピボット】事業所収支!$A$3,"年月",Z$13,"事業所",$A$133)),#N/A)</f>
        <v>13148</v>
      </c>
      <c r="AA135" s="4"/>
    </row>
    <row r="136" spans="1:27" x14ac:dyDescent="0.15">
      <c r="B136" s="7" t="s">
        <v>28</v>
      </c>
      <c r="C136" s="483" t="e">
        <f>IFERROR(IF(GETPIVOTDATA("合計 / " &amp; $B136,【ピボット】事業所収支!$A$3,"年月",C$13,"事業所",$A$133)=0,#N/A,GETPIVOTDATA("合計 / " &amp; $B136,【ピボット】事業所収支!$A$3,"年月",C$13,"事業所",$A$133)),#N/A)</f>
        <v>#N/A</v>
      </c>
      <c r="D136" s="483" t="e">
        <f>IFERROR(IF(GETPIVOTDATA("合計 / " &amp; $B136,【ピボット】事業所収支!$A$3,"年月",D$13,"事業所",$A$133)=0,#N/A,GETPIVOTDATA("合計 / " &amp; $B136,【ピボット】事業所収支!$A$3,"年月",D$13,"事業所",$A$133)),#N/A)</f>
        <v>#N/A</v>
      </c>
      <c r="E136" s="483" t="e">
        <f>IFERROR(IF(GETPIVOTDATA("合計 / " &amp; $B136,【ピボット】事業所収支!$A$3,"年月",E$13,"事業所",$A$133)=0,#N/A,GETPIVOTDATA("合計 / " &amp; $B136,【ピボット】事業所収支!$A$3,"年月",E$13,"事業所",$A$133)),#N/A)</f>
        <v>#N/A</v>
      </c>
      <c r="F136" s="483" t="e">
        <f>IFERROR(IF(GETPIVOTDATA("合計 / " &amp; $B136,【ピボット】事業所収支!$A$3,"年月",F$13,"事業所",$A$133)=0,#N/A,GETPIVOTDATA("合計 / " &amp; $B136,【ピボット】事業所収支!$A$3,"年月",F$13,"事業所",$A$133)),#N/A)</f>
        <v>#N/A</v>
      </c>
      <c r="G136" s="483" t="e">
        <f>IFERROR(IF(GETPIVOTDATA("合計 / " &amp; $B136,【ピボット】事業所収支!$A$3,"年月",G$13,"事業所",$A$133)=0,#N/A,GETPIVOTDATA("合計 / " &amp; $B136,【ピボット】事業所収支!$A$3,"年月",G$13,"事業所",$A$133)),#N/A)</f>
        <v>#N/A</v>
      </c>
      <c r="H136" s="483" t="e">
        <f>IFERROR(IF(GETPIVOTDATA("合計 / " &amp; $B136,【ピボット】事業所収支!$A$3,"年月",H$13,"事業所",$A$133)=0,#N/A,GETPIVOTDATA("合計 / " &amp; $B136,【ピボット】事業所収支!$A$3,"年月",H$13,"事業所",$A$133)),#N/A)</f>
        <v>#N/A</v>
      </c>
      <c r="I136" s="483" t="e">
        <f>IFERROR(IF(GETPIVOTDATA("合計 / " &amp; $B136,【ピボット】事業所収支!$A$3,"年月",I$13,"事業所",$A$133)=0,#N/A,GETPIVOTDATA("合計 / " &amp; $B136,【ピボット】事業所収支!$A$3,"年月",I$13,"事業所",$A$133)),#N/A)</f>
        <v>#N/A</v>
      </c>
      <c r="J136" s="483" t="e">
        <f>IFERROR(IF(GETPIVOTDATA("合計 / " &amp; $B136,【ピボット】事業所収支!$A$3,"年月",J$13,"事業所",$A$133)=0,#N/A,GETPIVOTDATA("合計 / " &amp; $B136,【ピボット】事業所収支!$A$3,"年月",J$13,"事業所",$A$133)),#N/A)</f>
        <v>#N/A</v>
      </c>
      <c r="K136" s="483" t="e">
        <f>IFERROR(IF(GETPIVOTDATA("合計 / " &amp; $B136,【ピボット】事業所収支!$A$3,"年月",K$13,"事業所",$A$133)=0,#N/A,GETPIVOTDATA("合計 / " &amp; $B136,【ピボット】事業所収支!$A$3,"年月",K$13,"事業所",$A$133)),#N/A)</f>
        <v>#N/A</v>
      </c>
      <c r="L136" s="483" t="e">
        <f>IFERROR(IF(GETPIVOTDATA("合計 / " &amp; $B136,【ピボット】事業所収支!$A$3,"年月",L$13,"事業所",$A$133)=0,#N/A,GETPIVOTDATA("合計 / " &amp; $B136,【ピボット】事業所収支!$A$3,"年月",L$13,"事業所",$A$133)),#N/A)</f>
        <v>#N/A</v>
      </c>
      <c r="M136" s="483" t="e">
        <f>IFERROR(IF(GETPIVOTDATA("合計 / " &amp; $B136,【ピボット】事業所収支!$A$3,"年月",M$13,"事業所",$A$133)=0,#N/A,GETPIVOTDATA("合計 / " &amp; $B136,【ピボット】事業所収支!$A$3,"年月",M$13,"事業所",$A$133)),#N/A)</f>
        <v>#N/A</v>
      </c>
      <c r="N136" s="483" t="e">
        <f>IFERROR(IF(GETPIVOTDATA("合計 / " &amp; $B136,【ピボット】事業所収支!$A$3,"年月",N$13,"事業所",$A$133)=0,#N/A,GETPIVOTDATA("合計 / " &amp; $B136,【ピボット】事業所収支!$A$3,"年月",N$13,"事業所",$A$133)),#N/A)</f>
        <v>#N/A</v>
      </c>
      <c r="O136" s="483" t="e">
        <f>IFERROR(IF(GETPIVOTDATA("合計 / " &amp; $B136,【ピボット】事業所収支!$A$3,"年月",O$13,"事業所",$A$133)=0,#N/A,GETPIVOTDATA("合計 / " &amp; $B136,【ピボット】事業所収支!$A$3,"年月",O$13,"事業所",$A$133)),#N/A)</f>
        <v>#N/A</v>
      </c>
      <c r="P136" s="483">
        <f>IFERROR(IF(GETPIVOTDATA("合計 / " &amp; $B136,【ピボット】事業所収支!$A$3,"年月",P$13,"事業所",$A$133)=0,#N/A,GETPIVOTDATA("合計 / " &amp; $B136,【ピボット】事業所収支!$A$3,"年月",P$13,"事業所",$A$133)),#N/A)</f>
        <v>49610</v>
      </c>
      <c r="Q136" s="483">
        <f>IFERROR(IF(GETPIVOTDATA("合計 / " &amp; $B136,【ピボット】事業所収支!$A$3,"年月",Q$13,"事業所",$A$133)=0,#N/A,GETPIVOTDATA("合計 / " &amp; $B136,【ピボット】事業所収支!$A$3,"年月",Q$13,"事業所",$A$133)),#N/A)</f>
        <v>87952</v>
      </c>
      <c r="R136" s="483">
        <f>IFERROR(IF(GETPIVOTDATA("合計 / " &amp; $B136,【ピボット】事業所収支!$A$3,"年月",R$13,"事業所",$A$133)=0,#N/A,GETPIVOTDATA("合計 / " &amp; $B136,【ピボット】事業所収支!$A$3,"年月",R$13,"事業所",$A$133)),#N/A)</f>
        <v>184245</v>
      </c>
      <c r="S136" s="483">
        <f>IFERROR(IF(GETPIVOTDATA("合計 / " &amp; $B136,【ピボット】事業所収支!$A$3,"年月",S$13,"事業所",$A$133)=0,#N/A,GETPIVOTDATA("合計 / " &amp; $B136,【ピボット】事業所収支!$A$3,"年月",S$13,"事業所",$A$133)),#N/A)</f>
        <v>358716</v>
      </c>
      <c r="T136" s="483">
        <f>IFERROR(IF(GETPIVOTDATA("合計 / " &amp; $B136,【ピボット】事業所収支!$A$3,"年月",T$13,"事業所",$A$133)=0,#N/A,GETPIVOTDATA("合計 / " &amp; $B136,【ピボット】事業所収支!$A$3,"年月",T$13,"事業所",$A$133)),#N/A)</f>
        <v>411567</v>
      </c>
      <c r="U136" s="483">
        <f>IFERROR(IF(GETPIVOTDATA("合計 / " &amp; $B136,【ピボット】事業所収支!$A$3,"年月",U$13,"事業所",$A$133)=0,#N/A,GETPIVOTDATA("合計 / " &amp; $B136,【ピボット】事業所収支!$A$3,"年月",U$13,"事業所",$A$133)),#N/A)</f>
        <v>304379</v>
      </c>
      <c r="V136" s="483">
        <f>IFERROR(IF(GETPIVOTDATA("合計 / " &amp; $B136,【ピボット】事業所収支!$A$3,"年月",V$13,"事業所",$A$133)=0,#N/A,GETPIVOTDATA("合計 / " &amp; $B136,【ピボット】事業所収支!$A$3,"年月",V$13,"事業所",$A$133)),#N/A)</f>
        <v>285948</v>
      </c>
      <c r="W136" s="483">
        <f>IFERROR(IF(GETPIVOTDATA("合計 / " &amp; $B136,【ピボット】事業所収支!$A$3,"年月",W$13,"事業所",$A$133)=0,#N/A,GETPIVOTDATA("合計 / " &amp; $B136,【ピボット】事業所収支!$A$3,"年月",W$13,"事業所",$A$133)),#N/A)</f>
        <v>271753</v>
      </c>
      <c r="X136" s="483">
        <f>IFERROR(IF(GETPIVOTDATA("合計 / " &amp; $B136,【ピボット】事業所収支!$A$3,"年月",X$13,"事業所",$A$133)=0,#N/A,GETPIVOTDATA("合計 / " &amp; $B136,【ピボット】事業所収支!$A$3,"年月",X$13,"事業所",$A$133)),#N/A)</f>
        <v>228440</v>
      </c>
      <c r="Y136" s="483" t="e">
        <f>IFERROR(IF(GETPIVOTDATA("合計 / " &amp; $B136,【ピボット】事業所収支!$A$3,"年月",Y$13,"事業所",$A$133)=0,#N/A,GETPIVOTDATA("合計 / " &amp; $B136,【ピボット】事業所収支!$A$3,"年月",Y$13,"事業所",$A$133)),#N/A)</f>
        <v>#N/A</v>
      </c>
      <c r="Z136" s="483" t="e">
        <f>IFERROR(IF(GETPIVOTDATA("合計 / " &amp; $B136,【ピボット】事業所収支!$A$3,"年月",Z$13,"事業所",$A$133)=0,#N/A,GETPIVOTDATA("合計 / " &amp; $B136,【ピボット】事業所収支!$A$3,"年月",Z$13,"事業所",$A$133)),#N/A)</f>
        <v>#N/A</v>
      </c>
    </row>
    <row r="137" spans="1:27" x14ac:dyDescent="0.15">
      <c r="B137" s="8" t="s">
        <v>27</v>
      </c>
      <c r="C137" s="483" t="e">
        <f>IFERROR(IF(GETPIVOTDATA("合計 / " &amp; $B137,【ピボット】事業所収支!$A$3,"年月",C$13,"事業所",$A$133)=0,#N/A,GETPIVOTDATA("合計 / " &amp; $B137,【ピボット】事業所収支!$A$3,"年月",C$13,"事業所",$A$133)),#N/A)</f>
        <v>#N/A</v>
      </c>
      <c r="D137" s="483" t="e">
        <f>IFERROR(IF(GETPIVOTDATA("合計 / " &amp; $B137,【ピボット】事業所収支!$A$3,"年月",D$13,"事業所",$A$133)=0,#N/A,GETPIVOTDATA("合計 / " &amp; $B137,【ピボット】事業所収支!$A$3,"年月",D$13,"事業所",$A$133)),#N/A)</f>
        <v>#N/A</v>
      </c>
      <c r="E137" s="483" t="e">
        <f>IFERROR(IF(GETPIVOTDATA("合計 / " &amp; $B137,【ピボット】事業所収支!$A$3,"年月",E$13,"事業所",$A$133)=0,#N/A,GETPIVOTDATA("合計 / " &amp; $B137,【ピボット】事業所収支!$A$3,"年月",E$13,"事業所",$A$133)),#N/A)</f>
        <v>#N/A</v>
      </c>
      <c r="F137" s="483" t="e">
        <f>IFERROR(IF(GETPIVOTDATA("合計 / " &amp; $B137,【ピボット】事業所収支!$A$3,"年月",F$13,"事業所",$A$133)=0,#N/A,GETPIVOTDATA("合計 / " &amp; $B137,【ピボット】事業所収支!$A$3,"年月",F$13,"事業所",$A$133)),#N/A)</f>
        <v>#N/A</v>
      </c>
      <c r="G137" s="483" t="e">
        <f>IFERROR(IF(GETPIVOTDATA("合計 / " &amp; $B137,【ピボット】事業所収支!$A$3,"年月",G$13,"事業所",$A$133)=0,#N/A,GETPIVOTDATA("合計 / " &amp; $B137,【ピボット】事業所収支!$A$3,"年月",G$13,"事業所",$A$133)),#N/A)</f>
        <v>#N/A</v>
      </c>
      <c r="H137" s="483" t="e">
        <f>IFERROR(IF(GETPIVOTDATA("合計 / " &amp; $B137,【ピボット】事業所収支!$A$3,"年月",H$13,"事業所",$A$133)=0,#N/A,GETPIVOTDATA("合計 / " &amp; $B137,【ピボット】事業所収支!$A$3,"年月",H$13,"事業所",$A$133)),#N/A)</f>
        <v>#N/A</v>
      </c>
      <c r="I137" s="483" t="e">
        <f>IFERROR(IF(GETPIVOTDATA("合計 / " &amp; $B137,【ピボット】事業所収支!$A$3,"年月",I$13,"事業所",$A$133)=0,#N/A,GETPIVOTDATA("合計 / " &amp; $B137,【ピボット】事業所収支!$A$3,"年月",I$13,"事業所",$A$133)),#N/A)</f>
        <v>#N/A</v>
      </c>
      <c r="J137" s="483" t="e">
        <f>IFERROR(IF(GETPIVOTDATA("合計 / " &amp; $B137,【ピボット】事業所収支!$A$3,"年月",J$13,"事業所",$A$133)=0,#N/A,GETPIVOTDATA("合計 / " &amp; $B137,【ピボット】事業所収支!$A$3,"年月",J$13,"事業所",$A$133)),#N/A)</f>
        <v>#N/A</v>
      </c>
      <c r="K137" s="483" t="e">
        <f>IFERROR(IF(GETPIVOTDATA("合計 / " &amp; $B137,【ピボット】事業所収支!$A$3,"年月",K$13,"事業所",$A$133)=0,#N/A,GETPIVOTDATA("合計 / " &amp; $B137,【ピボット】事業所収支!$A$3,"年月",K$13,"事業所",$A$133)),#N/A)</f>
        <v>#N/A</v>
      </c>
      <c r="L137" s="483" t="e">
        <f>IFERROR(IF(GETPIVOTDATA("合計 / " &amp; $B137,【ピボット】事業所収支!$A$3,"年月",L$13,"事業所",$A$133)=0,#N/A,GETPIVOTDATA("合計 / " &amp; $B137,【ピボット】事業所収支!$A$3,"年月",L$13,"事業所",$A$133)),#N/A)</f>
        <v>#N/A</v>
      </c>
      <c r="M137" s="483" t="e">
        <f>IFERROR(IF(GETPIVOTDATA("合計 / " &amp; $B137,【ピボット】事業所収支!$A$3,"年月",M$13,"事業所",$A$133)=0,#N/A,GETPIVOTDATA("合計 / " &amp; $B137,【ピボット】事業所収支!$A$3,"年月",M$13,"事業所",$A$133)),#N/A)</f>
        <v>#N/A</v>
      </c>
      <c r="N137" s="483" t="e">
        <f>IFERROR(IF(GETPIVOTDATA("合計 / " &amp; $B137,【ピボット】事業所収支!$A$3,"年月",N$13,"事業所",$A$133)=0,#N/A,GETPIVOTDATA("合計 / " &amp; $B137,【ピボット】事業所収支!$A$3,"年月",N$13,"事業所",$A$133)),#N/A)</f>
        <v>#N/A</v>
      </c>
      <c r="O137" s="483">
        <f>IFERROR(IF(GETPIVOTDATA("合計 / " &amp; $B137,【ピボット】事業所収支!$A$3,"年月",O$13,"事業所",$A$133)=0,#N/A,GETPIVOTDATA("合計 / " &amp; $B137,【ピボット】事業所収支!$A$3,"年月",O$13,"事業所",$A$133)),#N/A)</f>
        <v>350000</v>
      </c>
      <c r="P137" s="483">
        <f>IFERROR(IF(GETPIVOTDATA("合計 / " &amp; $B137,【ピボット】事業所収支!$A$3,"年月",P$13,"事業所",$A$133)=0,#N/A,GETPIVOTDATA("合計 / " &amp; $B137,【ピボット】事業所収支!$A$3,"年月",P$13,"事業所",$A$133)),#N/A)</f>
        <v>405592</v>
      </c>
      <c r="Q137" s="483">
        <f>IFERROR(IF(GETPIVOTDATA("合計 / " &amp; $B137,【ピボット】事業所収支!$A$3,"年月",Q$13,"事業所",$A$133)=0,#N/A,GETPIVOTDATA("合計 / " &amp; $B137,【ピボット】事業所収支!$A$3,"年月",Q$13,"事業所",$A$133)),#N/A)</f>
        <v>350000</v>
      </c>
      <c r="R137" s="483">
        <f>IFERROR(IF(GETPIVOTDATA("合計 / " &amp; $B137,【ピボット】事業所収支!$A$3,"年月",R$13,"事業所",$A$133)=0,#N/A,GETPIVOTDATA("合計 / " &amp; $B137,【ピボット】事業所収支!$A$3,"年月",R$13,"事業所",$A$133)),#N/A)</f>
        <v>359094</v>
      </c>
      <c r="S137" s="483">
        <f>IFERROR(IF(GETPIVOTDATA("合計 / " &amp; $B137,【ピボット】事業所収支!$A$3,"年月",S$13,"事業所",$A$133)=0,#N/A,GETPIVOTDATA("合計 / " &amp; $B137,【ピボット】事業所収支!$A$3,"年月",S$13,"事業所",$A$133)),#N/A)</f>
        <v>356070</v>
      </c>
      <c r="T137" s="483">
        <f>IFERROR(IF(GETPIVOTDATA("合計 / " &amp; $B137,【ピボット】事業所収支!$A$3,"年月",T$13,"事業所",$A$133)=0,#N/A,GETPIVOTDATA("合計 / " &amp; $B137,【ピボット】事業所収支!$A$3,"年月",T$13,"事業所",$A$133)),#N/A)</f>
        <v>365311</v>
      </c>
      <c r="U137" s="483">
        <f>IFERROR(IF(GETPIVOTDATA("合計 / " &amp; $B137,【ピボット】事業所収支!$A$3,"年月",U$13,"事業所",$A$133)=0,#N/A,GETPIVOTDATA("合計 / " &amp; $B137,【ピボット】事業所収支!$A$3,"年月",U$13,"事業所",$A$133)),#N/A)</f>
        <v>313556</v>
      </c>
      <c r="V137" s="483">
        <f>IFERROR(IF(GETPIVOTDATA("合計 / " &amp; $B137,【ピボット】事業所収支!$A$3,"年月",V$13,"事業所",$A$133)=0,#N/A,GETPIVOTDATA("合計 / " &amp; $B137,【ピボット】事業所収支!$A$3,"年月",V$13,"事業所",$A$133)),#N/A)</f>
        <v>322174</v>
      </c>
      <c r="W137" s="483">
        <f>IFERROR(IF(GETPIVOTDATA("合計 / " &amp; $B137,【ピボット】事業所収支!$A$3,"年月",W$13,"事業所",$A$133)=0,#N/A,GETPIVOTDATA("合計 / " &amp; $B137,【ピボット】事業所収支!$A$3,"年月",W$13,"事業所",$A$133)),#N/A)</f>
        <v>328566</v>
      </c>
      <c r="X137" s="483">
        <f>IFERROR(IF(GETPIVOTDATA("合計 / " &amp; $B137,【ピボット】事業所収支!$A$3,"年月",X$13,"事業所",$A$133)=0,#N/A,GETPIVOTDATA("合計 / " &amp; $B137,【ピボット】事業所収支!$A$3,"年月",X$13,"事業所",$A$133)),#N/A)</f>
        <v>312778</v>
      </c>
      <c r="Y137" s="483" t="e">
        <f>IFERROR(IF(GETPIVOTDATA("合計 / " &amp; $B137,【ピボット】事業所収支!$A$3,"年月",Y$13,"事業所",$A$133)=0,#N/A,GETPIVOTDATA("合計 / " &amp; $B137,【ピボット】事業所収支!$A$3,"年月",Y$13,"事業所",$A$133)),#N/A)</f>
        <v>#N/A</v>
      </c>
      <c r="Z137" s="483" t="e">
        <f>IFERROR(IF(GETPIVOTDATA("合計 / " &amp; $B137,【ピボット】事業所収支!$A$3,"年月",Z$13,"事業所",$A$133)=0,#N/A,GETPIVOTDATA("合計 / " &amp; $B137,【ピボット】事業所収支!$A$3,"年月",Z$13,"事業所",$A$133)),#N/A)</f>
        <v>#N/A</v>
      </c>
    </row>
    <row r="138" spans="1:27" x14ac:dyDescent="0.15">
      <c r="B138" s="8" t="s">
        <v>60</v>
      </c>
      <c r="C138" s="483" t="e">
        <f>IFERROR(IF(GETPIVOTDATA("合計 / " &amp; $B138,【ピボット】事業所収支!$A$3,"年月",C$13,"事業所",$A$133)=0,#N/A,GETPIVOTDATA("合計 / " &amp; $B138,【ピボット】事業所収支!$A$3,"年月",C$13,"事業所",$A$133)),#N/A)</f>
        <v>#N/A</v>
      </c>
      <c r="D138" s="483" t="e">
        <f>IFERROR(IF(GETPIVOTDATA("合計 / " &amp; $B138,【ピボット】事業所収支!$A$3,"年月",D$13,"事業所",$A$133)=0,#N/A,GETPIVOTDATA("合計 / " &amp; $B138,【ピボット】事業所収支!$A$3,"年月",D$13,"事業所",$A$133)),#N/A)</f>
        <v>#N/A</v>
      </c>
      <c r="E138" s="483" t="e">
        <f>IFERROR(IF(GETPIVOTDATA("合計 / " &amp; $B138,【ピボット】事業所収支!$A$3,"年月",E$13,"事業所",$A$133)=0,#N/A,GETPIVOTDATA("合計 / " &amp; $B138,【ピボット】事業所収支!$A$3,"年月",E$13,"事業所",$A$133)),#N/A)</f>
        <v>#N/A</v>
      </c>
      <c r="F138" s="483" t="e">
        <f>IFERROR(IF(GETPIVOTDATA("合計 / " &amp; $B138,【ピボット】事業所収支!$A$3,"年月",F$13,"事業所",$A$133)=0,#N/A,GETPIVOTDATA("合計 / " &amp; $B138,【ピボット】事業所収支!$A$3,"年月",F$13,"事業所",$A$133)),#N/A)</f>
        <v>#N/A</v>
      </c>
      <c r="G138" s="483" t="e">
        <f>IFERROR(IF(GETPIVOTDATA("合計 / " &amp; $B138,【ピボット】事業所収支!$A$3,"年月",G$13,"事業所",$A$133)=0,#N/A,GETPIVOTDATA("合計 / " &amp; $B138,【ピボット】事業所収支!$A$3,"年月",G$13,"事業所",$A$133)),#N/A)</f>
        <v>#N/A</v>
      </c>
      <c r="H138" s="483" t="e">
        <f>IFERROR(IF(GETPIVOTDATA("合計 / " &amp; $B138,【ピボット】事業所収支!$A$3,"年月",H$13,"事業所",$A$133)=0,#N/A,GETPIVOTDATA("合計 / " &amp; $B138,【ピボット】事業所収支!$A$3,"年月",H$13,"事業所",$A$133)),#N/A)</f>
        <v>#N/A</v>
      </c>
      <c r="I138" s="483" t="e">
        <f>IFERROR(IF(GETPIVOTDATA("合計 / " &amp; $B138,【ピボット】事業所収支!$A$3,"年月",I$13,"事業所",$A$133)=0,#N/A,GETPIVOTDATA("合計 / " &amp; $B138,【ピボット】事業所収支!$A$3,"年月",I$13,"事業所",$A$133)),#N/A)</f>
        <v>#N/A</v>
      </c>
      <c r="J138" s="483" t="e">
        <f>IFERROR(IF(GETPIVOTDATA("合計 / " &amp; $B138,【ピボット】事業所収支!$A$3,"年月",J$13,"事業所",$A$133)=0,#N/A,GETPIVOTDATA("合計 / " &amp; $B138,【ピボット】事業所収支!$A$3,"年月",J$13,"事業所",$A$133)),#N/A)</f>
        <v>#N/A</v>
      </c>
      <c r="K138" s="483" t="e">
        <f>IFERROR(IF(GETPIVOTDATA("合計 / " &amp; $B138,【ピボット】事業所収支!$A$3,"年月",K$13,"事業所",$A$133)=0,#N/A,GETPIVOTDATA("合計 / " &amp; $B138,【ピボット】事業所収支!$A$3,"年月",K$13,"事業所",$A$133)),#N/A)</f>
        <v>#N/A</v>
      </c>
      <c r="L138" s="483" t="e">
        <f>IFERROR(IF(GETPIVOTDATA("合計 / " &amp; $B138,【ピボット】事業所収支!$A$3,"年月",L$13,"事業所",$A$133)=0,#N/A,GETPIVOTDATA("合計 / " &amp; $B138,【ピボット】事業所収支!$A$3,"年月",L$13,"事業所",$A$133)),#N/A)</f>
        <v>#N/A</v>
      </c>
      <c r="M138" s="483" t="e">
        <f>IFERROR(IF(GETPIVOTDATA("合計 / " &amp; $B138,【ピボット】事業所収支!$A$3,"年月",M$13,"事業所",$A$133)=0,#N/A,GETPIVOTDATA("合計 / " &amp; $B138,【ピボット】事業所収支!$A$3,"年月",M$13,"事業所",$A$133)),#N/A)</f>
        <v>#N/A</v>
      </c>
      <c r="N138" s="483" t="e">
        <f>IFERROR(IF(GETPIVOTDATA("合計 / " &amp; $B138,【ピボット】事業所収支!$A$3,"年月",N$13,"事業所",$A$133)=0,#N/A,GETPIVOTDATA("合計 / " &amp; $B138,【ピボット】事業所収支!$A$3,"年月",N$13,"事業所",$A$133)),#N/A)</f>
        <v>#N/A</v>
      </c>
      <c r="O138" s="483" t="e">
        <f>IFERROR(IF(GETPIVOTDATA("合計 / " &amp; $B138,【ピボット】事業所収支!$A$3,"年月",O$13,"事業所",$A$133)=0,#N/A,GETPIVOTDATA("合計 / " &amp; $B138,【ピボット】事業所収支!$A$3,"年月",O$13,"事業所",$A$133)),#N/A)</f>
        <v>#N/A</v>
      </c>
      <c r="P138" s="483">
        <f>IFERROR(IF(GETPIVOTDATA("合計 / " &amp; $B138,【ピボット】事業所収支!$A$3,"年月",P$13,"事業所",$A$133)=0,#N/A,GETPIVOTDATA("合計 / " &amp; $B138,【ピボット】事業所収支!$A$3,"年月",P$13,"事業所",$A$133)),#N/A)</f>
        <v>315000</v>
      </c>
      <c r="Q138" s="483" t="e">
        <f>IFERROR(IF(GETPIVOTDATA("合計 / " &amp; $B138,【ピボット】事業所収支!$A$3,"年月",Q$13,"事業所",$A$133)=0,#N/A,GETPIVOTDATA("合計 / " &amp; $B138,【ピボット】事業所収支!$A$3,"年月",Q$13,"事業所",$A$133)),#N/A)</f>
        <v>#N/A</v>
      </c>
      <c r="R138" s="483">
        <f>IFERROR(IF(GETPIVOTDATA("合計 / " &amp; $B138,【ピボット】事業所収支!$A$3,"年月",R$13,"事業所",$A$133)=0,#N/A,GETPIVOTDATA("合計 / " &amp; $B138,【ピボット】事業所収支!$A$3,"年月",R$13,"事業所",$A$133)),#N/A)</f>
        <v>50000</v>
      </c>
      <c r="S138" s="483" t="e">
        <f>IFERROR(IF(GETPIVOTDATA("合計 / " &amp; $B138,【ピボット】事業所収支!$A$3,"年月",S$13,"事業所",$A$133)=0,#N/A,GETPIVOTDATA("合計 / " &amp; $B138,【ピボット】事業所収支!$A$3,"年月",S$13,"事業所",$A$133)),#N/A)</f>
        <v>#N/A</v>
      </c>
      <c r="T138" s="483" t="e">
        <f>IFERROR(IF(GETPIVOTDATA("合計 / " &amp; $B138,【ピボット】事業所収支!$A$3,"年月",T$13,"事業所",$A$133)=0,#N/A,GETPIVOTDATA("合計 / " &amp; $B138,【ピボット】事業所収支!$A$3,"年月",T$13,"事業所",$A$133)),#N/A)</f>
        <v>#N/A</v>
      </c>
      <c r="U138" s="483" t="e">
        <f>IFERROR(IF(GETPIVOTDATA("合計 / " &amp; $B138,【ピボット】事業所収支!$A$3,"年月",U$13,"事業所",$A$133)=0,#N/A,GETPIVOTDATA("合計 / " &amp; $B138,【ピボット】事業所収支!$A$3,"年月",U$13,"事業所",$A$133)),#N/A)</f>
        <v>#N/A</v>
      </c>
      <c r="V138" s="483">
        <f>IFERROR(IF(GETPIVOTDATA("合計 / " &amp; $B138,【ピボット】事業所収支!$A$3,"年月",V$13,"事業所",$A$133)=0,#N/A,GETPIVOTDATA("合計 / " &amp; $B138,【ピボット】事業所収支!$A$3,"年月",V$13,"事業所",$A$133)),#N/A)</f>
        <v>500000</v>
      </c>
      <c r="W138" s="483" t="e">
        <f>IFERROR(IF(GETPIVOTDATA("合計 / " &amp; $B138,【ピボット】事業所収支!$A$3,"年月",W$13,"事業所",$A$133)=0,#N/A,GETPIVOTDATA("合計 / " &amp; $B138,【ピボット】事業所収支!$A$3,"年月",W$13,"事業所",$A$133)),#N/A)</f>
        <v>#N/A</v>
      </c>
      <c r="X138" s="483" t="e">
        <f>IFERROR(IF(GETPIVOTDATA("合計 / " &amp; $B138,【ピボット】事業所収支!$A$3,"年月",X$13,"事業所",$A$133)=0,#N/A,GETPIVOTDATA("合計 / " &amp; $B138,【ピボット】事業所収支!$A$3,"年月",X$13,"事業所",$A$133)),#N/A)</f>
        <v>#N/A</v>
      </c>
      <c r="Y138" s="483" t="e">
        <f>IFERROR(IF(GETPIVOTDATA("合計 / " &amp; $B138,【ピボット】事業所収支!$A$3,"年月",Y$13,"事業所",$A$133)=0,#N/A,GETPIVOTDATA("合計 / " &amp; $B138,【ピボット】事業所収支!$A$3,"年月",Y$13,"事業所",$A$133)),#N/A)</f>
        <v>#N/A</v>
      </c>
      <c r="Z138" s="483" t="e">
        <f>IFERROR(IF(GETPIVOTDATA("合計 / " &amp; $B138,【ピボット】事業所収支!$A$3,"年月",Z$13,"事業所",$A$133)=0,#N/A,GETPIVOTDATA("合計 / " &amp; $B138,【ピボット】事業所収支!$A$3,"年月",Z$13,"事業所",$A$133)),#N/A)</f>
        <v>#N/A</v>
      </c>
    </row>
    <row r="139" spans="1:27" x14ac:dyDescent="0.15">
      <c r="B139" s="8" t="s">
        <v>50</v>
      </c>
      <c r="C139" s="483" t="e">
        <f>IFERROR(IF(GETPIVOTDATA("合計 / " &amp; $B139,【ピボット】事業所収支!$A$3,"年月",C$13,"事業所",$A$133)=0,#N/A,GETPIVOTDATA("合計 / " &amp; $B139,【ピボット】事業所収支!$A$3,"年月",C$13,"事業所",$A$133)),#N/A)</f>
        <v>#N/A</v>
      </c>
      <c r="D139" s="483" t="e">
        <f>IFERROR(IF(GETPIVOTDATA("合計 / " &amp; $B139,【ピボット】事業所収支!$A$3,"年月",D$13,"事業所",$A$133)=0,#N/A,GETPIVOTDATA("合計 / " &amp; $B139,【ピボット】事業所収支!$A$3,"年月",D$13,"事業所",$A$133)),#N/A)</f>
        <v>#N/A</v>
      </c>
      <c r="E139" s="483" t="e">
        <f>IFERROR(IF(GETPIVOTDATA("合計 / " &amp; $B139,【ピボット】事業所収支!$A$3,"年月",E$13,"事業所",$A$133)=0,#N/A,GETPIVOTDATA("合計 / " &amp; $B139,【ピボット】事業所収支!$A$3,"年月",E$13,"事業所",$A$133)),#N/A)</f>
        <v>#N/A</v>
      </c>
      <c r="F139" s="483" t="e">
        <f>IFERROR(IF(GETPIVOTDATA("合計 / " &amp; $B139,【ピボット】事業所収支!$A$3,"年月",F$13,"事業所",$A$133)=0,#N/A,GETPIVOTDATA("合計 / " &amp; $B139,【ピボット】事業所収支!$A$3,"年月",F$13,"事業所",$A$133)),#N/A)</f>
        <v>#N/A</v>
      </c>
      <c r="G139" s="483" t="e">
        <f>IFERROR(IF(GETPIVOTDATA("合計 / " &amp; $B139,【ピボット】事業所収支!$A$3,"年月",G$13,"事業所",$A$133)=0,#N/A,GETPIVOTDATA("合計 / " &amp; $B139,【ピボット】事業所収支!$A$3,"年月",G$13,"事業所",$A$133)),#N/A)</f>
        <v>#N/A</v>
      </c>
      <c r="H139" s="483" t="e">
        <f>IFERROR(IF(GETPIVOTDATA("合計 / " &amp; $B139,【ピボット】事業所収支!$A$3,"年月",H$13,"事業所",$A$133)=0,#N/A,GETPIVOTDATA("合計 / " &amp; $B139,【ピボット】事業所収支!$A$3,"年月",H$13,"事業所",$A$133)),#N/A)</f>
        <v>#N/A</v>
      </c>
      <c r="I139" s="483" t="e">
        <f>IFERROR(IF(GETPIVOTDATA("合計 / " &amp; $B139,【ピボット】事業所収支!$A$3,"年月",I$13,"事業所",$A$133)=0,#N/A,GETPIVOTDATA("合計 / " &amp; $B139,【ピボット】事業所収支!$A$3,"年月",I$13,"事業所",$A$133)),#N/A)</f>
        <v>#N/A</v>
      </c>
      <c r="J139" s="483" t="e">
        <f>IFERROR(IF(GETPIVOTDATA("合計 / " &amp; $B139,【ピボット】事業所収支!$A$3,"年月",J$13,"事業所",$A$133)=0,#N/A,GETPIVOTDATA("合計 / " &amp; $B139,【ピボット】事業所収支!$A$3,"年月",J$13,"事業所",$A$133)),#N/A)</f>
        <v>#N/A</v>
      </c>
      <c r="K139" s="483" t="e">
        <f>IFERROR(IF(GETPIVOTDATA("合計 / " &amp; $B139,【ピボット】事業所収支!$A$3,"年月",K$13,"事業所",$A$133)=0,#N/A,GETPIVOTDATA("合計 / " &amp; $B139,【ピボット】事業所収支!$A$3,"年月",K$13,"事業所",$A$133)),#N/A)</f>
        <v>#N/A</v>
      </c>
      <c r="L139" s="483" t="e">
        <f>IFERROR(IF(GETPIVOTDATA("合計 / " &amp; $B139,【ピボット】事業所収支!$A$3,"年月",L$13,"事業所",$A$133)=0,#N/A,GETPIVOTDATA("合計 / " &amp; $B139,【ピボット】事業所収支!$A$3,"年月",L$13,"事業所",$A$133)),#N/A)</f>
        <v>#N/A</v>
      </c>
      <c r="M139" s="483" t="e">
        <f>IFERROR(IF(GETPIVOTDATA("合計 / " &amp; $B139,【ピボット】事業所収支!$A$3,"年月",M$13,"事業所",$A$133)=0,#N/A,GETPIVOTDATA("合計 / " &amp; $B139,【ピボット】事業所収支!$A$3,"年月",M$13,"事業所",$A$133)),#N/A)</f>
        <v>#N/A</v>
      </c>
      <c r="N139" s="483" t="e">
        <f>IFERROR(IF(GETPIVOTDATA("合計 / " &amp; $B139,【ピボット】事業所収支!$A$3,"年月",N$13,"事業所",$A$133)=0,#N/A,GETPIVOTDATA("合計 / " &amp; $B139,【ピボット】事業所収支!$A$3,"年月",N$13,"事業所",$A$133)),#N/A)</f>
        <v>#N/A</v>
      </c>
      <c r="O139" s="483" t="e">
        <f>IFERROR(IF(GETPIVOTDATA("合計 / " &amp; $B139,【ピボット】事業所収支!$A$3,"年月",O$13,"事業所",$A$133)=0,#N/A,GETPIVOTDATA("合計 / " &amp; $B139,【ピボット】事業所収支!$A$3,"年月",O$13,"事業所",$A$133)),#N/A)</f>
        <v>#N/A</v>
      </c>
      <c r="P139" s="483" t="e">
        <f>IFERROR(IF(GETPIVOTDATA("合計 / " &amp; $B139,【ピボット】事業所収支!$A$3,"年月",P$13,"事業所",$A$133)=0,#N/A,GETPIVOTDATA("合計 / " &amp; $B139,【ピボット】事業所収支!$A$3,"年月",P$13,"事業所",$A$133)),#N/A)</f>
        <v>#N/A</v>
      </c>
      <c r="Q139" s="483" t="e">
        <f>IFERROR(IF(GETPIVOTDATA("合計 / " &amp; $B139,【ピボット】事業所収支!$A$3,"年月",Q$13,"事業所",$A$133)=0,#N/A,GETPIVOTDATA("合計 / " &amp; $B139,【ピボット】事業所収支!$A$3,"年月",Q$13,"事業所",$A$133)),#N/A)</f>
        <v>#N/A</v>
      </c>
      <c r="R139" s="483" t="e">
        <f>IFERROR(IF(GETPIVOTDATA("合計 / " &amp; $B139,【ピボット】事業所収支!$A$3,"年月",R$13,"事業所",$A$133)=0,#N/A,GETPIVOTDATA("合計 / " &amp; $B139,【ピボット】事業所収支!$A$3,"年月",R$13,"事業所",$A$133)),#N/A)</f>
        <v>#N/A</v>
      </c>
      <c r="S139" s="483" t="e">
        <f>IFERROR(IF(GETPIVOTDATA("合計 / " &amp; $B139,【ピボット】事業所収支!$A$3,"年月",S$13,"事業所",$A$133)=0,#N/A,GETPIVOTDATA("合計 / " &amp; $B139,【ピボット】事業所収支!$A$3,"年月",S$13,"事業所",$A$133)),#N/A)</f>
        <v>#N/A</v>
      </c>
      <c r="T139" s="483" t="e">
        <f>IFERROR(IF(GETPIVOTDATA("合計 / " &amp; $B139,【ピボット】事業所収支!$A$3,"年月",T$13,"事業所",$A$133)=0,#N/A,GETPIVOTDATA("合計 / " &amp; $B139,【ピボット】事業所収支!$A$3,"年月",T$13,"事業所",$A$133)),#N/A)</f>
        <v>#N/A</v>
      </c>
      <c r="U139" s="483" t="e">
        <f>IFERROR(IF(GETPIVOTDATA("合計 / " &amp; $B139,【ピボット】事業所収支!$A$3,"年月",U$13,"事業所",$A$133)=0,#N/A,GETPIVOTDATA("合計 / " &amp; $B139,【ピボット】事業所収支!$A$3,"年月",U$13,"事業所",$A$133)),#N/A)</f>
        <v>#N/A</v>
      </c>
      <c r="V139" s="483" t="e">
        <f>IFERROR(IF(GETPIVOTDATA("合計 / " &amp; $B139,【ピボット】事業所収支!$A$3,"年月",V$13,"事業所",$A$133)=0,#N/A,GETPIVOTDATA("合計 / " &amp; $B139,【ピボット】事業所収支!$A$3,"年月",V$13,"事業所",$A$133)),#N/A)</f>
        <v>#N/A</v>
      </c>
      <c r="W139" s="483" t="e">
        <f>IFERROR(IF(GETPIVOTDATA("合計 / " &amp; $B139,【ピボット】事業所収支!$A$3,"年月",W$13,"事業所",$A$133)=0,#N/A,GETPIVOTDATA("合計 / " &amp; $B139,【ピボット】事業所収支!$A$3,"年月",W$13,"事業所",$A$133)),#N/A)</f>
        <v>#N/A</v>
      </c>
      <c r="X139" s="483" t="e">
        <f>IFERROR(IF(GETPIVOTDATA("合計 / " &amp; $B139,【ピボット】事業所収支!$A$3,"年月",X$13,"事業所",$A$133)=0,#N/A,GETPIVOTDATA("合計 / " &amp; $B139,【ピボット】事業所収支!$A$3,"年月",X$13,"事業所",$A$133)),#N/A)</f>
        <v>#N/A</v>
      </c>
      <c r="Y139" s="483" t="e">
        <f>IFERROR(IF(GETPIVOTDATA("合計 / " &amp; $B139,【ピボット】事業所収支!$A$3,"年月",Y$13,"事業所",$A$133)=0,#N/A,GETPIVOTDATA("合計 / " &amp; $B139,【ピボット】事業所収支!$A$3,"年月",Y$13,"事業所",$A$133)),#N/A)</f>
        <v>#N/A</v>
      </c>
      <c r="Z139" s="483" t="e">
        <f>IFERROR(IF(GETPIVOTDATA("合計 / " &amp; $B139,【ピボット】事業所収支!$A$3,"年月",Z$13,"事業所",$A$133)=0,#N/A,GETPIVOTDATA("合計 / " &amp; $B139,【ピボット】事業所収支!$A$3,"年月",Z$13,"事業所",$A$133)),#N/A)</f>
        <v>#N/A</v>
      </c>
    </row>
    <row r="140" spans="1:27" x14ac:dyDescent="0.15">
      <c r="B140" s="9" t="s">
        <v>29</v>
      </c>
      <c r="C140" s="484" t="e">
        <f>IFERROR(IF(GETPIVOTDATA("合計 / " &amp; $B140,【ピボット】事業所収支!$A$3,"年月",C$13,"事業所",$A$133)=0,#N/A,GETPIVOTDATA("合計 / " &amp; $B140,【ピボット】事業所収支!$A$3,"年月",C$13,"事業所",$A$133)),#N/A)</f>
        <v>#N/A</v>
      </c>
      <c r="D140" s="484" t="e">
        <f>IFERROR(IF(GETPIVOTDATA("合計 / " &amp; $B140,【ピボット】事業所収支!$A$3,"年月",D$13,"事業所",$A$133)=0,#N/A,GETPIVOTDATA("合計 / " &amp; $B140,【ピボット】事業所収支!$A$3,"年月",D$13,"事業所",$A$133)),#N/A)</f>
        <v>#N/A</v>
      </c>
      <c r="E140" s="484" t="e">
        <f>IFERROR(IF(GETPIVOTDATA("合計 / " &amp; $B140,【ピボット】事業所収支!$A$3,"年月",E$13,"事業所",$A$133)=0,#N/A,GETPIVOTDATA("合計 / " &amp; $B140,【ピボット】事業所収支!$A$3,"年月",E$13,"事業所",$A$133)),#N/A)</f>
        <v>#N/A</v>
      </c>
      <c r="F140" s="484" t="e">
        <f>IFERROR(IF(GETPIVOTDATA("合計 / " &amp; $B140,【ピボット】事業所収支!$A$3,"年月",F$13,"事業所",$A$133)=0,#N/A,GETPIVOTDATA("合計 / " &amp; $B140,【ピボット】事業所収支!$A$3,"年月",F$13,"事業所",$A$133)),#N/A)</f>
        <v>#N/A</v>
      </c>
      <c r="G140" s="484" t="e">
        <f>IFERROR(IF(GETPIVOTDATA("合計 / " &amp; $B140,【ピボット】事業所収支!$A$3,"年月",G$13,"事業所",$A$133)=0,#N/A,GETPIVOTDATA("合計 / " &amp; $B140,【ピボット】事業所収支!$A$3,"年月",G$13,"事業所",$A$133)),#N/A)</f>
        <v>#N/A</v>
      </c>
      <c r="H140" s="484" t="e">
        <f>IFERROR(IF(GETPIVOTDATA("合計 / " &amp; $B140,【ピボット】事業所収支!$A$3,"年月",H$13,"事業所",$A$133)=0,#N/A,GETPIVOTDATA("合計 / " &amp; $B140,【ピボット】事業所収支!$A$3,"年月",H$13,"事業所",$A$133)),#N/A)</f>
        <v>#N/A</v>
      </c>
      <c r="I140" s="484" t="e">
        <f>IFERROR(IF(GETPIVOTDATA("合計 / " &amp; $B140,【ピボット】事業所収支!$A$3,"年月",I$13,"事業所",$A$133)=0,#N/A,GETPIVOTDATA("合計 / " &amp; $B140,【ピボット】事業所収支!$A$3,"年月",I$13,"事業所",$A$133)),#N/A)</f>
        <v>#N/A</v>
      </c>
      <c r="J140" s="484" t="e">
        <f>IFERROR(IF(GETPIVOTDATA("合計 / " &amp; $B140,【ピボット】事業所収支!$A$3,"年月",J$13,"事業所",$A$133)=0,#N/A,GETPIVOTDATA("合計 / " &amp; $B140,【ピボット】事業所収支!$A$3,"年月",J$13,"事業所",$A$133)),#N/A)</f>
        <v>#N/A</v>
      </c>
      <c r="K140" s="484" t="e">
        <f>IFERROR(IF(GETPIVOTDATA("合計 / " &amp; $B140,【ピボット】事業所収支!$A$3,"年月",K$13,"事業所",$A$133)=0,#N/A,GETPIVOTDATA("合計 / " &amp; $B140,【ピボット】事業所収支!$A$3,"年月",K$13,"事業所",$A$133)),#N/A)</f>
        <v>#N/A</v>
      </c>
      <c r="L140" s="484" t="e">
        <f>IFERROR(IF(GETPIVOTDATA("合計 / " &amp; $B140,【ピボット】事業所収支!$A$3,"年月",L$13,"事業所",$A$133)=0,#N/A,GETPIVOTDATA("合計 / " &amp; $B140,【ピボット】事業所収支!$A$3,"年月",L$13,"事業所",$A$133)),#N/A)</f>
        <v>#N/A</v>
      </c>
      <c r="M140" s="484" t="e">
        <f>IFERROR(IF(GETPIVOTDATA("合計 / " &amp; $B140,【ピボット】事業所収支!$A$3,"年月",M$13,"事業所",$A$133)=0,#N/A,GETPIVOTDATA("合計 / " &amp; $B140,【ピボット】事業所収支!$A$3,"年月",M$13,"事業所",$A$133)),#N/A)</f>
        <v>#N/A</v>
      </c>
      <c r="N140" s="484" t="e">
        <f>IFERROR(IF(GETPIVOTDATA("合計 / " &amp; $B140,【ピボット】事業所収支!$A$3,"年月",N$13,"事業所",$A$133)=0,#N/A,GETPIVOTDATA("合計 / " &amp; $B140,【ピボット】事業所収支!$A$3,"年月",N$13,"事業所",$A$133)),#N/A)</f>
        <v>#N/A</v>
      </c>
      <c r="O140" s="484">
        <f>IFERROR(IF(GETPIVOTDATA("合計 / " &amp; $B140,【ピボット】事業所収支!$A$3,"年月",O$13,"事業所",$A$133)=0,#N/A,GETPIVOTDATA("合計 / " &amp; $B140,【ピボット】事業所収支!$A$3,"年月",O$13,"事業所",$A$133)),#N/A)</f>
        <v>42363</v>
      </c>
      <c r="P140" s="484">
        <f>IFERROR(IF(GETPIVOTDATA("合計 / " &amp; $B140,【ピボット】事業所収支!$A$3,"年月",P$13,"事業所",$A$133)=0,#N/A,GETPIVOTDATA("合計 / " &amp; $B140,【ピボット】事業所収支!$A$3,"年月",P$13,"事業所",$A$133)),#N/A)</f>
        <v>37084</v>
      </c>
      <c r="Q140" s="484">
        <f>IFERROR(IF(GETPIVOTDATA("合計 / " &amp; $B140,【ピボット】事業所収支!$A$3,"年月",Q$13,"事業所",$A$133)=0,#N/A,GETPIVOTDATA("合計 / " &amp; $B140,【ピボット】事業所収支!$A$3,"年月",Q$13,"事業所",$A$133)),#N/A)</f>
        <v>94565</v>
      </c>
      <c r="R140" s="484">
        <f>IFERROR(IF(GETPIVOTDATA("合計 / " &amp; $B140,【ピボット】事業所収支!$A$3,"年月",R$13,"事業所",$A$133)=0,#N/A,GETPIVOTDATA("合計 / " &amp; $B140,【ピボット】事業所収支!$A$3,"年月",R$13,"事業所",$A$133)),#N/A)</f>
        <v>42952</v>
      </c>
      <c r="S140" s="484">
        <f>IFERROR(IF(GETPIVOTDATA("合計 / " &amp; $B140,【ピボット】事業所収支!$A$3,"年月",S$13,"事業所",$A$133)=0,#N/A,GETPIVOTDATA("合計 / " &amp; $B140,【ピボット】事業所収支!$A$3,"年月",S$13,"事業所",$A$133)),#N/A)</f>
        <v>382917</v>
      </c>
      <c r="T140" s="484">
        <f>IFERROR(IF(GETPIVOTDATA("合計 / " &amp; $B140,【ピボット】事業所収支!$A$3,"年月",T$13,"事業所",$A$133)=0,#N/A,GETPIVOTDATA("合計 / " &amp; $B140,【ピボット】事業所収支!$A$3,"年月",T$13,"事業所",$A$133)),#N/A)</f>
        <v>57454</v>
      </c>
      <c r="U140" s="484">
        <f>IFERROR(IF(GETPIVOTDATA("合計 / " &amp; $B140,【ピボット】事業所収支!$A$3,"年月",U$13,"事業所",$A$133)=0,#N/A,GETPIVOTDATA("合計 / " &amp; $B140,【ピボット】事業所収支!$A$3,"年月",U$13,"事業所",$A$133)),#N/A)</f>
        <v>39713</v>
      </c>
      <c r="V140" s="484">
        <f>IFERROR(IF(GETPIVOTDATA("合計 / " &amp; $B140,【ピボット】事業所収支!$A$3,"年月",V$13,"事業所",$A$133)=0,#N/A,GETPIVOTDATA("合計 / " &amp; $B140,【ピボット】事業所収支!$A$3,"年月",V$13,"事業所",$A$133)),#N/A)</f>
        <v>114101</v>
      </c>
      <c r="W140" s="484">
        <f>IFERROR(IF(GETPIVOTDATA("合計 / " &amp; $B140,【ピボット】事業所収支!$A$3,"年月",W$13,"事業所",$A$133)=0,#N/A,GETPIVOTDATA("合計 / " &amp; $B140,【ピボット】事業所収支!$A$3,"年月",W$13,"事業所",$A$133)),#N/A)</f>
        <v>42695</v>
      </c>
      <c r="X140" s="484">
        <f>IFERROR(IF(GETPIVOTDATA("合計 / " &amp; $B140,【ピボット】事業所収支!$A$3,"年月",X$13,"事業所",$A$133)=0,#N/A,GETPIVOTDATA("合計 / " &amp; $B140,【ピボット】事業所収支!$A$3,"年月",X$13,"事業所",$A$133)),#N/A)</f>
        <v>43910</v>
      </c>
      <c r="Y140" s="484" t="e">
        <f>IFERROR(IF(GETPIVOTDATA("合計 / " &amp; $B140,【ピボット】事業所収支!$A$3,"年月",Y$13,"事業所",$A$133)=0,#N/A,GETPIVOTDATA("合計 / " &amp; $B140,【ピボット】事業所収支!$A$3,"年月",Y$13,"事業所",$A$133)),#N/A)</f>
        <v>#N/A</v>
      </c>
      <c r="Z140" s="484" t="e">
        <f>IFERROR(IF(GETPIVOTDATA("合計 / " &amp; $B140,【ピボット】事業所収支!$A$3,"年月",Z$13,"事業所",$A$133)=0,#N/A,GETPIVOTDATA("合計 / " &amp; $B140,【ピボット】事業所収支!$A$3,"年月",Z$13,"事業所",$A$133)),#N/A)</f>
        <v>#N/A</v>
      </c>
      <c r="AA140" s="4"/>
    </row>
    <row r="141" spans="1:27" x14ac:dyDescent="0.15">
      <c r="B141" s="9" t="s">
        <v>51</v>
      </c>
      <c r="C141" s="483" t="e">
        <f>IFERROR(IF(GETPIVOTDATA("合計 / " &amp; $B141,【ピボット】事業所収支!$A$3,"年月",C$13,"事業所",$A$133)=0,#N/A,GETPIVOTDATA("合計 / " &amp; $B141,【ピボット】事業所収支!$A$3,"年月",C$13,"事業所",$A$133)),#N/A)</f>
        <v>#N/A</v>
      </c>
      <c r="D141" s="483" t="e">
        <f>IFERROR(IF(GETPIVOTDATA("合計 / " &amp; $B141,【ピボット】事業所収支!$A$3,"年月",D$13,"事業所",$A$133)=0,#N/A,GETPIVOTDATA("合計 / " &amp; $B141,【ピボット】事業所収支!$A$3,"年月",D$13,"事業所",$A$133)),#N/A)</f>
        <v>#N/A</v>
      </c>
      <c r="E141" s="483" t="e">
        <f>IFERROR(IF(GETPIVOTDATA("合計 / " &amp; $B141,【ピボット】事業所収支!$A$3,"年月",E$13,"事業所",$A$133)=0,#N/A,GETPIVOTDATA("合計 / " &amp; $B141,【ピボット】事業所収支!$A$3,"年月",E$13,"事業所",$A$133)),#N/A)</f>
        <v>#N/A</v>
      </c>
      <c r="F141" s="483" t="e">
        <f>IFERROR(IF(GETPIVOTDATA("合計 / " &amp; $B141,【ピボット】事業所収支!$A$3,"年月",F$13,"事業所",$A$133)=0,#N/A,GETPIVOTDATA("合計 / " &amp; $B141,【ピボット】事業所収支!$A$3,"年月",F$13,"事業所",$A$133)),#N/A)</f>
        <v>#N/A</v>
      </c>
      <c r="G141" s="483" t="e">
        <f>IFERROR(IF(GETPIVOTDATA("合計 / " &amp; $B141,【ピボット】事業所収支!$A$3,"年月",G$13,"事業所",$A$133)=0,#N/A,GETPIVOTDATA("合計 / " &amp; $B141,【ピボット】事業所収支!$A$3,"年月",G$13,"事業所",$A$133)),#N/A)</f>
        <v>#N/A</v>
      </c>
      <c r="H141" s="483" t="e">
        <f>IFERROR(IF(GETPIVOTDATA("合計 / " &amp; $B141,【ピボット】事業所収支!$A$3,"年月",H$13,"事業所",$A$133)=0,#N/A,GETPIVOTDATA("合計 / " &amp; $B141,【ピボット】事業所収支!$A$3,"年月",H$13,"事業所",$A$133)),#N/A)</f>
        <v>#N/A</v>
      </c>
      <c r="I141" s="483" t="e">
        <f>IFERROR(IF(GETPIVOTDATA("合計 / " &amp; $B141,【ピボット】事業所収支!$A$3,"年月",I$13,"事業所",$A$133)=0,#N/A,GETPIVOTDATA("合計 / " &amp; $B141,【ピボット】事業所収支!$A$3,"年月",I$13,"事業所",$A$133)),#N/A)</f>
        <v>#N/A</v>
      </c>
      <c r="J141" s="483" t="e">
        <f>IFERROR(IF(GETPIVOTDATA("合計 / " &amp; $B141,【ピボット】事業所収支!$A$3,"年月",J$13,"事業所",$A$133)=0,#N/A,GETPIVOTDATA("合計 / " &amp; $B141,【ピボット】事業所収支!$A$3,"年月",J$13,"事業所",$A$133)),#N/A)</f>
        <v>#N/A</v>
      </c>
      <c r="K141" s="483" t="e">
        <f>IFERROR(IF(GETPIVOTDATA("合計 / " &amp; $B141,【ピボット】事業所収支!$A$3,"年月",K$13,"事業所",$A$133)=0,#N/A,GETPIVOTDATA("合計 / " &amp; $B141,【ピボット】事業所収支!$A$3,"年月",K$13,"事業所",$A$133)),#N/A)</f>
        <v>#N/A</v>
      </c>
      <c r="L141" s="483" t="e">
        <f>IFERROR(IF(GETPIVOTDATA("合計 / " &amp; $B141,【ピボット】事業所収支!$A$3,"年月",L$13,"事業所",$A$133)=0,#N/A,GETPIVOTDATA("合計 / " &amp; $B141,【ピボット】事業所収支!$A$3,"年月",L$13,"事業所",$A$133)),#N/A)</f>
        <v>#N/A</v>
      </c>
      <c r="M141" s="483" t="e">
        <f>IFERROR(IF(GETPIVOTDATA("合計 / " &amp; $B141,【ピボット】事業所収支!$A$3,"年月",M$13,"事業所",$A$133)=0,#N/A,GETPIVOTDATA("合計 / " &amp; $B141,【ピボット】事業所収支!$A$3,"年月",M$13,"事業所",$A$133)),#N/A)</f>
        <v>#N/A</v>
      </c>
      <c r="N141" s="483" t="e">
        <f>IFERROR(IF(GETPIVOTDATA("合計 / " &amp; $B141,【ピボット】事業所収支!$A$3,"年月",N$13,"事業所",$A$133)=0,#N/A,GETPIVOTDATA("合計 / " &amp; $B141,【ピボット】事業所収支!$A$3,"年月",N$13,"事業所",$A$133)),#N/A)</f>
        <v>#N/A</v>
      </c>
      <c r="O141" s="483">
        <f>IFERROR(IF(GETPIVOTDATA("合計 / " &amp; $B141,【ピボット】事業所収支!$A$3,"年月",O$13,"事業所",$A$133)=0,#N/A,GETPIVOTDATA("合計 / " &amp; $B141,【ピボット】事業所収支!$A$3,"年月",O$13,"事業所",$A$133)),#N/A)</f>
        <v>2500</v>
      </c>
      <c r="P141" s="483">
        <f>IFERROR(IF(GETPIVOTDATA("合計 / " &amp; $B141,【ピボット】事業所収支!$A$3,"年月",P$13,"事業所",$A$133)=0,#N/A,GETPIVOTDATA("合計 / " &amp; $B141,【ピボット】事業所収支!$A$3,"年月",P$13,"事業所",$A$133)),#N/A)</f>
        <v>38422</v>
      </c>
      <c r="Q141" s="483">
        <f>IFERROR(IF(GETPIVOTDATA("合計 / " &amp; $B141,【ピボット】事業所収支!$A$3,"年月",Q$13,"事業所",$A$133)=0,#N/A,GETPIVOTDATA("合計 / " &amp; $B141,【ピボット】事業所収支!$A$3,"年月",Q$13,"事業所",$A$133)),#N/A)</f>
        <v>2181</v>
      </c>
      <c r="R141" s="483" t="e">
        <f>IFERROR(IF(GETPIVOTDATA("合計 / " &amp; $B141,【ピボット】事業所収支!$A$3,"年月",R$13,"事業所",$A$133)=0,#N/A,GETPIVOTDATA("合計 / " &amp; $B141,【ピボット】事業所収支!$A$3,"年月",R$13,"事業所",$A$133)),#N/A)</f>
        <v>#N/A</v>
      </c>
      <c r="S141" s="483" t="e">
        <f>IFERROR(IF(GETPIVOTDATA("合計 / " &amp; $B141,【ピボット】事業所収支!$A$3,"年月",S$13,"事業所",$A$133)=0,#N/A,GETPIVOTDATA("合計 / " &amp; $B141,【ピボット】事業所収支!$A$3,"年月",S$13,"事業所",$A$133)),#N/A)</f>
        <v>#N/A</v>
      </c>
      <c r="T141" s="483" t="e">
        <f>IFERROR(IF(GETPIVOTDATA("合計 / " &amp; $B141,【ピボット】事業所収支!$A$3,"年月",T$13,"事業所",$A$133)=0,#N/A,GETPIVOTDATA("合計 / " &amp; $B141,【ピボット】事業所収支!$A$3,"年月",T$13,"事業所",$A$133)),#N/A)</f>
        <v>#N/A</v>
      </c>
      <c r="U141" s="483" t="e">
        <f>IFERROR(IF(GETPIVOTDATA("合計 / " &amp; $B141,【ピボット】事業所収支!$A$3,"年月",U$13,"事業所",$A$133)=0,#N/A,GETPIVOTDATA("合計 / " &amp; $B141,【ピボット】事業所収支!$A$3,"年月",U$13,"事業所",$A$133)),#N/A)</f>
        <v>#N/A</v>
      </c>
      <c r="V141" s="483">
        <f>IFERROR(IF(GETPIVOTDATA("合計 / " &amp; $B141,【ピボット】事業所収支!$A$3,"年月",V$13,"事業所",$A$133)=0,#N/A,GETPIVOTDATA("合計 / " &amp; $B141,【ピボット】事業所収支!$A$3,"年月",V$13,"事業所",$A$133)),#N/A)</f>
        <v>2980</v>
      </c>
      <c r="W141" s="483">
        <f>IFERROR(IF(GETPIVOTDATA("合計 / " &amp; $B141,【ピボット】事業所収支!$A$3,"年月",W$13,"事業所",$A$133)=0,#N/A,GETPIVOTDATA("合計 / " &amp; $B141,【ピボット】事業所収支!$A$3,"年月",W$13,"事業所",$A$133)),#N/A)</f>
        <v>972</v>
      </c>
      <c r="X141" s="483">
        <f>IFERROR(IF(GETPIVOTDATA("合計 / " &amp; $B141,【ピボット】事業所収支!$A$3,"年月",X$13,"事業所",$A$133)=0,#N/A,GETPIVOTDATA("合計 / " &amp; $B141,【ピボット】事業所収支!$A$3,"年月",X$13,"事業所",$A$133)),#N/A)</f>
        <v>2904</v>
      </c>
      <c r="Y141" s="483" t="e">
        <f>IFERROR(IF(GETPIVOTDATA("合計 / " &amp; $B141,【ピボット】事業所収支!$A$3,"年月",Y$13,"事業所",$A$133)=0,#N/A,GETPIVOTDATA("合計 / " &amp; $B141,【ピボット】事業所収支!$A$3,"年月",Y$13,"事業所",$A$133)),#N/A)</f>
        <v>#N/A</v>
      </c>
      <c r="Z141" s="483" t="e">
        <f>IFERROR(IF(GETPIVOTDATA("合計 / " &amp; $B141,【ピボット】事業所収支!$A$3,"年月",Z$13,"事業所",$A$133)=0,#N/A,GETPIVOTDATA("合計 / " &amp; $B141,【ピボット】事業所収支!$A$3,"年月",Z$13,"事業所",$A$133)),#N/A)</f>
        <v>#N/A</v>
      </c>
      <c r="AA141" s="4"/>
    </row>
    <row r="142" spans="1:27" x14ac:dyDescent="0.15">
      <c r="B142" s="41" t="s">
        <v>15</v>
      </c>
      <c r="C142" s="486" t="e">
        <f>IFERROR(IF(GETPIVOTDATA("合計 / " &amp; $B142,【ピボット】事業所収支!$A$3,"年月",C$13,"事業所",$A$133)=0,#N/A,GETPIVOTDATA("合計 / " &amp; $B142,【ピボット】事業所収支!$A$3,"年月",C$13,"事業所",$A$133)),#N/A)</f>
        <v>#N/A</v>
      </c>
      <c r="D142" s="486" t="e">
        <f>IFERROR(IF(GETPIVOTDATA("合計 / " &amp; $B142,【ピボット】事業所収支!$A$3,"年月",D$13,"事業所",$A$133)=0,#N/A,GETPIVOTDATA("合計 / " &amp; $B142,【ピボット】事業所収支!$A$3,"年月",D$13,"事業所",$A$133)),#N/A)</f>
        <v>#N/A</v>
      </c>
      <c r="E142" s="486" t="e">
        <f>IFERROR(IF(GETPIVOTDATA("合計 / " &amp; $B142,【ピボット】事業所収支!$A$3,"年月",E$13,"事業所",$A$133)=0,#N/A,GETPIVOTDATA("合計 / " &amp; $B142,【ピボット】事業所収支!$A$3,"年月",E$13,"事業所",$A$133)),#N/A)</f>
        <v>#N/A</v>
      </c>
      <c r="F142" s="486" t="e">
        <f>IFERROR(IF(GETPIVOTDATA("合計 / " &amp; $B142,【ピボット】事業所収支!$A$3,"年月",F$13,"事業所",$A$133)=0,#N/A,GETPIVOTDATA("合計 / " &amp; $B142,【ピボット】事業所収支!$A$3,"年月",F$13,"事業所",$A$133)),#N/A)</f>
        <v>#N/A</v>
      </c>
      <c r="G142" s="486" t="e">
        <f>IFERROR(IF(GETPIVOTDATA("合計 / " &amp; $B142,【ピボット】事業所収支!$A$3,"年月",G$13,"事業所",$A$133)=0,#N/A,GETPIVOTDATA("合計 / " &amp; $B142,【ピボット】事業所収支!$A$3,"年月",G$13,"事業所",$A$133)),#N/A)</f>
        <v>#N/A</v>
      </c>
      <c r="H142" s="486" t="e">
        <f>IFERROR(IF(GETPIVOTDATA("合計 / " &amp; $B142,【ピボット】事業所収支!$A$3,"年月",H$13,"事業所",$A$133)=0,#N/A,GETPIVOTDATA("合計 / " &amp; $B142,【ピボット】事業所収支!$A$3,"年月",H$13,"事業所",$A$133)),#N/A)</f>
        <v>#N/A</v>
      </c>
      <c r="I142" s="486" t="e">
        <f>IFERROR(IF(GETPIVOTDATA("合計 / " &amp; $B142,【ピボット】事業所収支!$A$3,"年月",I$13,"事業所",$A$133)=0,#N/A,GETPIVOTDATA("合計 / " &amp; $B142,【ピボット】事業所収支!$A$3,"年月",I$13,"事業所",$A$133)),#N/A)</f>
        <v>#N/A</v>
      </c>
      <c r="J142" s="486" t="e">
        <f>IFERROR(IF(GETPIVOTDATA("合計 / " &amp; $B142,【ピボット】事業所収支!$A$3,"年月",J$13,"事業所",$A$133)=0,#N/A,GETPIVOTDATA("合計 / " &amp; $B142,【ピボット】事業所収支!$A$3,"年月",J$13,"事業所",$A$133)),#N/A)</f>
        <v>#N/A</v>
      </c>
      <c r="K142" s="486" t="e">
        <f>IFERROR(IF(GETPIVOTDATA("合計 / " &amp; $B142,【ピボット】事業所収支!$A$3,"年月",K$13,"事業所",$A$133)=0,#N/A,GETPIVOTDATA("合計 / " &amp; $B142,【ピボット】事業所収支!$A$3,"年月",K$13,"事業所",$A$133)),#N/A)</f>
        <v>#N/A</v>
      </c>
      <c r="L142" s="486" t="e">
        <f>IFERROR(IF(GETPIVOTDATA("合計 / " &amp; $B142,【ピボット】事業所収支!$A$3,"年月",L$13,"事業所",$A$133)=0,#N/A,GETPIVOTDATA("合計 / " &amp; $B142,【ピボット】事業所収支!$A$3,"年月",L$13,"事業所",$A$133)),#N/A)</f>
        <v>#N/A</v>
      </c>
      <c r="M142" s="486" t="e">
        <f>IFERROR(IF(GETPIVOTDATA("合計 / " &amp; $B142,【ピボット】事業所収支!$A$3,"年月",M$13,"事業所",$A$133)=0,#N/A,GETPIVOTDATA("合計 / " &amp; $B142,【ピボット】事業所収支!$A$3,"年月",M$13,"事業所",$A$133)),#N/A)</f>
        <v>#N/A</v>
      </c>
      <c r="N142" s="486" t="e">
        <f>IFERROR(IF(GETPIVOTDATA("合計 / " &amp; $B142,【ピボット】事業所収支!$A$3,"年月",N$13,"事業所",$A$133)=0,#N/A,GETPIVOTDATA("合計 / " &amp; $B142,【ピボット】事業所収支!$A$3,"年月",N$13,"事業所",$A$133)),#N/A)</f>
        <v>#N/A</v>
      </c>
      <c r="O142" s="486">
        <f>IFERROR(IF(GETPIVOTDATA("合計 / " &amp; $B142,【ピボット】事業所収支!$A$3,"年月",O$13,"事業所",$A$133)=0,#N/A,GETPIVOTDATA("合計 / " &amp; $B142,【ピボット】事業所収支!$A$3,"年月",O$13,"事業所",$A$133)),#N/A)</f>
        <v>394863</v>
      </c>
      <c r="P142" s="486">
        <f>IFERROR(IF(GETPIVOTDATA("合計 / " &amp; $B142,【ピボット】事業所収支!$A$3,"年月",P$13,"事業所",$A$133)=0,#N/A,GETPIVOTDATA("合計 / " &amp; $B142,【ピボット】事業所収支!$A$3,"年月",P$13,"事業所",$A$133)),#N/A)</f>
        <v>845708</v>
      </c>
      <c r="Q142" s="486">
        <f>IFERROR(IF(GETPIVOTDATA("合計 / " &amp; $B142,【ピボット】事業所収支!$A$3,"年月",Q$13,"事業所",$A$133)=0,#N/A,GETPIVOTDATA("合計 / " &amp; $B142,【ピボット】事業所収支!$A$3,"年月",Q$13,"事業所",$A$133)),#N/A)</f>
        <v>534698</v>
      </c>
      <c r="R142" s="486">
        <f>IFERROR(IF(GETPIVOTDATA("合計 / " &amp; $B142,【ピボット】事業所収支!$A$3,"年月",R$13,"事業所",$A$133)=0,#N/A,GETPIVOTDATA("合計 / " &amp; $B142,【ピボット】事業所収支!$A$3,"年月",R$13,"事業所",$A$133)),#N/A)</f>
        <v>636291</v>
      </c>
      <c r="S142" s="486">
        <f>IFERROR(IF(GETPIVOTDATA("合計 / " &amp; $B142,【ピボット】事業所収支!$A$3,"年月",S$13,"事業所",$A$133)=0,#N/A,GETPIVOTDATA("合計 / " &amp; $B142,【ピボット】事業所収支!$A$3,"年月",S$13,"事業所",$A$133)),#N/A)</f>
        <v>1097703</v>
      </c>
      <c r="T142" s="486">
        <f>IFERROR(IF(GETPIVOTDATA("合計 / " &amp; $B142,【ピボット】事業所収支!$A$3,"年月",T$13,"事業所",$A$133)=0,#N/A,GETPIVOTDATA("合計 / " &amp; $B142,【ピボット】事業所収支!$A$3,"年月",T$13,"事業所",$A$133)),#N/A)</f>
        <v>834332</v>
      </c>
      <c r="U142" s="486">
        <f>IFERROR(IF(GETPIVOTDATA("合計 / " &amp; $B142,【ピボット】事業所収支!$A$3,"年月",U$13,"事業所",$A$133)=0,#N/A,GETPIVOTDATA("合計 / " &amp; $B142,【ピボット】事業所収支!$A$3,"年月",U$13,"事業所",$A$133)),#N/A)</f>
        <v>657648</v>
      </c>
      <c r="V142" s="486">
        <f>IFERROR(IF(GETPIVOTDATA("合計 / " &amp; $B142,【ピボット】事業所収支!$A$3,"年月",V$13,"事業所",$A$133)=0,#N/A,GETPIVOTDATA("合計 / " &amp; $B142,【ピボット】事業所収支!$A$3,"年月",V$13,"事業所",$A$133)),#N/A)</f>
        <v>1225203</v>
      </c>
      <c r="W142" s="486">
        <f>IFERROR(IF(GETPIVOTDATA("合計 / " &amp; $B142,【ピボット】事業所収支!$A$3,"年月",W$13,"事業所",$A$133)=0,#N/A,GETPIVOTDATA("合計 / " &amp; $B142,【ピボット】事業所収支!$A$3,"年月",W$13,"事業所",$A$133)),#N/A)</f>
        <v>643986</v>
      </c>
      <c r="X142" s="486">
        <f>IFERROR(IF(GETPIVOTDATA("合計 / " &amp; $B142,【ピボット】事業所収支!$A$3,"年月",X$13,"事業所",$A$133)=0,#N/A,GETPIVOTDATA("合計 / " &amp; $B142,【ピボット】事業所収支!$A$3,"年月",X$13,"事業所",$A$133)),#N/A)</f>
        <v>588032</v>
      </c>
      <c r="Y142" s="486" t="e">
        <f>IFERROR(IF(GETPIVOTDATA("合計 / " &amp; $B142,【ピボット】事業所収支!$A$3,"年月",Y$13,"事業所",$A$133)=0,#N/A,GETPIVOTDATA("合計 / " &amp; $B142,【ピボット】事業所収支!$A$3,"年月",Y$13,"事業所",$A$133)),#N/A)</f>
        <v>#N/A</v>
      </c>
      <c r="Z142" s="486" t="e">
        <f>IFERROR(IF(GETPIVOTDATA("合計 / " &amp; $B142,【ピボット】事業所収支!$A$3,"年月",Z$13,"事業所",$A$133)=0,#N/A,GETPIVOTDATA("合計 / " &amp; $B142,【ピボット】事業所収支!$A$3,"年月",Z$13,"事業所",$A$133)),#N/A)</f>
        <v>#N/A</v>
      </c>
      <c r="AA142" s="4"/>
    </row>
    <row r="143" spans="1:27" x14ac:dyDescent="0.15">
      <c r="B143" s="48" t="s">
        <v>30</v>
      </c>
      <c r="C143" s="487" t="e">
        <f>IFERROR(IF(GETPIVOTDATA("合計 / " &amp; $B143 &amp;"計",【ピボット】事業所収支!$A$3,"年月",C$13,"事業所",$A$133)=0,#N/A,GETPIVOTDATA("合計 / " &amp; $B143 &amp;"計",【ピボット】事業所収支!$A$3,"年月",C$13,"事業所",$A$133)),#N/A)</f>
        <v>#N/A</v>
      </c>
      <c r="D143" s="487" t="e">
        <f>IFERROR(IF(GETPIVOTDATA("合計 / " &amp; $B143 &amp;"計",【ピボット】事業所収支!$A$3,"年月",D$13,"事業所",$A$133)=0,#N/A,GETPIVOTDATA("合計 / " &amp; $B143 &amp;"計",【ピボット】事業所収支!$A$3,"年月",D$13,"事業所",$A$133)),#N/A)</f>
        <v>#N/A</v>
      </c>
      <c r="E143" s="487" t="e">
        <f>IFERROR(IF(GETPIVOTDATA("合計 / " &amp; $B143 &amp;"計",【ピボット】事業所収支!$A$3,"年月",E$13,"事業所",$A$133)=0,#N/A,GETPIVOTDATA("合計 / " &amp; $B143 &amp;"計",【ピボット】事業所収支!$A$3,"年月",E$13,"事業所",$A$133)),#N/A)</f>
        <v>#N/A</v>
      </c>
      <c r="F143" s="487" t="e">
        <f>IFERROR(IF(GETPIVOTDATA("合計 / " &amp; $B143 &amp;"計",【ピボット】事業所収支!$A$3,"年月",F$13,"事業所",$A$133)=0,#N/A,GETPIVOTDATA("合計 / " &amp; $B143 &amp;"計",【ピボット】事業所収支!$A$3,"年月",F$13,"事業所",$A$133)),#N/A)</f>
        <v>#N/A</v>
      </c>
      <c r="G143" s="487" t="e">
        <f>IFERROR(IF(GETPIVOTDATA("合計 / " &amp; $B143 &amp;"計",【ピボット】事業所収支!$A$3,"年月",G$13,"事業所",$A$133)=0,#N/A,GETPIVOTDATA("合計 / " &amp; $B143 &amp;"計",【ピボット】事業所収支!$A$3,"年月",G$13,"事業所",$A$133)),#N/A)</f>
        <v>#N/A</v>
      </c>
      <c r="H143" s="487" t="e">
        <f>IFERROR(IF(GETPIVOTDATA("合計 / " &amp; $B143 &amp;"計",【ピボット】事業所収支!$A$3,"年月",H$13,"事業所",$A$133)=0,#N/A,GETPIVOTDATA("合計 / " &amp; $B143 &amp;"計",【ピボット】事業所収支!$A$3,"年月",H$13,"事業所",$A$133)),#N/A)</f>
        <v>#N/A</v>
      </c>
      <c r="I143" s="487" t="e">
        <f>IFERROR(IF(GETPIVOTDATA("合計 / " &amp; $B143 &amp;"計",【ピボット】事業所収支!$A$3,"年月",I$13,"事業所",$A$133)=0,#N/A,GETPIVOTDATA("合計 / " &amp; $B143 &amp;"計",【ピボット】事業所収支!$A$3,"年月",I$13,"事業所",$A$133)),#N/A)</f>
        <v>#N/A</v>
      </c>
      <c r="J143" s="487" t="e">
        <f>IFERROR(IF(GETPIVOTDATA("合計 / " &amp; $B143 &amp;"計",【ピボット】事業所収支!$A$3,"年月",J$13,"事業所",$A$133)=0,#N/A,GETPIVOTDATA("合計 / " &amp; $B143 &amp;"計",【ピボット】事業所収支!$A$3,"年月",J$13,"事業所",$A$133)),#N/A)</f>
        <v>#N/A</v>
      </c>
      <c r="K143" s="487" t="e">
        <f>IFERROR(IF(GETPIVOTDATA("合計 / " &amp; $B143 &amp;"計",【ピボット】事業所収支!$A$3,"年月",K$13,"事業所",$A$133)=0,#N/A,GETPIVOTDATA("合計 / " &amp; $B143 &amp;"計",【ピボット】事業所収支!$A$3,"年月",K$13,"事業所",$A$133)),#N/A)</f>
        <v>#N/A</v>
      </c>
      <c r="L143" s="487" t="e">
        <f>IFERROR(IF(GETPIVOTDATA("合計 / " &amp; $B143 &amp;"計",【ピボット】事業所収支!$A$3,"年月",L$13,"事業所",$A$133)=0,#N/A,GETPIVOTDATA("合計 / " &amp; $B143 &amp;"計",【ピボット】事業所収支!$A$3,"年月",L$13,"事業所",$A$133)),#N/A)</f>
        <v>#N/A</v>
      </c>
      <c r="M143" s="487">
        <f>IFERROR(IF(GETPIVOTDATA("合計 / " &amp; $B143 &amp;"計",【ピボット】事業所収支!$A$3,"年月",M$13,"事業所",$A$133)=0,#N/A,GETPIVOTDATA("合計 / " &amp; $B143 &amp;"計",【ピボット】事業所収支!$A$3,"年月",M$13,"事業所",$A$133)),#N/A)</f>
        <v>793800</v>
      </c>
      <c r="N143" s="487">
        <f>IFERROR(IF(GETPIVOTDATA("合計 / " &amp; $B143 &amp;"計",【ピボット】事業所収支!$A$3,"年月",N$13,"事業所",$A$133)=0,#N/A,GETPIVOTDATA("合計 / " &amp; $B143 &amp;"計",【ピボット】事業所収支!$A$3,"年月",N$13,"事業所",$A$133)),#N/A)</f>
        <v>741095</v>
      </c>
      <c r="O143" s="487">
        <f>IFERROR(IF(GETPIVOTDATA("合計 / " &amp; $B143 &amp;"計",【ピボット】事業所収支!$A$3,"年月",O$13,"事業所",$A$133)=0,#N/A,GETPIVOTDATA("合計 / " &amp; $B143 &amp;"計",【ピボット】事業所収支!$A$3,"年月",O$13,"事業所",$A$133)),#N/A)</f>
        <v>690320</v>
      </c>
      <c r="P143" s="487">
        <f>IFERROR(IF(GETPIVOTDATA("合計 / " &amp; $B143 &amp;"計",【ピボット】事業所収支!$A$3,"年月",P$13,"事業所",$A$133)=0,#N/A,GETPIVOTDATA("合計 / " &amp; $B143 &amp;"計",【ピボット】事業所収支!$A$3,"年月",P$13,"事業所",$A$133)),#N/A)</f>
        <v>759192</v>
      </c>
      <c r="Q143" s="487">
        <f>IFERROR(IF(GETPIVOTDATA("合計 / " &amp; $B143 &amp;"計",【ピボット】事業所収支!$A$3,"年月",Q$13,"事業所",$A$133)=0,#N/A,GETPIVOTDATA("合計 / " &amp; $B143 &amp;"計",【ピボット】事業所収支!$A$3,"年月",Q$13,"事業所",$A$133)),#N/A)</f>
        <v>713868</v>
      </c>
      <c r="R143" s="487">
        <f>IFERROR(IF(GETPIVOTDATA("合計 / " &amp; $B143 &amp;"計",【ピボット】事業所収支!$A$3,"年月",R$13,"事業所",$A$133)=0,#N/A,GETPIVOTDATA("合計 / " &amp; $B143 &amp;"計",【ピボット】事業所収支!$A$3,"年月",R$13,"事業所",$A$133)),#N/A)</f>
        <v>683798</v>
      </c>
      <c r="S143" s="487">
        <f>IFERROR(IF(GETPIVOTDATA("合計 / " &amp; $B143 &amp;"計",【ピボット】事業所収支!$A$3,"年月",S$13,"事業所",$A$133)=0,#N/A,GETPIVOTDATA("合計 / " &amp; $B143 &amp;"計",【ピボット】事業所収支!$A$3,"年月",S$13,"事業所",$A$133)),#N/A)</f>
        <v>600303</v>
      </c>
      <c r="T143" s="487">
        <f>IFERROR(IF(GETPIVOTDATA("合計 / " &amp; $B143 &amp;"計",【ピボット】事業所収支!$A$3,"年月",T$13,"事業所",$A$133)=0,#N/A,GETPIVOTDATA("合計 / " &amp; $B143 &amp;"計",【ピボット】事業所収支!$A$3,"年月",T$13,"事業所",$A$133)),#N/A)</f>
        <v>606856</v>
      </c>
      <c r="U143" s="487">
        <f>IFERROR(IF(GETPIVOTDATA("合計 / " &amp; $B143 &amp;"計",【ピボット】事業所収支!$A$3,"年月",U$13,"事業所",$A$133)=0,#N/A,GETPIVOTDATA("合計 / " &amp; $B143 &amp;"計",【ピボット】事業所収支!$A$3,"年月",U$13,"事業所",$A$133)),#N/A)</f>
        <v>530155</v>
      </c>
      <c r="V143" s="487">
        <f>IFERROR(IF(GETPIVOTDATA("合計 / " &amp; $B143 &amp;"計",【ピボット】事業所収支!$A$3,"年月",V$13,"事業所",$A$133)=0,#N/A,GETPIVOTDATA("合計 / " &amp; $B143 &amp;"計",【ピボット】事業所収支!$A$3,"年月",V$13,"事業所",$A$133)),#N/A)</f>
        <v>544701</v>
      </c>
      <c r="W143" s="487">
        <f>IFERROR(IF(GETPIVOTDATA("合計 / " &amp; $B143 &amp;"計",【ピボット】事業所収支!$A$3,"年月",W$13,"事業所",$A$133)=0,#N/A,GETPIVOTDATA("合計 / " &amp; $B143 &amp;"計",【ピボット】事業所収支!$A$3,"年月",W$13,"事業所",$A$133)),#N/A)</f>
        <v>476615</v>
      </c>
      <c r="X143" s="487">
        <f>IFERROR(IF(GETPIVOTDATA("合計 / " &amp; $B143 &amp;"計",【ピボット】事業所収支!$A$3,"年月",X$13,"事業所",$A$133)=0,#N/A,GETPIVOTDATA("合計 / " &amp; $B143 &amp;"計",【ピボット】事業所収支!$A$3,"年月",X$13,"事業所",$A$133)),#N/A)</f>
        <v>364736</v>
      </c>
      <c r="Y143" s="487">
        <f>IFERROR(IF(GETPIVOTDATA("合計 / " &amp; $B143 &amp;"計",【ピボット】事業所収支!$A$3,"年月",Y$13,"事業所",$A$133)=0,#N/A,GETPIVOTDATA("合計 / " &amp; $B143 &amp;"計",【ピボット】事業所収支!$A$3,"年月",Y$13,"事業所",$A$133)),#N/A)</f>
        <v>329510</v>
      </c>
      <c r="Z143" s="487">
        <f>IFERROR(IF(GETPIVOTDATA("合計 / " &amp; $B143 &amp;"計",【ピボット】事業所収支!$A$3,"年月",Z$13,"事業所",$A$133)=0,#N/A,GETPIVOTDATA("合計 / " &amp; $B143 &amp;"計",【ピボット】事業所収支!$A$3,"年月",Z$13,"事業所",$A$133)),#N/A)</f>
        <v>275106</v>
      </c>
      <c r="AA143" s="4"/>
    </row>
    <row r="144" spans="1:27" hidden="1" x14ac:dyDescent="0.15">
      <c r="B144" s="48" t="s">
        <v>52</v>
      </c>
      <c r="C144" s="487" t="e">
        <f>#REF!</f>
        <v>#REF!</v>
      </c>
      <c r="D144" s="487" t="e">
        <f>#REF!</f>
        <v>#REF!</v>
      </c>
      <c r="E144" s="487" t="e">
        <f>#REF!</f>
        <v>#REF!</v>
      </c>
      <c r="F144" s="487" t="e">
        <f>#REF!</f>
        <v>#REF!</v>
      </c>
      <c r="G144" s="487" t="e">
        <f>#REF!</f>
        <v>#REF!</v>
      </c>
      <c r="H144" s="487" t="e">
        <f>#REF!</f>
        <v>#REF!</v>
      </c>
      <c r="I144" s="487" t="e">
        <f>#REF!</f>
        <v>#REF!</v>
      </c>
      <c r="J144" s="487" t="e">
        <f>#REF!</f>
        <v>#REF!</v>
      </c>
      <c r="K144" s="487" t="e">
        <f>#REF!</f>
        <v>#REF!</v>
      </c>
      <c r="L144" s="487" t="e">
        <f>#REF!</f>
        <v>#REF!</v>
      </c>
      <c r="M144" s="487" t="e">
        <f>#REF!</f>
        <v>#REF!</v>
      </c>
      <c r="N144" s="487" t="e">
        <f>#REF!</f>
        <v>#REF!</v>
      </c>
      <c r="O144" s="487" t="e">
        <f>#REF!</f>
        <v>#REF!</v>
      </c>
      <c r="P144" s="487" t="e">
        <f>#REF!</f>
        <v>#REF!</v>
      </c>
      <c r="Q144" s="487" t="e">
        <f>#REF!</f>
        <v>#REF!</v>
      </c>
      <c r="R144" s="487" t="e">
        <f>#REF!</f>
        <v>#REF!</v>
      </c>
      <c r="S144" s="487" t="e">
        <f>#REF!</f>
        <v>#REF!</v>
      </c>
      <c r="T144" s="487" t="e">
        <f>#REF!</f>
        <v>#REF!</v>
      </c>
      <c r="U144" s="487" t="e">
        <f>#REF!</f>
        <v>#REF!</v>
      </c>
      <c r="V144" s="487" t="e">
        <f>#REF!</f>
        <v>#REF!</v>
      </c>
      <c r="W144" s="487" t="e">
        <f>#REF!</f>
        <v>#REF!</v>
      </c>
      <c r="X144" s="487" t="e">
        <f>#REF!</f>
        <v>#REF!</v>
      </c>
      <c r="Y144" s="487" t="e">
        <f>#REF!</f>
        <v>#REF!</v>
      </c>
      <c r="Z144" s="487" t="e">
        <f>#REF!</f>
        <v>#REF!</v>
      </c>
      <c r="AA144" s="4"/>
    </row>
    <row r="145" spans="2:27" x14ac:dyDescent="0.15">
      <c r="B145" s="8" t="s">
        <v>53</v>
      </c>
      <c r="C145" s="483">
        <f t="shared" ref="C145:Z145" si="11">IFERROR(C142,0)+IFERROR(C143,0)</f>
        <v>0</v>
      </c>
      <c r="D145" s="483">
        <f t="shared" si="11"/>
        <v>0</v>
      </c>
      <c r="E145" s="483">
        <f t="shared" si="11"/>
        <v>0</v>
      </c>
      <c r="F145" s="483">
        <f t="shared" si="11"/>
        <v>0</v>
      </c>
      <c r="G145" s="483">
        <f t="shared" si="11"/>
        <v>0</v>
      </c>
      <c r="H145" s="483">
        <f t="shared" si="11"/>
        <v>0</v>
      </c>
      <c r="I145" s="483">
        <f t="shared" si="11"/>
        <v>0</v>
      </c>
      <c r="J145" s="483">
        <f t="shared" si="11"/>
        <v>0</v>
      </c>
      <c r="K145" s="483">
        <f t="shared" si="11"/>
        <v>0</v>
      </c>
      <c r="L145" s="483">
        <f t="shared" si="11"/>
        <v>0</v>
      </c>
      <c r="M145" s="483">
        <f t="shared" si="11"/>
        <v>793800</v>
      </c>
      <c r="N145" s="483">
        <f t="shared" si="11"/>
        <v>741095</v>
      </c>
      <c r="O145" s="483">
        <f t="shared" si="11"/>
        <v>1085183</v>
      </c>
      <c r="P145" s="483">
        <f t="shared" si="11"/>
        <v>1604900</v>
      </c>
      <c r="Q145" s="483">
        <f t="shared" si="11"/>
        <v>1248566</v>
      </c>
      <c r="R145" s="483">
        <f t="shared" si="11"/>
        <v>1320089</v>
      </c>
      <c r="S145" s="483">
        <f t="shared" si="11"/>
        <v>1698006</v>
      </c>
      <c r="T145" s="483">
        <f t="shared" si="11"/>
        <v>1441188</v>
      </c>
      <c r="U145" s="483">
        <f t="shared" si="11"/>
        <v>1187803</v>
      </c>
      <c r="V145" s="483">
        <f t="shared" si="11"/>
        <v>1769904</v>
      </c>
      <c r="W145" s="483">
        <f t="shared" si="11"/>
        <v>1120601</v>
      </c>
      <c r="X145" s="483">
        <f t="shared" si="11"/>
        <v>952768</v>
      </c>
      <c r="Y145" s="483">
        <f t="shared" si="11"/>
        <v>329510</v>
      </c>
      <c r="Z145" s="483">
        <f t="shared" si="11"/>
        <v>275106</v>
      </c>
    </row>
    <row r="146" spans="2:27" x14ac:dyDescent="0.15">
      <c r="B146" s="309" t="s">
        <v>32</v>
      </c>
      <c r="C146" s="488">
        <f t="shared" ref="C146:Z146" si="12">IFERROR(SUM(C135,-C145),0)</f>
        <v>0</v>
      </c>
      <c r="D146" s="488">
        <f t="shared" si="12"/>
        <v>0</v>
      </c>
      <c r="E146" s="488">
        <f t="shared" si="12"/>
        <v>0</v>
      </c>
      <c r="F146" s="488">
        <f t="shared" si="12"/>
        <v>0</v>
      </c>
      <c r="G146" s="488">
        <f t="shared" si="12"/>
        <v>0</v>
      </c>
      <c r="H146" s="488">
        <f t="shared" si="12"/>
        <v>0</v>
      </c>
      <c r="I146" s="488">
        <f t="shared" si="12"/>
        <v>0</v>
      </c>
      <c r="J146" s="488">
        <f t="shared" si="12"/>
        <v>0</v>
      </c>
      <c r="K146" s="488">
        <f t="shared" si="12"/>
        <v>0</v>
      </c>
      <c r="L146" s="488">
        <f t="shared" si="12"/>
        <v>0</v>
      </c>
      <c r="M146" s="488">
        <f t="shared" si="12"/>
        <v>0</v>
      </c>
      <c r="N146" s="488">
        <f t="shared" si="12"/>
        <v>0</v>
      </c>
      <c r="O146" s="488">
        <f t="shared" si="12"/>
        <v>0</v>
      </c>
      <c r="P146" s="488">
        <f t="shared" si="12"/>
        <v>-1504015</v>
      </c>
      <c r="Q146" s="488">
        <f t="shared" si="12"/>
        <v>-585486</v>
      </c>
      <c r="R146" s="488">
        <f t="shared" si="12"/>
        <v>-695263</v>
      </c>
      <c r="S146" s="488">
        <f t="shared" si="12"/>
        <v>-504728</v>
      </c>
      <c r="T146" s="488">
        <f t="shared" si="12"/>
        <v>190358</v>
      </c>
      <c r="U146" s="488">
        <f t="shared" si="12"/>
        <v>108311</v>
      </c>
      <c r="V146" s="488">
        <f t="shared" si="12"/>
        <v>-249058</v>
      </c>
      <c r="W146" s="488">
        <f t="shared" si="12"/>
        <v>40173</v>
      </c>
      <c r="X146" s="488">
        <f t="shared" si="12"/>
        <v>-48819</v>
      </c>
      <c r="Y146" s="488">
        <f t="shared" si="12"/>
        <v>0</v>
      </c>
      <c r="Z146" s="488">
        <f t="shared" si="12"/>
        <v>-261958</v>
      </c>
      <c r="AA146" s="4">
        <f>SUM(O146:Z146)</f>
        <v>-3510485</v>
      </c>
    </row>
    <row r="147" spans="2:27" x14ac:dyDescent="0.15">
      <c r="B147" s="309"/>
    </row>
    <row r="148" spans="2:27" x14ac:dyDescent="0.15">
      <c r="B148" s="309"/>
    </row>
    <row r="174" spans="1:27" ht="18.75" x14ac:dyDescent="0.15">
      <c r="A174" t="s">
        <v>1212</v>
      </c>
      <c r="B174" s="43" t="str">
        <f>A174 &amp; "収支"</f>
        <v>千葉西収支</v>
      </c>
    </row>
    <row r="175" spans="1:27" x14ac:dyDescent="0.15">
      <c r="B175" s="10"/>
      <c r="C175" s="668">
        <f t="shared" ref="C175:Z175" si="13">C$13</f>
        <v>42856</v>
      </c>
      <c r="D175" s="668">
        <f t="shared" si="13"/>
        <v>42887</v>
      </c>
      <c r="E175" s="668">
        <f t="shared" si="13"/>
        <v>42917</v>
      </c>
      <c r="F175" s="668">
        <f t="shared" si="13"/>
        <v>42948</v>
      </c>
      <c r="G175" s="668">
        <f t="shared" si="13"/>
        <v>42979</v>
      </c>
      <c r="H175" s="668">
        <f t="shared" si="13"/>
        <v>43009</v>
      </c>
      <c r="I175" s="668">
        <f t="shared" si="13"/>
        <v>43040</v>
      </c>
      <c r="J175" s="668">
        <f t="shared" si="13"/>
        <v>43070</v>
      </c>
      <c r="K175" s="668">
        <f t="shared" si="13"/>
        <v>43101</v>
      </c>
      <c r="L175" s="668">
        <f t="shared" si="13"/>
        <v>43132</v>
      </c>
      <c r="M175" s="668">
        <f t="shared" si="13"/>
        <v>43160</v>
      </c>
      <c r="N175" s="668">
        <f t="shared" si="13"/>
        <v>43191</v>
      </c>
      <c r="O175" s="668">
        <f t="shared" si="13"/>
        <v>43221</v>
      </c>
      <c r="P175" s="668">
        <f t="shared" si="13"/>
        <v>43252</v>
      </c>
      <c r="Q175" s="668">
        <f t="shared" si="13"/>
        <v>43282</v>
      </c>
      <c r="R175" s="668">
        <f t="shared" si="13"/>
        <v>43313</v>
      </c>
      <c r="S175" s="668">
        <f t="shared" si="13"/>
        <v>43344</v>
      </c>
      <c r="T175" s="668">
        <f t="shared" si="13"/>
        <v>43374</v>
      </c>
      <c r="U175" s="668">
        <f t="shared" si="13"/>
        <v>43405</v>
      </c>
      <c r="V175" s="668">
        <f t="shared" si="13"/>
        <v>43435</v>
      </c>
      <c r="W175" s="668">
        <f t="shared" si="13"/>
        <v>43466</v>
      </c>
      <c r="X175" s="668">
        <f t="shared" si="13"/>
        <v>43497</v>
      </c>
      <c r="Y175" s="668">
        <f t="shared" si="13"/>
        <v>43525</v>
      </c>
      <c r="Z175" s="668">
        <f t="shared" si="13"/>
        <v>43556</v>
      </c>
    </row>
    <row r="176" spans="1:27" x14ac:dyDescent="0.15">
      <c r="B176" s="12" t="s">
        <v>21</v>
      </c>
      <c r="C176" s="482" t="e">
        <f>IFERROR(IF(GETPIVOTDATA("合計 / " &amp; $B176,【ピボット】事業所収支!$A$3,"年月",C$13,"事業所",$A$174)=0,#N/A,GETPIVOTDATA("合計 / " &amp; $B176,【ピボット】事業所収支!$A$3,"年月",C$13,"事業所",$A$174)),#N/A)</f>
        <v>#N/A</v>
      </c>
      <c r="D176" s="482" t="e">
        <f>IFERROR(IF(GETPIVOTDATA("合計 / " &amp; $B176,【ピボット】事業所収支!$A$3,"年月",D$13,"事業所",$A$174)=0,#N/A,GETPIVOTDATA("合計 / " &amp; $B176,【ピボット】事業所収支!$A$3,"年月",D$13,"事業所",$A$174)),#N/A)</f>
        <v>#N/A</v>
      </c>
      <c r="E176" s="482" t="e">
        <f>IFERROR(IF(GETPIVOTDATA("合計 / " &amp; $B176,【ピボット】事業所収支!$A$3,"年月",E$13,"事業所",$A$174)=0,#N/A,GETPIVOTDATA("合計 / " &amp; $B176,【ピボット】事業所収支!$A$3,"年月",E$13,"事業所",$A$174)),#N/A)</f>
        <v>#N/A</v>
      </c>
      <c r="F176" s="482" t="e">
        <f>IFERROR(IF(GETPIVOTDATA("合計 / " &amp; $B176,【ピボット】事業所収支!$A$3,"年月",F$13,"事業所",$A$174)=0,#N/A,GETPIVOTDATA("合計 / " &amp; $B176,【ピボット】事業所収支!$A$3,"年月",F$13,"事業所",$A$174)),#N/A)</f>
        <v>#N/A</v>
      </c>
      <c r="G176" s="482" t="e">
        <f>IFERROR(IF(GETPIVOTDATA("合計 / " &amp; $B176,【ピボット】事業所収支!$A$3,"年月",G$13,"事業所",$A$174)=0,#N/A,GETPIVOTDATA("合計 / " &amp; $B176,【ピボット】事業所収支!$A$3,"年月",G$13,"事業所",$A$174)),#N/A)</f>
        <v>#N/A</v>
      </c>
      <c r="H176" s="482" t="e">
        <f>IFERROR(IF(GETPIVOTDATA("合計 / " &amp; $B176,【ピボット】事業所収支!$A$3,"年月",H$13,"事業所",$A$174)=0,#N/A,GETPIVOTDATA("合計 / " &amp; $B176,【ピボット】事業所収支!$A$3,"年月",H$13,"事業所",$A$174)),#N/A)</f>
        <v>#N/A</v>
      </c>
      <c r="I176" s="482" t="e">
        <f>IFERROR(IF(GETPIVOTDATA("合計 / " &amp; $B176,【ピボット】事業所収支!$A$3,"年月",I$13,"事業所",$A$174)=0,#N/A,GETPIVOTDATA("合計 / " &amp; $B176,【ピボット】事業所収支!$A$3,"年月",I$13,"事業所",$A$174)),#N/A)</f>
        <v>#N/A</v>
      </c>
      <c r="J176" s="482" t="e">
        <f>IFERROR(IF(GETPIVOTDATA("合計 / " &amp; $B176,【ピボット】事業所収支!$A$3,"年月",J$13,"事業所",$A$174)=0,#N/A,GETPIVOTDATA("合計 / " &amp; $B176,【ピボット】事業所収支!$A$3,"年月",J$13,"事業所",$A$174)),#N/A)</f>
        <v>#N/A</v>
      </c>
      <c r="K176" s="482" t="e">
        <f>IFERROR(IF(GETPIVOTDATA("合計 / " &amp; $B176,【ピボット】事業所収支!$A$3,"年月",K$13,"事業所",$A$174)=0,#N/A,GETPIVOTDATA("合計 / " &amp; $B176,【ピボット】事業所収支!$A$3,"年月",K$13,"事業所",$A$174)),#N/A)</f>
        <v>#N/A</v>
      </c>
      <c r="L176" s="482" t="e">
        <f>IFERROR(IF(GETPIVOTDATA("合計 / " &amp; $B176,【ピボット】事業所収支!$A$3,"年月",L$13,"事業所",$A$174)=0,#N/A,GETPIVOTDATA("合計 / " &amp; $B176,【ピボット】事業所収支!$A$3,"年月",L$13,"事業所",$A$174)),#N/A)</f>
        <v>#N/A</v>
      </c>
      <c r="M176" s="482" t="e">
        <f>IFERROR(IF(GETPIVOTDATA("合計 / " &amp; $B176,【ピボット】事業所収支!$A$3,"年月",M$13,"事業所",$A$174)=0,#N/A,GETPIVOTDATA("合計 / " &amp; $B176,【ピボット】事業所収支!$A$3,"年月",M$13,"事業所",$A$174)),#N/A)</f>
        <v>#N/A</v>
      </c>
      <c r="N176" s="482" t="e">
        <f>IFERROR(IF(GETPIVOTDATA("合計 / " &amp; $B176,【ピボット】事業所収支!$A$3,"年月",N$13,"事業所",$A$174)=0,#N/A,GETPIVOTDATA("合計 / " &amp; $B176,【ピボット】事業所収支!$A$3,"年月",N$13,"事業所",$A$174)),#N/A)</f>
        <v>#N/A</v>
      </c>
      <c r="O176" s="482" t="e">
        <f>IFERROR(IF(GETPIVOTDATA("合計 / " &amp; $B176,【ピボット】事業所収支!$A$3,"年月",O$13,"事業所",$A$174)=0,#N/A,GETPIVOTDATA("合計 / " &amp; $B176,【ピボット】事業所収支!$A$3,"年月",O$13,"事業所",$A$174)),#N/A)</f>
        <v>#N/A</v>
      </c>
      <c r="P176" s="482" t="e">
        <f>IFERROR(IF(GETPIVOTDATA("合計 / " &amp; $B176,【ピボット】事業所収支!$A$3,"年月",P$13,"事業所",$A$174)=0,#N/A,GETPIVOTDATA("合計 / " &amp; $B176,【ピボット】事業所収支!$A$3,"年月",P$13,"事業所",$A$174)),#N/A)</f>
        <v>#N/A</v>
      </c>
      <c r="Q176" s="482" t="e">
        <f>IFERROR(IF(GETPIVOTDATA("合計 / " &amp; $B176,【ピボット】事業所収支!$A$3,"年月",Q$13,"事業所",$A$174)=0,#N/A,GETPIVOTDATA("合計 / " &amp; $B176,【ピボット】事業所収支!$A$3,"年月",Q$13,"事業所",$A$174)),#N/A)</f>
        <v>#N/A</v>
      </c>
      <c r="R176" s="482" t="e">
        <f>IFERROR(IF(GETPIVOTDATA("合計 / " &amp; $B176,【ピボット】事業所収支!$A$3,"年月",R$13,"事業所",$A$174)=0,#N/A,GETPIVOTDATA("合計 / " &amp; $B176,【ピボット】事業所収支!$A$3,"年月",R$13,"事業所",$A$174)),#N/A)</f>
        <v>#N/A</v>
      </c>
      <c r="S176" s="482" t="e">
        <f>IFERROR(IF(GETPIVOTDATA("合計 / " &amp; $B176,【ピボット】事業所収支!$A$3,"年月",S$13,"事業所",$A$174)=0,#N/A,GETPIVOTDATA("合計 / " &amp; $B176,【ピボット】事業所収支!$A$3,"年月",S$13,"事業所",$A$174)),#N/A)</f>
        <v>#N/A</v>
      </c>
      <c r="T176" s="482">
        <f>IFERROR(IF(GETPIVOTDATA("合計 / " &amp; $B176,【ピボット】事業所収支!$A$3,"年月",T$13,"事業所",$A$174)=0,#N/A,GETPIVOTDATA("合計 / " &amp; $B176,【ピボット】事業所収支!$A$3,"年月",T$13,"事業所",$A$174)),#N/A)</f>
        <v>234284</v>
      </c>
      <c r="U176" s="482">
        <f>IFERROR(IF(GETPIVOTDATA("合計 / " &amp; $B176,【ピボット】事業所収支!$A$3,"年月",U$13,"事業所",$A$174)=0,#N/A,GETPIVOTDATA("合計 / " &amp; $B176,【ピボット】事業所収支!$A$3,"年月",U$13,"事業所",$A$174)),#N/A)</f>
        <v>485638</v>
      </c>
      <c r="V176" s="482">
        <f>IFERROR(IF(GETPIVOTDATA("合計 / " &amp; $B176,【ピボット】事業所収支!$A$3,"年月",V$13,"事業所",$A$174)=0,#N/A,GETPIVOTDATA("合計 / " &amp; $B176,【ピボット】事業所収支!$A$3,"年月",V$13,"事業所",$A$174)),#N/A)</f>
        <v>701720</v>
      </c>
      <c r="W176" s="482">
        <f>IFERROR(IF(GETPIVOTDATA("合計 / " &amp; $B176,【ピボット】事業所収支!$A$3,"年月",W$13,"事業所",$A$174)=0,#N/A,GETPIVOTDATA("合計 / " &amp; $B176,【ピボット】事業所収支!$A$3,"年月",W$13,"事業所",$A$174)),#N/A)</f>
        <v>810680</v>
      </c>
      <c r="X176" s="482">
        <f>IFERROR(IF(GETPIVOTDATA("合計 / " &amp; $B176,【ピボット】事業所収支!$A$3,"年月",X$13,"事業所",$A$174)=0,#N/A,GETPIVOTDATA("合計 / " &amp; $B176,【ピボット】事業所収支!$A$3,"年月",X$13,"事業所",$A$174)),#N/A)</f>
        <v>1060746</v>
      </c>
      <c r="Y176" s="482">
        <f>IFERROR(IF(GETPIVOTDATA("合計 / " &amp; $B176,【ピボット】事業所収支!$A$3,"年月",Y$13,"事業所",$A$174)=0,#N/A,GETPIVOTDATA("合計 / " &amp; $B176,【ピボット】事業所収支!$A$3,"年月",Y$13,"事業所",$A$174)),#N/A)</f>
        <v>1438607</v>
      </c>
      <c r="Z176" s="482">
        <f>IFERROR(IF(GETPIVOTDATA("合計 / " &amp; $B176,【ピボット】事業所収支!$A$3,"年月",Z$13,"事業所",$A$174)=0,#N/A,GETPIVOTDATA("合計 / " &amp; $B176,【ピボット】事業所収支!$A$3,"年月",Z$13,"事業所",$A$174)),#N/A)</f>
        <v>1905194</v>
      </c>
      <c r="AA176" s="4"/>
    </row>
    <row r="177" spans="2:27" x14ac:dyDescent="0.15">
      <c r="B177" s="7" t="s">
        <v>28</v>
      </c>
      <c r="C177" s="483" t="e">
        <f>IFERROR(IF(GETPIVOTDATA("合計 / " &amp; $B177,【ピボット】事業所収支!$A$3,"年月",C$13,"事業所",$A$174)=0,#N/A,GETPIVOTDATA("合計 / " &amp; $B177,【ピボット】事業所収支!$A$3,"年月",C$13,"事業所",$A$174)),#N/A)</f>
        <v>#N/A</v>
      </c>
      <c r="D177" s="483" t="e">
        <f>IFERROR(IF(GETPIVOTDATA("合計 / " &amp; $B177,【ピボット】事業所収支!$A$3,"年月",D$13,"事業所",$A$174)=0,#N/A,GETPIVOTDATA("合計 / " &amp; $B177,【ピボット】事業所収支!$A$3,"年月",D$13,"事業所",$A$174)),#N/A)</f>
        <v>#N/A</v>
      </c>
      <c r="E177" s="483" t="e">
        <f>IFERROR(IF(GETPIVOTDATA("合計 / " &amp; $B177,【ピボット】事業所収支!$A$3,"年月",E$13,"事業所",$A$174)=0,#N/A,GETPIVOTDATA("合計 / " &amp; $B177,【ピボット】事業所収支!$A$3,"年月",E$13,"事業所",$A$174)),#N/A)</f>
        <v>#N/A</v>
      </c>
      <c r="F177" s="483" t="e">
        <f>IFERROR(IF(GETPIVOTDATA("合計 / " &amp; $B177,【ピボット】事業所収支!$A$3,"年月",F$13,"事業所",$A$174)=0,#N/A,GETPIVOTDATA("合計 / " &amp; $B177,【ピボット】事業所収支!$A$3,"年月",F$13,"事業所",$A$174)),#N/A)</f>
        <v>#N/A</v>
      </c>
      <c r="G177" s="483" t="e">
        <f>IFERROR(IF(GETPIVOTDATA("合計 / " &amp; $B177,【ピボット】事業所収支!$A$3,"年月",G$13,"事業所",$A$174)=0,#N/A,GETPIVOTDATA("合計 / " &amp; $B177,【ピボット】事業所収支!$A$3,"年月",G$13,"事業所",$A$174)),#N/A)</f>
        <v>#N/A</v>
      </c>
      <c r="H177" s="483" t="e">
        <f>IFERROR(IF(GETPIVOTDATA("合計 / " &amp; $B177,【ピボット】事業所収支!$A$3,"年月",H$13,"事業所",$A$174)=0,#N/A,GETPIVOTDATA("合計 / " &amp; $B177,【ピボット】事業所収支!$A$3,"年月",H$13,"事業所",$A$174)),#N/A)</f>
        <v>#N/A</v>
      </c>
      <c r="I177" s="483" t="e">
        <f>IFERROR(IF(GETPIVOTDATA("合計 / " &amp; $B177,【ピボット】事業所収支!$A$3,"年月",I$13,"事業所",$A$174)=0,#N/A,GETPIVOTDATA("合計 / " &amp; $B177,【ピボット】事業所収支!$A$3,"年月",I$13,"事業所",$A$174)),#N/A)</f>
        <v>#N/A</v>
      </c>
      <c r="J177" s="483" t="e">
        <f>IFERROR(IF(GETPIVOTDATA("合計 / " &amp; $B177,【ピボット】事業所収支!$A$3,"年月",J$13,"事業所",$A$174)=0,#N/A,GETPIVOTDATA("合計 / " &amp; $B177,【ピボット】事業所収支!$A$3,"年月",J$13,"事業所",$A$174)),#N/A)</f>
        <v>#N/A</v>
      </c>
      <c r="K177" s="483" t="e">
        <f>IFERROR(IF(GETPIVOTDATA("合計 / " &amp; $B177,【ピボット】事業所収支!$A$3,"年月",K$13,"事業所",$A$174)=0,#N/A,GETPIVOTDATA("合計 / " &amp; $B177,【ピボット】事業所収支!$A$3,"年月",K$13,"事業所",$A$174)),#N/A)</f>
        <v>#N/A</v>
      </c>
      <c r="L177" s="483" t="e">
        <f>IFERROR(IF(GETPIVOTDATA("合計 / " &amp; $B177,【ピボット】事業所収支!$A$3,"年月",L$13,"事業所",$A$174)=0,#N/A,GETPIVOTDATA("合計 / " &amp; $B177,【ピボット】事業所収支!$A$3,"年月",L$13,"事業所",$A$174)),#N/A)</f>
        <v>#N/A</v>
      </c>
      <c r="M177" s="483" t="e">
        <f>IFERROR(IF(GETPIVOTDATA("合計 / " &amp; $B177,【ピボット】事業所収支!$A$3,"年月",M$13,"事業所",$A$174)=0,#N/A,GETPIVOTDATA("合計 / " &amp; $B177,【ピボット】事業所収支!$A$3,"年月",M$13,"事業所",$A$174)),#N/A)</f>
        <v>#N/A</v>
      </c>
      <c r="N177" s="483" t="e">
        <f>IFERROR(IF(GETPIVOTDATA("合計 / " &amp; $B177,【ピボット】事業所収支!$A$3,"年月",N$13,"事業所",$A$174)=0,#N/A,GETPIVOTDATA("合計 / " &amp; $B177,【ピボット】事業所収支!$A$3,"年月",N$13,"事業所",$A$174)),#N/A)</f>
        <v>#N/A</v>
      </c>
      <c r="O177" s="483" t="e">
        <f>IFERROR(IF(GETPIVOTDATA("合計 / " &amp; $B177,【ピボット】事業所収支!$A$3,"年月",O$13,"事業所",$A$174)=0,#N/A,GETPIVOTDATA("合計 / " &amp; $B177,【ピボット】事業所収支!$A$3,"年月",O$13,"事業所",$A$174)),#N/A)</f>
        <v>#N/A</v>
      </c>
      <c r="P177" s="483" t="e">
        <f>IFERROR(IF(GETPIVOTDATA("合計 / " &amp; $B177,【ピボット】事業所収支!$A$3,"年月",P$13,"事業所",$A$174)=0,#N/A,GETPIVOTDATA("合計 / " &amp; $B177,【ピボット】事業所収支!$A$3,"年月",P$13,"事業所",$A$174)),#N/A)</f>
        <v>#N/A</v>
      </c>
      <c r="Q177" s="483" t="e">
        <f>IFERROR(IF(GETPIVOTDATA("合計 / " &amp; $B177,【ピボット】事業所収支!$A$3,"年月",Q$13,"事業所",$A$174)=0,#N/A,GETPIVOTDATA("合計 / " &amp; $B177,【ピボット】事業所収支!$A$3,"年月",Q$13,"事業所",$A$174)),#N/A)</f>
        <v>#N/A</v>
      </c>
      <c r="R177" s="483" t="e">
        <f>IFERROR(IF(GETPIVOTDATA("合計 / " &amp; $B177,【ピボット】事業所収支!$A$3,"年月",R$13,"事業所",$A$174)=0,#N/A,GETPIVOTDATA("合計 / " &amp; $B177,【ピボット】事業所収支!$A$3,"年月",R$13,"事業所",$A$174)),#N/A)</f>
        <v>#N/A</v>
      </c>
      <c r="S177" s="483" t="e">
        <f>IFERROR(IF(GETPIVOTDATA("合計 / " &amp; $B177,【ピボット】事業所収支!$A$3,"年月",S$13,"事業所",$A$174)=0,#N/A,GETPIVOTDATA("合計 / " &amp; $B177,【ピボット】事業所収支!$A$3,"年月",S$13,"事業所",$A$174)),#N/A)</f>
        <v>#N/A</v>
      </c>
      <c r="T177" s="483">
        <f>IFERROR(IF(GETPIVOTDATA("合計 / " &amp; $B177,【ピボット】事業所収支!$A$3,"年月",T$13,"事業所",$A$174)=0,#N/A,GETPIVOTDATA("合計 / " &amp; $B177,【ピボット】事業所収支!$A$3,"年月",T$13,"事業所",$A$174)),#N/A)</f>
        <v>27512</v>
      </c>
      <c r="U177" s="483">
        <f>IFERROR(IF(GETPIVOTDATA("合計 / " &amp; $B177,【ピボット】事業所収支!$A$3,"年月",U$13,"事業所",$A$174)=0,#N/A,GETPIVOTDATA("合計 / " &amp; $B177,【ピボット】事業所収支!$A$3,"年月",U$13,"事業所",$A$174)),#N/A)</f>
        <v>81995</v>
      </c>
      <c r="V177" s="483">
        <f>IFERROR(IF(GETPIVOTDATA("合計 / " &amp; $B177,【ピボット】事業所収支!$A$3,"年月",V$13,"事業所",$A$174)=0,#N/A,GETPIVOTDATA("合計 / " &amp; $B177,【ピボット】事業所収支!$A$3,"年月",V$13,"事業所",$A$174)),#N/A)</f>
        <v>153695</v>
      </c>
      <c r="W177" s="483">
        <f>IFERROR(IF(GETPIVOTDATA("合計 / " &amp; $B177,【ピボット】事業所収支!$A$3,"年月",W$13,"事業所",$A$174)=0,#N/A,GETPIVOTDATA("合計 / " &amp; $B177,【ピボット】事業所収支!$A$3,"年月",W$13,"事業所",$A$174)),#N/A)</f>
        <v>266169</v>
      </c>
      <c r="X177" s="483">
        <f>IFERROR(IF(GETPIVOTDATA("合計 / " &amp; $B177,【ピボット】事業所収支!$A$3,"年月",X$13,"事業所",$A$174)=0,#N/A,GETPIVOTDATA("合計 / " &amp; $B177,【ピボット】事業所収支!$A$3,"年月",X$13,"事業所",$A$174)),#N/A)</f>
        <v>283293</v>
      </c>
      <c r="Y177" s="483">
        <f>IFERROR(IF(GETPIVOTDATA("合計 / " &amp; $B177,【ピボット】事業所収支!$A$3,"年月",Y$13,"事業所",$A$174)=0,#N/A,GETPIVOTDATA("合計 / " &amp; $B177,【ピボット】事業所収支!$A$3,"年月",Y$13,"事業所",$A$174)),#N/A)</f>
        <v>388602</v>
      </c>
      <c r="Z177" s="483">
        <f>IFERROR(IF(GETPIVOTDATA("合計 / " &amp; $B177,【ピボット】事業所収支!$A$3,"年月",Z$13,"事業所",$A$174)=0,#N/A,GETPIVOTDATA("合計 / " &amp; $B177,【ピボット】事業所収支!$A$3,"年月",Z$13,"事業所",$A$174)),#N/A)</f>
        <v>440879</v>
      </c>
    </row>
    <row r="178" spans="2:27" x14ac:dyDescent="0.15">
      <c r="B178" s="8" t="s">
        <v>27</v>
      </c>
      <c r="C178" s="483" t="e">
        <f>IFERROR(IF(GETPIVOTDATA("合計 / " &amp; $B178,【ピボット】事業所収支!$A$3,"年月",C$13,"事業所",$A$174)=0,#N/A,GETPIVOTDATA("合計 / " &amp; $B178,【ピボット】事業所収支!$A$3,"年月",C$13,"事業所",$A$174)),#N/A)</f>
        <v>#N/A</v>
      </c>
      <c r="D178" s="483" t="e">
        <f>IFERROR(IF(GETPIVOTDATA("合計 / " &amp; $B178,【ピボット】事業所収支!$A$3,"年月",D$13,"事業所",$A$174)=0,#N/A,GETPIVOTDATA("合計 / " &amp; $B178,【ピボット】事業所収支!$A$3,"年月",D$13,"事業所",$A$174)),#N/A)</f>
        <v>#N/A</v>
      </c>
      <c r="E178" s="483" t="e">
        <f>IFERROR(IF(GETPIVOTDATA("合計 / " &amp; $B178,【ピボット】事業所収支!$A$3,"年月",E$13,"事業所",$A$174)=0,#N/A,GETPIVOTDATA("合計 / " &amp; $B178,【ピボット】事業所収支!$A$3,"年月",E$13,"事業所",$A$174)),#N/A)</f>
        <v>#N/A</v>
      </c>
      <c r="F178" s="483" t="e">
        <f>IFERROR(IF(GETPIVOTDATA("合計 / " &amp; $B178,【ピボット】事業所収支!$A$3,"年月",F$13,"事業所",$A$174)=0,#N/A,GETPIVOTDATA("合計 / " &amp; $B178,【ピボット】事業所収支!$A$3,"年月",F$13,"事業所",$A$174)),#N/A)</f>
        <v>#N/A</v>
      </c>
      <c r="G178" s="483" t="e">
        <f>IFERROR(IF(GETPIVOTDATA("合計 / " &amp; $B178,【ピボット】事業所収支!$A$3,"年月",G$13,"事業所",$A$174)=0,#N/A,GETPIVOTDATA("合計 / " &amp; $B178,【ピボット】事業所収支!$A$3,"年月",G$13,"事業所",$A$174)),#N/A)</f>
        <v>#N/A</v>
      </c>
      <c r="H178" s="483" t="e">
        <f>IFERROR(IF(GETPIVOTDATA("合計 / " &amp; $B178,【ピボット】事業所収支!$A$3,"年月",H$13,"事業所",$A$174)=0,#N/A,GETPIVOTDATA("合計 / " &amp; $B178,【ピボット】事業所収支!$A$3,"年月",H$13,"事業所",$A$174)),#N/A)</f>
        <v>#N/A</v>
      </c>
      <c r="I178" s="483" t="e">
        <f>IFERROR(IF(GETPIVOTDATA("合計 / " &amp; $B178,【ピボット】事業所収支!$A$3,"年月",I$13,"事業所",$A$174)=0,#N/A,GETPIVOTDATA("合計 / " &amp; $B178,【ピボット】事業所収支!$A$3,"年月",I$13,"事業所",$A$174)),#N/A)</f>
        <v>#N/A</v>
      </c>
      <c r="J178" s="483" t="e">
        <f>IFERROR(IF(GETPIVOTDATA("合計 / " &amp; $B178,【ピボット】事業所収支!$A$3,"年月",J$13,"事業所",$A$174)=0,#N/A,GETPIVOTDATA("合計 / " &amp; $B178,【ピボット】事業所収支!$A$3,"年月",J$13,"事業所",$A$174)),#N/A)</f>
        <v>#N/A</v>
      </c>
      <c r="K178" s="483" t="e">
        <f>IFERROR(IF(GETPIVOTDATA("合計 / " &amp; $B178,【ピボット】事業所収支!$A$3,"年月",K$13,"事業所",$A$174)=0,#N/A,GETPIVOTDATA("合計 / " &amp; $B178,【ピボット】事業所収支!$A$3,"年月",K$13,"事業所",$A$174)),#N/A)</f>
        <v>#N/A</v>
      </c>
      <c r="L178" s="483" t="e">
        <f>IFERROR(IF(GETPIVOTDATA("合計 / " &amp; $B178,【ピボット】事業所収支!$A$3,"年月",L$13,"事業所",$A$174)=0,#N/A,GETPIVOTDATA("合計 / " &amp; $B178,【ピボット】事業所収支!$A$3,"年月",L$13,"事業所",$A$174)),#N/A)</f>
        <v>#N/A</v>
      </c>
      <c r="M178" s="483" t="e">
        <f>IFERROR(IF(GETPIVOTDATA("合計 / " &amp; $B178,【ピボット】事業所収支!$A$3,"年月",M$13,"事業所",$A$174)=0,#N/A,GETPIVOTDATA("合計 / " &amp; $B178,【ピボット】事業所収支!$A$3,"年月",M$13,"事業所",$A$174)),#N/A)</f>
        <v>#N/A</v>
      </c>
      <c r="N178" s="483" t="e">
        <f>IFERROR(IF(GETPIVOTDATA("合計 / " &amp; $B178,【ピボット】事業所収支!$A$3,"年月",N$13,"事業所",$A$174)=0,#N/A,GETPIVOTDATA("合計 / " &amp; $B178,【ピボット】事業所収支!$A$3,"年月",N$13,"事業所",$A$174)),#N/A)</f>
        <v>#N/A</v>
      </c>
      <c r="O178" s="483" t="e">
        <f>IFERROR(IF(GETPIVOTDATA("合計 / " &amp; $B178,【ピボット】事業所収支!$A$3,"年月",O$13,"事業所",$A$174)=0,#N/A,GETPIVOTDATA("合計 / " &amp; $B178,【ピボット】事業所収支!$A$3,"年月",O$13,"事業所",$A$174)),#N/A)</f>
        <v>#N/A</v>
      </c>
      <c r="P178" s="483" t="e">
        <f>IFERROR(IF(GETPIVOTDATA("合計 / " &amp; $B178,【ピボット】事業所収支!$A$3,"年月",P$13,"事業所",$A$174)=0,#N/A,GETPIVOTDATA("合計 / " &amp; $B178,【ピボット】事業所収支!$A$3,"年月",P$13,"事業所",$A$174)),#N/A)</f>
        <v>#N/A</v>
      </c>
      <c r="Q178" s="483" t="e">
        <f>IFERROR(IF(GETPIVOTDATA("合計 / " &amp; $B178,【ピボット】事業所収支!$A$3,"年月",Q$13,"事業所",$A$174)=0,#N/A,GETPIVOTDATA("合計 / " &amp; $B178,【ピボット】事業所収支!$A$3,"年月",Q$13,"事業所",$A$174)),#N/A)</f>
        <v>#N/A</v>
      </c>
      <c r="R178" s="483" t="e">
        <f>IFERROR(IF(GETPIVOTDATA("合計 / " &amp; $B178,【ピボット】事業所収支!$A$3,"年月",R$13,"事業所",$A$174)=0,#N/A,GETPIVOTDATA("合計 / " &amp; $B178,【ピボット】事業所収支!$A$3,"年月",R$13,"事業所",$A$174)),#N/A)</f>
        <v>#N/A</v>
      </c>
      <c r="S178" s="483" t="e">
        <f>IFERROR(IF(GETPIVOTDATA("合計 / " &amp; $B178,【ピボット】事業所収支!$A$3,"年月",S$13,"事業所",$A$174)=0,#N/A,GETPIVOTDATA("合計 / " &amp; $B178,【ピボット】事業所収支!$A$3,"年月",S$13,"事業所",$A$174)),#N/A)</f>
        <v>#N/A</v>
      </c>
      <c r="T178" s="483">
        <f>IFERROR(IF(GETPIVOTDATA("合計 / " &amp; $B178,【ピボット】事業所収支!$A$3,"年月",T$13,"事業所",$A$174)=0,#N/A,GETPIVOTDATA("合計 / " &amp; $B178,【ピボット】事業所収支!$A$3,"年月",T$13,"事業所",$A$174)),#N/A)</f>
        <v>355817</v>
      </c>
      <c r="U178" s="483">
        <f>IFERROR(IF(GETPIVOTDATA("合計 / " &amp; $B178,【ピボット】事業所収支!$A$3,"年月",U$13,"事業所",$A$174)=0,#N/A,GETPIVOTDATA("合計 / " &amp; $B178,【ピボット】事業所収支!$A$3,"年月",U$13,"事業所",$A$174)),#N/A)</f>
        <v>353125</v>
      </c>
      <c r="V178" s="483">
        <f>IFERROR(IF(GETPIVOTDATA("合計 / " &amp; $B178,【ピボット】事業所収支!$A$3,"年月",V$13,"事業所",$A$174)=0,#N/A,GETPIVOTDATA("合計 / " &amp; $B178,【ピボット】事業所収支!$A$3,"年月",V$13,"事業所",$A$174)),#N/A)</f>
        <v>361318</v>
      </c>
      <c r="W178" s="483">
        <f>IFERROR(IF(GETPIVOTDATA("合計 / " &amp; $B178,【ピボット】事業所収支!$A$3,"年月",W$13,"事業所",$A$174)=0,#N/A,GETPIVOTDATA("合計 / " &amp; $B178,【ピボット】事業所収支!$A$3,"年月",W$13,"事業所",$A$174)),#N/A)</f>
        <v>368671</v>
      </c>
      <c r="X178" s="483">
        <f>IFERROR(IF(GETPIVOTDATA("合計 / " &amp; $B178,【ピボット】事業所収支!$A$3,"年月",X$13,"事業所",$A$174)=0,#N/A,GETPIVOTDATA("合計 / " &amp; $B178,【ピボット】事業所収支!$A$3,"年月",X$13,"事業所",$A$174)),#N/A)</f>
        <v>362513</v>
      </c>
      <c r="Y178" s="483">
        <f>IFERROR(IF(GETPIVOTDATA("合計 / " &amp; $B178,【ピボット】事業所収支!$A$3,"年月",Y$13,"事業所",$A$174)=0,#N/A,GETPIVOTDATA("合計 / " &amp; $B178,【ピボット】事業所収支!$A$3,"年月",Y$13,"事業所",$A$174)),#N/A)</f>
        <v>647173</v>
      </c>
      <c r="Z178" s="483">
        <f>IFERROR(IF(GETPIVOTDATA("合計 / " &amp; $B178,【ピボット】事業所収支!$A$3,"年月",Z$13,"事業所",$A$174)=0,#N/A,GETPIVOTDATA("合計 / " &amp; $B178,【ピボット】事業所収支!$A$3,"年月",Z$13,"事業所",$A$174)),#N/A)</f>
        <v>637172</v>
      </c>
    </row>
    <row r="179" spans="2:27" x14ac:dyDescent="0.15">
      <c r="B179" s="8" t="s">
        <v>60</v>
      </c>
      <c r="C179" s="483" t="e">
        <f>IFERROR(IF(GETPIVOTDATA("合計 / " &amp; $B179,【ピボット】事業所収支!$A$3,"年月",C$13,"事業所",$A$174)=0,#N/A,GETPIVOTDATA("合計 / " &amp; $B179,【ピボット】事業所収支!$A$3,"年月",C$13,"事業所",$A$174)),#N/A)</f>
        <v>#N/A</v>
      </c>
      <c r="D179" s="483" t="e">
        <f>IFERROR(IF(GETPIVOTDATA("合計 / " &amp; $B179,【ピボット】事業所収支!$A$3,"年月",D$13,"事業所",$A$174)=0,#N/A,GETPIVOTDATA("合計 / " &amp; $B179,【ピボット】事業所収支!$A$3,"年月",D$13,"事業所",$A$174)),#N/A)</f>
        <v>#N/A</v>
      </c>
      <c r="E179" s="483" t="e">
        <f>IFERROR(IF(GETPIVOTDATA("合計 / " &amp; $B179,【ピボット】事業所収支!$A$3,"年月",E$13,"事業所",$A$174)=0,#N/A,GETPIVOTDATA("合計 / " &amp; $B179,【ピボット】事業所収支!$A$3,"年月",E$13,"事業所",$A$174)),#N/A)</f>
        <v>#N/A</v>
      </c>
      <c r="F179" s="483" t="e">
        <f>IFERROR(IF(GETPIVOTDATA("合計 / " &amp; $B179,【ピボット】事業所収支!$A$3,"年月",F$13,"事業所",$A$174)=0,#N/A,GETPIVOTDATA("合計 / " &amp; $B179,【ピボット】事業所収支!$A$3,"年月",F$13,"事業所",$A$174)),#N/A)</f>
        <v>#N/A</v>
      </c>
      <c r="G179" s="483" t="e">
        <f>IFERROR(IF(GETPIVOTDATA("合計 / " &amp; $B179,【ピボット】事業所収支!$A$3,"年月",G$13,"事業所",$A$174)=0,#N/A,GETPIVOTDATA("合計 / " &amp; $B179,【ピボット】事業所収支!$A$3,"年月",G$13,"事業所",$A$174)),#N/A)</f>
        <v>#N/A</v>
      </c>
      <c r="H179" s="483" t="e">
        <f>IFERROR(IF(GETPIVOTDATA("合計 / " &amp; $B179,【ピボット】事業所収支!$A$3,"年月",H$13,"事業所",$A$174)=0,#N/A,GETPIVOTDATA("合計 / " &amp; $B179,【ピボット】事業所収支!$A$3,"年月",H$13,"事業所",$A$174)),#N/A)</f>
        <v>#N/A</v>
      </c>
      <c r="I179" s="483" t="e">
        <f>IFERROR(IF(GETPIVOTDATA("合計 / " &amp; $B179,【ピボット】事業所収支!$A$3,"年月",I$13,"事業所",$A$174)=0,#N/A,GETPIVOTDATA("合計 / " &amp; $B179,【ピボット】事業所収支!$A$3,"年月",I$13,"事業所",$A$174)),#N/A)</f>
        <v>#N/A</v>
      </c>
      <c r="J179" s="483" t="e">
        <f>IFERROR(IF(GETPIVOTDATA("合計 / " &amp; $B179,【ピボット】事業所収支!$A$3,"年月",J$13,"事業所",$A$174)=0,#N/A,GETPIVOTDATA("合計 / " &amp; $B179,【ピボット】事業所収支!$A$3,"年月",J$13,"事業所",$A$174)),#N/A)</f>
        <v>#N/A</v>
      </c>
      <c r="K179" s="483" t="e">
        <f>IFERROR(IF(GETPIVOTDATA("合計 / " &amp; $B179,【ピボット】事業所収支!$A$3,"年月",K$13,"事業所",$A$174)=0,#N/A,GETPIVOTDATA("合計 / " &amp; $B179,【ピボット】事業所収支!$A$3,"年月",K$13,"事業所",$A$174)),#N/A)</f>
        <v>#N/A</v>
      </c>
      <c r="L179" s="483" t="e">
        <f>IFERROR(IF(GETPIVOTDATA("合計 / " &amp; $B179,【ピボット】事業所収支!$A$3,"年月",L$13,"事業所",$A$174)=0,#N/A,GETPIVOTDATA("合計 / " &amp; $B179,【ピボット】事業所収支!$A$3,"年月",L$13,"事業所",$A$174)),#N/A)</f>
        <v>#N/A</v>
      </c>
      <c r="M179" s="483" t="e">
        <f>IFERROR(IF(GETPIVOTDATA("合計 / " &amp; $B179,【ピボット】事業所収支!$A$3,"年月",M$13,"事業所",$A$174)=0,#N/A,GETPIVOTDATA("合計 / " &amp; $B179,【ピボット】事業所収支!$A$3,"年月",M$13,"事業所",$A$174)),#N/A)</f>
        <v>#N/A</v>
      </c>
      <c r="N179" s="483" t="e">
        <f>IFERROR(IF(GETPIVOTDATA("合計 / " &amp; $B179,【ピボット】事業所収支!$A$3,"年月",N$13,"事業所",$A$174)=0,#N/A,GETPIVOTDATA("合計 / " &amp; $B179,【ピボット】事業所収支!$A$3,"年月",N$13,"事業所",$A$174)),#N/A)</f>
        <v>#N/A</v>
      </c>
      <c r="O179" s="483" t="e">
        <f>IFERROR(IF(GETPIVOTDATA("合計 / " &amp; $B179,【ピボット】事業所収支!$A$3,"年月",O$13,"事業所",$A$174)=0,#N/A,GETPIVOTDATA("合計 / " &amp; $B179,【ピボット】事業所収支!$A$3,"年月",O$13,"事業所",$A$174)),#N/A)</f>
        <v>#N/A</v>
      </c>
      <c r="P179" s="483" t="e">
        <f>IFERROR(IF(GETPIVOTDATA("合計 / " &amp; $B179,【ピボット】事業所収支!$A$3,"年月",P$13,"事業所",$A$174)=0,#N/A,GETPIVOTDATA("合計 / " &amp; $B179,【ピボット】事業所収支!$A$3,"年月",P$13,"事業所",$A$174)),#N/A)</f>
        <v>#N/A</v>
      </c>
      <c r="Q179" s="483" t="e">
        <f>IFERROR(IF(GETPIVOTDATA("合計 / " &amp; $B179,【ピボット】事業所収支!$A$3,"年月",Q$13,"事業所",$A$174)=0,#N/A,GETPIVOTDATA("合計 / " &amp; $B179,【ピボット】事業所収支!$A$3,"年月",Q$13,"事業所",$A$174)),#N/A)</f>
        <v>#N/A</v>
      </c>
      <c r="R179" s="483" t="e">
        <f>IFERROR(IF(GETPIVOTDATA("合計 / " &amp; $B179,【ピボット】事業所収支!$A$3,"年月",R$13,"事業所",$A$174)=0,#N/A,GETPIVOTDATA("合計 / " &amp; $B179,【ピボット】事業所収支!$A$3,"年月",R$13,"事業所",$A$174)),#N/A)</f>
        <v>#N/A</v>
      </c>
      <c r="S179" s="483" t="e">
        <f>IFERROR(IF(GETPIVOTDATA("合計 / " &amp; $B179,【ピボット】事業所収支!$A$3,"年月",S$13,"事業所",$A$174)=0,#N/A,GETPIVOTDATA("合計 / " &amp; $B179,【ピボット】事業所収支!$A$3,"年月",S$13,"事業所",$A$174)),#N/A)</f>
        <v>#N/A</v>
      </c>
      <c r="T179" s="483" t="e">
        <f>IFERROR(IF(GETPIVOTDATA("合計 / " &amp; $B179,【ピボット】事業所収支!$A$3,"年月",T$13,"事業所",$A$174)=0,#N/A,GETPIVOTDATA("合計 / " &amp; $B179,【ピボット】事業所収支!$A$3,"年月",T$13,"事業所",$A$174)),#N/A)</f>
        <v>#N/A</v>
      </c>
      <c r="U179" s="483" t="e">
        <f>IFERROR(IF(GETPIVOTDATA("合計 / " &amp; $B179,【ピボット】事業所収支!$A$3,"年月",U$13,"事業所",$A$174)=0,#N/A,GETPIVOTDATA("合計 / " &amp; $B179,【ピボット】事業所収支!$A$3,"年月",U$13,"事業所",$A$174)),#N/A)</f>
        <v>#N/A</v>
      </c>
      <c r="V179" s="483" t="e">
        <f>IFERROR(IF(GETPIVOTDATA("合計 / " &amp; $B179,【ピボット】事業所収支!$A$3,"年月",V$13,"事業所",$A$174)=0,#N/A,GETPIVOTDATA("合計 / " &amp; $B179,【ピボット】事業所収支!$A$3,"年月",V$13,"事業所",$A$174)),#N/A)</f>
        <v>#N/A</v>
      </c>
      <c r="W179" s="483" t="e">
        <f>IFERROR(IF(GETPIVOTDATA("合計 / " &amp; $B179,【ピボット】事業所収支!$A$3,"年月",W$13,"事業所",$A$174)=0,#N/A,GETPIVOTDATA("合計 / " &amp; $B179,【ピボット】事業所収支!$A$3,"年月",W$13,"事業所",$A$174)),#N/A)</f>
        <v>#N/A</v>
      </c>
      <c r="X179" s="483" t="e">
        <f>IFERROR(IF(GETPIVOTDATA("合計 / " &amp; $B179,【ピボット】事業所収支!$A$3,"年月",X$13,"事業所",$A$174)=0,#N/A,GETPIVOTDATA("合計 / " &amp; $B179,【ピボット】事業所収支!$A$3,"年月",X$13,"事業所",$A$174)),#N/A)</f>
        <v>#N/A</v>
      </c>
      <c r="Y179" s="483" t="e">
        <f>IFERROR(IF(GETPIVOTDATA("合計 / " &amp; $B179,【ピボット】事業所収支!$A$3,"年月",Y$13,"事業所",$A$174)=0,#N/A,GETPIVOTDATA("合計 / " &amp; $B179,【ピボット】事業所収支!$A$3,"年月",Y$13,"事業所",$A$174)),#N/A)</f>
        <v>#N/A</v>
      </c>
      <c r="Z179" s="483" t="e">
        <f>IFERROR(IF(GETPIVOTDATA("合計 / " &amp; $B179,【ピボット】事業所収支!$A$3,"年月",Z$13,"事業所",$A$174)=0,#N/A,GETPIVOTDATA("合計 / " &amp; $B179,【ピボット】事業所収支!$A$3,"年月",Z$13,"事業所",$A$174)),#N/A)</f>
        <v>#N/A</v>
      </c>
    </row>
    <row r="180" spans="2:27" x14ac:dyDescent="0.15">
      <c r="B180" s="8" t="s">
        <v>50</v>
      </c>
      <c r="C180" s="483" t="e">
        <f>IFERROR(IF(GETPIVOTDATA("合計 / " &amp; $B180,【ピボット】事業所収支!$A$3,"年月",C$13,"事業所",$A$174)=0,#N/A,GETPIVOTDATA("合計 / " &amp; $B180,【ピボット】事業所収支!$A$3,"年月",C$13,"事業所",$A$174)),#N/A)</f>
        <v>#N/A</v>
      </c>
      <c r="D180" s="483" t="e">
        <f>IFERROR(IF(GETPIVOTDATA("合計 / " &amp; $B180,【ピボット】事業所収支!$A$3,"年月",D$13,"事業所",$A$174)=0,#N/A,GETPIVOTDATA("合計 / " &amp; $B180,【ピボット】事業所収支!$A$3,"年月",D$13,"事業所",$A$174)),#N/A)</f>
        <v>#N/A</v>
      </c>
      <c r="E180" s="483" t="e">
        <f>IFERROR(IF(GETPIVOTDATA("合計 / " &amp; $B180,【ピボット】事業所収支!$A$3,"年月",E$13,"事業所",$A$174)=0,#N/A,GETPIVOTDATA("合計 / " &amp; $B180,【ピボット】事業所収支!$A$3,"年月",E$13,"事業所",$A$174)),#N/A)</f>
        <v>#N/A</v>
      </c>
      <c r="F180" s="483" t="e">
        <f>IFERROR(IF(GETPIVOTDATA("合計 / " &amp; $B180,【ピボット】事業所収支!$A$3,"年月",F$13,"事業所",$A$174)=0,#N/A,GETPIVOTDATA("合計 / " &amp; $B180,【ピボット】事業所収支!$A$3,"年月",F$13,"事業所",$A$174)),#N/A)</f>
        <v>#N/A</v>
      </c>
      <c r="G180" s="483" t="e">
        <f>IFERROR(IF(GETPIVOTDATA("合計 / " &amp; $B180,【ピボット】事業所収支!$A$3,"年月",G$13,"事業所",$A$174)=0,#N/A,GETPIVOTDATA("合計 / " &amp; $B180,【ピボット】事業所収支!$A$3,"年月",G$13,"事業所",$A$174)),#N/A)</f>
        <v>#N/A</v>
      </c>
      <c r="H180" s="483" t="e">
        <f>IFERROR(IF(GETPIVOTDATA("合計 / " &amp; $B180,【ピボット】事業所収支!$A$3,"年月",H$13,"事業所",$A$174)=0,#N/A,GETPIVOTDATA("合計 / " &amp; $B180,【ピボット】事業所収支!$A$3,"年月",H$13,"事業所",$A$174)),#N/A)</f>
        <v>#N/A</v>
      </c>
      <c r="I180" s="483" t="e">
        <f>IFERROR(IF(GETPIVOTDATA("合計 / " &amp; $B180,【ピボット】事業所収支!$A$3,"年月",I$13,"事業所",$A$174)=0,#N/A,GETPIVOTDATA("合計 / " &amp; $B180,【ピボット】事業所収支!$A$3,"年月",I$13,"事業所",$A$174)),#N/A)</f>
        <v>#N/A</v>
      </c>
      <c r="J180" s="483" t="e">
        <f>IFERROR(IF(GETPIVOTDATA("合計 / " &amp; $B180,【ピボット】事業所収支!$A$3,"年月",J$13,"事業所",$A$174)=0,#N/A,GETPIVOTDATA("合計 / " &amp; $B180,【ピボット】事業所収支!$A$3,"年月",J$13,"事業所",$A$174)),#N/A)</f>
        <v>#N/A</v>
      </c>
      <c r="K180" s="483" t="e">
        <f>IFERROR(IF(GETPIVOTDATA("合計 / " &amp; $B180,【ピボット】事業所収支!$A$3,"年月",K$13,"事業所",$A$174)=0,#N/A,GETPIVOTDATA("合計 / " &amp; $B180,【ピボット】事業所収支!$A$3,"年月",K$13,"事業所",$A$174)),#N/A)</f>
        <v>#N/A</v>
      </c>
      <c r="L180" s="483" t="e">
        <f>IFERROR(IF(GETPIVOTDATA("合計 / " &amp; $B180,【ピボット】事業所収支!$A$3,"年月",L$13,"事業所",$A$174)=0,#N/A,GETPIVOTDATA("合計 / " &amp; $B180,【ピボット】事業所収支!$A$3,"年月",L$13,"事業所",$A$174)),#N/A)</f>
        <v>#N/A</v>
      </c>
      <c r="M180" s="483" t="e">
        <f>IFERROR(IF(GETPIVOTDATA("合計 / " &amp; $B180,【ピボット】事業所収支!$A$3,"年月",M$13,"事業所",$A$174)=0,#N/A,GETPIVOTDATA("合計 / " &amp; $B180,【ピボット】事業所収支!$A$3,"年月",M$13,"事業所",$A$174)),#N/A)</f>
        <v>#N/A</v>
      </c>
      <c r="N180" s="483" t="e">
        <f>IFERROR(IF(GETPIVOTDATA("合計 / " &amp; $B180,【ピボット】事業所収支!$A$3,"年月",N$13,"事業所",$A$174)=0,#N/A,GETPIVOTDATA("合計 / " &amp; $B180,【ピボット】事業所収支!$A$3,"年月",N$13,"事業所",$A$174)),#N/A)</f>
        <v>#N/A</v>
      </c>
      <c r="O180" s="483" t="e">
        <f>IFERROR(IF(GETPIVOTDATA("合計 / " &amp; $B180,【ピボット】事業所収支!$A$3,"年月",O$13,"事業所",$A$174)=0,#N/A,GETPIVOTDATA("合計 / " &amp; $B180,【ピボット】事業所収支!$A$3,"年月",O$13,"事業所",$A$174)),#N/A)</f>
        <v>#N/A</v>
      </c>
      <c r="P180" s="483" t="e">
        <f>IFERROR(IF(GETPIVOTDATA("合計 / " &amp; $B180,【ピボット】事業所収支!$A$3,"年月",P$13,"事業所",$A$174)=0,#N/A,GETPIVOTDATA("合計 / " &amp; $B180,【ピボット】事業所収支!$A$3,"年月",P$13,"事業所",$A$174)),#N/A)</f>
        <v>#N/A</v>
      </c>
      <c r="Q180" s="483" t="e">
        <f>IFERROR(IF(GETPIVOTDATA("合計 / " &amp; $B180,【ピボット】事業所収支!$A$3,"年月",Q$13,"事業所",$A$174)=0,#N/A,GETPIVOTDATA("合計 / " &amp; $B180,【ピボット】事業所収支!$A$3,"年月",Q$13,"事業所",$A$174)),#N/A)</f>
        <v>#N/A</v>
      </c>
      <c r="R180" s="483" t="e">
        <f>IFERROR(IF(GETPIVOTDATA("合計 / " &amp; $B180,【ピボット】事業所収支!$A$3,"年月",R$13,"事業所",$A$174)=0,#N/A,GETPIVOTDATA("合計 / " &amp; $B180,【ピボット】事業所収支!$A$3,"年月",R$13,"事業所",$A$174)),#N/A)</f>
        <v>#N/A</v>
      </c>
      <c r="S180" s="483" t="e">
        <f>IFERROR(IF(GETPIVOTDATA("合計 / " &amp; $B180,【ピボット】事業所収支!$A$3,"年月",S$13,"事業所",$A$174)=0,#N/A,GETPIVOTDATA("合計 / " &amp; $B180,【ピボット】事業所収支!$A$3,"年月",S$13,"事業所",$A$174)),#N/A)</f>
        <v>#N/A</v>
      </c>
      <c r="T180" s="483" t="e">
        <f>IFERROR(IF(GETPIVOTDATA("合計 / " &amp; $B180,【ピボット】事業所収支!$A$3,"年月",T$13,"事業所",$A$174)=0,#N/A,GETPIVOTDATA("合計 / " &amp; $B180,【ピボット】事業所収支!$A$3,"年月",T$13,"事業所",$A$174)),#N/A)</f>
        <v>#N/A</v>
      </c>
      <c r="U180" s="483" t="e">
        <f>IFERROR(IF(GETPIVOTDATA("合計 / " &amp; $B180,【ピボット】事業所収支!$A$3,"年月",U$13,"事業所",$A$174)=0,#N/A,GETPIVOTDATA("合計 / " &amp; $B180,【ピボット】事業所収支!$A$3,"年月",U$13,"事業所",$A$174)),#N/A)</f>
        <v>#N/A</v>
      </c>
      <c r="V180" s="483" t="e">
        <f>IFERROR(IF(GETPIVOTDATA("合計 / " &amp; $B180,【ピボット】事業所収支!$A$3,"年月",V$13,"事業所",$A$174)=0,#N/A,GETPIVOTDATA("合計 / " &amp; $B180,【ピボット】事業所収支!$A$3,"年月",V$13,"事業所",$A$174)),#N/A)</f>
        <v>#N/A</v>
      </c>
      <c r="W180" s="483" t="e">
        <f>IFERROR(IF(GETPIVOTDATA("合計 / " &amp; $B180,【ピボット】事業所収支!$A$3,"年月",W$13,"事業所",$A$174)=0,#N/A,GETPIVOTDATA("合計 / " &amp; $B180,【ピボット】事業所収支!$A$3,"年月",W$13,"事業所",$A$174)),#N/A)</f>
        <v>#N/A</v>
      </c>
      <c r="X180" s="483" t="e">
        <f>IFERROR(IF(GETPIVOTDATA("合計 / " &amp; $B180,【ピボット】事業所収支!$A$3,"年月",X$13,"事業所",$A$174)=0,#N/A,GETPIVOTDATA("合計 / " &amp; $B180,【ピボット】事業所収支!$A$3,"年月",X$13,"事業所",$A$174)),#N/A)</f>
        <v>#N/A</v>
      </c>
      <c r="Y180" s="483" t="e">
        <f>IFERROR(IF(GETPIVOTDATA("合計 / " &amp; $B180,【ピボット】事業所収支!$A$3,"年月",Y$13,"事業所",$A$174)=0,#N/A,GETPIVOTDATA("合計 / " &amp; $B180,【ピボット】事業所収支!$A$3,"年月",Y$13,"事業所",$A$174)),#N/A)</f>
        <v>#N/A</v>
      </c>
      <c r="Z180" s="483" t="e">
        <f>IFERROR(IF(GETPIVOTDATA("合計 / " &amp; $B180,【ピボット】事業所収支!$A$3,"年月",Z$13,"事業所",$A$174)=0,#N/A,GETPIVOTDATA("合計 / " &amp; $B180,【ピボット】事業所収支!$A$3,"年月",Z$13,"事業所",$A$174)),#N/A)</f>
        <v>#N/A</v>
      </c>
    </row>
    <row r="181" spans="2:27" x14ac:dyDescent="0.15">
      <c r="B181" s="9" t="s">
        <v>29</v>
      </c>
      <c r="C181" s="484" t="e">
        <f>IFERROR(IF(GETPIVOTDATA("合計 / " &amp; $B181,【ピボット】事業所収支!$A$3,"年月",C$13,"事業所",$A$174)=0,#N/A,GETPIVOTDATA("合計 / " &amp; $B181,【ピボット】事業所収支!$A$3,"年月",C$13,"事業所",$A$174)),#N/A)</f>
        <v>#N/A</v>
      </c>
      <c r="D181" s="484" t="e">
        <f>IFERROR(IF(GETPIVOTDATA("合計 / " &amp; $B181,【ピボット】事業所収支!$A$3,"年月",D$13,"事業所",$A$174)=0,#N/A,GETPIVOTDATA("合計 / " &amp; $B181,【ピボット】事業所収支!$A$3,"年月",D$13,"事業所",$A$174)),#N/A)</f>
        <v>#N/A</v>
      </c>
      <c r="E181" s="484" t="e">
        <f>IFERROR(IF(GETPIVOTDATA("合計 / " &amp; $B181,【ピボット】事業所収支!$A$3,"年月",E$13,"事業所",$A$174)=0,#N/A,GETPIVOTDATA("合計 / " &amp; $B181,【ピボット】事業所収支!$A$3,"年月",E$13,"事業所",$A$174)),#N/A)</f>
        <v>#N/A</v>
      </c>
      <c r="F181" s="484" t="e">
        <f>IFERROR(IF(GETPIVOTDATA("合計 / " &amp; $B181,【ピボット】事業所収支!$A$3,"年月",F$13,"事業所",$A$174)=0,#N/A,GETPIVOTDATA("合計 / " &amp; $B181,【ピボット】事業所収支!$A$3,"年月",F$13,"事業所",$A$174)),#N/A)</f>
        <v>#N/A</v>
      </c>
      <c r="G181" s="484" t="e">
        <f>IFERROR(IF(GETPIVOTDATA("合計 / " &amp; $B181,【ピボット】事業所収支!$A$3,"年月",G$13,"事業所",$A$174)=0,#N/A,GETPIVOTDATA("合計 / " &amp; $B181,【ピボット】事業所収支!$A$3,"年月",G$13,"事業所",$A$174)),#N/A)</f>
        <v>#N/A</v>
      </c>
      <c r="H181" s="484" t="e">
        <f>IFERROR(IF(GETPIVOTDATA("合計 / " &amp; $B181,【ピボット】事業所収支!$A$3,"年月",H$13,"事業所",$A$174)=0,#N/A,GETPIVOTDATA("合計 / " &amp; $B181,【ピボット】事業所収支!$A$3,"年月",H$13,"事業所",$A$174)),#N/A)</f>
        <v>#N/A</v>
      </c>
      <c r="I181" s="484" t="e">
        <f>IFERROR(IF(GETPIVOTDATA("合計 / " &amp; $B181,【ピボット】事業所収支!$A$3,"年月",I$13,"事業所",$A$174)=0,#N/A,GETPIVOTDATA("合計 / " &amp; $B181,【ピボット】事業所収支!$A$3,"年月",I$13,"事業所",$A$174)),#N/A)</f>
        <v>#N/A</v>
      </c>
      <c r="J181" s="484" t="e">
        <f>IFERROR(IF(GETPIVOTDATA("合計 / " &amp; $B181,【ピボット】事業所収支!$A$3,"年月",J$13,"事業所",$A$174)=0,#N/A,GETPIVOTDATA("合計 / " &amp; $B181,【ピボット】事業所収支!$A$3,"年月",J$13,"事業所",$A$174)),#N/A)</f>
        <v>#N/A</v>
      </c>
      <c r="K181" s="484" t="e">
        <f>IFERROR(IF(GETPIVOTDATA("合計 / " &amp; $B181,【ピボット】事業所収支!$A$3,"年月",K$13,"事業所",$A$174)=0,#N/A,GETPIVOTDATA("合計 / " &amp; $B181,【ピボット】事業所収支!$A$3,"年月",K$13,"事業所",$A$174)),#N/A)</f>
        <v>#N/A</v>
      </c>
      <c r="L181" s="484" t="e">
        <f>IFERROR(IF(GETPIVOTDATA("合計 / " &amp; $B181,【ピボット】事業所収支!$A$3,"年月",L$13,"事業所",$A$174)=0,#N/A,GETPIVOTDATA("合計 / " &amp; $B181,【ピボット】事業所収支!$A$3,"年月",L$13,"事業所",$A$174)),#N/A)</f>
        <v>#N/A</v>
      </c>
      <c r="M181" s="484" t="e">
        <f>IFERROR(IF(GETPIVOTDATA("合計 / " &amp; $B181,【ピボット】事業所収支!$A$3,"年月",M$13,"事業所",$A$174)=0,#N/A,GETPIVOTDATA("合計 / " &amp; $B181,【ピボット】事業所収支!$A$3,"年月",M$13,"事業所",$A$174)),#N/A)</f>
        <v>#N/A</v>
      </c>
      <c r="N181" s="484" t="e">
        <f>IFERROR(IF(GETPIVOTDATA("合計 / " &amp; $B181,【ピボット】事業所収支!$A$3,"年月",N$13,"事業所",$A$174)=0,#N/A,GETPIVOTDATA("合計 / " &amp; $B181,【ピボット】事業所収支!$A$3,"年月",N$13,"事業所",$A$174)),#N/A)</f>
        <v>#N/A</v>
      </c>
      <c r="O181" s="484" t="e">
        <f>IFERROR(IF(GETPIVOTDATA("合計 / " &amp; $B181,【ピボット】事業所収支!$A$3,"年月",O$13,"事業所",$A$174)=0,#N/A,GETPIVOTDATA("合計 / " &amp; $B181,【ピボット】事業所収支!$A$3,"年月",O$13,"事業所",$A$174)),#N/A)</f>
        <v>#N/A</v>
      </c>
      <c r="P181" s="484" t="e">
        <f>IFERROR(IF(GETPIVOTDATA("合計 / " &amp; $B181,【ピボット】事業所収支!$A$3,"年月",P$13,"事業所",$A$174)=0,#N/A,GETPIVOTDATA("合計 / " &amp; $B181,【ピボット】事業所収支!$A$3,"年月",P$13,"事業所",$A$174)),#N/A)</f>
        <v>#N/A</v>
      </c>
      <c r="Q181" s="484" t="e">
        <f>IFERROR(IF(GETPIVOTDATA("合計 / " &amp; $B181,【ピボット】事業所収支!$A$3,"年月",Q$13,"事業所",$A$174)=0,#N/A,GETPIVOTDATA("合計 / " &amp; $B181,【ピボット】事業所収支!$A$3,"年月",Q$13,"事業所",$A$174)),#N/A)</f>
        <v>#N/A</v>
      </c>
      <c r="R181" s="484" t="e">
        <f>IFERROR(IF(GETPIVOTDATA("合計 / " &amp; $B181,【ピボット】事業所収支!$A$3,"年月",R$13,"事業所",$A$174)=0,#N/A,GETPIVOTDATA("合計 / " &amp; $B181,【ピボット】事業所収支!$A$3,"年月",R$13,"事業所",$A$174)),#N/A)</f>
        <v>#N/A</v>
      </c>
      <c r="S181" s="484">
        <f>IFERROR(IF(GETPIVOTDATA("合計 / " &amp; $B181,【ピボット】事業所収支!$A$3,"年月",S$13,"事業所",$A$174)=0,#N/A,GETPIVOTDATA("合計 / " &amp; $B181,【ピボット】事業所収支!$A$3,"年月",S$13,"事業所",$A$174)),#N/A)</f>
        <v>56395</v>
      </c>
      <c r="T181" s="484">
        <f>IFERROR(IF(GETPIVOTDATA("合計 / " &amp; $B181,【ピボット】事業所収支!$A$3,"年月",T$13,"事業所",$A$174)=0,#N/A,GETPIVOTDATA("合計 / " &amp; $B181,【ピボット】事業所収支!$A$3,"年月",T$13,"事業所",$A$174)),#N/A)</f>
        <v>48772</v>
      </c>
      <c r="U181" s="484">
        <f>IFERROR(IF(GETPIVOTDATA("合計 / " &amp; $B181,【ピボット】事業所収支!$A$3,"年月",U$13,"事業所",$A$174)=0,#N/A,GETPIVOTDATA("合計 / " &amp; $B181,【ピボット】事業所収支!$A$3,"年月",U$13,"事業所",$A$174)),#N/A)</f>
        <v>40884</v>
      </c>
      <c r="V181" s="484">
        <f>IFERROR(IF(GETPIVOTDATA("合計 / " &amp; $B181,【ピボット】事業所収支!$A$3,"年月",V$13,"事業所",$A$174)=0,#N/A,GETPIVOTDATA("合計 / " &amp; $B181,【ピボット】事業所収支!$A$3,"年月",V$13,"事業所",$A$174)),#N/A)</f>
        <v>46736</v>
      </c>
      <c r="W181" s="484">
        <f>IFERROR(IF(GETPIVOTDATA("合計 / " &amp; $B181,【ピボット】事業所収支!$A$3,"年月",W$13,"事業所",$A$174)=0,#N/A,GETPIVOTDATA("合計 / " &amp; $B181,【ピボット】事業所収支!$A$3,"年月",W$13,"事業所",$A$174)),#N/A)</f>
        <v>43924</v>
      </c>
      <c r="X181" s="484">
        <f>IFERROR(IF(GETPIVOTDATA("合計 / " &amp; $B181,【ピボット】事業所収支!$A$3,"年月",X$13,"事業所",$A$174)=0,#N/A,GETPIVOTDATA("合計 / " &amp; $B181,【ピボット】事業所収支!$A$3,"年月",X$13,"事業所",$A$174)),#N/A)</f>
        <v>45370</v>
      </c>
      <c r="Y181" s="484">
        <f>IFERROR(IF(GETPIVOTDATA("合計 / " &amp; $B181,【ピボット】事業所収支!$A$3,"年月",Y$13,"事業所",$A$174)=0,#N/A,GETPIVOTDATA("合計 / " &amp; $B181,【ピボット】事業所収支!$A$3,"年月",Y$13,"事業所",$A$174)),#N/A)</f>
        <v>89057</v>
      </c>
      <c r="Z181" s="484">
        <f>IFERROR(IF(GETPIVOTDATA("合計 / " &amp; $B181,【ピボット】事業所収支!$A$3,"年月",Z$13,"事業所",$A$174)=0,#N/A,GETPIVOTDATA("合計 / " &amp; $B181,【ピボット】事業所収支!$A$3,"年月",Z$13,"事業所",$A$174)),#N/A)</f>
        <v>95710</v>
      </c>
      <c r="AA181" s="4"/>
    </row>
    <row r="182" spans="2:27" x14ac:dyDescent="0.15">
      <c r="B182" s="9" t="s">
        <v>51</v>
      </c>
      <c r="C182" s="483" t="e">
        <f>IFERROR(IF(GETPIVOTDATA("合計 / " &amp; $B182,【ピボット】事業所収支!$A$3,"年月",C$13,"事業所",$A$174)=0,#N/A,GETPIVOTDATA("合計 / " &amp; $B182,【ピボット】事業所収支!$A$3,"年月",C$13,"事業所",$A$174)),#N/A)</f>
        <v>#N/A</v>
      </c>
      <c r="D182" s="483" t="e">
        <f>IFERROR(IF(GETPIVOTDATA("合計 / " &amp; $B182,【ピボット】事業所収支!$A$3,"年月",D$13,"事業所",$A$174)=0,#N/A,GETPIVOTDATA("合計 / " &amp; $B182,【ピボット】事業所収支!$A$3,"年月",D$13,"事業所",$A$174)),#N/A)</f>
        <v>#N/A</v>
      </c>
      <c r="E182" s="483" t="e">
        <f>IFERROR(IF(GETPIVOTDATA("合計 / " &amp; $B182,【ピボット】事業所収支!$A$3,"年月",E$13,"事業所",$A$174)=0,#N/A,GETPIVOTDATA("合計 / " &amp; $B182,【ピボット】事業所収支!$A$3,"年月",E$13,"事業所",$A$174)),#N/A)</f>
        <v>#N/A</v>
      </c>
      <c r="F182" s="483" t="e">
        <f>IFERROR(IF(GETPIVOTDATA("合計 / " &amp; $B182,【ピボット】事業所収支!$A$3,"年月",F$13,"事業所",$A$174)=0,#N/A,GETPIVOTDATA("合計 / " &amp; $B182,【ピボット】事業所収支!$A$3,"年月",F$13,"事業所",$A$174)),#N/A)</f>
        <v>#N/A</v>
      </c>
      <c r="G182" s="483" t="e">
        <f>IFERROR(IF(GETPIVOTDATA("合計 / " &amp; $B182,【ピボット】事業所収支!$A$3,"年月",G$13,"事業所",$A$174)=0,#N/A,GETPIVOTDATA("合計 / " &amp; $B182,【ピボット】事業所収支!$A$3,"年月",G$13,"事業所",$A$174)),#N/A)</f>
        <v>#N/A</v>
      </c>
      <c r="H182" s="483" t="e">
        <f>IFERROR(IF(GETPIVOTDATA("合計 / " &amp; $B182,【ピボット】事業所収支!$A$3,"年月",H$13,"事業所",$A$174)=0,#N/A,GETPIVOTDATA("合計 / " &amp; $B182,【ピボット】事業所収支!$A$3,"年月",H$13,"事業所",$A$174)),#N/A)</f>
        <v>#N/A</v>
      </c>
      <c r="I182" s="483" t="e">
        <f>IFERROR(IF(GETPIVOTDATA("合計 / " &amp; $B182,【ピボット】事業所収支!$A$3,"年月",I$13,"事業所",$A$174)=0,#N/A,GETPIVOTDATA("合計 / " &amp; $B182,【ピボット】事業所収支!$A$3,"年月",I$13,"事業所",$A$174)),#N/A)</f>
        <v>#N/A</v>
      </c>
      <c r="J182" s="483" t="e">
        <f>IFERROR(IF(GETPIVOTDATA("合計 / " &amp; $B182,【ピボット】事業所収支!$A$3,"年月",J$13,"事業所",$A$174)=0,#N/A,GETPIVOTDATA("合計 / " &amp; $B182,【ピボット】事業所収支!$A$3,"年月",J$13,"事業所",$A$174)),#N/A)</f>
        <v>#N/A</v>
      </c>
      <c r="K182" s="483" t="e">
        <f>IFERROR(IF(GETPIVOTDATA("合計 / " &amp; $B182,【ピボット】事業所収支!$A$3,"年月",K$13,"事業所",$A$174)=0,#N/A,GETPIVOTDATA("合計 / " &amp; $B182,【ピボット】事業所収支!$A$3,"年月",K$13,"事業所",$A$174)),#N/A)</f>
        <v>#N/A</v>
      </c>
      <c r="L182" s="483" t="e">
        <f>IFERROR(IF(GETPIVOTDATA("合計 / " &amp; $B182,【ピボット】事業所収支!$A$3,"年月",L$13,"事業所",$A$174)=0,#N/A,GETPIVOTDATA("合計 / " &amp; $B182,【ピボット】事業所収支!$A$3,"年月",L$13,"事業所",$A$174)),#N/A)</f>
        <v>#N/A</v>
      </c>
      <c r="M182" s="483" t="e">
        <f>IFERROR(IF(GETPIVOTDATA("合計 / " &amp; $B182,【ピボット】事業所収支!$A$3,"年月",M$13,"事業所",$A$174)=0,#N/A,GETPIVOTDATA("合計 / " &amp; $B182,【ピボット】事業所収支!$A$3,"年月",M$13,"事業所",$A$174)),#N/A)</f>
        <v>#N/A</v>
      </c>
      <c r="N182" s="483" t="e">
        <f>IFERROR(IF(GETPIVOTDATA("合計 / " &amp; $B182,【ピボット】事業所収支!$A$3,"年月",N$13,"事業所",$A$174)=0,#N/A,GETPIVOTDATA("合計 / " &amp; $B182,【ピボット】事業所収支!$A$3,"年月",N$13,"事業所",$A$174)),#N/A)</f>
        <v>#N/A</v>
      </c>
      <c r="O182" s="483" t="e">
        <f>IFERROR(IF(GETPIVOTDATA("合計 / " &amp; $B182,【ピボット】事業所収支!$A$3,"年月",O$13,"事業所",$A$174)=0,#N/A,GETPIVOTDATA("合計 / " &amp; $B182,【ピボット】事業所収支!$A$3,"年月",O$13,"事業所",$A$174)),#N/A)</f>
        <v>#N/A</v>
      </c>
      <c r="P182" s="483" t="e">
        <f>IFERROR(IF(GETPIVOTDATA("合計 / " &amp; $B182,【ピボット】事業所収支!$A$3,"年月",P$13,"事業所",$A$174)=0,#N/A,GETPIVOTDATA("合計 / " &amp; $B182,【ピボット】事業所収支!$A$3,"年月",P$13,"事業所",$A$174)),#N/A)</f>
        <v>#N/A</v>
      </c>
      <c r="Q182" s="483" t="e">
        <f>IFERROR(IF(GETPIVOTDATA("合計 / " &amp; $B182,【ピボット】事業所収支!$A$3,"年月",Q$13,"事業所",$A$174)=0,#N/A,GETPIVOTDATA("合計 / " &amp; $B182,【ピボット】事業所収支!$A$3,"年月",Q$13,"事業所",$A$174)),#N/A)</f>
        <v>#N/A</v>
      </c>
      <c r="R182" s="483" t="e">
        <f>IFERROR(IF(GETPIVOTDATA("合計 / " &amp; $B182,【ピボット】事業所収支!$A$3,"年月",R$13,"事業所",$A$174)=0,#N/A,GETPIVOTDATA("合計 / " &amp; $B182,【ピボット】事業所収支!$A$3,"年月",R$13,"事業所",$A$174)),#N/A)</f>
        <v>#N/A</v>
      </c>
      <c r="S182" s="483" t="e">
        <f>IFERROR(IF(GETPIVOTDATA("合計 / " &amp; $B182,【ピボット】事業所収支!$A$3,"年月",S$13,"事業所",$A$174)=0,#N/A,GETPIVOTDATA("合計 / " &amp; $B182,【ピボット】事業所収支!$A$3,"年月",S$13,"事業所",$A$174)),#N/A)</f>
        <v>#N/A</v>
      </c>
      <c r="T182" s="483">
        <f>IFERROR(IF(GETPIVOTDATA("合計 / " &amp; $B182,【ピボット】事業所収支!$A$3,"年月",T$13,"事業所",$A$174)=0,#N/A,GETPIVOTDATA("合計 / " &amp; $B182,【ピボット】事業所収支!$A$3,"年月",T$13,"事業所",$A$174)),#N/A)</f>
        <v>1479</v>
      </c>
      <c r="U182" s="483">
        <f>IFERROR(IF(GETPIVOTDATA("合計 / " &amp; $B182,【ピボット】事業所収支!$A$3,"年月",U$13,"事業所",$A$174)=0,#N/A,GETPIVOTDATA("合計 / " &amp; $B182,【ピボット】事業所収支!$A$3,"年月",U$13,"事業所",$A$174)),#N/A)</f>
        <v>12246</v>
      </c>
      <c r="V182" s="483" t="e">
        <f>IFERROR(IF(GETPIVOTDATA("合計 / " &amp; $B182,【ピボット】事業所収支!$A$3,"年月",V$13,"事業所",$A$174)=0,#N/A,GETPIVOTDATA("合計 / " &amp; $B182,【ピボット】事業所収支!$A$3,"年月",V$13,"事業所",$A$174)),#N/A)</f>
        <v>#N/A</v>
      </c>
      <c r="W182" s="483">
        <f>IFERROR(IF(GETPIVOTDATA("合計 / " &amp; $B182,【ピボット】事業所収支!$A$3,"年月",W$13,"事業所",$A$174)=0,#N/A,GETPIVOTDATA("合計 / " &amp; $B182,【ピボット】事業所収支!$A$3,"年月",W$13,"事業所",$A$174)),#N/A)</f>
        <v>13640</v>
      </c>
      <c r="X182" s="483" t="e">
        <f>IFERROR(IF(GETPIVOTDATA("合計 / " &amp; $B182,【ピボット】事業所収支!$A$3,"年月",X$13,"事業所",$A$174)=0,#N/A,GETPIVOTDATA("合計 / " &amp; $B182,【ピボット】事業所収支!$A$3,"年月",X$13,"事業所",$A$174)),#N/A)</f>
        <v>#N/A</v>
      </c>
      <c r="Y182" s="483" t="e">
        <f>IFERROR(IF(GETPIVOTDATA("合計 / " &amp; $B182,【ピボット】事業所収支!$A$3,"年月",Y$13,"事業所",$A$174)=0,#N/A,GETPIVOTDATA("合計 / " &amp; $B182,【ピボット】事業所収支!$A$3,"年月",Y$13,"事業所",$A$174)),#N/A)</f>
        <v>#N/A</v>
      </c>
      <c r="Z182" s="483">
        <f>IFERROR(IF(GETPIVOTDATA("合計 / " &amp; $B182,【ピボット】事業所収支!$A$3,"年月",Z$13,"事業所",$A$174)=0,#N/A,GETPIVOTDATA("合計 / " &amp; $B182,【ピボット】事業所収支!$A$3,"年月",Z$13,"事業所",$A$174)),#N/A)</f>
        <v>144828</v>
      </c>
      <c r="AA182" s="4"/>
    </row>
    <row r="183" spans="2:27" x14ac:dyDescent="0.15">
      <c r="B183" s="41" t="s">
        <v>15</v>
      </c>
      <c r="C183" s="486" t="e">
        <f>IFERROR(IF(GETPIVOTDATA("合計 / " &amp; $B183,【ピボット】事業所収支!$A$3,"年月",C$13,"事業所",$A$174)=0,#N/A,GETPIVOTDATA("合計 / " &amp; $B183,【ピボット】事業所収支!$A$3,"年月",C$13,"事業所",$A$174)),#N/A)</f>
        <v>#N/A</v>
      </c>
      <c r="D183" s="486" t="e">
        <f>IFERROR(IF(GETPIVOTDATA("合計 / " &amp; $B183,【ピボット】事業所収支!$A$3,"年月",D$13,"事業所",$A$174)=0,#N/A,GETPIVOTDATA("合計 / " &amp; $B183,【ピボット】事業所収支!$A$3,"年月",D$13,"事業所",$A$174)),#N/A)</f>
        <v>#N/A</v>
      </c>
      <c r="E183" s="486" t="e">
        <f>IFERROR(IF(GETPIVOTDATA("合計 / " &amp; $B183,【ピボット】事業所収支!$A$3,"年月",E$13,"事業所",$A$174)=0,#N/A,GETPIVOTDATA("合計 / " &amp; $B183,【ピボット】事業所収支!$A$3,"年月",E$13,"事業所",$A$174)),#N/A)</f>
        <v>#N/A</v>
      </c>
      <c r="F183" s="486" t="e">
        <f>IFERROR(IF(GETPIVOTDATA("合計 / " &amp; $B183,【ピボット】事業所収支!$A$3,"年月",F$13,"事業所",$A$174)=0,#N/A,GETPIVOTDATA("合計 / " &amp; $B183,【ピボット】事業所収支!$A$3,"年月",F$13,"事業所",$A$174)),#N/A)</f>
        <v>#N/A</v>
      </c>
      <c r="G183" s="486" t="e">
        <f>IFERROR(IF(GETPIVOTDATA("合計 / " &amp; $B183,【ピボット】事業所収支!$A$3,"年月",G$13,"事業所",$A$174)=0,#N/A,GETPIVOTDATA("合計 / " &amp; $B183,【ピボット】事業所収支!$A$3,"年月",G$13,"事業所",$A$174)),#N/A)</f>
        <v>#N/A</v>
      </c>
      <c r="H183" s="486" t="e">
        <f>IFERROR(IF(GETPIVOTDATA("合計 / " &amp; $B183,【ピボット】事業所収支!$A$3,"年月",H$13,"事業所",$A$174)=0,#N/A,GETPIVOTDATA("合計 / " &amp; $B183,【ピボット】事業所収支!$A$3,"年月",H$13,"事業所",$A$174)),#N/A)</f>
        <v>#N/A</v>
      </c>
      <c r="I183" s="486" t="e">
        <f>IFERROR(IF(GETPIVOTDATA("合計 / " &amp; $B183,【ピボット】事業所収支!$A$3,"年月",I$13,"事業所",$A$174)=0,#N/A,GETPIVOTDATA("合計 / " &amp; $B183,【ピボット】事業所収支!$A$3,"年月",I$13,"事業所",$A$174)),#N/A)</f>
        <v>#N/A</v>
      </c>
      <c r="J183" s="486" t="e">
        <f>IFERROR(IF(GETPIVOTDATA("合計 / " &amp; $B183,【ピボット】事業所収支!$A$3,"年月",J$13,"事業所",$A$174)=0,#N/A,GETPIVOTDATA("合計 / " &amp; $B183,【ピボット】事業所収支!$A$3,"年月",J$13,"事業所",$A$174)),#N/A)</f>
        <v>#N/A</v>
      </c>
      <c r="K183" s="486" t="e">
        <f>IFERROR(IF(GETPIVOTDATA("合計 / " &amp; $B183,【ピボット】事業所収支!$A$3,"年月",K$13,"事業所",$A$174)=0,#N/A,GETPIVOTDATA("合計 / " &amp; $B183,【ピボット】事業所収支!$A$3,"年月",K$13,"事業所",$A$174)),#N/A)</f>
        <v>#N/A</v>
      </c>
      <c r="L183" s="486" t="e">
        <f>IFERROR(IF(GETPIVOTDATA("合計 / " &amp; $B183,【ピボット】事業所収支!$A$3,"年月",L$13,"事業所",$A$174)=0,#N/A,GETPIVOTDATA("合計 / " &amp; $B183,【ピボット】事業所収支!$A$3,"年月",L$13,"事業所",$A$174)),#N/A)</f>
        <v>#N/A</v>
      </c>
      <c r="M183" s="486" t="e">
        <f>IFERROR(IF(GETPIVOTDATA("合計 / " &amp; $B183,【ピボット】事業所収支!$A$3,"年月",M$13,"事業所",$A$174)=0,#N/A,GETPIVOTDATA("合計 / " &amp; $B183,【ピボット】事業所収支!$A$3,"年月",M$13,"事業所",$A$174)),#N/A)</f>
        <v>#N/A</v>
      </c>
      <c r="N183" s="486" t="e">
        <f>IFERROR(IF(GETPIVOTDATA("合計 / " &amp; $B183,【ピボット】事業所収支!$A$3,"年月",N$13,"事業所",$A$174)=0,#N/A,GETPIVOTDATA("合計 / " &amp; $B183,【ピボット】事業所収支!$A$3,"年月",N$13,"事業所",$A$174)),#N/A)</f>
        <v>#N/A</v>
      </c>
      <c r="O183" s="486" t="e">
        <f>IFERROR(IF(GETPIVOTDATA("合計 / " &amp; $B183,【ピボット】事業所収支!$A$3,"年月",O$13,"事業所",$A$174)=0,#N/A,GETPIVOTDATA("合計 / " &amp; $B183,【ピボット】事業所収支!$A$3,"年月",O$13,"事業所",$A$174)),#N/A)</f>
        <v>#N/A</v>
      </c>
      <c r="P183" s="486" t="e">
        <f>IFERROR(IF(GETPIVOTDATA("合計 / " &amp; $B183,【ピボット】事業所収支!$A$3,"年月",P$13,"事業所",$A$174)=0,#N/A,GETPIVOTDATA("合計 / " &amp; $B183,【ピボット】事業所収支!$A$3,"年月",P$13,"事業所",$A$174)),#N/A)</f>
        <v>#N/A</v>
      </c>
      <c r="Q183" s="486" t="e">
        <f>IFERROR(IF(GETPIVOTDATA("合計 / " &amp; $B183,【ピボット】事業所収支!$A$3,"年月",Q$13,"事業所",$A$174)=0,#N/A,GETPIVOTDATA("合計 / " &amp; $B183,【ピボット】事業所収支!$A$3,"年月",Q$13,"事業所",$A$174)),#N/A)</f>
        <v>#N/A</v>
      </c>
      <c r="R183" s="486" t="e">
        <f>IFERROR(IF(GETPIVOTDATA("合計 / " &amp; $B183,【ピボット】事業所収支!$A$3,"年月",R$13,"事業所",$A$174)=0,#N/A,GETPIVOTDATA("合計 / " &amp; $B183,【ピボット】事業所収支!$A$3,"年月",R$13,"事業所",$A$174)),#N/A)</f>
        <v>#N/A</v>
      </c>
      <c r="S183" s="486">
        <f>IFERROR(IF(GETPIVOTDATA("合計 / " &amp; $B183,【ピボット】事業所収支!$A$3,"年月",S$13,"事業所",$A$174)=0,#N/A,GETPIVOTDATA("合計 / " &amp; $B183,【ピボット】事業所収支!$A$3,"年月",S$13,"事業所",$A$174)),#N/A)</f>
        <v>56395</v>
      </c>
      <c r="T183" s="486">
        <f>IFERROR(IF(GETPIVOTDATA("合計 / " &amp; $B183,【ピボット】事業所収支!$A$3,"年月",T$13,"事業所",$A$174)=0,#N/A,GETPIVOTDATA("合計 / " &amp; $B183,【ピボット】事業所収支!$A$3,"年月",T$13,"事業所",$A$174)),#N/A)</f>
        <v>433580</v>
      </c>
      <c r="U183" s="486">
        <f>IFERROR(IF(GETPIVOTDATA("合計 / " &amp; $B183,【ピボット】事業所収支!$A$3,"年月",U$13,"事業所",$A$174)=0,#N/A,GETPIVOTDATA("合計 / " &amp; $B183,【ピボット】事業所収支!$A$3,"年月",U$13,"事業所",$A$174)),#N/A)</f>
        <v>488250</v>
      </c>
      <c r="V183" s="486">
        <f>IFERROR(IF(GETPIVOTDATA("合計 / " &amp; $B183,【ピボット】事業所収支!$A$3,"年月",V$13,"事業所",$A$174)=0,#N/A,GETPIVOTDATA("合計 / " &amp; $B183,【ピボット】事業所収支!$A$3,"年月",V$13,"事業所",$A$174)),#N/A)</f>
        <v>561749</v>
      </c>
      <c r="W183" s="486">
        <f>IFERROR(IF(GETPIVOTDATA("合計 / " &amp; $B183,【ピボット】事業所収支!$A$3,"年月",W$13,"事業所",$A$174)=0,#N/A,GETPIVOTDATA("合計 / " &amp; $B183,【ピボット】事業所収支!$A$3,"年月",W$13,"事業所",$A$174)),#N/A)</f>
        <v>692404</v>
      </c>
      <c r="X183" s="486">
        <f>IFERROR(IF(GETPIVOTDATA("合計 / " &amp; $B183,【ピボット】事業所収支!$A$3,"年月",X$13,"事業所",$A$174)=0,#N/A,GETPIVOTDATA("合計 / " &amp; $B183,【ピボット】事業所収支!$A$3,"年月",X$13,"事業所",$A$174)),#N/A)</f>
        <v>691176</v>
      </c>
      <c r="Y183" s="486">
        <f>IFERROR(IF(GETPIVOTDATA("合計 / " &amp; $B183,【ピボット】事業所収支!$A$3,"年月",Y$13,"事業所",$A$174)=0,#N/A,GETPIVOTDATA("合計 / " &amp; $B183,【ピボット】事業所収支!$A$3,"年月",Y$13,"事業所",$A$174)),#N/A)</f>
        <v>1124832</v>
      </c>
      <c r="Z183" s="486">
        <f>IFERROR(IF(GETPIVOTDATA("合計 / " &amp; $B183,【ピボット】事業所収支!$A$3,"年月",Z$13,"事業所",$A$174)=0,#N/A,GETPIVOTDATA("合計 / " &amp; $B183,【ピボット】事業所収支!$A$3,"年月",Z$13,"事業所",$A$174)),#N/A)</f>
        <v>1318589</v>
      </c>
      <c r="AA183" s="4"/>
    </row>
    <row r="184" spans="2:27" x14ac:dyDescent="0.15">
      <c r="B184" s="48" t="s">
        <v>30</v>
      </c>
      <c r="C184" s="487" t="e">
        <f>IFERROR(IF(GETPIVOTDATA("合計 / " &amp; $B184 &amp;"計",【ピボット】事業所収支!$A$3,"年月",C$13,"事業所",$A$174)=0,#N/A,GETPIVOTDATA("合計 / " &amp; $B184 &amp;"計",【ピボット】事業所収支!$A$3,"年月",C$13,"事業所",$A$174)),#N/A)</f>
        <v>#N/A</v>
      </c>
      <c r="D184" s="487" t="e">
        <f>IFERROR(IF(GETPIVOTDATA("合計 / " &amp; $B184 &amp;"計",【ピボット】事業所収支!$A$3,"年月",D$13,"事業所",$A$174)=0,#N/A,GETPIVOTDATA("合計 / " &amp; $B184 &amp;"計",【ピボット】事業所収支!$A$3,"年月",D$13,"事業所",$A$174)),#N/A)</f>
        <v>#N/A</v>
      </c>
      <c r="E184" s="487" t="e">
        <f>IFERROR(IF(GETPIVOTDATA("合計 / " &amp; $B184 &amp;"計",【ピボット】事業所収支!$A$3,"年月",E$13,"事業所",$A$174)=0,#N/A,GETPIVOTDATA("合計 / " &amp; $B184 &amp;"計",【ピボット】事業所収支!$A$3,"年月",E$13,"事業所",$A$174)),#N/A)</f>
        <v>#N/A</v>
      </c>
      <c r="F184" s="487" t="e">
        <f>IFERROR(IF(GETPIVOTDATA("合計 / " &amp; $B184 &amp;"計",【ピボット】事業所収支!$A$3,"年月",F$13,"事業所",$A$174)=0,#N/A,GETPIVOTDATA("合計 / " &amp; $B184 &amp;"計",【ピボット】事業所収支!$A$3,"年月",F$13,"事業所",$A$174)),#N/A)</f>
        <v>#N/A</v>
      </c>
      <c r="G184" s="487" t="e">
        <f>IFERROR(IF(GETPIVOTDATA("合計 / " &amp; $B184 &amp;"計",【ピボット】事業所収支!$A$3,"年月",G$13,"事業所",$A$174)=0,#N/A,GETPIVOTDATA("合計 / " &amp; $B184 &amp;"計",【ピボット】事業所収支!$A$3,"年月",G$13,"事業所",$A$174)),#N/A)</f>
        <v>#N/A</v>
      </c>
      <c r="H184" s="487" t="e">
        <f>IFERROR(IF(GETPIVOTDATA("合計 / " &amp; $B184 &amp;"計",【ピボット】事業所収支!$A$3,"年月",H$13,"事業所",$A$174)=0,#N/A,GETPIVOTDATA("合計 / " &amp; $B184 &amp;"計",【ピボット】事業所収支!$A$3,"年月",H$13,"事業所",$A$174)),#N/A)</f>
        <v>#N/A</v>
      </c>
      <c r="I184" s="487" t="e">
        <f>IFERROR(IF(GETPIVOTDATA("合計 / " &amp; $B184 &amp;"計",【ピボット】事業所収支!$A$3,"年月",I$13,"事業所",$A$174)=0,#N/A,GETPIVOTDATA("合計 / " &amp; $B184 &amp;"計",【ピボット】事業所収支!$A$3,"年月",I$13,"事業所",$A$174)),#N/A)</f>
        <v>#N/A</v>
      </c>
      <c r="J184" s="487" t="e">
        <f>IFERROR(IF(GETPIVOTDATA("合計 / " &amp; $B184 &amp;"計",【ピボット】事業所収支!$A$3,"年月",J$13,"事業所",$A$174)=0,#N/A,GETPIVOTDATA("合計 / " &amp; $B184 &amp;"計",【ピボット】事業所収支!$A$3,"年月",J$13,"事業所",$A$174)),#N/A)</f>
        <v>#N/A</v>
      </c>
      <c r="K184" s="487" t="e">
        <f>IFERROR(IF(GETPIVOTDATA("合計 / " &amp; $B184 &amp;"計",【ピボット】事業所収支!$A$3,"年月",K$13,"事業所",$A$174)=0,#N/A,GETPIVOTDATA("合計 / " &amp; $B184 &amp;"計",【ピボット】事業所収支!$A$3,"年月",K$13,"事業所",$A$174)),#N/A)</f>
        <v>#N/A</v>
      </c>
      <c r="L184" s="487" t="e">
        <f>IFERROR(IF(GETPIVOTDATA("合計 / " &amp; $B184 &amp;"計",【ピボット】事業所収支!$A$3,"年月",L$13,"事業所",$A$174)=0,#N/A,GETPIVOTDATA("合計 / " &amp; $B184 &amp;"計",【ピボット】事業所収支!$A$3,"年月",L$13,"事業所",$A$174)),#N/A)</f>
        <v>#N/A</v>
      </c>
      <c r="M184" s="487" t="e">
        <f>IFERROR(IF(GETPIVOTDATA("合計 / " &amp; $B184 &amp;"計",【ピボット】事業所収支!$A$3,"年月",M$13,"事業所",$A$174)=0,#N/A,GETPIVOTDATA("合計 / " &amp; $B184 &amp;"計",【ピボット】事業所収支!$A$3,"年月",M$13,"事業所",$A$174)),#N/A)</f>
        <v>#N/A</v>
      </c>
      <c r="N184" s="487" t="e">
        <f>IFERROR(IF(GETPIVOTDATA("合計 / " &amp; $B184 &amp;"計",【ピボット】事業所収支!$A$3,"年月",N$13,"事業所",$A$174)=0,#N/A,GETPIVOTDATA("合計 / " &amp; $B184 &amp;"計",【ピボット】事業所収支!$A$3,"年月",N$13,"事業所",$A$174)),#N/A)</f>
        <v>#N/A</v>
      </c>
      <c r="O184" s="487" t="e">
        <f>IFERROR(IF(GETPIVOTDATA("合計 / " &amp; $B184 &amp;"計",【ピボット】事業所収支!$A$3,"年月",O$13,"事業所",$A$174)=0,#N/A,GETPIVOTDATA("合計 / " &amp; $B184 &amp;"計",【ピボット】事業所収支!$A$3,"年月",O$13,"事業所",$A$174)),#N/A)</f>
        <v>#N/A</v>
      </c>
      <c r="P184" s="487" t="e">
        <f>IFERROR(IF(GETPIVOTDATA("合計 / " &amp; $B184 &amp;"計",【ピボット】事業所収支!$A$3,"年月",P$13,"事業所",$A$174)=0,#N/A,GETPIVOTDATA("合計 / " &amp; $B184 &amp;"計",【ピボット】事業所収支!$A$3,"年月",P$13,"事業所",$A$174)),#N/A)</f>
        <v>#N/A</v>
      </c>
      <c r="Q184" s="487">
        <f>IFERROR(IF(GETPIVOTDATA("合計 / " &amp; $B184 &amp;"計",【ピボット】事業所収支!$A$3,"年月",Q$13,"事業所",$A$174)=0,#N/A,GETPIVOTDATA("合計 / " &amp; $B184 &amp;"計",【ピボット】事業所収支!$A$3,"年月",Q$13,"事業所",$A$174)),#N/A)</f>
        <v>835563</v>
      </c>
      <c r="R184" s="487">
        <f>IFERROR(IF(GETPIVOTDATA("合計 / " &amp; $B184 &amp;"計",【ピボット】事業所収支!$A$3,"年月",R$13,"事業所",$A$174)=0,#N/A,GETPIVOTDATA("合計 / " &amp; $B184 &amp;"計",【ピボット】事業所収支!$A$3,"年月",R$13,"事業所",$A$174)),#N/A)</f>
        <v>752125</v>
      </c>
      <c r="S184" s="487">
        <f>IFERROR(IF(GETPIVOTDATA("合計 / " &amp; $B184 &amp;"計",【ピボット】事業所収支!$A$3,"年月",S$13,"事業所",$A$174)=0,#N/A,GETPIVOTDATA("合計 / " &amp; $B184 &amp;"計",【ピボット】事業所収支!$A$3,"年月",S$13,"事業所",$A$174)),#N/A)</f>
        <v>740398</v>
      </c>
      <c r="T184" s="487">
        <f>IFERROR(IF(GETPIVOTDATA("合計 / " &amp; $B184 &amp;"計",【ピボット】事業所収支!$A$3,"年月",T$13,"事業所",$A$174)=0,#N/A,GETPIVOTDATA("合計 / " &amp; $B184 &amp;"計",【ピボット】事業所収支!$A$3,"年月",T$13,"事業所",$A$174)),#N/A)</f>
        <v>704776</v>
      </c>
      <c r="U184" s="487">
        <f>IFERROR(IF(GETPIVOTDATA("合計 / " &amp; $B184 &amp;"計",【ピボット】事業所収支!$A$3,"年月",U$13,"事業所",$A$174)=0,#N/A,GETPIVOTDATA("合計 / " &amp; $B184 &amp;"計",【ピボット】事業所収支!$A$3,"年月",U$13,"事業所",$A$174)),#N/A)</f>
        <v>533896</v>
      </c>
      <c r="V184" s="487">
        <f>IFERROR(IF(GETPIVOTDATA("合計 / " &amp; $B184 &amp;"計",【ピボット】事業所収支!$A$3,"年月",V$13,"事業所",$A$174)=0,#N/A,GETPIVOTDATA("合計 / " &amp; $B184 &amp;"計",【ピボット】事業所収支!$A$3,"年月",V$13,"事業所",$A$174)),#N/A)</f>
        <v>395245</v>
      </c>
      <c r="W184" s="487">
        <f>IFERROR(IF(GETPIVOTDATA("合計 / " &amp; $B184 &amp;"計",【ピボット】事業所収支!$A$3,"年月",W$13,"事業所",$A$174)=0,#N/A,GETPIVOTDATA("合計 / " &amp; $B184 &amp;"計",【ピボット】事業所収支!$A$3,"年月",W$13,"事業所",$A$174)),#N/A)</f>
        <v>438641</v>
      </c>
      <c r="X184" s="487">
        <f>IFERROR(IF(GETPIVOTDATA("合計 / " &amp; $B184 &amp;"計",【ピボット】事業所収支!$A$3,"年月",X$13,"事業所",$A$174)=0,#N/A,GETPIVOTDATA("合計 / " &amp; $B184 &amp;"計",【ピボット】事業所収支!$A$3,"年月",X$13,"事業所",$A$174)),#N/A)</f>
        <v>383687</v>
      </c>
      <c r="Y184" s="487">
        <f>IFERROR(IF(GETPIVOTDATA("合計 / " &amp; $B184 &amp;"計",【ピボット】事業所収支!$A$3,"年月",Y$13,"事業所",$A$174)=0,#N/A,GETPIVOTDATA("合計 / " &amp; $B184 &amp;"計",【ピボット】事業所収支!$A$3,"年月",Y$13,"事業所",$A$174)),#N/A)</f>
        <v>410646</v>
      </c>
      <c r="Z184" s="487">
        <f>IFERROR(IF(GETPIVOTDATA("合計 / " &amp; $B184 &amp;"計",【ピボット】事業所収支!$A$3,"年月",Z$13,"事業所",$A$174)=0,#N/A,GETPIVOTDATA("合計 / " &amp; $B184 &amp;"計",【ピボット】事業所収支!$A$3,"年月",Z$13,"事業所",$A$174)),#N/A)</f>
        <v>458741</v>
      </c>
      <c r="AA184" s="4"/>
    </row>
    <row r="185" spans="2:27" hidden="1" x14ac:dyDescent="0.15">
      <c r="B185" s="48" t="s">
        <v>52</v>
      </c>
      <c r="C185" s="487" t="e">
        <f>#REF!</f>
        <v>#REF!</v>
      </c>
      <c r="D185" s="487" t="e">
        <f>#REF!</f>
        <v>#REF!</v>
      </c>
      <c r="E185" s="487" t="e">
        <f>#REF!</f>
        <v>#REF!</v>
      </c>
      <c r="F185" s="487" t="e">
        <f>#REF!</f>
        <v>#REF!</v>
      </c>
      <c r="G185" s="487" t="e">
        <f>#REF!</f>
        <v>#REF!</v>
      </c>
      <c r="H185" s="487" t="e">
        <f>#REF!</f>
        <v>#REF!</v>
      </c>
      <c r="I185" s="487" t="e">
        <f>#REF!</f>
        <v>#REF!</v>
      </c>
      <c r="J185" s="487" t="e">
        <f>#REF!</f>
        <v>#REF!</v>
      </c>
      <c r="K185" s="487" t="e">
        <f>#REF!</f>
        <v>#REF!</v>
      </c>
      <c r="L185" s="487" t="e">
        <f>#REF!</f>
        <v>#REF!</v>
      </c>
      <c r="M185" s="487" t="e">
        <f>#REF!</f>
        <v>#REF!</v>
      </c>
      <c r="N185" s="487" t="e">
        <f>#REF!</f>
        <v>#REF!</v>
      </c>
      <c r="O185" s="487" t="e">
        <f>#REF!</f>
        <v>#REF!</v>
      </c>
      <c r="P185" s="487" t="e">
        <f>#REF!</f>
        <v>#REF!</v>
      </c>
      <c r="Q185" s="487" t="e">
        <f>#REF!</f>
        <v>#REF!</v>
      </c>
      <c r="R185" s="487" t="e">
        <f>#REF!</f>
        <v>#REF!</v>
      </c>
      <c r="S185" s="487" t="e">
        <f>#REF!</f>
        <v>#REF!</v>
      </c>
      <c r="T185" s="487" t="e">
        <f>#REF!</f>
        <v>#REF!</v>
      </c>
      <c r="U185" s="487" t="e">
        <f>#REF!</f>
        <v>#REF!</v>
      </c>
      <c r="V185" s="487" t="e">
        <f>#REF!</f>
        <v>#REF!</v>
      </c>
      <c r="W185" s="487" t="e">
        <f>#REF!</f>
        <v>#REF!</v>
      </c>
      <c r="X185" s="487" t="e">
        <f>#REF!</f>
        <v>#REF!</v>
      </c>
      <c r="Y185" s="487" t="e">
        <f>#REF!</f>
        <v>#REF!</v>
      </c>
      <c r="Z185" s="487" t="e">
        <f>#REF!</f>
        <v>#REF!</v>
      </c>
      <c r="AA185" s="4"/>
    </row>
    <row r="186" spans="2:27" x14ac:dyDescent="0.15">
      <c r="B186" s="8" t="s">
        <v>53</v>
      </c>
      <c r="C186" s="483">
        <f t="shared" ref="C186:Z186" si="14">IFERROR(C183,0)+IFERROR(C184,0)</f>
        <v>0</v>
      </c>
      <c r="D186" s="483">
        <f t="shared" si="14"/>
        <v>0</v>
      </c>
      <c r="E186" s="483">
        <f t="shared" si="14"/>
        <v>0</v>
      </c>
      <c r="F186" s="483">
        <f t="shared" si="14"/>
        <v>0</v>
      </c>
      <c r="G186" s="483">
        <f t="shared" si="14"/>
        <v>0</v>
      </c>
      <c r="H186" s="483">
        <f t="shared" si="14"/>
        <v>0</v>
      </c>
      <c r="I186" s="483">
        <f t="shared" si="14"/>
        <v>0</v>
      </c>
      <c r="J186" s="483">
        <f t="shared" si="14"/>
        <v>0</v>
      </c>
      <c r="K186" s="483">
        <f t="shared" si="14"/>
        <v>0</v>
      </c>
      <c r="L186" s="483">
        <f t="shared" si="14"/>
        <v>0</v>
      </c>
      <c r="M186" s="483">
        <f t="shared" si="14"/>
        <v>0</v>
      </c>
      <c r="N186" s="483">
        <f t="shared" si="14"/>
        <v>0</v>
      </c>
      <c r="O186" s="483">
        <f t="shared" si="14"/>
        <v>0</v>
      </c>
      <c r="P186" s="483">
        <f t="shared" si="14"/>
        <v>0</v>
      </c>
      <c r="Q186" s="483">
        <f t="shared" si="14"/>
        <v>835563</v>
      </c>
      <c r="R186" s="483">
        <f t="shared" si="14"/>
        <v>752125</v>
      </c>
      <c r="S186" s="483">
        <f t="shared" si="14"/>
        <v>796793</v>
      </c>
      <c r="T186" s="483">
        <f t="shared" si="14"/>
        <v>1138356</v>
      </c>
      <c r="U186" s="483">
        <f t="shared" si="14"/>
        <v>1022146</v>
      </c>
      <c r="V186" s="483">
        <f t="shared" si="14"/>
        <v>956994</v>
      </c>
      <c r="W186" s="483">
        <f t="shared" si="14"/>
        <v>1131045</v>
      </c>
      <c r="X186" s="483">
        <f t="shared" si="14"/>
        <v>1074863</v>
      </c>
      <c r="Y186" s="483">
        <f t="shared" si="14"/>
        <v>1535478</v>
      </c>
      <c r="Z186" s="483">
        <f t="shared" si="14"/>
        <v>1777330</v>
      </c>
    </row>
    <row r="187" spans="2:27" x14ac:dyDescent="0.15">
      <c r="B187" s="309" t="s">
        <v>32</v>
      </c>
      <c r="C187" s="488">
        <f t="shared" ref="C187:Z187" si="15">IFERROR(SUM(C176,-C186),0)</f>
        <v>0</v>
      </c>
      <c r="D187" s="488">
        <f t="shared" si="15"/>
        <v>0</v>
      </c>
      <c r="E187" s="488">
        <f t="shared" si="15"/>
        <v>0</v>
      </c>
      <c r="F187" s="488">
        <f t="shared" si="15"/>
        <v>0</v>
      </c>
      <c r="G187" s="488">
        <f t="shared" si="15"/>
        <v>0</v>
      </c>
      <c r="H187" s="488">
        <f t="shared" si="15"/>
        <v>0</v>
      </c>
      <c r="I187" s="488">
        <f t="shared" si="15"/>
        <v>0</v>
      </c>
      <c r="J187" s="488">
        <f t="shared" si="15"/>
        <v>0</v>
      </c>
      <c r="K187" s="488">
        <f t="shared" si="15"/>
        <v>0</v>
      </c>
      <c r="L187" s="488">
        <f t="shared" si="15"/>
        <v>0</v>
      </c>
      <c r="M187" s="488">
        <f t="shared" si="15"/>
        <v>0</v>
      </c>
      <c r="N187" s="488">
        <f t="shared" si="15"/>
        <v>0</v>
      </c>
      <c r="O187" s="488">
        <f t="shared" si="15"/>
        <v>0</v>
      </c>
      <c r="P187" s="488">
        <f t="shared" si="15"/>
        <v>0</v>
      </c>
      <c r="Q187" s="488">
        <f t="shared" si="15"/>
        <v>0</v>
      </c>
      <c r="R187" s="488">
        <f t="shared" si="15"/>
        <v>0</v>
      </c>
      <c r="S187" s="488">
        <f t="shared" si="15"/>
        <v>0</v>
      </c>
      <c r="T187" s="488">
        <f t="shared" si="15"/>
        <v>-904072</v>
      </c>
      <c r="U187" s="488">
        <f t="shared" si="15"/>
        <v>-536508</v>
      </c>
      <c r="V187" s="488">
        <f t="shared" si="15"/>
        <v>-255274</v>
      </c>
      <c r="W187" s="488">
        <f t="shared" si="15"/>
        <v>-320365</v>
      </c>
      <c r="X187" s="488">
        <f t="shared" si="15"/>
        <v>-14117</v>
      </c>
      <c r="Y187" s="488">
        <f t="shared" si="15"/>
        <v>-96871</v>
      </c>
      <c r="Z187" s="488">
        <f t="shared" si="15"/>
        <v>127864</v>
      </c>
      <c r="AA187" s="4">
        <f>SUM(O187:Z187)</f>
        <v>-1999343</v>
      </c>
    </row>
    <row r="188" spans="2:27" x14ac:dyDescent="0.15">
      <c r="B188" s="309"/>
    </row>
    <row r="189" spans="2:27" x14ac:dyDescent="0.15">
      <c r="B189" s="309"/>
      <c r="X189" s="489"/>
      <c r="Y189" s="489"/>
      <c r="Z189" s="489"/>
    </row>
    <row r="215" spans="1:27" ht="18.75" x14ac:dyDescent="0.15">
      <c r="A215" t="s">
        <v>749</v>
      </c>
      <c r="B215" s="43" t="str">
        <f>A215 &amp; "収支"</f>
        <v>白金デイ収支</v>
      </c>
    </row>
    <row r="216" spans="1:27" x14ac:dyDescent="0.15">
      <c r="B216" s="10"/>
      <c r="C216" s="668">
        <f t="shared" ref="C216:Z216" si="16">C$13</f>
        <v>42856</v>
      </c>
      <c r="D216" s="668">
        <f t="shared" si="16"/>
        <v>42887</v>
      </c>
      <c r="E216" s="668">
        <f t="shared" si="16"/>
        <v>42917</v>
      </c>
      <c r="F216" s="668">
        <f t="shared" si="16"/>
        <v>42948</v>
      </c>
      <c r="G216" s="668">
        <f t="shared" si="16"/>
        <v>42979</v>
      </c>
      <c r="H216" s="668">
        <f t="shared" si="16"/>
        <v>43009</v>
      </c>
      <c r="I216" s="668">
        <f t="shared" si="16"/>
        <v>43040</v>
      </c>
      <c r="J216" s="668">
        <f t="shared" si="16"/>
        <v>43070</v>
      </c>
      <c r="K216" s="668">
        <f t="shared" si="16"/>
        <v>43101</v>
      </c>
      <c r="L216" s="668">
        <f t="shared" si="16"/>
        <v>43132</v>
      </c>
      <c r="M216" s="668">
        <f t="shared" si="16"/>
        <v>43160</v>
      </c>
      <c r="N216" s="668">
        <f t="shared" si="16"/>
        <v>43191</v>
      </c>
      <c r="O216" s="668">
        <f t="shared" si="16"/>
        <v>43221</v>
      </c>
      <c r="P216" s="668">
        <f t="shared" si="16"/>
        <v>43252</v>
      </c>
      <c r="Q216" s="668">
        <f t="shared" si="16"/>
        <v>43282</v>
      </c>
      <c r="R216" s="668">
        <f t="shared" si="16"/>
        <v>43313</v>
      </c>
      <c r="S216" s="668">
        <f t="shared" si="16"/>
        <v>43344</v>
      </c>
      <c r="T216" s="668">
        <f t="shared" si="16"/>
        <v>43374</v>
      </c>
      <c r="U216" s="668">
        <f t="shared" si="16"/>
        <v>43405</v>
      </c>
      <c r="V216" s="668">
        <f t="shared" si="16"/>
        <v>43435</v>
      </c>
      <c r="W216" s="668">
        <f t="shared" si="16"/>
        <v>43466</v>
      </c>
      <c r="X216" s="668">
        <f t="shared" si="16"/>
        <v>43497</v>
      </c>
      <c r="Y216" s="668">
        <f t="shared" si="16"/>
        <v>43525</v>
      </c>
      <c r="Z216" s="668">
        <f t="shared" si="16"/>
        <v>43556</v>
      </c>
    </row>
    <row r="217" spans="1:27" x14ac:dyDescent="0.15">
      <c r="B217" s="12" t="s">
        <v>21</v>
      </c>
      <c r="C217" s="482">
        <f>IFERROR(IF(GETPIVOTDATA("合計 / " &amp; $B217,【ピボット】事業所収支!$A$3,"年月",C$13,"事業所",$A$215)=0,#N/A,GETPIVOTDATA("合計 / " &amp; $B217,【ピボット】事業所収支!$A$3,"年月",C$13,"事業所",$A$215)),#N/A)</f>
        <v>3549708</v>
      </c>
      <c r="D217" s="482">
        <f>IFERROR(IF(GETPIVOTDATA("合計 / " &amp; $B217,【ピボット】事業所収支!$A$3,"年月",D$13,"事業所",$A$215)=0,#N/A,GETPIVOTDATA("合計 / " &amp; $B217,【ピボット】事業所収支!$A$3,"年月",D$13,"事業所",$A$215)),#N/A)</f>
        <v>3597785</v>
      </c>
      <c r="E217" s="482">
        <f>IFERROR(IF(GETPIVOTDATA("合計 / " &amp; $B217,【ピボット】事業所収支!$A$3,"年月",E$13,"事業所",$A$215)=0,#N/A,GETPIVOTDATA("合計 / " &amp; $B217,【ピボット】事業所収支!$A$3,"年月",E$13,"事業所",$A$215)),#N/A)</f>
        <v>3616139</v>
      </c>
      <c r="F217" s="482">
        <f>IFERROR(IF(GETPIVOTDATA("合計 / " &amp; $B217,【ピボット】事業所収支!$A$3,"年月",F$13,"事業所",$A$215)=0,#N/A,GETPIVOTDATA("合計 / " &amp; $B217,【ピボット】事業所収支!$A$3,"年月",F$13,"事業所",$A$215)),#N/A)</f>
        <v>3174804</v>
      </c>
      <c r="G217" s="482">
        <f>IFERROR(IF(GETPIVOTDATA("合計 / " &amp; $B217,【ピボット】事業所収支!$A$3,"年月",G$13,"事業所",$A$215)=0,#N/A,GETPIVOTDATA("合計 / " &amp; $B217,【ピボット】事業所収支!$A$3,"年月",G$13,"事業所",$A$215)),#N/A)</f>
        <v>3130698</v>
      </c>
      <c r="H217" s="482">
        <f>IFERROR(IF(GETPIVOTDATA("合計 / " &amp; $B217,【ピボット】事業所収支!$A$3,"年月",H$13,"事業所",$A$215)=0,#N/A,GETPIVOTDATA("合計 / " &amp; $B217,【ピボット】事業所収支!$A$3,"年月",H$13,"事業所",$A$215)),#N/A)</f>
        <v>3270391</v>
      </c>
      <c r="I217" s="482">
        <f>IFERROR(IF(GETPIVOTDATA("合計 / " &amp; $B217,【ピボット】事業所収支!$A$3,"年月",I$13,"事業所",$A$215)=0,#N/A,GETPIVOTDATA("合計 / " &amp; $B217,【ピボット】事業所収支!$A$3,"年月",I$13,"事業所",$A$215)),#N/A)</f>
        <v>3507733</v>
      </c>
      <c r="J217" s="482">
        <f>IFERROR(IF(GETPIVOTDATA("合計 / " &amp; $B217,【ピボット】事業所収支!$A$3,"年月",J$13,"事業所",$A$215)=0,#N/A,GETPIVOTDATA("合計 / " &amp; $B217,【ピボット】事業所収支!$A$3,"年月",J$13,"事業所",$A$215)),#N/A)</f>
        <v>3292348</v>
      </c>
      <c r="K217" s="482">
        <f>IFERROR(IF(GETPIVOTDATA("合計 / " &amp; $B217,【ピボット】事業所収支!$A$3,"年月",K$13,"事業所",$A$215)=0,#N/A,GETPIVOTDATA("合計 / " &amp; $B217,【ピボット】事業所収支!$A$3,"年月",K$13,"事業所",$A$215)),#N/A)</f>
        <v>3313516</v>
      </c>
      <c r="L217" s="482">
        <f>IFERROR(IF(GETPIVOTDATA("合計 / " &amp; $B217,【ピボット】事業所収支!$A$3,"年月",L$13,"事業所",$A$215)=0,#N/A,GETPIVOTDATA("合計 / " &amp; $B217,【ピボット】事業所収支!$A$3,"年月",L$13,"事業所",$A$215)),#N/A)</f>
        <v>3497339</v>
      </c>
      <c r="M217" s="482">
        <f>IFERROR(IF(GETPIVOTDATA("合計 / " &amp; $B217,【ピボット】事業所収支!$A$3,"年月",M$13,"事業所",$A$215)=0,#N/A,GETPIVOTDATA("合計 / " &amp; $B217,【ピボット】事業所収支!$A$3,"年月",M$13,"事業所",$A$215)),#N/A)</f>
        <v>3458623</v>
      </c>
      <c r="N217" s="482">
        <f>IFERROR(IF(GETPIVOTDATA("合計 / " &amp; $B217,【ピボット】事業所収支!$A$3,"年月",N$13,"事業所",$A$215)=0,#N/A,GETPIVOTDATA("合計 / " &amp; $B217,【ピボット】事業所収支!$A$3,"年月",N$13,"事業所",$A$215)),#N/A)</f>
        <v>4706520</v>
      </c>
      <c r="O217" s="482">
        <f>IFERROR(IF(GETPIVOTDATA("合計 / " &amp; $B217,【ピボット】事業所収支!$A$3,"年月",O$13,"事業所",$A$215)=0,#N/A,GETPIVOTDATA("合計 / " &amp; $B217,【ピボット】事業所収支!$A$3,"年月",O$13,"事業所",$A$215)),#N/A)</f>
        <v>4419633</v>
      </c>
      <c r="P217" s="482">
        <f>IFERROR(IF(GETPIVOTDATA("合計 / " &amp; $B217,【ピボット】事業所収支!$A$3,"年月",P$13,"事業所",$A$215)=0,#N/A,GETPIVOTDATA("合計 / " &amp; $B217,【ピボット】事業所収支!$A$3,"年月",P$13,"事業所",$A$215)),#N/A)</f>
        <v>4146272</v>
      </c>
      <c r="Q217" s="482">
        <f>IFERROR(IF(GETPIVOTDATA("合計 / " &amp; $B217,【ピボット】事業所収支!$A$3,"年月",Q$13,"事業所",$A$215)=0,#N/A,GETPIVOTDATA("合計 / " &amp; $B217,【ピボット】事業所収支!$A$3,"年月",Q$13,"事業所",$A$215)),#N/A)</f>
        <v>4468494</v>
      </c>
      <c r="R217" s="482">
        <f>IFERROR(IF(GETPIVOTDATA("合計 / " &amp; $B217,【ピボット】事業所収支!$A$3,"年月",R$13,"事業所",$A$215)=0,#N/A,GETPIVOTDATA("合計 / " &amp; $B217,【ピボット】事業所収支!$A$3,"年月",R$13,"事業所",$A$215)),#N/A)</f>
        <v>4494230</v>
      </c>
      <c r="S217" s="482">
        <f>IFERROR(IF(GETPIVOTDATA("合計 / " &amp; $B217,【ピボット】事業所収支!$A$3,"年月",S$13,"事業所",$A$215)=0,#N/A,GETPIVOTDATA("合計 / " &amp; $B217,【ピボット】事業所収支!$A$3,"年月",S$13,"事業所",$A$215)),#N/A)</f>
        <v>4417151</v>
      </c>
      <c r="T217" s="482">
        <f>IFERROR(IF(GETPIVOTDATA("合計 / " &amp; $B217,【ピボット】事業所収支!$A$3,"年月",T$13,"事業所",$A$215)=0,#N/A,GETPIVOTDATA("合計 / " &amp; $B217,【ピボット】事業所収支!$A$3,"年月",T$13,"事業所",$A$215)),#N/A)</f>
        <v>4442200</v>
      </c>
      <c r="U217" s="482">
        <f>IFERROR(IF(GETPIVOTDATA("合計 / " &amp; $B217,【ピボット】事業所収支!$A$3,"年月",U$13,"事業所",$A$215)=0,#N/A,GETPIVOTDATA("合計 / " &amp; $B217,【ピボット】事業所収支!$A$3,"年月",U$13,"事業所",$A$215)),#N/A)</f>
        <v>4833081</v>
      </c>
      <c r="V217" s="482">
        <f>IFERROR(IF(GETPIVOTDATA("合計 / " &amp; $B217,【ピボット】事業所収支!$A$3,"年月",V$13,"事業所",$A$215)=0,#N/A,GETPIVOTDATA("合計 / " &amp; $B217,【ピボット】事業所収支!$A$3,"年月",V$13,"事業所",$A$215)),#N/A)</f>
        <v>4422644</v>
      </c>
      <c r="W217" s="482">
        <f>IFERROR(IF(GETPIVOTDATA("合計 / " &amp; $B217,【ピボット】事業所収支!$A$3,"年月",W$13,"事業所",$A$215)=0,#N/A,GETPIVOTDATA("合計 / " &amp; $B217,【ピボット】事業所収支!$A$3,"年月",W$13,"事業所",$A$215)),#N/A)</f>
        <v>4120917</v>
      </c>
      <c r="X217" s="482">
        <f>IFERROR(IF(GETPIVOTDATA("合計 / " &amp; $B217,【ピボット】事業所収支!$A$3,"年月",X$13,"事業所",$A$215)=0,#N/A,GETPIVOTDATA("合計 / " &amp; $B217,【ピボット】事業所収支!$A$3,"年月",X$13,"事業所",$A$215)),#N/A)</f>
        <v>4475893</v>
      </c>
      <c r="Y217" s="482">
        <f>IFERROR(IF(GETPIVOTDATA("合計 / " &amp; $B217,【ピボット】事業所収支!$A$3,"年月",Y$13,"事業所",$A$215)=0,#N/A,GETPIVOTDATA("合計 / " &amp; $B217,【ピボット】事業所収支!$A$3,"年月",Y$13,"事業所",$A$215)),#N/A)</f>
        <v>4931183</v>
      </c>
      <c r="Z217" s="482">
        <f>IFERROR(IF(GETPIVOTDATA("合計 / " &amp; $B217,【ピボット】事業所収支!$A$3,"年月",Z$13,"事業所",$A$215)=0,#N/A,GETPIVOTDATA("合計 / " &amp; $B217,【ピボット】事業所収支!$A$3,"年月",Z$13,"事業所",$A$215)),#N/A)</f>
        <v>4425975</v>
      </c>
      <c r="AA217" s="4"/>
    </row>
    <row r="218" spans="1:27" x14ac:dyDescent="0.15">
      <c r="B218" s="7" t="s">
        <v>28</v>
      </c>
      <c r="C218" s="483">
        <f>IFERROR(IF(GETPIVOTDATA("合計 / " &amp; $B218,【ピボット】事業所収支!$A$3,"年月",C$13,"事業所",$A$215)=0,#N/A,GETPIVOTDATA("合計 / " &amp; $B218,【ピボット】事業所収支!$A$3,"年月",C$13,"事業所",$A$215)),#N/A)</f>
        <v>906208</v>
      </c>
      <c r="D218" s="483">
        <f>IFERROR(IF(GETPIVOTDATA("合計 / " &amp; $B218,【ピボット】事業所収支!$A$3,"年月",D$13,"事業所",$A$215)=0,#N/A,GETPIVOTDATA("合計 / " &amp; $B218,【ピボット】事業所収支!$A$3,"年月",D$13,"事業所",$A$215)),#N/A)</f>
        <v>886359</v>
      </c>
      <c r="E218" s="483">
        <f>IFERROR(IF(GETPIVOTDATA("合計 / " &amp; $B218,【ピボット】事業所収支!$A$3,"年月",E$13,"事業所",$A$215)=0,#N/A,GETPIVOTDATA("合計 / " &amp; $B218,【ピボット】事業所収支!$A$3,"年月",E$13,"事業所",$A$215)),#N/A)</f>
        <v>961704</v>
      </c>
      <c r="F218" s="483">
        <f>IFERROR(IF(GETPIVOTDATA("合計 / " &amp; $B218,【ピボット】事業所収支!$A$3,"年月",F$13,"事業所",$A$215)=0,#N/A,GETPIVOTDATA("合計 / " &amp; $B218,【ピボット】事業所収支!$A$3,"年月",F$13,"事業所",$A$215)),#N/A)</f>
        <v>976079</v>
      </c>
      <c r="G218" s="483">
        <f>IFERROR(IF(GETPIVOTDATA("合計 / " &amp; $B218,【ピボット】事業所収支!$A$3,"年月",G$13,"事業所",$A$215)=0,#N/A,GETPIVOTDATA("合計 / " &amp; $B218,【ピボット】事業所収支!$A$3,"年月",G$13,"事業所",$A$215)),#N/A)</f>
        <v>919094</v>
      </c>
      <c r="H218" s="483">
        <f>IFERROR(IF(GETPIVOTDATA("合計 / " &amp; $B218,【ピボット】事業所収支!$A$3,"年月",H$13,"事業所",$A$215)=0,#N/A,GETPIVOTDATA("合計 / " &amp; $B218,【ピボット】事業所収支!$A$3,"年月",H$13,"事業所",$A$215)),#N/A)</f>
        <v>949243</v>
      </c>
      <c r="I218" s="483">
        <f>IFERROR(IF(GETPIVOTDATA("合計 / " &amp; $B218,【ピボット】事業所収支!$A$3,"年月",I$13,"事業所",$A$215)=0,#N/A,GETPIVOTDATA("合計 / " &amp; $B218,【ピボット】事業所収支!$A$3,"年月",I$13,"事業所",$A$215)),#N/A)</f>
        <v>662686</v>
      </c>
      <c r="J218" s="483">
        <f>IFERROR(IF(GETPIVOTDATA("合計 / " &amp; $B218,【ピボット】事業所収支!$A$3,"年月",J$13,"事業所",$A$215)=0,#N/A,GETPIVOTDATA("合計 / " &amp; $B218,【ピボット】事業所収支!$A$3,"年月",J$13,"事業所",$A$215)),#N/A)</f>
        <v>1239285</v>
      </c>
      <c r="K218" s="483">
        <f>IFERROR(IF(GETPIVOTDATA("合計 / " &amp; $B218,【ピボット】事業所収支!$A$3,"年月",K$13,"事業所",$A$215)=0,#N/A,GETPIVOTDATA("合計 / " &amp; $B218,【ピボット】事業所収支!$A$3,"年月",K$13,"事業所",$A$215)),#N/A)</f>
        <v>889857</v>
      </c>
      <c r="L218" s="483">
        <f>IFERROR(IF(GETPIVOTDATA("合計 / " &amp; $B218,【ピボット】事業所収支!$A$3,"年月",L$13,"事業所",$A$215)=0,#N/A,GETPIVOTDATA("合計 / " &amp; $B218,【ピボット】事業所収支!$A$3,"年月",L$13,"事業所",$A$215)),#N/A)</f>
        <v>1088483</v>
      </c>
      <c r="M218" s="483">
        <f>IFERROR(IF(GETPIVOTDATA("合計 / " &amp; $B218,【ピボット】事業所収支!$A$3,"年月",M$13,"事業所",$A$215)=0,#N/A,GETPIVOTDATA("合計 / " &amp; $B218,【ピボット】事業所収支!$A$3,"年月",M$13,"事業所",$A$215)),#N/A)</f>
        <v>1190810</v>
      </c>
      <c r="N218" s="483">
        <f>IFERROR(IF(GETPIVOTDATA("合計 / " &amp; $B218,【ピボット】事業所収支!$A$3,"年月",N$13,"事業所",$A$215)=0,#N/A,GETPIVOTDATA("合計 / " &amp; $B218,【ピボット】事業所収支!$A$3,"年月",N$13,"事業所",$A$215)),#N/A)</f>
        <v>1332891</v>
      </c>
      <c r="O218" s="483">
        <f>IFERROR(IF(GETPIVOTDATA("合計 / " &amp; $B218,【ピボット】事業所収支!$A$3,"年月",O$13,"事業所",$A$215)=0,#N/A,GETPIVOTDATA("合計 / " &amp; $B218,【ピボット】事業所収支!$A$3,"年月",O$13,"事業所",$A$215)),#N/A)</f>
        <v>1559210</v>
      </c>
      <c r="P218" s="483">
        <f>IFERROR(IF(GETPIVOTDATA("合計 / " &amp; $B218,【ピボット】事業所収支!$A$3,"年月",P$13,"事業所",$A$215)=0,#N/A,GETPIVOTDATA("合計 / " &amp; $B218,【ピボット】事業所収支!$A$3,"年月",P$13,"事業所",$A$215)),#N/A)</f>
        <v>1098748</v>
      </c>
      <c r="Q218" s="483">
        <f>IFERROR(IF(GETPIVOTDATA("合計 / " &amp; $B218,【ピボット】事業所収支!$A$3,"年月",Q$13,"事業所",$A$215)=0,#N/A,GETPIVOTDATA("合計 / " &amp; $B218,【ピボット】事業所収支!$A$3,"年月",Q$13,"事業所",$A$215)),#N/A)</f>
        <v>1068839</v>
      </c>
      <c r="R218" s="483">
        <f>IFERROR(IF(GETPIVOTDATA("合計 / " &amp; $B218,【ピボット】事業所収支!$A$3,"年月",R$13,"事業所",$A$215)=0,#N/A,GETPIVOTDATA("合計 / " &amp; $B218,【ピボット】事業所収支!$A$3,"年月",R$13,"事業所",$A$215)),#N/A)</f>
        <v>1147860</v>
      </c>
      <c r="S218" s="483">
        <f>IFERROR(IF(GETPIVOTDATA("合計 / " &amp; $B218,【ピボット】事業所収支!$A$3,"年月",S$13,"事業所",$A$215)=0,#N/A,GETPIVOTDATA("合計 / " &amp; $B218,【ピボット】事業所収支!$A$3,"年月",S$13,"事業所",$A$215)),#N/A)</f>
        <v>1270090</v>
      </c>
      <c r="T218" s="483">
        <f>IFERROR(IF(GETPIVOTDATA("合計 / " &amp; $B218,【ピボット】事業所収支!$A$3,"年月",T$13,"事業所",$A$215)=0,#N/A,GETPIVOTDATA("合計 / " &amp; $B218,【ピボット】事業所収支!$A$3,"年月",T$13,"事業所",$A$215)),#N/A)</f>
        <v>1235375</v>
      </c>
      <c r="U218" s="483">
        <f>IFERROR(IF(GETPIVOTDATA("合計 / " &amp; $B218,【ピボット】事業所収支!$A$3,"年月",U$13,"事業所",$A$215)=0,#N/A,GETPIVOTDATA("合計 / " &amp; $B218,【ピボット】事業所収支!$A$3,"年月",U$13,"事業所",$A$215)),#N/A)</f>
        <v>1383679</v>
      </c>
      <c r="V218" s="483">
        <f>IFERROR(IF(GETPIVOTDATA("合計 / " &amp; $B218,【ピボット】事業所収支!$A$3,"年月",V$13,"事業所",$A$215)=0,#N/A,GETPIVOTDATA("合計 / " &amp; $B218,【ピボット】事業所収支!$A$3,"年月",V$13,"事業所",$A$215)),#N/A)</f>
        <v>1261113</v>
      </c>
      <c r="W218" s="483">
        <f>IFERROR(IF(GETPIVOTDATA("合計 / " &amp; $B218,【ピボット】事業所収支!$A$3,"年月",W$13,"事業所",$A$215)=0,#N/A,GETPIVOTDATA("合計 / " &amp; $B218,【ピボット】事業所収支!$A$3,"年月",W$13,"事業所",$A$215)),#N/A)</f>
        <v>1146348</v>
      </c>
      <c r="X218" s="483">
        <f>IFERROR(IF(GETPIVOTDATA("合計 / " &amp; $B218,【ピボット】事業所収支!$A$3,"年月",X$13,"事業所",$A$215)=0,#N/A,GETPIVOTDATA("合計 / " &amp; $B218,【ピボット】事業所収支!$A$3,"年月",X$13,"事業所",$A$215)),#N/A)</f>
        <v>1222020</v>
      </c>
      <c r="Y218" s="483">
        <f>IFERROR(IF(GETPIVOTDATA("合計 / " &amp; $B218,【ピボット】事業所収支!$A$3,"年月",Y$13,"事業所",$A$215)=0,#N/A,GETPIVOTDATA("合計 / " &amp; $B218,【ピボット】事業所収支!$A$3,"年月",Y$13,"事業所",$A$215)),#N/A)</f>
        <v>1307473</v>
      </c>
      <c r="Z218" s="483">
        <f>IFERROR(IF(GETPIVOTDATA("合計 / " &amp; $B218,【ピボット】事業所収支!$A$3,"年月",Z$13,"事業所",$A$215)=0,#N/A,GETPIVOTDATA("合計 / " &amp; $B218,【ピボット】事業所収支!$A$3,"年月",Z$13,"事業所",$A$215)),#N/A)</f>
        <v>1424258</v>
      </c>
    </row>
    <row r="219" spans="1:27" x14ac:dyDescent="0.15">
      <c r="B219" s="8" t="s">
        <v>27</v>
      </c>
      <c r="C219" s="483">
        <f>IFERROR(IF(GETPIVOTDATA("合計 / " &amp; $B219,【ピボット】事業所収支!$A$3,"年月",C$13,"事業所",$A$215)=0,#N/A,GETPIVOTDATA("合計 / " &amp; $B219,【ピボット】事業所収支!$A$3,"年月",C$13,"事業所",$A$215)),#N/A)</f>
        <v>741997</v>
      </c>
      <c r="D219" s="483">
        <f>IFERROR(IF(GETPIVOTDATA("合計 / " &amp; $B219,【ピボット】事業所収支!$A$3,"年月",D$13,"事業所",$A$215)=0,#N/A,GETPIVOTDATA("合計 / " &amp; $B219,【ピボット】事業所収支!$A$3,"年月",D$13,"事業所",$A$215)),#N/A)</f>
        <v>757744</v>
      </c>
      <c r="E219" s="483">
        <f>IFERROR(IF(GETPIVOTDATA("合計 / " &amp; $B219,【ピボット】事業所収支!$A$3,"年月",E$13,"事業所",$A$215)=0,#N/A,GETPIVOTDATA("合計 / " &amp; $B219,【ピボット】事業所収支!$A$3,"年月",E$13,"事業所",$A$215)),#N/A)</f>
        <v>749000</v>
      </c>
      <c r="F219" s="483">
        <f>IFERROR(IF(GETPIVOTDATA("合計 / " &amp; $B219,【ピボット】事業所収支!$A$3,"年月",F$13,"事業所",$A$215)=0,#N/A,GETPIVOTDATA("合計 / " &amp; $B219,【ピボット】事業所収支!$A$3,"年月",F$13,"事業所",$A$215)),#N/A)</f>
        <v>751983</v>
      </c>
      <c r="G219" s="483">
        <f>IFERROR(IF(GETPIVOTDATA("合計 / " &amp; $B219,【ピボット】事業所収支!$A$3,"年月",G$13,"事業所",$A$215)=0,#N/A,GETPIVOTDATA("合計 / " &amp; $B219,【ピボット】事業所収支!$A$3,"年月",G$13,"事業所",$A$215)),#N/A)</f>
        <v>771166</v>
      </c>
      <c r="H219" s="483">
        <f>IFERROR(IF(GETPIVOTDATA("合計 / " &amp; $B219,【ピボット】事業所収支!$A$3,"年月",H$13,"事業所",$A$215)=0,#N/A,GETPIVOTDATA("合計 / " &amp; $B219,【ピボット】事業所収支!$A$3,"年月",H$13,"事業所",$A$215)),#N/A)</f>
        <v>796962</v>
      </c>
      <c r="I219" s="483">
        <f>IFERROR(IF(GETPIVOTDATA("合計 / " &amp; $B219,【ピボット】事業所収支!$A$3,"年月",I$13,"事業所",$A$215)=0,#N/A,GETPIVOTDATA("合計 / " &amp; $B219,【ピボット】事業所収支!$A$3,"年月",I$13,"事業所",$A$215)),#N/A)</f>
        <v>803939</v>
      </c>
      <c r="J219" s="483">
        <f>IFERROR(IF(GETPIVOTDATA("合計 / " &amp; $B219,【ピボット】事業所収支!$A$3,"年月",J$13,"事業所",$A$215)=0,#N/A,GETPIVOTDATA("合計 / " &amp; $B219,【ピボット】事業所収支!$A$3,"年月",J$13,"事業所",$A$215)),#N/A)</f>
        <v>824685</v>
      </c>
      <c r="K219" s="483">
        <f>IFERROR(IF(GETPIVOTDATA("合計 / " &amp; $B219,【ピボット】事業所収支!$A$3,"年月",K$13,"事業所",$A$215)=0,#N/A,GETPIVOTDATA("合計 / " &amp; $B219,【ピボット】事業所収支!$A$3,"年月",K$13,"事業所",$A$215)),#N/A)</f>
        <v>768212</v>
      </c>
      <c r="L219" s="483">
        <f>IFERROR(IF(GETPIVOTDATA("合計 / " &amp; $B219,【ピボット】事業所収支!$A$3,"年月",L$13,"事業所",$A$215)=0,#N/A,GETPIVOTDATA("合計 / " &amp; $B219,【ピボット】事業所収支!$A$3,"年月",L$13,"事業所",$A$215)),#N/A)</f>
        <v>975211</v>
      </c>
      <c r="M219" s="483">
        <f>IFERROR(IF(GETPIVOTDATA("合計 / " &amp; $B219,【ピボット】事業所収支!$A$3,"年月",M$13,"事業所",$A$215)=0,#N/A,GETPIVOTDATA("合計 / " &amp; $B219,【ピボット】事業所収支!$A$3,"年月",M$13,"事業所",$A$215)),#N/A)</f>
        <v>954889</v>
      </c>
      <c r="N219" s="483">
        <f>IFERROR(IF(GETPIVOTDATA("合計 / " &amp; $B219,【ピボット】事業所収支!$A$3,"年月",N$13,"事業所",$A$215)=0,#N/A,GETPIVOTDATA("合計 / " &amp; $B219,【ピボット】事業所収支!$A$3,"年月",N$13,"事業所",$A$215)),#N/A)</f>
        <v>975349</v>
      </c>
      <c r="O219" s="483">
        <f>IFERROR(IF(GETPIVOTDATA("合計 / " &amp; $B219,【ピボット】事業所収支!$A$3,"年月",O$13,"事業所",$A$215)=0,#N/A,GETPIVOTDATA("合計 / " &amp; $B219,【ピボット】事業所収支!$A$3,"年月",O$13,"事業所",$A$215)),#N/A)</f>
        <v>762550</v>
      </c>
      <c r="P219" s="483">
        <f>IFERROR(IF(GETPIVOTDATA("合計 / " &amp; $B219,【ピボット】事業所収支!$A$3,"年月",P$13,"事業所",$A$215)=0,#N/A,GETPIVOTDATA("合計 / " &amp; $B219,【ピボット】事業所収支!$A$3,"年月",P$13,"事業所",$A$215)),#N/A)</f>
        <v>1216925</v>
      </c>
      <c r="Q219" s="483">
        <f>IFERROR(IF(GETPIVOTDATA("合計 / " &amp; $B219,【ピボット】事業所収支!$A$3,"年月",Q$13,"事業所",$A$215)=0,#N/A,GETPIVOTDATA("合計 / " &amp; $B219,【ピボット】事業所収支!$A$3,"年月",Q$13,"事業所",$A$215)),#N/A)</f>
        <v>1047902</v>
      </c>
      <c r="R219" s="483">
        <f>IFERROR(IF(GETPIVOTDATA("合計 / " &amp; $B219,【ピボット】事業所収支!$A$3,"年月",R$13,"事業所",$A$215)=0,#N/A,GETPIVOTDATA("合計 / " &amp; $B219,【ピボット】事業所収支!$A$3,"年月",R$13,"事業所",$A$215)),#N/A)</f>
        <v>1055568</v>
      </c>
      <c r="S219" s="483">
        <f>IFERROR(IF(GETPIVOTDATA("合計 / " &amp; $B219,【ピボット】事業所収支!$A$3,"年月",S$13,"事業所",$A$215)=0,#N/A,GETPIVOTDATA("合計 / " &amp; $B219,【ピボット】事業所収支!$A$3,"年月",S$13,"事業所",$A$215)),#N/A)</f>
        <v>856370</v>
      </c>
      <c r="T219" s="483">
        <f>IFERROR(IF(GETPIVOTDATA("合計 / " &amp; $B219,【ピボット】事業所収支!$A$3,"年月",T$13,"事業所",$A$215)=0,#N/A,GETPIVOTDATA("合計 / " &amp; $B219,【ピボット】事業所収支!$A$3,"年月",T$13,"事業所",$A$215)),#N/A)</f>
        <v>656604</v>
      </c>
      <c r="U219" s="483">
        <f>IFERROR(IF(GETPIVOTDATA("合計 / " &amp; $B219,【ピボット】事業所収支!$A$3,"年月",U$13,"事業所",$A$215)=0,#N/A,GETPIVOTDATA("合計 / " &amp; $B219,【ピボット】事業所収支!$A$3,"年月",U$13,"事業所",$A$215)),#N/A)</f>
        <v>656604</v>
      </c>
      <c r="V219" s="483">
        <f>IFERROR(IF(GETPIVOTDATA("合計 / " &amp; $B219,【ピボット】事業所収支!$A$3,"年月",V$13,"事業所",$A$215)=0,#N/A,GETPIVOTDATA("合計 / " &amp; $B219,【ピボット】事業所収支!$A$3,"年月",V$13,"事業所",$A$215)),#N/A)</f>
        <v>979604</v>
      </c>
      <c r="W219" s="483">
        <f>IFERROR(IF(GETPIVOTDATA("合計 / " &amp; $B219,【ピボット】事業所収支!$A$3,"年月",W$13,"事業所",$A$215)=0,#N/A,GETPIVOTDATA("合計 / " &amp; $B219,【ピボット】事業所収支!$A$3,"年月",W$13,"事業所",$A$215)),#N/A)</f>
        <v>899604</v>
      </c>
      <c r="X219" s="483">
        <f>IFERROR(IF(GETPIVOTDATA("合計 / " &amp; $B219,【ピボット】事業所収支!$A$3,"年月",X$13,"事業所",$A$215)=0,#N/A,GETPIVOTDATA("合計 / " &amp; $B219,【ピボット】事業所収支!$A$3,"年月",X$13,"事業所",$A$215)),#N/A)</f>
        <v>697856</v>
      </c>
      <c r="Y219" s="483">
        <f>IFERROR(IF(GETPIVOTDATA("合計 / " &amp; $B219,【ピボット】事業所収支!$A$3,"年月",Y$13,"事業所",$A$215)=0,#N/A,GETPIVOTDATA("合計 / " &amp; $B219,【ピボット】事業所収支!$A$3,"年月",Y$13,"事業所",$A$215)),#N/A)</f>
        <v>720487</v>
      </c>
      <c r="Z219" s="483">
        <f>IFERROR(IF(GETPIVOTDATA("合計 / " &amp; $B219,【ピボット】事業所収支!$A$3,"年月",Z$13,"事業所",$A$215)=0,#N/A,GETPIVOTDATA("合計 / " &amp; $B219,【ピボット】事業所収支!$A$3,"年月",Z$13,"事業所",$A$215)),#N/A)</f>
        <v>719604</v>
      </c>
    </row>
    <row r="220" spans="1:27" x14ac:dyDescent="0.15">
      <c r="B220" s="8" t="s">
        <v>60</v>
      </c>
      <c r="C220" s="483" t="e">
        <f>IFERROR(IF(GETPIVOTDATA("合計 / " &amp; $B220,【ピボット】事業所収支!$A$3,"年月",C$13,"事業所",$A$215)=0,#N/A,GETPIVOTDATA("合計 / " &amp; $B220,【ピボット】事業所収支!$A$3,"年月",C$13,"事業所",$A$215)),#N/A)</f>
        <v>#N/A</v>
      </c>
      <c r="D220" s="483">
        <f>IFERROR(IF(GETPIVOTDATA("合計 / " &amp; $B220,【ピボット】事業所収支!$A$3,"年月",D$13,"事業所",$A$215)=0,#N/A,GETPIVOTDATA("合計 / " &amp; $B220,【ピボット】事業所収支!$A$3,"年月",D$13,"事業所",$A$215)),#N/A)</f>
        <v>30000</v>
      </c>
      <c r="E220" s="483" t="e">
        <f>IFERROR(IF(GETPIVOTDATA("合計 / " &amp; $B220,【ピボット】事業所収支!$A$3,"年月",E$13,"事業所",$A$215)=0,#N/A,GETPIVOTDATA("合計 / " &amp; $B220,【ピボット】事業所収支!$A$3,"年月",E$13,"事業所",$A$215)),#N/A)</f>
        <v>#N/A</v>
      </c>
      <c r="F220" s="483">
        <f>IFERROR(IF(GETPIVOTDATA("合計 / " &amp; $B220,【ピボット】事業所収支!$A$3,"年月",F$13,"事業所",$A$215)=0,#N/A,GETPIVOTDATA("合計 / " &amp; $B220,【ピボット】事業所収支!$A$3,"年月",F$13,"事業所",$A$215)),#N/A)</f>
        <v>120000</v>
      </c>
      <c r="G220" s="483" t="e">
        <f>IFERROR(IF(GETPIVOTDATA("合計 / " &amp; $B220,【ピボット】事業所収支!$A$3,"年月",G$13,"事業所",$A$215)=0,#N/A,GETPIVOTDATA("合計 / " &amp; $B220,【ピボット】事業所収支!$A$3,"年月",G$13,"事業所",$A$215)),#N/A)</f>
        <v>#N/A</v>
      </c>
      <c r="H220" s="483" t="e">
        <f>IFERROR(IF(GETPIVOTDATA("合計 / " &amp; $B220,【ピボット】事業所収支!$A$3,"年月",H$13,"事業所",$A$215)=0,#N/A,GETPIVOTDATA("合計 / " &amp; $B220,【ピボット】事業所収支!$A$3,"年月",H$13,"事業所",$A$215)),#N/A)</f>
        <v>#N/A</v>
      </c>
      <c r="I220" s="483" t="e">
        <f>IFERROR(IF(GETPIVOTDATA("合計 / " &amp; $B220,【ピボット】事業所収支!$A$3,"年月",I$13,"事業所",$A$215)=0,#N/A,GETPIVOTDATA("合計 / " &amp; $B220,【ピボット】事業所収支!$A$3,"年月",I$13,"事業所",$A$215)),#N/A)</f>
        <v>#N/A</v>
      </c>
      <c r="J220" s="483">
        <f>IFERROR(IF(GETPIVOTDATA("合計 / " &amp; $B220,【ピボット】事業所収支!$A$3,"年月",J$13,"事業所",$A$215)=0,#N/A,GETPIVOTDATA("合計 / " &amp; $B220,【ピボット】事業所収支!$A$3,"年月",J$13,"事業所",$A$215)),#N/A)</f>
        <v>180000</v>
      </c>
      <c r="K220" s="483" t="e">
        <f>IFERROR(IF(GETPIVOTDATA("合計 / " &amp; $B220,【ピボット】事業所収支!$A$3,"年月",K$13,"事業所",$A$215)=0,#N/A,GETPIVOTDATA("合計 / " &amp; $B220,【ピボット】事業所収支!$A$3,"年月",K$13,"事業所",$A$215)),#N/A)</f>
        <v>#N/A</v>
      </c>
      <c r="L220" s="483" t="e">
        <f>IFERROR(IF(GETPIVOTDATA("合計 / " &amp; $B220,【ピボット】事業所収支!$A$3,"年月",L$13,"事業所",$A$215)=0,#N/A,GETPIVOTDATA("合計 / " &amp; $B220,【ピボット】事業所収支!$A$3,"年月",L$13,"事業所",$A$215)),#N/A)</f>
        <v>#N/A</v>
      </c>
      <c r="M220" s="483" t="e">
        <f>IFERROR(IF(GETPIVOTDATA("合計 / " &amp; $B220,【ピボット】事業所収支!$A$3,"年月",M$13,"事業所",$A$215)=0,#N/A,GETPIVOTDATA("合計 / " &amp; $B220,【ピボット】事業所収支!$A$3,"年月",M$13,"事業所",$A$215)),#N/A)</f>
        <v>#N/A</v>
      </c>
      <c r="N220" s="483" t="e">
        <f>IFERROR(IF(GETPIVOTDATA("合計 / " &amp; $B220,【ピボット】事業所収支!$A$3,"年月",N$13,"事業所",$A$215)=0,#N/A,GETPIVOTDATA("合計 / " &amp; $B220,【ピボット】事業所収支!$A$3,"年月",N$13,"事業所",$A$215)),#N/A)</f>
        <v>#N/A</v>
      </c>
      <c r="O220" s="483" t="e">
        <f>IFERROR(IF(GETPIVOTDATA("合計 / " &amp; $B220,【ピボット】事業所収支!$A$3,"年月",O$13,"事業所",$A$215)=0,#N/A,GETPIVOTDATA("合計 / " &amp; $B220,【ピボット】事業所収支!$A$3,"年月",O$13,"事業所",$A$215)),#N/A)</f>
        <v>#N/A</v>
      </c>
      <c r="P220" s="483">
        <f>IFERROR(IF(GETPIVOTDATA("合計 / " &amp; $B220,【ピボット】事業所収支!$A$3,"年月",P$13,"事業所",$A$215)=0,#N/A,GETPIVOTDATA("合計 / " &amp; $B220,【ピボット】事業所収支!$A$3,"年月",P$13,"事業所",$A$215)),#N/A)</f>
        <v>160000</v>
      </c>
      <c r="Q220" s="483" t="e">
        <f>IFERROR(IF(GETPIVOTDATA("合計 / " &amp; $B220,【ピボット】事業所収支!$A$3,"年月",Q$13,"事業所",$A$215)=0,#N/A,GETPIVOTDATA("合計 / " &amp; $B220,【ピボット】事業所収支!$A$3,"年月",Q$13,"事業所",$A$215)),#N/A)</f>
        <v>#N/A</v>
      </c>
      <c r="R220" s="483">
        <f>IFERROR(IF(GETPIVOTDATA("合計 / " &amp; $B220,【ピボット】事業所収支!$A$3,"年月",R$13,"事業所",$A$215)=0,#N/A,GETPIVOTDATA("合計 / " &amp; $B220,【ピボット】事業所収支!$A$3,"年月",R$13,"事業所",$A$215)),#N/A)</f>
        <v>100000</v>
      </c>
      <c r="S220" s="483" t="e">
        <f>IFERROR(IF(GETPIVOTDATA("合計 / " &amp; $B220,【ピボット】事業所収支!$A$3,"年月",S$13,"事業所",$A$215)=0,#N/A,GETPIVOTDATA("合計 / " &amp; $B220,【ピボット】事業所収支!$A$3,"年月",S$13,"事業所",$A$215)),#N/A)</f>
        <v>#N/A</v>
      </c>
      <c r="T220" s="483" t="e">
        <f>IFERROR(IF(GETPIVOTDATA("合計 / " &amp; $B220,【ピボット】事業所収支!$A$3,"年月",T$13,"事業所",$A$215)=0,#N/A,GETPIVOTDATA("合計 / " &amp; $B220,【ピボット】事業所収支!$A$3,"年月",T$13,"事業所",$A$215)),#N/A)</f>
        <v>#N/A</v>
      </c>
      <c r="U220" s="483" t="e">
        <f>IFERROR(IF(GETPIVOTDATA("合計 / " &amp; $B220,【ピボット】事業所収支!$A$3,"年月",U$13,"事業所",$A$215)=0,#N/A,GETPIVOTDATA("合計 / " &amp; $B220,【ピボット】事業所収支!$A$3,"年月",U$13,"事業所",$A$215)),#N/A)</f>
        <v>#N/A</v>
      </c>
      <c r="V220" s="483">
        <f>IFERROR(IF(GETPIVOTDATA("合計 / " &amp; $B220,【ピボット】事業所収支!$A$3,"年月",V$13,"事業所",$A$215)=0,#N/A,GETPIVOTDATA("合計 / " &amp; $B220,【ピボット】事業所収支!$A$3,"年月",V$13,"事業所",$A$215)),#N/A)</f>
        <v>762000</v>
      </c>
      <c r="W220" s="483" t="e">
        <f>IFERROR(IF(GETPIVOTDATA("合計 / " &amp; $B220,【ピボット】事業所収支!$A$3,"年月",W$13,"事業所",$A$215)=0,#N/A,GETPIVOTDATA("合計 / " &amp; $B220,【ピボット】事業所収支!$A$3,"年月",W$13,"事業所",$A$215)),#N/A)</f>
        <v>#N/A</v>
      </c>
      <c r="X220" s="483" t="e">
        <f>IFERROR(IF(GETPIVOTDATA("合計 / " &amp; $B220,【ピボット】事業所収支!$A$3,"年月",X$13,"事業所",$A$215)=0,#N/A,GETPIVOTDATA("合計 / " &amp; $B220,【ピボット】事業所収支!$A$3,"年月",X$13,"事業所",$A$215)),#N/A)</f>
        <v>#N/A</v>
      </c>
      <c r="Y220" s="483" t="e">
        <f>IFERROR(IF(GETPIVOTDATA("合計 / " &amp; $B220,【ピボット】事業所収支!$A$3,"年月",Y$13,"事業所",$A$215)=0,#N/A,GETPIVOTDATA("合計 / " &amp; $B220,【ピボット】事業所収支!$A$3,"年月",Y$13,"事業所",$A$215)),#N/A)</f>
        <v>#N/A</v>
      </c>
      <c r="Z220" s="483" t="e">
        <f>IFERROR(IF(GETPIVOTDATA("合計 / " &amp; $B220,【ピボット】事業所収支!$A$3,"年月",Z$13,"事業所",$A$215)=0,#N/A,GETPIVOTDATA("合計 / " &amp; $B220,【ピボット】事業所収支!$A$3,"年月",Z$13,"事業所",$A$215)),#N/A)</f>
        <v>#N/A</v>
      </c>
    </row>
    <row r="221" spans="1:27" x14ac:dyDescent="0.15">
      <c r="B221" s="8" t="s">
        <v>50</v>
      </c>
      <c r="C221" s="483" t="e">
        <f>IFERROR(IF(GETPIVOTDATA("合計 / " &amp; $B221,【ピボット】事業所収支!$A$3,"年月",C$13,"事業所",$A$215)=0,#N/A,GETPIVOTDATA("合計 / " &amp; $B221,【ピボット】事業所収支!$A$3,"年月",C$13,"事業所",$A$215)),#N/A)</f>
        <v>#N/A</v>
      </c>
      <c r="D221" s="483" t="e">
        <f>IFERROR(IF(GETPIVOTDATA("合計 / " &amp; $B221,【ピボット】事業所収支!$A$3,"年月",D$13,"事業所",$A$215)=0,#N/A,GETPIVOTDATA("合計 / " &amp; $B221,【ピボット】事業所収支!$A$3,"年月",D$13,"事業所",$A$215)),#N/A)</f>
        <v>#N/A</v>
      </c>
      <c r="E221" s="483" t="e">
        <f>IFERROR(IF(GETPIVOTDATA("合計 / " &amp; $B221,【ピボット】事業所収支!$A$3,"年月",E$13,"事業所",$A$215)=0,#N/A,GETPIVOTDATA("合計 / " &amp; $B221,【ピボット】事業所収支!$A$3,"年月",E$13,"事業所",$A$215)),#N/A)</f>
        <v>#N/A</v>
      </c>
      <c r="F221" s="483" t="e">
        <f>IFERROR(IF(GETPIVOTDATA("合計 / " &amp; $B221,【ピボット】事業所収支!$A$3,"年月",F$13,"事業所",$A$215)=0,#N/A,GETPIVOTDATA("合計 / " &amp; $B221,【ピボット】事業所収支!$A$3,"年月",F$13,"事業所",$A$215)),#N/A)</f>
        <v>#N/A</v>
      </c>
      <c r="G221" s="483" t="e">
        <f>IFERROR(IF(GETPIVOTDATA("合計 / " &amp; $B221,【ピボット】事業所収支!$A$3,"年月",G$13,"事業所",$A$215)=0,#N/A,GETPIVOTDATA("合計 / " &amp; $B221,【ピボット】事業所収支!$A$3,"年月",G$13,"事業所",$A$215)),#N/A)</f>
        <v>#N/A</v>
      </c>
      <c r="H221" s="483" t="e">
        <f>IFERROR(IF(GETPIVOTDATA("合計 / " &amp; $B221,【ピボット】事業所収支!$A$3,"年月",H$13,"事業所",$A$215)=0,#N/A,GETPIVOTDATA("合計 / " &amp; $B221,【ピボット】事業所収支!$A$3,"年月",H$13,"事業所",$A$215)),#N/A)</f>
        <v>#N/A</v>
      </c>
      <c r="I221" s="483" t="e">
        <f>IFERROR(IF(GETPIVOTDATA("合計 / " &amp; $B221,【ピボット】事業所収支!$A$3,"年月",I$13,"事業所",$A$215)=0,#N/A,GETPIVOTDATA("合計 / " &amp; $B221,【ピボット】事業所収支!$A$3,"年月",I$13,"事業所",$A$215)),#N/A)</f>
        <v>#N/A</v>
      </c>
      <c r="J221" s="483" t="e">
        <f>IFERROR(IF(GETPIVOTDATA("合計 / " &amp; $B221,【ピボット】事業所収支!$A$3,"年月",J$13,"事業所",$A$215)=0,#N/A,GETPIVOTDATA("合計 / " &amp; $B221,【ピボット】事業所収支!$A$3,"年月",J$13,"事業所",$A$215)),#N/A)</f>
        <v>#N/A</v>
      </c>
      <c r="K221" s="483" t="e">
        <f>IFERROR(IF(GETPIVOTDATA("合計 / " &amp; $B221,【ピボット】事業所収支!$A$3,"年月",K$13,"事業所",$A$215)=0,#N/A,GETPIVOTDATA("合計 / " &amp; $B221,【ピボット】事業所収支!$A$3,"年月",K$13,"事業所",$A$215)),#N/A)</f>
        <v>#N/A</v>
      </c>
      <c r="L221" s="483" t="e">
        <f>IFERROR(IF(GETPIVOTDATA("合計 / " &amp; $B221,【ピボット】事業所収支!$A$3,"年月",L$13,"事業所",$A$215)=0,#N/A,GETPIVOTDATA("合計 / " &amp; $B221,【ピボット】事業所収支!$A$3,"年月",L$13,"事業所",$A$215)),#N/A)</f>
        <v>#N/A</v>
      </c>
      <c r="M221" s="483" t="e">
        <f>IFERROR(IF(GETPIVOTDATA("合計 / " &amp; $B221,【ピボット】事業所収支!$A$3,"年月",M$13,"事業所",$A$215)=0,#N/A,GETPIVOTDATA("合計 / " &amp; $B221,【ピボット】事業所収支!$A$3,"年月",M$13,"事業所",$A$215)),#N/A)</f>
        <v>#N/A</v>
      </c>
      <c r="N221" s="483" t="e">
        <f>IFERROR(IF(GETPIVOTDATA("合計 / " &amp; $B221,【ピボット】事業所収支!$A$3,"年月",N$13,"事業所",$A$215)=0,#N/A,GETPIVOTDATA("合計 / " &amp; $B221,【ピボット】事業所収支!$A$3,"年月",N$13,"事業所",$A$215)),#N/A)</f>
        <v>#N/A</v>
      </c>
      <c r="O221" s="483" t="e">
        <f>IFERROR(IF(GETPIVOTDATA("合計 / " &amp; $B221,【ピボット】事業所収支!$A$3,"年月",O$13,"事業所",$A$215)=0,#N/A,GETPIVOTDATA("合計 / " &amp; $B221,【ピボット】事業所収支!$A$3,"年月",O$13,"事業所",$A$215)),#N/A)</f>
        <v>#N/A</v>
      </c>
      <c r="P221" s="483" t="e">
        <f>IFERROR(IF(GETPIVOTDATA("合計 / " &amp; $B221,【ピボット】事業所収支!$A$3,"年月",P$13,"事業所",$A$215)=0,#N/A,GETPIVOTDATA("合計 / " &amp; $B221,【ピボット】事業所収支!$A$3,"年月",P$13,"事業所",$A$215)),#N/A)</f>
        <v>#N/A</v>
      </c>
      <c r="Q221" s="483" t="e">
        <f>IFERROR(IF(GETPIVOTDATA("合計 / " &amp; $B221,【ピボット】事業所収支!$A$3,"年月",Q$13,"事業所",$A$215)=0,#N/A,GETPIVOTDATA("合計 / " &amp; $B221,【ピボット】事業所収支!$A$3,"年月",Q$13,"事業所",$A$215)),#N/A)</f>
        <v>#N/A</v>
      </c>
      <c r="R221" s="483" t="e">
        <f>IFERROR(IF(GETPIVOTDATA("合計 / " &amp; $B221,【ピボット】事業所収支!$A$3,"年月",R$13,"事業所",$A$215)=0,#N/A,GETPIVOTDATA("合計 / " &amp; $B221,【ピボット】事業所収支!$A$3,"年月",R$13,"事業所",$A$215)),#N/A)</f>
        <v>#N/A</v>
      </c>
      <c r="S221" s="483" t="e">
        <f>IFERROR(IF(GETPIVOTDATA("合計 / " &amp; $B221,【ピボット】事業所収支!$A$3,"年月",S$13,"事業所",$A$215)=0,#N/A,GETPIVOTDATA("合計 / " &amp; $B221,【ピボット】事業所収支!$A$3,"年月",S$13,"事業所",$A$215)),#N/A)</f>
        <v>#N/A</v>
      </c>
      <c r="T221" s="483" t="e">
        <f>IFERROR(IF(GETPIVOTDATA("合計 / " &amp; $B221,【ピボット】事業所収支!$A$3,"年月",T$13,"事業所",$A$215)=0,#N/A,GETPIVOTDATA("合計 / " &amp; $B221,【ピボット】事業所収支!$A$3,"年月",T$13,"事業所",$A$215)),#N/A)</f>
        <v>#N/A</v>
      </c>
      <c r="U221" s="483" t="e">
        <f>IFERROR(IF(GETPIVOTDATA("合計 / " &amp; $B221,【ピボット】事業所収支!$A$3,"年月",U$13,"事業所",$A$215)=0,#N/A,GETPIVOTDATA("合計 / " &amp; $B221,【ピボット】事業所収支!$A$3,"年月",U$13,"事業所",$A$215)),#N/A)</f>
        <v>#N/A</v>
      </c>
      <c r="V221" s="483" t="e">
        <f>IFERROR(IF(GETPIVOTDATA("合計 / " &amp; $B221,【ピボット】事業所収支!$A$3,"年月",V$13,"事業所",$A$215)=0,#N/A,GETPIVOTDATA("合計 / " &amp; $B221,【ピボット】事業所収支!$A$3,"年月",V$13,"事業所",$A$215)),#N/A)</f>
        <v>#N/A</v>
      </c>
      <c r="W221" s="483" t="e">
        <f>IFERROR(IF(GETPIVOTDATA("合計 / " &amp; $B221,【ピボット】事業所収支!$A$3,"年月",W$13,"事業所",$A$215)=0,#N/A,GETPIVOTDATA("合計 / " &amp; $B221,【ピボット】事業所収支!$A$3,"年月",W$13,"事業所",$A$215)),#N/A)</f>
        <v>#N/A</v>
      </c>
      <c r="X221" s="483" t="e">
        <f>IFERROR(IF(GETPIVOTDATA("合計 / " &amp; $B221,【ピボット】事業所収支!$A$3,"年月",X$13,"事業所",$A$215)=0,#N/A,GETPIVOTDATA("合計 / " &amp; $B221,【ピボット】事業所収支!$A$3,"年月",X$13,"事業所",$A$215)),#N/A)</f>
        <v>#N/A</v>
      </c>
      <c r="Y221" s="483" t="e">
        <f>IFERROR(IF(GETPIVOTDATA("合計 / " &amp; $B221,【ピボット】事業所収支!$A$3,"年月",Y$13,"事業所",$A$215)=0,#N/A,GETPIVOTDATA("合計 / " &amp; $B221,【ピボット】事業所収支!$A$3,"年月",Y$13,"事業所",$A$215)),#N/A)</f>
        <v>#N/A</v>
      </c>
      <c r="Z221" s="483" t="e">
        <f>IFERROR(IF(GETPIVOTDATA("合計 / " &amp; $B221,【ピボット】事業所収支!$A$3,"年月",Z$13,"事業所",$A$215)=0,#N/A,GETPIVOTDATA("合計 / " &amp; $B221,【ピボット】事業所収支!$A$3,"年月",Z$13,"事業所",$A$215)),#N/A)</f>
        <v>#N/A</v>
      </c>
    </row>
    <row r="222" spans="1:27" x14ac:dyDescent="0.15">
      <c r="B222" s="9" t="s">
        <v>29</v>
      </c>
      <c r="C222" s="484">
        <f>IFERROR(IF(GETPIVOTDATA("合計 / " &amp; $B222,【ピボット】事業所収支!$A$3,"年月",C$13,"事業所",$A$215)=0,#N/A,GETPIVOTDATA("合計 / " &amp; $B222,【ピボット】事業所収支!$A$3,"年月",C$13,"事業所",$A$215)),#N/A)</f>
        <v>95779</v>
      </c>
      <c r="D222" s="484">
        <f>IFERROR(IF(GETPIVOTDATA("合計 / " &amp; $B222,【ピボット】事業所収支!$A$3,"年月",D$13,"事業所",$A$215)=0,#N/A,GETPIVOTDATA("合計 / " &amp; $B222,【ピボット】事業所収支!$A$3,"年月",D$13,"事業所",$A$215)),#N/A)</f>
        <v>139071</v>
      </c>
      <c r="E222" s="484">
        <f>IFERROR(IF(GETPIVOTDATA("合計 / " &amp; $B222,【ピボット】事業所収支!$A$3,"年月",E$13,"事業所",$A$215)=0,#N/A,GETPIVOTDATA("合計 / " &amp; $B222,【ピボット】事業所収支!$A$3,"年月",E$13,"事業所",$A$215)),#N/A)</f>
        <v>215498</v>
      </c>
      <c r="F222" s="484">
        <f>IFERROR(IF(GETPIVOTDATA("合計 / " &amp; $B222,【ピボット】事業所収支!$A$3,"年月",F$13,"事業所",$A$215)=0,#N/A,GETPIVOTDATA("合計 / " &amp; $B222,【ピボット】事業所収支!$A$3,"年月",F$13,"事業所",$A$215)),#N/A)</f>
        <v>118550</v>
      </c>
      <c r="G222" s="484">
        <f>IFERROR(IF(GETPIVOTDATA("合計 / " &amp; $B222,【ピボット】事業所収支!$A$3,"年月",G$13,"事業所",$A$215)=0,#N/A,GETPIVOTDATA("合計 / " &amp; $B222,【ピボット】事業所収支!$A$3,"年月",G$13,"事業所",$A$215)),#N/A)</f>
        <v>110274</v>
      </c>
      <c r="H222" s="484">
        <f>IFERROR(IF(GETPIVOTDATA("合計 / " &amp; $B222,【ピボット】事業所収支!$A$3,"年月",H$13,"事業所",$A$215)=0,#N/A,GETPIVOTDATA("合計 / " &amp; $B222,【ピボット】事業所収支!$A$3,"年月",H$13,"事業所",$A$215)),#N/A)</f>
        <v>171179</v>
      </c>
      <c r="I222" s="484">
        <f>IFERROR(IF(GETPIVOTDATA("合計 / " &amp; $B222,【ピボット】事業所収支!$A$3,"年月",I$13,"事業所",$A$215)=0,#N/A,GETPIVOTDATA("合計 / " &amp; $B222,【ピボット】事業所収支!$A$3,"年月",I$13,"事業所",$A$215)),#N/A)</f>
        <v>154166</v>
      </c>
      <c r="J222" s="484">
        <f>IFERROR(IF(GETPIVOTDATA("合計 / " &amp; $B222,【ピボット】事業所収支!$A$3,"年月",J$13,"事業所",$A$215)=0,#N/A,GETPIVOTDATA("合計 / " &amp; $B222,【ピボット】事業所収支!$A$3,"年月",J$13,"事業所",$A$215)),#N/A)</f>
        <v>-22669.38640245752</v>
      </c>
      <c r="K222" s="484">
        <f>IFERROR(IF(GETPIVOTDATA("合計 / " &amp; $B222,【ピボット】事業所収支!$A$3,"年月",K$13,"事業所",$A$215)=0,#N/A,GETPIVOTDATA("合計 / " &amp; $B222,【ピボット】事業所収支!$A$3,"年月",K$13,"事業所",$A$215)),#N/A)</f>
        <v>484249</v>
      </c>
      <c r="L222" s="484">
        <f>IFERROR(IF(GETPIVOTDATA("合計 / " &amp; $B222,【ピボット】事業所収支!$A$3,"年月",L$13,"事業所",$A$215)=0,#N/A,GETPIVOTDATA("合計 / " &amp; $B222,【ピボット】事業所収支!$A$3,"年月",L$13,"事業所",$A$215)),#N/A)</f>
        <v>205964</v>
      </c>
      <c r="M222" s="484">
        <f>IFERROR(IF(GETPIVOTDATA("合計 / " &amp; $B222,【ピボット】事業所収支!$A$3,"年月",M$13,"事業所",$A$215)=0,#N/A,GETPIVOTDATA("合計 / " &amp; $B222,【ピボット】事業所収支!$A$3,"年月",M$13,"事業所",$A$215)),#N/A)</f>
        <v>251605</v>
      </c>
      <c r="N222" s="484">
        <f>IFERROR(IF(GETPIVOTDATA("合計 / " &amp; $B222,【ピボット】事業所収支!$A$3,"年月",N$13,"事業所",$A$215)=0,#N/A,GETPIVOTDATA("合計 / " &amp; $B222,【ピボット】事業所収支!$A$3,"年月",N$13,"事業所",$A$215)),#N/A)</f>
        <v>234380</v>
      </c>
      <c r="O222" s="484">
        <f>IFERROR(IF(GETPIVOTDATA("合計 / " &amp; $B222,【ピボット】事業所収支!$A$3,"年月",O$13,"事業所",$A$215)=0,#N/A,GETPIVOTDATA("合計 / " &amp; $B222,【ピボット】事業所収支!$A$3,"年月",O$13,"事業所",$A$215)),#N/A)</f>
        <v>198006</v>
      </c>
      <c r="P222" s="484">
        <f>IFERROR(IF(GETPIVOTDATA("合計 / " &amp; $B222,【ピボット】事業所収支!$A$3,"年月",P$13,"事業所",$A$215)=0,#N/A,GETPIVOTDATA("合計 / " &amp; $B222,【ピボット】事業所収支!$A$3,"年月",P$13,"事業所",$A$215)),#N/A)</f>
        <v>195918</v>
      </c>
      <c r="Q222" s="484">
        <f>IFERROR(IF(GETPIVOTDATA("合計 / " &amp; $B222,【ピボット】事業所収支!$A$3,"年月",Q$13,"事業所",$A$215)=0,#N/A,GETPIVOTDATA("合計 / " &amp; $B222,【ピボット】事業所収支!$A$3,"年月",Q$13,"事業所",$A$215)),#N/A)</f>
        <v>430990</v>
      </c>
      <c r="R222" s="484">
        <f>IFERROR(IF(GETPIVOTDATA("合計 / " &amp; $B222,【ピボット】事業所収支!$A$3,"年月",R$13,"事業所",$A$215)=0,#N/A,GETPIVOTDATA("合計 / " &amp; $B222,【ピボット】事業所収支!$A$3,"年月",R$13,"事業所",$A$215)),#N/A)</f>
        <v>169145</v>
      </c>
      <c r="S222" s="484">
        <f>IFERROR(IF(GETPIVOTDATA("合計 / " &amp; $B222,【ピボット】事業所収支!$A$3,"年月",S$13,"事業所",$A$215)=0,#N/A,GETPIVOTDATA("合計 / " &amp; $B222,【ピボット】事業所収支!$A$3,"年月",S$13,"事業所",$A$215)),#N/A)</f>
        <v>222254</v>
      </c>
      <c r="T222" s="484">
        <f>IFERROR(IF(GETPIVOTDATA("合計 / " &amp; $B222,【ピボット】事業所収支!$A$3,"年月",T$13,"事業所",$A$215)=0,#N/A,GETPIVOTDATA("合計 / " &amp; $B222,【ピボット】事業所収支!$A$3,"年月",T$13,"事業所",$A$215)),#N/A)</f>
        <v>191004</v>
      </c>
      <c r="U222" s="484">
        <f>IFERROR(IF(GETPIVOTDATA("合計 / " &amp; $B222,【ピボット】事業所収支!$A$3,"年月",U$13,"事業所",$A$215)=0,#N/A,GETPIVOTDATA("合計 / " &amp; $B222,【ピボット】事業所収支!$A$3,"年月",U$13,"事業所",$A$215)),#N/A)</f>
        <v>135028</v>
      </c>
      <c r="V222" s="484">
        <f>IFERROR(IF(GETPIVOTDATA("合計 / " &amp; $B222,【ピボット】事業所収支!$A$3,"年月",V$13,"事業所",$A$215)=0,#N/A,GETPIVOTDATA("合計 / " &amp; $B222,【ピボット】事業所収支!$A$3,"年月",V$13,"事業所",$A$215)),#N/A)</f>
        <v>312105</v>
      </c>
      <c r="W222" s="484">
        <f>IFERROR(IF(GETPIVOTDATA("合計 / " &amp; $B222,【ピボット】事業所収支!$A$3,"年月",W$13,"事業所",$A$215)=0,#N/A,GETPIVOTDATA("合計 / " &amp; $B222,【ピボット】事業所収支!$A$3,"年月",W$13,"事業所",$A$215)),#N/A)</f>
        <v>187830</v>
      </c>
      <c r="X222" s="484">
        <f>IFERROR(IF(GETPIVOTDATA("合計 / " &amp; $B222,【ピボット】事業所収支!$A$3,"年月",X$13,"事業所",$A$215)=0,#N/A,GETPIVOTDATA("合計 / " &amp; $B222,【ピボット】事業所収支!$A$3,"年月",X$13,"事業所",$A$215)),#N/A)</f>
        <v>150053</v>
      </c>
      <c r="Y222" s="484">
        <f>IFERROR(IF(GETPIVOTDATA("合計 / " &amp; $B222,【ピボット】事業所収支!$A$3,"年月",Y$13,"事業所",$A$215)=0,#N/A,GETPIVOTDATA("合計 / " &amp; $B222,【ピボット】事業所収支!$A$3,"年月",Y$13,"事業所",$A$215)),#N/A)</f>
        <v>151589</v>
      </c>
      <c r="Z222" s="484">
        <f>IFERROR(IF(GETPIVOTDATA("合計 / " &amp; $B222,【ピボット】事業所収支!$A$3,"年月",Z$13,"事業所",$A$215)=0,#N/A,GETPIVOTDATA("合計 / " &amp; $B222,【ピボット】事業所収支!$A$3,"年月",Z$13,"事業所",$A$215)),#N/A)</f>
        <v>168463</v>
      </c>
      <c r="AA222" s="4"/>
    </row>
    <row r="223" spans="1:27" x14ac:dyDescent="0.15">
      <c r="B223" s="9" t="s">
        <v>51</v>
      </c>
      <c r="C223" s="483">
        <f>IFERROR(IF(GETPIVOTDATA("合計 / " &amp; $B223,【ピボット】事業所収支!$A$3,"年月",C$13,"事業所",$A$215)=0,#N/A,GETPIVOTDATA("合計 / " &amp; $B223,【ピボット】事業所収支!$A$3,"年月",C$13,"事業所",$A$215)),#N/A)</f>
        <v>3402</v>
      </c>
      <c r="D223" s="483">
        <f>IFERROR(IF(GETPIVOTDATA("合計 / " &amp; $B223,【ピボット】事業所収支!$A$3,"年月",D$13,"事業所",$A$215)=0,#N/A,GETPIVOTDATA("合計 / " &amp; $B223,【ピボット】事業所収支!$A$3,"年月",D$13,"事業所",$A$215)),#N/A)</f>
        <v>3402</v>
      </c>
      <c r="E223" s="483">
        <f>IFERROR(IF(GETPIVOTDATA("合計 / " &amp; $B223,【ピボット】事業所収支!$A$3,"年月",E$13,"事業所",$A$215)=0,#N/A,GETPIVOTDATA("合計 / " &amp; $B223,【ピボット】事業所収支!$A$3,"年月",E$13,"事業所",$A$215)),#N/A)</f>
        <v>3402</v>
      </c>
      <c r="F223" s="483">
        <f>IFERROR(IF(GETPIVOTDATA("合計 / " &amp; $B223,【ピボット】事業所収支!$A$3,"年月",F$13,"事業所",$A$215)=0,#N/A,GETPIVOTDATA("合計 / " &amp; $B223,【ピボット】事業所収支!$A$3,"年月",F$13,"事業所",$A$215)),#N/A)</f>
        <v>4536</v>
      </c>
      <c r="G223" s="483">
        <f>IFERROR(IF(GETPIVOTDATA("合計 / " &amp; $B223,【ピボット】事業所収支!$A$3,"年月",G$13,"事業所",$A$215)=0,#N/A,GETPIVOTDATA("合計 / " &amp; $B223,【ピボット】事業所収支!$A$3,"年月",G$13,"事業所",$A$215)),#N/A)</f>
        <v>14076</v>
      </c>
      <c r="H223" s="483" t="e">
        <f>IFERROR(IF(GETPIVOTDATA("合計 / " &amp; $B223,【ピボット】事業所収支!$A$3,"年月",H$13,"事業所",$A$215)=0,#N/A,GETPIVOTDATA("合計 / " &amp; $B223,【ピボット】事業所収支!$A$3,"年月",H$13,"事業所",$A$215)),#N/A)</f>
        <v>#N/A</v>
      </c>
      <c r="I223" s="483" t="e">
        <f>IFERROR(IF(GETPIVOTDATA("合計 / " &amp; $B223,【ピボット】事業所収支!$A$3,"年月",I$13,"事業所",$A$215)=0,#N/A,GETPIVOTDATA("合計 / " &amp; $B223,【ピボット】事業所収支!$A$3,"年月",I$13,"事業所",$A$215)),#N/A)</f>
        <v>#N/A</v>
      </c>
      <c r="J223" s="483" t="e">
        <f>IFERROR(IF(GETPIVOTDATA("合計 / " &amp; $B223,【ピボット】事業所収支!$A$3,"年月",J$13,"事業所",$A$215)=0,#N/A,GETPIVOTDATA("合計 / " &amp; $B223,【ピボット】事業所収支!$A$3,"年月",J$13,"事業所",$A$215)),#N/A)</f>
        <v>#N/A</v>
      </c>
      <c r="K223" s="483" t="e">
        <f>IFERROR(IF(GETPIVOTDATA("合計 / " &amp; $B223,【ピボット】事業所収支!$A$3,"年月",K$13,"事業所",$A$215)=0,#N/A,GETPIVOTDATA("合計 / " &amp; $B223,【ピボット】事業所収支!$A$3,"年月",K$13,"事業所",$A$215)),#N/A)</f>
        <v>#N/A</v>
      </c>
      <c r="L223" s="483">
        <f>IFERROR(IF(GETPIVOTDATA("合計 / " &amp; $B223,【ピボット】事業所収支!$A$3,"年月",L$13,"事業所",$A$215)=0,#N/A,GETPIVOTDATA("合計 / " &amp; $B223,【ピボット】事業所収支!$A$3,"年月",L$13,"事業所",$A$215)),#N/A)</f>
        <v>2501</v>
      </c>
      <c r="M223" s="483">
        <f>IFERROR(IF(GETPIVOTDATA("合計 / " &amp; $B223,【ピボット】事業所収支!$A$3,"年月",M$13,"事業所",$A$215)=0,#N/A,GETPIVOTDATA("合計 / " &amp; $B223,【ピボット】事業所収支!$A$3,"年月",M$13,"事業所",$A$215)),#N/A)</f>
        <v>61454</v>
      </c>
      <c r="N223" s="483">
        <f>IFERROR(IF(GETPIVOTDATA("合計 / " &amp; $B223,【ピボット】事業所収支!$A$3,"年月",N$13,"事業所",$A$215)=0,#N/A,GETPIVOTDATA("合計 / " &amp; $B223,【ピボット】事業所収支!$A$3,"年月",N$13,"事業所",$A$215)),#N/A)</f>
        <v>31530</v>
      </c>
      <c r="O223" s="483">
        <f>IFERROR(IF(GETPIVOTDATA("合計 / " &amp; $B223,【ピボット】事業所収支!$A$3,"年月",O$13,"事業所",$A$215)=0,#N/A,GETPIVOTDATA("合計 / " &amp; $B223,【ピボット】事業所収支!$A$3,"年月",O$13,"事業所",$A$215)),#N/A)</f>
        <v>2500</v>
      </c>
      <c r="P223" s="483">
        <f>IFERROR(IF(GETPIVOTDATA("合計 / " &amp; $B223,【ピボット】事業所収支!$A$3,"年月",P$13,"事業所",$A$215)=0,#N/A,GETPIVOTDATA("合計 / " &amp; $B223,【ピボット】事業所収支!$A$3,"年月",P$13,"事業所",$A$215)),#N/A)</f>
        <v>3670</v>
      </c>
      <c r="Q223" s="483">
        <f>IFERROR(IF(GETPIVOTDATA("合計 / " &amp; $B223,【ピボット】事業所収支!$A$3,"年月",Q$13,"事業所",$A$215)=0,#N/A,GETPIVOTDATA("合計 / " &amp; $B223,【ピボット】事業所収支!$A$3,"年月",Q$13,"事業所",$A$215)),#N/A)</f>
        <v>147479</v>
      </c>
      <c r="R223" s="483" t="e">
        <f>IFERROR(IF(GETPIVOTDATA("合計 / " &amp; $B223,【ピボット】事業所収支!$A$3,"年月",R$13,"事業所",$A$215)=0,#N/A,GETPIVOTDATA("合計 / " &amp; $B223,【ピボット】事業所収支!$A$3,"年月",R$13,"事業所",$A$215)),#N/A)</f>
        <v>#N/A</v>
      </c>
      <c r="S223" s="483">
        <f>IFERROR(IF(GETPIVOTDATA("合計 / " &amp; $B223,【ピボット】事業所収支!$A$3,"年月",S$13,"事業所",$A$215)=0,#N/A,GETPIVOTDATA("合計 / " &amp; $B223,【ピボット】事業所収支!$A$3,"年月",S$13,"事業所",$A$215)),#N/A)</f>
        <v>1512</v>
      </c>
      <c r="T223" s="483">
        <f>IFERROR(IF(GETPIVOTDATA("合計 / " &amp; $B223,【ピボット】事業所収支!$A$3,"年月",T$13,"事業所",$A$215)=0,#N/A,GETPIVOTDATA("合計 / " &amp; $B223,【ピボット】事業所収支!$A$3,"年月",T$13,"事業所",$A$215)),#N/A)</f>
        <v>3367</v>
      </c>
      <c r="U223" s="483">
        <f>IFERROR(IF(GETPIVOTDATA("合計 / " &amp; $B223,【ピボット】事業所収支!$A$3,"年月",U$13,"事業所",$A$215)=0,#N/A,GETPIVOTDATA("合計 / " &amp; $B223,【ピボット】事業所収支!$A$3,"年月",U$13,"事業所",$A$215)),#N/A)</f>
        <v>16200</v>
      </c>
      <c r="V223" s="483" t="e">
        <f>IFERROR(IF(GETPIVOTDATA("合計 / " &amp; $B223,【ピボット】事業所収支!$A$3,"年月",V$13,"事業所",$A$215)=0,#N/A,GETPIVOTDATA("合計 / " &amp; $B223,【ピボット】事業所収支!$A$3,"年月",V$13,"事業所",$A$215)),#N/A)</f>
        <v>#N/A</v>
      </c>
      <c r="W223" s="483">
        <f>IFERROR(IF(GETPIVOTDATA("合計 / " &amp; $B223,【ピボット】事業所収支!$A$3,"年月",W$13,"事業所",$A$215)=0,#N/A,GETPIVOTDATA("合計 / " &amp; $B223,【ピボット】事業所収支!$A$3,"年月",W$13,"事業所",$A$215)),#N/A)</f>
        <v>99116</v>
      </c>
      <c r="X223" s="483">
        <f>IFERROR(IF(GETPIVOTDATA("合計 / " &amp; $B223,【ピボット】事業所収支!$A$3,"年月",X$13,"事業所",$A$215)=0,#N/A,GETPIVOTDATA("合計 / " &amp; $B223,【ピボット】事業所収支!$A$3,"年月",X$13,"事業所",$A$215)),#N/A)</f>
        <v>32400</v>
      </c>
      <c r="Y223" s="483">
        <f>IFERROR(IF(GETPIVOTDATA("合計 / " &amp; $B223,【ピボット】事業所収支!$A$3,"年月",Y$13,"事業所",$A$215)=0,#N/A,GETPIVOTDATA("合計 / " &amp; $B223,【ピボット】事業所収支!$A$3,"年月",Y$13,"事業所",$A$215)),#N/A)</f>
        <v>700</v>
      </c>
      <c r="Z223" s="483">
        <f>IFERROR(IF(GETPIVOTDATA("合計 / " &amp; $B223,【ピボット】事業所収支!$A$3,"年月",Z$13,"事業所",$A$215)=0,#N/A,GETPIVOTDATA("合計 / " &amp; $B223,【ピボット】事業所収支!$A$3,"年月",Z$13,"事業所",$A$215)),#N/A)</f>
        <v>4000</v>
      </c>
      <c r="AA223" s="4"/>
    </row>
    <row r="224" spans="1:27" x14ac:dyDescent="0.15">
      <c r="B224" s="41" t="s">
        <v>15</v>
      </c>
      <c r="C224" s="486">
        <f>IFERROR(IF(GETPIVOTDATA("合計 / " &amp; $B224,【ピボット】事業所収支!$A$3,"年月",C$13,"事業所",$A$215)=0,#N/A,GETPIVOTDATA("合計 / " &amp; $B224,【ピボット】事業所収支!$A$3,"年月",C$13,"事業所",$A$215)),#N/A)</f>
        <v>1747386</v>
      </c>
      <c r="D224" s="486">
        <f>IFERROR(IF(GETPIVOTDATA("合計 / " &amp; $B224,【ピボット】事業所収支!$A$3,"年月",D$13,"事業所",$A$215)=0,#N/A,GETPIVOTDATA("合計 / " &amp; $B224,【ピボット】事業所収支!$A$3,"年月",D$13,"事業所",$A$215)),#N/A)</f>
        <v>1816576</v>
      </c>
      <c r="E224" s="486">
        <f>IFERROR(IF(GETPIVOTDATA("合計 / " &amp; $B224,【ピボット】事業所収支!$A$3,"年月",E$13,"事業所",$A$215)=0,#N/A,GETPIVOTDATA("合計 / " &amp; $B224,【ピボット】事業所収支!$A$3,"年月",E$13,"事業所",$A$215)),#N/A)</f>
        <v>1929604</v>
      </c>
      <c r="F224" s="486">
        <f>IFERROR(IF(GETPIVOTDATA("合計 / " &amp; $B224,【ピボット】事業所収支!$A$3,"年月",F$13,"事業所",$A$215)=0,#N/A,GETPIVOTDATA("合計 / " &amp; $B224,【ピボット】事業所収支!$A$3,"年月",F$13,"事業所",$A$215)),#N/A)</f>
        <v>1971148</v>
      </c>
      <c r="G224" s="486">
        <f>IFERROR(IF(GETPIVOTDATA("合計 / " &amp; $B224,【ピボット】事業所収支!$A$3,"年月",G$13,"事業所",$A$215)=0,#N/A,GETPIVOTDATA("合計 / " &amp; $B224,【ピボット】事業所収支!$A$3,"年月",G$13,"事業所",$A$215)),#N/A)</f>
        <v>1814610</v>
      </c>
      <c r="H224" s="486">
        <f>IFERROR(IF(GETPIVOTDATA("合計 / " &amp; $B224,【ピボット】事業所収支!$A$3,"年月",H$13,"事業所",$A$215)=0,#N/A,GETPIVOTDATA("合計 / " &amp; $B224,【ピボット】事業所収支!$A$3,"年月",H$13,"事業所",$A$215)),#N/A)</f>
        <v>1917384</v>
      </c>
      <c r="I224" s="486">
        <f>IFERROR(IF(GETPIVOTDATA("合計 / " &amp; $B224,【ピボット】事業所収支!$A$3,"年月",I$13,"事業所",$A$215)=0,#N/A,GETPIVOTDATA("合計 / " &amp; $B224,【ピボット】事業所収支!$A$3,"年月",I$13,"事業所",$A$215)),#N/A)</f>
        <v>1620791</v>
      </c>
      <c r="J224" s="486">
        <f>IFERROR(IF(GETPIVOTDATA("合計 / " &amp; $B224,【ピボット】事業所収支!$A$3,"年月",J$13,"事業所",$A$215)=0,#N/A,GETPIVOTDATA("合計 / " &amp; $B224,【ピボット】事業所収支!$A$3,"年月",J$13,"事業所",$A$215)),#N/A)</f>
        <v>2221300.6135975425</v>
      </c>
      <c r="K224" s="486">
        <f>IFERROR(IF(GETPIVOTDATA("合計 / " &amp; $B224,【ピボット】事業所収支!$A$3,"年月",K$13,"事業所",$A$215)=0,#N/A,GETPIVOTDATA("合計 / " &amp; $B224,【ピボット】事業所収支!$A$3,"年月",K$13,"事業所",$A$215)),#N/A)</f>
        <v>2142318</v>
      </c>
      <c r="L224" s="486">
        <f>IFERROR(IF(GETPIVOTDATA("合計 / " &amp; $B224,【ピボット】事業所収支!$A$3,"年月",L$13,"事業所",$A$215)=0,#N/A,GETPIVOTDATA("合計 / " &amp; $B224,【ピボット】事業所収支!$A$3,"年月",L$13,"事業所",$A$215)),#N/A)</f>
        <v>2272159</v>
      </c>
      <c r="M224" s="486">
        <f>IFERROR(IF(GETPIVOTDATA("合計 / " &amp; $B224,【ピボット】事業所収支!$A$3,"年月",M$13,"事業所",$A$215)=0,#N/A,GETPIVOTDATA("合計 / " &amp; $B224,【ピボット】事業所収支!$A$3,"年月",M$13,"事業所",$A$215)),#N/A)</f>
        <v>2458758</v>
      </c>
      <c r="N224" s="486">
        <f>IFERROR(IF(GETPIVOTDATA("合計 / " &amp; $B224,【ピボット】事業所収支!$A$3,"年月",N$13,"事業所",$A$215)=0,#N/A,GETPIVOTDATA("合計 / " &amp; $B224,【ピボット】事業所収支!$A$3,"年月",N$13,"事業所",$A$215)),#N/A)</f>
        <v>2574150</v>
      </c>
      <c r="O224" s="486">
        <f>IFERROR(IF(GETPIVOTDATA("合計 / " &amp; $B224,【ピボット】事業所収支!$A$3,"年月",O$13,"事業所",$A$215)=0,#N/A,GETPIVOTDATA("合計 / " &amp; $B224,【ピボット】事業所収支!$A$3,"年月",O$13,"事業所",$A$215)),#N/A)</f>
        <v>2522266</v>
      </c>
      <c r="P224" s="486">
        <f>IFERROR(IF(GETPIVOTDATA("合計 / " &amp; $B224,【ピボット】事業所収支!$A$3,"年月",P$13,"事業所",$A$215)=0,#N/A,GETPIVOTDATA("合計 / " &amp; $B224,【ピボット】事業所収支!$A$3,"年月",P$13,"事業所",$A$215)),#N/A)</f>
        <v>2675261</v>
      </c>
      <c r="Q224" s="486">
        <f>IFERROR(IF(GETPIVOTDATA("合計 / " &amp; $B224,【ピボット】事業所収支!$A$3,"年月",Q$13,"事業所",$A$215)=0,#N/A,GETPIVOTDATA("合計 / " &amp; $B224,【ピボット】事業所収支!$A$3,"年月",Q$13,"事業所",$A$215)),#N/A)</f>
        <v>2695210</v>
      </c>
      <c r="R224" s="486">
        <f>IFERROR(IF(GETPIVOTDATA("合計 / " &amp; $B224,【ピボット】事業所収支!$A$3,"年月",R$13,"事業所",$A$215)=0,#N/A,GETPIVOTDATA("合計 / " &amp; $B224,【ピボット】事業所収支!$A$3,"年月",R$13,"事業所",$A$215)),#N/A)</f>
        <v>2472573</v>
      </c>
      <c r="S224" s="486">
        <f>IFERROR(IF(GETPIVOTDATA("合計 / " &amp; $B224,【ピボット】事業所収支!$A$3,"年月",S$13,"事業所",$A$215)=0,#N/A,GETPIVOTDATA("合計 / " &amp; $B224,【ピボット】事業所収支!$A$3,"年月",S$13,"事業所",$A$215)),#N/A)</f>
        <v>2350226</v>
      </c>
      <c r="T224" s="486">
        <f>IFERROR(IF(GETPIVOTDATA("合計 / " &amp; $B224,【ピボット】事業所収支!$A$3,"年月",T$13,"事業所",$A$215)=0,#N/A,GETPIVOTDATA("合計 / " &amp; $B224,【ピボット】事業所収支!$A$3,"年月",T$13,"事業所",$A$215)),#N/A)</f>
        <v>2086350</v>
      </c>
      <c r="U224" s="486">
        <f>IFERROR(IF(GETPIVOTDATA("合計 / " &amp; $B224,【ピボット】事業所収支!$A$3,"年月",U$13,"事業所",$A$215)=0,#N/A,GETPIVOTDATA("合計 / " &amp; $B224,【ピボット】事業所収支!$A$3,"年月",U$13,"事業所",$A$215)),#N/A)</f>
        <v>2191511</v>
      </c>
      <c r="V224" s="486">
        <f>IFERROR(IF(GETPIVOTDATA("合計 / " &amp; $B224,【ピボット】事業所収支!$A$3,"年月",V$13,"事業所",$A$215)=0,#N/A,GETPIVOTDATA("合計 / " &amp; $B224,【ピボット】事業所収支!$A$3,"年月",V$13,"事業所",$A$215)),#N/A)</f>
        <v>3314822</v>
      </c>
      <c r="W224" s="486">
        <f>IFERROR(IF(GETPIVOTDATA("合計 / " &amp; $B224,【ピボット】事業所収支!$A$3,"年月",W$13,"事業所",$A$215)=0,#N/A,GETPIVOTDATA("合計 / " &amp; $B224,【ピボット】事業所収支!$A$3,"年月",W$13,"事業所",$A$215)),#N/A)</f>
        <v>2332898</v>
      </c>
      <c r="X224" s="486">
        <f>IFERROR(IF(GETPIVOTDATA("合計 / " &amp; $B224,【ピボット】事業所収支!$A$3,"年月",X$13,"事業所",$A$215)=0,#N/A,GETPIVOTDATA("合計 / " &amp; $B224,【ピボット】事業所収支!$A$3,"年月",X$13,"事業所",$A$215)),#N/A)</f>
        <v>2102329</v>
      </c>
      <c r="Y224" s="486">
        <f>IFERROR(IF(GETPIVOTDATA("合計 / " &amp; $B224,【ピボット】事業所収支!$A$3,"年月",Y$13,"事業所",$A$215)=0,#N/A,GETPIVOTDATA("合計 / " &amp; $B224,【ピボット】事業所収支!$A$3,"年月",Y$13,"事業所",$A$215)),#N/A)</f>
        <v>2180249</v>
      </c>
      <c r="Z224" s="486">
        <f>IFERROR(IF(GETPIVOTDATA("合計 / " &amp; $B224,【ピボット】事業所収支!$A$3,"年月",Z$13,"事業所",$A$215)=0,#N/A,GETPIVOTDATA("合計 / " &amp; $B224,【ピボット】事業所収支!$A$3,"年月",Z$13,"事業所",$A$215)),#N/A)</f>
        <v>2316325</v>
      </c>
    </row>
    <row r="225" spans="2:27" x14ac:dyDescent="0.15">
      <c r="B225" s="48" t="s">
        <v>30</v>
      </c>
      <c r="C225" s="487">
        <f>IFERROR(IF(GETPIVOTDATA("合計 / " &amp; $B225 &amp;"計",【ピボット】事業所収支!$A$3,"年月",C$13,"事業所",$A$215)=0,#N/A,GETPIVOTDATA("合計 / " &amp; $B225 &amp;"計",【ピボット】事業所収支!$A$3,"年月",C$13,"事業所",$A$215)),#N/A)</f>
        <v>1001164</v>
      </c>
      <c r="D225" s="487">
        <f>IFERROR(IF(GETPIVOTDATA("合計 / " &amp; $B225 &amp;"計",【ピボット】事業所収支!$A$3,"年月",D$13,"事業所",$A$215)=0,#N/A,GETPIVOTDATA("合計 / " &amp; $B225 &amp;"計",【ピボット】事業所収支!$A$3,"年月",D$13,"事業所",$A$215)),#N/A)</f>
        <v>989607</v>
      </c>
      <c r="E225" s="487">
        <f>IFERROR(IF(GETPIVOTDATA("合計 / " &amp; $B225 &amp;"計",【ピボット】事業所収支!$A$3,"年月",E$13,"事業所",$A$215)=0,#N/A,GETPIVOTDATA("合計 / " &amp; $B225 &amp;"計",【ピボット】事業所収支!$A$3,"年月",E$13,"事業所",$A$215)),#N/A)</f>
        <v>897734</v>
      </c>
      <c r="F225" s="487">
        <f>IFERROR(IF(GETPIVOTDATA("合計 / " &amp; $B225 &amp;"計",【ピボット】事業所収支!$A$3,"年月",F$13,"事業所",$A$215)=0,#N/A,GETPIVOTDATA("合計 / " &amp; $B225 &amp;"計",【ピボット】事業所収支!$A$3,"年月",F$13,"事業所",$A$215)),#N/A)</f>
        <v>1167584</v>
      </c>
      <c r="G225" s="487">
        <f>IFERROR(IF(GETPIVOTDATA("合計 / " &amp; $B225 &amp;"計",【ピボット】事業所収支!$A$3,"年月",G$13,"事業所",$A$215)=0,#N/A,GETPIVOTDATA("合計 / " &amp; $B225 &amp;"計",【ピボット】事業所収支!$A$3,"年月",G$13,"事業所",$A$215)),#N/A)</f>
        <v>824423</v>
      </c>
      <c r="H225" s="487">
        <f>IFERROR(IF(GETPIVOTDATA("合計 / " &amp; $B225 &amp;"計",【ピボット】事業所収支!$A$3,"年月",H$13,"事業所",$A$215)=0,#N/A,GETPIVOTDATA("合計 / " &amp; $B225 &amp;"計",【ピボット】事業所収支!$A$3,"年月",H$13,"事業所",$A$215)),#N/A)</f>
        <v>966398</v>
      </c>
      <c r="I225" s="487">
        <f>IFERROR(IF(GETPIVOTDATA("合計 / " &amp; $B225 &amp;"計",【ピボット】事業所収支!$A$3,"年月",I$13,"事業所",$A$215)=0,#N/A,GETPIVOTDATA("合計 / " &amp; $B225 &amp;"計",【ピボット】事業所収支!$A$3,"年月",I$13,"事業所",$A$215)),#N/A)</f>
        <v>859233</v>
      </c>
      <c r="J225" s="487">
        <f>IFERROR(IF(GETPIVOTDATA("合計 / " &amp; $B225 &amp;"計",【ピボット】事業所収支!$A$3,"年月",J$13,"事業所",$A$215)=0,#N/A,GETPIVOTDATA("合計 / " &amp; $B225 &amp;"計",【ピボット】事業所収支!$A$3,"年月",J$13,"事業所",$A$215)),#N/A)</f>
        <v>1042803</v>
      </c>
      <c r="K225" s="487">
        <f>IFERROR(IF(GETPIVOTDATA("合計 / " &amp; $B225 &amp;"計",【ピボット】事業所収支!$A$3,"年月",K$13,"事業所",$A$215)=0,#N/A,GETPIVOTDATA("合計 / " &amp; $B225 &amp;"計",【ピボット】事業所収支!$A$3,"年月",K$13,"事業所",$A$215)),#N/A)</f>
        <v>1015011</v>
      </c>
      <c r="L225" s="487">
        <f>IFERROR(IF(GETPIVOTDATA("合計 / " &amp; $B225 &amp;"計",【ピボット】事業所収支!$A$3,"年月",L$13,"事業所",$A$215)=0,#N/A,GETPIVOTDATA("合計 / " &amp; $B225 &amp;"計",【ピボット】事業所収支!$A$3,"年月",L$13,"事業所",$A$215)),#N/A)</f>
        <v>1024904</v>
      </c>
      <c r="M225" s="487">
        <f>IFERROR(IF(GETPIVOTDATA("合計 / " &amp; $B225 &amp;"計",【ピボット】事業所収支!$A$3,"年月",M$13,"事業所",$A$215)=0,#N/A,GETPIVOTDATA("合計 / " &amp; $B225 &amp;"計",【ピボット】事業所収支!$A$3,"年月",M$13,"事業所",$A$215)),#N/A)</f>
        <v>969911</v>
      </c>
      <c r="N225" s="487">
        <f>IFERROR(IF(GETPIVOTDATA("合計 / " &amp; $B225 &amp;"計",【ピボット】事業所収支!$A$3,"年月",N$13,"事業所",$A$215)=0,#N/A,GETPIVOTDATA("合計 / " &amp; $B225 &amp;"計",【ピボット】事業所収支!$A$3,"年月",N$13,"事業所",$A$215)),#N/A)</f>
        <v>821057</v>
      </c>
      <c r="O225" s="487">
        <f>IFERROR(IF(GETPIVOTDATA("合計 / " &amp; $B225 &amp;"計",【ピボット】事業所収支!$A$3,"年月",O$13,"事業所",$A$215)=0,#N/A,GETPIVOTDATA("合計 / " &amp; $B225 &amp;"計",【ピボット】事業所収支!$A$3,"年月",O$13,"事業所",$A$215)),#N/A)</f>
        <v>1282778</v>
      </c>
      <c r="P225" s="487">
        <f>IFERROR(IF(GETPIVOTDATA("合計 / " &amp; $B225 &amp;"計",【ピボット】事業所収支!$A$3,"年月",P$13,"事業所",$A$215)=0,#N/A,GETPIVOTDATA("合計 / " &amp; $B225 &amp;"計",【ピボット】事業所収支!$A$3,"年月",P$13,"事業所",$A$215)),#N/A)</f>
        <v>1171971</v>
      </c>
      <c r="Q225" s="487">
        <f>IFERROR(IF(GETPIVOTDATA("合計 / " &amp; $B225 &amp;"計",【ピボット】事業所収支!$A$3,"年月",Q$13,"事業所",$A$215)=0,#N/A,GETPIVOTDATA("合計 / " &amp; $B225 &amp;"計",【ピボット】事業所収支!$A$3,"年月",Q$13,"事業所",$A$215)),#N/A)</f>
        <v>1095648</v>
      </c>
      <c r="R225" s="487">
        <f>IFERROR(IF(GETPIVOTDATA("合計 / " &amp; $B225 &amp;"計",【ピボット】事業所収支!$A$3,"年月",R$13,"事業所",$A$215)=0,#N/A,GETPIVOTDATA("合計 / " &amp; $B225 &amp;"計",【ピボット】事業所収支!$A$3,"年月",R$13,"事業所",$A$215)),#N/A)</f>
        <v>1218671</v>
      </c>
      <c r="S225" s="487">
        <f>IFERROR(IF(GETPIVOTDATA("合計 / " &amp; $B225 &amp;"計",【ピボット】事業所収支!$A$3,"年月",S$13,"事業所",$A$215)=0,#N/A,GETPIVOTDATA("合計 / " &amp; $B225 &amp;"計",【ピボット】事業所収支!$A$3,"年月",S$13,"事業所",$A$215)),#N/A)</f>
        <v>1089344</v>
      </c>
      <c r="T225" s="487">
        <f>IFERROR(IF(GETPIVOTDATA("合計 / " &amp; $B225 &amp;"計",【ピボット】事業所収支!$A$3,"年月",T$13,"事業所",$A$215)=0,#N/A,GETPIVOTDATA("合計 / " &amp; $B225 &amp;"計",【ピボット】事業所収支!$A$3,"年月",T$13,"事業所",$A$215)),#N/A)</f>
        <v>1207486</v>
      </c>
      <c r="U225" s="487">
        <f>IFERROR(IF(GETPIVOTDATA("合計 / " &amp; $B225 &amp;"計",【ピボット】事業所収支!$A$3,"年月",U$13,"事業所",$A$215)=0,#N/A,GETPIVOTDATA("合計 / " &amp; $B225 &amp;"計",【ピボット】事業所収支!$A$3,"年月",U$13,"事業所",$A$215)),#N/A)</f>
        <v>1037871</v>
      </c>
      <c r="V225" s="487">
        <f>IFERROR(IF(GETPIVOTDATA("合計 / " &amp; $B225 &amp;"計",【ピボット】事業所収支!$A$3,"年月",V$13,"事業所",$A$215)=0,#N/A,GETPIVOTDATA("合計 / " &amp; $B225 &amp;"計",【ピボット】事業所収支!$A$3,"年月",V$13,"事業所",$A$215)),#N/A)</f>
        <v>1158080</v>
      </c>
      <c r="W225" s="487">
        <f>IFERROR(IF(GETPIVOTDATA("合計 / " &amp; $B225 &amp;"計",【ピボット】事業所収支!$A$3,"年月",W$13,"事業所",$A$215)=0,#N/A,GETPIVOTDATA("合計 / " &amp; $B225 &amp;"計",【ピボット】事業所収支!$A$3,"年月",W$13,"事業所",$A$215)),#N/A)</f>
        <v>1282667</v>
      </c>
      <c r="X225" s="487">
        <f>IFERROR(IF(GETPIVOTDATA("合計 / " &amp; $B225 &amp;"計",【ピボット】事業所収支!$A$3,"年月",X$13,"事業所",$A$215)=0,#N/A,GETPIVOTDATA("合計 / " &amp; $B225 &amp;"計",【ピボット】事業所収支!$A$3,"年月",X$13,"事業所",$A$215)),#N/A)</f>
        <v>1149109</v>
      </c>
      <c r="Y225" s="487">
        <f>IFERROR(IF(GETPIVOTDATA("合計 / " &amp; $B225 &amp;"計",【ピボット】事業所収支!$A$3,"年月",Y$13,"事業所",$A$215)=0,#N/A,GETPIVOTDATA("合計 / " &amp; $B225 &amp;"計",【ピボット】事業所収支!$A$3,"年月",Y$13,"事業所",$A$215)),#N/A)</f>
        <v>1064856</v>
      </c>
      <c r="Z225" s="487">
        <f>IFERROR(IF(GETPIVOTDATA("合計 / " &amp; $B225 &amp;"計",【ピボット】事業所収支!$A$3,"年月",Z$13,"事業所",$A$215)=0,#N/A,GETPIVOTDATA("合計 / " &amp; $B225 &amp;"計",【ピボット】事業所収支!$A$3,"年月",Z$13,"事業所",$A$215)),#N/A)</f>
        <v>1085892</v>
      </c>
      <c r="AA225" s="4"/>
    </row>
    <row r="226" spans="2:27" hidden="1" x14ac:dyDescent="0.15">
      <c r="B226" s="48" t="s">
        <v>112</v>
      </c>
      <c r="C226" s="487" t="e">
        <f>#REF!</f>
        <v>#REF!</v>
      </c>
      <c r="D226" s="487" t="e">
        <f>#REF!</f>
        <v>#REF!</v>
      </c>
      <c r="E226" s="487" t="e">
        <f>#REF!</f>
        <v>#REF!</v>
      </c>
      <c r="F226" s="487" t="e">
        <f>#REF!</f>
        <v>#REF!</v>
      </c>
      <c r="G226" s="487" t="e">
        <f>#REF!</f>
        <v>#REF!</v>
      </c>
      <c r="H226" s="487" t="e">
        <f>#REF!</f>
        <v>#REF!</v>
      </c>
      <c r="I226" s="487" t="e">
        <f>#REF!</f>
        <v>#REF!</v>
      </c>
      <c r="J226" s="487" t="e">
        <f>#REF!</f>
        <v>#REF!</v>
      </c>
      <c r="K226" s="487" t="e">
        <f>#REF!</f>
        <v>#REF!</v>
      </c>
      <c r="L226" s="487" t="e">
        <f>#REF!</f>
        <v>#REF!</v>
      </c>
      <c r="M226" s="487" t="e">
        <f>#REF!</f>
        <v>#REF!</v>
      </c>
      <c r="N226" s="487" t="e">
        <f>#REF!</f>
        <v>#REF!</v>
      </c>
      <c r="O226" s="487" t="e">
        <f>#REF!</f>
        <v>#REF!</v>
      </c>
      <c r="P226" s="487" t="e">
        <f>#REF!</f>
        <v>#REF!</v>
      </c>
      <c r="Q226" s="487" t="e">
        <f>#REF!</f>
        <v>#REF!</v>
      </c>
      <c r="R226" s="487" t="e">
        <f>#REF!</f>
        <v>#REF!</v>
      </c>
      <c r="S226" s="487" t="e">
        <f>#REF!</f>
        <v>#REF!</v>
      </c>
      <c r="T226" s="487" t="e">
        <f>#REF!</f>
        <v>#REF!</v>
      </c>
      <c r="U226" s="487" t="e">
        <f>#REF!</f>
        <v>#REF!</v>
      </c>
      <c r="V226" s="487" t="e">
        <f>#REF!</f>
        <v>#REF!</v>
      </c>
      <c r="W226" s="487" t="e">
        <f>#REF!</f>
        <v>#REF!</v>
      </c>
      <c r="X226" s="487" t="e">
        <f>#REF!</f>
        <v>#REF!</v>
      </c>
      <c r="Y226" s="487" t="e">
        <f>#REF!</f>
        <v>#REF!</v>
      </c>
      <c r="Z226" s="487" t="e">
        <f>#REF!</f>
        <v>#REF!</v>
      </c>
      <c r="AA226" s="4"/>
    </row>
    <row r="227" spans="2:27" x14ac:dyDescent="0.15">
      <c r="B227" s="8" t="s">
        <v>53</v>
      </c>
      <c r="C227" s="483">
        <f t="shared" ref="C227:Z227" si="17">IFERROR(C224,0)+IFERROR(C225,0)</f>
        <v>2748550</v>
      </c>
      <c r="D227" s="483">
        <f t="shared" si="17"/>
        <v>2806183</v>
      </c>
      <c r="E227" s="483">
        <f t="shared" si="17"/>
        <v>2827338</v>
      </c>
      <c r="F227" s="483">
        <f t="shared" si="17"/>
        <v>3138732</v>
      </c>
      <c r="G227" s="483">
        <f t="shared" si="17"/>
        <v>2639033</v>
      </c>
      <c r="H227" s="483">
        <f t="shared" si="17"/>
        <v>2883782</v>
      </c>
      <c r="I227" s="483">
        <f t="shared" si="17"/>
        <v>2480024</v>
      </c>
      <c r="J227" s="483">
        <f t="shared" si="17"/>
        <v>3264103.6135975425</v>
      </c>
      <c r="K227" s="483">
        <f t="shared" si="17"/>
        <v>3157329</v>
      </c>
      <c r="L227" s="483">
        <f t="shared" si="17"/>
        <v>3297063</v>
      </c>
      <c r="M227" s="483">
        <f t="shared" si="17"/>
        <v>3428669</v>
      </c>
      <c r="N227" s="483">
        <f t="shared" si="17"/>
        <v>3395207</v>
      </c>
      <c r="O227" s="483">
        <f t="shared" si="17"/>
        <v>3805044</v>
      </c>
      <c r="P227" s="483">
        <f t="shared" si="17"/>
        <v>3847232</v>
      </c>
      <c r="Q227" s="483">
        <f t="shared" si="17"/>
        <v>3790858</v>
      </c>
      <c r="R227" s="483">
        <f t="shared" si="17"/>
        <v>3691244</v>
      </c>
      <c r="S227" s="483">
        <f t="shared" si="17"/>
        <v>3439570</v>
      </c>
      <c r="T227" s="483">
        <f t="shared" si="17"/>
        <v>3293836</v>
      </c>
      <c r="U227" s="483">
        <f t="shared" si="17"/>
        <v>3229382</v>
      </c>
      <c r="V227" s="483">
        <f t="shared" si="17"/>
        <v>4472902</v>
      </c>
      <c r="W227" s="483">
        <f t="shared" si="17"/>
        <v>3615565</v>
      </c>
      <c r="X227" s="483">
        <f t="shared" si="17"/>
        <v>3251438</v>
      </c>
      <c r="Y227" s="483">
        <f t="shared" si="17"/>
        <v>3245105</v>
      </c>
      <c r="Z227" s="483">
        <f t="shared" si="17"/>
        <v>3402217</v>
      </c>
    </row>
    <row r="228" spans="2:27" x14ac:dyDescent="0.15">
      <c r="B228" s="11" t="s">
        <v>32</v>
      </c>
      <c r="C228" s="488">
        <f t="shared" ref="C228:Z228" si="18">IFERROR(SUM(C217,-C227),0)</f>
        <v>801158</v>
      </c>
      <c r="D228" s="488">
        <f t="shared" si="18"/>
        <v>791602</v>
      </c>
      <c r="E228" s="488">
        <f t="shared" si="18"/>
        <v>788801</v>
      </c>
      <c r="F228" s="488">
        <f t="shared" si="18"/>
        <v>36072</v>
      </c>
      <c r="G228" s="488">
        <f t="shared" si="18"/>
        <v>491665</v>
      </c>
      <c r="H228" s="488">
        <f t="shared" si="18"/>
        <v>386609</v>
      </c>
      <c r="I228" s="488">
        <f t="shared" si="18"/>
        <v>1027709</v>
      </c>
      <c r="J228" s="488">
        <f t="shared" si="18"/>
        <v>28244.386402457487</v>
      </c>
      <c r="K228" s="488">
        <f t="shared" si="18"/>
        <v>156187</v>
      </c>
      <c r="L228" s="488">
        <f t="shared" si="18"/>
        <v>200276</v>
      </c>
      <c r="M228" s="488">
        <f t="shared" si="18"/>
        <v>29954</v>
      </c>
      <c r="N228" s="488">
        <f t="shared" si="18"/>
        <v>1311313</v>
      </c>
      <c r="O228" s="488">
        <f t="shared" si="18"/>
        <v>614589</v>
      </c>
      <c r="P228" s="488">
        <f t="shared" si="18"/>
        <v>299040</v>
      </c>
      <c r="Q228" s="488">
        <f t="shared" si="18"/>
        <v>677636</v>
      </c>
      <c r="R228" s="488">
        <f t="shared" si="18"/>
        <v>802986</v>
      </c>
      <c r="S228" s="488">
        <f t="shared" si="18"/>
        <v>977581</v>
      </c>
      <c r="T228" s="488">
        <f t="shared" si="18"/>
        <v>1148364</v>
      </c>
      <c r="U228" s="488">
        <f t="shared" si="18"/>
        <v>1603699</v>
      </c>
      <c r="V228" s="488">
        <f t="shared" si="18"/>
        <v>-50258</v>
      </c>
      <c r="W228" s="488">
        <f t="shared" si="18"/>
        <v>505352</v>
      </c>
      <c r="X228" s="488">
        <f t="shared" si="18"/>
        <v>1224455</v>
      </c>
      <c r="Y228" s="488">
        <f t="shared" si="18"/>
        <v>1686078</v>
      </c>
      <c r="Z228" s="488">
        <f t="shared" si="18"/>
        <v>1023758</v>
      </c>
      <c r="AA228" s="4">
        <f>SUM(O228:Z228)</f>
        <v>10513280</v>
      </c>
    </row>
    <row r="229" spans="2:27" x14ac:dyDescent="0.15">
      <c r="B229" s="11"/>
    </row>
    <row r="230" spans="2:27" x14ac:dyDescent="0.15">
      <c r="B230" s="11"/>
      <c r="X230" s="489"/>
      <c r="Y230" s="489"/>
      <c r="Z230" s="489"/>
    </row>
    <row r="255" spans="1:26" ht="18.75" x14ac:dyDescent="0.15">
      <c r="A255" t="s">
        <v>751</v>
      </c>
      <c r="B255" s="43" t="str">
        <f>A255 &amp; "収支"</f>
        <v>二日市場収支</v>
      </c>
    </row>
    <row r="256" spans="1:26" x14ac:dyDescent="0.15">
      <c r="B256" s="10"/>
      <c r="C256" s="668">
        <f t="shared" ref="C256:Z256" si="19">C$13</f>
        <v>42856</v>
      </c>
      <c r="D256" s="668">
        <f t="shared" si="19"/>
        <v>42887</v>
      </c>
      <c r="E256" s="668">
        <f t="shared" si="19"/>
        <v>42917</v>
      </c>
      <c r="F256" s="668">
        <f t="shared" si="19"/>
        <v>42948</v>
      </c>
      <c r="G256" s="668">
        <f t="shared" si="19"/>
        <v>42979</v>
      </c>
      <c r="H256" s="668">
        <f t="shared" si="19"/>
        <v>43009</v>
      </c>
      <c r="I256" s="668">
        <f t="shared" si="19"/>
        <v>43040</v>
      </c>
      <c r="J256" s="668">
        <f t="shared" si="19"/>
        <v>43070</v>
      </c>
      <c r="K256" s="668">
        <f t="shared" si="19"/>
        <v>43101</v>
      </c>
      <c r="L256" s="668">
        <f t="shared" si="19"/>
        <v>43132</v>
      </c>
      <c r="M256" s="668">
        <f t="shared" si="19"/>
        <v>43160</v>
      </c>
      <c r="N256" s="668">
        <f t="shared" si="19"/>
        <v>43191</v>
      </c>
      <c r="O256" s="668">
        <f t="shared" si="19"/>
        <v>43221</v>
      </c>
      <c r="P256" s="668">
        <f t="shared" si="19"/>
        <v>43252</v>
      </c>
      <c r="Q256" s="668">
        <f t="shared" si="19"/>
        <v>43282</v>
      </c>
      <c r="R256" s="668">
        <f t="shared" si="19"/>
        <v>43313</v>
      </c>
      <c r="S256" s="668">
        <f t="shared" si="19"/>
        <v>43344</v>
      </c>
      <c r="T256" s="668">
        <f t="shared" si="19"/>
        <v>43374</v>
      </c>
      <c r="U256" s="668">
        <f t="shared" si="19"/>
        <v>43405</v>
      </c>
      <c r="V256" s="668">
        <f t="shared" si="19"/>
        <v>43435</v>
      </c>
      <c r="W256" s="668">
        <f t="shared" si="19"/>
        <v>43466</v>
      </c>
      <c r="X256" s="668">
        <f t="shared" si="19"/>
        <v>43497</v>
      </c>
      <c r="Y256" s="668">
        <f t="shared" si="19"/>
        <v>43525</v>
      </c>
      <c r="Z256" s="668">
        <f t="shared" si="19"/>
        <v>43556</v>
      </c>
    </row>
    <row r="257" spans="2:27" x14ac:dyDescent="0.15">
      <c r="B257" s="12" t="s">
        <v>21</v>
      </c>
      <c r="C257" s="482">
        <f>IFERROR(IF(GETPIVOTDATA("合計 / " &amp; $B257,【ピボット】事業所収支!$A$3,"年月",C$13,"事業所",$A$255)=0,#N/A,GETPIVOTDATA("合計 / " &amp; $B257,【ピボット】事業所収支!$A$3,"年月",C$13,"事業所",$A$255)),#N/A)</f>
        <v>3218370</v>
      </c>
      <c r="D257" s="482">
        <f>IFERROR(IF(GETPIVOTDATA("合計 / " &amp; $B257,【ピボット】事業所収支!$A$3,"年月",D$13,"事業所",$A$255)=0,#N/A,GETPIVOTDATA("合計 / " &amp; $B257,【ピボット】事業所収支!$A$3,"年月",D$13,"事業所",$A$255)),#N/A)</f>
        <v>2893429</v>
      </c>
      <c r="E257" s="482">
        <f>IFERROR(IF(GETPIVOTDATA("合計 / " &amp; $B257,【ピボット】事業所収支!$A$3,"年月",E$13,"事業所",$A$255)=0,#N/A,GETPIVOTDATA("合計 / " &amp; $B257,【ピボット】事業所収支!$A$3,"年月",E$13,"事業所",$A$255)),#N/A)</f>
        <v>3184472</v>
      </c>
      <c r="F257" s="482">
        <f>IFERROR(IF(GETPIVOTDATA("合計 / " &amp; $B257,【ピボット】事業所収支!$A$3,"年月",F$13,"事業所",$A$255)=0,#N/A,GETPIVOTDATA("合計 / " &amp; $B257,【ピボット】事業所収支!$A$3,"年月",F$13,"事業所",$A$255)),#N/A)</f>
        <v>3124894</v>
      </c>
      <c r="G257" s="482">
        <f>IFERROR(IF(GETPIVOTDATA("合計 / " &amp; $B257,【ピボット】事業所収支!$A$3,"年月",G$13,"事業所",$A$255)=0,#N/A,GETPIVOTDATA("合計 / " &amp; $B257,【ピボット】事業所収支!$A$3,"年月",G$13,"事業所",$A$255)),#N/A)</f>
        <v>3081346</v>
      </c>
      <c r="H257" s="482">
        <f>IFERROR(IF(GETPIVOTDATA("合計 / " &amp; $B257,【ピボット】事業所収支!$A$3,"年月",H$13,"事業所",$A$255)=0,#N/A,GETPIVOTDATA("合計 / " &amp; $B257,【ピボット】事業所収支!$A$3,"年月",H$13,"事業所",$A$255)),#N/A)</f>
        <v>2989139</v>
      </c>
      <c r="I257" s="482">
        <f>IFERROR(IF(GETPIVOTDATA("合計 / " &amp; $B257,【ピボット】事業所収支!$A$3,"年月",I$13,"事業所",$A$255)=0,#N/A,GETPIVOTDATA("合計 / " &amp; $B257,【ピボット】事業所収支!$A$3,"年月",I$13,"事業所",$A$255)),#N/A)</f>
        <v>2574677</v>
      </c>
      <c r="J257" s="482">
        <f>IFERROR(IF(GETPIVOTDATA("合計 / " &amp; $B257,【ピボット】事業所収支!$A$3,"年月",J$13,"事業所",$A$255)=0,#N/A,GETPIVOTDATA("合計 / " &amp; $B257,【ピボット】事業所収支!$A$3,"年月",J$13,"事業所",$A$255)),#N/A)</f>
        <v>2853536</v>
      </c>
      <c r="K257" s="482">
        <f>IFERROR(IF(GETPIVOTDATA("合計 / " &amp; $B257,【ピボット】事業所収支!$A$3,"年月",K$13,"事業所",$A$255)=0,#N/A,GETPIVOTDATA("合計 / " &amp; $B257,【ピボット】事業所収支!$A$3,"年月",K$13,"事業所",$A$255)),#N/A)</f>
        <v>2617181</v>
      </c>
      <c r="L257" s="482">
        <f>IFERROR(IF(GETPIVOTDATA("合計 / " &amp; $B257,【ピボット】事業所収支!$A$3,"年月",L$13,"事業所",$A$255)=0,#N/A,GETPIVOTDATA("合計 / " &amp; $B257,【ピボット】事業所収支!$A$3,"年月",L$13,"事業所",$A$255)),#N/A)</f>
        <v>3057960</v>
      </c>
      <c r="M257" s="482">
        <f>IFERROR(IF(GETPIVOTDATA("合計 / " &amp; $B257,【ピボット】事業所収支!$A$3,"年月",M$13,"事業所",$A$255)=0,#N/A,GETPIVOTDATA("合計 / " &amp; $B257,【ピボット】事業所収支!$A$3,"年月",M$13,"事業所",$A$255)),#N/A)</f>
        <v>3056897</v>
      </c>
      <c r="N257" s="482">
        <f>IFERROR(IF(GETPIVOTDATA("合計 / " &amp; $B257,【ピボット】事業所収支!$A$3,"年月",N$13,"事業所",$A$255)=0,#N/A,GETPIVOTDATA("合計 / " &amp; $B257,【ピボット】事業所収支!$A$3,"年月",N$13,"事業所",$A$255)),#N/A)</f>
        <v>3183714</v>
      </c>
      <c r="O257" s="482">
        <f>IFERROR(IF(GETPIVOTDATA("合計 / " &amp; $B257,【ピボット】事業所収支!$A$3,"年月",O$13,"事業所",$A$255)=0,#N/A,GETPIVOTDATA("合計 / " &amp; $B257,【ピボット】事業所収支!$A$3,"年月",O$13,"事業所",$A$255)),#N/A)</f>
        <v>3021707</v>
      </c>
      <c r="P257" s="482">
        <f>IFERROR(IF(GETPIVOTDATA("合計 / " &amp; $B257,【ピボット】事業所収支!$A$3,"年月",P$13,"事業所",$A$255)=0,#N/A,GETPIVOTDATA("合計 / " &amp; $B257,【ピボット】事業所収支!$A$3,"年月",P$13,"事業所",$A$255)),#N/A)</f>
        <v>2692178</v>
      </c>
      <c r="Q257" s="482">
        <f>IFERROR(IF(GETPIVOTDATA("合計 / " &amp; $B257,【ピボット】事業所収支!$A$3,"年月",Q$13,"事業所",$A$255)=0,#N/A,GETPIVOTDATA("合計 / " &amp; $B257,【ピボット】事業所収支!$A$3,"年月",Q$13,"事業所",$A$255)),#N/A)</f>
        <v>2546587</v>
      </c>
      <c r="R257" s="482">
        <f>IFERROR(IF(GETPIVOTDATA("合計 / " &amp; $B257,【ピボット】事業所収支!$A$3,"年月",R$13,"事業所",$A$255)=0,#N/A,GETPIVOTDATA("合計 / " &amp; $B257,【ピボット】事業所収支!$A$3,"年月",R$13,"事業所",$A$255)),#N/A)</f>
        <v>2351469</v>
      </c>
      <c r="S257" s="482">
        <f>IFERROR(IF(GETPIVOTDATA("合計 / " &amp; $B257,【ピボット】事業所収支!$A$3,"年月",S$13,"事業所",$A$255)=0,#N/A,GETPIVOTDATA("合計 / " &amp; $B257,【ピボット】事業所収支!$A$3,"年月",S$13,"事業所",$A$255)),#N/A)</f>
        <v>2112073</v>
      </c>
      <c r="T257" s="482">
        <f>IFERROR(IF(GETPIVOTDATA("合計 / " &amp; $B257,【ピボット】事業所収支!$A$3,"年月",T$13,"事業所",$A$255)=0,#N/A,GETPIVOTDATA("合計 / " &amp; $B257,【ピボット】事業所収支!$A$3,"年月",T$13,"事業所",$A$255)),#N/A)</f>
        <v>2397265</v>
      </c>
      <c r="U257" s="482">
        <f>IFERROR(IF(GETPIVOTDATA("合計 / " &amp; $B257,【ピボット】事業所収支!$A$3,"年月",U$13,"事業所",$A$255)=0,#N/A,GETPIVOTDATA("合計 / " &amp; $B257,【ピボット】事業所収支!$A$3,"年月",U$13,"事業所",$A$255)),#N/A)</f>
        <v>3521977</v>
      </c>
      <c r="V257" s="482">
        <f>IFERROR(IF(GETPIVOTDATA("合計 / " &amp; $B257,【ピボット】事業所収支!$A$3,"年月",V$13,"事業所",$A$255)=0,#N/A,GETPIVOTDATA("合計 / " &amp; $B257,【ピボット】事業所収支!$A$3,"年月",V$13,"事業所",$A$255)),#N/A)</f>
        <v>2606315</v>
      </c>
      <c r="W257" s="482">
        <f>IFERROR(IF(GETPIVOTDATA("合計 / " &amp; $B257,【ピボット】事業所収支!$A$3,"年月",W$13,"事業所",$A$255)=0,#N/A,GETPIVOTDATA("合計 / " &amp; $B257,【ピボット】事業所収支!$A$3,"年月",W$13,"事業所",$A$255)),#N/A)</f>
        <v>2627069</v>
      </c>
      <c r="X257" s="482">
        <f>IFERROR(IF(GETPIVOTDATA("合計 / " &amp; $B257,【ピボット】事業所収支!$A$3,"年月",X$13,"事業所",$A$255)=0,#N/A,GETPIVOTDATA("合計 / " &amp; $B257,【ピボット】事業所収支!$A$3,"年月",X$13,"事業所",$A$255)),#N/A)</f>
        <v>2515123</v>
      </c>
      <c r="Y257" s="482">
        <f>IFERROR(IF(GETPIVOTDATA("合計 / " &amp; $B257,【ピボット】事業所収支!$A$3,"年月",Y$13,"事業所",$A$255)=0,#N/A,GETPIVOTDATA("合計 / " &amp; $B257,【ピボット】事業所収支!$A$3,"年月",Y$13,"事業所",$A$255)),#N/A)</f>
        <v>2498262</v>
      </c>
      <c r="Z257" s="482">
        <f>IFERROR(IF(GETPIVOTDATA("合計 / " &amp; $B257,【ピボット】事業所収支!$A$3,"年月",Z$13,"事業所",$A$255)=0,#N/A,GETPIVOTDATA("合計 / " &amp; $B257,【ピボット】事業所収支!$A$3,"年月",Z$13,"事業所",$A$255)),#N/A)</f>
        <v>2462469</v>
      </c>
      <c r="AA257" s="4"/>
    </row>
    <row r="258" spans="2:27" x14ac:dyDescent="0.15">
      <c r="B258" s="7" t="s">
        <v>28</v>
      </c>
      <c r="C258" s="483">
        <f>IFERROR(IF(GETPIVOTDATA("合計 / " &amp; $B258,【ピボット】事業所収支!$A$3,"年月",C$13,"事業所",$A$255)=0,#N/A,GETPIVOTDATA("合計 / " &amp; $B258,【ピボット】事業所収支!$A$3,"年月",C$13,"事業所",$A$255)),#N/A)</f>
        <v>1019550</v>
      </c>
      <c r="D258" s="483">
        <f>IFERROR(IF(GETPIVOTDATA("合計 / " &amp; $B258,【ピボット】事業所収支!$A$3,"年月",D$13,"事業所",$A$255)=0,#N/A,GETPIVOTDATA("合計 / " &amp; $B258,【ピボット】事業所収支!$A$3,"年月",D$13,"事業所",$A$255)),#N/A)</f>
        <v>1179780</v>
      </c>
      <c r="E258" s="483">
        <f>IFERROR(IF(GETPIVOTDATA("合計 / " &amp; $B258,【ピボット】事業所収支!$A$3,"年月",E$13,"事業所",$A$255)=0,#N/A,GETPIVOTDATA("合計 / " &amp; $B258,【ピボット】事業所収支!$A$3,"年月",E$13,"事業所",$A$255)),#N/A)</f>
        <v>1210715</v>
      </c>
      <c r="F258" s="483">
        <f>IFERROR(IF(GETPIVOTDATA("合計 / " &amp; $B258,【ピボット】事業所収支!$A$3,"年月",F$13,"事業所",$A$255)=0,#N/A,GETPIVOTDATA("合計 / " &amp; $B258,【ピボット】事業所収支!$A$3,"年月",F$13,"事業所",$A$255)),#N/A)</f>
        <v>1280878</v>
      </c>
      <c r="G258" s="483">
        <f>IFERROR(IF(GETPIVOTDATA("合計 / " &amp; $B258,【ピボット】事業所収支!$A$3,"年月",G$13,"事業所",$A$255)=0,#N/A,GETPIVOTDATA("合計 / " &amp; $B258,【ピボット】事業所収支!$A$3,"年月",G$13,"事業所",$A$255)),#N/A)</f>
        <v>1252503</v>
      </c>
      <c r="H258" s="483">
        <f>IFERROR(IF(GETPIVOTDATA("合計 / " &amp; $B258,【ピボット】事業所収支!$A$3,"年月",H$13,"事業所",$A$255)=0,#N/A,GETPIVOTDATA("合計 / " &amp; $B258,【ピボット】事業所収支!$A$3,"年月",H$13,"事業所",$A$255)),#N/A)</f>
        <v>1023599</v>
      </c>
      <c r="I258" s="483">
        <f>IFERROR(IF(GETPIVOTDATA("合計 / " &amp; $B258,【ピボット】事業所収支!$A$3,"年月",I$13,"事業所",$A$255)=0,#N/A,GETPIVOTDATA("合計 / " &amp; $B258,【ピボット】事業所収支!$A$3,"年月",I$13,"事業所",$A$255)),#N/A)</f>
        <v>1031028</v>
      </c>
      <c r="J258" s="483">
        <f>IFERROR(IF(GETPIVOTDATA("合計 / " &amp; $B258,【ピボット】事業所収支!$A$3,"年月",J$13,"事業所",$A$255)=0,#N/A,GETPIVOTDATA("合計 / " &amp; $B258,【ピボット】事業所収支!$A$3,"年月",J$13,"事業所",$A$255)),#N/A)</f>
        <v>1212496</v>
      </c>
      <c r="K258" s="483">
        <f>IFERROR(IF(GETPIVOTDATA("合計 / " &amp; $B258,【ピボット】事業所収支!$A$3,"年月",K$13,"事業所",$A$255)=0,#N/A,GETPIVOTDATA("合計 / " &amp; $B258,【ピボット】事業所収支!$A$3,"年月",K$13,"事業所",$A$255)),#N/A)</f>
        <v>1143586</v>
      </c>
      <c r="L258" s="483">
        <f>IFERROR(IF(GETPIVOTDATA("合計 / " &amp; $B258,【ピボット】事業所収支!$A$3,"年月",L$13,"事業所",$A$255)=0,#N/A,GETPIVOTDATA("合計 / " &amp; $B258,【ピボット】事業所収支!$A$3,"年月",L$13,"事業所",$A$255)),#N/A)</f>
        <v>1053851</v>
      </c>
      <c r="M258" s="483">
        <f>IFERROR(IF(GETPIVOTDATA("合計 / " &amp; $B258,【ピボット】事業所収支!$A$3,"年月",M$13,"事業所",$A$255)=0,#N/A,GETPIVOTDATA("合計 / " &amp; $B258,【ピボット】事業所収支!$A$3,"年月",M$13,"事業所",$A$255)),#N/A)</f>
        <v>1164519</v>
      </c>
      <c r="N258" s="483">
        <f>IFERROR(IF(GETPIVOTDATA("合計 / " &amp; $B258,【ピボット】事業所収支!$A$3,"年月",N$13,"事業所",$A$255)=0,#N/A,GETPIVOTDATA("合計 / " &amp; $B258,【ピボット】事業所収支!$A$3,"年月",N$13,"事業所",$A$255)),#N/A)</f>
        <v>1170128</v>
      </c>
      <c r="O258" s="483">
        <f>IFERROR(IF(GETPIVOTDATA("合計 / " &amp; $B258,【ピボット】事業所収支!$A$3,"年月",O$13,"事業所",$A$255)=0,#N/A,GETPIVOTDATA("合計 / " &amp; $B258,【ピボット】事業所収支!$A$3,"年月",O$13,"事業所",$A$255)),#N/A)</f>
        <v>1194309</v>
      </c>
      <c r="P258" s="483">
        <f>IFERROR(IF(GETPIVOTDATA("合計 / " &amp; $B258,【ピボット】事業所収支!$A$3,"年月",P$13,"事業所",$A$255)=0,#N/A,GETPIVOTDATA("合計 / " &amp; $B258,【ピボット】事業所収支!$A$3,"年月",P$13,"事業所",$A$255)),#N/A)</f>
        <v>1233262</v>
      </c>
      <c r="Q258" s="483">
        <f>IFERROR(IF(GETPIVOTDATA("合計 / " &amp; $B258,【ピボット】事業所収支!$A$3,"年月",Q$13,"事業所",$A$255)=0,#N/A,GETPIVOTDATA("合計 / " &amp; $B258,【ピボット】事業所収支!$A$3,"年月",Q$13,"事業所",$A$255)),#N/A)</f>
        <v>1098247</v>
      </c>
      <c r="R258" s="483">
        <f>IFERROR(IF(GETPIVOTDATA("合計 / " &amp; $B258,【ピボット】事業所収支!$A$3,"年月",R$13,"事業所",$A$255)=0,#N/A,GETPIVOTDATA("合計 / " &amp; $B258,【ピボット】事業所収支!$A$3,"年月",R$13,"事業所",$A$255)),#N/A)</f>
        <v>953709</v>
      </c>
      <c r="S258" s="483">
        <f>IFERROR(IF(GETPIVOTDATA("合計 / " &amp; $B258,【ピボット】事業所収支!$A$3,"年月",S$13,"事業所",$A$255)=0,#N/A,GETPIVOTDATA("合計 / " &amp; $B258,【ピボット】事業所収支!$A$3,"年月",S$13,"事業所",$A$255)),#N/A)</f>
        <v>905804</v>
      </c>
      <c r="T258" s="483">
        <f>IFERROR(IF(GETPIVOTDATA("合計 / " &amp; $B258,【ピボット】事業所収支!$A$3,"年月",T$13,"事業所",$A$255)=0,#N/A,GETPIVOTDATA("合計 / " &amp; $B258,【ピボット】事業所収支!$A$3,"年月",T$13,"事業所",$A$255)),#N/A)</f>
        <v>952522</v>
      </c>
      <c r="U258" s="483">
        <f>IFERROR(IF(GETPIVOTDATA("合計 / " &amp; $B258,【ピボット】事業所収支!$A$3,"年月",U$13,"事業所",$A$255)=0,#N/A,GETPIVOTDATA("合計 / " &amp; $B258,【ピボット】事業所収支!$A$3,"年月",U$13,"事業所",$A$255)),#N/A)</f>
        <v>967647</v>
      </c>
      <c r="V258" s="483">
        <f>IFERROR(IF(GETPIVOTDATA("合計 / " &amp; $B258,【ピボット】事業所収支!$A$3,"年月",V$13,"事業所",$A$255)=0,#N/A,GETPIVOTDATA("合計 / " &amp; $B258,【ピボット】事業所収支!$A$3,"年月",V$13,"事業所",$A$255)),#N/A)</f>
        <v>991529</v>
      </c>
      <c r="W258" s="483">
        <f>IFERROR(IF(GETPIVOTDATA("合計 / " &amp; $B258,【ピボット】事業所収支!$A$3,"年月",W$13,"事業所",$A$255)=0,#N/A,GETPIVOTDATA("合計 / " &amp; $B258,【ピボット】事業所収支!$A$3,"年月",W$13,"事業所",$A$255)),#N/A)</f>
        <v>1035698</v>
      </c>
      <c r="X258" s="483">
        <f>IFERROR(IF(GETPIVOTDATA("合計 / " &amp; $B258,【ピボット】事業所収支!$A$3,"年月",X$13,"事業所",$A$255)=0,#N/A,GETPIVOTDATA("合計 / " &amp; $B258,【ピボット】事業所収支!$A$3,"年月",X$13,"事業所",$A$255)),#N/A)</f>
        <v>951846</v>
      </c>
      <c r="Y258" s="483">
        <f>IFERROR(IF(GETPIVOTDATA("合計 / " &amp; $B258,【ピボット】事業所収支!$A$3,"年月",Y$13,"事業所",$A$255)=0,#N/A,GETPIVOTDATA("合計 / " &amp; $B258,【ピボット】事業所収支!$A$3,"年月",Y$13,"事業所",$A$255)),#N/A)</f>
        <v>1016604</v>
      </c>
      <c r="Z258" s="483">
        <f>IFERROR(IF(GETPIVOTDATA("合計 / " &amp; $B258,【ピボット】事業所収支!$A$3,"年月",Z$13,"事業所",$A$255)=0,#N/A,GETPIVOTDATA("合計 / " &amp; $B258,【ピボット】事業所収支!$A$3,"年月",Z$13,"事業所",$A$255)),#N/A)</f>
        <v>913275</v>
      </c>
    </row>
    <row r="259" spans="2:27" x14ac:dyDescent="0.15">
      <c r="B259" s="8" t="s">
        <v>27</v>
      </c>
      <c r="C259" s="483">
        <f>IFERROR(IF(GETPIVOTDATA("合計 / " &amp; $B259,【ピボット】事業所収支!$A$3,"年月",C$13,"事業所",$A$255)=0,#N/A,GETPIVOTDATA("合計 / " &amp; $B259,【ピボット】事業所収支!$A$3,"年月",C$13,"事業所",$A$255)),#N/A)</f>
        <v>300000</v>
      </c>
      <c r="D259" s="483">
        <f>IFERROR(IF(GETPIVOTDATA("合計 / " &amp; $B259,【ピボット】事業所収支!$A$3,"年月",D$13,"事業所",$A$255)=0,#N/A,GETPIVOTDATA("合計 / " &amp; $B259,【ピボット】事業所収支!$A$3,"年月",D$13,"事業所",$A$255)),#N/A)</f>
        <v>300000</v>
      </c>
      <c r="E259" s="483">
        <f>IFERROR(IF(GETPIVOTDATA("合計 / " &amp; $B259,【ピボット】事業所収支!$A$3,"年月",E$13,"事業所",$A$255)=0,#N/A,GETPIVOTDATA("合計 / " &amp; $B259,【ピボット】事業所収支!$A$3,"年月",E$13,"事業所",$A$255)),#N/A)</f>
        <v>320000</v>
      </c>
      <c r="F259" s="483">
        <f>IFERROR(IF(GETPIVOTDATA("合計 / " &amp; $B259,【ピボット】事業所収支!$A$3,"年月",F$13,"事業所",$A$255)=0,#N/A,GETPIVOTDATA("合計 / " &amp; $B259,【ピボット】事業所収支!$A$3,"年月",F$13,"事業所",$A$255)),#N/A)</f>
        <v>354000</v>
      </c>
      <c r="G259" s="483">
        <f>IFERROR(IF(GETPIVOTDATA("合計 / " &amp; $B259,【ピボット】事業所収支!$A$3,"年月",G$13,"事業所",$A$255)=0,#N/A,GETPIVOTDATA("合計 / " &amp; $B259,【ピボット】事業所収支!$A$3,"年月",G$13,"事業所",$A$255)),#N/A)</f>
        <v>350000</v>
      </c>
      <c r="H259" s="483">
        <f>IFERROR(IF(GETPIVOTDATA("合計 / " &amp; $B259,【ピボット】事業所収支!$A$3,"年月",H$13,"事業所",$A$255)=0,#N/A,GETPIVOTDATA("合計 / " &amp; $B259,【ピボット】事業所収支!$A$3,"年月",H$13,"事業所",$A$255)),#N/A)</f>
        <v>650000</v>
      </c>
      <c r="I259" s="483">
        <f>IFERROR(IF(GETPIVOTDATA("合計 / " &amp; $B259,【ピボット】事業所収支!$A$3,"年月",I$13,"事業所",$A$255)=0,#N/A,GETPIVOTDATA("合計 / " &amp; $B259,【ピボット】事業所収支!$A$3,"年月",I$13,"事業所",$A$255)),#N/A)</f>
        <v>650000</v>
      </c>
      <c r="J259" s="483">
        <f>IFERROR(IF(GETPIVOTDATA("合計 / " &amp; $B259,【ピボット】事業所収支!$A$3,"年月",J$13,"事業所",$A$255)=0,#N/A,GETPIVOTDATA("合計 / " &amp; $B259,【ピボット】事業所収支!$A$3,"年月",J$13,"事業所",$A$255)),#N/A)</f>
        <v>658000</v>
      </c>
      <c r="K259" s="483">
        <f>IFERROR(IF(GETPIVOTDATA("合計 / " &amp; $B259,【ピボット】事業所収支!$A$3,"年月",K$13,"事業所",$A$255)=0,#N/A,GETPIVOTDATA("合計 / " &amp; $B259,【ピボット】事業所収支!$A$3,"年月",K$13,"事業所",$A$255)),#N/A)</f>
        <v>693438</v>
      </c>
      <c r="L259" s="483">
        <f>IFERROR(IF(GETPIVOTDATA("合計 / " &amp; $B259,【ピボット】事業所収支!$A$3,"年月",L$13,"事業所",$A$255)=0,#N/A,GETPIVOTDATA("合計 / " &amp; $B259,【ピボット】事業所収支!$A$3,"年月",L$13,"事業所",$A$255)),#N/A)</f>
        <v>450000</v>
      </c>
      <c r="M259" s="483">
        <f>IFERROR(IF(GETPIVOTDATA("合計 / " &amp; $B259,【ピボット】事業所収支!$A$3,"年月",M$13,"事業所",$A$255)=0,#N/A,GETPIVOTDATA("合計 / " &amp; $B259,【ピボット】事業所収支!$A$3,"年月",M$13,"事業所",$A$255)),#N/A)</f>
        <v>500000</v>
      </c>
      <c r="N259" s="483">
        <f>IFERROR(IF(GETPIVOTDATA("合計 / " &amp; $B259,【ピボット】事業所収支!$A$3,"年月",N$13,"事業所",$A$255)=0,#N/A,GETPIVOTDATA("合計 / " &amp; $B259,【ピボット】事業所収支!$A$3,"年月",N$13,"事業所",$A$255)),#N/A)</f>
        <v>500000</v>
      </c>
      <c r="O259" s="483">
        <f>IFERROR(IF(GETPIVOTDATA("合計 / " &amp; $B259,【ピボット】事業所収支!$A$3,"年月",O$13,"事業所",$A$255)=0,#N/A,GETPIVOTDATA("合計 / " &amp; $B259,【ピボット】事業所収支!$A$3,"年月",O$13,"事業所",$A$255)),#N/A)</f>
        <v>350000</v>
      </c>
      <c r="P259" s="483">
        <f>IFERROR(IF(GETPIVOTDATA("合計 / " &amp; $B259,【ピボット】事業所収支!$A$3,"年月",P$13,"事業所",$A$255)=0,#N/A,GETPIVOTDATA("合計 / " &amp; $B259,【ピボット】事業所収支!$A$3,"年月",P$13,"事業所",$A$255)),#N/A)</f>
        <v>350000</v>
      </c>
      <c r="Q259" s="483">
        <f>IFERROR(IF(GETPIVOTDATA("合計 / " &amp; $B259,【ピボット】事業所収支!$A$3,"年月",Q$13,"事業所",$A$255)=0,#N/A,GETPIVOTDATA("合計 / " &amp; $B259,【ピボット】事業所収支!$A$3,"年月",Q$13,"事業所",$A$255)),#N/A)</f>
        <v>650000</v>
      </c>
      <c r="R259" s="483">
        <f>IFERROR(IF(GETPIVOTDATA("合計 / " &amp; $B259,【ピボット】事業所収支!$A$3,"年月",R$13,"事業所",$A$255)=0,#N/A,GETPIVOTDATA("合計 / " &amp; $B259,【ピボット】事業所収支!$A$3,"年月",R$13,"事業所",$A$255)),#N/A)</f>
        <v>656000</v>
      </c>
      <c r="S259" s="483">
        <f>IFERROR(IF(GETPIVOTDATA("合計 / " &amp; $B259,【ピボット】事業所収支!$A$3,"年月",S$13,"事業所",$A$255)=0,#N/A,GETPIVOTDATA("合計 / " &amp; $B259,【ピボット】事業所収支!$A$3,"年月",S$13,"事業所",$A$255)),#N/A)</f>
        <v>302770</v>
      </c>
      <c r="T259" s="483">
        <f>IFERROR(IF(GETPIVOTDATA("合計 / " &amp; $B259,【ピボット】事業所収支!$A$3,"年月",T$13,"事業所",$A$255)=0,#N/A,GETPIVOTDATA("合計 / " &amp; $B259,【ピボット】事業所収支!$A$3,"年月",T$13,"事業所",$A$255)),#N/A)</f>
        <v>305886</v>
      </c>
      <c r="U259" s="483">
        <f>IFERROR(IF(GETPIVOTDATA("合計 / " &amp; $B259,【ピボット】事業所収支!$A$3,"年月",U$13,"事業所",$A$255)=0,#N/A,GETPIVOTDATA("合計 / " &amp; $B259,【ピボット】事業所収支!$A$3,"年月",U$13,"事業所",$A$255)),#N/A)</f>
        <v>389829</v>
      </c>
      <c r="V259" s="483">
        <f>IFERROR(IF(GETPIVOTDATA("合計 / " &amp; $B259,【ピボット】事業所収支!$A$3,"年月",V$13,"事業所",$A$255)=0,#N/A,GETPIVOTDATA("合計 / " &amp; $B259,【ピボット】事業所収支!$A$3,"年月",V$13,"事業所",$A$255)),#N/A)</f>
        <v>358000</v>
      </c>
      <c r="W259" s="483">
        <f>IFERROR(IF(GETPIVOTDATA("合計 / " &amp; $B259,【ピボット】事業所収支!$A$3,"年月",W$13,"事業所",$A$255)=0,#N/A,GETPIVOTDATA("合計 / " &amp; $B259,【ピボット】事業所収支!$A$3,"年月",W$13,"事業所",$A$255)),#N/A)</f>
        <v>359000</v>
      </c>
      <c r="X259" s="483">
        <f>IFERROR(IF(GETPIVOTDATA("合計 / " &amp; $B259,【ピボット】事業所収支!$A$3,"年月",X$13,"事業所",$A$255)=0,#N/A,GETPIVOTDATA("合計 / " &amp; $B259,【ピボット】事業所収支!$A$3,"年月",X$13,"事業所",$A$255)),#N/A)</f>
        <v>150000</v>
      </c>
      <c r="Y259" s="483">
        <f>IFERROR(IF(GETPIVOTDATA("合計 / " &amp; $B259,【ピボット】事業所収支!$A$3,"年月",Y$13,"事業所",$A$255)=0,#N/A,GETPIVOTDATA("合計 / " &amp; $B259,【ピボット】事業所収支!$A$3,"年月",Y$13,"事業所",$A$255)),#N/A)</f>
        <v>140000</v>
      </c>
      <c r="Z259" s="483">
        <f>IFERROR(IF(GETPIVOTDATA("合計 / " &amp; $B259,【ピボット】事業所収支!$A$3,"年月",Z$13,"事業所",$A$255)=0,#N/A,GETPIVOTDATA("合計 / " &amp; $B259,【ピボット】事業所収支!$A$3,"年月",Z$13,"事業所",$A$255)),#N/A)</f>
        <v>290000</v>
      </c>
    </row>
    <row r="260" spans="2:27" x14ac:dyDescent="0.15">
      <c r="B260" s="8" t="s">
        <v>60</v>
      </c>
      <c r="C260" s="483" t="e">
        <f>IFERROR(IF(GETPIVOTDATA("合計 / " &amp; $B260,【ピボット】事業所収支!$A$3,"年月",C$13,"事業所",$A$255)=0,#N/A,GETPIVOTDATA("合計 / " &amp; $B260,【ピボット】事業所収支!$A$3,"年月",C$13,"事業所",$A$255)),#N/A)</f>
        <v>#N/A</v>
      </c>
      <c r="D260" s="483" t="e">
        <f>IFERROR(IF(GETPIVOTDATA("合計 / " &amp; $B260,【ピボット】事業所収支!$A$3,"年月",D$13,"事業所",$A$255)=0,#N/A,GETPIVOTDATA("合計 / " &amp; $B260,【ピボット】事業所収支!$A$3,"年月",D$13,"事業所",$A$255)),#N/A)</f>
        <v>#N/A</v>
      </c>
      <c r="E260" s="483" t="e">
        <f>IFERROR(IF(GETPIVOTDATA("合計 / " &amp; $B260,【ピボット】事業所収支!$A$3,"年月",E$13,"事業所",$A$255)=0,#N/A,GETPIVOTDATA("合計 / " &amp; $B260,【ピボット】事業所収支!$A$3,"年月",E$13,"事業所",$A$255)),#N/A)</f>
        <v>#N/A</v>
      </c>
      <c r="F260" s="483">
        <f>IFERROR(IF(GETPIVOTDATA("合計 / " &amp; $B260,【ピボット】事業所収支!$A$3,"年月",F$13,"事業所",$A$255)=0,#N/A,GETPIVOTDATA("合計 / " &amp; $B260,【ピボット】事業所収支!$A$3,"年月",F$13,"事業所",$A$255)),#N/A)</f>
        <v>30000</v>
      </c>
      <c r="G260" s="483" t="e">
        <f>IFERROR(IF(GETPIVOTDATA("合計 / " &amp; $B260,【ピボット】事業所収支!$A$3,"年月",G$13,"事業所",$A$255)=0,#N/A,GETPIVOTDATA("合計 / " &amp; $B260,【ピボット】事業所収支!$A$3,"年月",G$13,"事業所",$A$255)),#N/A)</f>
        <v>#N/A</v>
      </c>
      <c r="H260" s="483" t="e">
        <f>IFERROR(IF(GETPIVOTDATA("合計 / " &amp; $B260,【ピボット】事業所収支!$A$3,"年月",H$13,"事業所",$A$255)=0,#N/A,GETPIVOTDATA("合計 / " &amp; $B260,【ピボット】事業所収支!$A$3,"年月",H$13,"事業所",$A$255)),#N/A)</f>
        <v>#N/A</v>
      </c>
      <c r="I260" s="483" t="e">
        <f>IFERROR(IF(GETPIVOTDATA("合計 / " &amp; $B260,【ピボット】事業所収支!$A$3,"年月",I$13,"事業所",$A$255)=0,#N/A,GETPIVOTDATA("合計 / " &amp; $B260,【ピボット】事業所収支!$A$3,"年月",I$13,"事業所",$A$255)),#N/A)</f>
        <v>#N/A</v>
      </c>
      <c r="J260" s="483">
        <f>IFERROR(IF(GETPIVOTDATA("合計 / " &amp; $B260,【ピボット】事業所収支!$A$3,"年月",J$13,"事業所",$A$255)=0,#N/A,GETPIVOTDATA("合計 / " &amp; $B260,【ピボット】事業所収支!$A$3,"年月",J$13,"事業所",$A$255)),#N/A)</f>
        <v>475000</v>
      </c>
      <c r="K260" s="483" t="e">
        <f>IFERROR(IF(GETPIVOTDATA("合計 / " &amp; $B260,【ピボット】事業所収支!$A$3,"年月",K$13,"事業所",$A$255)=0,#N/A,GETPIVOTDATA("合計 / " &amp; $B260,【ピボット】事業所収支!$A$3,"年月",K$13,"事業所",$A$255)),#N/A)</f>
        <v>#N/A</v>
      </c>
      <c r="L260" s="483" t="e">
        <f>IFERROR(IF(GETPIVOTDATA("合計 / " &amp; $B260,【ピボット】事業所収支!$A$3,"年月",L$13,"事業所",$A$255)=0,#N/A,GETPIVOTDATA("合計 / " &amp; $B260,【ピボット】事業所収支!$A$3,"年月",L$13,"事業所",$A$255)),#N/A)</f>
        <v>#N/A</v>
      </c>
      <c r="M260" s="483" t="e">
        <f>IFERROR(IF(GETPIVOTDATA("合計 / " &amp; $B260,【ピボット】事業所収支!$A$3,"年月",M$13,"事業所",$A$255)=0,#N/A,GETPIVOTDATA("合計 / " &amp; $B260,【ピボット】事業所収支!$A$3,"年月",M$13,"事業所",$A$255)),#N/A)</f>
        <v>#N/A</v>
      </c>
      <c r="N260" s="483" t="e">
        <f>IFERROR(IF(GETPIVOTDATA("合計 / " &amp; $B260,【ピボット】事業所収支!$A$3,"年月",N$13,"事業所",$A$255)=0,#N/A,GETPIVOTDATA("合計 / " &amp; $B260,【ピボット】事業所収支!$A$3,"年月",N$13,"事業所",$A$255)),#N/A)</f>
        <v>#N/A</v>
      </c>
      <c r="O260" s="483" t="e">
        <f>IFERROR(IF(GETPIVOTDATA("合計 / " &amp; $B260,【ピボット】事業所収支!$A$3,"年月",O$13,"事業所",$A$255)=0,#N/A,GETPIVOTDATA("合計 / " &amp; $B260,【ピボット】事業所収支!$A$3,"年月",O$13,"事業所",$A$255)),#N/A)</f>
        <v>#N/A</v>
      </c>
      <c r="P260" s="483">
        <f>IFERROR(IF(GETPIVOTDATA("合計 / " &amp; $B260,【ピボット】事業所収支!$A$3,"年月",P$13,"事業所",$A$255)=0,#N/A,GETPIVOTDATA("合計 / " &amp; $B260,【ピボット】事業所収支!$A$3,"年月",P$13,"事業所",$A$255)),#N/A)</f>
        <v>451800</v>
      </c>
      <c r="Q260" s="483" t="e">
        <f>IFERROR(IF(GETPIVOTDATA("合計 / " &amp; $B260,【ピボット】事業所収支!$A$3,"年月",Q$13,"事業所",$A$255)=0,#N/A,GETPIVOTDATA("合計 / " &amp; $B260,【ピボット】事業所収支!$A$3,"年月",Q$13,"事業所",$A$255)),#N/A)</f>
        <v>#N/A</v>
      </c>
      <c r="R260" s="483">
        <f>IFERROR(IF(GETPIVOTDATA("合計 / " &amp; $B260,【ピボット】事業所収支!$A$3,"年月",R$13,"事業所",$A$255)=0,#N/A,GETPIVOTDATA("合計 / " &amp; $B260,【ピボット】事業所収支!$A$3,"年月",R$13,"事業所",$A$255)),#N/A)</f>
        <v>100000</v>
      </c>
      <c r="S260" s="483" t="e">
        <f>IFERROR(IF(GETPIVOTDATA("合計 / " &amp; $B260,【ピボット】事業所収支!$A$3,"年月",S$13,"事業所",$A$255)=0,#N/A,GETPIVOTDATA("合計 / " &amp; $B260,【ピボット】事業所収支!$A$3,"年月",S$13,"事業所",$A$255)),#N/A)</f>
        <v>#N/A</v>
      </c>
      <c r="T260" s="483" t="e">
        <f>IFERROR(IF(GETPIVOTDATA("合計 / " &amp; $B260,【ピボット】事業所収支!$A$3,"年月",T$13,"事業所",$A$255)=0,#N/A,GETPIVOTDATA("合計 / " &amp; $B260,【ピボット】事業所収支!$A$3,"年月",T$13,"事業所",$A$255)),#N/A)</f>
        <v>#N/A</v>
      </c>
      <c r="U260" s="483" t="e">
        <f>IFERROR(IF(GETPIVOTDATA("合計 / " &amp; $B260,【ピボット】事業所収支!$A$3,"年月",U$13,"事業所",$A$255)=0,#N/A,GETPIVOTDATA("合計 / " &amp; $B260,【ピボット】事業所収支!$A$3,"年月",U$13,"事業所",$A$255)),#N/A)</f>
        <v>#N/A</v>
      </c>
      <c r="V260" s="483">
        <f>IFERROR(IF(GETPIVOTDATA("合計 / " &amp; $B260,【ピボット】事業所収支!$A$3,"年月",V$13,"事業所",$A$255)=0,#N/A,GETPIVOTDATA("合計 / " &amp; $B260,【ピボット】事業所収支!$A$3,"年月",V$13,"事業所",$A$255)),#N/A)</f>
        <v>334000</v>
      </c>
      <c r="W260" s="483" t="e">
        <f>IFERROR(IF(GETPIVOTDATA("合計 / " &amp; $B260,【ピボット】事業所収支!$A$3,"年月",W$13,"事業所",$A$255)=0,#N/A,GETPIVOTDATA("合計 / " &amp; $B260,【ピボット】事業所収支!$A$3,"年月",W$13,"事業所",$A$255)),#N/A)</f>
        <v>#N/A</v>
      </c>
      <c r="X260" s="483" t="e">
        <f>IFERROR(IF(GETPIVOTDATA("合計 / " &amp; $B260,【ピボット】事業所収支!$A$3,"年月",X$13,"事業所",$A$255)=0,#N/A,GETPIVOTDATA("合計 / " &amp; $B260,【ピボット】事業所収支!$A$3,"年月",X$13,"事業所",$A$255)),#N/A)</f>
        <v>#N/A</v>
      </c>
      <c r="Y260" s="483" t="e">
        <f>IFERROR(IF(GETPIVOTDATA("合計 / " &amp; $B260,【ピボット】事業所収支!$A$3,"年月",Y$13,"事業所",$A$255)=0,#N/A,GETPIVOTDATA("合計 / " &amp; $B260,【ピボット】事業所収支!$A$3,"年月",Y$13,"事業所",$A$255)),#N/A)</f>
        <v>#N/A</v>
      </c>
      <c r="Z260" s="483" t="e">
        <f>IFERROR(IF(GETPIVOTDATA("合計 / " &amp; $B260,【ピボット】事業所収支!$A$3,"年月",Z$13,"事業所",$A$255)=0,#N/A,GETPIVOTDATA("合計 / " &amp; $B260,【ピボット】事業所収支!$A$3,"年月",Z$13,"事業所",$A$255)),#N/A)</f>
        <v>#N/A</v>
      </c>
    </row>
    <row r="261" spans="2:27" x14ac:dyDescent="0.15">
      <c r="B261" s="8" t="s">
        <v>50</v>
      </c>
      <c r="C261" s="483" t="e">
        <f>IFERROR(IF(GETPIVOTDATA("合計 / " &amp; $B261,【ピボット】事業所収支!$A$3,"年月",C$13,"事業所",$A$255)=0,#N/A,GETPIVOTDATA("合計 / " &amp; $B261,【ピボット】事業所収支!$A$3,"年月",C$13,"事業所",$A$255)),#N/A)</f>
        <v>#N/A</v>
      </c>
      <c r="D261" s="483" t="e">
        <f>IFERROR(IF(GETPIVOTDATA("合計 / " &amp; $B261,【ピボット】事業所収支!$A$3,"年月",D$13,"事業所",$A$255)=0,#N/A,GETPIVOTDATA("合計 / " &amp; $B261,【ピボット】事業所収支!$A$3,"年月",D$13,"事業所",$A$255)),#N/A)</f>
        <v>#N/A</v>
      </c>
      <c r="E261" s="483" t="e">
        <f>IFERROR(IF(GETPIVOTDATA("合計 / " &amp; $B261,【ピボット】事業所収支!$A$3,"年月",E$13,"事業所",$A$255)=0,#N/A,GETPIVOTDATA("合計 / " &amp; $B261,【ピボット】事業所収支!$A$3,"年月",E$13,"事業所",$A$255)),#N/A)</f>
        <v>#N/A</v>
      </c>
      <c r="F261" s="483" t="e">
        <f>IFERROR(IF(GETPIVOTDATA("合計 / " &amp; $B261,【ピボット】事業所収支!$A$3,"年月",F$13,"事業所",$A$255)=0,#N/A,GETPIVOTDATA("合計 / " &amp; $B261,【ピボット】事業所収支!$A$3,"年月",F$13,"事業所",$A$255)),#N/A)</f>
        <v>#N/A</v>
      </c>
      <c r="G261" s="483" t="e">
        <f>IFERROR(IF(GETPIVOTDATA("合計 / " &amp; $B261,【ピボット】事業所収支!$A$3,"年月",G$13,"事業所",$A$255)=0,#N/A,GETPIVOTDATA("合計 / " &amp; $B261,【ピボット】事業所収支!$A$3,"年月",G$13,"事業所",$A$255)),#N/A)</f>
        <v>#N/A</v>
      </c>
      <c r="H261" s="483" t="e">
        <f>IFERROR(IF(GETPIVOTDATA("合計 / " &amp; $B261,【ピボット】事業所収支!$A$3,"年月",H$13,"事業所",$A$255)=0,#N/A,GETPIVOTDATA("合計 / " &amp; $B261,【ピボット】事業所収支!$A$3,"年月",H$13,"事業所",$A$255)),#N/A)</f>
        <v>#N/A</v>
      </c>
      <c r="I261" s="483" t="e">
        <f>IFERROR(IF(GETPIVOTDATA("合計 / " &amp; $B261,【ピボット】事業所収支!$A$3,"年月",I$13,"事業所",$A$255)=0,#N/A,GETPIVOTDATA("合計 / " &amp; $B261,【ピボット】事業所収支!$A$3,"年月",I$13,"事業所",$A$255)),#N/A)</f>
        <v>#N/A</v>
      </c>
      <c r="J261" s="483" t="e">
        <f>IFERROR(IF(GETPIVOTDATA("合計 / " &amp; $B261,【ピボット】事業所収支!$A$3,"年月",J$13,"事業所",$A$255)=0,#N/A,GETPIVOTDATA("合計 / " &amp; $B261,【ピボット】事業所収支!$A$3,"年月",J$13,"事業所",$A$255)),#N/A)</f>
        <v>#N/A</v>
      </c>
      <c r="K261" s="483" t="e">
        <f>IFERROR(IF(GETPIVOTDATA("合計 / " &amp; $B261,【ピボット】事業所収支!$A$3,"年月",K$13,"事業所",$A$255)=0,#N/A,GETPIVOTDATA("合計 / " &amp; $B261,【ピボット】事業所収支!$A$3,"年月",K$13,"事業所",$A$255)),#N/A)</f>
        <v>#N/A</v>
      </c>
      <c r="L261" s="483" t="e">
        <f>IFERROR(IF(GETPIVOTDATA("合計 / " &amp; $B261,【ピボット】事業所収支!$A$3,"年月",L$13,"事業所",$A$255)=0,#N/A,GETPIVOTDATA("合計 / " &amp; $B261,【ピボット】事業所収支!$A$3,"年月",L$13,"事業所",$A$255)),#N/A)</f>
        <v>#N/A</v>
      </c>
      <c r="M261" s="483" t="e">
        <f>IFERROR(IF(GETPIVOTDATA("合計 / " &amp; $B261,【ピボット】事業所収支!$A$3,"年月",M$13,"事業所",$A$255)=0,#N/A,GETPIVOTDATA("合計 / " &amp; $B261,【ピボット】事業所収支!$A$3,"年月",M$13,"事業所",$A$255)),#N/A)</f>
        <v>#N/A</v>
      </c>
      <c r="N261" s="483" t="e">
        <f>IFERROR(IF(GETPIVOTDATA("合計 / " &amp; $B261,【ピボット】事業所収支!$A$3,"年月",N$13,"事業所",$A$255)=0,#N/A,GETPIVOTDATA("合計 / " &amp; $B261,【ピボット】事業所収支!$A$3,"年月",N$13,"事業所",$A$255)),#N/A)</f>
        <v>#N/A</v>
      </c>
      <c r="O261" s="483" t="e">
        <f>IFERROR(IF(GETPIVOTDATA("合計 / " &amp; $B261,【ピボット】事業所収支!$A$3,"年月",O$13,"事業所",$A$255)=0,#N/A,GETPIVOTDATA("合計 / " &amp; $B261,【ピボット】事業所収支!$A$3,"年月",O$13,"事業所",$A$255)),#N/A)</f>
        <v>#N/A</v>
      </c>
      <c r="P261" s="483" t="e">
        <f>IFERROR(IF(GETPIVOTDATA("合計 / " &amp; $B261,【ピボット】事業所収支!$A$3,"年月",P$13,"事業所",$A$255)=0,#N/A,GETPIVOTDATA("合計 / " &amp; $B261,【ピボット】事業所収支!$A$3,"年月",P$13,"事業所",$A$255)),#N/A)</f>
        <v>#N/A</v>
      </c>
      <c r="Q261" s="483" t="e">
        <f>IFERROR(IF(GETPIVOTDATA("合計 / " &amp; $B261,【ピボット】事業所収支!$A$3,"年月",Q$13,"事業所",$A$255)=0,#N/A,GETPIVOTDATA("合計 / " &amp; $B261,【ピボット】事業所収支!$A$3,"年月",Q$13,"事業所",$A$255)),#N/A)</f>
        <v>#N/A</v>
      </c>
      <c r="R261" s="483" t="e">
        <f>IFERROR(IF(GETPIVOTDATA("合計 / " &amp; $B261,【ピボット】事業所収支!$A$3,"年月",R$13,"事業所",$A$255)=0,#N/A,GETPIVOTDATA("合計 / " &amp; $B261,【ピボット】事業所収支!$A$3,"年月",R$13,"事業所",$A$255)),#N/A)</f>
        <v>#N/A</v>
      </c>
      <c r="S261" s="483" t="e">
        <f>IFERROR(IF(GETPIVOTDATA("合計 / " &amp; $B261,【ピボット】事業所収支!$A$3,"年月",S$13,"事業所",$A$255)=0,#N/A,GETPIVOTDATA("合計 / " &amp; $B261,【ピボット】事業所収支!$A$3,"年月",S$13,"事業所",$A$255)),#N/A)</f>
        <v>#N/A</v>
      </c>
      <c r="T261" s="483" t="e">
        <f>IFERROR(IF(GETPIVOTDATA("合計 / " &amp; $B261,【ピボット】事業所収支!$A$3,"年月",T$13,"事業所",$A$255)=0,#N/A,GETPIVOTDATA("合計 / " &amp; $B261,【ピボット】事業所収支!$A$3,"年月",T$13,"事業所",$A$255)),#N/A)</f>
        <v>#N/A</v>
      </c>
      <c r="U261" s="483" t="e">
        <f>IFERROR(IF(GETPIVOTDATA("合計 / " &amp; $B261,【ピボット】事業所収支!$A$3,"年月",U$13,"事業所",$A$255)=0,#N/A,GETPIVOTDATA("合計 / " &amp; $B261,【ピボット】事業所収支!$A$3,"年月",U$13,"事業所",$A$255)),#N/A)</f>
        <v>#N/A</v>
      </c>
      <c r="V261" s="483" t="e">
        <f>IFERROR(IF(GETPIVOTDATA("合計 / " &amp; $B261,【ピボット】事業所収支!$A$3,"年月",V$13,"事業所",$A$255)=0,#N/A,GETPIVOTDATA("合計 / " &amp; $B261,【ピボット】事業所収支!$A$3,"年月",V$13,"事業所",$A$255)),#N/A)</f>
        <v>#N/A</v>
      </c>
      <c r="W261" s="483" t="e">
        <f>IFERROR(IF(GETPIVOTDATA("合計 / " &amp; $B261,【ピボット】事業所収支!$A$3,"年月",W$13,"事業所",$A$255)=0,#N/A,GETPIVOTDATA("合計 / " &amp; $B261,【ピボット】事業所収支!$A$3,"年月",W$13,"事業所",$A$255)),#N/A)</f>
        <v>#N/A</v>
      </c>
      <c r="X261" s="483">
        <f>IFERROR(IF(GETPIVOTDATA("合計 / " &amp; $B261,【ピボット】事業所収支!$A$3,"年月",X$13,"事業所",$A$255)=0,#N/A,GETPIVOTDATA("合計 / " &amp; $B261,【ピボット】事業所収支!$A$3,"年月",X$13,"事業所",$A$255)),#N/A)</f>
        <v>150000</v>
      </c>
      <c r="Y261" s="483">
        <f>IFERROR(IF(GETPIVOTDATA("合計 / " &amp; $B261,【ピボット】事業所収支!$A$3,"年月",Y$13,"事業所",$A$255)=0,#N/A,GETPIVOTDATA("合計 / " &amp; $B261,【ピボット】事業所収支!$A$3,"年月",Y$13,"事業所",$A$255)),#N/A)</f>
        <v>150000</v>
      </c>
      <c r="Z261" s="483">
        <f>IFERROR(IF(GETPIVOTDATA("合計 / " &amp; $B261,【ピボット】事業所収支!$A$3,"年月",Z$13,"事業所",$A$255)=0,#N/A,GETPIVOTDATA("合計 / " &amp; $B261,【ピボット】事業所収支!$A$3,"年月",Z$13,"事業所",$A$255)),#N/A)</f>
        <v>150000</v>
      </c>
    </row>
    <row r="262" spans="2:27" x14ac:dyDescent="0.15">
      <c r="B262" s="9" t="s">
        <v>29</v>
      </c>
      <c r="C262" s="484">
        <f>IFERROR(IF(GETPIVOTDATA("合計 / " &amp; $B262,【ピボット】事業所収支!$A$3,"年月",C$13,"事業所",$A$255)=0,#N/A,GETPIVOTDATA("合計 / " &amp; $B262,【ピボット】事業所収支!$A$3,"年月",C$13,"事業所",$A$255)),#N/A)</f>
        <v>69829</v>
      </c>
      <c r="D262" s="484">
        <f>IFERROR(IF(GETPIVOTDATA("合計 / " &amp; $B262,【ピボット】事業所収支!$A$3,"年月",D$13,"事業所",$A$255)=0,#N/A,GETPIVOTDATA("合計 / " &amp; $B262,【ピボット】事業所収支!$A$3,"年月",D$13,"事業所",$A$255)),#N/A)</f>
        <v>109516</v>
      </c>
      <c r="E262" s="484">
        <f>IFERROR(IF(GETPIVOTDATA("合計 / " &amp; $B262,【ピボット】事業所収支!$A$3,"年月",E$13,"事業所",$A$255)=0,#N/A,GETPIVOTDATA("合計 / " &amp; $B262,【ピボット】事業所収支!$A$3,"年月",E$13,"事業所",$A$255)),#N/A)</f>
        <v>169842</v>
      </c>
      <c r="F262" s="484">
        <f>IFERROR(IF(GETPIVOTDATA("合計 / " &amp; $B262,【ピボット】事業所収支!$A$3,"年月",F$13,"事業所",$A$255)=0,#N/A,GETPIVOTDATA("合計 / " &amp; $B262,【ピボット】事業所収支!$A$3,"年月",F$13,"事業所",$A$255)),#N/A)</f>
        <v>85037</v>
      </c>
      <c r="G262" s="484">
        <f>IFERROR(IF(GETPIVOTDATA("合計 / " &amp; $B262,【ピボット】事業所収支!$A$3,"年月",G$13,"事業所",$A$255)=0,#N/A,GETPIVOTDATA("合計 / " &amp; $B262,【ピボット】事業所収支!$A$3,"年月",G$13,"事業所",$A$255)),#N/A)</f>
        <v>55179</v>
      </c>
      <c r="H262" s="484">
        <f>IFERROR(IF(GETPIVOTDATA("合計 / " &amp; $B262,【ピボット】事業所収支!$A$3,"年月",H$13,"事業所",$A$255)=0,#N/A,GETPIVOTDATA("合計 / " &amp; $B262,【ピボット】事業所収支!$A$3,"年月",H$13,"事業所",$A$255)),#N/A)</f>
        <v>140787</v>
      </c>
      <c r="I262" s="484">
        <f>IFERROR(IF(GETPIVOTDATA("合計 / " &amp; $B262,【ピボット】事業所収支!$A$3,"年月",I$13,"事業所",$A$255)=0,#N/A,GETPIVOTDATA("合計 / " &amp; $B262,【ピボット】事業所収支!$A$3,"年月",I$13,"事業所",$A$255)),#N/A)</f>
        <v>97264</v>
      </c>
      <c r="J262" s="484">
        <f>IFERROR(IF(GETPIVOTDATA("合計 / " &amp; $B262,【ピボット】事業所収支!$A$3,"年月",J$13,"事業所",$A$255)=0,#N/A,GETPIVOTDATA("合計 / " &amp; $B262,【ピボット】事業所収支!$A$3,"年月",J$13,"事業所",$A$255)),#N/A)</f>
        <v>-14289.186507437851</v>
      </c>
      <c r="K262" s="484">
        <f>IFERROR(IF(GETPIVOTDATA("合計 / " &amp; $B262,【ピボット】事業所収支!$A$3,"年月",K$13,"事業所",$A$255)=0,#N/A,GETPIVOTDATA("合計 / " &amp; $B262,【ピボット】事業所収支!$A$3,"年月",K$13,"事業所",$A$255)),#N/A)</f>
        <v>305844</v>
      </c>
      <c r="L262" s="484">
        <f>IFERROR(IF(GETPIVOTDATA("合計 / " &amp; $B262,【ピボット】事業所収支!$A$3,"年月",L$13,"事業所",$A$255)=0,#N/A,GETPIVOTDATA("合計 / " &amp; $B262,【ピボット】事業所収支!$A$3,"年月",L$13,"事業所",$A$255)),#N/A)</f>
        <v>38048</v>
      </c>
      <c r="M262" s="484">
        <f>IFERROR(IF(GETPIVOTDATA("合計 / " &amp; $B262,【ピボット】事業所収支!$A$3,"年月",M$13,"事業所",$A$255)=0,#N/A,GETPIVOTDATA("合計 / " &amp; $B262,【ピボット】事業所収支!$A$3,"年月",M$13,"事業所",$A$255)),#N/A)</f>
        <v>46737</v>
      </c>
      <c r="N262" s="484">
        <f>IFERROR(IF(GETPIVOTDATA("合計 / " &amp; $B262,【ピボット】事業所収支!$A$3,"年月",N$13,"事業所",$A$255)=0,#N/A,GETPIVOTDATA("合計 / " &amp; $B262,【ピボット】事業所収支!$A$3,"年月",N$13,"事業所",$A$255)),#N/A)</f>
        <v>43513</v>
      </c>
      <c r="O262" s="484">
        <f>IFERROR(IF(GETPIVOTDATA("合計 / " &amp; $B262,【ピボット】事業所収支!$A$3,"年月",O$13,"事業所",$A$255)=0,#N/A,GETPIVOTDATA("合計 / " &amp; $B262,【ピボット】事業所収支!$A$3,"年月",O$13,"事業所",$A$255)),#N/A)</f>
        <v>44530</v>
      </c>
      <c r="P262" s="484">
        <f>IFERROR(IF(GETPIVOTDATA("合計 / " &amp; $B262,【ピボット】事業所収支!$A$3,"年月",P$13,"事業所",$A$255)=0,#N/A,GETPIVOTDATA("合計 / " &amp; $B262,【ピボット】事業所収支!$A$3,"年月",P$13,"事業所",$A$255)),#N/A)</f>
        <v>59494</v>
      </c>
      <c r="Q262" s="484">
        <f>IFERROR(IF(GETPIVOTDATA("合計 / " &amp; $B262,【ピボット】事業所収支!$A$3,"年月",Q$13,"事業所",$A$255)=0,#N/A,GETPIVOTDATA("合計 / " &amp; $B262,【ピボット】事業所収支!$A$3,"年月",Q$13,"事業所",$A$255)),#N/A)</f>
        <v>251816</v>
      </c>
      <c r="R262" s="484">
        <f>IFERROR(IF(GETPIVOTDATA("合計 / " &amp; $B262,【ピボット】事業所収支!$A$3,"年月",R$13,"事業所",$A$255)=0,#N/A,GETPIVOTDATA("合計 / " &amp; $B262,【ピボット】事業所収支!$A$3,"年月",R$13,"事業所",$A$255)),#N/A)</f>
        <v>103097</v>
      </c>
      <c r="S262" s="484">
        <f>IFERROR(IF(GETPIVOTDATA("合計 / " &amp; $B262,【ピボット】事業所収支!$A$3,"年月",S$13,"事業所",$A$255)=0,#N/A,GETPIVOTDATA("合計 / " &amp; $B262,【ピボット】事業所収支!$A$3,"年月",S$13,"事業所",$A$255)),#N/A)</f>
        <v>75671</v>
      </c>
      <c r="T262" s="484">
        <f>IFERROR(IF(GETPIVOTDATA("合計 / " &amp; $B262,【ピボット】事業所収支!$A$3,"年月",T$13,"事業所",$A$255)=0,#N/A,GETPIVOTDATA("合計 / " &amp; $B262,【ピボット】事業所収支!$A$3,"年月",T$13,"事業所",$A$255)),#N/A)</f>
        <v>77028</v>
      </c>
      <c r="U262" s="484">
        <f>IFERROR(IF(GETPIVOTDATA("合計 / " &amp; $B262,【ピボット】事業所収支!$A$3,"年月",U$13,"事業所",$A$255)=0,#N/A,GETPIVOTDATA("合計 / " &amp; $B262,【ピボット】事業所収支!$A$3,"年月",U$13,"事業所",$A$255)),#N/A)</f>
        <v>70665</v>
      </c>
      <c r="V262" s="484">
        <f>IFERROR(IF(GETPIVOTDATA("合計 / " &amp; $B262,【ピボット】事業所収支!$A$3,"年月",V$13,"事業所",$A$255)=0,#N/A,GETPIVOTDATA("合計 / " &amp; $B262,【ピボット】事業所収支!$A$3,"年月",V$13,"事業所",$A$255)),#N/A)</f>
        <v>128768</v>
      </c>
      <c r="W262" s="484">
        <f>IFERROR(IF(GETPIVOTDATA("合計 / " &amp; $B262,【ピボット】事業所収支!$A$3,"年月",W$13,"事業所",$A$255)=0,#N/A,GETPIVOTDATA("合計 / " &amp; $B262,【ピボット】事業所収支!$A$3,"年月",W$13,"事業所",$A$255)),#N/A)</f>
        <v>75566</v>
      </c>
      <c r="X262" s="484">
        <f>IFERROR(IF(GETPIVOTDATA("合計 / " &amp; $B262,【ピボット】事業所収支!$A$3,"年月",X$13,"事業所",$A$255)=0,#N/A,GETPIVOTDATA("合計 / " &amp; $B262,【ピボット】事業所収支!$A$3,"年月",X$13,"事業所",$A$255)),#N/A)</f>
        <v>71120</v>
      </c>
      <c r="Y262" s="484">
        <f>IFERROR(IF(GETPIVOTDATA("合計 / " &amp; $B262,【ピボット】事業所収支!$A$3,"年月",Y$13,"事業所",$A$255)=0,#N/A,GETPIVOTDATA("合計 / " &amp; $B262,【ピボット】事業所収支!$A$3,"年月",Y$13,"事業所",$A$255)),#N/A)</f>
        <v>71382</v>
      </c>
      <c r="Z262" s="484">
        <f>IFERROR(IF(GETPIVOTDATA("合計 / " &amp; $B262,【ピボット】事業所収支!$A$3,"年月",Z$13,"事業所",$A$255)=0,#N/A,GETPIVOTDATA("合計 / " &amp; $B262,【ピボット】事業所収支!$A$3,"年月",Z$13,"事業所",$A$255)),#N/A)</f>
        <v>76804</v>
      </c>
      <c r="AA262" s="4"/>
    </row>
    <row r="263" spans="2:27" x14ac:dyDescent="0.15">
      <c r="B263" s="9" t="s">
        <v>51</v>
      </c>
      <c r="C263" s="483">
        <f>IFERROR(IF(GETPIVOTDATA("合計 / " &amp; $B263,【ピボット】事業所収支!$A$3,"年月",C$13,"事業所",$A$255)=0,#N/A,GETPIVOTDATA("合計 / " &amp; $B263,【ピボット】事業所収支!$A$3,"年月",C$13,"事業所",$A$255)),#N/A)</f>
        <v>1134</v>
      </c>
      <c r="D263" s="483">
        <f>IFERROR(IF(GETPIVOTDATA("合計 / " &amp; $B263,【ピボット】事業所収支!$A$3,"年月",D$13,"事業所",$A$255)=0,#N/A,GETPIVOTDATA("合計 / " &amp; $B263,【ピボット】事業所収支!$A$3,"年月",D$13,"事業所",$A$255)),#N/A)</f>
        <v>1134</v>
      </c>
      <c r="E263" s="483">
        <f>IFERROR(IF(GETPIVOTDATA("合計 / " &amp; $B263,【ピボット】事業所収支!$A$3,"年月",E$13,"事業所",$A$255)=0,#N/A,GETPIVOTDATA("合計 / " &amp; $B263,【ピボット】事業所収支!$A$3,"年月",E$13,"事業所",$A$255)),#N/A)</f>
        <v>1134</v>
      </c>
      <c r="F263" s="483" t="e">
        <f>IFERROR(IF(GETPIVOTDATA("合計 / " &amp; $B263,【ピボット】事業所収支!$A$3,"年月",F$13,"事業所",$A$255)=0,#N/A,GETPIVOTDATA("合計 / " &amp; $B263,【ピボット】事業所収支!$A$3,"年月",F$13,"事業所",$A$255)),#N/A)</f>
        <v>#N/A</v>
      </c>
      <c r="G263" s="483" t="e">
        <f>IFERROR(IF(GETPIVOTDATA("合計 / " &amp; $B263,【ピボット】事業所収支!$A$3,"年月",G$13,"事業所",$A$255)=0,#N/A,GETPIVOTDATA("合計 / " &amp; $B263,【ピボット】事業所収支!$A$3,"年月",G$13,"事業所",$A$255)),#N/A)</f>
        <v>#N/A</v>
      </c>
      <c r="H263" s="483">
        <f>IFERROR(IF(GETPIVOTDATA("合計 / " &amp; $B263,【ピボット】事業所収支!$A$3,"年月",H$13,"事業所",$A$255)=0,#N/A,GETPIVOTDATA("合計 / " &amp; $B263,【ピボット】事業所収支!$A$3,"年月",H$13,"事業所",$A$255)),#N/A)</f>
        <v>30000</v>
      </c>
      <c r="I263" s="483" t="e">
        <f>IFERROR(IF(GETPIVOTDATA("合計 / " &amp; $B263,【ピボット】事業所収支!$A$3,"年月",I$13,"事業所",$A$255)=0,#N/A,GETPIVOTDATA("合計 / " &amp; $B263,【ピボット】事業所収支!$A$3,"年月",I$13,"事業所",$A$255)),#N/A)</f>
        <v>#N/A</v>
      </c>
      <c r="J263" s="483" t="e">
        <f>IFERROR(IF(GETPIVOTDATA("合計 / " &amp; $B263,【ピボット】事業所収支!$A$3,"年月",J$13,"事業所",$A$255)=0,#N/A,GETPIVOTDATA("合計 / " &amp; $B263,【ピボット】事業所収支!$A$3,"年月",J$13,"事業所",$A$255)),#N/A)</f>
        <v>#N/A</v>
      </c>
      <c r="K263" s="483" t="e">
        <f>IFERROR(IF(GETPIVOTDATA("合計 / " &amp; $B263,【ピボット】事業所収支!$A$3,"年月",K$13,"事業所",$A$255)=0,#N/A,GETPIVOTDATA("合計 / " &amp; $B263,【ピボット】事業所収支!$A$3,"年月",K$13,"事業所",$A$255)),#N/A)</f>
        <v>#N/A</v>
      </c>
      <c r="L263" s="483">
        <f>IFERROR(IF(GETPIVOTDATA("合計 / " &amp; $B263,【ピボット】事業所収支!$A$3,"年月",L$13,"事業所",$A$255)=0,#N/A,GETPIVOTDATA("合計 / " &amp; $B263,【ピボット】事業所収支!$A$3,"年月",L$13,"事業所",$A$255)),#N/A)</f>
        <v>2501</v>
      </c>
      <c r="M263" s="483">
        <f>IFERROR(IF(GETPIVOTDATA("合計 / " &amp; $B263,【ピボット】事業所収支!$A$3,"年月",M$13,"事業所",$A$255)=0,#N/A,GETPIVOTDATA("合計 / " &amp; $B263,【ピボット】事業所収支!$A$3,"年月",M$13,"事業所",$A$255)),#N/A)</f>
        <v>2377</v>
      </c>
      <c r="N263" s="483">
        <f>IFERROR(IF(GETPIVOTDATA("合計 / " &amp; $B263,【ピボット】事業所収支!$A$3,"年月",N$13,"事業所",$A$255)=0,#N/A,GETPIVOTDATA("合計 / " &amp; $B263,【ピボット】事業所収支!$A$3,"年月",N$13,"事業所",$A$255)),#N/A)</f>
        <v>3617</v>
      </c>
      <c r="O263" s="483">
        <f>IFERROR(IF(GETPIVOTDATA("合計 / " &amp; $B263,【ピボット】事業所収支!$A$3,"年月",O$13,"事業所",$A$255)=0,#N/A,GETPIVOTDATA("合計 / " &amp; $B263,【ピボット】事業所収支!$A$3,"年月",O$13,"事業所",$A$255)),#N/A)</f>
        <v>2500</v>
      </c>
      <c r="P263" s="483">
        <f>IFERROR(IF(GETPIVOTDATA("合計 / " &amp; $B263,【ピボット】事業所収支!$A$3,"年月",P$13,"事業所",$A$255)=0,#N/A,GETPIVOTDATA("合計 / " &amp; $B263,【ピボット】事業所収支!$A$3,"年月",P$13,"事業所",$A$255)),#N/A)</f>
        <v>3670</v>
      </c>
      <c r="Q263" s="483">
        <f>IFERROR(IF(GETPIVOTDATA("合計 / " &amp; $B263,【ピボット】事業所収支!$A$3,"年月",Q$13,"事業所",$A$255)=0,#N/A,GETPIVOTDATA("合計 / " &amp; $B263,【ピボット】事業所収支!$A$3,"年月",Q$13,"事業所",$A$255)),#N/A)</f>
        <v>2189</v>
      </c>
      <c r="R263" s="483" t="e">
        <f>IFERROR(IF(GETPIVOTDATA("合計 / " &amp; $B263,【ピボット】事業所収支!$A$3,"年月",R$13,"事業所",$A$255)=0,#N/A,GETPIVOTDATA("合計 / " &amp; $B263,【ピボット】事業所収支!$A$3,"年月",R$13,"事業所",$A$255)),#N/A)</f>
        <v>#N/A</v>
      </c>
      <c r="S263" s="483">
        <f>IFERROR(IF(GETPIVOTDATA("合計 / " &amp; $B263,【ピボット】事業所収支!$A$3,"年月",S$13,"事業所",$A$255)=0,#N/A,GETPIVOTDATA("合計 / " &amp; $B263,【ピボット】事業所収支!$A$3,"年月",S$13,"事業所",$A$255)),#N/A)</f>
        <v>32400</v>
      </c>
      <c r="T263" s="483">
        <f>IFERROR(IF(GETPIVOTDATA("合計 / " &amp; $B263,【ピボット】事業所収支!$A$3,"年月",T$13,"事業所",$A$255)=0,#N/A,GETPIVOTDATA("合計 / " &amp; $B263,【ピボット】事業所収支!$A$3,"年月",T$13,"事業所",$A$255)),#N/A)</f>
        <v>40500</v>
      </c>
      <c r="U263" s="483" t="e">
        <f>IFERROR(IF(GETPIVOTDATA("合計 / " &amp; $B263,【ピボット】事業所収支!$A$3,"年月",U$13,"事業所",$A$255)=0,#N/A,GETPIVOTDATA("合計 / " &amp; $B263,【ピボット】事業所収支!$A$3,"年月",U$13,"事業所",$A$255)),#N/A)</f>
        <v>#N/A</v>
      </c>
      <c r="V263" s="483" t="e">
        <f>IFERROR(IF(GETPIVOTDATA("合計 / " &amp; $B263,【ピボット】事業所収支!$A$3,"年月",V$13,"事業所",$A$255)=0,#N/A,GETPIVOTDATA("合計 / " &amp; $B263,【ピボット】事業所収支!$A$3,"年月",V$13,"事業所",$A$255)),#N/A)</f>
        <v>#N/A</v>
      </c>
      <c r="W263" s="483" t="e">
        <f>IFERROR(IF(GETPIVOTDATA("合計 / " &amp; $B263,【ピボット】事業所収支!$A$3,"年月",W$13,"事業所",$A$255)=0,#N/A,GETPIVOTDATA("合計 / " &amp; $B263,【ピボット】事業所収支!$A$3,"年月",W$13,"事業所",$A$255)),#N/A)</f>
        <v>#N/A</v>
      </c>
      <c r="X263" s="483" t="e">
        <f>IFERROR(IF(GETPIVOTDATA("合計 / " &amp; $B263,【ピボット】事業所収支!$A$3,"年月",X$13,"事業所",$A$255)=0,#N/A,GETPIVOTDATA("合計 / " &amp; $B263,【ピボット】事業所収支!$A$3,"年月",X$13,"事業所",$A$255)),#N/A)</f>
        <v>#N/A</v>
      </c>
      <c r="Y263" s="483" t="e">
        <f>IFERROR(IF(GETPIVOTDATA("合計 / " &amp; $B263,【ピボット】事業所収支!$A$3,"年月",Y$13,"事業所",$A$255)=0,#N/A,GETPIVOTDATA("合計 / " &amp; $B263,【ピボット】事業所収支!$A$3,"年月",Y$13,"事業所",$A$255)),#N/A)</f>
        <v>#N/A</v>
      </c>
      <c r="Z263" s="483" t="e">
        <f>IFERROR(IF(GETPIVOTDATA("合計 / " &amp; $B263,【ピボット】事業所収支!$A$3,"年月",Z$13,"事業所",$A$255)=0,#N/A,GETPIVOTDATA("合計 / " &amp; $B263,【ピボット】事業所収支!$A$3,"年月",Z$13,"事業所",$A$255)),#N/A)</f>
        <v>#N/A</v>
      </c>
      <c r="AA263" s="4"/>
    </row>
    <row r="264" spans="2:27" x14ac:dyDescent="0.15">
      <c r="B264" s="41" t="s">
        <v>15</v>
      </c>
      <c r="C264" s="486">
        <f>IFERROR(IF(GETPIVOTDATA("合計 / " &amp; $B264,【ピボット】事業所収支!$A$3,"年月",C$13,"事業所",$A$255)=0,#N/A,GETPIVOTDATA("合計 / " &amp; $B264,【ピボット】事業所収支!$A$3,"年月",C$13,"事業所",$A$255)),#N/A)</f>
        <v>1390513</v>
      </c>
      <c r="D264" s="486">
        <f>IFERROR(IF(GETPIVOTDATA("合計 / " &amp; $B264,【ピボット】事業所収支!$A$3,"年月",D$13,"事業所",$A$255)=0,#N/A,GETPIVOTDATA("合計 / " &amp; $B264,【ピボット】事業所収支!$A$3,"年月",D$13,"事業所",$A$255)),#N/A)</f>
        <v>1590430</v>
      </c>
      <c r="E264" s="486">
        <f>IFERROR(IF(GETPIVOTDATA("合計 / " &amp; $B264,【ピボット】事業所収支!$A$3,"年月",E$13,"事業所",$A$255)=0,#N/A,GETPIVOTDATA("合計 / " &amp; $B264,【ピボット】事業所収支!$A$3,"年月",E$13,"事業所",$A$255)),#N/A)</f>
        <v>1701691</v>
      </c>
      <c r="F264" s="486">
        <f>IFERROR(IF(GETPIVOTDATA("合計 / " &amp; $B264,【ピボット】事業所収支!$A$3,"年月",F$13,"事業所",$A$255)=0,#N/A,GETPIVOTDATA("合計 / " &amp; $B264,【ピボット】事業所収支!$A$3,"年月",F$13,"事業所",$A$255)),#N/A)</f>
        <v>1749915</v>
      </c>
      <c r="G264" s="486">
        <f>IFERROR(IF(GETPIVOTDATA("合計 / " &amp; $B264,【ピボット】事業所収支!$A$3,"年月",G$13,"事業所",$A$255)=0,#N/A,GETPIVOTDATA("合計 / " &amp; $B264,【ピボット】事業所収支!$A$3,"年月",G$13,"事業所",$A$255)),#N/A)</f>
        <v>1657682</v>
      </c>
      <c r="H264" s="486">
        <f>IFERROR(IF(GETPIVOTDATA("合計 / " &amp; $B264,【ピボット】事業所収支!$A$3,"年月",H$13,"事業所",$A$255)=0,#N/A,GETPIVOTDATA("合計 / " &amp; $B264,【ピボット】事業所収支!$A$3,"年月",H$13,"事業所",$A$255)),#N/A)</f>
        <v>1844386</v>
      </c>
      <c r="I264" s="486">
        <f>IFERROR(IF(GETPIVOTDATA("合計 / " &amp; $B264,【ピボット】事業所収支!$A$3,"年月",I$13,"事業所",$A$255)=0,#N/A,GETPIVOTDATA("合計 / " &amp; $B264,【ピボット】事業所収支!$A$3,"年月",I$13,"事業所",$A$255)),#N/A)</f>
        <v>1778292</v>
      </c>
      <c r="J264" s="486">
        <f>IFERROR(IF(GETPIVOTDATA("合計 / " &amp; $B264,【ピボット】事業所収支!$A$3,"年月",J$13,"事業所",$A$255)=0,#N/A,GETPIVOTDATA("合計 / " &amp; $B264,【ピボット】事業所収支!$A$3,"年月",J$13,"事業所",$A$255)),#N/A)</f>
        <v>2331206.8134925622</v>
      </c>
      <c r="K264" s="486">
        <f>IFERROR(IF(GETPIVOTDATA("合計 / " &amp; $B264,【ピボット】事業所収支!$A$3,"年月",K$13,"事業所",$A$255)=0,#N/A,GETPIVOTDATA("合計 / " &amp; $B264,【ピボット】事業所収支!$A$3,"年月",K$13,"事業所",$A$255)),#N/A)</f>
        <v>2142868</v>
      </c>
      <c r="L264" s="486">
        <f>IFERROR(IF(GETPIVOTDATA("合計 / " &amp; $B264,【ピボット】事業所収支!$A$3,"年月",L$13,"事業所",$A$255)=0,#N/A,GETPIVOTDATA("合計 / " &amp; $B264,【ピボット】事業所収支!$A$3,"年月",L$13,"事業所",$A$255)),#N/A)</f>
        <v>1544400</v>
      </c>
      <c r="M264" s="486">
        <f>IFERROR(IF(GETPIVOTDATA("合計 / " &amp; $B264,【ピボット】事業所収支!$A$3,"年月",M$13,"事業所",$A$255)=0,#N/A,GETPIVOTDATA("合計 / " &amp; $B264,【ピボット】事業所収支!$A$3,"年月",M$13,"事業所",$A$255)),#N/A)</f>
        <v>1713633</v>
      </c>
      <c r="N264" s="486">
        <f>IFERROR(IF(GETPIVOTDATA("合計 / " &amp; $B264,【ピボット】事業所収支!$A$3,"年月",N$13,"事業所",$A$255)=0,#N/A,GETPIVOTDATA("合計 / " &amp; $B264,【ピボット】事業所収支!$A$3,"年月",N$13,"事業所",$A$255)),#N/A)</f>
        <v>1717258</v>
      </c>
      <c r="O264" s="486">
        <f>IFERROR(IF(GETPIVOTDATA("合計 / " &amp; $B264,【ピボット】事業所収支!$A$3,"年月",O$13,"事業所",$A$255)=0,#N/A,GETPIVOTDATA("合計 / " &amp; $B264,【ピボット】事業所収支!$A$3,"年月",O$13,"事業所",$A$255)),#N/A)</f>
        <v>1591339</v>
      </c>
      <c r="P264" s="486">
        <f>IFERROR(IF(GETPIVOTDATA("合計 / " &amp; $B264,【ピボット】事業所収支!$A$3,"年月",P$13,"事業所",$A$255)=0,#N/A,GETPIVOTDATA("合計 / " &amp; $B264,【ピボット】事業所収支!$A$3,"年月",P$13,"事業所",$A$255)),#N/A)</f>
        <v>2098226</v>
      </c>
      <c r="Q264" s="486">
        <f>IFERROR(IF(GETPIVOTDATA("合計 / " &amp; $B264,【ピボット】事業所収支!$A$3,"年月",Q$13,"事業所",$A$255)=0,#N/A,GETPIVOTDATA("合計 / " &amp; $B264,【ピボット】事業所収支!$A$3,"年月",Q$13,"事業所",$A$255)),#N/A)</f>
        <v>2002252</v>
      </c>
      <c r="R264" s="486">
        <f>IFERROR(IF(GETPIVOTDATA("合計 / " &amp; $B264,【ピボット】事業所収支!$A$3,"年月",R$13,"事業所",$A$255)=0,#N/A,GETPIVOTDATA("合計 / " &amp; $B264,【ピボット】事業所収支!$A$3,"年月",R$13,"事業所",$A$255)),#N/A)</f>
        <v>1812806</v>
      </c>
      <c r="S264" s="486">
        <f>IFERROR(IF(GETPIVOTDATA("合計 / " &amp; $B264,【ピボット】事業所収支!$A$3,"年月",S$13,"事業所",$A$255)=0,#N/A,GETPIVOTDATA("合計 / " &amp; $B264,【ピボット】事業所収支!$A$3,"年月",S$13,"事業所",$A$255)),#N/A)</f>
        <v>1316645</v>
      </c>
      <c r="T264" s="486">
        <f>IFERROR(IF(GETPIVOTDATA("合計 / " &amp; $B264,【ピボット】事業所収支!$A$3,"年月",T$13,"事業所",$A$255)=0,#N/A,GETPIVOTDATA("合計 / " &amp; $B264,【ピボット】事業所収支!$A$3,"年月",T$13,"事業所",$A$255)),#N/A)</f>
        <v>1375936</v>
      </c>
      <c r="U264" s="486">
        <f>IFERROR(IF(GETPIVOTDATA("合計 / " &amp; $B264,【ピボット】事業所収支!$A$3,"年月",U$13,"事業所",$A$255)=0,#N/A,GETPIVOTDATA("合計 / " &amp; $B264,【ピボット】事業所収支!$A$3,"年月",U$13,"事業所",$A$255)),#N/A)</f>
        <v>1428141</v>
      </c>
      <c r="V264" s="486">
        <f>IFERROR(IF(GETPIVOTDATA("合計 / " &amp; $B264,【ピボット】事業所収支!$A$3,"年月",V$13,"事業所",$A$255)=0,#N/A,GETPIVOTDATA("合計 / " &amp; $B264,【ピボット】事業所収支!$A$3,"年月",V$13,"事業所",$A$255)),#N/A)</f>
        <v>1812297</v>
      </c>
      <c r="W264" s="486">
        <f>IFERROR(IF(GETPIVOTDATA("合計 / " &amp; $B264,【ピボット】事業所収支!$A$3,"年月",W$13,"事業所",$A$255)=0,#N/A,GETPIVOTDATA("合計 / " &amp; $B264,【ピボット】事業所収支!$A$3,"年月",W$13,"事業所",$A$255)),#N/A)</f>
        <v>1470264</v>
      </c>
      <c r="X264" s="486">
        <f>IFERROR(IF(GETPIVOTDATA("合計 / " &amp; $B264,【ピボット】事業所収支!$A$3,"年月",X$13,"事業所",$A$255)=0,#N/A,GETPIVOTDATA("合計 / " &amp; $B264,【ピボット】事業所収支!$A$3,"年月",X$13,"事業所",$A$255)),#N/A)</f>
        <v>1322966</v>
      </c>
      <c r="Y264" s="486">
        <f>IFERROR(IF(GETPIVOTDATA("合計 / " &amp; $B264,【ピボット】事業所収支!$A$3,"年月",Y$13,"事業所",$A$255)=0,#N/A,GETPIVOTDATA("合計 / " &amp; $B264,【ピボット】事業所収支!$A$3,"年月",Y$13,"事業所",$A$255)),#N/A)</f>
        <v>1377986</v>
      </c>
      <c r="Z264" s="486">
        <f>IFERROR(IF(GETPIVOTDATA("合計 / " &amp; $B264,【ピボット】事業所収支!$A$3,"年月",Z$13,"事業所",$A$255)=0,#N/A,GETPIVOTDATA("合計 / " &amp; $B264,【ピボット】事業所収支!$A$3,"年月",Z$13,"事業所",$A$255)),#N/A)</f>
        <v>1430079</v>
      </c>
    </row>
    <row r="265" spans="2:27" x14ac:dyDescent="0.15">
      <c r="B265" s="48" t="s">
        <v>30</v>
      </c>
      <c r="C265" s="487">
        <f>IFERROR(IF(GETPIVOTDATA("合計 / " &amp; $B265 &amp;"計",【ピボット】事業所収支!$A$3,"年月",C$13,"事業所",$A$255)=0,#N/A,GETPIVOTDATA("合計 / " &amp; $B265 &amp;"計",【ピボット】事業所収支!$A$3,"年月",C$13,"事業所",$A$255)),#N/A)</f>
        <v>678719</v>
      </c>
      <c r="D265" s="487">
        <f>IFERROR(IF(GETPIVOTDATA("合計 / " &amp; $B265 &amp;"計",【ピボット】事業所収支!$A$3,"年月",D$13,"事業所",$A$255)=0,#N/A,GETPIVOTDATA("合計 / " &amp; $B265 &amp;"計",【ピボット】事業所収支!$A$3,"年月",D$13,"事業所",$A$255)),#N/A)</f>
        <v>716850</v>
      </c>
      <c r="E265" s="487">
        <f>IFERROR(IF(GETPIVOTDATA("合計 / " &amp; $B265 &amp;"計",【ピボット】事業所収支!$A$3,"年月",E$13,"事業所",$A$255)=0,#N/A,GETPIVOTDATA("合計 / " &amp; $B265 &amp;"計",【ピボット】事業所収支!$A$3,"年月",E$13,"事業所",$A$255)),#N/A)</f>
        <v>312799</v>
      </c>
      <c r="F265" s="487">
        <f>IFERROR(IF(GETPIVOTDATA("合計 / " &amp; $B265 &amp;"計",【ピボット】事業所収支!$A$3,"年月",F$13,"事業所",$A$255)=0,#N/A,GETPIVOTDATA("合計 / " &amp; $B265 &amp;"計",【ピボット】事業所収支!$A$3,"年月",F$13,"事業所",$A$255)),#N/A)</f>
        <v>340117</v>
      </c>
      <c r="G265" s="487">
        <f>IFERROR(IF(GETPIVOTDATA("合計 / " &amp; $B265 &amp;"計",【ピボット】事業所収支!$A$3,"年月",G$13,"事業所",$A$255)=0,#N/A,GETPIVOTDATA("合計 / " &amp; $B265 &amp;"計",【ピボット】事業所収支!$A$3,"年月",G$13,"事業所",$A$255)),#N/A)</f>
        <v>521873</v>
      </c>
      <c r="H265" s="487">
        <f>IFERROR(IF(GETPIVOTDATA("合計 / " &amp; $B265 &amp;"計",【ピボット】事業所収支!$A$3,"年月",H$13,"事業所",$A$255)=0,#N/A,GETPIVOTDATA("合計 / " &amp; $B265 &amp;"計",【ピボット】事業所収支!$A$3,"年月",H$13,"事業所",$A$255)),#N/A)</f>
        <v>346984</v>
      </c>
      <c r="I265" s="487">
        <f>IFERROR(IF(GETPIVOTDATA("合計 / " &amp; $B265 &amp;"計",【ピボット】事業所収支!$A$3,"年月",I$13,"事業所",$A$255)=0,#N/A,GETPIVOTDATA("合計 / " &amp; $B265 &amp;"計",【ピボット】事業所収支!$A$3,"年月",I$13,"事業所",$A$255)),#N/A)</f>
        <v>604342</v>
      </c>
      <c r="J265" s="487">
        <f>IFERROR(IF(GETPIVOTDATA("合計 / " &amp; $B265 &amp;"計",【ピボット】事業所収支!$A$3,"年月",J$13,"事業所",$A$255)=0,#N/A,GETPIVOTDATA("合計 / " &amp; $B265 &amp;"計",【ピボット】事業所収支!$A$3,"年月",J$13,"事業所",$A$255)),#N/A)</f>
        <v>582653</v>
      </c>
      <c r="K265" s="487">
        <f>IFERROR(IF(GETPIVOTDATA("合計 / " &amp; $B265 &amp;"計",【ピボット】事業所収支!$A$3,"年月",K$13,"事業所",$A$255)=0,#N/A,GETPIVOTDATA("合計 / " &amp; $B265 &amp;"計",【ピボット】事業所収支!$A$3,"年月",K$13,"事業所",$A$255)),#N/A)</f>
        <v>573594</v>
      </c>
      <c r="L265" s="487">
        <f>IFERROR(IF(GETPIVOTDATA("合計 / " &amp; $B265 &amp;"計",【ピボット】事業所収支!$A$3,"年月",L$13,"事業所",$A$255)=0,#N/A,GETPIVOTDATA("合計 / " &amp; $B265 &amp;"計",【ピボット】事業所収支!$A$3,"年月",L$13,"事業所",$A$255)),#N/A)</f>
        <v>616591</v>
      </c>
      <c r="M265" s="487">
        <f>IFERROR(IF(GETPIVOTDATA("合計 / " &amp; $B265 &amp;"計",【ピボット】事業所収支!$A$3,"年月",M$13,"事業所",$A$255)=0,#N/A,GETPIVOTDATA("合計 / " &amp; $B265 &amp;"計",【ピボット】事業所収支!$A$3,"年月",M$13,"事業所",$A$255)),#N/A)</f>
        <v>684050</v>
      </c>
      <c r="N265" s="487">
        <f>IFERROR(IF(GETPIVOTDATA("合計 / " &amp; $B265 &amp;"計",【ピボット】事業所収支!$A$3,"年月",N$13,"事業所",$A$255)=0,#N/A,GETPIVOTDATA("合計 / " &amp; $B265 &amp;"計",【ピボット】事業所収支!$A$3,"年月",N$13,"事業所",$A$255)),#N/A)</f>
        <v>706946</v>
      </c>
      <c r="O265" s="487">
        <f>IFERROR(IF(GETPIVOTDATA("合計 / " &amp; $B265 &amp;"計",【ピボット】事業所収支!$A$3,"年月",O$13,"事業所",$A$255)=0,#N/A,GETPIVOTDATA("合計 / " &amp; $B265 &amp;"計",【ピボット】事業所収支!$A$3,"年月",O$13,"事業所",$A$255)),#N/A)</f>
        <v>727124</v>
      </c>
      <c r="P265" s="487">
        <f>IFERROR(IF(GETPIVOTDATA("合計 / " &amp; $B265 &amp;"計",【ピボット】事業所収支!$A$3,"年月",P$13,"事業所",$A$255)=0,#N/A,GETPIVOTDATA("合計 / " &amp; $B265 &amp;"計",【ピボット】事業所収支!$A$3,"年月",P$13,"事業所",$A$255)),#N/A)</f>
        <v>683680</v>
      </c>
      <c r="Q265" s="487">
        <f>IFERROR(IF(GETPIVOTDATA("合計 / " &amp; $B265 &amp;"計",【ピボット】事業所収支!$A$3,"年月",Q$13,"事業所",$A$255)=0,#N/A,GETPIVOTDATA("合計 / " &amp; $B265 &amp;"計",【ピボット】事業所収支!$A$3,"年月",Q$13,"事業所",$A$255)),#N/A)</f>
        <v>678728</v>
      </c>
      <c r="R265" s="487">
        <f>IFERROR(IF(GETPIVOTDATA("合計 / " &amp; $B265 &amp;"計",【ピボット】事業所収支!$A$3,"年月",R$13,"事業所",$A$255)=0,#N/A,GETPIVOTDATA("合計 / " &amp; $B265 &amp;"計",【ピボット】事業所収支!$A$3,"年月",R$13,"事業所",$A$255)),#N/A)</f>
        <v>942554</v>
      </c>
      <c r="S265" s="487">
        <f>IFERROR(IF(GETPIVOTDATA("合計 / " &amp; $B265 &amp;"計",【ピボット】事業所収支!$A$3,"年月",S$13,"事業所",$A$255)=0,#N/A,GETPIVOTDATA("合計 / " &amp; $B265 &amp;"計",【ピボット】事業所収支!$A$3,"年月",S$13,"事業所",$A$255)),#N/A)</f>
        <v>309334</v>
      </c>
      <c r="T265" s="487">
        <f>IFERROR(IF(GETPIVOTDATA("合計 / " &amp; $B265 &amp;"計",【ピボット】事業所収支!$A$3,"年月",T$13,"事業所",$A$255)=0,#N/A,GETPIVOTDATA("合計 / " &amp; $B265 &amp;"計",【ピボット】事業所収支!$A$3,"年月",T$13,"事業所",$A$255)),#N/A)</f>
        <v>691457</v>
      </c>
      <c r="U265" s="487">
        <f>IFERROR(IF(GETPIVOTDATA("合計 / " &amp; $B265 &amp;"計",【ピボット】事業所収支!$A$3,"年月",U$13,"事業所",$A$255)=0,#N/A,GETPIVOTDATA("合計 / " &amp; $B265 &amp;"計",【ピボット】事業所収支!$A$3,"年月",U$13,"事業所",$A$255)),#N/A)</f>
        <v>568580</v>
      </c>
      <c r="V265" s="487">
        <f>IFERROR(IF(GETPIVOTDATA("合計 / " &amp; $B265 &amp;"計",【ピボット】事業所収支!$A$3,"年月",V$13,"事業所",$A$255)=0,#N/A,GETPIVOTDATA("合計 / " &amp; $B265 &amp;"計",【ピボット】事業所収支!$A$3,"年月",V$13,"事業所",$A$255)),#N/A)</f>
        <v>547437</v>
      </c>
      <c r="W265" s="487">
        <f>IFERROR(IF(GETPIVOTDATA("合計 / " &amp; $B265 &amp;"計",【ピボット】事業所収支!$A$3,"年月",W$13,"事業所",$A$255)=0,#N/A,GETPIVOTDATA("合計 / " &amp; $B265 &amp;"計",【ピボット】事業所収支!$A$3,"年月",W$13,"事業所",$A$255)),#N/A)</f>
        <v>648199</v>
      </c>
      <c r="X265" s="487">
        <f>IFERROR(IF(GETPIVOTDATA("合計 / " &amp; $B265 &amp;"計",【ピボット】事業所収支!$A$3,"年月",X$13,"事業所",$A$255)=0,#N/A,GETPIVOTDATA("合計 / " &amp; $B265 &amp;"計",【ピボット】事業所収支!$A$3,"年月",X$13,"事業所",$A$255)),#N/A)</f>
        <v>588210</v>
      </c>
      <c r="Y265" s="487">
        <f>IFERROR(IF(GETPIVOTDATA("合計 / " &amp; $B265 &amp;"計",【ピボット】事業所収支!$A$3,"年月",Y$13,"事業所",$A$255)=0,#N/A,GETPIVOTDATA("合計 / " &amp; $B265 &amp;"計",【ピボット】事業所収支!$A$3,"年月",Y$13,"事業所",$A$255)),#N/A)</f>
        <v>778041</v>
      </c>
      <c r="Z265" s="487">
        <f>IFERROR(IF(GETPIVOTDATA("合計 / " &amp; $B265 &amp;"計",【ピボット】事業所収支!$A$3,"年月",Z$13,"事業所",$A$255)=0,#N/A,GETPIVOTDATA("合計 / " &amp; $B265 &amp;"計",【ピボット】事業所収支!$A$3,"年月",Z$13,"事業所",$A$255)),#N/A)</f>
        <v>601669</v>
      </c>
      <c r="AA265" s="4"/>
    </row>
    <row r="266" spans="2:27" hidden="1" x14ac:dyDescent="0.15">
      <c r="B266" s="48" t="s">
        <v>112</v>
      </c>
      <c r="C266" s="487" t="e">
        <f>#REF!</f>
        <v>#REF!</v>
      </c>
      <c r="D266" s="487" t="e">
        <f>#REF!</f>
        <v>#REF!</v>
      </c>
      <c r="E266" s="487" t="e">
        <f>#REF!</f>
        <v>#REF!</v>
      </c>
      <c r="F266" s="487" t="e">
        <f>#REF!</f>
        <v>#REF!</v>
      </c>
      <c r="G266" s="487" t="e">
        <f>#REF!</f>
        <v>#REF!</v>
      </c>
      <c r="H266" s="487" t="e">
        <f>#REF!</f>
        <v>#REF!</v>
      </c>
      <c r="I266" s="487" t="e">
        <f>#REF!</f>
        <v>#REF!</v>
      </c>
      <c r="J266" s="487" t="e">
        <f>#REF!</f>
        <v>#REF!</v>
      </c>
      <c r="K266" s="487" t="e">
        <f>#REF!</f>
        <v>#REF!</v>
      </c>
      <c r="L266" s="487" t="e">
        <f>#REF!</f>
        <v>#REF!</v>
      </c>
      <c r="M266" s="487" t="e">
        <f>#REF!</f>
        <v>#REF!</v>
      </c>
      <c r="N266" s="487" t="e">
        <f>#REF!</f>
        <v>#REF!</v>
      </c>
      <c r="O266" s="487" t="e">
        <f>#REF!</f>
        <v>#REF!</v>
      </c>
      <c r="P266" s="487" t="e">
        <f>#REF!</f>
        <v>#REF!</v>
      </c>
      <c r="Q266" s="487" t="e">
        <f>#REF!</f>
        <v>#REF!</v>
      </c>
      <c r="R266" s="487" t="e">
        <f>#REF!</f>
        <v>#REF!</v>
      </c>
      <c r="S266" s="487" t="e">
        <f>#REF!</f>
        <v>#REF!</v>
      </c>
      <c r="T266" s="487" t="e">
        <f>#REF!</f>
        <v>#REF!</v>
      </c>
      <c r="U266" s="487" t="e">
        <f>#REF!</f>
        <v>#REF!</v>
      </c>
      <c r="V266" s="487" t="e">
        <f>#REF!</f>
        <v>#REF!</v>
      </c>
      <c r="W266" s="487" t="e">
        <f>#REF!</f>
        <v>#REF!</v>
      </c>
      <c r="X266" s="487" t="e">
        <f>#REF!</f>
        <v>#REF!</v>
      </c>
      <c r="Y266" s="487" t="e">
        <f>#REF!</f>
        <v>#REF!</v>
      </c>
      <c r="Z266" s="487" t="e">
        <f>#REF!</f>
        <v>#REF!</v>
      </c>
      <c r="AA266" s="4"/>
    </row>
    <row r="267" spans="2:27" x14ac:dyDescent="0.15">
      <c r="B267" s="8" t="s">
        <v>53</v>
      </c>
      <c r="C267" s="483">
        <f t="shared" ref="C267:Z267" si="20">IFERROR(C264,0)+IFERROR(C265,0)</f>
        <v>2069232</v>
      </c>
      <c r="D267" s="483">
        <f t="shared" si="20"/>
        <v>2307280</v>
      </c>
      <c r="E267" s="483">
        <f t="shared" si="20"/>
        <v>2014490</v>
      </c>
      <c r="F267" s="483">
        <f t="shared" si="20"/>
        <v>2090032</v>
      </c>
      <c r="G267" s="483">
        <f t="shared" si="20"/>
        <v>2179555</v>
      </c>
      <c r="H267" s="483">
        <f t="shared" si="20"/>
        <v>2191370</v>
      </c>
      <c r="I267" s="483">
        <f t="shared" si="20"/>
        <v>2382634</v>
      </c>
      <c r="J267" s="483">
        <f t="shared" si="20"/>
        <v>2913859.8134925622</v>
      </c>
      <c r="K267" s="483">
        <f t="shared" si="20"/>
        <v>2716462</v>
      </c>
      <c r="L267" s="483">
        <f t="shared" si="20"/>
        <v>2160991</v>
      </c>
      <c r="M267" s="483">
        <f t="shared" si="20"/>
        <v>2397683</v>
      </c>
      <c r="N267" s="483">
        <f t="shared" si="20"/>
        <v>2424204</v>
      </c>
      <c r="O267" s="483">
        <f t="shared" si="20"/>
        <v>2318463</v>
      </c>
      <c r="P267" s="483">
        <f t="shared" si="20"/>
        <v>2781906</v>
      </c>
      <c r="Q267" s="483">
        <f t="shared" si="20"/>
        <v>2680980</v>
      </c>
      <c r="R267" s="483">
        <f t="shared" si="20"/>
        <v>2755360</v>
      </c>
      <c r="S267" s="483">
        <f t="shared" si="20"/>
        <v>1625979</v>
      </c>
      <c r="T267" s="483">
        <f t="shared" si="20"/>
        <v>2067393</v>
      </c>
      <c r="U267" s="483">
        <f t="shared" si="20"/>
        <v>1996721</v>
      </c>
      <c r="V267" s="483">
        <f t="shared" si="20"/>
        <v>2359734</v>
      </c>
      <c r="W267" s="483">
        <f t="shared" si="20"/>
        <v>2118463</v>
      </c>
      <c r="X267" s="483">
        <f t="shared" si="20"/>
        <v>1911176</v>
      </c>
      <c r="Y267" s="483">
        <f t="shared" si="20"/>
        <v>2156027</v>
      </c>
      <c r="Z267" s="483">
        <f t="shared" si="20"/>
        <v>2031748</v>
      </c>
    </row>
    <row r="268" spans="2:27" x14ac:dyDescent="0.15">
      <c r="B268" s="11" t="s">
        <v>32</v>
      </c>
      <c r="C268" s="488">
        <f t="shared" ref="C268:Z268" si="21">IFERROR(SUM(C257,-C267),0)</f>
        <v>1149138</v>
      </c>
      <c r="D268" s="488">
        <f t="shared" si="21"/>
        <v>586149</v>
      </c>
      <c r="E268" s="488">
        <f t="shared" si="21"/>
        <v>1169982</v>
      </c>
      <c r="F268" s="488">
        <f>IFERROR(SUM(F257,-F267),0)</f>
        <v>1034862</v>
      </c>
      <c r="G268" s="488">
        <f t="shared" si="21"/>
        <v>901791</v>
      </c>
      <c r="H268" s="488">
        <f t="shared" si="21"/>
        <v>797769</v>
      </c>
      <c r="I268" s="488">
        <f t="shared" si="21"/>
        <v>192043</v>
      </c>
      <c r="J268" s="488">
        <f t="shared" si="21"/>
        <v>-60323.813492562156</v>
      </c>
      <c r="K268" s="488">
        <f t="shared" si="21"/>
        <v>-99281</v>
      </c>
      <c r="L268" s="488">
        <f t="shared" si="21"/>
        <v>896969</v>
      </c>
      <c r="M268" s="488">
        <f t="shared" si="21"/>
        <v>659214</v>
      </c>
      <c r="N268" s="488">
        <f t="shared" si="21"/>
        <v>759510</v>
      </c>
      <c r="O268" s="488">
        <f t="shared" si="21"/>
        <v>703244</v>
      </c>
      <c r="P268" s="488">
        <f t="shared" si="21"/>
        <v>-89728</v>
      </c>
      <c r="Q268" s="488">
        <f t="shared" si="21"/>
        <v>-134393</v>
      </c>
      <c r="R268" s="488">
        <f t="shared" si="21"/>
        <v>-403891</v>
      </c>
      <c r="S268" s="488">
        <f t="shared" si="21"/>
        <v>486094</v>
      </c>
      <c r="T268" s="488">
        <f t="shared" si="21"/>
        <v>329872</v>
      </c>
      <c r="U268" s="488">
        <f t="shared" si="21"/>
        <v>1525256</v>
      </c>
      <c r="V268" s="488">
        <f t="shared" si="21"/>
        <v>246581</v>
      </c>
      <c r="W268" s="488">
        <f t="shared" si="21"/>
        <v>508606</v>
      </c>
      <c r="X268" s="488">
        <f t="shared" si="21"/>
        <v>603947</v>
      </c>
      <c r="Y268" s="488">
        <f t="shared" si="21"/>
        <v>342235</v>
      </c>
      <c r="Z268" s="488">
        <f t="shared" si="21"/>
        <v>430721</v>
      </c>
      <c r="AA268" s="4">
        <f>SUM(O268:Z268)</f>
        <v>4548544</v>
      </c>
    </row>
    <row r="269" spans="2:27" x14ac:dyDescent="0.15">
      <c r="B269" s="11"/>
    </row>
    <row r="270" spans="2:27" x14ac:dyDescent="0.15">
      <c r="B270" s="11"/>
      <c r="X270" s="489"/>
      <c r="Y270" s="489"/>
      <c r="Z270" s="489"/>
    </row>
    <row r="296" spans="1:27" ht="18.75" hidden="1" x14ac:dyDescent="0.15">
      <c r="A296" t="s">
        <v>750</v>
      </c>
      <c r="B296" s="43" t="str">
        <f>A296 &amp; "収支"</f>
        <v>中高根収支</v>
      </c>
      <c r="C296" s="435" t="e">
        <f t="shared" ref="C296:Z296" si="22">IF(ISBLANK(C$12),#N/A,C$12)</f>
        <v>#N/A</v>
      </c>
      <c r="D296" s="435" t="e">
        <f t="shared" si="22"/>
        <v>#N/A</v>
      </c>
      <c r="E296" s="435" t="e">
        <f t="shared" si="22"/>
        <v>#N/A</v>
      </c>
      <c r="F296" s="435" t="e">
        <f t="shared" si="22"/>
        <v>#N/A</v>
      </c>
      <c r="G296" s="435" t="e">
        <f t="shared" si="22"/>
        <v>#N/A</v>
      </c>
      <c r="H296" s="435" t="e">
        <f t="shared" si="22"/>
        <v>#N/A</v>
      </c>
      <c r="I296" s="435" t="e">
        <f t="shared" si="22"/>
        <v>#N/A</v>
      </c>
      <c r="J296" s="435" t="e">
        <f t="shared" si="22"/>
        <v>#N/A</v>
      </c>
      <c r="K296" s="435" t="e">
        <f t="shared" si="22"/>
        <v>#N/A</v>
      </c>
      <c r="L296" s="435" t="e">
        <f t="shared" si="22"/>
        <v>#N/A</v>
      </c>
      <c r="M296" s="435" t="e">
        <f t="shared" si="22"/>
        <v>#N/A</v>
      </c>
      <c r="N296" s="435" t="e">
        <f t="shared" si="22"/>
        <v>#N/A</v>
      </c>
      <c r="O296" s="435" t="e">
        <f t="shared" si="22"/>
        <v>#N/A</v>
      </c>
      <c r="P296" s="435" t="e">
        <f t="shared" si="22"/>
        <v>#N/A</v>
      </c>
      <c r="Q296" s="435" t="e">
        <f t="shared" si="22"/>
        <v>#N/A</v>
      </c>
      <c r="R296" s="435" t="e">
        <f t="shared" si="22"/>
        <v>#N/A</v>
      </c>
      <c r="S296" s="435" t="e">
        <f t="shared" si="22"/>
        <v>#N/A</v>
      </c>
      <c r="T296" s="435" t="e">
        <f t="shared" si="22"/>
        <v>#N/A</v>
      </c>
      <c r="U296" s="435" t="e">
        <f t="shared" si="22"/>
        <v>#N/A</v>
      </c>
      <c r="V296" s="435" t="e">
        <f t="shared" si="22"/>
        <v>#N/A</v>
      </c>
      <c r="W296" s="435" t="e">
        <f t="shared" si="22"/>
        <v>#N/A</v>
      </c>
      <c r="X296" s="435" t="e">
        <f t="shared" si="22"/>
        <v>#N/A</v>
      </c>
      <c r="Y296" s="435" t="e">
        <f t="shared" si="22"/>
        <v>#N/A</v>
      </c>
      <c r="Z296" s="435" t="e">
        <f t="shared" si="22"/>
        <v>#N/A</v>
      </c>
    </row>
    <row r="297" spans="1:27" hidden="1" x14ac:dyDescent="0.15">
      <c r="B297" s="10"/>
      <c r="C297" s="668">
        <f t="shared" ref="C297:Z297" si="23">C$13</f>
        <v>42856</v>
      </c>
      <c r="D297" s="668">
        <f t="shared" si="23"/>
        <v>42887</v>
      </c>
      <c r="E297" s="668">
        <f t="shared" si="23"/>
        <v>42917</v>
      </c>
      <c r="F297" s="668">
        <f t="shared" si="23"/>
        <v>42948</v>
      </c>
      <c r="G297" s="668">
        <f t="shared" si="23"/>
        <v>42979</v>
      </c>
      <c r="H297" s="668">
        <f t="shared" si="23"/>
        <v>43009</v>
      </c>
      <c r="I297" s="668">
        <f t="shared" si="23"/>
        <v>43040</v>
      </c>
      <c r="J297" s="668">
        <f t="shared" si="23"/>
        <v>43070</v>
      </c>
      <c r="K297" s="668">
        <f t="shared" si="23"/>
        <v>43101</v>
      </c>
      <c r="L297" s="668">
        <f t="shared" si="23"/>
        <v>43132</v>
      </c>
      <c r="M297" s="668">
        <f t="shared" si="23"/>
        <v>43160</v>
      </c>
      <c r="N297" s="668">
        <f t="shared" si="23"/>
        <v>43191</v>
      </c>
      <c r="O297" s="668">
        <f t="shared" si="23"/>
        <v>43221</v>
      </c>
      <c r="P297" s="668">
        <f t="shared" si="23"/>
        <v>43252</v>
      </c>
      <c r="Q297" s="668">
        <f t="shared" si="23"/>
        <v>43282</v>
      </c>
      <c r="R297" s="668">
        <f t="shared" si="23"/>
        <v>43313</v>
      </c>
      <c r="S297" s="668">
        <f t="shared" si="23"/>
        <v>43344</v>
      </c>
      <c r="T297" s="668">
        <f t="shared" si="23"/>
        <v>43374</v>
      </c>
      <c r="U297" s="668">
        <f t="shared" si="23"/>
        <v>43405</v>
      </c>
      <c r="V297" s="668">
        <f t="shared" si="23"/>
        <v>43435</v>
      </c>
      <c r="W297" s="668">
        <f t="shared" si="23"/>
        <v>43466</v>
      </c>
      <c r="X297" s="668">
        <f t="shared" si="23"/>
        <v>43497</v>
      </c>
      <c r="Y297" s="668">
        <f t="shared" si="23"/>
        <v>43525</v>
      </c>
      <c r="Z297" s="668">
        <f t="shared" si="23"/>
        <v>43556</v>
      </c>
    </row>
    <row r="298" spans="1:27" hidden="1" x14ac:dyDescent="0.15">
      <c r="B298" s="12" t="s">
        <v>21</v>
      </c>
      <c r="C298" s="482">
        <f>IFERROR(IF(GETPIVOTDATA("合計 / " &amp; $B298,【ピボット】事業所収支!$A$3,"年月",C$13,"事業所",$A$296)=0,#N/A,GETPIVOTDATA("合計 / " &amp; $B298,【ピボット】事業所収支!$A$3,"年月",C$13,"事業所",$A$296)),#N/A)</f>
        <v>596033</v>
      </c>
      <c r="D298" s="482" t="e">
        <f>IFERROR(IF(GETPIVOTDATA("合計 / " &amp; $B298,【ピボット】事業所収支!$A$3,"年月",D$13,"事業所",$A$296)=0,#N/A,GETPIVOTDATA("合計 / " &amp; $B298,【ピボット】事業所収支!$A$3,"年月",D$13,"事業所",$A$296)),#N/A)</f>
        <v>#N/A</v>
      </c>
      <c r="E298" s="482" t="e">
        <f>IFERROR(IF(GETPIVOTDATA("合計 / " &amp; $B298,【ピボット】事業所収支!$A$3,"年月",E$13,"事業所",$A$296)=0,#N/A,GETPIVOTDATA("合計 / " &amp; $B298,【ピボット】事業所収支!$A$3,"年月",E$13,"事業所",$A$296)),#N/A)</f>
        <v>#N/A</v>
      </c>
      <c r="F298" s="482" t="e">
        <f>IFERROR(IF(GETPIVOTDATA("合計 / " &amp; $B298,【ピボット】事業所収支!$A$3,"年月",F$13,"事業所",$A$296)=0,#N/A,GETPIVOTDATA("合計 / " &amp; $B298,【ピボット】事業所収支!$A$3,"年月",F$13,"事業所",$A$296)),#N/A)</f>
        <v>#N/A</v>
      </c>
      <c r="G298" s="482" t="e">
        <f>IFERROR(IF(GETPIVOTDATA("合計 / " &amp; $B298,【ピボット】事業所収支!$A$3,"年月",G$13,"事業所",$A$296)=0,#N/A,GETPIVOTDATA("合計 / " &amp; $B298,【ピボット】事業所収支!$A$3,"年月",G$13,"事業所",$A$296)),#N/A)</f>
        <v>#N/A</v>
      </c>
      <c r="H298" s="482" t="e">
        <f>IFERROR(IF(GETPIVOTDATA("合計 / " &amp; $B298,【ピボット】事業所収支!$A$3,"年月",H$13,"事業所",$A$296)=0,#N/A,GETPIVOTDATA("合計 / " &amp; $B298,【ピボット】事業所収支!$A$3,"年月",H$13,"事業所",$A$296)),#N/A)</f>
        <v>#N/A</v>
      </c>
      <c r="I298" s="482" t="e">
        <f>IFERROR(IF(GETPIVOTDATA("合計 / " &amp; $B298,【ピボット】事業所収支!$A$3,"年月",I$13,"事業所",$A$296)=0,#N/A,GETPIVOTDATA("合計 / " &amp; $B298,【ピボット】事業所収支!$A$3,"年月",I$13,"事業所",$A$296)),#N/A)</f>
        <v>#N/A</v>
      </c>
      <c r="J298" s="482" t="e">
        <f>IFERROR(IF(GETPIVOTDATA("合計 / " &amp; $B298,【ピボット】事業所収支!$A$3,"年月",J$13,"事業所",$A$296)=0,#N/A,GETPIVOTDATA("合計 / " &amp; $B298,【ピボット】事業所収支!$A$3,"年月",J$13,"事業所",$A$296)),#N/A)</f>
        <v>#N/A</v>
      </c>
      <c r="K298" s="482" t="e">
        <f>IFERROR(IF(GETPIVOTDATA("合計 / " &amp; $B298,【ピボット】事業所収支!$A$3,"年月",K$13,"事業所",$A$296)=0,#N/A,GETPIVOTDATA("合計 / " &amp; $B298,【ピボット】事業所収支!$A$3,"年月",K$13,"事業所",$A$296)),#N/A)</f>
        <v>#N/A</v>
      </c>
      <c r="L298" s="482" t="e">
        <f>IFERROR(IF(GETPIVOTDATA("合計 / " &amp; $B298,【ピボット】事業所収支!$A$3,"年月",L$13,"事業所",$A$296)=0,#N/A,GETPIVOTDATA("合計 / " &amp; $B298,【ピボット】事業所収支!$A$3,"年月",L$13,"事業所",$A$296)),#N/A)</f>
        <v>#N/A</v>
      </c>
      <c r="M298" s="482" t="e">
        <f>IFERROR(IF(GETPIVOTDATA("合計 / " &amp; $B298,【ピボット】事業所収支!$A$3,"年月",M$13,"事業所",$A$296)=0,#N/A,GETPIVOTDATA("合計 / " &amp; $B298,【ピボット】事業所収支!$A$3,"年月",M$13,"事業所",$A$296)),#N/A)</f>
        <v>#N/A</v>
      </c>
      <c r="N298" s="482" t="e">
        <f>IFERROR(IF(GETPIVOTDATA("合計 / " &amp; $B298,【ピボット】事業所収支!$A$3,"年月",N$13,"事業所",$A$296)=0,#N/A,GETPIVOTDATA("合計 / " &amp; $B298,【ピボット】事業所収支!$A$3,"年月",N$13,"事業所",$A$296)),#N/A)</f>
        <v>#N/A</v>
      </c>
      <c r="O298" s="482" t="e">
        <f>IFERROR(IF(GETPIVOTDATA("合計 / " &amp; $B298,【ピボット】事業所収支!$A$3,"年月",O$13,"事業所",$A$296)=0,#N/A,GETPIVOTDATA("合計 / " &amp; $B298,【ピボット】事業所収支!$A$3,"年月",O$13,"事業所",$A$296)),#N/A)</f>
        <v>#N/A</v>
      </c>
      <c r="P298" s="482" t="e">
        <f>IFERROR(IF(GETPIVOTDATA("合計 / " &amp; $B298,【ピボット】事業所収支!$A$3,"年月",P$13,"事業所",$A$296)=0,#N/A,GETPIVOTDATA("合計 / " &amp; $B298,【ピボット】事業所収支!$A$3,"年月",P$13,"事業所",$A$296)),#N/A)</f>
        <v>#N/A</v>
      </c>
      <c r="Q298" s="482" t="e">
        <f>IFERROR(IF(GETPIVOTDATA("合計 / " &amp; $B298,【ピボット】事業所収支!$A$3,"年月",Q$13,"事業所",$A$296)=0,#N/A,GETPIVOTDATA("合計 / " &amp; $B298,【ピボット】事業所収支!$A$3,"年月",Q$13,"事業所",$A$296)),#N/A)</f>
        <v>#N/A</v>
      </c>
      <c r="R298" s="482" t="e">
        <f>IFERROR(IF(GETPIVOTDATA("合計 / " &amp; $B298,【ピボット】事業所収支!$A$3,"年月",R$13,"事業所",$A$296)=0,#N/A,GETPIVOTDATA("合計 / " &amp; $B298,【ピボット】事業所収支!$A$3,"年月",R$13,"事業所",$A$296)),#N/A)</f>
        <v>#N/A</v>
      </c>
      <c r="S298" s="482" t="e">
        <f>IFERROR(IF(GETPIVOTDATA("合計 / " &amp; $B298,【ピボット】事業所収支!$A$3,"年月",S$13,"事業所",$A$296)=0,#N/A,GETPIVOTDATA("合計 / " &amp; $B298,【ピボット】事業所収支!$A$3,"年月",S$13,"事業所",$A$296)),#N/A)</f>
        <v>#N/A</v>
      </c>
      <c r="T298" s="482" t="e">
        <f>IFERROR(IF(GETPIVOTDATA("合計 / " &amp; $B298,【ピボット】事業所収支!$A$3,"年月",T$13,"事業所",$A$296)=0,#N/A,GETPIVOTDATA("合計 / " &amp; $B298,【ピボット】事業所収支!$A$3,"年月",T$13,"事業所",$A$296)),#N/A)</f>
        <v>#N/A</v>
      </c>
      <c r="U298" s="482" t="e">
        <f>IFERROR(IF(GETPIVOTDATA("合計 / " &amp; $B298,【ピボット】事業所収支!$A$3,"年月",U$13,"事業所",$A$296)=0,#N/A,GETPIVOTDATA("合計 / " &amp; $B298,【ピボット】事業所収支!$A$3,"年月",U$13,"事業所",$A$296)),#N/A)</f>
        <v>#N/A</v>
      </c>
      <c r="V298" s="482" t="e">
        <f>IFERROR(IF(GETPIVOTDATA("合計 / " &amp; $B298,【ピボット】事業所収支!$A$3,"年月",V$13,"事業所",$A$296)=0,#N/A,GETPIVOTDATA("合計 / " &amp; $B298,【ピボット】事業所収支!$A$3,"年月",V$13,"事業所",$A$296)),#N/A)</f>
        <v>#N/A</v>
      </c>
      <c r="W298" s="482" t="e">
        <f>IFERROR(IF(GETPIVOTDATA("合計 / " &amp; $B298,【ピボット】事業所収支!$A$3,"年月",W$13,"事業所",$A$296)=0,#N/A,GETPIVOTDATA("合計 / " &amp; $B298,【ピボット】事業所収支!$A$3,"年月",W$13,"事業所",$A$296)),#N/A)</f>
        <v>#N/A</v>
      </c>
      <c r="X298" s="482" t="e">
        <f>IFERROR(IF(GETPIVOTDATA("合計 / " &amp; $B298,【ピボット】事業所収支!$A$3,"年月",X$13,"事業所",$A$296)=0,#N/A,GETPIVOTDATA("合計 / " &amp; $B298,【ピボット】事業所収支!$A$3,"年月",X$13,"事業所",$A$296)),#N/A)</f>
        <v>#N/A</v>
      </c>
      <c r="Y298" s="482" t="e">
        <f>IFERROR(IF(GETPIVOTDATA("合計 / " &amp; $B298,【ピボット】事業所収支!$A$3,"年月",Y$13,"事業所",$A$296)=0,#N/A,GETPIVOTDATA("合計 / " &amp; $B298,【ピボット】事業所収支!$A$3,"年月",Y$13,"事業所",$A$296)),#N/A)</f>
        <v>#N/A</v>
      </c>
      <c r="Z298" s="482" t="e">
        <f>IFERROR(IF(GETPIVOTDATA("合計 / " &amp; $B298,【ピボット】事業所収支!$A$3,"年月",Z$13,"事業所",$A$296)=0,#N/A,GETPIVOTDATA("合計 / " &amp; $B298,【ピボット】事業所収支!$A$3,"年月",Z$13,"事業所",$A$296)),#N/A)</f>
        <v>#N/A</v>
      </c>
      <c r="AA298" s="4"/>
    </row>
    <row r="299" spans="1:27" hidden="1" x14ac:dyDescent="0.15">
      <c r="B299" s="7" t="s">
        <v>28</v>
      </c>
      <c r="C299" s="483">
        <f>IFERROR(IF(GETPIVOTDATA("合計 / " &amp; $B299,【ピボット】事業所収支!$A$3,"年月",C$13,"事業所",$A$296)=0,#N/A,GETPIVOTDATA("合計 / " &amp; $B299,【ピボット】事業所収支!$A$3,"年月",C$13,"事業所",$A$296)),#N/A)</f>
        <v>411617</v>
      </c>
      <c r="D299" s="483" t="e">
        <f>IFERROR(IF(GETPIVOTDATA("合計 / " &amp; $B299,【ピボット】事業所収支!$A$3,"年月",D$13,"事業所",$A$296)=0,#N/A,GETPIVOTDATA("合計 / " &amp; $B299,【ピボット】事業所収支!$A$3,"年月",D$13,"事業所",$A$296)),#N/A)</f>
        <v>#N/A</v>
      </c>
      <c r="E299" s="483" t="e">
        <f>IFERROR(IF(GETPIVOTDATA("合計 / " &amp; $B299,【ピボット】事業所収支!$A$3,"年月",E$13,"事業所",$A$296)=0,#N/A,GETPIVOTDATA("合計 / " &amp; $B299,【ピボット】事業所収支!$A$3,"年月",E$13,"事業所",$A$296)),#N/A)</f>
        <v>#N/A</v>
      </c>
      <c r="F299" s="483" t="e">
        <f>IFERROR(IF(GETPIVOTDATA("合計 / " &amp; $B299,【ピボット】事業所収支!$A$3,"年月",F$13,"事業所",$A$296)=0,#N/A,GETPIVOTDATA("合計 / " &amp; $B299,【ピボット】事業所収支!$A$3,"年月",F$13,"事業所",$A$296)),#N/A)</f>
        <v>#N/A</v>
      </c>
      <c r="G299" s="483" t="e">
        <f>IFERROR(IF(GETPIVOTDATA("合計 / " &amp; $B299,【ピボット】事業所収支!$A$3,"年月",G$13,"事業所",$A$296)=0,#N/A,GETPIVOTDATA("合計 / " &amp; $B299,【ピボット】事業所収支!$A$3,"年月",G$13,"事業所",$A$296)),#N/A)</f>
        <v>#N/A</v>
      </c>
      <c r="H299" s="483" t="e">
        <f>IFERROR(IF(GETPIVOTDATA("合計 / " &amp; $B299,【ピボット】事業所収支!$A$3,"年月",H$13,"事業所",$A$296)=0,#N/A,GETPIVOTDATA("合計 / " &amp; $B299,【ピボット】事業所収支!$A$3,"年月",H$13,"事業所",$A$296)),#N/A)</f>
        <v>#N/A</v>
      </c>
      <c r="I299" s="483" t="e">
        <f>IFERROR(IF(GETPIVOTDATA("合計 / " &amp; $B299,【ピボット】事業所収支!$A$3,"年月",I$13,"事業所",$A$296)=0,#N/A,GETPIVOTDATA("合計 / " &amp; $B299,【ピボット】事業所収支!$A$3,"年月",I$13,"事業所",$A$296)),#N/A)</f>
        <v>#N/A</v>
      </c>
      <c r="J299" s="483" t="e">
        <f>IFERROR(IF(GETPIVOTDATA("合計 / " &amp; $B299,【ピボット】事業所収支!$A$3,"年月",J$13,"事業所",$A$296)=0,#N/A,GETPIVOTDATA("合計 / " &amp; $B299,【ピボット】事業所収支!$A$3,"年月",J$13,"事業所",$A$296)),#N/A)</f>
        <v>#N/A</v>
      </c>
      <c r="K299" s="483" t="e">
        <f>IFERROR(IF(GETPIVOTDATA("合計 / " &amp; $B299,【ピボット】事業所収支!$A$3,"年月",K$13,"事業所",$A$296)=0,#N/A,GETPIVOTDATA("合計 / " &amp; $B299,【ピボット】事業所収支!$A$3,"年月",K$13,"事業所",$A$296)),#N/A)</f>
        <v>#N/A</v>
      </c>
      <c r="L299" s="483" t="e">
        <f>IFERROR(IF(GETPIVOTDATA("合計 / " &amp; $B299,【ピボット】事業所収支!$A$3,"年月",L$13,"事業所",$A$296)=0,#N/A,GETPIVOTDATA("合計 / " &amp; $B299,【ピボット】事業所収支!$A$3,"年月",L$13,"事業所",$A$296)),#N/A)</f>
        <v>#N/A</v>
      </c>
      <c r="M299" s="483" t="e">
        <f>IFERROR(IF(GETPIVOTDATA("合計 / " &amp; $B299,【ピボット】事業所収支!$A$3,"年月",M$13,"事業所",$A$296)=0,#N/A,GETPIVOTDATA("合計 / " &amp; $B299,【ピボット】事業所収支!$A$3,"年月",M$13,"事業所",$A$296)),#N/A)</f>
        <v>#N/A</v>
      </c>
      <c r="N299" s="483" t="e">
        <f>IFERROR(IF(GETPIVOTDATA("合計 / " &amp; $B299,【ピボット】事業所収支!$A$3,"年月",N$13,"事業所",$A$296)=0,#N/A,GETPIVOTDATA("合計 / " &amp; $B299,【ピボット】事業所収支!$A$3,"年月",N$13,"事業所",$A$296)),#N/A)</f>
        <v>#N/A</v>
      </c>
      <c r="O299" s="483" t="e">
        <f>IFERROR(IF(GETPIVOTDATA("合計 / " &amp; $B299,【ピボット】事業所収支!$A$3,"年月",O$13,"事業所",$A$296)=0,#N/A,GETPIVOTDATA("合計 / " &amp; $B299,【ピボット】事業所収支!$A$3,"年月",O$13,"事業所",$A$296)),#N/A)</f>
        <v>#N/A</v>
      </c>
      <c r="P299" s="483" t="e">
        <f>IFERROR(IF(GETPIVOTDATA("合計 / " &amp; $B299,【ピボット】事業所収支!$A$3,"年月",P$13,"事業所",$A$296)=0,#N/A,GETPIVOTDATA("合計 / " &amp; $B299,【ピボット】事業所収支!$A$3,"年月",P$13,"事業所",$A$296)),#N/A)</f>
        <v>#N/A</v>
      </c>
      <c r="Q299" s="483" t="e">
        <f>IFERROR(IF(GETPIVOTDATA("合計 / " &amp; $B299,【ピボット】事業所収支!$A$3,"年月",Q$13,"事業所",$A$296)=0,#N/A,GETPIVOTDATA("合計 / " &amp; $B299,【ピボット】事業所収支!$A$3,"年月",Q$13,"事業所",$A$296)),#N/A)</f>
        <v>#N/A</v>
      </c>
      <c r="R299" s="483" t="e">
        <f>IFERROR(IF(GETPIVOTDATA("合計 / " &amp; $B299,【ピボット】事業所収支!$A$3,"年月",R$13,"事業所",$A$296)=0,#N/A,GETPIVOTDATA("合計 / " &amp; $B299,【ピボット】事業所収支!$A$3,"年月",R$13,"事業所",$A$296)),#N/A)</f>
        <v>#N/A</v>
      </c>
      <c r="S299" s="483" t="e">
        <f>IFERROR(IF(GETPIVOTDATA("合計 / " &amp; $B299,【ピボット】事業所収支!$A$3,"年月",S$13,"事業所",$A$296)=0,#N/A,GETPIVOTDATA("合計 / " &amp; $B299,【ピボット】事業所収支!$A$3,"年月",S$13,"事業所",$A$296)),#N/A)</f>
        <v>#N/A</v>
      </c>
      <c r="T299" s="483" t="e">
        <f>IFERROR(IF(GETPIVOTDATA("合計 / " &amp; $B299,【ピボット】事業所収支!$A$3,"年月",T$13,"事業所",$A$296)=0,#N/A,GETPIVOTDATA("合計 / " &amp; $B299,【ピボット】事業所収支!$A$3,"年月",T$13,"事業所",$A$296)),#N/A)</f>
        <v>#N/A</v>
      </c>
      <c r="U299" s="490" t="e">
        <f>IFERROR(IF(GETPIVOTDATA("合計 / " &amp; $B299,【ピボット】事業所収支!$A$3,"年月",U$13,"事業所",$A$296)=0,#N/A,GETPIVOTDATA("合計 / " &amp; $B299,【ピボット】事業所収支!$A$3,"年月",U$13,"事業所",$A$296)),#N/A)</f>
        <v>#N/A</v>
      </c>
      <c r="V299" s="490" t="e">
        <f>IFERROR(IF(GETPIVOTDATA("合計 / " &amp; $B299,【ピボット】事業所収支!$A$3,"年月",V$13,"事業所",$A$296)=0,#N/A,GETPIVOTDATA("合計 / " &amp; $B299,【ピボット】事業所収支!$A$3,"年月",V$13,"事業所",$A$296)),#N/A)</f>
        <v>#N/A</v>
      </c>
      <c r="W299" s="490" t="e">
        <f>IFERROR(IF(GETPIVOTDATA("合計 / " &amp; $B299,【ピボット】事業所収支!$A$3,"年月",W$13,"事業所",$A$296)=0,#N/A,GETPIVOTDATA("合計 / " &amp; $B299,【ピボット】事業所収支!$A$3,"年月",W$13,"事業所",$A$296)),#N/A)</f>
        <v>#N/A</v>
      </c>
      <c r="X299" s="490" t="e">
        <f>IFERROR(IF(GETPIVOTDATA("合計 / " &amp; $B299,【ピボット】事業所収支!$A$3,"年月",X$13,"事業所",$A$296)=0,#N/A,GETPIVOTDATA("合計 / " &amp; $B299,【ピボット】事業所収支!$A$3,"年月",X$13,"事業所",$A$296)),#N/A)</f>
        <v>#N/A</v>
      </c>
      <c r="Y299" s="490" t="e">
        <f>IFERROR(IF(GETPIVOTDATA("合計 / " &amp; $B299,【ピボット】事業所収支!$A$3,"年月",Y$13,"事業所",$A$296)=0,#N/A,GETPIVOTDATA("合計 / " &amp; $B299,【ピボット】事業所収支!$A$3,"年月",Y$13,"事業所",$A$296)),#N/A)</f>
        <v>#N/A</v>
      </c>
      <c r="Z299" s="490" t="e">
        <f>IFERROR(IF(GETPIVOTDATA("合計 / " &amp; $B299,【ピボット】事業所収支!$A$3,"年月",Z$13,"事業所",$A$296)=0,#N/A,GETPIVOTDATA("合計 / " &amp; $B299,【ピボット】事業所収支!$A$3,"年月",Z$13,"事業所",$A$296)),#N/A)</f>
        <v>#N/A</v>
      </c>
    </row>
    <row r="300" spans="1:27" hidden="1" x14ac:dyDescent="0.15">
      <c r="B300" s="8" t="s">
        <v>27</v>
      </c>
      <c r="C300" s="483">
        <f>IFERROR(IF(GETPIVOTDATA("合計 / " &amp; $B300,【ピボット】事業所収支!$A$3,"年月",C$13,"事業所",$A$296)=0,#N/A,GETPIVOTDATA("合計 / " &amp; $B300,【ピボット】事業所収支!$A$3,"年月",C$13,"事業所",$A$296)),#N/A)</f>
        <v>295000</v>
      </c>
      <c r="D300" s="483" t="e">
        <f>IFERROR(IF(GETPIVOTDATA("合計 / " &amp; $B300,【ピボット】事業所収支!$A$3,"年月",D$13,"事業所",$A$296)=0,#N/A,GETPIVOTDATA("合計 / " &amp; $B300,【ピボット】事業所収支!$A$3,"年月",D$13,"事業所",$A$296)),#N/A)</f>
        <v>#N/A</v>
      </c>
      <c r="E300" s="483" t="e">
        <f>IFERROR(IF(GETPIVOTDATA("合計 / " &amp; $B300,【ピボット】事業所収支!$A$3,"年月",E$13,"事業所",$A$296)=0,#N/A,GETPIVOTDATA("合計 / " &amp; $B300,【ピボット】事業所収支!$A$3,"年月",E$13,"事業所",$A$296)),#N/A)</f>
        <v>#N/A</v>
      </c>
      <c r="F300" s="483" t="e">
        <f>IFERROR(IF(GETPIVOTDATA("合計 / " &amp; $B300,【ピボット】事業所収支!$A$3,"年月",F$13,"事業所",$A$296)=0,#N/A,GETPIVOTDATA("合計 / " &amp; $B300,【ピボット】事業所収支!$A$3,"年月",F$13,"事業所",$A$296)),#N/A)</f>
        <v>#N/A</v>
      </c>
      <c r="G300" s="483" t="e">
        <f>IFERROR(IF(GETPIVOTDATA("合計 / " &amp; $B300,【ピボット】事業所収支!$A$3,"年月",G$13,"事業所",$A$296)=0,#N/A,GETPIVOTDATA("合計 / " &amp; $B300,【ピボット】事業所収支!$A$3,"年月",G$13,"事業所",$A$296)),#N/A)</f>
        <v>#N/A</v>
      </c>
      <c r="H300" s="483" t="e">
        <f>IFERROR(IF(GETPIVOTDATA("合計 / " &amp; $B300,【ピボット】事業所収支!$A$3,"年月",H$13,"事業所",$A$296)=0,#N/A,GETPIVOTDATA("合計 / " &amp; $B300,【ピボット】事業所収支!$A$3,"年月",H$13,"事業所",$A$296)),#N/A)</f>
        <v>#N/A</v>
      </c>
      <c r="I300" s="483" t="e">
        <f>IFERROR(IF(GETPIVOTDATA("合計 / " &amp; $B300,【ピボット】事業所収支!$A$3,"年月",I$13,"事業所",$A$296)=0,#N/A,GETPIVOTDATA("合計 / " &amp; $B300,【ピボット】事業所収支!$A$3,"年月",I$13,"事業所",$A$296)),#N/A)</f>
        <v>#N/A</v>
      </c>
      <c r="J300" s="483" t="e">
        <f>IFERROR(IF(GETPIVOTDATA("合計 / " &amp; $B300,【ピボット】事業所収支!$A$3,"年月",J$13,"事業所",$A$296)=0,#N/A,GETPIVOTDATA("合計 / " &amp; $B300,【ピボット】事業所収支!$A$3,"年月",J$13,"事業所",$A$296)),#N/A)</f>
        <v>#N/A</v>
      </c>
      <c r="K300" s="483" t="e">
        <f>IFERROR(IF(GETPIVOTDATA("合計 / " &amp; $B300,【ピボット】事業所収支!$A$3,"年月",K$13,"事業所",$A$296)=0,#N/A,GETPIVOTDATA("合計 / " &amp; $B300,【ピボット】事業所収支!$A$3,"年月",K$13,"事業所",$A$296)),#N/A)</f>
        <v>#N/A</v>
      </c>
      <c r="L300" s="483" t="e">
        <f>IFERROR(IF(GETPIVOTDATA("合計 / " &amp; $B300,【ピボット】事業所収支!$A$3,"年月",L$13,"事業所",$A$296)=0,#N/A,GETPIVOTDATA("合計 / " &amp; $B300,【ピボット】事業所収支!$A$3,"年月",L$13,"事業所",$A$296)),#N/A)</f>
        <v>#N/A</v>
      </c>
      <c r="M300" s="483" t="e">
        <f>IFERROR(IF(GETPIVOTDATA("合計 / " &amp; $B300,【ピボット】事業所収支!$A$3,"年月",M$13,"事業所",$A$296)=0,#N/A,GETPIVOTDATA("合計 / " &amp; $B300,【ピボット】事業所収支!$A$3,"年月",M$13,"事業所",$A$296)),#N/A)</f>
        <v>#N/A</v>
      </c>
      <c r="N300" s="483" t="e">
        <f>IFERROR(IF(GETPIVOTDATA("合計 / " &amp; $B300,【ピボット】事業所収支!$A$3,"年月",N$13,"事業所",$A$296)=0,#N/A,GETPIVOTDATA("合計 / " &amp; $B300,【ピボット】事業所収支!$A$3,"年月",N$13,"事業所",$A$296)),#N/A)</f>
        <v>#N/A</v>
      </c>
      <c r="O300" s="483" t="e">
        <f>IFERROR(IF(GETPIVOTDATA("合計 / " &amp; $B300,【ピボット】事業所収支!$A$3,"年月",O$13,"事業所",$A$296)=0,#N/A,GETPIVOTDATA("合計 / " &amp; $B300,【ピボット】事業所収支!$A$3,"年月",O$13,"事業所",$A$296)),#N/A)</f>
        <v>#N/A</v>
      </c>
      <c r="P300" s="483" t="e">
        <f>IFERROR(IF(GETPIVOTDATA("合計 / " &amp; $B300,【ピボット】事業所収支!$A$3,"年月",P$13,"事業所",$A$296)=0,#N/A,GETPIVOTDATA("合計 / " &amp; $B300,【ピボット】事業所収支!$A$3,"年月",P$13,"事業所",$A$296)),#N/A)</f>
        <v>#N/A</v>
      </c>
      <c r="Q300" s="483" t="e">
        <f>IFERROR(IF(GETPIVOTDATA("合計 / " &amp; $B300,【ピボット】事業所収支!$A$3,"年月",Q$13,"事業所",$A$296)=0,#N/A,GETPIVOTDATA("合計 / " &amp; $B300,【ピボット】事業所収支!$A$3,"年月",Q$13,"事業所",$A$296)),#N/A)</f>
        <v>#N/A</v>
      </c>
      <c r="R300" s="483" t="e">
        <f>IFERROR(IF(GETPIVOTDATA("合計 / " &amp; $B300,【ピボット】事業所収支!$A$3,"年月",R$13,"事業所",$A$296)=0,#N/A,GETPIVOTDATA("合計 / " &amp; $B300,【ピボット】事業所収支!$A$3,"年月",R$13,"事業所",$A$296)),#N/A)</f>
        <v>#N/A</v>
      </c>
      <c r="S300" s="483" t="e">
        <f>IFERROR(IF(GETPIVOTDATA("合計 / " &amp; $B300,【ピボット】事業所収支!$A$3,"年月",S$13,"事業所",$A$296)=0,#N/A,GETPIVOTDATA("合計 / " &amp; $B300,【ピボット】事業所収支!$A$3,"年月",S$13,"事業所",$A$296)),#N/A)</f>
        <v>#N/A</v>
      </c>
      <c r="T300" s="483" t="e">
        <f>IFERROR(IF(GETPIVOTDATA("合計 / " &amp; $B300,【ピボット】事業所収支!$A$3,"年月",T$13,"事業所",$A$296)=0,#N/A,GETPIVOTDATA("合計 / " &amp; $B300,【ピボット】事業所収支!$A$3,"年月",T$13,"事業所",$A$296)),#N/A)</f>
        <v>#N/A</v>
      </c>
      <c r="U300" s="490" t="e">
        <f>IFERROR(IF(GETPIVOTDATA("合計 / " &amp; $B300,【ピボット】事業所収支!$A$3,"年月",U$13,"事業所",$A$296)=0,#N/A,GETPIVOTDATA("合計 / " &amp; $B300,【ピボット】事業所収支!$A$3,"年月",U$13,"事業所",$A$296)),#N/A)</f>
        <v>#N/A</v>
      </c>
      <c r="V300" s="490" t="e">
        <f>IFERROR(IF(GETPIVOTDATA("合計 / " &amp; $B300,【ピボット】事業所収支!$A$3,"年月",V$13,"事業所",$A$296)=0,#N/A,GETPIVOTDATA("合計 / " &amp; $B300,【ピボット】事業所収支!$A$3,"年月",V$13,"事業所",$A$296)),#N/A)</f>
        <v>#N/A</v>
      </c>
      <c r="W300" s="490" t="e">
        <f>IFERROR(IF(GETPIVOTDATA("合計 / " &amp; $B300,【ピボット】事業所収支!$A$3,"年月",W$13,"事業所",$A$296)=0,#N/A,GETPIVOTDATA("合計 / " &amp; $B300,【ピボット】事業所収支!$A$3,"年月",W$13,"事業所",$A$296)),#N/A)</f>
        <v>#N/A</v>
      </c>
      <c r="X300" s="490" t="e">
        <f>IFERROR(IF(GETPIVOTDATA("合計 / " &amp; $B300,【ピボット】事業所収支!$A$3,"年月",X$13,"事業所",$A$296)=0,#N/A,GETPIVOTDATA("合計 / " &amp; $B300,【ピボット】事業所収支!$A$3,"年月",X$13,"事業所",$A$296)),#N/A)</f>
        <v>#N/A</v>
      </c>
      <c r="Y300" s="490" t="e">
        <f>IFERROR(IF(GETPIVOTDATA("合計 / " &amp; $B300,【ピボット】事業所収支!$A$3,"年月",Y$13,"事業所",$A$296)=0,#N/A,GETPIVOTDATA("合計 / " &amp; $B300,【ピボット】事業所収支!$A$3,"年月",Y$13,"事業所",$A$296)),#N/A)</f>
        <v>#N/A</v>
      </c>
      <c r="Z300" s="490" t="e">
        <f>IFERROR(IF(GETPIVOTDATA("合計 / " &amp; $B300,【ピボット】事業所収支!$A$3,"年月",Z$13,"事業所",$A$296)=0,#N/A,GETPIVOTDATA("合計 / " &amp; $B300,【ピボット】事業所収支!$A$3,"年月",Z$13,"事業所",$A$296)),#N/A)</f>
        <v>#N/A</v>
      </c>
    </row>
    <row r="301" spans="1:27" hidden="1" x14ac:dyDescent="0.15">
      <c r="B301" s="8" t="s">
        <v>60</v>
      </c>
      <c r="C301" s="483" t="e">
        <f>IFERROR(IF(GETPIVOTDATA("合計 / " &amp; $B301,【ピボット】事業所収支!$A$3,"年月",C$13,"事業所",$A$296)=0,#N/A,GETPIVOTDATA("合計 / " &amp; $B301,【ピボット】事業所収支!$A$3,"年月",C$13,"事業所",$A$296)),#N/A)</f>
        <v>#N/A</v>
      </c>
      <c r="D301" s="483" t="e">
        <f>IFERROR(IF(GETPIVOTDATA("合計 / " &amp; $B301,【ピボット】事業所収支!$A$3,"年月",D$13,"事業所",$A$296)=0,#N/A,GETPIVOTDATA("合計 / " &amp; $B301,【ピボット】事業所収支!$A$3,"年月",D$13,"事業所",$A$296)),#N/A)</f>
        <v>#N/A</v>
      </c>
      <c r="E301" s="483" t="e">
        <f>IFERROR(IF(GETPIVOTDATA("合計 / " &amp; $B301,【ピボット】事業所収支!$A$3,"年月",E$13,"事業所",$A$296)=0,#N/A,GETPIVOTDATA("合計 / " &amp; $B301,【ピボット】事業所収支!$A$3,"年月",E$13,"事業所",$A$296)),#N/A)</f>
        <v>#N/A</v>
      </c>
      <c r="F301" s="483" t="e">
        <f>IFERROR(IF(GETPIVOTDATA("合計 / " &amp; $B301,【ピボット】事業所収支!$A$3,"年月",F$13,"事業所",$A$296)=0,#N/A,GETPIVOTDATA("合計 / " &amp; $B301,【ピボット】事業所収支!$A$3,"年月",F$13,"事業所",$A$296)),#N/A)</f>
        <v>#N/A</v>
      </c>
      <c r="G301" s="483" t="e">
        <f>IFERROR(IF(GETPIVOTDATA("合計 / " &amp; $B301,【ピボット】事業所収支!$A$3,"年月",G$13,"事業所",$A$296)=0,#N/A,GETPIVOTDATA("合計 / " &amp; $B301,【ピボット】事業所収支!$A$3,"年月",G$13,"事業所",$A$296)),#N/A)</f>
        <v>#N/A</v>
      </c>
      <c r="H301" s="483" t="e">
        <f>IFERROR(IF(GETPIVOTDATA("合計 / " &amp; $B301,【ピボット】事業所収支!$A$3,"年月",H$13,"事業所",$A$296)=0,#N/A,GETPIVOTDATA("合計 / " &amp; $B301,【ピボット】事業所収支!$A$3,"年月",H$13,"事業所",$A$296)),#N/A)</f>
        <v>#N/A</v>
      </c>
      <c r="I301" s="483" t="e">
        <f>IFERROR(IF(GETPIVOTDATA("合計 / " &amp; $B301,【ピボット】事業所収支!$A$3,"年月",I$13,"事業所",$A$296)=0,#N/A,GETPIVOTDATA("合計 / " &amp; $B301,【ピボット】事業所収支!$A$3,"年月",I$13,"事業所",$A$296)),#N/A)</f>
        <v>#N/A</v>
      </c>
      <c r="J301" s="483" t="e">
        <f>IFERROR(IF(GETPIVOTDATA("合計 / " &amp; $B301,【ピボット】事業所収支!$A$3,"年月",J$13,"事業所",$A$296)=0,#N/A,GETPIVOTDATA("合計 / " &amp; $B301,【ピボット】事業所収支!$A$3,"年月",J$13,"事業所",$A$296)),#N/A)</f>
        <v>#N/A</v>
      </c>
      <c r="K301" s="483" t="e">
        <f>IFERROR(IF(GETPIVOTDATA("合計 / " &amp; $B301,【ピボット】事業所収支!$A$3,"年月",K$13,"事業所",$A$296)=0,#N/A,GETPIVOTDATA("合計 / " &amp; $B301,【ピボット】事業所収支!$A$3,"年月",K$13,"事業所",$A$296)),#N/A)</f>
        <v>#N/A</v>
      </c>
      <c r="L301" s="483" t="e">
        <f>IFERROR(IF(GETPIVOTDATA("合計 / " &amp; $B301,【ピボット】事業所収支!$A$3,"年月",L$13,"事業所",$A$296)=0,#N/A,GETPIVOTDATA("合計 / " &amp; $B301,【ピボット】事業所収支!$A$3,"年月",L$13,"事業所",$A$296)),#N/A)</f>
        <v>#N/A</v>
      </c>
      <c r="M301" s="483" t="e">
        <f>IFERROR(IF(GETPIVOTDATA("合計 / " &amp; $B301,【ピボット】事業所収支!$A$3,"年月",M$13,"事業所",$A$296)=0,#N/A,GETPIVOTDATA("合計 / " &amp; $B301,【ピボット】事業所収支!$A$3,"年月",M$13,"事業所",$A$296)),#N/A)</f>
        <v>#N/A</v>
      </c>
      <c r="N301" s="483" t="e">
        <f>IFERROR(IF(GETPIVOTDATA("合計 / " &amp; $B301,【ピボット】事業所収支!$A$3,"年月",N$13,"事業所",$A$296)=0,#N/A,GETPIVOTDATA("合計 / " &amp; $B301,【ピボット】事業所収支!$A$3,"年月",N$13,"事業所",$A$296)),#N/A)</f>
        <v>#N/A</v>
      </c>
      <c r="O301" s="483" t="e">
        <f>IFERROR(IF(GETPIVOTDATA("合計 / " &amp; $B301,【ピボット】事業所収支!$A$3,"年月",O$13,"事業所",$A$296)=0,#N/A,GETPIVOTDATA("合計 / " &amp; $B301,【ピボット】事業所収支!$A$3,"年月",O$13,"事業所",$A$296)),#N/A)</f>
        <v>#N/A</v>
      </c>
      <c r="P301" s="483" t="e">
        <f>IFERROR(IF(GETPIVOTDATA("合計 / " &amp; $B301,【ピボット】事業所収支!$A$3,"年月",P$13,"事業所",$A$296)=0,#N/A,GETPIVOTDATA("合計 / " &amp; $B301,【ピボット】事業所収支!$A$3,"年月",P$13,"事業所",$A$296)),#N/A)</f>
        <v>#N/A</v>
      </c>
      <c r="Q301" s="483" t="e">
        <f>IFERROR(IF(GETPIVOTDATA("合計 / " &amp; $B301,【ピボット】事業所収支!$A$3,"年月",Q$13,"事業所",$A$296)=0,#N/A,GETPIVOTDATA("合計 / " &amp; $B301,【ピボット】事業所収支!$A$3,"年月",Q$13,"事業所",$A$296)),#N/A)</f>
        <v>#N/A</v>
      </c>
      <c r="R301" s="483" t="e">
        <f>IFERROR(IF(GETPIVOTDATA("合計 / " &amp; $B301,【ピボット】事業所収支!$A$3,"年月",R$13,"事業所",$A$296)=0,#N/A,GETPIVOTDATA("合計 / " &amp; $B301,【ピボット】事業所収支!$A$3,"年月",R$13,"事業所",$A$296)),#N/A)</f>
        <v>#N/A</v>
      </c>
      <c r="S301" s="483" t="e">
        <f>IFERROR(IF(GETPIVOTDATA("合計 / " &amp; $B301,【ピボット】事業所収支!$A$3,"年月",S$13,"事業所",$A$296)=0,#N/A,GETPIVOTDATA("合計 / " &amp; $B301,【ピボット】事業所収支!$A$3,"年月",S$13,"事業所",$A$296)),#N/A)</f>
        <v>#N/A</v>
      </c>
      <c r="T301" s="483" t="e">
        <f>IFERROR(IF(GETPIVOTDATA("合計 / " &amp; $B301,【ピボット】事業所収支!$A$3,"年月",T$13,"事業所",$A$296)=0,#N/A,GETPIVOTDATA("合計 / " &amp; $B301,【ピボット】事業所収支!$A$3,"年月",T$13,"事業所",$A$296)),#N/A)</f>
        <v>#N/A</v>
      </c>
      <c r="U301" s="490" t="e">
        <f>IFERROR(IF(GETPIVOTDATA("合計 / " &amp; $B301,【ピボット】事業所収支!$A$3,"年月",U$13,"事業所",$A$296)=0,#N/A,GETPIVOTDATA("合計 / " &amp; $B301,【ピボット】事業所収支!$A$3,"年月",U$13,"事業所",$A$296)),#N/A)</f>
        <v>#N/A</v>
      </c>
      <c r="V301" s="490" t="e">
        <f>IFERROR(IF(GETPIVOTDATA("合計 / " &amp; $B301,【ピボット】事業所収支!$A$3,"年月",V$13,"事業所",$A$296)=0,#N/A,GETPIVOTDATA("合計 / " &amp; $B301,【ピボット】事業所収支!$A$3,"年月",V$13,"事業所",$A$296)),#N/A)</f>
        <v>#N/A</v>
      </c>
      <c r="W301" s="490" t="e">
        <f>IFERROR(IF(GETPIVOTDATA("合計 / " &amp; $B301,【ピボット】事業所収支!$A$3,"年月",W$13,"事業所",$A$296)=0,#N/A,GETPIVOTDATA("合計 / " &amp; $B301,【ピボット】事業所収支!$A$3,"年月",W$13,"事業所",$A$296)),#N/A)</f>
        <v>#N/A</v>
      </c>
      <c r="X301" s="490" t="e">
        <f>IFERROR(IF(GETPIVOTDATA("合計 / " &amp; $B301,【ピボット】事業所収支!$A$3,"年月",X$13,"事業所",$A$296)=0,#N/A,GETPIVOTDATA("合計 / " &amp; $B301,【ピボット】事業所収支!$A$3,"年月",X$13,"事業所",$A$296)),#N/A)</f>
        <v>#N/A</v>
      </c>
      <c r="Y301" s="490" t="e">
        <f>IFERROR(IF(GETPIVOTDATA("合計 / " &amp; $B301,【ピボット】事業所収支!$A$3,"年月",Y$13,"事業所",$A$296)=0,#N/A,GETPIVOTDATA("合計 / " &amp; $B301,【ピボット】事業所収支!$A$3,"年月",Y$13,"事業所",$A$296)),#N/A)</f>
        <v>#N/A</v>
      </c>
      <c r="Z301" s="490" t="e">
        <f>IFERROR(IF(GETPIVOTDATA("合計 / " &amp; $B301,【ピボット】事業所収支!$A$3,"年月",Z$13,"事業所",$A$296)=0,#N/A,GETPIVOTDATA("合計 / " &amp; $B301,【ピボット】事業所収支!$A$3,"年月",Z$13,"事業所",$A$296)),#N/A)</f>
        <v>#N/A</v>
      </c>
    </row>
    <row r="302" spans="1:27" hidden="1" x14ac:dyDescent="0.15">
      <c r="B302" s="8" t="s">
        <v>50</v>
      </c>
      <c r="C302" s="483" t="e">
        <f>IFERROR(IF(GETPIVOTDATA("合計 / " &amp; $B302,【ピボット】事業所収支!$A$3,"年月",C$13,"事業所",$A$296)=0,#N/A,GETPIVOTDATA("合計 / " &amp; $B302,【ピボット】事業所収支!$A$3,"年月",C$13,"事業所",$A$296)),#N/A)</f>
        <v>#N/A</v>
      </c>
      <c r="D302" s="483" t="e">
        <f>IFERROR(IF(GETPIVOTDATA("合計 / " &amp; $B302,【ピボット】事業所収支!$A$3,"年月",D$13,"事業所",$A$296)=0,#N/A,GETPIVOTDATA("合計 / " &amp; $B302,【ピボット】事業所収支!$A$3,"年月",D$13,"事業所",$A$296)),#N/A)</f>
        <v>#N/A</v>
      </c>
      <c r="E302" s="483" t="e">
        <f>IFERROR(IF(GETPIVOTDATA("合計 / " &amp; $B302,【ピボット】事業所収支!$A$3,"年月",E$13,"事業所",$A$296)=0,#N/A,GETPIVOTDATA("合計 / " &amp; $B302,【ピボット】事業所収支!$A$3,"年月",E$13,"事業所",$A$296)),#N/A)</f>
        <v>#N/A</v>
      </c>
      <c r="F302" s="483" t="e">
        <f>IFERROR(IF(GETPIVOTDATA("合計 / " &amp; $B302,【ピボット】事業所収支!$A$3,"年月",F$13,"事業所",$A$296)=0,#N/A,GETPIVOTDATA("合計 / " &amp; $B302,【ピボット】事業所収支!$A$3,"年月",F$13,"事業所",$A$296)),#N/A)</f>
        <v>#N/A</v>
      </c>
      <c r="G302" s="483" t="e">
        <f>IFERROR(IF(GETPIVOTDATA("合計 / " &amp; $B302,【ピボット】事業所収支!$A$3,"年月",G$13,"事業所",$A$296)=0,#N/A,GETPIVOTDATA("合計 / " &amp; $B302,【ピボット】事業所収支!$A$3,"年月",G$13,"事業所",$A$296)),#N/A)</f>
        <v>#N/A</v>
      </c>
      <c r="H302" s="483" t="e">
        <f>IFERROR(IF(GETPIVOTDATA("合計 / " &amp; $B302,【ピボット】事業所収支!$A$3,"年月",H$13,"事業所",$A$296)=0,#N/A,GETPIVOTDATA("合計 / " &amp; $B302,【ピボット】事業所収支!$A$3,"年月",H$13,"事業所",$A$296)),#N/A)</f>
        <v>#N/A</v>
      </c>
      <c r="I302" s="483" t="e">
        <f>IFERROR(IF(GETPIVOTDATA("合計 / " &amp; $B302,【ピボット】事業所収支!$A$3,"年月",I$13,"事業所",$A$296)=0,#N/A,GETPIVOTDATA("合計 / " &amp; $B302,【ピボット】事業所収支!$A$3,"年月",I$13,"事業所",$A$296)),#N/A)</f>
        <v>#N/A</v>
      </c>
      <c r="J302" s="483" t="e">
        <f>IFERROR(IF(GETPIVOTDATA("合計 / " &amp; $B302,【ピボット】事業所収支!$A$3,"年月",J$13,"事業所",$A$296)=0,#N/A,GETPIVOTDATA("合計 / " &amp; $B302,【ピボット】事業所収支!$A$3,"年月",J$13,"事業所",$A$296)),#N/A)</f>
        <v>#N/A</v>
      </c>
      <c r="K302" s="483" t="e">
        <f>IFERROR(IF(GETPIVOTDATA("合計 / " &amp; $B302,【ピボット】事業所収支!$A$3,"年月",K$13,"事業所",$A$296)=0,#N/A,GETPIVOTDATA("合計 / " &amp; $B302,【ピボット】事業所収支!$A$3,"年月",K$13,"事業所",$A$296)),#N/A)</f>
        <v>#N/A</v>
      </c>
      <c r="L302" s="483" t="e">
        <f>IFERROR(IF(GETPIVOTDATA("合計 / " &amp; $B302,【ピボット】事業所収支!$A$3,"年月",L$13,"事業所",$A$296)=0,#N/A,GETPIVOTDATA("合計 / " &amp; $B302,【ピボット】事業所収支!$A$3,"年月",L$13,"事業所",$A$296)),#N/A)</f>
        <v>#N/A</v>
      </c>
      <c r="M302" s="483" t="e">
        <f>IFERROR(IF(GETPIVOTDATA("合計 / " &amp; $B302,【ピボット】事業所収支!$A$3,"年月",M$13,"事業所",$A$296)=0,#N/A,GETPIVOTDATA("合計 / " &amp; $B302,【ピボット】事業所収支!$A$3,"年月",M$13,"事業所",$A$296)),#N/A)</f>
        <v>#N/A</v>
      </c>
      <c r="N302" s="483" t="e">
        <f>IFERROR(IF(GETPIVOTDATA("合計 / " &amp; $B302,【ピボット】事業所収支!$A$3,"年月",N$13,"事業所",$A$296)=0,#N/A,GETPIVOTDATA("合計 / " &amp; $B302,【ピボット】事業所収支!$A$3,"年月",N$13,"事業所",$A$296)),#N/A)</f>
        <v>#N/A</v>
      </c>
      <c r="O302" s="483" t="e">
        <f>IFERROR(IF(GETPIVOTDATA("合計 / " &amp; $B302,【ピボット】事業所収支!$A$3,"年月",O$13,"事業所",$A$296)=0,#N/A,GETPIVOTDATA("合計 / " &amp; $B302,【ピボット】事業所収支!$A$3,"年月",O$13,"事業所",$A$296)),#N/A)</f>
        <v>#N/A</v>
      </c>
      <c r="P302" s="483" t="e">
        <f>IFERROR(IF(GETPIVOTDATA("合計 / " &amp; $B302,【ピボット】事業所収支!$A$3,"年月",P$13,"事業所",$A$296)=0,#N/A,GETPIVOTDATA("合計 / " &amp; $B302,【ピボット】事業所収支!$A$3,"年月",P$13,"事業所",$A$296)),#N/A)</f>
        <v>#N/A</v>
      </c>
      <c r="Q302" s="483" t="e">
        <f>IFERROR(IF(GETPIVOTDATA("合計 / " &amp; $B302,【ピボット】事業所収支!$A$3,"年月",Q$13,"事業所",$A$296)=0,#N/A,GETPIVOTDATA("合計 / " &amp; $B302,【ピボット】事業所収支!$A$3,"年月",Q$13,"事業所",$A$296)),#N/A)</f>
        <v>#N/A</v>
      </c>
      <c r="R302" s="483" t="e">
        <f>IFERROR(IF(GETPIVOTDATA("合計 / " &amp; $B302,【ピボット】事業所収支!$A$3,"年月",R$13,"事業所",$A$296)=0,#N/A,GETPIVOTDATA("合計 / " &amp; $B302,【ピボット】事業所収支!$A$3,"年月",R$13,"事業所",$A$296)),#N/A)</f>
        <v>#N/A</v>
      </c>
      <c r="S302" s="483" t="e">
        <f>IFERROR(IF(GETPIVOTDATA("合計 / " &amp; $B302,【ピボット】事業所収支!$A$3,"年月",S$13,"事業所",$A$296)=0,#N/A,GETPIVOTDATA("合計 / " &amp; $B302,【ピボット】事業所収支!$A$3,"年月",S$13,"事業所",$A$296)),#N/A)</f>
        <v>#N/A</v>
      </c>
      <c r="T302" s="483" t="e">
        <f>IFERROR(IF(GETPIVOTDATA("合計 / " &amp; $B302,【ピボット】事業所収支!$A$3,"年月",T$13,"事業所",$A$296)=0,#N/A,GETPIVOTDATA("合計 / " &amp; $B302,【ピボット】事業所収支!$A$3,"年月",T$13,"事業所",$A$296)),#N/A)</f>
        <v>#N/A</v>
      </c>
      <c r="U302" s="490" t="e">
        <f>IFERROR(IF(GETPIVOTDATA("合計 / " &amp; $B302,【ピボット】事業所収支!$A$3,"年月",U$13,"事業所",$A$296)=0,#N/A,GETPIVOTDATA("合計 / " &amp; $B302,【ピボット】事業所収支!$A$3,"年月",U$13,"事業所",$A$296)),#N/A)</f>
        <v>#N/A</v>
      </c>
      <c r="V302" s="490" t="e">
        <f>IFERROR(IF(GETPIVOTDATA("合計 / " &amp; $B302,【ピボット】事業所収支!$A$3,"年月",V$13,"事業所",$A$296)=0,#N/A,GETPIVOTDATA("合計 / " &amp; $B302,【ピボット】事業所収支!$A$3,"年月",V$13,"事業所",$A$296)),#N/A)</f>
        <v>#N/A</v>
      </c>
      <c r="W302" s="490" t="e">
        <f>IFERROR(IF(GETPIVOTDATA("合計 / " &amp; $B302,【ピボット】事業所収支!$A$3,"年月",W$13,"事業所",$A$296)=0,#N/A,GETPIVOTDATA("合計 / " &amp; $B302,【ピボット】事業所収支!$A$3,"年月",W$13,"事業所",$A$296)),#N/A)</f>
        <v>#N/A</v>
      </c>
      <c r="X302" s="490" t="e">
        <f>IFERROR(IF(GETPIVOTDATA("合計 / " &amp; $B302,【ピボット】事業所収支!$A$3,"年月",X$13,"事業所",$A$296)=0,#N/A,GETPIVOTDATA("合計 / " &amp; $B302,【ピボット】事業所収支!$A$3,"年月",X$13,"事業所",$A$296)),#N/A)</f>
        <v>#N/A</v>
      </c>
      <c r="Y302" s="490" t="e">
        <f>IFERROR(IF(GETPIVOTDATA("合計 / " &amp; $B302,【ピボット】事業所収支!$A$3,"年月",Y$13,"事業所",$A$296)=0,#N/A,GETPIVOTDATA("合計 / " &amp; $B302,【ピボット】事業所収支!$A$3,"年月",Y$13,"事業所",$A$296)),#N/A)</f>
        <v>#N/A</v>
      </c>
      <c r="Z302" s="490" t="e">
        <f>IFERROR(IF(GETPIVOTDATA("合計 / " &amp; $B302,【ピボット】事業所収支!$A$3,"年月",Z$13,"事業所",$A$296)=0,#N/A,GETPIVOTDATA("合計 / " &amp; $B302,【ピボット】事業所収支!$A$3,"年月",Z$13,"事業所",$A$296)),#N/A)</f>
        <v>#N/A</v>
      </c>
    </row>
    <row r="303" spans="1:27" hidden="1" x14ac:dyDescent="0.15">
      <c r="B303" s="9" t="s">
        <v>29</v>
      </c>
      <c r="C303" s="484">
        <f>IFERROR(IF(GETPIVOTDATA("合計 / " &amp; $B303,【ピボット】事業所収支!$A$3,"年月",C$13,"事業所",$A$296)=0,#N/A,GETPIVOTDATA("合計 / " &amp; $B303,【ピボット】事業所収支!$A$3,"年月",C$13,"事業所",$A$296)),#N/A)</f>
        <v>38432</v>
      </c>
      <c r="D303" s="484" t="e">
        <f>IFERROR(IF(GETPIVOTDATA("合計 / " &amp; $B303,【ピボット】事業所収支!$A$3,"年月",D$13,"事業所",$A$296)=0,#N/A,GETPIVOTDATA("合計 / " &amp; $B303,【ピボット】事業所収支!$A$3,"年月",D$13,"事業所",$A$296)),#N/A)</f>
        <v>#N/A</v>
      </c>
      <c r="E303" s="484" t="e">
        <f>IFERROR(IF(GETPIVOTDATA("合計 / " &amp; $B303,【ピボット】事業所収支!$A$3,"年月",E$13,"事業所",$A$296)=0,#N/A,GETPIVOTDATA("合計 / " &amp; $B303,【ピボット】事業所収支!$A$3,"年月",E$13,"事業所",$A$296)),#N/A)</f>
        <v>#N/A</v>
      </c>
      <c r="F303" s="484" t="e">
        <f>IFERROR(IF(GETPIVOTDATA("合計 / " &amp; $B303,【ピボット】事業所収支!$A$3,"年月",F$13,"事業所",$A$296)=0,#N/A,GETPIVOTDATA("合計 / " &amp; $B303,【ピボット】事業所収支!$A$3,"年月",F$13,"事業所",$A$296)),#N/A)</f>
        <v>#N/A</v>
      </c>
      <c r="G303" s="484" t="e">
        <f>IFERROR(IF(GETPIVOTDATA("合計 / " &amp; $B303,【ピボット】事業所収支!$A$3,"年月",G$13,"事業所",$A$296)=0,#N/A,GETPIVOTDATA("合計 / " &amp; $B303,【ピボット】事業所収支!$A$3,"年月",G$13,"事業所",$A$296)),#N/A)</f>
        <v>#N/A</v>
      </c>
      <c r="H303" s="484" t="e">
        <f>IFERROR(IF(GETPIVOTDATA("合計 / " &amp; $B303,【ピボット】事業所収支!$A$3,"年月",H$13,"事業所",$A$296)=0,#N/A,GETPIVOTDATA("合計 / " &amp; $B303,【ピボット】事業所収支!$A$3,"年月",H$13,"事業所",$A$296)),#N/A)</f>
        <v>#N/A</v>
      </c>
      <c r="I303" s="484" t="e">
        <f>IFERROR(IF(GETPIVOTDATA("合計 / " &amp; $B303,【ピボット】事業所収支!$A$3,"年月",I$13,"事業所",$A$296)=0,#N/A,GETPIVOTDATA("合計 / " &amp; $B303,【ピボット】事業所収支!$A$3,"年月",I$13,"事業所",$A$296)),#N/A)</f>
        <v>#N/A</v>
      </c>
      <c r="J303" s="484" t="e">
        <f>IFERROR(IF(GETPIVOTDATA("合計 / " &amp; $B303,【ピボット】事業所収支!$A$3,"年月",J$13,"事業所",$A$296)=0,#N/A,GETPIVOTDATA("合計 / " &amp; $B303,【ピボット】事業所収支!$A$3,"年月",J$13,"事業所",$A$296)),#N/A)</f>
        <v>#N/A</v>
      </c>
      <c r="K303" s="484" t="e">
        <f>IFERROR(IF(GETPIVOTDATA("合計 / " &amp; $B303,【ピボット】事業所収支!$A$3,"年月",K$13,"事業所",$A$296)=0,#N/A,GETPIVOTDATA("合計 / " &amp; $B303,【ピボット】事業所収支!$A$3,"年月",K$13,"事業所",$A$296)),#N/A)</f>
        <v>#N/A</v>
      </c>
      <c r="L303" s="484" t="e">
        <f>IFERROR(IF(GETPIVOTDATA("合計 / " &amp; $B303,【ピボット】事業所収支!$A$3,"年月",L$13,"事業所",$A$296)=0,#N/A,GETPIVOTDATA("合計 / " &amp; $B303,【ピボット】事業所収支!$A$3,"年月",L$13,"事業所",$A$296)),#N/A)</f>
        <v>#N/A</v>
      </c>
      <c r="M303" s="484" t="e">
        <f>IFERROR(IF(GETPIVOTDATA("合計 / " &amp; $B303,【ピボット】事業所収支!$A$3,"年月",M$13,"事業所",$A$296)=0,#N/A,GETPIVOTDATA("合計 / " &amp; $B303,【ピボット】事業所収支!$A$3,"年月",M$13,"事業所",$A$296)),#N/A)</f>
        <v>#N/A</v>
      </c>
      <c r="N303" s="484" t="e">
        <f>IFERROR(IF(GETPIVOTDATA("合計 / " &amp; $B303,【ピボット】事業所収支!$A$3,"年月",N$13,"事業所",$A$296)=0,#N/A,GETPIVOTDATA("合計 / " &amp; $B303,【ピボット】事業所収支!$A$3,"年月",N$13,"事業所",$A$296)),#N/A)</f>
        <v>#N/A</v>
      </c>
      <c r="O303" s="484" t="e">
        <f>IFERROR(IF(GETPIVOTDATA("合計 / " &amp; $B303,【ピボット】事業所収支!$A$3,"年月",O$13,"事業所",$A$296)=0,#N/A,GETPIVOTDATA("合計 / " &amp; $B303,【ピボット】事業所収支!$A$3,"年月",O$13,"事業所",$A$296)),#N/A)</f>
        <v>#N/A</v>
      </c>
      <c r="P303" s="484" t="e">
        <f>IFERROR(IF(GETPIVOTDATA("合計 / " &amp; $B303,【ピボット】事業所収支!$A$3,"年月",P$13,"事業所",$A$296)=0,#N/A,GETPIVOTDATA("合計 / " &amp; $B303,【ピボット】事業所収支!$A$3,"年月",P$13,"事業所",$A$296)),#N/A)</f>
        <v>#N/A</v>
      </c>
      <c r="Q303" s="484" t="e">
        <f>IFERROR(IF(GETPIVOTDATA("合計 / " &amp; $B303,【ピボット】事業所収支!$A$3,"年月",Q$13,"事業所",$A$296)=0,#N/A,GETPIVOTDATA("合計 / " &amp; $B303,【ピボット】事業所収支!$A$3,"年月",Q$13,"事業所",$A$296)),#N/A)</f>
        <v>#N/A</v>
      </c>
      <c r="R303" s="484" t="e">
        <f>IFERROR(IF(GETPIVOTDATA("合計 / " &amp; $B303,【ピボット】事業所収支!$A$3,"年月",R$13,"事業所",$A$296)=0,#N/A,GETPIVOTDATA("合計 / " &amp; $B303,【ピボット】事業所収支!$A$3,"年月",R$13,"事業所",$A$296)),#N/A)</f>
        <v>#N/A</v>
      </c>
      <c r="S303" s="484" t="e">
        <f>IFERROR(IF(GETPIVOTDATA("合計 / " &amp; $B303,【ピボット】事業所収支!$A$3,"年月",S$13,"事業所",$A$296)=0,#N/A,GETPIVOTDATA("合計 / " &amp; $B303,【ピボット】事業所収支!$A$3,"年月",S$13,"事業所",$A$296)),#N/A)</f>
        <v>#N/A</v>
      </c>
      <c r="T303" s="484" t="e">
        <f>IFERROR(IF(GETPIVOTDATA("合計 / " &amp; $B303,【ピボット】事業所収支!$A$3,"年月",T$13,"事業所",$A$296)=0,#N/A,GETPIVOTDATA("合計 / " &amp; $B303,【ピボット】事業所収支!$A$3,"年月",T$13,"事業所",$A$296)),#N/A)</f>
        <v>#N/A</v>
      </c>
      <c r="U303" s="491" t="e">
        <f>IFERROR(IF(GETPIVOTDATA("合計 / " &amp; $B303,【ピボット】事業所収支!$A$3,"年月",U$13,"事業所",$A$296)=0,#N/A,GETPIVOTDATA("合計 / " &amp; $B303,【ピボット】事業所収支!$A$3,"年月",U$13,"事業所",$A$296)),#N/A)</f>
        <v>#N/A</v>
      </c>
      <c r="V303" s="491" t="e">
        <f>IFERROR(IF(GETPIVOTDATA("合計 / " &amp; $B303,【ピボット】事業所収支!$A$3,"年月",V$13,"事業所",$A$296)=0,#N/A,GETPIVOTDATA("合計 / " &amp; $B303,【ピボット】事業所収支!$A$3,"年月",V$13,"事業所",$A$296)),#N/A)</f>
        <v>#N/A</v>
      </c>
      <c r="W303" s="491" t="e">
        <f>IFERROR(IF(GETPIVOTDATA("合計 / " &amp; $B303,【ピボット】事業所収支!$A$3,"年月",W$13,"事業所",$A$296)=0,#N/A,GETPIVOTDATA("合計 / " &amp; $B303,【ピボット】事業所収支!$A$3,"年月",W$13,"事業所",$A$296)),#N/A)</f>
        <v>#N/A</v>
      </c>
      <c r="X303" s="491" t="e">
        <f>IFERROR(IF(GETPIVOTDATA("合計 / " &amp; $B303,【ピボット】事業所収支!$A$3,"年月",X$13,"事業所",$A$296)=0,#N/A,GETPIVOTDATA("合計 / " &amp; $B303,【ピボット】事業所収支!$A$3,"年月",X$13,"事業所",$A$296)),#N/A)</f>
        <v>#N/A</v>
      </c>
      <c r="Y303" s="491" t="e">
        <f>IFERROR(IF(GETPIVOTDATA("合計 / " &amp; $B303,【ピボット】事業所収支!$A$3,"年月",Y$13,"事業所",$A$296)=0,#N/A,GETPIVOTDATA("合計 / " &amp; $B303,【ピボット】事業所収支!$A$3,"年月",Y$13,"事業所",$A$296)),#N/A)</f>
        <v>#N/A</v>
      </c>
      <c r="Z303" s="491" t="e">
        <f>IFERROR(IF(GETPIVOTDATA("合計 / " &amp; $B303,【ピボット】事業所収支!$A$3,"年月",Z$13,"事業所",$A$296)=0,#N/A,GETPIVOTDATA("合計 / " &amp; $B303,【ピボット】事業所収支!$A$3,"年月",Z$13,"事業所",$A$296)),#N/A)</f>
        <v>#N/A</v>
      </c>
      <c r="AA303" s="4"/>
    </row>
    <row r="304" spans="1:27" hidden="1" x14ac:dyDescent="0.15">
      <c r="B304" s="9" t="s">
        <v>51</v>
      </c>
      <c r="C304" s="483">
        <f>IFERROR(IF(GETPIVOTDATA("合計 / " &amp; $B304,【ピボット】事業所収支!$A$3,"年月",C$13,"事業所",$A$296)=0,#N/A,GETPIVOTDATA("合計 / " &amp; $B304,【ピボット】事業所収支!$A$3,"年月",C$13,"事業所",$A$296)),#N/A)</f>
        <v>1134</v>
      </c>
      <c r="D304" s="483" t="e">
        <f>IFERROR(IF(GETPIVOTDATA("合計 / " &amp; $B304,【ピボット】事業所収支!$A$3,"年月",D$13,"事業所",$A$296)=0,#N/A,GETPIVOTDATA("合計 / " &amp; $B304,【ピボット】事業所収支!$A$3,"年月",D$13,"事業所",$A$296)),#N/A)</f>
        <v>#N/A</v>
      </c>
      <c r="E304" s="483" t="e">
        <f>IFERROR(IF(GETPIVOTDATA("合計 / " &amp; $B304,【ピボット】事業所収支!$A$3,"年月",E$13,"事業所",$A$296)=0,#N/A,GETPIVOTDATA("合計 / " &amp; $B304,【ピボット】事業所収支!$A$3,"年月",E$13,"事業所",$A$296)),#N/A)</f>
        <v>#N/A</v>
      </c>
      <c r="F304" s="483" t="e">
        <f>IFERROR(IF(GETPIVOTDATA("合計 / " &amp; $B304,【ピボット】事業所収支!$A$3,"年月",F$13,"事業所",$A$296)=0,#N/A,GETPIVOTDATA("合計 / " &amp; $B304,【ピボット】事業所収支!$A$3,"年月",F$13,"事業所",$A$296)),#N/A)</f>
        <v>#N/A</v>
      </c>
      <c r="G304" s="483" t="e">
        <f>IFERROR(IF(GETPIVOTDATA("合計 / " &amp; $B304,【ピボット】事業所収支!$A$3,"年月",G$13,"事業所",$A$296)=0,#N/A,GETPIVOTDATA("合計 / " &amp; $B304,【ピボット】事業所収支!$A$3,"年月",G$13,"事業所",$A$296)),#N/A)</f>
        <v>#N/A</v>
      </c>
      <c r="H304" s="483" t="e">
        <f>IFERROR(IF(GETPIVOTDATA("合計 / " &amp; $B304,【ピボット】事業所収支!$A$3,"年月",H$13,"事業所",$A$296)=0,#N/A,GETPIVOTDATA("合計 / " &amp; $B304,【ピボット】事業所収支!$A$3,"年月",H$13,"事業所",$A$296)),#N/A)</f>
        <v>#N/A</v>
      </c>
      <c r="I304" s="483" t="e">
        <f>IFERROR(IF(GETPIVOTDATA("合計 / " &amp; $B304,【ピボット】事業所収支!$A$3,"年月",I$13,"事業所",$A$296)=0,#N/A,GETPIVOTDATA("合計 / " &amp; $B304,【ピボット】事業所収支!$A$3,"年月",I$13,"事業所",$A$296)),#N/A)</f>
        <v>#N/A</v>
      </c>
      <c r="J304" s="483" t="e">
        <f>IFERROR(IF(GETPIVOTDATA("合計 / " &amp; $B304,【ピボット】事業所収支!$A$3,"年月",J$13,"事業所",$A$296)=0,#N/A,GETPIVOTDATA("合計 / " &amp; $B304,【ピボット】事業所収支!$A$3,"年月",J$13,"事業所",$A$296)),#N/A)</f>
        <v>#N/A</v>
      </c>
      <c r="K304" s="483" t="e">
        <f>IFERROR(IF(GETPIVOTDATA("合計 / " &amp; $B304,【ピボット】事業所収支!$A$3,"年月",K$13,"事業所",$A$296)=0,#N/A,GETPIVOTDATA("合計 / " &amp; $B304,【ピボット】事業所収支!$A$3,"年月",K$13,"事業所",$A$296)),#N/A)</f>
        <v>#N/A</v>
      </c>
      <c r="L304" s="483" t="e">
        <f>IFERROR(IF(GETPIVOTDATA("合計 / " &amp; $B304,【ピボット】事業所収支!$A$3,"年月",L$13,"事業所",$A$296)=0,#N/A,GETPIVOTDATA("合計 / " &amp; $B304,【ピボット】事業所収支!$A$3,"年月",L$13,"事業所",$A$296)),#N/A)</f>
        <v>#N/A</v>
      </c>
      <c r="M304" s="483" t="e">
        <f>IFERROR(IF(GETPIVOTDATA("合計 / " &amp; $B304,【ピボット】事業所収支!$A$3,"年月",M$13,"事業所",$A$296)=0,#N/A,GETPIVOTDATA("合計 / " &amp; $B304,【ピボット】事業所収支!$A$3,"年月",M$13,"事業所",$A$296)),#N/A)</f>
        <v>#N/A</v>
      </c>
      <c r="N304" s="483" t="e">
        <f>IFERROR(IF(GETPIVOTDATA("合計 / " &amp; $B304,【ピボット】事業所収支!$A$3,"年月",N$13,"事業所",$A$296)=0,#N/A,GETPIVOTDATA("合計 / " &amp; $B304,【ピボット】事業所収支!$A$3,"年月",N$13,"事業所",$A$296)),#N/A)</f>
        <v>#N/A</v>
      </c>
      <c r="O304" s="483" t="e">
        <f>IFERROR(IF(GETPIVOTDATA("合計 / " &amp; $B304,【ピボット】事業所収支!$A$3,"年月",O$13,"事業所",$A$296)=0,#N/A,GETPIVOTDATA("合計 / " &amp; $B304,【ピボット】事業所収支!$A$3,"年月",O$13,"事業所",$A$296)),#N/A)</f>
        <v>#N/A</v>
      </c>
      <c r="P304" s="483" t="e">
        <f>IFERROR(IF(GETPIVOTDATA("合計 / " &amp; $B304,【ピボット】事業所収支!$A$3,"年月",P$13,"事業所",$A$296)=0,#N/A,GETPIVOTDATA("合計 / " &amp; $B304,【ピボット】事業所収支!$A$3,"年月",P$13,"事業所",$A$296)),#N/A)</f>
        <v>#N/A</v>
      </c>
      <c r="Q304" s="483" t="e">
        <f>IFERROR(IF(GETPIVOTDATA("合計 / " &amp; $B304,【ピボット】事業所収支!$A$3,"年月",Q$13,"事業所",$A$296)=0,#N/A,GETPIVOTDATA("合計 / " &amp; $B304,【ピボット】事業所収支!$A$3,"年月",Q$13,"事業所",$A$296)),#N/A)</f>
        <v>#N/A</v>
      </c>
      <c r="R304" s="483" t="e">
        <f>IFERROR(IF(GETPIVOTDATA("合計 / " &amp; $B304,【ピボット】事業所収支!$A$3,"年月",R$13,"事業所",$A$296)=0,#N/A,GETPIVOTDATA("合計 / " &amp; $B304,【ピボット】事業所収支!$A$3,"年月",R$13,"事業所",$A$296)),#N/A)</f>
        <v>#N/A</v>
      </c>
      <c r="S304" s="483" t="e">
        <f>IFERROR(IF(GETPIVOTDATA("合計 / " &amp; $B304,【ピボット】事業所収支!$A$3,"年月",S$13,"事業所",$A$296)=0,#N/A,GETPIVOTDATA("合計 / " &amp; $B304,【ピボット】事業所収支!$A$3,"年月",S$13,"事業所",$A$296)),#N/A)</f>
        <v>#N/A</v>
      </c>
      <c r="T304" s="483" t="e">
        <f>IFERROR(IF(GETPIVOTDATA("合計 / " &amp; $B304,【ピボット】事業所収支!$A$3,"年月",T$13,"事業所",$A$296)=0,#N/A,GETPIVOTDATA("合計 / " &amp; $B304,【ピボット】事業所収支!$A$3,"年月",T$13,"事業所",$A$296)),#N/A)</f>
        <v>#N/A</v>
      </c>
      <c r="U304" s="490" t="e">
        <f>IFERROR(IF(GETPIVOTDATA("合計 / " &amp; $B304,【ピボット】事業所収支!$A$3,"年月",U$13,"事業所",$A$296)=0,#N/A,GETPIVOTDATA("合計 / " &amp; $B304,【ピボット】事業所収支!$A$3,"年月",U$13,"事業所",$A$296)),#N/A)</f>
        <v>#N/A</v>
      </c>
      <c r="V304" s="490" t="e">
        <f>IFERROR(IF(GETPIVOTDATA("合計 / " &amp; $B304,【ピボット】事業所収支!$A$3,"年月",V$13,"事業所",$A$296)=0,#N/A,GETPIVOTDATA("合計 / " &amp; $B304,【ピボット】事業所収支!$A$3,"年月",V$13,"事業所",$A$296)),#N/A)</f>
        <v>#N/A</v>
      </c>
      <c r="W304" s="490" t="e">
        <f>IFERROR(IF(GETPIVOTDATA("合計 / " &amp; $B304,【ピボット】事業所収支!$A$3,"年月",W$13,"事業所",$A$296)=0,#N/A,GETPIVOTDATA("合計 / " &amp; $B304,【ピボット】事業所収支!$A$3,"年月",W$13,"事業所",$A$296)),#N/A)</f>
        <v>#N/A</v>
      </c>
      <c r="X304" s="490" t="e">
        <f>IFERROR(IF(GETPIVOTDATA("合計 / " &amp; $B304,【ピボット】事業所収支!$A$3,"年月",X$13,"事業所",$A$296)=0,#N/A,GETPIVOTDATA("合計 / " &amp; $B304,【ピボット】事業所収支!$A$3,"年月",X$13,"事業所",$A$296)),#N/A)</f>
        <v>#N/A</v>
      </c>
      <c r="Y304" s="490" t="e">
        <f>IFERROR(IF(GETPIVOTDATA("合計 / " &amp; $B304,【ピボット】事業所収支!$A$3,"年月",Y$13,"事業所",$A$296)=0,#N/A,GETPIVOTDATA("合計 / " &amp; $B304,【ピボット】事業所収支!$A$3,"年月",Y$13,"事業所",$A$296)),#N/A)</f>
        <v>#N/A</v>
      </c>
      <c r="Z304" s="490" t="e">
        <f>IFERROR(IF(GETPIVOTDATA("合計 / " &amp; $B304,【ピボット】事業所収支!$A$3,"年月",Z$13,"事業所",$A$296)=0,#N/A,GETPIVOTDATA("合計 / " &amp; $B304,【ピボット】事業所収支!$A$3,"年月",Z$13,"事業所",$A$296)),#N/A)</f>
        <v>#N/A</v>
      </c>
      <c r="AA304" s="4"/>
    </row>
    <row r="305" spans="2:27" hidden="1" x14ac:dyDescent="0.15">
      <c r="B305" s="41" t="s">
        <v>15</v>
      </c>
      <c r="C305" s="486">
        <f>IFERROR(IF(GETPIVOTDATA("合計 / " &amp; $B305,【ピボット】事業所収支!$A$3,"年月",C$13,"事業所",$A$296)=0,#N/A,GETPIVOTDATA("合計 / " &amp; $B305,【ピボット】事業所収支!$A$3,"年月",C$13,"事業所",$A$296)),#N/A)</f>
        <v>746183</v>
      </c>
      <c r="D305" s="486" t="e">
        <f>IFERROR(IF(GETPIVOTDATA("合計 / " &amp; $B305,【ピボット】事業所収支!$A$3,"年月",D$13,"事業所",$A$296)=0,#N/A,GETPIVOTDATA("合計 / " &amp; $B305,【ピボット】事業所収支!$A$3,"年月",D$13,"事業所",$A$296)),#N/A)</f>
        <v>#N/A</v>
      </c>
      <c r="E305" s="486" t="e">
        <f>IFERROR(IF(GETPIVOTDATA("合計 / " &amp; $B305,【ピボット】事業所収支!$A$3,"年月",E$13,"事業所",$A$296)=0,#N/A,GETPIVOTDATA("合計 / " &amp; $B305,【ピボット】事業所収支!$A$3,"年月",E$13,"事業所",$A$296)),#N/A)</f>
        <v>#N/A</v>
      </c>
      <c r="F305" s="486" t="e">
        <f>IFERROR(IF(GETPIVOTDATA("合計 / " &amp; $B305,【ピボット】事業所収支!$A$3,"年月",F$13,"事業所",$A$296)=0,#N/A,GETPIVOTDATA("合計 / " &amp; $B305,【ピボット】事業所収支!$A$3,"年月",F$13,"事業所",$A$296)),#N/A)</f>
        <v>#N/A</v>
      </c>
      <c r="G305" s="486" t="e">
        <f>IFERROR(IF(GETPIVOTDATA("合計 / " &amp; $B305,【ピボット】事業所収支!$A$3,"年月",G$13,"事業所",$A$296)=0,#N/A,GETPIVOTDATA("合計 / " &amp; $B305,【ピボット】事業所収支!$A$3,"年月",G$13,"事業所",$A$296)),#N/A)</f>
        <v>#N/A</v>
      </c>
      <c r="H305" s="486" t="e">
        <f>IFERROR(IF(GETPIVOTDATA("合計 / " &amp; $B305,【ピボット】事業所収支!$A$3,"年月",H$13,"事業所",$A$296)=0,#N/A,GETPIVOTDATA("合計 / " &amp; $B305,【ピボット】事業所収支!$A$3,"年月",H$13,"事業所",$A$296)),#N/A)</f>
        <v>#N/A</v>
      </c>
      <c r="I305" s="486" t="e">
        <f>IFERROR(IF(GETPIVOTDATA("合計 / " &amp; $B305,【ピボット】事業所収支!$A$3,"年月",I$13,"事業所",$A$296)=0,#N/A,GETPIVOTDATA("合計 / " &amp; $B305,【ピボット】事業所収支!$A$3,"年月",I$13,"事業所",$A$296)),#N/A)</f>
        <v>#N/A</v>
      </c>
      <c r="J305" s="486" t="e">
        <f>IFERROR(IF(GETPIVOTDATA("合計 / " &amp; $B305,【ピボット】事業所収支!$A$3,"年月",J$13,"事業所",$A$296)=0,#N/A,GETPIVOTDATA("合計 / " &amp; $B305,【ピボット】事業所収支!$A$3,"年月",J$13,"事業所",$A$296)),#N/A)</f>
        <v>#N/A</v>
      </c>
      <c r="K305" s="486" t="e">
        <f>IFERROR(IF(GETPIVOTDATA("合計 / " &amp; $B305,【ピボット】事業所収支!$A$3,"年月",K$13,"事業所",$A$296)=0,#N/A,GETPIVOTDATA("合計 / " &amp; $B305,【ピボット】事業所収支!$A$3,"年月",K$13,"事業所",$A$296)),#N/A)</f>
        <v>#N/A</v>
      </c>
      <c r="L305" s="486" t="e">
        <f>IFERROR(IF(GETPIVOTDATA("合計 / " &amp; $B305,【ピボット】事業所収支!$A$3,"年月",L$13,"事業所",$A$296)=0,#N/A,GETPIVOTDATA("合計 / " &amp; $B305,【ピボット】事業所収支!$A$3,"年月",L$13,"事業所",$A$296)),#N/A)</f>
        <v>#N/A</v>
      </c>
      <c r="M305" s="486" t="e">
        <f>IFERROR(IF(GETPIVOTDATA("合計 / " &amp; $B305,【ピボット】事業所収支!$A$3,"年月",M$13,"事業所",$A$296)=0,#N/A,GETPIVOTDATA("合計 / " &amp; $B305,【ピボット】事業所収支!$A$3,"年月",M$13,"事業所",$A$296)),#N/A)</f>
        <v>#N/A</v>
      </c>
      <c r="N305" s="486" t="e">
        <f>IFERROR(IF(GETPIVOTDATA("合計 / " &amp; $B305,【ピボット】事業所収支!$A$3,"年月",N$13,"事業所",$A$296)=0,#N/A,GETPIVOTDATA("合計 / " &amp; $B305,【ピボット】事業所収支!$A$3,"年月",N$13,"事業所",$A$296)),#N/A)</f>
        <v>#N/A</v>
      </c>
      <c r="O305" s="486" t="e">
        <f>IFERROR(IF(GETPIVOTDATA("合計 / " &amp; $B305,【ピボット】事業所収支!$A$3,"年月",O$13,"事業所",$A$296)=0,#N/A,GETPIVOTDATA("合計 / " &amp; $B305,【ピボット】事業所収支!$A$3,"年月",O$13,"事業所",$A$296)),#N/A)</f>
        <v>#N/A</v>
      </c>
      <c r="P305" s="486" t="e">
        <f>IFERROR(IF(GETPIVOTDATA("合計 / " &amp; $B305,【ピボット】事業所収支!$A$3,"年月",P$13,"事業所",$A$296)=0,#N/A,GETPIVOTDATA("合計 / " &amp; $B305,【ピボット】事業所収支!$A$3,"年月",P$13,"事業所",$A$296)),#N/A)</f>
        <v>#N/A</v>
      </c>
      <c r="Q305" s="486" t="e">
        <f>IFERROR(IF(GETPIVOTDATA("合計 / " &amp; $B305,【ピボット】事業所収支!$A$3,"年月",Q$13,"事業所",$A$296)=0,#N/A,GETPIVOTDATA("合計 / " &amp; $B305,【ピボット】事業所収支!$A$3,"年月",Q$13,"事業所",$A$296)),#N/A)</f>
        <v>#N/A</v>
      </c>
      <c r="R305" s="486" t="e">
        <f>IFERROR(IF(GETPIVOTDATA("合計 / " &amp; $B305,【ピボット】事業所収支!$A$3,"年月",R$13,"事業所",$A$296)=0,#N/A,GETPIVOTDATA("合計 / " &amp; $B305,【ピボット】事業所収支!$A$3,"年月",R$13,"事業所",$A$296)),#N/A)</f>
        <v>#N/A</v>
      </c>
      <c r="S305" s="486" t="e">
        <f>IFERROR(IF(GETPIVOTDATA("合計 / " &amp; $B305,【ピボット】事業所収支!$A$3,"年月",S$13,"事業所",$A$296)=0,#N/A,GETPIVOTDATA("合計 / " &amp; $B305,【ピボット】事業所収支!$A$3,"年月",S$13,"事業所",$A$296)),#N/A)</f>
        <v>#N/A</v>
      </c>
      <c r="T305" s="486" t="e">
        <f>IFERROR(IF(GETPIVOTDATA("合計 / " &amp; $B305,【ピボット】事業所収支!$A$3,"年月",T$13,"事業所",$A$296)=0,#N/A,GETPIVOTDATA("合計 / " &amp; $B305,【ピボット】事業所収支!$A$3,"年月",T$13,"事業所",$A$296)),#N/A)</f>
        <v>#N/A</v>
      </c>
      <c r="U305" s="486" t="e">
        <f>IFERROR(IF(GETPIVOTDATA("合計 / " &amp; $B305,【ピボット】事業所収支!$A$3,"年月",U$13,"事業所",$A$296)=0,#N/A,GETPIVOTDATA("合計 / " &amp; $B305,【ピボット】事業所収支!$A$3,"年月",U$13,"事業所",$A$296)),#N/A)</f>
        <v>#N/A</v>
      </c>
      <c r="V305" s="486" t="e">
        <f>IFERROR(IF(GETPIVOTDATA("合計 / " &amp; $B305,【ピボット】事業所収支!$A$3,"年月",V$13,"事業所",$A$296)=0,#N/A,GETPIVOTDATA("合計 / " &amp; $B305,【ピボット】事業所収支!$A$3,"年月",V$13,"事業所",$A$296)),#N/A)</f>
        <v>#N/A</v>
      </c>
      <c r="W305" s="486" t="e">
        <f>IFERROR(IF(GETPIVOTDATA("合計 / " &amp; $B305,【ピボット】事業所収支!$A$3,"年月",W$13,"事業所",$A$296)=0,#N/A,GETPIVOTDATA("合計 / " &amp; $B305,【ピボット】事業所収支!$A$3,"年月",W$13,"事業所",$A$296)),#N/A)</f>
        <v>#N/A</v>
      </c>
      <c r="X305" s="486" t="e">
        <f>IFERROR(IF(GETPIVOTDATA("合計 / " &amp; $B305,【ピボット】事業所収支!$A$3,"年月",X$13,"事業所",$A$296)=0,#N/A,GETPIVOTDATA("合計 / " &amp; $B305,【ピボット】事業所収支!$A$3,"年月",X$13,"事業所",$A$296)),#N/A)</f>
        <v>#N/A</v>
      </c>
      <c r="Y305" s="486" t="e">
        <f>IFERROR(IF(GETPIVOTDATA("合計 / " &amp; $B305,【ピボット】事業所収支!$A$3,"年月",Y$13,"事業所",$A$296)=0,#N/A,GETPIVOTDATA("合計 / " &amp; $B305,【ピボット】事業所収支!$A$3,"年月",Y$13,"事業所",$A$296)),#N/A)</f>
        <v>#N/A</v>
      </c>
      <c r="Z305" s="486" t="e">
        <f>IFERROR(IF(GETPIVOTDATA("合計 / " &amp; $B305,【ピボット】事業所収支!$A$3,"年月",Z$13,"事業所",$A$296)=0,#N/A,GETPIVOTDATA("合計 / " &amp; $B305,【ピボット】事業所収支!$A$3,"年月",Z$13,"事業所",$A$296)),#N/A)</f>
        <v>#N/A</v>
      </c>
    </row>
    <row r="306" spans="2:27" hidden="1" x14ac:dyDescent="0.15">
      <c r="B306" s="48" t="s">
        <v>30</v>
      </c>
      <c r="C306" s="487">
        <f>IFERROR(IF(GETPIVOTDATA("合計 / " &amp; $B306 &amp;"計",【ピボット】事業所収支!$A$3,"年月",C$13,"事業所",$A$296)=0,#N/A,GETPIVOTDATA("合計 / " &amp; $B306 &amp;"計",【ピボット】事業所収支!$A$3,"年月",C$13,"事業所",$A$296)),#N/A)</f>
        <v>164646</v>
      </c>
      <c r="D306" s="487">
        <f>IFERROR(IF(GETPIVOTDATA("合計 / " &amp; $B306 &amp;"計",【ピボット】事業所収支!$A$3,"年月",D$13,"事業所",$A$296)=0,#N/A,GETPIVOTDATA("合計 / " &amp; $B306 &amp;"計",【ピボット】事業所収支!$A$3,"年月",D$13,"事業所",$A$296)),#N/A)</f>
        <v>54694</v>
      </c>
      <c r="E306" s="487">
        <f>IFERROR(IF(GETPIVOTDATA("合計 / " &amp; $B306 &amp;"計",【ピボット】事業所収支!$A$3,"年月",E$13,"事業所",$A$296)=0,#N/A,GETPIVOTDATA("合計 / " &amp; $B306 &amp;"計",【ピボット】事業所収支!$A$3,"年月",E$13,"事業所",$A$296)),#N/A)</f>
        <v>5420</v>
      </c>
      <c r="F306" s="487">
        <f>IFERROR(IF(GETPIVOTDATA("合計 / " &amp; $B306 &amp;"計",【ピボット】事業所収支!$A$3,"年月",F$13,"事業所",$A$296)=0,#N/A,GETPIVOTDATA("合計 / " &amp; $B306 &amp;"計",【ピボット】事業所収支!$A$3,"年月",F$13,"事業所",$A$296)),#N/A)</f>
        <v>2842</v>
      </c>
      <c r="G306" s="487" t="e">
        <f>IFERROR(IF(GETPIVOTDATA("合計 / " &amp; $B306 &amp;"計",【ピボット】事業所収支!$A$3,"年月",G$13,"事業所",$A$296)=0,#N/A,GETPIVOTDATA("合計 / " &amp; $B306 &amp;"計",【ピボット】事業所収支!$A$3,"年月",G$13,"事業所",$A$296)),#N/A)</f>
        <v>#N/A</v>
      </c>
      <c r="H306" s="487" t="e">
        <f>IFERROR(IF(GETPIVOTDATA("合計 / " &amp; $B306 &amp;"計",【ピボット】事業所収支!$A$3,"年月",H$13,"事業所",$A$296)=0,#N/A,GETPIVOTDATA("合計 / " &amp; $B306 &amp;"計",【ピボット】事業所収支!$A$3,"年月",H$13,"事業所",$A$296)),#N/A)</f>
        <v>#N/A</v>
      </c>
      <c r="I306" s="487" t="e">
        <f>IFERROR(IF(GETPIVOTDATA("合計 / " &amp; $B306 &amp;"計",【ピボット】事業所収支!$A$3,"年月",I$13,"事業所",$A$296)=0,#N/A,GETPIVOTDATA("合計 / " &amp; $B306 &amp;"計",【ピボット】事業所収支!$A$3,"年月",I$13,"事業所",$A$296)),#N/A)</f>
        <v>#N/A</v>
      </c>
      <c r="J306" s="487" t="e">
        <f>IFERROR(IF(GETPIVOTDATA("合計 / " &amp; $B306 &amp;"計",【ピボット】事業所収支!$A$3,"年月",J$13,"事業所",$A$296)=0,#N/A,GETPIVOTDATA("合計 / " &amp; $B306 &amp;"計",【ピボット】事業所収支!$A$3,"年月",J$13,"事業所",$A$296)),#N/A)</f>
        <v>#N/A</v>
      </c>
      <c r="K306" s="487" t="e">
        <f>IFERROR(IF(GETPIVOTDATA("合計 / " &amp; $B306 &amp;"計",【ピボット】事業所収支!$A$3,"年月",K$13,"事業所",$A$296)=0,#N/A,GETPIVOTDATA("合計 / " &amp; $B306 &amp;"計",【ピボット】事業所収支!$A$3,"年月",K$13,"事業所",$A$296)),#N/A)</f>
        <v>#N/A</v>
      </c>
      <c r="L306" s="487" t="e">
        <f>IFERROR(IF(GETPIVOTDATA("合計 / " &amp; $B306 &amp;"計",【ピボット】事業所収支!$A$3,"年月",L$13,"事業所",$A$296)=0,#N/A,GETPIVOTDATA("合計 / " &amp; $B306 &amp;"計",【ピボット】事業所収支!$A$3,"年月",L$13,"事業所",$A$296)),#N/A)</f>
        <v>#N/A</v>
      </c>
      <c r="M306" s="487" t="e">
        <f>IFERROR(IF(GETPIVOTDATA("合計 / " &amp; $B306 &amp;"計",【ピボット】事業所収支!$A$3,"年月",M$13,"事業所",$A$296)=0,#N/A,GETPIVOTDATA("合計 / " &amp; $B306 &amp;"計",【ピボット】事業所収支!$A$3,"年月",M$13,"事業所",$A$296)),#N/A)</f>
        <v>#N/A</v>
      </c>
      <c r="N306" s="487" t="e">
        <f>IFERROR(IF(GETPIVOTDATA("合計 / " &amp; $B306 &amp;"計",【ピボット】事業所収支!$A$3,"年月",N$13,"事業所",$A$296)=0,#N/A,GETPIVOTDATA("合計 / " &amp; $B306 &amp;"計",【ピボット】事業所収支!$A$3,"年月",N$13,"事業所",$A$296)),#N/A)</f>
        <v>#N/A</v>
      </c>
      <c r="O306" s="487" t="e">
        <f>IFERROR(IF(GETPIVOTDATA("合計 / " &amp; $B306 &amp;"計",【ピボット】事業所収支!$A$3,"年月",O$13,"事業所",$A$296)=0,#N/A,GETPIVOTDATA("合計 / " &amp; $B306 &amp;"計",【ピボット】事業所収支!$A$3,"年月",O$13,"事業所",$A$296)),#N/A)</f>
        <v>#N/A</v>
      </c>
      <c r="P306" s="487" t="e">
        <f>IFERROR(IF(GETPIVOTDATA("合計 / " &amp; $B306 &amp;"計",【ピボット】事業所収支!$A$3,"年月",P$13,"事業所",$A$296)=0,#N/A,GETPIVOTDATA("合計 / " &amp; $B306 &amp;"計",【ピボット】事業所収支!$A$3,"年月",P$13,"事業所",$A$296)),#N/A)</f>
        <v>#N/A</v>
      </c>
      <c r="Q306" s="487" t="e">
        <f>IFERROR(IF(GETPIVOTDATA("合計 / " &amp; $B306 &amp;"計",【ピボット】事業所収支!$A$3,"年月",Q$13,"事業所",$A$296)=0,#N/A,GETPIVOTDATA("合計 / " &amp; $B306 &amp;"計",【ピボット】事業所収支!$A$3,"年月",Q$13,"事業所",$A$296)),#N/A)</f>
        <v>#N/A</v>
      </c>
      <c r="R306" s="487" t="e">
        <f>IFERROR(IF(GETPIVOTDATA("合計 / " &amp; $B306 &amp;"計",【ピボット】事業所収支!$A$3,"年月",R$13,"事業所",$A$296)=0,#N/A,GETPIVOTDATA("合計 / " &amp; $B306 &amp;"計",【ピボット】事業所収支!$A$3,"年月",R$13,"事業所",$A$296)),#N/A)</f>
        <v>#N/A</v>
      </c>
      <c r="S306" s="487" t="e">
        <f>IFERROR(IF(GETPIVOTDATA("合計 / " &amp; $B306 &amp;"計",【ピボット】事業所収支!$A$3,"年月",S$13,"事業所",$A$296)=0,#N/A,GETPIVOTDATA("合計 / " &amp; $B306 &amp;"計",【ピボット】事業所収支!$A$3,"年月",S$13,"事業所",$A$296)),#N/A)</f>
        <v>#N/A</v>
      </c>
      <c r="T306" s="487" t="e">
        <f>IFERROR(IF(GETPIVOTDATA("合計 / " &amp; $B306 &amp;"計",【ピボット】事業所収支!$A$3,"年月",T$13,"事業所",$A$296)=0,#N/A,GETPIVOTDATA("合計 / " &amp; $B306 &amp;"計",【ピボット】事業所収支!$A$3,"年月",T$13,"事業所",$A$296)),#N/A)</f>
        <v>#N/A</v>
      </c>
      <c r="U306" s="487" t="e">
        <f>IFERROR(IF(GETPIVOTDATA("合計 / " &amp; $B306 &amp;"計",【ピボット】事業所収支!$A$3,"年月",U$13,"事業所",$A$296)=0,#N/A,GETPIVOTDATA("合計 / " &amp; $B306 &amp;"計",【ピボット】事業所収支!$A$3,"年月",U$13,"事業所",$A$296)),#N/A)</f>
        <v>#N/A</v>
      </c>
      <c r="V306" s="487" t="e">
        <f>IFERROR(IF(GETPIVOTDATA("合計 / " &amp; $B306 &amp;"計",【ピボット】事業所収支!$A$3,"年月",V$13,"事業所",$A$296)=0,#N/A,GETPIVOTDATA("合計 / " &amp; $B306 &amp;"計",【ピボット】事業所収支!$A$3,"年月",V$13,"事業所",$A$296)),#N/A)</f>
        <v>#N/A</v>
      </c>
      <c r="W306" s="487" t="e">
        <f>IFERROR(IF(GETPIVOTDATA("合計 / " &amp; $B306 &amp;"計",【ピボット】事業所収支!$A$3,"年月",W$13,"事業所",$A$296)=0,#N/A,GETPIVOTDATA("合計 / " &amp; $B306 &amp;"計",【ピボット】事業所収支!$A$3,"年月",W$13,"事業所",$A$296)),#N/A)</f>
        <v>#N/A</v>
      </c>
      <c r="X306" s="487" t="e">
        <f>IFERROR(IF(GETPIVOTDATA("合計 / " &amp; $B306 &amp;"計",【ピボット】事業所収支!$A$3,"年月",X$13,"事業所",$A$296)=0,#N/A,GETPIVOTDATA("合計 / " &amp; $B306 &amp;"計",【ピボット】事業所収支!$A$3,"年月",X$13,"事業所",$A$296)),#N/A)</f>
        <v>#N/A</v>
      </c>
      <c r="Y306" s="487" t="e">
        <f>IFERROR(IF(GETPIVOTDATA("合計 / " &amp; $B306 &amp;"計",【ピボット】事業所収支!$A$3,"年月",Y$13,"事業所",$A$296)=0,#N/A,GETPIVOTDATA("合計 / " &amp; $B306 &amp;"計",【ピボット】事業所収支!$A$3,"年月",Y$13,"事業所",$A$296)),#N/A)</f>
        <v>#N/A</v>
      </c>
      <c r="Z306" s="487" t="e">
        <f>IFERROR(IF(GETPIVOTDATA("合計 / " &amp; $B306 &amp;"計",【ピボット】事業所収支!$A$3,"年月",Z$13,"事業所",$A$296)=0,#N/A,GETPIVOTDATA("合計 / " &amp; $B306 &amp;"計",【ピボット】事業所収支!$A$3,"年月",Z$13,"事業所",$A$296)),#N/A)</f>
        <v>#N/A</v>
      </c>
      <c r="AA306" s="4"/>
    </row>
    <row r="307" spans="2:27" hidden="1" x14ac:dyDescent="0.15">
      <c r="B307" s="48" t="s">
        <v>112</v>
      </c>
      <c r="C307" s="487" t="e">
        <v>#N/A</v>
      </c>
      <c r="D307" s="487" t="e">
        <v>#N/A</v>
      </c>
      <c r="E307" s="487" t="e">
        <v>#N/A</v>
      </c>
      <c r="F307" s="487" t="e">
        <v>#N/A</v>
      </c>
      <c r="G307" s="487" t="e">
        <v>#N/A</v>
      </c>
      <c r="H307" s="487" t="e">
        <v>#N/A</v>
      </c>
      <c r="I307" s="487" t="e">
        <v>#N/A</v>
      </c>
      <c r="J307" s="487" t="e">
        <v>#N/A</v>
      </c>
      <c r="K307" s="487" t="e">
        <v>#N/A</v>
      </c>
      <c r="L307" s="487" t="e">
        <v>#N/A</v>
      </c>
      <c r="M307" s="487" t="e">
        <v>#N/A</v>
      </c>
      <c r="N307" s="487" t="e">
        <v>#N/A</v>
      </c>
      <c r="O307" s="487" t="e">
        <v>#N/A</v>
      </c>
      <c r="P307" s="487" t="e">
        <v>#N/A</v>
      </c>
      <c r="Q307" s="487" t="e">
        <v>#N/A</v>
      </c>
      <c r="R307" s="487" t="e">
        <v>#N/A</v>
      </c>
      <c r="S307" s="487" t="e">
        <v>#N/A</v>
      </c>
      <c r="T307" s="487" t="e">
        <v>#N/A</v>
      </c>
      <c r="U307" s="487" t="e">
        <v>#N/A</v>
      </c>
      <c r="V307" s="487" t="e">
        <v>#N/A</v>
      </c>
      <c r="W307" s="487" t="e">
        <v>#N/A</v>
      </c>
      <c r="X307" s="487" t="e">
        <v>#N/A</v>
      </c>
      <c r="Y307" s="487" t="e">
        <v>#N/A</v>
      </c>
      <c r="Z307" s="487" t="e">
        <v>#N/A</v>
      </c>
      <c r="AA307" s="4"/>
    </row>
    <row r="308" spans="2:27" hidden="1" x14ac:dyDescent="0.15">
      <c r="B308" s="8" t="s">
        <v>53</v>
      </c>
      <c r="C308" s="483" t="e">
        <f t="shared" ref="C308:K308" si="24">SUM(C305:C307)</f>
        <v>#N/A</v>
      </c>
      <c r="D308" s="483" t="e">
        <f t="shared" si="24"/>
        <v>#N/A</v>
      </c>
      <c r="E308" s="483" t="e">
        <f t="shared" si="24"/>
        <v>#N/A</v>
      </c>
      <c r="F308" s="483" t="e">
        <f t="shared" si="24"/>
        <v>#N/A</v>
      </c>
      <c r="G308" s="483" t="e">
        <f t="shared" si="24"/>
        <v>#N/A</v>
      </c>
      <c r="H308" s="483" t="e">
        <f t="shared" si="24"/>
        <v>#N/A</v>
      </c>
      <c r="I308" s="483" t="e">
        <f t="shared" si="24"/>
        <v>#N/A</v>
      </c>
      <c r="J308" s="483" t="e">
        <f t="shared" si="24"/>
        <v>#N/A</v>
      </c>
      <c r="K308" s="483" t="e">
        <f t="shared" si="24"/>
        <v>#N/A</v>
      </c>
      <c r="L308" s="483" t="e">
        <f>SUM(L305:L307)</f>
        <v>#N/A</v>
      </c>
      <c r="M308" s="483" t="e">
        <f>SUM(M305:M307)</f>
        <v>#N/A</v>
      </c>
      <c r="N308" s="483" t="e">
        <f>SUM(N305:N307)</f>
        <v>#N/A</v>
      </c>
      <c r="O308" s="483" t="e">
        <f>SUM(O305:O307)</f>
        <v>#N/A</v>
      </c>
      <c r="P308" s="483" t="e">
        <f>SUM(P305:P307)</f>
        <v>#N/A</v>
      </c>
      <c r="Q308" s="483" t="e">
        <f t="shared" ref="Q308:V308" si="25">SUM(Q305:Q307)</f>
        <v>#N/A</v>
      </c>
      <c r="R308" s="483" t="e">
        <f t="shared" si="25"/>
        <v>#N/A</v>
      </c>
      <c r="S308" s="483" t="e">
        <f t="shared" si="25"/>
        <v>#N/A</v>
      </c>
      <c r="T308" s="483" t="e">
        <f t="shared" si="25"/>
        <v>#N/A</v>
      </c>
      <c r="U308" s="483" t="e">
        <f t="shared" si="25"/>
        <v>#N/A</v>
      </c>
      <c r="V308" s="483" t="e">
        <f t="shared" si="25"/>
        <v>#N/A</v>
      </c>
      <c r="W308" s="483" t="e">
        <f>SUM(W305:W307)</f>
        <v>#N/A</v>
      </c>
      <c r="X308" s="483" t="e">
        <f>SUM(X305:X307)</f>
        <v>#N/A</v>
      </c>
      <c r="Y308" s="483" t="e">
        <f>SUM(Y305:Y307)</f>
        <v>#N/A</v>
      </c>
      <c r="Z308" s="483" t="e">
        <f>SUM(Z305:Z307)</f>
        <v>#N/A</v>
      </c>
    </row>
    <row r="309" spans="2:27" hidden="1" x14ac:dyDescent="0.15">
      <c r="B309" s="11" t="s">
        <v>32</v>
      </c>
      <c r="C309" s="488" t="e">
        <f t="shared" ref="C309:K309" si="26">C298-C308</f>
        <v>#N/A</v>
      </c>
      <c r="D309" s="488" t="e">
        <f t="shared" si="26"/>
        <v>#N/A</v>
      </c>
      <c r="E309" s="488" t="e">
        <f t="shared" si="26"/>
        <v>#N/A</v>
      </c>
      <c r="F309" s="488" t="e">
        <f t="shared" si="26"/>
        <v>#N/A</v>
      </c>
      <c r="G309" s="488" t="e">
        <f t="shared" si="26"/>
        <v>#N/A</v>
      </c>
      <c r="H309" s="488" t="e">
        <f t="shared" si="26"/>
        <v>#N/A</v>
      </c>
      <c r="I309" s="488" t="e">
        <f t="shared" si="26"/>
        <v>#N/A</v>
      </c>
      <c r="J309" s="488" t="e">
        <f t="shared" si="26"/>
        <v>#N/A</v>
      </c>
      <c r="K309" s="488" t="e">
        <f t="shared" si="26"/>
        <v>#N/A</v>
      </c>
      <c r="L309" s="488" t="e">
        <f>L298-L308</f>
        <v>#N/A</v>
      </c>
      <c r="M309" s="488" t="e">
        <f>M298-M308</f>
        <v>#N/A</v>
      </c>
      <c r="N309" s="488" t="e">
        <f>N298-N308</f>
        <v>#N/A</v>
      </c>
      <c r="O309" s="488" t="e">
        <f>O298-O308</f>
        <v>#N/A</v>
      </c>
      <c r="P309" s="488" t="e">
        <f>P298-P308</f>
        <v>#N/A</v>
      </c>
      <c r="Q309" s="488" t="e">
        <f t="shared" ref="Q309:V309" si="27">Q298-Q308</f>
        <v>#N/A</v>
      </c>
      <c r="R309" s="488" t="e">
        <f t="shared" si="27"/>
        <v>#N/A</v>
      </c>
      <c r="S309" s="488" t="e">
        <f t="shared" si="27"/>
        <v>#N/A</v>
      </c>
      <c r="T309" s="488" t="e">
        <f t="shared" si="27"/>
        <v>#N/A</v>
      </c>
      <c r="U309" s="488" t="e">
        <f t="shared" si="27"/>
        <v>#N/A</v>
      </c>
      <c r="V309" s="488" t="e">
        <f t="shared" si="27"/>
        <v>#N/A</v>
      </c>
      <c r="W309" s="488" t="e">
        <f>W298-W308</f>
        <v>#N/A</v>
      </c>
      <c r="X309" s="488" t="e">
        <f>X298-X308</f>
        <v>#N/A</v>
      </c>
      <c r="Y309" s="488" t="e">
        <f>Y298-Y308</f>
        <v>#N/A</v>
      </c>
      <c r="Z309" s="488" t="e">
        <f>Z298-Z308</f>
        <v>#N/A</v>
      </c>
      <c r="AA309" s="4" t="e">
        <f>SUM(L309:S309)</f>
        <v>#N/A</v>
      </c>
    </row>
    <row r="310" spans="2:27" hidden="1" x14ac:dyDescent="0.15">
      <c r="B310" s="11"/>
    </row>
    <row r="311" spans="2:27" hidden="1" x14ac:dyDescent="0.15">
      <c r="B311" s="11"/>
    </row>
    <row r="312" spans="2:27" hidden="1" x14ac:dyDescent="0.15">
      <c r="C312" s="489"/>
      <c r="D312" s="489"/>
      <c r="E312" s="489"/>
      <c r="F312" s="489"/>
      <c r="G312" s="489"/>
      <c r="H312" s="489"/>
      <c r="I312" s="489"/>
      <c r="J312" s="489"/>
      <c r="K312" s="489"/>
      <c r="L312" s="489"/>
      <c r="M312" s="489"/>
      <c r="N312" s="489"/>
      <c r="O312" s="489"/>
      <c r="P312" s="489"/>
      <c r="Q312" s="489"/>
      <c r="R312" s="489"/>
      <c r="S312" s="489"/>
      <c r="T312" s="489"/>
      <c r="U312" s="489"/>
      <c r="V312" s="489"/>
      <c r="W312" s="489"/>
      <c r="X312" s="489"/>
      <c r="Y312" s="489"/>
      <c r="Z312" s="489"/>
    </row>
    <row r="313" spans="2:27" hidden="1" x14ac:dyDescent="0.15"/>
    <row r="314" spans="2:27" hidden="1" x14ac:dyDescent="0.15"/>
    <row r="315" spans="2:27" hidden="1" x14ac:dyDescent="0.15"/>
    <row r="316" spans="2:27" hidden="1" x14ac:dyDescent="0.15"/>
    <row r="317" spans="2:27" hidden="1" x14ac:dyDescent="0.15"/>
    <row r="318" spans="2:27" hidden="1" x14ac:dyDescent="0.15"/>
    <row r="319" spans="2:27" hidden="1" x14ac:dyDescent="0.15"/>
    <row r="320" spans="2:27" hidden="1" x14ac:dyDescent="0.15"/>
    <row r="321" hidden="1" x14ac:dyDescent="0.15"/>
    <row r="322" hidden="1" x14ac:dyDescent="0.15"/>
    <row r="323" hidden="1" x14ac:dyDescent="0.15"/>
    <row r="324" hidden="1" x14ac:dyDescent="0.15"/>
    <row r="325" hidden="1" x14ac:dyDescent="0.15"/>
    <row r="326" hidden="1" x14ac:dyDescent="0.15"/>
    <row r="327" hidden="1" x14ac:dyDescent="0.15"/>
    <row r="328" hidden="1" x14ac:dyDescent="0.15"/>
    <row r="329" hidden="1" x14ac:dyDescent="0.15"/>
    <row r="330" hidden="1" x14ac:dyDescent="0.15"/>
    <row r="331" hidden="1" x14ac:dyDescent="0.15"/>
    <row r="332" hidden="1" x14ac:dyDescent="0.15"/>
    <row r="333" hidden="1" x14ac:dyDescent="0.15"/>
    <row r="334" hidden="1" x14ac:dyDescent="0.15"/>
    <row r="335" hidden="1" x14ac:dyDescent="0.15"/>
    <row r="336" hidden="1" x14ac:dyDescent="0.15"/>
    <row r="337" spans="1:27" hidden="1" x14ac:dyDescent="0.15"/>
    <row r="338" spans="1:27" ht="18.75" hidden="1" customHeight="1" outlineLevel="1" x14ac:dyDescent="0.15">
      <c r="A338" t="s">
        <v>748</v>
      </c>
      <c r="B338" s="43" t="str">
        <f>A338 &amp; "収支"</f>
        <v>GH五井収支</v>
      </c>
    </row>
    <row r="339" spans="1:27" ht="14.25" hidden="1" customHeight="1" outlineLevel="1" x14ac:dyDescent="0.15">
      <c r="B339" s="10"/>
      <c r="C339" s="668">
        <f t="shared" ref="C339:Z339" si="28">C$13</f>
        <v>42856</v>
      </c>
      <c r="D339" s="668">
        <f t="shared" si="28"/>
        <v>42887</v>
      </c>
      <c r="E339" s="668">
        <f t="shared" si="28"/>
        <v>42917</v>
      </c>
      <c r="F339" s="668">
        <f t="shared" si="28"/>
        <v>42948</v>
      </c>
      <c r="G339" s="668">
        <f t="shared" si="28"/>
        <v>42979</v>
      </c>
      <c r="H339" s="668">
        <f t="shared" si="28"/>
        <v>43009</v>
      </c>
      <c r="I339" s="668">
        <f t="shared" si="28"/>
        <v>43040</v>
      </c>
      <c r="J339" s="668">
        <f t="shared" si="28"/>
        <v>43070</v>
      </c>
      <c r="K339" s="668">
        <f t="shared" si="28"/>
        <v>43101</v>
      </c>
      <c r="L339" s="668">
        <f t="shared" si="28"/>
        <v>43132</v>
      </c>
      <c r="M339" s="668">
        <f t="shared" si="28"/>
        <v>43160</v>
      </c>
      <c r="N339" s="668">
        <f t="shared" si="28"/>
        <v>43191</v>
      </c>
      <c r="O339" s="668">
        <f t="shared" si="28"/>
        <v>43221</v>
      </c>
      <c r="P339" s="668">
        <f t="shared" si="28"/>
        <v>43252</v>
      </c>
      <c r="Q339" s="668">
        <f t="shared" si="28"/>
        <v>43282</v>
      </c>
      <c r="R339" s="668">
        <f t="shared" si="28"/>
        <v>43313</v>
      </c>
      <c r="S339" s="668">
        <f t="shared" si="28"/>
        <v>43344</v>
      </c>
      <c r="T339" s="668">
        <f t="shared" si="28"/>
        <v>43374</v>
      </c>
      <c r="U339" s="668">
        <f t="shared" si="28"/>
        <v>43405</v>
      </c>
      <c r="V339" s="668">
        <f t="shared" si="28"/>
        <v>43435</v>
      </c>
      <c r="W339" s="668">
        <f t="shared" si="28"/>
        <v>43466</v>
      </c>
      <c r="X339" s="668">
        <f t="shared" si="28"/>
        <v>43497</v>
      </c>
      <c r="Y339" s="668">
        <f t="shared" si="28"/>
        <v>43525</v>
      </c>
      <c r="Z339" s="668">
        <f t="shared" si="28"/>
        <v>43556</v>
      </c>
    </row>
    <row r="340" spans="1:27" ht="14.25" hidden="1" customHeight="1" outlineLevel="1" x14ac:dyDescent="0.15">
      <c r="B340" s="12" t="s">
        <v>21</v>
      </c>
      <c r="C340" s="482">
        <f>IFERROR(IF(GETPIVOTDATA("合計 / " &amp; $B340,【ピボット】事業所収支!$A$3,"年月",C$13,"事業所",$A$338)=0,#N/A,GETPIVOTDATA("合計 / " &amp; $B340,【ピボット】事業所収支!$A$3,"年月",C$13,"事業所",$A$338)),#N/A)</f>
        <v>408033</v>
      </c>
      <c r="D340" s="482">
        <f>IFERROR(IF(GETPIVOTDATA("合計 / " &amp; $B340,【ピボット】事業所収支!$A$3,"年月",D$13,"事業所",$A$338)=0,#N/A,GETPIVOTDATA("合計 / " &amp; $B340,【ピボット】事業所収支!$A$3,"年月",D$13,"事業所",$A$338)),#N/A)</f>
        <v>2686373</v>
      </c>
      <c r="E340" s="482">
        <f>IFERROR(IF(GETPIVOTDATA("合計 / " &amp; $B340,【ピボット】事業所収支!$A$3,"年月",E$13,"事業所",$A$338)=0,#N/A,GETPIVOTDATA("合計 / " &amp; $B340,【ピボット】事業所収支!$A$3,"年月",E$13,"事業所",$A$338)),#N/A)</f>
        <v>1273066</v>
      </c>
      <c r="F340" s="482">
        <f>IFERROR(IF(GETPIVOTDATA("合計 / " &amp; $B340,【ピボット】事業所収支!$A$3,"年月",F$13,"事業所",$A$338)=0,#N/A,GETPIVOTDATA("合計 / " &amp; $B340,【ピボット】事業所収支!$A$3,"年月",F$13,"事業所",$A$338)),#N/A)</f>
        <v>1036363</v>
      </c>
      <c r="G340" s="482">
        <f>IFERROR(IF(GETPIVOTDATA("合計 / " &amp; $B340,【ピボット】事業所収支!$A$3,"年月",G$13,"事業所",$A$338)=0,#N/A,GETPIVOTDATA("合計 / " &amp; $B340,【ピボット】事業所収支!$A$3,"年月",G$13,"事業所",$A$338)),#N/A)</f>
        <v>1236162</v>
      </c>
      <c r="H340" s="482">
        <f>IFERROR(IF(GETPIVOTDATA("合計 / " &amp; $B340,【ピボット】事業所収支!$A$3,"年月",H$13,"事業所",$A$338)=0,#N/A,GETPIVOTDATA("合計 / " &amp; $B340,【ピボット】事業所収支!$A$3,"年月",H$13,"事業所",$A$338)),#N/A)</f>
        <v>1051496</v>
      </c>
      <c r="I340" s="482">
        <f>IFERROR(IF(GETPIVOTDATA("合計 / " &amp; $B340,【ピボット】事業所収支!$A$3,"年月",I$13,"事業所",$A$338)=0,#N/A,GETPIVOTDATA("合計 / " &amp; $B340,【ピボット】事業所収支!$A$3,"年月",I$13,"事業所",$A$338)),#N/A)</f>
        <v>1225409</v>
      </c>
      <c r="J340" s="482">
        <f>IFERROR(IF(GETPIVOTDATA("合計 / " &amp; $B340,【ピボット】事業所収支!$A$3,"年月",J$13,"事業所",$A$338)=0,#N/A,GETPIVOTDATA("合計 / " &amp; $B340,【ピボット】事業所収支!$A$3,"年月",J$13,"事業所",$A$338)),#N/A)</f>
        <v>1036248</v>
      </c>
      <c r="K340" s="482">
        <f>IFERROR(IF(GETPIVOTDATA("合計 / " &amp; $B340,【ピボット】事業所収支!$A$3,"年月",K$13,"事業所",$A$338)=0,#N/A,GETPIVOTDATA("合計 / " &amp; $B340,【ピボット】事業所収支!$A$3,"年月",K$13,"事業所",$A$338)),#N/A)</f>
        <v>809040</v>
      </c>
      <c r="L340" s="482">
        <f>IFERROR(IF(GETPIVOTDATA("合計 / " &amp; $B340,【ピボット】事業所収支!$A$3,"年月",L$13,"事業所",$A$338)=0,#N/A,GETPIVOTDATA("合計 / " &amp; $B340,【ピボット】事業所収支!$A$3,"年月",L$13,"事業所",$A$338)),#N/A)</f>
        <v>741413</v>
      </c>
      <c r="M340" s="482">
        <f>IFERROR(IF(GETPIVOTDATA("合計 / " &amp; $B340,【ピボット】事業所収支!$A$3,"年月",M$13,"事業所",$A$338)=0,#N/A,GETPIVOTDATA("合計 / " &amp; $B340,【ピボット】事業所収支!$A$3,"年月",M$13,"事業所",$A$338)),#N/A)</f>
        <v>820390</v>
      </c>
      <c r="N340" s="482">
        <f>IFERROR(IF(GETPIVOTDATA("合計 / " &amp; $B340,【ピボット】事業所収支!$A$3,"年月",N$13,"事業所",$A$338)=0,#N/A,GETPIVOTDATA("合計 / " &amp; $B340,【ピボット】事業所収支!$A$3,"年月",N$13,"事業所",$A$338)),#N/A)</f>
        <v>859760</v>
      </c>
      <c r="O340" s="482">
        <f>IFERROR(IF(GETPIVOTDATA("合計 / " &amp; $B340,【ピボット】事業所収支!$A$3,"年月",O$13,"事業所",$A$338)=0,#N/A,GETPIVOTDATA("合計 / " &amp; $B340,【ピボット】事業所収支!$A$3,"年月",O$13,"事業所",$A$338)),#N/A)</f>
        <v>1366814</v>
      </c>
      <c r="P340" s="482">
        <f>IFERROR(IF(GETPIVOTDATA("合計 / " &amp; $B340,【ピボット】事業所収支!$A$3,"年月",P$13,"事業所",$A$338)=0,#N/A,GETPIVOTDATA("合計 / " &amp; $B340,【ピボット】事業所収支!$A$3,"年月",P$13,"事業所",$A$338)),#N/A)</f>
        <v>548955</v>
      </c>
      <c r="Q340" s="482">
        <f>IFERROR(IF(GETPIVOTDATA("合計 / " &amp; $B340,【ピボット】事業所収支!$A$3,"年月",Q$13,"事業所",$A$338)=0,#N/A,GETPIVOTDATA("合計 / " &amp; $B340,【ピボット】事業所収支!$A$3,"年月",Q$13,"事業所",$A$338)),#N/A)</f>
        <v>1159974</v>
      </c>
      <c r="R340" s="482">
        <f>IFERROR(IF(GETPIVOTDATA("合計 / " &amp; $B340,【ピボット】事業所収支!$A$3,"年月",R$13,"事業所",$A$338)=0,#N/A,GETPIVOTDATA("合計 / " &amp; $B340,【ピボット】事業所収支!$A$3,"年月",R$13,"事業所",$A$338)),#N/A)</f>
        <v>870546</v>
      </c>
      <c r="S340" s="482">
        <f>IFERROR(IF(GETPIVOTDATA("合計 / " &amp; $B340,【ピボット】事業所収支!$A$3,"年月",S$13,"事業所",$A$338)=0,#N/A,GETPIVOTDATA("合計 / " &amp; $B340,【ピボット】事業所収支!$A$3,"年月",S$13,"事業所",$A$338)),#N/A)</f>
        <v>861636</v>
      </c>
      <c r="T340" s="482">
        <f>IFERROR(IF(GETPIVOTDATA("合計 / " &amp; $B340,【ピボット】事業所収支!$A$3,"年月",T$13,"事業所",$A$338)=0,#N/A,GETPIVOTDATA("合計 / " &amp; $B340,【ピボット】事業所収支!$A$3,"年月",T$13,"事業所",$A$338)),#N/A)</f>
        <v>1139110</v>
      </c>
      <c r="U340" s="482">
        <f>IFERROR(IF(GETPIVOTDATA("合計 / " &amp; $B340,【ピボット】事業所収支!$A$3,"年月",U$13,"事業所",$A$338)=0,#N/A,GETPIVOTDATA("合計 / " &amp; $B340,【ピボット】事業所収支!$A$3,"年月",U$13,"事業所",$A$338)),#N/A)</f>
        <v>1134937</v>
      </c>
      <c r="V340" s="482">
        <f>IFERROR(IF(GETPIVOTDATA("合計 / " &amp; $B340,【ピボット】事業所収支!$A$3,"年月",V$13,"事業所",$A$338)=0,#N/A,GETPIVOTDATA("合計 / " &amp; $B340,【ピボット】事業所収支!$A$3,"年月",V$13,"事業所",$A$338)),#N/A)</f>
        <v>1175963</v>
      </c>
      <c r="W340" s="482">
        <f>IFERROR(IF(GETPIVOTDATA("合計 / " &amp; $B340,【ピボット】事業所収支!$A$3,"年月",W$13,"事業所",$A$338)=0,#N/A,GETPIVOTDATA("合計 / " &amp; $B340,【ピボット】事業所収支!$A$3,"年月",W$13,"事業所",$A$338)),#N/A)</f>
        <v>1272363</v>
      </c>
      <c r="X340" s="482">
        <f>IFERROR(IF(GETPIVOTDATA("合計 / " &amp; $B340,【ピボット】事業所収支!$A$3,"年月",X$13,"事業所",$A$338)=0,#N/A,GETPIVOTDATA("合計 / " &amp; $B340,【ピボット】事業所収支!$A$3,"年月",X$13,"事業所",$A$338)),#N/A)</f>
        <v>1036423</v>
      </c>
      <c r="Y340" s="482">
        <f>IFERROR(IF(GETPIVOTDATA("合計 / " &amp; $B340,【ピボット】事業所収支!$A$3,"年月",Y$13,"事業所",$A$338)=0,#N/A,GETPIVOTDATA("合計 / " &amp; $B340,【ピボット】事業所収支!$A$3,"年月",Y$13,"事業所",$A$338)),#N/A)</f>
        <v>1027444</v>
      </c>
      <c r="Z340" s="482">
        <f>IFERROR(IF(GETPIVOTDATA("合計 / " &amp; $B340,【ピボット】事業所収支!$A$3,"年月",Z$13,"事業所",$A$338)=0,#N/A,GETPIVOTDATA("合計 / " &amp; $B340,【ピボット】事業所収支!$A$3,"年月",Z$13,"事業所",$A$338)),#N/A)</f>
        <v>1077061</v>
      </c>
      <c r="AA340" s="4"/>
    </row>
    <row r="341" spans="1:27" ht="14.25" hidden="1" customHeight="1" outlineLevel="1" x14ac:dyDescent="0.15">
      <c r="B341" s="7" t="s">
        <v>28</v>
      </c>
      <c r="C341" s="483">
        <f>IFERROR(IF(GETPIVOTDATA("合計 / " &amp; $B341,【ピボット】事業所収支!$A$3,"年月",C$13,"事業所",$A$338)=0,#N/A,GETPIVOTDATA("合計 / " &amp; $B341,【ピボット】事業所収支!$A$3,"年月",C$13,"事業所",$A$338)),#N/A)</f>
        <v>314683</v>
      </c>
      <c r="D341" s="483">
        <f>IFERROR(IF(GETPIVOTDATA("合計 / " &amp; $B341,【ピボット】事業所収支!$A$3,"年月",D$13,"事業所",$A$338)=0,#N/A,GETPIVOTDATA("合計 / " &amp; $B341,【ピボット】事業所収支!$A$3,"年月",D$13,"事業所",$A$338)),#N/A)</f>
        <v>374853</v>
      </c>
      <c r="E341" s="483">
        <f>IFERROR(IF(GETPIVOTDATA("合計 / " &amp; $B341,【ピボット】事業所収支!$A$3,"年月",E$13,"事業所",$A$338)=0,#N/A,GETPIVOTDATA("合計 / " &amp; $B341,【ピボット】事業所収支!$A$3,"年月",E$13,"事業所",$A$338)),#N/A)</f>
        <v>366733</v>
      </c>
      <c r="F341" s="483">
        <f>IFERROR(IF(GETPIVOTDATA("合計 / " &amp; $B341,【ピボット】事業所収支!$A$3,"年月",F$13,"事業所",$A$338)=0,#N/A,GETPIVOTDATA("合計 / " &amp; $B341,【ピボット】事業所収支!$A$3,"年月",F$13,"事業所",$A$338)),#N/A)</f>
        <v>343140</v>
      </c>
      <c r="G341" s="483">
        <f>IFERROR(IF(GETPIVOTDATA("合計 / " &amp; $B341,【ピボット】事業所収支!$A$3,"年月",G$13,"事業所",$A$338)=0,#N/A,GETPIVOTDATA("合計 / " &amp; $B341,【ピボット】事業所収支!$A$3,"年月",G$13,"事業所",$A$338)),#N/A)</f>
        <v>339280</v>
      </c>
      <c r="H341" s="483">
        <f>IFERROR(IF(GETPIVOTDATA("合計 / " &amp; $B341,【ピボット】事業所収支!$A$3,"年月",H$13,"事業所",$A$338)=0,#N/A,GETPIVOTDATA("合計 / " &amp; $B341,【ピボット】事業所収支!$A$3,"年月",H$13,"事業所",$A$338)),#N/A)</f>
        <v>361400</v>
      </c>
      <c r="I341" s="483">
        <f>IFERROR(IF(GETPIVOTDATA("合計 / " &amp; $B341,【ピボット】事業所収支!$A$3,"年月",I$13,"事業所",$A$338)=0,#N/A,GETPIVOTDATA("合計 / " &amp; $B341,【ピボット】事業所収支!$A$3,"年月",I$13,"事業所",$A$338)),#N/A)</f>
        <v>344537</v>
      </c>
      <c r="J341" s="483">
        <f>IFERROR(IF(GETPIVOTDATA("合計 / " &amp; $B341,【ピボット】事業所収支!$A$3,"年月",J$13,"事業所",$A$338)=0,#N/A,GETPIVOTDATA("合計 / " &amp; $B341,【ピボット】事業所収支!$A$3,"年月",J$13,"事業所",$A$338)),#N/A)</f>
        <v>371908</v>
      </c>
      <c r="K341" s="483">
        <f>IFERROR(IF(GETPIVOTDATA("合計 / " &amp; $B341,【ピボット】事業所収支!$A$3,"年月",K$13,"事業所",$A$338)=0,#N/A,GETPIVOTDATA("合計 / " &amp; $B341,【ピボット】事業所収支!$A$3,"年月",K$13,"事業所",$A$338)),#N/A)</f>
        <v>367250</v>
      </c>
      <c r="L341" s="483">
        <f>IFERROR(IF(GETPIVOTDATA("合計 / " &amp; $B341,【ピボット】事業所収支!$A$3,"年月",L$13,"事業所",$A$338)=0,#N/A,GETPIVOTDATA("合計 / " &amp; $B341,【ピボット】事業所収支!$A$3,"年月",L$13,"事業所",$A$338)),#N/A)</f>
        <v>309333</v>
      </c>
      <c r="M341" s="483">
        <f>IFERROR(IF(GETPIVOTDATA("合計 / " &amp; $B341,【ピボット】事業所収支!$A$3,"年月",M$13,"事業所",$A$338)=0,#N/A,GETPIVOTDATA("合計 / " &amp; $B341,【ピボット】事業所収支!$A$3,"年月",M$13,"事業所",$A$338)),#N/A)</f>
        <v>344078</v>
      </c>
      <c r="N341" s="483">
        <f>IFERROR(IF(GETPIVOTDATA("合計 / " &amp; $B341,【ピボット】事業所収支!$A$3,"年月",N$13,"事業所",$A$338)=0,#N/A,GETPIVOTDATA("合計 / " &amp; $B341,【ピボット】事業所収支!$A$3,"年月",N$13,"事業所",$A$338)),#N/A)</f>
        <v>327918</v>
      </c>
      <c r="O341" s="483">
        <f>IFERROR(IF(GETPIVOTDATA("合計 / " &amp; $B341,【ピボット】事業所収支!$A$3,"年月",O$13,"事業所",$A$338)=0,#N/A,GETPIVOTDATA("合計 / " &amp; $B341,【ピボット】事業所収支!$A$3,"年月",O$13,"事業所",$A$338)),#N/A)</f>
        <v>339463</v>
      </c>
      <c r="P341" s="483">
        <f>IFERROR(IF(GETPIVOTDATA("合計 / " &amp; $B341,【ピボット】事業所収支!$A$3,"年月",P$13,"事業所",$A$338)=0,#N/A,GETPIVOTDATA("合計 / " &amp; $B341,【ピボット】事業所収支!$A$3,"年月",P$13,"事業所",$A$338)),#N/A)</f>
        <v>340543</v>
      </c>
      <c r="Q341" s="483">
        <f>IFERROR(IF(GETPIVOTDATA("合計 / " &amp; $B341,【ピボット】事業所収支!$A$3,"年月",Q$13,"事業所",$A$338)=0,#N/A,GETPIVOTDATA("合計 / " &amp; $B341,【ピボット】事業所収支!$A$3,"年月",Q$13,"事業所",$A$338)),#N/A)</f>
        <v>348048</v>
      </c>
      <c r="R341" s="483">
        <f>IFERROR(IF(GETPIVOTDATA("合計 / " &amp; $B341,【ピボット】事業所収支!$A$3,"年月",R$13,"事業所",$A$338)=0,#N/A,GETPIVOTDATA("合計 / " &amp; $B341,【ピボット】事業所収支!$A$3,"年月",R$13,"事業所",$A$338)),#N/A)</f>
        <v>326363</v>
      </c>
      <c r="S341" s="483">
        <f>IFERROR(IF(GETPIVOTDATA("合計 / " &amp; $B341,【ピボット】事業所収支!$A$3,"年月",S$13,"事業所",$A$338)=0,#N/A,GETPIVOTDATA("合計 / " &amp; $B341,【ピボット】事業所収支!$A$3,"年月",S$13,"事業所",$A$338)),#N/A)</f>
        <v>348020</v>
      </c>
      <c r="T341" s="483">
        <f>IFERROR(IF(GETPIVOTDATA("合計 / " &amp; $B341,【ピボット】事業所収支!$A$3,"年月",T$13,"事業所",$A$338)=0,#N/A,GETPIVOTDATA("合計 / " &amp; $B341,【ピボット】事業所収支!$A$3,"年月",T$13,"事業所",$A$338)),#N/A)</f>
        <v>366703</v>
      </c>
      <c r="U341" s="483">
        <f>IFERROR(IF(GETPIVOTDATA("合計 / " &amp; $B341,【ピボット】事業所収支!$A$3,"年月",U$13,"事業所",$A$338)=0,#N/A,GETPIVOTDATA("合計 / " &amp; $B341,【ピボット】事業所収支!$A$3,"年月",U$13,"事業所",$A$338)),#N/A)</f>
        <v>380218</v>
      </c>
      <c r="V341" s="483">
        <f>IFERROR(IF(GETPIVOTDATA("合計 / " &amp; $B341,【ピボット】事業所収支!$A$3,"年月",V$13,"事業所",$A$338)=0,#N/A,GETPIVOTDATA("合計 / " &amp; $B341,【ピボット】事業所収支!$A$3,"年月",V$13,"事業所",$A$338)),#N/A)</f>
        <v>401485</v>
      </c>
      <c r="W341" s="483">
        <f>IFERROR(IF(GETPIVOTDATA("合計 / " &amp; $B341,【ピボット】事業所収支!$A$3,"年月",W$13,"事業所",$A$338)=0,#N/A,GETPIVOTDATA("合計 / " &amp; $B341,【ピボット】事業所収支!$A$3,"年月",W$13,"事業所",$A$338)),#N/A)</f>
        <v>370310</v>
      </c>
      <c r="X341" s="483">
        <f>IFERROR(IF(GETPIVOTDATA("合計 / " &amp; $B341,【ピボット】事業所収支!$A$3,"年月",X$13,"事業所",$A$338)=0,#N/A,GETPIVOTDATA("合計 / " &amp; $B341,【ピボット】事業所収支!$A$3,"年月",X$13,"事業所",$A$338)),#N/A)</f>
        <v>302020</v>
      </c>
      <c r="Y341" s="483">
        <f>IFERROR(IF(GETPIVOTDATA("合計 / " &amp; $B341,【ピボット】事業所収支!$A$3,"年月",Y$13,"事業所",$A$338)=0,#N/A,GETPIVOTDATA("合計 / " &amp; $B341,【ピボット】事業所収支!$A$3,"年月",Y$13,"事業所",$A$338)),#N/A)</f>
        <v>285393</v>
      </c>
      <c r="Z341" s="483">
        <f>IFERROR(IF(GETPIVOTDATA("合計 / " &amp; $B341,【ピボット】事業所収支!$A$3,"年月",Z$13,"事業所",$A$338)=0,#N/A,GETPIVOTDATA("合計 / " &amp; $B341,【ピボット】事業所収支!$A$3,"年月",Z$13,"事業所",$A$338)),#N/A)</f>
        <v>318565</v>
      </c>
    </row>
    <row r="342" spans="1:27" ht="14.25" hidden="1" customHeight="1" outlineLevel="1" x14ac:dyDescent="0.15">
      <c r="B342" s="8" t="s">
        <v>27</v>
      </c>
      <c r="C342" s="483">
        <f>IFERROR(IF(GETPIVOTDATA("合計 / " &amp; $B342,【ピボット】事業所収支!$A$3,"年月",C$13,"事業所",$A$338)=0,#N/A,GETPIVOTDATA("合計 / " &amp; $B342,【ピボット】事業所収支!$A$3,"年月",C$13,"事業所",$A$338)),#N/A)</f>
        <v>50000</v>
      </c>
      <c r="D342" s="483">
        <f>IFERROR(IF(GETPIVOTDATA("合計 / " &amp; $B342,【ピボット】事業所収支!$A$3,"年月",D$13,"事業所",$A$338)=0,#N/A,GETPIVOTDATA("合計 / " &amp; $B342,【ピボット】事業所収支!$A$3,"年月",D$13,"事業所",$A$338)),#N/A)</f>
        <v>50000</v>
      </c>
      <c r="E342" s="483">
        <f>IFERROR(IF(GETPIVOTDATA("合計 / " &amp; $B342,【ピボット】事業所収支!$A$3,"年月",E$13,"事業所",$A$338)=0,#N/A,GETPIVOTDATA("合計 / " &amp; $B342,【ピボット】事業所収支!$A$3,"年月",E$13,"事業所",$A$338)),#N/A)</f>
        <v>50000</v>
      </c>
      <c r="F342" s="483">
        <f>IFERROR(IF(GETPIVOTDATA("合計 / " &amp; $B342,【ピボット】事業所収支!$A$3,"年月",F$13,"事業所",$A$338)=0,#N/A,GETPIVOTDATA("合計 / " &amp; $B342,【ピボット】事業所収支!$A$3,"年月",F$13,"事業所",$A$338)),#N/A)</f>
        <v>50000</v>
      </c>
      <c r="G342" s="483">
        <f>IFERROR(IF(GETPIVOTDATA("合計 / " &amp; $B342,【ピボット】事業所収支!$A$3,"年月",G$13,"事業所",$A$338)=0,#N/A,GETPIVOTDATA("合計 / " &amp; $B342,【ピボット】事業所収支!$A$3,"年月",G$13,"事業所",$A$338)),#N/A)</f>
        <v>50000</v>
      </c>
      <c r="H342" s="483">
        <f>IFERROR(IF(GETPIVOTDATA("合計 / " &amp; $B342,【ピボット】事業所収支!$A$3,"年月",H$13,"事業所",$A$338)=0,#N/A,GETPIVOTDATA("合計 / " &amp; $B342,【ピボット】事業所収支!$A$3,"年月",H$13,"事業所",$A$338)),#N/A)</f>
        <v>50000</v>
      </c>
      <c r="I342" s="483">
        <f>IFERROR(IF(GETPIVOTDATA("合計 / " &amp; $B342,【ピボット】事業所収支!$A$3,"年月",I$13,"事業所",$A$338)=0,#N/A,GETPIVOTDATA("合計 / " &amp; $B342,【ピボット】事業所収支!$A$3,"年月",I$13,"事業所",$A$338)),#N/A)</f>
        <v>50000</v>
      </c>
      <c r="J342" s="483">
        <f>IFERROR(IF(GETPIVOTDATA("合計 / " &amp; $B342,【ピボット】事業所収支!$A$3,"年月",J$13,"事業所",$A$338)=0,#N/A,GETPIVOTDATA("合計 / " &amp; $B342,【ピボット】事業所収支!$A$3,"年月",J$13,"事業所",$A$338)),#N/A)</f>
        <v>50000</v>
      </c>
      <c r="K342" s="483" t="e">
        <f>IFERROR(IF(GETPIVOTDATA("合計 / " &amp; $B342,【ピボット】事業所収支!$A$3,"年月",K$13,"事業所",$A$338)=0,#N/A,GETPIVOTDATA("合計 / " &amp; $B342,【ピボット】事業所収支!$A$3,"年月",K$13,"事業所",$A$338)),#N/A)</f>
        <v>#N/A</v>
      </c>
      <c r="L342" s="483" t="e">
        <f>IFERROR(IF(GETPIVOTDATA("合計 / " &amp; $B342,【ピボット】事業所収支!$A$3,"年月",L$13,"事業所",$A$338)=0,#N/A,GETPIVOTDATA("合計 / " &amp; $B342,【ピボット】事業所収支!$A$3,"年月",L$13,"事業所",$A$338)),#N/A)</f>
        <v>#N/A</v>
      </c>
      <c r="M342" s="483" t="e">
        <f>IFERROR(IF(GETPIVOTDATA("合計 / " &amp; $B342,【ピボット】事業所収支!$A$3,"年月",M$13,"事業所",$A$338)=0,#N/A,GETPIVOTDATA("合計 / " &amp; $B342,【ピボット】事業所収支!$A$3,"年月",M$13,"事業所",$A$338)),#N/A)</f>
        <v>#N/A</v>
      </c>
      <c r="N342" s="483" t="e">
        <f>IFERROR(IF(GETPIVOTDATA("合計 / " &amp; $B342,【ピボット】事業所収支!$A$3,"年月",N$13,"事業所",$A$338)=0,#N/A,GETPIVOTDATA("合計 / " &amp; $B342,【ピボット】事業所収支!$A$3,"年月",N$13,"事業所",$A$338)),#N/A)</f>
        <v>#N/A</v>
      </c>
      <c r="O342" s="483" t="e">
        <f>IFERROR(IF(GETPIVOTDATA("合計 / " &amp; $B342,【ピボット】事業所収支!$A$3,"年月",O$13,"事業所",$A$338)=0,#N/A,GETPIVOTDATA("合計 / " &amp; $B342,【ピボット】事業所収支!$A$3,"年月",O$13,"事業所",$A$338)),#N/A)</f>
        <v>#N/A</v>
      </c>
      <c r="P342" s="483" t="e">
        <f>IFERROR(IF(GETPIVOTDATA("合計 / " &amp; $B342,【ピボット】事業所収支!$A$3,"年月",P$13,"事業所",$A$338)=0,#N/A,GETPIVOTDATA("合計 / " &amp; $B342,【ピボット】事業所収支!$A$3,"年月",P$13,"事業所",$A$338)),#N/A)</f>
        <v>#N/A</v>
      </c>
      <c r="Q342" s="483" t="e">
        <f>IFERROR(IF(GETPIVOTDATA("合計 / " &amp; $B342,【ピボット】事業所収支!$A$3,"年月",Q$13,"事業所",$A$338)=0,#N/A,GETPIVOTDATA("合計 / " &amp; $B342,【ピボット】事業所収支!$A$3,"年月",Q$13,"事業所",$A$338)),#N/A)</f>
        <v>#N/A</v>
      </c>
      <c r="R342" s="483" t="e">
        <f>IFERROR(IF(GETPIVOTDATA("合計 / " &amp; $B342,【ピボット】事業所収支!$A$3,"年月",R$13,"事業所",$A$338)=0,#N/A,GETPIVOTDATA("合計 / " &amp; $B342,【ピボット】事業所収支!$A$3,"年月",R$13,"事業所",$A$338)),#N/A)</f>
        <v>#N/A</v>
      </c>
      <c r="S342" s="483" t="e">
        <f>IFERROR(IF(GETPIVOTDATA("合計 / " &amp; $B342,【ピボット】事業所収支!$A$3,"年月",S$13,"事業所",$A$338)=0,#N/A,GETPIVOTDATA("合計 / " &amp; $B342,【ピボット】事業所収支!$A$3,"年月",S$13,"事業所",$A$338)),#N/A)</f>
        <v>#N/A</v>
      </c>
      <c r="T342" s="483" t="e">
        <f>IFERROR(IF(GETPIVOTDATA("合計 / " &amp; $B342,【ピボット】事業所収支!$A$3,"年月",T$13,"事業所",$A$338)=0,#N/A,GETPIVOTDATA("合計 / " &amp; $B342,【ピボット】事業所収支!$A$3,"年月",T$13,"事業所",$A$338)),#N/A)</f>
        <v>#N/A</v>
      </c>
      <c r="U342" s="483" t="e">
        <f>IFERROR(IF(GETPIVOTDATA("合計 / " &amp; $B342,【ピボット】事業所収支!$A$3,"年月",U$13,"事業所",$A$338)=0,#N/A,GETPIVOTDATA("合計 / " &amp; $B342,【ピボット】事業所収支!$A$3,"年月",U$13,"事業所",$A$338)),#N/A)</f>
        <v>#N/A</v>
      </c>
      <c r="V342" s="483" t="e">
        <f>IFERROR(IF(GETPIVOTDATA("合計 / " &amp; $B342,【ピボット】事業所収支!$A$3,"年月",V$13,"事業所",$A$338)=0,#N/A,GETPIVOTDATA("合計 / " &amp; $B342,【ピボット】事業所収支!$A$3,"年月",V$13,"事業所",$A$338)),#N/A)</f>
        <v>#N/A</v>
      </c>
      <c r="W342" s="483" t="e">
        <f>IFERROR(IF(GETPIVOTDATA("合計 / " &amp; $B342,【ピボット】事業所収支!$A$3,"年月",W$13,"事業所",$A$338)=0,#N/A,GETPIVOTDATA("合計 / " &amp; $B342,【ピボット】事業所収支!$A$3,"年月",W$13,"事業所",$A$338)),#N/A)</f>
        <v>#N/A</v>
      </c>
      <c r="X342" s="483" t="e">
        <f>IFERROR(IF(GETPIVOTDATA("合計 / " &amp; $B342,【ピボット】事業所収支!$A$3,"年月",X$13,"事業所",$A$338)=0,#N/A,GETPIVOTDATA("合計 / " &amp; $B342,【ピボット】事業所収支!$A$3,"年月",X$13,"事業所",$A$338)),#N/A)</f>
        <v>#N/A</v>
      </c>
      <c r="Y342" s="483" t="e">
        <f>IFERROR(IF(GETPIVOTDATA("合計 / " &amp; $B342,【ピボット】事業所収支!$A$3,"年月",Y$13,"事業所",$A$338)=0,#N/A,GETPIVOTDATA("合計 / " &amp; $B342,【ピボット】事業所収支!$A$3,"年月",Y$13,"事業所",$A$338)),#N/A)</f>
        <v>#N/A</v>
      </c>
      <c r="Z342" s="483" t="e">
        <f>IFERROR(IF(GETPIVOTDATA("合計 / " &amp; $B342,【ピボット】事業所収支!$A$3,"年月",Z$13,"事業所",$A$338)=0,#N/A,GETPIVOTDATA("合計 / " &amp; $B342,【ピボット】事業所収支!$A$3,"年月",Z$13,"事業所",$A$338)),#N/A)</f>
        <v>#N/A</v>
      </c>
    </row>
    <row r="343" spans="1:27" ht="14.25" hidden="1" customHeight="1" outlineLevel="1" x14ac:dyDescent="0.15">
      <c r="B343" s="8" t="s">
        <v>60</v>
      </c>
      <c r="C343" s="483" t="e">
        <f>IFERROR(IF(GETPIVOTDATA("合計 / " &amp; $B343,【ピボット】事業所収支!$A$3,"年月",C$13,"事業所",$A$338)=0,#N/A,GETPIVOTDATA("合計 / " &amp; $B343,【ピボット】事業所収支!$A$3,"年月",C$13,"事業所",$A$338)),#N/A)</f>
        <v>#N/A</v>
      </c>
      <c r="D343" s="483" t="e">
        <f>IFERROR(IF(GETPIVOTDATA("合計 / " &amp; $B343,【ピボット】事業所収支!$A$3,"年月",D$13,"事業所",$A$338)=0,#N/A,GETPIVOTDATA("合計 / " &amp; $B343,【ピボット】事業所収支!$A$3,"年月",D$13,"事業所",$A$338)),#N/A)</f>
        <v>#N/A</v>
      </c>
      <c r="E343" s="483" t="e">
        <f>IFERROR(IF(GETPIVOTDATA("合計 / " &amp; $B343,【ピボット】事業所収支!$A$3,"年月",E$13,"事業所",$A$338)=0,#N/A,GETPIVOTDATA("合計 / " &amp; $B343,【ピボット】事業所収支!$A$3,"年月",E$13,"事業所",$A$338)),#N/A)</f>
        <v>#N/A</v>
      </c>
      <c r="F343" s="483" t="e">
        <f>IFERROR(IF(GETPIVOTDATA("合計 / " &amp; $B343,【ピボット】事業所収支!$A$3,"年月",F$13,"事業所",$A$338)=0,#N/A,GETPIVOTDATA("合計 / " &amp; $B343,【ピボット】事業所収支!$A$3,"年月",F$13,"事業所",$A$338)),#N/A)</f>
        <v>#N/A</v>
      </c>
      <c r="G343" s="483" t="e">
        <f>IFERROR(IF(GETPIVOTDATA("合計 / " &amp; $B343,【ピボット】事業所収支!$A$3,"年月",G$13,"事業所",$A$338)=0,#N/A,GETPIVOTDATA("合計 / " &amp; $B343,【ピボット】事業所収支!$A$3,"年月",G$13,"事業所",$A$338)),#N/A)</f>
        <v>#N/A</v>
      </c>
      <c r="H343" s="483" t="e">
        <f>IFERROR(IF(GETPIVOTDATA("合計 / " &amp; $B343,【ピボット】事業所収支!$A$3,"年月",H$13,"事業所",$A$338)=0,#N/A,GETPIVOTDATA("合計 / " &amp; $B343,【ピボット】事業所収支!$A$3,"年月",H$13,"事業所",$A$338)),#N/A)</f>
        <v>#N/A</v>
      </c>
      <c r="I343" s="483" t="e">
        <f>IFERROR(IF(GETPIVOTDATA("合計 / " &amp; $B343,【ピボット】事業所収支!$A$3,"年月",I$13,"事業所",$A$338)=0,#N/A,GETPIVOTDATA("合計 / " &amp; $B343,【ピボット】事業所収支!$A$3,"年月",I$13,"事業所",$A$338)),#N/A)</f>
        <v>#N/A</v>
      </c>
      <c r="J343" s="483" t="e">
        <f>IFERROR(IF(GETPIVOTDATA("合計 / " &amp; $B343,【ピボット】事業所収支!$A$3,"年月",J$13,"事業所",$A$338)=0,#N/A,GETPIVOTDATA("合計 / " &amp; $B343,【ピボット】事業所収支!$A$3,"年月",J$13,"事業所",$A$338)),#N/A)</f>
        <v>#N/A</v>
      </c>
      <c r="K343" s="483" t="e">
        <f>IFERROR(IF(GETPIVOTDATA("合計 / " &amp; $B343,【ピボット】事業所収支!$A$3,"年月",K$13,"事業所",$A$338)=0,#N/A,GETPIVOTDATA("合計 / " &amp; $B343,【ピボット】事業所収支!$A$3,"年月",K$13,"事業所",$A$338)),#N/A)</f>
        <v>#N/A</v>
      </c>
      <c r="L343" s="483" t="e">
        <f>IFERROR(IF(GETPIVOTDATA("合計 / " &amp; $B343,【ピボット】事業所収支!$A$3,"年月",L$13,"事業所",$A$338)=0,#N/A,GETPIVOTDATA("合計 / " &amp; $B343,【ピボット】事業所収支!$A$3,"年月",L$13,"事業所",$A$338)),#N/A)</f>
        <v>#N/A</v>
      </c>
      <c r="M343" s="483" t="e">
        <f>IFERROR(IF(GETPIVOTDATA("合計 / " &amp; $B343,【ピボット】事業所収支!$A$3,"年月",M$13,"事業所",$A$338)=0,#N/A,GETPIVOTDATA("合計 / " &amp; $B343,【ピボット】事業所収支!$A$3,"年月",M$13,"事業所",$A$338)),#N/A)</f>
        <v>#N/A</v>
      </c>
      <c r="N343" s="483" t="e">
        <f>IFERROR(IF(GETPIVOTDATA("合計 / " &amp; $B343,【ピボット】事業所収支!$A$3,"年月",N$13,"事業所",$A$338)=0,#N/A,GETPIVOTDATA("合計 / " &amp; $B343,【ピボット】事業所収支!$A$3,"年月",N$13,"事業所",$A$338)),#N/A)</f>
        <v>#N/A</v>
      </c>
      <c r="O343" s="483" t="e">
        <f>IFERROR(IF(GETPIVOTDATA("合計 / " &amp; $B343,【ピボット】事業所収支!$A$3,"年月",O$13,"事業所",$A$338)=0,#N/A,GETPIVOTDATA("合計 / " &amp; $B343,【ピボット】事業所収支!$A$3,"年月",O$13,"事業所",$A$338)),#N/A)</f>
        <v>#N/A</v>
      </c>
      <c r="P343" s="483" t="e">
        <f>IFERROR(IF(GETPIVOTDATA("合計 / " &amp; $B343,【ピボット】事業所収支!$A$3,"年月",P$13,"事業所",$A$338)=0,#N/A,GETPIVOTDATA("合計 / " &amp; $B343,【ピボット】事業所収支!$A$3,"年月",P$13,"事業所",$A$338)),#N/A)</f>
        <v>#N/A</v>
      </c>
      <c r="Q343" s="483" t="e">
        <f>IFERROR(IF(GETPIVOTDATA("合計 / " &amp; $B343,【ピボット】事業所収支!$A$3,"年月",Q$13,"事業所",$A$338)=0,#N/A,GETPIVOTDATA("合計 / " &amp; $B343,【ピボット】事業所収支!$A$3,"年月",Q$13,"事業所",$A$338)),#N/A)</f>
        <v>#N/A</v>
      </c>
      <c r="R343" s="483" t="e">
        <f>IFERROR(IF(GETPIVOTDATA("合計 / " &amp; $B343,【ピボット】事業所収支!$A$3,"年月",R$13,"事業所",$A$338)=0,#N/A,GETPIVOTDATA("合計 / " &amp; $B343,【ピボット】事業所収支!$A$3,"年月",R$13,"事業所",$A$338)),#N/A)</f>
        <v>#N/A</v>
      </c>
      <c r="S343" s="483" t="e">
        <f>IFERROR(IF(GETPIVOTDATA("合計 / " &amp; $B343,【ピボット】事業所収支!$A$3,"年月",S$13,"事業所",$A$338)=0,#N/A,GETPIVOTDATA("合計 / " &amp; $B343,【ピボット】事業所収支!$A$3,"年月",S$13,"事業所",$A$338)),#N/A)</f>
        <v>#N/A</v>
      </c>
      <c r="T343" s="483" t="e">
        <f>IFERROR(IF(GETPIVOTDATA("合計 / " &amp; $B343,【ピボット】事業所収支!$A$3,"年月",T$13,"事業所",$A$338)=0,#N/A,GETPIVOTDATA("合計 / " &amp; $B343,【ピボット】事業所収支!$A$3,"年月",T$13,"事業所",$A$338)),#N/A)</f>
        <v>#N/A</v>
      </c>
      <c r="U343" s="483" t="e">
        <f>IFERROR(IF(GETPIVOTDATA("合計 / " &amp; $B343,【ピボット】事業所収支!$A$3,"年月",U$13,"事業所",$A$338)=0,#N/A,GETPIVOTDATA("合計 / " &amp; $B343,【ピボット】事業所収支!$A$3,"年月",U$13,"事業所",$A$338)),#N/A)</f>
        <v>#N/A</v>
      </c>
      <c r="V343" s="483" t="e">
        <f>IFERROR(IF(GETPIVOTDATA("合計 / " &amp; $B343,【ピボット】事業所収支!$A$3,"年月",V$13,"事業所",$A$338)=0,#N/A,GETPIVOTDATA("合計 / " &amp; $B343,【ピボット】事業所収支!$A$3,"年月",V$13,"事業所",$A$338)),#N/A)</f>
        <v>#N/A</v>
      </c>
      <c r="W343" s="483" t="e">
        <f>IFERROR(IF(GETPIVOTDATA("合計 / " &amp; $B343,【ピボット】事業所収支!$A$3,"年月",W$13,"事業所",$A$338)=0,#N/A,GETPIVOTDATA("合計 / " &amp; $B343,【ピボット】事業所収支!$A$3,"年月",W$13,"事業所",$A$338)),#N/A)</f>
        <v>#N/A</v>
      </c>
      <c r="X343" s="483" t="e">
        <f>IFERROR(IF(GETPIVOTDATA("合計 / " &amp; $B343,【ピボット】事業所収支!$A$3,"年月",X$13,"事業所",$A$338)=0,#N/A,GETPIVOTDATA("合計 / " &amp; $B343,【ピボット】事業所収支!$A$3,"年月",X$13,"事業所",$A$338)),#N/A)</f>
        <v>#N/A</v>
      </c>
      <c r="Y343" s="483" t="e">
        <f>IFERROR(IF(GETPIVOTDATA("合計 / " &amp; $B343,【ピボット】事業所収支!$A$3,"年月",Y$13,"事業所",$A$338)=0,#N/A,GETPIVOTDATA("合計 / " &amp; $B343,【ピボット】事業所収支!$A$3,"年月",Y$13,"事業所",$A$338)),#N/A)</f>
        <v>#N/A</v>
      </c>
      <c r="Z343" s="483" t="e">
        <f>IFERROR(IF(GETPIVOTDATA("合計 / " &amp; $B343,【ピボット】事業所収支!$A$3,"年月",Z$13,"事業所",$A$338)=0,#N/A,GETPIVOTDATA("合計 / " &amp; $B343,【ピボット】事業所収支!$A$3,"年月",Z$13,"事業所",$A$338)),#N/A)</f>
        <v>#N/A</v>
      </c>
    </row>
    <row r="344" spans="1:27" ht="14.25" hidden="1" customHeight="1" outlineLevel="1" x14ac:dyDescent="0.15">
      <c r="B344" s="8" t="s">
        <v>50</v>
      </c>
      <c r="C344" s="483" t="e">
        <f>IFERROR(IF(GETPIVOTDATA("合計 / " &amp; $B344,【ピボット】事業所収支!$A$3,"年月",C$13,"事業所",$A$338)=0,#N/A,GETPIVOTDATA("合計 / " &amp; $B344,【ピボット】事業所収支!$A$3,"年月",C$13,"事業所",$A$338)),#N/A)</f>
        <v>#N/A</v>
      </c>
      <c r="D344" s="483" t="e">
        <f>IFERROR(IF(GETPIVOTDATA("合計 / " &amp; $B344,【ピボット】事業所収支!$A$3,"年月",D$13,"事業所",$A$338)=0,#N/A,GETPIVOTDATA("合計 / " &amp; $B344,【ピボット】事業所収支!$A$3,"年月",D$13,"事業所",$A$338)),#N/A)</f>
        <v>#N/A</v>
      </c>
      <c r="E344" s="483" t="e">
        <f>IFERROR(IF(GETPIVOTDATA("合計 / " &amp; $B344,【ピボット】事業所収支!$A$3,"年月",E$13,"事業所",$A$338)=0,#N/A,GETPIVOTDATA("合計 / " &amp; $B344,【ピボット】事業所収支!$A$3,"年月",E$13,"事業所",$A$338)),#N/A)</f>
        <v>#N/A</v>
      </c>
      <c r="F344" s="483" t="e">
        <f>IFERROR(IF(GETPIVOTDATA("合計 / " &amp; $B344,【ピボット】事業所収支!$A$3,"年月",F$13,"事業所",$A$338)=0,#N/A,GETPIVOTDATA("合計 / " &amp; $B344,【ピボット】事業所収支!$A$3,"年月",F$13,"事業所",$A$338)),#N/A)</f>
        <v>#N/A</v>
      </c>
      <c r="G344" s="483" t="e">
        <f>IFERROR(IF(GETPIVOTDATA("合計 / " &amp; $B344,【ピボット】事業所収支!$A$3,"年月",G$13,"事業所",$A$338)=0,#N/A,GETPIVOTDATA("合計 / " &amp; $B344,【ピボット】事業所収支!$A$3,"年月",G$13,"事業所",$A$338)),#N/A)</f>
        <v>#N/A</v>
      </c>
      <c r="H344" s="483" t="e">
        <f>IFERROR(IF(GETPIVOTDATA("合計 / " &amp; $B344,【ピボット】事業所収支!$A$3,"年月",H$13,"事業所",$A$338)=0,#N/A,GETPIVOTDATA("合計 / " &amp; $B344,【ピボット】事業所収支!$A$3,"年月",H$13,"事業所",$A$338)),#N/A)</f>
        <v>#N/A</v>
      </c>
      <c r="I344" s="483" t="e">
        <f>IFERROR(IF(GETPIVOTDATA("合計 / " &amp; $B344,【ピボット】事業所収支!$A$3,"年月",I$13,"事業所",$A$338)=0,#N/A,GETPIVOTDATA("合計 / " &amp; $B344,【ピボット】事業所収支!$A$3,"年月",I$13,"事業所",$A$338)),#N/A)</f>
        <v>#N/A</v>
      </c>
      <c r="J344" s="483" t="e">
        <f>IFERROR(IF(GETPIVOTDATA("合計 / " &amp; $B344,【ピボット】事業所収支!$A$3,"年月",J$13,"事業所",$A$338)=0,#N/A,GETPIVOTDATA("合計 / " &amp; $B344,【ピボット】事業所収支!$A$3,"年月",J$13,"事業所",$A$338)),#N/A)</f>
        <v>#N/A</v>
      </c>
      <c r="K344" s="483" t="e">
        <f>IFERROR(IF(GETPIVOTDATA("合計 / " &amp; $B344,【ピボット】事業所収支!$A$3,"年月",K$13,"事業所",$A$338)=0,#N/A,GETPIVOTDATA("合計 / " &amp; $B344,【ピボット】事業所収支!$A$3,"年月",K$13,"事業所",$A$338)),#N/A)</f>
        <v>#N/A</v>
      </c>
      <c r="L344" s="483" t="e">
        <f>IFERROR(IF(GETPIVOTDATA("合計 / " &amp; $B344,【ピボット】事業所収支!$A$3,"年月",L$13,"事業所",$A$338)=0,#N/A,GETPIVOTDATA("合計 / " &amp; $B344,【ピボット】事業所収支!$A$3,"年月",L$13,"事業所",$A$338)),#N/A)</f>
        <v>#N/A</v>
      </c>
      <c r="M344" s="483" t="e">
        <f>IFERROR(IF(GETPIVOTDATA("合計 / " &amp; $B344,【ピボット】事業所収支!$A$3,"年月",M$13,"事業所",$A$338)=0,#N/A,GETPIVOTDATA("合計 / " &amp; $B344,【ピボット】事業所収支!$A$3,"年月",M$13,"事業所",$A$338)),#N/A)</f>
        <v>#N/A</v>
      </c>
      <c r="N344" s="483" t="e">
        <f>IFERROR(IF(GETPIVOTDATA("合計 / " &amp; $B344,【ピボット】事業所収支!$A$3,"年月",N$13,"事業所",$A$338)=0,#N/A,GETPIVOTDATA("合計 / " &amp; $B344,【ピボット】事業所収支!$A$3,"年月",N$13,"事業所",$A$338)),#N/A)</f>
        <v>#N/A</v>
      </c>
      <c r="O344" s="483" t="e">
        <f>IFERROR(IF(GETPIVOTDATA("合計 / " &amp; $B344,【ピボット】事業所収支!$A$3,"年月",O$13,"事業所",$A$338)=0,#N/A,GETPIVOTDATA("合計 / " &amp; $B344,【ピボット】事業所収支!$A$3,"年月",O$13,"事業所",$A$338)),#N/A)</f>
        <v>#N/A</v>
      </c>
      <c r="P344" s="483" t="e">
        <f>IFERROR(IF(GETPIVOTDATA("合計 / " &amp; $B344,【ピボット】事業所収支!$A$3,"年月",P$13,"事業所",$A$338)=0,#N/A,GETPIVOTDATA("合計 / " &amp; $B344,【ピボット】事業所収支!$A$3,"年月",P$13,"事業所",$A$338)),#N/A)</f>
        <v>#N/A</v>
      </c>
      <c r="Q344" s="483" t="e">
        <f>IFERROR(IF(GETPIVOTDATA("合計 / " &amp; $B344,【ピボット】事業所収支!$A$3,"年月",Q$13,"事業所",$A$338)=0,#N/A,GETPIVOTDATA("合計 / " &amp; $B344,【ピボット】事業所収支!$A$3,"年月",Q$13,"事業所",$A$338)),#N/A)</f>
        <v>#N/A</v>
      </c>
      <c r="R344" s="483" t="e">
        <f>IFERROR(IF(GETPIVOTDATA("合計 / " &amp; $B344,【ピボット】事業所収支!$A$3,"年月",R$13,"事業所",$A$338)=0,#N/A,GETPIVOTDATA("合計 / " &amp; $B344,【ピボット】事業所収支!$A$3,"年月",R$13,"事業所",$A$338)),#N/A)</f>
        <v>#N/A</v>
      </c>
      <c r="S344" s="483" t="e">
        <f>IFERROR(IF(GETPIVOTDATA("合計 / " &amp; $B344,【ピボット】事業所収支!$A$3,"年月",S$13,"事業所",$A$338)=0,#N/A,GETPIVOTDATA("合計 / " &amp; $B344,【ピボット】事業所収支!$A$3,"年月",S$13,"事業所",$A$338)),#N/A)</f>
        <v>#N/A</v>
      </c>
      <c r="T344" s="483" t="e">
        <f>IFERROR(IF(GETPIVOTDATA("合計 / " &amp; $B344,【ピボット】事業所収支!$A$3,"年月",T$13,"事業所",$A$338)=0,#N/A,GETPIVOTDATA("合計 / " &amp; $B344,【ピボット】事業所収支!$A$3,"年月",T$13,"事業所",$A$338)),#N/A)</f>
        <v>#N/A</v>
      </c>
      <c r="U344" s="483" t="e">
        <f>IFERROR(IF(GETPIVOTDATA("合計 / " &amp; $B344,【ピボット】事業所収支!$A$3,"年月",U$13,"事業所",$A$338)=0,#N/A,GETPIVOTDATA("合計 / " &amp; $B344,【ピボット】事業所収支!$A$3,"年月",U$13,"事業所",$A$338)),#N/A)</f>
        <v>#N/A</v>
      </c>
      <c r="V344" s="483" t="e">
        <f>IFERROR(IF(GETPIVOTDATA("合計 / " &amp; $B344,【ピボット】事業所収支!$A$3,"年月",V$13,"事業所",$A$338)=0,#N/A,GETPIVOTDATA("合計 / " &amp; $B344,【ピボット】事業所収支!$A$3,"年月",V$13,"事業所",$A$338)),#N/A)</f>
        <v>#N/A</v>
      </c>
      <c r="W344" s="483" t="e">
        <f>IFERROR(IF(GETPIVOTDATA("合計 / " &amp; $B344,【ピボット】事業所収支!$A$3,"年月",W$13,"事業所",$A$338)=0,#N/A,GETPIVOTDATA("合計 / " &amp; $B344,【ピボット】事業所収支!$A$3,"年月",W$13,"事業所",$A$338)),#N/A)</f>
        <v>#N/A</v>
      </c>
      <c r="X344" s="483" t="e">
        <f>IFERROR(IF(GETPIVOTDATA("合計 / " &amp; $B344,【ピボット】事業所収支!$A$3,"年月",X$13,"事業所",$A$338)=0,#N/A,GETPIVOTDATA("合計 / " &amp; $B344,【ピボット】事業所収支!$A$3,"年月",X$13,"事業所",$A$338)),#N/A)</f>
        <v>#N/A</v>
      </c>
      <c r="Y344" s="483" t="e">
        <f>IFERROR(IF(GETPIVOTDATA("合計 / " &amp; $B344,【ピボット】事業所収支!$A$3,"年月",Y$13,"事業所",$A$338)=0,#N/A,GETPIVOTDATA("合計 / " &amp; $B344,【ピボット】事業所収支!$A$3,"年月",Y$13,"事業所",$A$338)),#N/A)</f>
        <v>#N/A</v>
      </c>
      <c r="Z344" s="483" t="e">
        <f>IFERROR(IF(GETPIVOTDATA("合計 / " &amp; $B344,【ピボット】事業所収支!$A$3,"年月",Z$13,"事業所",$A$338)=0,#N/A,GETPIVOTDATA("合計 / " &amp; $B344,【ピボット】事業所収支!$A$3,"年月",Z$13,"事業所",$A$338)),#N/A)</f>
        <v>#N/A</v>
      </c>
    </row>
    <row r="345" spans="1:27" ht="14.25" hidden="1" customHeight="1" outlineLevel="1" x14ac:dyDescent="0.15">
      <c r="B345" s="9" t="s">
        <v>29</v>
      </c>
      <c r="C345" s="484">
        <f>IFERROR(IF(GETPIVOTDATA("合計 / " &amp; $B345,【ピボット】事業所収支!$A$3,"年月",C$13,"事業所",$A$338)=0,#N/A,GETPIVOTDATA("合計 / " &amp; $B345,【ピボット】事業所収支!$A$3,"年月",C$13,"事業所",$A$338)),#N/A)</f>
        <v>18416</v>
      </c>
      <c r="D345" s="484">
        <f>IFERROR(IF(GETPIVOTDATA("合計 / " &amp; $B345,【ピボット】事業所収支!$A$3,"年月",D$13,"事業所",$A$338)=0,#N/A,GETPIVOTDATA("合計 / " &amp; $B345,【ピボット】事業所収支!$A$3,"年月",D$13,"事業所",$A$338)),#N/A)</f>
        <v>25378</v>
      </c>
      <c r="E345" s="484">
        <f>IFERROR(IF(GETPIVOTDATA("合計 / " &amp; $B345,【ピボット】事業所収支!$A$3,"年月",E$13,"事業所",$A$338)=0,#N/A,GETPIVOTDATA("合計 / " &amp; $B345,【ピボット】事業所収支!$A$3,"年月",E$13,"事業所",$A$338)),#N/A)</f>
        <v>39238</v>
      </c>
      <c r="F345" s="484">
        <f>IFERROR(IF(GETPIVOTDATA("合計 / " &amp; $B345,【ピボット】事業所収支!$A$3,"年月",F$13,"事業所",$A$338)=0,#N/A,GETPIVOTDATA("合計 / " &amp; $B345,【ピボット】事業所収支!$A$3,"年月",F$13,"事業所",$A$338)),#N/A)</f>
        <v>18042</v>
      </c>
      <c r="G345" s="484">
        <f>IFERROR(IF(GETPIVOTDATA("合計 / " &amp; $B345,【ピボット】事業所収支!$A$3,"年月",G$13,"事業所",$A$338)=0,#N/A,GETPIVOTDATA("合計 / " &amp; $B345,【ピボット】事業所収支!$A$3,"年月",G$13,"事業所",$A$338)),#N/A)</f>
        <v>16828</v>
      </c>
      <c r="H345" s="484">
        <f>IFERROR(IF(GETPIVOTDATA("合計 / " &amp; $B345,【ピボット】事業所収支!$A$3,"年月",H$13,"事業所",$A$338)=0,#N/A,GETPIVOTDATA("合計 / " &amp; $B345,【ピボット】事業所収支!$A$3,"年月",H$13,"事業所",$A$338)),#N/A)</f>
        <v>26177</v>
      </c>
      <c r="I345" s="484">
        <f>IFERROR(IF(GETPIVOTDATA("合計 / " &amp; $B345,【ピボット】事業所収支!$A$3,"年月",I$13,"事業所",$A$338)=0,#N/A,GETPIVOTDATA("合計 / " &amp; $B345,【ピボット】事業所収支!$A$3,"年月",I$13,"事業所",$A$338)),#N/A)</f>
        <v>23522</v>
      </c>
      <c r="J345" s="484">
        <f>IFERROR(IF(GETPIVOTDATA("合計 / " &amp; $B345,【ピボット】事業所収支!$A$3,"年月",J$13,"事業所",$A$338)=0,#N/A,GETPIVOTDATA("合計 / " &amp; $B345,【ピボット】事業所収支!$A$3,"年月",J$13,"事業所",$A$338)),#N/A)</f>
        <v>-3461.9344628663694</v>
      </c>
      <c r="K345" s="484">
        <f>IFERROR(IF(GETPIVOTDATA("合計 / " &amp; $B345,【ピボット】事業所収支!$A$3,"年月",K$13,"事業所",$A$338)=0,#N/A,GETPIVOTDATA("合計 / " &amp; $B345,【ピボット】事業所収支!$A$3,"年月",K$13,"事業所",$A$338)),#N/A)</f>
        <v>73871</v>
      </c>
      <c r="L345" s="484">
        <f>IFERROR(IF(GETPIVOTDATA("合計 / " &amp; $B345,【ピボット】事業所収支!$A$3,"年月",L$13,"事業所",$A$338)=0,#N/A,GETPIVOTDATA("合計 / " &amp; $B345,【ピボット】事業所収支!$A$3,"年月",L$13,"事業所",$A$338)),#N/A)</f>
        <v>17857</v>
      </c>
      <c r="M345" s="484">
        <f>IFERROR(IF(GETPIVOTDATA("合計 / " &amp; $B345,【ピボット】事業所収支!$A$3,"年月",M$13,"事業所",$A$338)=0,#N/A,GETPIVOTDATA("合計 / " &amp; $B345,【ピボット】事業所収支!$A$3,"年月",M$13,"事業所",$A$338)),#N/A)</f>
        <v>21950</v>
      </c>
      <c r="N345" s="484">
        <f>IFERROR(IF(GETPIVOTDATA("合計 / " &amp; $B345,【ピボット】事業所収支!$A$3,"年月",N$13,"事業所",$A$338)=0,#N/A,GETPIVOTDATA("合計 / " &amp; $B345,【ピボット】事業所収支!$A$3,"年月",N$13,"事業所",$A$338)),#N/A)</f>
        <v>20375</v>
      </c>
      <c r="O345" s="484">
        <f>IFERROR(IF(GETPIVOTDATA("合計 / " &amp; $B345,【ピボット】事業所収支!$A$3,"年月",O$13,"事業所",$A$338)=0,#N/A,GETPIVOTDATA("合計 / " &amp; $B345,【ピボット】事業所収支!$A$3,"年月",O$13,"事業所",$A$338)),#N/A)</f>
        <v>20978</v>
      </c>
      <c r="P345" s="484">
        <f>IFERROR(IF(GETPIVOTDATA("合計 / " &amp; $B345,【ピボット】事業所収支!$A$3,"年月",P$13,"事業所",$A$338)=0,#N/A,GETPIVOTDATA("合計 / " &amp; $B345,【ピボット】事業所収支!$A$3,"年月",P$13,"事業所",$A$338)),#N/A)</f>
        <v>18298</v>
      </c>
      <c r="Q345" s="484">
        <f>IFERROR(IF(GETPIVOTDATA("合計 / " &amp; $B345,【ピボット】事業所収支!$A$3,"年月",Q$13,"事業所",$A$338)=0,#N/A,GETPIVOTDATA("合計 / " &amp; $B345,【ピボット】事業所収支!$A$3,"年月",Q$13,"事業所",$A$338)),#N/A)</f>
        <v>46903</v>
      </c>
      <c r="R345" s="484">
        <f>IFERROR(IF(GETPIVOTDATA("合計 / " &amp; $B345,【ピボット】事業所収支!$A$3,"年月",R$13,"事業所",$A$338)=0,#N/A,GETPIVOTDATA("合計 / " &amp; $B345,【ピボット】事業所収支!$A$3,"年月",R$13,"事業所",$A$338)),#N/A)</f>
        <v>14996</v>
      </c>
      <c r="S345" s="484">
        <f>IFERROR(IF(GETPIVOTDATA("合計 / " &amp; $B345,【ピボット】事業所収支!$A$3,"年月",S$13,"事業所",$A$338)=0,#N/A,GETPIVOTDATA("合計 / " &amp; $B345,【ピボット】事業所収支!$A$3,"年月",S$13,"事業所",$A$338)),#N/A)</f>
        <v>19982</v>
      </c>
      <c r="T345" s="484">
        <f>IFERROR(IF(GETPIVOTDATA("合計 / " &amp; $B345,【ピボット】事業所収支!$A$3,"年月",T$13,"事業所",$A$338)=0,#N/A,GETPIVOTDATA("合計 / " &amp; $B345,【ピボット】事業所収支!$A$3,"年月",T$13,"事業所",$A$338)),#N/A)</f>
        <v>20453</v>
      </c>
      <c r="U345" s="484">
        <f>IFERROR(IF(GETPIVOTDATA("合計 / " &amp; $B345,【ピボット】事業所収支!$A$3,"年月",U$13,"事業所",$A$338)=0,#N/A,GETPIVOTDATA("合計 / " &amp; $B345,【ピボット】事業所収支!$A$3,"年月",U$13,"事業所",$A$338)),#N/A)</f>
        <v>16749</v>
      </c>
      <c r="V345" s="484">
        <f>IFERROR(IF(GETPIVOTDATA("合計 / " &amp; $B345,【ピボット】事業所収支!$A$3,"年月",V$13,"事業所",$A$338)=0,#N/A,GETPIVOTDATA("合計 / " &amp; $B345,【ピボット】事業所収支!$A$3,"年月",V$13,"事業所",$A$338)),#N/A)</f>
        <v>19409</v>
      </c>
      <c r="W345" s="484">
        <f>IFERROR(IF(GETPIVOTDATA("合計 / " &amp; $B345,【ピボット】事業所収支!$A$3,"年月",W$13,"事業所",$A$338)=0,#N/A,GETPIVOTDATA("合計 / " &amp; $B345,【ピボット】事業所収支!$A$3,"年月",W$13,"事業所",$A$338)),#N/A)</f>
        <v>18168</v>
      </c>
      <c r="X345" s="484">
        <f>IFERROR(IF(GETPIVOTDATA("合計 / " &amp; $B345,【ピボット】事業所収支!$A$3,"年月",X$13,"事業所",$A$338)=0,#N/A,GETPIVOTDATA("合計 / " &amp; $B345,【ピボット】事業所収支!$A$3,"年月",X$13,"事業所",$A$338)),#N/A)</f>
        <v>18174</v>
      </c>
      <c r="Y345" s="484">
        <f>IFERROR(IF(GETPIVOTDATA("合計 / " &amp; $B345,【ピボット】事業所収支!$A$3,"年月",Y$13,"事業所",$A$338)=0,#N/A,GETPIVOTDATA("合計 / " &amp; $B345,【ピボット】事業所収支!$A$3,"年月",Y$13,"事業所",$A$338)),#N/A)</f>
        <v>18155</v>
      </c>
      <c r="Z345" s="484">
        <f>IFERROR(IF(GETPIVOTDATA("合計 / " &amp; $B345,【ピボット】事業所収支!$A$3,"年月",Z$13,"事業所",$A$338)=0,#N/A,GETPIVOTDATA("合計 / " &amp; $B345,【ピボット】事業所収支!$A$3,"年月",Z$13,"事業所",$A$338)),#N/A)</f>
        <v>19866</v>
      </c>
      <c r="AA345" s="4"/>
    </row>
    <row r="346" spans="1:27" ht="14.25" hidden="1" customHeight="1" outlineLevel="1" x14ac:dyDescent="0.15">
      <c r="B346" s="9" t="s">
        <v>51</v>
      </c>
      <c r="C346" s="483">
        <f>IFERROR(IF(GETPIVOTDATA("合計 / " &amp; $B346,【ピボット】事業所収支!$A$3,"年月",C$13,"事業所",$A$338)=0,#N/A,GETPIVOTDATA("合計 / " &amp; $B346,【ピボット】事業所収支!$A$3,"年月",C$13,"事業所",$A$338)),#N/A)</f>
        <v>1134</v>
      </c>
      <c r="D346" s="483">
        <f>IFERROR(IF(GETPIVOTDATA("合計 / " &amp; $B346,【ピボット】事業所収支!$A$3,"年月",D$13,"事業所",$A$338)=0,#N/A,GETPIVOTDATA("合計 / " &amp; $B346,【ピボット】事業所収支!$A$3,"年月",D$13,"事業所",$A$338)),#N/A)</f>
        <v>1134</v>
      </c>
      <c r="E346" s="483">
        <f>IFERROR(IF(GETPIVOTDATA("合計 / " &amp; $B346,【ピボット】事業所収支!$A$3,"年月",E$13,"事業所",$A$338)=0,#N/A,GETPIVOTDATA("合計 / " &amp; $B346,【ピボット】事業所収支!$A$3,"年月",E$13,"事業所",$A$338)),#N/A)</f>
        <v>1134</v>
      </c>
      <c r="F346" s="483" t="e">
        <f>IFERROR(IF(GETPIVOTDATA("合計 / " &amp; $B346,【ピボット】事業所収支!$A$3,"年月",F$13,"事業所",$A$338)=0,#N/A,GETPIVOTDATA("合計 / " &amp; $B346,【ピボット】事業所収支!$A$3,"年月",F$13,"事業所",$A$338)),#N/A)</f>
        <v>#N/A</v>
      </c>
      <c r="G346" s="483" t="e">
        <f>IFERROR(IF(GETPIVOTDATA("合計 / " &amp; $B346,【ピボット】事業所収支!$A$3,"年月",G$13,"事業所",$A$338)=0,#N/A,GETPIVOTDATA("合計 / " &amp; $B346,【ピボット】事業所収支!$A$3,"年月",G$13,"事業所",$A$338)),#N/A)</f>
        <v>#N/A</v>
      </c>
      <c r="H346" s="483" t="e">
        <f>IFERROR(IF(GETPIVOTDATA("合計 / " &amp; $B346,【ピボット】事業所収支!$A$3,"年月",H$13,"事業所",$A$338)=0,#N/A,GETPIVOTDATA("合計 / " &amp; $B346,【ピボット】事業所収支!$A$3,"年月",H$13,"事業所",$A$338)),#N/A)</f>
        <v>#N/A</v>
      </c>
      <c r="I346" s="483" t="e">
        <f>IFERROR(IF(GETPIVOTDATA("合計 / " &amp; $B346,【ピボット】事業所収支!$A$3,"年月",I$13,"事業所",$A$338)=0,#N/A,GETPIVOTDATA("合計 / " &amp; $B346,【ピボット】事業所収支!$A$3,"年月",I$13,"事業所",$A$338)),#N/A)</f>
        <v>#N/A</v>
      </c>
      <c r="J346" s="483" t="e">
        <f>IFERROR(IF(GETPIVOTDATA("合計 / " &amp; $B346,【ピボット】事業所収支!$A$3,"年月",J$13,"事業所",$A$338)=0,#N/A,GETPIVOTDATA("合計 / " &amp; $B346,【ピボット】事業所収支!$A$3,"年月",J$13,"事業所",$A$338)),#N/A)</f>
        <v>#N/A</v>
      </c>
      <c r="K346" s="483" t="e">
        <f>IFERROR(IF(GETPIVOTDATA("合計 / " &amp; $B346,【ピボット】事業所収支!$A$3,"年月",K$13,"事業所",$A$338)=0,#N/A,GETPIVOTDATA("合計 / " &amp; $B346,【ピボット】事業所収支!$A$3,"年月",K$13,"事業所",$A$338)),#N/A)</f>
        <v>#N/A</v>
      </c>
      <c r="L346" s="483" t="e">
        <f>IFERROR(IF(GETPIVOTDATA("合計 / " &amp; $B346,【ピボット】事業所収支!$A$3,"年月",L$13,"事業所",$A$338)=0,#N/A,GETPIVOTDATA("合計 / " &amp; $B346,【ピボット】事業所収支!$A$3,"年月",L$13,"事業所",$A$338)),#N/A)</f>
        <v>#N/A</v>
      </c>
      <c r="M346" s="483" t="e">
        <f>IFERROR(IF(GETPIVOTDATA("合計 / " &amp; $B346,【ピボット】事業所収支!$A$3,"年月",M$13,"事業所",$A$338)=0,#N/A,GETPIVOTDATA("合計 / " &amp; $B346,【ピボット】事業所収支!$A$3,"年月",M$13,"事業所",$A$338)),#N/A)</f>
        <v>#N/A</v>
      </c>
      <c r="N346" s="483" t="e">
        <f>IFERROR(IF(GETPIVOTDATA("合計 / " &amp; $B346,【ピボット】事業所収支!$A$3,"年月",N$13,"事業所",$A$338)=0,#N/A,GETPIVOTDATA("合計 / " &amp; $B346,【ピボット】事業所収支!$A$3,"年月",N$13,"事業所",$A$338)),#N/A)</f>
        <v>#N/A</v>
      </c>
      <c r="O346" s="483" t="e">
        <f>IFERROR(IF(GETPIVOTDATA("合計 / " &amp; $B346,【ピボット】事業所収支!$A$3,"年月",O$13,"事業所",$A$338)=0,#N/A,GETPIVOTDATA("合計 / " &amp; $B346,【ピボット】事業所収支!$A$3,"年月",O$13,"事業所",$A$338)),#N/A)</f>
        <v>#N/A</v>
      </c>
      <c r="P346" s="483" t="e">
        <f>IFERROR(IF(GETPIVOTDATA("合計 / " &amp; $B346,【ピボット】事業所収支!$A$3,"年月",P$13,"事業所",$A$338)=0,#N/A,GETPIVOTDATA("合計 / " &amp; $B346,【ピボット】事業所収支!$A$3,"年月",P$13,"事業所",$A$338)),#N/A)</f>
        <v>#N/A</v>
      </c>
      <c r="Q346" s="483" t="e">
        <f>IFERROR(IF(GETPIVOTDATA("合計 / " &amp; $B346,【ピボット】事業所収支!$A$3,"年月",Q$13,"事業所",$A$338)=0,#N/A,GETPIVOTDATA("合計 / " &amp; $B346,【ピボット】事業所収支!$A$3,"年月",Q$13,"事業所",$A$338)),#N/A)</f>
        <v>#N/A</v>
      </c>
      <c r="R346" s="483" t="e">
        <f>IFERROR(IF(GETPIVOTDATA("合計 / " &amp; $B346,【ピボット】事業所収支!$A$3,"年月",R$13,"事業所",$A$338)=0,#N/A,GETPIVOTDATA("合計 / " &amp; $B346,【ピボット】事業所収支!$A$3,"年月",R$13,"事業所",$A$338)),#N/A)</f>
        <v>#N/A</v>
      </c>
      <c r="S346" s="483" t="e">
        <f>IFERROR(IF(GETPIVOTDATA("合計 / " &amp; $B346,【ピボット】事業所収支!$A$3,"年月",S$13,"事業所",$A$338)=0,#N/A,GETPIVOTDATA("合計 / " &amp; $B346,【ピボット】事業所収支!$A$3,"年月",S$13,"事業所",$A$338)),#N/A)</f>
        <v>#N/A</v>
      </c>
      <c r="T346" s="483">
        <f>IFERROR(IF(GETPIVOTDATA("合計 / " &amp; $B346,【ピボット】事業所収支!$A$3,"年月",T$13,"事業所",$A$338)=0,#N/A,GETPIVOTDATA("合計 / " &amp; $B346,【ピボット】事業所収支!$A$3,"年月",T$13,"事業所",$A$338)),#N/A)</f>
        <v>24300</v>
      </c>
      <c r="U346" s="483" t="e">
        <f>IFERROR(IF(GETPIVOTDATA("合計 / " &amp; $B346,【ピボット】事業所収支!$A$3,"年月",U$13,"事業所",$A$338)=0,#N/A,GETPIVOTDATA("合計 / " &amp; $B346,【ピボット】事業所収支!$A$3,"年月",U$13,"事業所",$A$338)),#N/A)</f>
        <v>#N/A</v>
      </c>
      <c r="V346" s="483" t="e">
        <f>IFERROR(IF(GETPIVOTDATA("合計 / " &amp; $B346,【ピボット】事業所収支!$A$3,"年月",V$13,"事業所",$A$338)=0,#N/A,GETPIVOTDATA("合計 / " &amp; $B346,【ピボット】事業所収支!$A$3,"年月",V$13,"事業所",$A$338)),#N/A)</f>
        <v>#N/A</v>
      </c>
      <c r="W346" s="483" t="e">
        <f>IFERROR(IF(GETPIVOTDATA("合計 / " &amp; $B346,【ピボット】事業所収支!$A$3,"年月",W$13,"事業所",$A$338)=0,#N/A,GETPIVOTDATA("合計 / " &amp; $B346,【ピボット】事業所収支!$A$3,"年月",W$13,"事業所",$A$338)),#N/A)</f>
        <v>#N/A</v>
      </c>
      <c r="X346" s="483" t="e">
        <f>IFERROR(IF(GETPIVOTDATA("合計 / " &amp; $B346,【ピボット】事業所収支!$A$3,"年月",X$13,"事業所",$A$338)=0,#N/A,GETPIVOTDATA("合計 / " &amp; $B346,【ピボット】事業所収支!$A$3,"年月",X$13,"事業所",$A$338)),#N/A)</f>
        <v>#N/A</v>
      </c>
      <c r="Y346" s="483" t="e">
        <f>IFERROR(IF(GETPIVOTDATA("合計 / " &amp; $B346,【ピボット】事業所収支!$A$3,"年月",Y$13,"事業所",$A$338)=0,#N/A,GETPIVOTDATA("合計 / " &amp; $B346,【ピボット】事業所収支!$A$3,"年月",Y$13,"事業所",$A$338)),#N/A)</f>
        <v>#N/A</v>
      </c>
      <c r="Z346" s="483" t="e">
        <f>IFERROR(IF(GETPIVOTDATA("合計 / " &amp; $B346,【ピボット】事業所収支!$A$3,"年月",Z$13,"事業所",$A$338)=0,#N/A,GETPIVOTDATA("合計 / " &amp; $B346,【ピボット】事業所収支!$A$3,"年月",Z$13,"事業所",$A$338)),#N/A)</f>
        <v>#N/A</v>
      </c>
      <c r="AA346" s="4"/>
    </row>
    <row r="347" spans="1:27" ht="14.25" hidden="1" customHeight="1" outlineLevel="1" x14ac:dyDescent="0.15">
      <c r="B347" s="41" t="s">
        <v>15</v>
      </c>
      <c r="C347" s="486">
        <f>IFERROR(IF(GETPIVOTDATA("合計 / " &amp; $B347,【ピボット】事業所収支!$A$3,"年月",C$13,"事業所",$A$338)=0,#N/A,GETPIVOTDATA("合計 / " &amp; $B347,【ピボット】事業所収支!$A$3,"年月",C$13,"事業所",$A$338)),#N/A)</f>
        <v>384233</v>
      </c>
      <c r="D347" s="486">
        <f>IFERROR(IF(GETPIVOTDATA("合計 / " &amp; $B347,【ピボット】事業所収支!$A$3,"年月",D$13,"事業所",$A$338)=0,#N/A,GETPIVOTDATA("合計 / " &amp; $B347,【ピボット】事業所収支!$A$3,"年月",D$13,"事業所",$A$338)),#N/A)</f>
        <v>451365</v>
      </c>
      <c r="E347" s="486">
        <f>IFERROR(IF(GETPIVOTDATA("合計 / " &amp; $B347,【ピボット】事業所収支!$A$3,"年月",E$13,"事業所",$A$338)=0,#N/A,GETPIVOTDATA("合計 / " &amp; $B347,【ピボット】事業所収支!$A$3,"年月",E$13,"事業所",$A$338)),#N/A)</f>
        <v>457105</v>
      </c>
      <c r="F347" s="486">
        <f>IFERROR(IF(GETPIVOTDATA("合計 / " &amp; $B347,【ピボット】事業所収支!$A$3,"年月",F$13,"事業所",$A$338)=0,#N/A,GETPIVOTDATA("合計 / " &amp; $B347,【ピボット】事業所収支!$A$3,"年月",F$13,"事業所",$A$338)),#N/A)</f>
        <v>411182</v>
      </c>
      <c r="G347" s="486">
        <f>IFERROR(IF(GETPIVOTDATA("合計 / " &amp; $B347,【ピボット】事業所収支!$A$3,"年月",G$13,"事業所",$A$338)=0,#N/A,GETPIVOTDATA("合計 / " &amp; $B347,【ピボット】事業所収支!$A$3,"年月",G$13,"事業所",$A$338)),#N/A)</f>
        <v>406108</v>
      </c>
      <c r="H347" s="486">
        <f>IFERROR(IF(GETPIVOTDATA("合計 / " &amp; $B347,【ピボット】事業所収支!$A$3,"年月",H$13,"事業所",$A$338)=0,#N/A,GETPIVOTDATA("合計 / " &amp; $B347,【ピボット】事業所収支!$A$3,"年月",H$13,"事業所",$A$338)),#N/A)</f>
        <v>437577</v>
      </c>
      <c r="I347" s="486">
        <f>IFERROR(IF(GETPIVOTDATA("合計 / " &amp; $B347,【ピボット】事業所収支!$A$3,"年月",I$13,"事業所",$A$338)=0,#N/A,GETPIVOTDATA("合計 / " &amp; $B347,【ピボット】事業所収支!$A$3,"年月",I$13,"事業所",$A$338)),#N/A)</f>
        <v>418059</v>
      </c>
      <c r="J347" s="486">
        <f>IFERROR(IF(GETPIVOTDATA("合計 / " &amp; $B347,【ピボット】事業所収支!$A$3,"年月",J$13,"事業所",$A$338)=0,#N/A,GETPIVOTDATA("合計 / " &amp; $B347,【ピボット】事業所収支!$A$3,"年月",J$13,"事業所",$A$338)),#N/A)</f>
        <v>418446.0655371336</v>
      </c>
      <c r="K347" s="486">
        <f>IFERROR(IF(GETPIVOTDATA("合計 / " &amp; $B347,【ピボット】事業所収支!$A$3,"年月",K$13,"事業所",$A$338)=0,#N/A,GETPIVOTDATA("合計 / " &amp; $B347,【ピボット】事業所収支!$A$3,"年月",K$13,"事業所",$A$338)),#N/A)</f>
        <v>441121</v>
      </c>
      <c r="L347" s="486">
        <f>IFERROR(IF(GETPIVOTDATA("合計 / " &amp; $B347,【ピボット】事業所収支!$A$3,"年月",L$13,"事業所",$A$338)=0,#N/A,GETPIVOTDATA("合計 / " &amp; $B347,【ピボット】事業所収支!$A$3,"年月",L$13,"事業所",$A$338)),#N/A)</f>
        <v>327190</v>
      </c>
      <c r="M347" s="486">
        <f>IFERROR(IF(GETPIVOTDATA("合計 / " &amp; $B347,【ピボット】事業所収支!$A$3,"年月",M$13,"事業所",$A$338)=0,#N/A,GETPIVOTDATA("合計 / " &amp; $B347,【ピボット】事業所収支!$A$3,"年月",M$13,"事業所",$A$338)),#N/A)</f>
        <v>366028</v>
      </c>
      <c r="N347" s="486">
        <f>IFERROR(IF(GETPIVOTDATA("合計 / " &amp; $B347,【ピボット】事業所収支!$A$3,"年月",N$13,"事業所",$A$338)=0,#N/A,GETPIVOTDATA("合計 / " &amp; $B347,【ピボット】事業所収支!$A$3,"年月",N$13,"事業所",$A$338)),#N/A)</f>
        <v>348293</v>
      </c>
      <c r="O347" s="486">
        <f>IFERROR(IF(GETPIVOTDATA("合計 / " &amp; $B347,【ピボット】事業所収支!$A$3,"年月",O$13,"事業所",$A$338)=0,#N/A,GETPIVOTDATA("合計 / " &amp; $B347,【ピボット】事業所収支!$A$3,"年月",O$13,"事業所",$A$338)),#N/A)</f>
        <v>360441</v>
      </c>
      <c r="P347" s="486">
        <f>IFERROR(IF(GETPIVOTDATA("合計 / " &amp; $B347,【ピボット】事業所収支!$A$3,"年月",P$13,"事業所",$A$338)=0,#N/A,GETPIVOTDATA("合計 / " &amp; $B347,【ピボット】事業所収支!$A$3,"年月",P$13,"事業所",$A$338)),#N/A)</f>
        <v>358841</v>
      </c>
      <c r="Q347" s="486">
        <f>IFERROR(IF(GETPIVOTDATA("合計 / " &amp; $B347,【ピボット】事業所収支!$A$3,"年月",Q$13,"事業所",$A$338)=0,#N/A,GETPIVOTDATA("合計 / " &amp; $B347,【ピボット】事業所収支!$A$3,"年月",Q$13,"事業所",$A$338)),#N/A)</f>
        <v>394951</v>
      </c>
      <c r="R347" s="486">
        <f>IFERROR(IF(GETPIVOTDATA("合計 / " &amp; $B347,【ピボット】事業所収支!$A$3,"年月",R$13,"事業所",$A$338)=0,#N/A,GETPIVOTDATA("合計 / " &amp; $B347,【ピボット】事業所収支!$A$3,"年月",R$13,"事業所",$A$338)),#N/A)</f>
        <v>341359</v>
      </c>
      <c r="S347" s="486">
        <f>IFERROR(IF(GETPIVOTDATA("合計 / " &amp; $B347,【ピボット】事業所収支!$A$3,"年月",S$13,"事業所",$A$338)=0,#N/A,GETPIVOTDATA("合計 / " &amp; $B347,【ピボット】事業所収支!$A$3,"年月",S$13,"事業所",$A$338)),#N/A)</f>
        <v>368002</v>
      </c>
      <c r="T347" s="486">
        <f>IFERROR(IF(GETPIVOTDATA("合計 / " &amp; $B347,【ピボット】事業所収支!$A$3,"年月",T$13,"事業所",$A$338)=0,#N/A,GETPIVOTDATA("合計 / " &amp; $B347,【ピボット】事業所収支!$A$3,"年月",T$13,"事業所",$A$338)),#N/A)</f>
        <v>411456</v>
      </c>
      <c r="U347" s="486">
        <f>IFERROR(IF(GETPIVOTDATA("合計 / " &amp; $B347,【ピボット】事業所収支!$A$3,"年月",U$13,"事業所",$A$338)=0,#N/A,GETPIVOTDATA("合計 / " &amp; $B347,【ピボット】事業所収支!$A$3,"年月",U$13,"事業所",$A$338)),#N/A)</f>
        <v>396967</v>
      </c>
      <c r="V347" s="486">
        <f>IFERROR(IF(GETPIVOTDATA("合計 / " &amp; $B347,【ピボット】事業所収支!$A$3,"年月",V$13,"事業所",$A$338)=0,#N/A,GETPIVOTDATA("合計 / " &amp; $B347,【ピボット】事業所収支!$A$3,"年月",V$13,"事業所",$A$338)),#N/A)</f>
        <v>420894</v>
      </c>
      <c r="W347" s="486">
        <f>IFERROR(IF(GETPIVOTDATA("合計 / " &amp; $B347,【ピボット】事業所収支!$A$3,"年月",W$13,"事業所",$A$338)=0,#N/A,GETPIVOTDATA("合計 / " &amp; $B347,【ピボット】事業所収支!$A$3,"年月",W$13,"事業所",$A$338)),#N/A)</f>
        <v>388478</v>
      </c>
      <c r="X347" s="486">
        <f>IFERROR(IF(GETPIVOTDATA("合計 / " &amp; $B347,【ピボット】事業所収支!$A$3,"年月",X$13,"事業所",$A$338)=0,#N/A,GETPIVOTDATA("合計 / " &amp; $B347,【ピボット】事業所収支!$A$3,"年月",X$13,"事業所",$A$338)),#N/A)</f>
        <v>320194</v>
      </c>
      <c r="Y347" s="486">
        <f>IFERROR(IF(GETPIVOTDATA("合計 / " &amp; $B347,【ピボット】事業所収支!$A$3,"年月",Y$13,"事業所",$A$338)=0,#N/A,GETPIVOTDATA("合計 / " &amp; $B347,【ピボット】事業所収支!$A$3,"年月",Y$13,"事業所",$A$338)),#N/A)</f>
        <v>303548</v>
      </c>
      <c r="Z347" s="486">
        <f>IFERROR(IF(GETPIVOTDATA("合計 / " &amp; $B347,【ピボット】事業所収支!$A$3,"年月",Z$13,"事業所",$A$338)=0,#N/A,GETPIVOTDATA("合計 / " &amp; $B347,【ピボット】事業所収支!$A$3,"年月",Z$13,"事業所",$A$338)),#N/A)</f>
        <v>338431</v>
      </c>
      <c r="AA347" s="4"/>
    </row>
    <row r="348" spans="1:27" ht="14.25" hidden="1" customHeight="1" outlineLevel="1" x14ac:dyDescent="0.15">
      <c r="B348" s="48" t="s">
        <v>30</v>
      </c>
      <c r="C348" s="487">
        <f>IFERROR(IF(GETPIVOTDATA("合計 / " &amp; $B348 &amp;"計",【ピボット】事業所収支!$A$3,"年月",C$13,"事業所",$A$338)=0,#N/A,GETPIVOTDATA("合計 / " &amp; $B348 &amp;"計",【ピボット】事業所収支!$A$3,"年月",C$13,"事業所",$A$338)),#N/A)</f>
        <v>147733</v>
      </c>
      <c r="D348" s="487">
        <f>IFERROR(IF(GETPIVOTDATA("合計 / " &amp; $B348 &amp;"計",【ピボット】事業所収支!$A$3,"年月",D$13,"事業所",$A$338)=0,#N/A,GETPIVOTDATA("合計 / " &amp; $B348 &amp;"計",【ピボット】事業所収支!$A$3,"年月",D$13,"事業所",$A$338)),#N/A)</f>
        <v>162095</v>
      </c>
      <c r="E348" s="487">
        <f>IFERROR(IF(GETPIVOTDATA("合計 / " &amp; $B348 &amp;"計",【ピボット】事業所収支!$A$3,"年月",E$13,"事業所",$A$338)=0,#N/A,GETPIVOTDATA("合計 / " &amp; $B348 &amp;"計",【ピボット】事業所収支!$A$3,"年月",E$13,"事業所",$A$338)),#N/A)</f>
        <v>117007</v>
      </c>
      <c r="F348" s="487">
        <f>IFERROR(IF(GETPIVOTDATA("合計 / " &amp; $B348 &amp;"計",【ピボット】事業所収支!$A$3,"年月",F$13,"事業所",$A$338)=0,#N/A,GETPIVOTDATA("合計 / " &amp; $B348 &amp;"計",【ピボット】事業所収支!$A$3,"年月",F$13,"事業所",$A$338)),#N/A)</f>
        <v>122447</v>
      </c>
      <c r="G348" s="487">
        <f>IFERROR(IF(GETPIVOTDATA("合計 / " &amp; $B348 &amp;"計",【ピボット】事業所収支!$A$3,"年月",G$13,"事業所",$A$338)=0,#N/A,GETPIVOTDATA("合計 / " &amp; $B348 &amp;"計",【ピボット】事業所収支!$A$3,"年月",G$13,"事業所",$A$338)),#N/A)</f>
        <v>124140</v>
      </c>
      <c r="H348" s="487">
        <f>IFERROR(IF(GETPIVOTDATA("合計 / " &amp; $B348 &amp;"計",【ピボット】事業所収支!$A$3,"年月",H$13,"事業所",$A$338)=0,#N/A,GETPIVOTDATA("合計 / " &amp; $B348 &amp;"計",【ピボット】事業所収支!$A$3,"年月",H$13,"事業所",$A$338)),#N/A)</f>
        <v>127801</v>
      </c>
      <c r="I348" s="487">
        <f>IFERROR(IF(GETPIVOTDATA("合計 / " &amp; $B348 &amp;"計",【ピボット】事業所収支!$A$3,"年月",I$13,"事業所",$A$338)=0,#N/A,GETPIVOTDATA("合計 / " &amp; $B348 &amp;"計",【ピボット】事業所収支!$A$3,"年月",I$13,"事業所",$A$338)),#N/A)</f>
        <v>155938</v>
      </c>
      <c r="J348" s="487">
        <f>IFERROR(IF(GETPIVOTDATA("合計 / " &amp; $B348 &amp;"計",【ピボット】事業所収支!$A$3,"年月",J$13,"事業所",$A$338)=0,#N/A,GETPIVOTDATA("合計 / " &amp; $B348 &amp;"計",【ピボット】事業所収支!$A$3,"年月",J$13,"事業所",$A$338)),#N/A)</f>
        <v>154535</v>
      </c>
      <c r="K348" s="487">
        <f>IFERROR(IF(GETPIVOTDATA("合計 / " &amp; $B348 &amp;"計",【ピボット】事業所収支!$A$3,"年月",K$13,"事業所",$A$338)=0,#N/A,GETPIVOTDATA("合計 / " &amp; $B348 &amp;"計",【ピボット】事業所収支!$A$3,"年月",K$13,"事業所",$A$338)),#N/A)</f>
        <v>134184</v>
      </c>
      <c r="L348" s="487">
        <f>IFERROR(IF(GETPIVOTDATA("合計 / " &amp; $B348 &amp;"計",【ピボット】事業所収支!$A$3,"年月",L$13,"事業所",$A$338)=0,#N/A,GETPIVOTDATA("合計 / " &amp; $B348 &amp;"計",【ピボット】事業所収支!$A$3,"年月",L$13,"事業所",$A$338)),#N/A)</f>
        <v>126910</v>
      </c>
      <c r="M348" s="487">
        <f>IFERROR(IF(GETPIVOTDATA("合計 / " &amp; $B348 &amp;"計",【ピボット】事業所収支!$A$3,"年月",M$13,"事業所",$A$338)=0,#N/A,GETPIVOTDATA("合計 / " &amp; $B348 &amp;"計",【ピボット】事業所収支!$A$3,"年月",M$13,"事業所",$A$338)),#N/A)</f>
        <v>167880</v>
      </c>
      <c r="N348" s="487">
        <f>IFERROR(IF(GETPIVOTDATA("合計 / " &amp; $B348 &amp;"計",【ピボット】事業所収支!$A$3,"年月",N$13,"事業所",$A$338)=0,#N/A,GETPIVOTDATA("合計 / " &amp; $B348 &amp;"計",【ピボット】事業所収支!$A$3,"年月",N$13,"事業所",$A$338)),#N/A)</f>
        <v>129954</v>
      </c>
      <c r="O348" s="487">
        <f>IFERROR(IF(GETPIVOTDATA("合計 / " &amp; $B348 &amp;"計",【ピボット】事業所収支!$A$3,"年月",O$13,"事業所",$A$338)=0,#N/A,GETPIVOTDATA("合計 / " &amp; $B348 &amp;"計",【ピボット】事業所収支!$A$3,"年月",O$13,"事業所",$A$338)),#N/A)</f>
        <v>129795</v>
      </c>
      <c r="P348" s="487">
        <f>IFERROR(IF(GETPIVOTDATA("合計 / " &amp; $B348 &amp;"計",【ピボット】事業所収支!$A$3,"年月",P$13,"事業所",$A$338)=0,#N/A,GETPIVOTDATA("合計 / " &amp; $B348 &amp;"計",【ピボット】事業所収支!$A$3,"年月",P$13,"事業所",$A$338)),#N/A)</f>
        <v>173077</v>
      </c>
      <c r="Q348" s="487">
        <f>IFERROR(IF(GETPIVOTDATA("合計 / " &amp; $B348 &amp;"計",【ピボット】事業所収支!$A$3,"年月",Q$13,"事業所",$A$338)=0,#N/A,GETPIVOTDATA("合計 / " &amp; $B348 &amp;"計",【ピボット】事業所収支!$A$3,"年月",Q$13,"事業所",$A$338)),#N/A)</f>
        <v>127926</v>
      </c>
      <c r="R348" s="487">
        <f>IFERROR(IF(GETPIVOTDATA("合計 / " &amp; $B348 &amp;"計",【ピボット】事業所収支!$A$3,"年月",R$13,"事業所",$A$338)=0,#N/A,GETPIVOTDATA("合計 / " &amp; $B348 &amp;"計",【ピボット】事業所収支!$A$3,"年月",R$13,"事業所",$A$338)),#N/A)</f>
        <v>125559</v>
      </c>
      <c r="S348" s="487">
        <f>IFERROR(IF(GETPIVOTDATA("合計 / " &amp; $B348 &amp;"計",【ピボット】事業所収支!$A$3,"年月",S$13,"事業所",$A$338)=0,#N/A,GETPIVOTDATA("合計 / " &amp; $B348 &amp;"計",【ピボット】事業所収支!$A$3,"年月",S$13,"事業所",$A$338)),#N/A)</f>
        <v>121814</v>
      </c>
      <c r="T348" s="487">
        <f>IFERROR(IF(GETPIVOTDATA("合計 / " &amp; $B348 &amp;"計",【ピボット】事業所収支!$A$3,"年月",T$13,"事業所",$A$338)=0,#N/A,GETPIVOTDATA("合計 / " &amp; $B348 &amp;"計",【ピボット】事業所収支!$A$3,"年月",T$13,"事業所",$A$338)),#N/A)</f>
        <v>184298</v>
      </c>
      <c r="U348" s="487">
        <f>IFERROR(IF(GETPIVOTDATA("合計 / " &amp; $B348 &amp;"計",【ピボット】事業所収支!$A$3,"年月",U$13,"事業所",$A$338)=0,#N/A,GETPIVOTDATA("合計 / " &amp; $B348 &amp;"計",【ピボット】事業所収支!$A$3,"年月",U$13,"事業所",$A$338)),#N/A)</f>
        <v>142328</v>
      </c>
      <c r="V348" s="487">
        <f>IFERROR(IF(GETPIVOTDATA("合計 / " &amp; $B348 &amp;"計",【ピボット】事業所収支!$A$3,"年月",V$13,"事業所",$A$338)=0,#N/A,GETPIVOTDATA("合計 / " &amp; $B348 &amp;"計",【ピボット】事業所収支!$A$3,"年月",V$13,"事業所",$A$338)),#N/A)</f>
        <v>143912</v>
      </c>
      <c r="W348" s="487">
        <f>IFERROR(IF(GETPIVOTDATA("合計 / " &amp; $B348 &amp;"計",【ピボット】事業所収支!$A$3,"年月",W$13,"事業所",$A$338)=0,#N/A,GETPIVOTDATA("合計 / " &amp; $B348 &amp;"計",【ピボット】事業所収支!$A$3,"年月",W$13,"事業所",$A$338)),#N/A)</f>
        <v>129440</v>
      </c>
      <c r="X348" s="487">
        <f>IFERROR(IF(GETPIVOTDATA("合計 / " &amp; $B348 &amp;"計",【ピボット】事業所収支!$A$3,"年月",X$13,"事業所",$A$338)=0,#N/A,GETPIVOTDATA("合計 / " &amp; $B348 &amp;"計",【ピボット】事業所収支!$A$3,"年月",X$13,"事業所",$A$338)),#N/A)</f>
        <v>122019</v>
      </c>
      <c r="Y348" s="487">
        <f>IFERROR(IF(GETPIVOTDATA("合計 / " &amp; $B348 &amp;"計",【ピボット】事業所収支!$A$3,"年月",Y$13,"事業所",$A$338)=0,#N/A,GETPIVOTDATA("合計 / " &amp; $B348 &amp;"計",【ピボット】事業所収支!$A$3,"年月",Y$13,"事業所",$A$338)),#N/A)</f>
        <v>136143</v>
      </c>
      <c r="Z348" s="487">
        <f>IFERROR(IF(GETPIVOTDATA("合計 / " &amp; $B348 &amp;"計",【ピボット】事業所収支!$A$3,"年月",Z$13,"事業所",$A$338)=0,#N/A,GETPIVOTDATA("合計 / " &amp; $B348 &amp;"計",【ピボット】事業所収支!$A$3,"年月",Z$13,"事業所",$A$338)),#N/A)</f>
        <v>116406</v>
      </c>
      <c r="AA348" s="4"/>
    </row>
    <row r="349" spans="1:27" ht="14.25" hidden="1" customHeight="1" outlineLevel="1" x14ac:dyDescent="0.15">
      <c r="B349" s="48" t="s">
        <v>112</v>
      </c>
      <c r="C349" s="487" t="e">
        <f>#REF!</f>
        <v>#REF!</v>
      </c>
      <c r="D349" s="487" t="e">
        <f>#REF!</f>
        <v>#REF!</v>
      </c>
      <c r="E349" s="487" t="e">
        <f>#REF!</f>
        <v>#REF!</v>
      </c>
      <c r="F349" s="487" t="e">
        <f>#REF!</f>
        <v>#REF!</v>
      </c>
      <c r="G349" s="487" t="e">
        <f>#REF!</f>
        <v>#REF!</v>
      </c>
      <c r="H349" s="487" t="e">
        <f>#REF!</f>
        <v>#REF!</v>
      </c>
      <c r="I349" s="487" t="e">
        <f>#REF!</f>
        <v>#REF!</v>
      </c>
      <c r="J349" s="487" t="e">
        <f>#REF!</f>
        <v>#REF!</v>
      </c>
      <c r="K349" s="487" t="e">
        <f>#REF!</f>
        <v>#REF!</v>
      </c>
      <c r="L349" s="487" t="e">
        <f>#REF!</f>
        <v>#REF!</v>
      </c>
      <c r="M349" s="487" t="e">
        <f>#REF!</f>
        <v>#REF!</v>
      </c>
      <c r="N349" s="487" t="e">
        <f>#REF!</f>
        <v>#REF!</v>
      </c>
      <c r="O349" s="487" t="e">
        <f>#REF!</f>
        <v>#REF!</v>
      </c>
      <c r="P349" s="487" t="e">
        <f>#REF!</f>
        <v>#REF!</v>
      </c>
      <c r="Q349" s="487" t="e">
        <f>#REF!</f>
        <v>#REF!</v>
      </c>
      <c r="R349" s="487" t="e">
        <f>#REF!</f>
        <v>#REF!</v>
      </c>
      <c r="S349" s="487" t="e">
        <f>#REF!</f>
        <v>#REF!</v>
      </c>
      <c r="T349" s="487" t="e">
        <f>#REF!</f>
        <v>#REF!</v>
      </c>
      <c r="U349" s="487" t="e">
        <f>#REF!</f>
        <v>#REF!</v>
      </c>
      <c r="V349" s="487" t="e">
        <f>#REF!</f>
        <v>#REF!</v>
      </c>
      <c r="W349" s="487" t="e">
        <f>#REF!</f>
        <v>#REF!</v>
      </c>
      <c r="X349" s="487" t="e">
        <f>#REF!</f>
        <v>#REF!</v>
      </c>
      <c r="Y349" s="487" t="e">
        <f>#REF!</f>
        <v>#REF!</v>
      </c>
      <c r="Z349" s="487" t="e">
        <f>#REF!</f>
        <v>#REF!</v>
      </c>
      <c r="AA349" s="4"/>
    </row>
    <row r="350" spans="1:27" ht="14.25" hidden="1" customHeight="1" outlineLevel="1" x14ac:dyDescent="0.15">
      <c r="B350" s="8" t="s">
        <v>53</v>
      </c>
      <c r="C350" s="483">
        <f t="shared" ref="C350:Y350" si="29">IFERROR(C347,0)+IFERROR(C348,0)</f>
        <v>531966</v>
      </c>
      <c r="D350" s="483">
        <f t="shared" si="29"/>
        <v>613460</v>
      </c>
      <c r="E350" s="483">
        <f t="shared" si="29"/>
        <v>574112</v>
      </c>
      <c r="F350" s="483">
        <f t="shared" si="29"/>
        <v>533629</v>
      </c>
      <c r="G350" s="483">
        <f t="shared" si="29"/>
        <v>530248</v>
      </c>
      <c r="H350" s="483">
        <f t="shared" si="29"/>
        <v>565378</v>
      </c>
      <c r="I350" s="483">
        <f t="shared" si="29"/>
        <v>573997</v>
      </c>
      <c r="J350" s="483">
        <f t="shared" si="29"/>
        <v>572981.0655371336</v>
      </c>
      <c r="K350" s="483">
        <f t="shared" si="29"/>
        <v>575305</v>
      </c>
      <c r="L350" s="483">
        <f t="shared" si="29"/>
        <v>454100</v>
      </c>
      <c r="M350" s="483">
        <f t="shared" si="29"/>
        <v>533908</v>
      </c>
      <c r="N350" s="483">
        <f t="shared" si="29"/>
        <v>478247</v>
      </c>
      <c r="O350" s="483">
        <f t="shared" si="29"/>
        <v>490236</v>
      </c>
      <c r="P350" s="483">
        <f t="shared" si="29"/>
        <v>531918</v>
      </c>
      <c r="Q350" s="483">
        <f t="shared" si="29"/>
        <v>522877</v>
      </c>
      <c r="R350" s="483">
        <f t="shared" si="29"/>
        <v>466918</v>
      </c>
      <c r="S350" s="483">
        <f t="shared" si="29"/>
        <v>489816</v>
      </c>
      <c r="T350" s="483">
        <f t="shared" si="29"/>
        <v>595754</v>
      </c>
      <c r="U350" s="483">
        <f t="shared" si="29"/>
        <v>539295</v>
      </c>
      <c r="V350" s="483">
        <f t="shared" si="29"/>
        <v>564806</v>
      </c>
      <c r="W350" s="483">
        <f t="shared" si="29"/>
        <v>517918</v>
      </c>
      <c r="X350" s="483">
        <f t="shared" si="29"/>
        <v>442213</v>
      </c>
      <c r="Y350" s="483">
        <f t="shared" si="29"/>
        <v>439691</v>
      </c>
      <c r="Z350" s="483">
        <f>IFERROR(Z347,0)+IFERROR(Z348,0)</f>
        <v>454837</v>
      </c>
    </row>
    <row r="351" spans="1:27" ht="14.25" hidden="1" customHeight="1" outlineLevel="1" x14ac:dyDescent="0.15">
      <c r="B351" s="11" t="s">
        <v>32</v>
      </c>
      <c r="C351" s="488">
        <f t="shared" ref="C351:Y351" si="30">IFERROR(SUM(C340,-C350),0)</f>
        <v>-123933</v>
      </c>
      <c r="D351" s="488">
        <f t="shared" si="30"/>
        <v>2072913</v>
      </c>
      <c r="E351" s="488">
        <f t="shared" si="30"/>
        <v>698954</v>
      </c>
      <c r="F351" s="488">
        <f>IFERROR(SUM(F340,-F350),0)</f>
        <v>502734</v>
      </c>
      <c r="G351" s="488">
        <f t="shared" si="30"/>
        <v>705914</v>
      </c>
      <c r="H351" s="488">
        <f t="shared" si="30"/>
        <v>486118</v>
      </c>
      <c r="I351" s="488">
        <f t="shared" si="30"/>
        <v>651412</v>
      </c>
      <c r="J351" s="488">
        <f t="shared" si="30"/>
        <v>463266.9344628664</v>
      </c>
      <c r="K351" s="488">
        <f t="shared" si="30"/>
        <v>233735</v>
      </c>
      <c r="L351" s="488">
        <f t="shared" si="30"/>
        <v>287313</v>
      </c>
      <c r="M351" s="488">
        <f t="shared" si="30"/>
        <v>286482</v>
      </c>
      <c r="N351" s="488">
        <f t="shared" si="30"/>
        <v>381513</v>
      </c>
      <c r="O351" s="488">
        <f t="shared" si="30"/>
        <v>876578</v>
      </c>
      <c r="P351" s="488">
        <f t="shared" si="30"/>
        <v>17037</v>
      </c>
      <c r="Q351" s="488">
        <f t="shared" si="30"/>
        <v>637097</v>
      </c>
      <c r="R351" s="488">
        <f t="shared" si="30"/>
        <v>403628</v>
      </c>
      <c r="S351" s="488">
        <f t="shared" si="30"/>
        <v>371820</v>
      </c>
      <c r="T351" s="488">
        <f t="shared" si="30"/>
        <v>543356</v>
      </c>
      <c r="U351" s="488">
        <f t="shared" si="30"/>
        <v>595642</v>
      </c>
      <c r="V351" s="488">
        <f t="shared" si="30"/>
        <v>611157</v>
      </c>
      <c r="W351" s="488">
        <f t="shared" si="30"/>
        <v>754445</v>
      </c>
      <c r="X351" s="488">
        <f t="shared" si="30"/>
        <v>594210</v>
      </c>
      <c r="Y351" s="488">
        <f t="shared" si="30"/>
        <v>587753</v>
      </c>
      <c r="Z351" s="488">
        <f>IFERROR(SUM(Z340,-Z350),0)</f>
        <v>622224</v>
      </c>
      <c r="AA351" s="4">
        <f>SUM(O351:Z351)</f>
        <v>6614947</v>
      </c>
    </row>
    <row r="352" spans="1:27" ht="14.25" hidden="1" customHeight="1" outlineLevel="1" x14ac:dyDescent="0.15">
      <c r="B352" s="11"/>
    </row>
    <row r="353" spans="2:26" ht="14.25" hidden="1" customHeight="1" outlineLevel="1" x14ac:dyDescent="0.15">
      <c r="B353" s="11"/>
      <c r="X353" s="489"/>
      <c r="Y353" s="489"/>
      <c r="Z353" s="489"/>
    </row>
    <row r="354" spans="2:26" ht="14.25" hidden="1" customHeight="1" outlineLevel="1" x14ac:dyDescent="0.15"/>
    <row r="355" spans="2:26" ht="14.25" hidden="1" customHeight="1" outlineLevel="1" x14ac:dyDescent="0.15"/>
    <row r="356" spans="2:26" ht="14.25" hidden="1" customHeight="1" outlineLevel="1" x14ac:dyDescent="0.15"/>
    <row r="357" spans="2:26" ht="14.25" hidden="1" customHeight="1" outlineLevel="1" x14ac:dyDescent="0.15"/>
    <row r="358" spans="2:26" ht="14.25" hidden="1" customHeight="1" outlineLevel="1" x14ac:dyDescent="0.15"/>
    <row r="359" spans="2:26" ht="14.25" hidden="1" customHeight="1" outlineLevel="1" x14ac:dyDescent="0.15"/>
    <row r="360" spans="2:26" ht="14.25" hidden="1" customHeight="1" outlineLevel="1" x14ac:dyDescent="0.15"/>
    <row r="361" spans="2:26" ht="14.25" hidden="1" customHeight="1" outlineLevel="1" x14ac:dyDescent="0.15"/>
    <row r="362" spans="2:26" ht="14.25" hidden="1" customHeight="1" outlineLevel="1" x14ac:dyDescent="0.15"/>
    <row r="363" spans="2:26" ht="14.25" hidden="1" customHeight="1" outlineLevel="1" x14ac:dyDescent="0.15"/>
    <row r="364" spans="2:26" ht="14.25" hidden="1" customHeight="1" outlineLevel="1" x14ac:dyDescent="0.15"/>
    <row r="365" spans="2:26" ht="14.25" hidden="1" customHeight="1" outlineLevel="1" x14ac:dyDescent="0.15"/>
    <row r="366" spans="2:26" ht="14.25" hidden="1" customHeight="1" outlineLevel="1" x14ac:dyDescent="0.15"/>
    <row r="367" spans="2:26" ht="14.25" hidden="1" customHeight="1" outlineLevel="1" x14ac:dyDescent="0.15"/>
    <row r="368" spans="2:26" ht="14.25" hidden="1" customHeight="1" outlineLevel="1" x14ac:dyDescent="0.15"/>
    <row r="369" spans="1:27" ht="14.25" hidden="1" customHeight="1" outlineLevel="1" x14ac:dyDescent="0.15"/>
    <row r="370" spans="1:27" ht="14.25" hidden="1" customHeight="1" outlineLevel="1" x14ac:dyDescent="0.15"/>
    <row r="371" spans="1:27" ht="14.25" hidden="1" customHeight="1" outlineLevel="1" x14ac:dyDescent="0.15"/>
    <row r="372" spans="1:27" ht="14.25" hidden="1" customHeight="1" outlineLevel="1" x14ac:dyDescent="0.15"/>
    <row r="373" spans="1:27" ht="14.25" hidden="1" customHeight="1" outlineLevel="1" x14ac:dyDescent="0.15"/>
    <row r="374" spans="1:27" ht="14.25" hidden="1" customHeight="1" outlineLevel="1" x14ac:dyDescent="0.15"/>
    <row r="375" spans="1:27" ht="14.25" hidden="1" customHeight="1" outlineLevel="1" x14ac:dyDescent="0.15"/>
    <row r="376" spans="1:27" ht="14.25" hidden="1" customHeight="1" outlineLevel="1" x14ac:dyDescent="0.15"/>
    <row r="377" spans="1:27" ht="14.25" hidden="1" customHeight="1" outlineLevel="1" x14ac:dyDescent="0.15"/>
    <row r="378" spans="1:27" ht="14.25" hidden="1" customHeight="1" outlineLevel="1" x14ac:dyDescent="0.15"/>
    <row r="379" spans="1:27" ht="18.75" hidden="1" customHeight="1" outlineLevel="1" x14ac:dyDescent="0.15">
      <c r="A379" t="s">
        <v>747</v>
      </c>
      <c r="B379" s="43" t="str">
        <f>A379 &amp; "収支"</f>
        <v>GH白金収支</v>
      </c>
    </row>
    <row r="380" spans="1:27" ht="14.25" hidden="1" customHeight="1" outlineLevel="1" x14ac:dyDescent="0.15">
      <c r="B380" s="10"/>
      <c r="C380" s="668">
        <f t="shared" ref="C380:Z380" si="31">C$13</f>
        <v>42856</v>
      </c>
      <c r="D380" s="668">
        <f t="shared" si="31"/>
        <v>42887</v>
      </c>
      <c r="E380" s="668">
        <f t="shared" si="31"/>
        <v>42917</v>
      </c>
      <c r="F380" s="668">
        <f t="shared" si="31"/>
        <v>42948</v>
      </c>
      <c r="G380" s="668">
        <f t="shared" si="31"/>
        <v>42979</v>
      </c>
      <c r="H380" s="668">
        <f t="shared" si="31"/>
        <v>43009</v>
      </c>
      <c r="I380" s="668">
        <f t="shared" si="31"/>
        <v>43040</v>
      </c>
      <c r="J380" s="668">
        <f t="shared" si="31"/>
        <v>43070</v>
      </c>
      <c r="K380" s="668">
        <f t="shared" si="31"/>
        <v>43101</v>
      </c>
      <c r="L380" s="668">
        <f t="shared" si="31"/>
        <v>43132</v>
      </c>
      <c r="M380" s="668">
        <f t="shared" si="31"/>
        <v>43160</v>
      </c>
      <c r="N380" s="668">
        <f t="shared" si="31"/>
        <v>43191</v>
      </c>
      <c r="O380" s="668">
        <f t="shared" si="31"/>
        <v>43221</v>
      </c>
      <c r="P380" s="668">
        <f t="shared" si="31"/>
        <v>43252</v>
      </c>
      <c r="Q380" s="668">
        <f t="shared" si="31"/>
        <v>43282</v>
      </c>
      <c r="R380" s="668">
        <f t="shared" si="31"/>
        <v>43313</v>
      </c>
      <c r="S380" s="668">
        <f t="shared" si="31"/>
        <v>43344</v>
      </c>
      <c r="T380" s="668">
        <f t="shared" si="31"/>
        <v>43374</v>
      </c>
      <c r="U380" s="668">
        <f t="shared" si="31"/>
        <v>43405</v>
      </c>
      <c r="V380" s="668">
        <f t="shared" si="31"/>
        <v>43435</v>
      </c>
      <c r="W380" s="668">
        <f t="shared" si="31"/>
        <v>43466</v>
      </c>
      <c r="X380" s="668">
        <f t="shared" si="31"/>
        <v>43497</v>
      </c>
      <c r="Y380" s="668">
        <f t="shared" si="31"/>
        <v>43525</v>
      </c>
      <c r="Z380" s="668">
        <f t="shared" si="31"/>
        <v>43556</v>
      </c>
    </row>
    <row r="381" spans="1:27" ht="14.25" hidden="1" customHeight="1" outlineLevel="1" x14ac:dyDescent="0.15">
      <c r="B381" s="12" t="s">
        <v>21</v>
      </c>
      <c r="C381" s="482">
        <f>IFERROR(IF(GETPIVOTDATA("合計 / " &amp; $B381,【ピボット】事業所収支!$A$3,"年月",C$13,"事業所",$A$379)=0,#N/A,GETPIVOTDATA("合計 / " &amp; $B381,【ピボット】事業所収支!$A$3,"年月",C$13,"事業所",$A$379)),#N/A)</f>
        <v>1119631</v>
      </c>
      <c r="D381" s="482">
        <f>IFERROR(IF(GETPIVOTDATA("合計 / " &amp; $B381,【ピボット】事業所収支!$A$3,"年月",D$13,"事業所",$A$379)=0,#N/A,GETPIVOTDATA("合計 / " &amp; $B381,【ピボット】事業所収支!$A$3,"年月",D$13,"事業所",$A$379)),#N/A)</f>
        <v>2075072</v>
      </c>
      <c r="E381" s="482">
        <f>IFERROR(IF(GETPIVOTDATA("合計 / " &amp; $B381,【ピボット】事業所収支!$A$3,"年月",E$13,"事業所",$A$379)=0,#N/A,GETPIVOTDATA("合計 / " &amp; $B381,【ピボット】事業所収支!$A$3,"年月",E$13,"事業所",$A$379)),#N/A)</f>
        <v>1101492</v>
      </c>
      <c r="F381" s="482">
        <f>IFERROR(IF(GETPIVOTDATA("合計 / " &amp; $B381,【ピボット】事業所収支!$A$3,"年月",F$13,"事業所",$A$379)=0,#N/A,GETPIVOTDATA("合計 / " &amp; $B381,【ピボット】事業所収支!$A$3,"年月",F$13,"事業所",$A$379)),#N/A)</f>
        <v>1001492</v>
      </c>
      <c r="G381" s="482">
        <f>IFERROR(IF(GETPIVOTDATA("合計 / " &amp; $B381,【ピボット】事業所収支!$A$3,"年月",G$13,"事業所",$A$379)=0,#N/A,GETPIVOTDATA("合計 / " &amp; $B381,【ピボット】事業所収支!$A$3,"年月",G$13,"事業所",$A$379)),#N/A)</f>
        <v>1015378</v>
      </c>
      <c r="H381" s="482">
        <f>IFERROR(IF(GETPIVOTDATA("合計 / " &amp; $B381,【ピボット】事業所収支!$A$3,"年月",H$13,"事業所",$A$379)=0,#N/A,GETPIVOTDATA("合計 / " &amp; $B381,【ピボット】事業所収支!$A$3,"年月",H$13,"事業所",$A$379)),#N/A)</f>
        <v>1061492</v>
      </c>
      <c r="I381" s="482">
        <f>IFERROR(IF(GETPIVOTDATA("合計 / " &amp; $B381,【ピボット】事業所収支!$A$3,"年月",I$13,"事業所",$A$379)=0,#N/A,GETPIVOTDATA("合計 / " &amp; $B381,【ピボット】事業所収支!$A$3,"年月",I$13,"事業所",$A$379)),#N/A)</f>
        <v>1000792</v>
      </c>
      <c r="J381" s="482">
        <f>IFERROR(IF(GETPIVOTDATA("合計 / " &amp; $B381,【ピボット】事業所収支!$A$3,"年月",J$13,"事業所",$A$379)=0,#N/A,GETPIVOTDATA("合計 / " &amp; $B381,【ピボット】事業所収支!$A$3,"年月",J$13,"事業所",$A$379)),#N/A)</f>
        <v>1061492</v>
      </c>
      <c r="K381" s="482">
        <f>IFERROR(IF(GETPIVOTDATA("合計 / " &amp; $B381,【ピボット】事業所収支!$A$3,"年月",K$13,"事業所",$A$379)=0,#N/A,GETPIVOTDATA("合計 / " &amp; $B381,【ピボット】事業所収支!$A$3,"年月",K$13,"事業所",$A$379)),#N/A)</f>
        <v>1016092</v>
      </c>
      <c r="L381" s="482">
        <f>IFERROR(IF(GETPIVOTDATA("合計 / " &amp; $B381,【ピボット】事業所収支!$A$3,"年月",L$13,"事業所",$A$379)=0,#N/A,GETPIVOTDATA("合計 / " &amp; $B381,【ピボット】事業所収支!$A$3,"年月",L$13,"事業所",$A$379)),#N/A)</f>
        <v>939922</v>
      </c>
      <c r="M381" s="482">
        <f>IFERROR(IF(GETPIVOTDATA("合計 / " &amp; $B381,【ピボット】事業所収支!$A$3,"年月",M$13,"事業所",$A$379)=0,#N/A,GETPIVOTDATA("合計 / " &amp; $B381,【ピボット】事業所収支!$A$3,"年月",M$13,"事業所",$A$379)),#N/A)</f>
        <v>1205836</v>
      </c>
      <c r="N381" s="482">
        <f>IFERROR(IF(GETPIVOTDATA("合計 / " &amp; $B381,【ピボット】事業所収支!$A$3,"年月",N$13,"事業所",$A$379)=0,#N/A,GETPIVOTDATA("合計 / " &amp; $B381,【ピボット】事業所収支!$A$3,"年月",N$13,"事業所",$A$379)),#N/A)</f>
        <v>1038460</v>
      </c>
      <c r="O381" s="482">
        <f>IFERROR(IF(GETPIVOTDATA("合計 / " &amp; $B381,【ピボット】事業所収支!$A$3,"年月",O$13,"事業所",$A$379)=0,#N/A,GETPIVOTDATA("合計 / " &amp; $B381,【ピボット】事業所収支!$A$3,"年月",O$13,"事業所",$A$379)),#N/A)</f>
        <v>1150795</v>
      </c>
      <c r="P381" s="482">
        <f>IFERROR(IF(GETPIVOTDATA("合計 / " &amp; $B381,【ピボット】事業所収支!$A$3,"年月",P$13,"事業所",$A$379)=0,#N/A,GETPIVOTDATA("合計 / " &amp; $B381,【ピボット】事業所収支!$A$3,"年月",P$13,"事業所",$A$379)),#N/A)</f>
        <v>1054056</v>
      </c>
      <c r="Q381" s="482">
        <f>IFERROR(IF(GETPIVOTDATA("合計 / " &amp; $B381,【ピボット】事業所収支!$A$3,"年月",Q$13,"事業所",$A$379)=0,#N/A,GETPIVOTDATA("合計 / " &amp; $B381,【ピボット】事業所収支!$A$3,"年月",Q$13,"事業所",$A$379)),#N/A)</f>
        <v>1085268</v>
      </c>
      <c r="R381" s="482">
        <f>IFERROR(IF(GETPIVOTDATA("合計 / " &amp; $B381,【ピボット】事業所収支!$A$3,"年月",R$13,"事業所",$A$379)=0,#N/A,GETPIVOTDATA("合計 / " &amp; $B381,【ピボット】事業所収支!$A$3,"年月",R$13,"事業所",$A$379)),#N/A)</f>
        <v>923999</v>
      </c>
      <c r="S381" s="482">
        <f>IFERROR(IF(GETPIVOTDATA("合計 / " &amp; $B381,【ピボット】事業所収支!$A$3,"年月",S$13,"事業所",$A$379)=0,#N/A,GETPIVOTDATA("合計 / " &amp; $B381,【ピボット】事業所収支!$A$3,"年月",S$13,"事業所",$A$379)),#N/A)</f>
        <v>1050085</v>
      </c>
      <c r="T381" s="482">
        <f>IFERROR(IF(GETPIVOTDATA("合計 / " &amp; $B381,【ピボット】事業所収支!$A$3,"年月",T$13,"事業所",$A$379)=0,#N/A,GETPIVOTDATA("合計 / " &amp; $B381,【ピボット】事業所収支!$A$3,"年月",T$13,"事業所",$A$379)),#N/A)</f>
        <v>1087657</v>
      </c>
      <c r="U381" s="482">
        <f>IFERROR(IF(GETPIVOTDATA("合計 / " &amp; $B381,【ピボット】事業所収支!$A$3,"年月",U$13,"事業所",$A$379)=0,#N/A,GETPIVOTDATA("合計 / " &amp; $B381,【ピボット】事業所収支!$A$3,"年月",U$13,"事業所",$A$379)),#N/A)</f>
        <v>1070236</v>
      </c>
      <c r="V381" s="482">
        <f>IFERROR(IF(GETPIVOTDATA("合計 / " &amp; $B381,【ピボット】事業所収支!$A$3,"年月",V$13,"事業所",$A$379)=0,#N/A,GETPIVOTDATA("合計 / " &amp; $B381,【ピボット】事業所収支!$A$3,"年月",V$13,"事業所",$A$379)),#N/A)</f>
        <v>1102442</v>
      </c>
      <c r="W381" s="482">
        <f>IFERROR(IF(GETPIVOTDATA("合計 / " &amp; $B381,【ピボット】事業所収支!$A$3,"年月",W$13,"事業所",$A$379)=0,#N/A,GETPIVOTDATA("合計 / " &amp; $B381,【ピボット】事業所収支!$A$3,"年月",W$13,"事業所",$A$379)),#N/A)</f>
        <v>1356442</v>
      </c>
      <c r="X381" s="482">
        <f>IFERROR(IF(GETPIVOTDATA("合計 / " &amp; $B381,【ピボット】事業所収支!$A$3,"年月",X$13,"事業所",$A$379)=0,#N/A,GETPIVOTDATA("合計 / " &amp; $B381,【ピボット】事業所収支!$A$3,"年月",X$13,"事業所",$A$379)),#N/A)</f>
        <v>1005836</v>
      </c>
      <c r="Y381" s="482">
        <f>IFERROR(IF(GETPIVOTDATA("合計 / " &amp; $B381,【ピボット】事業所収支!$A$3,"年月",Y$13,"事業所",$A$379)=0,#N/A,GETPIVOTDATA("合計 / " &amp; $B381,【ピボット】事業所収支!$A$3,"年月",Y$13,"事業所",$A$379)),#N/A)</f>
        <v>973793</v>
      </c>
      <c r="Z381" s="482">
        <f>IFERROR(IF(GETPIVOTDATA("合計 / " &amp; $B381,【ピボット】事業所収支!$A$3,"年月",Z$13,"事業所",$A$379)=0,#N/A,GETPIVOTDATA("合計 / " &amp; $B381,【ピボット】事業所収支!$A$3,"年月",Z$13,"事業所",$A$379)),#N/A)</f>
        <v>797482</v>
      </c>
    </row>
    <row r="382" spans="1:27" ht="14.25" hidden="1" customHeight="1" outlineLevel="1" x14ac:dyDescent="0.15">
      <c r="B382" s="7" t="s">
        <v>28</v>
      </c>
      <c r="C382" s="492">
        <f>IFERROR(IF(GETPIVOTDATA("合計 / " &amp; $B382,【ピボット】事業所収支!$A$3,"年月",C$13,"事業所",$A$379)=0,#N/A,GETPIVOTDATA("合計 / " &amp; $B382,【ピボット】事業所収支!$A$3,"年月",C$13,"事業所",$A$379)),#N/A)</f>
        <v>287775</v>
      </c>
      <c r="D382" s="492">
        <f>IFERROR(IF(GETPIVOTDATA("合計 / " &amp; $B382,【ピボット】事業所収支!$A$3,"年月",D$13,"事業所",$A$379)=0,#N/A,GETPIVOTDATA("合計 / " &amp; $B382,【ピボット】事業所収支!$A$3,"年月",D$13,"事業所",$A$379)),#N/A)</f>
        <v>302450</v>
      </c>
      <c r="E382" s="492">
        <f>IFERROR(IF(GETPIVOTDATA("合計 / " &amp; $B382,【ピボット】事業所収支!$A$3,"年月",E$13,"事業所",$A$379)=0,#N/A,GETPIVOTDATA("合計 / " &amp; $B382,【ピボット】事業所収支!$A$3,"年月",E$13,"事業所",$A$379)),#N/A)</f>
        <v>314200</v>
      </c>
      <c r="F382" s="492">
        <f>IFERROR(IF(GETPIVOTDATA("合計 / " &amp; $B382,【ピボット】事業所収支!$A$3,"年月",F$13,"事業所",$A$379)=0,#N/A,GETPIVOTDATA("合計 / " &amp; $B382,【ピボット】事業所収支!$A$3,"年月",F$13,"事業所",$A$379)),#N/A)</f>
        <v>323725</v>
      </c>
      <c r="G382" s="492">
        <f>IFERROR(IF(GETPIVOTDATA("合計 / " &amp; $B382,【ピボット】事業所収支!$A$3,"年月",G$13,"事業所",$A$379)=0,#N/A,GETPIVOTDATA("合計 / " &amp; $B382,【ピボット】事業所収支!$A$3,"年月",G$13,"事業所",$A$379)),#N/A)</f>
        <v>302925</v>
      </c>
      <c r="H382" s="492">
        <f>IFERROR(IF(GETPIVOTDATA("合計 / " &amp; $B382,【ピボット】事業所収支!$A$3,"年月",H$13,"事業所",$A$379)=0,#N/A,GETPIVOTDATA("合計 / " &amp; $B382,【ピボット】事業所収支!$A$3,"年月",H$13,"事業所",$A$379)),#N/A)</f>
        <v>310225</v>
      </c>
      <c r="I382" s="492">
        <f>IFERROR(IF(GETPIVOTDATA("合計 / " &amp; $B382,【ピボット】事業所収支!$A$3,"年月",I$13,"事業所",$A$379)=0,#N/A,GETPIVOTDATA("合計 / " &amp; $B382,【ピボット】事業所収支!$A$3,"年月",I$13,"事業所",$A$379)),#N/A)</f>
        <v>282700</v>
      </c>
      <c r="J382" s="492">
        <f>IFERROR(IF(GETPIVOTDATA("合計 / " &amp; $B382,【ピボット】事業所収支!$A$3,"年月",J$13,"事業所",$A$379)=0,#N/A,GETPIVOTDATA("合計 / " &amp; $B382,【ピボット】事業所収支!$A$3,"年月",J$13,"事業所",$A$379)),#N/A)</f>
        <v>316550</v>
      </c>
      <c r="K382" s="492">
        <f>IFERROR(IF(GETPIVOTDATA("合計 / " &amp; $B382,【ピボット】事業所収支!$A$3,"年月",K$13,"事業所",$A$379)=0,#N/A,GETPIVOTDATA("合計 / " &amp; $B382,【ピボット】事業所収支!$A$3,"年月",K$13,"事業所",$A$379)),#N/A)</f>
        <v>285100</v>
      </c>
      <c r="L382" s="492">
        <f>IFERROR(IF(GETPIVOTDATA("合計 / " &amp; $B382,【ピボット】事業所収支!$A$3,"年月",L$13,"事業所",$A$379)=0,#N/A,GETPIVOTDATA("合計 / " &amp; $B382,【ピボット】事業所収支!$A$3,"年月",L$13,"事業所",$A$379)),#N/A)</f>
        <v>254875</v>
      </c>
      <c r="M382" s="492">
        <f>IFERROR(IF(GETPIVOTDATA("合計 / " &amp; $B382,【ピボット】事業所収支!$A$3,"年月",M$13,"事業所",$A$379)=0,#N/A,GETPIVOTDATA("合計 / " &amp; $B382,【ピボット】事業所収支!$A$3,"年月",M$13,"事業所",$A$379)),#N/A)</f>
        <v>301575</v>
      </c>
      <c r="N382" s="492">
        <f>IFERROR(IF(GETPIVOTDATA("合計 / " &amp; $B382,【ピボット】事業所収支!$A$3,"年月",N$13,"事業所",$A$379)=0,#N/A,GETPIVOTDATA("合計 / " &amp; $B382,【ピボット】事業所収支!$A$3,"年月",N$13,"事業所",$A$379)),#N/A)</f>
        <v>285775</v>
      </c>
      <c r="O382" s="492">
        <f>IFERROR(IF(GETPIVOTDATA("合計 / " &amp; $B382,【ピボット】事業所収支!$A$3,"年月",O$13,"事業所",$A$379)=0,#N/A,GETPIVOTDATA("合計 / " &amp; $B382,【ピボット】事業所収支!$A$3,"年月",O$13,"事業所",$A$379)),#N/A)</f>
        <v>303275</v>
      </c>
      <c r="P382" s="492">
        <f>IFERROR(IF(GETPIVOTDATA("合計 / " &amp; $B382,【ピボット】事業所収支!$A$3,"年月",P$13,"事業所",$A$379)=0,#N/A,GETPIVOTDATA("合計 / " &amp; $B382,【ピボット】事業所収支!$A$3,"年月",P$13,"事業所",$A$379)),#N/A)</f>
        <v>299100</v>
      </c>
      <c r="Q382" s="492">
        <f>IFERROR(IF(GETPIVOTDATA("合計 / " &amp; $B382,【ピボット】事業所収支!$A$3,"年月",Q$13,"事業所",$A$379)=0,#N/A,GETPIVOTDATA("合計 / " &amp; $B382,【ピボット】事業所収支!$A$3,"年月",Q$13,"事業所",$A$379)),#N/A)</f>
        <v>302725</v>
      </c>
      <c r="R382" s="492">
        <f>IFERROR(IF(GETPIVOTDATA("合計 / " &amp; $B382,【ピボット】事業所収支!$A$3,"年月",R$13,"事業所",$A$379)=0,#N/A,GETPIVOTDATA("合計 / " &amp; $B382,【ピボット】事業所収支!$A$3,"年月",R$13,"事業所",$A$379)),#N/A)</f>
        <v>307500</v>
      </c>
      <c r="S382" s="492">
        <f>IFERROR(IF(GETPIVOTDATA("合計 / " &amp; $B382,【ピボット】事業所収支!$A$3,"年月",S$13,"事業所",$A$379)=0,#N/A,GETPIVOTDATA("合計 / " &amp; $B382,【ピボット】事業所収支!$A$3,"年月",S$13,"事業所",$A$379)),#N/A)</f>
        <v>290550</v>
      </c>
      <c r="T382" s="492">
        <f>IFERROR(IF(GETPIVOTDATA("合計 / " &amp; $B382,【ピボット】事業所収支!$A$3,"年月",T$13,"事業所",$A$379)=0,#N/A,GETPIVOTDATA("合計 / " &amp; $B382,【ピボット】事業所収支!$A$3,"年月",T$13,"事業所",$A$379)),#N/A)</f>
        <v>290975</v>
      </c>
      <c r="U382" s="492">
        <f>IFERROR(IF(GETPIVOTDATA("合計 / " &amp; $B382,【ピボット】事業所収支!$A$3,"年月",U$13,"事業所",$A$379)=0,#N/A,GETPIVOTDATA("合計 / " &amp; $B382,【ピボット】事業所収支!$A$3,"年月",U$13,"事業所",$A$379)),#N/A)</f>
        <v>251250</v>
      </c>
      <c r="V382" s="492">
        <f>IFERROR(IF(GETPIVOTDATA("合計 / " &amp; $B382,【ピボット】事業所収支!$A$3,"年月",V$13,"事業所",$A$379)=0,#N/A,GETPIVOTDATA("合計 / " &amp; $B382,【ピボット】事業所収支!$A$3,"年月",V$13,"事業所",$A$379)),#N/A)</f>
        <v>227000</v>
      </c>
      <c r="W382" s="492">
        <f>IFERROR(IF(GETPIVOTDATA("合計 / " &amp; $B382,【ピボット】事業所収支!$A$3,"年月",W$13,"事業所",$A$379)=0,#N/A,GETPIVOTDATA("合計 / " &amp; $B382,【ピボット】事業所収支!$A$3,"年月",W$13,"事業所",$A$379)),#N/A)</f>
        <v>238000</v>
      </c>
      <c r="X382" s="492">
        <f>IFERROR(IF(GETPIVOTDATA("合計 / " &amp; $B382,【ピボット】事業所収支!$A$3,"年月",X$13,"事業所",$A$379)=0,#N/A,GETPIVOTDATA("合計 / " &amp; $B382,【ピボット】事業所収支!$A$3,"年月",X$13,"事業所",$A$379)),#N/A)</f>
        <v>199000</v>
      </c>
      <c r="Y382" s="492">
        <f>IFERROR(IF(GETPIVOTDATA("合計 / " &amp; $B382,【ピボット】事業所収支!$A$3,"年月",Y$13,"事業所",$A$379)=0,#N/A,GETPIVOTDATA("合計 / " &amp; $B382,【ピボット】事業所収支!$A$3,"年月",Y$13,"事業所",$A$379)),#N/A)</f>
        <v>219000</v>
      </c>
      <c r="Z382" s="492">
        <f>IFERROR(IF(GETPIVOTDATA("合計 / " &amp; $B382,【ピボット】事業所収支!$A$3,"年月",Z$13,"事業所",$A$379)=0,#N/A,GETPIVOTDATA("合計 / " &amp; $B382,【ピボット】事業所収支!$A$3,"年月",Z$13,"事業所",$A$379)),#N/A)</f>
        <v>209300</v>
      </c>
      <c r="AA382" s="4"/>
    </row>
    <row r="383" spans="1:27" ht="14.25" hidden="1" customHeight="1" outlineLevel="1" x14ac:dyDescent="0.15">
      <c r="B383" s="8" t="s">
        <v>27</v>
      </c>
      <c r="C383" s="492">
        <f>IFERROR(IF(GETPIVOTDATA("合計 / " &amp; $B383,【ピボット】事業所収支!$A$3,"年月",C$13,"事業所",$A$379)=0,#N/A,GETPIVOTDATA("合計 / " &amp; $B383,【ピボット】事業所収支!$A$3,"年月",C$13,"事業所",$A$379)),#N/A)</f>
        <v>50000</v>
      </c>
      <c r="D383" s="492">
        <f>IFERROR(IF(GETPIVOTDATA("合計 / " &amp; $B383,【ピボット】事業所収支!$A$3,"年月",D$13,"事業所",$A$379)=0,#N/A,GETPIVOTDATA("合計 / " &amp; $B383,【ピボット】事業所収支!$A$3,"年月",D$13,"事業所",$A$379)),#N/A)</f>
        <v>325000</v>
      </c>
      <c r="E383" s="492">
        <f>IFERROR(IF(GETPIVOTDATA("合計 / " &amp; $B383,【ピボット】事業所収支!$A$3,"年月",E$13,"事業所",$A$379)=0,#N/A,GETPIVOTDATA("合計 / " &amp; $B383,【ピボット】事業所収支!$A$3,"年月",E$13,"事業所",$A$379)),#N/A)</f>
        <v>186500</v>
      </c>
      <c r="F383" s="492">
        <f>IFERROR(IF(GETPIVOTDATA("合計 / " &amp; $B383,【ピボット】事業所収支!$A$3,"年月",F$13,"事業所",$A$379)=0,#N/A,GETPIVOTDATA("合計 / " &amp; $B383,【ピボット】事業所収支!$A$3,"年月",F$13,"事業所",$A$379)),#N/A)</f>
        <v>50000</v>
      </c>
      <c r="G383" s="492">
        <f>IFERROR(IF(GETPIVOTDATA("合計 / " &amp; $B383,【ピボット】事業所収支!$A$3,"年月",G$13,"事業所",$A$379)=0,#N/A,GETPIVOTDATA("合計 / " &amp; $B383,【ピボット】事業所収支!$A$3,"年月",G$13,"事業所",$A$379)),#N/A)</f>
        <v>50000</v>
      </c>
      <c r="H383" s="492">
        <f>IFERROR(IF(GETPIVOTDATA("合計 / " &amp; $B383,【ピボット】事業所収支!$A$3,"年月",H$13,"事業所",$A$379)=0,#N/A,GETPIVOTDATA("合計 / " &amp; $B383,【ピボット】事業所収支!$A$3,"年月",H$13,"事業所",$A$379)),#N/A)</f>
        <v>50000</v>
      </c>
      <c r="I383" s="492">
        <f>IFERROR(IF(GETPIVOTDATA("合計 / " &amp; $B383,【ピボット】事業所収支!$A$3,"年月",I$13,"事業所",$A$379)=0,#N/A,GETPIVOTDATA("合計 / " &amp; $B383,【ピボット】事業所収支!$A$3,"年月",I$13,"事業所",$A$379)),#N/A)</f>
        <v>50000</v>
      </c>
      <c r="J383" s="492">
        <f>IFERROR(IF(GETPIVOTDATA("合計 / " &amp; $B383,【ピボット】事業所収支!$A$3,"年月",J$13,"事業所",$A$379)=0,#N/A,GETPIVOTDATA("合計 / " &amp; $B383,【ピボット】事業所収支!$A$3,"年月",J$13,"事業所",$A$379)),#N/A)</f>
        <v>50000</v>
      </c>
      <c r="K383" s="492" t="e">
        <f>IFERROR(IF(GETPIVOTDATA("合計 / " &amp; $B383,【ピボット】事業所収支!$A$3,"年月",K$13,"事業所",$A$379)=0,#N/A,GETPIVOTDATA("合計 / " &amp; $B383,【ピボット】事業所収支!$A$3,"年月",K$13,"事業所",$A$379)),#N/A)</f>
        <v>#N/A</v>
      </c>
      <c r="L383" s="492" t="e">
        <f>IFERROR(IF(GETPIVOTDATA("合計 / " &amp; $B383,【ピボット】事業所収支!$A$3,"年月",L$13,"事業所",$A$379)=0,#N/A,GETPIVOTDATA("合計 / " &amp; $B383,【ピボット】事業所収支!$A$3,"年月",L$13,"事業所",$A$379)),#N/A)</f>
        <v>#N/A</v>
      </c>
      <c r="M383" s="492" t="e">
        <f>IFERROR(IF(GETPIVOTDATA("合計 / " &amp; $B383,【ピボット】事業所収支!$A$3,"年月",M$13,"事業所",$A$379)=0,#N/A,GETPIVOTDATA("合計 / " &amp; $B383,【ピボット】事業所収支!$A$3,"年月",M$13,"事業所",$A$379)),#N/A)</f>
        <v>#N/A</v>
      </c>
      <c r="N383" s="492" t="e">
        <f>IFERROR(IF(GETPIVOTDATA("合計 / " &amp; $B383,【ピボット】事業所収支!$A$3,"年月",N$13,"事業所",$A$379)=0,#N/A,GETPIVOTDATA("合計 / " &amp; $B383,【ピボット】事業所収支!$A$3,"年月",N$13,"事業所",$A$379)),#N/A)</f>
        <v>#N/A</v>
      </c>
      <c r="O383" s="492" t="e">
        <f>IFERROR(IF(GETPIVOTDATA("合計 / " &amp; $B383,【ピボット】事業所収支!$A$3,"年月",O$13,"事業所",$A$379)=0,#N/A,GETPIVOTDATA("合計 / " &amp; $B383,【ピボット】事業所収支!$A$3,"年月",O$13,"事業所",$A$379)),#N/A)</f>
        <v>#N/A</v>
      </c>
      <c r="P383" s="492" t="e">
        <f>IFERROR(IF(GETPIVOTDATA("合計 / " &amp; $B383,【ピボット】事業所収支!$A$3,"年月",P$13,"事業所",$A$379)=0,#N/A,GETPIVOTDATA("合計 / " &amp; $B383,【ピボット】事業所収支!$A$3,"年月",P$13,"事業所",$A$379)),#N/A)</f>
        <v>#N/A</v>
      </c>
      <c r="Q383" s="483" t="e">
        <f>IFERROR(IF(GETPIVOTDATA("合計 / " &amp; $B383,【ピボット】事業所収支!$A$3,"年月",Q$13,"事業所",$A$379)=0,#N/A,GETPIVOTDATA("合計 / " &amp; $B383,【ピボット】事業所収支!$A$3,"年月",Q$13,"事業所",$A$379)),#N/A)</f>
        <v>#N/A</v>
      </c>
      <c r="R383" s="483" t="e">
        <f>IFERROR(IF(GETPIVOTDATA("合計 / " &amp; $B383,【ピボット】事業所収支!$A$3,"年月",R$13,"事業所",$A$379)=0,#N/A,GETPIVOTDATA("合計 / " &amp; $B383,【ピボット】事業所収支!$A$3,"年月",R$13,"事業所",$A$379)),#N/A)</f>
        <v>#N/A</v>
      </c>
      <c r="S383" s="483" t="e">
        <f>IFERROR(IF(GETPIVOTDATA("合計 / " &amp; $B383,【ピボット】事業所収支!$A$3,"年月",S$13,"事業所",$A$379)=0,#N/A,GETPIVOTDATA("合計 / " &amp; $B383,【ピボット】事業所収支!$A$3,"年月",S$13,"事業所",$A$379)),#N/A)</f>
        <v>#N/A</v>
      </c>
      <c r="T383" s="483" t="e">
        <f>IFERROR(IF(GETPIVOTDATA("合計 / " &amp; $B383,【ピボット】事業所収支!$A$3,"年月",T$13,"事業所",$A$379)=0,#N/A,GETPIVOTDATA("合計 / " &amp; $B383,【ピボット】事業所収支!$A$3,"年月",T$13,"事業所",$A$379)),#N/A)</f>
        <v>#N/A</v>
      </c>
      <c r="U383" s="483" t="e">
        <f>IFERROR(IF(GETPIVOTDATA("合計 / " &amp; $B383,【ピボット】事業所収支!$A$3,"年月",U$13,"事業所",$A$379)=0,#N/A,GETPIVOTDATA("合計 / " &amp; $B383,【ピボット】事業所収支!$A$3,"年月",U$13,"事業所",$A$379)),#N/A)</f>
        <v>#N/A</v>
      </c>
      <c r="V383" s="483" t="e">
        <f>IFERROR(IF(GETPIVOTDATA("合計 / " &amp; $B383,【ピボット】事業所収支!$A$3,"年月",V$13,"事業所",$A$379)=0,#N/A,GETPIVOTDATA("合計 / " &amp; $B383,【ピボット】事業所収支!$A$3,"年月",V$13,"事業所",$A$379)),#N/A)</f>
        <v>#N/A</v>
      </c>
      <c r="W383" s="483" t="e">
        <f>IFERROR(IF(GETPIVOTDATA("合計 / " &amp; $B383,【ピボット】事業所収支!$A$3,"年月",W$13,"事業所",$A$379)=0,#N/A,GETPIVOTDATA("合計 / " &amp; $B383,【ピボット】事業所収支!$A$3,"年月",W$13,"事業所",$A$379)),#N/A)</f>
        <v>#N/A</v>
      </c>
      <c r="X383" s="483" t="e">
        <f>IFERROR(IF(GETPIVOTDATA("合計 / " &amp; $B383,【ピボット】事業所収支!$A$3,"年月",X$13,"事業所",$A$379)=0,#N/A,GETPIVOTDATA("合計 / " &amp; $B383,【ピボット】事業所収支!$A$3,"年月",X$13,"事業所",$A$379)),#N/A)</f>
        <v>#N/A</v>
      </c>
      <c r="Y383" s="483" t="e">
        <f>IFERROR(IF(GETPIVOTDATA("合計 / " &amp; $B383,【ピボット】事業所収支!$A$3,"年月",Y$13,"事業所",$A$379)=0,#N/A,GETPIVOTDATA("合計 / " &amp; $B383,【ピボット】事業所収支!$A$3,"年月",Y$13,"事業所",$A$379)),#N/A)</f>
        <v>#N/A</v>
      </c>
      <c r="Z383" s="483" t="e">
        <f>IFERROR(IF(GETPIVOTDATA("合計 / " &amp; $B383,【ピボット】事業所収支!$A$3,"年月",Z$13,"事業所",$A$379)=0,#N/A,GETPIVOTDATA("合計 / " &amp; $B383,【ピボット】事業所収支!$A$3,"年月",Z$13,"事業所",$A$379)),#N/A)</f>
        <v>#N/A</v>
      </c>
      <c r="AA383" s="1"/>
    </row>
    <row r="384" spans="1:27" ht="14.25" hidden="1" customHeight="1" outlineLevel="1" x14ac:dyDescent="0.15">
      <c r="B384" s="8" t="s">
        <v>60</v>
      </c>
      <c r="C384" s="492" t="e">
        <f>IFERROR(IF(GETPIVOTDATA("合計 / " &amp; $B384,【ピボット】事業所収支!$A$3,"年月",C$13,"事業所",$A$379)=0,#N/A,GETPIVOTDATA("合計 / " &amp; $B384,【ピボット】事業所収支!$A$3,"年月",C$13,"事業所",$A$379)),#N/A)</f>
        <v>#N/A</v>
      </c>
      <c r="D384" s="492" t="e">
        <f>IFERROR(IF(GETPIVOTDATA("合計 / " &amp; $B384,【ピボット】事業所収支!$A$3,"年月",D$13,"事業所",$A$379)=0,#N/A,GETPIVOTDATA("合計 / " &amp; $B384,【ピボット】事業所収支!$A$3,"年月",D$13,"事業所",$A$379)),#N/A)</f>
        <v>#N/A</v>
      </c>
      <c r="E384" s="492" t="e">
        <f>IFERROR(IF(GETPIVOTDATA("合計 / " &amp; $B384,【ピボット】事業所収支!$A$3,"年月",E$13,"事業所",$A$379)=0,#N/A,GETPIVOTDATA("合計 / " &amp; $B384,【ピボット】事業所収支!$A$3,"年月",E$13,"事業所",$A$379)),#N/A)</f>
        <v>#N/A</v>
      </c>
      <c r="F384" s="492" t="e">
        <f>IFERROR(IF(GETPIVOTDATA("合計 / " &amp; $B384,【ピボット】事業所収支!$A$3,"年月",F$13,"事業所",$A$379)=0,#N/A,GETPIVOTDATA("合計 / " &amp; $B384,【ピボット】事業所収支!$A$3,"年月",F$13,"事業所",$A$379)),#N/A)</f>
        <v>#N/A</v>
      </c>
      <c r="G384" s="492" t="e">
        <f>IFERROR(IF(GETPIVOTDATA("合計 / " &amp; $B384,【ピボット】事業所収支!$A$3,"年月",G$13,"事業所",$A$379)=0,#N/A,GETPIVOTDATA("合計 / " &amp; $B384,【ピボット】事業所収支!$A$3,"年月",G$13,"事業所",$A$379)),#N/A)</f>
        <v>#N/A</v>
      </c>
      <c r="H384" s="492" t="e">
        <f>IFERROR(IF(GETPIVOTDATA("合計 / " &amp; $B384,【ピボット】事業所収支!$A$3,"年月",H$13,"事業所",$A$379)=0,#N/A,GETPIVOTDATA("合計 / " &amp; $B384,【ピボット】事業所収支!$A$3,"年月",H$13,"事業所",$A$379)),#N/A)</f>
        <v>#N/A</v>
      </c>
      <c r="I384" s="492" t="e">
        <f>IFERROR(IF(GETPIVOTDATA("合計 / " &amp; $B384,【ピボット】事業所収支!$A$3,"年月",I$13,"事業所",$A$379)=0,#N/A,GETPIVOTDATA("合計 / " &amp; $B384,【ピボット】事業所収支!$A$3,"年月",I$13,"事業所",$A$379)),#N/A)</f>
        <v>#N/A</v>
      </c>
      <c r="J384" s="492" t="e">
        <f>IFERROR(IF(GETPIVOTDATA("合計 / " &amp; $B384,【ピボット】事業所収支!$A$3,"年月",J$13,"事業所",$A$379)=0,#N/A,GETPIVOTDATA("合計 / " &amp; $B384,【ピボット】事業所収支!$A$3,"年月",J$13,"事業所",$A$379)),#N/A)</f>
        <v>#N/A</v>
      </c>
      <c r="K384" s="492" t="e">
        <f>IFERROR(IF(GETPIVOTDATA("合計 / " &amp; $B384,【ピボット】事業所収支!$A$3,"年月",K$13,"事業所",$A$379)=0,#N/A,GETPIVOTDATA("合計 / " &amp; $B384,【ピボット】事業所収支!$A$3,"年月",K$13,"事業所",$A$379)),#N/A)</f>
        <v>#N/A</v>
      </c>
      <c r="L384" s="492" t="e">
        <f>IFERROR(IF(GETPIVOTDATA("合計 / " &amp; $B384,【ピボット】事業所収支!$A$3,"年月",L$13,"事業所",$A$379)=0,#N/A,GETPIVOTDATA("合計 / " &amp; $B384,【ピボット】事業所収支!$A$3,"年月",L$13,"事業所",$A$379)),#N/A)</f>
        <v>#N/A</v>
      </c>
      <c r="M384" s="492" t="e">
        <f>IFERROR(IF(GETPIVOTDATA("合計 / " &amp; $B384,【ピボット】事業所収支!$A$3,"年月",M$13,"事業所",$A$379)=0,#N/A,GETPIVOTDATA("合計 / " &amp; $B384,【ピボット】事業所収支!$A$3,"年月",M$13,"事業所",$A$379)),#N/A)</f>
        <v>#N/A</v>
      </c>
      <c r="N384" s="492" t="e">
        <f>IFERROR(IF(GETPIVOTDATA("合計 / " &amp; $B384,【ピボット】事業所収支!$A$3,"年月",N$13,"事業所",$A$379)=0,#N/A,GETPIVOTDATA("合計 / " &amp; $B384,【ピボット】事業所収支!$A$3,"年月",N$13,"事業所",$A$379)),#N/A)</f>
        <v>#N/A</v>
      </c>
      <c r="O384" s="492" t="e">
        <f>IFERROR(IF(GETPIVOTDATA("合計 / " &amp; $B384,【ピボット】事業所収支!$A$3,"年月",O$13,"事業所",$A$379)=0,#N/A,GETPIVOTDATA("合計 / " &amp; $B384,【ピボット】事業所収支!$A$3,"年月",O$13,"事業所",$A$379)),#N/A)</f>
        <v>#N/A</v>
      </c>
      <c r="P384" s="492" t="e">
        <f>IFERROR(IF(GETPIVOTDATA("合計 / " &amp; $B384,【ピボット】事業所収支!$A$3,"年月",P$13,"事業所",$A$379)=0,#N/A,GETPIVOTDATA("合計 / " &amp; $B384,【ピボット】事業所収支!$A$3,"年月",P$13,"事業所",$A$379)),#N/A)</f>
        <v>#N/A</v>
      </c>
      <c r="Q384" s="492" t="e">
        <f>IFERROR(IF(GETPIVOTDATA("合計 / " &amp; $B384,【ピボット】事業所収支!$A$3,"年月",Q$13,"事業所",$A$379)=0,#N/A,GETPIVOTDATA("合計 / " &amp; $B384,【ピボット】事業所収支!$A$3,"年月",Q$13,"事業所",$A$379)),#N/A)</f>
        <v>#N/A</v>
      </c>
      <c r="R384" s="492" t="e">
        <f>IFERROR(IF(GETPIVOTDATA("合計 / " &amp; $B384,【ピボット】事業所収支!$A$3,"年月",R$13,"事業所",$A$379)=0,#N/A,GETPIVOTDATA("合計 / " &amp; $B384,【ピボット】事業所収支!$A$3,"年月",R$13,"事業所",$A$379)),#N/A)</f>
        <v>#N/A</v>
      </c>
      <c r="S384" s="492" t="e">
        <f>IFERROR(IF(GETPIVOTDATA("合計 / " &amp; $B384,【ピボット】事業所収支!$A$3,"年月",S$13,"事業所",$A$379)=0,#N/A,GETPIVOTDATA("合計 / " &amp; $B384,【ピボット】事業所収支!$A$3,"年月",S$13,"事業所",$A$379)),#N/A)</f>
        <v>#N/A</v>
      </c>
      <c r="T384" s="492" t="e">
        <f>IFERROR(IF(GETPIVOTDATA("合計 / " &amp; $B384,【ピボット】事業所収支!$A$3,"年月",T$13,"事業所",$A$379)=0,#N/A,GETPIVOTDATA("合計 / " &amp; $B384,【ピボット】事業所収支!$A$3,"年月",T$13,"事業所",$A$379)),#N/A)</f>
        <v>#N/A</v>
      </c>
      <c r="U384" s="492" t="e">
        <f>IFERROR(IF(GETPIVOTDATA("合計 / " &amp; $B384,【ピボット】事業所収支!$A$3,"年月",U$13,"事業所",$A$379)=0,#N/A,GETPIVOTDATA("合計 / " &amp; $B384,【ピボット】事業所収支!$A$3,"年月",U$13,"事業所",$A$379)),#N/A)</f>
        <v>#N/A</v>
      </c>
      <c r="V384" s="492" t="e">
        <f>IFERROR(IF(GETPIVOTDATA("合計 / " &amp; $B384,【ピボット】事業所収支!$A$3,"年月",V$13,"事業所",$A$379)=0,#N/A,GETPIVOTDATA("合計 / " &amp; $B384,【ピボット】事業所収支!$A$3,"年月",V$13,"事業所",$A$379)),#N/A)</f>
        <v>#N/A</v>
      </c>
      <c r="W384" s="492" t="e">
        <f>IFERROR(IF(GETPIVOTDATA("合計 / " &amp; $B384,【ピボット】事業所収支!$A$3,"年月",W$13,"事業所",$A$379)=0,#N/A,GETPIVOTDATA("合計 / " &amp; $B384,【ピボット】事業所収支!$A$3,"年月",W$13,"事業所",$A$379)),#N/A)</f>
        <v>#N/A</v>
      </c>
      <c r="X384" s="492" t="e">
        <f>IFERROR(IF(GETPIVOTDATA("合計 / " &amp; $B384,【ピボット】事業所収支!$A$3,"年月",X$13,"事業所",$A$379)=0,#N/A,GETPIVOTDATA("合計 / " &amp; $B384,【ピボット】事業所収支!$A$3,"年月",X$13,"事業所",$A$379)),#N/A)</f>
        <v>#N/A</v>
      </c>
      <c r="Y384" s="492" t="e">
        <f>IFERROR(IF(GETPIVOTDATA("合計 / " &amp; $B384,【ピボット】事業所収支!$A$3,"年月",Y$13,"事業所",$A$379)=0,#N/A,GETPIVOTDATA("合計 / " &amp; $B384,【ピボット】事業所収支!$A$3,"年月",Y$13,"事業所",$A$379)),#N/A)</f>
        <v>#N/A</v>
      </c>
      <c r="Z384" s="492" t="e">
        <f>IFERROR(IF(GETPIVOTDATA("合計 / " &amp; $B384,【ピボット】事業所収支!$A$3,"年月",Z$13,"事業所",$A$379)=0,#N/A,GETPIVOTDATA("合計 / " &amp; $B384,【ピボット】事業所収支!$A$3,"年月",Z$13,"事業所",$A$379)),#N/A)</f>
        <v>#N/A</v>
      </c>
    </row>
    <row r="385" spans="2:27" ht="14.25" hidden="1" customHeight="1" outlineLevel="1" x14ac:dyDescent="0.15">
      <c r="B385" s="8" t="s">
        <v>50</v>
      </c>
      <c r="C385" s="492" t="e">
        <f>IFERROR(IF(GETPIVOTDATA("合計 / " &amp; $B385,【ピボット】事業所収支!$A$3,"年月",C$13,"事業所",$A$379)=0,#N/A,GETPIVOTDATA("合計 / " &amp; $B385,【ピボット】事業所収支!$A$3,"年月",C$13,"事業所",$A$379)),#N/A)</f>
        <v>#N/A</v>
      </c>
      <c r="D385" s="492" t="e">
        <f>IFERROR(IF(GETPIVOTDATA("合計 / " &amp; $B385,【ピボット】事業所収支!$A$3,"年月",D$13,"事業所",$A$379)=0,#N/A,GETPIVOTDATA("合計 / " &amp; $B385,【ピボット】事業所収支!$A$3,"年月",D$13,"事業所",$A$379)),#N/A)</f>
        <v>#N/A</v>
      </c>
      <c r="E385" s="492" t="e">
        <f>IFERROR(IF(GETPIVOTDATA("合計 / " &amp; $B385,【ピボット】事業所収支!$A$3,"年月",E$13,"事業所",$A$379)=0,#N/A,GETPIVOTDATA("合計 / " &amp; $B385,【ピボット】事業所収支!$A$3,"年月",E$13,"事業所",$A$379)),#N/A)</f>
        <v>#N/A</v>
      </c>
      <c r="F385" s="492" t="e">
        <f>IFERROR(IF(GETPIVOTDATA("合計 / " &amp; $B385,【ピボット】事業所収支!$A$3,"年月",F$13,"事業所",$A$379)=0,#N/A,GETPIVOTDATA("合計 / " &amp; $B385,【ピボット】事業所収支!$A$3,"年月",F$13,"事業所",$A$379)),#N/A)</f>
        <v>#N/A</v>
      </c>
      <c r="G385" s="492" t="e">
        <f>IFERROR(IF(GETPIVOTDATA("合計 / " &amp; $B385,【ピボット】事業所収支!$A$3,"年月",G$13,"事業所",$A$379)=0,#N/A,GETPIVOTDATA("合計 / " &amp; $B385,【ピボット】事業所収支!$A$3,"年月",G$13,"事業所",$A$379)),#N/A)</f>
        <v>#N/A</v>
      </c>
      <c r="H385" s="492" t="e">
        <f>IFERROR(IF(GETPIVOTDATA("合計 / " &amp; $B385,【ピボット】事業所収支!$A$3,"年月",H$13,"事業所",$A$379)=0,#N/A,GETPIVOTDATA("合計 / " &amp; $B385,【ピボット】事業所収支!$A$3,"年月",H$13,"事業所",$A$379)),#N/A)</f>
        <v>#N/A</v>
      </c>
      <c r="I385" s="492" t="e">
        <f>IFERROR(IF(GETPIVOTDATA("合計 / " &amp; $B385,【ピボット】事業所収支!$A$3,"年月",I$13,"事業所",$A$379)=0,#N/A,GETPIVOTDATA("合計 / " &amp; $B385,【ピボット】事業所収支!$A$3,"年月",I$13,"事業所",$A$379)),#N/A)</f>
        <v>#N/A</v>
      </c>
      <c r="J385" s="492" t="e">
        <f>IFERROR(IF(GETPIVOTDATA("合計 / " &amp; $B385,【ピボット】事業所収支!$A$3,"年月",J$13,"事業所",$A$379)=0,#N/A,GETPIVOTDATA("合計 / " &amp; $B385,【ピボット】事業所収支!$A$3,"年月",J$13,"事業所",$A$379)),#N/A)</f>
        <v>#N/A</v>
      </c>
      <c r="K385" s="492" t="e">
        <f>IFERROR(IF(GETPIVOTDATA("合計 / " &amp; $B385,【ピボット】事業所収支!$A$3,"年月",K$13,"事業所",$A$379)=0,#N/A,GETPIVOTDATA("合計 / " &amp; $B385,【ピボット】事業所収支!$A$3,"年月",K$13,"事業所",$A$379)),#N/A)</f>
        <v>#N/A</v>
      </c>
      <c r="L385" s="492" t="e">
        <f>IFERROR(IF(GETPIVOTDATA("合計 / " &amp; $B385,【ピボット】事業所収支!$A$3,"年月",L$13,"事業所",$A$379)=0,#N/A,GETPIVOTDATA("合計 / " &amp; $B385,【ピボット】事業所収支!$A$3,"年月",L$13,"事業所",$A$379)),#N/A)</f>
        <v>#N/A</v>
      </c>
      <c r="M385" s="492" t="e">
        <f>IFERROR(IF(GETPIVOTDATA("合計 / " &amp; $B385,【ピボット】事業所収支!$A$3,"年月",M$13,"事業所",$A$379)=0,#N/A,GETPIVOTDATA("合計 / " &amp; $B385,【ピボット】事業所収支!$A$3,"年月",M$13,"事業所",$A$379)),#N/A)</f>
        <v>#N/A</v>
      </c>
      <c r="N385" s="492" t="e">
        <f>IFERROR(IF(GETPIVOTDATA("合計 / " &amp; $B385,【ピボット】事業所収支!$A$3,"年月",N$13,"事業所",$A$379)=0,#N/A,GETPIVOTDATA("合計 / " &amp; $B385,【ピボット】事業所収支!$A$3,"年月",N$13,"事業所",$A$379)),#N/A)</f>
        <v>#N/A</v>
      </c>
      <c r="O385" s="492" t="e">
        <f>IFERROR(IF(GETPIVOTDATA("合計 / " &amp; $B385,【ピボット】事業所収支!$A$3,"年月",O$13,"事業所",$A$379)=0,#N/A,GETPIVOTDATA("合計 / " &amp; $B385,【ピボット】事業所収支!$A$3,"年月",O$13,"事業所",$A$379)),#N/A)</f>
        <v>#N/A</v>
      </c>
      <c r="P385" s="492" t="e">
        <f>IFERROR(IF(GETPIVOTDATA("合計 / " &amp; $B385,【ピボット】事業所収支!$A$3,"年月",P$13,"事業所",$A$379)=0,#N/A,GETPIVOTDATA("合計 / " &amp; $B385,【ピボット】事業所収支!$A$3,"年月",P$13,"事業所",$A$379)),#N/A)</f>
        <v>#N/A</v>
      </c>
      <c r="Q385" s="492" t="e">
        <f>IFERROR(IF(GETPIVOTDATA("合計 / " &amp; $B385,【ピボット】事業所収支!$A$3,"年月",Q$13,"事業所",$A$379)=0,#N/A,GETPIVOTDATA("合計 / " &amp; $B385,【ピボット】事業所収支!$A$3,"年月",Q$13,"事業所",$A$379)),#N/A)</f>
        <v>#N/A</v>
      </c>
      <c r="R385" s="492" t="e">
        <f>IFERROR(IF(GETPIVOTDATA("合計 / " &amp; $B385,【ピボット】事業所収支!$A$3,"年月",R$13,"事業所",$A$379)=0,#N/A,GETPIVOTDATA("合計 / " &amp; $B385,【ピボット】事業所収支!$A$3,"年月",R$13,"事業所",$A$379)),#N/A)</f>
        <v>#N/A</v>
      </c>
      <c r="S385" s="492" t="e">
        <f>IFERROR(IF(GETPIVOTDATA("合計 / " &amp; $B385,【ピボット】事業所収支!$A$3,"年月",S$13,"事業所",$A$379)=0,#N/A,GETPIVOTDATA("合計 / " &amp; $B385,【ピボット】事業所収支!$A$3,"年月",S$13,"事業所",$A$379)),#N/A)</f>
        <v>#N/A</v>
      </c>
      <c r="T385" s="492" t="e">
        <f>IFERROR(IF(GETPIVOTDATA("合計 / " &amp; $B385,【ピボット】事業所収支!$A$3,"年月",T$13,"事業所",$A$379)=0,#N/A,GETPIVOTDATA("合計 / " &amp; $B385,【ピボット】事業所収支!$A$3,"年月",T$13,"事業所",$A$379)),#N/A)</f>
        <v>#N/A</v>
      </c>
      <c r="U385" s="492" t="e">
        <f>IFERROR(IF(GETPIVOTDATA("合計 / " &amp; $B385,【ピボット】事業所収支!$A$3,"年月",U$13,"事業所",$A$379)=0,#N/A,GETPIVOTDATA("合計 / " &amp; $B385,【ピボット】事業所収支!$A$3,"年月",U$13,"事業所",$A$379)),#N/A)</f>
        <v>#N/A</v>
      </c>
      <c r="V385" s="492" t="e">
        <f>IFERROR(IF(GETPIVOTDATA("合計 / " &amp; $B385,【ピボット】事業所収支!$A$3,"年月",V$13,"事業所",$A$379)=0,#N/A,GETPIVOTDATA("合計 / " &amp; $B385,【ピボット】事業所収支!$A$3,"年月",V$13,"事業所",$A$379)),#N/A)</f>
        <v>#N/A</v>
      </c>
      <c r="W385" s="492" t="e">
        <f>IFERROR(IF(GETPIVOTDATA("合計 / " &amp; $B385,【ピボット】事業所収支!$A$3,"年月",W$13,"事業所",$A$379)=0,#N/A,GETPIVOTDATA("合計 / " &amp; $B385,【ピボット】事業所収支!$A$3,"年月",W$13,"事業所",$A$379)),#N/A)</f>
        <v>#N/A</v>
      </c>
      <c r="X385" s="492" t="e">
        <f>IFERROR(IF(GETPIVOTDATA("合計 / " &amp; $B385,【ピボット】事業所収支!$A$3,"年月",X$13,"事業所",$A$379)=0,#N/A,GETPIVOTDATA("合計 / " &amp; $B385,【ピボット】事業所収支!$A$3,"年月",X$13,"事業所",$A$379)),#N/A)</f>
        <v>#N/A</v>
      </c>
      <c r="Y385" s="492" t="e">
        <f>IFERROR(IF(GETPIVOTDATA("合計 / " &amp; $B385,【ピボット】事業所収支!$A$3,"年月",Y$13,"事業所",$A$379)=0,#N/A,GETPIVOTDATA("合計 / " &amp; $B385,【ピボット】事業所収支!$A$3,"年月",Y$13,"事業所",$A$379)),#N/A)</f>
        <v>#N/A</v>
      </c>
      <c r="Z385" s="492" t="e">
        <f>IFERROR(IF(GETPIVOTDATA("合計 / " &amp; $B385,【ピボット】事業所収支!$A$3,"年月",Z$13,"事業所",$A$379)=0,#N/A,GETPIVOTDATA("合計 / " &amp; $B385,【ピボット】事業所収支!$A$3,"年月",Z$13,"事業所",$A$379)),#N/A)</f>
        <v>#N/A</v>
      </c>
    </row>
    <row r="386" spans="2:27" ht="14.25" hidden="1" customHeight="1" outlineLevel="1" x14ac:dyDescent="0.15">
      <c r="B386" s="9" t="s">
        <v>29</v>
      </c>
      <c r="C386" s="484" t="e">
        <f>IFERROR(IF(GETPIVOTDATA("合計 / " &amp; $B386,【ピボット】事業所収支!$A$3,"年月",C$13,"事業所",$A$379)=0,#N/A,GETPIVOTDATA("合計 / " &amp; $B386,【ピボット】事業所収支!$A$3,"年月",C$13,"事業所",$A$379)),#N/A)</f>
        <v>#N/A</v>
      </c>
      <c r="D386" s="484">
        <f>IFERROR(IF(GETPIVOTDATA("合計 / " &amp; $B386,【ピボット】事業所収支!$A$3,"年月",D$13,"事業所",$A$379)=0,#N/A,GETPIVOTDATA("合計 / " &amp; $B386,【ピボット】事業所収支!$A$3,"年月",D$13,"事業所",$A$379)),#N/A)</f>
        <v>43640</v>
      </c>
      <c r="E386" s="484">
        <f>IFERROR(IF(GETPIVOTDATA("合計 / " &amp; $B386,【ピボット】事業所収支!$A$3,"年月",E$13,"事業所",$A$379)=0,#N/A,GETPIVOTDATA("合計 / " &amp; $B386,【ピボット】事業所収支!$A$3,"年月",E$13,"事業所",$A$379)),#N/A)</f>
        <v>66684</v>
      </c>
      <c r="F386" s="484" t="e">
        <f>IFERROR(IF(GETPIVOTDATA("合計 / " &amp; $B386,【ピボット】事業所収支!$A$3,"年月",F$13,"事業所",$A$379)=0,#N/A,GETPIVOTDATA("合計 / " &amp; $B386,【ピボット】事業所収支!$A$3,"年月",F$13,"事業所",$A$379)),#N/A)</f>
        <v>#N/A</v>
      </c>
      <c r="G386" s="484" t="e">
        <f>IFERROR(IF(GETPIVOTDATA("合計 / " &amp; $B386,【ピボット】事業所収支!$A$3,"年月",G$13,"事業所",$A$379)=0,#N/A,GETPIVOTDATA("合計 / " &amp; $B386,【ピボット】事業所収支!$A$3,"年月",G$13,"事業所",$A$379)),#N/A)</f>
        <v>#N/A</v>
      </c>
      <c r="H386" s="484" t="e">
        <f>IFERROR(IF(GETPIVOTDATA("合計 / " &amp; $B386,【ピボット】事業所収支!$A$3,"年月",H$13,"事業所",$A$379)=0,#N/A,GETPIVOTDATA("合計 / " &amp; $B386,【ピボット】事業所収支!$A$3,"年月",H$13,"事業所",$A$379)),#N/A)</f>
        <v>#N/A</v>
      </c>
      <c r="I386" s="484" t="e">
        <f>IFERROR(IF(GETPIVOTDATA("合計 / " &amp; $B386,【ピボット】事業所収支!$A$3,"年月",I$13,"事業所",$A$379)=0,#N/A,GETPIVOTDATA("合計 / " &amp; $B386,【ピボット】事業所収支!$A$3,"年月",I$13,"事業所",$A$379)),#N/A)</f>
        <v>#N/A</v>
      </c>
      <c r="J386" s="484" t="e">
        <f>IFERROR(IF(GETPIVOTDATA("合計 / " &amp; $B386,【ピボット】事業所収支!$A$3,"年月",J$13,"事業所",$A$379)=0,#N/A,GETPIVOTDATA("合計 / " &amp; $B386,【ピボット】事業所収支!$A$3,"年月",J$13,"事業所",$A$379)),#N/A)</f>
        <v>#N/A</v>
      </c>
      <c r="K386" s="484" t="e">
        <f>IFERROR(IF(GETPIVOTDATA("合計 / " &amp; $B386,【ピボット】事業所収支!$A$3,"年月",K$13,"事業所",$A$379)=0,#N/A,GETPIVOTDATA("合計 / " &amp; $B386,【ピボット】事業所収支!$A$3,"年月",K$13,"事業所",$A$379)),#N/A)</f>
        <v>#N/A</v>
      </c>
      <c r="L386" s="484" t="e">
        <f>IFERROR(IF(GETPIVOTDATA("合計 / " &amp; $B386,【ピボット】事業所収支!$A$3,"年月",L$13,"事業所",$A$379)=0,#N/A,GETPIVOTDATA("合計 / " &amp; $B386,【ピボット】事業所収支!$A$3,"年月",L$13,"事業所",$A$379)),#N/A)</f>
        <v>#N/A</v>
      </c>
      <c r="M386" s="484" t="e">
        <f>IFERROR(IF(GETPIVOTDATA("合計 / " &amp; $B386,【ピボット】事業所収支!$A$3,"年月",M$13,"事業所",$A$379)=0,#N/A,GETPIVOTDATA("合計 / " &amp; $B386,【ピボット】事業所収支!$A$3,"年月",M$13,"事業所",$A$379)),#N/A)</f>
        <v>#N/A</v>
      </c>
      <c r="N386" s="484" t="e">
        <f>IFERROR(IF(GETPIVOTDATA("合計 / " &amp; $B386,【ピボット】事業所収支!$A$3,"年月",N$13,"事業所",$A$379)=0,#N/A,GETPIVOTDATA("合計 / " &amp; $B386,【ピボット】事業所収支!$A$3,"年月",N$13,"事業所",$A$379)),#N/A)</f>
        <v>#N/A</v>
      </c>
      <c r="O386" s="484" t="e">
        <f>IFERROR(IF(GETPIVOTDATA("合計 / " &amp; $B386,【ピボット】事業所収支!$A$3,"年月",O$13,"事業所",$A$379)=0,#N/A,GETPIVOTDATA("合計 / " &amp; $B386,【ピボット】事業所収支!$A$3,"年月",O$13,"事業所",$A$379)),#N/A)</f>
        <v>#N/A</v>
      </c>
      <c r="P386" s="484" t="e">
        <f>IFERROR(IF(GETPIVOTDATA("合計 / " &amp; $B386,【ピボット】事業所収支!$A$3,"年月",P$13,"事業所",$A$379)=0,#N/A,GETPIVOTDATA("合計 / " &amp; $B386,【ピボット】事業所収支!$A$3,"年月",P$13,"事業所",$A$379)),#N/A)</f>
        <v>#N/A</v>
      </c>
      <c r="Q386" s="484" t="e">
        <f>IFERROR(IF(GETPIVOTDATA("合計 / " &amp; $B386,【ピボット】事業所収支!$A$3,"年月",Q$13,"事業所",$A$379)=0,#N/A,GETPIVOTDATA("合計 / " &amp; $B386,【ピボット】事業所収支!$A$3,"年月",Q$13,"事業所",$A$379)),#N/A)</f>
        <v>#N/A</v>
      </c>
      <c r="R386" s="484" t="e">
        <f>IFERROR(IF(GETPIVOTDATA("合計 / " &amp; $B386,【ピボット】事業所収支!$A$3,"年月",R$13,"事業所",$A$379)=0,#N/A,GETPIVOTDATA("合計 / " &amp; $B386,【ピボット】事業所収支!$A$3,"年月",R$13,"事業所",$A$379)),#N/A)</f>
        <v>#N/A</v>
      </c>
      <c r="S386" s="484" t="e">
        <f>IFERROR(IF(GETPIVOTDATA("合計 / " &amp; $B386,【ピボット】事業所収支!$A$3,"年月",S$13,"事業所",$A$379)=0,#N/A,GETPIVOTDATA("合計 / " &amp; $B386,【ピボット】事業所収支!$A$3,"年月",S$13,"事業所",$A$379)),#N/A)</f>
        <v>#N/A</v>
      </c>
      <c r="T386" s="484" t="e">
        <f>IFERROR(IF(GETPIVOTDATA("合計 / " &amp; $B386,【ピボット】事業所収支!$A$3,"年月",T$13,"事業所",$A$379)=0,#N/A,GETPIVOTDATA("合計 / " &amp; $B386,【ピボット】事業所収支!$A$3,"年月",T$13,"事業所",$A$379)),#N/A)</f>
        <v>#N/A</v>
      </c>
      <c r="U386" s="484" t="e">
        <f>IFERROR(IF(GETPIVOTDATA("合計 / " &amp; $B386,【ピボット】事業所収支!$A$3,"年月",U$13,"事業所",$A$379)=0,#N/A,GETPIVOTDATA("合計 / " &amp; $B386,【ピボット】事業所収支!$A$3,"年月",U$13,"事業所",$A$379)),#N/A)</f>
        <v>#N/A</v>
      </c>
      <c r="V386" s="484" t="e">
        <f>IFERROR(IF(GETPIVOTDATA("合計 / " &amp; $B386,【ピボット】事業所収支!$A$3,"年月",V$13,"事業所",$A$379)=0,#N/A,GETPIVOTDATA("合計 / " &amp; $B386,【ピボット】事業所収支!$A$3,"年月",V$13,"事業所",$A$379)),#N/A)</f>
        <v>#N/A</v>
      </c>
      <c r="W386" s="484" t="e">
        <f>IFERROR(IF(GETPIVOTDATA("合計 / " &amp; $B386,【ピボット】事業所収支!$A$3,"年月",W$13,"事業所",$A$379)=0,#N/A,GETPIVOTDATA("合計 / " &amp; $B386,【ピボット】事業所収支!$A$3,"年月",W$13,"事業所",$A$379)),#N/A)</f>
        <v>#N/A</v>
      </c>
      <c r="X386" s="484" t="e">
        <f>IFERROR(IF(GETPIVOTDATA("合計 / " &amp; $B386,【ピボット】事業所収支!$A$3,"年月",X$13,"事業所",$A$379)=0,#N/A,GETPIVOTDATA("合計 / " &amp; $B386,【ピボット】事業所収支!$A$3,"年月",X$13,"事業所",$A$379)),#N/A)</f>
        <v>#N/A</v>
      </c>
      <c r="Y386" s="484" t="e">
        <f>IFERROR(IF(GETPIVOTDATA("合計 / " &amp; $B386,【ピボット】事業所収支!$A$3,"年月",Y$13,"事業所",$A$379)=0,#N/A,GETPIVOTDATA("合計 / " &amp; $B386,【ピボット】事業所収支!$A$3,"年月",Y$13,"事業所",$A$379)),#N/A)</f>
        <v>#N/A</v>
      </c>
      <c r="Z386" s="484" t="e">
        <f>IFERROR(IF(GETPIVOTDATA("合計 / " &amp; $B386,【ピボット】事業所収支!$A$3,"年月",Z$13,"事業所",$A$379)=0,#N/A,GETPIVOTDATA("合計 / " &amp; $B386,【ピボット】事業所収支!$A$3,"年月",Z$13,"事業所",$A$379)),#N/A)</f>
        <v>#N/A</v>
      </c>
      <c r="AA386" s="4"/>
    </row>
    <row r="387" spans="2:27" ht="14.25" hidden="1" customHeight="1" outlineLevel="1" x14ac:dyDescent="0.15">
      <c r="B387" s="9" t="s">
        <v>51</v>
      </c>
      <c r="C387" s="492" t="e">
        <f>IFERROR(IF(GETPIVOTDATA("合計 / " &amp; $B387,【ピボット】事業所収支!$A$3,"年月",C$13,"事業所",$A$379)=0,#N/A,GETPIVOTDATA("合計 / " &amp; $B387,【ピボット】事業所収支!$A$3,"年月",C$13,"事業所",$A$379)),#N/A)</f>
        <v>#N/A</v>
      </c>
      <c r="D387" s="492">
        <f>IFERROR(IF(GETPIVOTDATA("合計 / " &amp; $B387,【ピボット】事業所収支!$A$3,"年月",D$13,"事業所",$A$379)=0,#N/A,GETPIVOTDATA("合計 / " &amp; $B387,【ピボット】事業所収支!$A$3,"年月",D$13,"事業所",$A$379)),#N/A)</f>
        <v>1134</v>
      </c>
      <c r="E387" s="492">
        <f>IFERROR(IF(GETPIVOTDATA("合計 / " &amp; $B387,【ピボット】事業所収支!$A$3,"年月",E$13,"事業所",$A$379)=0,#N/A,GETPIVOTDATA("合計 / " &amp; $B387,【ピボット】事業所収支!$A$3,"年月",E$13,"事業所",$A$379)),#N/A)</f>
        <v>1134</v>
      </c>
      <c r="F387" s="492" t="e">
        <f>IFERROR(IF(GETPIVOTDATA("合計 / " &amp; $B387,【ピボット】事業所収支!$A$3,"年月",F$13,"事業所",$A$379)=0,#N/A,GETPIVOTDATA("合計 / " &amp; $B387,【ピボット】事業所収支!$A$3,"年月",F$13,"事業所",$A$379)),#N/A)</f>
        <v>#N/A</v>
      </c>
      <c r="G387" s="492" t="e">
        <f>IFERROR(IF(GETPIVOTDATA("合計 / " &amp; $B387,【ピボット】事業所収支!$A$3,"年月",G$13,"事業所",$A$379)=0,#N/A,GETPIVOTDATA("合計 / " &amp; $B387,【ピボット】事業所収支!$A$3,"年月",G$13,"事業所",$A$379)),#N/A)</f>
        <v>#N/A</v>
      </c>
      <c r="H387" s="492" t="e">
        <f>IFERROR(IF(GETPIVOTDATA("合計 / " &amp; $B387,【ピボット】事業所収支!$A$3,"年月",H$13,"事業所",$A$379)=0,#N/A,GETPIVOTDATA("合計 / " &amp; $B387,【ピボット】事業所収支!$A$3,"年月",H$13,"事業所",$A$379)),#N/A)</f>
        <v>#N/A</v>
      </c>
      <c r="I387" s="492" t="e">
        <f>IFERROR(IF(GETPIVOTDATA("合計 / " &amp; $B387,【ピボット】事業所収支!$A$3,"年月",I$13,"事業所",$A$379)=0,#N/A,GETPIVOTDATA("合計 / " &amp; $B387,【ピボット】事業所収支!$A$3,"年月",I$13,"事業所",$A$379)),#N/A)</f>
        <v>#N/A</v>
      </c>
      <c r="J387" s="492" t="e">
        <f>IFERROR(IF(GETPIVOTDATA("合計 / " &amp; $B387,【ピボット】事業所収支!$A$3,"年月",J$13,"事業所",$A$379)=0,#N/A,GETPIVOTDATA("合計 / " &amp; $B387,【ピボット】事業所収支!$A$3,"年月",J$13,"事業所",$A$379)),#N/A)</f>
        <v>#N/A</v>
      </c>
      <c r="K387" s="492" t="e">
        <f>IFERROR(IF(GETPIVOTDATA("合計 / " &amp; $B387,【ピボット】事業所収支!$A$3,"年月",K$13,"事業所",$A$379)=0,#N/A,GETPIVOTDATA("合計 / " &amp; $B387,【ピボット】事業所収支!$A$3,"年月",K$13,"事業所",$A$379)),#N/A)</f>
        <v>#N/A</v>
      </c>
      <c r="L387" s="492" t="e">
        <f>IFERROR(IF(GETPIVOTDATA("合計 / " &amp; $B387,【ピボット】事業所収支!$A$3,"年月",L$13,"事業所",$A$379)=0,#N/A,GETPIVOTDATA("合計 / " &amp; $B387,【ピボット】事業所収支!$A$3,"年月",L$13,"事業所",$A$379)),#N/A)</f>
        <v>#N/A</v>
      </c>
      <c r="M387" s="492" t="e">
        <f>IFERROR(IF(GETPIVOTDATA("合計 / " &amp; $B387,【ピボット】事業所収支!$A$3,"年月",M$13,"事業所",$A$379)=0,#N/A,GETPIVOTDATA("合計 / " &amp; $B387,【ピボット】事業所収支!$A$3,"年月",M$13,"事業所",$A$379)),#N/A)</f>
        <v>#N/A</v>
      </c>
      <c r="N387" s="492" t="e">
        <f>IFERROR(IF(GETPIVOTDATA("合計 / " &amp; $B387,【ピボット】事業所収支!$A$3,"年月",N$13,"事業所",$A$379)=0,#N/A,GETPIVOTDATA("合計 / " &amp; $B387,【ピボット】事業所収支!$A$3,"年月",N$13,"事業所",$A$379)),#N/A)</f>
        <v>#N/A</v>
      </c>
      <c r="O387" s="492" t="e">
        <f>IFERROR(IF(GETPIVOTDATA("合計 / " &amp; $B387,【ピボット】事業所収支!$A$3,"年月",O$13,"事業所",$A$379)=0,#N/A,GETPIVOTDATA("合計 / " &amp; $B387,【ピボット】事業所収支!$A$3,"年月",O$13,"事業所",$A$379)),#N/A)</f>
        <v>#N/A</v>
      </c>
      <c r="P387" s="492" t="e">
        <f>IFERROR(IF(GETPIVOTDATA("合計 / " &amp; $B387,【ピボット】事業所収支!$A$3,"年月",P$13,"事業所",$A$379)=0,#N/A,GETPIVOTDATA("合計 / " &amp; $B387,【ピボット】事業所収支!$A$3,"年月",P$13,"事業所",$A$379)),#N/A)</f>
        <v>#N/A</v>
      </c>
      <c r="Q387" s="492" t="e">
        <f>IFERROR(IF(GETPIVOTDATA("合計 / " &amp; $B387,【ピボット】事業所収支!$A$3,"年月",Q$13,"事業所",$A$379)=0,#N/A,GETPIVOTDATA("合計 / " &amp; $B387,【ピボット】事業所収支!$A$3,"年月",Q$13,"事業所",$A$379)),#N/A)</f>
        <v>#N/A</v>
      </c>
      <c r="R387" s="492" t="e">
        <f>IFERROR(IF(GETPIVOTDATA("合計 / " &amp; $B387,【ピボット】事業所収支!$A$3,"年月",R$13,"事業所",$A$379)=0,#N/A,GETPIVOTDATA("合計 / " &amp; $B387,【ピボット】事業所収支!$A$3,"年月",R$13,"事業所",$A$379)),#N/A)</f>
        <v>#N/A</v>
      </c>
      <c r="S387" s="492" t="e">
        <f>IFERROR(IF(GETPIVOTDATA("合計 / " &amp; $B387,【ピボット】事業所収支!$A$3,"年月",S$13,"事業所",$A$379)=0,#N/A,GETPIVOTDATA("合計 / " &amp; $B387,【ピボット】事業所収支!$A$3,"年月",S$13,"事業所",$A$379)),#N/A)</f>
        <v>#N/A</v>
      </c>
      <c r="T387" s="492">
        <f>IFERROR(IF(GETPIVOTDATA("合計 / " &amp; $B387,【ピボット】事業所収支!$A$3,"年月",T$13,"事業所",$A$379)=0,#N/A,GETPIVOTDATA("合計 / " &amp; $B387,【ピボット】事業所収支!$A$3,"年月",T$13,"事業所",$A$379)),#N/A)</f>
        <v>24300</v>
      </c>
      <c r="U387" s="492" t="e">
        <f>IFERROR(IF(GETPIVOTDATA("合計 / " &amp; $B387,【ピボット】事業所収支!$A$3,"年月",U$13,"事業所",$A$379)=0,#N/A,GETPIVOTDATA("合計 / " &amp; $B387,【ピボット】事業所収支!$A$3,"年月",U$13,"事業所",$A$379)),#N/A)</f>
        <v>#N/A</v>
      </c>
      <c r="V387" s="492" t="e">
        <f>IFERROR(IF(GETPIVOTDATA("合計 / " &amp; $B387,【ピボット】事業所収支!$A$3,"年月",V$13,"事業所",$A$379)=0,#N/A,GETPIVOTDATA("合計 / " &amp; $B387,【ピボット】事業所収支!$A$3,"年月",V$13,"事業所",$A$379)),#N/A)</f>
        <v>#N/A</v>
      </c>
      <c r="W387" s="492" t="e">
        <f>IFERROR(IF(GETPIVOTDATA("合計 / " &amp; $B387,【ピボット】事業所収支!$A$3,"年月",W$13,"事業所",$A$379)=0,#N/A,GETPIVOTDATA("合計 / " &amp; $B387,【ピボット】事業所収支!$A$3,"年月",W$13,"事業所",$A$379)),#N/A)</f>
        <v>#N/A</v>
      </c>
      <c r="X387" s="492" t="e">
        <f>IFERROR(IF(GETPIVOTDATA("合計 / " &amp; $B387,【ピボット】事業所収支!$A$3,"年月",X$13,"事業所",$A$379)=0,#N/A,GETPIVOTDATA("合計 / " &amp; $B387,【ピボット】事業所収支!$A$3,"年月",X$13,"事業所",$A$379)),#N/A)</f>
        <v>#N/A</v>
      </c>
      <c r="Y387" s="492" t="e">
        <f>IFERROR(IF(GETPIVOTDATA("合計 / " &amp; $B387,【ピボット】事業所収支!$A$3,"年月",Y$13,"事業所",$A$379)=0,#N/A,GETPIVOTDATA("合計 / " &amp; $B387,【ピボット】事業所収支!$A$3,"年月",Y$13,"事業所",$A$379)),#N/A)</f>
        <v>#N/A</v>
      </c>
      <c r="Z387" s="492" t="e">
        <f>IFERROR(IF(GETPIVOTDATA("合計 / " &amp; $B387,【ピボット】事業所収支!$A$3,"年月",Z$13,"事業所",$A$379)=0,#N/A,GETPIVOTDATA("合計 / " &amp; $B387,【ピボット】事業所収支!$A$3,"年月",Z$13,"事業所",$A$379)),#N/A)</f>
        <v>#N/A</v>
      </c>
      <c r="AA387" s="4"/>
    </row>
    <row r="388" spans="2:27" ht="14.25" hidden="1" customHeight="1" outlineLevel="1" x14ac:dyDescent="0.15">
      <c r="B388" s="41" t="s">
        <v>15</v>
      </c>
      <c r="C388" s="486">
        <f>IFERROR(IF(GETPIVOTDATA("合計 / " &amp; $B388,【ピボット】事業所収支!$A$3,"年月",C$13,"事業所",$A$379)=0,#N/A,GETPIVOTDATA("合計 / " &amp; $B388,【ピボット】事業所収支!$A$3,"年月",C$13,"事業所",$A$379)),#N/A)</f>
        <v>337775</v>
      </c>
      <c r="D388" s="486">
        <f>IFERROR(IF(GETPIVOTDATA("合計 / " &amp; $B388,【ピボット】事業所収支!$A$3,"年月",D$13,"事業所",$A$379)=0,#N/A,GETPIVOTDATA("合計 / " &amp; $B388,【ピボット】事業所収支!$A$3,"年月",D$13,"事業所",$A$379)),#N/A)</f>
        <v>672224</v>
      </c>
      <c r="E388" s="486">
        <f>IFERROR(IF(GETPIVOTDATA("合計 / " &amp; $B388,【ピボット】事業所収支!$A$3,"年月",E$13,"事業所",$A$379)=0,#N/A,GETPIVOTDATA("合計 / " &amp; $B388,【ピボット】事業所収支!$A$3,"年月",E$13,"事業所",$A$379)),#N/A)</f>
        <v>568518</v>
      </c>
      <c r="F388" s="486">
        <f>IFERROR(IF(GETPIVOTDATA("合計 / " &amp; $B388,【ピボット】事業所収支!$A$3,"年月",F$13,"事業所",$A$379)=0,#N/A,GETPIVOTDATA("合計 / " &amp; $B388,【ピボット】事業所収支!$A$3,"年月",F$13,"事業所",$A$379)),#N/A)</f>
        <v>373725</v>
      </c>
      <c r="G388" s="486">
        <f>IFERROR(IF(GETPIVOTDATA("合計 / " &amp; $B388,【ピボット】事業所収支!$A$3,"年月",G$13,"事業所",$A$379)=0,#N/A,GETPIVOTDATA("合計 / " &amp; $B388,【ピボット】事業所収支!$A$3,"年月",G$13,"事業所",$A$379)),#N/A)</f>
        <v>352925</v>
      </c>
      <c r="H388" s="486">
        <f>IFERROR(IF(GETPIVOTDATA("合計 / " &amp; $B388,【ピボット】事業所収支!$A$3,"年月",H$13,"事業所",$A$379)=0,#N/A,GETPIVOTDATA("合計 / " &amp; $B388,【ピボット】事業所収支!$A$3,"年月",H$13,"事業所",$A$379)),#N/A)</f>
        <v>360225</v>
      </c>
      <c r="I388" s="486">
        <f>IFERROR(IF(GETPIVOTDATA("合計 / " &amp; $B388,【ピボット】事業所収支!$A$3,"年月",I$13,"事業所",$A$379)=0,#N/A,GETPIVOTDATA("合計 / " &amp; $B388,【ピボット】事業所収支!$A$3,"年月",I$13,"事業所",$A$379)),#N/A)</f>
        <v>332700</v>
      </c>
      <c r="J388" s="486">
        <f>IFERROR(IF(GETPIVOTDATA("合計 / " &amp; $B388,【ピボット】事業所収支!$A$3,"年月",J$13,"事業所",$A$379)=0,#N/A,GETPIVOTDATA("合計 / " &amp; $B388,【ピボット】事業所収支!$A$3,"年月",J$13,"事業所",$A$379)),#N/A)</f>
        <v>366550</v>
      </c>
      <c r="K388" s="486">
        <f>IFERROR(IF(GETPIVOTDATA("合計 / " &amp; $B388,【ピボット】事業所収支!$A$3,"年月",K$13,"事業所",$A$379)=0,#N/A,GETPIVOTDATA("合計 / " &amp; $B388,【ピボット】事業所収支!$A$3,"年月",K$13,"事業所",$A$379)),#N/A)</f>
        <v>285100</v>
      </c>
      <c r="L388" s="486">
        <f>IFERROR(IF(GETPIVOTDATA("合計 / " &amp; $B388,【ピボット】事業所収支!$A$3,"年月",L$13,"事業所",$A$379)=0,#N/A,GETPIVOTDATA("合計 / " &amp; $B388,【ピボット】事業所収支!$A$3,"年月",L$13,"事業所",$A$379)),#N/A)</f>
        <v>254875</v>
      </c>
      <c r="M388" s="486">
        <f>IFERROR(IF(GETPIVOTDATA("合計 / " &amp; $B388,【ピボット】事業所収支!$A$3,"年月",M$13,"事業所",$A$379)=0,#N/A,GETPIVOTDATA("合計 / " &amp; $B388,【ピボット】事業所収支!$A$3,"年月",M$13,"事業所",$A$379)),#N/A)</f>
        <v>301575</v>
      </c>
      <c r="N388" s="486">
        <f>IFERROR(IF(GETPIVOTDATA("合計 / " &amp; $B388,【ピボット】事業所収支!$A$3,"年月",N$13,"事業所",$A$379)=0,#N/A,GETPIVOTDATA("合計 / " &amp; $B388,【ピボット】事業所収支!$A$3,"年月",N$13,"事業所",$A$379)),#N/A)</f>
        <v>285775</v>
      </c>
      <c r="O388" s="486">
        <f>IFERROR(IF(GETPIVOTDATA("合計 / " &amp; $B388,【ピボット】事業所収支!$A$3,"年月",O$13,"事業所",$A$379)=0,#N/A,GETPIVOTDATA("合計 / " &amp; $B388,【ピボット】事業所収支!$A$3,"年月",O$13,"事業所",$A$379)),#N/A)</f>
        <v>303275</v>
      </c>
      <c r="P388" s="486">
        <f>IFERROR(IF(GETPIVOTDATA("合計 / " &amp; $B388,【ピボット】事業所収支!$A$3,"年月",P$13,"事業所",$A$379)=0,#N/A,GETPIVOTDATA("合計 / " &amp; $B388,【ピボット】事業所収支!$A$3,"年月",P$13,"事業所",$A$379)),#N/A)</f>
        <v>299100</v>
      </c>
      <c r="Q388" s="486">
        <f>IFERROR(IF(GETPIVOTDATA("合計 / " &amp; $B388,【ピボット】事業所収支!$A$3,"年月",Q$13,"事業所",$A$379)=0,#N/A,GETPIVOTDATA("合計 / " &amp; $B388,【ピボット】事業所収支!$A$3,"年月",Q$13,"事業所",$A$379)),#N/A)</f>
        <v>302725</v>
      </c>
      <c r="R388" s="486">
        <f>IFERROR(IF(GETPIVOTDATA("合計 / " &amp; $B388,【ピボット】事業所収支!$A$3,"年月",R$13,"事業所",$A$379)=0,#N/A,GETPIVOTDATA("合計 / " &amp; $B388,【ピボット】事業所収支!$A$3,"年月",R$13,"事業所",$A$379)),#N/A)</f>
        <v>307500</v>
      </c>
      <c r="S388" s="486">
        <f>IFERROR(IF(GETPIVOTDATA("合計 / " &amp; $B388,【ピボット】事業所収支!$A$3,"年月",S$13,"事業所",$A$379)=0,#N/A,GETPIVOTDATA("合計 / " &amp; $B388,【ピボット】事業所収支!$A$3,"年月",S$13,"事業所",$A$379)),#N/A)</f>
        <v>290550</v>
      </c>
      <c r="T388" s="486">
        <f>IFERROR(IF(GETPIVOTDATA("合計 / " &amp; $B388,【ピボット】事業所収支!$A$3,"年月",T$13,"事業所",$A$379)=0,#N/A,GETPIVOTDATA("合計 / " &amp; $B388,【ピボット】事業所収支!$A$3,"年月",T$13,"事業所",$A$379)),#N/A)</f>
        <v>315275</v>
      </c>
      <c r="U388" s="486">
        <f>IFERROR(IF(GETPIVOTDATA("合計 / " &amp; $B388,【ピボット】事業所収支!$A$3,"年月",U$13,"事業所",$A$379)=0,#N/A,GETPIVOTDATA("合計 / " &amp; $B388,【ピボット】事業所収支!$A$3,"年月",U$13,"事業所",$A$379)),#N/A)</f>
        <v>251250</v>
      </c>
      <c r="V388" s="486">
        <f>IFERROR(IF(GETPIVOTDATA("合計 / " &amp; $B388,【ピボット】事業所収支!$A$3,"年月",V$13,"事業所",$A$379)=0,#N/A,GETPIVOTDATA("合計 / " &amp; $B388,【ピボット】事業所収支!$A$3,"年月",V$13,"事業所",$A$379)),#N/A)</f>
        <v>227000</v>
      </c>
      <c r="W388" s="486">
        <f>IFERROR(IF(GETPIVOTDATA("合計 / " &amp; $B388,【ピボット】事業所収支!$A$3,"年月",W$13,"事業所",$A$379)=0,#N/A,GETPIVOTDATA("合計 / " &amp; $B388,【ピボット】事業所収支!$A$3,"年月",W$13,"事業所",$A$379)),#N/A)</f>
        <v>238000</v>
      </c>
      <c r="X388" s="486">
        <f>IFERROR(IF(GETPIVOTDATA("合計 / " &amp; $B388,【ピボット】事業所収支!$A$3,"年月",X$13,"事業所",$A$379)=0,#N/A,GETPIVOTDATA("合計 / " &amp; $B388,【ピボット】事業所収支!$A$3,"年月",X$13,"事業所",$A$379)),#N/A)</f>
        <v>199000</v>
      </c>
      <c r="Y388" s="486">
        <f>IFERROR(IF(GETPIVOTDATA("合計 / " &amp; $B388,【ピボット】事業所収支!$A$3,"年月",Y$13,"事業所",$A$379)=0,#N/A,GETPIVOTDATA("合計 / " &amp; $B388,【ピボット】事業所収支!$A$3,"年月",Y$13,"事業所",$A$379)),#N/A)</f>
        <v>219000</v>
      </c>
      <c r="Z388" s="486">
        <f>IFERROR(IF(GETPIVOTDATA("合計 / " &amp; $B388,【ピボット】事業所収支!$A$3,"年月",Z$13,"事業所",$A$379)=0,#N/A,GETPIVOTDATA("合計 / " &amp; $B388,【ピボット】事業所収支!$A$3,"年月",Z$13,"事業所",$A$379)),#N/A)</f>
        <v>209300</v>
      </c>
      <c r="AA388" s="4"/>
    </row>
    <row r="389" spans="2:27" ht="14.25" hidden="1" customHeight="1" outlineLevel="1" x14ac:dyDescent="0.15">
      <c r="B389" s="48" t="s">
        <v>30</v>
      </c>
      <c r="C389" s="487">
        <f>IFERROR(IF(GETPIVOTDATA("合計 / " &amp; $B389 &amp;"計",【ピボット】事業所収支!$A$3,"年月",C$13,"事業所",$A$379)=0,#N/A,GETPIVOTDATA("合計 / " &amp; $B389 &amp;"計",【ピボット】事業所収支!$A$3,"年月",C$13,"事業所",$A$379)),#N/A)</f>
        <v>353105</v>
      </c>
      <c r="D389" s="487">
        <f>IFERROR(IF(GETPIVOTDATA("合計 / " &amp; $B389 &amp;"計",【ピボット】事業所収支!$A$3,"年月",D$13,"事業所",$A$379)=0,#N/A,GETPIVOTDATA("合計 / " &amp; $B389 &amp;"計",【ピボット】事業所収支!$A$3,"年月",D$13,"事業所",$A$379)),#N/A)</f>
        <v>298938</v>
      </c>
      <c r="E389" s="487">
        <f>IFERROR(IF(GETPIVOTDATA("合計 / " &amp; $B389 &amp;"計",【ピボット】事業所収支!$A$3,"年月",E$13,"事業所",$A$379)=0,#N/A,GETPIVOTDATA("合計 / " &amp; $B389 &amp;"計",【ピボット】事業所収支!$A$3,"年月",E$13,"事業所",$A$379)),#N/A)</f>
        <v>307050</v>
      </c>
      <c r="F389" s="487">
        <f>IFERROR(IF(GETPIVOTDATA("合計 / " &amp; $B389 &amp;"計",【ピボット】事業所収支!$A$3,"年月",F$13,"事業所",$A$379)=0,#N/A,GETPIVOTDATA("合計 / " &amp; $B389 &amp;"計",【ピボット】事業所収支!$A$3,"年月",F$13,"事業所",$A$379)),#N/A)</f>
        <v>306079</v>
      </c>
      <c r="G389" s="487">
        <f>IFERROR(IF(GETPIVOTDATA("合計 / " &amp; $B389 &amp;"計",【ピボット】事業所収支!$A$3,"年月",G$13,"事業所",$A$379)=0,#N/A,GETPIVOTDATA("合計 / " &amp; $B389 &amp;"計",【ピボット】事業所収支!$A$3,"年月",G$13,"事業所",$A$379)),#N/A)</f>
        <v>265479</v>
      </c>
      <c r="H389" s="487">
        <f>IFERROR(IF(GETPIVOTDATA("合計 / " &amp; $B389 &amp;"計",【ピボット】事業所収支!$A$3,"年月",H$13,"事業所",$A$379)=0,#N/A,GETPIVOTDATA("合計 / " &amp; $B389 &amp;"計",【ピボット】事業所収支!$A$3,"年月",H$13,"事業所",$A$379)),#N/A)</f>
        <v>183340</v>
      </c>
      <c r="I389" s="487">
        <f>IFERROR(IF(GETPIVOTDATA("合計 / " &amp; $B389 &amp;"計",【ピボット】事業所収支!$A$3,"年月",I$13,"事業所",$A$379)=0,#N/A,GETPIVOTDATA("合計 / " &amp; $B389 &amp;"計",【ピボット】事業所収支!$A$3,"年月",I$13,"事業所",$A$379)),#N/A)</f>
        <v>233991</v>
      </c>
      <c r="J389" s="487">
        <f>IFERROR(IF(GETPIVOTDATA("合計 / " &amp; $B389 &amp;"計",【ピボット】事業所収支!$A$3,"年月",J$13,"事業所",$A$379)=0,#N/A,GETPIVOTDATA("合計 / " &amp; $B389 &amp;"計",【ピボット】事業所収支!$A$3,"年月",J$13,"事業所",$A$379)),#N/A)</f>
        <v>175504</v>
      </c>
      <c r="K389" s="487">
        <f>IFERROR(IF(GETPIVOTDATA("合計 / " &amp; $B389 &amp;"計",【ピボット】事業所収支!$A$3,"年月",K$13,"事業所",$A$379)=0,#N/A,GETPIVOTDATA("合計 / " &amp; $B389 &amp;"計",【ピボット】事業所収支!$A$3,"年月",K$13,"事業所",$A$379)),#N/A)</f>
        <v>179603</v>
      </c>
      <c r="L389" s="487">
        <f>IFERROR(IF(GETPIVOTDATA("合計 / " &amp; $B389 &amp;"計",【ピボット】事業所収支!$A$3,"年月",L$13,"事業所",$A$379)=0,#N/A,GETPIVOTDATA("合計 / " &amp; $B389 &amp;"計",【ピボット】事業所収支!$A$3,"年月",L$13,"事業所",$A$379)),#N/A)</f>
        <v>178705</v>
      </c>
      <c r="M389" s="487">
        <f>IFERROR(IF(GETPIVOTDATA("合計 / " &amp; $B389 &amp;"計",【ピボット】事業所収支!$A$3,"年月",M$13,"事業所",$A$379)=0,#N/A,GETPIVOTDATA("合計 / " &amp; $B389 &amp;"計",【ピボット】事業所収支!$A$3,"年月",M$13,"事業所",$A$379)),#N/A)</f>
        <v>322423</v>
      </c>
      <c r="N389" s="487">
        <f>IFERROR(IF(GETPIVOTDATA("合計 / " &amp; $B389 &amp;"計",【ピボット】事業所収支!$A$3,"年月",N$13,"事業所",$A$379)=0,#N/A,GETPIVOTDATA("合計 / " &amp; $B389 &amp;"計",【ピボット】事業所収支!$A$3,"年月",N$13,"事業所",$A$379)),#N/A)</f>
        <v>182111</v>
      </c>
      <c r="O389" s="487">
        <f>IFERROR(IF(GETPIVOTDATA("合計 / " &amp; $B389 &amp;"計",【ピボット】事業所収支!$A$3,"年月",O$13,"事業所",$A$379)=0,#N/A,GETPIVOTDATA("合計 / " &amp; $B389 &amp;"計",【ピボット】事業所収支!$A$3,"年月",O$13,"事業所",$A$379)),#N/A)</f>
        <v>184675</v>
      </c>
      <c r="P389" s="487">
        <f>IFERROR(IF(GETPIVOTDATA("合計 / " &amp; $B389 &amp;"計",【ピボット】事業所収支!$A$3,"年月",P$13,"事業所",$A$379)=0,#N/A,GETPIVOTDATA("合計 / " &amp; $B389 &amp;"計",【ピボット】事業所収支!$A$3,"年月",P$13,"事業所",$A$379)),#N/A)</f>
        <v>176539</v>
      </c>
      <c r="Q389" s="487">
        <f>IFERROR(IF(GETPIVOTDATA("合計 / " &amp; $B389 &amp;"計",【ピボット】事業所収支!$A$3,"年月",Q$13,"事業所",$A$379)=0,#N/A,GETPIVOTDATA("合計 / " &amp; $B389 &amp;"計",【ピボット】事業所収支!$A$3,"年月",Q$13,"事業所",$A$379)),#N/A)</f>
        <v>173186</v>
      </c>
      <c r="R389" s="487">
        <f>IFERROR(IF(GETPIVOTDATA("合計 / " &amp; $B389 &amp;"計",【ピボット】事業所収支!$A$3,"年月",R$13,"事業所",$A$379)=0,#N/A,GETPIVOTDATA("合計 / " &amp; $B389 &amp;"計",【ピボット】事業所収支!$A$3,"年月",R$13,"事業所",$A$379)),#N/A)</f>
        <v>155590</v>
      </c>
      <c r="S389" s="487">
        <f>IFERROR(IF(GETPIVOTDATA("合計 / " &amp; $B389 &amp;"計",【ピボット】事業所収支!$A$3,"年月",S$13,"事業所",$A$379)=0,#N/A,GETPIVOTDATA("合計 / " &amp; $B389 &amp;"計",【ピボット】事業所収支!$A$3,"年月",S$13,"事業所",$A$379)),#N/A)</f>
        <v>155385</v>
      </c>
      <c r="T389" s="487">
        <f>IFERROR(IF(GETPIVOTDATA("合計 / " &amp; $B389 &amp;"計",【ピボット】事業所収支!$A$3,"年月",T$13,"事業所",$A$379)=0,#N/A,GETPIVOTDATA("合計 / " &amp; $B389 &amp;"計",【ピボット】事業所収支!$A$3,"年月",T$13,"事業所",$A$379)),#N/A)</f>
        <v>192786</v>
      </c>
      <c r="U389" s="487">
        <f>IFERROR(IF(GETPIVOTDATA("合計 / " &amp; $B389 &amp;"計",【ピボット】事業所収支!$A$3,"年月",U$13,"事業所",$A$379)=0,#N/A,GETPIVOTDATA("合計 / " &amp; $B389 &amp;"計",【ピボット】事業所収支!$A$3,"年月",U$13,"事業所",$A$379)),#N/A)</f>
        <v>127769</v>
      </c>
      <c r="V389" s="487">
        <f>IFERROR(IF(GETPIVOTDATA("合計 / " &amp; $B389 &amp;"計",【ピボット】事業所収支!$A$3,"年月",V$13,"事業所",$A$379)=0,#N/A,GETPIVOTDATA("合計 / " &amp; $B389 &amp;"計",【ピボット】事業所収支!$A$3,"年月",V$13,"事業所",$A$379)),#N/A)</f>
        <v>124309</v>
      </c>
      <c r="W389" s="487">
        <f>IFERROR(IF(GETPIVOTDATA("合計 / " &amp; $B389 &amp;"計",【ピボット】事業所収支!$A$3,"年月",W$13,"事業所",$A$379)=0,#N/A,GETPIVOTDATA("合計 / " &amp; $B389 &amp;"計",【ピボット】事業所収支!$A$3,"年月",W$13,"事業所",$A$379)),#N/A)</f>
        <v>123007</v>
      </c>
      <c r="X389" s="487">
        <f>IFERROR(IF(GETPIVOTDATA("合計 / " &amp; $B389 &amp;"計",【ピボット】事業所収支!$A$3,"年月",X$13,"事業所",$A$379)=0,#N/A,GETPIVOTDATA("合計 / " &amp; $B389 &amp;"計",【ピボット】事業所収支!$A$3,"年月",X$13,"事業所",$A$379)),#N/A)</f>
        <v>127781</v>
      </c>
      <c r="Y389" s="487">
        <f>IFERROR(IF(GETPIVOTDATA("合計 / " &amp; $B389 &amp;"計",【ピボット】事業所収支!$A$3,"年月",Y$13,"事業所",$A$379)=0,#N/A,GETPIVOTDATA("合計 / " &amp; $B389 &amp;"計",【ピボット】事業所収支!$A$3,"年月",Y$13,"事業所",$A$379)),#N/A)</f>
        <v>154379</v>
      </c>
      <c r="Z389" s="487">
        <f>IFERROR(IF(GETPIVOTDATA("合計 / " &amp; $B389 &amp;"計",【ピボット】事業所収支!$A$3,"年月",Z$13,"事業所",$A$379)=0,#N/A,GETPIVOTDATA("合計 / " &amp; $B389 &amp;"計",【ピボット】事業所収支!$A$3,"年月",Z$13,"事業所",$A$379)),#N/A)</f>
        <v>121870</v>
      </c>
      <c r="AA389" s="4"/>
    </row>
    <row r="390" spans="2:27" ht="14.25" hidden="1" customHeight="1" outlineLevel="1" x14ac:dyDescent="0.15">
      <c r="B390" s="48" t="s">
        <v>52</v>
      </c>
      <c r="C390" s="487" t="e">
        <f>#REF!</f>
        <v>#REF!</v>
      </c>
      <c r="D390" s="487" t="e">
        <f>#REF!</f>
        <v>#REF!</v>
      </c>
      <c r="E390" s="487" t="e">
        <f>#REF!</f>
        <v>#REF!</v>
      </c>
      <c r="F390" s="487" t="e">
        <f>#REF!</f>
        <v>#REF!</v>
      </c>
      <c r="G390" s="487" t="e">
        <f>#REF!</f>
        <v>#REF!</v>
      </c>
      <c r="H390" s="487" t="e">
        <f>#REF!</f>
        <v>#REF!</v>
      </c>
      <c r="I390" s="487" t="e">
        <f>#REF!</f>
        <v>#REF!</v>
      </c>
      <c r="J390" s="487" t="e">
        <f>#REF!</f>
        <v>#REF!</v>
      </c>
      <c r="K390" s="487" t="e">
        <f>#REF!</f>
        <v>#REF!</v>
      </c>
      <c r="L390" s="487" t="e">
        <f>#REF!</f>
        <v>#REF!</v>
      </c>
      <c r="M390" s="487" t="e">
        <f>#REF!</f>
        <v>#REF!</v>
      </c>
      <c r="N390" s="487" t="e">
        <f>#REF!</f>
        <v>#REF!</v>
      </c>
      <c r="O390" s="487" t="e">
        <f>#REF!</f>
        <v>#REF!</v>
      </c>
      <c r="P390" s="487" t="e">
        <f>#REF!</f>
        <v>#REF!</v>
      </c>
      <c r="Q390" s="487" t="e">
        <f>#REF!</f>
        <v>#REF!</v>
      </c>
      <c r="R390" s="487" t="e">
        <f>#REF!</f>
        <v>#REF!</v>
      </c>
      <c r="S390" s="487" t="e">
        <f>#REF!</f>
        <v>#REF!</v>
      </c>
      <c r="T390" s="487" t="e">
        <f>#REF!</f>
        <v>#REF!</v>
      </c>
      <c r="U390" s="487" t="e">
        <f>#REF!</f>
        <v>#REF!</v>
      </c>
      <c r="V390" s="487" t="e">
        <f>#REF!</f>
        <v>#REF!</v>
      </c>
      <c r="W390" s="487" t="e">
        <f>#REF!</f>
        <v>#REF!</v>
      </c>
      <c r="X390" s="487" t="e">
        <f>#REF!</f>
        <v>#REF!</v>
      </c>
      <c r="Y390" s="487" t="e">
        <f>#REF!</f>
        <v>#REF!</v>
      </c>
      <c r="Z390" s="487" t="e">
        <f>#REF!</f>
        <v>#REF!</v>
      </c>
      <c r="AA390" s="4"/>
    </row>
    <row r="391" spans="2:27" ht="14.25" hidden="1" customHeight="1" outlineLevel="1" x14ac:dyDescent="0.15">
      <c r="B391" s="8" t="s">
        <v>53</v>
      </c>
      <c r="C391" s="483">
        <f t="shared" ref="C391:Z391" si="32">IFERROR(C388,0)+IFERROR(C389,0)</f>
        <v>690880</v>
      </c>
      <c r="D391" s="483">
        <f t="shared" si="32"/>
        <v>971162</v>
      </c>
      <c r="E391" s="483">
        <f t="shared" si="32"/>
        <v>875568</v>
      </c>
      <c r="F391" s="483">
        <f t="shared" si="32"/>
        <v>679804</v>
      </c>
      <c r="G391" s="483">
        <f t="shared" si="32"/>
        <v>618404</v>
      </c>
      <c r="H391" s="483">
        <f t="shared" si="32"/>
        <v>543565</v>
      </c>
      <c r="I391" s="483">
        <f t="shared" si="32"/>
        <v>566691</v>
      </c>
      <c r="J391" s="483">
        <f t="shared" si="32"/>
        <v>542054</v>
      </c>
      <c r="K391" s="483">
        <f t="shared" si="32"/>
        <v>464703</v>
      </c>
      <c r="L391" s="483">
        <f t="shared" si="32"/>
        <v>433580</v>
      </c>
      <c r="M391" s="483">
        <f t="shared" si="32"/>
        <v>623998</v>
      </c>
      <c r="N391" s="483">
        <f t="shared" si="32"/>
        <v>467886</v>
      </c>
      <c r="O391" s="483">
        <f t="shared" si="32"/>
        <v>487950</v>
      </c>
      <c r="P391" s="483">
        <f t="shared" si="32"/>
        <v>475639</v>
      </c>
      <c r="Q391" s="483">
        <f t="shared" si="32"/>
        <v>475911</v>
      </c>
      <c r="R391" s="483">
        <f t="shared" si="32"/>
        <v>463090</v>
      </c>
      <c r="S391" s="483">
        <f t="shared" si="32"/>
        <v>445935</v>
      </c>
      <c r="T391" s="483">
        <f t="shared" si="32"/>
        <v>508061</v>
      </c>
      <c r="U391" s="483">
        <f t="shared" si="32"/>
        <v>379019</v>
      </c>
      <c r="V391" s="483">
        <f t="shared" si="32"/>
        <v>351309</v>
      </c>
      <c r="W391" s="483">
        <f t="shared" si="32"/>
        <v>361007</v>
      </c>
      <c r="X391" s="483">
        <f t="shared" si="32"/>
        <v>326781</v>
      </c>
      <c r="Y391" s="483">
        <f t="shared" si="32"/>
        <v>373379</v>
      </c>
      <c r="Z391" s="483">
        <f t="shared" si="32"/>
        <v>331170</v>
      </c>
    </row>
    <row r="392" spans="2:27" ht="14.25" hidden="1" customHeight="1" outlineLevel="1" x14ac:dyDescent="0.15">
      <c r="B392" s="11" t="s">
        <v>32</v>
      </c>
      <c r="C392" s="488">
        <f t="shared" ref="C392:Z392" si="33">IFERROR(SUM(C381,-C391),0)</f>
        <v>428751</v>
      </c>
      <c r="D392" s="488">
        <f t="shared" si="33"/>
        <v>1103910</v>
      </c>
      <c r="E392" s="488">
        <f t="shared" si="33"/>
        <v>225924</v>
      </c>
      <c r="F392" s="488">
        <f>IFERROR(SUM(F381,-F391),0)</f>
        <v>321688</v>
      </c>
      <c r="G392" s="488">
        <f t="shared" si="33"/>
        <v>396974</v>
      </c>
      <c r="H392" s="488">
        <f t="shared" si="33"/>
        <v>517927</v>
      </c>
      <c r="I392" s="488">
        <f t="shared" si="33"/>
        <v>434101</v>
      </c>
      <c r="J392" s="488">
        <f t="shared" si="33"/>
        <v>519438</v>
      </c>
      <c r="K392" s="488">
        <f t="shared" si="33"/>
        <v>551389</v>
      </c>
      <c r="L392" s="488">
        <f t="shared" si="33"/>
        <v>506342</v>
      </c>
      <c r="M392" s="488">
        <f t="shared" si="33"/>
        <v>581838</v>
      </c>
      <c r="N392" s="488">
        <f t="shared" si="33"/>
        <v>570574</v>
      </c>
      <c r="O392" s="488">
        <f t="shared" si="33"/>
        <v>662845</v>
      </c>
      <c r="P392" s="488">
        <f t="shared" si="33"/>
        <v>578417</v>
      </c>
      <c r="Q392" s="488">
        <f t="shared" si="33"/>
        <v>609357</v>
      </c>
      <c r="R392" s="488">
        <f t="shared" si="33"/>
        <v>460909</v>
      </c>
      <c r="S392" s="488">
        <f t="shared" si="33"/>
        <v>604150</v>
      </c>
      <c r="T392" s="488">
        <f t="shared" si="33"/>
        <v>579596</v>
      </c>
      <c r="U392" s="488">
        <f t="shared" si="33"/>
        <v>691217</v>
      </c>
      <c r="V392" s="488">
        <f t="shared" si="33"/>
        <v>751133</v>
      </c>
      <c r="W392" s="488">
        <f t="shared" si="33"/>
        <v>995435</v>
      </c>
      <c r="X392" s="488">
        <f t="shared" si="33"/>
        <v>679055</v>
      </c>
      <c r="Y392" s="488">
        <f t="shared" si="33"/>
        <v>600414</v>
      </c>
      <c r="Z392" s="488">
        <f t="shared" si="33"/>
        <v>466312</v>
      </c>
      <c r="AA392" s="4">
        <f>SUM(O392:Z392)</f>
        <v>7678840</v>
      </c>
    </row>
    <row r="393" spans="2:27" ht="14.25" hidden="1" customHeight="1" outlineLevel="1" x14ac:dyDescent="0.15">
      <c r="B393" s="11"/>
      <c r="C393" s="488"/>
      <c r="D393" s="488"/>
      <c r="E393" s="488"/>
      <c r="F393" s="488"/>
      <c r="G393" s="488"/>
      <c r="H393" s="488"/>
      <c r="I393" s="488"/>
      <c r="J393" s="488"/>
      <c r="K393" s="488"/>
      <c r="L393" s="488"/>
      <c r="M393" s="488"/>
      <c r="N393" s="488"/>
      <c r="O393" s="488"/>
      <c r="P393" s="488"/>
      <c r="Q393" s="488"/>
      <c r="R393" s="488"/>
      <c r="S393" s="488"/>
      <c r="T393" s="488"/>
      <c r="U393" s="488"/>
      <c r="V393" s="488"/>
      <c r="W393" s="488"/>
      <c r="X393" s="488"/>
      <c r="Y393" s="488"/>
      <c r="Z393" s="488"/>
      <c r="AA393" s="4"/>
    </row>
    <row r="394" spans="2:27" ht="14.25" hidden="1" customHeight="1" outlineLevel="1" x14ac:dyDescent="0.15">
      <c r="B394" s="11"/>
      <c r="X394" s="489"/>
      <c r="Y394" s="489"/>
      <c r="Z394" s="489"/>
    </row>
    <row r="395" spans="2:27" ht="14.25" hidden="1" customHeight="1" outlineLevel="1" x14ac:dyDescent="0.15"/>
    <row r="396" spans="2:27" ht="14.25" hidden="1" customHeight="1" outlineLevel="1" x14ac:dyDescent="0.15"/>
    <row r="397" spans="2:27" ht="14.25" hidden="1" customHeight="1" outlineLevel="1" x14ac:dyDescent="0.15"/>
    <row r="398" spans="2:27" ht="14.25" hidden="1" customHeight="1" outlineLevel="1" x14ac:dyDescent="0.15"/>
    <row r="399" spans="2:27" ht="14.25" hidden="1" customHeight="1" outlineLevel="1" x14ac:dyDescent="0.15"/>
    <row r="400" spans="2:27" ht="14.25" hidden="1" customHeight="1" outlineLevel="1" x14ac:dyDescent="0.15"/>
    <row r="401" ht="14.25" hidden="1" customHeight="1" outlineLevel="1" x14ac:dyDescent="0.15"/>
    <row r="402" ht="14.25" hidden="1" customHeight="1" outlineLevel="1" x14ac:dyDescent="0.15"/>
    <row r="403" ht="14.25" hidden="1" customHeight="1" outlineLevel="1" x14ac:dyDescent="0.15"/>
    <row r="404" ht="14.25" hidden="1" customHeight="1" outlineLevel="1" x14ac:dyDescent="0.15"/>
    <row r="405" ht="14.25" hidden="1" customHeight="1" outlineLevel="1" x14ac:dyDescent="0.15"/>
    <row r="406" ht="14.25" hidden="1" customHeight="1" outlineLevel="1" x14ac:dyDescent="0.15"/>
    <row r="407" ht="14.25" hidden="1" customHeight="1" outlineLevel="1" x14ac:dyDescent="0.15"/>
    <row r="408" ht="14.25" hidden="1" customHeight="1" outlineLevel="1" x14ac:dyDescent="0.15"/>
    <row r="409" ht="14.25" hidden="1" customHeight="1" outlineLevel="1" x14ac:dyDescent="0.15"/>
    <row r="410" ht="14.25" hidden="1" customHeight="1" outlineLevel="1" x14ac:dyDescent="0.15"/>
    <row r="411" ht="14.25" hidden="1" customHeight="1" outlineLevel="1" x14ac:dyDescent="0.15"/>
    <row r="412" ht="14.25" hidden="1" customHeight="1" outlineLevel="1" x14ac:dyDescent="0.15"/>
    <row r="413" ht="14.25" hidden="1" customHeight="1" outlineLevel="1" x14ac:dyDescent="0.15"/>
    <row r="414" ht="14.25" hidden="1" customHeight="1" outlineLevel="1" x14ac:dyDescent="0.15"/>
    <row r="415" ht="14.25" hidden="1" customHeight="1" outlineLevel="1" x14ac:dyDescent="0.15"/>
    <row r="416" ht="14.25" hidden="1" customHeight="1" outlineLevel="1" x14ac:dyDescent="0.15"/>
    <row r="417" spans="1:27" ht="14.25" hidden="1" customHeight="1" outlineLevel="1" x14ac:dyDescent="0.15"/>
    <row r="418" spans="1:27" ht="14.25" hidden="1" customHeight="1" outlineLevel="1" x14ac:dyDescent="0.15"/>
    <row r="419" spans="1:27" ht="14.25" hidden="1" customHeight="1" outlineLevel="1" x14ac:dyDescent="0.15"/>
    <row r="420" spans="1:27" ht="14.25" hidden="1" customHeight="1" outlineLevel="1" x14ac:dyDescent="0.15">
      <c r="C420" s="489"/>
      <c r="D420" s="489"/>
      <c r="E420" s="489"/>
      <c r="F420" s="489"/>
      <c r="G420" s="489"/>
      <c r="H420" s="489"/>
      <c r="I420" s="489"/>
      <c r="J420" s="489"/>
      <c r="K420" s="489"/>
      <c r="L420" s="489"/>
      <c r="M420" s="489"/>
      <c r="N420" s="489"/>
      <c r="O420" s="489"/>
      <c r="P420" s="489"/>
      <c r="Q420" s="489"/>
      <c r="R420" s="489"/>
      <c r="S420" s="489"/>
      <c r="T420" s="489"/>
      <c r="U420" s="489"/>
      <c r="V420" s="489"/>
      <c r="W420" s="489"/>
      <c r="X420" s="489"/>
      <c r="Y420" s="489"/>
      <c r="Z420" s="489"/>
    </row>
    <row r="421" spans="1:27" ht="18.75" hidden="1" customHeight="1" outlineLevel="1" x14ac:dyDescent="0.15">
      <c r="A421" t="s">
        <v>746</v>
      </c>
      <c r="B421" s="43" t="str">
        <f>A421 &amp; "収支"</f>
        <v>GH西五所収支</v>
      </c>
    </row>
    <row r="422" spans="1:27" ht="14.25" hidden="1" customHeight="1" outlineLevel="1" x14ac:dyDescent="0.15">
      <c r="B422" s="10"/>
      <c r="C422" s="668">
        <f t="shared" ref="C422:Z422" si="34">C$13</f>
        <v>42856</v>
      </c>
      <c r="D422" s="668">
        <f t="shared" si="34"/>
        <v>42887</v>
      </c>
      <c r="E422" s="668">
        <f t="shared" si="34"/>
        <v>42917</v>
      </c>
      <c r="F422" s="668">
        <f t="shared" si="34"/>
        <v>42948</v>
      </c>
      <c r="G422" s="668">
        <f t="shared" si="34"/>
        <v>42979</v>
      </c>
      <c r="H422" s="668">
        <f t="shared" si="34"/>
        <v>43009</v>
      </c>
      <c r="I422" s="668">
        <f t="shared" si="34"/>
        <v>43040</v>
      </c>
      <c r="J422" s="668">
        <f t="shared" si="34"/>
        <v>43070</v>
      </c>
      <c r="K422" s="668">
        <f t="shared" si="34"/>
        <v>43101</v>
      </c>
      <c r="L422" s="668">
        <f t="shared" si="34"/>
        <v>43132</v>
      </c>
      <c r="M422" s="668">
        <f t="shared" si="34"/>
        <v>43160</v>
      </c>
      <c r="N422" s="668">
        <f t="shared" si="34"/>
        <v>43191</v>
      </c>
      <c r="O422" s="668">
        <f t="shared" si="34"/>
        <v>43221</v>
      </c>
      <c r="P422" s="668">
        <f t="shared" si="34"/>
        <v>43252</v>
      </c>
      <c r="Q422" s="668">
        <f t="shared" si="34"/>
        <v>43282</v>
      </c>
      <c r="R422" s="668">
        <f t="shared" si="34"/>
        <v>43313</v>
      </c>
      <c r="S422" s="668">
        <f t="shared" si="34"/>
        <v>43344</v>
      </c>
      <c r="T422" s="668">
        <f t="shared" si="34"/>
        <v>43374</v>
      </c>
      <c r="U422" s="668">
        <f t="shared" si="34"/>
        <v>43405</v>
      </c>
      <c r="V422" s="668">
        <f t="shared" si="34"/>
        <v>43435</v>
      </c>
      <c r="W422" s="668">
        <f t="shared" si="34"/>
        <v>43466</v>
      </c>
      <c r="X422" s="668">
        <f t="shared" si="34"/>
        <v>43497</v>
      </c>
      <c r="Y422" s="668">
        <f t="shared" si="34"/>
        <v>43525</v>
      </c>
      <c r="Z422" s="668">
        <f t="shared" si="34"/>
        <v>43556</v>
      </c>
    </row>
    <row r="423" spans="1:27" ht="14.25" hidden="1" customHeight="1" outlineLevel="1" x14ac:dyDescent="0.15">
      <c r="B423" s="12" t="s">
        <v>21</v>
      </c>
      <c r="C423" s="482" t="e">
        <f>IFERROR(IF(GETPIVOTDATA("合計 / " &amp; $B423,【ピボット】事業所収支!$A$3,"年月",C$13,"事業所",$A$421)=0,#N/A,GETPIVOTDATA("合計 / " &amp; $B423,【ピボット】事業所収支!$A$3,"年月",C$13,"事業所",$A$421)),#N/A)</f>
        <v>#N/A</v>
      </c>
      <c r="D423" s="482">
        <f>IFERROR(IF(GETPIVOTDATA("合計 / " &amp; $B423,【ピボット】事業所収支!$A$3,"年月",D$13,"事業所",$A$421)=0,#N/A,GETPIVOTDATA("合計 / " &amp; $B423,【ピボット】事業所収支!$A$3,"年月",D$13,"事業所",$A$421)),#N/A)</f>
        <v>1940389</v>
      </c>
      <c r="E423" s="482">
        <f>IFERROR(IF(GETPIVOTDATA("合計 / " &amp; $B423,【ピボット】事業所収支!$A$3,"年月",E$13,"事業所",$A$421)=0,#N/A,GETPIVOTDATA("合計 / " &amp; $B423,【ピボット】事業所収支!$A$3,"年月",E$13,"事業所",$A$421)),#N/A)</f>
        <v>1965328</v>
      </c>
      <c r="F423" s="482">
        <f>IFERROR(IF(GETPIVOTDATA("合計 / " &amp; $B423,【ピボット】事業所収支!$A$3,"年月",F$13,"事業所",$A$421)=0,#N/A,GETPIVOTDATA("合計 / " &amp; $B423,【ピボット】事業所収支!$A$3,"年月",F$13,"事業所",$A$421)),#N/A)</f>
        <v>1995197</v>
      </c>
      <c r="G423" s="482">
        <f>IFERROR(IF(GETPIVOTDATA("合計 / " &amp; $B423,【ピボット】事業所収支!$A$3,"年月",G$13,"事業所",$A$421)=0,#N/A,GETPIVOTDATA("合計 / " &amp; $B423,【ピボット】事業所収支!$A$3,"年月",G$13,"事業所",$A$421)),#N/A)</f>
        <v>2133548</v>
      </c>
      <c r="H423" s="482">
        <f>IFERROR(IF(GETPIVOTDATA("合計 / " &amp; $B423,【ピボット】事業所収支!$A$3,"年月",H$13,"事業所",$A$421)=0,#N/A,GETPIVOTDATA("合計 / " &amp; $B423,【ピボット】事業所収支!$A$3,"年月",H$13,"事業所",$A$421)),#N/A)</f>
        <v>3275498</v>
      </c>
      <c r="I423" s="482">
        <f>IFERROR(IF(GETPIVOTDATA("合計 / " &amp; $B423,【ピボット】事業所収支!$A$3,"年月",I$13,"事業所",$A$421)=0,#N/A,GETPIVOTDATA("合計 / " &amp; $B423,【ピボット】事業所収支!$A$3,"年月",I$13,"事業所",$A$421)),#N/A)</f>
        <v>2705860</v>
      </c>
      <c r="J423" s="482">
        <f>IFERROR(IF(GETPIVOTDATA("合計 / " &amp; $B423,【ピボット】事業所収支!$A$3,"年月",J$13,"事業所",$A$421)=0,#N/A,GETPIVOTDATA("合計 / " &amp; $B423,【ピボット】事業所収支!$A$3,"年月",J$13,"事業所",$A$421)),#N/A)</f>
        <v>2748469</v>
      </c>
      <c r="K423" s="482">
        <f>IFERROR(IF(GETPIVOTDATA("合計 / " &amp; $B423,【ピボット】事業所収支!$A$3,"年月",K$13,"事業所",$A$421)=0,#N/A,GETPIVOTDATA("合計 / " &amp; $B423,【ピボット】事業所収支!$A$3,"年月",K$13,"事業所",$A$421)),#N/A)</f>
        <v>2696635</v>
      </c>
      <c r="L423" s="482">
        <f>IFERROR(IF(GETPIVOTDATA("合計 / " &amp; $B423,【ピボット】事業所収支!$A$3,"年月",L$13,"事業所",$A$421)=0,#N/A,GETPIVOTDATA("合計 / " &amp; $B423,【ピボット】事業所収支!$A$3,"年月",L$13,"事業所",$A$421)),#N/A)</f>
        <v>2570319</v>
      </c>
      <c r="M423" s="482">
        <f>IFERROR(IF(GETPIVOTDATA("合計 / " &amp; $B423,【ピボット】事業所収支!$A$3,"年月",M$13,"事業所",$A$421)=0,#N/A,GETPIVOTDATA("合計 / " &amp; $B423,【ピボット】事業所収支!$A$3,"年月",M$13,"事業所",$A$421)),#N/A)</f>
        <v>2819531</v>
      </c>
      <c r="N423" s="482">
        <f>IFERROR(IF(GETPIVOTDATA("合計 / " &amp; $B423,【ピボット】事業所収支!$A$3,"年月",N$13,"事業所",$A$421)=0,#N/A,GETPIVOTDATA("合計 / " &amp; $B423,【ピボット】事業所収支!$A$3,"年月",N$13,"事業所",$A$421)),#N/A)</f>
        <v>2754232</v>
      </c>
      <c r="O423" s="482">
        <f>IFERROR(IF(GETPIVOTDATA("合計 / " &amp; $B423,【ピボット】事業所収支!$A$3,"年月",O$13,"事業所",$A$421)=0,#N/A,GETPIVOTDATA("合計 / " &amp; $B423,【ピボット】事業所収支!$A$3,"年月",O$13,"事業所",$A$421)),#N/A)</f>
        <v>3771025</v>
      </c>
      <c r="P423" s="482">
        <f>IFERROR(IF(GETPIVOTDATA("合計 / " &amp; $B423,【ピボット】事業所収支!$A$3,"年月",P$13,"事業所",$A$421)=0,#N/A,GETPIVOTDATA("合計 / " &amp; $B423,【ピボット】事業所収支!$A$3,"年月",P$13,"事業所",$A$421)),#N/A)</f>
        <v>2469018</v>
      </c>
      <c r="Q423" s="482">
        <f>IFERROR(IF(GETPIVOTDATA("合計 / " &amp; $B423,【ピボット】事業所収支!$A$3,"年月",Q$13,"事業所",$A$421)=0,#N/A,GETPIVOTDATA("合計 / " &amp; $B423,【ピボット】事業所収支!$A$3,"年月",Q$13,"事業所",$A$421)),#N/A)</f>
        <v>2977988</v>
      </c>
      <c r="R423" s="482">
        <f>IFERROR(IF(GETPIVOTDATA("合計 / " &amp; $B423,【ピボット】事業所収支!$A$3,"年月",R$13,"事業所",$A$421)=0,#N/A,GETPIVOTDATA("合計 / " &amp; $B423,【ピボット】事業所収支!$A$3,"年月",R$13,"事業所",$A$421)),#N/A)</f>
        <v>2468275</v>
      </c>
      <c r="S423" s="482">
        <f>IFERROR(IF(GETPIVOTDATA("合計 / " &amp; $B423,【ピボット】事業所収支!$A$3,"年月",S$13,"事業所",$A$421)=0,#N/A,GETPIVOTDATA("合計 / " &amp; $B423,【ピボット】事業所収支!$A$3,"年月",S$13,"事業所",$A$421)),#N/A)</f>
        <v>2587385</v>
      </c>
      <c r="T423" s="482">
        <f>IFERROR(IF(GETPIVOTDATA("合計 / " &amp; $B423,【ピボット】事業所収支!$A$3,"年月",T$13,"事業所",$A$421)=0,#N/A,GETPIVOTDATA("合計 / " &amp; $B423,【ピボット】事業所収支!$A$3,"年月",T$13,"事業所",$A$421)),#N/A)</f>
        <v>2800912</v>
      </c>
      <c r="U423" s="482">
        <f>IFERROR(IF(GETPIVOTDATA("合計 / " &amp; $B423,【ピボット】事業所収支!$A$3,"年月",U$13,"事業所",$A$421)=0,#N/A,GETPIVOTDATA("合計 / " &amp; $B423,【ピボット】事業所収支!$A$3,"年月",U$13,"事業所",$A$421)),#N/A)</f>
        <v>2743866</v>
      </c>
      <c r="V423" s="482">
        <f>IFERROR(IF(GETPIVOTDATA("合計 / " &amp; $B423,【ピボット】事業所収支!$A$3,"年月",V$13,"事業所",$A$421)=0,#N/A,GETPIVOTDATA("合計 / " &amp; $B423,【ピボット】事業所収支!$A$3,"年月",V$13,"事業所",$A$421)),#N/A)</f>
        <v>2807684</v>
      </c>
      <c r="W423" s="482">
        <f>IFERROR(IF(GETPIVOTDATA("合計 / " &amp; $B423,【ピボット】事業所収支!$A$3,"年月",W$13,"事業所",$A$421)=0,#N/A,GETPIVOTDATA("合計 / " &amp; $B423,【ピボット】事業所収支!$A$3,"年月",W$13,"事業所",$A$421)),#N/A)</f>
        <v>2942481</v>
      </c>
      <c r="X423" s="482">
        <f>IFERROR(IF(GETPIVOTDATA("合計 / " &amp; $B423,【ピボット】事業所収支!$A$3,"年月",X$13,"事業所",$A$421)=0,#N/A,GETPIVOTDATA("合計 / " &amp; $B423,【ピボット】事業所収支!$A$3,"年月",X$13,"事業所",$A$421)),#N/A)</f>
        <v>2118435</v>
      </c>
      <c r="Y423" s="482">
        <f>IFERROR(IF(GETPIVOTDATA("合計 / " &amp; $B423,【ピボット】事業所収支!$A$3,"年月",Y$13,"事業所",$A$421)=0,#N/A,GETPIVOTDATA("合計 / " &amp; $B423,【ピボット】事業所収支!$A$3,"年月",Y$13,"事業所",$A$421)),#N/A)</f>
        <v>1999507</v>
      </c>
      <c r="Z423" s="482">
        <f>IFERROR(IF(GETPIVOTDATA("合計 / " &amp; $B423,【ピボット】事業所収支!$A$3,"年月",Z$13,"事業所",$A$421)=0,#N/A,GETPIVOTDATA("合計 / " &amp; $B423,【ピボット】事業所収支!$A$3,"年月",Z$13,"事業所",$A$421)),#N/A)</f>
        <v>2831820</v>
      </c>
    </row>
    <row r="424" spans="1:27" ht="14.25" hidden="1" customHeight="1" outlineLevel="1" x14ac:dyDescent="0.15">
      <c r="B424" s="7" t="s">
        <v>28</v>
      </c>
      <c r="C424" s="483">
        <f>IFERROR(IF(GETPIVOTDATA("合計 / " &amp; $B424,【ピボット】事業所収支!$A$3,"年月",C$13,"事業所",$A$421)=0,#N/A,GETPIVOTDATA("合計 / " &amp; $B424,【ピボット】事業所収支!$A$3,"年月",C$13,"事業所",$A$421)),#N/A)</f>
        <v>64405</v>
      </c>
      <c r="D424" s="483">
        <f>IFERROR(IF(GETPIVOTDATA("合計 / " &amp; $B424,【ピボット】事業所収支!$A$3,"年月",D$13,"事業所",$A$421)=0,#N/A,GETPIVOTDATA("合計 / " &amp; $B424,【ピボット】事業所収支!$A$3,"年月",D$13,"事業所",$A$421)),#N/A)</f>
        <v>619301</v>
      </c>
      <c r="E424" s="483">
        <f>IFERROR(IF(GETPIVOTDATA("合計 / " &amp; $B424,【ピボット】事業所収支!$A$3,"年月",E$13,"事業所",$A$421)=0,#N/A,GETPIVOTDATA("合計 / " &amp; $B424,【ピボット】事業所収支!$A$3,"年月",E$13,"事業所",$A$421)),#N/A)</f>
        <v>742925</v>
      </c>
      <c r="F424" s="483">
        <f>IFERROR(IF(GETPIVOTDATA("合計 / " &amp; $B424,【ピボット】事業所収支!$A$3,"年月",F$13,"事業所",$A$421)=0,#N/A,GETPIVOTDATA("合計 / " &amp; $B424,【ピボット】事業所収支!$A$3,"年月",F$13,"事業所",$A$421)),#N/A)</f>
        <v>762323</v>
      </c>
      <c r="G424" s="483">
        <f>IFERROR(IF(GETPIVOTDATA("合計 / " &amp; $B424,【ピボット】事業所収支!$A$3,"年月",G$13,"事業所",$A$421)=0,#N/A,GETPIVOTDATA("合計 / " &amp; $B424,【ピボット】事業所収支!$A$3,"年月",G$13,"事業所",$A$421)),#N/A)</f>
        <v>687112</v>
      </c>
      <c r="H424" s="483">
        <f>IFERROR(IF(GETPIVOTDATA("合計 / " &amp; $B424,【ピボット】事業所収支!$A$3,"年月",H$13,"事業所",$A$421)=0,#N/A,GETPIVOTDATA("合計 / " &amp; $B424,【ピボット】事業所収支!$A$3,"年月",H$13,"事業所",$A$421)),#N/A)</f>
        <v>640064</v>
      </c>
      <c r="I424" s="483">
        <f>IFERROR(IF(GETPIVOTDATA("合計 / " &amp; $B424,【ピボット】事業所収支!$A$3,"年月",I$13,"事業所",$A$421)=0,#N/A,GETPIVOTDATA("合計 / " &amp; $B424,【ピボット】事業所収支!$A$3,"年月",I$13,"事業所",$A$421)),#N/A)</f>
        <v>680775</v>
      </c>
      <c r="J424" s="483">
        <f>IFERROR(IF(GETPIVOTDATA("合計 / " &amp; $B424,【ピボット】事業所収支!$A$3,"年月",J$13,"事業所",$A$421)=0,#N/A,GETPIVOTDATA("合計 / " &amp; $B424,【ピボット】事業所収支!$A$3,"年月",J$13,"事業所",$A$421)),#N/A)</f>
        <v>684955</v>
      </c>
      <c r="K424" s="483">
        <f>IFERROR(IF(GETPIVOTDATA("合計 / " &amp; $B424,【ピボット】事業所収支!$A$3,"年月",K$13,"事業所",$A$421)=0,#N/A,GETPIVOTDATA("合計 / " &amp; $B424,【ピボット】事業所収支!$A$3,"年月",K$13,"事業所",$A$421)),#N/A)</f>
        <v>713725</v>
      </c>
      <c r="L424" s="483">
        <f>IFERROR(IF(GETPIVOTDATA("合計 / " &amp; $B424,【ピボット】事業所収支!$A$3,"年月",L$13,"事業所",$A$421)=0,#N/A,GETPIVOTDATA("合計 / " &amp; $B424,【ピボット】事業所収支!$A$3,"年月",L$13,"事業所",$A$421)),#N/A)</f>
        <v>614310</v>
      </c>
      <c r="M424" s="483">
        <f>IFERROR(IF(GETPIVOTDATA("合計 / " &amp; $B424,【ピボット】事業所収支!$A$3,"年月",M$13,"事業所",$A$421)=0,#N/A,GETPIVOTDATA("合計 / " &amp; $B424,【ピボット】事業所収支!$A$3,"年月",M$13,"事業所",$A$421)),#N/A)</f>
        <v>688933</v>
      </c>
      <c r="N424" s="483">
        <f>IFERROR(IF(GETPIVOTDATA("合計 / " &amp; $B424,【ピボット】事業所収支!$A$3,"年月",N$13,"事業所",$A$421)=0,#N/A,GETPIVOTDATA("合計 / " &amp; $B424,【ピボット】事業所収支!$A$3,"年月",N$13,"事業所",$A$421)),#N/A)</f>
        <v>635210</v>
      </c>
      <c r="O424" s="483">
        <f>IFERROR(IF(GETPIVOTDATA("合計 / " &amp; $B424,【ピボット】事業所収支!$A$3,"年月",O$13,"事業所",$A$421)=0,#N/A,GETPIVOTDATA("合計 / " &amp; $B424,【ピボット】事業所収支!$A$3,"年月",O$13,"事業所",$A$421)),#N/A)</f>
        <v>641025</v>
      </c>
      <c r="P424" s="483">
        <f>IFERROR(IF(GETPIVOTDATA("合計 / " &amp; $B424,【ピボット】事業所収支!$A$3,"年月",P$13,"事業所",$A$421)=0,#N/A,GETPIVOTDATA("合計 / " &amp; $B424,【ピボット】事業所収支!$A$3,"年月",P$13,"事業所",$A$421)),#N/A)</f>
        <v>636965</v>
      </c>
      <c r="Q424" s="483">
        <f>IFERROR(IF(GETPIVOTDATA("合計 / " &amp; $B424,【ピボット】事業所収支!$A$3,"年月",Q$13,"事業所",$A$421)=0,#N/A,GETPIVOTDATA("合計 / " &amp; $B424,【ピボット】事業所収支!$A$3,"年月",Q$13,"事業所",$A$421)),#N/A)</f>
        <v>617990</v>
      </c>
      <c r="R424" s="483">
        <f>IFERROR(IF(GETPIVOTDATA("合計 / " &amp; $B424,【ピボット】事業所収支!$A$3,"年月",R$13,"事業所",$A$421)=0,#N/A,GETPIVOTDATA("合計 / " &amp; $B424,【ピボット】事業所収支!$A$3,"年月",R$13,"事業所",$A$421)),#N/A)</f>
        <v>673138</v>
      </c>
      <c r="S424" s="483">
        <f>IFERROR(IF(GETPIVOTDATA("合計 / " &amp; $B424,【ピボット】事業所収支!$A$3,"年月",S$13,"事業所",$A$421)=0,#N/A,GETPIVOTDATA("合計 / " &amp; $B424,【ピボット】事業所収支!$A$3,"年月",S$13,"事業所",$A$421)),#N/A)</f>
        <v>667010</v>
      </c>
      <c r="T424" s="483">
        <f>IFERROR(IF(GETPIVOTDATA("合計 / " &amp; $B424,【ピボット】事業所収支!$A$3,"年月",T$13,"事業所",$A$421)=0,#N/A,GETPIVOTDATA("合計 / " &amp; $B424,【ピボット】事業所収支!$A$3,"年月",T$13,"事業所",$A$421)),#N/A)</f>
        <v>619825</v>
      </c>
      <c r="U424" s="483">
        <f>IFERROR(IF(GETPIVOTDATA("合計 / " &amp; $B424,【ピボット】事業所収支!$A$3,"年月",U$13,"事業所",$A$421)=0,#N/A,GETPIVOTDATA("合計 / " &amp; $B424,【ピボット】事業所収支!$A$3,"年月",U$13,"事業所",$A$421)),#N/A)</f>
        <v>450301</v>
      </c>
      <c r="V424" s="483">
        <f>IFERROR(IF(GETPIVOTDATA("合計 / " &amp; $B424,【ピボット】事業所収支!$A$3,"年月",V$13,"事業所",$A$421)=0,#N/A,GETPIVOTDATA("合計 / " &amp; $B424,【ピボット】事業所収支!$A$3,"年月",V$13,"事業所",$A$421)),#N/A)</f>
        <v>584532</v>
      </c>
      <c r="W424" s="483">
        <f>IFERROR(IF(GETPIVOTDATA("合計 / " &amp; $B424,【ピボット】事業所収支!$A$3,"年月",W$13,"事業所",$A$421)=0,#N/A,GETPIVOTDATA("合計 / " &amp; $B424,【ピボット】事業所収支!$A$3,"年月",W$13,"事業所",$A$421)),#N/A)</f>
        <v>632926</v>
      </c>
      <c r="X424" s="483">
        <f>IFERROR(IF(GETPIVOTDATA("合計 / " &amp; $B424,【ピボット】事業所収支!$A$3,"年月",X$13,"事業所",$A$421)=0,#N/A,GETPIVOTDATA("合計 / " &amp; $B424,【ピボット】事業所収支!$A$3,"年月",X$13,"事業所",$A$421)),#N/A)</f>
        <v>517538</v>
      </c>
      <c r="Y424" s="483">
        <f>IFERROR(IF(GETPIVOTDATA("合計 / " &amp; $B424,【ピボット】事業所収支!$A$3,"年月",Y$13,"事業所",$A$421)=0,#N/A,GETPIVOTDATA("合計 / " &amp; $B424,【ピボット】事業所収支!$A$3,"年月",Y$13,"事業所",$A$421)),#N/A)</f>
        <v>962010</v>
      </c>
      <c r="Z424" s="483">
        <f>IFERROR(IF(GETPIVOTDATA("合計 / " &amp; $B424,【ピボット】事業所収支!$A$3,"年月",Z$13,"事業所",$A$421)=0,#N/A,GETPIVOTDATA("合計 / " &amp; $B424,【ピボット】事業所収支!$A$3,"年月",Z$13,"事業所",$A$421)),#N/A)</f>
        <v>876775</v>
      </c>
      <c r="AA424" s="4"/>
    </row>
    <row r="425" spans="1:27" ht="14.25" hidden="1" customHeight="1" outlineLevel="1" x14ac:dyDescent="0.15">
      <c r="B425" s="8" t="s">
        <v>27</v>
      </c>
      <c r="C425" s="483" t="e">
        <f>IFERROR(IF(GETPIVOTDATA("合計 / " &amp; $B425,【ピボット】事業所収支!$A$3,"年月",C$13,"事業所",$A$421)=0,#N/A,GETPIVOTDATA("合計 / " &amp; $B425,【ピボット】事業所収支!$A$3,"年月",C$13,"事業所",$A$421)),#N/A)</f>
        <v>#N/A</v>
      </c>
      <c r="D425" s="483" t="e">
        <f>IFERROR(IF(GETPIVOTDATA("合計 / " &amp; $B425,【ピボット】事業所収支!$A$3,"年月",D$13,"事業所",$A$421)=0,#N/A,GETPIVOTDATA("合計 / " &amp; $B425,【ピボット】事業所収支!$A$3,"年月",D$13,"事業所",$A$421)),#N/A)</f>
        <v>#N/A</v>
      </c>
      <c r="E425" s="483" t="e">
        <f>IFERROR(IF(GETPIVOTDATA("合計 / " &amp; $B425,【ピボット】事業所収支!$A$3,"年月",E$13,"事業所",$A$421)=0,#N/A,GETPIVOTDATA("合計 / " &amp; $B425,【ピボット】事業所収支!$A$3,"年月",E$13,"事業所",$A$421)),#N/A)</f>
        <v>#N/A</v>
      </c>
      <c r="F425" s="483" t="e">
        <f>IFERROR(IF(GETPIVOTDATA("合計 / " &amp; $B425,【ピボット】事業所収支!$A$3,"年月",F$13,"事業所",$A$421)=0,#N/A,GETPIVOTDATA("合計 / " &amp; $B425,【ピボット】事業所収支!$A$3,"年月",F$13,"事業所",$A$421)),#N/A)</f>
        <v>#N/A</v>
      </c>
      <c r="G425" s="483" t="e">
        <f>IFERROR(IF(GETPIVOTDATA("合計 / " &amp; $B425,【ピボット】事業所収支!$A$3,"年月",G$13,"事業所",$A$421)=0,#N/A,GETPIVOTDATA("合計 / " &amp; $B425,【ピボット】事業所収支!$A$3,"年月",G$13,"事業所",$A$421)),#N/A)</f>
        <v>#N/A</v>
      </c>
      <c r="H425" s="483" t="e">
        <f>IFERROR(IF(GETPIVOTDATA("合計 / " &amp; $B425,【ピボット】事業所収支!$A$3,"年月",H$13,"事業所",$A$421)=0,#N/A,GETPIVOTDATA("合計 / " &amp; $B425,【ピボット】事業所収支!$A$3,"年月",H$13,"事業所",$A$421)),#N/A)</f>
        <v>#N/A</v>
      </c>
      <c r="I425" s="483" t="e">
        <f>IFERROR(IF(GETPIVOTDATA("合計 / " &amp; $B425,【ピボット】事業所収支!$A$3,"年月",I$13,"事業所",$A$421)=0,#N/A,GETPIVOTDATA("合計 / " &amp; $B425,【ピボット】事業所収支!$A$3,"年月",I$13,"事業所",$A$421)),#N/A)</f>
        <v>#N/A</v>
      </c>
      <c r="J425" s="483" t="e">
        <f>IFERROR(IF(GETPIVOTDATA("合計 / " &amp; $B425,【ピボット】事業所収支!$A$3,"年月",J$13,"事業所",$A$421)=0,#N/A,GETPIVOTDATA("合計 / " &amp; $B425,【ピボット】事業所収支!$A$3,"年月",J$13,"事業所",$A$421)),#N/A)</f>
        <v>#N/A</v>
      </c>
      <c r="K425" s="483" t="e">
        <f>IFERROR(IF(GETPIVOTDATA("合計 / " &amp; $B425,【ピボット】事業所収支!$A$3,"年月",K$13,"事業所",$A$421)=0,#N/A,GETPIVOTDATA("合計 / " &amp; $B425,【ピボット】事業所収支!$A$3,"年月",K$13,"事業所",$A$421)),#N/A)</f>
        <v>#N/A</v>
      </c>
      <c r="L425" s="483" t="e">
        <f>IFERROR(IF(GETPIVOTDATA("合計 / " &amp; $B425,【ピボット】事業所収支!$A$3,"年月",L$13,"事業所",$A$421)=0,#N/A,GETPIVOTDATA("合計 / " &amp; $B425,【ピボット】事業所収支!$A$3,"年月",L$13,"事業所",$A$421)),#N/A)</f>
        <v>#N/A</v>
      </c>
      <c r="M425" s="483" t="e">
        <f>IFERROR(IF(GETPIVOTDATA("合計 / " &amp; $B425,【ピボット】事業所収支!$A$3,"年月",M$13,"事業所",$A$421)=0,#N/A,GETPIVOTDATA("合計 / " &amp; $B425,【ピボット】事業所収支!$A$3,"年月",M$13,"事業所",$A$421)),#N/A)</f>
        <v>#N/A</v>
      </c>
      <c r="N425" s="483" t="e">
        <f>IFERROR(IF(GETPIVOTDATA("合計 / " &amp; $B425,【ピボット】事業所収支!$A$3,"年月",N$13,"事業所",$A$421)=0,#N/A,GETPIVOTDATA("合計 / " &amp; $B425,【ピボット】事業所収支!$A$3,"年月",N$13,"事業所",$A$421)),#N/A)</f>
        <v>#N/A</v>
      </c>
      <c r="O425" s="483" t="e">
        <f>IFERROR(IF(GETPIVOTDATA("合計 / " &amp; $B425,【ピボット】事業所収支!$A$3,"年月",O$13,"事業所",$A$421)=0,#N/A,GETPIVOTDATA("合計 / " &amp; $B425,【ピボット】事業所収支!$A$3,"年月",O$13,"事業所",$A$421)),#N/A)</f>
        <v>#N/A</v>
      </c>
      <c r="P425" s="483" t="e">
        <f>IFERROR(IF(GETPIVOTDATA("合計 / " &amp; $B425,【ピボット】事業所収支!$A$3,"年月",P$13,"事業所",$A$421)=0,#N/A,GETPIVOTDATA("合計 / " &amp; $B425,【ピボット】事業所収支!$A$3,"年月",P$13,"事業所",$A$421)),#N/A)</f>
        <v>#N/A</v>
      </c>
      <c r="Q425" s="483" t="e">
        <f>IFERROR(IF(GETPIVOTDATA("合計 / " &amp; $B425,【ピボット】事業所収支!$A$3,"年月",Q$13,"事業所",$A$421)=0,#N/A,GETPIVOTDATA("合計 / " &amp; $B425,【ピボット】事業所収支!$A$3,"年月",Q$13,"事業所",$A$421)),#N/A)</f>
        <v>#N/A</v>
      </c>
      <c r="R425" s="483" t="e">
        <f>IFERROR(IF(GETPIVOTDATA("合計 / " &amp; $B425,【ピボット】事業所収支!$A$3,"年月",R$13,"事業所",$A$421)=0,#N/A,GETPIVOTDATA("合計 / " &amp; $B425,【ピボット】事業所収支!$A$3,"年月",R$13,"事業所",$A$421)),#N/A)</f>
        <v>#N/A</v>
      </c>
      <c r="S425" s="483" t="e">
        <f>IFERROR(IF(GETPIVOTDATA("合計 / " &amp; $B425,【ピボット】事業所収支!$A$3,"年月",S$13,"事業所",$A$421)=0,#N/A,GETPIVOTDATA("合計 / " &amp; $B425,【ピボット】事業所収支!$A$3,"年月",S$13,"事業所",$A$421)),#N/A)</f>
        <v>#N/A</v>
      </c>
      <c r="T425" s="483">
        <f>IFERROR(IF(GETPIVOTDATA("合計 / " &amp; $B425,【ピボット】事業所収支!$A$3,"年月",T$13,"事業所",$A$421)=0,#N/A,GETPIVOTDATA("合計 / " &amp; $B425,【ピボット】事業所収支!$A$3,"年月",T$13,"事業所",$A$421)),#N/A)</f>
        <v>334455</v>
      </c>
      <c r="U425" s="483">
        <f>IFERROR(IF(GETPIVOTDATA("合計 / " &amp; $B425,【ピボット】事業所収支!$A$3,"年月",U$13,"事業所",$A$421)=0,#N/A,GETPIVOTDATA("合計 / " &amp; $B425,【ピボット】事業所収支!$A$3,"年月",U$13,"事業所",$A$421)),#N/A)</f>
        <v>492994</v>
      </c>
      <c r="V425" s="483">
        <f>IFERROR(IF(GETPIVOTDATA("合計 / " &amp; $B425,【ピボット】事業所収支!$A$3,"年月",V$13,"事業所",$A$421)=0,#N/A,GETPIVOTDATA("合計 / " &amp; $B425,【ピボット】事業所収支!$A$3,"年月",V$13,"事業所",$A$421)),#N/A)</f>
        <v>515075</v>
      </c>
      <c r="W425" s="483">
        <f>IFERROR(IF(GETPIVOTDATA("合計 / " &amp; $B425,【ピボット】事業所収支!$A$3,"年月",W$13,"事業所",$A$421)=0,#N/A,GETPIVOTDATA("合計 / " &amp; $B425,【ピボット】事業所収支!$A$3,"年月",W$13,"事業所",$A$421)),#N/A)</f>
        <v>545872</v>
      </c>
      <c r="X425" s="483">
        <f>IFERROR(IF(GETPIVOTDATA("合計 / " &amp; $B425,【ピボット】事業所収支!$A$3,"年月",X$13,"事業所",$A$421)=0,#N/A,GETPIVOTDATA("合計 / " &amp; $B425,【ピボット】事業所収支!$A$3,"年月",X$13,"事業所",$A$421)),#N/A)</f>
        <v>497000</v>
      </c>
      <c r="Y425" s="483">
        <f>IFERROR(IF(GETPIVOTDATA("合計 / " &amp; $B425,【ピボット】事業所収支!$A$3,"年月",Y$13,"事業所",$A$421)=0,#N/A,GETPIVOTDATA("合計 / " &amp; $B425,【ピボット】事業所収支!$A$3,"年月",Y$13,"事業所",$A$421)),#N/A)</f>
        <v>498502</v>
      </c>
      <c r="Z425" s="483">
        <f>IFERROR(IF(GETPIVOTDATA("合計 / " &amp; $B425,【ピボット】事業所収支!$A$3,"年月",Z$13,"事業所",$A$421)=0,#N/A,GETPIVOTDATA("合計 / " &amp; $B425,【ピボット】事業所収支!$A$3,"年月",Z$13,"事業所",$A$421)),#N/A)</f>
        <v>502460</v>
      </c>
      <c r="AA425" s="1"/>
    </row>
    <row r="426" spans="1:27" ht="14.25" hidden="1" customHeight="1" outlineLevel="1" x14ac:dyDescent="0.15">
      <c r="B426" s="8" t="s">
        <v>60</v>
      </c>
      <c r="C426" s="483" t="e">
        <f>IFERROR(IF(GETPIVOTDATA("合計 / " &amp; $B426,【ピボット】事業所収支!$A$3,"年月",C$13,"事業所",$A$421)=0,#N/A,GETPIVOTDATA("合計 / " &amp; $B426,【ピボット】事業所収支!$A$3,"年月",C$13,"事業所",$A$421)),#N/A)</f>
        <v>#N/A</v>
      </c>
      <c r="D426" s="483" t="e">
        <f>IFERROR(IF(GETPIVOTDATA("合計 / " &amp; $B426,【ピボット】事業所収支!$A$3,"年月",D$13,"事業所",$A$421)=0,#N/A,GETPIVOTDATA("合計 / " &amp; $B426,【ピボット】事業所収支!$A$3,"年月",D$13,"事業所",$A$421)),#N/A)</f>
        <v>#N/A</v>
      </c>
      <c r="E426" s="483" t="e">
        <f>IFERROR(IF(GETPIVOTDATA("合計 / " &amp; $B426,【ピボット】事業所収支!$A$3,"年月",E$13,"事業所",$A$421)=0,#N/A,GETPIVOTDATA("合計 / " &amp; $B426,【ピボット】事業所収支!$A$3,"年月",E$13,"事業所",$A$421)),#N/A)</f>
        <v>#N/A</v>
      </c>
      <c r="F426" s="483" t="e">
        <f>IFERROR(IF(GETPIVOTDATA("合計 / " &amp; $B426,【ピボット】事業所収支!$A$3,"年月",F$13,"事業所",$A$421)=0,#N/A,GETPIVOTDATA("合計 / " &amp; $B426,【ピボット】事業所収支!$A$3,"年月",F$13,"事業所",$A$421)),#N/A)</f>
        <v>#N/A</v>
      </c>
      <c r="G426" s="483" t="e">
        <f>IFERROR(IF(GETPIVOTDATA("合計 / " &amp; $B426,【ピボット】事業所収支!$A$3,"年月",G$13,"事業所",$A$421)=0,#N/A,GETPIVOTDATA("合計 / " &amp; $B426,【ピボット】事業所収支!$A$3,"年月",G$13,"事業所",$A$421)),#N/A)</f>
        <v>#N/A</v>
      </c>
      <c r="H426" s="483" t="e">
        <f>IFERROR(IF(GETPIVOTDATA("合計 / " &amp; $B426,【ピボット】事業所収支!$A$3,"年月",H$13,"事業所",$A$421)=0,#N/A,GETPIVOTDATA("合計 / " &amp; $B426,【ピボット】事業所収支!$A$3,"年月",H$13,"事業所",$A$421)),#N/A)</f>
        <v>#N/A</v>
      </c>
      <c r="I426" s="483" t="e">
        <f>IFERROR(IF(GETPIVOTDATA("合計 / " &amp; $B426,【ピボット】事業所収支!$A$3,"年月",I$13,"事業所",$A$421)=0,#N/A,GETPIVOTDATA("合計 / " &amp; $B426,【ピボット】事業所収支!$A$3,"年月",I$13,"事業所",$A$421)),#N/A)</f>
        <v>#N/A</v>
      </c>
      <c r="J426" s="483" t="e">
        <f>IFERROR(IF(GETPIVOTDATA("合計 / " &amp; $B426,【ピボット】事業所収支!$A$3,"年月",J$13,"事業所",$A$421)=0,#N/A,GETPIVOTDATA("合計 / " &amp; $B426,【ピボット】事業所収支!$A$3,"年月",J$13,"事業所",$A$421)),#N/A)</f>
        <v>#N/A</v>
      </c>
      <c r="K426" s="483" t="e">
        <f>IFERROR(IF(GETPIVOTDATA("合計 / " &amp; $B426,【ピボット】事業所収支!$A$3,"年月",K$13,"事業所",$A$421)=0,#N/A,GETPIVOTDATA("合計 / " &amp; $B426,【ピボット】事業所収支!$A$3,"年月",K$13,"事業所",$A$421)),#N/A)</f>
        <v>#N/A</v>
      </c>
      <c r="L426" s="483" t="e">
        <f>IFERROR(IF(GETPIVOTDATA("合計 / " &amp; $B426,【ピボット】事業所収支!$A$3,"年月",L$13,"事業所",$A$421)=0,#N/A,GETPIVOTDATA("合計 / " &amp; $B426,【ピボット】事業所収支!$A$3,"年月",L$13,"事業所",$A$421)),#N/A)</f>
        <v>#N/A</v>
      </c>
      <c r="M426" s="483" t="e">
        <f>IFERROR(IF(GETPIVOTDATA("合計 / " &amp; $B426,【ピボット】事業所収支!$A$3,"年月",M$13,"事業所",$A$421)=0,#N/A,GETPIVOTDATA("合計 / " &amp; $B426,【ピボット】事業所収支!$A$3,"年月",M$13,"事業所",$A$421)),#N/A)</f>
        <v>#N/A</v>
      </c>
      <c r="N426" s="483" t="e">
        <f>IFERROR(IF(GETPIVOTDATA("合計 / " &amp; $B426,【ピボット】事業所収支!$A$3,"年月",N$13,"事業所",$A$421)=0,#N/A,GETPIVOTDATA("合計 / " &amp; $B426,【ピボット】事業所収支!$A$3,"年月",N$13,"事業所",$A$421)),#N/A)</f>
        <v>#N/A</v>
      </c>
      <c r="O426" s="483" t="e">
        <f>IFERROR(IF(GETPIVOTDATA("合計 / " &amp; $B426,【ピボット】事業所収支!$A$3,"年月",O$13,"事業所",$A$421)=0,#N/A,GETPIVOTDATA("合計 / " &amp; $B426,【ピボット】事業所収支!$A$3,"年月",O$13,"事業所",$A$421)),#N/A)</f>
        <v>#N/A</v>
      </c>
      <c r="P426" s="483" t="e">
        <f>IFERROR(IF(GETPIVOTDATA("合計 / " &amp; $B426,【ピボット】事業所収支!$A$3,"年月",P$13,"事業所",$A$421)=0,#N/A,GETPIVOTDATA("合計 / " &amp; $B426,【ピボット】事業所収支!$A$3,"年月",P$13,"事業所",$A$421)),#N/A)</f>
        <v>#N/A</v>
      </c>
      <c r="Q426" s="483" t="e">
        <f>IFERROR(IF(GETPIVOTDATA("合計 / " &amp; $B426,【ピボット】事業所収支!$A$3,"年月",Q$13,"事業所",$A$421)=0,#N/A,GETPIVOTDATA("合計 / " &amp; $B426,【ピボット】事業所収支!$A$3,"年月",Q$13,"事業所",$A$421)),#N/A)</f>
        <v>#N/A</v>
      </c>
      <c r="R426" s="483" t="e">
        <f>IFERROR(IF(GETPIVOTDATA("合計 / " &amp; $B426,【ピボット】事業所収支!$A$3,"年月",R$13,"事業所",$A$421)=0,#N/A,GETPIVOTDATA("合計 / " &amp; $B426,【ピボット】事業所収支!$A$3,"年月",R$13,"事業所",$A$421)),#N/A)</f>
        <v>#N/A</v>
      </c>
      <c r="S426" s="483" t="e">
        <f>IFERROR(IF(GETPIVOTDATA("合計 / " &amp; $B426,【ピボット】事業所収支!$A$3,"年月",S$13,"事業所",$A$421)=0,#N/A,GETPIVOTDATA("合計 / " &amp; $B426,【ピボット】事業所収支!$A$3,"年月",S$13,"事業所",$A$421)),#N/A)</f>
        <v>#N/A</v>
      </c>
      <c r="T426" s="483" t="e">
        <f>IFERROR(IF(GETPIVOTDATA("合計 / " &amp; $B426,【ピボット】事業所収支!$A$3,"年月",T$13,"事業所",$A$421)=0,#N/A,GETPIVOTDATA("合計 / " &amp; $B426,【ピボット】事業所収支!$A$3,"年月",T$13,"事業所",$A$421)),#N/A)</f>
        <v>#N/A</v>
      </c>
      <c r="U426" s="483" t="e">
        <f>IFERROR(IF(GETPIVOTDATA("合計 / " &amp; $B426,【ピボット】事業所収支!$A$3,"年月",U$13,"事業所",$A$421)=0,#N/A,GETPIVOTDATA("合計 / " &amp; $B426,【ピボット】事業所収支!$A$3,"年月",U$13,"事業所",$A$421)),#N/A)</f>
        <v>#N/A</v>
      </c>
      <c r="V426" s="483">
        <f>IFERROR(IF(GETPIVOTDATA("合計 / " &amp; $B426,【ピボット】事業所収支!$A$3,"年月",V$13,"事業所",$A$421)=0,#N/A,GETPIVOTDATA("合計 / " &amp; $B426,【ピボット】事業所収支!$A$3,"年月",V$13,"事業所",$A$421)),#N/A)</f>
        <v>100000</v>
      </c>
      <c r="W426" s="483" t="e">
        <f>IFERROR(IF(GETPIVOTDATA("合計 / " &amp; $B426,【ピボット】事業所収支!$A$3,"年月",W$13,"事業所",$A$421)=0,#N/A,GETPIVOTDATA("合計 / " &amp; $B426,【ピボット】事業所収支!$A$3,"年月",W$13,"事業所",$A$421)),#N/A)</f>
        <v>#N/A</v>
      </c>
      <c r="X426" s="483" t="e">
        <f>IFERROR(IF(GETPIVOTDATA("合計 / " &amp; $B426,【ピボット】事業所収支!$A$3,"年月",X$13,"事業所",$A$421)=0,#N/A,GETPIVOTDATA("合計 / " &amp; $B426,【ピボット】事業所収支!$A$3,"年月",X$13,"事業所",$A$421)),#N/A)</f>
        <v>#N/A</v>
      </c>
      <c r="Y426" s="483" t="e">
        <f>IFERROR(IF(GETPIVOTDATA("合計 / " &amp; $B426,【ピボット】事業所収支!$A$3,"年月",Y$13,"事業所",$A$421)=0,#N/A,GETPIVOTDATA("合計 / " &amp; $B426,【ピボット】事業所収支!$A$3,"年月",Y$13,"事業所",$A$421)),#N/A)</f>
        <v>#N/A</v>
      </c>
      <c r="Z426" s="483" t="e">
        <f>IFERROR(IF(GETPIVOTDATA("合計 / " &amp; $B426,【ピボット】事業所収支!$A$3,"年月",Z$13,"事業所",$A$421)=0,#N/A,GETPIVOTDATA("合計 / " &amp; $B426,【ピボット】事業所収支!$A$3,"年月",Z$13,"事業所",$A$421)),#N/A)</f>
        <v>#N/A</v>
      </c>
    </row>
    <row r="427" spans="1:27" ht="14.25" hidden="1" customHeight="1" outlineLevel="1" x14ac:dyDescent="0.15">
      <c r="B427" s="8" t="s">
        <v>50</v>
      </c>
      <c r="C427" s="483" t="e">
        <f>IFERROR(IF(GETPIVOTDATA("合計 / " &amp; $B427,【ピボット】事業所収支!$A$3,"年月",C$13,"事業所",$A$421)=0,#N/A,GETPIVOTDATA("合計 / " &amp; $B427,【ピボット】事業所収支!$A$3,"年月",C$13,"事業所",$A$421)),#N/A)</f>
        <v>#N/A</v>
      </c>
      <c r="D427" s="483" t="e">
        <f>IFERROR(IF(GETPIVOTDATA("合計 / " &amp; $B427,【ピボット】事業所収支!$A$3,"年月",D$13,"事業所",$A$421)=0,#N/A,GETPIVOTDATA("合計 / " &amp; $B427,【ピボット】事業所収支!$A$3,"年月",D$13,"事業所",$A$421)),#N/A)</f>
        <v>#N/A</v>
      </c>
      <c r="E427" s="483" t="e">
        <f>IFERROR(IF(GETPIVOTDATA("合計 / " &amp; $B427,【ピボット】事業所収支!$A$3,"年月",E$13,"事業所",$A$421)=0,#N/A,GETPIVOTDATA("合計 / " &amp; $B427,【ピボット】事業所収支!$A$3,"年月",E$13,"事業所",$A$421)),#N/A)</f>
        <v>#N/A</v>
      </c>
      <c r="F427" s="483" t="e">
        <f>IFERROR(IF(GETPIVOTDATA("合計 / " &amp; $B427,【ピボット】事業所収支!$A$3,"年月",F$13,"事業所",$A$421)=0,#N/A,GETPIVOTDATA("合計 / " &amp; $B427,【ピボット】事業所収支!$A$3,"年月",F$13,"事業所",$A$421)),#N/A)</f>
        <v>#N/A</v>
      </c>
      <c r="G427" s="483" t="e">
        <f>IFERROR(IF(GETPIVOTDATA("合計 / " &amp; $B427,【ピボット】事業所収支!$A$3,"年月",G$13,"事業所",$A$421)=0,#N/A,GETPIVOTDATA("合計 / " &amp; $B427,【ピボット】事業所収支!$A$3,"年月",G$13,"事業所",$A$421)),#N/A)</f>
        <v>#N/A</v>
      </c>
      <c r="H427" s="483" t="e">
        <f>IFERROR(IF(GETPIVOTDATA("合計 / " &amp; $B427,【ピボット】事業所収支!$A$3,"年月",H$13,"事業所",$A$421)=0,#N/A,GETPIVOTDATA("合計 / " &amp; $B427,【ピボット】事業所収支!$A$3,"年月",H$13,"事業所",$A$421)),#N/A)</f>
        <v>#N/A</v>
      </c>
      <c r="I427" s="483" t="e">
        <f>IFERROR(IF(GETPIVOTDATA("合計 / " &amp; $B427,【ピボット】事業所収支!$A$3,"年月",I$13,"事業所",$A$421)=0,#N/A,GETPIVOTDATA("合計 / " &amp; $B427,【ピボット】事業所収支!$A$3,"年月",I$13,"事業所",$A$421)),#N/A)</f>
        <v>#N/A</v>
      </c>
      <c r="J427" s="483" t="e">
        <f>IFERROR(IF(GETPIVOTDATA("合計 / " &amp; $B427,【ピボット】事業所収支!$A$3,"年月",J$13,"事業所",$A$421)=0,#N/A,GETPIVOTDATA("合計 / " &amp; $B427,【ピボット】事業所収支!$A$3,"年月",J$13,"事業所",$A$421)),#N/A)</f>
        <v>#N/A</v>
      </c>
      <c r="K427" s="483" t="e">
        <f>IFERROR(IF(GETPIVOTDATA("合計 / " &amp; $B427,【ピボット】事業所収支!$A$3,"年月",K$13,"事業所",$A$421)=0,#N/A,GETPIVOTDATA("合計 / " &amp; $B427,【ピボット】事業所収支!$A$3,"年月",K$13,"事業所",$A$421)),#N/A)</f>
        <v>#N/A</v>
      </c>
      <c r="L427" s="483" t="e">
        <f>IFERROR(IF(GETPIVOTDATA("合計 / " &amp; $B427,【ピボット】事業所収支!$A$3,"年月",L$13,"事業所",$A$421)=0,#N/A,GETPIVOTDATA("合計 / " &amp; $B427,【ピボット】事業所収支!$A$3,"年月",L$13,"事業所",$A$421)),#N/A)</f>
        <v>#N/A</v>
      </c>
      <c r="M427" s="483" t="e">
        <f>IFERROR(IF(GETPIVOTDATA("合計 / " &amp; $B427,【ピボット】事業所収支!$A$3,"年月",M$13,"事業所",$A$421)=0,#N/A,GETPIVOTDATA("合計 / " &amp; $B427,【ピボット】事業所収支!$A$3,"年月",M$13,"事業所",$A$421)),#N/A)</f>
        <v>#N/A</v>
      </c>
      <c r="N427" s="483" t="e">
        <f>IFERROR(IF(GETPIVOTDATA("合計 / " &amp; $B427,【ピボット】事業所収支!$A$3,"年月",N$13,"事業所",$A$421)=0,#N/A,GETPIVOTDATA("合計 / " &amp; $B427,【ピボット】事業所収支!$A$3,"年月",N$13,"事業所",$A$421)),#N/A)</f>
        <v>#N/A</v>
      </c>
      <c r="O427" s="483" t="e">
        <f>IFERROR(IF(GETPIVOTDATA("合計 / " &amp; $B427,【ピボット】事業所収支!$A$3,"年月",O$13,"事業所",$A$421)=0,#N/A,GETPIVOTDATA("合計 / " &amp; $B427,【ピボット】事業所収支!$A$3,"年月",O$13,"事業所",$A$421)),#N/A)</f>
        <v>#N/A</v>
      </c>
      <c r="P427" s="483" t="e">
        <f>IFERROR(IF(GETPIVOTDATA("合計 / " &amp; $B427,【ピボット】事業所収支!$A$3,"年月",P$13,"事業所",$A$421)=0,#N/A,GETPIVOTDATA("合計 / " &amp; $B427,【ピボット】事業所収支!$A$3,"年月",P$13,"事業所",$A$421)),#N/A)</f>
        <v>#N/A</v>
      </c>
      <c r="Q427" s="483" t="e">
        <f>IFERROR(IF(GETPIVOTDATA("合計 / " &amp; $B427,【ピボット】事業所収支!$A$3,"年月",Q$13,"事業所",$A$421)=0,#N/A,GETPIVOTDATA("合計 / " &amp; $B427,【ピボット】事業所収支!$A$3,"年月",Q$13,"事業所",$A$421)),#N/A)</f>
        <v>#N/A</v>
      </c>
      <c r="R427" s="483" t="e">
        <f>IFERROR(IF(GETPIVOTDATA("合計 / " &amp; $B427,【ピボット】事業所収支!$A$3,"年月",R$13,"事業所",$A$421)=0,#N/A,GETPIVOTDATA("合計 / " &amp; $B427,【ピボット】事業所収支!$A$3,"年月",R$13,"事業所",$A$421)),#N/A)</f>
        <v>#N/A</v>
      </c>
      <c r="S427" s="483" t="e">
        <f>IFERROR(IF(GETPIVOTDATA("合計 / " &amp; $B427,【ピボット】事業所収支!$A$3,"年月",S$13,"事業所",$A$421)=0,#N/A,GETPIVOTDATA("合計 / " &amp; $B427,【ピボット】事業所収支!$A$3,"年月",S$13,"事業所",$A$421)),#N/A)</f>
        <v>#N/A</v>
      </c>
      <c r="T427" s="483" t="e">
        <f>IFERROR(IF(GETPIVOTDATA("合計 / " &amp; $B427,【ピボット】事業所収支!$A$3,"年月",T$13,"事業所",$A$421)=0,#N/A,GETPIVOTDATA("合計 / " &amp; $B427,【ピボット】事業所収支!$A$3,"年月",T$13,"事業所",$A$421)),#N/A)</f>
        <v>#N/A</v>
      </c>
      <c r="U427" s="483" t="e">
        <f>IFERROR(IF(GETPIVOTDATA("合計 / " &amp; $B427,【ピボット】事業所収支!$A$3,"年月",U$13,"事業所",$A$421)=0,#N/A,GETPIVOTDATA("合計 / " &amp; $B427,【ピボット】事業所収支!$A$3,"年月",U$13,"事業所",$A$421)),#N/A)</f>
        <v>#N/A</v>
      </c>
      <c r="V427" s="483" t="e">
        <f>IFERROR(IF(GETPIVOTDATA("合計 / " &amp; $B427,【ピボット】事業所収支!$A$3,"年月",V$13,"事業所",$A$421)=0,#N/A,GETPIVOTDATA("合計 / " &amp; $B427,【ピボット】事業所収支!$A$3,"年月",V$13,"事業所",$A$421)),#N/A)</f>
        <v>#N/A</v>
      </c>
      <c r="W427" s="483" t="e">
        <f>IFERROR(IF(GETPIVOTDATA("合計 / " &amp; $B427,【ピボット】事業所収支!$A$3,"年月",W$13,"事業所",$A$421)=0,#N/A,GETPIVOTDATA("合計 / " &amp; $B427,【ピボット】事業所収支!$A$3,"年月",W$13,"事業所",$A$421)),#N/A)</f>
        <v>#N/A</v>
      </c>
      <c r="X427" s="483" t="e">
        <f>IFERROR(IF(GETPIVOTDATA("合計 / " &amp; $B427,【ピボット】事業所収支!$A$3,"年月",X$13,"事業所",$A$421)=0,#N/A,GETPIVOTDATA("合計 / " &amp; $B427,【ピボット】事業所収支!$A$3,"年月",X$13,"事業所",$A$421)),#N/A)</f>
        <v>#N/A</v>
      </c>
      <c r="Y427" s="483" t="e">
        <f>IFERROR(IF(GETPIVOTDATA("合計 / " &amp; $B427,【ピボット】事業所収支!$A$3,"年月",Y$13,"事業所",$A$421)=0,#N/A,GETPIVOTDATA("合計 / " &amp; $B427,【ピボット】事業所収支!$A$3,"年月",Y$13,"事業所",$A$421)),#N/A)</f>
        <v>#N/A</v>
      </c>
      <c r="Z427" s="483" t="e">
        <f>IFERROR(IF(GETPIVOTDATA("合計 / " &amp; $B427,【ピボット】事業所収支!$A$3,"年月",Z$13,"事業所",$A$421)=0,#N/A,GETPIVOTDATA("合計 / " &amp; $B427,【ピボット】事業所収支!$A$3,"年月",Z$13,"事業所",$A$421)),#N/A)</f>
        <v>#N/A</v>
      </c>
    </row>
    <row r="428" spans="1:27" ht="14.25" hidden="1" customHeight="1" outlineLevel="1" x14ac:dyDescent="0.15">
      <c r="B428" s="9" t="s">
        <v>29</v>
      </c>
      <c r="C428" s="483" t="e">
        <f>IFERROR(IF(GETPIVOTDATA("合計 / " &amp; $B428,【ピボット】事業所収支!$A$3,"年月",C$13,"事業所",$A$421)=0,#N/A,GETPIVOTDATA("合計 / " &amp; $B428,【ピボット】事業所収支!$A$3,"年月",C$13,"事業所",$A$421)),#N/A)</f>
        <v>#N/A</v>
      </c>
      <c r="D428" s="483" t="e">
        <f>IFERROR(IF(GETPIVOTDATA("合計 / " &amp; $B428,【ピボット】事業所収支!$A$3,"年月",D$13,"事業所",$A$421)=0,#N/A,GETPIVOTDATA("合計 / " &amp; $B428,【ピボット】事業所収支!$A$3,"年月",D$13,"事業所",$A$421)),#N/A)</f>
        <v>#N/A</v>
      </c>
      <c r="E428" s="483">
        <f>IFERROR(IF(GETPIVOTDATA("合計 / " &amp; $B428,【ピボット】事業所収支!$A$3,"年月",E$13,"事業所",$A$421)=0,#N/A,GETPIVOTDATA("合計 / " &amp; $B428,【ピボット】事業所収支!$A$3,"年月",E$13,"事業所",$A$421)),#N/A)</f>
        <v>46916</v>
      </c>
      <c r="F428" s="483">
        <f>IFERROR(IF(GETPIVOTDATA("合計 / " &amp; $B428,【ピボット】事業所収支!$A$3,"年月",F$13,"事業所",$A$421)=0,#N/A,GETPIVOTDATA("合計 / " &amp; $B428,【ピボット】事業所収支!$A$3,"年月",F$13,"事業所",$A$421)),#N/A)</f>
        <v>23071</v>
      </c>
      <c r="G428" s="483">
        <f>IFERROR(IF(GETPIVOTDATA("合計 / " &amp; $B428,【ピボット】事業所収支!$A$3,"年月",G$13,"事業所",$A$421)=0,#N/A,GETPIVOTDATA("合計 / " &amp; $B428,【ピボット】事業所収支!$A$3,"年月",G$13,"事業所",$A$421)),#N/A)</f>
        <v>21365</v>
      </c>
      <c r="H428" s="483">
        <f>IFERROR(IF(GETPIVOTDATA("合計 / " &amp; $B428,【ピボット】事業所収支!$A$3,"年月",H$13,"事業所",$A$421)=0,#N/A,GETPIVOTDATA("合計 / " &amp; $B428,【ピボット】事業所収支!$A$3,"年月",H$13,"事業所",$A$421)),#N/A)</f>
        <v>32960</v>
      </c>
      <c r="I428" s="483">
        <f>IFERROR(IF(GETPIVOTDATA("合計 / " &amp; $B428,【ピボット】事業所収支!$A$3,"年月",I$13,"事業所",$A$421)=0,#N/A,GETPIVOTDATA("合計 / " &amp; $B428,【ピボット】事業所収支!$A$3,"年月",I$13,"事業所",$A$421)),#N/A)</f>
        <v>29775</v>
      </c>
      <c r="J428" s="483">
        <f>IFERROR(IF(GETPIVOTDATA("合計 / " &amp; $B428,【ピボット】事業所収支!$A$3,"年月",J$13,"事業所",$A$421)=0,#N/A,GETPIVOTDATA("合計 / " &amp; $B428,【ピボット】事業所収支!$A$3,"年月",J$13,"事業所",$A$421)),#N/A)</f>
        <v>-4366.7289966918415</v>
      </c>
      <c r="K428" s="483">
        <f>IFERROR(IF(GETPIVOTDATA("合計 / " &amp; $B428,【ピボット】事業所収支!$A$3,"年月",K$13,"事業所",$A$421)=0,#N/A,GETPIVOTDATA("合計 / " &amp; $B428,【ピボット】事業所収支!$A$3,"年月",K$13,"事業所",$A$421)),#N/A)</f>
        <v>94146</v>
      </c>
      <c r="L428" s="483">
        <f>IFERROR(IF(GETPIVOTDATA("合計 / " &amp; $B428,【ピボット】事業所収支!$A$3,"年月",L$13,"事業所",$A$421)=0,#N/A,GETPIVOTDATA("合計 / " &amp; $B428,【ピボット】事業所収支!$A$3,"年月",L$13,"事業所",$A$421)),#N/A)</f>
        <v>23315</v>
      </c>
      <c r="M428" s="483">
        <f>IFERROR(IF(GETPIVOTDATA("合計 / " &amp; $B428,【ピボット】事業所収支!$A$3,"年月",M$13,"事業所",$A$421)=0,#N/A,GETPIVOTDATA("合計 / " &amp; $B428,【ピボット】事業所収支!$A$3,"年月",M$13,"事業所",$A$421)),#N/A)</f>
        <v>28024</v>
      </c>
      <c r="N428" s="483">
        <f>IFERROR(IF(GETPIVOTDATA("合計 / " &amp; $B428,【ピボット】事業所収支!$A$3,"年月",N$13,"事業所",$A$421)=0,#N/A,GETPIVOTDATA("合計 / " &amp; $B428,【ピボット】事業所収支!$A$3,"年月",N$13,"事業所",$A$421)),#N/A)</f>
        <v>25914</v>
      </c>
      <c r="O428" s="483">
        <f>IFERROR(IF(GETPIVOTDATA("合計 / " &amp; $B428,【ピボット】事業所収支!$A$3,"年月",O$13,"事業所",$A$421)=0,#N/A,GETPIVOTDATA("合計 / " &amp; $B428,【ピボット】事業所収支!$A$3,"年月",O$13,"事業所",$A$421)),#N/A)</f>
        <v>26538</v>
      </c>
      <c r="P428" s="483">
        <f>IFERROR(IF(GETPIVOTDATA("合計 / " &amp; $B428,【ピボット】事業所収支!$A$3,"年月",P$13,"事業所",$A$421)=0,#N/A,GETPIVOTDATA("合計 / " &amp; $B428,【ピボット】事業所収支!$A$3,"年月",P$13,"事業所",$A$421)),#N/A)</f>
        <v>23220</v>
      </c>
      <c r="Q428" s="483">
        <f>IFERROR(IF(GETPIVOTDATA("合計 / " &amp; $B428,【ピボット】事業所収支!$A$3,"年月",Q$13,"事業所",$A$421)=0,#N/A,GETPIVOTDATA("合計 / " &amp; $B428,【ピボット】事業所収支!$A$3,"年月",Q$13,"事業所",$A$421)),#N/A)</f>
        <v>59224</v>
      </c>
      <c r="R428" s="483">
        <f>IFERROR(IF(GETPIVOTDATA("合計 / " &amp; $B428,【ピボット】事業所収支!$A$3,"年月",R$13,"事業所",$A$421)=0,#N/A,GETPIVOTDATA("合計 / " &amp; $B428,【ピボット】事業所収支!$A$3,"年月",R$13,"事業所",$A$421)),#N/A)</f>
        <v>22639</v>
      </c>
      <c r="S428" s="483">
        <f>IFERROR(IF(GETPIVOTDATA("合計 / " &amp; $B428,【ピボット】事業所収支!$A$3,"年月",S$13,"事業所",$A$421)=0,#N/A,GETPIVOTDATA("合計 / " &amp; $B428,【ピボット】事業所収支!$A$3,"年月",S$13,"事業所",$A$421)),#N/A)</f>
        <v>29928</v>
      </c>
      <c r="T428" s="483">
        <f>IFERROR(IF(GETPIVOTDATA("合計 / " &amp; $B428,【ピボット】事業所収支!$A$3,"年月",T$13,"事業所",$A$421)=0,#N/A,GETPIVOTDATA("合計 / " &amp; $B428,【ピボット】事業所収支!$A$3,"年月",T$13,"事業所",$A$421)),#N/A)</f>
        <v>61717</v>
      </c>
      <c r="U428" s="483">
        <f>IFERROR(IF(GETPIVOTDATA("合計 / " &amp; $B428,【ピボット】事業所収支!$A$3,"年月",U$13,"事業所",$A$421)=0,#N/A,GETPIVOTDATA("合計 / " &amp; $B428,【ピボット】事業所収支!$A$3,"年月",U$13,"事業所",$A$421)),#N/A)</f>
        <v>81646</v>
      </c>
      <c r="V428" s="483">
        <f>IFERROR(IF(GETPIVOTDATA("合計 / " &amp; $B428,【ピボット】事業所収支!$A$3,"年月",V$13,"事業所",$A$421)=0,#N/A,GETPIVOTDATA("合計 / " &amp; $B428,【ピボット】事業所収支!$A$3,"年月",V$13,"事業所",$A$421)),#N/A)</f>
        <v>81791</v>
      </c>
      <c r="W428" s="483">
        <f>IFERROR(IF(GETPIVOTDATA("合計 / " &amp; $B428,【ピボット】事業所収支!$A$3,"年月",W$13,"事業所",$A$421)=0,#N/A,GETPIVOTDATA("合計 / " &amp; $B428,【ピボット】事業所収支!$A$3,"年月",W$13,"事業所",$A$421)),#N/A)</f>
        <v>63614</v>
      </c>
      <c r="X428" s="483">
        <f>IFERROR(IF(GETPIVOTDATA("合計 / " &amp; $B428,【ピボット】事業所収支!$A$3,"年月",X$13,"事業所",$A$421)=0,#N/A,GETPIVOTDATA("合計 / " &amp; $B428,【ピボット】事業所収支!$A$3,"年月",X$13,"事業所",$A$421)),#N/A)</f>
        <v>64988</v>
      </c>
      <c r="Y428" s="483">
        <f>IFERROR(IF(GETPIVOTDATA("合計 / " &amp; $B428,【ピボット】事業所収支!$A$3,"年月",Y$13,"事業所",$A$421)=0,#N/A,GETPIVOTDATA("合計 / " &amp; $B428,【ピボット】事業所収支!$A$3,"年月",Y$13,"事業所",$A$421)),#N/A)</f>
        <v>65406</v>
      </c>
      <c r="Z428" s="483">
        <f>IFERROR(IF(GETPIVOTDATA("合計 / " &amp; $B428,【ピボット】事業所収支!$A$3,"年月",Z$13,"事業所",$A$421)=0,#N/A,GETPIVOTDATA("合計 / " &amp; $B428,【ピボット】事業所収支!$A$3,"年月",Z$13,"事業所",$A$421)),#N/A)</f>
        <v>70457</v>
      </c>
      <c r="AA428" s="4"/>
    </row>
    <row r="429" spans="1:27" ht="14.25" hidden="1" customHeight="1" outlineLevel="1" x14ac:dyDescent="0.15">
      <c r="B429" s="9" t="s">
        <v>51</v>
      </c>
      <c r="C429" s="483" t="e">
        <f>IFERROR(IF(GETPIVOTDATA("合計 / " &amp; $B429,【ピボット】事業所収支!$A$3,"年月",C$13,"事業所",$A$421)=0,#N/A,GETPIVOTDATA("合計 / " &amp; $B429,【ピボット】事業所収支!$A$3,"年月",C$13,"事業所",$A$421)),#N/A)</f>
        <v>#N/A</v>
      </c>
      <c r="D429" s="483" t="e">
        <f>IFERROR(IF(GETPIVOTDATA("合計 / " &amp; $B429,【ピボット】事業所収支!$A$3,"年月",D$13,"事業所",$A$421)=0,#N/A,GETPIVOTDATA("合計 / " &amp; $B429,【ピボット】事業所収支!$A$3,"年月",D$13,"事業所",$A$421)),#N/A)</f>
        <v>#N/A</v>
      </c>
      <c r="E429" s="483" t="e">
        <f>IFERROR(IF(GETPIVOTDATA("合計 / " &amp; $B429,【ピボット】事業所収支!$A$3,"年月",E$13,"事業所",$A$421)=0,#N/A,GETPIVOTDATA("合計 / " &amp; $B429,【ピボット】事業所収支!$A$3,"年月",E$13,"事業所",$A$421)),#N/A)</f>
        <v>#N/A</v>
      </c>
      <c r="F429" s="483" t="e">
        <f>IFERROR(IF(GETPIVOTDATA("合計 / " &amp; $B429,【ピボット】事業所収支!$A$3,"年月",F$13,"事業所",$A$421)=0,#N/A,GETPIVOTDATA("合計 / " &amp; $B429,【ピボット】事業所収支!$A$3,"年月",F$13,"事業所",$A$421)),#N/A)</f>
        <v>#N/A</v>
      </c>
      <c r="G429" s="483" t="e">
        <f>IFERROR(IF(GETPIVOTDATA("合計 / " &amp; $B429,【ピボット】事業所収支!$A$3,"年月",G$13,"事業所",$A$421)=0,#N/A,GETPIVOTDATA("合計 / " &amp; $B429,【ピボット】事業所収支!$A$3,"年月",G$13,"事業所",$A$421)),#N/A)</f>
        <v>#N/A</v>
      </c>
      <c r="H429" s="483" t="e">
        <f>IFERROR(IF(GETPIVOTDATA("合計 / " &amp; $B429,【ピボット】事業所収支!$A$3,"年月",H$13,"事業所",$A$421)=0,#N/A,GETPIVOTDATA("合計 / " &amp; $B429,【ピボット】事業所収支!$A$3,"年月",H$13,"事業所",$A$421)),#N/A)</f>
        <v>#N/A</v>
      </c>
      <c r="I429" s="483" t="e">
        <f>IFERROR(IF(GETPIVOTDATA("合計 / " &amp; $B429,【ピボット】事業所収支!$A$3,"年月",I$13,"事業所",$A$421)=0,#N/A,GETPIVOTDATA("合計 / " &amp; $B429,【ピボット】事業所収支!$A$3,"年月",I$13,"事業所",$A$421)),#N/A)</f>
        <v>#N/A</v>
      </c>
      <c r="J429" s="483" t="e">
        <f>IFERROR(IF(GETPIVOTDATA("合計 / " &amp; $B429,【ピボット】事業所収支!$A$3,"年月",J$13,"事業所",$A$421)=0,#N/A,GETPIVOTDATA("合計 / " &amp; $B429,【ピボット】事業所収支!$A$3,"年月",J$13,"事業所",$A$421)),#N/A)</f>
        <v>#N/A</v>
      </c>
      <c r="K429" s="483" t="e">
        <f>IFERROR(IF(GETPIVOTDATA("合計 / " &amp; $B429,【ピボット】事業所収支!$A$3,"年月",K$13,"事業所",$A$421)=0,#N/A,GETPIVOTDATA("合計 / " &amp; $B429,【ピボット】事業所収支!$A$3,"年月",K$13,"事業所",$A$421)),#N/A)</f>
        <v>#N/A</v>
      </c>
      <c r="L429" s="483" t="e">
        <f>IFERROR(IF(GETPIVOTDATA("合計 / " &amp; $B429,【ピボット】事業所収支!$A$3,"年月",L$13,"事業所",$A$421)=0,#N/A,GETPIVOTDATA("合計 / " &amp; $B429,【ピボット】事業所収支!$A$3,"年月",L$13,"事業所",$A$421)),#N/A)</f>
        <v>#N/A</v>
      </c>
      <c r="M429" s="483" t="e">
        <f>IFERROR(IF(GETPIVOTDATA("合計 / " &amp; $B429,【ピボット】事業所収支!$A$3,"年月",M$13,"事業所",$A$421)=0,#N/A,GETPIVOTDATA("合計 / " &amp; $B429,【ピボット】事業所収支!$A$3,"年月",M$13,"事業所",$A$421)),#N/A)</f>
        <v>#N/A</v>
      </c>
      <c r="N429" s="483" t="e">
        <f>IFERROR(IF(GETPIVOTDATA("合計 / " &amp; $B429,【ピボット】事業所収支!$A$3,"年月",N$13,"事業所",$A$421)=0,#N/A,GETPIVOTDATA("合計 / " &amp; $B429,【ピボット】事業所収支!$A$3,"年月",N$13,"事業所",$A$421)),#N/A)</f>
        <v>#N/A</v>
      </c>
      <c r="O429" s="483" t="e">
        <f>IFERROR(IF(GETPIVOTDATA("合計 / " &amp; $B429,【ピボット】事業所収支!$A$3,"年月",O$13,"事業所",$A$421)=0,#N/A,GETPIVOTDATA("合計 / " &amp; $B429,【ピボット】事業所収支!$A$3,"年月",O$13,"事業所",$A$421)),#N/A)</f>
        <v>#N/A</v>
      </c>
      <c r="P429" s="483" t="e">
        <f>IFERROR(IF(GETPIVOTDATA("合計 / " &amp; $B429,【ピボット】事業所収支!$A$3,"年月",P$13,"事業所",$A$421)=0,#N/A,GETPIVOTDATA("合計 / " &amp; $B429,【ピボット】事業所収支!$A$3,"年月",P$13,"事業所",$A$421)),#N/A)</f>
        <v>#N/A</v>
      </c>
      <c r="Q429" s="483" t="e">
        <f>IFERROR(IF(GETPIVOTDATA("合計 / " &amp; $B429,【ピボット】事業所収支!$A$3,"年月",Q$13,"事業所",$A$421)=0,#N/A,GETPIVOTDATA("合計 / " &amp; $B429,【ピボット】事業所収支!$A$3,"年月",Q$13,"事業所",$A$421)),#N/A)</f>
        <v>#N/A</v>
      </c>
      <c r="R429" s="483" t="e">
        <f>IFERROR(IF(GETPIVOTDATA("合計 / " &amp; $B429,【ピボット】事業所収支!$A$3,"年月",R$13,"事業所",$A$421)=0,#N/A,GETPIVOTDATA("合計 / " &amp; $B429,【ピボット】事業所収支!$A$3,"年月",R$13,"事業所",$A$421)),#N/A)</f>
        <v>#N/A</v>
      </c>
      <c r="S429" s="483" t="e">
        <f>IFERROR(IF(GETPIVOTDATA("合計 / " &amp; $B429,【ピボット】事業所収支!$A$3,"年月",S$13,"事業所",$A$421)=0,#N/A,GETPIVOTDATA("合計 / " &amp; $B429,【ピボット】事業所収支!$A$3,"年月",S$13,"事業所",$A$421)),#N/A)</f>
        <v>#N/A</v>
      </c>
      <c r="T429" s="483">
        <f>IFERROR(IF(GETPIVOTDATA("合計 / " &amp; $B429,【ピボット】事業所収支!$A$3,"年月",T$13,"事業所",$A$421)=0,#N/A,GETPIVOTDATA("合計 / " &amp; $B429,【ピボット】事業所収支!$A$3,"年月",T$13,"事業所",$A$421)),#N/A)</f>
        <v>16200</v>
      </c>
      <c r="U429" s="483">
        <f>IFERROR(IF(GETPIVOTDATA("合計 / " &amp; $B429,【ピボット】事業所収支!$A$3,"年月",U$13,"事業所",$A$421)=0,#N/A,GETPIVOTDATA("合計 / " &amp; $B429,【ピボット】事業所収支!$A$3,"年月",U$13,"事業所",$A$421)),#N/A)</f>
        <v>864</v>
      </c>
      <c r="V429" s="483" t="e">
        <f>IFERROR(IF(GETPIVOTDATA("合計 / " &amp; $B429,【ピボット】事業所収支!$A$3,"年月",V$13,"事業所",$A$421)=0,#N/A,GETPIVOTDATA("合計 / " &amp; $B429,【ピボット】事業所収支!$A$3,"年月",V$13,"事業所",$A$421)),#N/A)</f>
        <v>#N/A</v>
      </c>
      <c r="W429" s="483">
        <f>IFERROR(IF(GETPIVOTDATA("合計 / " &amp; $B429,【ピボット】事業所収支!$A$3,"年月",W$13,"事業所",$A$421)=0,#N/A,GETPIVOTDATA("合計 / " &amp; $B429,【ピボット】事業所収支!$A$3,"年月",W$13,"事業所",$A$421)),#N/A)</f>
        <v>1131</v>
      </c>
      <c r="X429" s="483">
        <f>IFERROR(IF(GETPIVOTDATA("合計 / " &amp; $B429,【ピボット】事業所収支!$A$3,"年月",X$13,"事業所",$A$421)=0,#N/A,GETPIVOTDATA("合計 / " &amp; $B429,【ピボット】事業所収支!$A$3,"年月",X$13,"事業所",$A$421)),#N/A)</f>
        <v>300</v>
      </c>
      <c r="Y429" s="483" t="e">
        <f>IFERROR(IF(GETPIVOTDATA("合計 / " &amp; $B429,【ピボット】事業所収支!$A$3,"年月",Y$13,"事業所",$A$421)=0,#N/A,GETPIVOTDATA("合計 / " &amp; $B429,【ピボット】事業所収支!$A$3,"年月",Y$13,"事業所",$A$421)),#N/A)</f>
        <v>#N/A</v>
      </c>
      <c r="Z429" s="483" t="e">
        <f>IFERROR(IF(GETPIVOTDATA("合計 / " &amp; $B429,【ピボット】事業所収支!$A$3,"年月",Z$13,"事業所",$A$421)=0,#N/A,GETPIVOTDATA("合計 / " &amp; $B429,【ピボット】事業所収支!$A$3,"年月",Z$13,"事業所",$A$421)),#N/A)</f>
        <v>#N/A</v>
      </c>
      <c r="AA429" s="4"/>
    </row>
    <row r="430" spans="1:27" ht="14.25" hidden="1" customHeight="1" outlineLevel="1" x14ac:dyDescent="0.15">
      <c r="B430" s="41" t="s">
        <v>15</v>
      </c>
      <c r="C430" s="486">
        <f>IFERROR(IF(GETPIVOTDATA("合計 / " &amp; $B430,【ピボット】事業所収支!$A$3,"年月",C$13,"事業所",$A$421)=0,#N/A,GETPIVOTDATA("合計 / " &amp; $B430,【ピボット】事業所収支!$A$3,"年月",C$13,"事業所",$A$421)),#N/A)</f>
        <v>64405</v>
      </c>
      <c r="D430" s="486">
        <f>IFERROR(IF(GETPIVOTDATA("合計 / " &amp; $B430,【ピボット】事業所収支!$A$3,"年月",D$13,"事業所",$A$421)=0,#N/A,GETPIVOTDATA("合計 / " &amp; $B430,【ピボット】事業所収支!$A$3,"年月",D$13,"事業所",$A$421)),#N/A)</f>
        <v>619301</v>
      </c>
      <c r="E430" s="486">
        <f>IFERROR(IF(GETPIVOTDATA("合計 / " &amp; $B430,【ピボット】事業所収支!$A$3,"年月",E$13,"事業所",$A$421)=0,#N/A,GETPIVOTDATA("合計 / " &amp; $B430,【ピボット】事業所収支!$A$3,"年月",E$13,"事業所",$A$421)),#N/A)</f>
        <v>789841</v>
      </c>
      <c r="F430" s="486">
        <f>IFERROR(IF(GETPIVOTDATA("合計 / " &amp; $B430,【ピボット】事業所収支!$A$3,"年月",F$13,"事業所",$A$421)=0,#N/A,GETPIVOTDATA("合計 / " &amp; $B430,【ピボット】事業所収支!$A$3,"年月",F$13,"事業所",$A$421)),#N/A)</f>
        <v>785394</v>
      </c>
      <c r="G430" s="486">
        <f>IFERROR(IF(GETPIVOTDATA("合計 / " &amp; $B430,【ピボット】事業所収支!$A$3,"年月",G$13,"事業所",$A$421)=0,#N/A,GETPIVOTDATA("合計 / " &amp; $B430,【ピボット】事業所収支!$A$3,"年月",G$13,"事業所",$A$421)),#N/A)</f>
        <v>708477</v>
      </c>
      <c r="H430" s="486">
        <f>IFERROR(IF(GETPIVOTDATA("合計 / " &amp; $B430,【ピボット】事業所収支!$A$3,"年月",H$13,"事業所",$A$421)=0,#N/A,GETPIVOTDATA("合計 / " &amp; $B430,【ピボット】事業所収支!$A$3,"年月",H$13,"事業所",$A$421)),#N/A)</f>
        <v>673024</v>
      </c>
      <c r="I430" s="486">
        <f>IFERROR(IF(GETPIVOTDATA("合計 / " &amp; $B430,【ピボット】事業所収支!$A$3,"年月",I$13,"事業所",$A$421)=0,#N/A,GETPIVOTDATA("合計 / " &amp; $B430,【ピボット】事業所収支!$A$3,"年月",I$13,"事業所",$A$421)),#N/A)</f>
        <v>710550</v>
      </c>
      <c r="J430" s="486">
        <f>IFERROR(IF(GETPIVOTDATA("合計 / " &amp; $B430,【ピボット】事業所収支!$A$3,"年月",J$13,"事業所",$A$421)=0,#N/A,GETPIVOTDATA("合計 / " &amp; $B430,【ピボット】事業所収支!$A$3,"年月",J$13,"事業所",$A$421)),#N/A)</f>
        <v>680588.27100330812</v>
      </c>
      <c r="K430" s="486">
        <f>IFERROR(IF(GETPIVOTDATA("合計 / " &amp; $B430,【ピボット】事業所収支!$A$3,"年月",K$13,"事業所",$A$421)=0,#N/A,GETPIVOTDATA("合計 / " &amp; $B430,【ピボット】事業所収支!$A$3,"年月",K$13,"事業所",$A$421)),#N/A)</f>
        <v>807871</v>
      </c>
      <c r="L430" s="486">
        <f>IFERROR(IF(GETPIVOTDATA("合計 / " &amp; $B430,【ピボット】事業所収支!$A$3,"年月",L$13,"事業所",$A$421)=0,#N/A,GETPIVOTDATA("合計 / " &amp; $B430,【ピボット】事業所収支!$A$3,"年月",L$13,"事業所",$A$421)),#N/A)</f>
        <v>637625</v>
      </c>
      <c r="M430" s="486">
        <f>IFERROR(IF(GETPIVOTDATA("合計 / " &amp; $B430,【ピボット】事業所収支!$A$3,"年月",M$13,"事業所",$A$421)=0,#N/A,GETPIVOTDATA("合計 / " &amp; $B430,【ピボット】事業所収支!$A$3,"年月",M$13,"事業所",$A$421)),#N/A)</f>
        <v>716957</v>
      </c>
      <c r="N430" s="486">
        <f>IFERROR(IF(GETPIVOTDATA("合計 / " &amp; $B430,【ピボット】事業所収支!$A$3,"年月",N$13,"事業所",$A$421)=0,#N/A,GETPIVOTDATA("合計 / " &amp; $B430,【ピボット】事業所収支!$A$3,"年月",N$13,"事業所",$A$421)),#N/A)</f>
        <v>661124</v>
      </c>
      <c r="O430" s="486">
        <f>IFERROR(IF(GETPIVOTDATA("合計 / " &amp; $B430,【ピボット】事業所収支!$A$3,"年月",O$13,"事業所",$A$421)=0,#N/A,GETPIVOTDATA("合計 / " &amp; $B430,【ピボット】事業所収支!$A$3,"年月",O$13,"事業所",$A$421)),#N/A)</f>
        <v>667563</v>
      </c>
      <c r="P430" s="486">
        <f>IFERROR(IF(GETPIVOTDATA("合計 / " &amp; $B430,【ピボット】事業所収支!$A$3,"年月",P$13,"事業所",$A$421)=0,#N/A,GETPIVOTDATA("合計 / " &amp; $B430,【ピボット】事業所収支!$A$3,"年月",P$13,"事業所",$A$421)),#N/A)</f>
        <v>660185</v>
      </c>
      <c r="Q430" s="486">
        <f>IFERROR(IF(GETPIVOTDATA("合計 / " &amp; $B430,【ピボット】事業所収支!$A$3,"年月",Q$13,"事業所",$A$421)=0,#N/A,GETPIVOTDATA("合計 / " &amp; $B430,【ピボット】事業所収支!$A$3,"年月",Q$13,"事業所",$A$421)),#N/A)</f>
        <v>677214</v>
      </c>
      <c r="R430" s="486">
        <f>IFERROR(IF(GETPIVOTDATA("合計 / " &amp; $B430,【ピボット】事業所収支!$A$3,"年月",R$13,"事業所",$A$421)=0,#N/A,GETPIVOTDATA("合計 / " &amp; $B430,【ピボット】事業所収支!$A$3,"年月",R$13,"事業所",$A$421)),#N/A)</f>
        <v>695777</v>
      </c>
      <c r="S430" s="486">
        <f>IFERROR(IF(GETPIVOTDATA("合計 / " &amp; $B430,【ピボット】事業所収支!$A$3,"年月",S$13,"事業所",$A$421)=0,#N/A,GETPIVOTDATA("合計 / " &amp; $B430,【ピボット】事業所収支!$A$3,"年月",S$13,"事業所",$A$421)),#N/A)</f>
        <v>696938</v>
      </c>
      <c r="T430" s="486">
        <f>IFERROR(IF(GETPIVOTDATA("合計 / " &amp; $B430,【ピボット】事業所収支!$A$3,"年月",T$13,"事業所",$A$421)=0,#N/A,GETPIVOTDATA("合計 / " &amp; $B430,【ピボット】事業所収支!$A$3,"年月",T$13,"事業所",$A$421)),#N/A)</f>
        <v>1032197</v>
      </c>
      <c r="U430" s="486">
        <f>IFERROR(IF(GETPIVOTDATA("合計 / " &amp; $B430,【ピボット】事業所収支!$A$3,"年月",U$13,"事業所",$A$421)=0,#N/A,GETPIVOTDATA("合計 / " &amp; $B430,【ピボット】事業所収支!$A$3,"年月",U$13,"事業所",$A$421)),#N/A)</f>
        <v>1025805</v>
      </c>
      <c r="V430" s="486">
        <f>IFERROR(IF(GETPIVOTDATA("合計 / " &amp; $B430,【ピボット】事業所収支!$A$3,"年月",V$13,"事業所",$A$421)=0,#N/A,GETPIVOTDATA("合計 / " &amp; $B430,【ピボット】事業所収支!$A$3,"年月",V$13,"事業所",$A$421)),#N/A)</f>
        <v>1281398</v>
      </c>
      <c r="W430" s="486">
        <f>IFERROR(IF(GETPIVOTDATA("合計 / " &amp; $B430,【ピボット】事業所収支!$A$3,"年月",W$13,"事業所",$A$421)=0,#N/A,GETPIVOTDATA("合計 / " &amp; $B430,【ピボット】事業所収支!$A$3,"年月",W$13,"事業所",$A$421)),#N/A)</f>
        <v>1243543</v>
      </c>
      <c r="X430" s="486">
        <f>IFERROR(IF(GETPIVOTDATA("合計 / " &amp; $B430,【ピボット】事業所収支!$A$3,"年月",X$13,"事業所",$A$421)=0,#N/A,GETPIVOTDATA("合計 / " &amp; $B430,【ピボット】事業所収支!$A$3,"年月",X$13,"事業所",$A$421)),#N/A)</f>
        <v>1079826</v>
      </c>
      <c r="Y430" s="486">
        <f>IFERROR(IF(GETPIVOTDATA("合計 / " &amp; $B430,【ピボット】事業所収支!$A$3,"年月",Y$13,"事業所",$A$421)=0,#N/A,GETPIVOTDATA("合計 / " &amp; $B430,【ピボット】事業所収支!$A$3,"年月",Y$13,"事業所",$A$421)),#N/A)</f>
        <v>1525918</v>
      </c>
      <c r="Z430" s="486">
        <f>IFERROR(IF(GETPIVOTDATA("合計 / " &amp; $B430,【ピボット】事業所収支!$A$3,"年月",Z$13,"事業所",$A$421)=0,#N/A,GETPIVOTDATA("合計 / " &amp; $B430,【ピボット】事業所収支!$A$3,"年月",Z$13,"事業所",$A$421)),#N/A)</f>
        <v>1449692</v>
      </c>
      <c r="AA430" s="4"/>
    </row>
    <row r="431" spans="1:27" ht="14.25" hidden="1" customHeight="1" outlineLevel="1" x14ac:dyDescent="0.15">
      <c r="B431" s="48" t="s">
        <v>30</v>
      </c>
      <c r="C431" s="487">
        <f>IFERROR(IF(GETPIVOTDATA("合計 / " &amp; $B431 &amp;"計",【ピボット】事業所収支!$A$3,"年月",C$13,"事業所",$A$421)=0,#N/A,GETPIVOTDATA("合計 / " &amp; $B431 &amp;"計",【ピボット】事業所収支!$A$3,"年月",C$13,"事業所",$A$421)),#N/A)</f>
        <v>1127827</v>
      </c>
      <c r="D431" s="487">
        <f>IFERROR(IF(GETPIVOTDATA("合計 / " &amp; $B431 &amp;"計",【ピボット】事業所収支!$A$3,"年月",D$13,"事業所",$A$421)=0,#N/A,GETPIVOTDATA("合計 / " &amp; $B431 &amp;"計",【ピボット】事業所収支!$A$3,"年月",D$13,"事業所",$A$421)),#N/A)</f>
        <v>693960</v>
      </c>
      <c r="E431" s="487">
        <f>IFERROR(IF(GETPIVOTDATA("合計 / " &amp; $B431 &amp;"計",【ピボット】事業所収支!$A$3,"年月",E$13,"事業所",$A$421)=0,#N/A,GETPIVOTDATA("合計 / " &amp; $B431 &amp;"計",【ピボット】事業所収支!$A$3,"年月",E$13,"事業所",$A$421)),#N/A)</f>
        <v>519521</v>
      </c>
      <c r="F431" s="487">
        <f>IFERROR(IF(GETPIVOTDATA("合計 / " &amp; $B431 &amp;"計",【ピボット】事業所収支!$A$3,"年月",F$13,"事業所",$A$421)=0,#N/A,GETPIVOTDATA("合計 / " &amp; $B431 &amp;"計",【ピボット】事業所収支!$A$3,"年月",F$13,"事業所",$A$421)),#N/A)</f>
        <v>560741</v>
      </c>
      <c r="G431" s="487">
        <f>IFERROR(IF(GETPIVOTDATA("合計 / " &amp; $B431 &amp;"計",【ピボット】事業所収支!$A$3,"年月",G$13,"事業所",$A$421)=0,#N/A,GETPIVOTDATA("合計 / " &amp; $B431 &amp;"計",【ピボット】事業所収支!$A$3,"年月",G$13,"事業所",$A$421)),#N/A)</f>
        <v>542900</v>
      </c>
      <c r="H431" s="487">
        <f>IFERROR(IF(GETPIVOTDATA("合計 / " &amp; $B431 &amp;"計",【ピボット】事業所収支!$A$3,"年月",H$13,"事業所",$A$421)=0,#N/A,GETPIVOTDATA("合計 / " &amp; $B431 &amp;"計",【ピボット】事業所収支!$A$3,"年月",H$13,"事業所",$A$421)),#N/A)</f>
        <v>624881</v>
      </c>
      <c r="I431" s="487">
        <f>IFERROR(IF(GETPIVOTDATA("合計 / " &amp; $B431 &amp;"計",【ピボット】事業所収支!$A$3,"年月",I$13,"事業所",$A$421)=0,#N/A,GETPIVOTDATA("合計 / " &amp; $B431 &amp;"計",【ピボット】事業所収支!$A$3,"年月",I$13,"事業所",$A$421)),#N/A)</f>
        <v>688081</v>
      </c>
      <c r="J431" s="487">
        <f>IFERROR(IF(GETPIVOTDATA("合計 / " &amp; $B431 &amp;"計",【ピボット】事業所収支!$A$3,"年月",J$13,"事業所",$A$421)=0,#N/A,GETPIVOTDATA("合計 / " &amp; $B431 &amp;"計",【ピボット】事業所収支!$A$3,"年月",J$13,"事業所",$A$421)),#N/A)</f>
        <v>606874</v>
      </c>
      <c r="K431" s="487">
        <f>IFERROR(IF(GETPIVOTDATA("合計 / " &amp; $B431 &amp;"計",【ピボット】事業所収支!$A$3,"年月",K$13,"事業所",$A$421)=0,#N/A,GETPIVOTDATA("合計 / " &amp; $B431 &amp;"計",【ピボット】事業所収支!$A$3,"年月",K$13,"事業所",$A$421)),#N/A)</f>
        <v>769409</v>
      </c>
      <c r="L431" s="487">
        <f>IFERROR(IF(GETPIVOTDATA("合計 / " &amp; $B431 &amp;"計",【ピボット】事業所収支!$A$3,"年月",L$13,"事業所",$A$421)=0,#N/A,GETPIVOTDATA("合計 / " &amp; $B431 &amp;"計",【ピボット】事業所収支!$A$3,"年月",L$13,"事業所",$A$421)),#N/A)</f>
        <v>616496</v>
      </c>
      <c r="M431" s="487">
        <f>IFERROR(IF(GETPIVOTDATA("合計 / " &amp; $B431 &amp;"計",【ピボット】事業所収支!$A$3,"年月",M$13,"事業所",$A$421)=0,#N/A,GETPIVOTDATA("合計 / " &amp; $B431 &amp;"計",【ピボット】事業所収支!$A$3,"年月",M$13,"事業所",$A$421)),#N/A)</f>
        <v>632985</v>
      </c>
      <c r="N431" s="487">
        <f>IFERROR(IF(GETPIVOTDATA("合計 / " &amp; $B431 &amp;"計",【ピボット】事業所収支!$A$3,"年月",N$13,"事業所",$A$421)=0,#N/A,GETPIVOTDATA("合計 / " &amp; $B431 &amp;"計",【ピボット】事業所収支!$A$3,"年月",N$13,"事業所",$A$421)),#N/A)</f>
        <v>658790</v>
      </c>
      <c r="O431" s="487">
        <f>IFERROR(IF(GETPIVOTDATA("合計 / " &amp; $B431 &amp;"計",【ピボット】事業所収支!$A$3,"年月",O$13,"事業所",$A$421)=0,#N/A,GETPIVOTDATA("合計 / " &amp; $B431 &amp;"計",【ピボット】事業所収支!$A$3,"年月",O$13,"事業所",$A$421)),#N/A)</f>
        <v>773088</v>
      </c>
      <c r="P431" s="487">
        <f>IFERROR(IF(GETPIVOTDATA("合計 / " &amp; $B431 &amp;"計",【ピボット】事業所収支!$A$3,"年月",P$13,"事業所",$A$421)=0,#N/A,GETPIVOTDATA("合計 / " &amp; $B431 &amp;"計",【ピボット】事業所収支!$A$3,"年月",P$13,"事業所",$A$421)),#N/A)</f>
        <v>589882</v>
      </c>
      <c r="Q431" s="487">
        <f>IFERROR(IF(GETPIVOTDATA("合計 / " &amp; $B431 &amp;"計",【ピボット】事業所収支!$A$3,"年月",Q$13,"事業所",$A$421)=0,#N/A,GETPIVOTDATA("合計 / " &amp; $B431 &amp;"計",【ピボット】事業所収支!$A$3,"年月",Q$13,"事業所",$A$421)),#N/A)</f>
        <v>720815</v>
      </c>
      <c r="R431" s="487">
        <f>IFERROR(IF(GETPIVOTDATA("合計 / " &amp; $B431 &amp;"計",【ピボット】事業所収支!$A$3,"年月",R$13,"事業所",$A$421)=0,#N/A,GETPIVOTDATA("合計 / " &amp; $B431 &amp;"計",【ピボット】事業所収支!$A$3,"年月",R$13,"事業所",$A$421)),#N/A)</f>
        <v>501785</v>
      </c>
      <c r="S431" s="487">
        <f>IFERROR(IF(GETPIVOTDATA("合計 / " &amp; $B431 &amp;"計",【ピボット】事業所収支!$A$3,"年月",S$13,"事業所",$A$421)=0,#N/A,GETPIVOTDATA("合計 / " &amp; $B431 &amp;"計",【ピボット】事業所収支!$A$3,"年月",S$13,"事業所",$A$421)),#N/A)</f>
        <v>603836</v>
      </c>
      <c r="T431" s="487">
        <f>IFERROR(IF(GETPIVOTDATA("合計 / " &amp; $B431 &amp;"計",【ピボット】事業所収支!$A$3,"年月",T$13,"事業所",$A$421)=0,#N/A,GETPIVOTDATA("合計 / " &amp; $B431 &amp;"計",【ピボット】事業所収支!$A$3,"年月",T$13,"事業所",$A$421)),#N/A)</f>
        <v>822996</v>
      </c>
      <c r="U431" s="487">
        <f>IFERROR(IF(GETPIVOTDATA("合計 / " &amp; $B431 &amp;"計",【ピボット】事業所収支!$A$3,"年月",U$13,"事業所",$A$421)=0,#N/A,GETPIVOTDATA("合計 / " &amp; $B431 &amp;"計",【ピボット】事業所収支!$A$3,"年月",U$13,"事業所",$A$421)),#N/A)</f>
        <v>695910</v>
      </c>
      <c r="V431" s="487">
        <f>IFERROR(IF(GETPIVOTDATA("合計 / " &amp; $B431 &amp;"計",【ピボット】事業所収支!$A$3,"年月",V$13,"事業所",$A$421)=0,#N/A,GETPIVOTDATA("合計 / " &amp; $B431 &amp;"計",【ピボット】事業所収支!$A$3,"年月",V$13,"事業所",$A$421)),#N/A)</f>
        <v>635256</v>
      </c>
      <c r="W431" s="487">
        <f>IFERROR(IF(GETPIVOTDATA("合計 / " &amp; $B431 &amp;"計",【ピボット】事業所収支!$A$3,"年月",W$13,"事業所",$A$421)=0,#N/A,GETPIVOTDATA("合計 / " &amp; $B431 &amp;"計",【ピボット】事業所収支!$A$3,"年月",W$13,"事業所",$A$421)),#N/A)</f>
        <v>654503</v>
      </c>
      <c r="X431" s="487">
        <f>IFERROR(IF(GETPIVOTDATA("合計 / " &amp; $B431 &amp;"計",【ピボット】事業所収支!$A$3,"年月",X$13,"事業所",$A$421)=0,#N/A,GETPIVOTDATA("合計 / " &amp; $B431 &amp;"計",【ピボット】事業所収支!$A$3,"年月",X$13,"事業所",$A$421)),#N/A)</f>
        <v>611780</v>
      </c>
      <c r="Y431" s="487">
        <f>IFERROR(IF(GETPIVOTDATA("合計 / " &amp; $B431 &amp;"計",【ピボット】事業所収支!$A$3,"年月",Y$13,"事業所",$A$421)=0,#N/A,GETPIVOTDATA("合計 / " &amp; $B431 &amp;"計",【ピボット】事業所収支!$A$3,"年月",Y$13,"事業所",$A$421)),#N/A)</f>
        <v>656722</v>
      </c>
      <c r="Z431" s="487">
        <f>IFERROR(IF(GETPIVOTDATA("合計 / " &amp; $B431 &amp;"計",【ピボット】事業所収支!$A$3,"年月",Z$13,"事業所",$A$421)=0,#N/A,GETPIVOTDATA("合計 / " &amp; $B431 &amp;"計",【ピボット】事業所収支!$A$3,"年月",Z$13,"事業所",$A$421)),#N/A)</f>
        <v>638498</v>
      </c>
      <c r="AA431" s="4"/>
    </row>
    <row r="432" spans="1:27" ht="14.25" hidden="1" customHeight="1" outlineLevel="1" x14ac:dyDescent="0.15">
      <c r="B432" s="48" t="s">
        <v>52</v>
      </c>
      <c r="C432" s="487" t="e">
        <f>#REF!</f>
        <v>#REF!</v>
      </c>
      <c r="D432" s="487" t="e">
        <f>#REF!</f>
        <v>#REF!</v>
      </c>
      <c r="E432" s="487" t="e">
        <f>#REF!</f>
        <v>#REF!</v>
      </c>
      <c r="F432" s="487" t="e">
        <f>#REF!</f>
        <v>#REF!</v>
      </c>
      <c r="G432" s="487" t="e">
        <f>#REF!</f>
        <v>#REF!</v>
      </c>
      <c r="H432" s="487" t="e">
        <f>#REF!</f>
        <v>#REF!</v>
      </c>
      <c r="I432" s="487" t="e">
        <f>#REF!</f>
        <v>#REF!</v>
      </c>
      <c r="J432" s="487" t="e">
        <f>#REF!</f>
        <v>#REF!</v>
      </c>
      <c r="K432" s="487" t="e">
        <f>#REF!</f>
        <v>#REF!</v>
      </c>
      <c r="L432" s="487" t="e">
        <f>#REF!</f>
        <v>#REF!</v>
      </c>
      <c r="M432" s="487" t="e">
        <f>#REF!</f>
        <v>#REF!</v>
      </c>
      <c r="N432" s="487" t="e">
        <f>#REF!</f>
        <v>#REF!</v>
      </c>
      <c r="O432" s="487" t="e">
        <f>#REF!</f>
        <v>#REF!</v>
      </c>
      <c r="P432" s="487" t="e">
        <f>#REF!</f>
        <v>#REF!</v>
      </c>
      <c r="Q432" s="487" t="e">
        <f>#REF!</f>
        <v>#REF!</v>
      </c>
      <c r="R432" s="487" t="e">
        <f>#REF!</f>
        <v>#REF!</v>
      </c>
      <c r="S432" s="487" t="e">
        <f>#REF!</f>
        <v>#REF!</v>
      </c>
      <c r="T432" s="487" t="e">
        <f>#REF!</f>
        <v>#REF!</v>
      </c>
      <c r="U432" s="487" t="e">
        <f>#REF!</f>
        <v>#REF!</v>
      </c>
      <c r="V432" s="487" t="e">
        <f>#REF!</f>
        <v>#REF!</v>
      </c>
      <c r="W432" s="487" t="e">
        <f>#REF!</f>
        <v>#REF!</v>
      </c>
      <c r="X432" s="487" t="e">
        <f>#REF!</f>
        <v>#REF!</v>
      </c>
      <c r="Y432" s="487" t="e">
        <f>#REF!</f>
        <v>#REF!</v>
      </c>
      <c r="Z432" s="487" t="e">
        <f>#REF!</f>
        <v>#REF!</v>
      </c>
      <c r="AA432" s="4"/>
    </row>
    <row r="433" spans="2:27" ht="14.25" hidden="1" customHeight="1" outlineLevel="1" x14ac:dyDescent="0.15">
      <c r="B433" s="8" t="s">
        <v>53</v>
      </c>
      <c r="C433" s="483">
        <f t="shared" ref="C433:Z433" si="35">IFERROR(C430,0)+IFERROR(C431,0)</f>
        <v>1192232</v>
      </c>
      <c r="D433" s="483">
        <f t="shared" si="35"/>
        <v>1313261</v>
      </c>
      <c r="E433" s="483">
        <f t="shared" si="35"/>
        <v>1309362</v>
      </c>
      <c r="F433" s="483">
        <f t="shared" si="35"/>
        <v>1346135</v>
      </c>
      <c r="G433" s="483">
        <f t="shared" si="35"/>
        <v>1251377</v>
      </c>
      <c r="H433" s="483">
        <f t="shared" si="35"/>
        <v>1297905</v>
      </c>
      <c r="I433" s="483">
        <f t="shared" si="35"/>
        <v>1398631</v>
      </c>
      <c r="J433" s="483">
        <f t="shared" si="35"/>
        <v>1287462.2710033082</v>
      </c>
      <c r="K433" s="483">
        <f t="shared" si="35"/>
        <v>1577280</v>
      </c>
      <c r="L433" s="483">
        <f t="shared" si="35"/>
        <v>1254121</v>
      </c>
      <c r="M433" s="483">
        <f t="shared" si="35"/>
        <v>1349942</v>
      </c>
      <c r="N433" s="483">
        <f t="shared" si="35"/>
        <v>1319914</v>
      </c>
      <c r="O433" s="483">
        <f t="shared" si="35"/>
        <v>1440651</v>
      </c>
      <c r="P433" s="483">
        <f t="shared" si="35"/>
        <v>1250067</v>
      </c>
      <c r="Q433" s="483">
        <f t="shared" si="35"/>
        <v>1398029</v>
      </c>
      <c r="R433" s="483">
        <f t="shared" si="35"/>
        <v>1197562</v>
      </c>
      <c r="S433" s="483">
        <f t="shared" si="35"/>
        <v>1300774</v>
      </c>
      <c r="T433" s="483">
        <f t="shared" si="35"/>
        <v>1855193</v>
      </c>
      <c r="U433" s="483">
        <f t="shared" si="35"/>
        <v>1721715</v>
      </c>
      <c r="V433" s="483">
        <f t="shared" si="35"/>
        <v>1916654</v>
      </c>
      <c r="W433" s="483">
        <f t="shared" si="35"/>
        <v>1898046</v>
      </c>
      <c r="X433" s="483">
        <f t="shared" si="35"/>
        <v>1691606</v>
      </c>
      <c r="Y433" s="483">
        <f t="shared" si="35"/>
        <v>2182640</v>
      </c>
      <c r="Z433" s="483">
        <f t="shared" si="35"/>
        <v>2088190</v>
      </c>
    </row>
    <row r="434" spans="2:27" ht="14.25" hidden="1" customHeight="1" outlineLevel="1" x14ac:dyDescent="0.15">
      <c r="B434" s="309" t="s">
        <v>32</v>
      </c>
      <c r="C434" s="488">
        <f t="shared" ref="C434:Z434" si="36">IFERROR(SUM(C423,-C433),0)</f>
        <v>0</v>
      </c>
      <c r="D434" s="488">
        <f t="shared" si="36"/>
        <v>627128</v>
      </c>
      <c r="E434" s="488">
        <f t="shared" si="36"/>
        <v>655966</v>
      </c>
      <c r="F434" s="488">
        <f>IFERROR(SUM(F423,-F433),0)</f>
        <v>649062</v>
      </c>
      <c r="G434" s="488">
        <f t="shared" si="36"/>
        <v>882171</v>
      </c>
      <c r="H434" s="488">
        <f t="shared" si="36"/>
        <v>1977593</v>
      </c>
      <c r="I434" s="488">
        <f t="shared" si="36"/>
        <v>1307229</v>
      </c>
      <c r="J434" s="488">
        <f t="shared" si="36"/>
        <v>1461006.7289966918</v>
      </c>
      <c r="K434" s="488">
        <f t="shared" si="36"/>
        <v>1119355</v>
      </c>
      <c r="L434" s="488">
        <f t="shared" si="36"/>
        <v>1316198</v>
      </c>
      <c r="M434" s="488">
        <f t="shared" si="36"/>
        <v>1469589</v>
      </c>
      <c r="N434" s="488">
        <f t="shared" si="36"/>
        <v>1434318</v>
      </c>
      <c r="O434" s="488">
        <f t="shared" si="36"/>
        <v>2330374</v>
      </c>
      <c r="P434" s="488">
        <f t="shared" si="36"/>
        <v>1218951</v>
      </c>
      <c r="Q434" s="488">
        <f t="shared" si="36"/>
        <v>1579959</v>
      </c>
      <c r="R434" s="488">
        <f t="shared" si="36"/>
        <v>1270713</v>
      </c>
      <c r="S434" s="488">
        <f t="shared" si="36"/>
        <v>1286611</v>
      </c>
      <c r="T434" s="488">
        <f t="shared" si="36"/>
        <v>945719</v>
      </c>
      <c r="U434" s="488">
        <f t="shared" si="36"/>
        <v>1022151</v>
      </c>
      <c r="V434" s="488">
        <f t="shared" si="36"/>
        <v>891030</v>
      </c>
      <c r="W434" s="488">
        <f t="shared" si="36"/>
        <v>1044435</v>
      </c>
      <c r="X434" s="488">
        <f t="shared" si="36"/>
        <v>426829</v>
      </c>
      <c r="Y434" s="488">
        <f t="shared" si="36"/>
        <v>-183133</v>
      </c>
      <c r="Z434" s="488">
        <f t="shared" si="36"/>
        <v>743630</v>
      </c>
      <c r="AA434" s="4">
        <f>SUM(O434:Z434)</f>
        <v>12577269</v>
      </c>
    </row>
    <row r="435" spans="2:27" ht="14.25" hidden="1" customHeight="1" outlineLevel="1" x14ac:dyDescent="0.15">
      <c r="B435" s="309"/>
      <c r="C435" s="488"/>
      <c r="D435" s="488"/>
      <c r="E435" s="488"/>
      <c r="F435" s="488"/>
      <c r="G435" s="488"/>
      <c r="H435" s="488"/>
      <c r="I435" s="488"/>
      <c r="J435" s="488"/>
      <c r="K435" s="488"/>
      <c r="L435" s="488"/>
      <c r="M435" s="488"/>
      <c r="N435" s="488"/>
      <c r="O435" s="488"/>
      <c r="P435" s="488"/>
      <c r="Q435" s="488"/>
      <c r="R435" s="488"/>
      <c r="S435" s="488"/>
      <c r="T435" s="488"/>
      <c r="U435" s="488"/>
      <c r="V435" s="488"/>
      <c r="W435" s="488"/>
      <c r="X435" s="488"/>
      <c r="Y435" s="488"/>
      <c r="Z435" s="488"/>
      <c r="AA435" s="4"/>
    </row>
    <row r="436" spans="2:27" ht="14.25" hidden="1" customHeight="1" outlineLevel="1" x14ac:dyDescent="0.15">
      <c r="B436" s="309"/>
      <c r="X436" s="489"/>
      <c r="Y436" s="489"/>
      <c r="Z436" s="489"/>
    </row>
    <row r="437" spans="2:27" ht="14.25" hidden="1" customHeight="1" outlineLevel="1" x14ac:dyDescent="0.15"/>
    <row r="438" spans="2:27" ht="14.25" hidden="1" customHeight="1" outlineLevel="1" x14ac:dyDescent="0.15"/>
    <row r="439" spans="2:27" ht="14.25" hidden="1" customHeight="1" outlineLevel="1" x14ac:dyDescent="0.15">
      <c r="C439" s="489"/>
      <c r="D439" s="489"/>
      <c r="E439" s="489"/>
      <c r="F439" s="489"/>
      <c r="G439" s="489"/>
      <c r="H439" s="489"/>
      <c r="I439" s="489"/>
      <c r="J439" s="489"/>
      <c r="K439" s="489"/>
      <c r="L439" s="489"/>
      <c r="M439" s="489"/>
      <c r="N439" s="489"/>
      <c r="O439" s="489"/>
      <c r="P439" s="489"/>
      <c r="Q439" s="489"/>
      <c r="R439" s="489"/>
      <c r="S439" s="489"/>
      <c r="T439" s="489"/>
      <c r="U439" s="489"/>
      <c r="V439" s="489"/>
      <c r="W439" s="489"/>
      <c r="X439" s="489"/>
      <c r="Y439" s="489"/>
      <c r="Z439" s="489"/>
    </row>
    <row r="440" spans="2:27" ht="14.25" hidden="1" customHeight="1" outlineLevel="1" x14ac:dyDescent="0.15">
      <c r="C440" s="489"/>
      <c r="D440" s="489"/>
      <c r="E440" s="489"/>
      <c r="F440" s="489"/>
      <c r="G440" s="489"/>
      <c r="H440" s="489"/>
      <c r="I440" s="489"/>
      <c r="J440" s="489"/>
      <c r="K440" s="489"/>
      <c r="L440" s="489"/>
      <c r="M440" s="489"/>
      <c r="N440" s="489"/>
      <c r="O440" s="489"/>
      <c r="P440" s="489"/>
      <c r="Q440" s="489"/>
      <c r="R440" s="489"/>
      <c r="S440" s="489"/>
      <c r="T440" s="489"/>
      <c r="U440" s="489"/>
      <c r="V440" s="489"/>
      <c r="W440" s="489"/>
      <c r="X440" s="489"/>
      <c r="Y440" s="489"/>
      <c r="Z440" s="489"/>
    </row>
    <row r="441" spans="2:27" ht="14.25" hidden="1" customHeight="1" outlineLevel="1" x14ac:dyDescent="0.15">
      <c r="C441" s="489"/>
      <c r="D441" s="489"/>
      <c r="E441" s="489"/>
      <c r="F441" s="489"/>
      <c r="G441" s="489"/>
      <c r="H441" s="489"/>
      <c r="I441" s="489"/>
      <c r="J441" s="489"/>
      <c r="K441" s="489"/>
      <c r="L441" s="489"/>
      <c r="M441" s="489"/>
      <c r="N441" s="489"/>
      <c r="O441" s="489"/>
      <c r="P441" s="489"/>
      <c r="Q441" s="489"/>
      <c r="R441" s="489"/>
      <c r="S441" s="489"/>
      <c r="T441" s="489"/>
      <c r="U441" s="489"/>
      <c r="V441" s="489"/>
      <c r="W441" s="489"/>
      <c r="X441" s="489"/>
      <c r="Y441" s="489"/>
      <c r="Z441" s="489"/>
    </row>
    <row r="442" spans="2:27" ht="14.25" hidden="1" customHeight="1" outlineLevel="1" x14ac:dyDescent="0.15">
      <c r="C442" s="489"/>
      <c r="D442" s="489"/>
      <c r="E442" s="489"/>
      <c r="F442" s="489"/>
      <c r="G442" s="489"/>
      <c r="H442" s="489"/>
      <c r="I442" s="489"/>
      <c r="J442" s="489"/>
      <c r="K442" s="489"/>
      <c r="L442" s="489"/>
      <c r="M442" s="489"/>
      <c r="N442" s="489"/>
      <c r="O442" s="489"/>
      <c r="P442" s="489"/>
      <c r="Q442" s="489"/>
      <c r="R442" s="489"/>
      <c r="S442" s="489"/>
      <c r="T442" s="489"/>
      <c r="U442" s="489"/>
      <c r="V442" s="489"/>
      <c r="W442" s="489"/>
      <c r="X442" s="489"/>
      <c r="Y442" s="489"/>
      <c r="Z442" s="489"/>
    </row>
    <row r="443" spans="2:27" ht="14.25" hidden="1" customHeight="1" outlineLevel="1" x14ac:dyDescent="0.15">
      <c r="C443" s="489"/>
      <c r="D443" s="489"/>
      <c r="E443" s="489"/>
      <c r="F443" s="489"/>
      <c r="G443" s="489"/>
      <c r="H443" s="489"/>
      <c r="I443" s="489"/>
      <c r="J443" s="489"/>
      <c r="K443" s="489"/>
      <c r="L443" s="489"/>
      <c r="M443" s="489"/>
      <c r="N443" s="489"/>
      <c r="O443" s="489"/>
      <c r="P443" s="489"/>
      <c r="Q443" s="489"/>
      <c r="R443" s="489"/>
      <c r="S443" s="489"/>
      <c r="T443" s="489"/>
      <c r="U443" s="489"/>
      <c r="V443" s="489"/>
      <c r="W443" s="489"/>
      <c r="X443" s="489"/>
      <c r="Y443" s="489"/>
      <c r="Z443" s="489"/>
    </row>
    <row r="444" spans="2:27" ht="14.25" hidden="1" customHeight="1" outlineLevel="1" x14ac:dyDescent="0.15">
      <c r="C444" s="489"/>
      <c r="D444" s="489"/>
      <c r="E444" s="489"/>
      <c r="F444" s="489"/>
      <c r="G444" s="489"/>
      <c r="H444" s="489"/>
      <c r="I444" s="489"/>
      <c r="J444" s="489"/>
      <c r="K444" s="489"/>
      <c r="L444" s="489"/>
      <c r="M444" s="489"/>
      <c r="N444" s="489"/>
      <c r="O444" s="489"/>
      <c r="P444" s="489"/>
      <c r="Q444" s="489"/>
      <c r="R444" s="489"/>
      <c r="S444" s="489"/>
      <c r="T444" s="489"/>
      <c r="U444" s="489"/>
      <c r="V444" s="489"/>
      <c r="W444" s="489"/>
      <c r="X444" s="489"/>
      <c r="Y444" s="489"/>
      <c r="Z444" s="489"/>
    </row>
    <row r="445" spans="2:27" ht="14.25" hidden="1" customHeight="1" outlineLevel="1" x14ac:dyDescent="0.15">
      <c r="C445" s="489"/>
      <c r="D445" s="489"/>
      <c r="E445" s="489"/>
      <c r="F445" s="489"/>
      <c r="G445" s="489"/>
      <c r="H445" s="489"/>
      <c r="I445" s="489"/>
      <c r="J445" s="489"/>
      <c r="K445" s="489"/>
      <c r="L445" s="489"/>
      <c r="M445" s="489"/>
      <c r="N445" s="489"/>
      <c r="O445" s="489"/>
      <c r="P445" s="489"/>
      <c r="Q445" s="489"/>
      <c r="R445" s="489"/>
      <c r="S445" s="489"/>
      <c r="T445" s="489"/>
      <c r="U445" s="489"/>
      <c r="V445" s="489"/>
      <c r="W445" s="489"/>
      <c r="X445" s="489"/>
      <c r="Y445" s="489"/>
      <c r="Z445" s="489"/>
    </row>
    <row r="446" spans="2:27" ht="14.25" hidden="1" customHeight="1" outlineLevel="1" x14ac:dyDescent="0.15">
      <c r="C446" s="493"/>
      <c r="D446" s="493"/>
      <c r="E446" s="493"/>
      <c r="F446" s="493"/>
      <c r="G446" s="493"/>
      <c r="H446" s="493"/>
      <c r="I446" s="493"/>
      <c r="J446" s="493"/>
      <c r="K446" s="493"/>
      <c r="L446" s="493"/>
      <c r="M446" s="493"/>
      <c r="N446" s="493"/>
      <c r="O446" s="493"/>
      <c r="P446" s="493"/>
      <c r="Q446" s="493"/>
      <c r="R446" s="493"/>
      <c r="S446" s="493"/>
      <c r="T446" s="493"/>
      <c r="U446" s="493"/>
      <c r="V446" s="493"/>
      <c r="W446" s="493"/>
      <c r="X446" s="493"/>
      <c r="Y446" s="493"/>
      <c r="Z446" s="493"/>
    </row>
    <row r="447" spans="2:27" ht="14.25" hidden="1" customHeight="1" outlineLevel="1" x14ac:dyDescent="0.15">
      <c r="C447" s="489"/>
      <c r="D447" s="489"/>
      <c r="E447" s="489"/>
      <c r="F447" s="489"/>
      <c r="G447" s="489"/>
      <c r="H447" s="489"/>
      <c r="I447" s="489"/>
      <c r="J447" s="489"/>
      <c r="K447" s="489"/>
      <c r="L447" s="489"/>
      <c r="M447" s="489"/>
      <c r="N447" s="489"/>
      <c r="O447" s="489"/>
      <c r="P447" s="489"/>
      <c r="Q447" s="489"/>
      <c r="R447" s="489"/>
      <c r="S447" s="489"/>
      <c r="T447" s="489"/>
      <c r="U447" s="489"/>
      <c r="V447" s="489"/>
      <c r="W447" s="489"/>
      <c r="X447" s="489"/>
      <c r="Y447" s="489"/>
      <c r="Z447" s="489"/>
    </row>
    <row r="448" spans="2:27" ht="14.25" hidden="1" customHeight="1" outlineLevel="1" x14ac:dyDescent="0.15"/>
    <row r="449" spans="1:26" ht="14.25" hidden="1" customHeight="1" outlineLevel="1" x14ac:dyDescent="0.15"/>
    <row r="450" spans="1:26" ht="14.25" hidden="1" customHeight="1" outlineLevel="1" x14ac:dyDescent="0.15"/>
    <row r="451" spans="1:26" ht="14.25" hidden="1" customHeight="1" outlineLevel="1" x14ac:dyDescent="0.15"/>
    <row r="452" spans="1:26" ht="14.25" hidden="1" customHeight="1" outlineLevel="1" x14ac:dyDescent="0.15"/>
    <row r="453" spans="1:26" ht="14.25" hidden="1" customHeight="1" outlineLevel="1" x14ac:dyDescent="0.15"/>
    <row r="454" spans="1:26" ht="14.25" hidden="1" customHeight="1" outlineLevel="1" x14ac:dyDescent="0.15"/>
    <row r="455" spans="1:26" ht="14.25" hidden="1" customHeight="1" outlineLevel="1" x14ac:dyDescent="0.15"/>
    <row r="456" spans="1:26" ht="14.25" hidden="1" customHeight="1" outlineLevel="1" x14ac:dyDescent="0.15"/>
    <row r="457" spans="1:26" ht="14.25" hidden="1" customHeight="1" outlineLevel="1" x14ac:dyDescent="0.15"/>
    <row r="458" spans="1:26" ht="14.25" hidden="1" customHeight="1" outlineLevel="1" x14ac:dyDescent="0.15"/>
    <row r="459" spans="1:26" ht="14.25" hidden="1" customHeight="1" outlineLevel="1" x14ac:dyDescent="0.15"/>
    <row r="460" spans="1:26" ht="14.25" hidden="1" customHeight="1" outlineLevel="1" x14ac:dyDescent="0.15"/>
    <row r="461" spans="1:26" ht="14.25" hidden="1" customHeight="1" outlineLevel="1" x14ac:dyDescent="0.15"/>
    <row r="462" spans="1:26" ht="18.75" hidden="1" customHeight="1" outlineLevel="1" x14ac:dyDescent="0.15">
      <c r="A462" t="s">
        <v>1393</v>
      </c>
      <c r="B462" s="43" t="str">
        <f>A462 &amp; "収支"</f>
        <v>GH西広収支</v>
      </c>
    </row>
    <row r="463" spans="1:26" ht="14.25" hidden="1" customHeight="1" outlineLevel="1" x14ac:dyDescent="0.15">
      <c r="B463" s="10"/>
      <c r="C463" s="668">
        <f t="shared" ref="C463:Z463" si="37">C$13</f>
        <v>42856</v>
      </c>
      <c r="D463" s="668">
        <f t="shared" si="37"/>
        <v>42887</v>
      </c>
      <c r="E463" s="668">
        <f t="shared" si="37"/>
        <v>42917</v>
      </c>
      <c r="F463" s="668">
        <f t="shared" si="37"/>
        <v>42948</v>
      </c>
      <c r="G463" s="668">
        <f t="shared" si="37"/>
        <v>42979</v>
      </c>
      <c r="H463" s="668">
        <f t="shared" si="37"/>
        <v>43009</v>
      </c>
      <c r="I463" s="668">
        <f t="shared" si="37"/>
        <v>43040</v>
      </c>
      <c r="J463" s="668">
        <f t="shared" si="37"/>
        <v>43070</v>
      </c>
      <c r="K463" s="668">
        <f t="shared" si="37"/>
        <v>43101</v>
      </c>
      <c r="L463" s="668">
        <f t="shared" si="37"/>
        <v>43132</v>
      </c>
      <c r="M463" s="668">
        <f t="shared" si="37"/>
        <v>43160</v>
      </c>
      <c r="N463" s="668">
        <f t="shared" si="37"/>
        <v>43191</v>
      </c>
      <c r="O463" s="668">
        <f t="shared" si="37"/>
        <v>43221</v>
      </c>
      <c r="P463" s="668">
        <f t="shared" si="37"/>
        <v>43252</v>
      </c>
      <c r="Q463" s="668">
        <f t="shared" si="37"/>
        <v>43282</v>
      </c>
      <c r="R463" s="668">
        <f t="shared" si="37"/>
        <v>43313</v>
      </c>
      <c r="S463" s="668">
        <f t="shared" si="37"/>
        <v>43344</v>
      </c>
      <c r="T463" s="668">
        <f t="shared" si="37"/>
        <v>43374</v>
      </c>
      <c r="U463" s="668">
        <f t="shared" si="37"/>
        <v>43405</v>
      </c>
      <c r="V463" s="668">
        <f t="shared" si="37"/>
        <v>43435</v>
      </c>
      <c r="W463" s="668">
        <f t="shared" si="37"/>
        <v>43466</v>
      </c>
      <c r="X463" s="668">
        <f t="shared" si="37"/>
        <v>43497</v>
      </c>
      <c r="Y463" s="668">
        <f t="shared" si="37"/>
        <v>43525</v>
      </c>
      <c r="Z463" s="668">
        <f t="shared" si="37"/>
        <v>43556</v>
      </c>
    </row>
    <row r="464" spans="1:26" ht="14.25" hidden="1" customHeight="1" outlineLevel="1" x14ac:dyDescent="0.15">
      <c r="B464" s="12" t="s">
        <v>21</v>
      </c>
      <c r="C464" s="482" t="e">
        <f>IFERROR(IF(GETPIVOTDATA("合計 / " &amp; $B464,【ピボット】事業所収支!$A$3,"年月",C$13,"事業所",$A$462)=0,#N/A,GETPIVOTDATA("合計 / " &amp; $B464,【ピボット】事業所収支!$A$3,"年月",C$13,"事業所",$A$462)),#N/A)</f>
        <v>#N/A</v>
      </c>
      <c r="D464" s="482" t="e">
        <f>IFERROR(IF(GETPIVOTDATA("合計 / " &amp; $B464,【ピボット】事業所収支!$A$3,"年月",D$13,"事業所",$A$462)=0,#N/A,GETPIVOTDATA("合計 / " &amp; $B464,【ピボット】事業所収支!$A$3,"年月",D$13,"事業所",$A$462)),#N/A)</f>
        <v>#N/A</v>
      </c>
      <c r="E464" s="482" t="e">
        <f>IFERROR(IF(GETPIVOTDATA("合計 / " &amp; $B464,【ピボット】事業所収支!$A$3,"年月",E$13,"事業所",$A$462)=0,#N/A,GETPIVOTDATA("合計 / " &amp; $B464,【ピボット】事業所収支!$A$3,"年月",E$13,"事業所",$A$462)),#N/A)</f>
        <v>#N/A</v>
      </c>
      <c r="F464" s="482" t="e">
        <f>IFERROR(IF(GETPIVOTDATA("合計 / " &amp; $B464,【ピボット】事業所収支!$A$3,"年月",F$13,"事業所",$A$462)=0,#N/A,GETPIVOTDATA("合計 / " &amp; $B464,【ピボット】事業所収支!$A$3,"年月",F$13,"事業所",$A$462)),#N/A)</f>
        <v>#N/A</v>
      </c>
      <c r="G464" s="482" t="e">
        <f>IFERROR(IF(GETPIVOTDATA("合計 / " &amp; $B464,【ピボット】事業所収支!$A$3,"年月",G$13,"事業所",$A$462)=0,#N/A,GETPIVOTDATA("合計 / " &amp; $B464,【ピボット】事業所収支!$A$3,"年月",G$13,"事業所",$A$462)),#N/A)</f>
        <v>#N/A</v>
      </c>
      <c r="H464" s="482" t="e">
        <f>IFERROR(IF(GETPIVOTDATA("合計 / " &amp; $B464,【ピボット】事業所収支!$A$3,"年月",H$13,"事業所",$A$462)=0,#N/A,GETPIVOTDATA("合計 / " &amp; $B464,【ピボット】事業所収支!$A$3,"年月",H$13,"事業所",$A$462)),#N/A)</f>
        <v>#N/A</v>
      </c>
      <c r="I464" s="482" t="e">
        <f>IFERROR(IF(GETPIVOTDATA("合計 / " &amp; $B464,【ピボット】事業所収支!$A$3,"年月",I$13,"事業所",$A$462)=0,#N/A,GETPIVOTDATA("合計 / " &amp; $B464,【ピボット】事業所収支!$A$3,"年月",I$13,"事業所",$A$462)),#N/A)</f>
        <v>#N/A</v>
      </c>
      <c r="J464" s="482" t="e">
        <f>IFERROR(IF(GETPIVOTDATA("合計 / " &amp; $B464,【ピボット】事業所収支!$A$3,"年月",J$13,"事業所",$A$462)=0,#N/A,GETPIVOTDATA("合計 / " &amp; $B464,【ピボット】事業所収支!$A$3,"年月",J$13,"事業所",$A$462)),#N/A)</f>
        <v>#N/A</v>
      </c>
      <c r="K464" s="482" t="e">
        <f>IFERROR(IF(GETPIVOTDATA("合計 / " &amp; $B464,【ピボット】事業所収支!$A$3,"年月",K$13,"事業所",$A$462)=0,#N/A,GETPIVOTDATA("合計 / " &amp; $B464,【ピボット】事業所収支!$A$3,"年月",K$13,"事業所",$A$462)),#N/A)</f>
        <v>#N/A</v>
      </c>
      <c r="L464" s="482" t="e">
        <f>IFERROR(IF(GETPIVOTDATA("合計 / " &amp; $B464,【ピボット】事業所収支!$A$3,"年月",L$13,"事業所",$A$462)=0,#N/A,GETPIVOTDATA("合計 / " &amp; $B464,【ピボット】事業所収支!$A$3,"年月",L$13,"事業所",$A$462)),#N/A)</f>
        <v>#N/A</v>
      </c>
      <c r="M464" s="482" t="e">
        <f>IFERROR(IF(GETPIVOTDATA("合計 / " &amp; $B464,【ピボット】事業所収支!$A$3,"年月",M$13,"事業所",$A$462)=0,#N/A,GETPIVOTDATA("合計 / " &amp; $B464,【ピボット】事業所収支!$A$3,"年月",M$13,"事業所",$A$462)),#N/A)</f>
        <v>#N/A</v>
      </c>
      <c r="N464" s="482" t="e">
        <f>IFERROR(IF(GETPIVOTDATA("合計 / " &amp; $B464,【ピボット】事業所収支!$A$3,"年月",N$13,"事業所",$A$462)=0,#N/A,GETPIVOTDATA("合計 / " &amp; $B464,【ピボット】事業所収支!$A$3,"年月",N$13,"事業所",$A$462)),#N/A)</f>
        <v>#N/A</v>
      </c>
      <c r="O464" s="482" t="e">
        <f>IFERROR(IF(GETPIVOTDATA("合計 / " &amp; $B464,【ピボット】事業所収支!$A$3,"年月",O$13,"事業所",$A$462)=0,#N/A,GETPIVOTDATA("合計 / " &amp; $B464,【ピボット】事業所収支!$A$3,"年月",O$13,"事業所",$A$462)),#N/A)</f>
        <v>#N/A</v>
      </c>
      <c r="P464" s="482" t="e">
        <f>IFERROR(IF(GETPIVOTDATA("合計 / " &amp; $B464,【ピボット】事業所収支!$A$3,"年月",P$13,"事業所",$A$462)=0,#N/A,GETPIVOTDATA("合計 / " &amp; $B464,【ピボット】事業所収支!$A$3,"年月",P$13,"事業所",$A$462)),#N/A)</f>
        <v>#N/A</v>
      </c>
      <c r="Q464" s="482" t="e">
        <f>IFERROR(IF(GETPIVOTDATA("合計 / " &amp; $B464,【ピボット】事業所収支!$A$3,"年月",Q$13,"事業所",$A$462)=0,#N/A,GETPIVOTDATA("合計 / " &amp; $B464,【ピボット】事業所収支!$A$3,"年月",Q$13,"事業所",$A$462)),#N/A)</f>
        <v>#N/A</v>
      </c>
      <c r="R464" s="482" t="e">
        <f>IFERROR(IF(GETPIVOTDATA("合計 / " &amp; $B464,【ピボット】事業所収支!$A$3,"年月",R$13,"事業所",$A$462)=0,#N/A,GETPIVOTDATA("合計 / " &amp; $B464,【ピボット】事業所収支!$A$3,"年月",R$13,"事業所",$A$462)),#N/A)</f>
        <v>#N/A</v>
      </c>
      <c r="S464" s="482" t="e">
        <f>IFERROR(IF(GETPIVOTDATA("合計 / " &amp; $B464,【ピボット】事業所収支!$A$3,"年月",S$13,"事業所",$A$462)=0,#N/A,GETPIVOTDATA("合計 / " &amp; $B464,【ピボット】事業所収支!$A$3,"年月",S$13,"事業所",$A$462)),#N/A)</f>
        <v>#N/A</v>
      </c>
      <c r="T464" s="482" t="e">
        <f>IFERROR(IF(GETPIVOTDATA("合計 / " &amp; $B464,【ピボット】事業所収支!$A$3,"年月",T$13,"事業所",$A$462)=0,#N/A,GETPIVOTDATA("合計 / " &amp; $B464,【ピボット】事業所収支!$A$3,"年月",T$13,"事業所",$A$462)),#N/A)</f>
        <v>#N/A</v>
      </c>
      <c r="U464" s="482">
        <f>IFERROR(IF(GETPIVOTDATA("合計 / " &amp; $B464,【ピボット】事業所収支!$A$3,"年月",U$13,"事業所",$A$462)=0,#N/A,GETPIVOTDATA("合計 / " &amp; $B464,【ピボット】事業所収支!$A$3,"年月",U$13,"事業所",$A$462)),#N/A)</f>
        <v>16000</v>
      </c>
      <c r="V464" s="482">
        <f>IFERROR(IF(GETPIVOTDATA("合計 / " &amp; $B464,【ピボット】事業所収支!$A$3,"年月",V$13,"事業所",$A$462)=0,#N/A,GETPIVOTDATA("合計 / " &amp; $B464,【ピボット】事業所収支!$A$3,"年月",V$13,"事業所",$A$462)),#N/A)</f>
        <v>40000</v>
      </c>
      <c r="W464" s="482">
        <f>IFERROR(IF(GETPIVOTDATA("合計 / " &amp; $B464,【ピボット】事業所収支!$A$3,"年月",W$13,"事業所",$A$462)=0,#N/A,GETPIVOTDATA("合計 / " &amp; $B464,【ピボット】事業所収支!$A$3,"年月",W$13,"事業所",$A$462)),#N/A)</f>
        <v>40000</v>
      </c>
      <c r="X464" s="482">
        <f>IFERROR(IF(GETPIVOTDATA("合計 / " &amp; $B464,【ピボット】事業所収支!$A$3,"年月",X$13,"事業所",$A$462)=0,#N/A,GETPIVOTDATA("合計 / " &amp; $B464,【ピボット】事業所収支!$A$3,"年月",X$13,"事業所",$A$462)),#N/A)</f>
        <v>1476188</v>
      </c>
      <c r="Y464" s="482">
        <f>IFERROR(IF(GETPIVOTDATA("合計 / " &amp; $B464,【ピボット】事業所収支!$A$3,"年月",Y$13,"事業所",$A$462)=0,#N/A,GETPIVOTDATA("合計 / " &amp; $B464,【ピボット】事業所収支!$A$3,"年月",Y$13,"事業所",$A$462)),#N/A)</f>
        <v>1775131</v>
      </c>
      <c r="Z464" s="482">
        <f>IFERROR(IF(GETPIVOTDATA("合計 / " &amp; $B464,【ピボット】事業所収支!$A$3,"年月",Z$13,"事業所",$A$462)=0,#N/A,GETPIVOTDATA("合計 / " &amp; $B464,【ピボット】事業所収支!$A$3,"年月",Z$13,"事業所",$A$462)),#N/A)</f>
        <v>2077332</v>
      </c>
    </row>
    <row r="465" spans="2:27" ht="14.25" hidden="1" customHeight="1" outlineLevel="1" x14ac:dyDescent="0.15">
      <c r="B465" s="7" t="s">
        <v>28</v>
      </c>
      <c r="C465" s="483" t="e">
        <f>IFERROR(IF(GETPIVOTDATA("合計 / " &amp; $B465,【ピボット】事業所収支!$A$3,"年月",C$13,"事業所",$A$462)=0,#N/A,GETPIVOTDATA("合計 / " &amp; $B465,【ピボット】事業所収支!$A$3,"年月",C$13,"事業所",$A$462)),#N/A)</f>
        <v>#N/A</v>
      </c>
      <c r="D465" s="483" t="e">
        <f>IFERROR(IF(GETPIVOTDATA("合計 / " &amp; $B465,【ピボット】事業所収支!$A$3,"年月",D$13,"事業所",$A$462)=0,#N/A,GETPIVOTDATA("合計 / " &amp; $B465,【ピボット】事業所収支!$A$3,"年月",D$13,"事業所",$A$462)),#N/A)</f>
        <v>#N/A</v>
      </c>
      <c r="E465" s="483" t="e">
        <f>IFERROR(IF(GETPIVOTDATA("合計 / " &amp; $B465,【ピボット】事業所収支!$A$3,"年月",E$13,"事業所",$A$462)=0,#N/A,GETPIVOTDATA("合計 / " &amp; $B465,【ピボット】事業所収支!$A$3,"年月",E$13,"事業所",$A$462)),#N/A)</f>
        <v>#N/A</v>
      </c>
      <c r="F465" s="483" t="e">
        <f>IFERROR(IF(GETPIVOTDATA("合計 / " &amp; $B465,【ピボット】事業所収支!$A$3,"年月",F$13,"事業所",$A$462)=0,#N/A,GETPIVOTDATA("合計 / " &amp; $B465,【ピボット】事業所収支!$A$3,"年月",F$13,"事業所",$A$462)),#N/A)</f>
        <v>#N/A</v>
      </c>
      <c r="G465" s="483" t="e">
        <f>IFERROR(IF(GETPIVOTDATA("合計 / " &amp; $B465,【ピボット】事業所収支!$A$3,"年月",G$13,"事業所",$A$462)=0,#N/A,GETPIVOTDATA("合計 / " &amp; $B465,【ピボット】事業所収支!$A$3,"年月",G$13,"事業所",$A$462)),#N/A)</f>
        <v>#N/A</v>
      </c>
      <c r="H465" s="483" t="e">
        <f>IFERROR(IF(GETPIVOTDATA("合計 / " &amp; $B465,【ピボット】事業所収支!$A$3,"年月",H$13,"事業所",$A$462)=0,#N/A,GETPIVOTDATA("合計 / " &amp; $B465,【ピボット】事業所収支!$A$3,"年月",H$13,"事業所",$A$462)),#N/A)</f>
        <v>#N/A</v>
      </c>
      <c r="I465" s="483" t="e">
        <f>IFERROR(IF(GETPIVOTDATA("合計 / " &amp; $B465,【ピボット】事業所収支!$A$3,"年月",I$13,"事業所",$A$462)=0,#N/A,GETPIVOTDATA("合計 / " &amp; $B465,【ピボット】事業所収支!$A$3,"年月",I$13,"事業所",$A$462)),#N/A)</f>
        <v>#N/A</v>
      </c>
      <c r="J465" s="483" t="e">
        <f>IFERROR(IF(GETPIVOTDATA("合計 / " &amp; $B465,【ピボット】事業所収支!$A$3,"年月",J$13,"事業所",$A$462)=0,#N/A,GETPIVOTDATA("合計 / " &amp; $B465,【ピボット】事業所収支!$A$3,"年月",J$13,"事業所",$A$462)),#N/A)</f>
        <v>#N/A</v>
      </c>
      <c r="K465" s="483" t="e">
        <f>IFERROR(IF(GETPIVOTDATA("合計 / " &amp; $B465,【ピボット】事業所収支!$A$3,"年月",K$13,"事業所",$A$462)=0,#N/A,GETPIVOTDATA("合計 / " &amp; $B465,【ピボット】事業所収支!$A$3,"年月",K$13,"事業所",$A$462)),#N/A)</f>
        <v>#N/A</v>
      </c>
      <c r="L465" s="483" t="e">
        <f>IFERROR(IF(GETPIVOTDATA("合計 / " &amp; $B465,【ピボット】事業所収支!$A$3,"年月",L$13,"事業所",$A$462)=0,#N/A,GETPIVOTDATA("合計 / " &amp; $B465,【ピボット】事業所収支!$A$3,"年月",L$13,"事業所",$A$462)),#N/A)</f>
        <v>#N/A</v>
      </c>
      <c r="M465" s="483" t="e">
        <f>IFERROR(IF(GETPIVOTDATA("合計 / " &amp; $B465,【ピボット】事業所収支!$A$3,"年月",M$13,"事業所",$A$462)=0,#N/A,GETPIVOTDATA("合計 / " &amp; $B465,【ピボット】事業所収支!$A$3,"年月",M$13,"事業所",$A$462)),#N/A)</f>
        <v>#N/A</v>
      </c>
      <c r="N465" s="483" t="e">
        <f>IFERROR(IF(GETPIVOTDATA("合計 / " &amp; $B465,【ピボット】事業所収支!$A$3,"年月",N$13,"事業所",$A$462)=0,#N/A,GETPIVOTDATA("合計 / " &amp; $B465,【ピボット】事業所収支!$A$3,"年月",N$13,"事業所",$A$462)),#N/A)</f>
        <v>#N/A</v>
      </c>
      <c r="O465" s="483" t="e">
        <f>IFERROR(IF(GETPIVOTDATA("合計 / " &amp; $B465,【ピボット】事業所収支!$A$3,"年月",O$13,"事業所",$A$462)=0,#N/A,GETPIVOTDATA("合計 / " &amp; $B465,【ピボット】事業所収支!$A$3,"年月",O$13,"事業所",$A$462)),#N/A)</f>
        <v>#N/A</v>
      </c>
      <c r="P465" s="483" t="e">
        <f>IFERROR(IF(GETPIVOTDATA("合計 / " &amp; $B465,【ピボット】事業所収支!$A$3,"年月",P$13,"事業所",$A$462)=0,#N/A,GETPIVOTDATA("合計 / " &amp; $B465,【ピボット】事業所収支!$A$3,"年月",P$13,"事業所",$A$462)),#N/A)</f>
        <v>#N/A</v>
      </c>
      <c r="Q465" s="483" t="e">
        <f>IFERROR(IF(GETPIVOTDATA("合計 / " &amp; $B465,【ピボット】事業所収支!$A$3,"年月",Q$13,"事業所",$A$462)=0,#N/A,GETPIVOTDATA("合計 / " &amp; $B465,【ピボット】事業所収支!$A$3,"年月",Q$13,"事業所",$A$462)),#N/A)</f>
        <v>#N/A</v>
      </c>
      <c r="R465" s="483" t="e">
        <f>IFERROR(IF(GETPIVOTDATA("合計 / " &amp; $B465,【ピボット】事業所収支!$A$3,"年月",R$13,"事業所",$A$462)=0,#N/A,GETPIVOTDATA("合計 / " &amp; $B465,【ピボット】事業所収支!$A$3,"年月",R$13,"事業所",$A$462)),#N/A)</f>
        <v>#N/A</v>
      </c>
      <c r="S465" s="483" t="e">
        <f>IFERROR(IF(GETPIVOTDATA("合計 / " &amp; $B465,【ピボット】事業所収支!$A$3,"年月",S$13,"事業所",$A$462)=0,#N/A,GETPIVOTDATA("合計 / " &amp; $B465,【ピボット】事業所収支!$A$3,"年月",S$13,"事業所",$A$462)),#N/A)</f>
        <v>#N/A</v>
      </c>
      <c r="T465" s="483" t="e">
        <f>IFERROR(IF(GETPIVOTDATA("合計 / " &amp; $B465,【ピボット】事業所収支!$A$3,"年月",T$13,"事業所",$A$462)=0,#N/A,GETPIVOTDATA("合計 / " &amp; $B465,【ピボット】事業所収支!$A$3,"年月",T$13,"事業所",$A$462)),#N/A)</f>
        <v>#N/A</v>
      </c>
      <c r="U465" s="483" t="e">
        <f>IFERROR(IF(GETPIVOTDATA("合計 / " &amp; $B465,【ピボット】事業所収支!$A$3,"年月",U$13,"事業所",$A$462)=0,#N/A,GETPIVOTDATA("合計 / " &amp; $B465,【ピボット】事業所収支!$A$3,"年月",U$13,"事業所",$A$462)),#N/A)</f>
        <v>#N/A</v>
      </c>
      <c r="V465" s="483" t="e">
        <f>IFERROR(IF(GETPIVOTDATA("合計 / " &amp; $B465,【ピボット】事業所収支!$A$3,"年月",V$13,"事業所",$A$462)=0,#N/A,GETPIVOTDATA("合計 / " &amp; $B465,【ピボット】事業所収支!$A$3,"年月",V$13,"事業所",$A$462)),#N/A)</f>
        <v>#N/A</v>
      </c>
      <c r="W465" s="483" t="e">
        <f>IFERROR(IF(GETPIVOTDATA("合計 / " &amp; $B465,【ピボット】事業所収支!$A$3,"年月",W$13,"事業所",$A$462)=0,#N/A,GETPIVOTDATA("合計 / " &amp; $B465,【ピボット】事業所収支!$A$3,"年月",W$13,"事業所",$A$462)),#N/A)</f>
        <v>#N/A</v>
      </c>
      <c r="X465" s="483">
        <f>IFERROR(IF(GETPIVOTDATA("合計 / " &amp; $B465,【ピボット】事業所収支!$A$3,"年月",X$13,"事業所",$A$462)=0,#N/A,GETPIVOTDATA("合計 / " &amp; $B465,【ピボット】事業所収支!$A$3,"年月",X$13,"事業所",$A$462)),#N/A)</f>
        <v>229400</v>
      </c>
      <c r="Y465" s="483">
        <f>IFERROR(IF(GETPIVOTDATA("合計 / " &amp; $B465,【ピボット】事業所収支!$A$3,"年月",Y$13,"事業所",$A$462)=0,#N/A,GETPIVOTDATA("合計 / " &amp; $B465,【ピボット】事業所収支!$A$3,"年月",Y$13,"事業所",$A$462)),#N/A)</f>
        <v>359200</v>
      </c>
      <c r="Z465" s="483">
        <f>IFERROR(IF(GETPIVOTDATA("合計 / " &amp; $B465,【ピボット】事業所収支!$A$3,"年月",Z$13,"事業所",$A$462)=0,#N/A,GETPIVOTDATA("合計 / " &amp; $B465,【ピボット】事業所収支!$A$3,"年月",Z$13,"事業所",$A$462)),#N/A)</f>
        <v>418350</v>
      </c>
      <c r="AA465" s="4"/>
    </row>
    <row r="466" spans="2:27" ht="14.25" hidden="1" customHeight="1" outlineLevel="1" x14ac:dyDescent="0.15">
      <c r="B466" s="1683" t="s">
        <v>27</v>
      </c>
      <c r="C466" s="483" t="e">
        <f>IFERROR(IF(GETPIVOTDATA("合計 / " &amp; $B466,【ピボット】事業所収支!$A$3,"年月",C$13,"事業所",$A$462)=0,#N/A,GETPIVOTDATA("合計 / " &amp; $B466,【ピボット】事業所収支!$A$3,"年月",C$13,"事業所",$A$462)),#N/A)</f>
        <v>#N/A</v>
      </c>
      <c r="D466" s="483" t="e">
        <f>IFERROR(IF(GETPIVOTDATA("合計 / " &amp; $B466,【ピボット】事業所収支!$A$3,"年月",D$13,"事業所",$A$462)=0,#N/A,GETPIVOTDATA("合計 / " &amp; $B466,【ピボット】事業所収支!$A$3,"年月",D$13,"事業所",$A$462)),#N/A)</f>
        <v>#N/A</v>
      </c>
      <c r="E466" s="483" t="e">
        <f>IFERROR(IF(GETPIVOTDATA("合計 / " &amp; $B466,【ピボット】事業所収支!$A$3,"年月",E$13,"事業所",$A$462)=0,#N/A,GETPIVOTDATA("合計 / " &amp; $B466,【ピボット】事業所収支!$A$3,"年月",E$13,"事業所",$A$462)),#N/A)</f>
        <v>#N/A</v>
      </c>
      <c r="F466" s="483" t="e">
        <f>IFERROR(IF(GETPIVOTDATA("合計 / " &amp; $B466,【ピボット】事業所収支!$A$3,"年月",F$13,"事業所",$A$462)=0,#N/A,GETPIVOTDATA("合計 / " &amp; $B466,【ピボット】事業所収支!$A$3,"年月",F$13,"事業所",$A$462)),#N/A)</f>
        <v>#N/A</v>
      </c>
      <c r="G466" s="483" t="e">
        <f>IFERROR(IF(GETPIVOTDATA("合計 / " &amp; $B466,【ピボット】事業所収支!$A$3,"年月",G$13,"事業所",$A$462)=0,#N/A,GETPIVOTDATA("合計 / " &amp; $B466,【ピボット】事業所収支!$A$3,"年月",G$13,"事業所",$A$462)),#N/A)</f>
        <v>#N/A</v>
      </c>
      <c r="H466" s="483" t="e">
        <f>IFERROR(IF(GETPIVOTDATA("合計 / " &amp; $B466,【ピボット】事業所収支!$A$3,"年月",H$13,"事業所",$A$462)=0,#N/A,GETPIVOTDATA("合計 / " &amp; $B466,【ピボット】事業所収支!$A$3,"年月",H$13,"事業所",$A$462)),#N/A)</f>
        <v>#N/A</v>
      </c>
      <c r="I466" s="483" t="e">
        <f>IFERROR(IF(GETPIVOTDATA("合計 / " &amp; $B466,【ピボット】事業所収支!$A$3,"年月",I$13,"事業所",$A$462)=0,#N/A,GETPIVOTDATA("合計 / " &amp; $B466,【ピボット】事業所収支!$A$3,"年月",I$13,"事業所",$A$462)),#N/A)</f>
        <v>#N/A</v>
      </c>
      <c r="J466" s="483" t="e">
        <f>IFERROR(IF(GETPIVOTDATA("合計 / " &amp; $B466,【ピボット】事業所収支!$A$3,"年月",J$13,"事業所",$A$462)=0,#N/A,GETPIVOTDATA("合計 / " &amp; $B466,【ピボット】事業所収支!$A$3,"年月",J$13,"事業所",$A$462)),#N/A)</f>
        <v>#N/A</v>
      </c>
      <c r="K466" s="483" t="e">
        <f>IFERROR(IF(GETPIVOTDATA("合計 / " &amp; $B466,【ピボット】事業所収支!$A$3,"年月",K$13,"事業所",$A$462)=0,#N/A,GETPIVOTDATA("合計 / " &amp; $B466,【ピボット】事業所収支!$A$3,"年月",K$13,"事業所",$A$462)),#N/A)</f>
        <v>#N/A</v>
      </c>
      <c r="L466" s="483" t="e">
        <f>IFERROR(IF(GETPIVOTDATA("合計 / " &amp; $B466,【ピボット】事業所収支!$A$3,"年月",L$13,"事業所",$A$462)=0,#N/A,GETPIVOTDATA("合計 / " &amp; $B466,【ピボット】事業所収支!$A$3,"年月",L$13,"事業所",$A$462)),#N/A)</f>
        <v>#N/A</v>
      </c>
      <c r="M466" s="483" t="e">
        <f>IFERROR(IF(GETPIVOTDATA("合計 / " &amp; $B466,【ピボット】事業所収支!$A$3,"年月",M$13,"事業所",$A$462)=0,#N/A,GETPIVOTDATA("合計 / " &amp; $B466,【ピボット】事業所収支!$A$3,"年月",M$13,"事業所",$A$462)),#N/A)</f>
        <v>#N/A</v>
      </c>
      <c r="N466" s="483" t="e">
        <f>IFERROR(IF(GETPIVOTDATA("合計 / " &amp; $B466,【ピボット】事業所収支!$A$3,"年月",N$13,"事業所",$A$462)=0,#N/A,GETPIVOTDATA("合計 / " &amp; $B466,【ピボット】事業所収支!$A$3,"年月",N$13,"事業所",$A$462)),#N/A)</f>
        <v>#N/A</v>
      </c>
      <c r="O466" s="483" t="e">
        <f>IFERROR(IF(GETPIVOTDATA("合計 / " &amp; $B466,【ピボット】事業所収支!$A$3,"年月",O$13,"事業所",$A$462)=0,#N/A,GETPIVOTDATA("合計 / " &amp; $B466,【ピボット】事業所収支!$A$3,"年月",O$13,"事業所",$A$462)),#N/A)</f>
        <v>#N/A</v>
      </c>
      <c r="P466" s="483" t="e">
        <f>IFERROR(IF(GETPIVOTDATA("合計 / " &amp; $B466,【ピボット】事業所収支!$A$3,"年月",P$13,"事業所",$A$462)=0,#N/A,GETPIVOTDATA("合計 / " &amp; $B466,【ピボット】事業所収支!$A$3,"年月",P$13,"事業所",$A$462)),#N/A)</f>
        <v>#N/A</v>
      </c>
      <c r="Q466" s="483" t="e">
        <f>IFERROR(IF(GETPIVOTDATA("合計 / " &amp; $B466,【ピボット】事業所収支!$A$3,"年月",Q$13,"事業所",$A$462)=0,#N/A,GETPIVOTDATA("合計 / " &amp; $B466,【ピボット】事業所収支!$A$3,"年月",Q$13,"事業所",$A$462)),#N/A)</f>
        <v>#N/A</v>
      </c>
      <c r="R466" s="483" t="e">
        <f>IFERROR(IF(GETPIVOTDATA("合計 / " &amp; $B466,【ピボット】事業所収支!$A$3,"年月",R$13,"事業所",$A$462)=0,#N/A,GETPIVOTDATA("合計 / " &amp; $B466,【ピボット】事業所収支!$A$3,"年月",R$13,"事業所",$A$462)),#N/A)</f>
        <v>#N/A</v>
      </c>
      <c r="S466" s="483" t="e">
        <f>IFERROR(IF(GETPIVOTDATA("合計 / " &amp; $B466,【ピボット】事業所収支!$A$3,"年月",S$13,"事業所",$A$462)=0,#N/A,GETPIVOTDATA("合計 / " &amp; $B466,【ピボット】事業所収支!$A$3,"年月",S$13,"事業所",$A$462)),#N/A)</f>
        <v>#N/A</v>
      </c>
      <c r="T466" s="483" t="e">
        <f>IFERROR(IF(GETPIVOTDATA("合計 / " &amp; $B466,【ピボット】事業所収支!$A$3,"年月",T$13,"事業所",$A$462)=0,#N/A,GETPIVOTDATA("合計 / " &amp; $B466,【ピボット】事業所収支!$A$3,"年月",T$13,"事業所",$A$462)),#N/A)</f>
        <v>#N/A</v>
      </c>
      <c r="U466" s="483" t="e">
        <f>IFERROR(IF(GETPIVOTDATA("合計 / " &amp; $B466,【ピボット】事業所収支!$A$3,"年月",U$13,"事業所",$A$462)=0,#N/A,GETPIVOTDATA("合計 / " &amp; $B466,【ピボット】事業所収支!$A$3,"年月",U$13,"事業所",$A$462)),#N/A)</f>
        <v>#N/A</v>
      </c>
      <c r="V466" s="483" t="e">
        <f>IFERROR(IF(GETPIVOTDATA("合計 / " &amp; $B466,【ピボット】事業所収支!$A$3,"年月",V$13,"事業所",$A$462)=0,#N/A,GETPIVOTDATA("合計 / " &amp; $B466,【ピボット】事業所収支!$A$3,"年月",V$13,"事業所",$A$462)),#N/A)</f>
        <v>#N/A</v>
      </c>
      <c r="W466" s="483" t="e">
        <f>IFERROR(IF(GETPIVOTDATA("合計 / " &amp; $B466,【ピボット】事業所収支!$A$3,"年月",W$13,"事業所",$A$462)=0,#N/A,GETPIVOTDATA("合計 / " &amp; $B466,【ピボット】事業所収支!$A$3,"年月",W$13,"事業所",$A$462)),#N/A)</f>
        <v>#N/A</v>
      </c>
      <c r="X466" s="483">
        <f>IFERROR(IF(GETPIVOTDATA("合計 / " &amp; $B466,【ピボット】事業所収支!$A$3,"年月",X$13,"事業所",$A$462)=0,#N/A,GETPIVOTDATA("合計 / " &amp; $B466,【ピボット】事業所収支!$A$3,"年月",X$13,"事業所",$A$462)),#N/A)</f>
        <v>150000</v>
      </c>
      <c r="Y466" s="483">
        <f>IFERROR(IF(GETPIVOTDATA("合計 / " &amp; $B466,【ピボット】事業所収支!$A$3,"年月",Y$13,"事業所",$A$462)=0,#N/A,GETPIVOTDATA("合計 / " &amp; $B466,【ピボット】事業所収支!$A$3,"年月",Y$13,"事業所",$A$462)),#N/A)</f>
        <v>150000</v>
      </c>
      <c r="Z466" s="483" t="e">
        <f>IFERROR(IF(GETPIVOTDATA("合計 / " &amp; $B466,【ピボット】事業所収支!$A$3,"年月",Z$13,"事業所",$A$462)=0,#N/A,GETPIVOTDATA("合計 / " &amp; $B466,【ピボット】事業所収支!$A$3,"年月",Z$13,"事業所",$A$462)),#N/A)</f>
        <v>#N/A</v>
      </c>
      <c r="AA466" s="1"/>
    </row>
    <row r="467" spans="2:27" ht="14.25" hidden="1" customHeight="1" outlineLevel="1" x14ac:dyDescent="0.15">
      <c r="B467" s="1683" t="s">
        <v>60</v>
      </c>
      <c r="C467" s="483" t="e">
        <f>IFERROR(IF(GETPIVOTDATA("合計 / " &amp; $B467,【ピボット】事業所収支!$A$3,"年月",C$13,"事業所",$A$462)=0,#N/A,GETPIVOTDATA("合計 / " &amp; $B467,【ピボット】事業所収支!$A$3,"年月",C$13,"事業所",$A$462)),#N/A)</f>
        <v>#N/A</v>
      </c>
      <c r="D467" s="483" t="e">
        <f>IFERROR(IF(GETPIVOTDATA("合計 / " &amp; $B467,【ピボット】事業所収支!$A$3,"年月",D$13,"事業所",$A$462)=0,#N/A,GETPIVOTDATA("合計 / " &amp; $B467,【ピボット】事業所収支!$A$3,"年月",D$13,"事業所",$A$462)),#N/A)</f>
        <v>#N/A</v>
      </c>
      <c r="E467" s="483" t="e">
        <f>IFERROR(IF(GETPIVOTDATA("合計 / " &amp; $B467,【ピボット】事業所収支!$A$3,"年月",E$13,"事業所",$A$462)=0,#N/A,GETPIVOTDATA("合計 / " &amp; $B467,【ピボット】事業所収支!$A$3,"年月",E$13,"事業所",$A$462)),#N/A)</f>
        <v>#N/A</v>
      </c>
      <c r="F467" s="483" t="e">
        <f>IFERROR(IF(GETPIVOTDATA("合計 / " &amp; $B467,【ピボット】事業所収支!$A$3,"年月",F$13,"事業所",$A$462)=0,#N/A,GETPIVOTDATA("合計 / " &amp; $B467,【ピボット】事業所収支!$A$3,"年月",F$13,"事業所",$A$462)),#N/A)</f>
        <v>#N/A</v>
      </c>
      <c r="G467" s="483" t="e">
        <f>IFERROR(IF(GETPIVOTDATA("合計 / " &amp; $B467,【ピボット】事業所収支!$A$3,"年月",G$13,"事業所",$A$462)=0,#N/A,GETPIVOTDATA("合計 / " &amp; $B467,【ピボット】事業所収支!$A$3,"年月",G$13,"事業所",$A$462)),#N/A)</f>
        <v>#N/A</v>
      </c>
      <c r="H467" s="483" t="e">
        <f>IFERROR(IF(GETPIVOTDATA("合計 / " &amp; $B467,【ピボット】事業所収支!$A$3,"年月",H$13,"事業所",$A$462)=0,#N/A,GETPIVOTDATA("合計 / " &amp; $B467,【ピボット】事業所収支!$A$3,"年月",H$13,"事業所",$A$462)),#N/A)</f>
        <v>#N/A</v>
      </c>
      <c r="I467" s="483" t="e">
        <f>IFERROR(IF(GETPIVOTDATA("合計 / " &amp; $B467,【ピボット】事業所収支!$A$3,"年月",I$13,"事業所",$A$462)=0,#N/A,GETPIVOTDATA("合計 / " &amp; $B467,【ピボット】事業所収支!$A$3,"年月",I$13,"事業所",$A$462)),#N/A)</f>
        <v>#N/A</v>
      </c>
      <c r="J467" s="483" t="e">
        <f>IFERROR(IF(GETPIVOTDATA("合計 / " &amp; $B467,【ピボット】事業所収支!$A$3,"年月",J$13,"事業所",$A$462)=0,#N/A,GETPIVOTDATA("合計 / " &amp; $B467,【ピボット】事業所収支!$A$3,"年月",J$13,"事業所",$A$462)),#N/A)</f>
        <v>#N/A</v>
      </c>
      <c r="K467" s="483" t="e">
        <f>IFERROR(IF(GETPIVOTDATA("合計 / " &amp; $B467,【ピボット】事業所収支!$A$3,"年月",K$13,"事業所",$A$462)=0,#N/A,GETPIVOTDATA("合計 / " &amp; $B467,【ピボット】事業所収支!$A$3,"年月",K$13,"事業所",$A$462)),#N/A)</f>
        <v>#N/A</v>
      </c>
      <c r="L467" s="483" t="e">
        <f>IFERROR(IF(GETPIVOTDATA("合計 / " &amp; $B467,【ピボット】事業所収支!$A$3,"年月",L$13,"事業所",$A$462)=0,#N/A,GETPIVOTDATA("合計 / " &amp; $B467,【ピボット】事業所収支!$A$3,"年月",L$13,"事業所",$A$462)),#N/A)</f>
        <v>#N/A</v>
      </c>
      <c r="M467" s="483" t="e">
        <f>IFERROR(IF(GETPIVOTDATA("合計 / " &amp; $B467,【ピボット】事業所収支!$A$3,"年月",M$13,"事業所",$A$462)=0,#N/A,GETPIVOTDATA("合計 / " &amp; $B467,【ピボット】事業所収支!$A$3,"年月",M$13,"事業所",$A$462)),#N/A)</f>
        <v>#N/A</v>
      </c>
      <c r="N467" s="483" t="e">
        <f>IFERROR(IF(GETPIVOTDATA("合計 / " &amp; $B467,【ピボット】事業所収支!$A$3,"年月",N$13,"事業所",$A$462)=0,#N/A,GETPIVOTDATA("合計 / " &amp; $B467,【ピボット】事業所収支!$A$3,"年月",N$13,"事業所",$A$462)),#N/A)</f>
        <v>#N/A</v>
      </c>
      <c r="O467" s="483" t="e">
        <f>IFERROR(IF(GETPIVOTDATA("合計 / " &amp; $B467,【ピボット】事業所収支!$A$3,"年月",O$13,"事業所",$A$462)=0,#N/A,GETPIVOTDATA("合計 / " &amp; $B467,【ピボット】事業所収支!$A$3,"年月",O$13,"事業所",$A$462)),#N/A)</f>
        <v>#N/A</v>
      </c>
      <c r="P467" s="483" t="e">
        <f>IFERROR(IF(GETPIVOTDATA("合計 / " &amp; $B467,【ピボット】事業所収支!$A$3,"年月",P$13,"事業所",$A$462)=0,#N/A,GETPIVOTDATA("合計 / " &amp; $B467,【ピボット】事業所収支!$A$3,"年月",P$13,"事業所",$A$462)),#N/A)</f>
        <v>#N/A</v>
      </c>
      <c r="Q467" s="483" t="e">
        <f>IFERROR(IF(GETPIVOTDATA("合計 / " &amp; $B467,【ピボット】事業所収支!$A$3,"年月",Q$13,"事業所",$A$462)=0,#N/A,GETPIVOTDATA("合計 / " &amp; $B467,【ピボット】事業所収支!$A$3,"年月",Q$13,"事業所",$A$462)),#N/A)</f>
        <v>#N/A</v>
      </c>
      <c r="R467" s="483" t="e">
        <f>IFERROR(IF(GETPIVOTDATA("合計 / " &amp; $B467,【ピボット】事業所収支!$A$3,"年月",R$13,"事業所",$A$462)=0,#N/A,GETPIVOTDATA("合計 / " &amp; $B467,【ピボット】事業所収支!$A$3,"年月",R$13,"事業所",$A$462)),#N/A)</f>
        <v>#N/A</v>
      </c>
      <c r="S467" s="483" t="e">
        <f>IFERROR(IF(GETPIVOTDATA("合計 / " &amp; $B467,【ピボット】事業所収支!$A$3,"年月",S$13,"事業所",$A$462)=0,#N/A,GETPIVOTDATA("合計 / " &amp; $B467,【ピボット】事業所収支!$A$3,"年月",S$13,"事業所",$A$462)),#N/A)</f>
        <v>#N/A</v>
      </c>
      <c r="T467" s="483" t="e">
        <f>IFERROR(IF(GETPIVOTDATA("合計 / " &amp; $B467,【ピボット】事業所収支!$A$3,"年月",T$13,"事業所",$A$462)=0,#N/A,GETPIVOTDATA("合計 / " &amp; $B467,【ピボット】事業所収支!$A$3,"年月",T$13,"事業所",$A$462)),#N/A)</f>
        <v>#N/A</v>
      </c>
      <c r="U467" s="483" t="e">
        <f>IFERROR(IF(GETPIVOTDATA("合計 / " &amp; $B467,【ピボット】事業所収支!$A$3,"年月",U$13,"事業所",$A$462)=0,#N/A,GETPIVOTDATA("合計 / " &amp; $B467,【ピボット】事業所収支!$A$3,"年月",U$13,"事業所",$A$462)),#N/A)</f>
        <v>#N/A</v>
      </c>
      <c r="V467" s="483" t="e">
        <f>IFERROR(IF(GETPIVOTDATA("合計 / " &amp; $B467,【ピボット】事業所収支!$A$3,"年月",V$13,"事業所",$A$462)=0,#N/A,GETPIVOTDATA("合計 / " &amp; $B467,【ピボット】事業所収支!$A$3,"年月",V$13,"事業所",$A$462)),#N/A)</f>
        <v>#N/A</v>
      </c>
      <c r="W467" s="483" t="e">
        <f>IFERROR(IF(GETPIVOTDATA("合計 / " &amp; $B467,【ピボット】事業所収支!$A$3,"年月",W$13,"事業所",$A$462)=0,#N/A,GETPIVOTDATA("合計 / " &amp; $B467,【ピボット】事業所収支!$A$3,"年月",W$13,"事業所",$A$462)),#N/A)</f>
        <v>#N/A</v>
      </c>
      <c r="X467" s="483" t="e">
        <f>IFERROR(IF(GETPIVOTDATA("合計 / " &amp; $B467,【ピボット】事業所収支!$A$3,"年月",X$13,"事業所",$A$462)=0,#N/A,GETPIVOTDATA("合計 / " &amp; $B467,【ピボット】事業所収支!$A$3,"年月",X$13,"事業所",$A$462)),#N/A)</f>
        <v>#N/A</v>
      </c>
      <c r="Y467" s="483" t="e">
        <f>IFERROR(IF(GETPIVOTDATA("合計 / " &amp; $B467,【ピボット】事業所収支!$A$3,"年月",Y$13,"事業所",$A$462)=0,#N/A,GETPIVOTDATA("合計 / " &amp; $B467,【ピボット】事業所収支!$A$3,"年月",Y$13,"事業所",$A$462)),#N/A)</f>
        <v>#N/A</v>
      </c>
      <c r="Z467" s="483" t="e">
        <f>IFERROR(IF(GETPIVOTDATA("合計 / " &amp; $B467,【ピボット】事業所収支!$A$3,"年月",Z$13,"事業所",$A$462)=0,#N/A,GETPIVOTDATA("合計 / " &amp; $B467,【ピボット】事業所収支!$A$3,"年月",Z$13,"事業所",$A$462)),#N/A)</f>
        <v>#N/A</v>
      </c>
    </row>
    <row r="468" spans="2:27" ht="14.25" hidden="1" customHeight="1" outlineLevel="1" x14ac:dyDescent="0.15">
      <c r="B468" s="1683" t="s">
        <v>50</v>
      </c>
      <c r="C468" s="483" t="e">
        <f>IFERROR(IF(GETPIVOTDATA("合計 / " &amp; $B468,【ピボット】事業所収支!$A$3,"年月",C$13,"事業所",$A$462)=0,#N/A,GETPIVOTDATA("合計 / " &amp; $B468,【ピボット】事業所収支!$A$3,"年月",C$13,"事業所",$A$462)),#N/A)</f>
        <v>#N/A</v>
      </c>
      <c r="D468" s="483" t="e">
        <f>IFERROR(IF(GETPIVOTDATA("合計 / " &amp; $B468,【ピボット】事業所収支!$A$3,"年月",D$13,"事業所",$A$462)=0,#N/A,GETPIVOTDATA("合計 / " &amp; $B468,【ピボット】事業所収支!$A$3,"年月",D$13,"事業所",$A$462)),#N/A)</f>
        <v>#N/A</v>
      </c>
      <c r="E468" s="483" t="e">
        <f>IFERROR(IF(GETPIVOTDATA("合計 / " &amp; $B468,【ピボット】事業所収支!$A$3,"年月",E$13,"事業所",$A$462)=0,#N/A,GETPIVOTDATA("合計 / " &amp; $B468,【ピボット】事業所収支!$A$3,"年月",E$13,"事業所",$A$462)),#N/A)</f>
        <v>#N/A</v>
      </c>
      <c r="F468" s="483" t="e">
        <f>IFERROR(IF(GETPIVOTDATA("合計 / " &amp; $B468,【ピボット】事業所収支!$A$3,"年月",F$13,"事業所",$A$462)=0,#N/A,GETPIVOTDATA("合計 / " &amp; $B468,【ピボット】事業所収支!$A$3,"年月",F$13,"事業所",$A$462)),#N/A)</f>
        <v>#N/A</v>
      </c>
      <c r="G468" s="483" t="e">
        <f>IFERROR(IF(GETPIVOTDATA("合計 / " &amp; $B468,【ピボット】事業所収支!$A$3,"年月",G$13,"事業所",$A$462)=0,#N/A,GETPIVOTDATA("合計 / " &amp; $B468,【ピボット】事業所収支!$A$3,"年月",G$13,"事業所",$A$462)),#N/A)</f>
        <v>#N/A</v>
      </c>
      <c r="H468" s="483" t="e">
        <f>IFERROR(IF(GETPIVOTDATA("合計 / " &amp; $B468,【ピボット】事業所収支!$A$3,"年月",H$13,"事業所",$A$462)=0,#N/A,GETPIVOTDATA("合計 / " &amp; $B468,【ピボット】事業所収支!$A$3,"年月",H$13,"事業所",$A$462)),#N/A)</f>
        <v>#N/A</v>
      </c>
      <c r="I468" s="483" t="e">
        <f>IFERROR(IF(GETPIVOTDATA("合計 / " &amp; $B468,【ピボット】事業所収支!$A$3,"年月",I$13,"事業所",$A$462)=0,#N/A,GETPIVOTDATA("合計 / " &amp; $B468,【ピボット】事業所収支!$A$3,"年月",I$13,"事業所",$A$462)),#N/A)</f>
        <v>#N/A</v>
      </c>
      <c r="J468" s="483" t="e">
        <f>IFERROR(IF(GETPIVOTDATA("合計 / " &amp; $B468,【ピボット】事業所収支!$A$3,"年月",J$13,"事業所",$A$462)=0,#N/A,GETPIVOTDATA("合計 / " &amp; $B468,【ピボット】事業所収支!$A$3,"年月",J$13,"事業所",$A$462)),#N/A)</f>
        <v>#N/A</v>
      </c>
      <c r="K468" s="483" t="e">
        <f>IFERROR(IF(GETPIVOTDATA("合計 / " &amp; $B468,【ピボット】事業所収支!$A$3,"年月",K$13,"事業所",$A$462)=0,#N/A,GETPIVOTDATA("合計 / " &amp; $B468,【ピボット】事業所収支!$A$3,"年月",K$13,"事業所",$A$462)),#N/A)</f>
        <v>#N/A</v>
      </c>
      <c r="L468" s="483" t="e">
        <f>IFERROR(IF(GETPIVOTDATA("合計 / " &amp; $B468,【ピボット】事業所収支!$A$3,"年月",L$13,"事業所",$A$462)=0,#N/A,GETPIVOTDATA("合計 / " &amp; $B468,【ピボット】事業所収支!$A$3,"年月",L$13,"事業所",$A$462)),#N/A)</f>
        <v>#N/A</v>
      </c>
      <c r="M468" s="483" t="e">
        <f>IFERROR(IF(GETPIVOTDATA("合計 / " &amp; $B468,【ピボット】事業所収支!$A$3,"年月",M$13,"事業所",$A$462)=0,#N/A,GETPIVOTDATA("合計 / " &amp; $B468,【ピボット】事業所収支!$A$3,"年月",M$13,"事業所",$A$462)),#N/A)</f>
        <v>#N/A</v>
      </c>
      <c r="N468" s="483" t="e">
        <f>IFERROR(IF(GETPIVOTDATA("合計 / " &amp; $B468,【ピボット】事業所収支!$A$3,"年月",N$13,"事業所",$A$462)=0,#N/A,GETPIVOTDATA("合計 / " &amp; $B468,【ピボット】事業所収支!$A$3,"年月",N$13,"事業所",$A$462)),#N/A)</f>
        <v>#N/A</v>
      </c>
      <c r="O468" s="483" t="e">
        <f>IFERROR(IF(GETPIVOTDATA("合計 / " &amp; $B468,【ピボット】事業所収支!$A$3,"年月",O$13,"事業所",$A$462)=0,#N/A,GETPIVOTDATA("合計 / " &amp; $B468,【ピボット】事業所収支!$A$3,"年月",O$13,"事業所",$A$462)),#N/A)</f>
        <v>#N/A</v>
      </c>
      <c r="P468" s="483" t="e">
        <f>IFERROR(IF(GETPIVOTDATA("合計 / " &amp; $B468,【ピボット】事業所収支!$A$3,"年月",P$13,"事業所",$A$462)=0,#N/A,GETPIVOTDATA("合計 / " &amp; $B468,【ピボット】事業所収支!$A$3,"年月",P$13,"事業所",$A$462)),#N/A)</f>
        <v>#N/A</v>
      </c>
      <c r="Q468" s="483" t="e">
        <f>IFERROR(IF(GETPIVOTDATA("合計 / " &amp; $B468,【ピボット】事業所収支!$A$3,"年月",Q$13,"事業所",$A$462)=0,#N/A,GETPIVOTDATA("合計 / " &amp; $B468,【ピボット】事業所収支!$A$3,"年月",Q$13,"事業所",$A$462)),#N/A)</f>
        <v>#N/A</v>
      </c>
      <c r="R468" s="483" t="e">
        <f>IFERROR(IF(GETPIVOTDATA("合計 / " &amp; $B468,【ピボット】事業所収支!$A$3,"年月",R$13,"事業所",$A$462)=0,#N/A,GETPIVOTDATA("合計 / " &amp; $B468,【ピボット】事業所収支!$A$3,"年月",R$13,"事業所",$A$462)),#N/A)</f>
        <v>#N/A</v>
      </c>
      <c r="S468" s="483" t="e">
        <f>IFERROR(IF(GETPIVOTDATA("合計 / " &amp; $B468,【ピボット】事業所収支!$A$3,"年月",S$13,"事業所",$A$462)=0,#N/A,GETPIVOTDATA("合計 / " &amp; $B468,【ピボット】事業所収支!$A$3,"年月",S$13,"事業所",$A$462)),#N/A)</f>
        <v>#N/A</v>
      </c>
      <c r="T468" s="483" t="e">
        <f>IFERROR(IF(GETPIVOTDATA("合計 / " &amp; $B468,【ピボット】事業所収支!$A$3,"年月",T$13,"事業所",$A$462)=0,#N/A,GETPIVOTDATA("合計 / " &amp; $B468,【ピボット】事業所収支!$A$3,"年月",T$13,"事業所",$A$462)),#N/A)</f>
        <v>#N/A</v>
      </c>
      <c r="U468" s="483" t="e">
        <f>IFERROR(IF(GETPIVOTDATA("合計 / " &amp; $B468,【ピボット】事業所収支!$A$3,"年月",U$13,"事業所",$A$462)=0,#N/A,GETPIVOTDATA("合計 / " &amp; $B468,【ピボット】事業所収支!$A$3,"年月",U$13,"事業所",$A$462)),#N/A)</f>
        <v>#N/A</v>
      </c>
      <c r="V468" s="483" t="e">
        <f>IFERROR(IF(GETPIVOTDATA("合計 / " &amp; $B468,【ピボット】事業所収支!$A$3,"年月",V$13,"事業所",$A$462)=0,#N/A,GETPIVOTDATA("合計 / " &amp; $B468,【ピボット】事業所収支!$A$3,"年月",V$13,"事業所",$A$462)),#N/A)</f>
        <v>#N/A</v>
      </c>
      <c r="W468" s="483" t="e">
        <f>IFERROR(IF(GETPIVOTDATA("合計 / " &amp; $B468,【ピボット】事業所収支!$A$3,"年月",W$13,"事業所",$A$462)=0,#N/A,GETPIVOTDATA("合計 / " &amp; $B468,【ピボット】事業所収支!$A$3,"年月",W$13,"事業所",$A$462)),#N/A)</f>
        <v>#N/A</v>
      </c>
      <c r="X468" s="483" t="e">
        <f>IFERROR(IF(GETPIVOTDATA("合計 / " &amp; $B468,【ピボット】事業所収支!$A$3,"年月",X$13,"事業所",$A$462)=0,#N/A,GETPIVOTDATA("合計 / " &amp; $B468,【ピボット】事業所収支!$A$3,"年月",X$13,"事業所",$A$462)),#N/A)</f>
        <v>#N/A</v>
      </c>
      <c r="Y468" s="483" t="e">
        <f>IFERROR(IF(GETPIVOTDATA("合計 / " &amp; $B468,【ピボット】事業所収支!$A$3,"年月",Y$13,"事業所",$A$462)=0,#N/A,GETPIVOTDATA("合計 / " &amp; $B468,【ピボット】事業所収支!$A$3,"年月",Y$13,"事業所",$A$462)),#N/A)</f>
        <v>#N/A</v>
      </c>
      <c r="Z468" s="483" t="e">
        <f>IFERROR(IF(GETPIVOTDATA("合計 / " &amp; $B468,【ピボット】事業所収支!$A$3,"年月",Z$13,"事業所",$A$462)=0,#N/A,GETPIVOTDATA("合計 / " &amp; $B468,【ピボット】事業所収支!$A$3,"年月",Z$13,"事業所",$A$462)),#N/A)</f>
        <v>#N/A</v>
      </c>
    </row>
    <row r="469" spans="2:27" ht="14.25" hidden="1" customHeight="1" outlineLevel="1" x14ac:dyDescent="0.15">
      <c r="B469" s="9" t="s">
        <v>29</v>
      </c>
      <c r="C469" s="483" t="e">
        <f>IFERROR(IF(GETPIVOTDATA("合計 / " &amp; $B469,【ピボット】事業所収支!$A$3,"年月",C$13,"事業所",$A$462)=0,#N/A,GETPIVOTDATA("合計 / " &amp; $B469,【ピボット】事業所収支!$A$3,"年月",C$13,"事業所",$A$462)),#N/A)</f>
        <v>#N/A</v>
      </c>
      <c r="D469" s="483" t="e">
        <f>IFERROR(IF(GETPIVOTDATA("合計 / " &amp; $B469,【ピボット】事業所収支!$A$3,"年月",D$13,"事業所",$A$462)=0,#N/A,GETPIVOTDATA("合計 / " &amp; $B469,【ピボット】事業所収支!$A$3,"年月",D$13,"事業所",$A$462)),#N/A)</f>
        <v>#N/A</v>
      </c>
      <c r="E469" s="483" t="e">
        <f>IFERROR(IF(GETPIVOTDATA("合計 / " &amp; $B469,【ピボット】事業所収支!$A$3,"年月",E$13,"事業所",$A$462)=0,#N/A,GETPIVOTDATA("合計 / " &amp; $B469,【ピボット】事業所収支!$A$3,"年月",E$13,"事業所",$A$462)),#N/A)</f>
        <v>#N/A</v>
      </c>
      <c r="F469" s="483" t="e">
        <f>IFERROR(IF(GETPIVOTDATA("合計 / " &amp; $B469,【ピボット】事業所収支!$A$3,"年月",F$13,"事業所",$A$462)=0,#N/A,GETPIVOTDATA("合計 / " &amp; $B469,【ピボット】事業所収支!$A$3,"年月",F$13,"事業所",$A$462)),#N/A)</f>
        <v>#N/A</v>
      </c>
      <c r="G469" s="483" t="e">
        <f>IFERROR(IF(GETPIVOTDATA("合計 / " &amp; $B469,【ピボット】事業所収支!$A$3,"年月",G$13,"事業所",$A$462)=0,#N/A,GETPIVOTDATA("合計 / " &amp; $B469,【ピボット】事業所収支!$A$3,"年月",G$13,"事業所",$A$462)),#N/A)</f>
        <v>#N/A</v>
      </c>
      <c r="H469" s="483" t="e">
        <f>IFERROR(IF(GETPIVOTDATA("合計 / " &amp; $B469,【ピボット】事業所収支!$A$3,"年月",H$13,"事業所",$A$462)=0,#N/A,GETPIVOTDATA("合計 / " &amp; $B469,【ピボット】事業所収支!$A$3,"年月",H$13,"事業所",$A$462)),#N/A)</f>
        <v>#N/A</v>
      </c>
      <c r="I469" s="483" t="e">
        <f>IFERROR(IF(GETPIVOTDATA("合計 / " &amp; $B469,【ピボット】事業所収支!$A$3,"年月",I$13,"事業所",$A$462)=0,#N/A,GETPIVOTDATA("合計 / " &amp; $B469,【ピボット】事業所収支!$A$3,"年月",I$13,"事業所",$A$462)),#N/A)</f>
        <v>#N/A</v>
      </c>
      <c r="J469" s="483" t="e">
        <f>IFERROR(IF(GETPIVOTDATA("合計 / " &amp; $B469,【ピボット】事業所収支!$A$3,"年月",J$13,"事業所",$A$462)=0,#N/A,GETPIVOTDATA("合計 / " &amp; $B469,【ピボット】事業所収支!$A$3,"年月",J$13,"事業所",$A$462)),#N/A)</f>
        <v>#N/A</v>
      </c>
      <c r="K469" s="483" t="e">
        <f>IFERROR(IF(GETPIVOTDATA("合計 / " &amp; $B469,【ピボット】事業所収支!$A$3,"年月",K$13,"事業所",$A$462)=0,#N/A,GETPIVOTDATA("合計 / " &amp; $B469,【ピボット】事業所収支!$A$3,"年月",K$13,"事業所",$A$462)),#N/A)</f>
        <v>#N/A</v>
      </c>
      <c r="L469" s="483" t="e">
        <f>IFERROR(IF(GETPIVOTDATA("合計 / " &amp; $B469,【ピボット】事業所収支!$A$3,"年月",L$13,"事業所",$A$462)=0,#N/A,GETPIVOTDATA("合計 / " &amp; $B469,【ピボット】事業所収支!$A$3,"年月",L$13,"事業所",$A$462)),#N/A)</f>
        <v>#N/A</v>
      </c>
      <c r="M469" s="483" t="e">
        <f>IFERROR(IF(GETPIVOTDATA("合計 / " &amp; $B469,【ピボット】事業所収支!$A$3,"年月",M$13,"事業所",$A$462)=0,#N/A,GETPIVOTDATA("合計 / " &amp; $B469,【ピボット】事業所収支!$A$3,"年月",M$13,"事業所",$A$462)),#N/A)</f>
        <v>#N/A</v>
      </c>
      <c r="N469" s="483" t="e">
        <f>IFERROR(IF(GETPIVOTDATA("合計 / " &amp; $B469,【ピボット】事業所収支!$A$3,"年月",N$13,"事業所",$A$462)=0,#N/A,GETPIVOTDATA("合計 / " &amp; $B469,【ピボット】事業所収支!$A$3,"年月",N$13,"事業所",$A$462)),#N/A)</f>
        <v>#N/A</v>
      </c>
      <c r="O469" s="483" t="e">
        <f>IFERROR(IF(GETPIVOTDATA("合計 / " &amp; $B469,【ピボット】事業所収支!$A$3,"年月",O$13,"事業所",$A$462)=0,#N/A,GETPIVOTDATA("合計 / " &amp; $B469,【ピボット】事業所収支!$A$3,"年月",O$13,"事業所",$A$462)),#N/A)</f>
        <v>#N/A</v>
      </c>
      <c r="P469" s="483" t="e">
        <f>IFERROR(IF(GETPIVOTDATA("合計 / " &amp; $B469,【ピボット】事業所収支!$A$3,"年月",P$13,"事業所",$A$462)=0,#N/A,GETPIVOTDATA("合計 / " &amp; $B469,【ピボット】事業所収支!$A$3,"年月",P$13,"事業所",$A$462)),#N/A)</f>
        <v>#N/A</v>
      </c>
      <c r="Q469" s="483" t="e">
        <f>IFERROR(IF(GETPIVOTDATA("合計 / " &amp; $B469,【ピボット】事業所収支!$A$3,"年月",Q$13,"事業所",$A$462)=0,#N/A,GETPIVOTDATA("合計 / " &amp; $B469,【ピボット】事業所収支!$A$3,"年月",Q$13,"事業所",$A$462)),#N/A)</f>
        <v>#N/A</v>
      </c>
      <c r="R469" s="483" t="e">
        <f>IFERROR(IF(GETPIVOTDATA("合計 / " &amp; $B469,【ピボット】事業所収支!$A$3,"年月",R$13,"事業所",$A$462)=0,#N/A,GETPIVOTDATA("合計 / " &amp; $B469,【ピボット】事業所収支!$A$3,"年月",R$13,"事業所",$A$462)),#N/A)</f>
        <v>#N/A</v>
      </c>
      <c r="S469" s="483" t="e">
        <f>IFERROR(IF(GETPIVOTDATA("合計 / " &amp; $B469,【ピボット】事業所収支!$A$3,"年月",S$13,"事業所",$A$462)=0,#N/A,GETPIVOTDATA("合計 / " &amp; $B469,【ピボット】事業所収支!$A$3,"年月",S$13,"事業所",$A$462)),#N/A)</f>
        <v>#N/A</v>
      </c>
      <c r="T469" s="483" t="e">
        <f>IFERROR(IF(GETPIVOTDATA("合計 / " &amp; $B469,【ピボット】事業所収支!$A$3,"年月",T$13,"事業所",$A$462)=0,#N/A,GETPIVOTDATA("合計 / " &amp; $B469,【ピボット】事業所収支!$A$3,"年月",T$13,"事業所",$A$462)),#N/A)</f>
        <v>#N/A</v>
      </c>
      <c r="U469" s="483" t="e">
        <f>IFERROR(IF(GETPIVOTDATA("合計 / " &amp; $B469,【ピボット】事業所収支!$A$3,"年月",U$13,"事業所",$A$462)=0,#N/A,GETPIVOTDATA("合計 / " &amp; $B469,【ピボット】事業所収支!$A$3,"年月",U$13,"事業所",$A$462)),#N/A)</f>
        <v>#N/A</v>
      </c>
      <c r="V469" s="483" t="e">
        <f>IFERROR(IF(GETPIVOTDATA("合計 / " &amp; $B469,【ピボット】事業所収支!$A$3,"年月",V$13,"事業所",$A$462)=0,#N/A,GETPIVOTDATA("合計 / " &amp; $B469,【ピボット】事業所収支!$A$3,"年月",V$13,"事業所",$A$462)),#N/A)</f>
        <v>#N/A</v>
      </c>
      <c r="W469" s="483" t="e">
        <f>IFERROR(IF(GETPIVOTDATA("合計 / " &amp; $B469,【ピボット】事業所収支!$A$3,"年月",W$13,"事業所",$A$462)=0,#N/A,GETPIVOTDATA("合計 / " &amp; $B469,【ピボット】事業所収支!$A$3,"年月",W$13,"事業所",$A$462)),#N/A)</f>
        <v>#N/A</v>
      </c>
      <c r="X469" s="483" t="e">
        <f>IFERROR(IF(GETPIVOTDATA("合計 / " &amp; $B469,【ピボット】事業所収支!$A$3,"年月",X$13,"事業所",$A$462)=0,#N/A,GETPIVOTDATA("合計 / " &amp; $B469,【ピボット】事業所収支!$A$3,"年月",X$13,"事業所",$A$462)),#N/A)</f>
        <v>#N/A</v>
      </c>
      <c r="Y469" s="483" t="e">
        <f>IFERROR(IF(GETPIVOTDATA("合計 / " &amp; $B469,【ピボット】事業所収支!$A$3,"年月",Y$13,"事業所",$A$462)=0,#N/A,GETPIVOTDATA("合計 / " &amp; $B469,【ピボット】事業所収支!$A$3,"年月",Y$13,"事業所",$A$462)),#N/A)</f>
        <v>#N/A</v>
      </c>
      <c r="Z469" s="483" t="e">
        <f>IFERROR(IF(GETPIVOTDATA("合計 / " &amp; $B469,【ピボット】事業所収支!$A$3,"年月",Z$13,"事業所",$A$462)=0,#N/A,GETPIVOTDATA("合計 / " &amp; $B469,【ピボット】事業所収支!$A$3,"年月",Z$13,"事業所",$A$462)),#N/A)</f>
        <v>#N/A</v>
      </c>
      <c r="AA469" s="4"/>
    </row>
    <row r="470" spans="2:27" ht="14.25" hidden="1" customHeight="1" outlineLevel="1" x14ac:dyDescent="0.15">
      <c r="B470" s="9" t="s">
        <v>51</v>
      </c>
      <c r="C470" s="483" t="e">
        <f>IFERROR(IF(GETPIVOTDATA("合計 / " &amp; $B470,【ピボット】事業所収支!$A$3,"年月",C$13,"事業所",$A$462)=0,#N/A,GETPIVOTDATA("合計 / " &amp; $B470,【ピボット】事業所収支!$A$3,"年月",C$13,"事業所",$A$462)),#N/A)</f>
        <v>#N/A</v>
      </c>
      <c r="D470" s="483" t="e">
        <f>IFERROR(IF(GETPIVOTDATA("合計 / " &amp; $B470,【ピボット】事業所収支!$A$3,"年月",D$13,"事業所",$A$462)=0,#N/A,GETPIVOTDATA("合計 / " &amp; $B470,【ピボット】事業所収支!$A$3,"年月",D$13,"事業所",$A$462)),#N/A)</f>
        <v>#N/A</v>
      </c>
      <c r="E470" s="483" t="e">
        <f>IFERROR(IF(GETPIVOTDATA("合計 / " &amp; $B470,【ピボット】事業所収支!$A$3,"年月",E$13,"事業所",$A$462)=0,#N/A,GETPIVOTDATA("合計 / " &amp; $B470,【ピボット】事業所収支!$A$3,"年月",E$13,"事業所",$A$462)),#N/A)</f>
        <v>#N/A</v>
      </c>
      <c r="F470" s="483" t="e">
        <f>IFERROR(IF(GETPIVOTDATA("合計 / " &amp; $B470,【ピボット】事業所収支!$A$3,"年月",F$13,"事業所",$A$462)=0,#N/A,GETPIVOTDATA("合計 / " &amp; $B470,【ピボット】事業所収支!$A$3,"年月",F$13,"事業所",$A$462)),#N/A)</f>
        <v>#N/A</v>
      </c>
      <c r="G470" s="483" t="e">
        <f>IFERROR(IF(GETPIVOTDATA("合計 / " &amp; $B470,【ピボット】事業所収支!$A$3,"年月",G$13,"事業所",$A$462)=0,#N/A,GETPIVOTDATA("合計 / " &amp; $B470,【ピボット】事業所収支!$A$3,"年月",G$13,"事業所",$A$462)),#N/A)</f>
        <v>#N/A</v>
      </c>
      <c r="H470" s="483" t="e">
        <f>IFERROR(IF(GETPIVOTDATA("合計 / " &amp; $B470,【ピボット】事業所収支!$A$3,"年月",H$13,"事業所",$A$462)=0,#N/A,GETPIVOTDATA("合計 / " &amp; $B470,【ピボット】事業所収支!$A$3,"年月",H$13,"事業所",$A$462)),#N/A)</f>
        <v>#N/A</v>
      </c>
      <c r="I470" s="483" t="e">
        <f>IFERROR(IF(GETPIVOTDATA("合計 / " &amp; $B470,【ピボット】事業所収支!$A$3,"年月",I$13,"事業所",$A$462)=0,#N/A,GETPIVOTDATA("合計 / " &amp; $B470,【ピボット】事業所収支!$A$3,"年月",I$13,"事業所",$A$462)),#N/A)</f>
        <v>#N/A</v>
      </c>
      <c r="J470" s="483" t="e">
        <f>IFERROR(IF(GETPIVOTDATA("合計 / " &amp; $B470,【ピボット】事業所収支!$A$3,"年月",J$13,"事業所",$A$462)=0,#N/A,GETPIVOTDATA("合計 / " &amp; $B470,【ピボット】事業所収支!$A$3,"年月",J$13,"事業所",$A$462)),#N/A)</f>
        <v>#N/A</v>
      </c>
      <c r="K470" s="483" t="e">
        <f>IFERROR(IF(GETPIVOTDATA("合計 / " &amp; $B470,【ピボット】事業所収支!$A$3,"年月",K$13,"事業所",$A$462)=0,#N/A,GETPIVOTDATA("合計 / " &amp; $B470,【ピボット】事業所収支!$A$3,"年月",K$13,"事業所",$A$462)),#N/A)</f>
        <v>#N/A</v>
      </c>
      <c r="L470" s="483" t="e">
        <f>IFERROR(IF(GETPIVOTDATA("合計 / " &amp; $B470,【ピボット】事業所収支!$A$3,"年月",L$13,"事業所",$A$462)=0,#N/A,GETPIVOTDATA("合計 / " &amp; $B470,【ピボット】事業所収支!$A$3,"年月",L$13,"事業所",$A$462)),#N/A)</f>
        <v>#N/A</v>
      </c>
      <c r="M470" s="483" t="e">
        <f>IFERROR(IF(GETPIVOTDATA("合計 / " &amp; $B470,【ピボット】事業所収支!$A$3,"年月",M$13,"事業所",$A$462)=0,#N/A,GETPIVOTDATA("合計 / " &amp; $B470,【ピボット】事業所収支!$A$3,"年月",M$13,"事業所",$A$462)),#N/A)</f>
        <v>#N/A</v>
      </c>
      <c r="N470" s="483" t="e">
        <f>IFERROR(IF(GETPIVOTDATA("合計 / " &amp; $B470,【ピボット】事業所収支!$A$3,"年月",N$13,"事業所",$A$462)=0,#N/A,GETPIVOTDATA("合計 / " &amp; $B470,【ピボット】事業所収支!$A$3,"年月",N$13,"事業所",$A$462)),#N/A)</f>
        <v>#N/A</v>
      </c>
      <c r="O470" s="483" t="e">
        <f>IFERROR(IF(GETPIVOTDATA("合計 / " &amp; $B470,【ピボット】事業所収支!$A$3,"年月",O$13,"事業所",$A$462)=0,#N/A,GETPIVOTDATA("合計 / " &amp; $B470,【ピボット】事業所収支!$A$3,"年月",O$13,"事業所",$A$462)),#N/A)</f>
        <v>#N/A</v>
      </c>
      <c r="P470" s="483" t="e">
        <f>IFERROR(IF(GETPIVOTDATA("合計 / " &amp; $B470,【ピボット】事業所収支!$A$3,"年月",P$13,"事業所",$A$462)=0,#N/A,GETPIVOTDATA("合計 / " &amp; $B470,【ピボット】事業所収支!$A$3,"年月",P$13,"事業所",$A$462)),#N/A)</f>
        <v>#N/A</v>
      </c>
      <c r="Q470" s="483" t="e">
        <f>IFERROR(IF(GETPIVOTDATA("合計 / " &amp; $B470,【ピボット】事業所収支!$A$3,"年月",Q$13,"事業所",$A$462)=0,#N/A,GETPIVOTDATA("合計 / " &amp; $B470,【ピボット】事業所収支!$A$3,"年月",Q$13,"事業所",$A$462)),#N/A)</f>
        <v>#N/A</v>
      </c>
      <c r="R470" s="483" t="e">
        <f>IFERROR(IF(GETPIVOTDATA("合計 / " &amp; $B470,【ピボット】事業所収支!$A$3,"年月",R$13,"事業所",$A$462)=0,#N/A,GETPIVOTDATA("合計 / " &amp; $B470,【ピボット】事業所収支!$A$3,"年月",R$13,"事業所",$A$462)),#N/A)</f>
        <v>#N/A</v>
      </c>
      <c r="S470" s="483" t="e">
        <f>IFERROR(IF(GETPIVOTDATA("合計 / " &amp; $B470,【ピボット】事業所収支!$A$3,"年月",S$13,"事業所",$A$462)=0,#N/A,GETPIVOTDATA("合計 / " &amp; $B470,【ピボット】事業所収支!$A$3,"年月",S$13,"事業所",$A$462)),#N/A)</f>
        <v>#N/A</v>
      </c>
      <c r="T470" s="483" t="e">
        <f>IFERROR(IF(GETPIVOTDATA("合計 / " &amp; $B470,【ピボット】事業所収支!$A$3,"年月",T$13,"事業所",$A$462)=0,#N/A,GETPIVOTDATA("合計 / " &amp; $B470,【ピボット】事業所収支!$A$3,"年月",T$13,"事業所",$A$462)),#N/A)</f>
        <v>#N/A</v>
      </c>
      <c r="U470" s="483" t="e">
        <f>IFERROR(IF(GETPIVOTDATA("合計 / " &amp; $B470,【ピボット】事業所収支!$A$3,"年月",U$13,"事業所",$A$462)=0,#N/A,GETPIVOTDATA("合計 / " &amp; $B470,【ピボット】事業所収支!$A$3,"年月",U$13,"事業所",$A$462)),#N/A)</f>
        <v>#N/A</v>
      </c>
      <c r="V470" s="483" t="e">
        <f>IFERROR(IF(GETPIVOTDATA("合計 / " &amp; $B470,【ピボット】事業所収支!$A$3,"年月",V$13,"事業所",$A$462)=0,#N/A,GETPIVOTDATA("合計 / " &amp; $B470,【ピボット】事業所収支!$A$3,"年月",V$13,"事業所",$A$462)),#N/A)</f>
        <v>#N/A</v>
      </c>
      <c r="W470" s="483" t="e">
        <f>IFERROR(IF(GETPIVOTDATA("合計 / " &amp; $B470,【ピボット】事業所収支!$A$3,"年月",W$13,"事業所",$A$462)=0,#N/A,GETPIVOTDATA("合計 / " &amp; $B470,【ピボット】事業所収支!$A$3,"年月",W$13,"事業所",$A$462)),#N/A)</f>
        <v>#N/A</v>
      </c>
      <c r="X470" s="483" t="e">
        <f>IFERROR(IF(GETPIVOTDATA("合計 / " &amp; $B470,【ピボット】事業所収支!$A$3,"年月",X$13,"事業所",$A$462)=0,#N/A,GETPIVOTDATA("合計 / " &amp; $B470,【ピボット】事業所収支!$A$3,"年月",X$13,"事業所",$A$462)),#N/A)</f>
        <v>#N/A</v>
      </c>
      <c r="Y470" s="483" t="e">
        <f>IFERROR(IF(GETPIVOTDATA("合計 / " &amp; $B470,【ピボット】事業所収支!$A$3,"年月",Y$13,"事業所",$A$462)=0,#N/A,GETPIVOTDATA("合計 / " &amp; $B470,【ピボット】事業所収支!$A$3,"年月",Y$13,"事業所",$A$462)),#N/A)</f>
        <v>#N/A</v>
      </c>
      <c r="Z470" s="483" t="e">
        <f>IFERROR(IF(GETPIVOTDATA("合計 / " &amp; $B470,【ピボット】事業所収支!$A$3,"年月",Z$13,"事業所",$A$462)=0,#N/A,GETPIVOTDATA("合計 / " &amp; $B470,【ピボット】事業所収支!$A$3,"年月",Z$13,"事業所",$A$462)),#N/A)</f>
        <v>#N/A</v>
      </c>
      <c r="AA470" s="4"/>
    </row>
    <row r="471" spans="2:27" ht="14.25" hidden="1" customHeight="1" outlineLevel="1" x14ac:dyDescent="0.15">
      <c r="B471" s="41" t="s">
        <v>15</v>
      </c>
      <c r="C471" s="486" t="e">
        <f>IFERROR(IF(GETPIVOTDATA("合計 / " &amp; $B471,【ピボット】事業所収支!$A$3,"年月",C$13,"事業所",$A$462)=0,#N/A,GETPIVOTDATA("合計 / " &amp; $B471,【ピボット】事業所収支!$A$3,"年月",C$13,"事業所",$A$462)),#N/A)</f>
        <v>#N/A</v>
      </c>
      <c r="D471" s="486" t="e">
        <f>IFERROR(IF(GETPIVOTDATA("合計 / " &amp; $B471,【ピボット】事業所収支!$A$3,"年月",D$13,"事業所",$A$462)=0,#N/A,GETPIVOTDATA("合計 / " &amp; $B471,【ピボット】事業所収支!$A$3,"年月",D$13,"事業所",$A$462)),#N/A)</f>
        <v>#N/A</v>
      </c>
      <c r="E471" s="486" t="e">
        <f>IFERROR(IF(GETPIVOTDATA("合計 / " &amp; $B471,【ピボット】事業所収支!$A$3,"年月",E$13,"事業所",$A$462)=0,#N/A,GETPIVOTDATA("合計 / " &amp; $B471,【ピボット】事業所収支!$A$3,"年月",E$13,"事業所",$A$462)),#N/A)</f>
        <v>#N/A</v>
      </c>
      <c r="F471" s="486" t="e">
        <f>IFERROR(IF(GETPIVOTDATA("合計 / " &amp; $B471,【ピボット】事業所収支!$A$3,"年月",F$13,"事業所",$A$462)=0,#N/A,GETPIVOTDATA("合計 / " &amp; $B471,【ピボット】事業所収支!$A$3,"年月",F$13,"事業所",$A$462)),#N/A)</f>
        <v>#N/A</v>
      </c>
      <c r="G471" s="486" t="e">
        <f>IFERROR(IF(GETPIVOTDATA("合計 / " &amp; $B471,【ピボット】事業所収支!$A$3,"年月",G$13,"事業所",$A$462)=0,#N/A,GETPIVOTDATA("合計 / " &amp; $B471,【ピボット】事業所収支!$A$3,"年月",G$13,"事業所",$A$462)),#N/A)</f>
        <v>#N/A</v>
      </c>
      <c r="H471" s="486" t="e">
        <f>IFERROR(IF(GETPIVOTDATA("合計 / " &amp; $B471,【ピボット】事業所収支!$A$3,"年月",H$13,"事業所",$A$462)=0,#N/A,GETPIVOTDATA("合計 / " &amp; $B471,【ピボット】事業所収支!$A$3,"年月",H$13,"事業所",$A$462)),#N/A)</f>
        <v>#N/A</v>
      </c>
      <c r="I471" s="486" t="e">
        <f>IFERROR(IF(GETPIVOTDATA("合計 / " &amp; $B471,【ピボット】事業所収支!$A$3,"年月",I$13,"事業所",$A$462)=0,#N/A,GETPIVOTDATA("合計 / " &amp; $B471,【ピボット】事業所収支!$A$3,"年月",I$13,"事業所",$A$462)),#N/A)</f>
        <v>#N/A</v>
      </c>
      <c r="J471" s="486" t="e">
        <f>IFERROR(IF(GETPIVOTDATA("合計 / " &amp; $B471,【ピボット】事業所収支!$A$3,"年月",J$13,"事業所",$A$462)=0,#N/A,GETPIVOTDATA("合計 / " &amp; $B471,【ピボット】事業所収支!$A$3,"年月",J$13,"事業所",$A$462)),#N/A)</f>
        <v>#N/A</v>
      </c>
      <c r="K471" s="486" t="e">
        <f>IFERROR(IF(GETPIVOTDATA("合計 / " &amp; $B471,【ピボット】事業所収支!$A$3,"年月",K$13,"事業所",$A$462)=0,#N/A,GETPIVOTDATA("合計 / " &amp; $B471,【ピボット】事業所収支!$A$3,"年月",K$13,"事業所",$A$462)),#N/A)</f>
        <v>#N/A</v>
      </c>
      <c r="L471" s="486" t="e">
        <f>IFERROR(IF(GETPIVOTDATA("合計 / " &amp; $B471,【ピボット】事業所収支!$A$3,"年月",L$13,"事業所",$A$462)=0,#N/A,GETPIVOTDATA("合計 / " &amp; $B471,【ピボット】事業所収支!$A$3,"年月",L$13,"事業所",$A$462)),#N/A)</f>
        <v>#N/A</v>
      </c>
      <c r="M471" s="486" t="e">
        <f>IFERROR(IF(GETPIVOTDATA("合計 / " &amp; $B471,【ピボット】事業所収支!$A$3,"年月",M$13,"事業所",$A$462)=0,#N/A,GETPIVOTDATA("合計 / " &amp; $B471,【ピボット】事業所収支!$A$3,"年月",M$13,"事業所",$A$462)),#N/A)</f>
        <v>#N/A</v>
      </c>
      <c r="N471" s="486" t="e">
        <f>IFERROR(IF(GETPIVOTDATA("合計 / " &amp; $B471,【ピボット】事業所収支!$A$3,"年月",N$13,"事業所",$A$462)=0,#N/A,GETPIVOTDATA("合計 / " &amp; $B471,【ピボット】事業所収支!$A$3,"年月",N$13,"事業所",$A$462)),#N/A)</f>
        <v>#N/A</v>
      </c>
      <c r="O471" s="486" t="e">
        <f>IFERROR(IF(GETPIVOTDATA("合計 / " &amp; $B471,【ピボット】事業所収支!$A$3,"年月",O$13,"事業所",$A$462)=0,#N/A,GETPIVOTDATA("合計 / " &amp; $B471,【ピボット】事業所収支!$A$3,"年月",O$13,"事業所",$A$462)),#N/A)</f>
        <v>#N/A</v>
      </c>
      <c r="P471" s="486" t="e">
        <f>IFERROR(IF(GETPIVOTDATA("合計 / " &amp; $B471,【ピボット】事業所収支!$A$3,"年月",P$13,"事業所",$A$462)=0,#N/A,GETPIVOTDATA("合計 / " &amp; $B471,【ピボット】事業所収支!$A$3,"年月",P$13,"事業所",$A$462)),#N/A)</f>
        <v>#N/A</v>
      </c>
      <c r="Q471" s="486" t="e">
        <f>IFERROR(IF(GETPIVOTDATA("合計 / " &amp; $B471,【ピボット】事業所収支!$A$3,"年月",Q$13,"事業所",$A$462)=0,#N/A,GETPIVOTDATA("合計 / " &amp; $B471,【ピボット】事業所収支!$A$3,"年月",Q$13,"事業所",$A$462)),#N/A)</f>
        <v>#N/A</v>
      </c>
      <c r="R471" s="486" t="e">
        <f>IFERROR(IF(GETPIVOTDATA("合計 / " &amp; $B471,【ピボット】事業所収支!$A$3,"年月",R$13,"事業所",$A$462)=0,#N/A,GETPIVOTDATA("合計 / " &amp; $B471,【ピボット】事業所収支!$A$3,"年月",R$13,"事業所",$A$462)),#N/A)</f>
        <v>#N/A</v>
      </c>
      <c r="S471" s="486" t="e">
        <f>IFERROR(IF(GETPIVOTDATA("合計 / " &amp; $B471,【ピボット】事業所収支!$A$3,"年月",S$13,"事業所",$A$462)=0,#N/A,GETPIVOTDATA("合計 / " &amp; $B471,【ピボット】事業所収支!$A$3,"年月",S$13,"事業所",$A$462)),#N/A)</f>
        <v>#N/A</v>
      </c>
      <c r="T471" s="486" t="e">
        <f>IFERROR(IF(GETPIVOTDATA("合計 / " &amp; $B471,【ピボット】事業所収支!$A$3,"年月",T$13,"事業所",$A$462)=0,#N/A,GETPIVOTDATA("合計 / " &amp; $B471,【ピボット】事業所収支!$A$3,"年月",T$13,"事業所",$A$462)),#N/A)</f>
        <v>#N/A</v>
      </c>
      <c r="U471" s="486" t="e">
        <f>IFERROR(IF(GETPIVOTDATA("合計 / " &amp; $B471,【ピボット】事業所収支!$A$3,"年月",U$13,"事業所",$A$462)=0,#N/A,GETPIVOTDATA("合計 / " &amp; $B471,【ピボット】事業所収支!$A$3,"年月",U$13,"事業所",$A$462)),#N/A)</f>
        <v>#N/A</v>
      </c>
      <c r="V471" s="486" t="e">
        <f>IFERROR(IF(GETPIVOTDATA("合計 / " &amp; $B471,【ピボット】事業所収支!$A$3,"年月",V$13,"事業所",$A$462)=0,#N/A,GETPIVOTDATA("合計 / " &amp; $B471,【ピボット】事業所収支!$A$3,"年月",V$13,"事業所",$A$462)),#N/A)</f>
        <v>#N/A</v>
      </c>
      <c r="W471" s="486" t="e">
        <f>IFERROR(IF(GETPIVOTDATA("合計 / " &amp; $B471,【ピボット】事業所収支!$A$3,"年月",W$13,"事業所",$A$462)=0,#N/A,GETPIVOTDATA("合計 / " &amp; $B471,【ピボット】事業所収支!$A$3,"年月",W$13,"事業所",$A$462)),#N/A)</f>
        <v>#N/A</v>
      </c>
      <c r="X471" s="486">
        <f>IFERROR(IF(GETPIVOTDATA("合計 / " &amp; $B471,【ピボット】事業所収支!$A$3,"年月",X$13,"事業所",$A$462)=0,#N/A,GETPIVOTDATA("合計 / " &amp; $B471,【ピボット】事業所収支!$A$3,"年月",X$13,"事業所",$A$462)),#N/A)</f>
        <v>379400</v>
      </c>
      <c r="Y471" s="486">
        <f>IFERROR(IF(GETPIVOTDATA("合計 / " &amp; $B471,【ピボット】事業所収支!$A$3,"年月",Y$13,"事業所",$A$462)=0,#N/A,GETPIVOTDATA("合計 / " &amp; $B471,【ピボット】事業所収支!$A$3,"年月",Y$13,"事業所",$A$462)),#N/A)</f>
        <v>509200</v>
      </c>
      <c r="Z471" s="486">
        <f>IFERROR(IF(GETPIVOTDATA("合計 / " &amp; $B471,【ピボット】事業所収支!$A$3,"年月",Z$13,"事業所",$A$462)=0,#N/A,GETPIVOTDATA("合計 / " &amp; $B471,【ピボット】事業所収支!$A$3,"年月",Z$13,"事業所",$A$462)),#N/A)</f>
        <v>418350</v>
      </c>
      <c r="AA471" s="4"/>
    </row>
    <row r="472" spans="2:27" ht="14.25" hidden="1" customHeight="1" outlineLevel="1" x14ac:dyDescent="0.15">
      <c r="B472" s="48" t="s">
        <v>30</v>
      </c>
      <c r="C472" s="487" t="e">
        <f>IFERROR(IF(GETPIVOTDATA("合計 / " &amp; $B472 &amp;"計",【ピボット】事業所収支!$A$3,"年月",C$13,"事業所",$A$462)=0,#N/A,GETPIVOTDATA("合計 / " &amp; $B472 &amp;"計",【ピボット】事業所収支!$A$3,"年月",C$13,"事業所",$A$462)),#N/A)</f>
        <v>#N/A</v>
      </c>
      <c r="D472" s="487" t="e">
        <f>IFERROR(IF(GETPIVOTDATA("合計 / " &amp; $B472 &amp;"計",【ピボット】事業所収支!$A$3,"年月",D$13,"事業所",$A$462)=0,#N/A,GETPIVOTDATA("合計 / " &amp; $B472 &amp;"計",【ピボット】事業所収支!$A$3,"年月",D$13,"事業所",$A$462)),#N/A)</f>
        <v>#N/A</v>
      </c>
      <c r="E472" s="487" t="e">
        <f>IFERROR(IF(GETPIVOTDATA("合計 / " &amp; $B472 &amp;"計",【ピボット】事業所収支!$A$3,"年月",E$13,"事業所",$A$462)=0,#N/A,GETPIVOTDATA("合計 / " &amp; $B472 &amp;"計",【ピボット】事業所収支!$A$3,"年月",E$13,"事業所",$A$462)),#N/A)</f>
        <v>#N/A</v>
      </c>
      <c r="F472" s="487" t="e">
        <f>IFERROR(IF(GETPIVOTDATA("合計 / " &amp; $B472 &amp;"計",【ピボット】事業所収支!$A$3,"年月",F$13,"事業所",$A$462)=0,#N/A,GETPIVOTDATA("合計 / " &amp; $B472 &amp;"計",【ピボット】事業所収支!$A$3,"年月",F$13,"事業所",$A$462)),#N/A)</f>
        <v>#N/A</v>
      </c>
      <c r="G472" s="487" t="e">
        <f>IFERROR(IF(GETPIVOTDATA("合計 / " &amp; $B472 &amp;"計",【ピボット】事業所収支!$A$3,"年月",G$13,"事業所",$A$462)=0,#N/A,GETPIVOTDATA("合計 / " &amp; $B472 &amp;"計",【ピボット】事業所収支!$A$3,"年月",G$13,"事業所",$A$462)),#N/A)</f>
        <v>#N/A</v>
      </c>
      <c r="H472" s="487" t="e">
        <f>IFERROR(IF(GETPIVOTDATA("合計 / " &amp; $B472 &amp;"計",【ピボット】事業所収支!$A$3,"年月",H$13,"事業所",$A$462)=0,#N/A,GETPIVOTDATA("合計 / " &amp; $B472 &amp;"計",【ピボット】事業所収支!$A$3,"年月",H$13,"事業所",$A$462)),#N/A)</f>
        <v>#N/A</v>
      </c>
      <c r="I472" s="487" t="e">
        <f>IFERROR(IF(GETPIVOTDATA("合計 / " &amp; $B472 &amp;"計",【ピボット】事業所収支!$A$3,"年月",I$13,"事業所",$A$462)=0,#N/A,GETPIVOTDATA("合計 / " &amp; $B472 &amp;"計",【ピボット】事業所収支!$A$3,"年月",I$13,"事業所",$A$462)),#N/A)</f>
        <v>#N/A</v>
      </c>
      <c r="J472" s="487" t="e">
        <f>IFERROR(IF(GETPIVOTDATA("合計 / " &amp; $B472 &amp;"計",【ピボット】事業所収支!$A$3,"年月",J$13,"事業所",$A$462)=0,#N/A,GETPIVOTDATA("合計 / " &amp; $B472 &amp;"計",【ピボット】事業所収支!$A$3,"年月",J$13,"事業所",$A$462)),#N/A)</f>
        <v>#N/A</v>
      </c>
      <c r="K472" s="487" t="e">
        <f>IFERROR(IF(GETPIVOTDATA("合計 / " &amp; $B472 &amp;"計",【ピボット】事業所収支!$A$3,"年月",K$13,"事業所",$A$462)=0,#N/A,GETPIVOTDATA("合計 / " &amp; $B472 &amp;"計",【ピボット】事業所収支!$A$3,"年月",K$13,"事業所",$A$462)),#N/A)</f>
        <v>#N/A</v>
      </c>
      <c r="L472" s="487" t="e">
        <f>IFERROR(IF(GETPIVOTDATA("合計 / " &amp; $B472 &amp;"計",【ピボット】事業所収支!$A$3,"年月",L$13,"事業所",$A$462)=0,#N/A,GETPIVOTDATA("合計 / " &amp; $B472 &amp;"計",【ピボット】事業所収支!$A$3,"年月",L$13,"事業所",$A$462)),#N/A)</f>
        <v>#N/A</v>
      </c>
      <c r="M472" s="487" t="e">
        <f>IFERROR(IF(GETPIVOTDATA("合計 / " &amp; $B472 &amp;"計",【ピボット】事業所収支!$A$3,"年月",M$13,"事業所",$A$462)=0,#N/A,GETPIVOTDATA("合計 / " &amp; $B472 &amp;"計",【ピボット】事業所収支!$A$3,"年月",M$13,"事業所",$A$462)),#N/A)</f>
        <v>#N/A</v>
      </c>
      <c r="N472" s="487" t="e">
        <f>IFERROR(IF(GETPIVOTDATA("合計 / " &amp; $B472 &amp;"計",【ピボット】事業所収支!$A$3,"年月",N$13,"事業所",$A$462)=0,#N/A,GETPIVOTDATA("合計 / " &amp; $B472 &amp;"計",【ピボット】事業所収支!$A$3,"年月",N$13,"事業所",$A$462)),#N/A)</f>
        <v>#N/A</v>
      </c>
      <c r="O472" s="487" t="e">
        <f>IFERROR(IF(GETPIVOTDATA("合計 / " &amp; $B472 &amp;"計",【ピボット】事業所収支!$A$3,"年月",O$13,"事業所",$A$462)=0,#N/A,GETPIVOTDATA("合計 / " &amp; $B472 &amp;"計",【ピボット】事業所収支!$A$3,"年月",O$13,"事業所",$A$462)),#N/A)</f>
        <v>#N/A</v>
      </c>
      <c r="P472" s="487" t="e">
        <f>IFERROR(IF(GETPIVOTDATA("合計 / " &amp; $B472 &amp;"計",【ピボット】事業所収支!$A$3,"年月",P$13,"事業所",$A$462)=0,#N/A,GETPIVOTDATA("合計 / " &amp; $B472 &amp;"計",【ピボット】事業所収支!$A$3,"年月",P$13,"事業所",$A$462)),#N/A)</f>
        <v>#N/A</v>
      </c>
      <c r="Q472" s="487" t="e">
        <f>IFERROR(IF(GETPIVOTDATA("合計 / " &amp; $B472 &amp;"計",【ピボット】事業所収支!$A$3,"年月",Q$13,"事業所",$A$462)=0,#N/A,GETPIVOTDATA("合計 / " &amp; $B472 &amp;"計",【ピボット】事業所収支!$A$3,"年月",Q$13,"事業所",$A$462)),#N/A)</f>
        <v>#N/A</v>
      </c>
      <c r="R472" s="487" t="e">
        <f>IFERROR(IF(GETPIVOTDATA("合計 / " &amp; $B472 &amp;"計",【ピボット】事業所収支!$A$3,"年月",R$13,"事業所",$A$462)=0,#N/A,GETPIVOTDATA("合計 / " &amp; $B472 &amp;"計",【ピボット】事業所収支!$A$3,"年月",R$13,"事業所",$A$462)),#N/A)</f>
        <v>#N/A</v>
      </c>
      <c r="S472" s="487">
        <f>IFERROR(IF(GETPIVOTDATA("合計 / " &amp; $B472 &amp;"計",【ピボット】事業所収支!$A$3,"年月",S$13,"事業所",$A$462)=0,#N/A,GETPIVOTDATA("合計 / " &amp; $B472 &amp;"計",【ピボット】事業所収支!$A$3,"年月",S$13,"事業所",$A$462)),#N/A)</f>
        <v>30864</v>
      </c>
      <c r="T472" s="487" t="e">
        <f>IFERROR(IF(GETPIVOTDATA("合計 / " &amp; $B472 &amp;"計",【ピボット】事業所収支!$A$3,"年月",T$13,"事業所",$A$462)=0,#N/A,GETPIVOTDATA("合計 / " &amp; $B472 &amp;"計",【ピボット】事業所収支!$A$3,"年月",T$13,"事業所",$A$462)),#N/A)</f>
        <v>#N/A</v>
      </c>
      <c r="U472" s="487">
        <f>IFERROR(IF(GETPIVOTDATA("合計 / " &amp; $B472 &amp;"計",【ピボット】事業所収支!$A$3,"年月",U$13,"事業所",$A$462)=0,#N/A,GETPIVOTDATA("合計 / " &amp; $B472 &amp;"計",【ピボット】事業所収支!$A$3,"年月",U$13,"事業所",$A$462)),#N/A)</f>
        <v>17066</v>
      </c>
      <c r="V472" s="487">
        <f>IFERROR(IF(GETPIVOTDATA("合計 / " &amp; $B472 &amp;"計",【ピボット】事業所収支!$A$3,"年月",V$13,"事業所",$A$462)=0,#N/A,GETPIVOTDATA("合計 / " &amp; $B472 &amp;"計",【ピボット】事業所収支!$A$3,"年月",V$13,"事業所",$A$462)),#N/A)</f>
        <v>18008</v>
      </c>
      <c r="W472" s="487">
        <f>IFERROR(IF(GETPIVOTDATA("合計 / " &amp; $B472 &amp;"計",【ピボット】事業所収支!$A$3,"年月",W$13,"事業所",$A$462)=0,#N/A,GETPIVOTDATA("合計 / " &amp; $B472 &amp;"計",【ピボット】事業所収支!$A$3,"年月",W$13,"事業所",$A$462)),#N/A)</f>
        <v>185160</v>
      </c>
      <c r="X472" s="487">
        <f>IFERROR(IF(GETPIVOTDATA("合計 / " &amp; $B472 &amp;"計",【ピボット】事業所収支!$A$3,"年月",X$13,"事業所",$A$462)=0,#N/A,GETPIVOTDATA("合計 / " &amp; $B472 &amp;"計",【ピボット】事業所収支!$A$3,"年月",X$13,"事業所",$A$462)),#N/A)</f>
        <v>188283</v>
      </c>
      <c r="Y472" s="487">
        <f>IFERROR(IF(GETPIVOTDATA("合計 / " &amp; $B472 &amp;"計",【ピボット】事業所収支!$A$3,"年月",Y$13,"事業所",$A$462)=0,#N/A,GETPIVOTDATA("合計 / " &amp; $B472 &amp;"計",【ピボット】事業所収支!$A$3,"年月",Y$13,"事業所",$A$462)),#N/A)</f>
        <v>133407</v>
      </c>
      <c r="Z472" s="487">
        <f>IFERROR(IF(GETPIVOTDATA("合計 / " &amp; $B472 &amp;"計",【ピボット】事業所収支!$A$3,"年月",Z$13,"事業所",$A$462)=0,#N/A,GETPIVOTDATA("合計 / " &amp; $B472 &amp;"計",【ピボット】事業所収支!$A$3,"年月",Z$13,"事業所",$A$462)),#N/A)</f>
        <v>153096</v>
      </c>
      <c r="AA472" s="4"/>
    </row>
    <row r="473" spans="2:27" ht="14.25" hidden="1" customHeight="1" outlineLevel="1" x14ac:dyDescent="0.15">
      <c r="B473" s="48" t="s">
        <v>52</v>
      </c>
      <c r="C473" s="487" t="e">
        <f>#REF!</f>
        <v>#REF!</v>
      </c>
      <c r="D473" s="487" t="e">
        <f>#REF!</f>
        <v>#REF!</v>
      </c>
      <c r="E473" s="487" t="e">
        <f>#REF!</f>
        <v>#REF!</v>
      </c>
      <c r="F473" s="487" t="e">
        <f>#REF!</f>
        <v>#REF!</v>
      </c>
      <c r="G473" s="487" t="e">
        <f>#REF!</f>
        <v>#REF!</v>
      </c>
      <c r="H473" s="487" t="e">
        <f>#REF!</f>
        <v>#REF!</v>
      </c>
      <c r="I473" s="487" t="e">
        <f>#REF!</f>
        <v>#REF!</v>
      </c>
      <c r="J473" s="487" t="e">
        <f>#REF!</f>
        <v>#REF!</v>
      </c>
      <c r="K473" s="487" t="e">
        <f>#REF!</f>
        <v>#REF!</v>
      </c>
      <c r="L473" s="487" t="e">
        <f>#REF!</f>
        <v>#REF!</v>
      </c>
      <c r="M473" s="487" t="e">
        <f>#REF!</f>
        <v>#REF!</v>
      </c>
      <c r="N473" s="487" t="e">
        <f>#REF!</f>
        <v>#REF!</v>
      </c>
      <c r="O473" s="487" t="e">
        <f>#REF!</f>
        <v>#REF!</v>
      </c>
      <c r="P473" s="487" t="e">
        <f>#REF!</f>
        <v>#REF!</v>
      </c>
      <c r="Q473" s="487" t="e">
        <f>#REF!</f>
        <v>#REF!</v>
      </c>
      <c r="R473" s="487" t="e">
        <f>#REF!</f>
        <v>#REF!</v>
      </c>
      <c r="S473" s="487" t="e">
        <f>#REF!</f>
        <v>#REF!</v>
      </c>
      <c r="T473" s="487" t="e">
        <f>#REF!</f>
        <v>#REF!</v>
      </c>
      <c r="U473" s="487" t="e">
        <f>#REF!</f>
        <v>#REF!</v>
      </c>
      <c r="V473" s="487" t="e">
        <f>#REF!</f>
        <v>#REF!</v>
      </c>
      <c r="W473" s="487" t="e">
        <f>#REF!</f>
        <v>#REF!</v>
      </c>
      <c r="X473" s="487" t="e">
        <f>#REF!</f>
        <v>#REF!</v>
      </c>
      <c r="Y473" s="487" t="e">
        <f>#REF!</f>
        <v>#REF!</v>
      </c>
      <c r="Z473" s="487" t="e">
        <f>#REF!</f>
        <v>#REF!</v>
      </c>
      <c r="AA473" s="4"/>
    </row>
    <row r="474" spans="2:27" ht="14.25" hidden="1" customHeight="1" outlineLevel="1" x14ac:dyDescent="0.15">
      <c r="B474" s="1683" t="s">
        <v>53</v>
      </c>
      <c r="C474" s="483">
        <f t="shared" ref="C474:Z474" si="38">IFERROR(C471,0)+IFERROR(C472,0)</f>
        <v>0</v>
      </c>
      <c r="D474" s="483">
        <f t="shared" si="38"/>
        <v>0</v>
      </c>
      <c r="E474" s="483">
        <f t="shared" si="38"/>
        <v>0</v>
      </c>
      <c r="F474" s="483">
        <f t="shared" si="38"/>
        <v>0</v>
      </c>
      <c r="G474" s="483">
        <f t="shared" si="38"/>
        <v>0</v>
      </c>
      <c r="H474" s="483">
        <f t="shared" si="38"/>
        <v>0</v>
      </c>
      <c r="I474" s="483">
        <f t="shared" si="38"/>
        <v>0</v>
      </c>
      <c r="J474" s="483">
        <f t="shared" si="38"/>
        <v>0</v>
      </c>
      <c r="K474" s="483">
        <f t="shared" si="38"/>
        <v>0</v>
      </c>
      <c r="L474" s="483">
        <f t="shared" si="38"/>
        <v>0</v>
      </c>
      <c r="M474" s="483">
        <f t="shared" si="38"/>
        <v>0</v>
      </c>
      <c r="N474" s="483">
        <f t="shared" si="38"/>
        <v>0</v>
      </c>
      <c r="O474" s="483">
        <f t="shared" si="38"/>
        <v>0</v>
      </c>
      <c r="P474" s="483">
        <f t="shared" si="38"/>
        <v>0</v>
      </c>
      <c r="Q474" s="483">
        <f t="shared" si="38"/>
        <v>0</v>
      </c>
      <c r="R474" s="483">
        <f t="shared" si="38"/>
        <v>0</v>
      </c>
      <c r="S474" s="483">
        <f t="shared" si="38"/>
        <v>30864</v>
      </c>
      <c r="T474" s="483">
        <f t="shared" si="38"/>
        <v>0</v>
      </c>
      <c r="U474" s="483">
        <f t="shared" si="38"/>
        <v>17066</v>
      </c>
      <c r="V474" s="483">
        <f t="shared" si="38"/>
        <v>18008</v>
      </c>
      <c r="W474" s="483">
        <f t="shared" si="38"/>
        <v>185160</v>
      </c>
      <c r="X474" s="483">
        <f t="shared" si="38"/>
        <v>567683</v>
      </c>
      <c r="Y474" s="483">
        <f t="shared" si="38"/>
        <v>642607</v>
      </c>
      <c r="Z474" s="483">
        <f t="shared" si="38"/>
        <v>571446</v>
      </c>
    </row>
    <row r="475" spans="2:27" ht="14.25" hidden="1" customHeight="1" outlineLevel="1" x14ac:dyDescent="0.15">
      <c r="B475" s="309" t="s">
        <v>32</v>
      </c>
      <c r="C475" s="488">
        <f>IFERROR(SUM(C464,-C474),0)</f>
        <v>0</v>
      </c>
      <c r="D475" s="488">
        <f>IFERROR(SUM(D464,-D474),0)</f>
        <v>0</v>
      </c>
      <c r="E475" s="488">
        <f>IFERROR(SUM(E464,-E474),0)</f>
        <v>0</v>
      </c>
      <c r="F475" s="488">
        <f>IFERROR(SUM(F464,-F474),0)</f>
        <v>0</v>
      </c>
      <c r="G475" s="488">
        <f t="shared" ref="G475:Z475" si="39">IFERROR(SUM(G464,-G474),0)</f>
        <v>0</v>
      </c>
      <c r="H475" s="488">
        <f t="shared" si="39"/>
        <v>0</v>
      </c>
      <c r="I475" s="488">
        <f t="shared" si="39"/>
        <v>0</v>
      </c>
      <c r="J475" s="488">
        <f t="shared" si="39"/>
        <v>0</v>
      </c>
      <c r="K475" s="488">
        <f t="shared" si="39"/>
        <v>0</v>
      </c>
      <c r="L475" s="488">
        <f t="shared" si="39"/>
        <v>0</v>
      </c>
      <c r="M475" s="488">
        <f t="shared" si="39"/>
        <v>0</v>
      </c>
      <c r="N475" s="488">
        <f t="shared" si="39"/>
        <v>0</v>
      </c>
      <c r="O475" s="488">
        <f t="shared" si="39"/>
        <v>0</v>
      </c>
      <c r="P475" s="488">
        <f t="shared" si="39"/>
        <v>0</v>
      </c>
      <c r="Q475" s="488">
        <f t="shared" si="39"/>
        <v>0</v>
      </c>
      <c r="R475" s="488">
        <f t="shared" si="39"/>
        <v>0</v>
      </c>
      <c r="S475" s="488">
        <f t="shared" si="39"/>
        <v>0</v>
      </c>
      <c r="T475" s="488">
        <f t="shared" si="39"/>
        <v>0</v>
      </c>
      <c r="U475" s="488">
        <f t="shared" si="39"/>
        <v>-1066</v>
      </c>
      <c r="V475" s="488">
        <f t="shared" si="39"/>
        <v>21992</v>
      </c>
      <c r="W475" s="488">
        <f t="shared" si="39"/>
        <v>-145160</v>
      </c>
      <c r="X475" s="488">
        <f t="shared" si="39"/>
        <v>908505</v>
      </c>
      <c r="Y475" s="488">
        <f t="shared" si="39"/>
        <v>1132524</v>
      </c>
      <c r="Z475" s="488">
        <f t="shared" si="39"/>
        <v>1505886</v>
      </c>
      <c r="AA475" s="4">
        <f>SUM(O475:Z475)</f>
        <v>3422681</v>
      </c>
    </row>
    <row r="476" spans="2:27" ht="14.25" hidden="1" customHeight="1" outlineLevel="1" x14ac:dyDescent="0.15">
      <c r="B476" s="309"/>
      <c r="C476" s="488"/>
      <c r="D476" s="488"/>
      <c r="E476" s="488"/>
      <c r="F476" s="488"/>
      <c r="G476" s="488"/>
      <c r="H476" s="488"/>
      <c r="I476" s="488"/>
      <c r="J476" s="488"/>
      <c r="K476" s="488"/>
      <c r="L476" s="488"/>
      <c r="M476" s="488"/>
      <c r="N476" s="488"/>
      <c r="O476" s="488"/>
      <c r="P476" s="488"/>
      <c r="Q476" s="488"/>
      <c r="R476" s="488"/>
      <c r="S476" s="488"/>
      <c r="T476" s="488"/>
      <c r="U476" s="488"/>
      <c r="V476" s="488"/>
      <c r="W476" s="488"/>
      <c r="X476" s="488"/>
      <c r="Y476" s="488"/>
      <c r="Z476" s="488"/>
      <c r="AA476" s="4"/>
    </row>
    <row r="477" spans="2:27" ht="14.25" hidden="1" customHeight="1" outlineLevel="1" x14ac:dyDescent="0.15">
      <c r="B477" s="309"/>
    </row>
    <row r="478" spans="2:27" ht="14.25" hidden="1" customHeight="1" outlineLevel="1" x14ac:dyDescent="0.15"/>
    <row r="479" spans="2:27" ht="14.25" hidden="1" customHeight="1" outlineLevel="1" x14ac:dyDescent="0.15"/>
    <row r="480" spans="2:27" ht="14.25" hidden="1" customHeight="1" outlineLevel="1" x14ac:dyDescent="0.15">
      <c r="C480" s="489"/>
      <c r="D480" s="489"/>
      <c r="E480" s="489"/>
      <c r="F480" s="489"/>
      <c r="G480" s="489"/>
      <c r="H480" s="489"/>
      <c r="I480" s="489"/>
      <c r="J480" s="489"/>
      <c r="K480" s="489"/>
      <c r="L480" s="489"/>
      <c r="M480" s="489"/>
      <c r="N480" s="489"/>
      <c r="O480" s="489"/>
      <c r="P480" s="489"/>
      <c r="Q480" s="489"/>
      <c r="R480" s="489"/>
      <c r="S480" s="489"/>
      <c r="T480" s="489"/>
      <c r="U480" s="489"/>
      <c r="V480" s="489"/>
      <c r="W480" s="489"/>
      <c r="X480" s="489"/>
      <c r="Y480" s="489"/>
      <c r="Z480" s="489"/>
    </row>
    <row r="481" spans="3:26" ht="14.25" hidden="1" customHeight="1" outlineLevel="1" x14ac:dyDescent="0.15">
      <c r="C481" s="489"/>
      <c r="D481" s="489"/>
      <c r="E481" s="489"/>
      <c r="F481" s="489"/>
      <c r="G481" s="489"/>
      <c r="H481" s="489"/>
      <c r="I481" s="489"/>
      <c r="J481" s="489"/>
      <c r="K481" s="489"/>
      <c r="L481" s="489"/>
      <c r="M481" s="489"/>
      <c r="N481" s="489"/>
      <c r="O481" s="489"/>
      <c r="P481" s="489"/>
      <c r="Q481" s="489"/>
      <c r="R481" s="489"/>
      <c r="S481" s="489"/>
      <c r="T481" s="489"/>
      <c r="U481" s="489"/>
      <c r="V481" s="489"/>
      <c r="W481" s="489"/>
      <c r="X481" s="489"/>
      <c r="Y481" s="489"/>
      <c r="Z481" s="489"/>
    </row>
    <row r="482" spans="3:26" ht="14.25" hidden="1" customHeight="1" outlineLevel="1" x14ac:dyDescent="0.15">
      <c r="C482" s="489"/>
      <c r="D482" s="489"/>
      <c r="E482" s="489"/>
      <c r="F482" s="489"/>
      <c r="G482" s="489"/>
      <c r="H482" s="489"/>
      <c r="I482" s="489"/>
      <c r="J482" s="489"/>
      <c r="K482" s="489"/>
      <c r="L482" s="489"/>
      <c r="M482" s="489"/>
      <c r="N482" s="489"/>
      <c r="O482" s="489"/>
      <c r="P482" s="489"/>
      <c r="Q482" s="489"/>
      <c r="R482" s="489"/>
      <c r="S482" s="489"/>
      <c r="T482" s="489"/>
      <c r="U482" s="489"/>
      <c r="V482" s="489"/>
      <c r="W482" s="489"/>
      <c r="X482" s="489"/>
      <c r="Y482" s="489"/>
      <c r="Z482" s="489"/>
    </row>
    <row r="483" spans="3:26" ht="14.25" hidden="1" customHeight="1" outlineLevel="1" x14ac:dyDescent="0.15">
      <c r="C483" s="489"/>
      <c r="D483" s="489"/>
      <c r="E483" s="489"/>
      <c r="F483" s="489"/>
      <c r="G483" s="489"/>
      <c r="H483" s="489"/>
      <c r="I483" s="489"/>
      <c r="J483" s="489"/>
      <c r="K483" s="489"/>
      <c r="L483" s="489"/>
      <c r="M483" s="489"/>
      <c r="N483" s="489"/>
      <c r="O483" s="489"/>
      <c r="P483" s="489"/>
      <c r="Q483" s="489"/>
      <c r="R483" s="489"/>
      <c r="S483" s="489"/>
      <c r="T483" s="489"/>
      <c r="U483" s="489"/>
      <c r="V483" s="489"/>
      <c r="W483" s="489"/>
      <c r="X483" s="489"/>
      <c r="Y483" s="489"/>
      <c r="Z483" s="489"/>
    </row>
    <row r="484" spans="3:26" ht="14.25" hidden="1" customHeight="1" outlineLevel="1" x14ac:dyDescent="0.15">
      <c r="C484" s="489"/>
      <c r="D484" s="489"/>
      <c r="E484" s="489"/>
      <c r="F484" s="489"/>
      <c r="G484" s="489"/>
      <c r="H484" s="489"/>
      <c r="I484" s="489"/>
      <c r="J484" s="489"/>
      <c r="K484" s="489"/>
      <c r="L484" s="489"/>
      <c r="M484" s="489"/>
      <c r="N484" s="489"/>
      <c r="O484" s="489"/>
      <c r="P484" s="489"/>
      <c r="Q484" s="489"/>
      <c r="R484" s="489"/>
      <c r="S484" s="489"/>
      <c r="T484" s="489"/>
      <c r="U484" s="489"/>
      <c r="V484" s="489"/>
      <c r="W484" s="489"/>
      <c r="X484" s="489"/>
      <c r="Y484" s="489"/>
      <c r="Z484" s="489"/>
    </row>
    <row r="485" spans="3:26" ht="14.25" hidden="1" customHeight="1" outlineLevel="1" x14ac:dyDescent="0.15">
      <c r="C485" s="489"/>
      <c r="D485" s="489"/>
      <c r="E485" s="489"/>
      <c r="F485" s="489"/>
      <c r="G485" s="489"/>
      <c r="H485" s="489"/>
      <c r="I485" s="489"/>
      <c r="J485" s="489"/>
      <c r="K485" s="489"/>
      <c r="L485" s="489"/>
      <c r="M485" s="489"/>
      <c r="N485" s="489"/>
      <c r="O485" s="489"/>
      <c r="P485" s="489"/>
      <c r="Q485" s="489"/>
      <c r="R485" s="489"/>
      <c r="S485" s="489"/>
      <c r="T485" s="489"/>
      <c r="U485" s="489"/>
      <c r="V485" s="489"/>
      <c r="W485" s="489"/>
      <c r="X485" s="489"/>
      <c r="Y485" s="489"/>
      <c r="Z485" s="489"/>
    </row>
    <row r="486" spans="3:26" ht="14.25" hidden="1" customHeight="1" outlineLevel="1" x14ac:dyDescent="0.15">
      <c r="C486" s="489"/>
      <c r="D486" s="489"/>
      <c r="E486" s="489"/>
      <c r="F486" s="489"/>
      <c r="G486" s="489"/>
      <c r="H486" s="489"/>
      <c r="I486" s="489"/>
      <c r="J486" s="489"/>
      <c r="K486" s="489"/>
      <c r="L486" s="489"/>
      <c r="M486" s="489"/>
      <c r="N486" s="489"/>
      <c r="O486" s="489"/>
      <c r="P486" s="489"/>
      <c r="Q486" s="489"/>
      <c r="R486" s="489"/>
      <c r="S486" s="489"/>
      <c r="T486" s="489"/>
      <c r="U486" s="489"/>
      <c r="V486" s="489"/>
      <c r="W486" s="489"/>
      <c r="X486" s="489"/>
      <c r="Y486" s="489"/>
      <c r="Z486" s="489"/>
    </row>
    <row r="487" spans="3:26" ht="14.25" hidden="1" customHeight="1" outlineLevel="1" x14ac:dyDescent="0.15">
      <c r="C487" s="493"/>
      <c r="D487" s="493"/>
      <c r="E487" s="493"/>
      <c r="F487" s="493"/>
      <c r="G487" s="493"/>
      <c r="H487" s="493"/>
      <c r="I487" s="493"/>
      <c r="J487" s="493"/>
      <c r="K487" s="493"/>
      <c r="L487" s="493"/>
      <c r="M487" s="493"/>
      <c r="N487" s="493"/>
      <c r="O487" s="493"/>
      <c r="P487" s="493"/>
      <c r="Q487" s="493"/>
      <c r="R487" s="493"/>
      <c r="S487" s="493"/>
      <c r="T487" s="493"/>
      <c r="U487" s="493"/>
      <c r="V487" s="493"/>
      <c r="W487" s="493"/>
      <c r="X487" s="493"/>
      <c r="Y487" s="493"/>
      <c r="Z487" s="493"/>
    </row>
    <row r="488" spans="3:26" ht="14.25" hidden="1" customHeight="1" outlineLevel="1" x14ac:dyDescent="0.15">
      <c r="C488" s="489"/>
      <c r="D488" s="489"/>
      <c r="E488" s="489"/>
      <c r="F488" s="489"/>
      <c r="G488" s="489"/>
      <c r="H488" s="489"/>
      <c r="I488" s="489"/>
      <c r="J488" s="489"/>
      <c r="K488" s="489"/>
      <c r="L488" s="489"/>
      <c r="M488" s="489"/>
      <c r="N488" s="489"/>
      <c r="O488" s="489"/>
      <c r="P488" s="489"/>
      <c r="Q488" s="489"/>
      <c r="R488" s="489"/>
      <c r="S488" s="489"/>
      <c r="T488" s="489"/>
      <c r="U488" s="489"/>
      <c r="V488" s="489"/>
      <c r="W488" s="489"/>
      <c r="X488" s="489"/>
      <c r="Y488" s="489"/>
      <c r="Z488" s="489"/>
    </row>
    <row r="489" spans="3:26" ht="14.25" hidden="1" customHeight="1" outlineLevel="1" x14ac:dyDescent="0.15"/>
    <row r="490" spans="3:26" ht="14.25" hidden="1" customHeight="1" outlineLevel="1" x14ac:dyDescent="0.15"/>
    <row r="491" spans="3:26" ht="14.25" hidden="1" customHeight="1" outlineLevel="1" x14ac:dyDescent="0.15"/>
    <row r="492" spans="3:26" ht="14.25" hidden="1" customHeight="1" outlineLevel="1" x14ac:dyDescent="0.15"/>
    <row r="493" spans="3:26" ht="14.25" hidden="1" customHeight="1" outlineLevel="1" x14ac:dyDescent="0.15"/>
    <row r="494" spans="3:26" ht="14.25" hidden="1" customHeight="1" outlineLevel="1" x14ac:dyDescent="0.15"/>
    <row r="495" spans="3:26" ht="14.25" hidden="1" customHeight="1" outlineLevel="1" x14ac:dyDescent="0.15"/>
    <row r="496" spans="3:26" ht="14.25" hidden="1" customHeight="1" outlineLevel="1" x14ac:dyDescent="0.15"/>
    <row r="497" spans="2:27" ht="14.25" hidden="1" customHeight="1" outlineLevel="1" x14ac:dyDescent="0.15"/>
    <row r="498" spans="2:27" ht="14.25" hidden="1" customHeight="1" outlineLevel="1" x14ac:dyDescent="0.15"/>
    <row r="499" spans="2:27" ht="14.25" hidden="1" customHeight="1" outlineLevel="1" x14ac:dyDescent="0.15"/>
    <row r="500" spans="2:27" ht="14.25" hidden="1" customHeight="1" outlineLevel="1" x14ac:dyDescent="0.15"/>
    <row r="501" spans="2:27" ht="14.25" hidden="1" customHeight="1" outlineLevel="1" x14ac:dyDescent="0.15"/>
    <row r="502" spans="2:27" ht="14.25" hidden="1" customHeight="1" outlineLevel="1" x14ac:dyDescent="0.15"/>
    <row r="503" spans="2:27" ht="18.75" collapsed="1" x14ac:dyDescent="0.15">
      <c r="B503" s="43" t="s">
        <v>1221</v>
      </c>
    </row>
    <row r="504" spans="2:27" x14ac:dyDescent="0.15">
      <c r="B504" s="10"/>
      <c r="C504" s="668">
        <f t="shared" ref="C504:Z504" si="40">C$13</f>
        <v>42856</v>
      </c>
      <c r="D504" s="668">
        <f t="shared" si="40"/>
        <v>42887</v>
      </c>
      <c r="E504" s="668">
        <f t="shared" si="40"/>
        <v>42917</v>
      </c>
      <c r="F504" s="668">
        <f t="shared" si="40"/>
        <v>42948</v>
      </c>
      <c r="G504" s="668">
        <f t="shared" si="40"/>
        <v>42979</v>
      </c>
      <c r="H504" s="668">
        <f t="shared" si="40"/>
        <v>43009</v>
      </c>
      <c r="I504" s="668">
        <f t="shared" si="40"/>
        <v>43040</v>
      </c>
      <c r="J504" s="668">
        <f t="shared" si="40"/>
        <v>43070</v>
      </c>
      <c r="K504" s="668">
        <f t="shared" si="40"/>
        <v>43101</v>
      </c>
      <c r="L504" s="668">
        <f t="shared" si="40"/>
        <v>43132</v>
      </c>
      <c r="M504" s="668">
        <f t="shared" si="40"/>
        <v>43160</v>
      </c>
      <c r="N504" s="668">
        <f t="shared" si="40"/>
        <v>43191</v>
      </c>
      <c r="O504" s="668">
        <f t="shared" si="40"/>
        <v>43221</v>
      </c>
      <c r="P504" s="668">
        <f t="shared" si="40"/>
        <v>43252</v>
      </c>
      <c r="Q504" s="668">
        <f t="shared" si="40"/>
        <v>43282</v>
      </c>
      <c r="R504" s="668">
        <f t="shared" si="40"/>
        <v>43313</v>
      </c>
      <c r="S504" s="668">
        <f t="shared" si="40"/>
        <v>43344</v>
      </c>
      <c r="T504" s="668">
        <f t="shared" si="40"/>
        <v>43374</v>
      </c>
      <c r="U504" s="668">
        <f t="shared" si="40"/>
        <v>43405</v>
      </c>
      <c r="V504" s="668">
        <f t="shared" si="40"/>
        <v>43435</v>
      </c>
      <c r="W504" s="668">
        <f t="shared" si="40"/>
        <v>43466</v>
      </c>
      <c r="X504" s="668">
        <f t="shared" si="40"/>
        <v>43497</v>
      </c>
      <c r="Y504" s="668">
        <f t="shared" si="40"/>
        <v>43525</v>
      </c>
      <c r="Z504" s="668">
        <f t="shared" si="40"/>
        <v>43556</v>
      </c>
    </row>
    <row r="505" spans="2:27" x14ac:dyDescent="0.15">
      <c r="B505" s="12" t="s">
        <v>21</v>
      </c>
      <c r="C505" s="482">
        <f t="shared" ref="C505:C515" si="41">IF(IFERROR(C340,0)
+IFERROR(C381,0)
+IFERROR(C423,0)
+IFERROR(C464,0)=0,#N/A,
IFERROR(C340,0)
+IFERROR(C381,0)
+IFERROR(C423,0)
+IFERROR(C464,0))</f>
        <v>1527664</v>
      </c>
      <c r="D505" s="482">
        <f t="shared" ref="D505:Z515" si="42">IF(IFERROR(D340,0)
+IFERROR(D381,0)
+IFERROR(D423,0)
+IFERROR(D464,0)=0,#N/A,
IFERROR(D340,0)
+IFERROR(D381,0)
+IFERROR(D423,0)
+IFERROR(D464,0))</f>
        <v>6701834</v>
      </c>
      <c r="E505" s="482">
        <f t="shared" si="42"/>
        <v>4339886</v>
      </c>
      <c r="F505" s="482">
        <f t="shared" si="42"/>
        <v>4033052</v>
      </c>
      <c r="G505" s="482">
        <f t="shared" si="42"/>
        <v>4385088</v>
      </c>
      <c r="H505" s="482">
        <f t="shared" si="42"/>
        <v>5388486</v>
      </c>
      <c r="I505" s="482">
        <f t="shared" si="42"/>
        <v>4932061</v>
      </c>
      <c r="J505" s="482">
        <f t="shared" si="42"/>
        <v>4846209</v>
      </c>
      <c r="K505" s="482">
        <f t="shared" si="42"/>
        <v>4521767</v>
      </c>
      <c r="L505" s="482">
        <f t="shared" si="42"/>
        <v>4251654</v>
      </c>
      <c r="M505" s="482">
        <f t="shared" si="42"/>
        <v>4845757</v>
      </c>
      <c r="N505" s="482">
        <f t="shared" si="42"/>
        <v>4652452</v>
      </c>
      <c r="O505" s="482">
        <f t="shared" si="42"/>
        <v>6288634</v>
      </c>
      <c r="P505" s="482">
        <f t="shared" si="42"/>
        <v>4072029</v>
      </c>
      <c r="Q505" s="482">
        <f t="shared" si="42"/>
        <v>5223230</v>
      </c>
      <c r="R505" s="482">
        <f t="shared" si="42"/>
        <v>4262820</v>
      </c>
      <c r="S505" s="482">
        <f t="shared" si="42"/>
        <v>4499106</v>
      </c>
      <c r="T505" s="482">
        <f t="shared" si="42"/>
        <v>5027679</v>
      </c>
      <c r="U505" s="482">
        <f t="shared" si="42"/>
        <v>4965039</v>
      </c>
      <c r="V505" s="482">
        <f t="shared" si="42"/>
        <v>5126089</v>
      </c>
      <c r="W505" s="482">
        <f t="shared" si="42"/>
        <v>5611286</v>
      </c>
      <c r="X505" s="482">
        <f t="shared" si="42"/>
        <v>5636882</v>
      </c>
      <c r="Y505" s="482">
        <f t="shared" si="42"/>
        <v>5775875</v>
      </c>
      <c r="Z505" s="482">
        <f t="shared" si="42"/>
        <v>6783695</v>
      </c>
    </row>
    <row r="506" spans="2:27" x14ac:dyDescent="0.15">
      <c r="B506" s="7" t="s">
        <v>28</v>
      </c>
      <c r="C506" s="483">
        <f t="shared" si="41"/>
        <v>666863</v>
      </c>
      <c r="D506" s="483">
        <f t="shared" ref="D506:R506" si="43">IF(IFERROR(D341,0)
+IFERROR(D382,0)
+IFERROR(D424,0)
+IFERROR(D465,0)=0,#N/A,
IFERROR(D341,0)
+IFERROR(D382,0)
+IFERROR(D424,0)
+IFERROR(D465,0))</f>
        <v>1296604</v>
      </c>
      <c r="E506" s="483">
        <f t="shared" si="43"/>
        <v>1423858</v>
      </c>
      <c r="F506" s="483">
        <f t="shared" si="43"/>
        <v>1429188</v>
      </c>
      <c r="G506" s="483">
        <f t="shared" si="43"/>
        <v>1329317</v>
      </c>
      <c r="H506" s="483">
        <f t="shared" si="43"/>
        <v>1311689</v>
      </c>
      <c r="I506" s="483">
        <f t="shared" si="43"/>
        <v>1308012</v>
      </c>
      <c r="J506" s="483">
        <f t="shared" si="43"/>
        <v>1373413</v>
      </c>
      <c r="K506" s="483">
        <f t="shared" si="43"/>
        <v>1366075</v>
      </c>
      <c r="L506" s="483">
        <f t="shared" si="43"/>
        <v>1178518</v>
      </c>
      <c r="M506" s="483">
        <f t="shared" si="43"/>
        <v>1334586</v>
      </c>
      <c r="N506" s="483">
        <f t="shared" si="43"/>
        <v>1248903</v>
      </c>
      <c r="O506" s="483">
        <f t="shared" si="43"/>
        <v>1283763</v>
      </c>
      <c r="P506" s="483">
        <f t="shared" si="43"/>
        <v>1276608</v>
      </c>
      <c r="Q506" s="483">
        <f t="shared" si="43"/>
        <v>1268763</v>
      </c>
      <c r="R506" s="483">
        <f t="shared" si="43"/>
        <v>1307001</v>
      </c>
      <c r="S506" s="483">
        <f t="shared" si="42"/>
        <v>1305580</v>
      </c>
      <c r="T506" s="483">
        <f t="shared" si="42"/>
        <v>1277503</v>
      </c>
      <c r="U506" s="483">
        <f t="shared" si="42"/>
        <v>1081769</v>
      </c>
      <c r="V506" s="483">
        <f t="shared" si="42"/>
        <v>1213017</v>
      </c>
      <c r="W506" s="483">
        <f t="shared" si="42"/>
        <v>1241236</v>
      </c>
      <c r="X506" s="483">
        <f t="shared" si="42"/>
        <v>1247958</v>
      </c>
      <c r="Y506" s="483">
        <f t="shared" si="42"/>
        <v>1825603</v>
      </c>
      <c r="Z506" s="483">
        <f>IF(IFERROR(Z341,0)
+IFERROR(Z382,0)
+IFERROR(Z424,0)
+IFERROR(Z465,0)=0,#N/A,
IFERROR(Z341,0)
+IFERROR(Z382,0)
+IFERROR(Z424,0)
+IFERROR(Z465,0))</f>
        <v>1822990</v>
      </c>
      <c r="AA506" s="4"/>
    </row>
    <row r="507" spans="2:27" x14ac:dyDescent="0.15">
      <c r="B507" s="8" t="s">
        <v>27</v>
      </c>
      <c r="C507" s="483">
        <f t="shared" si="41"/>
        <v>100000</v>
      </c>
      <c r="D507" s="483">
        <f t="shared" si="42"/>
        <v>375000</v>
      </c>
      <c r="E507" s="483">
        <f t="shared" si="42"/>
        <v>236500</v>
      </c>
      <c r="F507" s="483">
        <f t="shared" si="42"/>
        <v>100000</v>
      </c>
      <c r="G507" s="483">
        <f t="shared" si="42"/>
        <v>100000</v>
      </c>
      <c r="H507" s="483">
        <f t="shared" si="42"/>
        <v>100000</v>
      </c>
      <c r="I507" s="483">
        <f t="shared" si="42"/>
        <v>100000</v>
      </c>
      <c r="J507" s="483">
        <f t="shared" si="42"/>
        <v>100000</v>
      </c>
      <c r="K507" s="483" t="e">
        <f t="shared" si="42"/>
        <v>#N/A</v>
      </c>
      <c r="L507" s="483" t="e">
        <f t="shared" si="42"/>
        <v>#N/A</v>
      </c>
      <c r="M507" s="483" t="e">
        <f t="shared" si="42"/>
        <v>#N/A</v>
      </c>
      <c r="N507" s="483" t="e">
        <f t="shared" si="42"/>
        <v>#N/A</v>
      </c>
      <c r="O507" s="483" t="e">
        <f t="shared" si="42"/>
        <v>#N/A</v>
      </c>
      <c r="P507" s="483" t="e">
        <f t="shared" si="42"/>
        <v>#N/A</v>
      </c>
      <c r="Q507" s="483" t="e">
        <f t="shared" si="42"/>
        <v>#N/A</v>
      </c>
      <c r="R507" s="483" t="e">
        <f t="shared" si="42"/>
        <v>#N/A</v>
      </c>
      <c r="S507" s="483" t="e">
        <f t="shared" si="42"/>
        <v>#N/A</v>
      </c>
      <c r="T507" s="483">
        <f t="shared" si="42"/>
        <v>334455</v>
      </c>
      <c r="U507" s="483">
        <f t="shared" si="42"/>
        <v>492994</v>
      </c>
      <c r="V507" s="483">
        <f t="shared" si="42"/>
        <v>515075</v>
      </c>
      <c r="W507" s="483">
        <f t="shared" si="42"/>
        <v>545872</v>
      </c>
      <c r="X507" s="483">
        <f t="shared" si="42"/>
        <v>647000</v>
      </c>
      <c r="Y507" s="483">
        <f t="shared" si="42"/>
        <v>648502</v>
      </c>
      <c r="Z507" s="483">
        <f>IF(IFERROR(Z342,0)
+IFERROR(Z383,0)
+IFERROR(Z425,0)
+IFERROR(Z466,0)=0,#N/A,
IFERROR(Z342,0)
+IFERROR(Z383,0)
+IFERROR(Z425,0)
+IFERROR(Z466,0))</f>
        <v>502460</v>
      </c>
      <c r="AA507" s="1"/>
    </row>
    <row r="508" spans="2:27" x14ac:dyDescent="0.15">
      <c r="B508" s="8" t="s">
        <v>60</v>
      </c>
      <c r="C508" s="483" t="e">
        <f t="shared" si="41"/>
        <v>#N/A</v>
      </c>
      <c r="D508" s="483" t="e">
        <f t="shared" si="42"/>
        <v>#N/A</v>
      </c>
      <c r="E508" s="483" t="e">
        <f t="shared" si="42"/>
        <v>#N/A</v>
      </c>
      <c r="F508" s="483" t="e">
        <f t="shared" si="42"/>
        <v>#N/A</v>
      </c>
      <c r="G508" s="483" t="e">
        <f t="shared" si="42"/>
        <v>#N/A</v>
      </c>
      <c r="H508" s="483" t="e">
        <f t="shared" si="42"/>
        <v>#N/A</v>
      </c>
      <c r="I508" s="483" t="e">
        <f t="shared" si="42"/>
        <v>#N/A</v>
      </c>
      <c r="J508" s="483" t="e">
        <f t="shared" si="42"/>
        <v>#N/A</v>
      </c>
      <c r="K508" s="483" t="e">
        <f t="shared" si="42"/>
        <v>#N/A</v>
      </c>
      <c r="L508" s="483" t="e">
        <f t="shared" si="42"/>
        <v>#N/A</v>
      </c>
      <c r="M508" s="483" t="e">
        <f t="shared" si="42"/>
        <v>#N/A</v>
      </c>
      <c r="N508" s="483" t="e">
        <f t="shared" si="42"/>
        <v>#N/A</v>
      </c>
      <c r="O508" s="483" t="e">
        <f t="shared" si="42"/>
        <v>#N/A</v>
      </c>
      <c r="P508" s="483" t="e">
        <f t="shared" si="42"/>
        <v>#N/A</v>
      </c>
      <c r="Q508" s="483" t="e">
        <f t="shared" si="42"/>
        <v>#N/A</v>
      </c>
      <c r="R508" s="483" t="e">
        <f t="shared" si="42"/>
        <v>#N/A</v>
      </c>
      <c r="S508" s="483" t="e">
        <f t="shared" si="42"/>
        <v>#N/A</v>
      </c>
      <c r="T508" s="483" t="e">
        <f t="shared" si="42"/>
        <v>#N/A</v>
      </c>
      <c r="U508" s="483" t="e">
        <f t="shared" si="42"/>
        <v>#N/A</v>
      </c>
      <c r="V508" s="483">
        <f t="shared" si="42"/>
        <v>100000</v>
      </c>
      <c r="W508" s="483" t="e">
        <f t="shared" si="42"/>
        <v>#N/A</v>
      </c>
      <c r="X508" s="483" t="e">
        <f t="shared" si="42"/>
        <v>#N/A</v>
      </c>
      <c r="Y508" s="483" t="e">
        <f t="shared" si="42"/>
        <v>#N/A</v>
      </c>
      <c r="Z508" s="483" t="e">
        <f t="shared" si="42"/>
        <v>#N/A</v>
      </c>
    </row>
    <row r="509" spans="2:27" x14ac:dyDescent="0.15">
      <c r="B509" s="8" t="s">
        <v>50</v>
      </c>
      <c r="C509" s="483" t="e">
        <f t="shared" si="41"/>
        <v>#N/A</v>
      </c>
      <c r="D509" s="483" t="e">
        <f t="shared" si="42"/>
        <v>#N/A</v>
      </c>
      <c r="E509" s="483" t="e">
        <f t="shared" si="42"/>
        <v>#N/A</v>
      </c>
      <c r="F509" s="483" t="e">
        <f t="shared" si="42"/>
        <v>#N/A</v>
      </c>
      <c r="G509" s="483" t="e">
        <f t="shared" si="42"/>
        <v>#N/A</v>
      </c>
      <c r="H509" s="483" t="e">
        <f t="shared" si="42"/>
        <v>#N/A</v>
      </c>
      <c r="I509" s="483" t="e">
        <f t="shared" si="42"/>
        <v>#N/A</v>
      </c>
      <c r="J509" s="483" t="e">
        <f t="shared" si="42"/>
        <v>#N/A</v>
      </c>
      <c r="K509" s="483" t="e">
        <f t="shared" si="42"/>
        <v>#N/A</v>
      </c>
      <c r="L509" s="483" t="e">
        <f t="shared" si="42"/>
        <v>#N/A</v>
      </c>
      <c r="M509" s="483" t="e">
        <f t="shared" si="42"/>
        <v>#N/A</v>
      </c>
      <c r="N509" s="483" t="e">
        <f t="shared" si="42"/>
        <v>#N/A</v>
      </c>
      <c r="O509" s="483" t="e">
        <f t="shared" si="42"/>
        <v>#N/A</v>
      </c>
      <c r="P509" s="483" t="e">
        <f t="shared" si="42"/>
        <v>#N/A</v>
      </c>
      <c r="Q509" s="483" t="e">
        <f t="shared" si="42"/>
        <v>#N/A</v>
      </c>
      <c r="R509" s="483" t="e">
        <f t="shared" si="42"/>
        <v>#N/A</v>
      </c>
      <c r="S509" s="483" t="e">
        <f t="shared" si="42"/>
        <v>#N/A</v>
      </c>
      <c r="T509" s="483" t="e">
        <f t="shared" si="42"/>
        <v>#N/A</v>
      </c>
      <c r="U509" s="483" t="e">
        <f t="shared" si="42"/>
        <v>#N/A</v>
      </c>
      <c r="V509" s="483" t="e">
        <f t="shared" si="42"/>
        <v>#N/A</v>
      </c>
      <c r="W509" s="483" t="e">
        <f t="shared" si="42"/>
        <v>#N/A</v>
      </c>
      <c r="X509" s="483" t="e">
        <f t="shared" si="42"/>
        <v>#N/A</v>
      </c>
      <c r="Y509" s="483" t="e">
        <f t="shared" si="42"/>
        <v>#N/A</v>
      </c>
      <c r="Z509" s="483" t="e">
        <f t="shared" si="42"/>
        <v>#N/A</v>
      </c>
    </row>
    <row r="510" spans="2:27" x14ac:dyDescent="0.15">
      <c r="B510" s="9" t="s">
        <v>29</v>
      </c>
      <c r="C510" s="483">
        <f t="shared" si="41"/>
        <v>18416</v>
      </c>
      <c r="D510" s="483">
        <f t="shared" si="42"/>
        <v>69018</v>
      </c>
      <c r="E510" s="483">
        <f t="shared" si="42"/>
        <v>152838</v>
      </c>
      <c r="F510" s="483">
        <f t="shared" si="42"/>
        <v>41113</v>
      </c>
      <c r="G510" s="483">
        <f t="shared" si="42"/>
        <v>38193</v>
      </c>
      <c r="H510" s="483">
        <f t="shared" si="42"/>
        <v>59137</v>
      </c>
      <c r="I510" s="483">
        <f t="shared" si="42"/>
        <v>53297</v>
      </c>
      <c r="J510" s="483">
        <f t="shared" si="42"/>
        <v>-7828.6634595582109</v>
      </c>
      <c r="K510" s="483">
        <f t="shared" si="42"/>
        <v>168017</v>
      </c>
      <c r="L510" s="483">
        <f t="shared" si="42"/>
        <v>41172</v>
      </c>
      <c r="M510" s="483">
        <f t="shared" si="42"/>
        <v>49974</v>
      </c>
      <c r="N510" s="483">
        <f t="shared" si="42"/>
        <v>46289</v>
      </c>
      <c r="O510" s="483">
        <f t="shared" si="42"/>
        <v>47516</v>
      </c>
      <c r="P510" s="483">
        <f t="shared" si="42"/>
        <v>41518</v>
      </c>
      <c r="Q510" s="483">
        <f t="shared" si="42"/>
        <v>106127</v>
      </c>
      <c r="R510" s="483">
        <f t="shared" si="42"/>
        <v>37635</v>
      </c>
      <c r="S510" s="483">
        <f t="shared" si="42"/>
        <v>49910</v>
      </c>
      <c r="T510" s="483">
        <f t="shared" si="42"/>
        <v>82170</v>
      </c>
      <c r="U510" s="483">
        <f t="shared" si="42"/>
        <v>98395</v>
      </c>
      <c r="V510" s="483">
        <f t="shared" si="42"/>
        <v>101200</v>
      </c>
      <c r="W510" s="483">
        <f t="shared" si="42"/>
        <v>81782</v>
      </c>
      <c r="X510" s="483">
        <f t="shared" si="42"/>
        <v>83162</v>
      </c>
      <c r="Y510" s="483">
        <f t="shared" si="42"/>
        <v>83561</v>
      </c>
      <c r="Z510" s="483">
        <f t="shared" si="42"/>
        <v>90323</v>
      </c>
      <c r="AA510" s="4"/>
    </row>
    <row r="511" spans="2:27" x14ac:dyDescent="0.15">
      <c r="B511" s="9" t="s">
        <v>51</v>
      </c>
      <c r="C511" s="483">
        <f t="shared" si="41"/>
        <v>1134</v>
      </c>
      <c r="D511" s="483">
        <f t="shared" si="42"/>
        <v>2268</v>
      </c>
      <c r="E511" s="483">
        <f t="shared" si="42"/>
        <v>2268</v>
      </c>
      <c r="F511" s="483" t="e">
        <f t="shared" si="42"/>
        <v>#N/A</v>
      </c>
      <c r="G511" s="483" t="e">
        <f t="shared" si="42"/>
        <v>#N/A</v>
      </c>
      <c r="H511" s="483" t="e">
        <f t="shared" si="42"/>
        <v>#N/A</v>
      </c>
      <c r="I511" s="483" t="e">
        <f t="shared" si="42"/>
        <v>#N/A</v>
      </c>
      <c r="J511" s="483" t="e">
        <f t="shared" si="42"/>
        <v>#N/A</v>
      </c>
      <c r="K511" s="483" t="e">
        <f t="shared" si="42"/>
        <v>#N/A</v>
      </c>
      <c r="L511" s="483" t="e">
        <f t="shared" si="42"/>
        <v>#N/A</v>
      </c>
      <c r="M511" s="483" t="e">
        <f t="shared" si="42"/>
        <v>#N/A</v>
      </c>
      <c r="N511" s="483" t="e">
        <f t="shared" si="42"/>
        <v>#N/A</v>
      </c>
      <c r="O511" s="483" t="e">
        <f t="shared" si="42"/>
        <v>#N/A</v>
      </c>
      <c r="P511" s="483" t="e">
        <f t="shared" si="42"/>
        <v>#N/A</v>
      </c>
      <c r="Q511" s="483" t="e">
        <f t="shared" si="42"/>
        <v>#N/A</v>
      </c>
      <c r="R511" s="483" t="e">
        <f t="shared" si="42"/>
        <v>#N/A</v>
      </c>
      <c r="S511" s="483" t="e">
        <f t="shared" si="42"/>
        <v>#N/A</v>
      </c>
      <c r="T511" s="483">
        <f t="shared" si="42"/>
        <v>64800</v>
      </c>
      <c r="U511" s="483">
        <f t="shared" si="42"/>
        <v>864</v>
      </c>
      <c r="V511" s="483" t="e">
        <f t="shared" si="42"/>
        <v>#N/A</v>
      </c>
      <c r="W511" s="483">
        <f t="shared" si="42"/>
        <v>1131</v>
      </c>
      <c r="X511" s="483">
        <f t="shared" si="42"/>
        <v>300</v>
      </c>
      <c r="Y511" s="483" t="e">
        <f t="shared" si="42"/>
        <v>#N/A</v>
      </c>
      <c r="Z511" s="483" t="e">
        <f t="shared" si="42"/>
        <v>#N/A</v>
      </c>
      <c r="AA511" s="4"/>
    </row>
    <row r="512" spans="2:27" x14ac:dyDescent="0.15">
      <c r="B512" s="41" t="s">
        <v>15</v>
      </c>
      <c r="C512" s="486">
        <f t="shared" si="41"/>
        <v>786413</v>
      </c>
      <c r="D512" s="486">
        <f t="shared" si="42"/>
        <v>1742890</v>
      </c>
      <c r="E512" s="486">
        <f t="shared" si="42"/>
        <v>1815464</v>
      </c>
      <c r="F512" s="486">
        <f t="shared" si="42"/>
        <v>1570301</v>
      </c>
      <c r="G512" s="486">
        <f t="shared" si="42"/>
        <v>1467510</v>
      </c>
      <c r="H512" s="486">
        <f t="shared" si="42"/>
        <v>1470826</v>
      </c>
      <c r="I512" s="486">
        <f t="shared" si="42"/>
        <v>1461309</v>
      </c>
      <c r="J512" s="486">
        <f t="shared" si="42"/>
        <v>1465584.3365404417</v>
      </c>
      <c r="K512" s="486">
        <f t="shared" si="42"/>
        <v>1534092</v>
      </c>
      <c r="L512" s="486">
        <f t="shared" si="42"/>
        <v>1219690</v>
      </c>
      <c r="M512" s="486">
        <f t="shared" si="42"/>
        <v>1384560</v>
      </c>
      <c r="N512" s="486">
        <f t="shared" si="42"/>
        <v>1295192</v>
      </c>
      <c r="O512" s="486">
        <f t="shared" si="42"/>
        <v>1331279</v>
      </c>
      <c r="P512" s="486">
        <f t="shared" si="42"/>
        <v>1318126</v>
      </c>
      <c r="Q512" s="486">
        <f t="shared" si="42"/>
        <v>1374890</v>
      </c>
      <c r="R512" s="486">
        <f t="shared" si="42"/>
        <v>1344636</v>
      </c>
      <c r="S512" s="486">
        <f t="shared" si="42"/>
        <v>1355490</v>
      </c>
      <c r="T512" s="486">
        <f t="shared" si="42"/>
        <v>1758928</v>
      </c>
      <c r="U512" s="486">
        <f t="shared" si="42"/>
        <v>1674022</v>
      </c>
      <c r="V512" s="486">
        <f t="shared" si="42"/>
        <v>1929292</v>
      </c>
      <c r="W512" s="486">
        <f t="shared" si="42"/>
        <v>1870021</v>
      </c>
      <c r="X512" s="486">
        <f t="shared" si="42"/>
        <v>1978420</v>
      </c>
      <c r="Y512" s="486">
        <f t="shared" si="42"/>
        <v>2557666</v>
      </c>
      <c r="Z512" s="486">
        <f t="shared" si="42"/>
        <v>2415773</v>
      </c>
      <c r="AA512" s="4"/>
    </row>
    <row r="513" spans="2:27" x14ac:dyDescent="0.15">
      <c r="B513" s="48" t="s">
        <v>30</v>
      </c>
      <c r="C513" s="487">
        <f t="shared" si="41"/>
        <v>1628665</v>
      </c>
      <c r="D513" s="487">
        <f t="shared" si="42"/>
        <v>1154993</v>
      </c>
      <c r="E513" s="487">
        <f t="shared" si="42"/>
        <v>943578</v>
      </c>
      <c r="F513" s="487">
        <f t="shared" si="42"/>
        <v>989267</v>
      </c>
      <c r="G513" s="487">
        <f t="shared" si="42"/>
        <v>932519</v>
      </c>
      <c r="H513" s="487">
        <f t="shared" si="42"/>
        <v>936022</v>
      </c>
      <c r="I513" s="487">
        <f t="shared" si="42"/>
        <v>1078010</v>
      </c>
      <c r="J513" s="487">
        <f t="shared" si="42"/>
        <v>936913</v>
      </c>
      <c r="K513" s="487">
        <f t="shared" si="42"/>
        <v>1083196</v>
      </c>
      <c r="L513" s="487">
        <f t="shared" si="42"/>
        <v>922111</v>
      </c>
      <c r="M513" s="487">
        <f t="shared" si="42"/>
        <v>1123288</v>
      </c>
      <c r="N513" s="487">
        <f t="shared" si="42"/>
        <v>970855</v>
      </c>
      <c r="O513" s="487">
        <f t="shared" si="42"/>
        <v>1087558</v>
      </c>
      <c r="P513" s="487">
        <f t="shared" si="42"/>
        <v>939498</v>
      </c>
      <c r="Q513" s="487">
        <f t="shared" si="42"/>
        <v>1021927</v>
      </c>
      <c r="R513" s="487">
        <f t="shared" si="42"/>
        <v>782934</v>
      </c>
      <c r="S513" s="487">
        <f t="shared" si="42"/>
        <v>911899</v>
      </c>
      <c r="T513" s="487">
        <f t="shared" si="42"/>
        <v>1200080</v>
      </c>
      <c r="U513" s="487">
        <f t="shared" si="42"/>
        <v>983073</v>
      </c>
      <c r="V513" s="487">
        <f t="shared" si="42"/>
        <v>921485</v>
      </c>
      <c r="W513" s="487">
        <f t="shared" si="42"/>
        <v>1092110</v>
      </c>
      <c r="X513" s="487">
        <f t="shared" si="42"/>
        <v>1049863</v>
      </c>
      <c r="Y513" s="487">
        <f t="shared" si="42"/>
        <v>1080651</v>
      </c>
      <c r="Z513" s="487">
        <f t="shared" si="42"/>
        <v>1029870</v>
      </c>
      <c r="AA513" s="4"/>
    </row>
    <row r="514" spans="2:27" hidden="1" x14ac:dyDescent="0.15">
      <c r="B514" s="48" t="s">
        <v>52</v>
      </c>
      <c r="C514" s="487" t="e">
        <f t="shared" si="41"/>
        <v>#N/A</v>
      </c>
      <c r="D514" s="487" t="e">
        <f t="shared" si="42"/>
        <v>#N/A</v>
      </c>
      <c r="E514" s="487" t="e">
        <f t="shared" si="42"/>
        <v>#N/A</v>
      </c>
      <c r="F514" s="487" t="e">
        <f t="shared" si="42"/>
        <v>#N/A</v>
      </c>
      <c r="G514" s="487" t="e">
        <f t="shared" si="42"/>
        <v>#N/A</v>
      </c>
      <c r="H514" s="487" t="e">
        <f t="shared" si="42"/>
        <v>#N/A</v>
      </c>
      <c r="I514" s="487" t="e">
        <f t="shared" si="42"/>
        <v>#N/A</v>
      </c>
      <c r="J514" s="487" t="e">
        <f t="shared" si="42"/>
        <v>#N/A</v>
      </c>
      <c r="K514" s="487" t="e">
        <f t="shared" si="42"/>
        <v>#N/A</v>
      </c>
      <c r="L514" s="487" t="e">
        <f t="shared" si="42"/>
        <v>#N/A</v>
      </c>
      <c r="M514" s="487" t="e">
        <f t="shared" si="42"/>
        <v>#N/A</v>
      </c>
      <c r="N514" s="487" t="e">
        <f t="shared" si="42"/>
        <v>#N/A</v>
      </c>
      <c r="O514" s="487" t="e">
        <f t="shared" si="42"/>
        <v>#N/A</v>
      </c>
      <c r="P514" s="487" t="e">
        <f t="shared" si="42"/>
        <v>#N/A</v>
      </c>
      <c r="Q514" s="487" t="e">
        <f t="shared" si="42"/>
        <v>#N/A</v>
      </c>
      <c r="R514" s="487" t="e">
        <f t="shared" si="42"/>
        <v>#N/A</v>
      </c>
      <c r="S514" s="487" t="e">
        <f t="shared" si="42"/>
        <v>#N/A</v>
      </c>
      <c r="T514" s="487" t="e">
        <f t="shared" si="42"/>
        <v>#N/A</v>
      </c>
      <c r="U514" s="487" t="e">
        <f t="shared" si="42"/>
        <v>#N/A</v>
      </c>
      <c r="V514" s="487" t="e">
        <f t="shared" si="42"/>
        <v>#N/A</v>
      </c>
      <c r="W514" s="487" t="e">
        <f t="shared" si="42"/>
        <v>#N/A</v>
      </c>
      <c r="X514" s="487" t="e">
        <f t="shared" si="42"/>
        <v>#N/A</v>
      </c>
      <c r="Y514" s="487" t="e">
        <f t="shared" si="42"/>
        <v>#N/A</v>
      </c>
      <c r="Z514" s="487" t="e">
        <f t="shared" si="42"/>
        <v>#N/A</v>
      </c>
      <c r="AA514" s="4"/>
    </row>
    <row r="515" spans="2:27" x14ac:dyDescent="0.15">
      <c r="B515" s="8" t="s">
        <v>53</v>
      </c>
      <c r="C515" s="483">
        <f t="shared" si="41"/>
        <v>2415078</v>
      </c>
      <c r="D515" s="483">
        <f t="shared" si="42"/>
        <v>2897883</v>
      </c>
      <c r="E515" s="483">
        <f t="shared" si="42"/>
        <v>2759042</v>
      </c>
      <c r="F515" s="483">
        <f t="shared" si="42"/>
        <v>2559568</v>
      </c>
      <c r="G515" s="483">
        <f t="shared" si="42"/>
        <v>2400029</v>
      </c>
      <c r="H515" s="483">
        <f t="shared" si="42"/>
        <v>2406848</v>
      </c>
      <c r="I515" s="483">
        <f t="shared" si="42"/>
        <v>2539319</v>
      </c>
      <c r="J515" s="483">
        <f t="shared" si="42"/>
        <v>2402497.336540442</v>
      </c>
      <c r="K515" s="483">
        <f t="shared" si="42"/>
        <v>2617288</v>
      </c>
      <c r="L515" s="483">
        <f t="shared" si="42"/>
        <v>2141801</v>
      </c>
      <c r="M515" s="483">
        <f t="shared" si="42"/>
        <v>2507848</v>
      </c>
      <c r="N515" s="483">
        <f t="shared" si="42"/>
        <v>2266047</v>
      </c>
      <c r="O515" s="483">
        <f t="shared" si="42"/>
        <v>2418837</v>
      </c>
      <c r="P515" s="483">
        <f t="shared" si="42"/>
        <v>2257624</v>
      </c>
      <c r="Q515" s="483">
        <f t="shared" si="42"/>
        <v>2396817</v>
      </c>
      <c r="R515" s="483">
        <f t="shared" si="42"/>
        <v>2127570</v>
      </c>
      <c r="S515" s="483">
        <f t="shared" si="42"/>
        <v>2267389</v>
      </c>
      <c r="T515" s="483">
        <f t="shared" si="42"/>
        <v>2959008</v>
      </c>
      <c r="U515" s="483">
        <f t="shared" si="42"/>
        <v>2657095</v>
      </c>
      <c r="V515" s="483">
        <f t="shared" si="42"/>
        <v>2850777</v>
      </c>
      <c r="W515" s="483">
        <f t="shared" si="42"/>
        <v>2962131</v>
      </c>
      <c r="X515" s="483">
        <f t="shared" si="42"/>
        <v>3028283</v>
      </c>
      <c r="Y515" s="483">
        <f t="shared" si="42"/>
        <v>3638317</v>
      </c>
      <c r="Z515" s="483">
        <f t="shared" si="42"/>
        <v>3445643</v>
      </c>
    </row>
    <row r="516" spans="2:27" x14ac:dyDescent="0.15">
      <c r="B516" s="309" t="s">
        <v>32</v>
      </c>
      <c r="C516" s="488">
        <f>IFERROR(SUM(C505,-C515),0)</f>
        <v>-887414</v>
      </c>
      <c r="D516" s="488">
        <f>IFERROR(SUM(D505,-D515),0)</f>
        <v>3803951</v>
      </c>
      <c r="E516" s="488">
        <f>IFERROR(SUM(E505,-E515),0)</f>
        <v>1580844</v>
      </c>
      <c r="F516" s="488">
        <f>IFERROR(SUM(F505,-F515),0)</f>
        <v>1473484</v>
      </c>
      <c r="G516" s="488">
        <f t="shared" ref="G516:Z516" si="44">IFERROR(SUM(G505,-G515),0)</f>
        <v>1985059</v>
      </c>
      <c r="H516" s="488">
        <f t="shared" si="44"/>
        <v>2981638</v>
      </c>
      <c r="I516" s="488">
        <f t="shared" si="44"/>
        <v>2392742</v>
      </c>
      <c r="J516" s="488">
        <f t="shared" si="44"/>
        <v>2443711.663459558</v>
      </c>
      <c r="K516" s="488">
        <f t="shared" si="44"/>
        <v>1904479</v>
      </c>
      <c r="L516" s="488">
        <f t="shared" si="44"/>
        <v>2109853</v>
      </c>
      <c r="M516" s="488">
        <f t="shared" si="44"/>
        <v>2337909</v>
      </c>
      <c r="N516" s="488">
        <f t="shared" si="44"/>
        <v>2386405</v>
      </c>
      <c r="O516" s="488">
        <f t="shared" si="44"/>
        <v>3869797</v>
      </c>
      <c r="P516" s="488">
        <f t="shared" si="44"/>
        <v>1814405</v>
      </c>
      <c r="Q516" s="488">
        <f t="shared" si="44"/>
        <v>2826413</v>
      </c>
      <c r="R516" s="488">
        <f t="shared" si="44"/>
        <v>2135250</v>
      </c>
      <c r="S516" s="488">
        <f t="shared" si="44"/>
        <v>2231717</v>
      </c>
      <c r="T516" s="488">
        <f t="shared" si="44"/>
        <v>2068671</v>
      </c>
      <c r="U516" s="488">
        <f t="shared" si="44"/>
        <v>2307944</v>
      </c>
      <c r="V516" s="488">
        <f t="shared" si="44"/>
        <v>2275312</v>
      </c>
      <c r="W516" s="488">
        <f t="shared" si="44"/>
        <v>2649155</v>
      </c>
      <c r="X516" s="488">
        <f t="shared" si="44"/>
        <v>2608599</v>
      </c>
      <c r="Y516" s="488">
        <f t="shared" si="44"/>
        <v>2137558</v>
      </c>
      <c r="Z516" s="488">
        <f t="shared" si="44"/>
        <v>3338052</v>
      </c>
      <c r="AA516" s="4">
        <f>SUM(O516:Z516)</f>
        <v>30262873</v>
      </c>
    </row>
    <row r="517" spans="2:27" x14ac:dyDescent="0.15">
      <c r="B517" s="309"/>
      <c r="C517" s="488"/>
      <c r="D517" s="488"/>
      <c r="E517" s="488"/>
      <c r="F517" s="488"/>
      <c r="G517" s="488"/>
      <c r="H517" s="488"/>
      <c r="I517" s="488"/>
      <c r="J517" s="488"/>
      <c r="K517" s="488"/>
      <c r="L517" s="488"/>
      <c r="M517" s="488"/>
      <c r="N517" s="488"/>
      <c r="O517" s="488"/>
      <c r="P517" s="488"/>
      <c r="Q517" s="488"/>
      <c r="R517" s="488"/>
      <c r="S517" s="488"/>
      <c r="T517" s="488"/>
      <c r="U517" s="488"/>
      <c r="V517" s="488"/>
      <c r="W517" s="488"/>
      <c r="X517" s="488"/>
      <c r="Y517" s="488"/>
      <c r="Z517" s="488"/>
      <c r="AA517" s="4"/>
    </row>
    <row r="518" spans="2:27" x14ac:dyDescent="0.15">
      <c r="B518" s="309"/>
    </row>
    <row r="521" spans="2:27" x14ac:dyDescent="0.15">
      <c r="C521" s="489"/>
      <c r="D521" s="489"/>
      <c r="E521" s="489"/>
      <c r="F521" s="489"/>
      <c r="G521" s="489"/>
      <c r="H521" s="489"/>
      <c r="I521" s="489"/>
      <c r="J521" s="489"/>
      <c r="K521" s="489"/>
      <c r="L521" s="489"/>
      <c r="M521" s="489"/>
      <c r="N521" s="489"/>
      <c r="O521" s="489"/>
      <c r="P521" s="489"/>
      <c r="Q521" s="489"/>
      <c r="R521" s="489"/>
      <c r="S521" s="489"/>
      <c r="T521" s="489"/>
      <c r="U521" s="489"/>
      <c r="V521" s="489"/>
      <c r="W521" s="489"/>
      <c r="X521" s="489"/>
      <c r="Y521" s="489"/>
      <c r="Z521" s="489"/>
    </row>
    <row r="522" spans="2:27" x14ac:dyDescent="0.15">
      <c r="C522" s="489"/>
      <c r="D522" s="489"/>
      <c r="E522" s="489"/>
      <c r="F522" s="489"/>
      <c r="G522" s="489"/>
      <c r="H522" s="489"/>
      <c r="I522" s="489"/>
      <c r="J522" s="489"/>
      <c r="K522" s="489"/>
      <c r="L522" s="489"/>
      <c r="M522" s="489"/>
      <c r="N522" s="489"/>
      <c r="O522" s="489"/>
      <c r="P522" s="489"/>
      <c r="Q522" s="489"/>
      <c r="R522" s="489"/>
      <c r="S522" s="489"/>
      <c r="T522" s="489"/>
      <c r="U522" s="489"/>
      <c r="V522" s="489"/>
      <c r="W522" s="489"/>
      <c r="X522" s="489"/>
      <c r="Y522" s="489"/>
      <c r="Z522" s="489"/>
    </row>
    <row r="523" spans="2:27" x14ac:dyDescent="0.15">
      <c r="C523" s="489"/>
      <c r="D523" s="489"/>
      <c r="E523" s="489"/>
      <c r="F523" s="489"/>
      <c r="G523" s="489"/>
      <c r="H523" s="489"/>
      <c r="I523" s="489"/>
      <c r="J523" s="489"/>
      <c r="K523" s="489"/>
      <c r="L523" s="489"/>
      <c r="M523" s="489"/>
      <c r="N523" s="489"/>
      <c r="O523" s="489"/>
      <c r="P523" s="489"/>
      <c r="Q523" s="489"/>
      <c r="R523" s="489"/>
      <c r="S523" s="489"/>
      <c r="T523" s="489"/>
      <c r="U523" s="489"/>
      <c r="V523" s="489"/>
      <c r="W523" s="489"/>
      <c r="X523" s="489"/>
      <c r="Y523" s="489"/>
      <c r="Z523" s="489"/>
    </row>
    <row r="524" spans="2:27" x14ac:dyDescent="0.15">
      <c r="C524" s="489"/>
      <c r="D524" s="489"/>
      <c r="E524" s="489"/>
      <c r="F524" s="489"/>
      <c r="G524" s="489"/>
      <c r="H524" s="489"/>
      <c r="I524" s="489"/>
      <c r="J524" s="489"/>
      <c r="K524" s="489"/>
      <c r="L524" s="489"/>
      <c r="M524" s="489"/>
      <c r="N524" s="489"/>
      <c r="O524" s="489"/>
      <c r="P524" s="489"/>
      <c r="Q524" s="489"/>
      <c r="R524" s="489"/>
      <c r="S524" s="489"/>
      <c r="T524" s="489"/>
      <c r="U524" s="489"/>
      <c r="V524" s="489"/>
      <c r="W524" s="489"/>
      <c r="X524" s="489"/>
      <c r="Y524" s="489"/>
      <c r="Z524" s="489"/>
    </row>
    <row r="525" spans="2:27" x14ac:dyDescent="0.15">
      <c r="C525" s="489"/>
      <c r="D525" s="489"/>
      <c r="E525" s="489"/>
      <c r="F525" s="489"/>
      <c r="G525" s="489"/>
      <c r="H525" s="489"/>
      <c r="I525" s="489"/>
      <c r="J525" s="489"/>
      <c r="K525" s="489"/>
      <c r="L525" s="489"/>
      <c r="M525" s="489"/>
      <c r="N525" s="489"/>
      <c r="O525" s="489"/>
      <c r="P525" s="489"/>
      <c r="Q525" s="489"/>
      <c r="R525" s="489"/>
      <c r="S525" s="489"/>
      <c r="T525" s="489"/>
      <c r="U525" s="489"/>
      <c r="V525" s="489"/>
      <c r="W525" s="489"/>
      <c r="X525" s="489"/>
      <c r="Y525" s="489"/>
      <c r="Z525" s="489"/>
    </row>
    <row r="526" spans="2:27" x14ac:dyDescent="0.15">
      <c r="C526" s="489"/>
      <c r="D526" s="489"/>
      <c r="E526" s="489"/>
      <c r="F526" s="489"/>
      <c r="G526" s="489"/>
      <c r="H526" s="489"/>
      <c r="I526" s="489"/>
      <c r="J526" s="489"/>
      <c r="K526" s="489"/>
      <c r="L526" s="489"/>
      <c r="M526" s="489"/>
      <c r="N526" s="489"/>
      <c r="O526" s="489"/>
      <c r="P526" s="489"/>
      <c r="Q526" s="489"/>
      <c r="R526" s="489"/>
      <c r="S526" s="489"/>
      <c r="T526" s="489"/>
      <c r="U526" s="489"/>
      <c r="V526" s="489"/>
      <c r="W526" s="489"/>
      <c r="X526" s="489"/>
      <c r="Y526" s="489"/>
      <c r="Z526" s="489"/>
    </row>
    <row r="527" spans="2:27" x14ac:dyDescent="0.15">
      <c r="C527" s="489"/>
      <c r="D527" s="489"/>
      <c r="E527" s="489"/>
      <c r="F527" s="489"/>
      <c r="G527" s="489"/>
      <c r="H527" s="489"/>
      <c r="I527" s="489"/>
      <c r="J527" s="489"/>
      <c r="K527" s="489"/>
      <c r="L527" s="489"/>
      <c r="M527" s="489"/>
      <c r="N527" s="489"/>
      <c r="O527" s="489"/>
      <c r="P527" s="489"/>
      <c r="Q527" s="489"/>
      <c r="R527" s="489"/>
      <c r="S527" s="489"/>
      <c r="T527" s="489"/>
      <c r="U527" s="489"/>
      <c r="V527" s="489"/>
      <c r="W527" s="489"/>
      <c r="X527" s="489"/>
      <c r="Y527" s="489"/>
      <c r="Z527" s="489"/>
    </row>
    <row r="528" spans="2:27" x14ac:dyDescent="0.15">
      <c r="C528" s="493"/>
      <c r="D528" s="493"/>
      <c r="E528" s="493"/>
      <c r="F528" s="493"/>
      <c r="G528" s="493"/>
      <c r="H528" s="493"/>
      <c r="I528" s="493"/>
      <c r="J528" s="493"/>
      <c r="K528" s="493"/>
      <c r="L528" s="493"/>
      <c r="M528" s="493"/>
      <c r="N528" s="493"/>
      <c r="O528" s="493"/>
      <c r="P528" s="493"/>
      <c r="Q528" s="493"/>
      <c r="R528" s="493"/>
      <c r="S528" s="493"/>
      <c r="T528" s="493"/>
      <c r="U528" s="493"/>
      <c r="V528" s="493"/>
      <c r="W528" s="493"/>
      <c r="X528" s="493"/>
      <c r="Y528" s="493"/>
      <c r="Z528" s="493"/>
    </row>
    <row r="529" spans="1:26" x14ac:dyDescent="0.15">
      <c r="C529" s="489"/>
      <c r="D529" s="489"/>
      <c r="E529" s="489"/>
      <c r="F529" s="489"/>
      <c r="G529" s="489"/>
      <c r="H529" s="489"/>
      <c r="I529" s="489"/>
      <c r="J529" s="489"/>
      <c r="K529" s="489"/>
      <c r="L529" s="489"/>
      <c r="M529" s="489"/>
      <c r="N529" s="489"/>
      <c r="O529" s="489"/>
      <c r="P529" s="489"/>
      <c r="Q529" s="489"/>
      <c r="R529" s="489"/>
      <c r="S529" s="489"/>
      <c r="T529" s="489"/>
      <c r="U529" s="489"/>
      <c r="V529" s="489"/>
      <c r="W529" s="489"/>
      <c r="X529" s="489"/>
      <c r="Y529" s="489"/>
      <c r="Z529" s="489"/>
    </row>
    <row r="544" spans="1:26" ht="18.75" x14ac:dyDescent="0.15">
      <c r="A544" t="s">
        <v>745</v>
      </c>
      <c r="B544" s="43" t="str">
        <f>A544 &amp; "収支"</f>
        <v>白金タクシー収支</v>
      </c>
    </row>
    <row r="545" spans="2:27" x14ac:dyDescent="0.15">
      <c r="B545" s="10"/>
      <c r="C545" s="668">
        <f t="shared" ref="C545:Z545" si="45">C$13</f>
        <v>42856</v>
      </c>
      <c r="D545" s="668">
        <f t="shared" si="45"/>
        <v>42887</v>
      </c>
      <c r="E545" s="668">
        <f t="shared" si="45"/>
        <v>42917</v>
      </c>
      <c r="F545" s="668">
        <f t="shared" si="45"/>
        <v>42948</v>
      </c>
      <c r="G545" s="668">
        <f t="shared" si="45"/>
        <v>42979</v>
      </c>
      <c r="H545" s="668">
        <f t="shared" si="45"/>
        <v>43009</v>
      </c>
      <c r="I545" s="668">
        <f t="shared" si="45"/>
        <v>43040</v>
      </c>
      <c r="J545" s="668">
        <f t="shared" si="45"/>
        <v>43070</v>
      </c>
      <c r="K545" s="668">
        <f t="shared" si="45"/>
        <v>43101</v>
      </c>
      <c r="L545" s="668">
        <f t="shared" si="45"/>
        <v>43132</v>
      </c>
      <c r="M545" s="668">
        <f t="shared" si="45"/>
        <v>43160</v>
      </c>
      <c r="N545" s="668">
        <f t="shared" si="45"/>
        <v>43191</v>
      </c>
      <c r="O545" s="668">
        <f t="shared" si="45"/>
        <v>43221</v>
      </c>
      <c r="P545" s="668">
        <f t="shared" si="45"/>
        <v>43252</v>
      </c>
      <c r="Q545" s="668">
        <f t="shared" si="45"/>
        <v>43282</v>
      </c>
      <c r="R545" s="668">
        <f t="shared" si="45"/>
        <v>43313</v>
      </c>
      <c r="S545" s="668">
        <f t="shared" si="45"/>
        <v>43344</v>
      </c>
      <c r="T545" s="668">
        <f t="shared" si="45"/>
        <v>43374</v>
      </c>
      <c r="U545" s="668">
        <f t="shared" si="45"/>
        <v>43405</v>
      </c>
      <c r="V545" s="668">
        <f t="shared" si="45"/>
        <v>43435</v>
      </c>
      <c r="W545" s="668">
        <f t="shared" si="45"/>
        <v>43466</v>
      </c>
      <c r="X545" s="668">
        <f t="shared" si="45"/>
        <v>43497</v>
      </c>
      <c r="Y545" s="668">
        <f t="shared" si="45"/>
        <v>43525</v>
      </c>
      <c r="Z545" s="668">
        <f t="shared" si="45"/>
        <v>43556</v>
      </c>
    </row>
    <row r="546" spans="2:27" x14ac:dyDescent="0.15">
      <c r="B546" s="12" t="s">
        <v>21</v>
      </c>
      <c r="C546" s="482">
        <f>IFERROR(IF(GETPIVOTDATA("合計 / " &amp; $B546,【ピボット】事業所収支!$A$3,"年月",C$13,"事業所",$A$544)=0,#N/A,GETPIVOTDATA("合計 / " &amp; $B546,【ピボット】事業所収支!$A$3,"年月",C$13,"事業所",$A$544)),#N/A)</f>
        <v>3011624</v>
      </c>
      <c r="D546" s="482">
        <f>IFERROR(IF(GETPIVOTDATA("合計 / " &amp; $B546,【ピボット】事業所収支!$A$3,"年月",D$13,"事業所",$A$544)=0,#N/A,GETPIVOTDATA("合計 / " &amp; $B546,【ピボット】事業所収支!$A$3,"年月",D$13,"事業所",$A$544)),#N/A)</f>
        <v>2812785</v>
      </c>
      <c r="E546" s="482">
        <f>IFERROR(IF(GETPIVOTDATA("合計 / " &amp; $B546,【ピボット】事業所収支!$A$3,"年月",E$13,"事業所",$A$544)=0,#N/A,GETPIVOTDATA("合計 / " &amp; $B546,【ピボット】事業所収支!$A$3,"年月",E$13,"事業所",$A$544)),#N/A)</f>
        <v>3216466</v>
      </c>
      <c r="F546" s="482">
        <f>IFERROR(IF(GETPIVOTDATA("合計 / " &amp; $B546,【ピボット】事業所収支!$A$3,"年月",F$13,"事業所",$A$544)=0,#N/A,GETPIVOTDATA("合計 / " &amp; $B546,【ピボット】事業所収支!$A$3,"年月",F$13,"事業所",$A$544)),#N/A)</f>
        <v>3129590</v>
      </c>
      <c r="G546" s="482">
        <f>IFERROR(IF(GETPIVOTDATA("合計 / " &amp; $B546,【ピボット】事業所収支!$A$3,"年月",G$13,"事業所",$A$544)=0,#N/A,GETPIVOTDATA("合計 / " &amp; $B546,【ピボット】事業所収支!$A$3,"年月",G$13,"事業所",$A$544)),#N/A)</f>
        <v>3185656</v>
      </c>
      <c r="H546" s="482">
        <f>IFERROR(IF(GETPIVOTDATA("合計 / " &amp; $B546,【ピボット】事業所収支!$A$3,"年月",H$13,"事業所",$A$544)=0,#N/A,GETPIVOTDATA("合計 / " &amp; $B546,【ピボット】事業所収支!$A$3,"年月",H$13,"事業所",$A$544)),#N/A)</f>
        <v>3195164</v>
      </c>
      <c r="I546" s="482">
        <f>IFERROR(IF(GETPIVOTDATA("合計 / " &amp; $B546,【ピボット】事業所収支!$A$3,"年月",I$13,"事業所",$A$544)=0,#N/A,GETPIVOTDATA("合計 / " &amp; $B546,【ピボット】事業所収支!$A$3,"年月",I$13,"事業所",$A$544)),#N/A)</f>
        <v>3133826</v>
      </c>
      <c r="J546" s="482">
        <f>IFERROR(IF(GETPIVOTDATA("合計 / " &amp; $B546,【ピボット】事業所収支!$A$3,"年月",J$13,"事業所",$A$544)=0,#N/A,GETPIVOTDATA("合計 / " &amp; $B546,【ピボット】事業所収支!$A$3,"年月",J$13,"事業所",$A$544)),#N/A)</f>
        <v>3119675</v>
      </c>
      <c r="K546" s="482">
        <f>IFERROR(IF(GETPIVOTDATA("合計 / " &amp; $B546,【ピボット】事業所収支!$A$3,"年月",K$13,"事業所",$A$544)=0,#N/A,GETPIVOTDATA("合計 / " &amp; $B546,【ピボット】事業所収支!$A$3,"年月",K$13,"事業所",$A$544)),#N/A)</f>
        <v>2345767</v>
      </c>
      <c r="L546" s="482">
        <f>IFERROR(IF(GETPIVOTDATA("合計 / " &amp; $B546,【ピボット】事業所収支!$A$3,"年月",L$13,"事業所",$A$544)=0,#N/A,GETPIVOTDATA("合計 / " &amp; $B546,【ピボット】事業所収支!$A$3,"年月",L$13,"事業所",$A$544)),#N/A)</f>
        <v>2169663</v>
      </c>
      <c r="M546" s="482">
        <f>IFERROR(IF(GETPIVOTDATA("合計 / " &amp; $B546,【ピボット】事業所収支!$A$3,"年月",M$13,"事業所",$A$544)=0,#N/A,GETPIVOTDATA("合計 / " &amp; $B546,【ピボット】事業所収支!$A$3,"年月",M$13,"事業所",$A$544)),#N/A)</f>
        <v>2256558</v>
      </c>
      <c r="N546" s="482">
        <f>IFERROR(IF(GETPIVOTDATA("合計 / " &amp; $B546,【ピボット】事業所収支!$A$3,"年月",N$13,"事業所",$A$544)=0,#N/A,GETPIVOTDATA("合計 / " &amp; $B546,【ピボット】事業所収支!$A$3,"年月",N$13,"事業所",$A$544)),#N/A)</f>
        <v>1960949</v>
      </c>
      <c r="O546" s="482">
        <f>IFERROR(IF(GETPIVOTDATA("合計 / " &amp; $B546,【ピボット】事業所収支!$A$3,"年月",O$13,"事業所",$A$544)=0,#N/A,GETPIVOTDATA("合計 / " &amp; $B546,【ピボット】事業所収支!$A$3,"年月",O$13,"事業所",$A$544)),#N/A)</f>
        <v>1955643</v>
      </c>
      <c r="P546" s="482">
        <f>IFERROR(IF(GETPIVOTDATA("合計 / " &amp; $B546,【ピボット】事業所収支!$A$3,"年月",P$13,"事業所",$A$544)=0,#N/A,GETPIVOTDATA("合計 / " &amp; $B546,【ピボット】事業所収支!$A$3,"年月",P$13,"事業所",$A$544)),#N/A)</f>
        <v>1889542</v>
      </c>
      <c r="Q546" s="482">
        <f>IFERROR(IF(GETPIVOTDATA("合計 / " &amp; $B546,【ピボット】事業所収支!$A$3,"年月",Q$13,"事業所",$A$544)=0,#N/A,GETPIVOTDATA("合計 / " &amp; $B546,【ピボット】事業所収支!$A$3,"年月",Q$13,"事業所",$A$544)),#N/A)</f>
        <v>1614388</v>
      </c>
      <c r="R546" s="482">
        <f>IFERROR(IF(GETPIVOTDATA("合計 / " &amp; $B546,【ピボット】事業所収支!$A$3,"年月",R$13,"事業所",$A$544)=0,#N/A,GETPIVOTDATA("合計 / " &amp; $B546,【ピボット】事業所収支!$A$3,"年月",R$13,"事業所",$A$544)),#N/A)</f>
        <v>1444523</v>
      </c>
      <c r="S546" s="482">
        <f>IFERROR(IF(GETPIVOTDATA("合計 / " &amp; $B546,【ピボット】事業所収支!$A$3,"年月",S$13,"事業所",$A$544)=0,#N/A,GETPIVOTDATA("合計 / " &amp; $B546,【ピボット】事業所収支!$A$3,"年月",S$13,"事業所",$A$544)),#N/A)</f>
        <v>1128956</v>
      </c>
      <c r="T546" s="482" t="e">
        <f>IFERROR(IF(GETPIVOTDATA("合計 / " &amp; $B546,【ピボット】事業所収支!$A$3,"年月",T$13,"事業所",$A$544)=0,#N/A,GETPIVOTDATA("合計 / " &amp; $B546,【ピボット】事業所収支!$A$3,"年月",T$13,"事業所",$A$544)),#N/A)</f>
        <v>#N/A</v>
      </c>
      <c r="U546" s="482" t="e">
        <f>IFERROR(IF(GETPIVOTDATA("合計 / " &amp; $B546,【ピボット】事業所収支!$A$3,"年月",U$13,"事業所",$A$544)=0,#N/A,GETPIVOTDATA("合計 / " &amp; $B546,【ピボット】事業所収支!$A$3,"年月",U$13,"事業所",$A$544)),#N/A)</f>
        <v>#N/A</v>
      </c>
      <c r="V546" s="482" t="e">
        <f>IFERROR(IF(GETPIVOTDATA("合計 / " &amp; $B546,【ピボット】事業所収支!$A$3,"年月",V$13,"事業所",$A$544)=0,#N/A,GETPIVOTDATA("合計 / " &amp; $B546,【ピボット】事業所収支!$A$3,"年月",V$13,"事業所",$A$544)),#N/A)</f>
        <v>#N/A</v>
      </c>
      <c r="W546" s="482" t="e">
        <f>IFERROR(IF(GETPIVOTDATA("合計 / " &amp; $B546,【ピボット】事業所収支!$A$3,"年月",W$13,"事業所",$A$544)=0,#N/A,GETPIVOTDATA("合計 / " &amp; $B546,【ピボット】事業所収支!$A$3,"年月",W$13,"事業所",$A$544)),#N/A)</f>
        <v>#N/A</v>
      </c>
      <c r="X546" s="482" t="e">
        <f>IFERROR(IF(GETPIVOTDATA("合計 / " &amp; $B546,【ピボット】事業所収支!$A$3,"年月",X$13,"事業所",$A$544)=0,#N/A,GETPIVOTDATA("合計 / " &amp; $B546,【ピボット】事業所収支!$A$3,"年月",X$13,"事業所",$A$544)),#N/A)</f>
        <v>#N/A</v>
      </c>
      <c r="Y546" s="482" t="e">
        <f>IFERROR(IF(GETPIVOTDATA("合計 / " &amp; $B546,【ピボット】事業所収支!$A$3,"年月",Y$13,"事業所",$A$544)=0,#N/A,GETPIVOTDATA("合計 / " &amp; $B546,【ピボット】事業所収支!$A$3,"年月",Y$13,"事業所",$A$544)),#N/A)</f>
        <v>#N/A</v>
      </c>
      <c r="Z546" s="482" t="e">
        <f>IFERROR(IF(GETPIVOTDATA("合計 / " &amp; $B546,【ピボット】事業所収支!$A$3,"年月",Z$13,"事業所",$A$544)=0,#N/A,GETPIVOTDATA("合計 / " &amp; $B546,【ピボット】事業所収支!$A$3,"年月",Z$13,"事業所",$A$544)),#N/A)</f>
        <v>#N/A</v>
      </c>
    </row>
    <row r="547" spans="2:27" x14ac:dyDescent="0.15">
      <c r="B547" s="7" t="s">
        <v>28</v>
      </c>
      <c r="C547" s="483">
        <f>IFERROR(IF(GETPIVOTDATA("合計 / " &amp; $B547,【ピボット】事業所収支!$A$3,"年月",C$13,"事業所",$A$544)=0,#N/A,GETPIVOTDATA("合計 / " &amp; $B547,【ピボット】事業所収支!$A$3,"年月",C$13,"事業所",$A$544)),#N/A)</f>
        <v>548720</v>
      </c>
      <c r="D547" s="483">
        <f>IFERROR(IF(GETPIVOTDATA("合計 / " &amp; $B547,【ピボット】事業所収支!$A$3,"年月",D$13,"事業所",$A$544)=0,#N/A,GETPIVOTDATA("合計 / " &amp; $B547,【ピボット】事業所収支!$A$3,"年月",D$13,"事業所",$A$544)),#N/A)</f>
        <v>516058</v>
      </c>
      <c r="E547" s="483">
        <f>IFERROR(IF(GETPIVOTDATA("合計 / " &amp; $B547,【ピボット】事業所収支!$A$3,"年月",E$13,"事業所",$A$544)=0,#N/A,GETPIVOTDATA("合計 / " &amp; $B547,【ピボット】事業所収支!$A$3,"年月",E$13,"事業所",$A$544)),#N/A)</f>
        <v>659538</v>
      </c>
      <c r="F547" s="483">
        <f>IFERROR(IF(GETPIVOTDATA("合計 / " &amp; $B547,【ピボット】事業所収支!$A$3,"年月",F$13,"事業所",$A$544)=0,#N/A,GETPIVOTDATA("合計 / " &amp; $B547,【ピボット】事業所収支!$A$3,"年月",F$13,"事業所",$A$544)),#N/A)</f>
        <v>608890</v>
      </c>
      <c r="G547" s="483">
        <f>IFERROR(IF(GETPIVOTDATA("合計 / " &amp; $B547,【ピボット】事業所収支!$A$3,"年月",G$13,"事業所",$A$544)=0,#N/A,GETPIVOTDATA("合計 / " &amp; $B547,【ピボット】事業所収支!$A$3,"年月",G$13,"事業所",$A$544)),#N/A)</f>
        <v>648421</v>
      </c>
      <c r="H547" s="483">
        <f>IFERROR(IF(GETPIVOTDATA("合計 / " &amp; $B547,【ピボット】事業所収支!$A$3,"年月",H$13,"事業所",$A$544)=0,#N/A,GETPIVOTDATA("合計 / " &amp; $B547,【ピボット】事業所収支!$A$3,"年月",H$13,"事業所",$A$544)),#N/A)</f>
        <v>586197</v>
      </c>
      <c r="I547" s="483">
        <f>IFERROR(IF(GETPIVOTDATA("合計 / " &amp; $B547,【ピボット】事業所収支!$A$3,"年月",I$13,"事業所",$A$544)=0,#N/A,GETPIVOTDATA("合計 / " &amp; $B547,【ピボット】事業所収支!$A$3,"年月",I$13,"事業所",$A$544)),#N/A)</f>
        <v>596852</v>
      </c>
      <c r="J547" s="483">
        <f>IFERROR(IF(GETPIVOTDATA("合計 / " &amp; $B547,【ピボット】事業所収支!$A$3,"年月",J$13,"事業所",$A$544)=0,#N/A,GETPIVOTDATA("合計 / " &amp; $B547,【ピボット】事業所収支!$A$3,"年月",J$13,"事業所",$A$544)),#N/A)</f>
        <v>581761</v>
      </c>
      <c r="K547" s="483">
        <f>IFERROR(IF(GETPIVOTDATA("合計 / " &amp; $B547,【ピボット】事業所収支!$A$3,"年月",K$13,"事業所",$A$544)=0,#N/A,GETPIVOTDATA("合計 / " &amp; $B547,【ピボット】事業所収支!$A$3,"年月",K$13,"事業所",$A$544)),#N/A)</f>
        <v>660281</v>
      </c>
      <c r="L547" s="483">
        <f>IFERROR(IF(GETPIVOTDATA("合計 / " &amp; $B547,【ピボット】事業所収支!$A$3,"年月",L$13,"事業所",$A$544)=0,#N/A,GETPIVOTDATA("合計 / " &amp; $B547,【ピボット】事業所収支!$A$3,"年月",L$13,"事業所",$A$544)),#N/A)</f>
        <v>566140</v>
      </c>
      <c r="M547" s="483">
        <f>IFERROR(IF(GETPIVOTDATA("合計 / " &amp; $B547,【ピボット】事業所収支!$A$3,"年月",M$13,"事業所",$A$544)=0,#N/A,GETPIVOTDATA("合計 / " &amp; $B547,【ピボット】事業所収支!$A$3,"年月",M$13,"事業所",$A$544)),#N/A)</f>
        <v>670372</v>
      </c>
      <c r="N547" s="483">
        <f>IFERROR(IF(GETPIVOTDATA("合計 / " &amp; $B547,【ピボット】事業所収支!$A$3,"年月",N$13,"事業所",$A$544)=0,#N/A,GETPIVOTDATA("合計 / " &amp; $B547,【ピボット】事業所収支!$A$3,"年月",N$13,"事業所",$A$544)),#N/A)</f>
        <v>508048</v>
      </c>
      <c r="O547" s="483">
        <f>IFERROR(IF(GETPIVOTDATA("合計 / " &amp; $B547,【ピボット】事業所収支!$A$3,"年月",O$13,"事業所",$A$544)=0,#N/A,GETPIVOTDATA("合計 / " &amp; $B547,【ピボット】事業所収支!$A$3,"年月",O$13,"事業所",$A$544)),#N/A)</f>
        <v>616701</v>
      </c>
      <c r="P547" s="483">
        <f>IFERROR(IF(GETPIVOTDATA("合計 / " &amp; $B547,【ピボット】事業所収支!$A$3,"年月",P$13,"事業所",$A$544)=0,#N/A,GETPIVOTDATA("合計 / " &amp; $B547,【ピボット】事業所収支!$A$3,"年月",P$13,"事業所",$A$544)),#N/A)</f>
        <v>655449</v>
      </c>
      <c r="Q547" s="483">
        <f>IFERROR(IF(GETPIVOTDATA("合計 / " &amp; $B547,【ピボット】事業所収支!$A$3,"年月",Q$13,"事業所",$A$544)=0,#N/A,GETPIVOTDATA("合計 / " &amp; $B547,【ピボット】事業所収支!$A$3,"年月",Q$13,"事業所",$A$544)),#N/A)</f>
        <v>529847</v>
      </c>
      <c r="R547" s="483">
        <f>IFERROR(IF(GETPIVOTDATA("合計 / " &amp; $B547,【ピボット】事業所収支!$A$3,"年月",R$13,"事業所",$A$544)=0,#N/A,GETPIVOTDATA("合計 / " &amp; $B547,【ピボット】事業所収支!$A$3,"年月",R$13,"事業所",$A$544)),#N/A)</f>
        <v>527963</v>
      </c>
      <c r="S547" s="483">
        <f>IFERROR(IF(GETPIVOTDATA("合計 / " &amp; $B547,【ピボット】事業所収支!$A$3,"年月",S$13,"事業所",$A$544)=0,#N/A,GETPIVOTDATA("合計 / " &amp; $B547,【ピボット】事業所収支!$A$3,"年月",S$13,"事業所",$A$544)),#N/A)</f>
        <v>385027</v>
      </c>
      <c r="T547" s="483" t="e">
        <f>IFERROR(IF(GETPIVOTDATA("合計 / " &amp; $B547,【ピボット】事業所収支!$A$3,"年月",T$13,"事業所",$A$544)=0,#N/A,GETPIVOTDATA("合計 / " &amp; $B547,【ピボット】事業所収支!$A$3,"年月",T$13,"事業所",$A$544)),#N/A)</f>
        <v>#N/A</v>
      </c>
      <c r="U547" s="483" t="e">
        <f>IFERROR(IF(GETPIVOTDATA("合計 / " &amp; $B547,【ピボット】事業所収支!$A$3,"年月",U$13,"事業所",$A$544)=0,#N/A,GETPIVOTDATA("合計 / " &amp; $B547,【ピボット】事業所収支!$A$3,"年月",U$13,"事業所",$A$544)),#N/A)</f>
        <v>#N/A</v>
      </c>
      <c r="V547" s="483" t="e">
        <f>IFERROR(IF(GETPIVOTDATA("合計 / " &amp; $B547,【ピボット】事業所収支!$A$3,"年月",V$13,"事業所",$A$544)=0,#N/A,GETPIVOTDATA("合計 / " &amp; $B547,【ピボット】事業所収支!$A$3,"年月",V$13,"事業所",$A$544)),#N/A)</f>
        <v>#N/A</v>
      </c>
      <c r="W547" s="483" t="e">
        <f>IFERROR(IF(GETPIVOTDATA("合計 / " &amp; $B547,【ピボット】事業所収支!$A$3,"年月",W$13,"事業所",$A$544)=0,#N/A,GETPIVOTDATA("合計 / " &amp; $B547,【ピボット】事業所収支!$A$3,"年月",W$13,"事業所",$A$544)),#N/A)</f>
        <v>#N/A</v>
      </c>
      <c r="X547" s="483" t="e">
        <f>IFERROR(IF(GETPIVOTDATA("合計 / " &amp; $B547,【ピボット】事業所収支!$A$3,"年月",X$13,"事業所",$A$544)=0,#N/A,GETPIVOTDATA("合計 / " &amp; $B547,【ピボット】事業所収支!$A$3,"年月",X$13,"事業所",$A$544)),#N/A)</f>
        <v>#N/A</v>
      </c>
      <c r="Y547" s="483" t="e">
        <f>IFERROR(IF(GETPIVOTDATA("合計 / " &amp; $B547,【ピボット】事業所収支!$A$3,"年月",Y$13,"事業所",$A$544)=0,#N/A,GETPIVOTDATA("合計 / " &amp; $B547,【ピボット】事業所収支!$A$3,"年月",Y$13,"事業所",$A$544)),#N/A)</f>
        <v>#N/A</v>
      </c>
      <c r="Z547" s="483" t="e">
        <f>IFERROR(IF(GETPIVOTDATA("合計 / " &amp; $B547,【ピボット】事業所収支!$A$3,"年月",Z$13,"事業所",$A$544)=0,#N/A,GETPIVOTDATA("合計 / " &amp; $B547,【ピボット】事業所収支!$A$3,"年月",Z$13,"事業所",$A$544)),#N/A)</f>
        <v>#N/A</v>
      </c>
      <c r="AA547" s="4"/>
    </row>
    <row r="548" spans="2:27" x14ac:dyDescent="0.15">
      <c r="B548" s="8" t="s">
        <v>27</v>
      </c>
      <c r="C548" s="483">
        <f>IFERROR(IF(GETPIVOTDATA("合計 / " &amp; $B548,【ピボット】事業所収支!$A$3,"年月",C$13,"事業所",$A$544)=0,#N/A,GETPIVOTDATA("合計 / " &amp; $B548,【ピボット】事業所収支!$A$3,"年月",C$13,"事業所",$A$544)),#N/A)</f>
        <v>938498</v>
      </c>
      <c r="D548" s="483">
        <f>IFERROR(IF(GETPIVOTDATA("合計 / " &amp; $B548,【ピボット】事業所収支!$A$3,"年月",D$13,"事業所",$A$544)=0,#N/A,GETPIVOTDATA("合計 / " &amp; $B548,【ピボット】事業所収支!$A$3,"年月",D$13,"事業所",$A$544)),#N/A)</f>
        <v>914269</v>
      </c>
      <c r="E548" s="483">
        <f>IFERROR(IF(GETPIVOTDATA("合計 / " &amp; $B548,【ピボット】事業所収支!$A$3,"年月",E$13,"事業所",$A$544)=0,#N/A,GETPIVOTDATA("合計 / " &amp; $B548,【ピボット】事業所収支!$A$3,"年月",E$13,"事業所",$A$544)),#N/A)</f>
        <v>926258</v>
      </c>
      <c r="F548" s="483">
        <f>IFERROR(IF(GETPIVOTDATA("合計 / " &amp; $B548,【ピボット】事業所収支!$A$3,"年月",F$13,"事業所",$A$544)=0,#N/A,GETPIVOTDATA("合計 / " &amp; $B548,【ピボット】事業所収支!$A$3,"年月",F$13,"事業所",$A$544)),#N/A)</f>
        <v>953976</v>
      </c>
      <c r="G548" s="483">
        <f>IFERROR(IF(GETPIVOTDATA("合計 / " &amp; $B548,【ピボット】事業所収支!$A$3,"年月",G$13,"事業所",$A$544)=0,#N/A,GETPIVOTDATA("合計 / " &amp; $B548,【ピボット】事業所収支!$A$3,"年月",G$13,"事業所",$A$544)),#N/A)</f>
        <v>958131</v>
      </c>
      <c r="H548" s="483">
        <f>IFERROR(IF(GETPIVOTDATA("合計 / " &amp; $B548,【ピボット】事業所収支!$A$3,"年月",H$13,"事業所",$A$544)=0,#N/A,GETPIVOTDATA("合計 / " &amp; $B548,【ピボット】事業所収支!$A$3,"年月",H$13,"事業所",$A$544)),#N/A)</f>
        <v>956289</v>
      </c>
      <c r="I548" s="483">
        <f>IFERROR(IF(GETPIVOTDATA("合計 / " &amp; $B548,【ピボット】事業所収支!$A$3,"年月",I$13,"事業所",$A$544)=0,#N/A,GETPIVOTDATA("合計 / " &amp; $B548,【ピボット】事業所収支!$A$3,"年月",I$13,"事業所",$A$544)),#N/A)</f>
        <v>950404</v>
      </c>
      <c r="J548" s="483">
        <f>IFERROR(IF(GETPIVOTDATA("合計 / " &amp; $B548,【ピボット】事業所収支!$A$3,"年月",J$13,"事業所",$A$544)=0,#N/A,GETPIVOTDATA("合計 / " &amp; $B548,【ピボット】事業所収支!$A$3,"年月",J$13,"事業所",$A$544)),#N/A)</f>
        <v>922255</v>
      </c>
      <c r="K548" s="483">
        <f>IFERROR(IF(GETPIVOTDATA("合計 / " &amp; $B548,【ピボット】事業所収支!$A$3,"年月",K$13,"事業所",$A$544)=0,#N/A,GETPIVOTDATA("合計 / " &amp; $B548,【ピボット】事業所収支!$A$3,"年月",K$13,"事業所",$A$544)),#N/A)</f>
        <v>1103227</v>
      </c>
      <c r="L548" s="483">
        <f>IFERROR(IF(GETPIVOTDATA("合計 / " &amp; $B548,【ピボット】事業所収支!$A$3,"年月",L$13,"事業所",$A$544)=0,#N/A,GETPIVOTDATA("合計 / " &amp; $B548,【ピボット】事業所収支!$A$3,"年月",L$13,"事業所",$A$544)),#N/A)</f>
        <v>697207</v>
      </c>
      <c r="M548" s="483">
        <f>IFERROR(IF(GETPIVOTDATA("合計 / " &amp; $B548,【ピボット】事業所収支!$A$3,"年月",M$13,"事業所",$A$544)=0,#N/A,GETPIVOTDATA("合計 / " &amp; $B548,【ピボット】事業所収支!$A$3,"年月",M$13,"事業所",$A$544)),#N/A)</f>
        <v>694235</v>
      </c>
      <c r="N548" s="483">
        <f>IFERROR(IF(GETPIVOTDATA("合計 / " &amp; $B548,【ピボット】事業所収支!$A$3,"年月",N$13,"事業所",$A$544)=0,#N/A,GETPIVOTDATA("合計 / " &amp; $B548,【ピボット】事業所収支!$A$3,"年月",N$13,"事業所",$A$544)),#N/A)</f>
        <v>677000</v>
      </c>
      <c r="O548" s="483">
        <f>IFERROR(IF(GETPIVOTDATA("合計 / " &amp; $B548,【ピボット】事業所収支!$A$3,"年月",O$13,"事業所",$A$544)=0,#N/A,GETPIVOTDATA("合計 / " &amp; $B548,【ピボット】事業所収支!$A$3,"年月",O$13,"事業所",$A$544)),#N/A)</f>
        <v>300000</v>
      </c>
      <c r="P548" s="483">
        <f>IFERROR(IF(GETPIVOTDATA("合計 / " &amp; $B548,【ピボット】事業所収支!$A$3,"年月",P$13,"事業所",$A$544)=0,#N/A,GETPIVOTDATA("合計 / " &amp; $B548,【ピボット】事業所収支!$A$3,"年月",P$13,"事業所",$A$544)),#N/A)</f>
        <v>300000</v>
      </c>
      <c r="Q548" s="483">
        <f>IFERROR(IF(GETPIVOTDATA("合計 / " &amp; $B548,【ピボット】事業所収支!$A$3,"年月",Q$13,"事業所",$A$544)=0,#N/A,GETPIVOTDATA("合計 / " &amp; $B548,【ピボット】事業所収支!$A$3,"年月",Q$13,"事業所",$A$544)),#N/A)</f>
        <v>300000</v>
      </c>
      <c r="R548" s="483">
        <f>IFERROR(IF(GETPIVOTDATA("合計 / " &amp; $B548,【ピボット】事業所収支!$A$3,"年月",R$13,"事業所",$A$544)=0,#N/A,GETPIVOTDATA("合計 / " &amp; $B548,【ピボット】事業所収支!$A$3,"年月",R$13,"事業所",$A$544)),#N/A)</f>
        <v>300000</v>
      </c>
      <c r="S548" s="483">
        <f>IFERROR(IF(GETPIVOTDATA("合計 / " &amp; $B548,【ピボット】事業所収支!$A$3,"年月",S$13,"事業所",$A$544)=0,#N/A,GETPIVOTDATA("合計 / " &amp; $B548,【ピボット】事業所収支!$A$3,"年月",S$13,"事業所",$A$544)),#N/A)</f>
        <v>300000</v>
      </c>
      <c r="T548" s="483" t="e">
        <f>IFERROR(IF(GETPIVOTDATA("合計 / " &amp; $B548,【ピボット】事業所収支!$A$3,"年月",T$13,"事業所",$A$544)=0,#N/A,GETPIVOTDATA("合計 / " &amp; $B548,【ピボット】事業所収支!$A$3,"年月",T$13,"事業所",$A$544)),#N/A)</f>
        <v>#N/A</v>
      </c>
      <c r="U548" s="483" t="e">
        <f>IFERROR(IF(GETPIVOTDATA("合計 / " &amp; $B548,【ピボット】事業所収支!$A$3,"年月",U$13,"事業所",$A$544)=0,#N/A,GETPIVOTDATA("合計 / " &amp; $B548,【ピボット】事業所収支!$A$3,"年月",U$13,"事業所",$A$544)),#N/A)</f>
        <v>#N/A</v>
      </c>
      <c r="V548" s="483" t="e">
        <f>IFERROR(IF(GETPIVOTDATA("合計 / " &amp; $B548,【ピボット】事業所収支!$A$3,"年月",V$13,"事業所",$A$544)=0,#N/A,GETPIVOTDATA("合計 / " &amp; $B548,【ピボット】事業所収支!$A$3,"年月",V$13,"事業所",$A$544)),#N/A)</f>
        <v>#N/A</v>
      </c>
      <c r="W548" s="483" t="e">
        <f>IFERROR(IF(GETPIVOTDATA("合計 / " &amp; $B548,【ピボット】事業所収支!$A$3,"年月",W$13,"事業所",$A$544)=0,#N/A,GETPIVOTDATA("合計 / " &amp; $B548,【ピボット】事業所収支!$A$3,"年月",W$13,"事業所",$A$544)),#N/A)</f>
        <v>#N/A</v>
      </c>
      <c r="X548" s="483" t="e">
        <f>IFERROR(IF(GETPIVOTDATA("合計 / " &amp; $B548,【ピボット】事業所収支!$A$3,"年月",X$13,"事業所",$A$544)=0,#N/A,GETPIVOTDATA("合計 / " &amp; $B548,【ピボット】事業所収支!$A$3,"年月",X$13,"事業所",$A$544)),#N/A)</f>
        <v>#N/A</v>
      </c>
      <c r="Y548" s="483" t="e">
        <f>IFERROR(IF(GETPIVOTDATA("合計 / " &amp; $B548,【ピボット】事業所収支!$A$3,"年月",Y$13,"事業所",$A$544)=0,#N/A,GETPIVOTDATA("合計 / " &amp; $B548,【ピボット】事業所収支!$A$3,"年月",Y$13,"事業所",$A$544)),#N/A)</f>
        <v>#N/A</v>
      </c>
      <c r="Z548" s="483" t="e">
        <f>IFERROR(IF(GETPIVOTDATA("合計 / " &amp; $B548,【ピボット】事業所収支!$A$3,"年月",Z$13,"事業所",$A$544)=0,#N/A,GETPIVOTDATA("合計 / " &amp; $B548,【ピボット】事業所収支!$A$3,"年月",Z$13,"事業所",$A$544)),#N/A)</f>
        <v>#N/A</v>
      </c>
      <c r="AA548" s="1"/>
    </row>
    <row r="549" spans="2:27" x14ac:dyDescent="0.15">
      <c r="B549" s="8" t="s">
        <v>60</v>
      </c>
      <c r="C549" s="483" t="e">
        <f>IFERROR(IF(GETPIVOTDATA("合計 / " &amp; $B549,【ピボット】事業所収支!$A$3,"年月",C$13,"事業所",$A$544)=0,#N/A,GETPIVOTDATA("合計 / " &amp; $B549,【ピボット】事業所収支!$A$3,"年月",C$13,"事業所",$A$544)),#N/A)</f>
        <v>#N/A</v>
      </c>
      <c r="D549" s="483" t="e">
        <f>IFERROR(IF(GETPIVOTDATA("合計 / " &amp; $B549,【ピボット】事業所収支!$A$3,"年月",D$13,"事業所",$A$544)=0,#N/A,GETPIVOTDATA("合計 / " &amp; $B549,【ピボット】事業所収支!$A$3,"年月",D$13,"事業所",$A$544)),#N/A)</f>
        <v>#N/A</v>
      </c>
      <c r="E549" s="483" t="e">
        <f>IFERROR(IF(GETPIVOTDATA("合計 / " &amp; $B549,【ピボット】事業所収支!$A$3,"年月",E$13,"事業所",$A$544)=0,#N/A,GETPIVOTDATA("合計 / " &amp; $B549,【ピボット】事業所収支!$A$3,"年月",E$13,"事業所",$A$544)),#N/A)</f>
        <v>#N/A</v>
      </c>
      <c r="F549" s="483">
        <f>IFERROR(IF(GETPIVOTDATA("合計 / " &amp; $B549,【ピボット】事業所収支!$A$3,"年月",F$13,"事業所",$A$544)=0,#N/A,GETPIVOTDATA("合計 / " &amp; $B549,【ピボット】事業所収支!$A$3,"年月",F$13,"事業所",$A$544)),#N/A)</f>
        <v>120000</v>
      </c>
      <c r="G549" s="483" t="e">
        <f>IFERROR(IF(GETPIVOTDATA("合計 / " &amp; $B549,【ピボット】事業所収支!$A$3,"年月",G$13,"事業所",$A$544)=0,#N/A,GETPIVOTDATA("合計 / " &amp; $B549,【ピボット】事業所収支!$A$3,"年月",G$13,"事業所",$A$544)),#N/A)</f>
        <v>#N/A</v>
      </c>
      <c r="H549" s="483" t="e">
        <f>IFERROR(IF(GETPIVOTDATA("合計 / " &amp; $B549,【ピボット】事業所収支!$A$3,"年月",H$13,"事業所",$A$544)=0,#N/A,GETPIVOTDATA("合計 / " &amp; $B549,【ピボット】事業所収支!$A$3,"年月",H$13,"事業所",$A$544)),#N/A)</f>
        <v>#N/A</v>
      </c>
      <c r="I549" s="483" t="e">
        <f>IFERROR(IF(GETPIVOTDATA("合計 / " &amp; $B549,【ピボット】事業所収支!$A$3,"年月",I$13,"事業所",$A$544)=0,#N/A,GETPIVOTDATA("合計 / " &amp; $B549,【ピボット】事業所収支!$A$3,"年月",I$13,"事業所",$A$544)),#N/A)</f>
        <v>#N/A</v>
      </c>
      <c r="J549" s="483">
        <f>IFERROR(IF(GETPIVOTDATA("合計 / " &amp; $B549,【ピボット】事業所収支!$A$3,"年月",J$13,"事業所",$A$544)=0,#N/A,GETPIVOTDATA("合計 / " &amp; $B549,【ピボット】事業所収支!$A$3,"年月",J$13,"事業所",$A$544)),#N/A)</f>
        <v>380000</v>
      </c>
      <c r="K549" s="483" t="e">
        <f>IFERROR(IF(GETPIVOTDATA("合計 / " &amp; $B549,【ピボット】事業所収支!$A$3,"年月",K$13,"事業所",$A$544)=0,#N/A,GETPIVOTDATA("合計 / " &amp; $B549,【ピボット】事業所収支!$A$3,"年月",K$13,"事業所",$A$544)),#N/A)</f>
        <v>#N/A</v>
      </c>
      <c r="L549" s="483" t="e">
        <f>IFERROR(IF(GETPIVOTDATA("合計 / " &amp; $B549,【ピボット】事業所収支!$A$3,"年月",L$13,"事業所",$A$544)=0,#N/A,GETPIVOTDATA("合計 / " &amp; $B549,【ピボット】事業所収支!$A$3,"年月",L$13,"事業所",$A$544)),#N/A)</f>
        <v>#N/A</v>
      </c>
      <c r="M549" s="483" t="e">
        <f>IFERROR(IF(GETPIVOTDATA("合計 / " &amp; $B549,【ピボット】事業所収支!$A$3,"年月",M$13,"事業所",$A$544)=0,#N/A,GETPIVOTDATA("合計 / " &amp; $B549,【ピボット】事業所収支!$A$3,"年月",M$13,"事業所",$A$544)),#N/A)</f>
        <v>#N/A</v>
      </c>
      <c r="N549" s="483" t="e">
        <f>IFERROR(IF(GETPIVOTDATA("合計 / " &amp; $B549,【ピボット】事業所収支!$A$3,"年月",N$13,"事業所",$A$544)=0,#N/A,GETPIVOTDATA("合計 / " &amp; $B549,【ピボット】事業所収支!$A$3,"年月",N$13,"事業所",$A$544)),#N/A)</f>
        <v>#N/A</v>
      </c>
      <c r="O549" s="483" t="e">
        <f>IFERROR(IF(GETPIVOTDATA("合計 / " &amp; $B549,【ピボット】事業所収支!$A$3,"年月",O$13,"事業所",$A$544)=0,#N/A,GETPIVOTDATA("合計 / " &amp; $B549,【ピボット】事業所収支!$A$3,"年月",O$13,"事業所",$A$544)),#N/A)</f>
        <v>#N/A</v>
      </c>
      <c r="P549" s="483" t="e">
        <f>IFERROR(IF(GETPIVOTDATA("合計 / " &amp; $B549,【ピボット】事業所収支!$A$3,"年月",P$13,"事業所",$A$544)=0,#N/A,GETPIVOTDATA("合計 / " &amp; $B549,【ピボット】事業所収支!$A$3,"年月",P$13,"事業所",$A$544)),#N/A)</f>
        <v>#N/A</v>
      </c>
      <c r="Q549" s="483" t="e">
        <f>IFERROR(IF(GETPIVOTDATA("合計 / " &amp; $B549,【ピボット】事業所収支!$A$3,"年月",Q$13,"事業所",$A$544)=0,#N/A,GETPIVOTDATA("合計 / " &amp; $B549,【ピボット】事業所収支!$A$3,"年月",Q$13,"事業所",$A$544)),#N/A)</f>
        <v>#N/A</v>
      </c>
      <c r="R549" s="483" t="e">
        <f>IFERROR(IF(GETPIVOTDATA("合計 / " &amp; $B549,【ピボット】事業所収支!$A$3,"年月",R$13,"事業所",$A$544)=0,#N/A,GETPIVOTDATA("合計 / " &amp; $B549,【ピボット】事業所収支!$A$3,"年月",R$13,"事業所",$A$544)),#N/A)</f>
        <v>#N/A</v>
      </c>
      <c r="S549" s="483" t="e">
        <f>IFERROR(IF(GETPIVOTDATA("合計 / " &amp; $B549,【ピボット】事業所収支!$A$3,"年月",S$13,"事業所",$A$544)=0,#N/A,GETPIVOTDATA("合計 / " &amp; $B549,【ピボット】事業所収支!$A$3,"年月",S$13,"事業所",$A$544)),#N/A)</f>
        <v>#N/A</v>
      </c>
      <c r="T549" s="483" t="e">
        <f>IFERROR(IF(GETPIVOTDATA("合計 / " &amp; $B549,【ピボット】事業所収支!$A$3,"年月",T$13,"事業所",$A$544)=0,#N/A,GETPIVOTDATA("合計 / " &amp; $B549,【ピボット】事業所収支!$A$3,"年月",T$13,"事業所",$A$544)),#N/A)</f>
        <v>#N/A</v>
      </c>
      <c r="U549" s="483" t="e">
        <f>IFERROR(IF(GETPIVOTDATA("合計 / " &amp; $B549,【ピボット】事業所収支!$A$3,"年月",U$13,"事業所",$A$544)=0,#N/A,GETPIVOTDATA("合計 / " &amp; $B549,【ピボット】事業所収支!$A$3,"年月",U$13,"事業所",$A$544)),#N/A)</f>
        <v>#N/A</v>
      </c>
      <c r="V549" s="483" t="e">
        <f>IFERROR(IF(GETPIVOTDATA("合計 / " &amp; $B549,【ピボット】事業所収支!$A$3,"年月",V$13,"事業所",$A$544)=0,#N/A,GETPIVOTDATA("合計 / " &amp; $B549,【ピボット】事業所収支!$A$3,"年月",V$13,"事業所",$A$544)),#N/A)</f>
        <v>#N/A</v>
      </c>
      <c r="W549" s="483" t="e">
        <f>IFERROR(IF(GETPIVOTDATA("合計 / " &amp; $B549,【ピボット】事業所収支!$A$3,"年月",W$13,"事業所",$A$544)=0,#N/A,GETPIVOTDATA("合計 / " &amp; $B549,【ピボット】事業所収支!$A$3,"年月",W$13,"事業所",$A$544)),#N/A)</f>
        <v>#N/A</v>
      </c>
      <c r="X549" s="483" t="e">
        <f>IFERROR(IF(GETPIVOTDATA("合計 / " &amp; $B549,【ピボット】事業所収支!$A$3,"年月",X$13,"事業所",$A$544)=0,#N/A,GETPIVOTDATA("合計 / " &amp; $B549,【ピボット】事業所収支!$A$3,"年月",X$13,"事業所",$A$544)),#N/A)</f>
        <v>#N/A</v>
      </c>
      <c r="Y549" s="483" t="e">
        <f>IFERROR(IF(GETPIVOTDATA("合計 / " &amp; $B549,【ピボット】事業所収支!$A$3,"年月",Y$13,"事業所",$A$544)=0,#N/A,GETPIVOTDATA("合計 / " &amp; $B549,【ピボット】事業所収支!$A$3,"年月",Y$13,"事業所",$A$544)),#N/A)</f>
        <v>#N/A</v>
      </c>
      <c r="Z549" s="483" t="e">
        <f>IFERROR(IF(GETPIVOTDATA("合計 / " &amp; $B549,【ピボット】事業所収支!$A$3,"年月",Z$13,"事業所",$A$544)=0,#N/A,GETPIVOTDATA("合計 / " &amp; $B549,【ピボット】事業所収支!$A$3,"年月",Z$13,"事業所",$A$544)),#N/A)</f>
        <v>#N/A</v>
      </c>
    </row>
    <row r="550" spans="2:27" x14ac:dyDescent="0.15">
      <c r="B550" s="8" t="s">
        <v>50</v>
      </c>
      <c r="C550" s="483" t="e">
        <f>IFERROR(IF(GETPIVOTDATA("合計 / " &amp; $B550,【ピボット】事業所収支!$A$3,"年月",C$13,"事業所",$A$544)=0,#N/A,GETPIVOTDATA("合計 / " &amp; $B550,【ピボット】事業所収支!$A$3,"年月",C$13,"事業所",$A$544)),#N/A)</f>
        <v>#N/A</v>
      </c>
      <c r="D550" s="483" t="e">
        <f>IFERROR(IF(GETPIVOTDATA("合計 / " &amp; $B550,【ピボット】事業所収支!$A$3,"年月",D$13,"事業所",$A$544)=0,#N/A,GETPIVOTDATA("合計 / " &amp; $B550,【ピボット】事業所収支!$A$3,"年月",D$13,"事業所",$A$544)),#N/A)</f>
        <v>#N/A</v>
      </c>
      <c r="E550" s="483" t="e">
        <f>IFERROR(IF(GETPIVOTDATA("合計 / " &amp; $B550,【ピボット】事業所収支!$A$3,"年月",E$13,"事業所",$A$544)=0,#N/A,GETPIVOTDATA("合計 / " &amp; $B550,【ピボット】事業所収支!$A$3,"年月",E$13,"事業所",$A$544)),#N/A)</f>
        <v>#N/A</v>
      </c>
      <c r="F550" s="483" t="e">
        <f>IFERROR(IF(GETPIVOTDATA("合計 / " &amp; $B550,【ピボット】事業所収支!$A$3,"年月",F$13,"事業所",$A$544)=0,#N/A,GETPIVOTDATA("合計 / " &amp; $B550,【ピボット】事業所収支!$A$3,"年月",F$13,"事業所",$A$544)),#N/A)</f>
        <v>#N/A</v>
      </c>
      <c r="G550" s="483" t="e">
        <f>IFERROR(IF(GETPIVOTDATA("合計 / " &amp; $B550,【ピボット】事業所収支!$A$3,"年月",G$13,"事業所",$A$544)=0,#N/A,GETPIVOTDATA("合計 / " &amp; $B550,【ピボット】事業所収支!$A$3,"年月",G$13,"事業所",$A$544)),#N/A)</f>
        <v>#N/A</v>
      </c>
      <c r="H550" s="483" t="e">
        <f>IFERROR(IF(GETPIVOTDATA("合計 / " &amp; $B550,【ピボット】事業所収支!$A$3,"年月",H$13,"事業所",$A$544)=0,#N/A,GETPIVOTDATA("合計 / " &amp; $B550,【ピボット】事業所収支!$A$3,"年月",H$13,"事業所",$A$544)),#N/A)</f>
        <v>#N/A</v>
      </c>
      <c r="I550" s="483" t="e">
        <f>IFERROR(IF(GETPIVOTDATA("合計 / " &amp; $B550,【ピボット】事業所収支!$A$3,"年月",I$13,"事業所",$A$544)=0,#N/A,GETPIVOTDATA("合計 / " &amp; $B550,【ピボット】事業所収支!$A$3,"年月",I$13,"事業所",$A$544)),#N/A)</f>
        <v>#N/A</v>
      </c>
      <c r="J550" s="483" t="e">
        <f>IFERROR(IF(GETPIVOTDATA("合計 / " &amp; $B550,【ピボット】事業所収支!$A$3,"年月",J$13,"事業所",$A$544)=0,#N/A,GETPIVOTDATA("合計 / " &amp; $B550,【ピボット】事業所収支!$A$3,"年月",J$13,"事業所",$A$544)),#N/A)</f>
        <v>#N/A</v>
      </c>
      <c r="K550" s="483" t="e">
        <f>IFERROR(IF(GETPIVOTDATA("合計 / " &amp; $B550,【ピボット】事業所収支!$A$3,"年月",K$13,"事業所",$A$544)=0,#N/A,GETPIVOTDATA("合計 / " &amp; $B550,【ピボット】事業所収支!$A$3,"年月",K$13,"事業所",$A$544)),#N/A)</f>
        <v>#N/A</v>
      </c>
      <c r="L550" s="483" t="e">
        <f>IFERROR(IF(GETPIVOTDATA("合計 / " &amp; $B550,【ピボット】事業所収支!$A$3,"年月",L$13,"事業所",$A$544)=0,#N/A,GETPIVOTDATA("合計 / " &amp; $B550,【ピボット】事業所収支!$A$3,"年月",L$13,"事業所",$A$544)),#N/A)</f>
        <v>#N/A</v>
      </c>
      <c r="M550" s="483" t="e">
        <f>IFERROR(IF(GETPIVOTDATA("合計 / " &amp; $B550,【ピボット】事業所収支!$A$3,"年月",M$13,"事業所",$A$544)=0,#N/A,GETPIVOTDATA("合計 / " &amp; $B550,【ピボット】事業所収支!$A$3,"年月",M$13,"事業所",$A$544)),#N/A)</f>
        <v>#N/A</v>
      </c>
      <c r="N550" s="483" t="e">
        <f>IFERROR(IF(GETPIVOTDATA("合計 / " &amp; $B550,【ピボット】事業所収支!$A$3,"年月",N$13,"事業所",$A$544)=0,#N/A,GETPIVOTDATA("合計 / " &amp; $B550,【ピボット】事業所収支!$A$3,"年月",N$13,"事業所",$A$544)),#N/A)</f>
        <v>#N/A</v>
      </c>
      <c r="O550" s="483" t="e">
        <f>IFERROR(IF(GETPIVOTDATA("合計 / " &amp; $B550,【ピボット】事業所収支!$A$3,"年月",O$13,"事業所",$A$544)=0,#N/A,GETPIVOTDATA("合計 / " &amp; $B550,【ピボット】事業所収支!$A$3,"年月",O$13,"事業所",$A$544)),#N/A)</f>
        <v>#N/A</v>
      </c>
      <c r="P550" s="483" t="e">
        <f>IFERROR(IF(GETPIVOTDATA("合計 / " &amp; $B550,【ピボット】事業所収支!$A$3,"年月",P$13,"事業所",$A$544)=0,#N/A,GETPIVOTDATA("合計 / " &amp; $B550,【ピボット】事業所収支!$A$3,"年月",P$13,"事業所",$A$544)),#N/A)</f>
        <v>#N/A</v>
      </c>
      <c r="Q550" s="483" t="e">
        <f>IFERROR(IF(GETPIVOTDATA("合計 / " &amp; $B550,【ピボット】事業所収支!$A$3,"年月",Q$13,"事業所",$A$544)=0,#N/A,GETPIVOTDATA("合計 / " &amp; $B550,【ピボット】事業所収支!$A$3,"年月",Q$13,"事業所",$A$544)),#N/A)</f>
        <v>#N/A</v>
      </c>
      <c r="R550" s="483" t="e">
        <f>IFERROR(IF(GETPIVOTDATA("合計 / " &amp; $B550,【ピボット】事業所収支!$A$3,"年月",R$13,"事業所",$A$544)=0,#N/A,GETPIVOTDATA("合計 / " &amp; $B550,【ピボット】事業所収支!$A$3,"年月",R$13,"事業所",$A$544)),#N/A)</f>
        <v>#N/A</v>
      </c>
      <c r="S550" s="483" t="e">
        <f>IFERROR(IF(GETPIVOTDATA("合計 / " &amp; $B550,【ピボット】事業所収支!$A$3,"年月",S$13,"事業所",$A$544)=0,#N/A,GETPIVOTDATA("合計 / " &amp; $B550,【ピボット】事業所収支!$A$3,"年月",S$13,"事業所",$A$544)),#N/A)</f>
        <v>#N/A</v>
      </c>
      <c r="T550" s="483" t="e">
        <f>IFERROR(IF(GETPIVOTDATA("合計 / " &amp; $B550,【ピボット】事業所収支!$A$3,"年月",T$13,"事業所",$A$544)=0,#N/A,GETPIVOTDATA("合計 / " &amp; $B550,【ピボット】事業所収支!$A$3,"年月",T$13,"事業所",$A$544)),#N/A)</f>
        <v>#N/A</v>
      </c>
      <c r="U550" s="483" t="e">
        <f>IFERROR(IF(GETPIVOTDATA("合計 / " &amp; $B550,【ピボット】事業所収支!$A$3,"年月",U$13,"事業所",$A$544)=0,#N/A,GETPIVOTDATA("合計 / " &amp; $B550,【ピボット】事業所収支!$A$3,"年月",U$13,"事業所",$A$544)),#N/A)</f>
        <v>#N/A</v>
      </c>
      <c r="V550" s="483" t="e">
        <f>IFERROR(IF(GETPIVOTDATA("合計 / " &amp; $B550,【ピボット】事業所収支!$A$3,"年月",V$13,"事業所",$A$544)=0,#N/A,GETPIVOTDATA("合計 / " &amp; $B550,【ピボット】事業所収支!$A$3,"年月",V$13,"事業所",$A$544)),#N/A)</f>
        <v>#N/A</v>
      </c>
      <c r="W550" s="483" t="e">
        <f>IFERROR(IF(GETPIVOTDATA("合計 / " &amp; $B550,【ピボット】事業所収支!$A$3,"年月",W$13,"事業所",$A$544)=0,#N/A,GETPIVOTDATA("合計 / " &amp; $B550,【ピボット】事業所収支!$A$3,"年月",W$13,"事業所",$A$544)),#N/A)</f>
        <v>#N/A</v>
      </c>
      <c r="X550" s="483" t="e">
        <f>IFERROR(IF(GETPIVOTDATA("合計 / " &amp; $B550,【ピボット】事業所収支!$A$3,"年月",X$13,"事業所",$A$544)=0,#N/A,GETPIVOTDATA("合計 / " &amp; $B550,【ピボット】事業所収支!$A$3,"年月",X$13,"事業所",$A$544)),#N/A)</f>
        <v>#N/A</v>
      </c>
      <c r="Y550" s="483" t="e">
        <f>IFERROR(IF(GETPIVOTDATA("合計 / " &amp; $B550,【ピボット】事業所収支!$A$3,"年月",Y$13,"事業所",$A$544)=0,#N/A,GETPIVOTDATA("合計 / " &amp; $B550,【ピボット】事業所収支!$A$3,"年月",Y$13,"事業所",$A$544)),#N/A)</f>
        <v>#N/A</v>
      </c>
      <c r="Z550" s="483" t="e">
        <f>IFERROR(IF(GETPIVOTDATA("合計 / " &amp; $B550,【ピボット】事業所収支!$A$3,"年月",Z$13,"事業所",$A$544)=0,#N/A,GETPIVOTDATA("合計 / " &amp; $B550,【ピボット】事業所収支!$A$3,"年月",Z$13,"事業所",$A$544)),#N/A)</f>
        <v>#N/A</v>
      </c>
    </row>
    <row r="551" spans="2:27" x14ac:dyDescent="0.15">
      <c r="B551" s="9" t="s">
        <v>29</v>
      </c>
      <c r="C551" s="483">
        <f>IFERROR(IF(GETPIVOTDATA("合計 / " &amp; $B551,【ピボット】事業所収支!$A$3,"年月",C$13,"事業所",$A$544)=0,#N/A,GETPIVOTDATA("合計 / " &amp; $B551,【ピボット】事業所収支!$A$3,"年月",C$13,"事業所",$A$544)),#N/A)</f>
        <v>99886</v>
      </c>
      <c r="D551" s="483">
        <f>IFERROR(IF(GETPIVOTDATA("合計 / " &amp; $B551,【ピボット】事業所収支!$A$3,"年月",D$13,"事業所",$A$544)=0,#N/A,GETPIVOTDATA("合計 / " &amp; $B551,【ピボット】事業所収支!$A$3,"年月",D$13,"事業所",$A$544)),#N/A)</f>
        <v>113543</v>
      </c>
      <c r="E551" s="483">
        <f>IFERROR(IF(GETPIVOTDATA("合計 / " &amp; $B551,【ピボット】事業所収支!$A$3,"年月",E$13,"事業所",$A$544)=0,#N/A,GETPIVOTDATA("合計 / " &amp; $B551,【ピボット】事業所収支!$A$3,"年月",E$13,"事業所",$A$544)),#N/A)</f>
        <v>176134</v>
      </c>
      <c r="F551" s="483">
        <f>IFERROR(IF(GETPIVOTDATA("合計 / " &amp; $B551,【ピボット】事業所収支!$A$3,"年月",F$13,"事業所",$A$544)=0,#N/A,GETPIVOTDATA("合計 / " &amp; $B551,【ピボット】事業所収支!$A$3,"年月",F$13,"事業所",$A$544)),#N/A)</f>
        <v>113251</v>
      </c>
      <c r="G551" s="483">
        <f>IFERROR(IF(GETPIVOTDATA("合計 / " &amp; $B551,【ピボット】事業所収支!$A$3,"年月",G$13,"事業所",$A$544)=0,#N/A,GETPIVOTDATA("合計 / " &amp; $B551,【ピボット】事業所収支!$A$3,"年月",G$13,"事業所",$A$544)),#N/A)</f>
        <v>105380</v>
      </c>
      <c r="H551" s="483">
        <f>IFERROR(IF(GETPIVOTDATA("合計 / " &amp; $B551,【ピボット】事業所収支!$A$3,"年月",H$13,"事業所",$A$544)=0,#N/A,GETPIVOTDATA("合計 / " &amp; $B551,【ピボット】事業所収支!$A$3,"年月",H$13,"事業所",$A$544)),#N/A)</f>
        <v>163520</v>
      </c>
      <c r="I551" s="483">
        <f>IFERROR(IF(GETPIVOTDATA("合計 / " &amp; $B551,【ピボット】事業所収支!$A$3,"年月",I$13,"事業所",$A$544)=0,#N/A,GETPIVOTDATA("合計 / " &amp; $B551,【ピボット】事業所収支!$A$3,"年月",I$13,"事業所",$A$544)),#N/A)</f>
        <v>147133</v>
      </c>
      <c r="J551" s="483">
        <f>IFERROR(IF(GETPIVOTDATA("合計 / " &amp; $B551,【ピボット】事業所収支!$A$3,"年月",J$13,"事業所",$A$544)=0,#N/A,GETPIVOTDATA("合計 / " &amp; $B551,【ピボット】事業所収支!$A$3,"年月",J$13,"事業所",$A$544)),#N/A)</f>
        <v>-21590.013214222141</v>
      </c>
      <c r="K551" s="483">
        <f>IFERROR(IF(GETPIVOTDATA("合計 / " &amp; $B551,【ピボット】事業所収支!$A$3,"年月",K$13,"事業所",$A$544)=0,#N/A,GETPIVOTDATA("合計 / " &amp; $B551,【ピボット】事業所収支!$A$3,"年月",K$13,"事業所",$A$544)),#N/A)</f>
        <v>524770</v>
      </c>
      <c r="L551" s="483">
        <f>IFERROR(IF(GETPIVOTDATA("合計 / " &amp; $B551,【ピボット】事業所収支!$A$3,"年月",L$13,"事業所",$A$544)=0,#N/A,GETPIVOTDATA("合計 / " &amp; $B551,【ピボット】事業所収支!$A$3,"年月",L$13,"事業所",$A$544)),#N/A)</f>
        <v>50562</v>
      </c>
      <c r="M551" s="483">
        <f>IFERROR(IF(GETPIVOTDATA("合計 / " &amp; $B551,【ピボット】事業所収支!$A$3,"年月",M$13,"事業所",$A$544)=0,#N/A,GETPIVOTDATA("合計 / " &amp; $B551,【ピボット】事業所収支!$A$3,"年月",M$13,"事業所",$A$544)),#N/A)</f>
        <v>55981</v>
      </c>
      <c r="N551" s="483">
        <f>IFERROR(IF(GETPIVOTDATA("合計 / " &amp; $B551,【ピボット】事業所収支!$A$3,"年月",N$13,"事業所",$A$544)=0,#N/A,GETPIVOTDATA("合計 / " &amp; $B551,【ピボット】事業所収支!$A$3,"年月",N$13,"事業所",$A$544)),#N/A)</f>
        <v>46590</v>
      </c>
      <c r="O551" s="483" t="e">
        <f>IFERROR(IF(GETPIVOTDATA("合計 / " &amp; $B551,【ピボット】事業所収支!$A$3,"年月",O$13,"事業所",$A$544)=0,#N/A,GETPIVOTDATA("合計 / " &amp; $B551,【ピボット】事業所収支!$A$3,"年月",O$13,"事業所",$A$544)),#N/A)</f>
        <v>#N/A</v>
      </c>
      <c r="P551" s="483" t="e">
        <f>IFERROR(IF(GETPIVOTDATA("合計 / " &amp; $B551,【ピボット】事業所収支!$A$3,"年月",P$13,"事業所",$A$544)=0,#N/A,GETPIVOTDATA("合計 / " &amp; $B551,【ピボット】事業所収支!$A$3,"年月",P$13,"事業所",$A$544)),#N/A)</f>
        <v>#N/A</v>
      </c>
      <c r="Q551" s="483" t="e">
        <f>IFERROR(IF(GETPIVOTDATA("合計 / " &amp; $B551,【ピボット】事業所収支!$A$3,"年月",Q$13,"事業所",$A$544)=0,#N/A,GETPIVOTDATA("合計 / " &amp; $B551,【ピボット】事業所収支!$A$3,"年月",Q$13,"事業所",$A$544)),#N/A)</f>
        <v>#N/A</v>
      </c>
      <c r="R551" s="483" t="e">
        <f>IFERROR(IF(GETPIVOTDATA("合計 / " &amp; $B551,【ピボット】事業所収支!$A$3,"年月",R$13,"事業所",$A$544)=0,#N/A,GETPIVOTDATA("合計 / " &amp; $B551,【ピボット】事業所収支!$A$3,"年月",R$13,"事業所",$A$544)),#N/A)</f>
        <v>#N/A</v>
      </c>
      <c r="S551" s="483" t="e">
        <f>IFERROR(IF(GETPIVOTDATA("合計 / " &amp; $B551,【ピボット】事業所収支!$A$3,"年月",S$13,"事業所",$A$544)=0,#N/A,GETPIVOTDATA("合計 / " &amp; $B551,【ピボット】事業所収支!$A$3,"年月",S$13,"事業所",$A$544)),#N/A)</f>
        <v>#N/A</v>
      </c>
      <c r="T551" s="483" t="e">
        <f>IFERROR(IF(GETPIVOTDATA("合計 / " &amp; $B551,【ピボット】事業所収支!$A$3,"年月",T$13,"事業所",$A$544)=0,#N/A,GETPIVOTDATA("合計 / " &amp; $B551,【ピボット】事業所収支!$A$3,"年月",T$13,"事業所",$A$544)),#N/A)</f>
        <v>#N/A</v>
      </c>
      <c r="U551" s="483" t="e">
        <f>IFERROR(IF(GETPIVOTDATA("合計 / " &amp; $B551,【ピボット】事業所収支!$A$3,"年月",U$13,"事業所",$A$544)=0,#N/A,GETPIVOTDATA("合計 / " &amp; $B551,【ピボット】事業所収支!$A$3,"年月",U$13,"事業所",$A$544)),#N/A)</f>
        <v>#N/A</v>
      </c>
      <c r="V551" s="483" t="e">
        <f>IFERROR(IF(GETPIVOTDATA("合計 / " &amp; $B551,【ピボット】事業所収支!$A$3,"年月",V$13,"事業所",$A$544)=0,#N/A,GETPIVOTDATA("合計 / " &amp; $B551,【ピボット】事業所収支!$A$3,"年月",V$13,"事業所",$A$544)),#N/A)</f>
        <v>#N/A</v>
      </c>
      <c r="W551" s="483" t="e">
        <f>IFERROR(IF(GETPIVOTDATA("合計 / " &amp; $B551,【ピボット】事業所収支!$A$3,"年月",W$13,"事業所",$A$544)=0,#N/A,GETPIVOTDATA("合計 / " &amp; $B551,【ピボット】事業所収支!$A$3,"年月",W$13,"事業所",$A$544)),#N/A)</f>
        <v>#N/A</v>
      </c>
      <c r="X551" s="483" t="e">
        <f>IFERROR(IF(GETPIVOTDATA("合計 / " &amp; $B551,【ピボット】事業所収支!$A$3,"年月",X$13,"事業所",$A$544)=0,#N/A,GETPIVOTDATA("合計 / " &amp; $B551,【ピボット】事業所収支!$A$3,"年月",X$13,"事業所",$A$544)),#N/A)</f>
        <v>#N/A</v>
      </c>
      <c r="Y551" s="483" t="e">
        <f>IFERROR(IF(GETPIVOTDATA("合計 / " &amp; $B551,【ピボット】事業所収支!$A$3,"年月",Y$13,"事業所",$A$544)=0,#N/A,GETPIVOTDATA("合計 / " &amp; $B551,【ピボット】事業所収支!$A$3,"年月",Y$13,"事業所",$A$544)),#N/A)</f>
        <v>#N/A</v>
      </c>
      <c r="Z551" s="483" t="e">
        <f>IFERROR(IF(GETPIVOTDATA("合計 / " &amp; $B551,【ピボット】事業所収支!$A$3,"年月",Z$13,"事業所",$A$544)=0,#N/A,GETPIVOTDATA("合計 / " &amp; $B551,【ピボット】事業所収支!$A$3,"年月",Z$13,"事業所",$A$544)),#N/A)</f>
        <v>#N/A</v>
      </c>
      <c r="AA551" s="4"/>
    </row>
    <row r="552" spans="2:27" x14ac:dyDescent="0.15">
      <c r="B552" s="9" t="s">
        <v>51</v>
      </c>
      <c r="C552" s="483">
        <f>IFERROR(IF(GETPIVOTDATA("合計 / " &amp; $B552,【ピボット】事業所収支!$A$3,"年月",C$13,"事業所",$A$544)=0,#N/A,GETPIVOTDATA("合計 / " &amp; $B552,【ピボット】事業所収支!$A$3,"年月",C$13,"事業所",$A$544)),#N/A)</f>
        <v>5757</v>
      </c>
      <c r="D552" s="483">
        <f>IFERROR(IF(GETPIVOTDATA("合計 / " &amp; $B552,【ピボット】事業所収支!$A$3,"年月",D$13,"事業所",$A$544)=0,#N/A,GETPIVOTDATA("合計 / " &amp; $B552,【ピボット】事業所収支!$A$3,"年月",D$13,"事業所",$A$544)),#N/A)</f>
        <v>29170</v>
      </c>
      <c r="E552" s="483">
        <f>IFERROR(IF(GETPIVOTDATA("合計 / " &amp; $B552,【ピボット】事業所収支!$A$3,"年月",E$13,"事業所",$A$544)=0,#N/A,GETPIVOTDATA("合計 / " &amp; $B552,【ピボット】事業所収支!$A$3,"年月",E$13,"事業所",$A$544)),#N/A)</f>
        <v>5670</v>
      </c>
      <c r="F552" s="483" t="e">
        <f>IFERROR(IF(GETPIVOTDATA("合計 / " &amp; $B552,【ピボット】事業所収支!$A$3,"年月",F$13,"事業所",$A$544)=0,#N/A,GETPIVOTDATA("合計 / " &amp; $B552,【ピボット】事業所収支!$A$3,"年月",F$13,"事業所",$A$544)),#N/A)</f>
        <v>#N/A</v>
      </c>
      <c r="G552" s="483">
        <f>IFERROR(IF(GETPIVOTDATA("合計 / " &amp; $B552,【ピボット】事業所収支!$A$3,"年月",G$13,"事業所",$A$544)=0,#N/A,GETPIVOTDATA("合計 / " &amp; $B552,【ピボット】事業所収支!$A$3,"年月",G$13,"事業所",$A$544)),#N/A)</f>
        <v>4700</v>
      </c>
      <c r="H552" s="483" t="e">
        <f>IFERROR(IF(GETPIVOTDATA("合計 / " &amp; $B552,【ピボット】事業所収支!$A$3,"年月",H$13,"事業所",$A$544)=0,#N/A,GETPIVOTDATA("合計 / " &amp; $B552,【ピボット】事業所収支!$A$3,"年月",H$13,"事業所",$A$544)),#N/A)</f>
        <v>#N/A</v>
      </c>
      <c r="I552" s="483" t="e">
        <f>IFERROR(IF(GETPIVOTDATA("合計 / " &amp; $B552,【ピボット】事業所収支!$A$3,"年月",I$13,"事業所",$A$544)=0,#N/A,GETPIVOTDATA("合計 / " &amp; $B552,【ピボット】事業所収支!$A$3,"年月",I$13,"事業所",$A$544)),#N/A)</f>
        <v>#N/A</v>
      </c>
      <c r="J552" s="483" t="e">
        <f>IFERROR(IF(GETPIVOTDATA("合計 / " &amp; $B552,【ピボット】事業所収支!$A$3,"年月",J$13,"事業所",$A$544)=0,#N/A,GETPIVOTDATA("合計 / " &amp; $B552,【ピボット】事業所収支!$A$3,"年月",J$13,"事業所",$A$544)),#N/A)</f>
        <v>#N/A</v>
      </c>
      <c r="K552" s="483">
        <f>IFERROR(IF(GETPIVOTDATA("合計 / " &amp; $B552,【ピボット】事業所収支!$A$3,"年月",K$13,"事業所",$A$544)=0,#N/A,GETPIVOTDATA("合計 / " &amp; $B552,【ピボット】事業所収支!$A$3,"年月",K$13,"事業所",$A$544)),#N/A)</f>
        <v>217455</v>
      </c>
      <c r="L552" s="483" t="e">
        <f>IFERROR(IF(GETPIVOTDATA("合計 / " &amp; $B552,【ピボット】事業所収支!$A$3,"年月",L$13,"事業所",$A$544)=0,#N/A,GETPIVOTDATA("合計 / " &amp; $B552,【ピボット】事業所収支!$A$3,"年月",L$13,"事業所",$A$544)),#N/A)</f>
        <v>#N/A</v>
      </c>
      <c r="M552" s="483" t="e">
        <f>IFERROR(IF(GETPIVOTDATA("合計 / " &amp; $B552,【ピボット】事業所収支!$A$3,"年月",M$13,"事業所",$A$544)=0,#N/A,GETPIVOTDATA("合計 / " &amp; $B552,【ピボット】事業所収支!$A$3,"年月",M$13,"事業所",$A$544)),#N/A)</f>
        <v>#N/A</v>
      </c>
      <c r="N552" s="483" t="e">
        <f>IFERROR(IF(GETPIVOTDATA("合計 / " &amp; $B552,【ピボット】事業所収支!$A$3,"年月",N$13,"事業所",$A$544)=0,#N/A,GETPIVOTDATA("合計 / " &amp; $B552,【ピボット】事業所収支!$A$3,"年月",N$13,"事業所",$A$544)),#N/A)</f>
        <v>#N/A</v>
      </c>
      <c r="O552" s="483">
        <f>IFERROR(IF(GETPIVOTDATA("合計 / " &amp; $B552,【ピボット】事業所収支!$A$3,"年月",O$13,"事業所",$A$544)=0,#N/A,GETPIVOTDATA("合計 / " &amp; $B552,【ピボット】事業所収支!$A$3,"年月",O$13,"事業所",$A$544)),#N/A)</f>
        <v>284</v>
      </c>
      <c r="P552" s="483">
        <f>IFERROR(IF(GETPIVOTDATA("合計 / " &amp; $B552,【ピボット】事業所収支!$A$3,"年月",P$13,"事業所",$A$544)=0,#N/A,GETPIVOTDATA("合計 / " &amp; $B552,【ピボット】事業所収支!$A$3,"年月",P$13,"事業所",$A$544)),#N/A)</f>
        <v>85</v>
      </c>
      <c r="Q552" s="483" t="e">
        <f>IFERROR(IF(GETPIVOTDATA("合計 / " &amp; $B552,【ピボット】事業所収支!$A$3,"年月",Q$13,"事業所",$A$544)=0,#N/A,GETPIVOTDATA("合計 / " &amp; $B552,【ピボット】事業所収支!$A$3,"年月",Q$13,"事業所",$A$544)),#N/A)</f>
        <v>#N/A</v>
      </c>
      <c r="R552" s="483" t="e">
        <f>IFERROR(IF(GETPIVOTDATA("合計 / " &amp; $B552,【ピボット】事業所収支!$A$3,"年月",R$13,"事業所",$A$544)=0,#N/A,GETPIVOTDATA("合計 / " &amp; $B552,【ピボット】事業所収支!$A$3,"年月",R$13,"事業所",$A$544)),#N/A)</f>
        <v>#N/A</v>
      </c>
      <c r="S552" s="483" t="e">
        <f>IFERROR(IF(GETPIVOTDATA("合計 / " &amp; $B552,【ピボット】事業所収支!$A$3,"年月",S$13,"事業所",$A$544)=0,#N/A,GETPIVOTDATA("合計 / " &amp; $B552,【ピボット】事業所収支!$A$3,"年月",S$13,"事業所",$A$544)),#N/A)</f>
        <v>#N/A</v>
      </c>
      <c r="T552" s="483" t="e">
        <f>IFERROR(IF(GETPIVOTDATA("合計 / " &amp; $B552,【ピボット】事業所収支!$A$3,"年月",T$13,"事業所",$A$544)=0,#N/A,GETPIVOTDATA("合計 / " &amp; $B552,【ピボット】事業所収支!$A$3,"年月",T$13,"事業所",$A$544)),#N/A)</f>
        <v>#N/A</v>
      </c>
      <c r="U552" s="483" t="e">
        <f>IFERROR(IF(GETPIVOTDATA("合計 / " &amp; $B552,【ピボット】事業所収支!$A$3,"年月",U$13,"事業所",$A$544)=0,#N/A,GETPIVOTDATA("合計 / " &amp; $B552,【ピボット】事業所収支!$A$3,"年月",U$13,"事業所",$A$544)),#N/A)</f>
        <v>#N/A</v>
      </c>
      <c r="V552" s="483" t="e">
        <f>IFERROR(IF(GETPIVOTDATA("合計 / " &amp; $B552,【ピボット】事業所収支!$A$3,"年月",V$13,"事業所",$A$544)=0,#N/A,GETPIVOTDATA("合計 / " &amp; $B552,【ピボット】事業所収支!$A$3,"年月",V$13,"事業所",$A$544)),#N/A)</f>
        <v>#N/A</v>
      </c>
      <c r="W552" s="483" t="e">
        <f>IFERROR(IF(GETPIVOTDATA("合計 / " &amp; $B552,【ピボット】事業所収支!$A$3,"年月",W$13,"事業所",$A$544)=0,#N/A,GETPIVOTDATA("合計 / " &amp; $B552,【ピボット】事業所収支!$A$3,"年月",W$13,"事業所",$A$544)),#N/A)</f>
        <v>#N/A</v>
      </c>
      <c r="X552" s="483" t="e">
        <f>IFERROR(IF(GETPIVOTDATA("合計 / " &amp; $B552,【ピボット】事業所収支!$A$3,"年月",X$13,"事業所",$A$544)=0,#N/A,GETPIVOTDATA("合計 / " &amp; $B552,【ピボット】事業所収支!$A$3,"年月",X$13,"事業所",$A$544)),#N/A)</f>
        <v>#N/A</v>
      </c>
      <c r="Y552" s="483" t="e">
        <f>IFERROR(IF(GETPIVOTDATA("合計 / " &amp; $B552,【ピボット】事業所収支!$A$3,"年月",Y$13,"事業所",$A$544)=0,#N/A,GETPIVOTDATA("合計 / " &amp; $B552,【ピボット】事業所収支!$A$3,"年月",Y$13,"事業所",$A$544)),#N/A)</f>
        <v>#N/A</v>
      </c>
      <c r="Z552" s="483" t="e">
        <f>IFERROR(IF(GETPIVOTDATA("合計 / " &amp; $B552,【ピボット】事業所収支!$A$3,"年月",Z$13,"事業所",$A$544)=0,#N/A,GETPIVOTDATA("合計 / " &amp; $B552,【ピボット】事業所収支!$A$3,"年月",Z$13,"事業所",$A$544)),#N/A)</f>
        <v>#N/A</v>
      </c>
      <c r="AA552" s="4"/>
    </row>
    <row r="553" spans="2:27" x14ac:dyDescent="0.15">
      <c r="B553" s="41" t="s">
        <v>15</v>
      </c>
      <c r="C553" s="486">
        <f>IFERROR(IF(GETPIVOTDATA("合計 / " &amp; $B553,【ピボット】事業所収支!$A$3,"年月",C$13,"事業所",$A$544)=0,#N/A,GETPIVOTDATA("合計 / " &amp; $B553,【ピボット】事業所収支!$A$3,"年月",C$13,"事業所",$A$544)),#N/A)</f>
        <v>1592861</v>
      </c>
      <c r="D553" s="486">
        <f>IFERROR(IF(GETPIVOTDATA("合計 / " &amp; $B553,【ピボット】事業所収支!$A$3,"年月",D$13,"事業所",$A$544)=0,#N/A,GETPIVOTDATA("合計 / " &amp; $B553,【ピボット】事業所収支!$A$3,"年月",D$13,"事業所",$A$544)),#N/A)</f>
        <v>1573040</v>
      </c>
      <c r="E553" s="486">
        <f>IFERROR(IF(GETPIVOTDATA("合計 / " &amp; $B553,【ピボット】事業所収支!$A$3,"年月",E$13,"事業所",$A$544)=0,#N/A,GETPIVOTDATA("合計 / " &amp; $B553,【ピボット】事業所収支!$A$3,"年月",E$13,"事業所",$A$544)),#N/A)</f>
        <v>1767600</v>
      </c>
      <c r="F553" s="486">
        <f>IFERROR(IF(GETPIVOTDATA("合計 / " &amp; $B553,【ピボット】事業所収支!$A$3,"年月",F$13,"事業所",$A$544)=0,#N/A,GETPIVOTDATA("合計 / " &amp; $B553,【ピボット】事業所収支!$A$3,"年月",F$13,"事業所",$A$544)),#N/A)</f>
        <v>1796117</v>
      </c>
      <c r="G553" s="486">
        <f>IFERROR(IF(GETPIVOTDATA("合計 / " &amp; $B553,【ピボット】事業所収支!$A$3,"年月",G$13,"事業所",$A$544)=0,#N/A,GETPIVOTDATA("合計 / " &amp; $B553,【ピボット】事業所収支!$A$3,"年月",G$13,"事業所",$A$544)),#N/A)</f>
        <v>1716632</v>
      </c>
      <c r="H553" s="486">
        <f>IFERROR(IF(GETPIVOTDATA("合計 / " &amp; $B553,【ピボット】事業所収支!$A$3,"年月",H$13,"事業所",$A$544)=0,#N/A,GETPIVOTDATA("合計 / " &amp; $B553,【ピボット】事業所収支!$A$3,"年月",H$13,"事業所",$A$544)),#N/A)</f>
        <v>1706006</v>
      </c>
      <c r="I553" s="486">
        <f>IFERROR(IF(GETPIVOTDATA("合計 / " &amp; $B553,【ピボット】事業所収支!$A$3,"年月",I$13,"事業所",$A$544)=0,#N/A,GETPIVOTDATA("合計 / " &amp; $B553,【ピボット】事業所収支!$A$3,"年月",I$13,"事業所",$A$544)),#N/A)</f>
        <v>1694389</v>
      </c>
      <c r="J553" s="486">
        <f>IFERROR(IF(GETPIVOTDATA("合計 / " &amp; $B553,【ピボット】事業所収支!$A$3,"年月",J$13,"事業所",$A$544)=0,#N/A,GETPIVOTDATA("合計 / " &amp; $B553,【ピボット】事業所収支!$A$3,"年月",J$13,"事業所",$A$544)),#N/A)</f>
        <v>1862425.9867857778</v>
      </c>
      <c r="K553" s="486">
        <f>IFERROR(IF(GETPIVOTDATA("合計 / " &amp; $B553,【ピボット】事業所収支!$A$3,"年月",K$13,"事業所",$A$544)=0,#N/A,GETPIVOTDATA("合計 / " &amp; $B553,【ピボット】事業所収支!$A$3,"年月",K$13,"事業所",$A$544)),#N/A)</f>
        <v>2505733</v>
      </c>
      <c r="L553" s="486">
        <f>IFERROR(IF(GETPIVOTDATA("合計 / " &amp; $B553,【ピボット】事業所収支!$A$3,"年月",L$13,"事業所",$A$544)=0,#N/A,GETPIVOTDATA("合計 / " &amp; $B553,【ピボット】事業所収支!$A$3,"年月",L$13,"事業所",$A$544)),#N/A)</f>
        <v>1313909</v>
      </c>
      <c r="M553" s="486">
        <f>IFERROR(IF(GETPIVOTDATA("合計 / " &amp; $B553,【ピボット】事業所収支!$A$3,"年月",M$13,"事業所",$A$544)=0,#N/A,GETPIVOTDATA("合計 / " &amp; $B553,【ピボット】事業所収支!$A$3,"年月",M$13,"事業所",$A$544)),#N/A)</f>
        <v>1420588</v>
      </c>
      <c r="N553" s="486">
        <f>IFERROR(IF(GETPIVOTDATA("合計 / " &amp; $B553,【ピボット】事業所収支!$A$3,"年月",N$13,"事業所",$A$544)=0,#N/A,GETPIVOTDATA("合計 / " &amp; $B553,【ピボット】事業所収支!$A$3,"年月",N$13,"事業所",$A$544)),#N/A)</f>
        <v>1231638</v>
      </c>
      <c r="O553" s="486">
        <f>IFERROR(IF(GETPIVOTDATA("合計 / " &amp; $B553,【ピボット】事業所収支!$A$3,"年月",O$13,"事業所",$A$544)=0,#N/A,GETPIVOTDATA("合計 / " &amp; $B553,【ピボット】事業所収支!$A$3,"年月",O$13,"事業所",$A$544)),#N/A)</f>
        <v>916985</v>
      </c>
      <c r="P553" s="486">
        <f>IFERROR(IF(GETPIVOTDATA("合計 / " &amp; $B553,【ピボット】事業所収支!$A$3,"年月",P$13,"事業所",$A$544)=0,#N/A,GETPIVOTDATA("合計 / " &amp; $B553,【ピボット】事業所収支!$A$3,"年月",P$13,"事業所",$A$544)),#N/A)</f>
        <v>955534</v>
      </c>
      <c r="Q553" s="486">
        <f>IFERROR(IF(GETPIVOTDATA("合計 / " &amp; $B553,【ピボット】事業所収支!$A$3,"年月",Q$13,"事業所",$A$544)=0,#N/A,GETPIVOTDATA("合計 / " &amp; $B553,【ピボット】事業所収支!$A$3,"年月",Q$13,"事業所",$A$544)),#N/A)</f>
        <v>829847</v>
      </c>
      <c r="R553" s="486">
        <f>IFERROR(IF(GETPIVOTDATA("合計 / " &amp; $B553,【ピボット】事業所収支!$A$3,"年月",R$13,"事業所",$A$544)=0,#N/A,GETPIVOTDATA("合計 / " &amp; $B553,【ピボット】事業所収支!$A$3,"年月",R$13,"事業所",$A$544)),#N/A)</f>
        <v>827963</v>
      </c>
      <c r="S553" s="486">
        <f>IFERROR(IF(GETPIVOTDATA("合計 / " &amp; $B553,【ピボット】事業所収支!$A$3,"年月",S$13,"事業所",$A$544)=0,#N/A,GETPIVOTDATA("合計 / " &amp; $B553,【ピボット】事業所収支!$A$3,"年月",S$13,"事業所",$A$544)),#N/A)</f>
        <v>685027</v>
      </c>
      <c r="T553" s="486" t="e">
        <f>IFERROR(IF(GETPIVOTDATA("合計 / " &amp; $B553,【ピボット】事業所収支!$A$3,"年月",T$13,"事業所",$A$544)=0,#N/A,GETPIVOTDATA("合計 / " &amp; $B553,【ピボット】事業所収支!$A$3,"年月",T$13,"事業所",$A$544)),#N/A)</f>
        <v>#N/A</v>
      </c>
      <c r="U553" s="486" t="e">
        <f>IFERROR(IF(GETPIVOTDATA("合計 / " &amp; $B553,【ピボット】事業所収支!$A$3,"年月",U$13,"事業所",$A$544)=0,#N/A,GETPIVOTDATA("合計 / " &amp; $B553,【ピボット】事業所収支!$A$3,"年月",U$13,"事業所",$A$544)),#N/A)</f>
        <v>#N/A</v>
      </c>
      <c r="V553" s="486" t="e">
        <f>IFERROR(IF(GETPIVOTDATA("合計 / " &amp; $B553,【ピボット】事業所収支!$A$3,"年月",V$13,"事業所",$A$544)=0,#N/A,GETPIVOTDATA("合計 / " &amp; $B553,【ピボット】事業所収支!$A$3,"年月",V$13,"事業所",$A$544)),#N/A)</f>
        <v>#N/A</v>
      </c>
      <c r="W553" s="486" t="e">
        <f>IFERROR(IF(GETPIVOTDATA("合計 / " &amp; $B553,【ピボット】事業所収支!$A$3,"年月",W$13,"事業所",$A$544)=0,#N/A,GETPIVOTDATA("合計 / " &amp; $B553,【ピボット】事業所収支!$A$3,"年月",W$13,"事業所",$A$544)),#N/A)</f>
        <v>#N/A</v>
      </c>
      <c r="X553" s="486" t="e">
        <f>IFERROR(IF(GETPIVOTDATA("合計 / " &amp; $B553,【ピボット】事業所収支!$A$3,"年月",X$13,"事業所",$A$544)=0,#N/A,GETPIVOTDATA("合計 / " &amp; $B553,【ピボット】事業所収支!$A$3,"年月",X$13,"事業所",$A$544)),#N/A)</f>
        <v>#N/A</v>
      </c>
      <c r="Y553" s="486" t="e">
        <f>IFERROR(IF(GETPIVOTDATA("合計 / " &amp; $B553,【ピボット】事業所収支!$A$3,"年月",Y$13,"事業所",$A$544)=0,#N/A,GETPIVOTDATA("合計 / " &amp; $B553,【ピボット】事業所収支!$A$3,"年月",Y$13,"事業所",$A$544)),#N/A)</f>
        <v>#N/A</v>
      </c>
      <c r="Z553" s="486" t="e">
        <f>IFERROR(IF(GETPIVOTDATA("合計 / " &amp; $B553,【ピボット】事業所収支!$A$3,"年月",Z$13,"事業所",$A$544)=0,#N/A,GETPIVOTDATA("合計 / " &amp; $B553,【ピボット】事業所収支!$A$3,"年月",Z$13,"事業所",$A$544)),#N/A)</f>
        <v>#N/A</v>
      </c>
      <c r="AA553" s="4"/>
    </row>
    <row r="554" spans="2:27" x14ac:dyDescent="0.15">
      <c r="B554" s="48" t="s">
        <v>30</v>
      </c>
      <c r="C554" s="487">
        <f>IFERROR(IF(GETPIVOTDATA("合計 / " &amp; $B554 &amp;"計",【ピボット】事業所収支!$A$3,"年月",C$13,"事業所",$A$544)=0,#N/A,GETPIVOTDATA("合計 / " &amp; $B554 &amp;"計",【ピボット】事業所収支!$A$3,"年月",C$13,"事業所",$A$544)),#N/A)</f>
        <v>1119742</v>
      </c>
      <c r="D554" s="487">
        <f>IFERROR(IF(GETPIVOTDATA("合計 / " &amp; $B554 &amp;"計",【ピボット】事業所収支!$A$3,"年月",D$13,"事業所",$A$544)=0,#N/A,GETPIVOTDATA("合計 / " &amp; $B554 &amp;"計",【ピボット】事業所収支!$A$3,"年月",D$13,"事業所",$A$544)),#N/A)</f>
        <v>842340</v>
      </c>
      <c r="E554" s="487">
        <f>IFERROR(IF(GETPIVOTDATA("合計 / " &amp; $B554 &amp;"計",【ピボット】事業所収支!$A$3,"年月",E$13,"事業所",$A$544)=0,#N/A,GETPIVOTDATA("合計 / " &amp; $B554 &amp;"計",【ピボット】事業所収支!$A$3,"年月",E$13,"事業所",$A$544)),#N/A)</f>
        <v>840179</v>
      </c>
      <c r="F554" s="487">
        <f>IFERROR(IF(GETPIVOTDATA("合計 / " &amp; $B554 &amp;"計",【ピボット】事業所収支!$A$3,"年月",F$13,"事業所",$A$544)=0,#N/A,GETPIVOTDATA("合計 / " &amp; $B554 &amp;"計",【ピボット】事業所収支!$A$3,"年月",F$13,"事業所",$A$544)),#N/A)</f>
        <v>988684</v>
      </c>
      <c r="G554" s="487">
        <f>IFERROR(IF(GETPIVOTDATA("合計 / " &amp; $B554 &amp;"計",【ピボット】事業所収支!$A$3,"年月",G$13,"事業所",$A$544)=0,#N/A,GETPIVOTDATA("合計 / " &amp; $B554 &amp;"計",【ピボット】事業所収支!$A$3,"年月",G$13,"事業所",$A$544)),#N/A)</f>
        <v>979802</v>
      </c>
      <c r="H554" s="487">
        <f>IFERROR(IF(GETPIVOTDATA("合計 / " &amp; $B554 &amp;"計",【ピボット】事業所収支!$A$3,"年月",H$13,"事業所",$A$544)=0,#N/A,GETPIVOTDATA("合計 / " &amp; $B554 &amp;"計",【ピボット】事業所収支!$A$3,"年月",H$13,"事業所",$A$544)),#N/A)</f>
        <v>980412</v>
      </c>
      <c r="I554" s="487">
        <f>IFERROR(IF(GETPIVOTDATA("合計 / " &amp; $B554 &amp;"計",【ピボット】事業所収支!$A$3,"年月",I$13,"事業所",$A$544)=0,#N/A,GETPIVOTDATA("合計 / " &amp; $B554 &amp;"計",【ピボット】事業所収支!$A$3,"年月",I$13,"事業所",$A$544)),#N/A)</f>
        <v>882358</v>
      </c>
      <c r="J554" s="487">
        <f>IFERROR(IF(GETPIVOTDATA("合計 / " &amp; $B554 &amp;"計",【ピボット】事業所収支!$A$3,"年月",J$13,"事業所",$A$544)=0,#N/A,GETPIVOTDATA("合計 / " &amp; $B554 &amp;"計",【ピボット】事業所収支!$A$3,"年月",J$13,"事業所",$A$544)),#N/A)</f>
        <v>1022330</v>
      </c>
      <c r="K554" s="487">
        <f>IFERROR(IF(GETPIVOTDATA("合計 / " &amp; $B554 &amp;"計",【ピボット】事業所収支!$A$3,"年月",K$13,"事業所",$A$544)=0,#N/A,GETPIVOTDATA("合計 / " &amp; $B554 &amp;"計",【ピボット】事業所収支!$A$3,"年月",K$13,"事業所",$A$544)),#N/A)</f>
        <v>1003296</v>
      </c>
      <c r="L554" s="487">
        <f>IFERROR(IF(GETPIVOTDATA("合計 / " &amp; $B554 &amp;"計",【ピボット】事業所収支!$A$3,"年月",L$13,"事業所",$A$544)=0,#N/A,GETPIVOTDATA("合計 / " &amp; $B554 &amp;"計",【ピボット】事業所収支!$A$3,"年月",L$13,"事業所",$A$544)),#N/A)</f>
        <v>1081985</v>
      </c>
      <c r="M554" s="487">
        <f>IFERROR(IF(GETPIVOTDATA("合計 / " &amp; $B554 &amp;"計",【ピボット】事業所収支!$A$3,"年月",M$13,"事業所",$A$544)=0,#N/A,GETPIVOTDATA("合計 / " &amp; $B554 &amp;"計",【ピボット】事業所収支!$A$3,"年月",M$13,"事業所",$A$544)),#N/A)</f>
        <v>799757</v>
      </c>
      <c r="N554" s="487">
        <f>IFERROR(IF(GETPIVOTDATA("合計 / " &amp; $B554 &amp;"計",【ピボット】事業所収支!$A$3,"年月",N$13,"事業所",$A$544)=0,#N/A,GETPIVOTDATA("合計 / " &amp; $B554 &amp;"計",【ピボット】事業所収支!$A$3,"年月",N$13,"事業所",$A$544)),#N/A)</f>
        <v>870969</v>
      </c>
      <c r="O554" s="487">
        <f>IFERROR(IF(GETPIVOTDATA("合計 / " &amp; $B554 &amp;"計",【ピボット】事業所収支!$A$3,"年月",O$13,"事業所",$A$544)=0,#N/A,GETPIVOTDATA("合計 / " &amp; $B554 &amp;"計",【ピボット】事業所収支!$A$3,"年月",O$13,"事業所",$A$544)),#N/A)</f>
        <v>675648</v>
      </c>
      <c r="P554" s="487">
        <f>IFERROR(IF(GETPIVOTDATA("合計 / " &amp; $B554 &amp;"計",【ピボット】事業所収支!$A$3,"年月",P$13,"事業所",$A$544)=0,#N/A,GETPIVOTDATA("合計 / " &amp; $B554 &amp;"計",【ピボット】事業所収支!$A$3,"年月",P$13,"事業所",$A$544)),#N/A)</f>
        <v>709959</v>
      </c>
      <c r="Q554" s="487">
        <f>IFERROR(IF(GETPIVOTDATA("合計 / " &amp; $B554 &amp;"計",【ピボット】事業所収支!$A$3,"年月",Q$13,"事業所",$A$544)=0,#N/A,GETPIVOTDATA("合計 / " &amp; $B554 &amp;"計",【ピボット】事業所収支!$A$3,"年月",Q$13,"事業所",$A$544)),#N/A)</f>
        <v>698763</v>
      </c>
      <c r="R554" s="487">
        <f>IFERROR(IF(GETPIVOTDATA("合計 / " &amp; $B554 &amp;"計",【ピボット】事業所収支!$A$3,"年月",R$13,"事業所",$A$544)=0,#N/A,GETPIVOTDATA("合計 / " &amp; $B554 &amp;"計",【ピボット】事業所収支!$A$3,"年月",R$13,"事業所",$A$544)),#N/A)</f>
        <v>539944</v>
      </c>
      <c r="S554" s="487">
        <f>IFERROR(IF(GETPIVOTDATA("合計 / " &amp; $B554 &amp;"計",【ピボット】事業所収支!$A$3,"年月",S$13,"事業所",$A$544)=0,#N/A,GETPIVOTDATA("合計 / " &amp; $B554 &amp;"計",【ピボット】事業所収支!$A$3,"年月",S$13,"事業所",$A$544)),#N/A)</f>
        <v>540758</v>
      </c>
      <c r="T554" s="487" t="e">
        <f>IFERROR(IF(GETPIVOTDATA("合計 / " &amp; $B554 &amp;"計",【ピボット】事業所収支!$A$3,"年月",T$13,"事業所",$A$544)=0,#N/A,GETPIVOTDATA("合計 / " &amp; $B554 &amp;"計",【ピボット】事業所収支!$A$3,"年月",T$13,"事業所",$A$544)),#N/A)</f>
        <v>#N/A</v>
      </c>
      <c r="U554" s="487" t="e">
        <f>IFERROR(IF(GETPIVOTDATA("合計 / " &amp; $B554 &amp;"計",【ピボット】事業所収支!$A$3,"年月",U$13,"事業所",$A$544)=0,#N/A,GETPIVOTDATA("合計 / " &amp; $B554 &amp;"計",【ピボット】事業所収支!$A$3,"年月",U$13,"事業所",$A$544)),#N/A)</f>
        <v>#N/A</v>
      </c>
      <c r="V554" s="487" t="e">
        <f>IFERROR(IF(GETPIVOTDATA("合計 / " &amp; $B554 &amp;"計",【ピボット】事業所収支!$A$3,"年月",V$13,"事業所",$A$544)=0,#N/A,GETPIVOTDATA("合計 / " &amp; $B554 &amp;"計",【ピボット】事業所収支!$A$3,"年月",V$13,"事業所",$A$544)),#N/A)</f>
        <v>#N/A</v>
      </c>
      <c r="W554" s="487" t="e">
        <f>IFERROR(IF(GETPIVOTDATA("合計 / " &amp; $B554 &amp;"計",【ピボット】事業所収支!$A$3,"年月",W$13,"事業所",$A$544)=0,#N/A,GETPIVOTDATA("合計 / " &amp; $B554 &amp;"計",【ピボット】事業所収支!$A$3,"年月",W$13,"事業所",$A$544)),#N/A)</f>
        <v>#N/A</v>
      </c>
      <c r="X554" s="487" t="e">
        <f>IFERROR(IF(GETPIVOTDATA("合計 / " &amp; $B554 &amp;"計",【ピボット】事業所収支!$A$3,"年月",X$13,"事業所",$A$544)=0,#N/A,GETPIVOTDATA("合計 / " &amp; $B554 &amp;"計",【ピボット】事業所収支!$A$3,"年月",X$13,"事業所",$A$544)),#N/A)</f>
        <v>#N/A</v>
      </c>
      <c r="Y554" s="487" t="e">
        <f>IFERROR(IF(GETPIVOTDATA("合計 / " &amp; $B554 &amp;"計",【ピボット】事業所収支!$A$3,"年月",Y$13,"事業所",$A$544)=0,#N/A,GETPIVOTDATA("合計 / " &amp; $B554 &amp;"計",【ピボット】事業所収支!$A$3,"年月",Y$13,"事業所",$A$544)),#N/A)</f>
        <v>#N/A</v>
      </c>
      <c r="Z554" s="487" t="e">
        <f>IFERROR(IF(GETPIVOTDATA("合計 / " &amp; $B554 &amp;"計",【ピボット】事業所収支!$A$3,"年月",Z$13,"事業所",$A$544)=0,#N/A,GETPIVOTDATA("合計 / " &amp; $B554 &amp;"計",【ピボット】事業所収支!$A$3,"年月",Z$13,"事業所",$A$544)),#N/A)</f>
        <v>#N/A</v>
      </c>
      <c r="AA554" s="4"/>
    </row>
    <row r="555" spans="2:27" hidden="1" x14ac:dyDescent="0.15">
      <c r="B555" s="48" t="s">
        <v>52</v>
      </c>
      <c r="C555" s="487" t="e">
        <f>#REF!</f>
        <v>#REF!</v>
      </c>
      <c r="D555" s="487" t="e">
        <f>#REF!</f>
        <v>#REF!</v>
      </c>
      <c r="E555" s="487" t="e">
        <f>#REF!</f>
        <v>#REF!</v>
      </c>
      <c r="F555" s="487" t="e">
        <f>#REF!</f>
        <v>#REF!</v>
      </c>
      <c r="G555" s="487" t="e">
        <f>#REF!</f>
        <v>#REF!</v>
      </c>
      <c r="H555" s="487" t="e">
        <f>#REF!</f>
        <v>#REF!</v>
      </c>
      <c r="I555" s="487" t="e">
        <f>#REF!</f>
        <v>#REF!</v>
      </c>
      <c r="J555" s="487" t="e">
        <f>#REF!</f>
        <v>#REF!</v>
      </c>
      <c r="K555" s="487" t="e">
        <f>#REF!</f>
        <v>#REF!</v>
      </c>
      <c r="L555" s="487" t="e">
        <f>#REF!</f>
        <v>#REF!</v>
      </c>
      <c r="M555" s="487" t="e">
        <f>#REF!</f>
        <v>#REF!</v>
      </c>
      <c r="N555" s="487" t="e">
        <f>#REF!</f>
        <v>#REF!</v>
      </c>
      <c r="O555" s="487" t="e">
        <f>#REF!</f>
        <v>#REF!</v>
      </c>
      <c r="P555" s="487" t="e">
        <f>#REF!</f>
        <v>#REF!</v>
      </c>
      <c r="Q555" s="487" t="e">
        <f>#REF!</f>
        <v>#REF!</v>
      </c>
      <c r="R555" s="487" t="e">
        <f>#REF!</f>
        <v>#REF!</v>
      </c>
      <c r="S555" s="487" t="e">
        <f>#REF!</f>
        <v>#REF!</v>
      </c>
      <c r="T555" s="487" t="e">
        <f>#REF!</f>
        <v>#REF!</v>
      </c>
      <c r="U555" s="487" t="e">
        <f>#REF!</f>
        <v>#REF!</v>
      </c>
      <c r="V555" s="487" t="e">
        <f>#REF!</f>
        <v>#REF!</v>
      </c>
      <c r="W555" s="487" t="e">
        <f>#REF!</f>
        <v>#REF!</v>
      </c>
      <c r="X555" s="487" t="e">
        <f>#REF!</f>
        <v>#REF!</v>
      </c>
      <c r="Y555" s="487" t="e">
        <f>#REF!</f>
        <v>#REF!</v>
      </c>
      <c r="Z555" s="487" t="e">
        <f>#REF!</f>
        <v>#REF!</v>
      </c>
      <c r="AA555" s="4"/>
    </row>
    <row r="556" spans="2:27" x14ac:dyDescent="0.15">
      <c r="B556" s="8" t="s">
        <v>53</v>
      </c>
      <c r="C556" s="483">
        <f t="shared" ref="C556:Y556" si="46">IFERROR(C553,0)+IFERROR(C554,0)</f>
        <v>2712603</v>
      </c>
      <c r="D556" s="483">
        <f t="shared" si="46"/>
        <v>2415380</v>
      </c>
      <c r="E556" s="483">
        <f t="shared" si="46"/>
        <v>2607779</v>
      </c>
      <c r="F556" s="483">
        <f t="shared" si="46"/>
        <v>2784801</v>
      </c>
      <c r="G556" s="483">
        <f t="shared" si="46"/>
        <v>2696434</v>
      </c>
      <c r="H556" s="483">
        <f t="shared" si="46"/>
        <v>2686418</v>
      </c>
      <c r="I556" s="483">
        <f t="shared" si="46"/>
        <v>2576747</v>
      </c>
      <c r="J556" s="483">
        <f t="shared" si="46"/>
        <v>2884755.9867857778</v>
      </c>
      <c r="K556" s="483">
        <f t="shared" si="46"/>
        <v>3509029</v>
      </c>
      <c r="L556" s="483">
        <f t="shared" si="46"/>
        <v>2395894</v>
      </c>
      <c r="M556" s="483">
        <f t="shared" si="46"/>
        <v>2220345</v>
      </c>
      <c r="N556" s="483">
        <f t="shared" si="46"/>
        <v>2102607</v>
      </c>
      <c r="O556" s="483">
        <f t="shared" si="46"/>
        <v>1592633</v>
      </c>
      <c r="P556" s="483">
        <f t="shared" si="46"/>
        <v>1665493</v>
      </c>
      <c r="Q556" s="483">
        <f t="shared" si="46"/>
        <v>1528610</v>
      </c>
      <c r="R556" s="483">
        <f t="shared" si="46"/>
        <v>1367907</v>
      </c>
      <c r="S556" s="483">
        <f t="shared" si="46"/>
        <v>1225785</v>
      </c>
      <c r="T556" s="483">
        <f t="shared" si="46"/>
        <v>0</v>
      </c>
      <c r="U556" s="483">
        <f t="shared" si="46"/>
        <v>0</v>
      </c>
      <c r="V556" s="483">
        <f t="shared" si="46"/>
        <v>0</v>
      </c>
      <c r="W556" s="483">
        <f t="shared" si="46"/>
        <v>0</v>
      </c>
      <c r="X556" s="483">
        <f t="shared" si="46"/>
        <v>0</v>
      </c>
      <c r="Y556" s="483">
        <f t="shared" si="46"/>
        <v>0</v>
      </c>
      <c r="Z556" s="483">
        <f>IFERROR(Z553,0)+IFERROR(Z554,0)</f>
        <v>0</v>
      </c>
    </row>
    <row r="557" spans="2:27" x14ac:dyDescent="0.15">
      <c r="B557" s="211" t="s">
        <v>32</v>
      </c>
      <c r="C557" s="488">
        <f>IFERROR(SUM(C546,-C556),0)</f>
        <v>299021</v>
      </c>
      <c r="D557" s="488">
        <f>IFERROR(SUM(D546,-D556),0)</f>
        <v>397405</v>
      </c>
      <c r="E557" s="488">
        <f>IFERROR(SUM(E546,-E556),0)</f>
        <v>608687</v>
      </c>
      <c r="F557" s="488">
        <f t="shared" ref="F557:Y557" si="47">IFERROR(SUM(F546,-F556),0)</f>
        <v>344789</v>
      </c>
      <c r="G557" s="488">
        <f t="shared" si="47"/>
        <v>489222</v>
      </c>
      <c r="H557" s="488">
        <f t="shared" si="47"/>
        <v>508746</v>
      </c>
      <c r="I557" s="488">
        <f t="shared" si="47"/>
        <v>557079</v>
      </c>
      <c r="J557" s="488">
        <f t="shared" si="47"/>
        <v>234919.01321422216</v>
      </c>
      <c r="K557" s="488">
        <f t="shared" si="47"/>
        <v>-1163262</v>
      </c>
      <c r="L557" s="488">
        <f t="shared" si="47"/>
        <v>-226231</v>
      </c>
      <c r="M557" s="488">
        <f t="shared" si="47"/>
        <v>36213</v>
      </c>
      <c r="N557" s="488">
        <f t="shared" si="47"/>
        <v>-141658</v>
      </c>
      <c r="O557" s="488">
        <f t="shared" si="47"/>
        <v>363010</v>
      </c>
      <c r="P557" s="488">
        <f t="shared" si="47"/>
        <v>224049</v>
      </c>
      <c r="Q557" s="488">
        <f t="shared" si="47"/>
        <v>85778</v>
      </c>
      <c r="R557" s="488">
        <f t="shared" si="47"/>
        <v>76616</v>
      </c>
      <c r="S557" s="488">
        <f t="shared" si="47"/>
        <v>-96829</v>
      </c>
      <c r="T557" s="488">
        <f t="shared" si="47"/>
        <v>0</v>
      </c>
      <c r="U557" s="488">
        <f t="shared" si="47"/>
        <v>0</v>
      </c>
      <c r="V557" s="488">
        <f t="shared" si="47"/>
        <v>0</v>
      </c>
      <c r="W557" s="488">
        <f t="shared" si="47"/>
        <v>0</v>
      </c>
      <c r="X557" s="488">
        <f t="shared" si="47"/>
        <v>0</v>
      </c>
      <c r="Y557" s="488">
        <f t="shared" si="47"/>
        <v>0</v>
      </c>
      <c r="Z557" s="488">
        <f>IFERROR(SUM(Z546,-Z556),0)</f>
        <v>0</v>
      </c>
      <c r="AA557" s="4">
        <f>SUM(O557:Z557)</f>
        <v>652624</v>
      </c>
    </row>
    <row r="558" spans="2:27" x14ac:dyDescent="0.15">
      <c r="B558" s="447" t="s">
        <v>500</v>
      </c>
      <c r="C558" s="487" t="e">
        <f>IFERROR(IF(GETPIVOTDATA("合計 / " &amp; $B558,【ピボット】事業所収支!$A$3,"年月",C$13,"事業所",$A$544)=0,#N/A,GETPIVOTDATA("合計 / " &amp; $B558,【ピボット】事業所収支!$A$3,"年月",C$13,"事業所",$A$544)),#N/A)</f>
        <v>#N/A</v>
      </c>
      <c r="D558" s="487" t="e">
        <f>IFERROR(IF(GETPIVOTDATA("合計 / " &amp; $B558,【ピボット】事業所収支!$A$3,"年月",D$13,"事業所",$A$544)=0,#N/A,GETPIVOTDATA("合計 / " &amp; $B558,【ピボット】事業所収支!$A$3,"年月",D$13,"事業所",$A$544)),#N/A)</f>
        <v>#N/A</v>
      </c>
      <c r="E558" s="487" t="e">
        <f>IFERROR(IF(GETPIVOTDATA("合計 / " &amp; $B558,【ピボット】事業所収支!$A$3,"年月",E$13,"事業所",$A$544)=0,#N/A,GETPIVOTDATA("合計 / " &amp; $B558,【ピボット】事業所収支!$A$3,"年月",E$13,"事業所",$A$544)),#N/A)</f>
        <v>#N/A</v>
      </c>
      <c r="F558" s="487" t="e">
        <f>IFERROR(IF(GETPIVOTDATA("合計 / " &amp; $B558,【ピボット】事業所収支!$A$3,"年月",F$13,"事業所",$A$544)=0,#N/A,GETPIVOTDATA("合計 / " &amp; $B558,【ピボット】事業所収支!$A$3,"年月",F$13,"事業所",$A$544)),#N/A)</f>
        <v>#N/A</v>
      </c>
      <c r="G558" s="487">
        <f>IFERROR(IF(GETPIVOTDATA("合計 / " &amp; $B558,【ピボット】事業所収支!$A$3,"年月",G$13,"事業所",$A$544)=0,#N/A,GETPIVOTDATA("合計 / " &amp; $B558,【ピボット】事業所収支!$A$3,"年月",G$13,"事業所",$A$544)),#N/A)</f>
        <v>73432</v>
      </c>
      <c r="H558" s="487">
        <f>IFERROR(IF(GETPIVOTDATA("合計 / " &amp; $B558,【ピボット】事業所収支!$A$3,"年月",H$13,"事業所",$A$544)=0,#N/A,GETPIVOTDATA("合計 / " &amp; $B558,【ピボット】事業所収支!$A$3,"年月",H$13,"事業所",$A$544)),#N/A)</f>
        <v>77730</v>
      </c>
      <c r="I558" s="487">
        <f>IFERROR(IF(GETPIVOTDATA("合計 / " &amp; $B558,【ピボット】事業所収支!$A$3,"年月",I$13,"事業所",$A$544)=0,#N/A,GETPIVOTDATA("合計 / " &amp; $B558,【ピボット】事業所収支!$A$3,"年月",I$13,"事業所",$A$544)),#N/A)</f>
        <v>78013</v>
      </c>
      <c r="J558" s="487">
        <f>IFERROR(IF(GETPIVOTDATA("合計 / " &amp; $B558,【ピボット】事業所収支!$A$3,"年月",J$13,"事業所",$A$544)=0,#N/A,GETPIVOTDATA("合計 / " &amp; $B558,【ピボット】事業所収支!$A$3,"年月",J$13,"事業所",$A$544)),#N/A)</f>
        <v>77744</v>
      </c>
      <c r="K558" s="487">
        <f>IFERROR(IF(GETPIVOTDATA("合計 / " &amp; $B558,【ピボット】事業所収支!$A$3,"年月",K$13,"事業所",$A$544)=0,#N/A,GETPIVOTDATA("合計 / " &amp; $B558,【ピボット】事業所収支!$A$3,"年月",K$13,"事業所",$A$544)),#N/A)</f>
        <v>59544</v>
      </c>
      <c r="L558" s="487">
        <f>IFERROR(IF(GETPIVOTDATA("合計 / " &amp; $B558,【ピボット】事業所収支!$A$3,"年月",L$13,"事業所",$A$544)=0,#N/A,GETPIVOTDATA("合計 / " &amp; $B558,【ピボット】事業所収支!$A$3,"年月",L$13,"事業所",$A$544)),#N/A)</f>
        <v>58427</v>
      </c>
      <c r="M558" s="487">
        <f>IFERROR(IF(GETPIVOTDATA("合計 / " &amp; $B558,【ピボット】事業所収支!$A$3,"年月",M$13,"事業所",$A$544)=0,#N/A,GETPIVOTDATA("合計 / " &amp; $B558,【ピボット】事業所収支!$A$3,"年月",M$13,"事業所",$A$544)),#N/A)</f>
        <v>61905</v>
      </c>
      <c r="N558" s="487">
        <f>IFERROR(IF(GETPIVOTDATA("合計 / " &amp; $B558,【ピボット】事業所収支!$A$3,"年月",N$13,"事業所",$A$544)=0,#N/A,GETPIVOTDATA("合計 / " &amp; $B558,【ピボット】事業所収支!$A$3,"年月",N$13,"事業所",$A$544)),#N/A)</f>
        <v>45399</v>
      </c>
      <c r="O558" s="487">
        <f>IFERROR(IF(GETPIVOTDATA("合計 / " &amp; $B558,【ピボット】事業所収支!$A$3,"年月",O$13,"事業所",$A$544)=0,#N/A,GETPIVOTDATA("合計 / " &amp; $B558,【ピボット】事業所収支!$A$3,"年月",O$13,"事業所",$A$544)),#N/A)</f>
        <v>46251</v>
      </c>
      <c r="P558" s="487">
        <f>IFERROR(IF(GETPIVOTDATA("合計 / " &amp; $B558,【ピボット】事業所収支!$A$3,"年月",P$13,"事業所",$A$544)=0,#N/A,GETPIVOTDATA("合計 / " &amp; $B558,【ピボット】事業所収支!$A$3,"年月",P$13,"事業所",$A$544)),#N/A)</f>
        <v>42763</v>
      </c>
      <c r="Q558" s="487">
        <f>IFERROR(IF(GETPIVOTDATA("合計 / " &amp; $B558,【ピボット】事業所収支!$A$3,"年月",Q$13,"事業所",$A$544)=0,#N/A,GETPIVOTDATA("合計 / " &amp; $B558,【ピボット】事業所収支!$A$3,"年月",Q$13,"事業所",$A$544)),#N/A)</f>
        <v>37757</v>
      </c>
      <c r="R558" s="487">
        <f>IFERROR(IF(GETPIVOTDATA("合計 / " &amp; $B558,【ピボット】事業所収支!$A$3,"年月",R$13,"事業所",$A$544)=0,#N/A,GETPIVOTDATA("合計 / " &amp; $B558,【ピボット】事業所収支!$A$3,"年月",R$13,"事業所",$A$544)),#N/A)</f>
        <v>40332</v>
      </c>
      <c r="S558" s="487">
        <f>IFERROR(IF(GETPIVOTDATA("合計 / " &amp; $B558,【ピボット】事業所収支!$A$3,"年月",S$13,"事業所",$A$544)=0,#N/A,GETPIVOTDATA("合計 / " &amp; $B558,【ピボット】事業所収支!$A$3,"年月",S$13,"事業所",$A$544)),#N/A)</f>
        <v>34830</v>
      </c>
      <c r="T558" s="487" t="e">
        <f>IFERROR(IF(GETPIVOTDATA("合計 / " &amp; $B558,【ピボット】事業所収支!$A$3,"年月",T$13,"事業所",$A$544)=0,#N/A,GETPIVOTDATA("合計 / " &amp; $B558,【ピボット】事業所収支!$A$3,"年月",T$13,"事業所",$A$544)),#N/A)</f>
        <v>#N/A</v>
      </c>
      <c r="U558" s="487" t="e">
        <f>IFERROR(IF(GETPIVOTDATA("合計 / " &amp; $B558,【ピボット】事業所収支!$A$3,"年月",U$13,"事業所",$A$544)=0,#N/A,GETPIVOTDATA("合計 / " &amp; $B558,【ピボット】事業所収支!$A$3,"年月",U$13,"事業所",$A$544)),#N/A)</f>
        <v>#N/A</v>
      </c>
      <c r="V558" s="487" t="e">
        <f>IFERROR(IF(GETPIVOTDATA("合計 / " &amp; $B558,【ピボット】事業所収支!$A$3,"年月",V$13,"事業所",$A$544)=0,#N/A,GETPIVOTDATA("合計 / " &amp; $B558,【ピボット】事業所収支!$A$3,"年月",V$13,"事業所",$A$544)),#N/A)</f>
        <v>#N/A</v>
      </c>
      <c r="W558" s="487" t="e">
        <f>IFERROR(IF(GETPIVOTDATA("合計 / " &amp; $B558,【ピボット】事業所収支!$A$3,"年月",W$13,"事業所",$A$544)=0,#N/A,GETPIVOTDATA("合計 / " &amp; $B558,【ピボット】事業所収支!$A$3,"年月",W$13,"事業所",$A$544)),#N/A)</f>
        <v>#N/A</v>
      </c>
      <c r="X558" s="487" t="e">
        <f>IFERROR(IF(GETPIVOTDATA("合計 / " &amp; $B558,【ピボット】事業所収支!$A$3,"年月",X$13,"事業所",$A$544)=0,#N/A,GETPIVOTDATA("合計 / " &amp; $B558,【ピボット】事業所収支!$A$3,"年月",X$13,"事業所",$A$544)),#N/A)</f>
        <v>#N/A</v>
      </c>
      <c r="Y558" s="487" t="e">
        <f>IFERROR(IF(GETPIVOTDATA("合計 / " &amp; $B558,【ピボット】事業所収支!$A$3,"年月",Y$13,"事業所",$A$544)=0,#N/A,GETPIVOTDATA("合計 / " &amp; $B558,【ピボット】事業所収支!$A$3,"年月",Y$13,"事業所",$A$544)),#N/A)</f>
        <v>#N/A</v>
      </c>
      <c r="Z558" s="487" t="e">
        <f>IFERROR(IF(GETPIVOTDATA("合計 / " &amp; $B558,【ピボット】事業所収支!$A$3,"年月",Z$13,"事業所",$A$544)=0,#N/A,GETPIVOTDATA("合計 / " &amp; $B558,【ピボット】事業所収支!$A$3,"年月",Z$13,"事業所",$A$544)),#N/A)</f>
        <v>#N/A</v>
      </c>
      <c r="AA558" s="4"/>
    </row>
    <row r="559" spans="2:27" x14ac:dyDescent="0.15">
      <c r="B559" s="211"/>
      <c r="C559" s="488"/>
      <c r="D559" s="488"/>
      <c r="E559" s="488"/>
      <c r="F559" s="488"/>
      <c r="G559" s="488"/>
      <c r="H559" s="488"/>
      <c r="I559" s="488"/>
      <c r="J559" s="488"/>
      <c r="K559" s="488"/>
      <c r="L559" s="488"/>
      <c r="M559" s="488"/>
      <c r="N559" s="488"/>
      <c r="O559" s="488"/>
      <c r="P559" s="488"/>
      <c r="Q559" s="488"/>
      <c r="R559" s="488"/>
      <c r="S559" s="488"/>
      <c r="T559" s="488"/>
      <c r="U559" s="488"/>
      <c r="V559" s="488"/>
      <c r="W559" s="488"/>
      <c r="X559" s="488"/>
      <c r="Y559" s="488"/>
      <c r="Z559" s="488"/>
      <c r="AA559" s="4"/>
    </row>
    <row r="560" spans="2:27" x14ac:dyDescent="0.15">
      <c r="B560" s="211"/>
    </row>
    <row r="563" spans="3:26" x14ac:dyDescent="0.15">
      <c r="C563" s="489"/>
      <c r="D563" s="489"/>
      <c r="E563" s="489"/>
      <c r="F563" s="489"/>
      <c r="G563" s="489"/>
      <c r="H563" s="489"/>
      <c r="I563" s="489"/>
      <c r="J563" s="489"/>
      <c r="K563" s="489"/>
      <c r="L563" s="489"/>
      <c r="M563" s="489"/>
      <c r="N563" s="489"/>
      <c r="O563" s="489"/>
      <c r="P563" s="489"/>
      <c r="Q563" s="489"/>
      <c r="R563" s="489"/>
      <c r="S563" s="489"/>
      <c r="T563" s="489"/>
      <c r="U563" s="489"/>
      <c r="V563" s="489"/>
      <c r="W563" s="489"/>
      <c r="X563" s="489"/>
      <c r="Y563" s="489"/>
      <c r="Z563" s="489"/>
    </row>
    <row r="564" spans="3:26" x14ac:dyDescent="0.15">
      <c r="C564" s="489"/>
      <c r="D564" s="489"/>
      <c r="E564" s="489"/>
      <c r="F564" s="489"/>
      <c r="G564" s="489"/>
      <c r="H564" s="489"/>
      <c r="I564" s="489"/>
      <c r="J564" s="489"/>
      <c r="K564" s="489"/>
      <c r="L564" s="489"/>
      <c r="M564" s="489"/>
      <c r="N564" s="489"/>
      <c r="O564" s="489"/>
      <c r="P564" s="489"/>
      <c r="Q564" s="489"/>
      <c r="R564" s="489"/>
      <c r="S564" s="489"/>
      <c r="T564" s="489"/>
      <c r="U564" s="489"/>
      <c r="V564" s="489"/>
      <c r="W564" s="489"/>
      <c r="X564" s="489"/>
      <c r="Y564" s="489"/>
      <c r="Z564" s="489"/>
    </row>
    <row r="565" spans="3:26" x14ac:dyDescent="0.15">
      <c r="C565" s="489"/>
      <c r="D565" s="489"/>
      <c r="E565" s="489"/>
      <c r="F565" s="489"/>
      <c r="G565" s="489"/>
      <c r="H565" s="489"/>
      <c r="I565" s="489"/>
      <c r="J565" s="489"/>
      <c r="K565" s="489"/>
      <c r="L565" s="489"/>
      <c r="M565" s="489"/>
      <c r="N565" s="489"/>
      <c r="O565" s="489"/>
      <c r="P565" s="489"/>
      <c r="Q565" s="489"/>
      <c r="R565" s="489"/>
      <c r="S565" s="489"/>
      <c r="T565" s="489"/>
      <c r="U565" s="489"/>
      <c r="V565" s="489"/>
      <c r="W565" s="489"/>
      <c r="X565" s="489"/>
      <c r="Y565" s="489"/>
      <c r="Z565" s="489"/>
    </row>
    <row r="566" spans="3:26" x14ac:dyDescent="0.15">
      <c r="C566" s="489"/>
      <c r="D566" s="489"/>
      <c r="E566" s="489"/>
      <c r="F566" s="489"/>
      <c r="G566" s="489"/>
      <c r="H566" s="489"/>
      <c r="I566" s="489"/>
      <c r="J566" s="489"/>
      <c r="K566" s="489"/>
      <c r="L566" s="489"/>
      <c r="M566" s="489"/>
      <c r="N566" s="489"/>
      <c r="O566" s="489"/>
      <c r="P566" s="489"/>
      <c r="Q566" s="489"/>
      <c r="R566" s="489"/>
      <c r="S566" s="489"/>
      <c r="T566" s="489"/>
      <c r="U566" s="489"/>
      <c r="V566" s="489"/>
      <c r="W566" s="489"/>
      <c r="X566" s="489"/>
      <c r="Y566" s="489"/>
      <c r="Z566" s="489"/>
    </row>
    <row r="567" spans="3:26" x14ac:dyDescent="0.15">
      <c r="C567" s="489"/>
      <c r="D567" s="489"/>
      <c r="E567" s="489"/>
      <c r="F567" s="489"/>
      <c r="G567" s="489"/>
      <c r="H567" s="489"/>
      <c r="I567" s="489"/>
      <c r="J567" s="489"/>
      <c r="K567" s="489"/>
      <c r="L567" s="489"/>
      <c r="M567" s="489"/>
      <c r="N567" s="489"/>
      <c r="O567" s="489"/>
      <c r="P567" s="489"/>
      <c r="Q567" s="489"/>
      <c r="R567" s="489"/>
      <c r="S567" s="489"/>
      <c r="T567" s="489"/>
      <c r="U567" s="489"/>
      <c r="V567" s="489"/>
      <c r="W567" s="489"/>
      <c r="X567" s="489"/>
      <c r="Y567" s="489"/>
      <c r="Z567" s="489"/>
    </row>
    <row r="568" spans="3:26" x14ac:dyDescent="0.15">
      <c r="C568" s="489"/>
      <c r="D568" s="489"/>
      <c r="E568" s="489"/>
      <c r="F568" s="489"/>
      <c r="G568" s="489"/>
      <c r="H568" s="489"/>
      <c r="I568" s="489"/>
      <c r="J568" s="489"/>
      <c r="K568" s="489"/>
      <c r="L568" s="489"/>
      <c r="M568" s="489"/>
      <c r="N568" s="489"/>
      <c r="O568" s="489"/>
      <c r="P568" s="489"/>
      <c r="Q568" s="489"/>
      <c r="R568" s="489"/>
      <c r="S568" s="489"/>
      <c r="T568" s="489"/>
      <c r="U568" s="489"/>
      <c r="V568" s="489"/>
      <c r="W568" s="489"/>
      <c r="X568" s="489"/>
      <c r="Y568" s="489"/>
      <c r="Z568" s="489"/>
    </row>
    <row r="569" spans="3:26" x14ac:dyDescent="0.15">
      <c r="C569" s="489"/>
      <c r="D569" s="489"/>
      <c r="E569" s="489"/>
      <c r="F569" s="489"/>
      <c r="G569" s="489"/>
      <c r="H569" s="489"/>
      <c r="I569" s="489"/>
      <c r="J569" s="489"/>
      <c r="K569" s="489"/>
      <c r="L569" s="489"/>
      <c r="M569" s="489"/>
      <c r="N569" s="489"/>
      <c r="O569" s="489"/>
      <c r="P569" s="489"/>
      <c r="Q569" s="489"/>
      <c r="R569" s="489"/>
      <c r="S569" s="489"/>
      <c r="T569" s="489"/>
      <c r="U569" s="489"/>
      <c r="V569" s="489"/>
      <c r="W569" s="489"/>
      <c r="X569" s="489"/>
      <c r="Y569" s="489"/>
      <c r="Z569" s="489"/>
    </row>
    <row r="570" spans="3:26" x14ac:dyDescent="0.15">
      <c r="C570" s="493"/>
      <c r="D570" s="493"/>
      <c r="E570" s="493"/>
      <c r="F570" s="493"/>
      <c r="G570" s="493"/>
      <c r="H570" s="493"/>
      <c r="I570" s="493"/>
      <c r="J570" s="493"/>
      <c r="K570" s="493"/>
      <c r="L570" s="493"/>
      <c r="M570" s="493"/>
      <c r="N570" s="493"/>
      <c r="O570" s="493"/>
      <c r="P570" s="493"/>
      <c r="Q570" s="493"/>
      <c r="R570" s="493"/>
      <c r="S570" s="493"/>
      <c r="T570" s="493"/>
      <c r="U570" s="493"/>
      <c r="V570" s="493"/>
      <c r="W570" s="493"/>
      <c r="X570" s="493"/>
      <c r="Y570" s="493"/>
      <c r="Z570" s="493"/>
    </row>
    <row r="571" spans="3:26" x14ac:dyDescent="0.15">
      <c r="C571" s="489"/>
      <c r="D571" s="489"/>
      <c r="E571" s="489"/>
      <c r="F571" s="489"/>
      <c r="G571" s="489"/>
      <c r="H571" s="489"/>
      <c r="I571" s="489"/>
      <c r="J571" s="489"/>
      <c r="K571" s="489"/>
      <c r="L571" s="489"/>
      <c r="M571" s="489"/>
      <c r="N571" s="489"/>
      <c r="O571" s="489"/>
      <c r="P571" s="489"/>
      <c r="Q571" s="489"/>
      <c r="R571" s="489"/>
      <c r="S571" s="489"/>
      <c r="T571" s="489"/>
      <c r="U571" s="489"/>
      <c r="V571" s="489"/>
      <c r="W571" s="489"/>
      <c r="X571" s="489"/>
      <c r="Y571" s="489"/>
      <c r="Z571" s="489"/>
    </row>
    <row r="586" spans="27:27" x14ac:dyDescent="0.15">
      <c r="AA586" s="45"/>
    </row>
  </sheetData>
  <phoneticPr fontId="40"/>
  <conditionalFormatting sqref="C14:Z14 C54:Z54 C94:Z94 C217:Z217 C257:Z257 C340:Z340 C381:Z381 C423:Z423 C546:Z546">
    <cfRule type="expression" dxfId="341" priority="20">
      <formula>ISERROR(C14)=TRUE</formula>
    </cfRule>
  </conditionalFormatting>
  <conditionalFormatting sqref="C15:Z20 C55:Z60 C95:Z100 C218:Z223 C258:Z263 C341:Z346 C382:Z387 C424:Z429 C547:Z552">
    <cfRule type="expression" dxfId="340" priority="19">
      <formula>ISERROR(C15)=TRUE</formula>
    </cfRule>
  </conditionalFormatting>
  <conditionalFormatting sqref="C21:Z21 C61:Z61 C101:Z101 C224:Z224 C264:Z264 C347:Z347 C388:Z388 C430:Z430 C553:Z553">
    <cfRule type="expression" dxfId="339" priority="18">
      <formula>ISERROR(C21)=TRUE</formula>
    </cfRule>
  </conditionalFormatting>
  <conditionalFormatting sqref="C62:Z62 C558:Z558 C22:Z22 C102:Z102 C225:Z225 C265:Z265 C348:Z348 C389:Z389 C431:Z431 C554:Z554">
    <cfRule type="expression" dxfId="338" priority="17">
      <formula>ISERROR(C22)=TRUE</formula>
    </cfRule>
  </conditionalFormatting>
  <conditionalFormatting sqref="C135:Z135">
    <cfRule type="expression" dxfId="337" priority="16">
      <formula>ISERROR(C135)=TRUE</formula>
    </cfRule>
  </conditionalFormatting>
  <conditionalFormatting sqref="C136:Z141">
    <cfRule type="expression" dxfId="336" priority="15">
      <formula>ISERROR(C136)=TRUE</formula>
    </cfRule>
  </conditionalFormatting>
  <conditionalFormatting sqref="C142:Z142">
    <cfRule type="expression" dxfId="335" priority="14">
      <formula>ISERROR(C142)=TRUE</formula>
    </cfRule>
  </conditionalFormatting>
  <conditionalFormatting sqref="C143:Z143">
    <cfRule type="expression" dxfId="334" priority="13">
      <formula>ISERROR(C143)=TRUE</formula>
    </cfRule>
  </conditionalFormatting>
  <conditionalFormatting sqref="C176:Z176">
    <cfRule type="expression" dxfId="333" priority="12">
      <formula>ISERROR(C176)=TRUE</formula>
    </cfRule>
  </conditionalFormatting>
  <conditionalFormatting sqref="C177:Z182">
    <cfRule type="expression" dxfId="332" priority="11">
      <formula>ISERROR(C177)=TRUE</formula>
    </cfRule>
  </conditionalFormatting>
  <conditionalFormatting sqref="C183:Z183">
    <cfRule type="expression" dxfId="331" priority="10">
      <formula>ISERROR(C183)=TRUE</formula>
    </cfRule>
  </conditionalFormatting>
  <conditionalFormatting sqref="C184:Z184">
    <cfRule type="expression" dxfId="330" priority="9">
      <formula>ISERROR(C184)=TRUE</formula>
    </cfRule>
  </conditionalFormatting>
  <conditionalFormatting sqref="C505:Z505">
    <cfRule type="expression" dxfId="329" priority="8">
      <formula>ISERROR(C505)=TRUE</formula>
    </cfRule>
  </conditionalFormatting>
  <conditionalFormatting sqref="C506:Z511">
    <cfRule type="expression" dxfId="328" priority="7">
      <formula>ISERROR(C506)=TRUE</formula>
    </cfRule>
  </conditionalFormatting>
  <conditionalFormatting sqref="C512:Z512">
    <cfRule type="expression" dxfId="327" priority="6">
      <formula>ISERROR(C512)=TRUE</formula>
    </cfRule>
  </conditionalFormatting>
  <conditionalFormatting sqref="C513:Z513">
    <cfRule type="expression" dxfId="326" priority="5">
      <formula>ISERROR(C513)=TRUE</formula>
    </cfRule>
  </conditionalFormatting>
  <conditionalFormatting sqref="C464:Z464">
    <cfRule type="expression" dxfId="325" priority="4">
      <formula>ISERROR(C464)=TRUE</formula>
    </cfRule>
  </conditionalFormatting>
  <conditionalFormatting sqref="C465:Z470">
    <cfRule type="expression" dxfId="324" priority="3">
      <formula>ISERROR(C465)=TRUE</formula>
    </cfRule>
  </conditionalFormatting>
  <conditionalFormatting sqref="C471:Z471">
    <cfRule type="expression" dxfId="323" priority="2">
      <formula>ISERROR(C471)=TRUE</formula>
    </cfRule>
  </conditionalFormatting>
  <conditionalFormatting sqref="C472:Z472">
    <cfRule type="expression" dxfId="322" priority="1">
      <formula>ISERROR(C472)=TRUE</formula>
    </cfRule>
  </conditionalFormatting>
  <hyperlinks>
    <hyperlink ref="B8" location="事業所別収支!A339" display="GH西五所へ"/>
    <hyperlink ref="B9" location="事業所別収支!A380" display="白金タクシーへ"/>
    <hyperlink ref="B7" location="姉崎収支" display="姉崎収支へ"/>
    <hyperlink ref="B10" location="全社収支" display="#全社収支"/>
    <hyperlink ref="B6" location="ＧＨ五井収支" display="ＧＨ五井収支へ"/>
    <hyperlink ref="B5" location="二日市場収支" display="二日市場収支へ"/>
    <hyperlink ref="B4" location="白金ディ収支" display="白金ディ収支へ"/>
    <hyperlink ref="B3" location="誉田収支" display="誉田収支へ"/>
    <hyperlink ref="B2" location="蘇我収支" display="#蘇我収支"/>
    <hyperlink ref="B1" location="白金収支" display="#白金収支"/>
  </hyperlinks>
  <pageMargins left="0.35433070866141736" right="0.23622047244094491" top="0.47244094488188981" bottom="0.35433070866141736" header="0.31496062992125984" footer="0.31496062992125984"/>
  <pageSetup paperSize="8" scale="43" fitToHeight="0" orientation="portrait" r:id="rId1"/>
  <headerFooter>
    <oddHeader>&amp;L&amp;A&amp;R&amp;D 印刷</oddHeader>
    <oddFooter>&amp;L介護サービス友乃家&amp;C&amp;P／&amp;N&amp;R&amp;F</oddFooter>
  </headerFooter>
  <rowBreaks count="1" manualBreakCount="1">
    <brk id="173" min="1" max="25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BA37"/>
  <sheetViews>
    <sheetView zoomScale="80" zoomScaleNormal="80" workbookViewId="0">
      <pane xSplit="2" ySplit="4" topLeftCell="AE14" activePane="bottomRight" state="frozen"/>
      <selection pane="topRight" activeCell="C1" sqref="C1"/>
      <selection pane="bottomLeft" activeCell="A4" sqref="A4"/>
      <selection pane="bottomRight" activeCell="AR23" sqref="AR23"/>
    </sheetView>
  </sheetViews>
  <sheetFormatPr defaultRowHeight="13.5" x14ac:dyDescent="0.15"/>
  <cols>
    <col min="1" max="1" width="6.25" customWidth="1"/>
    <col min="2" max="2" width="13.375" customWidth="1"/>
    <col min="3" max="51" width="12.375" customWidth="1"/>
  </cols>
  <sheetData>
    <row r="1" spans="1:53" ht="21" customHeight="1" thickBot="1" x14ac:dyDescent="0.2">
      <c r="B1" t="s">
        <v>161</v>
      </c>
      <c r="C1" t="s">
        <v>313</v>
      </c>
      <c r="E1" s="703"/>
      <c r="F1" s="703"/>
      <c r="G1" s="703"/>
      <c r="H1" s="703"/>
      <c r="I1" s="703"/>
      <c r="J1" s="703"/>
      <c r="K1" s="703"/>
      <c r="L1" s="703"/>
      <c r="M1" s="703"/>
      <c r="N1" s="703"/>
      <c r="O1" s="703"/>
      <c r="P1" s="704" t="s">
        <v>875</v>
      </c>
      <c r="Q1" s="703">
        <f>IF(Q4="賞与","",EDATE(Q2,1))</f>
        <v>43009</v>
      </c>
      <c r="R1" s="703">
        <f t="shared" ref="R1:AY1" si="0">IF(R4="賞与","",EDATE(R2,1))</f>
        <v>43040</v>
      </c>
      <c r="S1" s="703">
        <f t="shared" si="0"/>
        <v>43070</v>
      </c>
      <c r="T1" s="703">
        <f t="shared" si="0"/>
        <v>43101</v>
      </c>
      <c r="U1" s="703" t="str">
        <f t="shared" si="0"/>
        <v/>
      </c>
      <c r="V1" s="703">
        <f t="shared" si="0"/>
        <v>43132</v>
      </c>
      <c r="W1" s="703">
        <f t="shared" si="0"/>
        <v>43160</v>
      </c>
      <c r="X1" s="703">
        <f t="shared" si="0"/>
        <v>43191</v>
      </c>
      <c r="Y1" s="703">
        <f t="shared" si="0"/>
        <v>43221</v>
      </c>
      <c r="Z1" s="703">
        <f t="shared" si="0"/>
        <v>43252</v>
      </c>
      <c r="AA1" s="703">
        <f t="shared" si="0"/>
        <v>43282</v>
      </c>
      <c r="AB1" s="703" t="str">
        <f t="shared" si="0"/>
        <v/>
      </c>
      <c r="AC1" s="703">
        <f t="shared" si="0"/>
        <v>43313</v>
      </c>
      <c r="AD1" s="703">
        <f t="shared" si="0"/>
        <v>43344</v>
      </c>
      <c r="AE1" s="703" t="str">
        <f t="shared" si="0"/>
        <v/>
      </c>
      <c r="AF1" s="703">
        <f t="shared" si="0"/>
        <v>43374</v>
      </c>
      <c r="AG1" s="703">
        <f t="shared" si="0"/>
        <v>43405</v>
      </c>
      <c r="AH1" s="703">
        <f t="shared" si="0"/>
        <v>43435</v>
      </c>
      <c r="AI1" s="703">
        <f t="shared" si="0"/>
        <v>43466</v>
      </c>
      <c r="AJ1" s="703" t="str">
        <f t="shared" si="0"/>
        <v/>
      </c>
      <c r="AK1" s="703">
        <f t="shared" si="0"/>
        <v>43497</v>
      </c>
      <c r="AL1" s="703">
        <f t="shared" si="0"/>
        <v>43525</v>
      </c>
      <c r="AM1" s="703">
        <f t="shared" si="0"/>
        <v>43556</v>
      </c>
      <c r="AN1" s="703">
        <f t="shared" si="0"/>
        <v>43586</v>
      </c>
      <c r="AO1" s="703">
        <f t="shared" si="0"/>
        <v>43617</v>
      </c>
      <c r="AP1" s="703">
        <f t="shared" si="0"/>
        <v>43647</v>
      </c>
      <c r="AQ1" s="703" t="str">
        <f t="shared" si="0"/>
        <v/>
      </c>
      <c r="AR1" s="703">
        <f t="shared" si="0"/>
        <v>43678</v>
      </c>
      <c r="AS1" s="703">
        <f t="shared" si="0"/>
        <v>43709</v>
      </c>
      <c r="AT1" s="703">
        <f t="shared" si="0"/>
        <v>43739</v>
      </c>
      <c r="AU1" s="703">
        <f t="shared" si="0"/>
        <v>43770</v>
      </c>
      <c r="AV1" s="703">
        <f t="shared" si="0"/>
        <v>43800</v>
      </c>
      <c r="AW1" s="703">
        <f t="shared" si="0"/>
        <v>43831</v>
      </c>
      <c r="AX1" s="703" t="str">
        <f t="shared" si="0"/>
        <v/>
      </c>
      <c r="AY1" s="703">
        <f t="shared" si="0"/>
        <v>43862</v>
      </c>
    </row>
    <row r="2" spans="1:53" ht="35.25" customHeight="1" x14ac:dyDescent="0.15">
      <c r="A2" s="2118" t="s">
        <v>176</v>
      </c>
      <c r="B2" s="2119"/>
      <c r="C2" s="1507">
        <v>42614</v>
      </c>
      <c r="D2" s="1158">
        <f>EDATE(C2,1)</f>
        <v>42644</v>
      </c>
      <c r="E2" s="590">
        <f t="shared" ref="E2:AE2" si="1">IF(E4="賞与",D2,EDATE(D2,1))</f>
        <v>42675</v>
      </c>
      <c r="F2" s="590">
        <f t="shared" si="1"/>
        <v>42705</v>
      </c>
      <c r="G2" s="590">
        <f t="shared" si="1"/>
        <v>42705</v>
      </c>
      <c r="H2" s="590">
        <f t="shared" si="1"/>
        <v>42736</v>
      </c>
      <c r="I2" s="590">
        <f t="shared" si="1"/>
        <v>42767</v>
      </c>
      <c r="J2" s="590">
        <f t="shared" si="1"/>
        <v>42795</v>
      </c>
      <c r="K2" s="590">
        <f t="shared" si="1"/>
        <v>42826</v>
      </c>
      <c r="L2" s="590">
        <f t="shared" si="1"/>
        <v>42856</v>
      </c>
      <c r="M2" s="590">
        <f t="shared" si="1"/>
        <v>42887</v>
      </c>
      <c r="N2" s="590">
        <f t="shared" si="1"/>
        <v>42887</v>
      </c>
      <c r="O2" s="590">
        <f t="shared" si="1"/>
        <v>42917</v>
      </c>
      <c r="P2" s="590">
        <f t="shared" si="1"/>
        <v>42948</v>
      </c>
      <c r="Q2" s="590">
        <f t="shared" si="1"/>
        <v>42979</v>
      </c>
      <c r="R2" s="590">
        <f t="shared" si="1"/>
        <v>43009</v>
      </c>
      <c r="S2" s="590">
        <f t="shared" si="1"/>
        <v>43040</v>
      </c>
      <c r="T2" s="590">
        <f t="shared" si="1"/>
        <v>43070</v>
      </c>
      <c r="U2" s="590">
        <f t="shared" si="1"/>
        <v>43070</v>
      </c>
      <c r="V2" s="590">
        <f t="shared" si="1"/>
        <v>43101</v>
      </c>
      <c r="W2" s="590">
        <f t="shared" si="1"/>
        <v>43132</v>
      </c>
      <c r="X2" s="590">
        <f t="shared" si="1"/>
        <v>43160</v>
      </c>
      <c r="Y2" s="590">
        <f t="shared" si="1"/>
        <v>43191</v>
      </c>
      <c r="Z2" s="590">
        <f t="shared" si="1"/>
        <v>43221</v>
      </c>
      <c r="AA2" s="590">
        <f t="shared" si="1"/>
        <v>43252</v>
      </c>
      <c r="AB2" s="590">
        <f t="shared" si="1"/>
        <v>43252</v>
      </c>
      <c r="AC2" s="590">
        <f t="shared" si="1"/>
        <v>43282</v>
      </c>
      <c r="AD2" s="590">
        <f t="shared" si="1"/>
        <v>43313</v>
      </c>
      <c r="AE2" s="590">
        <f t="shared" si="1"/>
        <v>43313</v>
      </c>
      <c r="AF2" s="590">
        <f>IF(AF4="賞与",AD2,EDATE(AD2,1))</f>
        <v>43344</v>
      </c>
      <c r="AG2" s="590">
        <f t="shared" ref="AG2:AY2" si="2">IF(AG4="賞与",AF2,EDATE(AF2,1))</f>
        <v>43374</v>
      </c>
      <c r="AH2" s="590">
        <f t="shared" si="2"/>
        <v>43405</v>
      </c>
      <c r="AI2" s="590">
        <f t="shared" si="2"/>
        <v>43435</v>
      </c>
      <c r="AJ2" s="590">
        <f t="shared" si="2"/>
        <v>43435</v>
      </c>
      <c r="AK2" s="590">
        <f t="shared" si="2"/>
        <v>43466</v>
      </c>
      <c r="AL2" s="590">
        <f t="shared" si="2"/>
        <v>43497</v>
      </c>
      <c r="AM2" s="590">
        <f t="shared" si="2"/>
        <v>43525</v>
      </c>
      <c r="AN2" s="590">
        <f t="shared" si="2"/>
        <v>43556</v>
      </c>
      <c r="AO2" s="590">
        <f t="shared" si="2"/>
        <v>43586</v>
      </c>
      <c r="AP2" s="590">
        <f t="shared" si="2"/>
        <v>43617</v>
      </c>
      <c r="AQ2" s="590">
        <f t="shared" si="2"/>
        <v>43617</v>
      </c>
      <c r="AR2" s="590">
        <f t="shared" si="2"/>
        <v>43647</v>
      </c>
      <c r="AS2" s="590">
        <f t="shared" si="2"/>
        <v>43678</v>
      </c>
      <c r="AT2" s="590">
        <f t="shared" si="2"/>
        <v>43709</v>
      </c>
      <c r="AU2" s="590">
        <f t="shared" si="2"/>
        <v>43739</v>
      </c>
      <c r="AV2" s="590">
        <f t="shared" si="2"/>
        <v>43770</v>
      </c>
      <c r="AW2" s="590">
        <f t="shared" si="2"/>
        <v>43800</v>
      </c>
      <c r="AX2" s="590">
        <f t="shared" si="2"/>
        <v>43800</v>
      </c>
      <c r="AY2" s="590">
        <f t="shared" si="2"/>
        <v>43831</v>
      </c>
    </row>
    <row r="3" spans="1:53" ht="35.25" hidden="1" customHeight="1" x14ac:dyDescent="0.15">
      <c r="A3" s="2122" t="s">
        <v>1378</v>
      </c>
      <c r="B3" s="2123"/>
      <c r="C3" s="1510">
        <f t="shared" ref="C3:AH3" si="3">IF(C4="賞与","",VLOOKUP(C2,処遇改善プール額,2,TRUE))</f>
        <v>450000</v>
      </c>
      <c r="D3" s="1510">
        <f t="shared" si="3"/>
        <v>450000</v>
      </c>
      <c r="E3" s="1510">
        <f t="shared" si="3"/>
        <v>450000</v>
      </c>
      <c r="F3" s="1510">
        <f t="shared" si="3"/>
        <v>450000</v>
      </c>
      <c r="G3" s="1510" t="str">
        <f t="shared" si="3"/>
        <v/>
      </c>
      <c r="H3" s="1510">
        <f t="shared" si="3"/>
        <v>450000</v>
      </c>
      <c r="I3" s="1510">
        <f t="shared" si="3"/>
        <v>450000</v>
      </c>
      <c r="J3" s="1510">
        <f t="shared" si="3"/>
        <v>450000</v>
      </c>
      <c r="K3" s="1510">
        <f t="shared" si="3"/>
        <v>600000</v>
      </c>
      <c r="L3" s="1510">
        <f t="shared" si="3"/>
        <v>600000</v>
      </c>
      <c r="M3" s="1510">
        <f t="shared" si="3"/>
        <v>600000</v>
      </c>
      <c r="N3" s="1510" t="str">
        <f t="shared" si="3"/>
        <v/>
      </c>
      <c r="O3" s="1510">
        <f t="shared" si="3"/>
        <v>600000</v>
      </c>
      <c r="P3" s="1510">
        <f t="shared" si="3"/>
        <v>600000</v>
      </c>
      <c r="Q3" s="1510">
        <f t="shared" si="3"/>
        <v>600000</v>
      </c>
      <c r="R3" s="1510">
        <f t="shared" si="3"/>
        <v>600000</v>
      </c>
      <c r="S3" s="1510">
        <f t="shared" si="3"/>
        <v>600000</v>
      </c>
      <c r="T3" s="1510">
        <f t="shared" si="3"/>
        <v>600000</v>
      </c>
      <c r="U3" s="1510" t="str">
        <f t="shared" si="3"/>
        <v/>
      </c>
      <c r="V3" s="1510">
        <f t="shared" si="3"/>
        <v>600000</v>
      </c>
      <c r="W3" s="1510">
        <f t="shared" si="3"/>
        <v>600000</v>
      </c>
      <c r="X3" s="1510">
        <f t="shared" si="3"/>
        <v>600000</v>
      </c>
      <c r="Y3" s="1510">
        <f t="shared" si="3"/>
        <v>600000</v>
      </c>
      <c r="Z3" s="1510">
        <f t="shared" si="3"/>
        <v>600000</v>
      </c>
      <c r="AA3" s="1510">
        <f t="shared" si="3"/>
        <v>600000</v>
      </c>
      <c r="AB3" s="1510" t="str">
        <f t="shared" si="3"/>
        <v/>
      </c>
      <c r="AC3" s="1510">
        <f t="shared" si="3"/>
        <v>600000</v>
      </c>
      <c r="AD3" s="1510">
        <f t="shared" si="3"/>
        <v>600000</v>
      </c>
      <c r="AE3" s="1510" t="str">
        <f t="shared" si="3"/>
        <v/>
      </c>
      <c r="AF3" s="1510">
        <f t="shared" si="3"/>
        <v>600000</v>
      </c>
      <c r="AG3" s="1510">
        <f t="shared" si="3"/>
        <v>600000</v>
      </c>
      <c r="AH3" s="1510">
        <f t="shared" si="3"/>
        <v>600000</v>
      </c>
      <c r="AI3" s="1510">
        <f t="shared" ref="AI3:AY3" si="4">IF(AI4="賞与","",VLOOKUP(AI2,処遇改善プール額,2,TRUE))</f>
        <v>600000</v>
      </c>
      <c r="AJ3" s="1510" t="str">
        <f t="shared" si="4"/>
        <v/>
      </c>
      <c r="AK3" s="1510">
        <f t="shared" si="4"/>
        <v>600000</v>
      </c>
      <c r="AL3" s="1510">
        <f t="shared" si="4"/>
        <v>600000</v>
      </c>
      <c r="AM3" s="1510">
        <f t="shared" si="4"/>
        <v>600000</v>
      </c>
      <c r="AN3" s="1510">
        <f t="shared" si="4"/>
        <v>600000</v>
      </c>
      <c r="AO3" s="1510">
        <f t="shared" si="4"/>
        <v>600000</v>
      </c>
      <c r="AP3" s="1510">
        <f t="shared" si="4"/>
        <v>600000</v>
      </c>
      <c r="AQ3" s="1510" t="str">
        <f t="shared" si="4"/>
        <v/>
      </c>
      <c r="AR3" s="1510">
        <f t="shared" si="4"/>
        <v>600000</v>
      </c>
      <c r="AS3" s="1510">
        <f t="shared" si="4"/>
        <v>600000</v>
      </c>
      <c r="AT3" s="1510">
        <f t="shared" si="4"/>
        <v>600000</v>
      </c>
      <c r="AU3" s="1510">
        <f t="shared" si="4"/>
        <v>600000</v>
      </c>
      <c r="AV3" s="1510">
        <f t="shared" si="4"/>
        <v>600000</v>
      </c>
      <c r="AW3" s="1510">
        <f t="shared" si="4"/>
        <v>600000</v>
      </c>
      <c r="AX3" s="1510" t="str">
        <f t="shared" si="4"/>
        <v/>
      </c>
      <c r="AY3" s="1510">
        <f t="shared" si="4"/>
        <v>600000</v>
      </c>
    </row>
    <row r="4" spans="1:53" s="742" customFormat="1" ht="35.25" customHeight="1" x14ac:dyDescent="0.15">
      <c r="A4" s="2120" t="s">
        <v>925</v>
      </c>
      <c r="B4" s="2121"/>
      <c r="C4" s="8" t="s">
        <v>922</v>
      </c>
      <c r="D4" s="8" t="s">
        <v>922</v>
      </c>
      <c r="E4" s="8" t="s">
        <v>922</v>
      </c>
      <c r="F4" s="8" t="s">
        <v>922</v>
      </c>
      <c r="G4" s="8" t="s">
        <v>60</v>
      </c>
      <c r="H4" s="8" t="s">
        <v>922</v>
      </c>
      <c r="I4" s="8" t="s">
        <v>922</v>
      </c>
      <c r="J4" s="8" t="s">
        <v>922</v>
      </c>
      <c r="K4" s="8" t="s">
        <v>922</v>
      </c>
      <c r="L4" s="8" t="s">
        <v>922</v>
      </c>
      <c r="M4" s="8" t="s">
        <v>922</v>
      </c>
      <c r="N4" s="1508" t="s">
        <v>920</v>
      </c>
      <c r="O4" s="8" t="s">
        <v>922</v>
      </c>
      <c r="P4" s="8" t="s">
        <v>922</v>
      </c>
      <c r="Q4" s="8" t="s">
        <v>922</v>
      </c>
      <c r="R4" s="8" t="s">
        <v>922</v>
      </c>
      <c r="S4" s="8" t="s">
        <v>922</v>
      </c>
      <c r="T4" s="8" t="s">
        <v>922</v>
      </c>
      <c r="U4" s="1508" t="s">
        <v>920</v>
      </c>
      <c r="V4" s="8" t="s">
        <v>922</v>
      </c>
      <c r="W4" s="8" t="s">
        <v>922</v>
      </c>
      <c r="X4" s="8" t="s">
        <v>922</v>
      </c>
      <c r="Y4" s="8" t="s">
        <v>922</v>
      </c>
      <c r="Z4" s="8" t="s">
        <v>922</v>
      </c>
      <c r="AA4" s="8" t="s">
        <v>922</v>
      </c>
      <c r="AB4" s="1508" t="s">
        <v>60</v>
      </c>
      <c r="AC4" s="1508" t="s">
        <v>922</v>
      </c>
      <c r="AD4" s="1509" t="s">
        <v>922</v>
      </c>
      <c r="AE4" s="1509" t="s">
        <v>60</v>
      </c>
      <c r="AF4" s="8" t="s">
        <v>922</v>
      </c>
      <c r="AG4" s="8" t="s">
        <v>922</v>
      </c>
      <c r="AH4" s="8" t="s">
        <v>922</v>
      </c>
      <c r="AI4" s="8" t="s">
        <v>922</v>
      </c>
      <c r="AJ4" s="8" t="s">
        <v>60</v>
      </c>
      <c r="AK4" s="8" t="s">
        <v>922</v>
      </c>
      <c r="AL4" s="8" t="s">
        <v>922</v>
      </c>
      <c r="AM4" s="8" t="s">
        <v>922</v>
      </c>
      <c r="AN4" s="8" t="s">
        <v>922</v>
      </c>
      <c r="AO4" s="8" t="s">
        <v>922</v>
      </c>
      <c r="AP4" s="8" t="s">
        <v>922</v>
      </c>
      <c r="AQ4" s="8" t="s">
        <v>60</v>
      </c>
      <c r="AR4" s="8" t="s">
        <v>922</v>
      </c>
      <c r="AS4" s="8" t="s">
        <v>922</v>
      </c>
      <c r="AT4" s="8" t="s">
        <v>922</v>
      </c>
      <c r="AU4" s="8" t="s">
        <v>922</v>
      </c>
      <c r="AV4" s="8" t="s">
        <v>922</v>
      </c>
      <c r="AW4" s="8" t="s">
        <v>922</v>
      </c>
      <c r="AX4" s="8" t="s">
        <v>60</v>
      </c>
      <c r="AY4" s="1508" t="s">
        <v>922</v>
      </c>
      <c r="BA4" s="650" t="s">
        <v>1204</v>
      </c>
    </row>
    <row r="5" spans="1:53" ht="35.25" customHeight="1" x14ac:dyDescent="0.15">
      <c r="A5" s="2114" t="s">
        <v>530</v>
      </c>
      <c r="B5" s="10" t="s">
        <v>533</v>
      </c>
      <c r="C5" s="123">
        <f>IF(C4="賞与",0,IFERROR(GETPIVOTDATA("合計 / 訪問処遇改善加算金",【ピボット】事業所売上!$A$3,"年月",C$2),0)
+IFERROR(GETPIVOTDATA("合計 / 通所介護処遇改善加算金",【ピボット】事業所売上!$A$3,"年月",C$2),0))</f>
        <v>1395881</v>
      </c>
      <c r="D5" s="123">
        <f>IF(D4="賞与",0,IFERROR(GETPIVOTDATA("合計 / 訪問処遇改善加算金",【ピボット】事業所売上!$A$3,"年月",D$2),0)
+IFERROR(GETPIVOTDATA("合計 / 通所介護処遇改善加算金",【ピボット】事業所売上!$A$3,"年月",D$2),0))</f>
        <v>1581607</v>
      </c>
      <c r="E5" s="123">
        <f>IF(E4="賞与",0,IFERROR(GETPIVOTDATA("合計 / 訪問処遇改善加算金",【ピボット】事業所売上!$A$3,"年月",E$2),0)
+IFERROR(GETPIVOTDATA("合計 / 通所介護処遇改善加算金",【ピボット】事業所売上!$A$3,"年月",E$2),0))</f>
        <v>1530319</v>
      </c>
      <c r="F5" s="123">
        <f>IF(F4="賞与",0,IFERROR(GETPIVOTDATA("合計 / 訪問処遇改善加算金",【ピボット】事業所売上!$A$3,"年月",F$2),0)
+IFERROR(GETPIVOTDATA("合計 / 通所介護処遇改善加算金",【ピボット】事業所売上!$A$3,"年月",F$2),0))</f>
        <v>1609781</v>
      </c>
      <c r="G5" s="123">
        <f>IF(G4="賞与",0,IFERROR(GETPIVOTDATA("合計 / 訪問処遇改善加算金",【ピボット】事業所売上!$A$3,"年月",G$2),0)
+IFERROR(GETPIVOTDATA("合計 / 通所介護処遇改善加算金",【ピボット】事業所売上!$A$3,"年月",G$2),0))</f>
        <v>0</v>
      </c>
      <c r="H5" s="123">
        <f>IF(H4="賞与",0,IFERROR(GETPIVOTDATA("合計 / 訪問処遇改善加算金",【ピボット】事業所売上!$A$3,"年月",H$2),0)
+IFERROR(GETPIVOTDATA("合計 / 通所介護処遇改善加算金",【ピボット】事業所売上!$A$3,"年月",H$2),0))</f>
        <v>1432357</v>
      </c>
      <c r="I5" s="123">
        <f>IF(I4="賞与",0,IFERROR(GETPIVOTDATA("合計 / 訪問処遇改善加算金",【ピボット】事業所売上!$A$3,"年月",I$2),0)
+IFERROR(GETPIVOTDATA("合計 / 通所介護処遇改善加算金",【ピボット】事業所売上!$A$3,"年月",I$2),0))</f>
        <v>1468176</v>
      </c>
      <c r="J5" s="123">
        <f>IF(J4="賞与",0,IFERROR(GETPIVOTDATA("合計 / 訪問処遇改善加算金",【ピボット】事業所売上!$A$3,"年月",J$2),0)
+IFERROR(GETPIVOTDATA("合計 / 通所介護処遇改善加算金",【ピボット】事業所売上!$A$3,"年月",J$2),0))</f>
        <v>1559966</v>
      </c>
      <c r="K5" s="123">
        <f>IF(K4="賞与",0,IFERROR(GETPIVOTDATA("合計 / 訪問処遇改善加算金",【ピボット】事業所売上!$A$3,"年月",K$2),0)
+IFERROR(GETPIVOTDATA("合計 / 通所介護処遇改善加算金",【ピボット】事業所売上!$A$3,"年月",K$2),0))</f>
        <v>2280789</v>
      </c>
      <c r="L5" s="123">
        <f>IF(L4="賞与",0,IFERROR(GETPIVOTDATA("合計 / 訪問処遇改善加算金",【ピボット】事業所売上!$A$3,"年月",L$2),0)
+IFERROR(GETPIVOTDATA("合計 / 通所介護処遇改善加算金",【ピボット】事業所売上!$A$3,"年月",L$2),0))</f>
        <v>2475862</v>
      </c>
      <c r="M5" s="123">
        <f>IF(M4="賞与",0,IFERROR(GETPIVOTDATA("合計 / 訪問処遇改善加算金",【ピボット】事業所売上!$A$3,"年月",M$2),0)
+IFERROR(GETPIVOTDATA("合計 / 通所介護処遇改善加算金",【ピボット】事業所売上!$A$3,"年月",M$2),0))</f>
        <v>2260825</v>
      </c>
      <c r="N5" s="123">
        <f>IF(N4="賞与",0,IFERROR(GETPIVOTDATA("合計 / 訪問処遇改善加算金",【ピボット】事業所売上!$A$3,"年月",N$2),0)
+IFERROR(GETPIVOTDATA("合計 / 通所介護処遇改善加算金",【ピボット】事業所売上!$A$3,"年月",N$2),0))</f>
        <v>0</v>
      </c>
      <c r="O5" s="123">
        <f>IF(O4="賞与",0,IFERROR(GETPIVOTDATA("合計 / 訪問処遇改善加算金",【ピボット】事業所売上!$A$3,"年月",O$2),0)
+IFERROR(GETPIVOTDATA("合計 / 通所介護処遇改善加算金",【ピボット】事業所売上!$A$3,"年月",O$2),0))</f>
        <v>2367623</v>
      </c>
      <c r="P5" s="123">
        <f>IF(P4="賞与",0,IFERROR(GETPIVOTDATA("合計 / 訪問処遇改善加算金",【ピボット】事業所売上!$A$3,"年月",P$2),0)
+IFERROR(GETPIVOTDATA("合計 / 通所介護処遇改善加算金",【ピボット】事業所売上!$A$3,"年月",P$2),0))</f>
        <v>2347544</v>
      </c>
      <c r="Q5" s="123">
        <f>IF(Q4="賞与",0,IFERROR(GETPIVOTDATA("合計 / 訪問処遇改善加算金",【ピボット】事業所売上!$A$3,"年月",Q$2),0)
+IFERROR(GETPIVOTDATA("合計 / 通所介護処遇改善加算金",【ピボット】事業所売上!$A$3,"年月",Q$2),0))</f>
        <v>2474592</v>
      </c>
      <c r="R5" s="123">
        <f>IF(R4="賞与",0,IFERROR(GETPIVOTDATA("合計 / 訪問処遇改善加算金",【ピボット】事業所売上!$A$3,"年月",R$2),0)
+IFERROR(GETPIVOTDATA("合計 / 通所介護処遇改善加算金",【ピボット】事業所売上!$A$3,"年月",R$2),0))</f>
        <v>2443820</v>
      </c>
      <c r="S5" s="123">
        <f>IF(S4="賞与",0,IFERROR(GETPIVOTDATA("合計 / 訪問処遇改善加算金",【ピボット】事業所売上!$A$3,"年月",S$2),0)
+IFERROR(GETPIVOTDATA("合計 / 通所介護処遇改善加算金",【ピボット】事業所売上!$A$3,"年月",S$2),0))</f>
        <v>2356316</v>
      </c>
      <c r="T5" s="123">
        <f>IF(T4="賞与",0,IFERROR(GETPIVOTDATA("合計 / 訪問処遇改善加算金",【ピボット】事業所売上!$A$3,"年月",T$2),0)
+IFERROR(GETPIVOTDATA("合計 / 通所介護処遇改善加算金",【ピボット】事業所売上!$A$3,"年月",T$2),0))</f>
        <v>2380642</v>
      </c>
      <c r="U5" s="123">
        <f>IF(U4="賞与",0,IFERROR(GETPIVOTDATA("合計 / 訪問処遇改善加算金",【ピボット】事業所売上!$A$3,"年月",U$2),0)
+IFERROR(GETPIVOTDATA("合計 / 通所介護処遇改善加算金",【ピボット】事業所売上!$A$3,"年月",U$2),0))</f>
        <v>0</v>
      </c>
      <c r="V5" s="123">
        <f>IF(V4="賞与",0,IFERROR(GETPIVOTDATA("合計 / 訪問処遇改善加算金",【ピボット】事業所売上!$A$3,"年月",V$2),0)
+IFERROR(GETPIVOTDATA("合計 / 通所介護処遇改善加算金",【ピボット】事業所売上!$A$3,"年月",V$2),0))</f>
        <v>2394735</v>
      </c>
      <c r="W5" s="123">
        <f>IF(W4="賞与",0,IFERROR(GETPIVOTDATA("合計 / 訪問処遇改善加算金",【ピボット】事業所売上!$A$3,"年月",W$2),0)
+IFERROR(GETPIVOTDATA("合計 / 通所介護処遇改善加算金",【ピボット】事業所売上!$A$3,"年月",W$2),0))</f>
        <v>2229755</v>
      </c>
      <c r="X5" s="123">
        <f>IF(X4="賞与",0,IFERROR(GETPIVOTDATA("合計 / 訪問処遇改善加算金",【ピボット】事業所売上!$A$3,"年月",X$2),0)
+IFERROR(GETPIVOTDATA("合計 / 通所介護処遇改善加算金",【ピボット】事業所売上!$A$3,"年月",X$2),0))</f>
        <v>2404267</v>
      </c>
      <c r="Y5" s="123">
        <f>IF(Y4="賞与",0,IFERROR(GETPIVOTDATA("合計 / 訪問処遇改善加算金",【ピボット】事業所売上!$A$3,"年月",Y$2),0)
+IFERROR(GETPIVOTDATA("合計 / 通所介護処遇改善加算金",【ピボット】事業所売上!$A$3,"年月",Y$2),0))</f>
        <v>2691724</v>
      </c>
      <c r="Z5" s="123">
        <f>IF(Z4="賞与",0,IFERROR(GETPIVOTDATA("合計 / 訪問処遇改善加算金",【ピボット】事業所売上!$A$3,"年月",Z$2),0)
+IFERROR(GETPIVOTDATA("合計 / 通所介護処遇改善加算金",【ピボット】事業所売上!$A$3,"年月",Z$2),0))</f>
        <v>2600228</v>
      </c>
      <c r="AA5" s="123">
        <f>IF(AA4="賞与",0,IFERROR(GETPIVOTDATA("合計 / 訪問処遇改善加算金",【ピボット】事業所売上!$A$3,"年月",AA$2),0)
+IFERROR(GETPIVOTDATA("合計 / 通所介護処遇改善加算金",【ピボット】事業所売上!$A$3,"年月",AA$2),0))</f>
        <v>2494253</v>
      </c>
      <c r="AB5" s="123">
        <f>IF(AB4="賞与",0,IFERROR(GETPIVOTDATA("合計 / 訪問処遇改善加算金",【ピボット】事業所売上!$A$3,"年月",AB$2),0)
+IFERROR(GETPIVOTDATA("合計 / 通所介護処遇改善加算金",【ピボット】事業所売上!$A$3,"年月",AB$2),0))</f>
        <v>0</v>
      </c>
      <c r="AC5" s="123">
        <f>IF(AC4="賞与",0,IFERROR(GETPIVOTDATA("合計 / 訪問処遇改善加算金",【ピボット】事業所売上!$A$3,"年月",AC$2),0)
+IFERROR(GETPIVOTDATA("合計 / 通所介護処遇改善加算金",【ピボット】事業所売上!$A$3,"年月",AC$2),0))</f>
        <v>2562534</v>
      </c>
      <c r="AD5" s="1146">
        <f>IF(AD4="賞与",0,IFERROR(GETPIVOTDATA("合計 / 訪問処遇改善加算金",【ピボット】事業所売上!$A$3,"年月",AD$2),0)
+IFERROR(GETPIVOTDATA("合計 / 通所介護処遇改善加算金",【ピボット】事業所売上!$A$3,"年月",AD$2),0))</f>
        <v>2512035</v>
      </c>
      <c r="AE5" s="1146">
        <f>IF(AE4="賞与",0,IFERROR(GETPIVOTDATA("合計 / 訪問処遇改善加算金",【ピボット】事業所売上!$A$3,"年月",AE$2),0)
+IFERROR(GETPIVOTDATA("合計 / 通所介護処遇改善加算金",【ピボット】事業所売上!$A$3,"年月",AE$2),0))</f>
        <v>0</v>
      </c>
      <c r="AF5" s="123">
        <f>IF(AF4="賞与",0,IFERROR(GETPIVOTDATA("合計 / 訪問処遇改善加算金",【ピボット】事業所売上!$A$3,"年月",AF$2),0)
+IFERROR(GETPIVOTDATA("合計 / 通所介護処遇改善加算金",【ピボット】事業所売上!$A$3,"年月",AF$2),0))</f>
        <v>2531587</v>
      </c>
      <c r="AG5" s="123">
        <f>IF(AG4="賞与",0,IFERROR(GETPIVOTDATA("合計 / 訪問処遇改善加算金",【ピボット】事業所売上!$A$3,"年月",AG$2),0)
+IFERROR(GETPIVOTDATA("合計 / 通所介護処遇改善加算金",【ピボット】事業所売上!$A$3,"年月",AG$2),0))</f>
        <v>2639853</v>
      </c>
      <c r="AH5" s="123">
        <f>IF(AH4="賞与",0,IFERROR(GETPIVOTDATA("合計 / 訪問処遇改善加算金",【ピボット】事業所売上!$A$3,"年月",AH$2),0)
+IFERROR(GETPIVOTDATA("合計 / 通所介護処遇改善加算金",【ピボット】事業所売上!$A$3,"年月",AH$2),0))</f>
        <v>2863186</v>
      </c>
      <c r="AI5" s="123">
        <f>IF(AI4="賞与",0,IFERROR(GETPIVOTDATA("合計 / 訪問処遇改善加算金",【ピボット】事業所売上!$A$3,"年月",AI$2),0)
+IFERROR(GETPIVOTDATA("合計 / 通所介護処遇改善加算金",【ピボット】事業所売上!$A$3,"年月",AI$2),0))</f>
        <v>2607541</v>
      </c>
      <c r="AJ5" s="123">
        <f>IF(AJ4="賞与",0,IFERROR(GETPIVOTDATA("合計 / 訪問処遇改善加算金",【ピボット】事業所売上!$A$3,"年月",AJ$2),0)
+IFERROR(GETPIVOTDATA("合計 / 通所介護処遇改善加算金",【ピボット】事業所売上!$A$3,"年月",AJ$2),0))</f>
        <v>0</v>
      </c>
      <c r="AK5" s="123">
        <f>IF(AK4="賞与",0,IFERROR(GETPIVOTDATA("合計 / 訪問処遇改善加算金",【ピボット】事業所売上!$A$3,"年月",AK$2),0)
+IFERROR(GETPIVOTDATA("合計 / 通所介護処遇改善加算金",【ピボット】事業所売上!$A$3,"年月",AK$2),0))</f>
        <v>2601128</v>
      </c>
      <c r="AL5" s="123">
        <f>IF(AL4="賞与",0,IFERROR(GETPIVOTDATA("合計 / 訪問処遇改善加算金",【ピボット】事業所売上!$A$3,"年月",AL$2),0)
+IFERROR(GETPIVOTDATA("合計 / 通所介護処遇改善加算金",【ピボット】事業所売上!$A$3,"年月",AL$2),0))</f>
        <v>2476407</v>
      </c>
      <c r="AM5" s="123">
        <f>IF(AM4="賞与",0,IFERROR(GETPIVOTDATA("合計 / 訪問処遇改善加算金",【ピボット】事業所売上!$A$3,"年月",AM$2),0)
+IFERROR(GETPIVOTDATA("合計 / 通所介護処遇改善加算金",【ピボット】事業所売上!$A$3,"年月",AM$2),0))</f>
        <v>2543698</v>
      </c>
      <c r="AN5" s="123">
        <f>IF(AN4="賞与",0,IFERROR(GETPIVOTDATA("合計 / 訪問処遇改善加算金",【ピボット】事業所売上!$A$3,"年月",AN$2),0)
+IFERROR(GETPIVOTDATA("合計 / 通所介護処遇改善加算金",【ピボット】事業所売上!$A$3,"年月",AN$2),0))</f>
        <v>0</v>
      </c>
      <c r="AO5" s="123">
        <f>IF(AO4="賞与",0,IFERROR(GETPIVOTDATA("合計 / 訪問処遇改善加算金",【ピボット】事業所売上!$A$3,"年月",AO$2),0)
+IFERROR(GETPIVOTDATA("合計 / 通所介護処遇改善加算金",【ピボット】事業所売上!$A$3,"年月",AO$2),0))</f>
        <v>0</v>
      </c>
      <c r="AP5" s="123">
        <f>IF(AP4="賞与",0,IFERROR(GETPIVOTDATA("合計 / 訪問処遇改善加算金",【ピボット】事業所売上!$A$3,"年月",AP$2),0)
+IFERROR(GETPIVOTDATA("合計 / 通所介護処遇改善加算金",【ピボット】事業所売上!$A$3,"年月",AP$2),0))</f>
        <v>0</v>
      </c>
      <c r="AQ5" s="123">
        <f>IF(AQ4="賞与",0,IFERROR(GETPIVOTDATA("合計 / 訪問処遇改善加算金",【ピボット】事業所売上!$A$3,"年月",AQ$2),0)
+IFERROR(GETPIVOTDATA("合計 / 通所介護処遇改善加算金",【ピボット】事業所売上!$A$3,"年月",AQ$2),0))</f>
        <v>0</v>
      </c>
      <c r="AR5" s="123">
        <f>IF(AR4="賞与",0,IFERROR(GETPIVOTDATA("合計 / 訪問処遇改善加算金",【ピボット】事業所売上!$A$3,"年月",AR$2),0)
+IFERROR(GETPIVOTDATA("合計 / 通所介護処遇改善加算金",【ピボット】事業所売上!$A$3,"年月",AR$2),0))</f>
        <v>0</v>
      </c>
      <c r="AS5" s="123">
        <f>IF(AS4="賞与",0,IFERROR(GETPIVOTDATA("合計 / 訪問処遇改善加算金",【ピボット】事業所売上!$A$3,"年月",AS$2),0)
+IFERROR(GETPIVOTDATA("合計 / 通所介護処遇改善加算金",【ピボット】事業所売上!$A$3,"年月",AS$2),0))</f>
        <v>0</v>
      </c>
      <c r="AT5" s="123">
        <f>IF(AT4="賞与",0,IFERROR(GETPIVOTDATA("合計 / 訪問処遇改善加算金",【ピボット】事業所売上!$A$3,"年月",AT$2),0)
+IFERROR(GETPIVOTDATA("合計 / 通所介護処遇改善加算金",【ピボット】事業所売上!$A$3,"年月",AT$2),0))</f>
        <v>0</v>
      </c>
      <c r="AU5" s="123">
        <f>IF(AU4="賞与",0,IFERROR(GETPIVOTDATA("合計 / 訪問処遇改善加算金",【ピボット】事業所売上!$A$3,"年月",AU$2),0)
+IFERROR(GETPIVOTDATA("合計 / 通所介護処遇改善加算金",【ピボット】事業所売上!$A$3,"年月",AU$2),0))</f>
        <v>0</v>
      </c>
      <c r="AV5" s="123">
        <f>IF(AV4="賞与",0,IFERROR(GETPIVOTDATA("合計 / 訪問処遇改善加算金",【ピボット】事業所売上!$A$3,"年月",AV$2),0)
+IFERROR(GETPIVOTDATA("合計 / 通所介護処遇改善加算金",【ピボット】事業所売上!$A$3,"年月",AV$2),0))</f>
        <v>0</v>
      </c>
      <c r="AW5" s="123">
        <f>IF(AW4="賞与",0,IFERROR(GETPIVOTDATA("合計 / 訪問処遇改善加算金",【ピボット】事業所売上!$A$3,"年月",AW$2),0)
+IFERROR(GETPIVOTDATA("合計 / 通所介護処遇改善加算金",【ピボット】事業所売上!$A$3,"年月",AW$2),0))</f>
        <v>0</v>
      </c>
      <c r="AX5" s="123">
        <f>IF(AX4="賞与",0,IFERROR(GETPIVOTDATA("合計 / 訪問処遇改善加算金",【ピボット】事業所売上!$A$3,"年月",AX$2),0)
+IFERROR(GETPIVOTDATA("合計 / 通所介護処遇改善加算金",【ピボット】事業所売上!$A$3,"年月",AX$2),0))</f>
        <v>0</v>
      </c>
      <c r="AY5" s="123">
        <f>IF(AY4="賞与",0,IFERROR(GETPIVOTDATA("合計 / 訪問処遇改善加算金",【ピボット】事業所売上!$A$3,"年月",AY$2),0)
+IFERROR(GETPIVOTDATA("合計 / 通所介護処遇改善加算金",【ピボット】事業所売上!$A$3,"年月",AY$2),0))</f>
        <v>0</v>
      </c>
      <c r="BA5" t="s">
        <v>290</v>
      </c>
    </row>
    <row r="6" spans="1:53" ht="35.25" customHeight="1" thickBot="1" x14ac:dyDescent="0.2">
      <c r="A6" s="2112"/>
      <c r="B6" s="178" t="s">
        <v>534</v>
      </c>
      <c r="C6" s="124">
        <f>IF(C4="賞与",0,IFERROR(GETPIVOTDATA("合計 / 障害処遇改善加算金",【ピボット】事業所売上!$A$3,"年月",C$2),0)
+IFERROR(GETPIVOTDATA("合計 / 共同生活援助処遇改善加算金",【ピボット】事業所売上!$A$3,"年月",C$2),0))</f>
        <v>436948</v>
      </c>
      <c r="D6" s="124">
        <f>IF(D4="賞与",0,IFERROR(GETPIVOTDATA("合計 / 障害処遇改善加算金",【ピボット】事業所売上!$A$3,"年月",D$2),0)
+IFERROR(GETPIVOTDATA("合計 / 共同生活援助処遇改善加算金",【ピボット】事業所売上!$A$3,"年月",D$2),0))</f>
        <v>618444</v>
      </c>
      <c r="E6" s="124">
        <f>IF(E4="賞与",0,IFERROR(GETPIVOTDATA("合計 / 障害処遇改善加算金",【ピボット】事業所売上!$A$3,"年月",E$2),0)
+IFERROR(GETPIVOTDATA("合計 / 共同生活援助処遇改善加算金",【ピボット】事業所売上!$A$3,"年月",E$2),0))</f>
        <v>564101</v>
      </c>
      <c r="F6" s="124">
        <f>IF(F4="賞与",0,IFERROR(GETPIVOTDATA("合計 / 障害処遇改善加算金",【ピボット】事業所売上!$A$3,"年月",F$2),0)
+IFERROR(GETPIVOTDATA("合計 / 共同生活援助処遇改善加算金",【ピボット】事業所売上!$A$3,"年月",F$2),0))</f>
        <v>724649</v>
      </c>
      <c r="G6" s="124">
        <f>IF(G4="賞与",0,IFERROR(GETPIVOTDATA("合計 / 障害処遇改善加算金",【ピボット】事業所売上!$A$3,"年月",G$2),0)
+IFERROR(GETPIVOTDATA("合計 / 共同生活援助処遇改善加算金",【ピボット】事業所売上!$A$3,"年月",G$2),0))</f>
        <v>0</v>
      </c>
      <c r="H6" s="124">
        <f>IF(H4="賞与",0,IFERROR(GETPIVOTDATA("合計 / 障害処遇改善加算金",【ピボット】事業所売上!$A$3,"年月",H$2),0)
+IFERROR(GETPIVOTDATA("合計 / 共同生活援助処遇改善加算金",【ピボット】事業所売上!$A$3,"年月",H$2),0))</f>
        <v>651402</v>
      </c>
      <c r="I6" s="124">
        <f>IF(I4="賞与",0,IFERROR(GETPIVOTDATA("合計 / 障害処遇改善加算金",【ピボット】事業所売上!$A$3,"年月",I$2),0)
+IFERROR(GETPIVOTDATA("合計 / 共同生活援助処遇改善加算金",【ピボット】事業所売上!$A$3,"年月",I$2),0))</f>
        <v>590716</v>
      </c>
      <c r="J6" s="124">
        <f>IF(J4="賞与",0,IFERROR(GETPIVOTDATA("合計 / 障害処遇改善加算金",【ピボット】事業所売上!$A$3,"年月",J$2),0)
+IFERROR(GETPIVOTDATA("合計 / 共同生活援助処遇改善加算金",【ピボット】事業所売上!$A$3,"年月",J$2),0))</f>
        <v>663526</v>
      </c>
      <c r="K6" s="124">
        <f>IF(K4="賞与",0,IFERROR(GETPIVOTDATA("合計 / 障害処遇改善加算金",【ピボット】事業所売上!$A$3,"年月",K$2),0)
+IFERROR(GETPIVOTDATA("合計 / 共同生活援助処遇改善加算金",【ピボット】事業所売上!$A$3,"年月",K$2),0))</f>
        <v>923565</v>
      </c>
      <c r="L6" s="124">
        <f>IF(L4="賞与",0,IFERROR(GETPIVOTDATA("合計 / 障害処遇改善加算金",【ピボット】事業所売上!$A$3,"年月",L$2),0)
+IFERROR(GETPIVOTDATA("合計 / 共同生活援助処遇改善加算金",【ピボット】事業所売上!$A$3,"年月",L$2),0))</f>
        <v>968199</v>
      </c>
      <c r="M6" s="124">
        <f>IF(M4="賞与",0,IFERROR(GETPIVOTDATA("合計 / 障害処遇改善加算金",【ピボット】事業所売上!$A$3,"年月",M$2),0)
+IFERROR(GETPIVOTDATA("合計 / 共同生活援助処遇改善加算金",【ピボット】事業所売上!$A$3,"年月",M$2),0))</f>
        <v>1442131</v>
      </c>
      <c r="N6" s="124">
        <f>IF(N4="賞与",0,IFERROR(GETPIVOTDATA("合計 / 障害処遇改善加算金",【ピボット】事業所売上!$A$3,"年月",N$2),0)
+IFERROR(GETPIVOTDATA("合計 / 共同生活援助処遇改善加算金",【ピボット】事業所売上!$A$3,"年月",N$2),0))</f>
        <v>0</v>
      </c>
      <c r="O6" s="124">
        <f>IF(O4="賞与",0,IFERROR(GETPIVOTDATA("合計 / 障害処遇改善加算金",【ピボット】事業所売上!$A$3,"年月",O$2),0)
+IFERROR(GETPIVOTDATA("合計 / 共同生活援助処遇改善加算金",【ピボット】事業所売上!$A$3,"年月",O$2),0))</f>
        <v>1361445</v>
      </c>
      <c r="P6" s="124">
        <f>IF(P4="賞与",0,IFERROR(GETPIVOTDATA("合計 / 障害処遇改善加算金",【ピボット】事業所売上!$A$3,"年月",P$2),0)
+IFERROR(GETPIVOTDATA("合計 / 共同生活援助処遇改善加算金",【ピボット】事業所売上!$A$3,"年月",P$2),0))</f>
        <v>1241956</v>
      </c>
      <c r="Q6" s="124">
        <f>IF(Q4="賞与",0,IFERROR(GETPIVOTDATA("合計 / 障害処遇改善加算金",【ピボット】事業所売上!$A$3,"年月",Q$2),0)
+IFERROR(GETPIVOTDATA("合計 / 共同生活援助処遇改善加算金",【ピボット】事業所売上!$A$3,"年月",Q$2),0))</f>
        <v>1198037</v>
      </c>
      <c r="R6" s="124">
        <f>IF(R4="賞与",0,IFERROR(GETPIVOTDATA("合計 / 障害処遇改善加算金",【ピボット】事業所売上!$A$3,"年月",R$2),0)
+IFERROR(GETPIVOTDATA("合計 / 共同生活援助処遇改善加算金",【ピボット】事業所売上!$A$3,"年月",R$2),0))</f>
        <v>1303328</v>
      </c>
      <c r="S6" s="124">
        <f>IF(S4="賞与",0,IFERROR(GETPIVOTDATA("合計 / 障害処遇改善加算金",【ピボット】事業所売上!$A$3,"年月",S$2),0)
+IFERROR(GETPIVOTDATA("合計 / 共同生活援助処遇改善加算金",【ピボット】事業所売上!$A$3,"年月",S$2),0))</f>
        <v>1216813</v>
      </c>
      <c r="T6" s="124">
        <f>IF(T4="賞与",0,IFERROR(GETPIVOTDATA("合計 / 障害処遇改善加算金",【ピボット】事業所売上!$A$3,"年月",T$2),0)
+IFERROR(GETPIVOTDATA("合計 / 共同生活援助処遇改善加算金",【ピボット】事業所売上!$A$3,"年月",T$2),0))</f>
        <v>1136526</v>
      </c>
      <c r="U6" s="124">
        <f>IF(U4="賞与",0,IFERROR(GETPIVOTDATA("合計 / 障害処遇改善加算金",【ピボット】事業所売上!$A$3,"年月",U$2),0)
+IFERROR(GETPIVOTDATA("合計 / 共同生活援助処遇改善加算金",【ピボット】事業所売上!$A$3,"年月",U$2),0))</f>
        <v>0</v>
      </c>
      <c r="V6" s="124">
        <f>IF(V4="賞与",0,IFERROR(GETPIVOTDATA("合計 / 障害処遇改善加算金",【ピボット】事業所売上!$A$3,"年月",V$2),0)
+IFERROR(GETPIVOTDATA("合計 / 共同生活援助処遇改善加算金",【ピボット】事業所売上!$A$3,"年月",V$2),0))</f>
        <v>1289840</v>
      </c>
      <c r="W6" s="124">
        <f>IF(W4="賞与",0,IFERROR(GETPIVOTDATA("合計 / 障害処遇改善加算金",【ピボット】事業所売上!$A$3,"年月",W$2),0)
+IFERROR(GETPIVOTDATA("合計 / 共同生活援助処遇改善加算金",【ピボット】事業所売上!$A$3,"年月",W$2),0))</f>
        <v>1111655</v>
      </c>
      <c r="X6" s="124">
        <f>IF(X4="賞与",0,IFERROR(GETPIVOTDATA("合計 / 障害処遇改善加算金",【ピボット】事業所売上!$A$3,"年月",X$2),0)
+IFERROR(GETPIVOTDATA("合計 / 共同生活援助処遇改善加算金",【ピボット】事業所売上!$A$3,"年月",X$2),0))</f>
        <v>1124100</v>
      </c>
      <c r="Y6" s="124">
        <f>IF(Y4="賞与",0,IFERROR(GETPIVOTDATA("合計 / 障害処遇改善加算金",【ピボット】事業所売上!$A$3,"年月",Y$2),0)
+IFERROR(GETPIVOTDATA("合計 / 共同生活援助処遇改善加算金",【ピボット】事業所売上!$A$3,"年月",Y$2),0))</f>
        <v>1138865</v>
      </c>
      <c r="Z6" s="124">
        <f>IF(Z4="賞与",0,IFERROR(GETPIVOTDATA("合計 / 障害処遇改善加算金",【ピボット】事業所売上!$A$3,"年月",Z$2),0)
+IFERROR(GETPIVOTDATA("合計 / 共同生活援助処遇改善加算金",【ピボット】事業所売上!$A$3,"年月",Z$2),0))</f>
        <v>1154388</v>
      </c>
      <c r="AA6" s="124">
        <f>IF(AA4="賞与",0,IFERROR(GETPIVOTDATA("合計 / 障害処遇改善加算金",【ピボット】事業所売上!$A$3,"年月",AA$2),0)
+IFERROR(GETPIVOTDATA("合計 / 共同生活援助処遇改善加算金",【ピボット】事業所売上!$A$3,"年月",AA$2),0))</f>
        <v>1149137</v>
      </c>
      <c r="AB6" s="124">
        <f>IF(AB4="賞与",0,IFERROR(GETPIVOTDATA("合計 / 障害処遇改善加算金",【ピボット】事業所売上!$A$3,"年月",AB$2),0)
+IFERROR(GETPIVOTDATA("合計 / 共同生活援助処遇改善加算金",【ピボット】事業所売上!$A$3,"年月",AB$2),0))</f>
        <v>0</v>
      </c>
      <c r="AC6" s="124">
        <f>IF(AC4="賞与",0,IFERROR(GETPIVOTDATA("合計 / 障害処遇改善加算金",【ピボット】事業所売上!$A$3,"年月",AC$2),0)
+IFERROR(GETPIVOTDATA("合計 / 共同生活援助処遇改善加算金",【ピボット】事業所売上!$A$3,"年月",AC$2),0))</f>
        <v>1284118</v>
      </c>
      <c r="AD6" s="1146">
        <f>IF(AD4="賞与",0,IFERROR(GETPIVOTDATA("合計 / 障害処遇改善加算金",【ピボット】事業所売上!$A$3,"年月",AD$2),0)
+IFERROR(GETPIVOTDATA("合計 / 共同生活援助処遇改善加算金",【ピボット】事業所売上!$A$3,"年月",AD$2),0))</f>
        <v>1130578</v>
      </c>
      <c r="AE6" s="1146">
        <f>IF(AE4="賞与",0,IFERROR(GETPIVOTDATA("合計 / 障害処遇改善加算金",【ピボット】事業所売上!$A$3,"年月",AE$2),0)
+IFERROR(GETPIVOTDATA("合計 / 共同生活援助処遇改善加算金",【ピボット】事業所売上!$A$3,"年月",AE$2),0))</f>
        <v>0</v>
      </c>
      <c r="AF6" s="124">
        <f>IF(AF4="賞与",0,IFERROR(GETPIVOTDATA("合計 / 障害処遇改善加算金",【ピボット】事業所売上!$A$3,"年月",AF$2),0)
+IFERROR(GETPIVOTDATA("合計 / 共同生活援助処遇改善加算金",【ピボット】事業所売上!$A$3,"年月",AF$2),0))</f>
        <v>1293478</v>
      </c>
      <c r="AG6" s="124">
        <f>IF(AG4="賞与",0,IFERROR(GETPIVOTDATA("合計 / 障害処遇改善加算金",【ピボット】事業所売上!$A$3,"年月",AG$2),0)
+IFERROR(GETPIVOTDATA("合計 / 共同生活援助処遇改善加算金",【ピボット】事業所売上!$A$3,"年月",AG$2),0))</f>
        <v>1462867</v>
      </c>
      <c r="AH6" s="124">
        <f>IF(AH4="賞与",0,IFERROR(GETPIVOTDATA("合計 / 障害処遇改善加算金",【ピボット】事業所売上!$A$3,"年月",AH$2),0)
+IFERROR(GETPIVOTDATA("合計 / 共同生活援助処遇改善加算金",【ピボット】事業所売上!$A$3,"年月",AH$2),0))</f>
        <v>1512535</v>
      </c>
      <c r="AI6" s="124">
        <f>IF(AI4="賞与",0,IFERROR(GETPIVOTDATA("合計 / 障害処遇改善加算金",【ピボット】事業所売上!$A$3,"年月",AI$2),0)
+IFERROR(GETPIVOTDATA("合計 / 共同生活援助処遇改善加算金",【ピボット】事業所売上!$A$3,"年月",AI$2),0))</f>
        <v>1622389</v>
      </c>
      <c r="AJ6" s="124">
        <f>IF(AJ4="賞与",0,IFERROR(GETPIVOTDATA("合計 / 障害処遇改善加算金",【ピボット】事業所売上!$A$3,"年月",AJ$2),0)
+IFERROR(GETPIVOTDATA("合計 / 共同生活援助処遇改善加算金",【ピボット】事業所売上!$A$3,"年月",AJ$2),0))</f>
        <v>0</v>
      </c>
      <c r="AK6" s="124">
        <f>IF(AK4="賞与",0,IFERROR(GETPIVOTDATA("合計 / 障害処遇改善加算金",【ピボット】事業所売上!$A$3,"年月",AK$2),0)
+IFERROR(GETPIVOTDATA("合計 / 共同生活援助処遇改善加算金",【ピボット】事業所売上!$A$3,"年月",AK$2),0))</f>
        <v>1534040</v>
      </c>
      <c r="AL6" s="124">
        <f>IF(AL4="賞与",0,IFERROR(GETPIVOTDATA("合計 / 障害処遇改善加算金",【ピボット】事業所売上!$A$3,"年月",AL$2),0)
+IFERROR(GETPIVOTDATA("合計 / 共同生活援助処遇改善加算金",【ピボット】事業所売上!$A$3,"年月",AL$2),0))</f>
        <v>1410773</v>
      </c>
      <c r="AM6" s="124">
        <f>IF(AM4="賞与",0,IFERROR(GETPIVOTDATA("合計 / 障害処遇改善加算金",【ピボット】事業所売上!$A$3,"年月",AM$2),0)
+IFERROR(GETPIVOTDATA("合計 / 共同生活援助処遇改善加算金",【ピボット】事業所売上!$A$3,"年月",AM$2),0))</f>
        <v>1473322</v>
      </c>
      <c r="AN6" s="124">
        <f>IF(AN4="賞与",0,IFERROR(GETPIVOTDATA("合計 / 障害処遇改善加算金",【ピボット】事業所売上!$A$3,"年月",AN$2),0)
+IFERROR(GETPIVOTDATA("合計 / 共同生活援助処遇改善加算金",【ピボット】事業所売上!$A$3,"年月",AN$2),0))</f>
        <v>0</v>
      </c>
      <c r="AO6" s="124">
        <f>IF(AO4="賞与",0,IFERROR(GETPIVOTDATA("合計 / 障害処遇改善加算金",【ピボット】事業所売上!$A$3,"年月",AO$2),0)
+IFERROR(GETPIVOTDATA("合計 / 共同生活援助処遇改善加算金",【ピボット】事業所売上!$A$3,"年月",AO$2),0))</f>
        <v>0</v>
      </c>
      <c r="AP6" s="124">
        <f>IF(AP4="賞与",0,IFERROR(GETPIVOTDATA("合計 / 障害処遇改善加算金",【ピボット】事業所売上!$A$3,"年月",AP$2),0)
+IFERROR(GETPIVOTDATA("合計 / 共同生活援助処遇改善加算金",【ピボット】事業所売上!$A$3,"年月",AP$2),0))</f>
        <v>0</v>
      </c>
      <c r="AQ6" s="124">
        <f>IF(AQ4="賞与",0,IFERROR(GETPIVOTDATA("合計 / 障害処遇改善加算金",【ピボット】事業所売上!$A$3,"年月",AQ$2),0)
+IFERROR(GETPIVOTDATA("合計 / 共同生活援助処遇改善加算金",【ピボット】事業所売上!$A$3,"年月",AQ$2),0))</f>
        <v>0</v>
      </c>
      <c r="AR6" s="124">
        <f>IF(AR4="賞与",0,IFERROR(GETPIVOTDATA("合計 / 障害処遇改善加算金",【ピボット】事業所売上!$A$3,"年月",AR$2),0)
+IFERROR(GETPIVOTDATA("合計 / 共同生活援助処遇改善加算金",【ピボット】事業所売上!$A$3,"年月",AR$2),0))</f>
        <v>0</v>
      </c>
      <c r="AS6" s="124">
        <f>IF(AS4="賞与",0,IFERROR(GETPIVOTDATA("合計 / 障害処遇改善加算金",【ピボット】事業所売上!$A$3,"年月",AS$2),0)
+IFERROR(GETPIVOTDATA("合計 / 共同生活援助処遇改善加算金",【ピボット】事業所売上!$A$3,"年月",AS$2),0))</f>
        <v>0</v>
      </c>
      <c r="AT6" s="124">
        <f>IF(AT4="賞与",0,IFERROR(GETPIVOTDATA("合計 / 障害処遇改善加算金",【ピボット】事業所売上!$A$3,"年月",AT$2),0)
+IFERROR(GETPIVOTDATA("合計 / 共同生活援助処遇改善加算金",【ピボット】事業所売上!$A$3,"年月",AT$2),0))</f>
        <v>0</v>
      </c>
      <c r="AU6" s="124">
        <f>IF(AU4="賞与",0,IFERROR(GETPIVOTDATA("合計 / 障害処遇改善加算金",【ピボット】事業所売上!$A$3,"年月",AU$2),0)
+IFERROR(GETPIVOTDATA("合計 / 共同生活援助処遇改善加算金",【ピボット】事業所売上!$A$3,"年月",AU$2),0))</f>
        <v>0</v>
      </c>
      <c r="AV6" s="124">
        <f>IF(AV4="賞与",0,IFERROR(GETPIVOTDATA("合計 / 障害処遇改善加算金",【ピボット】事業所売上!$A$3,"年月",AV$2),0)
+IFERROR(GETPIVOTDATA("合計 / 共同生活援助処遇改善加算金",【ピボット】事業所売上!$A$3,"年月",AV$2),0))</f>
        <v>0</v>
      </c>
      <c r="AW6" s="124">
        <f>IF(AW4="賞与",0,IFERROR(GETPIVOTDATA("合計 / 障害処遇改善加算金",【ピボット】事業所売上!$A$3,"年月",AW$2),0)
+IFERROR(GETPIVOTDATA("合計 / 共同生活援助処遇改善加算金",【ピボット】事業所売上!$A$3,"年月",AW$2),0))</f>
        <v>0</v>
      </c>
      <c r="AX6" s="124">
        <f>IF(AX4="賞与",0,IFERROR(GETPIVOTDATA("合計 / 障害処遇改善加算金",【ピボット】事業所売上!$A$3,"年月",AX$2),0)
+IFERROR(GETPIVOTDATA("合計 / 共同生活援助処遇改善加算金",【ピボット】事業所売上!$A$3,"年月",AX$2),0))</f>
        <v>0</v>
      </c>
      <c r="AY6" s="124">
        <f>IF(AY4="賞与",0,IFERROR(GETPIVOTDATA("合計 / 障害処遇改善加算金",【ピボット】事業所売上!$A$3,"年月",AY$2),0)
+IFERROR(GETPIVOTDATA("合計 / 共同生活援助処遇改善加算金",【ピボット】事業所売上!$A$3,"年月",AY$2),0))</f>
        <v>0</v>
      </c>
    </row>
    <row r="7" spans="1:53" ht="35.25" customHeight="1" thickBot="1" x14ac:dyDescent="0.2">
      <c r="A7" s="2112"/>
      <c r="B7" s="616" t="s">
        <v>181</v>
      </c>
      <c r="C7" s="617">
        <f t="shared" ref="C7:K7" si="5">SUM(C5:C6)</f>
        <v>1832829</v>
      </c>
      <c r="D7" s="617">
        <f t="shared" si="5"/>
        <v>2200051</v>
      </c>
      <c r="E7" s="617">
        <f t="shared" si="5"/>
        <v>2094420</v>
      </c>
      <c r="F7" s="617">
        <f t="shared" si="5"/>
        <v>2334430</v>
      </c>
      <c r="G7" s="617">
        <f>SUM(G5:G6)</f>
        <v>0</v>
      </c>
      <c r="H7" s="617">
        <f t="shared" si="5"/>
        <v>2083759</v>
      </c>
      <c r="I7" s="617">
        <f t="shared" si="5"/>
        <v>2058892</v>
      </c>
      <c r="J7" s="617">
        <f t="shared" si="5"/>
        <v>2223492</v>
      </c>
      <c r="K7" s="617">
        <f t="shared" si="5"/>
        <v>3204354</v>
      </c>
      <c r="L7" s="617">
        <f>SUM(L5:L6)</f>
        <v>3444061</v>
      </c>
      <c r="M7" s="617">
        <f>SUM(M5:M6)</f>
        <v>3702956</v>
      </c>
      <c r="N7" s="617">
        <f>SUM(N5:N6)</f>
        <v>0</v>
      </c>
      <c r="O7" s="617">
        <f>SUM(O5:O6)</f>
        <v>3729068</v>
      </c>
      <c r="P7" s="617">
        <f>SUM(P5:P6)</f>
        <v>3589500</v>
      </c>
      <c r="Q7" s="617">
        <f t="shared" ref="Q7:W7" si="6">SUM(Q5:Q6)</f>
        <v>3672629</v>
      </c>
      <c r="R7" s="617">
        <f t="shared" si="6"/>
        <v>3747148</v>
      </c>
      <c r="S7" s="617">
        <f t="shared" si="6"/>
        <v>3573129</v>
      </c>
      <c r="T7" s="617">
        <f t="shared" si="6"/>
        <v>3517168</v>
      </c>
      <c r="U7" s="617">
        <f>SUM(U5:U6)</f>
        <v>0</v>
      </c>
      <c r="V7" s="617">
        <f t="shared" si="6"/>
        <v>3684575</v>
      </c>
      <c r="W7" s="617">
        <f t="shared" si="6"/>
        <v>3341410</v>
      </c>
      <c r="X7" s="617"/>
      <c r="Y7" s="617">
        <f t="shared" ref="Y7:AD7" si="7">SUM(Y5:Y6)</f>
        <v>3830589</v>
      </c>
      <c r="Z7" s="617">
        <f t="shared" si="7"/>
        <v>3754616</v>
      </c>
      <c r="AA7" s="617">
        <f t="shared" si="7"/>
        <v>3643390</v>
      </c>
      <c r="AB7" s="617">
        <f t="shared" si="7"/>
        <v>0</v>
      </c>
      <c r="AC7" s="617">
        <f t="shared" si="7"/>
        <v>3846652</v>
      </c>
      <c r="AD7" s="1147">
        <f t="shared" si="7"/>
        <v>3642613</v>
      </c>
      <c r="AE7" s="1147">
        <f>SUM(AE5:AE6)</f>
        <v>0</v>
      </c>
      <c r="AF7" s="617"/>
      <c r="AG7" s="617">
        <f t="shared" ref="AG7:AL7" si="8">SUM(AG5:AG6)</f>
        <v>4102720</v>
      </c>
      <c r="AH7" s="617">
        <f t="shared" si="8"/>
        <v>4375721</v>
      </c>
      <c r="AI7" s="617">
        <f t="shared" si="8"/>
        <v>4229930</v>
      </c>
      <c r="AJ7" s="617">
        <f t="shared" si="8"/>
        <v>0</v>
      </c>
      <c r="AK7" s="617">
        <f t="shared" si="8"/>
        <v>4135168</v>
      </c>
      <c r="AL7" s="617">
        <f t="shared" si="8"/>
        <v>3887180</v>
      </c>
      <c r="AM7" s="617">
        <f t="shared" ref="AM7:AY7" si="9">SUM(AM5:AM6)</f>
        <v>4017020</v>
      </c>
      <c r="AN7" s="617">
        <f t="shared" si="9"/>
        <v>0</v>
      </c>
      <c r="AO7" s="617">
        <f t="shared" si="9"/>
        <v>0</v>
      </c>
      <c r="AP7" s="617">
        <f t="shared" si="9"/>
        <v>0</v>
      </c>
      <c r="AQ7" s="617">
        <f t="shared" si="9"/>
        <v>0</v>
      </c>
      <c r="AR7" s="617">
        <f t="shared" si="9"/>
        <v>0</v>
      </c>
      <c r="AS7" s="617">
        <f t="shared" si="9"/>
        <v>0</v>
      </c>
      <c r="AT7" s="617">
        <f t="shared" si="9"/>
        <v>0</v>
      </c>
      <c r="AU7" s="617">
        <f t="shared" si="9"/>
        <v>0</v>
      </c>
      <c r="AV7" s="617">
        <f t="shared" si="9"/>
        <v>0</v>
      </c>
      <c r="AW7" s="617">
        <f t="shared" si="9"/>
        <v>0</v>
      </c>
      <c r="AX7" s="617">
        <f t="shared" si="9"/>
        <v>0</v>
      </c>
      <c r="AY7" s="617">
        <f t="shared" si="9"/>
        <v>0</v>
      </c>
    </row>
    <row r="8" spans="1:53" ht="35.25" customHeight="1" x14ac:dyDescent="0.15">
      <c r="A8" s="2111" t="s">
        <v>529</v>
      </c>
      <c r="B8" s="626" t="s">
        <v>533</v>
      </c>
      <c r="C8" s="627">
        <v>1569752</v>
      </c>
      <c r="D8" s="627">
        <v>1352954</v>
      </c>
      <c r="E8" s="627">
        <f>IF(E4="賞与",0,IFERROR(GETPIVOTDATA("合計 / 訪問処遇改善加算金",【ピボット】事業所売上!$A$3,"年月",EDATE(E$2,-2)),0)
+IFERROR(GETPIVOTDATA("合計 / 通所介護処遇改善加算金",【ピボット】事業所売上!$A$3,"年月",EDATE(E$2,-2)),0))</f>
        <v>1395881</v>
      </c>
      <c r="F8" s="627">
        <f>IF(F4="賞与",0,IFERROR(GETPIVOTDATA("合計 / 訪問処遇改善加算金",【ピボット】事業所売上!$A$3,"年月",EDATE(F$2,-2)),0)
+IFERROR(GETPIVOTDATA("合計 / 通所介護処遇改善加算金",【ピボット】事業所売上!$A$3,"年月",EDATE(F$2,-2)),0))</f>
        <v>1581607</v>
      </c>
      <c r="G8" s="627">
        <f>IF(G4="賞与",0,IFERROR(GETPIVOTDATA("合計 / 訪問処遇改善加算金",【ピボット】事業所売上!$A$3,"年月",EDATE(G$2,-2)),0)
+IFERROR(GETPIVOTDATA("合計 / 通所介護処遇改善加算金",【ピボット】事業所売上!$A$3,"年月",EDATE(G$2,-2)),0))</f>
        <v>0</v>
      </c>
      <c r="H8" s="627">
        <f>IF(H4="賞与",0,IFERROR(GETPIVOTDATA("合計 / 訪問処遇改善加算金",【ピボット】事業所売上!$A$3,"年月",EDATE(H$2,-2)),0)
+IFERROR(GETPIVOTDATA("合計 / 通所介護処遇改善加算金",【ピボット】事業所売上!$A$3,"年月",EDATE(H$2,-2)),0))</f>
        <v>1530319</v>
      </c>
      <c r="I8" s="627">
        <f>IF(I4="賞与",0,IFERROR(GETPIVOTDATA("合計 / 訪問処遇改善加算金",【ピボット】事業所売上!$A$3,"年月",EDATE(I$2,-2)),0)
+IFERROR(GETPIVOTDATA("合計 / 通所介護処遇改善加算金",【ピボット】事業所売上!$A$3,"年月",EDATE(I$2,-2)),0))</f>
        <v>1609781</v>
      </c>
      <c r="J8" s="627">
        <f>IF(J4="賞与",0,IFERROR(GETPIVOTDATA("合計 / 訪問処遇改善加算金",【ピボット】事業所売上!$A$3,"年月",EDATE(J$2,-2)),0)
+IFERROR(GETPIVOTDATA("合計 / 通所介護処遇改善加算金",【ピボット】事業所売上!$A$3,"年月",EDATE(J$2,-2)),0))</f>
        <v>1432357</v>
      </c>
      <c r="K8" s="627">
        <f>IF(K4="賞与",0,IFERROR(GETPIVOTDATA("合計 / 訪問処遇改善加算金",【ピボット】事業所売上!$A$3,"年月",EDATE(K$2,-2)),0)
+IFERROR(GETPIVOTDATA("合計 / 通所介護処遇改善加算金",【ピボット】事業所売上!$A$3,"年月",EDATE(K$2,-2)),0))</f>
        <v>1468176</v>
      </c>
      <c r="L8" s="627">
        <f>IF(L4="賞与",0,IFERROR(GETPIVOTDATA("合計 / 訪問処遇改善加算金",【ピボット】事業所売上!$A$3,"年月",EDATE(L$2,-2)),0)
+IFERROR(GETPIVOTDATA("合計 / 通所介護処遇改善加算金",【ピボット】事業所売上!$A$3,"年月",EDATE(L$2,-2)),0))</f>
        <v>1559966</v>
      </c>
      <c r="M8" s="627">
        <f>IF(M4="賞与",0,IFERROR(GETPIVOTDATA("合計 / 訪問処遇改善加算金",【ピボット】事業所売上!$A$3,"年月",EDATE(M$2,-2)),0)
+IFERROR(GETPIVOTDATA("合計 / 通所介護処遇改善加算金",【ピボット】事業所売上!$A$3,"年月",EDATE(M$2,-2)),0))</f>
        <v>2280789</v>
      </c>
      <c r="N8" s="627">
        <f>IF(N4="賞与",0,IFERROR(GETPIVOTDATA("合計 / 訪問処遇改善加算金",【ピボット】事業所売上!$A$3,"年月",EDATE(N$2,-2)),0)
+IFERROR(GETPIVOTDATA("合計 / 通所介護処遇改善加算金",【ピボット】事業所売上!$A$3,"年月",EDATE(N$2,-2)),0))</f>
        <v>0</v>
      </c>
      <c r="O8" s="627">
        <f>IF(O4="賞与",0,IFERROR(GETPIVOTDATA("合計 / 訪問処遇改善加算金",【ピボット】事業所売上!$A$3,"年月",EDATE(O$2,-2)),0)
+IFERROR(GETPIVOTDATA("合計 / 通所介護処遇改善加算金",【ピボット】事業所売上!$A$3,"年月",EDATE(O$2,-2)),0))</f>
        <v>2475862</v>
      </c>
      <c r="P8" s="627">
        <f>IF(P4="賞与",0,IFERROR(GETPIVOTDATA("合計 / 訪問処遇改善加算金",【ピボット】事業所売上!$A$3,"年月",EDATE(P$2,-2)),0)
+IFERROR(GETPIVOTDATA("合計 / 通所介護処遇改善加算金",【ピボット】事業所売上!$A$3,"年月",EDATE(P$2,-2)),0))</f>
        <v>2260825</v>
      </c>
      <c r="Q8" s="627">
        <f>IF(Q4="賞与",0,IFERROR(GETPIVOTDATA("合計 / 訪問処遇改善加算金",【ピボット】事業所売上!$A$3,"年月",EDATE(Q$2,-2)),0)
+IFERROR(GETPIVOTDATA("合計 / 通所介護処遇改善加算金",【ピボット】事業所売上!$A$3,"年月",EDATE(Q$2,-2)),0))</f>
        <v>2367623</v>
      </c>
      <c r="R8" s="627">
        <f>IF(R4="賞与",0,IFERROR(GETPIVOTDATA("合計 / 訪問処遇改善加算金",【ピボット】事業所売上!$A$3,"年月",EDATE(R$2,-2)),0)
+IFERROR(GETPIVOTDATA("合計 / 通所介護処遇改善加算金",【ピボット】事業所売上!$A$3,"年月",EDATE(R$2,-2)),0))</f>
        <v>2347544</v>
      </c>
      <c r="S8" s="627">
        <f>IF(S4="賞与",0,IFERROR(GETPIVOTDATA("合計 / 訪問処遇改善加算金",【ピボット】事業所売上!$A$3,"年月",EDATE(S$2,-2)),0)
+IFERROR(GETPIVOTDATA("合計 / 通所介護処遇改善加算金",【ピボット】事業所売上!$A$3,"年月",EDATE(S$2,-2)),0))</f>
        <v>2474592</v>
      </c>
      <c r="T8" s="627">
        <f>IF(T4="賞与",0,IFERROR(GETPIVOTDATA("合計 / 訪問処遇改善加算金",【ピボット】事業所売上!$A$3,"年月",EDATE(T$2,-2)),0)
+IFERROR(GETPIVOTDATA("合計 / 通所介護処遇改善加算金",【ピボット】事業所売上!$A$3,"年月",EDATE(T$2,-2)),0))</f>
        <v>2443820</v>
      </c>
      <c r="U8" s="627">
        <f>IF(U4="賞与",0,IFERROR(GETPIVOTDATA("合計 / 訪問処遇改善加算金",【ピボット】事業所売上!$A$3,"年月",EDATE(U$2,-2)),0)
+IFERROR(GETPIVOTDATA("合計 / 通所介護処遇改善加算金",【ピボット】事業所売上!$A$3,"年月",EDATE(U$2,-2)),0))</f>
        <v>0</v>
      </c>
      <c r="V8" s="627">
        <f>IF(V4="賞与",0,IFERROR(GETPIVOTDATA("合計 / 訪問処遇改善加算金",【ピボット】事業所売上!$A$3,"年月",EDATE(V$2,-2)),0)
+IFERROR(GETPIVOTDATA("合計 / 通所介護処遇改善加算金",【ピボット】事業所売上!$A$3,"年月",EDATE(V$2,-2)),0))</f>
        <v>2356316</v>
      </c>
      <c r="W8" s="627">
        <f>IF(W4="賞与",0,IFERROR(GETPIVOTDATA("合計 / 訪問処遇改善加算金",【ピボット】事業所売上!$A$3,"年月",EDATE(W$2,-2)),0)
+IFERROR(GETPIVOTDATA("合計 / 通所介護処遇改善加算金",【ピボット】事業所売上!$A$3,"年月",EDATE(W$2,-2)),0))</f>
        <v>2380642</v>
      </c>
      <c r="X8" s="627">
        <f>IF(X4="賞与",0,IFERROR(GETPIVOTDATA("合計 / 訪問処遇改善加算金",【ピボット】事業所売上!$A$3,"年月",EDATE(X$2,-2)),0)
+IFERROR(GETPIVOTDATA("合計 / 通所介護処遇改善加算金",【ピボット】事業所売上!$A$3,"年月",EDATE(X$2,-2)),0))</f>
        <v>2394735</v>
      </c>
      <c r="Y8" s="627">
        <f>IF(Y4="賞与",0,IFERROR(GETPIVOTDATA("合計 / 訪問処遇改善加算金",【ピボット】事業所売上!$A$3,"年月",EDATE(Y$2,-2)),0)
+IFERROR(GETPIVOTDATA("合計 / 通所介護処遇改善加算金",【ピボット】事業所売上!$A$3,"年月",EDATE(Y$2,-2)),0))</f>
        <v>2229755</v>
      </c>
      <c r="Z8" s="627">
        <f>IF(Z4="賞与",0,IFERROR(GETPIVOTDATA("合計 / 訪問処遇改善加算金",【ピボット】事業所売上!$A$3,"年月",EDATE(Z$2,-2)),0)
+IFERROR(GETPIVOTDATA("合計 / 通所介護処遇改善加算金",【ピボット】事業所売上!$A$3,"年月",EDATE(Z$2,-2)),0))</f>
        <v>2404267</v>
      </c>
      <c r="AA8" s="627">
        <f>IF(AA4="賞与",0,IFERROR(GETPIVOTDATA("合計 / 訪問処遇改善加算金",【ピボット】事業所売上!$A$3,"年月",EDATE(AA$2,-2)),0)
+IFERROR(GETPIVOTDATA("合計 / 通所介護処遇改善加算金",【ピボット】事業所売上!$A$3,"年月",EDATE(AA$2,-2)),0))</f>
        <v>2691724</v>
      </c>
      <c r="AB8" s="627">
        <f>IF(AB4="賞与",0,IFERROR(GETPIVOTDATA("合計 / 訪問処遇改善加算金",【ピボット】事業所売上!$A$3,"年月",EDATE(AB$2,-2)),0)
+IFERROR(GETPIVOTDATA("合計 / 通所介護処遇改善加算金",【ピボット】事業所売上!$A$3,"年月",EDATE(AB$2,-2)),0))</f>
        <v>0</v>
      </c>
      <c r="AC8" s="627">
        <f>IF(AC4="賞与",0,IFERROR(GETPIVOTDATA("合計 / 訪問処遇改善加算金",【ピボット】事業所売上!$A$3,"年月",EDATE(AC$2,-2)),0)
+IFERROR(GETPIVOTDATA("合計 / 通所介護処遇改善加算金",【ピボット】事業所売上!$A$3,"年月",EDATE(AC$2,-2)),0))</f>
        <v>2600228</v>
      </c>
      <c r="AD8" s="627">
        <f>IF(AD4="賞与",0,IFERROR(GETPIVOTDATA("合計 / 訪問処遇改善加算金",【ピボット】事業所売上!$A$3,"年月",EDATE(AD$2,-2)),0)
+IFERROR(GETPIVOTDATA("合計 / 通所介護処遇改善加算金",【ピボット】事業所売上!$A$3,"年月",EDATE(AD$2,-2)),0))</f>
        <v>2494253</v>
      </c>
      <c r="AE8" s="627">
        <f>IF(AE4="賞与",0,IFERROR(GETPIVOTDATA("合計 / 訪問処遇改善加算金",【ピボット】事業所売上!$A$3,"年月",EDATE(AE$2,-2)),0)
+IFERROR(GETPIVOTDATA("合計 / 通所介護処遇改善加算金",【ピボット】事業所売上!$A$3,"年月",EDATE(AE$2,-2)),0))</f>
        <v>0</v>
      </c>
      <c r="AF8" s="1156">
        <f>IF(AF4="賞与",0,IFERROR(GETPIVOTDATA("合計 / 訪問処遇改善加算金",【ピボット】事業所売上!$A$3,"年月",EDATE(AF$2,-2)),0)
+IFERROR(GETPIVOTDATA("合計 / 通所介護処遇改善加算金",【ピボット】事業所売上!$A$3,"年月",EDATE(AF$2,-2)),0))</f>
        <v>2562534</v>
      </c>
      <c r="AG8" s="1156">
        <f>IF(AG4="賞与",0,IFERROR(GETPIVOTDATA("合計 / 訪問処遇改善加算金",【ピボット】事業所売上!$A$3,"年月",EDATE(AG$2,-2)),0)
+IFERROR(GETPIVOTDATA("合計 / 通所介護処遇改善加算金",【ピボット】事業所売上!$A$3,"年月",EDATE(AG$2,-2)),0))</f>
        <v>2512035</v>
      </c>
      <c r="AH8" s="1156">
        <f>IF(AH4="賞与",0,IFERROR(GETPIVOTDATA("合計 / 訪問処遇改善加算金",【ピボット】事業所売上!$A$3,"年月",EDATE(AH$2,-2)),0)
+IFERROR(GETPIVOTDATA("合計 / 通所介護処遇改善加算金",【ピボット】事業所売上!$A$3,"年月",EDATE(AH$2,-2)),0))</f>
        <v>2531587</v>
      </c>
      <c r="AI8" s="1156">
        <f>IF(AI4="賞与",0,IFERROR(GETPIVOTDATA("合計 / 訪問処遇改善加算金",【ピボット】事業所売上!$A$3,"年月",EDATE(AI$2,-2)),0)
+IFERROR(GETPIVOTDATA("合計 / 通所介護処遇改善加算金",【ピボット】事業所売上!$A$3,"年月",EDATE(AI$2,-2)),0))</f>
        <v>2639853</v>
      </c>
      <c r="AJ8" s="1156">
        <f>IF(AJ4="賞与",0,IFERROR(GETPIVOTDATA("合計 / 訪問処遇改善加算金",【ピボット】事業所売上!$A$3,"年月",EDATE(AJ$2,-2)),0)
+IFERROR(GETPIVOTDATA("合計 / 通所介護処遇改善加算金",【ピボット】事業所売上!$A$3,"年月",EDATE(AJ$2,-2)),0))</f>
        <v>0</v>
      </c>
      <c r="AK8" s="1156">
        <f>IF(AK4="賞与",0,IFERROR(GETPIVOTDATA("合計 / 訪問処遇改善加算金",【ピボット】事業所売上!$A$3,"年月",EDATE(AK$2,-2)),0)
+IFERROR(GETPIVOTDATA("合計 / 通所介護処遇改善加算金",【ピボット】事業所売上!$A$3,"年月",EDATE(AK$2,-2)),0))</f>
        <v>2863186</v>
      </c>
      <c r="AL8" s="1156">
        <f>IF(AL4="賞与",0,IFERROR(GETPIVOTDATA("合計 / 訪問処遇改善加算金",【ピボット】事業所売上!$A$3,"年月",EDATE(AL$2,-2)),0)
+IFERROR(GETPIVOTDATA("合計 / 通所介護処遇改善加算金",【ピボット】事業所売上!$A$3,"年月",EDATE(AL$2,-2)),0))</f>
        <v>2607541</v>
      </c>
      <c r="AM8" s="1156">
        <f>IF(AM4="賞与",0,IFERROR(GETPIVOTDATA("合計 / 訪問処遇改善加算金",【ピボット】事業所売上!$A$3,"年月",EDATE(AM$2,-2)),0)
+IFERROR(GETPIVOTDATA("合計 / 通所介護処遇改善加算金",【ピボット】事業所売上!$A$3,"年月",EDATE(AM$2,-2)),0))</f>
        <v>2601128</v>
      </c>
      <c r="AN8" s="1156">
        <f>IF(AN4="賞与",0,IFERROR(GETPIVOTDATA("合計 / 訪問処遇改善加算金",【ピボット】事業所売上!$A$3,"年月",EDATE(AN$2,-2)),0)
+IFERROR(GETPIVOTDATA("合計 / 通所介護処遇改善加算金",【ピボット】事業所売上!$A$3,"年月",EDATE(AN$2,-2)),0))</f>
        <v>2476407</v>
      </c>
      <c r="AO8" s="1156">
        <f>IF(AO4="賞与",0,IFERROR(GETPIVOTDATA("合計 / 訪問処遇改善加算金",【ピボット】事業所売上!$A$3,"年月",EDATE(AO$2,-2)),0)
+IFERROR(GETPIVOTDATA("合計 / 通所介護処遇改善加算金",【ピボット】事業所売上!$A$3,"年月",EDATE(AO$2,-2)),0))</f>
        <v>2543698</v>
      </c>
      <c r="AP8" s="1156">
        <f>IF(AP4="賞与",0,IFERROR(GETPIVOTDATA("合計 / 訪問処遇改善加算金",【ピボット】事業所売上!$A$3,"年月",EDATE(AP$2,-2)),0)
+IFERROR(GETPIVOTDATA("合計 / 通所介護処遇改善加算金",【ピボット】事業所売上!$A$3,"年月",EDATE(AP$2,-2)),0))</f>
        <v>0</v>
      </c>
      <c r="AQ8" s="1156">
        <f>IF(AQ4="賞与",0,IFERROR(GETPIVOTDATA("合計 / 訪問処遇改善加算金",【ピボット】事業所売上!$A$3,"年月",EDATE(AQ$2,-2)),0)
+IFERROR(GETPIVOTDATA("合計 / 通所介護処遇改善加算金",【ピボット】事業所売上!$A$3,"年月",EDATE(AQ$2,-2)),0))</f>
        <v>0</v>
      </c>
      <c r="AR8" s="1156">
        <f>IF(AR4="賞与",0,IFERROR(GETPIVOTDATA("合計 / 訪問処遇改善加算金",【ピボット】事業所売上!$A$3,"年月",EDATE(AR$2,-2)),0)
+IFERROR(GETPIVOTDATA("合計 / 通所介護処遇改善加算金",【ピボット】事業所売上!$A$3,"年月",EDATE(AR$2,-2)),0))</f>
        <v>0</v>
      </c>
      <c r="AS8" s="1156">
        <f>IF(AS4="賞与",0,IFERROR(GETPIVOTDATA("合計 / 訪問処遇改善加算金",【ピボット】事業所売上!$A$3,"年月",EDATE(AS$2,-2)),0)
+IFERROR(GETPIVOTDATA("合計 / 通所介護処遇改善加算金",【ピボット】事業所売上!$A$3,"年月",EDATE(AS$2,-2)),0))</f>
        <v>0</v>
      </c>
      <c r="AT8" s="1156">
        <f>IF(AT4="賞与",0,IFERROR(GETPIVOTDATA("合計 / 訪問処遇改善加算金",【ピボット】事業所売上!$A$3,"年月",EDATE(AT$2,-2)),0)
+IFERROR(GETPIVOTDATA("合計 / 通所介護処遇改善加算金",【ピボット】事業所売上!$A$3,"年月",EDATE(AT$2,-2)),0))</f>
        <v>0</v>
      </c>
      <c r="AU8" s="1156">
        <f>IF(AU4="賞与",0,IFERROR(GETPIVOTDATA("合計 / 訪問処遇改善加算金",【ピボット】事業所売上!$A$3,"年月",EDATE(AU$2,-2)),0)
+IFERROR(GETPIVOTDATA("合計 / 通所介護処遇改善加算金",【ピボット】事業所売上!$A$3,"年月",EDATE(AU$2,-2)),0))</f>
        <v>0</v>
      </c>
      <c r="AV8" s="1156">
        <f>IF(AV4="賞与",0,IFERROR(GETPIVOTDATA("合計 / 訪問処遇改善加算金",【ピボット】事業所売上!$A$3,"年月",EDATE(AV$2,-2)),0)
+IFERROR(GETPIVOTDATA("合計 / 通所介護処遇改善加算金",【ピボット】事業所売上!$A$3,"年月",EDATE(AV$2,-2)),0))</f>
        <v>0</v>
      </c>
      <c r="AW8" s="1156">
        <f>IF(AW4="賞与",0,IFERROR(GETPIVOTDATA("合計 / 訪問処遇改善加算金",【ピボット】事業所売上!$A$3,"年月",EDATE(AW$2,-2)),0)
+IFERROR(GETPIVOTDATA("合計 / 通所介護処遇改善加算金",【ピボット】事業所売上!$A$3,"年月",EDATE(AW$2,-2)),0))</f>
        <v>0</v>
      </c>
      <c r="AX8" s="1156">
        <f>IF(AX4="賞与",0,IFERROR(GETPIVOTDATA("合計 / 訪問処遇改善加算金",【ピボット】事業所売上!$A$3,"年月",EDATE(AX$2,-2)),0)
+IFERROR(GETPIVOTDATA("合計 / 通所介護処遇改善加算金",【ピボット】事業所売上!$A$3,"年月",EDATE(AX$2,-2)),0))</f>
        <v>0</v>
      </c>
      <c r="AY8" s="1156">
        <f>IF(AY4="賞与",0,IFERROR(GETPIVOTDATA("合計 / 訪問処遇改善加算金",【ピボット】事業所売上!$A$3,"年月",EDATE(AY$2,-2)),0)
+IFERROR(GETPIVOTDATA("合計 / 通所介護処遇改善加算金",【ピボット】事業所売上!$A$3,"年月",EDATE(AY$2,-2)),0))</f>
        <v>0</v>
      </c>
    </row>
    <row r="9" spans="1:53" ht="35.25" customHeight="1" thickBot="1" x14ac:dyDescent="0.2">
      <c r="A9" s="2112"/>
      <c r="B9" s="621" t="s">
        <v>534</v>
      </c>
      <c r="C9" s="622">
        <v>512410</v>
      </c>
      <c r="D9" s="622">
        <v>516160</v>
      </c>
      <c r="E9" s="622">
        <f>IF(E4="賞与",0,IFERROR(GETPIVOTDATA("合計 / 障害処遇改善加算金",【ピボット】事業所売上!$A$3,"年月",EDATE(E$2,-2)),0)
+IFERROR(GETPIVOTDATA("合計 / 共同生活援助処遇改善加算金",【ピボット】事業所売上!$A$3,"年月",EDATE(E$2,-2)),0))</f>
        <v>436948</v>
      </c>
      <c r="F9" s="622">
        <f>IF(F4="賞与",0,IFERROR(GETPIVOTDATA("合計 / 障害処遇改善加算金",【ピボット】事業所売上!$A$3,"年月",EDATE(F$2,-2)),0)
+IFERROR(GETPIVOTDATA("合計 / 共同生活援助処遇改善加算金",【ピボット】事業所売上!$A$3,"年月",EDATE(F$2,-2)),0))</f>
        <v>618444</v>
      </c>
      <c r="G9" s="622">
        <f>IF(G4="賞与",0,IFERROR(GETPIVOTDATA("合計 / 障害処遇改善加算金",【ピボット】事業所売上!$A$3,"年月",EDATE(G$2,-2)),0)
+IFERROR(GETPIVOTDATA("合計 / 共同生活援助処遇改善加算金",【ピボット】事業所売上!$A$3,"年月",EDATE(G$2,-2)),0))</f>
        <v>0</v>
      </c>
      <c r="H9" s="622">
        <f>IF(H4="賞与",0,IFERROR(GETPIVOTDATA("合計 / 障害処遇改善加算金",【ピボット】事業所売上!$A$3,"年月",EDATE(H$2,-2)),0)
+IFERROR(GETPIVOTDATA("合計 / 共同生活援助処遇改善加算金",【ピボット】事業所売上!$A$3,"年月",EDATE(H$2,-2)),0))</f>
        <v>564101</v>
      </c>
      <c r="I9" s="622">
        <f>IF(I4="賞与",0,IFERROR(GETPIVOTDATA("合計 / 障害処遇改善加算金",【ピボット】事業所売上!$A$3,"年月",EDATE(I$2,-2)),0)
+IFERROR(GETPIVOTDATA("合計 / 共同生活援助処遇改善加算金",【ピボット】事業所売上!$A$3,"年月",EDATE(I$2,-2)),0))</f>
        <v>724649</v>
      </c>
      <c r="J9" s="622">
        <f>IF(J4="賞与",0,IFERROR(GETPIVOTDATA("合計 / 障害処遇改善加算金",【ピボット】事業所売上!$A$3,"年月",EDATE(J$2,-2)),0)
+IFERROR(GETPIVOTDATA("合計 / 共同生活援助処遇改善加算金",【ピボット】事業所売上!$A$3,"年月",EDATE(J$2,-2)),0))</f>
        <v>651402</v>
      </c>
      <c r="K9" s="622">
        <f>IF(K4="賞与",0,IFERROR(GETPIVOTDATA("合計 / 障害処遇改善加算金",【ピボット】事業所売上!$A$3,"年月",EDATE(K$2,-2)),0)
+IFERROR(GETPIVOTDATA("合計 / 共同生活援助処遇改善加算金",【ピボット】事業所売上!$A$3,"年月",EDATE(K$2,-2)),0))</f>
        <v>590716</v>
      </c>
      <c r="L9" s="622">
        <f>IF(L4="賞与",0,IFERROR(GETPIVOTDATA("合計 / 障害処遇改善加算金",【ピボット】事業所売上!$A$3,"年月",EDATE(L$2,-2)),0)
+IFERROR(GETPIVOTDATA("合計 / 共同生活援助処遇改善加算金",【ピボット】事業所売上!$A$3,"年月",EDATE(L$2,-2)),0))</f>
        <v>663526</v>
      </c>
      <c r="M9" s="622">
        <f>IF(M4="賞与",0,IFERROR(GETPIVOTDATA("合計 / 障害処遇改善加算金",【ピボット】事業所売上!$A$3,"年月",EDATE(M$2,-2)),0)
+IFERROR(GETPIVOTDATA("合計 / 共同生活援助処遇改善加算金",【ピボット】事業所売上!$A$3,"年月",EDATE(M$2,-2)),0))</f>
        <v>923565</v>
      </c>
      <c r="N9" s="622">
        <f>IF(N4="賞与",0,IFERROR(GETPIVOTDATA("合計 / 障害処遇改善加算金",【ピボット】事業所売上!$A$3,"年月",EDATE(N$2,-2)),0)
+IFERROR(GETPIVOTDATA("合計 / 共同生活援助処遇改善加算金",【ピボット】事業所売上!$A$3,"年月",EDATE(N$2,-2)),0))</f>
        <v>0</v>
      </c>
      <c r="O9" s="622">
        <f>IF(O4="賞与",0,IFERROR(GETPIVOTDATA("合計 / 障害処遇改善加算金",【ピボット】事業所売上!$A$3,"年月",EDATE(O$2,-2)),0)
+IFERROR(GETPIVOTDATA("合計 / 共同生活援助処遇改善加算金",【ピボット】事業所売上!$A$3,"年月",EDATE(O$2,-2)),0))</f>
        <v>968199</v>
      </c>
      <c r="P9" s="622">
        <f>IF(P4="賞与",0,IFERROR(GETPIVOTDATA("合計 / 障害処遇改善加算金",【ピボット】事業所売上!$A$3,"年月",EDATE(P$2,-2)),0)
+IFERROR(GETPIVOTDATA("合計 / 共同生活援助処遇改善加算金",【ピボット】事業所売上!$A$3,"年月",EDATE(P$2,-2)),0))</f>
        <v>1442131</v>
      </c>
      <c r="Q9" s="622">
        <f>IF(Q4="賞与",0,IFERROR(GETPIVOTDATA("合計 / 障害処遇改善加算金",【ピボット】事業所売上!$A$3,"年月",EDATE(Q$2,-2)),0)
+IFERROR(GETPIVOTDATA("合計 / 共同生活援助処遇改善加算金",【ピボット】事業所売上!$A$3,"年月",EDATE(Q$2,-2)),0))</f>
        <v>1361445</v>
      </c>
      <c r="R9" s="622">
        <f>IF(R4="賞与",0,IFERROR(GETPIVOTDATA("合計 / 障害処遇改善加算金",【ピボット】事業所売上!$A$3,"年月",EDATE(R$2,-2)),0)
+IFERROR(GETPIVOTDATA("合計 / 共同生活援助処遇改善加算金",【ピボット】事業所売上!$A$3,"年月",EDATE(R$2,-2)),0))</f>
        <v>1241956</v>
      </c>
      <c r="S9" s="622">
        <f>IF(S4="賞与",0,IFERROR(GETPIVOTDATA("合計 / 障害処遇改善加算金",【ピボット】事業所売上!$A$3,"年月",EDATE(S$2,-2)),0)
+IFERROR(GETPIVOTDATA("合計 / 共同生活援助処遇改善加算金",【ピボット】事業所売上!$A$3,"年月",EDATE(S$2,-2)),0))</f>
        <v>1198037</v>
      </c>
      <c r="T9" s="622">
        <f>IF(T4="賞与",0,IFERROR(GETPIVOTDATA("合計 / 障害処遇改善加算金",【ピボット】事業所売上!$A$3,"年月",EDATE(T$2,-2)),0)
+IFERROR(GETPIVOTDATA("合計 / 共同生活援助処遇改善加算金",【ピボット】事業所売上!$A$3,"年月",EDATE(T$2,-2)),0))</f>
        <v>1303328</v>
      </c>
      <c r="U9" s="622">
        <f>IF(U4="賞与",0,IFERROR(GETPIVOTDATA("合計 / 障害処遇改善加算金",【ピボット】事業所売上!$A$3,"年月",EDATE(U$2,-2)),0)
+IFERROR(GETPIVOTDATA("合計 / 共同生活援助処遇改善加算金",【ピボット】事業所売上!$A$3,"年月",EDATE(U$2,-2)),0))</f>
        <v>0</v>
      </c>
      <c r="V9" s="622">
        <f>IF(V4="賞与",0,IFERROR(GETPIVOTDATA("合計 / 障害処遇改善加算金",【ピボット】事業所売上!$A$3,"年月",EDATE(V$2,-2)),0)
+IFERROR(GETPIVOTDATA("合計 / 共同生活援助処遇改善加算金",【ピボット】事業所売上!$A$3,"年月",EDATE(V$2,-2)),0))</f>
        <v>1216813</v>
      </c>
      <c r="W9" s="622">
        <f>IF(W4="賞与",0,IFERROR(GETPIVOTDATA("合計 / 障害処遇改善加算金",【ピボット】事業所売上!$A$3,"年月",EDATE(W$2,-2)),0)
+IFERROR(GETPIVOTDATA("合計 / 共同生活援助処遇改善加算金",【ピボット】事業所売上!$A$3,"年月",EDATE(W$2,-2)),0))</f>
        <v>1136526</v>
      </c>
      <c r="X9" s="622">
        <f>IF(X4="賞与",0,IFERROR(GETPIVOTDATA("合計 / 障害処遇改善加算金",【ピボット】事業所売上!$A$3,"年月",EDATE(X$2,-2)),0)
+IFERROR(GETPIVOTDATA("合計 / 共同生活援助処遇改善加算金",【ピボット】事業所売上!$A$3,"年月",EDATE(X$2,-2)),0))</f>
        <v>1289840</v>
      </c>
      <c r="Y9" s="622">
        <f>IF(Y4="賞与",0,IFERROR(GETPIVOTDATA("合計 / 障害処遇改善加算金",【ピボット】事業所売上!$A$3,"年月",EDATE(Y$2,-2)),0)
+IFERROR(GETPIVOTDATA("合計 / 共同生活援助処遇改善加算金",【ピボット】事業所売上!$A$3,"年月",EDATE(Y$2,-2)),0))</f>
        <v>1111655</v>
      </c>
      <c r="Z9" s="622">
        <f>IF(Z4="賞与",0,IFERROR(GETPIVOTDATA("合計 / 障害処遇改善加算金",【ピボット】事業所売上!$A$3,"年月",EDATE(Z$2,-2)),0)
+IFERROR(GETPIVOTDATA("合計 / 共同生活援助処遇改善加算金",【ピボット】事業所売上!$A$3,"年月",EDATE(Z$2,-2)),0))</f>
        <v>1124100</v>
      </c>
      <c r="AA9" s="622">
        <f>IF(AA4="賞与",0,IFERROR(GETPIVOTDATA("合計 / 障害処遇改善加算金",【ピボット】事業所売上!$A$3,"年月",EDATE(AA$2,-2)),0)
+IFERROR(GETPIVOTDATA("合計 / 共同生活援助処遇改善加算金",【ピボット】事業所売上!$A$3,"年月",EDATE(AA$2,-2)),0))</f>
        <v>1138865</v>
      </c>
      <c r="AB9" s="622">
        <f>IF(AB4="賞与",0,IFERROR(GETPIVOTDATA("合計 / 障害処遇改善加算金",【ピボット】事業所売上!$A$3,"年月",EDATE(AB$2,-2)),0)
+IFERROR(GETPIVOTDATA("合計 / 共同生活援助処遇改善加算金",【ピボット】事業所売上!$A$3,"年月",EDATE(AB$2,-2)),0))</f>
        <v>0</v>
      </c>
      <c r="AC9" s="622">
        <f>IF(AC4="賞与",0,IFERROR(GETPIVOTDATA("合計 / 障害処遇改善加算金",【ピボット】事業所売上!$A$3,"年月",EDATE(AC$2,-2)),0)
+IFERROR(GETPIVOTDATA("合計 / 共同生活援助処遇改善加算金",【ピボット】事業所売上!$A$3,"年月",EDATE(AC$2,-2)),0))</f>
        <v>1154388</v>
      </c>
      <c r="AD9" s="622">
        <f>IF(AD4="賞与",0,IFERROR(GETPIVOTDATA("合計 / 障害処遇改善加算金",【ピボット】事業所売上!$A$3,"年月",EDATE(AD$2,-2)),0)
+IFERROR(GETPIVOTDATA("合計 / 共同生活援助処遇改善加算金",【ピボット】事業所売上!$A$3,"年月",EDATE(AD$2,-2)),0))</f>
        <v>1149137</v>
      </c>
      <c r="AE9" s="622">
        <f>IF(AE4="賞与",0,IFERROR(GETPIVOTDATA("合計 / 障害処遇改善加算金",【ピボット】事業所売上!$A$3,"年月",EDATE(AE$2,-2)),0)
+IFERROR(GETPIVOTDATA("合計 / 共同生活援助処遇改善加算金",【ピボット】事業所売上!$A$3,"年月",EDATE(AE$2,-2)),0))</f>
        <v>0</v>
      </c>
      <c r="AF9" s="1157">
        <f>IF(AF4="賞与",0,IFERROR(GETPIVOTDATA("合計 / 障害処遇改善加算金",【ピボット】事業所売上!$A$3,"年月",EDATE(AF$2,-2)),0)
+IFERROR(GETPIVOTDATA("合計 / 共同生活援助処遇改善加算金",【ピボット】事業所売上!$A$3,"年月",EDATE(AF$2,-2)),0))</f>
        <v>1284118</v>
      </c>
      <c r="AG9" s="1157">
        <f>IF(AG4="賞与",0,IFERROR(GETPIVOTDATA("合計 / 障害処遇改善加算金",【ピボット】事業所売上!$A$3,"年月",EDATE(AG$2,-2)),0)
+IFERROR(GETPIVOTDATA("合計 / 共同生活援助処遇改善加算金",【ピボット】事業所売上!$A$3,"年月",EDATE(AG$2,-2)),0))</f>
        <v>1130578</v>
      </c>
      <c r="AH9" s="1157">
        <f>IF(AH4="賞与",0,IFERROR(GETPIVOTDATA("合計 / 障害処遇改善加算金",【ピボット】事業所売上!$A$3,"年月",EDATE(AH$2,-2)),0)
+IFERROR(GETPIVOTDATA("合計 / 共同生活援助処遇改善加算金",【ピボット】事業所売上!$A$3,"年月",EDATE(AH$2,-2)),0))</f>
        <v>1293478</v>
      </c>
      <c r="AI9" s="1157">
        <f>IF(AI4="賞与",0,IFERROR(GETPIVOTDATA("合計 / 障害処遇改善加算金",【ピボット】事業所売上!$A$3,"年月",EDATE(AI$2,-2)),0)
+IFERROR(GETPIVOTDATA("合計 / 共同生活援助処遇改善加算金",【ピボット】事業所売上!$A$3,"年月",EDATE(AI$2,-2)),0))</f>
        <v>1462867</v>
      </c>
      <c r="AJ9" s="1157">
        <f>IF(AJ4="賞与",0,IFERROR(GETPIVOTDATA("合計 / 障害処遇改善加算金",【ピボット】事業所売上!$A$3,"年月",EDATE(AJ$2,-2)),0)
+IFERROR(GETPIVOTDATA("合計 / 共同生活援助処遇改善加算金",【ピボット】事業所売上!$A$3,"年月",EDATE(AJ$2,-2)),0))</f>
        <v>0</v>
      </c>
      <c r="AK9" s="1157">
        <f>IF(AK4="賞与",0,IFERROR(GETPIVOTDATA("合計 / 障害処遇改善加算金",【ピボット】事業所売上!$A$3,"年月",EDATE(AK$2,-2)),0)
+IFERROR(GETPIVOTDATA("合計 / 共同生活援助処遇改善加算金",【ピボット】事業所売上!$A$3,"年月",EDATE(AK$2,-2)),0))</f>
        <v>1512535</v>
      </c>
      <c r="AL9" s="1157">
        <f>IF(AL4="賞与",0,IFERROR(GETPIVOTDATA("合計 / 障害処遇改善加算金",【ピボット】事業所売上!$A$3,"年月",EDATE(AL$2,-2)),0)
+IFERROR(GETPIVOTDATA("合計 / 共同生活援助処遇改善加算金",【ピボット】事業所売上!$A$3,"年月",EDATE(AL$2,-2)),0))</f>
        <v>1622389</v>
      </c>
      <c r="AM9" s="1157">
        <f>IF(AM4="賞与",0,IFERROR(GETPIVOTDATA("合計 / 障害処遇改善加算金",【ピボット】事業所売上!$A$3,"年月",EDATE(AM$2,-2)),0)
+IFERROR(GETPIVOTDATA("合計 / 共同生活援助処遇改善加算金",【ピボット】事業所売上!$A$3,"年月",EDATE(AM$2,-2)),0))</f>
        <v>1534040</v>
      </c>
      <c r="AN9" s="1157">
        <f>IF(AN4="賞与",0,IFERROR(GETPIVOTDATA("合計 / 障害処遇改善加算金",【ピボット】事業所売上!$A$3,"年月",EDATE(AN$2,-2)),0)
+IFERROR(GETPIVOTDATA("合計 / 共同生活援助処遇改善加算金",【ピボット】事業所売上!$A$3,"年月",EDATE(AN$2,-2)),0))</f>
        <v>1410773</v>
      </c>
      <c r="AO9" s="1157">
        <f>IF(AO4="賞与",0,IFERROR(GETPIVOTDATA("合計 / 障害処遇改善加算金",【ピボット】事業所売上!$A$3,"年月",EDATE(AO$2,-2)),0)
+IFERROR(GETPIVOTDATA("合計 / 共同生活援助処遇改善加算金",【ピボット】事業所売上!$A$3,"年月",EDATE(AO$2,-2)),0))</f>
        <v>1473322</v>
      </c>
      <c r="AP9" s="1157">
        <f>IF(AP4="賞与",0,IFERROR(GETPIVOTDATA("合計 / 障害処遇改善加算金",【ピボット】事業所売上!$A$3,"年月",EDATE(AP$2,-2)),0)
+IFERROR(GETPIVOTDATA("合計 / 共同生活援助処遇改善加算金",【ピボット】事業所売上!$A$3,"年月",EDATE(AP$2,-2)),0))</f>
        <v>0</v>
      </c>
      <c r="AQ9" s="1157">
        <f>IF(AQ4="賞与",0,IFERROR(GETPIVOTDATA("合計 / 障害処遇改善加算金",【ピボット】事業所売上!$A$3,"年月",EDATE(AQ$2,-2)),0)
+IFERROR(GETPIVOTDATA("合計 / 共同生活援助処遇改善加算金",【ピボット】事業所売上!$A$3,"年月",EDATE(AQ$2,-2)),0))</f>
        <v>0</v>
      </c>
      <c r="AR9" s="1157">
        <f>IF(AR4="賞与",0,IFERROR(GETPIVOTDATA("合計 / 障害処遇改善加算金",【ピボット】事業所売上!$A$3,"年月",EDATE(AR$2,-2)),0)
+IFERROR(GETPIVOTDATA("合計 / 共同生活援助処遇改善加算金",【ピボット】事業所売上!$A$3,"年月",EDATE(AR$2,-2)),0))</f>
        <v>0</v>
      </c>
      <c r="AS9" s="1157">
        <f>IF(AS4="賞与",0,IFERROR(GETPIVOTDATA("合計 / 障害処遇改善加算金",【ピボット】事業所売上!$A$3,"年月",EDATE(AS$2,-2)),0)
+IFERROR(GETPIVOTDATA("合計 / 共同生活援助処遇改善加算金",【ピボット】事業所売上!$A$3,"年月",EDATE(AS$2,-2)),0))</f>
        <v>0</v>
      </c>
      <c r="AT9" s="1157">
        <f>IF(AT4="賞与",0,IFERROR(GETPIVOTDATA("合計 / 障害処遇改善加算金",【ピボット】事業所売上!$A$3,"年月",EDATE(AT$2,-2)),0)
+IFERROR(GETPIVOTDATA("合計 / 共同生活援助処遇改善加算金",【ピボット】事業所売上!$A$3,"年月",EDATE(AT$2,-2)),0))</f>
        <v>0</v>
      </c>
      <c r="AU9" s="1157">
        <f>IF(AU4="賞与",0,IFERROR(GETPIVOTDATA("合計 / 障害処遇改善加算金",【ピボット】事業所売上!$A$3,"年月",EDATE(AU$2,-2)),0)
+IFERROR(GETPIVOTDATA("合計 / 共同生活援助処遇改善加算金",【ピボット】事業所売上!$A$3,"年月",EDATE(AU$2,-2)),0))</f>
        <v>0</v>
      </c>
      <c r="AV9" s="1157">
        <f>IF(AV4="賞与",0,IFERROR(GETPIVOTDATA("合計 / 障害処遇改善加算金",【ピボット】事業所売上!$A$3,"年月",EDATE(AV$2,-2)),0)
+IFERROR(GETPIVOTDATA("合計 / 共同生活援助処遇改善加算金",【ピボット】事業所売上!$A$3,"年月",EDATE(AV$2,-2)),0))</f>
        <v>0</v>
      </c>
      <c r="AW9" s="1157">
        <f>IF(AW4="賞与",0,IFERROR(GETPIVOTDATA("合計 / 障害処遇改善加算金",【ピボット】事業所売上!$A$3,"年月",EDATE(AW$2,-2)),0)
+IFERROR(GETPIVOTDATA("合計 / 共同生活援助処遇改善加算金",【ピボット】事業所売上!$A$3,"年月",EDATE(AW$2,-2)),0))</f>
        <v>0</v>
      </c>
      <c r="AX9" s="1157">
        <f>IF(AX4="賞与",0,IFERROR(GETPIVOTDATA("合計 / 障害処遇改善加算金",【ピボット】事業所売上!$A$3,"年月",EDATE(AX$2,-2)),0)
+IFERROR(GETPIVOTDATA("合計 / 共同生活援助処遇改善加算金",【ピボット】事業所売上!$A$3,"年月",EDATE(AX$2,-2)),0))</f>
        <v>0</v>
      </c>
      <c r="AY9" s="1157">
        <f>IF(AY4="賞与",0,IFERROR(GETPIVOTDATA("合計 / 障害処遇改善加算金",【ピボット】事業所売上!$A$3,"年月",EDATE(AY$2,-2)),0)
+IFERROR(GETPIVOTDATA("合計 / 共同生活援助処遇改善加算金",【ピボット】事業所売上!$A$3,"年月",EDATE(AY$2,-2)),0))</f>
        <v>0</v>
      </c>
    </row>
    <row r="10" spans="1:53" ht="35.25" customHeight="1" thickBot="1" x14ac:dyDescent="0.2">
      <c r="A10" s="2113"/>
      <c r="B10" s="628" t="s">
        <v>96</v>
      </c>
      <c r="C10" s="687">
        <f t="shared" ref="C10:K10" si="10">SUM(C8:C9)</f>
        <v>2082162</v>
      </c>
      <c r="D10" s="629">
        <f t="shared" si="10"/>
        <v>1869114</v>
      </c>
      <c r="E10" s="630">
        <f t="shared" si="10"/>
        <v>1832829</v>
      </c>
      <c r="F10" s="630">
        <f t="shared" si="10"/>
        <v>2200051</v>
      </c>
      <c r="G10" s="630">
        <f>SUM(G8:G9)</f>
        <v>0</v>
      </c>
      <c r="H10" s="630">
        <f t="shared" si="10"/>
        <v>2094420</v>
      </c>
      <c r="I10" s="630">
        <f t="shared" si="10"/>
        <v>2334430</v>
      </c>
      <c r="J10" s="630">
        <f t="shared" si="10"/>
        <v>2083759</v>
      </c>
      <c r="K10" s="630">
        <f t="shared" si="10"/>
        <v>2058892</v>
      </c>
      <c r="L10" s="630">
        <f>SUM(L8:L9)</f>
        <v>2223492</v>
      </c>
      <c r="M10" s="630">
        <f>SUM(M8:M9)</f>
        <v>3204354</v>
      </c>
      <c r="N10" s="630">
        <f>SUM(N8:N9)</f>
        <v>0</v>
      </c>
      <c r="O10" s="630">
        <f>SUM(O8:O9)</f>
        <v>3444061</v>
      </c>
      <c r="P10" s="630">
        <f>SUM(P8:P9)</f>
        <v>3702956</v>
      </c>
      <c r="Q10" s="630">
        <f t="shared" ref="Q10:W10" si="11">SUM(Q8:Q9)</f>
        <v>3729068</v>
      </c>
      <c r="R10" s="630">
        <f t="shared" si="11"/>
        <v>3589500</v>
      </c>
      <c r="S10" s="630">
        <f t="shared" si="11"/>
        <v>3672629</v>
      </c>
      <c r="T10" s="630">
        <f t="shared" si="11"/>
        <v>3747148</v>
      </c>
      <c r="U10" s="630">
        <f>SUM(U8:U9)</f>
        <v>0</v>
      </c>
      <c r="V10" s="630">
        <f t="shared" si="11"/>
        <v>3573129</v>
      </c>
      <c r="W10" s="630">
        <f t="shared" si="11"/>
        <v>3517168</v>
      </c>
      <c r="X10" s="630"/>
      <c r="Y10" s="630">
        <f t="shared" ref="Y10:AE10" si="12">SUM(Y8:Y9)</f>
        <v>3341410</v>
      </c>
      <c r="Z10" s="630">
        <f t="shared" si="12"/>
        <v>3528367</v>
      </c>
      <c r="AA10" s="630">
        <f t="shared" si="12"/>
        <v>3830589</v>
      </c>
      <c r="AB10" s="630">
        <f t="shared" si="12"/>
        <v>0</v>
      </c>
      <c r="AC10" s="630">
        <f t="shared" si="12"/>
        <v>3754616</v>
      </c>
      <c r="AD10" s="630">
        <f t="shared" si="12"/>
        <v>3643390</v>
      </c>
      <c r="AE10" s="630">
        <f t="shared" si="12"/>
        <v>0</v>
      </c>
      <c r="AF10" s="629"/>
      <c r="AG10" s="629">
        <f t="shared" ref="AG10:AL10" si="13">SUM(AG8:AG9)</f>
        <v>3642613</v>
      </c>
      <c r="AH10" s="629">
        <f t="shared" si="13"/>
        <v>3825065</v>
      </c>
      <c r="AI10" s="629">
        <f t="shared" si="13"/>
        <v>4102720</v>
      </c>
      <c r="AJ10" s="629">
        <f t="shared" si="13"/>
        <v>0</v>
      </c>
      <c r="AK10" s="629">
        <f t="shared" si="13"/>
        <v>4375721</v>
      </c>
      <c r="AL10" s="629">
        <f t="shared" si="13"/>
        <v>4229930</v>
      </c>
      <c r="AM10" s="629">
        <f t="shared" ref="AM10:AY10" si="14">SUM(AM8:AM9)</f>
        <v>4135168</v>
      </c>
      <c r="AN10" s="629">
        <f t="shared" si="14"/>
        <v>3887180</v>
      </c>
      <c r="AO10" s="629">
        <f t="shared" si="14"/>
        <v>4017020</v>
      </c>
      <c r="AP10" s="629">
        <f t="shared" si="14"/>
        <v>0</v>
      </c>
      <c r="AQ10" s="629">
        <f t="shared" si="14"/>
        <v>0</v>
      </c>
      <c r="AR10" s="629">
        <f t="shared" si="14"/>
        <v>0</v>
      </c>
      <c r="AS10" s="629">
        <f t="shared" si="14"/>
        <v>0</v>
      </c>
      <c r="AT10" s="629">
        <f t="shared" si="14"/>
        <v>0</v>
      </c>
      <c r="AU10" s="629">
        <f t="shared" si="14"/>
        <v>0</v>
      </c>
      <c r="AV10" s="629">
        <f t="shared" si="14"/>
        <v>0</v>
      </c>
      <c r="AW10" s="629">
        <f t="shared" si="14"/>
        <v>0</v>
      </c>
      <c r="AX10" s="629">
        <f t="shared" si="14"/>
        <v>0</v>
      </c>
      <c r="AY10" s="629">
        <f t="shared" si="14"/>
        <v>0</v>
      </c>
    </row>
    <row r="11" spans="1:53" ht="35.25" customHeight="1" x14ac:dyDescent="0.15">
      <c r="A11" s="2111" t="s">
        <v>531</v>
      </c>
      <c r="B11" s="589" t="s">
        <v>152</v>
      </c>
      <c r="C11" s="688">
        <f>IFERROR(GETPIVOTDATA("合計 / " &amp; $B11,【ピボット】処遇改善加算!$A$3,"年月",C$2,"支払区分",C$4),0)</f>
        <v>273636</v>
      </c>
      <c r="D11" s="688">
        <f>IFERROR(GETPIVOTDATA("合計 / " &amp; $B11,【ピボット】処遇改善加算!$A$3,"年月",D$2,"支払区分",D$4),0)</f>
        <v>182379</v>
      </c>
      <c r="E11" s="688">
        <f>IFERROR(GETPIVOTDATA("合計 / " &amp; $B11,【ピボット】処遇改善加算!$A$3,"年月",E$2,"支払区分",E$4),0)</f>
        <v>138053</v>
      </c>
      <c r="F11" s="688">
        <f>IFERROR(GETPIVOTDATA("合計 / " &amp; $B11,【ピボット】処遇改善加算!$A$3,"年月",F$2,"支払区分",F$4),0)</f>
        <v>236069</v>
      </c>
      <c r="G11" s="688">
        <f>IFERROR(GETPIVOTDATA("合計 / " &amp; $B11,【ピボット】処遇改善加算!$A$3,"年月",G$2,"支払区分",G$4),0)</f>
        <v>0</v>
      </c>
      <c r="H11" s="688">
        <f>IFERROR(GETPIVOTDATA("合計 / " &amp; $B11,【ピボット】処遇改善加算!$A$3,"年月",H$2,"支払区分",H$4),0)</f>
        <v>231689</v>
      </c>
      <c r="I11" s="688">
        <f>IFERROR(GETPIVOTDATA("合計 / " &amp; $B11,【ピボット】処遇改善加算!$A$3,"年月",I$2,"支払区分",I$4),0)</f>
        <v>270640</v>
      </c>
      <c r="J11" s="688">
        <f>IFERROR(GETPIVOTDATA("合計 / " &amp; $B11,【ピボット】処遇改善加算!$A$3,"年月",J$2,"支払区分",J$4),0)</f>
        <v>214774</v>
      </c>
      <c r="K11" s="688">
        <f>IFERROR(GETPIVOTDATA("合計 / " &amp; $B11,【ピボット】処遇改善加算!$A$3,"年月",K$2,"支払区分",K$4),0)</f>
        <v>176462</v>
      </c>
      <c r="L11" s="688">
        <f>IFERROR(GETPIVOTDATA("合計 / " &amp; $B11,【ピボット】処遇改善加算!$A$3,"年月",L$2,"支払区分",L$4),0)</f>
        <v>196736</v>
      </c>
      <c r="M11" s="688">
        <f>IFERROR(GETPIVOTDATA("合計 / " &amp; $B11,【ピボット】処遇改善加算!$A$3,"年月",M$2,"支払区分",M$4),0)</f>
        <v>315869</v>
      </c>
      <c r="N11" s="688">
        <f>IFERROR(GETPIVOTDATA("合計 / " &amp; $B11,【ピボット】処遇改善加算!$A$3,"年月",N$2,"支払区分",N$4),0)</f>
        <v>0</v>
      </c>
      <c r="O11" s="688">
        <f>IFERROR(GETPIVOTDATA("合計 / " &amp; $B11,【ピボット】処遇改善加算!$A$3,"年月",O$2,"支払区分",O$4),0)</f>
        <v>336505</v>
      </c>
      <c r="P11" s="688">
        <f>IFERROR(GETPIVOTDATA("合計 / " &amp; $B11,【ピボット】処遇改善加算!$A$3,"年月",P$2,"支払区分",P$4),0)</f>
        <v>234608</v>
      </c>
      <c r="Q11" s="688">
        <f>IFERROR(GETPIVOTDATA("合計 / " &amp; $B11,【ピボット】処遇改善加算!$A$3,"年月",Q$2,"支払区分",Q$4),0)</f>
        <v>328821</v>
      </c>
      <c r="R11" s="688">
        <f>IFERROR(GETPIVOTDATA("合計 / " &amp; $B11,【ピボット】処遇改善加算!$A$3,"年月",R$2,"支払区分",R$4),0)</f>
        <v>293882</v>
      </c>
      <c r="S11" s="688">
        <f>IFERROR(GETPIVOTDATA("合計 / " &amp; $B11,【ピボット】処遇改善加算!$A$3,"年月",S$2,"支払区分",S$4),0)</f>
        <v>374057</v>
      </c>
      <c r="T11" s="688">
        <f>IFERROR(GETPIVOTDATA("合計 / " &amp; $B11,【ピボット】処遇改善加算!$A$3,"年月",T$2,"支払区分",T$4),0)</f>
        <v>299176</v>
      </c>
      <c r="U11" s="688">
        <f>IFERROR(GETPIVOTDATA("合計 / " &amp; $B11,【ピボット】処遇改善加算!$A$3,"年月",U$2,"支払区分",U$4),0)</f>
        <v>0</v>
      </c>
      <c r="V11" s="688">
        <f>IFERROR(GETPIVOTDATA("合計 / " &amp; $B11,【ピボット】処遇改善加算!$A$3,"年月",V$2,"支払区分",V$4),0)</f>
        <v>390033</v>
      </c>
      <c r="W11" s="688">
        <f>IFERROR(GETPIVOTDATA("合計 / " &amp; $B11,【ピボット】処遇改善加算!$A$3,"年月",W$2,"支払区分",W$4),0)</f>
        <v>276693</v>
      </c>
      <c r="X11" s="688">
        <f>IFERROR(GETPIVOTDATA("合計 / " &amp; $B11,【ピボット】処遇改善加算!$A$3,"年月",X$2,"支払区分",X$4),0)</f>
        <v>265684</v>
      </c>
      <c r="Y11" s="688">
        <f>IFERROR(GETPIVOTDATA("合計 / " &amp; $B11,【ピボット】処遇改善加算!$A$3,"年月",Y$2,"支払区分",Y$4),0)</f>
        <v>317795</v>
      </c>
      <c r="Z11" s="688">
        <f>IFERROR(GETPIVOTDATA("合計 / " &amp; $B11,【ピボット】処遇改善加算!$A$3,"年月",Z$2,"支払区分",Z$4),0)</f>
        <v>235958</v>
      </c>
      <c r="AA11" s="688">
        <f>IFERROR(GETPIVOTDATA("合計 / " &amp; $B11,【ピボット】処遇改善加算!$A$3,"年月",AA$2,"支払区分",AA$4),0)</f>
        <v>404784</v>
      </c>
      <c r="AB11" s="688">
        <f>IFERROR(GETPIVOTDATA("合計 / " &amp; $B11,【ピボット】処遇改善加算!$A$3,"年月",AB$2,"支払区分",AB$4),0)</f>
        <v>0</v>
      </c>
      <c r="AC11" s="688">
        <f>IFERROR(GETPIVOTDATA("合計 / " &amp; $B11,【ピボット】処遇改善加算!$A$3,"年月",AC$2,"支払区分",AC$4),0)</f>
        <v>359908</v>
      </c>
      <c r="AD11" s="1148">
        <f>IFERROR(GETPIVOTDATA("合計 / " &amp; $B11,【ピボット】処遇改善加算!$A$3,"年月",AD$2,"支払区分",AD$4),0)</f>
        <v>315753</v>
      </c>
      <c r="AE11" s="1148">
        <f>IFERROR(GETPIVOTDATA("合計 / " &amp; $B11,【ピボット】処遇改善加算!$A$3,"年月",AE$2,"支払区分",AE$4),0)</f>
        <v>0</v>
      </c>
      <c r="AF11" s="688">
        <f>IFERROR(GETPIVOTDATA("合計 / " &amp; $B11,【ピボット】処遇改善加算!$A$3,"年月",AF$2,"支払区分",AF$4),0)</f>
        <v>280638</v>
      </c>
      <c r="AG11" s="688">
        <f>IFERROR(GETPIVOTDATA("合計 / " &amp; $B11,【ピボット】処遇改善加算!$A$3,"年月",AG$2,"支払区分",AG$4),0)</f>
        <v>281240</v>
      </c>
      <c r="AH11" s="688">
        <f>IFERROR(GETPIVOTDATA("合計 / " &amp; $B11,【ピボット】処遇改善加算!$A$3,"年月",AH$2,"支払区分",AH$4),0)</f>
        <v>314020</v>
      </c>
      <c r="AI11" s="688">
        <f>IFERROR(GETPIVOTDATA("合計 / " &amp; $B11,【ピボット】処遇改善加算!$A$3,"年月",AI$2,"支払区分",AI$4),0)</f>
        <v>385682</v>
      </c>
      <c r="AJ11" s="688">
        <f>IFERROR(GETPIVOTDATA("合計 / " &amp; $B11,【ピボット】処遇改善加算!$A$3,"年月",AJ$2,"支払区分",AJ$4),0)</f>
        <v>0</v>
      </c>
      <c r="AK11" s="688">
        <f>IFERROR(GETPIVOTDATA("合計 / " &amp; $B11,【ピボット】処遇改善加算!$A$3,"年月",AK$2,"支払区分",AK$4),0)</f>
        <v>381961</v>
      </c>
      <c r="AL11" s="688">
        <f>IFERROR(GETPIVOTDATA("合計 / " &amp; $B11,【ピボット】処遇改善加算!$A$3,"年月",AL$2,"支払区分",AL$4),0)</f>
        <v>368355</v>
      </c>
      <c r="AM11" s="688">
        <f>IFERROR(GETPIVOTDATA("合計 / " &amp; $B11,【ピボット】処遇改善加算!$A$3,"年月",AM$2,"支払区分",AM$4),0)</f>
        <v>349156</v>
      </c>
      <c r="AN11" s="688">
        <f>IFERROR(GETPIVOTDATA("合計 / " &amp; $B11,【ピボット】処遇改善加算!$A$3,"年月",AN$2,"支払区分",AN$4),0)</f>
        <v>329127</v>
      </c>
      <c r="AO11" s="688">
        <f>IFERROR(GETPIVOTDATA("合計 / " &amp; $B11,【ピボット】処遇改善加算!$A$3,"年月",AO$2,"支払区分",AO$4),0)</f>
        <v>0</v>
      </c>
      <c r="AP11" s="688">
        <f>IFERROR(GETPIVOTDATA("合計 / " &amp; $B11,【ピボット】処遇改善加算!$A$3,"年月",AP$2,"支払区分",AP$4),0)</f>
        <v>0</v>
      </c>
      <c r="AQ11" s="688">
        <f>IFERROR(GETPIVOTDATA("合計 / " &amp; $B11,【ピボット】処遇改善加算!$A$3,"年月",AQ$2,"支払区分",AQ$4),0)</f>
        <v>0</v>
      </c>
      <c r="AR11" s="688">
        <f>IFERROR(GETPIVOTDATA("合計 / " &amp; $B11,【ピボット】処遇改善加算!$A$3,"年月",AR$2,"支払区分",AR$4),0)</f>
        <v>0</v>
      </c>
      <c r="AS11" s="688">
        <f>IFERROR(GETPIVOTDATA("合計 / " &amp; $B11,【ピボット】処遇改善加算!$A$3,"年月",AS$2,"支払区分",AS$4),0)</f>
        <v>0</v>
      </c>
      <c r="AT11" s="688">
        <f>IFERROR(GETPIVOTDATA("合計 / " &amp; $B11,【ピボット】処遇改善加算!$A$3,"年月",AT$2,"支払区分",AT$4),0)</f>
        <v>0</v>
      </c>
      <c r="AU11" s="688">
        <f>IFERROR(GETPIVOTDATA("合計 / " &amp; $B11,【ピボット】処遇改善加算!$A$3,"年月",AU$2,"支払区分",AU$4),0)</f>
        <v>0</v>
      </c>
      <c r="AV11" s="688">
        <f>IFERROR(GETPIVOTDATA("合計 / " &amp; $B11,【ピボット】処遇改善加算!$A$3,"年月",AV$2,"支払区分",AV$4),0)</f>
        <v>0</v>
      </c>
      <c r="AW11" s="688">
        <f>IFERROR(GETPIVOTDATA("合計 / " &amp; $B11,【ピボット】処遇改善加算!$A$3,"年月",AW$2,"支払区分",AW$4),0)</f>
        <v>0</v>
      </c>
      <c r="AX11" s="688">
        <f>IFERROR(GETPIVOTDATA("合計 / " &amp; $B11,【ピボット】処遇改善加算!$A$3,"年月",AX$2,"支払区分",AX$4),0)</f>
        <v>0</v>
      </c>
      <c r="AY11" s="688">
        <f>IFERROR(GETPIVOTDATA("合計 / " &amp; $B11,【ピボット】処遇改善加算!$A$3,"年月",AY$2,"支払区分",AY$4),0)</f>
        <v>0</v>
      </c>
    </row>
    <row r="12" spans="1:53" ht="35.25" customHeight="1" x14ac:dyDescent="0.15">
      <c r="A12" s="2112"/>
      <c r="B12" s="10" t="s">
        <v>153</v>
      </c>
      <c r="C12" s="689">
        <f>IFERROR(GETPIVOTDATA("合計 / " &amp; $B12,【ピボット】処遇改善加算!$A$3,"年月",C$2,"支払区分",C$4),0)</f>
        <v>134172</v>
      </c>
      <c r="D12" s="689">
        <f>IFERROR(GETPIVOTDATA("合計 / " &amp; $B12,【ピボット】処遇改善加算!$A$3,"年月",D$2,"支払区分",D$4),0)</f>
        <v>106893</v>
      </c>
      <c r="E12" s="689">
        <f>IFERROR(GETPIVOTDATA("合計 / " &amp; $B12,【ピボット】処遇改善加算!$A$3,"年月",E$2,"支払区分",E$4),0)</f>
        <v>98111</v>
      </c>
      <c r="F12" s="689">
        <f>IFERROR(GETPIVOTDATA("合計 / " &amp; $B12,【ピボット】処遇改善加算!$A$3,"年月",F$2,"支払区分",F$4),0)</f>
        <v>128707</v>
      </c>
      <c r="G12" s="689">
        <f>IFERROR(GETPIVOTDATA("合計 / " &amp; $B12,【ピボット】処遇改善加算!$A$3,"年月",G$2,"支払区分",G$4),0)</f>
        <v>30000</v>
      </c>
      <c r="H12" s="689">
        <f>IFERROR(GETPIVOTDATA("合計 / " &amp; $B12,【ピボット】処遇改善加算!$A$3,"年月",H$2,"支払区分",H$4),0)</f>
        <v>119892</v>
      </c>
      <c r="I12" s="689">
        <f>IFERROR(GETPIVOTDATA("合計 / " &amp; $B12,【ピボット】処遇改善加算!$A$3,"年月",I$2,"支払区分",I$4),0)</f>
        <v>136608</v>
      </c>
      <c r="J12" s="689">
        <f>IFERROR(GETPIVOTDATA("合計 / " &amp; $B12,【ピボット】処遇改善加算!$A$3,"年月",J$2,"支払区分",J$4),0)</f>
        <v>106992</v>
      </c>
      <c r="K12" s="689">
        <f>IFERROR(GETPIVOTDATA("合計 / " &amp; $B12,【ピボット】処遇改善加算!$A$3,"年月",K$2,"支払区分",K$4),0)</f>
        <v>90474</v>
      </c>
      <c r="L12" s="689">
        <f>IFERROR(GETPIVOTDATA("合計 / " &amp; $B12,【ピボット】処遇改善加算!$A$3,"年月",L$2,"支払区分",L$4),0)</f>
        <v>92570</v>
      </c>
      <c r="M12" s="689">
        <f>IFERROR(GETPIVOTDATA("合計 / " &amp; $B12,【ピボット】処遇改善加算!$A$3,"年月",M$2,"支払区分",M$4),0)</f>
        <v>137566</v>
      </c>
      <c r="N12" s="689">
        <f>IFERROR(GETPIVOTDATA("合計 / " &amp; $B12,【ピボット】処遇改善加算!$A$3,"年月",N$2,"支払区分",N$4),0)</f>
        <v>0</v>
      </c>
      <c r="O12" s="689">
        <f>IFERROR(GETPIVOTDATA("合計 / " &amp; $B12,【ピボット】処遇改善加算!$A$3,"年月",O$2,"支払区分",O$4),0)</f>
        <v>140644</v>
      </c>
      <c r="P12" s="689">
        <f>IFERROR(GETPIVOTDATA("合計 / " &amp; $B12,【ピボット】処遇改善加算!$A$3,"年月",P$2,"支払区分",P$4),0)</f>
        <v>121688</v>
      </c>
      <c r="Q12" s="689">
        <f>IFERROR(GETPIVOTDATA("合計 / " &amp; $B12,【ピボット】処遇改善加算!$A$3,"年月",Q$2,"支払区分",Q$4),0)</f>
        <v>145231</v>
      </c>
      <c r="R12" s="689">
        <f>IFERROR(GETPIVOTDATA("合計 / " &amp; $B12,【ピボット】処遇改善加算!$A$3,"年月",R$2,"支払区分",R$4),0)</f>
        <v>124469</v>
      </c>
      <c r="S12" s="689">
        <f>IFERROR(GETPIVOTDATA("合計 / " &amp; $B12,【ピボット】処遇改善加算!$A$3,"年月",S$2,"支払区分",S$4),0)</f>
        <v>168389</v>
      </c>
      <c r="T12" s="689">
        <f>IFERROR(GETPIVOTDATA("合計 / " &amp; $B12,【ピボット】処遇改善加算!$A$3,"年月",T$2,"支払区分",T$4),0)</f>
        <v>168404</v>
      </c>
      <c r="U12" s="689">
        <f>IFERROR(GETPIVOTDATA("合計 / " &amp; $B12,【ピボット】処遇改善加算!$A$3,"年月",U$2,"支払区分",U$4),0)</f>
        <v>0</v>
      </c>
      <c r="V12" s="689">
        <f>IFERROR(GETPIVOTDATA("合計 / " &amp; $B12,【ピボット】処遇改善加算!$A$3,"年月",V$2,"支払区分",V$4),0)</f>
        <v>193342</v>
      </c>
      <c r="W12" s="689">
        <f>IFERROR(GETPIVOTDATA("合計 / " &amp; $B12,【ピボット】処遇改善加算!$A$3,"年月",W$2,"支払区分",W$4),0)</f>
        <v>117611</v>
      </c>
      <c r="X12" s="689">
        <f>IFERROR(GETPIVOTDATA("合計 / " &amp; $B12,【ピボット】処遇改善加算!$A$3,"年月",X$2,"支払区分",X$4),0)</f>
        <v>106519</v>
      </c>
      <c r="Y12" s="689">
        <f>IFERROR(GETPIVOTDATA("合計 / " &amp; $B12,【ピボット】処遇改善加算!$A$3,"年月",Y$2,"支払区分",Y$4),0)</f>
        <v>107684</v>
      </c>
      <c r="Z12" s="689">
        <f>IFERROR(GETPIVOTDATA("合計 / " &amp; $B12,【ピボット】処遇改善加算!$A$3,"年月",Z$2,"支払区分",Z$4),0)</f>
        <v>79789</v>
      </c>
      <c r="AA12" s="689">
        <f>IFERROR(GETPIVOTDATA("合計 / " &amp; $B12,【ピボット】処遇改善加算!$A$3,"年月",AA$2,"支払区分",AA$4),0)</f>
        <v>139415</v>
      </c>
      <c r="AB12" s="689">
        <f>IFERROR(GETPIVOTDATA("合計 / " &amp; $B12,【ピボット】処遇改善加算!$A$3,"年月",AB$2,"支払区分",AB$4),0)</f>
        <v>0</v>
      </c>
      <c r="AC12" s="689">
        <f>IFERROR(GETPIVOTDATA("合計 / " &amp; $B12,【ピボット】処遇改善加算!$A$3,"年月",AC$2,"支払区分",AC$4),0)</f>
        <v>132387</v>
      </c>
      <c r="AD12" s="1149">
        <f>IFERROR(GETPIVOTDATA("合計 / " &amp; $B12,【ピボット】処遇改善加算!$A$3,"年月",AD$2,"支払区分",AD$4),0)</f>
        <v>123987</v>
      </c>
      <c r="AE12" s="1149">
        <f>IFERROR(GETPIVOTDATA("合計 / " &amp; $B12,【ピボット】処遇改善加算!$A$3,"年月",AE$2,"支払区分",AE$4),0)</f>
        <v>0</v>
      </c>
      <c r="AF12" s="689">
        <f>IFERROR(GETPIVOTDATA("合計 / " &amp; $B12,【ピボット】処遇改善加算!$A$3,"年月",AF$2,"支払区分",AF$4),0)</f>
        <v>99911</v>
      </c>
      <c r="AG12" s="689">
        <f>IFERROR(GETPIVOTDATA("合計 / " &amp; $B12,【ピボット】処遇改善加算!$A$3,"年月",AG$2,"支払区分",AG$4),0)</f>
        <v>90165</v>
      </c>
      <c r="AH12" s="689">
        <f>IFERROR(GETPIVOTDATA("合計 / " &amp; $B12,【ピボット】処遇改善加算!$A$3,"年月",AH$2,"支払区分",AH$4),0)</f>
        <v>107519</v>
      </c>
      <c r="AI12" s="689">
        <f>IFERROR(GETPIVOTDATA("合計 / " &amp; $B12,【ピボット】処遇改善加算!$A$3,"年月",AI$2,"支払区分",AI$4),0)</f>
        <v>147383</v>
      </c>
      <c r="AJ12" s="689">
        <f>IFERROR(GETPIVOTDATA("合計 / " &amp; $B12,【ピボット】処遇改善加算!$A$3,"年月",AJ$2,"支払区分",AJ$4),0)</f>
        <v>0</v>
      </c>
      <c r="AK12" s="689">
        <f>IFERROR(GETPIVOTDATA("合計 / " &amp; $B12,【ピボット】処遇改善加算!$A$3,"年月",AK$2,"支払区分",AK$4),0)</f>
        <v>154430</v>
      </c>
      <c r="AL12" s="689">
        <f>IFERROR(GETPIVOTDATA("合計 / " &amp; $B12,【ピボット】処遇改善加算!$A$3,"年月",AL$2,"支払区分",AL$4),0)</f>
        <v>142739</v>
      </c>
      <c r="AM12" s="689">
        <f>IFERROR(GETPIVOTDATA("合計 / " &amp; $B12,【ピボット】処遇改善加算!$A$3,"年月",AM$2,"支払区分",AM$4),0)</f>
        <v>124222</v>
      </c>
      <c r="AN12" s="689">
        <f>IFERROR(GETPIVOTDATA("合計 / " &amp; $B12,【ピボット】処遇改善加算!$A$3,"年月",AN$2,"支払区分",AN$4),0)</f>
        <v>121317</v>
      </c>
      <c r="AO12" s="689">
        <f>IFERROR(GETPIVOTDATA("合計 / " &amp; $B12,【ピボット】処遇改善加算!$A$3,"年月",AO$2,"支払区分",AO$4),0)</f>
        <v>0</v>
      </c>
      <c r="AP12" s="689">
        <f>IFERROR(GETPIVOTDATA("合計 / " &amp; $B12,【ピボット】処遇改善加算!$A$3,"年月",AP$2,"支払区分",AP$4),0)</f>
        <v>0</v>
      </c>
      <c r="AQ12" s="689">
        <f>IFERROR(GETPIVOTDATA("合計 / " &amp; $B12,【ピボット】処遇改善加算!$A$3,"年月",AQ$2,"支払区分",AQ$4),0)</f>
        <v>0</v>
      </c>
      <c r="AR12" s="689">
        <f>IFERROR(GETPIVOTDATA("合計 / " &amp; $B12,【ピボット】処遇改善加算!$A$3,"年月",AR$2,"支払区分",AR$4),0)</f>
        <v>0</v>
      </c>
      <c r="AS12" s="689">
        <f>IFERROR(GETPIVOTDATA("合計 / " &amp; $B12,【ピボット】処遇改善加算!$A$3,"年月",AS$2,"支払区分",AS$4),0)</f>
        <v>0</v>
      </c>
      <c r="AT12" s="689">
        <f>IFERROR(GETPIVOTDATA("合計 / " &amp; $B12,【ピボット】処遇改善加算!$A$3,"年月",AT$2,"支払区分",AT$4),0)</f>
        <v>0</v>
      </c>
      <c r="AU12" s="689">
        <f>IFERROR(GETPIVOTDATA("合計 / " &amp; $B12,【ピボット】処遇改善加算!$A$3,"年月",AU$2,"支払区分",AU$4),0)</f>
        <v>0</v>
      </c>
      <c r="AV12" s="689">
        <f>IFERROR(GETPIVOTDATA("合計 / " &amp; $B12,【ピボット】処遇改善加算!$A$3,"年月",AV$2,"支払区分",AV$4),0)</f>
        <v>0</v>
      </c>
      <c r="AW12" s="689">
        <f>IFERROR(GETPIVOTDATA("合計 / " &amp; $B12,【ピボット】処遇改善加算!$A$3,"年月",AW$2,"支払区分",AW$4),0)</f>
        <v>0</v>
      </c>
      <c r="AX12" s="689">
        <f>IFERROR(GETPIVOTDATA("合計 / " &amp; $B12,【ピボット】処遇改善加算!$A$3,"年月",AX$2,"支払区分",AX$4),0)</f>
        <v>0</v>
      </c>
      <c r="AY12" s="689">
        <f>IFERROR(GETPIVOTDATA("合計 / " &amp; $B12,【ピボット】処遇改善加算!$A$3,"年月",AY$2,"支払区分",AY$4),0)</f>
        <v>0</v>
      </c>
      <c r="BA12" t="s">
        <v>291</v>
      </c>
    </row>
    <row r="13" spans="1:53" ht="35.25" hidden="1" customHeight="1" x14ac:dyDescent="0.15">
      <c r="A13" s="2112"/>
      <c r="B13" s="10" t="s">
        <v>154</v>
      </c>
      <c r="C13" s="689">
        <f>IFERROR(GETPIVOTDATA("合計 / " &amp; $B13,【ピボット】処遇改善加算!$A$3,"年月",C$2,"支払区分",C$4),0)</f>
        <v>0</v>
      </c>
      <c r="D13" s="689">
        <f>IFERROR(GETPIVOTDATA("合計 / " &amp; $B13,【ピボット】処遇改善加算!$A$3,"年月",D$2,"支払区分",D$4),0)</f>
        <v>0</v>
      </c>
      <c r="E13" s="689">
        <f>IFERROR(GETPIVOTDATA("合計 / " &amp; $B13,【ピボット】処遇改善加算!$A$3,"年月",E$2,"支払区分",E$4),0)</f>
        <v>0</v>
      </c>
      <c r="F13" s="689">
        <f>IFERROR(GETPIVOTDATA("合計 / " &amp; $B13,【ピボット】処遇改善加算!$A$3,"年月",F$2,"支払区分",F$4),0)</f>
        <v>0</v>
      </c>
      <c r="G13" s="689">
        <f>IFERROR(GETPIVOTDATA("合計 / " &amp; $B13,【ピボット】処遇改善加算!$A$3,"年月",G$2,"支払区分",G$4),0)</f>
        <v>0</v>
      </c>
      <c r="H13" s="689">
        <f>IFERROR(GETPIVOTDATA("合計 / " &amp; $B13,【ピボット】処遇改善加算!$A$3,"年月",H$2,"支払区分",H$4),0)</f>
        <v>0</v>
      </c>
      <c r="I13" s="689">
        <f>IFERROR(GETPIVOTDATA("合計 / " &amp; $B13,【ピボット】処遇改善加算!$A$3,"年月",I$2,"支払区分",I$4),0)</f>
        <v>0</v>
      </c>
      <c r="J13" s="689">
        <f>IFERROR(GETPIVOTDATA("合計 / " &amp; $B13,【ピボット】処遇改善加算!$A$3,"年月",J$2,"支払区分",J$4),0)</f>
        <v>0</v>
      </c>
      <c r="K13" s="689">
        <f>IFERROR(GETPIVOTDATA("合計 / " &amp; $B13,【ピボット】処遇改善加算!$A$3,"年月",K$2,"支払区分",K$4),0)</f>
        <v>0</v>
      </c>
      <c r="L13" s="689">
        <f>IFERROR(GETPIVOTDATA("合計 / " &amp; $B13,【ピボット】処遇改善加算!$A$3,"年月",L$2,"支払区分",L$4),0)</f>
        <v>0</v>
      </c>
      <c r="M13" s="689">
        <f>IFERROR(GETPIVOTDATA("合計 / " &amp; $B13,【ピボット】処遇改善加算!$A$3,"年月",M$2,"支払区分",M$4),0)</f>
        <v>0</v>
      </c>
      <c r="N13" s="689">
        <f>IFERROR(GETPIVOTDATA("合計 / " &amp; $B13,【ピボット】処遇改善加算!$A$3,"年月",N$2,"支払区分",N$4),0)</f>
        <v>0</v>
      </c>
      <c r="O13" s="689">
        <f>IFERROR(GETPIVOTDATA("合計 / " &amp; $B13,【ピボット】処遇改善加算!$A$3,"年月",O$2,"支払区分",O$4),0)</f>
        <v>0</v>
      </c>
      <c r="P13" s="689">
        <f>IFERROR(GETPIVOTDATA("合計 / " &amp; $B13,【ピボット】処遇改善加算!$A$3,"年月",P$2,"支払区分",P$4),0)</f>
        <v>0</v>
      </c>
      <c r="Q13" s="689">
        <f>IFERROR(GETPIVOTDATA("合計 / " &amp; $B13,【ピボット】処遇改善加算!$A$3,"年月",Q$2,"支払区分",Q$4),0)</f>
        <v>0</v>
      </c>
      <c r="R13" s="689">
        <f>IFERROR(GETPIVOTDATA("合計 / " &amp; $B13,【ピボット】処遇改善加算!$A$3,"年月",R$2,"支払区分",R$4),0)</f>
        <v>0</v>
      </c>
      <c r="S13" s="689">
        <f>IFERROR(GETPIVOTDATA("合計 / " &amp; $B13,【ピボット】処遇改善加算!$A$3,"年月",S$2,"支払区分",S$4),0)</f>
        <v>0</v>
      </c>
      <c r="T13" s="689">
        <f>IFERROR(GETPIVOTDATA("合計 / " &amp; $B13,【ピボット】処遇改善加算!$A$3,"年月",T$2,"支払区分",T$4),0)</f>
        <v>0</v>
      </c>
      <c r="U13" s="689">
        <f>IFERROR(GETPIVOTDATA("合計 / " &amp; $B13,【ピボット】処遇改善加算!$A$3,"年月",U$2,"支払区分",U$4),0)</f>
        <v>0</v>
      </c>
      <c r="V13" s="689">
        <f>IFERROR(GETPIVOTDATA("合計 / " &amp; $B13,【ピボット】処遇改善加算!$A$3,"年月",V$2,"支払区分",V$4),0)</f>
        <v>0</v>
      </c>
      <c r="W13" s="689">
        <f>IFERROR(GETPIVOTDATA("合計 / " &amp; $B13,【ピボット】処遇改善加算!$A$3,"年月",W$2,"支払区分",W$4),0)</f>
        <v>0</v>
      </c>
      <c r="X13" s="689">
        <f>IFERROR(GETPIVOTDATA("合計 / " &amp; $B13,【ピボット】処遇改善加算!$A$3,"年月",X$2,"支払区分",X$4),0)</f>
        <v>0</v>
      </c>
      <c r="Y13" s="689">
        <f>IFERROR(GETPIVOTDATA("合計 / " &amp; $B13,【ピボット】処遇改善加算!$A$3,"年月",Y$2,"支払区分",Y$4),0)</f>
        <v>0</v>
      </c>
      <c r="Z13" s="689">
        <f>IFERROR(GETPIVOTDATA("合計 / " &amp; $B13,【ピボット】処遇改善加算!$A$3,"年月",Z$2,"支払区分",Z$4),0)</f>
        <v>0</v>
      </c>
      <c r="AA13" s="689">
        <f>IFERROR(GETPIVOTDATA("合計 / " &amp; $B13,【ピボット】処遇改善加算!$A$3,"年月",AA$2,"支払区分",AA$4),0)</f>
        <v>0</v>
      </c>
      <c r="AB13" s="689">
        <f>IFERROR(GETPIVOTDATA("合計 / " &amp; $B13,【ピボット】処遇改善加算!$A$3,"年月",AB$2,"支払区分",AB$4),0)</f>
        <v>0</v>
      </c>
      <c r="AC13" s="689">
        <f>IFERROR(GETPIVOTDATA("合計 / " &amp; $B13,【ピボット】処遇改善加算!$A$3,"年月",AC$2,"支払区分",AC$4),0)</f>
        <v>0</v>
      </c>
      <c r="AD13" s="1149">
        <f>IFERROR(GETPIVOTDATA("合計 / " &amp; $B13,【ピボット】処遇改善加算!$A$3,"年月",AD$2,"支払区分",AD$4),0)</f>
        <v>0</v>
      </c>
      <c r="AE13" s="1149">
        <f>IFERROR(GETPIVOTDATA("合計 / " &amp; $B13,【ピボット】処遇改善加算!$A$3,"年月",AE$2,"支払区分",AE$4),0)</f>
        <v>0</v>
      </c>
      <c r="AF13" s="689">
        <f>IFERROR(GETPIVOTDATA("合計 / " &amp; $B13,【ピボット】処遇改善加算!$A$3,"年月",AF$2,"支払区分",AF$4),0)</f>
        <v>0</v>
      </c>
      <c r="AG13" s="689">
        <f>IFERROR(GETPIVOTDATA("合計 / " &amp; $B13,【ピボット】処遇改善加算!$A$3,"年月",AG$2,"支払区分",AG$4),0)</f>
        <v>0</v>
      </c>
      <c r="AH13" s="689">
        <f>IFERROR(GETPIVOTDATA("合計 / " &amp; $B13,【ピボット】処遇改善加算!$A$3,"年月",AH$2,"支払区分",AH$4),0)</f>
        <v>0</v>
      </c>
      <c r="AI13" s="689">
        <f>IFERROR(GETPIVOTDATA("合計 / " &amp; $B13,【ピボット】処遇改善加算!$A$3,"年月",AI$2,"支払区分",AI$4),0)</f>
        <v>0</v>
      </c>
      <c r="AJ13" s="689">
        <f>IFERROR(GETPIVOTDATA("合計 / " &amp; $B13,【ピボット】処遇改善加算!$A$3,"年月",AJ$2,"支払区分",AJ$4),0)</f>
        <v>0</v>
      </c>
      <c r="AK13" s="689">
        <f>IFERROR(GETPIVOTDATA("合計 / " &amp; $B13,【ピボット】処遇改善加算!$A$3,"年月",AK$2,"支払区分",AK$4),0)</f>
        <v>0</v>
      </c>
      <c r="AL13" s="689">
        <f>IFERROR(GETPIVOTDATA("合計 / " &amp; $B13,【ピボット】処遇改善加算!$A$3,"年月",AL$2,"支払区分",AL$4),0)</f>
        <v>0</v>
      </c>
      <c r="AM13" s="689">
        <f>IFERROR(GETPIVOTDATA("合計 / " &amp; $B13,【ピボット】処遇改善加算!$A$3,"年月",AM$2,"支払区分",AM$4),0)</f>
        <v>0</v>
      </c>
      <c r="AN13" s="689">
        <f>IFERROR(GETPIVOTDATA("合計 / " &amp; $B13,【ピボット】処遇改善加算!$A$3,"年月",AN$2,"支払区分",AN$4),0)</f>
        <v>0</v>
      </c>
      <c r="AO13" s="689">
        <f>IFERROR(GETPIVOTDATA("合計 / " &amp; $B13,【ピボット】処遇改善加算!$A$3,"年月",AO$2,"支払区分",AO$4),0)</f>
        <v>0</v>
      </c>
      <c r="AP13" s="689">
        <f>IFERROR(GETPIVOTDATA("合計 / " &amp; $B13,【ピボット】処遇改善加算!$A$3,"年月",AP$2,"支払区分",AP$4),0)</f>
        <v>0</v>
      </c>
      <c r="AQ13" s="689">
        <f>IFERROR(GETPIVOTDATA("合計 / " &amp; $B13,【ピボット】処遇改善加算!$A$3,"年月",AQ$2,"支払区分",AQ$4),0)</f>
        <v>0</v>
      </c>
      <c r="AR13" s="689">
        <f>IFERROR(GETPIVOTDATA("合計 / " &amp; $B13,【ピボット】処遇改善加算!$A$3,"年月",AR$2,"支払区分",AR$4),0)</f>
        <v>0</v>
      </c>
      <c r="AS13" s="689">
        <f>IFERROR(GETPIVOTDATA("合計 / " &amp; $B13,【ピボット】処遇改善加算!$A$3,"年月",AS$2,"支払区分",AS$4),0)</f>
        <v>0</v>
      </c>
      <c r="AT13" s="689">
        <f>IFERROR(GETPIVOTDATA("合計 / " &amp; $B13,【ピボット】処遇改善加算!$A$3,"年月",AT$2,"支払区分",AT$4),0)</f>
        <v>0</v>
      </c>
      <c r="AU13" s="689">
        <f>IFERROR(GETPIVOTDATA("合計 / " &amp; $B13,【ピボット】処遇改善加算!$A$3,"年月",AU$2,"支払区分",AU$4),0)</f>
        <v>0</v>
      </c>
      <c r="AV13" s="689">
        <f>IFERROR(GETPIVOTDATA("合計 / " &amp; $B13,【ピボット】処遇改善加算!$A$3,"年月",AV$2,"支払区分",AV$4),0)</f>
        <v>0</v>
      </c>
      <c r="AW13" s="689">
        <f>IFERROR(GETPIVOTDATA("合計 / " &amp; $B13,【ピボット】処遇改善加算!$A$3,"年月",AW$2,"支払区分",AW$4),0)</f>
        <v>0</v>
      </c>
      <c r="AX13" s="689">
        <f>IFERROR(GETPIVOTDATA("合計 / " &amp; $B13,【ピボット】処遇改善加算!$A$3,"年月",AX$2,"支払区分",AX$4),0)</f>
        <v>0</v>
      </c>
      <c r="AY13" s="689">
        <f>IFERROR(GETPIVOTDATA("合計 / " &amp; $B13,【ピボット】処遇改善加算!$A$3,"年月",AY$2,"支払区分",AY$4),0)</f>
        <v>0</v>
      </c>
    </row>
    <row r="14" spans="1:53" ht="35.25" customHeight="1" x14ac:dyDescent="0.15">
      <c r="A14" s="2112"/>
      <c r="B14" s="10" t="s">
        <v>155</v>
      </c>
      <c r="C14" s="689">
        <f>IFERROR(GETPIVOTDATA("合計 / " &amp; $B14,【ピボット】処遇改善加算!$A$3,"年月",C$2,"支払区分",C$4),0)</f>
        <v>80119</v>
      </c>
      <c r="D14" s="689">
        <f>IFERROR(GETPIVOTDATA("合計 / " &amp; $B14,【ピボット】処遇改善加算!$A$3,"年月",D$2,"支払区分",D$4),0)</f>
        <v>57584</v>
      </c>
      <c r="E14" s="689">
        <f>IFERROR(GETPIVOTDATA("合計 / " &amp; $B14,【ピボット】処遇改善加算!$A$3,"年月",E$2,"支払区分",E$4),0)</f>
        <v>40196</v>
      </c>
      <c r="F14" s="689">
        <f>IFERROR(GETPIVOTDATA("合計 / " &amp; $B14,【ピボット】処遇改善加算!$A$3,"年月",F$2,"支払区分",F$4),0)</f>
        <v>79144</v>
      </c>
      <c r="G14" s="689">
        <f>IFERROR(GETPIVOTDATA("合計 / " &amp; $B14,【ピボット】処遇改善加算!$A$3,"年月",G$2,"支払区分",G$4),0)</f>
        <v>30000</v>
      </c>
      <c r="H14" s="689">
        <f>IFERROR(GETPIVOTDATA("合計 / " &amp; $B14,【ピボット】処遇改善加算!$A$3,"年月",H$2,"支払区分",H$4),0)</f>
        <v>82618</v>
      </c>
      <c r="I14" s="689">
        <f>IFERROR(GETPIVOTDATA("合計 / " &amp; $B14,【ピボット】処遇改善加算!$A$3,"年月",I$2,"支払区分",I$4),0)</f>
        <v>100480</v>
      </c>
      <c r="J14" s="689">
        <f>IFERROR(GETPIVOTDATA("合計 / " &amp; $B14,【ピボット】処遇改善加算!$A$3,"年月",J$2,"支払区分",J$4),0)</f>
        <v>92676</v>
      </c>
      <c r="K14" s="689">
        <f>IFERROR(GETPIVOTDATA("合計 / " &amp; $B14,【ピボット】処遇改善加算!$A$3,"年月",K$2,"支払区分",K$4),0)</f>
        <v>75660</v>
      </c>
      <c r="L14" s="689">
        <f>IFERROR(GETPIVOTDATA("合計 / " &amp; $B14,【ピボット】処遇改善加算!$A$3,"年月",L$2,"支払区分",L$4),0)</f>
        <v>86508</v>
      </c>
      <c r="M14" s="689">
        <f>IFERROR(GETPIVOTDATA("合計 / " &amp; $B14,【ピボット】処遇改善加算!$A$3,"年月",M$2,"支払区分",M$4),0)</f>
        <v>146266</v>
      </c>
      <c r="N14" s="689">
        <f>IFERROR(GETPIVOTDATA("合計 / " &amp; $B14,【ピボット】処遇改善加算!$A$3,"年月",N$2,"支払区分",N$4),0)</f>
        <v>0</v>
      </c>
      <c r="O14" s="689">
        <f>IFERROR(GETPIVOTDATA("合計 / " &amp; $B14,【ピボット】処遇改善加算!$A$3,"年月",O$2,"支払区分",O$4),0)</f>
        <v>156959</v>
      </c>
      <c r="P14" s="689">
        <f>IFERROR(GETPIVOTDATA("合計 / " &amp; $B14,【ピボット】処遇改善加算!$A$3,"年月",P$2,"支払区分",P$4),0)</f>
        <v>129481</v>
      </c>
      <c r="Q14" s="689">
        <f>IFERROR(GETPIVOTDATA("合計 / " &amp; $B14,【ピボット】処遇改善加算!$A$3,"年月",Q$2,"支払区分",Q$4),0)</f>
        <v>93772</v>
      </c>
      <c r="R14" s="689">
        <f>IFERROR(GETPIVOTDATA("合計 / " &amp; $B14,【ピボット】処遇改善加算!$A$3,"年月",R$2,"支払区分",R$4),0)</f>
        <v>222652</v>
      </c>
      <c r="S14" s="689">
        <f>IFERROR(GETPIVOTDATA("合計 / " &amp; $B14,【ピボット】処遇改善加算!$A$3,"年月",S$2,"支払区分",S$4),0)</f>
        <v>196915</v>
      </c>
      <c r="T14" s="689">
        <f>IFERROR(GETPIVOTDATA("合計 / " &amp; $B14,【ピボット】処遇改善加算!$A$3,"年月",T$2,"支払区分",T$4),0)</f>
        <v>173893</v>
      </c>
      <c r="U14" s="689">
        <f>IFERROR(GETPIVOTDATA("合計 / " &amp; $B14,【ピボット】処遇改善加算!$A$3,"年月",U$2,"支払区分",U$4),0)</f>
        <v>0</v>
      </c>
      <c r="V14" s="689">
        <f>IFERROR(GETPIVOTDATA("合計 / " &amp; $B14,【ピボット】処遇改善加算!$A$3,"年月",V$2,"支払区分",V$4),0)</f>
        <v>219838</v>
      </c>
      <c r="W14" s="689">
        <f>IFERROR(GETPIVOTDATA("合計 / " &amp; $B14,【ピボット】処遇改善加算!$A$3,"年月",W$2,"支払区分",W$4),0)</f>
        <v>163885</v>
      </c>
      <c r="X14" s="689">
        <f>IFERROR(GETPIVOTDATA("合計 / " &amp; $B14,【ピボット】処遇改善加算!$A$3,"年月",X$2,"支払区分",X$4),0)</f>
        <v>129953</v>
      </c>
      <c r="Y14" s="689">
        <f>IFERROR(GETPIVOTDATA("合計 / " &amp; $B14,【ピボット】処遇改善加算!$A$3,"年月",Y$2,"支払区分",Y$4),0)</f>
        <v>158509</v>
      </c>
      <c r="Z14" s="689">
        <f>IFERROR(GETPIVOTDATA("合計 / " &amp; $B14,【ピボット】処遇改善加算!$A$3,"年月",Z$2,"支払区分",Z$4),0)</f>
        <v>119876</v>
      </c>
      <c r="AA14" s="689">
        <f>IFERROR(GETPIVOTDATA("合計 / " &amp; $B14,【ピボット】処遇改善加算!$A$3,"年月",AA$2,"支払区分",AA$4),0)</f>
        <v>214356</v>
      </c>
      <c r="AB14" s="689">
        <f>IFERROR(GETPIVOTDATA("合計 / " &amp; $B14,【ピボット】処遇改善加算!$A$3,"年月",AB$2,"支払区分",AB$4),0)</f>
        <v>0</v>
      </c>
      <c r="AC14" s="689">
        <f>IFERROR(GETPIVOTDATA("合計 / " &amp; $B14,【ピボット】処遇改善加算!$A$3,"年月",AC$2,"支払区分",AC$4),0)</f>
        <v>188332</v>
      </c>
      <c r="AD14" s="1149">
        <f>IFERROR(GETPIVOTDATA("合計 / " &amp; $B14,【ピボット】処遇改善加算!$A$3,"年月",AD$2,"支払区分",AD$4),0)</f>
        <v>219700</v>
      </c>
      <c r="AE14" s="1149">
        <f>IFERROR(GETPIVOTDATA("合計 / " &amp; $B14,【ピボット】処遇改善加算!$A$3,"年月",AE$2,"支払区分",AE$4),0)</f>
        <v>0</v>
      </c>
      <c r="AF14" s="689">
        <f>IFERROR(GETPIVOTDATA("合計 / " &amp; $B14,【ピボット】処遇改善加算!$A$3,"年月",AF$2,"支払区分",AF$4),0)</f>
        <v>191141</v>
      </c>
      <c r="AG14" s="689">
        <f>IFERROR(GETPIVOTDATA("合計 / " &amp; $B14,【ピボット】処遇改善加算!$A$3,"年月",AG$2,"支払区分",AG$4),0)</f>
        <v>177266</v>
      </c>
      <c r="AH14" s="689">
        <f>IFERROR(GETPIVOTDATA("合計 / " &amp; $B14,【ピボット】処遇改善加算!$A$3,"年月",AH$2,"支払区分",AH$4),0)</f>
        <v>182795</v>
      </c>
      <c r="AI14" s="689">
        <f>IFERROR(GETPIVOTDATA("合計 / " &amp; $B14,【ピボット】処遇改善加算!$A$3,"年月",AI$2,"支払区分",AI$4),0)</f>
        <v>197283</v>
      </c>
      <c r="AJ14" s="689">
        <f>IFERROR(GETPIVOTDATA("合計 / " &amp; $B14,【ピボット】処遇改善加算!$A$3,"年月",AJ$2,"支払区分",AJ$4),0)</f>
        <v>0</v>
      </c>
      <c r="AK14" s="689">
        <f>IFERROR(GETPIVOTDATA("合計 / " &amp; $B14,【ピボット】処遇改善加算!$A$3,"年月",AK$2,"支払区分",AK$4),0)</f>
        <v>202195</v>
      </c>
      <c r="AL14" s="689">
        <f>IFERROR(GETPIVOTDATA("合計 / " &amp; $B14,【ピボット】処遇改善加算!$A$3,"年月",AL$2,"支払区分",AL$4),0)</f>
        <v>159634</v>
      </c>
      <c r="AM14" s="689">
        <f>IFERROR(GETPIVOTDATA("合計 / " &amp; $B14,【ピボット】処遇改善加算!$A$3,"年月",AM$2,"支払区分",AM$4),0)</f>
        <v>157936</v>
      </c>
      <c r="AN14" s="689">
        <f>IFERROR(GETPIVOTDATA("合計 / " &amp; $B14,【ピボット】処遇改善加算!$A$3,"年月",AN$2,"支払区分",AN$4),0)</f>
        <v>154975</v>
      </c>
      <c r="AO14" s="689">
        <f>IFERROR(GETPIVOTDATA("合計 / " &amp; $B14,【ピボット】処遇改善加算!$A$3,"年月",AO$2,"支払区分",AO$4),0)</f>
        <v>0</v>
      </c>
      <c r="AP14" s="689">
        <f>IFERROR(GETPIVOTDATA("合計 / " &amp; $B14,【ピボット】処遇改善加算!$A$3,"年月",AP$2,"支払区分",AP$4),0)</f>
        <v>0</v>
      </c>
      <c r="AQ14" s="689">
        <f>IFERROR(GETPIVOTDATA("合計 / " &amp; $B14,【ピボット】処遇改善加算!$A$3,"年月",AQ$2,"支払区分",AQ$4),0)</f>
        <v>0</v>
      </c>
      <c r="AR14" s="689">
        <f>IFERROR(GETPIVOTDATA("合計 / " &amp; $B14,【ピボット】処遇改善加算!$A$3,"年月",AR$2,"支払区分",AR$4),0)</f>
        <v>0</v>
      </c>
      <c r="AS14" s="689">
        <f>IFERROR(GETPIVOTDATA("合計 / " &amp; $B14,【ピボット】処遇改善加算!$A$3,"年月",AS$2,"支払区分",AS$4),0)</f>
        <v>0</v>
      </c>
      <c r="AT14" s="689">
        <f>IFERROR(GETPIVOTDATA("合計 / " &amp; $B14,【ピボット】処遇改善加算!$A$3,"年月",AT$2,"支払区分",AT$4),0)</f>
        <v>0</v>
      </c>
      <c r="AU14" s="689">
        <f>IFERROR(GETPIVOTDATA("合計 / " &amp; $B14,【ピボット】処遇改善加算!$A$3,"年月",AU$2,"支払区分",AU$4),0)</f>
        <v>0</v>
      </c>
      <c r="AV14" s="689">
        <f>IFERROR(GETPIVOTDATA("合計 / " &amp; $B14,【ピボット】処遇改善加算!$A$3,"年月",AV$2,"支払区分",AV$4),0)</f>
        <v>0</v>
      </c>
      <c r="AW14" s="689">
        <f>IFERROR(GETPIVOTDATA("合計 / " &amp; $B14,【ピボット】処遇改善加算!$A$3,"年月",AW$2,"支払区分",AW$4),0)</f>
        <v>0</v>
      </c>
      <c r="AX14" s="689">
        <f>IFERROR(GETPIVOTDATA("合計 / " &amp; $B14,【ピボット】処遇改善加算!$A$3,"年月",AX$2,"支払区分",AX$4),0)</f>
        <v>0</v>
      </c>
      <c r="AY14" s="689">
        <f>IFERROR(GETPIVOTDATA("合計 / " &amp; $B14,【ピボット】処遇改善加算!$A$3,"年月",AY$2,"支払区分",AY$4),0)</f>
        <v>0</v>
      </c>
    </row>
    <row r="15" spans="1:53" ht="35.25" customHeight="1" x14ac:dyDescent="0.15">
      <c r="A15" s="2112"/>
      <c r="B15" s="10" t="s">
        <v>980</v>
      </c>
      <c r="C15" s="689">
        <f>IFERROR(GETPIVOTDATA("合計 / " &amp; $B15,【ピボット】処遇改善加算!$A$3,"年月",C$2,"支払区分",C$4),0)</f>
        <v>0</v>
      </c>
      <c r="D15" s="689">
        <f>IFERROR(GETPIVOTDATA("合計 / " &amp; $B15,【ピボット】処遇改善加算!$A$3,"年月",D$2,"支払区分",D$4),0)</f>
        <v>0</v>
      </c>
      <c r="E15" s="689">
        <f>IFERROR(GETPIVOTDATA("合計 / " &amp; $B15,【ピボット】処遇改善加算!$A$3,"年月",E$2,"支払区分",E$4),0)</f>
        <v>0</v>
      </c>
      <c r="F15" s="689">
        <f>IFERROR(GETPIVOTDATA("合計 / " &amp; $B15,【ピボット】処遇改善加算!$A$3,"年月",F$2,"支払区分",F$4),0)</f>
        <v>0</v>
      </c>
      <c r="G15" s="689">
        <f>IFERROR(GETPIVOTDATA("合計 / " &amp; $B15,【ピボット】処遇改善加算!$A$3,"年月",G$2,"支払区分",G$4),0)</f>
        <v>0</v>
      </c>
      <c r="H15" s="689">
        <f>IFERROR(GETPIVOTDATA("合計 / " &amp; $B15,【ピボット】処遇改善加算!$A$3,"年月",H$2,"支払区分",H$4),0)</f>
        <v>0</v>
      </c>
      <c r="I15" s="689">
        <f>IFERROR(GETPIVOTDATA("合計 / " &amp; $B15,【ピボット】処遇改善加算!$A$3,"年月",I$2,"支払区分",I$4),0)</f>
        <v>0</v>
      </c>
      <c r="J15" s="689">
        <f>IFERROR(GETPIVOTDATA("合計 / " &amp; $B15,【ピボット】処遇改善加算!$A$3,"年月",J$2,"支払区分",J$4),0)</f>
        <v>0</v>
      </c>
      <c r="K15" s="689">
        <f>IFERROR(GETPIVOTDATA("合計 / " &amp; $B15,【ピボット】処遇改善加算!$A$3,"年月",K$2,"支払区分",K$4),0)</f>
        <v>0</v>
      </c>
      <c r="L15" s="689">
        <f>IFERROR(GETPIVOTDATA("合計 / " &amp; $B15,【ピボット】処遇改善加算!$A$3,"年月",L$2,"支払区分",L$4),0)</f>
        <v>0</v>
      </c>
      <c r="M15" s="689">
        <f>IFERROR(GETPIVOTDATA("合計 / " &amp; $B15,【ピボット】処遇改善加算!$A$3,"年月",M$2,"支払区分",M$4),0)</f>
        <v>0</v>
      </c>
      <c r="N15" s="689">
        <f>IFERROR(GETPIVOTDATA("合計 / " &amp; $B15,【ピボット】処遇改善加算!$A$3,"年月",N$2,"支払区分",N$4),0)</f>
        <v>0</v>
      </c>
      <c r="O15" s="689">
        <f>IFERROR(GETPIVOTDATA("合計 / " &amp; $B15,【ピボット】処遇改善加算!$A$3,"年月",O$2,"支払区分",O$4),0)</f>
        <v>0</v>
      </c>
      <c r="P15" s="689">
        <f>IFERROR(GETPIVOTDATA("合計 / " &amp; $B15,【ピボット】処遇改善加算!$A$3,"年月",P$2,"支払区分",P$4),0)</f>
        <v>0</v>
      </c>
      <c r="Q15" s="689">
        <f>IFERROR(GETPIVOTDATA("合計 / " &amp; $B15,【ピボット】処遇改善加算!$A$3,"年月",Q$2,"支払区分",Q$4),0)</f>
        <v>0</v>
      </c>
      <c r="R15" s="689">
        <f>IFERROR(GETPIVOTDATA("合計 / " &amp; $B15,【ピボット】処遇改善加算!$A$3,"年月",R$2,"支払区分",R$4),0)</f>
        <v>0</v>
      </c>
      <c r="S15" s="689">
        <f>IFERROR(GETPIVOTDATA("合計 / " &amp; $B15,【ピボット】処遇改善加算!$A$3,"年月",S$2,"支払区分",S$4),0)</f>
        <v>0</v>
      </c>
      <c r="T15" s="689">
        <f>IFERROR(GETPIVOTDATA("合計 / " &amp; $B15,【ピボット】処遇改善加算!$A$3,"年月",T$2,"支払区分",T$4),0)</f>
        <v>0</v>
      </c>
      <c r="U15" s="689">
        <f>IFERROR(GETPIVOTDATA("合計 / " &amp; $B15,【ピボット】処遇改善加算!$A$3,"年月",U$2,"支払区分",U$4),0)</f>
        <v>0</v>
      </c>
      <c r="V15" s="689">
        <f>IFERROR(GETPIVOTDATA("合計 / " &amp; $B15,【ピボット】処遇改善加算!$A$3,"年月",V$2,"支払区分",V$4),0)</f>
        <v>0</v>
      </c>
      <c r="W15" s="689">
        <f>IFERROR(GETPIVOTDATA("合計 / " &amp; $B15,【ピボット】処遇改善加算!$A$3,"年月",W$2,"支払区分",W$4),0)</f>
        <v>0</v>
      </c>
      <c r="X15" s="689">
        <f>IFERROR(GETPIVOTDATA("合計 / " &amp; $B15,【ピボット】処遇改善加算!$A$3,"年月",X$2,"支払区分",X$4),0)</f>
        <v>0</v>
      </c>
      <c r="Y15" s="689">
        <f>IFERROR(GETPIVOTDATA("合計 / " &amp; $B15,【ピボット】処遇改善加算!$A$3,"年月",Y$2,"支払区分",Y$4),0)</f>
        <v>0</v>
      </c>
      <c r="Z15" s="689">
        <f>IFERROR(GETPIVOTDATA("合計 / " &amp; $B15,【ピボット】処遇改善加算!$A$3,"年月",Z$2,"支払区分",Z$4),0)</f>
        <v>0</v>
      </c>
      <c r="AA15" s="689">
        <f>IFERROR(GETPIVOTDATA("合計 / " &amp; $B15,【ピボット】処遇改善加算!$A$3,"年月",AA$2,"支払区分",AA$4),0)</f>
        <v>0</v>
      </c>
      <c r="AB15" s="689">
        <f>IFERROR(GETPIVOTDATA("合計 / " &amp; $B15,【ピボット】処遇改善加算!$A$3,"年月",AB$2,"支払区分",AB$4),0)</f>
        <v>0</v>
      </c>
      <c r="AC15" s="689">
        <f>IFERROR(GETPIVOTDATA("合計 / " &amp; $B15,【ピボット】処遇改善加算!$A$3,"年月",AC$2,"支払区分",AC$4),0)</f>
        <v>0</v>
      </c>
      <c r="AD15" s="1149">
        <f>IFERROR(GETPIVOTDATA("合計 / " &amp; $B15,【ピボット】処遇改善加算!$A$3,"年月",AD$2,"支払区分",AD$4),0)</f>
        <v>0</v>
      </c>
      <c r="AE15" s="1149">
        <f>IFERROR(GETPIVOTDATA("合計 / " &amp; $B15,【ピボット】処遇改善加算!$A$3,"年月",AE$2,"支払区分",AE$4),0)</f>
        <v>0</v>
      </c>
      <c r="AF15" s="689">
        <f>IFERROR(GETPIVOTDATA("合計 / " &amp; $B15,【ピボット】処遇改善加算!$A$3,"年月",AF$2,"支払区分",AF$4),0)</f>
        <v>0</v>
      </c>
      <c r="AG15" s="689">
        <f>IFERROR(GETPIVOTDATA("合計 / " &amp; $B15,【ピボット】処遇改善加算!$A$3,"年月",AG$2,"支払区分",AG$4),0)</f>
        <v>0</v>
      </c>
      <c r="AH15" s="689">
        <f>IFERROR(GETPIVOTDATA("合計 / " &amp; $B15,【ピボット】処遇改善加算!$A$3,"年月",AH$2,"支払区分",AH$4),0)</f>
        <v>0</v>
      </c>
      <c r="AI15" s="689">
        <f>IFERROR(GETPIVOTDATA("合計 / " &amp; $B15,【ピボット】処遇改善加算!$A$3,"年月",AI$2,"支払区分",AI$4),0)</f>
        <v>0</v>
      </c>
      <c r="AJ15" s="689">
        <f>IFERROR(GETPIVOTDATA("合計 / " &amp; $B15,【ピボット】処遇改善加算!$A$3,"年月",AJ$2,"支払区分",AJ$4),0)</f>
        <v>0</v>
      </c>
      <c r="AK15" s="689">
        <f>IFERROR(GETPIVOTDATA("合計 / " &amp; $B15,【ピボット】処遇改善加算!$A$3,"年月",AK$2,"支払区分",AK$4),0)</f>
        <v>0</v>
      </c>
      <c r="AL15" s="689">
        <f>IFERROR(GETPIVOTDATA("合計 / " &amp; $B15,【ピボット】処遇改善加算!$A$3,"年月",AL$2,"支払区分",AL$4),0)</f>
        <v>0</v>
      </c>
      <c r="AM15" s="689">
        <f>IFERROR(GETPIVOTDATA("合計 / " &amp; $B15,【ピボット】処遇改善加算!$A$3,"年月",AM$2,"支払区分",AM$4),0)</f>
        <v>0</v>
      </c>
      <c r="AN15" s="689">
        <f>IFERROR(GETPIVOTDATA("合計 / " &amp; $B15,【ピボット】処遇改善加算!$A$3,"年月",AN$2,"支払区分",AN$4),0)</f>
        <v>0</v>
      </c>
      <c r="AO15" s="689">
        <f>IFERROR(GETPIVOTDATA("合計 / " &amp; $B15,【ピボット】処遇改善加算!$A$3,"年月",AO$2,"支払区分",AO$4),0)</f>
        <v>0</v>
      </c>
      <c r="AP15" s="689">
        <f>IFERROR(GETPIVOTDATA("合計 / " &amp; $B15,【ピボット】処遇改善加算!$A$3,"年月",AP$2,"支払区分",AP$4),0)</f>
        <v>0</v>
      </c>
      <c r="AQ15" s="689">
        <f>IFERROR(GETPIVOTDATA("合計 / " &amp; $B15,【ピボット】処遇改善加算!$A$3,"年月",AQ$2,"支払区分",AQ$4),0)</f>
        <v>0</v>
      </c>
      <c r="AR15" s="689">
        <f>IFERROR(GETPIVOTDATA("合計 / " &amp; $B15,【ピボット】処遇改善加算!$A$3,"年月",AR$2,"支払区分",AR$4),0)</f>
        <v>0</v>
      </c>
      <c r="AS15" s="689">
        <f>IFERROR(GETPIVOTDATA("合計 / " &amp; $B15,【ピボット】処遇改善加算!$A$3,"年月",AS$2,"支払区分",AS$4),0)</f>
        <v>0</v>
      </c>
      <c r="AT15" s="689">
        <f>IFERROR(GETPIVOTDATA("合計 / " &amp; $B15,【ピボット】処遇改善加算!$A$3,"年月",AT$2,"支払区分",AT$4),0)</f>
        <v>0</v>
      </c>
      <c r="AU15" s="689">
        <f>IFERROR(GETPIVOTDATA("合計 / " &amp; $B15,【ピボット】処遇改善加算!$A$3,"年月",AU$2,"支払区分",AU$4),0)</f>
        <v>0</v>
      </c>
      <c r="AV15" s="689">
        <f>IFERROR(GETPIVOTDATA("合計 / " &amp; $B15,【ピボット】処遇改善加算!$A$3,"年月",AV$2,"支払区分",AV$4),0)</f>
        <v>0</v>
      </c>
      <c r="AW15" s="689">
        <f>IFERROR(GETPIVOTDATA("合計 / " &amp; $B15,【ピボット】処遇改善加算!$A$3,"年月",AW$2,"支払区分",AW$4),0)</f>
        <v>0</v>
      </c>
      <c r="AX15" s="689">
        <f>IFERROR(GETPIVOTDATA("合計 / " &amp; $B15,【ピボット】処遇改善加算!$A$3,"年月",AX$2,"支払区分",AX$4),0)</f>
        <v>0</v>
      </c>
      <c r="AY15" s="689">
        <f>IFERROR(GETPIVOTDATA("合計 / " &amp; $B15,【ピボット】処遇改善加算!$A$3,"年月",AY$2,"支払区分",AY$4),0)</f>
        <v>0</v>
      </c>
    </row>
    <row r="16" spans="1:53" ht="35.25" customHeight="1" x14ac:dyDescent="0.15">
      <c r="A16" s="2112"/>
      <c r="B16" s="10" t="s">
        <v>1203</v>
      </c>
      <c r="C16" s="689">
        <f>IFERROR(GETPIVOTDATA("合計 / " &amp; $B16,【ピボット】処遇改善加算!$A$3,"年月",C$2,"支払区分",C$4),0)</f>
        <v>0</v>
      </c>
      <c r="D16" s="689">
        <f>IFERROR(GETPIVOTDATA("合計 / " &amp; $B16,【ピボット】処遇改善加算!$A$3,"年月",D$2,"支払区分",D$4),0)</f>
        <v>0</v>
      </c>
      <c r="E16" s="689">
        <f>IFERROR(GETPIVOTDATA("合計 / " &amp; $B16,【ピボット】処遇改善加算!$A$3,"年月",E$2,"支払区分",E$4),0)</f>
        <v>0</v>
      </c>
      <c r="F16" s="689">
        <f>IFERROR(GETPIVOTDATA("合計 / " &amp; $B16,【ピボット】処遇改善加算!$A$3,"年月",F$2,"支払区分",F$4),0)</f>
        <v>0</v>
      </c>
      <c r="G16" s="689">
        <f>IFERROR(GETPIVOTDATA("合計 / " &amp; $B16,【ピボット】処遇改善加算!$A$3,"年月",G$2,"支払区分",G$4),0)</f>
        <v>0</v>
      </c>
      <c r="H16" s="689">
        <f>IFERROR(GETPIVOTDATA("合計 / " &amp; $B16,【ピボット】処遇改善加算!$A$3,"年月",H$2,"支払区分",H$4),0)</f>
        <v>0</v>
      </c>
      <c r="I16" s="689">
        <f>IFERROR(GETPIVOTDATA("合計 / " &amp; $B16,【ピボット】処遇改善加算!$A$3,"年月",I$2,"支払区分",I$4),0)</f>
        <v>0</v>
      </c>
      <c r="J16" s="689">
        <f>IFERROR(GETPIVOTDATA("合計 / " &amp; $B16,【ピボット】処遇改善加算!$A$3,"年月",J$2,"支払区分",J$4),0)</f>
        <v>0</v>
      </c>
      <c r="K16" s="689">
        <f>IFERROR(GETPIVOTDATA("合計 / " &amp; $B16,【ピボット】処遇改善加算!$A$3,"年月",K$2,"支払区分",K$4),0)</f>
        <v>0</v>
      </c>
      <c r="L16" s="689">
        <f>IFERROR(GETPIVOTDATA("合計 / " &amp; $B16,【ピボット】処遇改善加算!$A$3,"年月",L$2,"支払区分",L$4),0)</f>
        <v>0</v>
      </c>
      <c r="M16" s="689">
        <f>IFERROR(GETPIVOTDATA("合計 / " &amp; $B16,【ピボット】処遇改善加算!$A$3,"年月",M$2,"支払区分",M$4),0)</f>
        <v>0</v>
      </c>
      <c r="N16" s="689">
        <f>IFERROR(GETPIVOTDATA("合計 / " &amp; $B16,【ピボット】処遇改善加算!$A$3,"年月",N$2,"支払区分",N$4),0)</f>
        <v>0</v>
      </c>
      <c r="O16" s="689">
        <f>IFERROR(GETPIVOTDATA("合計 / " &amp; $B16,【ピボット】処遇改善加算!$A$3,"年月",O$2,"支払区分",O$4),0)</f>
        <v>0</v>
      </c>
      <c r="P16" s="689">
        <f>IFERROR(GETPIVOTDATA("合計 / " &amp; $B16,【ピボット】処遇改善加算!$A$3,"年月",P$2,"支払区分",P$4),0)</f>
        <v>0</v>
      </c>
      <c r="Q16" s="689">
        <f>IFERROR(GETPIVOTDATA("合計 / " &amp; $B16,【ピボット】処遇改善加算!$A$3,"年月",Q$2,"支払区分",Q$4),0)</f>
        <v>0</v>
      </c>
      <c r="R16" s="689">
        <f>IFERROR(GETPIVOTDATA("合計 / " &amp; $B16,【ピボット】処遇改善加算!$A$3,"年月",R$2,"支払区分",R$4),0)</f>
        <v>0</v>
      </c>
      <c r="S16" s="689">
        <f>IFERROR(GETPIVOTDATA("合計 / " &amp; $B16,【ピボット】処遇改善加算!$A$3,"年月",S$2,"支払区分",S$4),0)</f>
        <v>0</v>
      </c>
      <c r="T16" s="689">
        <f>IFERROR(GETPIVOTDATA("合計 / " &amp; $B16,【ピボット】処遇改善加算!$A$3,"年月",T$2,"支払区分",T$4),0)</f>
        <v>0</v>
      </c>
      <c r="U16" s="689">
        <f>IFERROR(GETPIVOTDATA("合計 / " &amp; $B16,【ピボット】処遇改善加算!$A$3,"年月",U$2,"支払区分",U$4),0)</f>
        <v>0</v>
      </c>
      <c r="V16" s="689">
        <f>IFERROR(GETPIVOTDATA("合計 / " &amp; $B16,【ピボット】処遇改善加算!$A$3,"年月",V$2,"支払区分",V$4),0)</f>
        <v>0</v>
      </c>
      <c r="W16" s="689">
        <f>IFERROR(GETPIVOTDATA("合計 / " &amp; $B16,【ピボット】処遇改善加算!$A$3,"年月",W$2,"支払区分",W$4),0)</f>
        <v>0</v>
      </c>
      <c r="X16" s="689">
        <f>IFERROR(GETPIVOTDATA("合計 / " &amp; $B16,【ピボット】処遇改善加算!$A$3,"年月",X$2,"支払区分",X$4),0)</f>
        <v>0</v>
      </c>
      <c r="Y16" s="689">
        <f>IFERROR(GETPIVOTDATA("合計 / " &amp; $B16,【ピボット】処遇改善加算!$A$3,"年月",Y$2,"支払区分",Y$4),0)</f>
        <v>0</v>
      </c>
      <c r="Z16" s="689">
        <f>IFERROR(GETPIVOTDATA("合計 / " &amp; $B16,【ピボット】処遇改善加算!$A$3,"年月",Z$2,"支払区分",Z$4),0)</f>
        <v>0</v>
      </c>
      <c r="AA16" s="689">
        <f>IFERROR(GETPIVOTDATA("合計 / " &amp; $B16,【ピボット】処遇改善加算!$A$3,"年月",AA$2,"支払区分",AA$4),0)</f>
        <v>0</v>
      </c>
      <c r="AB16" s="689">
        <f>IFERROR(GETPIVOTDATA("合計 / " &amp; $B16,【ピボット】処遇改善加算!$A$3,"年月",AB$2,"支払区分",AB$4),0)</f>
        <v>0</v>
      </c>
      <c r="AC16" s="689">
        <f>IFERROR(GETPIVOTDATA("合計 / " &amp; $B16,【ピボット】処遇改善加算!$A$3,"年月",AC$2,"支払区分",AC$4),0)</f>
        <v>0</v>
      </c>
      <c r="AD16" s="1149">
        <f>IFERROR(GETPIVOTDATA("合計 / " &amp; $B16,【ピボット】処遇改善加算!$A$3,"年月",AD$2,"支払区分",AD$4),0)</f>
        <v>0</v>
      </c>
      <c r="AE16" s="1149">
        <f>IFERROR(GETPIVOTDATA("合計 / " &amp; $B16,【ピボット】処遇改善加算!$A$3,"年月",AE$2,"支払区分",AE$4),0)</f>
        <v>0</v>
      </c>
      <c r="AF16" s="689">
        <f>IFERROR(GETPIVOTDATA("合計 / " &amp; $B16,【ピボット】処遇改善加算!$A$3,"年月",AF$2,"支払区分",AF$4),0)</f>
        <v>0</v>
      </c>
      <c r="AG16" s="689">
        <f>IFERROR(GETPIVOTDATA("合計 / " &amp; $B16,【ピボット】処遇改善加算!$A$3,"年月",AG$2,"支払区分",AG$4),0)</f>
        <v>0</v>
      </c>
      <c r="AH16" s="689">
        <f>IFERROR(GETPIVOTDATA("合計 / " &amp; $B16,【ピボット】処遇改善加算!$A$3,"年月",AH$2,"支払区分",AH$4),0)</f>
        <v>0</v>
      </c>
      <c r="AI16" s="689">
        <f>IFERROR(GETPIVOTDATA("合計 / " &amp; $B16,【ピボット】処遇改善加算!$A$3,"年月",AI$2,"支払区分",AI$4),0)</f>
        <v>0</v>
      </c>
      <c r="AJ16" s="689">
        <f>IFERROR(GETPIVOTDATA("合計 / " &amp; $B16,【ピボット】処遇改善加算!$A$3,"年月",AJ$2,"支払区分",AJ$4),0)</f>
        <v>0</v>
      </c>
      <c r="AK16" s="689">
        <f>IFERROR(GETPIVOTDATA("合計 / " &amp; $B16,【ピボット】処遇改善加算!$A$3,"年月",AK$2,"支払区分",AK$4),0)</f>
        <v>0</v>
      </c>
      <c r="AL16" s="689">
        <f>IFERROR(GETPIVOTDATA("合計 / " &amp; $B16,【ピボット】処遇改善加算!$A$3,"年月",AL$2,"支払区分",AL$4),0)</f>
        <v>0</v>
      </c>
      <c r="AM16" s="689">
        <f>IFERROR(GETPIVOTDATA("合計 / " &amp; $B16,【ピボット】処遇改善加算!$A$3,"年月",AM$2,"支払区分",AM$4),0)</f>
        <v>0</v>
      </c>
      <c r="AN16" s="689">
        <f>IFERROR(GETPIVOTDATA("合計 / " &amp; $B16,【ピボット】処遇改善加算!$A$3,"年月",AN$2,"支払区分",AN$4),0)</f>
        <v>0</v>
      </c>
      <c r="AO16" s="689">
        <f>IFERROR(GETPIVOTDATA("合計 / " &amp; $B16,【ピボット】処遇改善加算!$A$3,"年月",AO$2,"支払区分",AO$4),0)</f>
        <v>0</v>
      </c>
      <c r="AP16" s="689">
        <f>IFERROR(GETPIVOTDATA("合計 / " &amp; $B16,【ピボット】処遇改善加算!$A$3,"年月",AP$2,"支払区分",AP$4),0)</f>
        <v>0</v>
      </c>
      <c r="AQ16" s="689">
        <f>IFERROR(GETPIVOTDATA("合計 / " &amp; $B16,【ピボット】処遇改善加算!$A$3,"年月",AQ$2,"支払区分",AQ$4),0)</f>
        <v>0</v>
      </c>
      <c r="AR16" s="689">
        <f>IFERROR(GETPIVOTDATA("合計 / " &amp; $B16,【ピボット】処遇改善加算!$A$3,"年月",AR$2,"支払区分",AR$4),0)</f>
        <v>0</v>
      </c>
      <c r="AS16" s="689">
        <f>IFERROR(GETPIVOTDATA("合計 / " &amp; $B16,【ピボット】処遇改善加算!$A$3,"年月",AS$2,"支払区分",AS$4),0)</f>
        <v>0</v>
      </c>
      <c r="AT16" s="689">
        <f>IFERROR(GETPIVOTDATA("合計 / " &amp; $B16,【ピボット】処遇改善加算!$A$3,"年月",AT$2,"支払区分",AT$4),0)</f>
        <v>0</v>
      </c>
      <c r="AU16" s="689">
        <f>IFERROR(GETPIVOTDATA("合計 / " &amp; $B16,【ピボット】処遇改善加算!$A$3,"年月",AU$2,"支払区分",AU$4),0)</f>
        <v>0</v>
      </c>
      <c r="AV16" s="689">
        <f>IFERROR(GETPIVOTDATA("合計 / " &amp; $B16,【ピボット】処遇改善加算!$A$3,"年月",AV$2,"支払区分",AV$4),0)</f>
        <v>0</v>
      </c>
      <c r="AW16" s="689">
        <f>IFERROR(GETPIVOTDATA("合計 / " &amp; $B16,【ピボット】処遇改善加算!$A$3,"年月",AW$2,"支払区分",AW$4),0)</f>
        <v>0</v>
      </c>
      <c r="AX16" s="689">
        <f>IFERROR(GETPIVOTDATA("合計 / " &amp; $B16,【ピボット】処遇改善加算!$A$3,"年月",AX$2,"支払区分",AX$4),0)</f>
        <v>0</v>
      </c>
      <c r="AY16" s="689">
        <f>IFERROR(GETPIVOTDATA("合計 / " &amp; $B16,【ピボット】処遇改善加算!$A$3,"年月",AY$2,"支払区分",AY$4),0)</f>
        <v>0</v>
      </c>
    </row>
    <row r="17" spans="1:51" ht="35.25" customHeight="1" x14ac:dyDescent="0.15">
      <c r="A17" s="2112"/>
      <c r="B17" s="10" t="s">
        <v>156</v>
      </c>
      <c r="C17" s="689">
        <f>IFERROR(GETPIVOTDATA("合計 / " &amp; $B17,【ピボット】処遇改善加算!$A$3,"年月",C$2,"支払区分",C$4),0)</f>
        <v>0</v>
      </c>
      <c r="D17" s="689">
        <f>IFERROR(GETPIVOTDATA("合計 / " &amp; $B17,【ピボット】処遇改善加算!$A$3,"年月",D$2,"支払区分",D$4),0)</f>
        <v>0</v>
      </c>
      <c r="E17" s="689">
        <f>IFERROR(GETPIVOTDATA("合計 / " &amp; $B17,【ピボット】処遇改善加算!$A$3,"年月",E$2,"支払区分",E$4),0)</f>
        <v>0</v>
      </c>
      <c r="F17" s="689">
        <f>IFERROR(GETPIVOTDATA("合計 / " &amp; $B17,【ピボット】処遇改善加算!$A$3,"年月",F$2,"支払区分",F$4),0)</f>
        <v>0</v>
      </c>
      <c r="G17" s="689">
        <f>IFERROR(GETPIVOTDATA("合計 / " &amp; $B17,【ピボット】処遇改善加算!$A$3,"年月",G$2,"支払区分",G$4),0)</f>
        <v>0</v>
      </c>
      <c r="H17" s="689">
        <f>IFERROR(GETPIVOTDATA("合計 / " &amp; $B17,【ピボット】処遇改善加算!$A$3,"年月",H$2,"支払区分",H$4),0)</f>
        <v>0</v>
      </c>
      <c r="I17" s="689">
        <f>IFERROR(GETPIVOTDATA("合計 / " &amp; $B17,【ピボット】処遇改善加算!$A$3,"年月",I$2,"支払区分",I$4),0)</f>
        <v>0</v>
      </c>
      <c r="J17" s="689">
        <f>IFERROR(GETPIVOTDATA("合計 / " &amp; $B17,【ピボット】処遇改善加算!$A$3,"年月",J$2,"支払区分",J$4),0)</f>
        <v>0</v>
      </c>
      <c r="K17" s="689">
        <f>IFERROR(GETPIVOTDATA("合計 / " &amp; $B17,【ピボット】処遇改善加算!$A$3,"年月",K$2,"支払区分",K$4),0)</f>
        <v>0</v>
      </c>
      <c r="L17" s="689">
        <f>IFERROR(GETPIVOTDATA("合計 / " &amp; $B17,【ピボット】処遇改善加算!$A$3,"年月",L$2,"支払区分",L$4),0)</f>
        <v>0</v>
      </c>
      <c r="M17" s="689">
        <f>IFERROR(GETPIVOTDATA("合計 / " &amp; $B17,【ピボット】処遇改善加算!$A$3,"年月",M$2,"支払区分",M$4),0)</f>
        <v>0</v>
      </c>
      <c r="N17" s="689">
        <f>IFERROR(GETPIVOTDATA("合計 / " &amp; $B17,【ピボット】処遇改善加算!$A$3,"年月",N$2,"支払区分",N$4),0)</f>
        <v>0</v>
      </c>
      <c r="O17" s="689">
        <f>IFERROR(GETPIVOTDATA("合計 / " &amp; $B17,【ピボット】処遇改善加算!$A$3,"年月",O$2,"支払区分",O$4),0)</f>
        <v>0</v>
      </c>
      <c r="P17" s="689">
        <f>IFERROR(GETPIVOTDATA("合計 / " &amp; $B17,【ピボット】処遇改善加算!$A$3,"年月",P$2,"支払区分",P$4),0)</f>
        <v>0</v>
      </c>
      <c r="Q17" s="689">
        <f>IFERROR(GETPIVOTDATA("合計 / " &amp; $B17,【ピボット】処遇改善加算!$A$3,"年月",Q$2,"支払区分",Q$4),0)</f>
        <v>0</v>
      </c>
      <c r="R17" s="689">
        <f>IFERROR(GETPIVOTDATA("合計 / " &amp; $B17,【ピボット】処遇改善加算!$A$3,"年月",R$2,"支払区分",R$4),0)</f>
        <v>0</v>
      </c>
      <c r="S17" s="689">
        <f>IFERROR(GETPIVOTDATA("合計 / " &amp; $B17,【ピボット】処遇改善加算!$A$3,"年月",S$2,"支払区分",S$4),0)</f>
        <v>0</v>
      </c>
      <c r="T17" s="689">
        <f>IFERROR(GETPIVOTDATA("合計 / " &amp; $B17,【ピボット】処遇改善加算!$A$3,"年月",T$2,"支払区分",T$4),0)</f>
        <v>0</v>
      </c>
      <c r="U17" s="689">
        <f>IFERROR(GETPIVOTDATA("合計 / " &amp; $B17,【ピボット】処遇改善加算!$A$3,"年月",U$2,"支払区分",U$4),0)</f>
        <v>0</v>
      </c>
      <c r="V17" s="689">
        <f>IFERROR(GETPIVOTDATA("合計 / " &amp; $B17,【ピボット】処遇改善加算!$A$3,"年月",V$2,"支払区分",V$4),0)</f>
        <v>0</v>
      </c>
      <c r="W17" s="689">
        <f>IFERROR(GETPIVOTDATA("合計 / " &amp; $B17,【ピボット】処遇改善加算!$A$3,"年月",W$2,"支払区分",W$4),0)</f>
        <v>0</v>
      </c>
      <c r="X17" s="689">
        <f>IFERROR(GETPIVOTDATA("合計 / " &amp; $B17,【ピボット】処遇改善加算!$A$3,"年月",X$2,"支払区分",X$4),0)</f>
        <v>0</v>
      </c>
      <c r="Y17" s="689">
        <f>IFERROR(GETPIVOTDATA("合計 / " &amp; $B17,【ピボット】処遇改善加算!$A$3,"年月",Y$2,"支払区分",Y$4),0)</f>
        <v>0</v>
      </c>
      <c r="Z17" s="689">
        <f>IFERROR(GETPIVOTDATA("合計 / " &amp; $B17,【ピボット】処遇改善加算!$A$3,"年月",Z$2,"支払区分",Z$4),0)</f>
        <v>0</v>
      </c>
      <c r="AA17" s="689">
        <f>IFERROR(GETPIVOTDATA("合計 / " &amp; $B17,【ピボット】処遇改善加算!$A$3,"年月",AA$2,"支払区分",AA$4),0)</f>
        <v>0</v>
      </c>
      <c r="AB17" s="689">
        <f>IFERROR(GETPIVOTDATA("合計 / " &amp; $B17,【ピボット】処遇改善加算!$A$3,"年月",AB$2,"支払区分",AB$4),0)</f>
        <v>0</v>
      </c>
      <c r="AC17" s="689">
        <f>IFERROR(GETPIVOTDATA("合計 / " &amp; $B17,【ピボット】処遇改善加算!$A$3,"年月",AC$2,"支払区分",AC$4),0)</f>
        <v>0</v>
      </c>
      <c r="AD17" s="1149">
        <f>IFERROR(GETPIVOTDATA("合計 / " &amp; $B17,【ピボット】処遇改善加算!$A$3,"年月",AD$2,"支払区分",AD$4),0)</f>
        <v>0</v>
      </c>
      <c r="AE17" s="1149">
        <f>IFERROR(GETPIVOTDATA("合計 / " &amp; $B17,【ピボット】処遇改善加算!$A$3,"年月",AE$2,"支払区分",AE$4),0)</f>
        <v>0</v>
      </c>
      <c r="AF17" s="689">
        <f>IFERROR(GETPIVOTDATA("合計 / " &amp; $B17,【ピボット】処遇改善加算!$A$3,"年月",AF$2,"支払区分",AF$4),0)</f>
        <v>0</v>
      </c>
      <c r="AG17" s="689">
        <f>IFERROR(GETPIVOTDATA("合計 / " &amp; $B17,【ピボット】処遇改善加算!$A$3,"年月",AG$2,"支払区分",AG$4),0)</f>
        <v>0</v>
      </c>
      <c r="AH17" s="689">
        <f>IFERROR(GETPIVOTDATA("合計 / " &amp; $B17,【ピボット】処遇改善加算!$A$3,"年月",AH$2,"支払区分",AH$4),0)</f>
        <v>0</v>
      </c>
      <c r="AI17" s="689">
        <f>IFERROR(GETPIVOTDATA("合計 / " &amp; $B17,【ピボット】処遇改善加算!$A$3,"年月",AI$2,"支払区分",AI$4),0)</f>
        <v>0</v>
      </c>
      <c r="AJ17" s="689">
        <f>IFERROR(GETPIVOTDATA("合計 / " &amp; $B17,【ピボット】処遇改善加算!$A$3,"年月",AJ$2,"支払区分",AJ$4),0)</f>
        <v>0</v>
      </c>
      <c r="AK17" s="689">
        <f>IFERROR(GETPIVOTDATA("合計 / " &amp; $B17,【ピボット】処遇改善加算!$A$3,"年月",AK$2,"支払区分",AK$4),0)</f>
        <v>0</v>
      </c>
      <c r="AL17" s="689">
        <f>IFERROR(GETPIVOTDATA("合計 / " &amp; $B17,【ピボット】処遇改善加算!$A$3,"年月",AL$2,"支払区分",AL$4),0)</f>
        <v>0</v>
      </c>
      <c r="AM17" s="689">
        <f>IFERROR(GETPIVOTDATA("合計 / " &amp; $B17,【ピボット】処遇改善加算!$A$3,"年月",AM$2,"支払区分",AM$4),0)</f>
        <v>0</v>
      </c>
      <c r="AN17" s="689">
        <f>IFERROR(GETPIVOTDATA("合計 / " &amp; $B17,【ピボット】処遇改善加算!$A$3,"年月",AN$2,"支払区分",AN$4),0)</f>
        <v>0</v>
      </c>
      <c r="AO17" s="689">
        <f>IFERROR(GETPIVOTDATA("合計 / " &amp; $B17,【ピボット】処遇改善加算!$A$3,"年月",AO$2,"支払区分",AO$4),0)</f>
        <v>0</v>
      </c>
      <c r="AP17" s="689">
        <f>IFERROR(GETPIVOTDATA("合計 / " &amp; $B17,【ピボット】処遇改善加算!$A$3,"年月",AP$2,"支払区分",AP$4),0)</f>
        <v>0</v>
      </c>
      <c r="AQ17" s="689">
        <f>IFERROR(GETPIVOTDATA("合計 / " &amp; $B17,【ピボット】処遇改善加算!$A$3,"年月",AQ$2,"支払区分",AQ$4),0)</f>
        <v>0</v>
      </c>
      <c r="AR17" s="689">
        <f>IFERROR(GETPIVOTDATA("合計 / " &amp; $B17,【ピボット】処遇改善加算!$A$3,"年月",AR$2,"支払区分",AR$4),0)</f>
        <v>0</v>
      </c>
      <c r="AS17" s="689">
        <f>IFERROR(GETPIVOTDATA("合計 / " &amp; $B17,【ピボット】処遇改善加算!$A$3,"年月",AS$2,"支払区分",AS$4),0)</f>
        <v>0</v>
      </c>
      <c r="AT17" s="689">
        <f>IFERROR(GETPIVOTDATA("合計 / " &amp; $B17,【ピボット】処遇改善加算!$A$3,"年月",AT$2,"支払区分",AT$4),0)</f>
        <v>0</v>
      </c>
      <c r="AU17" s="689">
        <f>IFERROR(GETPIVOTDATA("合計 / " &amp; $B17,【ピボット】処遇改善加算!$A$3,"年月",AU$2,"支払区分",AU$4),0)</f>
        <v>0</v>
      </c>
      <c r="AV17" s="689">
        <f>IFERROR(GETPIVOTDATA("合計 / " &amp; $B17,【ピボット】処遇改善加算!$A$3,"年月",AV$2,"支払区分",AV$4),0)</f>
        <v>0</v>
      </c>
      <c r="AW17" s="689">
        <f>IFERROR(GETPIVOTDATA("合計 / " &amp; $B17,【ピボット】処遇改善加算!$A$3,"年月",AW$2,"支払区分",AW$4),0)</f>
        <v>0</v>
      </c>
      <c r="AX17" s="689">
        <f>IFERROR(GETPIVOTDATA("合計 / " &amp; $B17,【ピボット】処遇改善加算!$A$3,"年月",AX$2,"支払区分",AX$4),0)</f>
        <v>0</v>
      </c>
      <c r="AY17" s="689">
        <f>IFERROR(GETPIVOTDATA("合計 / " &amp; $B17,【ピボット】処遇改善加算!$A$3,"年月",AY$2,"支払区分",AY$4),0)</f>
        <v>0</v>
      </c>
    </row>
    <row r="18" spans="1:51" ht="35.25" customHeight="1" x14ac:dyDescent="0.15">
      <c r="A18" s="2112"/>
      <c r="B18" s="10" t="s">
        <v>863</v>
      </c>
      <c r="C18" s="689">
        <f>IFERROR(GETPIVOTDATA("合計 / " &amp; $B18,【ピボット】処遇改善加算!$A$3,"年月",C$2,"支払区分",C$4),0)</f>
        <v>7622</v>
      </c>
      <c r="D18" s="689">
        <f>IFERROR(GETPIVOTDATA("合計 / " &amp; $B18,【ピボット】処遇改善加算!$A$3,"年月",D$2,"支払区分",D$4),0)</f>
        <v>8169</v>
      </c>
      <c r="E18" s="689">
        <f>IFERROR(GETPIVOTDATA("合計 / " &amp; $B18,【ピボット】処遇改善加算!$A$3,"年月",E$2,"支払区分",E$4),0)</f>
        <v>8460</v>
      </c>
      <c r="F18" s="689">
        <f>IFERROR(GETPIVOTDATA("合計 / " &amp; $B18,【ピボット】処遇改善加算!$A$3,"年月",F$2,"支払区分",F$4),0)</f>
        <v>9936</v>
      </c>
      <c r="G18" s="689">
        <f>IFERROR(GETPIVOTDATA("合計 / " &amp; $B18,【ピボット】処遇改善加算!$A$3,"年月",G$2,"支払区分",G$4),0)</f>
        <v>90000</v>
      </c>
      <c r="H18" s="689">
        <f>IFERROR(GETPIVOTDATA("合計 / " &amp; $B18,【ピボット】処遇改善加算!$A$3,"年月",H$2,"支払区分",H$4),0)</f>
        <v>10100</v>
      </c>
      <c r="I18" s="689">
        <f>IFERROR(GETPIVOTDATA("合計 / " &amp; $B18,【ピボット】処遇改善加算!$A$3,"年月",I$2,"支払区分",I$4),0)</f>
        <v>10074</v>
      </c>
      <c r="J18" s="689">
        <f>IFERROR(GETPIVOTDATA("合計 / " &amp; $B18,【ピボット】処遇改善加算!$A$3,"年月",J$2,"支払区分",J$4),0)</f>
        <v>10496</v>
      </c>
      <c r="K18" s="689">
        <f>IFERROR(GETPIVOTDATA("合計 / " &amp; $B18,【ピボット】処遇改善加算!$A$3,"年月",K$2,"支払区分",K$4),0)</f>
        <v>79208</v>
      </c>
      <c r="L18" s="689">
        <f>IFERROR(GETPIVOTDATA("合計 / " &amp; $B18,【ピボット】処遇改善加算!$A$3,"年月",L$2,"支払区分",L$4),0)</f>
        <v>80457</v>
      </c>
      <c r="M18" s="689">
        <f>IFERROR(GETPIVOTDATA("合計 / " &amp; $B18,【ピボット】処遇改善加算!$A$3,"年月",M$2,"支払区分",M$4),0)</f>
        <v>88146</v>
      </c>
      <c r="N18" s="689">
        <f>IFERROR(GETPIVOTDATA("合計 / " &amp; $B18,【ピボット】処遇改善加算!$A$3,"年月",N$2,"支払区分",N$4),0)</f>
        <v>30000</v>
      </c>
      <c r="O18" s="689">
        <f>IFERROR(GETPIVOTDATA("合計 / " &amp; $B18,【ピボット】処遇改善加算!$A$3,"年月",O$2,"支払区分",O$4),0)</f>
        <v>89519</v>
      </c>
      <c r="P18" s="689">
        <f>IFERROR(GETPIVOTDATA("合計 / " &amp; $B18,【ピボット】処遇改善加算!$A$3,"年月",P$2,"支払区分",P$4),0)</f>
        <v>121074</v>
      </c>
      <c r="Q18" s="689">
        <f>IFERROR(GETPIVOTDATA("合計 / " &amp; $B18,【ピボット】処遇改善加算!$A$3,"年月",Q$2,"支払区分",Q$4),0)</f>
        <v>88921</v>
      </c>
      <c r="R18" s="689">
        <f>IFERROR(GETPIVOTDATA("合計 / " &amp; $B18,【ピボット】処遇改善加算!$A$3,"年月",R$2,"支払区分",R$4),0)</f>
        <v>88362</v>
      </c>
      <c r="S18" s="689">
        <f>IFERROR(GETPIVOTDATA("合計 / " &amp; $B18,【ピボット】処遇改善加算!$A$3,"年月",S$2,"支払区分",S$4),0)</f>
        <v>76504</v>
      </c>
      <c r="T18" s="689">
        <f>IFERROR(GETPIVOTDATA("合計 / " &amp; $B18,【ピボット】処遇改善加算!$A$3,"年月",T$2,"支払区分",T$4),0)</f>
        <v>108208</v>
      </c>
      <c r="U18" s="689">
        <f>IFERROR(GETPIVOTDATA("合計 / " &amp; $B18,【ピボット】処遇改善加算!$A$3,"年月",U$2,"支払区分",U$4),0)</f>
        <v>0</v>
      </c>
      <c r="V18" s="689">
        <f>IFERROR(GETPIVOTDATA("合計 / " &amp; $B18,【ピボット】処遇改善加算!$A$3,"年月",V$2,"支払区分",V$4),0)</f>
        <v>76777</v>
      </c>
      <c r="W18" s="689">
        <f>IFERROR(GETPIVOTDATA("合計 / " &amp; $B18,【ピボット】処遇改善加算!$A$3,"年月",W$2,"支払区分",W$4),0)</f>
        <v>91496</v>
      </c>
      <c r="X18" s="689">
        <f>IFERROR(GETPIVOTDATA("合計 / " &amp; $B18,【ピボット】処遇改善加算!$A$3,"年月",X$2,"支払区分",X$4),0)</f>
        <v>92918</v>
      </c>
      <c r="Y18" s="689">
        <f>IFERROR(GETPIVOTDATA("合計 / " &amp; $B18,【ピボット】処遇改善加算!$A$3,"年月",Y$2,"支払区分",Y$4),0)</f>
        <v>114320</v>
      </c>
      <c r="Z18" s="689">
        <f>IFERROR(GETPIVOTDATA("合計 / " &amp; $B18,【ピボット】処遇改善加算!$A$3,"年月",Z$2,"支払区分",Z$4),0)</f>
        <v>110439</v>
      </c>
      <c r="AA18" s="689">
        <f>IFERROR(GETPIVOTDATA("合計 / " &amp; $B18,【ピボット】処遇改善加算!$A$3,"年月",AA$2,"支払区分",AA$4),0)</f>
        <v>74101</v>
      </c>
      <c r="AB18" s="689">
        <f>IFERROR(GETPIVOTDATA("合計 / " &amp; $B18,【ピボット】処遇改善加算!$A$3,"年月",AB$2,"支払区分",AB$4),0)</f>
        <v>0</v>
      </c>
      <c r="AC18" s="689">
        <f>IFERROR(GETPIVOTDATA("合計 / " &amp; $B18,【ピボット】処遇改善加算!$A$3,"年月",AC$2,"支払区分",AC$4),0)</f>
        <v>82681</v>
      </c>
      <c r="AD18" s="1149">
        <f>IFERROR(GETPIVOTDATA("合計 / " &amp; $B18,【ピボット】処遇改善加算!$A$3,"年月",AD$2,"支払区分",AD$4),0)</f>
        <v>74027</v>
      </c>
      <c r="AE18" s="1149">
        <f>IFERROR(GETPIVOTDATA("合計 / " &amp; $B18,【ピボット】処遇改善加算!$A$3,"年月",AE$2,"支払区分",AE$4),0)</f>
        <v>0</v>
      </c>
      <c r="AF18" s="689">
        <f>IFERROR(GETPIVOTDATA("合計 / " &amp; $B18,【ピボット】処遇改善加算!$A$3,"年月",AF$2,"支払区分",AF$4),0)</f>
        <v>117343</v>
      </c>
      <c r="AG18" s="689">
        <f>IFERROR(GETPIVOTDATA("合計 / " &amp; $B18,【ピボット】処遇改善加算!$A$3,"年月",AG$2,"支払区分",AG$4),0)</f>
        <v>93523</v>
      </c>
      <c r="AH18" s="689">
        <f>IFERROR(GETPIVOTDATA("合計 / " &amp; $B18,【ピボット】処遇改善加算!$A$3,"年月",AH$2,"支払区分",AH$4),0)</f>
        <v>85423</v>
      </c>
      <c r="AI18" s="689">
        <f>IFERROR(GETPIVOTDATA("合計 / " &amp; $B18,【ピボット】処遇改善加算!$A$3,"年月",AI$2,"支払区分",AI$4),0)</f>
        <v>76992</v>
      </c>
      <c r="AJ18" s="689">
        <f>IFERROR(GETPIVOTDATA("合計 / " &amp; $B18,【ピボット】処遇改善加算!$A$3,"年月",AJ$2,"支払区分",AJ$4),0)</f>
        <v>0</v>
      </c>
      <c r="AK18" s="689">
        <f>IFERROR(GETPIVOTDATA("合計 / " &amp; $B18,【ピボット】処遇改善加算!$A$3,"年月",AK$2,"支払区分",AK$4),0)</f>
        <v>79694</v>
      </c>
      <c r="AL18" s="689">
        <f>IFERROR(GETPIVOTDATA("合計 / " &amp; $B18,【ピボット】処遇改善加算!$A$3,"年月",AL$2,"支払区分",AL$4),0)</f>
        <v>81342</v>
      </c>
      <c r="AM18" s="689">
        <f>IFERROR(GETPIVOTDATA("合計 / " &amp; $B18,【ピボット】処遇改善加算!$A$3,"年月",AM$2,"支払区分",AM$4),0)</f>
        <v>79791</v>
      </c>
      <c r="AN18" s="689">
        <f>IFERROR(GETPIVOTDATA("合計 / " &amp; $B18,【ピボット】処遇改善加算!$A$3,"年月",AN$2,"支払区分",AN$4),0)</f>
        <v>73566</v>
      </c>
      <c r="AO18" s="689">
        <f>IFERROR(GETPIVOTDATA("合計 / " &amp; $B18,【ピボット】処遇改善加算!$A$3,"年月",AO$2,"支払区分",AO$4),0)</f>
        <v>0</v>
      </c>
      <c r="AP18" s="689">
        <f>IFERROR(GETPIVOTDATA("合計 / " &amp; $B18,【ピボット】処遇改善加算!$A$3,"年月",AP$2,"支払区分",AP$4),0)</f>
        <v>0</v>
      </c>
      <c r="AQ18" s="689">
        <f>IFERROR(GETPIVOTDATA("合計 / " &amp; $B18,【ピボット】処遇改善加算!$A$3,"年月",AQ$2,"支払区分",AQ$4),0)</f>
        <v>0</v>
      </c>
      <c r="AR18" s="689">
        <f>IFERROR(GETPIVOTDATA("合計 / " &amp; $B18,【ピボット】処遇改善加算!$A$3,"年月",AR$2,"支払区分",AR$4),0)</f>
        <v>0</v>
      </c>
      <c r="AS18" s="689">
        <f>IFERROR(GETPIVOTDATA("合計 / " &amp; $B18,【ピボット】処遇改善加算!$A$3,"年月",AS$2,"支払区分",AS$4),0)</f>
        <v>0</v>
      </c>
      <c r="AT18" s="689">
        <f>IFERROR(GETPIVOTDATA("合計 / " &amp; $B18,【ピボット】処遇改善加算!$A$3,"年月",AT$2,"支払区分",AT$4),0)</f>
        <v>0</v>
      </c>
      <c r="AU18" s="689">
        <f>IFERROR(GETPIVOTDATA("合計 / " &amp; $B18,【ピボット】処遇改善加算!$A$3,"年月",AU$2,"支払区分",AU$4),0)</f>
        <v>0</v>
      </c>
      <c r="AV18" s="689">
        <f>IFERROR(GETPIVOTDATA("合計 / " &amp; $B18,【ピボット】処遇改善加算!$A$3,"年月",AV$2,"支払区分",AV$4),0)</f>
        <v>0</v>
      </c>
      <c r="AW18" s="689">
        <f>IFERROR(GETPIVOTDATA("合計 / " &amp; $B18,【ピボット】処遇改善加算!$A$3,"年月",AW$2,"支払区分",AW$4),0)</f>
        <v>0</v>
      </c>
      <c r="AX18" s="689">
        <f>IFERROR(GETPIVOTDATA("合計 / " &amp; $B18,【ピボット】処遇改善加算!$A$3,"年月",AX$2,"支払区分",AX$4),0)</f>
        <v>0</v>
      </c>
      <c r="AY18" s="689">
        <f>IFERROR(GETPIVOTDATA("合計 / " &amp; $B18,【ピボット】処遇改善加算!$A$3,"年月",AY$2,"支払区分",AY$4),0)</f>
        <v>0</v>
      </c>
    </row>
    <row r="19" spans="1:51" ht="35.25" customHeight="1" x14ac:dyDescent="0.15">
      <c r="A19" s="2112"/>
      <c r="B19" s="10" t="s">
        <v>157</v>
      </c>
      <c r="C19" s="689">
        <f>IFERROR(GETPIVOTDATA("合計 / " &amp; $B19,【ピボット】処遇改善加算!$A$3,"年月",C$2,"支払区分",C$4),0)</f>
        <v>52046</v>
      </c>
      <c r="D19" s="689">
        <f>IFERROR(GETPIVOTDATA("合計 / " &amp; $B19,【ピボット】処遇改善加算!$A$3,"年月",D$2,"支払区分",D$4),0)</f>
        <v>36315</v>
      </c>
      <c r="E19" s="689">
        <f>IFERROR(GETPIVOTDATA("合計 / " &amp; $B19,【ピボット】処遇改善加算!$A$3,"年月",E$2,"支払区分",E$4),0)</f>
        <v>20663</v>
      </c>
      <c r="F19" s="689">
        <f>IFERROR(GETPIVOTDATA("合計 / " &amp; $B19,【ピボット】処遇改善加算!$A$3,"年月",F$2,"支払区分",F$4),0)</f>
        <v>52550.5</v>
      </c>
      <c r="G19" s="689">
        <f>IFERROR(GETPIVOTDATA("合計 / " &amp; $B19,【ピボット】処遇改善加算!$A$3,"年月",G$2,"支払区分",G$4),0)</f>
        <v>0</v>
      </c>
      <c r="H19" s="689">
        <f>IFERROR(GETPIVOTDATA("合計 / " &amp; $B19,【ピボット】処遇改善加算!$A$3,"年月",H$2,"支払区分",H$4),0)</f>
        <v>45731</v>
      </c>
      <c r="I19" s="689">
        <f>IFERROR(GETPIVOTDATA("合計 / " &amp; $B19,【ピボット】処遇改善加算!$A$3,"年月",I$2,"支払区分",I$4),0)</f>
        <v>46755</v>
      </c>
      <c r="J19" s="689">
        <f>IFERROR(GETPIVOTDATA("合計 / " &amp; $B19,【ピボット】処遇改善加算!$A$3,"年月",J$2,"支払区分",J$4),0)</f>
        <v>40838.5</v>
      </c>
      <c r="K19" s="689">
        <f>IFERROR(GETPIVOTDATA("合計 / " &amp; $B19,【ピボット】処遇改善加算!$A$3,"年月",K$2,"支払区分",K$4),0)</f>
        <v>28869</v>
      </c>
      <c r="L19" s="689">
        <f>IFERROR(GETPIVOTDATA("合計 / " &amp; $B19,【ピボット】処遇改善加算!$A$3,"年月",L$2,"支払区分",L$4),0)</f>
        <v>52880</v>
      </c>
      <c r="M19" s="689">
        <f>IFERROR(GETPIVOTDATA("合計 / " &amp; $B19,【ピボット】処遇改善加算!$A$3,"年月",M$2,"支払区分",M$4),0)</f>
        <v>0</v>
      </c>
      <c r="N19" s="689">
        <f>IFERROR(GETPIVOTDATA("合計 / " &amp; $B19,【ピボット】処遇改善加算!$A$3,"年月",N$2,"支払区分",N$4),0)</f>
        <v>0</v>
      </c>
      <c r="O19" s="689">
        <f>IFERROR(GETPIVOTDATA("合計 / " &amp; $B19,【ピボット】処遇改善加算!$A$3,"年月",O$2,"支払区分",O$4),0)</f>
        <v>0</v>
      </c>
      <c r="P19" s="689">
        <f>IFERROR(GETPIVOTDATA("合計 / " &amp; $B19,【ピボット】処遇改善加算!$A$3,"年月",P$2,"支払区分",P$4),0)</f>
        <v>0</v>
      </c>
      <c r="Q19" s="689">
        <f>IFERROR(GETPIVOTDATA("合計 / " &amp; $B19,【ピボット】処遇改善加算!$A$3,"年月",Q$2,"支払区分",Q$4),0)</f>
        <v>0</v>
      </c>
      <c r="R19" s="689">
        <f>IFERROR(GETPIVOTDATA("合計 / " &amp; $B19,【ピボット】処遇改善加算!$A$3,"年月",R$2,"支払区分",R$4),0)</f>
        <v>0</v>
      </c>
      <c r="S19" s="689">
        <f>IFERROR(GETPIVOTDATA("合計 / " &amp; $B19,【ピボット】処遇改善加算!$A$3,"年月",S$2,"支払区分",S$4),0)</f>
        <v>0</v>
      </c>
      <c r="T19" s="689">
        <f>IFERROR(GETPIVOTDATA("合計 / " &amp; $B19,【ピボット】処遇改善加算!$A$3,"年月",T$2,"支払区分",T$4),0)</f>
        <v>0</v>
      </c>
      <c r="U19" s="689">
        <f>IFERROR(GETPIVOTDATA("合計 / " &amp; $B19,【ピボット】処遇改善加算!$A$3,"年月",U$2,"支払区分",U$4),0)</f>
        <v>0</v>
      </c>
      <c r="V19" s="689">
        <f>IFERROR(GETPIVOTDATA("合計 / " &amp; $B19,【ピボット】処遇改善加算!$A$3,"年月",V$2,"支払区分",V$4),0)</f>
        <v>0</v>
      </c>
      <c r="W19" s="689">
        <f>IFERROR(GETPIVOTDATA("合計 / " &amp; $B19,【ピボット】処遇改善加算!$A$3,"年月",W$2,"支払区分",W$4),0)</f>
        <v>0</v>
      </c>
      <c r="X19" s="689">
        <f>IFERROR(GETPIVOTDATA("合計 / " &amp; $B19,【ピボット】処遇改善加算!$A$3,"年月",X$2,"支払区分",X$4),0)</f>
        <v>0</v>
      </c>
      <c r="Y19" s="689">
        <f>IFERROR(GETPIVOTDATA("合計 / " &amp; $B19,【ピボット】処遇改善加算!$A$3,"年月",Y$2,"支払区分",Y$4),0)</f>
        <v>0</v>
      </c>
      <c r="Z19" s="689">
        <f>IFERROR(GETPIVOTDATA("合計 / " &amp; $B19,【ピボット】処遇改善加算!$A$3,"年月",Z$2,"支払区分",Z$4),0)</f>
        <v>0</v>
      </c>
      <c r="AA19" s="689">
        <f>IFERROR(GETPIVOTDATA("合計 / " &amp; $B19,【ピボット】処遇改善加算!$A$3,"年月",AA$2,"支払区分",AA$4),0)</f>
        <v>0</v>
      </c>
      <c r="AB19" s="689">
        <f>IFERROR(GETPIVOTDATA("合計 / " &amp; $B19,【ピボット】処遇改善加算!$A$3,"年月",AB$2,"支払区分",AB$4),0)</f>
        <v>0</v>
      </c>
      <c r="AC19" s="689">
        <f>IFERROR(GETPIVOTDATA("合計 / " &amp; $B19,【ピボット】処遇改善加算!$A$3,"年月",AC$2,"支払区分",AC$4),0)</f>
        <v>0</v>
      </c>
      <c r="AD19" s="1149">
        <f>IFERROR(GETPIVOTDATA("合計 / " &amp; $B19,【ピボット】処遇改善加算!$A$3,"年月",AD$2,"支払区分",AD$4),0)</f>
        <v>0</v>
      </c>
      <c r="AE19" s="1149">
        <f>IFERROR(GETPIVOTDATA("合計 / " &amp; $B19,【ピボット】処遇改善加算!$A$3,"年月",AE$2,"支払区分",AE$4),0)</f>
        <v>0</v>
      </c>
      <c r="AF19" s="689">
        <f>IFERROR(GETPIVOTDATA("合計 / " &amp; $B19,【ピボット】処遇改善加算!$A$3,"年月",AF$2,"支払区分",AF$4),0)</f>
        <v>0</v>
      </c>
      <c r="AG19" s="689">
        <f>IFERROR(GETPIVOTDATA("合計 / " &amp; $B19,【ピボット】処遇改善加算!$A$3,"年月",AG$2,"支払区分",AG$4),0)</f>
        <v>0</v>
      </c>
      <c r="AH19" s="689">
        <f>IFERROR(GETPIVOTDATA("合計 / " &amp; $B19,【ピボット】処遇改善加算!$A$3,"年月",AH$2,"支払区分",AH$4),0)</f>
        <v>0</v>
      </c>
      <c r="AI19" s="689">
        <f>IFERROR(GETPIVOTDATA("合計 / " &amp; $B19,【ピボット】処遇改善加算!$A$3,"年月",AI$2,"支払区分",AI$4),0)</f>
        <v>0</v>
      </c>
      <c r="AJ19" s="689">
        <f>IFERROR(GETPIVOTDATA("合計 / " &amp; $B19,【ピボット】処遇改善加算!$A$3,"年月",AJ$2,"支払区分",AJ$4),0)</f>
        <v>0</v>
      </c>
      <c r="AK19" s="689">
        <f>IFERROR(GETPIVOTDATA("合計 / " &amp; $B19,【ピボット】処遇改善加算!$A$3,"年月",AK$2,"支払区分",AK$4),0)</f>
        <v>0</v>
      </c>
      <c r="AL19" s="689">
        <f>IFERROR(GETPIVOTDATA("合計 / " &amp; $B19,【ピボット】処遇改善加算!$A$3,"年月",AL$2,"支払区分",AL$4),0)</f>
        <v>0</v>
      </c>
      <c r="AM19" s="689">
        <f>IFERROR(GETPIVOTDATA("合計 / " &amp; $B19,【ピボット】処遇改善加算!$A$3,"年月",AM$2,"支払区分",AM$4),0)</f>
        <v>0</v>
      </c>
      <c r="AN19" s="689">
        <f>IFERROR(GETPIVOTDATA("合計 / " &amp; $B19,【ピボット】処遇改善加算!$A$3,"年月",AN$2,"支払区分",AN$4),0)</f>
        <v>0</v>
      </c>
      <c r="AO19" s="689">
        <f>IFERROR(GETPIVOTDATA("合計 / " &amp; $B19,【ピボット】処遇改善加算!$A$3,"年月",AO$2,"支払区分",AO$4),0)</f>
        <v>0</v>
      </c>
      <c r="AP19" s="689">
        <f>IFERROR(GETPIVOTDATA("合計 / " &amp; $B19,【ピボット】処遇改善加算!$A$3,"年月",AP$2,"支払区分",AP$4),0)</f>
        <v>0</v>
      </c>
      <c r="AQ19" s="689">
        <f>IFERROR(GETPIVOTDATA("合計 / " &amp; $B19,【ピボット】処遇改善加算!$A$3,"年月",AQ$2,"支払区分",AQ$4),0)</f>
        <v>0</v>
      </c>
      <c r="AR19" s="689">
        <f>IFERROR(GETPIVOTDATA("合計 / " &amp; $B19,【ピボット】処遇改善加算!$A$3,"年月",AR$2,"支払区分",AR$4),0)</f>
        <v>0</v>
      </c>
      <c r="AS19" s="689">
        <f>IFERROR(GETPIVOTDATA("合計 / " &amp; $B19,【ピボット】処遇改善加算!$A$3,"年月",AS$2,"支払区分",AS$4),0)</f>
        <v>0</v>
      </c>
      <c r="AT19" s="689">
        <f>IFERROR(GETPIVOTDATA("合計 / " &amp; $B19,【ピボット】処遇改善加算!$A$3,"年月",AT$2,"支払区分",AT$4),0)</f>
        <v>0</v>
      </c>
      <c r="AU19" s="689">
        <f>IFERROR(GETPIVOTDATA("合計 / " &amp; $B19,【ピボット】処遇改善加算!$A$3,"年月",AU$2,"支払区分",AU$4),0)</f>
        <v>0</v>
      </c>
      <c r="AV19" s="689">
        <f>IFERROR(GETPIVOTDATA("合計 / " &amp; $B19,【ピボット】処遇改善加算!$A$3,"年月",AV$2,"支払区分",AV$4),0)</f>
        <v>0</v>
      </c>
      <c r="AW19" s="689">
        <f>IFERROR(GETPIVOTDATA("合計 / " &amp; $B19,【ピボット】処遇改善加算!$A$3,"年月",AW$2,"支払区分",AW$4),0)</f>
        <v>0</v>
      </c>
      <c r="AX19" s="689">
        <f>IFERROR(GETPIVOTDATA("合計 / " &amp; $B19,【ピボット】処遇改善加算!$A$3,"年月",AX$2,"支払区分",AX$4),0)</f>
        <v>0</v>
      </c>
      <c r="AY19" s="689">
        <f>IFERROR(GETPIVOTDATA("合計 / " &amp; $B19,【ピボット】処遇改善加算!$A$3,"年月",AY$2,"支払区分",AY$4),0)</f>
        <v>0</v>
      </c>
    </row>
    <row r="20" spans="1:51" ht="35.25" customHeight="1" x14ac:dyDescent="0.15">
      <c r="A20" s="2112"/>
      <c r="B20" s="10" t="s">
        <v>158</v>
      </c>
      <c r="C20" s="689">
        <f>IFERROR(GETPIVOTDATA("合計 / " &amp; $B20,【ピボット】処遇改善加算!$A$3,"年月",C$2,"支払区分",C$4),0)</f>
        <v>53691</v>
      </c>
      <c r="D20" s="689">
        <f>IFERROR(GETPIVOTDATA("合計 / " &amp; $B20,【ピボット】処遇改善加算!$A$3,"年月",D$2,"支払区分",D$4),0)</f>
        <v>50202</v>
      </c>
      <c r="E20" s="689">
        <f>IFERROR(GETPIVOTDATA("合計 / " &amp; $B20,【ピボット】処遇改善加算!$A$3,"年月",E$2,"支払区分",E$4),0)</f>
        <v>52303</v>
      </c>
      <c r="F20" s="689">
        <f>IFERROR(GETPIVOTDATA("合計 / " &amp; $B20,【ピボット】処遇改善加算!$A$3,"年月",F$2,"支払区分",F$4),0)</f>
        <v>62541</v>
      </c>
      <c r="G20" s="689">
        <f>IFERROR(GETPIVOTDATA("合計 / " &amp; $B20,【ピボット】処遇改善加算!$A$3,"年月",G$2,"支払区分",G$4),0)</f>
        <v>120000</v>
      </c>
      <c r="H20" s="689">
        <f>IFERROR(GETPIVOTDATA("合計 / " &amp; $B20,【ピボット】処遇改善加算!$A$3,"年月",H$2,"支払区分",H$4),0)</f>
        <v>56637</v>
      </c>
      <c r="I20" s="689">
        <f>IFERROR(GETPIVOTDATA("合計 / " &amp; $B20,【ピボット】処遇改善加算!$A$3,"年月",I$2,"支払区分",I$4),0)</f>
        <v>58705</v>
      </c>
      <c r="J20" s="689">
        <f>IFERROR(GETPIVOTDATA("合計 / " &amp; $B20,【ピボット】処遇改善加算!$A$3,"年月",J$2,"支払区分",J$4),0)</f>
        <v>53965</v>
      </c>
      <c r="K20" s="689">
        <f>IFERROR(GETPIVOTDATA("合計 / " &amp; $B20,【ピボット】処遇改善加算!$A$3,"年月",K$2,"支払区分",K$4),0)</f>
        <v>155347</v>
      </c>
      <c r="L20" s="689">
        <f>IFERROR(GETPIVOTDATA("合計 / " &amp; $B20,【ピボット】処遇改善加算!$A$3,"年月",L$2,"支払区分",L$4),0)</f>
        <v>152215</v>
      </c>
      <c r="M20" s="689">
        <f>IFERROR(GETPIVOTDATA("合計 / " &amp; $B20,【ピボット】処遇改善加算!$A$3,"年月",M$2,"支払区分",M$4),0)</f>
        <v>172616</v>
      </c>
      <c r="N20" s="689">
        <f>IFERROR(GETPIVOTDATA("合計 / " &amp; $B20,【ピボット】処遇改善加算!$A$3,"年月",N$2,"支払区分",N$4),0)</f>
        <v>0</v>
      </c>
      <c r="O20" s="689">
        <f>IFERROR(GETPIVOTDATA("合計 / " &amp; $B20,【ピボット】処遇改善加算!$A$3,"年月",O$2,"支払区分",O$4),0)</f>
        <v>183245</v>
      </c>
      <c r="P20" s="689">
        <f>IFERROR(GETPIVOTDATA("合計 / " &amp; $B20,【ピボット】処遇改善加算!$A$3,"年月",P$2,"支払区分",P$4),0)</f>
        <v>203367</v>
      </c>
      <c r="Q20" s="689">
        <f>IFERROR(GETPIVOTDATA("合計 / " &amp; $B20,【ピボット】処遇改善加算!$A$3,"年月",Q$2,"支払区分",Q$4),0)</f>
        <v>155965</v>
      </c>
      <c r="R20" s="689">
        <f>IFERROR(GETPIVOTDATA("合計 / " &amp; $B20,【ピボット】処遇改善加算!$A$3,"年月",R$2,"支払区分",R$4),0)</f>
        <v>139910</v>
      </c>
      <c r="S20" s="689">
        <f>IFERROR(GETPIVOTDATA("合計 / " &amp; $B20,【ピボット】処遇改善加算!$A$3,"年月",S$2,"支払区分",S$4),0)</f>
        <v>144695</v>
      </c>
      <c r="T20" s="689">
        <f>IFERROR(GETPIVOTDATA("合計 / " &amp; $B20,【ピボット】処遇改善加算!$A$3,"年月",T$2,"支払区分",T$4),0)</f>
        <v>181845</v>
      </c>
      <c r="U20" s="689">
        <f>IFERROR(GETPIVOTDATA("合計 / " &amp; $B20,【ピボット】処遇改善加算!$A$3,"年月",U$2,"支払区分",U$4),0)</f>
        <v>0</v>
      </c>
      <c r="V20" s="689">
        <f>IFERROR(GETPIVOTDATA("合計 / " &amp; $B20,【ピボット】処遇改善加算!$A$3,"年月",V$2,"支払区分",V$4),0)</f>
        <v>144695</v>
      </c>
      <c r="W20" s="689">
        <f>IFERROR(GETPIVOTDATA("合計 / " &amp; $B20,【ピボット】処遇改善加算!$A$3,"年月",W$2,"支払区分",W$4),0)</f>
        <v>143634</v>
      </c>
      <c r="X20" s="689">
        <f>IFERROR(GETPIVOTDATA("合計 / " &amp; $B20,【ピボット】処遇改善加算!$A$3,"年月",X$2,"支払区分",X$4),0)</f>
        <v>149447</v>
      </c>
      <c r="Y20" s="689">
        <f>IFERROR(GETPIVOTDATA("合計 / " &amp; $B20,【ピボット】処遇改善加算!$A$3,"年月",Y$2,"支払区分",Y$4),0)</f>
        <v>177727</v>
      </c>
      <c r="Z20" s="689">
        <f>IFERROR(GETPIVOTDATA("合計 / " &amp; $B20,【ピボット】処遇改善加算!$A$3,"年月",Z$2,"支払区分",Z$4),0)</f>
        <v>171435</v>
      </c>
      <c r="AA20" s="689">
        <f>IFERROR(GETPIVOTDATA("合計 / " &amp; $B20,【ピボット】処遇改善加算!$A$3,"年月",AA$2,"支払区分",AA$4),0)</f>
        <v>182772</v>
      </c>
      <c r="AB20" s="689">
        <f>IFERROR(GETPIVOTDATA("合計 / " &amp; $B20,【ピボット】処遇改善加算!$A$3,"年月",AB$2,"支払区分",AB$4),0)</f>
        <v>0</v>
      </c>
      <c r="AC20" s="689">
        <f>IFERROR(GETPIVOTDATA("合計 / " &amp; $B20,【ピボット】処遇改善加算!$A$3,"年月",AC$2,"支払区分",AC$4),0)</f>
        <v>159668</v>
      </c>
      <c r="AD20" s="1149">
        <f>IFERROR(GETPIVOTDATA("合計 / " &amp; $B20,【ピボット】処遇改善加算!$A$3,"年月",AD$2,"支払区分",AD$4),0)</f>
        <v>141510</v>
      </c>
      <c r="AE20" s="1149">
        <f>IFERROR(GETPIVOTDATA("合計 / " &amp; $B20,【ピボット】処遇改善加算!$A$3,"年月",AE$2,"支払区分",AE$4),0)</f>
        <v>0</v>
      </c>
      <c r="AF20" s="689">
        <f>IFERROR(GETPIVOTDATA("合計 / " &amp; $B20,【ピボット】処遇改善加算!$A$3,"年月",AF$2,"支払区分",AF$4),0)</f>
        <v>143108</v>
      </c>
      <c r="AG20" s="689">
        <f>IFERROR(GETPIVOTDATA("合計 / " &amp; $B20,【ピボット】処遇改善加算!$A$3,"年月",AG$2,"支払区分",AG$4),0)</f>
        <v>149476</v>
      </c>
      <c r="AH20" s="689">
        <f>IFERROR(GETPIVOTDATA("合計 / " &amp; $B20,【ピボット】処遇改善加算!$A$3,"年月",AH$2,"支払区分",AH$4),0)</f>
        <v>153739</v>
      </c>
      <c r="AI20" s="689">
        <f>IFERROR(GETPIVOTDATA("合計 / " &amp; $B20,【ピボット】処遇改善加算!$A$3,"年月",AI$2,"支払区分",AI$4),0)</f>
        <v>154098</v>
      </c>
      <c r="AJ20" s="689">
        <f>IFERROR(GETPIVOTDATA("合計 / " &amp; $B20,【ピボット】処遇改善加算!$A$3,"年月",AJ$2,"支払区分",AJ$4),0)</f>
        <v>0</v>
      </c>
      <c r="AK20" s="689">
        <f>IFERROR(GETPIVOTDATA("合計 / " &amp; $B20,【ピボット】処遇改善加算!$A$3,"年月",AK$2,"支払区分",AK$4),0)</f>
        <v>151348</v>
      </c>
      <c r="AL20" s="689">
        <f>IFERROR(GETPIVOTDATA("合計 / " &amp; $B20,【ピボット】処遇改善加算!$A$3,"年月",AL$2,"支払区分",AL$4),0)</f>
        <v>162949</v>
      </c>
      <c r="AM20" s="689">
        <f>IFERROR(GETPIVOTDATA("合計 / " &amp; $B20,【ピボット】処遇改善加算!$A$3,"年月",AM$2,"支払区分",AM$4),0)</f>
        <v>167616</v>
      </c>
      <c r="AN20" s="689">
        <f>IFERROR(GETPIVOTDATA("合計 / " &amp; $B20,【ピボット】処遇改善加算!$A$3,"年月",AN$2,"支払区分",AN$4),0)</f>
        <v>146442</v>
      </c>
      <c r="AO20" s="689">
        <f>IFERROR(GETPIVOTDATA("合計 / " &amp; $B20,【ピボット】処遇改善加算!$A$3,"年月",AO$2,"支払区分",AO$4),0)</f>
        <v>0</v>
      </c>
      <c r="AP20" s="689">
        <f>IFERROR(GETPIVOTDATA("合計 / " &amp; $B20,【ピボット】処遇改善加算!$A$3,"年月",AP$2,"支払区分",AP$4),0)</f>
        <v>0</v>
      </c>
      <c r="AQ20" s="689">
        <f>IFERROR(GETPIVOTDATA("合計 / " &amp; $B20,【ピボット】処遇改善加算!$A$3,"年月",AQ$2,"支払区分",AQ$4),0)</f>
        <v>0</v>
      </c>
      <c r="AR20" s="689">
        <f>IFERROR(GETPIVOTDATA("合計 / " &amp; $B20,【ピボット】処遇改善加算!$A$3,"年月",AR$2,"支払区分",AR$4),0)</f>
        <v>0</v>
      </c>
      <c r="AS20" s="689">
        <f>IFERROR(GETPIVOTDATA("合計 / " &amp; $B20,【ピボット】処遇改善加算!$A$3,"年月",AS$2,"支払区分",AS$4),0)</f>
        <v>0</v>
      </c>
      <c r="AT20" s="689">
        <f>IFERROR(GETPIVOTDATA("合計 / " &amp; $B20,【ピボット】処遇改善加算!$A$3,"年月",AT$2,"支払区分",AT$4),0)</f>
        <v>0</v>
      </c>
      <c r="AU20" s="689">
        <f>IFERROR(GETPIVOTDATA("合計 / " &amp; $B20,【ピボット】処遇改善加算!$A$3,"年月",AU$2,"支払区分",AU$4),0)</f>
        <v>0</v>
      </c>
      <c r="AV20" s="689">
        <f>IFERROR(GETPIVOTDATA("合計 / " &amp; $B20,【ピボット】処遇改善加算!$A$3,"年月",AV$2,"支払区分",AV$4),0)</f>
        <v>0</v>
      </c>
      <c r="AW20" s="689">
        <f>IFERROR(GETPIVOTDATA("合計 / " &amp; $B20,【ピボット】処遇改善加算!$A$3,"年月",AW$2,"支払区分",AW$4),0)</f>
        <v>0</v>
      </c>
      <c r="AX20" s="689">
        <f>IFERROR(GETPIVOTDATA("合計 / " &amp; $B20,【ピボット】処遇改善加算!$A$3,"年月",AX$2,"支払区分",AX$4),0)</f>
        <v>0</v>
      </c>
      <c r="AY20" s="689">
        <f>IFERROR(GETPIVOTDATA("合計 / " &amp; $B20,【ピボット】処遇改善加算!$A$3,"年月",AY$2,"支払区分",AY$4),0)</f>
        <v>0</v>
      </c>
    </row>
    <row r="21" spans="1:51" ht="35.25" customHeight="1" x14ac:dyDescent="0.15">
      <c r="A21" s="2112"/>
      <c r="B21" s="10" t="s">
        <v>233</v>
      </c>
      <c r="C21" s="689">
        <f>IFERROR(GETPIVOTDATA("合計 / " &amp; $B21,【ピボット】処遇改善加算!$A$3,"年月",C$2,"支払区分",C$4),0)</f>
        <v>4109</v>
      </c>
      <c r="D21" s="689">
        <f>IFERROR(GETPIVOTDATA("合計 / " &amp; $B21,【ピボット】処遇改善加算!$A$3,"年月",D$2,"支払区分",D$4),0)</f>
        <v>3948</v>
      </c>
      <c r="E21" s="689">
        <f>IFERROR(GETPIVOTDATA("合計 / " &amp; $B21,【ピボット】処遇改善加算!$A$3,"年月",E$2,"支払区分",E$4),0)</f>
        <v>4727</v>
      </c>
      <c r="F21" s="689">
        <f>IFERROR(GETPIVOTDATA("合計 / " &amp; $B21,【ピボット】処遇改善加算!$A$3,"年月",F$2,"支払区分",F$4),0)</f>
        <v>3940</v>
      </c>
      <c r="G21" s="689">
        <f>IFERROR(GETPIVOTDATA("合計 / " &amp; $B21,【ピボット】処遇改善加算!$A$3,"年月",G$2,"支払区分",G$4),0)</f>
        <v>30000</v>
      </c>
      <c r="H21" s="689">
        <f>IFERROR(GETPIVOTDATA("合計 / " &amp; $B21,【ピボット】処遇改善加算!$A$3,"年月",H$2,"支払区分",H$4),0)</f>
        <v>4227</v>
      </c>
      <c r="I21" s="689">
        <f>IFERROR(GETPIVOTDATA("合計 / " &amp; $B21,【ピボット】処遇改善加算!$A$3,"年月",I$2,"支払区分",I$4),0)</f>
        <v>3761</v>
      </c>
      <c r="J21" s="689">
        <f>IFERROR(GETPIVOTDATA("合計 / " &amp; $B21,【ピボット】処遇改善加算!$A$3,"年月",J$2,"支払区分",J$4),0)</f>
        <v>3868</v>
      </c>
      <c r="K21" s="689">
        <f>IFERROR(GETPIVOTDATA("合計 / " &amp; $B21,【ピボット】処遇改善加算!$A$3,"年月",K$2,"支払区分",K$4),0)</f>
        <v>22899</v>
      </c>
      <c r="L21" s="689">
        <f>IFERROR(GETPIVOTDATA("合計 / " &amp; $B21,【ピボット】処遇改善加算!$A$3,"年月",L$2,"支払区分",L$4),0)</f>
        <v>18375</v>
      </c>
      <c r="M21" s="689">
        <f>IFERROR(GETPIVOTDATA("合計 / " &amp; $B21,【ピボット】処遇改善加算!$A$3,"年月",M$2,"支払区分",M$4),0)</f>
        <v>20769</v>
      </c>
      <c r="N21" s="689">
        <f>IFERROR(GETPIVOTDATA("合計 / " &amp; $B21,【ピボット】処遇改善加算!$A$3,"年月",N$2,"支払区分",N$4),0)</f>
        <v>0</v>
      </c>
      <c r="O21" s="689">
        <f>IFERROR(GETPIVOTDATA("合計 / " &amp; $B21,【ピボット】処遇改善加算!$A$3,"年月",O$2,"支払区分",O$4),0)</f>
        <v>19473</v>
      </c>
      <c r="P21" s="689">
        <f>IFERROR(GETPIVOTDATA("合計 / " &amp; $B21,【ピボット】処遇改善加算!$A$3,"年月",P$2,"支払区分",P$4),0)</f>
        <v>15476</v>
      </c>
      <c r="Q21" s="689">
        <f>IFERROR(GETPIVOTDATA("合計 / " &amp; $B21,【ピボット】処遇改善加算!$A$3,"年月",Q$2,"支払区分",Q$4),0)</f>
        <v>17033</v>
      </c>
      <c r="R21" s="689">
        <f>IFERROR(GETPIVOTDATA("合計 / " &amp; $B21,【ピボット】処遇改善加算!$A$3,"年月",R$2,"支払区分",R$4),0)</f>
        <v>18360</v>
      </c>
      <c r="S21" s="689">
        <f>IFERROR(GETPIVOTDATA("合計 / " &amp; $B21,【ピボット】処遇改善加算!$A$3,"年月",S$2,"支払区分",S$4),0)</f>
        <v>17448</v>
      </c>
      <c r="T21" s="689">
        <f>IFERROR(GETPIVOTDATA("合計 / " &amp; $B21,【ピボット】処遇改善加算!$A$3,"年月",T$2,"支払区分",T$4),0)</f>
        <v>28628</v>
      </c>
      <c r="U21" s="689">
        <f>IFERROR(GETPIVOTDATA("合計 / " &amp; $B21,【ピボット】処遇改善加算!$A$3,"年月",U$2,"支払区分",U$4),0)</f>
        <v>0</v>
      </c>
      <c r="V21" s="689">
        <f>IFERROR(GETPIVOTDATA("合計 / " &amp; $B21,【ピボット】処遇改善加算!$A$3,"年月",V$2,"支払区分",V$4),0)</f>
        <v>17661</v>
      </c>
      <c r="W21" s="689">
        <f>IFERROR(GETPIVOTDATA("合計 / " &amp; $B21,【ピボット】処遇改善加算!$A$3,"年月",W$2,"支払区分",W$4),0)</f>
        <v>15619</v>
      </c>
      <c r="X21" s="689">
        <f>IFERROR(GETPIVOTDATA("合計 / " &amp; $B21,【ピボット】処遇改善加算!$A$3,"年月",X$2,"支払区分",X$4),0)</f>
        <v>17124</v>
      </c>
      <c r="Y21" s="689">
        <f>IFERROR(GETPIVOTDATA("合計 / " &amp; $B21,【ピボット】処遇改善加算!$A$3,"年月",Y$2,"支払区分",Y$4),0)</f>
        <v>15220</v>
      </c>
      <c r="Z21" s="689">
        <f>IFERROR(GETPIVOTDATA("合計 / " &amp; $B21,【ピボット】処遇改善加算!$A$3,"年月",Z$2,"支払区分",Z$4),0)</f>
        <v>15717</v>
      </c>
      <c r="AA21" s="689">
        <f>IFERROR(GETPIVOTDATA("合計 / " &amp; $B21,【ピボット】処遇改善加算!$A$3,"年月",AA$2,"支払区分",AA$4),0)</f>
        <v>16601</v>
      </c>
      <c r="AB21" s="689">
        <f>IFERROR(GETPIVOTDATA("合計 / " &amp; $B21,【ピボット】処遇改善加算!$A$3,"年月",AB$2,"支払区分",AB$4),0)</f>
        <v>0</v>
      </c>
      <c r="AC21" s="689">
        <f>IFERROR(GETPIVOTDATA("合計 / " &amp; $B21,【ピボット】処遇改善加算!$A$3,"年月",AC$2,"支払区分",AC$4),0)</f>
        <v>16656</v>
      </c>
      <c r="AD21" s="1149">
        <f>IFERROR(GETPIVOTDATA("合計 / " &amp; $B21,【ピボット】処遇改善加算!$A$3,"年月",AD$2,"支払区分",AD$4),0)</f>
        <v>14241</v>
      </c>
      <c r="AE21" s="1149">
        <f>IFERROR(GETPIVOTDATA("合計 / " &amp; $B21,【ピボット】処遇改善加算!$A$3,"年月",AE$2,"支払区分",AE$4),0)</f>
        <v>0</v>
      </c>
      <c r="AF21" s="689">
        <f>IFERROR(GETPIVOTDATA("合計 / " &amp; $B21,【ピボット】処遇改善加算!$A$3,"年月",AF$2,"支払区分",AF$4),0)</f>
        <v>17084</v>
      </c>
      <c r="AG21" s="689">
        <f>IFERROR(GETPIVOTDATA("合計 / " &amp; $B21,【ピボット】処遇改善加算!$A$3,"年月",AG$2,"支払区分",AG$4),0)</f>
        <v>17996</v>
      </c>
      <c r="AH21" s="689">
        <f>IFERROR(GETPIVOTDATA("合計 / " &amp; $B21,【ピボット】処遇改善加算!$A$3,"年月",AH$2,"支払区分",AH$4),0)</f>
        <v>15400</v>
      </c>
      <c r="AI21" s="689">
        <f>IFERROR(GETPIVOTDATA("合計 / " &amp; $B21,【ピボット】処遇改善加算!$A$3,"年月",AI$2,"支払区分",AI$4),0)</f>
        <v>16974</v>
      </c>
      <c r="AJ21" s="689">
        <f>IFERROR(GETPIVOTDATA("合計 / " &amp; $B21,【ピボット】処遇改善加算!$A$3,"年月",AJ$2,"支払区分",AJ$4),0)</f>
        <v>0</v>
      </c>
      <c r="AK21" s="689">
        <f>IFERROR(GETPIVOTDATA("合計 / " &amp; $B21,【ピボット】処遇改善加算!$A$3,"年月",AK$2,"支払区分",AK$4),0)</f>
        <v>16424</v>
      </c>
      <c r="AL21" s="689">
        <f>IFERROR(GETPIVOTDATA("合計 / " &amp; $B21,【ピボット】処遇改善加算!$A$3,"年月",AL$2,"支払区分",AL$4),0)</f>
        <v>13218</v>
      </c>
      <c r="AM21" s="689">
        <f>IFERROR(GETPIVOTDATA("合計 / " &amp; $B21,【ピボット】処遇改善加算!$A$3,"年月",AM$2,"支払区分",AM$4),0)</f>
        <v>14561</v>
      </c>
      <c r="AN21" s="689">
        <f>IFERROR(GETPIVOTDATA("合計 / " &amp; $B21,【ピボット】処遇改善加算!$A$3,"年月",AN$2,"支払区分",AN$4),0)</f>
        <v>13714</v>
      </c>
      <c r="AO21" s="689">
        <f>IFERROR(GETPIVOTDATA("合計 / " &amp; $B21,【ピボット】処遇改善加算!$A$3,"年月",AO$2,"支払区分",AO$4),0)</f>
        <v>0</v>
      </c>
      <c r="AP21" s="689">
        <f>IFERROR(GETPIVOTDATA("合計 / " &amp; $B21,【ピボット】処遇改善加算!$A$3,"年月",AP$2,"支払区分",AP$4),0)</f>
        <v>0</v>
      </c>
      <c r="AQ21" s="689">
        <f>IFERROR(GETPIVOTDATA("合計 / " &amp; $B21,【ピボット】処遇改善加算!$A$3,"年月",AQ$2,"支払区分",AQ$4),0)</f>
        <v>0</v>
      </c>
      <c r="AR21" s="689">
        <f>IFERROR(GETPIVOTDATA("合計 / " &amp; $B21,【ピボット】処遇改善加算!$A$3,"年月",AR$2,"支払区分",AR$4),0)</f>
        <v>0</v>
      </c>
      <c r="AS21" s="689">
        <f>IFERROR(GETPIVOTDATA("合計 / " &amp; $B21,【ピボット】処遇改善加算!$A$3,"年月",AS$2,"支払区分",AS$4),0)</f>
        <v>0</v>
      </c>
      <c r="AT21" s="689">
        <f>IFERROR(GETPIVOTDATA("合計 / " &amp; $B21,【ピボット】処遇改善加算!$A$3,"年月",AT$2,"支払区分",AT$4),0)</f>
        <v>0</v>
      </c>
      <c r="AU21" s="689">
        <f>IFERROR(GETPIVOTDATA("合計 / " &amp; $B21,【ピボット】処遇改善加算!$A$3,"年月",AU$2,"支払区分",AU$4),0)</f>
        <v>0</v>
      </c>
      <c r="AV21" s="689">
        <f>IFERROR(GETPIVOTDATA("合計 / " &amp; $B21,【ピボット】処遇改善加算!$A$3,"年月",AV$2,"支払区分",AV$4),0)</f>
        <v>0</v>
      </c>
      <c r="AW21" s="689">
        <f>IFERROR(GETPIVOTDATA("合計 / " &amp; $B21,【ピボット】処遇改善加算!$A$3,"年月",AW$2,"支払区分",AW$4),0)</f>
        <v>0</v>
      </c>
      <c r="AX21" s="689">
        <f>IFERROR(GETPIVOTDATA("合計 / " &amp; $B21,【ピボット】処遇改善加算!$A$3,"年月",AX$2,"支払区分",AX$4),0)</f>
        <v>0</v>
      </c>
      <c r="AY21" s="689">
        <f>IFERROR(GETPIVOTDATA("合計 / " &amp; $B21,【ピボット】処遇改善加算!$A$3,"年月",AY$2,"支払区分",AY$4),0)</f>
        <v>0</v>
      </c>
    </row>
    <row r="22" spans="1:51" ht="35.25" customHeight="1" x14ac:dyDescent="0.15">
      <c r="A22" s="2112"/>
      <c r="B22" s="10" t="s">
        <v>234</v>
      </c>
      <c r="C22" s="689">
        <f>IFERROR(GETPIVOTDATA("合計 / " &amp; $B22,【ピボット】処遇改善加算!$A$3,"年月",C$2,"支払区分",C$4),0)</f>
        <v>3268</v>
      </c>
      <c r="D22" s="689">
        <f>IFERROR(GETPIVOTDATA("合計 / " &amp; $B22,【ピボット】処遇改善加算!$A$3,"年月",D$2,"支払区分",D$4),0)</f>
        <v>2883</v>
      </c>
      <c r="E22" s="689">
        <f>IFERROR(GETPIVOTDATA("合計 / " &amp; $B22,【ピボット】処遇改善加算!$A$3,"年月",E$2,"支払区分",E$4),0)</f>
        <v>2190</v>
      </c>
      <c r="F22" s="689">
        <f>IFERROR(GETPIVOTDATA("合計 / " &amp; $B22,【ピボット】処遇改善加算!$A$3,"年月",F$2,"支払区分",F$4),0)</f>
        <v>942</v>
      </c>
      <c r="G22" s="689">
        <f>IFERROR(GETPIVOTDATA("合計 / " &amp; $B22,【ピボット】処遇改善加算!$A$3,"年月",G$2,"支払区分",G$4),0)</f>
        <v>0</v>
      </c>
      <c r="H22" s="689">
        <f>IFERROR(GETPIVOTDATA("合計 / " &amp; $B22,【ピボット】処遇改善加算!$A$3,"年月",H$2,"支払区分",H$4),0)</f>
        <v>1013</v>
      </c>
      <c r="I22" s="689">
        <f>IFERROR(GETPIVOTDATA("合計 / " &amp; $B22,【ピボット】処遇改善加算!$A$3,"年月",I$2,"支払区分",I$4),0)</f>
        <v>1035</v>
      </c>
      <c r="J22" s="689">
        <f>IFERROR(GETPIVOTDATA("合計 / " &amp; $B22,【ピボット】処遇改善加算!$A$3,"年月",J$2,"支払区分",J$4),0)</f>
        <v>1125</v>
      </c>
      <c r="K22" s="689">
        <f>IFERROR(GETPIVOTDATA("合計 / " &amp; $B22,【ピボット】処遇改善加算!$A$3,"年月",K$2,"支払区分",K$4),0)</f>
        <v>0</v>
      </c>
      <c r="L22" s="689">
        <f>IFERROR(GETPIVOTDATA("合計 / " &amp; $B22,【ピボット】処遇改善加算!$A$3,"年月",L$2,"支払区分",L$4),0)</f>
        <v>0</v>
      </c>
      <c r="M22" s="689">
        <f>IFERROR(GETPIVOTDATA("合計 / " &amp; $B22,【ピボット】処遇改善加算!$A$3,"年月",M$2,"支払区分",M$4),0)</f>
        <v>0</v>
      </c>
      <c r="N22" s="689">
        <f>IFERROR(GETPIVOTDATA("合計 / " &amp; $B22,【ピボット】処遇改善加算!$A$3,"年月",N$2,"支払区分",N$4),0)</f>
        <v>0</v>
      </c>
      <c r="O22" s="689">
        <f>IFERROR(GETPIVOTDATA("合計 / " &amp; $B22,【ピボット】処遇改善加算!$A$3,"年月",O$2,"支払区分",O$4),0)</f>
        <v>0</v>
      </c>
      <c r="P22" s="689">
        <f>IFERROR(GETPIVOTDATA("合計 / " &amp; $B22,【ピボット】処遇改善加算!$A$3,"年月",P$2,"支払区分",P$4),0)</f>
        <v>0</v>
      </c>
      <c r="Q22" s="689">
        <f>IFERROR(GETPIVOTDATA("合計 / " &amp; $B22,【ピボット】処遇改善加算!$A$3,"年月",Q$2,"支払区分",Q$4),0)</f>
        <v>0</v>
      </c>
      <c r="R22" s="689">
        <f>IFERROR(GETPIVOTDATA("合計 / " &amp; $B22,【ピボット】処遇改善加算!$A$3,"年月",R$2,"支払区分",R$4),0)</f>
        <v>0</v>
      </c>
      <c r="S22" s="689">
        <f>IFERROR(GETPIVOTDATA("合計 / " &amp; $B22,【ピボット】処遇改善加算!$A$3,"年月",S$2,"支払区分",S$4),0)</f>
        <v>0</v>
      </c>
      <c r="T22" s="689">
        <f>IFERROR(GETPIVOTDATA("合計 / " &amp; $B22,【ピボット】処遇改善加算!$A$3,"年月",T$2,"支払区分",T$4),0)</f>
        <v>7000</v>
      </c>
      <c r="U22" s="689">
        <f>IFERROR(GETPIVOTDATA("合計 / " &amp; $B22,【ピボット】処遇改善加算!$A$3,"年月",U$2,"支払区分",U$4),0)</f>
        <v>0</v>
      </c>
      <c r="V22" s="689">
        <f>IFERROR(GETPIVOTDATA("合計 / " &amp; $B22,【ピボット】処遇改善加算!$A$3,"年月",V$2,"支払区分",V$4),0)</f>
        <v>0</v>
      </c>
      <c r="W22" s="689">
        <f>IFERROR(GETPIVOTDATA("合計 / " &amp; $B22,【ピボット】処遇改善加算!$A$3,"年月",W$2,"支払区分",W$4),0)</f>
        <v>0</v>
      </c>
      <c r="X22" s="689">
        <f>IFERROR(GETPIVOTDATA("合計 / " &amp; $B22,【ピボット】処遇改善加算!$A$3,"年月",X$2,"支払区分",X$4),0)</f>
        <v>0</v>
      </c>
      <c r="Y22" s="689">
        <f>IFERROR(GETPIVOTDATA("合計 / " &amp; $B22,【ピボット】処遇改善加算!$A$3,"年月",Y$2,"支払区分",Y$4),0)</f>
        <v>0</v>
      </c>
      <c r="Z22" s="689">
        <f>IFERROR(GETPIVOTDATA("合計 / " &amp; $B22,【ピボット】処遇改善加算!$A$3,"年月",Z$2,"支払区分",Z$4),0)</f>
        <v>0</v>
      </c>
      <c r="AA22" s="689">
        <f>IFERROR(GETPIVOTDATA("合計 / " &amp; $B22,【ピボット】処遇改善加算!$A$3,"年月",AA$2,"支払区分",AA$4),0)</f>
        <v>0</v>
      </c>
      <c r="AB22" s="689">
        <f>IFERROR(GETPIVOTDATA("合計 / " &amp; $B22,【ピボット】処遇改善加算!$A$3,"年月",AB$2,"支払区分",AB$4),0)</f>
        <v>0</v>
      </c>
      <c r="AC22" s="689">
        <f>IFERROR(GETPIVOTDATA("合計 / " &amp; $B22,【ピボット】処遇改善加算!$A$3,"年月",AC$2,"支払区分",AC$4),0)</f>
        <v>0</v>
      </c>
      <c r="AD22" s="1149">
        <f>IFERROR(GETPIVOTDATA("合計 / " &amp; $B22,【ピボット】処遇改善加算!$A$3,"年月",AD$2,"支払区分",AD$4),0)</f>
        <v>0</v>
      </c>
      <c r="AE22" s="1149">
        <f>IFERROR(GETPIVOTDATA("合計 / " &amp; $B22,【ピボット】処遇改善加算!$A$3,"年月",AE$2,"支払区分",AE$4),0)</f>
        <v>0</v>
      </c>
      <c r="AF22" s="689">
        <f>IFERROR(GETPIVOTDATA("合計 / " &amp; $B22,【ピボット】処遇改善加算!$A$3,"年月",AF$2,"支払区分",AF$4),0)</f>
        <v>0</v>
      </c>
      <c r="AG22" s="689">
        <f>IFERROR(GETPIVOTDATA("合計 / " &amp; $B22,【ピボット】処遇改善加算!$A$3,"年月",AG$2,"支払区分",AG$4),0)</f>
        <v>0</v>
      </c>
      <c r="AH22" s="689">
        <f>IFERROR(GETPIVOTDATA("合計 / " &amp; $B22,【ピボット】処遇改善加算!$A$3,"年月",AH$2,"支払区分",AH$4),0)</f>
        <v>0</v>
      </c>
      <c r="AI22" s="689">
        <f>IFERROR(GETPIVOTDATA("合計 / " &amp; $B22,【ピボット】処遇改善加算!$A$3,"年月",AI$2,"支払区分",AI$4),0)</f>
        <v>0</v>
      </c>
      <c r="AJ22" s="689">
        <f>IFERROR(GETPIVOTDATA("合計 / " &amp; $B22,【ピボット】処遇改善加算!$A$3,"年月",AJ$2,"支払区分",AJ$4),0)</f>
        <v>0</v>
      </c>
      <c r="AK22" s="689">
        <f>IFERROR(GETPIVOTDATA("合計 / " &amp; $B22,【ピボット】処遇改善加算!$A$3,"年月",AK$2,"支払区分",AK$4),0)</f>
        <v>0</v>
      </c>
      <c r="AL22" s="689">
        <f>IFERROR(GETPIVOTDATA("合計 / " &amp; $B22,【ピボット】処遇改善加算!$A$3,"年月",AL$2,"支払区分",AL$4),0)</f>
        <v>0</v>
      </c>
      <c r="AM22" s="689">
        <f>IFERROR(GETPIVOTDATA("合計 / " &amp; $B22,【ピボット】処遇改善加算!$A$3,"年月",AM$2,"支払区分",AM$4),0)</f>
        <v>0</v>
      </c>
      <c r="AN22" s="689">
        <f>IFERROR(GETPIVOTDATA("合計 / " &amp; $B22,【ピボット】処遇改善加算!$A$3,"年月",AN$2,"支払区分",AN$4),0)</f>
        <v>0</v>
      </c>
      <c r="AO22" s="689">
        <f>IFERROR(GETPIVOTDATA("合計 / " &amp; $B22,【ピボット】処遇改善加算!$A$3,"年月",AO$2,"支払区分",AO$4),0)</f>
        <v>0</v>
      </c>
      <c r="AP22" s="689">
        <f>IFERROR(GETPIVOTDATA("合計 / " &amp; $B22,【ピボット】処遇改善加算!$A$3,"年月",AP$2,"支払区分",AP$4),0)</f>
        <v>0</v>
      </c>
      <c r="AQ22" s="689">
        <f>IFERROR(GETPIVOTDATA("合計 / " &amp; $B22,【ピボット】処遇改善加算!$A$3,"年月",AQ$2,"支払区分",AQ$4),0)</f>
        <v>0</v>
      </c>
      <c r="AR22" s="689">
        <f>IFERROR(GETPIVOTDATA("合計 / " &amp; $B22,【ピボット】処遇改善加算!$A$3,"年月",AR$2,"支払区分",AR$4),0)</f>
        <v>0</v>
      </c>
      <c r="AS22" s="689">
        <f>IFERROR(GETPIVOTDATA("合計 / " &amp; $B22,【ピボット】処遇改善加算!$A$3,"年月",AS$2,"支払区分",AS$4),0)</f>
        <v>0</v>
      </c>
      <c r="AT22" s="689">
        <f>IFERROR(GETPIVOTDATA("合計 / " &amp; $B22,【ピボット】処遇改善加算!$A$3,"年月",AT$2,"支払区分",AT$4),0)</f>
        <v>0</v>
      </c>
      <c r="AU22" s="689">
        <f>IFERROR(GETPIVOTDATA("合計 / " &amp; $B22,【ピボット】処遇改善加算!$A$3,"年月",AU$2,"支払区分",AU$4),0)</f>
        <v>0</v>
      </c>
      <c r="AV22" s="689">
        <f>IFERROR(GETPIVOTDATA("合計 / " &amp; $B22,【ピボット】処遇改善加算!$A$3,"年月",AV$2,"支払区分",AV$4),0)</f>
        <v>0</v>
      </c>
      <c r="AW22" s="689">
        <f>IFERROR(GETPIVOTDATA("合計 / " &amp; $B22,【ピボット】処遇改善加算!$A$3,"年月",AW$2,"支払区分",AW$4),0)</f>
        <v>0</v>
      </c>
      <c r="AX22" s="689">
        <f>IFERROR(GETPIVOTDATA("合計 / " &amp; $B22,【ピボット】処遇改善加算!$A$3,"年月",AX$2,"支払区分",AX$4),0)</f>
        <v>0</v>
      </c>
      <c r="AY22" s="689">
        <f>IFERROR(GETPIVOTDATA("合計 / " &amp; $B22,【ピボット】処遇改善加算!$A$3,"年月",AY$2,"支払区分",AY$4),0)</f>
        <v>0</v>
      </c>
    </row>
    <row r="23" spans="1:51" ht="35.25" customHeight="1" x14ac:dyDescent="0.15">
      <c r="A23" s="2112"/>
      <c r="B23" s="10" t="s">
        <v>399</v>
      </c>
      <c r="C23" s="689">
        <f>IFERROR(GETPIVOTDATA("合計 / " &amp; $B23,【ピボット】処遇改善加算!$A$3,"年月",C$2,"支払区分",C$4),0)</f>
        <v>0</v>
      </c>
      <c r="D23" s="689">
        <f>IFERROR(GETPIVOTDATA("合計 / " &amp; $B23,【ピボット】処遇改善加算!$A$3,"年月",D$2,"支払区分",D$4),0)</f>
        <v>0</v>
      </c>
      <c r="E23" s="689">
        <f>IFERROR(GETPIVOTDATA("合計 / " &amp; $B23,【ピボット】処遇改善加算!$A$3,"年月",E$2,"支払区分",E$4),0)</f>
        <v>0</v>
      </c>
      <c r="F23" s="689">
        <f>IFERROR(GETPIVOTDATA("合計 / " &amp; $B23,【ピボット】処遇改善加算!$A$3,"年月",F$2,"支払区分",F$4),0)</f>
        <v>0</v>
      </c>
      <c r="G23" s="689">
        <f>IFERROR(GETPIVOTDATA("合計 / " &amp; $B23,【ピボット】処遇改善加算!$A$3,"年月",G$2,"支払区分",G$4),0)</f>
        <v>0</v>
      </c>
      <c r="H23" s="689">
        <f>IFERROR(GETPIVOTDATA("合計 / " &amp; $B23,【ピボット】処遇改善加算!$A$3,"年月",H$2,"支払区分",H$4),0)</f>
        <v>0</v>
      </c>
      <c r="I23" s="689">
        <f>IFERROR(GETPIVOTDATA("合計 / " &amp; $B23,【ピボット】処遇改善加算!$A$3,"年月",I$2,"支払区分",I$4),0)</f>
        <v>0</v>
      </c>
      <c r="J23" s="689">
        <f>IFERROR(GETPIVOTDATA("合計 / " &amp; $B23,【ピボット】処遇改善加算!$A$3,"年月",J$2,"支払区分",J$4),0)</f>
        <v>0</v>
      </c>
      <c r="K23" s="689">
        <f>IFERROR(GETPIVOTDATA("合計 / " &amp; $B23,【ピボット】処遇改善加算!$A$3,"年月",K$2,"支払区分",K$4),0)</f>
        <v>0</v>
      </c>
      <c r="L23" s="689">
        <f>IFERROR(GETPIVOTDATA("合計 / " &amp; $B23,【ピボット】処遇改善加算!$A$3,"年月",L$2,"支払区分",L$4),0)</f>
        <v>3475</v>
      </c>
      <c r="M23" s="689">
        <f>IFERROR(GETPIVOTDATA("合計 / " &amp; $B23,【ピボット】処遇改善加算!$A$3,"年月",M$2,"支払区分",M$4),0)</f>
        <v>95410</v>
      </c>
      <c r="N23" s="689">
        <f>IFERROR(GETPIVOTDATA("合計 / " &amp; $B23,【ピボット】処遇改善加算!$A$3,"年月",N$2,"支払区分",N$4),0)</f>
        <v>0</v>
      </c>
      <c r="O23" s="689">
        <f>IFERROR(GETPIVOTDATA("合計 / " &amp; $B23,【ピボット】処遇改善加算!$A$3,"年月",O$2,"支払区分",O$4),0)</f>
        <v>175852</v>
      </c>
      <c r="P23" s="689">
        <f>IFERROR(GETPIVOTDATA("合計 / " &amp; $B23,【ピボット】処遇改善加算!$A$3,"年月",P$2,"支払区分",P$4),0)</f>
        <v>189705</v>
      </c>
      <c r="Q23" s="689">
        <f>IFERROR(GETPIVOTDATA("合計 / " &amp; $B23,【ピボット】処遇改善加算!$A$3,"年月",Q$2,"支払区分",Q$4),0)</f>
        <v>169767</v>
      </c>
      <c r="R23" s="689">
        <f>IFERROR(GETPIVOTDATA("合計 / " &amp; $B23,【ピボット】処遇改善加算!$A$3,"年月",R$2,"支払区分",R$4),0)</f>
        <v>170285</v>
      </c>
      <c r="S23" s="689">
        <f>IFERROR(GETPIVOTDATA("合計 / " &amp; $B23,【ピボット】処遇改善加算!$A$3,"年月",S$2,"支払区分",S$4),0)</f>
        <v>180716</v>
      </c>
      <c r="T23" s="689">
        <f>IFERROR(GETPIVOTDATA("合計 / " &amp; $B23,【ピボット】処遇改善加算!$A$3,"年月",T$2,"支払区分",T$4),0)</f>
        <v>196042</v>
      </c>
      <c r="U23" s="689">
        <f>IFERROR(GETPIVOTDATA("合計 / " &amp; $B23,【ピボット】処遇改善加算!$A$3,"年月",U$2,"支払区分",U$4),0)</f>
        <v>0</v>
      </c>
      <c r="V23" s="689">
        <f>IFERROR(GETPIVOTDATA("合計 / " &amp; $B23,【ピボット】処遇改善加算!$A$3,"年月",V$2,"支払区分",V$4),0)</f>
        <v>181330</v>
      </c>
      <c r="W23" s="689">
        <f>IFERROR(GETPIVOTDATA("合計 / " &amp; $B23,【ピボット】処遇改善加算!$A$3,"年月",W$2,"支払区分",W$4),0)</f>
        <v>45839</v>
      </c>
      <c r="X23" s="689">
        <f>IFERROR(GETPIVOTDATA("合計 / " &amp; $B23,【ピボット】処遇改善加算!$A$3,"年月",X$2,"支払区分",X$4),0)</f>
        <v>70763</v>
      </c>
      <c r="Y23" s="689">
        <f>IFERROR(GETPIVOTDATA("合計 / " &amp; $B23,【ピボット】処遇改善加算!$A$3,"年月",Y$2,"支払区分",Y$4),0)</f>
        <v>36783</v>
      </c>
      <c r="Z23" s="689">
        <f>IFERROR(GETPIVOTDATA("合計 / " &amp; $B23,【ピボット】処遇改善加算!$A$3,"年月",Z$2,"支払区分",Z$4),0)</f>
        <v>95212</v>
      </c>
      <c r="AA23" s="689">
        <f>IFERROR(GETPIVOTDATA("合計 / " &amp; $B23,【ピボット】処遇改善加算!$A$3,"年月",AA$2,"支払区分",AA$4),0)</f>
        <v>98488</v>
      </c>
      <c r="AB23" s="689">
        <f>IFERROR(GETPIVOTDATA("合計 / " &amp; $B23,【ピボット】処遇改善加算!$A$3,"年月",AB$2,"支払区分",AB$4),0)</f>
        <v>0</v>
      </c>
      <c r="AC23" s="689">
        <f>IFERROR(GETPIVOTDATA("合計 / " &amp; $B23,【ピボット】処遇改善加算!$A$3,"年月",AC$2,"支払区分",AC$4),0)</f>
        <v>86125</v>
      </c>
      <c r="AD23" s="1149">
        <f>IFERROR(GETPIVOTDATA("合計 / " &amp; $B23,【ピボット】処遇改善加算!$A$3,"年月",AD$2,"支払区分",AD$4),0)</f>
        <v>101763</v>
      </c>
      <c r="AE23" s="1149">
        <f>IFERROR(GETPIVOTDATA("合計 / " &amp; $B23,【ピボット】処遇改善加算!$A$3,"年月",AE$2,"支払区分",AE$4),0)</f>
        <v>0</v>
      </c>
      <c r="AF23" s="689">
        <f>IFERROR(GETPIVOTDATA("合計 / " &amp; $B23,【ピボット】処遇改善加算!$A$3,"年月",AF$2,"支払区分",AF$4),0)</f>
        <v>119288</v>
      </c>
      <c r="AG23" s="689">
        <f>IFERROR(GETPIVOTDATA("合計 / " &amp; $B23,【ピボット】処遇改善加算!$A$3,"年月",AG$2,"支払区分",AG$4),0)</f>
        <v>101897</v>
      </c>
      <c r="AH23" s="689">
        <f>IFERROR(GETPIVOTDATA("合計 / " &amp; $B23,【ピボット】処遇改善加算!$A$3,"年月",AH$2,"支払区分",AH$4),0)</f>
        <v>41231</v>
      </c>
      <c r="AI23" s="689">
        <f>IFERROR(GETPIVOTDATA("合計 / " &amp; $B23,【ピボット】処遇改善加算!$A$3,"年月",AI$2,"支払区分",AI$4),0)</f>
        <v>66575</v>
      </c>
      <c r="AJ23" s="689">
        <f>IFERROR(GETPIVOTDATA("合計 / " &amp; $B23,【ピボット】処遇改善加算!$A$3,"年月",AJ$2,"支払区分",AJ$4),0)</f>
        <v>0</v>
      </c>
      <c r="AK23" s="689">
        <f>IFERROR(GETPIVOTDATA("合計 / " &amp; $B23,【ピボット】処遇改善加算!$A$3,"年月",AK$2,"支払区分",AK$4),0)</f>
        <v>64550</v>
      </c>
      <c r="AL23" s="689">
        <f>IFERROR(GETPIVOTDATA("合計 / " &amp; $B23,【ピボット】処遇改善加算!$A$3,"年月",AL$2,"支払区分",AL$4),0)</f>
        <v>15688</v>
      </c>
      <c r="AM23" s="689">
        <f>IFERROR(GETPIVOTDATA("合計 / " &amp; $B23,【ピボット】処遇改善加算!$A$3,"年月",AM$2,"支払区分",AM$4),0)</f>
        <v>123325</v>
      </c>
      <c r="AN23" s="689">
        <f>IFERROR(GETPIVOTDATA("合計 / " &amp; $B23,【ピボット】処遇改善加算!$A$3,"年月",AN$2,"支払区分",AN$4),0)</f>
        <v>86475</v>
      </c>
      <c r="AO23" s="689">
        <f>IFERROR(GETPIVOTDATA("合計 / " &amp; $B23,【ピボット】処遇改善加算!$A$3,"年月",AO$2,"支払区分",AO$4),0)</f>
        <v>0</v>
      </c>
      <c r="AP23" s="689">
        <f>IFERROR(GETPIVOTDATA("合計 / " &amp; $B23,【ピボット】処遇改善加算!$A$3,"年月",AP$2,"支払区分",AP$4),0)</f>
        <v>0</v>
      </c>
      <c r="AQ23" s="689">
        <f>IFERROR(GETPIVOTDATA("合計 / " &amp; $B23,【ピボット】処遇改善加算!$A$3,"年月",AQ$2,"支払区分",AQ$4),0)</f>
        <v>0</v>
      </c>
      <c r="AR23" s="689">
        <f>IFERROR(GETPIVOTDATA("合計 / " &amp; $B23,【ピボット】処遇改善加算!$A$3,"年月",AR$2,"支払区分",AR$4),0)</f>
        <v>0</v>
      </c>
      <c r="AS23" s="689">
        <f>IFERROR(GETPIVOTDATA("合計 / " &amp; $B23,【ピボット】処遇改善加算!$A$3,"年月",AS$2,"支払区分",AS$4),0)</f>
        <v>0</v>
      </c>
      <c r="AT23" s="689">
        <f>IFERROR(GETPIVOTDATA("合計 / " &amp; $B23,【ピボット】処遇改善加算!$A$3,"年月",AT$2,"支払区分",AT$4),0)</f>
        <v>0</v>
      </c>
      <c r="AU23" s="689">
        <f>IFERROR(GETPIVOTDATA("合計 / " &amp; $B23,【ピボット】処遇改善加算!$A$3,"年月",AU$2,"支払区分",AU$4),0)</f>
        <v>0</v>
      </c>
      <c r="AV23" s="689">
        <f>IFERROR(GETPIVOTDATA("合計 / " &amp; $B23,【ピボット】処遇改善加算!$A$3,"年月",AV$2,"支払区分",AV$4),0)</f>
        <v>0</v>
      </c>
      <c r="AW23" s="689">
        <f>IFERROR(GETPIVOTDATA("合計 / " &amp; $B23,【ピボット】処遇改善加算!$A$3,"年月",AW$2,"支払区分",AW$4),0)</f>
        <v>0</v>
      </c>
      <c r="AX23" s="689">
        <f>IFERROR(GETPIVOTDATA("合計 / " &amp; $B23,【ピボット】処遇改善加算!$A$3,"年月",AX$2,"支払区分",AX$4),0)</f>
        <v>0</v>
      </c>
      <c r="AY23" s="689">
        <f>IFERROR(GETPIVOTDATA("合計 / " &amp; $B23,【ピボット】処遇改善加算!$A$3,"年月",AY$2,"支払区分",AY$4),0)</f>
        <v>0</v>
      </c>
    </row>
    <row r="24" spans="1:51" ht="35.25" customHeight="1" x14ac:dyDescent="0.15">
      <c r="A24" s="2112"/>
      <c r="B24" s="10" t="s">
        <v>1510</v>
      </c>
      <c r="C24" s="689">
        <f>IFERROR(GETPIVOTDATA("合計 / " &amp; $B24,【ピボット】処遇改善加算!$A$3,"年月",C$2,"支払区分",C$4),0)</f>
        <v>0</v>
      </c>
      <c r="D24" s="689">
        <f>IFERROR(GETPIVOTDATA("合計 / " &amp; $B24,【ピボット】処遇改善加算!$A$3,"年月",D$2,"支払区分",D$4),0)</f>
        <v>0</v>
      </c>
      <c r="E24" s="689">
        <f>IFERROR(GETPIVOTDATA("合計 / " &amp; $B24,【ピボット】処遇改善加算!$A$3,"年月",E$2,"支払区分",E$4),0)</f>
        <v>0</v>
      </c>
      <c r="F24" s="689">
        <f>IFERROR(GETPIVOTDATA("合計 / " &amp; $B24,【ピボット】処遇改善加算!$A$3,"年月",F$2,"支払区分",F$4),0)</f>
        <v>0</v>
      </c>
      <c r="G24" s="689">
        <f>IFERROR(GETPIVOTDATA("合計 / " &amp; $B24,【ピボット】処遇改善加算!$A$3,"年月",G$2,"支払区分",G$4),0)</f>
        <v>0</v>
      </c>
      <c r="H24" s="689">
        <f>IFERROR(GETPIVOTDATA("合計 / " &amp; $B24,【ピボット】処遇改善加算!$A$3,"年月",H$2,"支払区分",H$4),0)</f>
        <v>0</v>
      </c>
      <c r="I24" s="689">
        <f>IFERROR(GETPIVOTDATA("合計 / " &amp; $B24,【ピボット】処遇改善加算!$A$3,"年月",I$2,"支払区分",I$4),0)</f>
        <v>0</v>
      </c>
      <c r="J24" s="689">
        <f>IFERROR(GETPIVOTDATA("合計 / " &amp; $B24,【ピボット】処遇改善加算!$A$3,"年月",J$2,"支払区分",J$4),0)</f>
        <v>0</v>
      </c>
      <c r="K24" s="689">
        <f>IFERROR(GETPIVOTDATA("合計 / " &amp; $B24,【ピボット】処遇改善加算!$A$3,"年月",K$2,"支払区分",K$4),0)</f>
        <v>0</v>
      </c>
      <c r="L24" s="689">
        <f>IFERROR(GETPIVOTDATA("合計 / " &amp; $B24,【ピボット】処遇改善加算!$A$3,"年月",L$2,"支払区分",L$4),0)</f>
        <v>0</v>
      </c>
      <c r="M24" s="689">
        <f>IFERROR(GETPIVOTDATA("合計 / " &amp; $B24,【ピボット】処遇改善加算!$A$3,"年月",M$2,"支払区分",M$4),0)</f>
        <v>0</v>
      </c>
      <c r="N24" s="689">
        <f>IFERROR(GETPIVOTDATA("合計 / " &amp; $B24,【ピボット】処遇改善加算!$A$3,"年月",N$2,"支払区分",N$4),0)</f>
        <v>0</v>
      </c>
      <c r="O24" s="689">
        <f>IFERROR(GETPIVOTDATA("合計 / " &amp; $B24,【ピボット】処遇改善加算!$A$3,"年月",O$2,"支払区分",O$4),0)</f>
        <v>0</v>
      </c>
      <c r="P24" s="689">
        <f>IFERROR(GETPIVOTDATA("合計 / " &amp; $B24,【ピボット】処遇改善加算!$A$3,"年月",P$2,"支払区分",P$4),0)</f>
        <v>0</v>
      </c>
      <c r="Q24" s="689">
        <f>IFERROR(GETPIVOTDATA("合計 / " &amp; $B24,【ピボット】処遇改善加算!$A$3,"年月",Q$2,"支払区分",Q$4),0)</f>
        <v>0</v>
      </c>
      <c r="R24" s="689">
        <f>IFERROR(GETPIVOTDATA("合計 / " &amp; $B24,【ピボット】処遇改善加算!$A$3,"年月",R$2,"支払区分",R$4),0)</f>
        <v>0</v>
      </c>
      <c r="S24" s="689">
        <f>IFERROR(GETPIVOTDATA("合計 / " &amp; $B24,【ピボット】処遇改善加算!$A$3,"年月",S$2,"支払区分",S$4),0)</f>
        <v>0</v>
      </c>
      <c r="T24" s="689">
        <f>IFERROR(GETPIVOTDATA("合計 / " &amp; $B24,【ピボット】処遇改善加算!$A$3,"年月",T$2,"支払区分",T$4),0)</f>
        <v>0</v>
      </c>
      <c r="U24" s="689">
        <f>IFERROR(GETPIVOTDATA("合計 / " &amp; $B24,【ピボット】処遇改善加算!$A$3,"年月",U$2,"支払区分",U$4),0)</f>
        <v>0</v>
      </c>
      <c r="V24" s="689">
        <f>IFERROR(GETPIVOTDATA("合計 / " &amp; $B24,【ピボット】処遇改善加算!$A$3,"年月",V$2,"支払区分",V$4),0)</f>
        <v>0</v>
      </c>
      <c r="W24" s="689">
        <f>IFERROR(GETPIVOTDATA("合計 / " &amp; $B24,【ピボット】処遇改善加算!$A$3,"年月",W$2,"支払区分",W$4),0)</f>
        <v>0</v>
      </c>
      <c r="X24" s="689">
        <f>IFERROR(GETPIVOTDATA("合計 / " &amp; $B24,【ピボット】処遇改善加算!$A$3,"年月",X$2,"支払区分",X$4),0)</f>
        <v>0</v>
      </c>
      <c r="Y24" s="689">
        <f>IFERROR(GETPIVOTDATA("合計 / " &amp; $B24,【ピボット】処遇改善加算!$A$3,"年月",Y$2,"支払区分",Y$4),0)</f>
        <v>0</v>
      </c>
      <c r="Z24" s="689">
        <f>IFERROR(GETPIVOTDATA("合計 / " &amp; $B24,【ピボット】処遇改善加算!$A$3,"年月",Z$2,"支払区分",Z$4),0)</f>
        <v>0</v>
      </c>
      <c r="AA24" s="689">
        <f>IFERROR(GETPIVOTDATA("合計 / " &amp; $B24,【ピボット】処遇改善加算!$A$3,"年月",AA$2,"支払区分",AA$4),0)</f>
        <v>0</v>
      </c>
      <c r="AB24" s="689">
        <f>IFERROR(GETPIVOTDATA("合計 / " &amp; $B24,【ピボット】処遇改善加算!$A$3,"年月",AB$2,"支払区分",AB$4),0)</f>
        <v>0</v>
      </c>
      <c r="AC24" s="689">
        <f>IFERROR(GETPIVOTDATA("合計 / " &amp; $B24,【ピボット】処遇改善加算!$A$3,"年月",AC$2,"支払区分",AC$4),0)</f>
        <v>0</v>
      </c>
      <c r="AD24" s="689">
        <f>IFERROR(GETPIVOTDATA("合計 / " &amp; $B24,【ピボット】処遇改善加算!$A$3,"年月",AD$2,"支払区分",AD$4),0)</f>
        <v>0</v>
      </c>
      <c r="AE24" s="689">
        <f>IFERROR(GETPIVOTDATA("合計 / " &amp; $B24,【ピボット】処遇改善加算!$A$3,"年月",AE$2,"支払区分",AE$4),0)</f>
        <v>0</v>
      </c>
      <c r="AF24" s="689">
        <f>IFERROR(GETPIVOTDATA("合計 / " &amp; $B24,【ピボット】処遇改善加算!$A$3,"年月",AF$2,"支払区分",AF$4),0)</f>
        <v>0</v>
      </c>
      <c r="AG24" s="689">
        <f>IFERROR(GETPIVOTDATA("合計 / " &amp; $B24,【ピボット】処遇改善加算!$A$3,"年月",AG$2,"支払区分",AG$4),0)</f>
        <v>0</v>
      </c>
      <c r="AH24" s="689">
        <f>IFERROR(GETPIVOTDATA("合計 / " &amp; $B24,【ピボット】処遇改善加算!$A$3,"年月",AH$2,"支払区分",AH$4),0)</f>
        <v>0</v>
      </c>
      <c r="AI24" s="689">
        <f>IFERROR(GETPIVOTDATA("合計 / " &amp; $B24,【ピボット】処遇改善加算!$A$3,"年月",AI$2,"支払区分",AI$4),0)</f>
        <v>0</v>
      </c>
      <c r="AJ24" s="689">
        <f>IFERROR(GETPIVOTDATA("合計 / " &amp; $B24,【ピボット】処遇改善加算!$A$3,"年月",AJ$2,"支払区分",AJ$4),0)</f>
        <v>0</v>
      </c>
      <c r="AK24" s="689">
        <f>IFERROR(GETPIVOTDATA("合計 / " &amp; $B24,【ピボット】処遇改善加算!$A$3,"年月",AK$2,"支払区分",AK$4),0)</f>
        <v>0</v>
      </c>
      <c r="AL24" s="689">
        <f>IFERROR(GETPIVOTDATA("合計 / " &amp; $B24,【ピボット】処遇改善加算!$A$3,"年月",AL$2,"支払区分",AL$4),0)</f>
        <v>0</v>
      </c>
      <c r="AM24" s="689">
        <f>IFERROR(GETPIVOTDATA("合計 / " &amp; $B24,【ピボット】処遇改善加算!$A$3,"年月",AM$2,"支払区分",AM$4),0)</f>
        <v>0</v>
      </c>
      <c r="AN24" s="689">
        <f>IFERROR(GETPIVOTDATA("合計 / " &amp; $B24,【ピボット】処遇改善加算!$A$3,"年月",AN$2,"支払区分",AN$4),0)</f>
        <v>0</v>
      </c>
      <c r="AO24" s="689">
        <f>IFERROR(GETPIVOTDATA("合計 / " &amp; $B24,【ピボット】処遇改善加算!$A$3,"年月",AO$2,"支払区分",AO$4),0)</f>
        <v>0</v>
      </c>
      <c r="AP24" s="689">
        <f>IFERROR(GETPIVOTDATA("合計 / " &amp; $B24,【ピボット】処遇改善加算!$A$3,"年月",AP$2,"支払区分",AP$4),0)</f>
        <v>0</v>
      </c>
      <c r="AQ24" s="689">
        <f>IFERROR(GETPIVOTDATA("合計 / " &amp; $B24,【ピボット】処遇改善加算!$A$3,"年月",AQ$2,"支払区分",AQ$4),0)</f>
        <v>0</v>
      </c>
      <c r="AR24" s="689">
        <f>IFERROR(GETPIVOTDATA("合計 / " &amp; $B24,【ピボット】処遇改善加算!$A$3,"年月",AR$2,"支払区分",AR$4),0)</f>
        <v>0</v>
      </c>
      <c r="AS24" s="689">
        <f>IFERROR(GETPIVOTDATA("合計 / " &amp; $B24,【ピボット】処遇改善加算!$A$3,"年月",AS$2,"支払区分",AS$4),0)</f>
        <v>0</v>
      </c>
      <c r="AT24" s="689">
        <f>IFERROR(GETPIVOTDATA("合計 / " &amp; $B24,【ピボット】処遇改善加算!$A$3,"年月",AT$2,"支払区分",AT$4),0)</f>
        <v>0</v>
      </c>
      <c r="AU24" s="689">
        <f>IFERROR(GETPIVOTDATA("合計 / " &amp; $B24,【ピボット】処遇改善加算!$A$3,"年月",AU$2,"支払区分",AU$4),0)</f>
        <v>0</v>
      </c>
      <c r="AV24" s="689">
        <f>IFERROR(GETPIVOTDATA("合計 / " &amp; $B24,【ピボット】処遇改善加算!$A$3,"年月",AV$2,"支払区分",AV$4),0)</f>
        <v>0</v>
      </c>
      <c r="AW24" s="689">
        <f>IFERROR(GETPIVOTDATA("合計 / " &amp; $B24,【ピボット】処遇改善加算!$A$3,"年月",AW$2,"支払区分",AW$4),0)</f>
        <v>0</v>
      </c>
      <c r="AX24" s="689">
        <f>IFERROR(GETPIVOTDATA("合計 / " &amp; $B24,【ピボット】処遇改善加算!$A$3,"年月",AX$2,"支払区分",AX$4),0)</f>
        <v>0</v>
      </c>
      <c r="AY24" s="689">
        <f>IFERROR(GETPIVOTDATA("合計 / " &amp; $B24,【ピボット】処遇改善加算!$A$3,"年月",AY$2,"支払区分",AY$4),0)</f>
        <v>0</v>
      </c>
    </row>
    <row r="25" spans="1:51" ht="35.25" customHeight="1" x14ac:dyDescent="0.15">
      <c r="A25" s="2112"/>
      <c r="B25" s="10" t="s">
        <v>312</v>
      </c>
      <c r="C25" s="689">
        <f>IFERROR(GETPIVOTDATA("合計 / " &amp; $B25,【ピボット】処遇改善加算!$A$3,"年月",C$2,"支払区分",C$4),0)</f>
        <v>16711</v>
      </c>
      <c r="D25" s="689">
        <f>IFERROR(GETPIVOTDATA("合計 / " &amp; $B25,【ピボット】処遇改善加算!$A$3,"年月",D$2,"支払区分",D$4),0)</f>
        <v>12649</v>
      </c>
      <c r="E25" s="689">
        <f>IFERROR(GETPIVOTDATA("合計 / " &amp; $B25,【ピボット】処遇改善加算!$A$3,"年月",E$2,"支払区分",E$4),0)</f>
        <v>10666</v>
      </c>
      <c r="F25" s="689">
        <f>IFERROR(GETPIVOTDATA("合計 / " &amp; $B25,【ピボット】処遇改善加算!$A$3,"年月",F$2,"支払区分",F$4),0)</f>
        <v>21472</v>
      </c>
      <c r="G25" s="689">
        <f>IFERROR(GETPIVOTDATA("合計 / " &amp; $B25,【ピボット】処遇改善加算!$A$3,"年月",G$2,"支払区分",G$4),0)</f>
        <v>0</v>
      </c>
      <c r="H25" s="689">
        <f>IFERROR(GETPIVOTDATA("合計 / " &amp; $B25,【ピボット】処遇改善加算!$A$3,"年月",H$2,"支払区分",H$4),0)</f>
        <v>34133</v>
      </c>
      <c r="I25" s="689">
        <f>IFERROR(GETPIVOTDATA("合計 / " &amp; $B25,【ピボット】処遇改善加算!$A$3,"年月",I$2,"支払区分",I$4),0)</f>
        <v>38251</v>
      </c>
      <c r="J25" s="689">
        <f>IFERROR(GETPIVOTDATA("合計 / " &amp; $B25,【ピボット】処遇改善加算!$A$3,"年月",J$2,"支払区分",J$4),0)</f>
        <v>31975</v>
      </c>
      <c r="K25" s="689">
        <f>IFERROR(GETPIVOTDATA("合計 / " &amp; $B25,【ピボット】処遇改善加算!$A$3,"年月",K$2,"支払区分",K$4),0)</f>
        <v>24480</v>
      </c>
      <c r="L25" s="689">
        <f>IFERROR(GETPIVOTDATA("合計 / " &amp; $B25,【ピボット】処遇改善加算!$A$3,"年月",L$2,"支払区分",L$4),0)</f>
        <v>26354</v>
      </c>
      <c r="M25" s="689">
        <f>IFERROR(GETPIVOTDATA("合計 / " &amp; $B25,【ピボット】処遇改善加算!$A$3,"年月",M$2,"支払区分",M$4),0)</f>
        <v>37983</v>
      </c>
      <c r="N25" s="689">
        <f>IFERROR(GETPIVOTDATA("合計 / " &amp; $B25,【ピボット】処遇改善加算!$A$3,"年月",N$2,"支払区分",N$4),0)</f>
        <v>0</v>
      </c>
      <c r="O25" s="689">
        <f>IFERROR(GETPIVOTDATA("合計 / " &amp; $B25,【ピボット】処遇改善加算!$A$3,"年月",O$2,"支払区分",O$4),0)</f>
        <v>40677</v>
      </c>
      <c r="P25" s="689">
        <f>IFERROR(GETPIVOTDATA("合計 / " &amp; $B25,【ピボット】処遇改善加算!$A$3,"年月",P$2,"支払区分",P$4),0)</f>
        <v>30297</v>
      </c>
      <c r="Q25" s="689">
        <f>IFERROR(GETPIVOTDATA("合計 / " &amp; $B25,【ピボット】処遇改善加算!$A$3,"年月",Q$2,"支払区分",Q$4),0)</f>
        <v>47383</v>
      </c>
      <c r="R25" s="689">
        <f>IFERROR(GETPIVOTDATA("合計 / " &amp; $B25,【ピボット】処遇改善加算!$A$3,"年月",R$2,"支払区分",R$4),0)</f>
        <v>35179</v>
      </c>
      <c r="S25" s="689">
        <f>IFERROR(GETPIVOTDATA("合計 / " &amp; $B25,【ピボット】処遇改善加算!$A$3,"年月",S$2,"支払区分",S$4),0)</f>
        <v>9465</v>
      </c>
      <c r="T25" s="689">
        <f>IFERROR(GETPIVOTDATA("合計 / " &amp; $B25,【ピボット】処遇改善加算!$A$3,"年月",T$2,"支払区分",T$4),0)</f>
        <v>28684</v>
      </c>
      <c r="U25" s="689">
        <f>IFERROR(GETPIVOTDATA("合計 / " &amp; $B25,【ピボット】処遇改善加算!$A$3,"年月",U$2,"支払区分",U$4),0)</f>
        <v>0</v>
      </c>
      <c r="V25" s="689">
        <f>IFERROR(GETPIVOTDATA("合計 / " &amp; $B25,【ピボット】処遇改善加算!$A$3,"年月",V$2,"支払区分",V$4),0)</f>
        <v>39026</v>
      </c>
      <c r="W25" s="689">
        <f>IFERROR(GETPIVOTDATA("合計 / " &amp; $B25,【ピボット】処遇改善加算!$A$3,"年月",W$2,"支払区分",W$4),0)</f>
        <v>48020</v>
      </c>
      <c r="X25" s="689">
        <f>IFERROR(GETPIVOTDATA("合計 / " &amp; $B25,【ピボット】処遇改善加算!$A$3,"年月",X$2,"支払区分",X$4),0)</f>
        <v>39019</v>
      </c>
      <c r="Y25" s="689">
        <f>IFERROR(GETPIVOTDATA("合計 / " &amp; $B25,【ピボット】処遇改善加算!$A$3,"年月",Y$2,"支払区分",Y$4),0)</f>
        <v>32528</v>
      </c>
      <c r="Z25" s="689">
        <f>IFERROR(GETPIVOTDATA("合計 / " &amp; $B25,【ピボット】処遇改善加算!$A$3,"年月",Z$2,"支払区分",Z$4),0)</f>
        <v>27966</v>
      </c>
      <c r="AA25" s="689">
        <f>IFERROR(GETPIVOTDATA("合計 / " &amp; $B25,【ピボット】処遇改善加算!$A$3,"年月",AA$2,"支払区分",AA$4),0)</f>
        <v>56276</v>
      </c>
      <c r="AB25" s="689">
        <f>IFERROR(GETPIVOTDATA("合計 / " &amp; $B25,【ピボット】処遇改善加算!$A$3,"年月",AB$2,"支払区分",AB$4),0)</f>
        <v>0</v>
      </c>
      <c r="AC25" s="689">
        <f>IFERROR(GETPIVOTDATA("合計 / " &amp; $B25,【ピボット】処遇改善加算!$A$3,"年月",AC$2,"支払区分",AC$4),0)</f>
        <v>40429</v>
      </c>
      <c r="AD25" s="1149">
        <f>IFERROR(GETPIVOTDATA("合計 / " &amp; $B25,【ピボット】処遇改善加算!$A$3,"年月",AD$2,"支払区分",AD$4),0)</f>
        <v>36985</v>
      </c>
      <c r="AE25" s="1149">
        <f>IFERROR(GETPIVOTDATA("合計 / " &amp; $B25,【ピボット】処遇改善加算!$A$3,"年月",AE$2,"支払区分",AE$4),0)</f>
        <v>0</v>
      </c>
      <c r="AF25" s="689">
        <f>IFERROR(GETPIVOTDATA("合計 / " &amp; $B25,【ピボット】処遇改善加算!$A$3,"年月",AF$2,"支払区分",AF$4),0)</f>
        <v>31141</v>
      </c>
      <c r="AG25" s="689">
        <f>IFERROR(GETPIVOTDATA("合計 / " &amp; $B25,【ピボット】処遇改善加算!$A$3,"年月",AG$2,"支払区分",AG$4),0)</f>
        <v>0</v>
      </c>
      <c r="AH25" s="689">
        <f>IFERROR(GETPIVOTDATA("合計 / " &amp; $B25,【ピボット】処遇改善加算!$A$3,"年月",AH$2,"支払区分",AH$4),0)</f>
        <v>0</v>
      </c>
      <c r="AI25" s="689">
        <f>IFERROR(GETPIVOTDATA("合計 / " &amp; $B25,【ピボット】処遇改善加算!$A$3,"年月",AI$2,"支払区分",AI$4),0)</f>
        <v>0</v>
      </c>
      <c r="AJ25" s="689">
        <f>IFERROR(GETPIVOTDATA("合計 / " &amp; $B25,【ピボット】処遇改善加算!$A$3,"年月",AJ$2,"支払区分",AJ$4),0)</f>
        <v>0</v>
      </c>
      <c r="AK25" s="689">
        <f>IFERROR(GETPIVOTDATA("合計 / " &amp; $B25,【ピボット】処遇改善加算!$A$3,"年月",AK$2,"支払区分",AK$4),0)</f>
        <v>0</v>
      </c>
      <c r="AL25" s="689">
        <f>IFERROR(GETPIVOTDATA("合計 / " &amp; $B25,【ピボット】処遇改善加算!$A$3,"年月",AL$2,"支払区分",AL$4),0)</f>
        <v>0</v>
      </c>
      <c r="AM25" s="689">
        <f>IFERROR(GETPIVOTDATA("合計 / " &amp; $B25,【ピボット】処遇改善加算!$A$3,"年月",AM$2,"支払区分",AM$4),0)</f>
        <v>0</v>
      </c>
      <c r="AN25" s="689">
        <f>IFERROR(GETPIVOTDATA("合計 / " &amp; $B25,【ピボット】処遇改善加算!$A$3,"年月",AN$2,"支払区分",AN$4),0)</f>
        <v>0</v>
      </c>
      <c r="AO25" s="689">
        <f>IFERROR(GETPIVOTDATA("合計 / " &amp; $B25,【ピボット】処遇改善加算!$A$3,"年月",AO$2,"支払区分",AO$4),0)</f>
        <v>0</v>
      </c>
      <c r="AP25" s="689">
        <f>IFERROR(GETPIVOTDATA("合計 / " &amp; $B25,【ピボット】処遇改善加算!$A$3,"年月",AP$2,"支払区分",AP$4),0)</f>
        <v>0</v>
      </c>
      <c r="AQ25" s="689">
        <f>IFERROR(GETPIVOTDATA("合計 / " &amp; $B25,【ピボット】処遇改善加算!$A$3,"年月",AQ$2,"支払区分",AQ$4),0)</f>
        <v>0</v>
      </c>
      <c r="AR25" s="689">
        <f>IFERROR(GETPIVOTDATA("合計 / " &amp; $B25,【ピボット】処遇改善加算!$A$3,"年月",AR$2,"支払区分",AR$4),0)</f>
        <v>0</v>
      </c>
      <c r="AS25" s="689">
        <f>IFERROR(GETPIVOTDATA("合計 / " &amp; $B25,【ピボット】処遇改善加算!$A$3,"年月",AS$2,"支払区分",AS$4),0)</f>
        <v>0</v>
      </c>
      <c r="AT25" s="689">
        <f>IFERROR(GETPIVOTDATA("合計 / " &amp; $B25,【ピボット】処遇改善加算!$A$3,"年月",AT$2,"支払区分",AT$4),0)</f>
        <v>0</v>
      </c>
      <c r="AU25" s="689">
        <f>IFERROR(GETPIVOTDATA("合計 / " &amp; $B25,【ピボット】処遇改善加算!$A$3,"年月",AU$2,"支払区分",AU$4),0)</f>
        <v>0</v>
      </c>
      <c r="AV25" s="689">
        <f>IFERROR(GETPIVOTDATA("合計 / " &amp; $B25,【ピボット】処遇改善加算!$A$3,"年月",AV$2,"支払区分",AV$4),0)</f>
        <v>0</v>
      </c>
      <c r="AW25" s="689">
        <f>IFERROR(GETPIVOTDATA("合計 / " &amp; $B25,【ピボット】処遇改善加算!$A$3,"年月",AW$2,"支払区分",AW$4),0)</f>
        <v>0</v>
      </c>
      <c r="AX25" s="689">
        <f>IFERROR(GETPIVOTDATA("合計 / " &amp; $B25,【ピボット】処遇改善加算!$A$3,"年月",AX$2,"支払区分",AX$4),0)</f>
        <v>0</v>
      </c>
      <c r="AY25" s="689">
        <f>IFERROR(GETPIVOTDATA("合計 / " &amp; $B25,【ピボット】処遇改善加算!$A$3,"年月",AY$2,"支払区分",AY$4),0)</f>
        <v>0</v>
      </c>
    </row>
    <row r="26" spans="1:51" ht="35.25" customHeight="1" thickBot="1" x14ac:dyDescent="0.2">
      <c r="A26" s="2112"/>
      <c r="B26" s="10" t="s">
        <v>159</v>
      </c>
      <c r="C26" s="689">
        <f>IFERROR(GETPIVOTDATA("合計 / " &amp; $B26,【ピボット】処遇改善加算!$A$3,"年月",C$2,"支払区分",C$4),0)</f>
        <v>482843</v>
      </c>
      <c r="D26" s="689">
        <f>IFERROR(GETPIVOTDATA("合計 / " &amp; $B26,【ピボット】処遇改善加算!$A$3,"年月",D$2,"支払区分",D$4),0)</f>
        <v>422930</v>
      </c>
      <c r="E26" s="690">
        <f>IFERROR(GETPIVOTDATA("合計 / " &amp; $B26,【ピボット】処遇改善加算!$A$3,"年月",E$2,"支払区分",E$4),0)</f>
        <v>395680</v>
      </c>
      <c r="F26" s="690">
        <f>IFERROR(GETPIVOTDATA("合計 / " &amp; $B26,【ピボット】処遇改善加算!$A$3,"年月",F$2,"支払区分",F$4),0)</f>
        <v>534225</v>
      </c>
      <c r="G26" s="690">
        <f>IFERROR(GETPIVOTDATA("合計 / " &amp; $B26,【ピボット】処遇改善加算!$A$3,"年月",G$2,"支払区分",G$4),0)</f>
        <v>5823664</v>
      </c>
      <c r="H26" s="690">
        <f>IFERROR(GETPIVOTDATA("合計 / " &amp; $B26,【ピボット】処遇改善加算!$A$3,"年月",H$2,"支払区分",H$4),0)</f>
        <v>497726</v>
      </c>
      <c r="I26" s="689">
        <f>IFERROR(GETPIVOTDATA("合計 / " &amp; $B26,【ピボット】処遇改善加算!$A$3,"年月",I$2,"支払区分",I$4),0)</f>
        <v>484188</v>
      </c>
      <c r="J26" s="689">
        <f>IFERROR(GETPIVOTDATA("合計 / " &amp; $B26,【ピボット】処遇改善加算!$A$3,"年月",J$2,"支払区分",J$4),0)</f>
        <v>509789</v>
      </c>
      <c r="K26" s="689">
        <f>IFERROR(GETPIVOTDATA("合計 / " &amp; $B26,【ピボット】処遇改善加算!$A$3,"年月",K$2,"支払区分",K$4),0)</f>
        <v>438923</v>
      </c>
      <c r="L26" s="689">
        <f>IFERROR(GETPIVOTDATA("合計 / " &amp; $B26,【ピボット】処遇改善加算!$A$3,"年月",L$2,"支払区分",L$4),0)</f>
        <v>461484</v>
      </c>
      <c r="M26" s="689">
        <f>IFERROR(GETPIVOTDATA("合計 / " &amp; $B26,【ピボット】処遇改善加算!$A$3,"年月",M$2,"支払区分",M$4),0)</f>
        <v>789151</v>
      </c>
      <c r="N26" s="689">
        <f>IFERROR(GETPIVOTDATA("合計 / " &amp; $B26,【ピボット】処遇改善加算!$A$3,"年月",N$2,"支払区分",N$4),0)</f>
        <v>3544599</v>
      </c>
      <c r="O26" s="689">
        <f>IFERROR(GETPIVOTDATA("合計 / " &amp; $B26,【ピボット】処遇改善加算!$A$3,"年月",O$2,"支払区分",O$4),0)</f>
        <v>863310</v>
      </c>
      <c r="P26" s="689">
        <f>IFERROR(GETPIVOTDATA("合計 / " &amp; $B26,【ピボット】処遇改善加算!$A$3,"年月",P$2,"支払区分",P$4),0)</f>
        <v>1408669</v>
      </c>
      <c r="Q26" s="689">
        <f>IFERROR(GETPIVOTDATA("合計 / " &amp; $B26,【ピボット】処遇改善加算!$A$3,"年月",Q$2,"支払区分",Q$4),0)</f>
        <v>832678</v>
      </c>
      <c r="R26" s="689">
        <f>IFERROR(GETPIVOTDATA("合計 / " &amp; $B26,【ピボット】処遇改善加算!$A$3,"年月",R$2,"支払区分",R$4),0)</f>
        <v>761599</v>
      </c>
      <c r="S26" s="689">
        <f>IFERROR(GETPIVOTDATA("合計 / " &amp; $B26,【ピボット】処遇改善加算!$A$3,"年月",S$2,"支払区分",S$4),0)</f>
        <v>848312</v>
      </c>
      <c r="T26" s="689">
        <f>IFERROR(GETPIVOTDATA("合計 / " &amp; $B26,【ピボット】処遇改善加算!$A$3,"年月",T$2,"支払区分",T$4),0)</f>
        <v>852760</v>
      </c>
      <c r="U26" s="689">
        <f>IFERROR(GETPIVOTDATA("合計 / " &amp; $B26,【ピボット】処遇改善加算!$A$3,"年月",U$2,"支払区分",U$4),0)</f>
        <v>10119970</v>
      </c>
      <c r="V26" s="689">
        <f>IFERROR(GETPIVOTDATA("合計 / " &amp; $B26,【ピボット】処遇改善加算!$A$3,"年月",V$2,"支払区分",V$4),0)</f>
        <v>930226</v>
      </c>
      <c r="W26" s="689">
        <f>IFERROR(GETPIVOTDATA("合計 / " &amp; $B26,【ピボット】処遇改善加算!$A$3,"年月",W$2,"支払区分",W$4),0)</f>
        <v>701587</v>
      </c>
      <c r="X26" s="689">
        <f>IFERROR(GETPIVOTDATA("合計 / " &amp; $B26,【ピボット】処遇改善加算!$A$3,"年月",X$2,"支払区分",X$4),0)</f>
        <v>812094</v>
      </c>
      <c r="Y26" s="689">
        <f>IFERROR(GETPIVOTDATA("合計 / " &amp; $B26,【ピボット】処遇改善加算!$A$3,"年月",Y$2,"支払区分",Y$4),0)</f>
        <v>893308</v>
      </c>
      <c r="Z26" s="689">
        <f>IFERROR(GETPIVOTDATA("合計 / " &amp; $B26,【ピボット】処遇改善加算!$A$3,"年月",Z$2,"支払区分",Z$4),0)</f>
        <v>812144</v>
      </c>
      <c r="AA26" s="689">
        <f>IFERROR(GETPIVOTDATA("合計 / " &amp; $B26,【ピボット】処遇改善加算!$A$3,"年月",AA$2,"支払区分",AA$4),0)</f>
        <v>1106617</v>
      </c>
      <c r="AB26" s="689">
        <f>IFERROR(GETPIVOTDATA("合計 / " &amp; $B26,【ピボット】処遇改善加算!$A$3,"年月",AB$2,"支払区分",AB$4),0)</f>
        <v>5665504</v>
      </c>
      <c r="AC26" s="689">
        <f>IFERROR(GETPIVOTDATA("合計 / " &amp; $B26,【ピボット】処遇改善加算!$A$3,"年月",AC$2,"支払区分",AC$4),0)</f>
        <v>1058455</v>
      </c>
      <c r="AD26" s="1149">
        <f>IFERROR(GETPIVOTDATA("合計 / " &amp; $B26,【ピボット】処遇改善加算!$A$3,"年月",AD$2,"支払区分",AD$4),0)</f>
        <v>1064740</v>
      </c>
      <c r="AE26" s="1149">
        <f>IFERROR(GETPIVOTDATA("合計 / " &amp; $B26,【ピボット】処遇改善加算!$A$3,"年月",AE$2,"支払区分",AE$4),0)</f>
        <v>1150000</v>
      </c>
      <c r="AF26" s="689">
        <f>IFERROR(GETPIVOTDATA("合計 / " &amp; $B26,【ピボット】処遇改善加算!$A$3,"年月",AF$2,"支払区分",AF$4),0)</f>
        <v>1087874</v>
      </c>
      <c r="AG26" s="689">
        <f>IFERROR(GETPIVOTDATA("合計 / " &amp; $B26,【ピボット】処遇改善加算!$A$3,"年月",AG$2,"支払区分",AG$4),0)</f>
        <v>1110196</v>
      </c>
      <c r="AH26" s="689">
        <f>IFERROR(GETPIVOTDATA("合計 / " &amp; $B26,【ピボット】処遇改善加算!$A$3,"年月",AH$2,"支払区分",AH$4),0)</f>
        <v>1103378</v>
      </c>
      <c r="AI26" s="689">
        <f>IFERROR(GETPIVOTDATA("合計 / " &amp; $B26,【ピボット】処遇改善加算!$A$3,"年月",AI$2,"支払区分",AI$4),0)</f>
        <v>1256020</v>
      </c>
      <c r="AJ26" s="689">
        <f>IFERROR(GETPIVOTDATA("合計 / " &amp; $B26,【ピボット】処遇改善加算!$A$3,"年月",AJ$2,"支払区分",AJ$4),0)</f>
        <v>10396280</v>
      </c>
      <c r="AK26" s="689">
        <f>IFERROR(GETPIVOTDATA("合計 / " &amp; $B26,【ピボット】処遇改善加算!$A$3,"年月",AK$2,"支払区分",AK$4),0)</f>
        <v>1304526</v>
      </c>
      <c r="AL26" s="689">
        <f>IFERROR(GETPIVOTDATA("合計 / " &amp; $B26,【ピボット】処遇改善加算!$A$3,"年月",AL$2,"支払区分",AL$4),0)</f>
        <v>1111897</v>
      </c>
      <c r="AM26" s="689">
        <f>IFERROR(GETPIVOTDATA("合計 / " &amp; $B26,【ピボット】処遇改善加算!$A$3,"年月",AM$2,"支払区分",AM$4),0)</f>
        <v>1014632</v>
      </c>
      <c r="AN26" s="689">
        <f>IFERROR(GETPIVOTDATA("合計 / " &amp; $B26,【ピボット】処遇改善加算!$A$3,"年月",AN$2,"支払区分",AN$4),0)</f>
        <v>1005510</v>
      </c>
      <c r="AO26" s="689">
        <f>IFERROR(GETPIVOTDATA("合計 / " &amp; $B26,【ピボット】処遇改善加算!$A$3,"年月",AO$2,"支払区分",AO$4),0)</f>
        <v>0</v>
      </c>
      <c r="AP26" s="689">
        <f>IFERROR(GETPIVOTDATA("合計 / " &amp; $B26,【ピボット】処遇改善加算!$A$3,"年月",AP$2,"支払区分",AP$4),0)</f>
        <v>0</v>
      </c>
      <c r="AQ26" s="689">
        <f>IFERROR(GETPIVOTDATA("合計 / " &amp; $B26,【ピボット】処遇改善加算!$A$3,"年月",AQ$2,"支払区分",AQ$4),0)</f>
        <v>0</v>
      </c>
      <c r="AR26" s="689">
        <f>IFERROR(GETPIVOTDATA("合計 / " &amp; $B26,【ピボット】処遇改善加算!$A$3,"年月",AR$2,"支払区分",AR$4),0)</f>
        <v>0</v>
      </c>
      <c r="AS26" s="689">
        <f>IFERROR(GETPIVOTDATA("合計 / " &amp; $B26,【ピボット】処遇改善加算!$A$3,"年月",AS$2,"支払区分",AS$4),0)</f>
        <v>0</v>
      </c>
      <c r="AT26" s="689">
        <f>IFERROR(GETPIVOTDATA("合計 / " &amp; $B26,【ピボット】処遇改善加算!$A$3,"年月",AT$2,"支払区分",AT$4),0)</f>
        <v>0</v>
      </c>
      <c r="AU26" s="689">
        <f>IFERROR(GETPIVOTDATA("合計 / " &amp; $B26,【ピボット】処遇改善加算!$A$3,"年月",AU$2,"支払区分",AU$4),0)</f>
        <v>0</v>
      </c>
      <c r="AV26" s="689">
        <f>IFERROR(GETPIVOTDATA("合計 / " &amp; $B26,【ピボット】処遇改善加算!$A$3,"年月",AV$2,"支払区分",AV$4),0)</f>
        <v>0</v>
      </c>
      <c r="AW26" s="689">
        <f>IFERROR(GETPIVOTDATA("合計 / " &amp; $B26,【ピボット】処遇改善加算!$A$3,"年月",AW$2,"支払区分",AW$4),0)</f>
        <v>0</v>
      </c>
      <c r="AX26" s="689">
        <f>IFERROR(GETPIVOTDATA("合計 / " &amp; $B26,【ピボット】処遇改善加算!$A$3,"年月",AX$2,"支払区分",AX$4),0)</f>
        <v>0</v>
      </c>
      <c r="AY26" s="689">
        <f>IFERROR(GETPIVOTDATA("合計 / " &amp; $B26,【ピボット】処遇改善加算!$A$3,"年月",AY$2,"支払区分",AY$4),0)</f>
        <v>0</v>
      </c>
    </row>
    <row r="27" spans="1:51" ht="35.25" customHeight="1" thickTop="1" x14ac:dyDescent="0.15">
      <c r="A27" s="2112"/>
      <c r="B27" s="618" t="s">
        <v>527</v>
      </c>
      <c r="C27" s="618">
        <f t="shared" ref="C27:H27" si="15">IF(SUM(C11:C26)=0,0,IF(AND(C4="賞与",OR(MONTH(C2)=6,MONTH(C2)=12)),2700000,SUM(C11:C20,C25:C26)))</f>
        <v>1100840</v>
      </c>
      <c r="D27" s="618">
        <f t="shared" si="15"/>
        <v>877121</v>
      </c>
      <c r="E27" s="618">
        <f t="shared" si="15"/>
        <v>764132</v>
      </c>
      <c r="F27" s="618">
        <f t="shared" si="15"/>
        <v>1124644.5</v>
      </c>
      <c r="G27" s="618">
        <f t="shared" si="15"/>
        <v>2700000</v>
      </c>
      <c r="H27" s="618">
        <f t="shared" si="15"/>
        <v>1078526</v>
      </c>
      <c r="I27" s="618">
        <f>IF(SUM(I11:I26)=0,0,IF(AND(I4="賞与",OR(MONTH(I2)=6,MONTH(I2)=12)),SUM(C3:H3),SUM(I11:I20,I25:I26)))</f>
        <v>1145701</v>
      </c>
      <c r="J27" s="618">
        <f t="shared" ref="J27:AY27" si="16">IF(SUM(J11:J26)=0,0,IF(AND(J4="賞与",OR(MONTH(J2)=6,MONTH(J2)=12)),SUM(D3:I3),SUM(J11:J20,J25:J26)))</f>
        <v>1061505.5</v>
      </c>
      <c r="K27" s="618">
        <f t="shared" si="16"/>
        <v>1069423</v>
      </c>
      <c r="L27" s="618">
        <f t="shared" si="16"/>
        <v>1149204</v>
      </c>
      <c r="M27" s="618">
        <f t="shared" si="16"/>
        <v>1687597</v>
      </c>
      <c r="N27" s="618">
        <f>IF(SUM(N11:N26)=0,0,IF(AND(N4="賞与",OR(MONTH(N2)=6,MONTH(N2)=12)),SUM(H3:M3),SUM(N11:N20,N25:N26)))</f>
        <v>3150000</v>
      </c>
      <c r="O27" s="618">
        <f t="shared" si="16"/>
        <v>1810859</v>
      </c>
      <c r="P27" s="618">
        <f t="shared" si="16"/>
        <v>2249184</v>
      </c>
      <c r="Q27" s="618">
        <f t="shared" si="16"/>
        <v>1692771</v>
      </c>
      <c r="R27" s="618">
        <f t="shared" si="16"/>
        <v>1666053</v>
      </c>
      <c r="S27" s="618">
        <f t="shared" si="16"/>
        <v>1818337</v>
      </c>
      <c r="T27" s="618">
        <f t="shared" si="16"/>
        <v>1812970</v>
      </c>
      <c r="U27" s="618">
        <f>IF(SUM(U11:U26)=0,0,IF(AND(U4="賞与",OR(MONTH(U2)=6,MONTH(U2)=12)),SUM(O3:T3),SUM(U11:U20,U25:U26)))</f>
        <v>3600000</v>
      </c>
      <c r="V27" s="618">
        <f t="shared" si="16"/>
        <v>1993937</v>
      </c>
      <c r="W27" s="618">
        <f t="shared" si="16"/>
        <v>1542926</v>
      </c>
      <c r="X27" s="618">
        <f t="shared" si="16"/>
        <v>1595634</v>
      </c>
      <c r="Y27" s="618">
        <f t="shared" si="16"/>
        <v>1801871</v>
      </c>
      <c r="Z27" s="618">
        <f t="shared" si="16"/>
        <v>1557607</v>
      </c>
      <c r="AA27" s="618">
        <f t="shared" si="16"/>
        <v>2178321</v>
      </c>
      <c r="AB27" s="618">
        <f>IF(SUM(AB11:AB26)=0,0,IF(AND(AB4="賞与",OR(MONTH(AB2)=6,MONTH(AB2)=12)),SUM(V3:AA3),SUM(AB11:AB20,AB25:AB26)))</f>
        <v>3600000</v>
      </c>
      <c r="AC27" s="618">
        <f t="shared" si="16"/>
        <v>2021860</v>
      </c>
      <c r="AD27" s="1150">
        <f t="shared" si="16"/>
        <v>1976702</v>
      </c>
      <c r="AE27" s="1150">
        <f t="shared" si="16"/>
        <v>1150000</v>
      </c>
      <c r="AF27" s="618">
        <f t="shared" si="16"/>
        <v>1951156</v>
      </c>
      <c r="AG27" s="618">
        <f t="shared" si="16"/>
        <v>1901866</v>
      </c>
      <c r="AH27" s="618">
        <f t="shared" si="16"/>
        <v>1946874</v>
      </c>
      <c r="AI27" s="618">
        <f t="shared" si="16"/>
        <v>2217458</v>
      </c>
      <c r="AJ27" s="618">
        <f>IF(SUM(AJ11:AJ26)=0,0,IF(AND(AJ4="賞与",OR(MONTH(AJ2)=6,MONTH(AJ2)=12)),SUM(AC3:AI3),SUM(AJ11:AJ20,AJ25:AJ26)))</f>
        <v>3600000</v>
      </c>
      <c r="AK27" s="618">
        <f t="shared" si="16"/>
        <v>2274154</v>
      </c>
      <c r="AL27" s="618">
        <f t="shared" si="16"/>
        <v>2026916</v>
      </c>
      <c r="AM27" s="618">
        <f t="shared" si="16"/>
        <v>1893353</v>
      </c>
      <c r="AN27" s="618">
        <f t="shared" si="16"/>
        <v>1830937</v>
      </c>
      <c r="AO27" s="618">
        <f t="shared" si="16"/>
        <v>0</v>
      </c>
      <c r="AP27" s="618">
        <f t="shared" si="16"/>
        <v>0</v>
      </c>
      <c r="AQ27" s="618">
        <f>IF(SUM(AQ11:AQ26)=0,0,IF(AND(AQ4="賞与",OR(MONTH(AQ2)=6,MONTH(AQ2)=12)),SUM(AK3:AP3),SUM(AQ11:AQ20,AQ25:AQ26)))</f>
        <v>0</v>
      </c>
      <c r="AR27" s="618">
        <f t="shared" si="16"/>
        <v>0</v>
      </c>
      <c r="AS27" s="618">
        <f t="shared" si="16"/>
        <v>0</v>
      </c>
      <c r="AT27" s="618">
        <f t="shared" si="16"/>
        <v>0</v>
      </c>
      <c r="AU27" s="618">
        <f t="shared" si="16"/>
        <v>0</v>
      </c>
      <c r="AV27" s="618">
        <f t="shared" si="16"/>
        <v>0</v>
      </c>
      <c r="AW27" s="618">
        <f t="shared" si="16"/>
        <v>0</v>
      </c>
      <c r="AX27" s="618">
        <f>IF(SUM(AX11:AX26)=0,0,IF(AND(AX4="賞与",OR(MONTH(AX2)=6,MONTH(AX2)=12)),SUM(AR3:AW3),SUM(AX11:AX20,AX25:AX26)))</f>
        <v>0</v>
      </c>
      <c r="AY27" s="618">
        <f t="shared" si="16"/>
        <v>0</v>
      </c>
    </row>
    <row r="28" spans="1:51" ht="35.25" customHeight="1" thickBot="1" x14ac:dyDescent="0.2">
      <c r="A28" s="2112"/>
      <c r="B28" s="623" t="s">
        <v>528</v>
      </c>
      <c r="C28" s="623">
        <f>IF(C4="賞与",SUM(C11:C26)-C27,SUM(C21:C23))</f>
        <v>7377</v>
      </c>
      <c r="D28" s="623">
        <f t="shared" ref="D28:I28" si="17">IF(D4="賞与",SUM(D11:D26)-D27,SUM(D21:D23))</f>
        <v>6831</v>
      </c>
      <c r="E28" s="623">
        <f t="shared" si="17"/>
        <v>6917</v>
      </c>
      <c r="F28" s="623">
        <f t="shared" si="17"/>
        <v>4882</v>
      </c>
      <c r="G28" s="623">
        <f t="shared" si="17"/>
        <v>3423664</v>
      </c>
      <c r="H28" s="623">
        <f t="shared" si="17"/>
        <v>5240</v>
      </c>
      <c r="I28" s="623">
        <f t="shared" si="17"/>
        <v>4796</v>
      </c>
      <c r="J28" s="623">
        <f t="shared" ref="J28:AC28" si="18">IF(J4="賞与",SUM(J11:J26)-J27,SUM(J21:J23))</f>
        <v>4993</v>
      </c>
      <c r="K28" s="623">
        <f t="shared" si="18"/>
        <v>22899</v>
      </c>
      <c r="L28" s="623">
        <f t="shared" si="18"/>
        <v>21850</v>
      </c>
      <c r="M28" s="623">
        <f t="shared" si="18"/>
        <v>116179</v>
      </c>
      <c r="N28" s="623">
        <f t="shared" si="18"/>
        <v>424599</v>
      </c>
      <c r="O28" s="623">
        <f t="shared" si="18"/>
        <v>195325</v>
      </c>
      <c r="P28" s="623">
        <f t="shared" si="18"/>
        <v>205181</v>
      </c>
      <c r="Q28" s="623">
        <f t="shared" si="18"/>
        <v>186800</v>
      </c>
      <c r="R28" s="623">
        <f t="shared" si="18"/>
        <v>188645</v>
      </c>
      <c r="S28" s="623">
        <f t="shared" si="18"/>
        <v>198164</v>
      </c>
      <c r="T28" s="623">
        <f t="shared" si="18"/>
        <v>231670</v>
      </c>
      <c r="U28" s="623">
        <f t="shared" si="18"/>
        <v>6519970</v>
      </c>
      <c r="V28" s="623">
        <f t="shared" si="18"/>
        <v>198991</v>
      </c>
      <c r="W28" s="623">
        <f t="shared" si="18"/>
        <v>61458</v>
      </c>
      <c r="X28" s="623">
        <f t="shared" si="18"/>
        <v>87887</v>
      </c>
      <c r="Y28" s="623">
        <f t="shared" si="18"/>
        <v>52003</v>
      </c>
      <c r="Z28" s="623">
        <f t="shared" si="18"/>
        <v>110929</v>
      </c>
      <c r="AA28" s="623">
        <f t="shared" si="18"/>
        <v>115089</v>
      </c>
      <c r="AB28" s="623">
        <f t="shared" si="18"/>
        <v>2065504</v>
      </c>
      <c r="AC28" s="623">
        <f t="shared" si="18"/>
        <v>102781</v>
      </c>
      <c r="AD28" s="1151">
        <f t="shared" ref="AD28:AI28" si="19">IF(AD4="賞与",SUM(AD11:AD26)-AD27,SUM(AD21:AD23))</f>
        <v>116004</v>
      </c>
      <c r="AE28" s="1151">
        <f>IF(AE4="賞与",SUM(AE11:AE26)-AE27,SUM(AE21:AE23))</f>
        <v>0</v>
      </c>
      <c r="AF28" s="623">
        <f t="shared" si="19"/>
        <v>136372</v>
      </c>
      <c r="AG28" s="623">
        <f t="shared" si="19"/>
        <v>119893</v>
      </c>
      <c r="AH28" s="623">
        <f t="shared" si="19"/>
        <v>56631</v>
      </c>
      <c r="AI28" s="623">
        <f t="shared" si="19"/>
        <v>83549</v>
      </c>
      <c r="AJ28" s="623">
        <f>IF(AJ4="賞与",SUM(AJ11:AJ26)-AJ27,SUM(AJ21:AJ23))</f>
        <v>6796280</v>
      </c>
      <c r="AK28" s="623">
        <f>IF(AK4="賞与",SUM(AK11:AK26)-AK27,SUM(AK21:AK23))</f>
        <v>80974</v>
      </c>
      <c r="AL28" s="623">
        <f>IF(AL4="賞与",SUM(AL11:AL26)-AL27,SUM(AL21:AL23))</f>
        <v>28906</v>
      </c>
      <c r="AM28" s="623">
        <f t="shared" ref="AM28:AY28" si="20">IF(AM4="賞与",SUM(AM11:AM26)-AM27,SUM(AM21:AM23))</f>
        <v>137886</v>
      </c>
      <c r="AN28" s="623">
        <f t="shared" si="20"/>
        <v>100189</v>
      </c>
      <c r="AO28" s="623">
        <f t="shared" si="20"/>
        <v>0</v>
      </c>
      <c r="AP28" s="623">
        <f t="shared" si="20"/>
        <v>0</v>
      </c>
      <c r="AQ28" s="623">
        <f t="shared" si="20"/>
        <v>0</v>
      </c>
      <c r="AR28" s="623">
        <f t="shared" si="20"/>
        <v>0</v>
      </c>
      <c r="AS28" s="623">
        <f t="shared" si="20"/>
        <v>0</v>
      </c>
      <c r="AT28" s="623">
        <f t="shared" si="20"/>
        <v>0</v>
      </c>
      <c r="AU28" s="623">
        <f t="shared" si="20"/>
        <v>0</v>
      </c>
      <c r="AV28" s="623">
        <f t="shared" si="20"/>
        <v>0</v>
      </c>
      <c r="AW28" s="623">
        <f t="shared" si="20"/>
        <v>0</v>
      </c>
      <c r="AX28" s="623">
        <f t="shared" si="20"/>
        <v>0</v>
      </c>
      <c r="AY28" s="623">
        <f t="shared" si="20"/>
        <v>0</v>
      </c>
    </row>
    <row r="29" spans="1:51" ht="35.25" customHeight="1" thickBot="1" x14ac:dyDescent="0.2">
      <c r="A29" s="2113"/>
      <c r="B29" s="614" t="s">
        <v>160</v>
      </c>
      <c r="C29" s="614">
        <f t="shared" ref="C29:AD29" si="21">SUM(C11:C26)</f>
        <v>1108217</v>
      </c>
      <c r="D29" s="614">
        <f t="shared" si="21"/>
        <v>883952</v>
      </c>
      <c r="E29" s="614">
        <f>SUM(E11:E26)</f>
        <v>771049</v>
      </c>
      <c r="F29" s="614">
        <f>SUM(F11:F26)</f>
        <v>1129526.5</v>
      </c>
      <c r="G29" s="614">
        <f>SUM(G11:G26)</f>
        <v>6123664</v>
      </c>
      <c r="H29" s="614">
        <f t="shared" si="21"/>
        <v>1083766</v>
      </c>
      <c r="I29" s="614">
        <f t="shared" si="21"/>
        <v>1150497</v>
      </c>
      <c r="J29" s="614">
        <f t="shared" si="21"/>
        <v>1066498.5</v>
      </c>
      <c r="K29" s="614">
        <f t="shared" si="21"/>
        <v>1092322</v>
      </c>
      <c r="L29" s="614">
        <f t="shared" si="21"/>
        <v>1171054</v>
      </c>
      <c r="M29" s="614">
        <f t="shared" si="21"/>
        <v>1803776</v>
      </c>
      <c r="N29" s="614">
        <f>SUM(N11:N26)</f>
        <v>3574599</v>
      </c>
      <c r="O29" s="614">
        <f t="shared" si="21"/>
        <v>2006184</v>
      </c>
      <c r="P29" s="614">
        <f t="shared" si="21"/>
        <v>2454365</v>
      </c>
      <c r="Q29" s="614">
        <f t="shared" si="21"/>
        <v>1879571</v>
      </c>
      <c r="R29" s="614">
        <f t="shared" si="21"/>
        <v>1854698</v>
      </c>
      <c r="S29" s="614">
        <f t="shared" si="21"/>
        <v>2016501</v>
      </c>
      <c r="T29" s="614">
        <f t="shared" si="21"/>
        <v>2044640</v>
      </c>
      <c r="U29" s="614">
        <f>SUM(U11:U26)</f>
        <v>10119970</v>
      </c>
      <c r="V29" s="614">
        <f t="shared" si="21"/>
        <v>2192928</v>
      </c>
      <c r="W29" s="614">
        <f t="shared" si="21"/>
        <v>1604384</v>
      </c>
      <c r="X29" s="614">
        <f t="shared" si="21"/>
        <v>1683521</v>
      </c>
      <c r="Y29" s="614">
        <f t="shared" si="21"/>
        <v>1853874</v>
      </c>
      <c r="Z29" s="614">
        <f t="shared" si="21"/>
        <v>1668536</v>
      </c>
      <c r="AA29" s="614">
        <f t="shared" si="21"/>
        <v>2293410</v>
      </c>
      <c r="AB29" s="614">
        <f>SUM(AB11:AB26)</f>
        <v>5665504</v>
      </c>
      <c r="AC29" s="614">
        <f t="shared" si="21"/>
        <v>2124641</v>
      </c>
      <c r="AD29" s="1152">
        <f t="shared" si="21"/>
        <v>2092706</v>
      </c>
      <c r="AE29" s="1152">
        <f t="shared" ref="AE29:AL29" si="22">SUM(AE11:AE26)</f>
        <v>1150000</v>
      </c>
      <c r="AF29" s="614">
        <f t="shared" si="22"/>
        <v>2087528</v>
      </c>
      <c r="AG29" s="614">
        <f t="shared" si="22"/>
        <v>2021759</v>
      </c>
      <c r="AH29" s="614">
        <f t="shared" si="22"/>
        <v>2003505</v>
      </c>
      <c r="AI29" s="614">
        <f t="shared" si="22"/>
        <v>2301007</v>
      </c>
      <c r="AJ29" s="614">
        <f t="shared" si="22"/>
        <v>10396280</v>
      </c>
      <c r="AK29" s="614">
        <f t="shared" si="22"/>
        <v>2355128</v>
      </c>
      <c r="AL29" s="614">
        <f t="shared" si="22"/>
        <v>2055822</v>
      </c>
      <c r="AM29" s="614">
        <f t="shared" ref="AM29:AY29" si="23">SUM(AM11:AM26)</f>
        <v>2031239</v>
      </c>
      <c r="AN29" s="614">
        <f t="shared" si="23"/>
        <v>1931126</v>
      </c>
      <c r="AO29" s="614">
        <f t="shared" si="23"/>
        <v>0</v>
      </c>
      <c r="AP29" s="614">
        <f t="shared" si="23"/>
        <v>0</v>
      </c>
      <c r="AQ29" s="614">
        <f t="shared" si="23"/>
        <v>0</v>
      </c>
      <c r="AR29" s="614">
        <f t="shared" si="23"/>
        <v>0</v>
      </c>
      <c r="AS29" s="614">
        <f t="shared" si="23"/>
        <v>0</v>
      </c>
      <c r="AT29" s="614">
        <f t="shared" si="23"/>
        <v>0</v>
      </c>
      <c r="AU29" s="614">
        <f t="shared" si="23"/>
        <v>0</v>
      </c>
      <c r="AV29" s="614">
        <f t="shared" si="23"/>
        <v>0</v>
      </c>
      <c r="AW29" s="614">
        <f t="shared" si="23"/>
        <v>0</v>
      </c>
      <c r="AX29" s="614">
        <f t="shared" si="23"/>
        <v>0</v>
      </c>
      <c r="AY29" s="614">
        <f t="shared" si="23"/>
        <v>0</v>
      </c>
    </row>
    <row r="30" spans="1:51" ht="35.25" customHeight="1" x14ac:dyDescent="0.15">
      <c r="A30" s="2115" t="s">
        <v>532</v>
      </c>
      <c r="B30" s="619" t="s">
        <v>533</v>
      </c>
      <c r="C30" s="620">
        <f>C8-C27</f>
        <v>468912</v>
      </c>
      <c r="D30" s="620">
        <f t="shared" ref="D30:P30" si="24">D8-D27</f>
        <v>475833</v>
      </c>
      <c r="E30" s="620">
        <f t="shared" ref="E30:G32" si="25">E8-E27</f>
        <v>631749</v>
      </c>
      <c r="F30" s="620">
        <f t="shared" si="25"/>
        <v>456962.5</v>
      </c>
      <c r="G30" s="620">
        <f t="shared" si="25"/>
        <v>-2700000</v>
      </c>
      <c r="H30" s="620">
        <f t="shared" si="24"/>
        <v>451793</v>
      </c>
      <c r="I30" s="620">
        <f t="shared" si="24"/>
        <v>464080</v>
      </c>
      <c r="J30" s="620">
        <f t="shared" si="24"/>
        <v>370851.5</v>
      </c>
      <c r="K30" s="620">
        <f t="shared" si="24"/>
        <v>398753</v>
      </c>
      <c r="L30" s="620">
        <f t="shared" si="24"/>
        <v>410762</v>
      </c>
      <c r="M30" s="620">
        <f t="shared" si="24"/>
        <v>593192</v>
      </c>
      <c r="N30" s="620">
        <f>N8-N27</f>
        <v>-3150000</v>
      </c>
      <c r="O30" s="620">
        <f t="shared" si="24"/>
        <v>665003</v>
      </c>
      <c r="P30" s="620">
        <f t="shared" si="24"/>
        <v>11641</v>
      </c>
      <c r="Q30" s="620">
        <f>Q8-Q27</f>
        <v>674852</v>
      </c>
      <c r="R30" s="620">
        <f t="shared" ref="R30:AD30" si="26">R8-R27</f>
        <v>681491</v>
      </c>
      <c r="S30" s="620">
        <f t="shared" si="26"/>
        <v>656255</v>
      </c>
      <c r="T30" s="620">
        <f t="shared" si="26"/>
        <v>630850</v>
      </c>
      <c r="U30" s="620">
        <f>U8-U27</f>
        <v>-3600000</v>
      </c>
      <c r="V30" s="620">
        <f t="shared" si="26"/>
        <v>362379</v>
      </c>
      <c r="W30" s="620">
        <f t="shared" si="26"/>
        <v>837716</v>
      </c>
      <c r="X30" s="620">
        <f t="shared" si="26"/>
        <v>799101</v>
      </c>
      <c r="Y30" s="620">
        <f t="shared" si="26"/>
        <v>427884</v>
      </c>
      <c r="Z30" s="620">
        <f t="shared" si="26"/>
        <v>846660</v>
      </c>
      <c r="AA30" s="620">
        <f t="shared" si="26"/>
        <v>513403</v>
      </c>
      <c r="AB30" s="620">
        <f>AB8-AB27</f>
        <v>-3600000</v>
      </c>
      <c r="AC30" s="620">
        <f t="shared" si="26"/>
        <v>578368</v>
      </c>
      <c r="AD30" s="1153">
        <f t="shared" si="26"/>
        <v>517551</v>
      </c>
      <c r="AE30" s="1153">
        <f t="shared" ref="AE30:AL32" si="27">AE8-AE27</f>
        <v>-1150000</v>
      </c>
      <c r="AF30" s="620">
        <f t="shared" si="27"/>
        <v>611378</v>
      </c>
      <c r="AG30" s="620">
        <f t="shared" si="27"/>
        <v>610169</v>
      </c>
      <c r="AH30" s="620">
        <f t="shared" si="27"/>
        <v>584713</v>
      </c>
      <c r="AI30" s="620">
        <f t="shared" si="27"/>
        <v>422395</v>
      </c>
      <c r="AJ30" s="620">
        <f t="shared" si="27"/>
        <v>-3600000</v>
      </c>
      <c r="AK30" s="620">
        <f t="shared" si="27"/>
        <v>589032</v>
      </c>
      <c r="AL30" s="620">
        <f t="shared" si="27"/>
        <v>580625</v>
      </c>
      <c r="AM30" s="620">
        <f t="shared" ref="AM30:AY30" si="28">AM8-AM27</f>
        <v>707775</v>
      </c>
      <c r="AN30" s="620">
        <f t="shared" si="28"/>
        <v>645470</v>
      </c>
      <c r="AO30" s="620">
        <f t="shared" si="28"/>
        <v>2543698</v>
      </c>
      <c r="AP30" s="620">
        <f t="shared" si="28"/>
        <v>0</v>
      </c>
      <c r="AQ30" s="620">
        <f t="shared" si="28"/>
        <v>0</v>
      </c>
      <c r="AR30" s="620">
        <f t="shared" si="28"/>
        <v>0</v>
      </c>
      <c r="AS30" s="620">
        <f t="shared" si="28"/>
        <v>0</v>
      </c>
      <c r="AT30" s="620">
        <f t="shared" si="28"/>
        <v>0</v>
      </c>
      <c r="AU30" s="620">
        <f t="shared" si="28"/>
        <v>0</v>
      </c>
      <c r="AV30" s="620">
        <f t="shared" si="28"/>
        <v>0</v>
      </c>
      <c r="AW30" s="620">
        <f t="shared" si="28"/>
        <v>0</v>
      </c>
      <c r="AX30" s="620">
        <f t="shared" si="28"/>
        <v>0</v>
      </c>
      <c r="AY30" s="620">
        <f t="shared" si="28"/>
        <v>0</v>
      </c>
    </row>
    <row r="31" spans="1:51" ht="35.25" customHeight="1" thickBot="1" x14ac:dyDescent="0.2">
      <c r="A31" s="2116"/>
      <c r="B31" s="624" t="s">
        <v>534</v>
      </c>
      <c r="C31" s="625">
        <f>C9-C28</f>
        <v>505033</v>
      </c>
      <c r="D31" s="625">
        <f t="shared" ref="D31:P31" si="29">D9-D28</f>
        <v>509329</v>
      </c>
      <c r="E31" s="625">
        <f t="shared" si="25"/>
        <v>430031</v>
      </c>
      <c r="F31" s="625">
        <f t="shared" si="25"/>
        <v>613562</v>
      </c>
      <c r="G31" s="625">
        <f t="shared" si="25"/>
        <v>-3423664</v>
      </c>
      <c r="H31" s="625">
        <f t="shared" si="29"/>
        <v>558861</v>
      </c>
      <c r="I31" s="625">
        <f t="shared" si="29"/>
        <v>719853</v>
      </c>
      <c r="J31" s="625">
        <f t="shared" si="29"/>
        <v>646409</v>
      </c>
      <c r="K31" s="625">
        <f t="shared" si="29"/>
        <v>567817</v>
      </c>
      <c r="L31" s="625">
        <f t="shared" si="29"/>
        <v>641676</v>
      </c>
      <c r="M31" s="625">
        <f t="shared" si="29"/>
        <v>807386</v>
      </c>
      <c r="N31" s="625">
        <f>N9-N28</f>
        <v>-424599</v>
      </c>
      <c r="O31" s="625">
        <f t="shared" si="29"/>
        <v>772874</v>
      </c>
      <c r="P31" s="625">
        <f t="shared" si="29"/>
        <v>1236950</v>
      </c>
      <c r="Q31" s="625">
        <f>Q9-Q28</f>
        <v>1174645</v>
      </c>
      <c r="R31" s="625">
        <f t="shared" ref="R31:AD31" si="30">R9-R28</f>
        <v>1053311</v>
      </c>
      <c r="S31" s="625">
        <f t="shared" si="30"/>
        <v>999873</v>
      </c>
      <c r="T31" s="625">
        <f t="shared" si="30"/>
        <v>1071658</v>
      </c>
      <c r="U31" s="625">
        <f>U9-U28</f>
        <v>-6519970</v>
      </c>
      <c r="V31" s="625">
        <f t="shared" si="30"/>
        <v>1017822</v>
      </c>
      <c r="W31" s="625">
        <f t="shared" si="30"/>
        <v>1075068</v>
      </c>
      <c r="X31" s="625">
        <f t="shared" si="30"/>
        <v>1201953</v>
      </c>
      <c r="Y31" s="625">
        <f t="shared" si="30"/>
        <v>1059652</v>
      </c>
      <c r="Z31" s="625">
        <f t="shared" si="30"/>
        <v>1013171</v>
      </c>
      <c r="AA31" s="625">
        <f t="shared" si="30"/>
        <v>1023776</v>
      </c>
      <c r="AB31" s="625">
        <f>AB9-AB28</f>
        <v>-2065504</v>
      </c>
      <c r="AC31" s="625">
        <f t="shared" si="30"/>
        <v>1051607</v>
      </c>
      <c r="AD31" s="1154">
        <f t="shared" si="30"/>
        <v>1033133</v>
      </c>
      <c r="AE31" s="1154">
        <f t="shared" si="27"/>
        <v>0</v>
      </c>
      <c r="AF31" s="625">
        <f t="shared" si="27"/>
        <v>1147746</v>
      </c>
      <c r="AG31" s="625">
        <f t="shared" si="27"/>
        <v>1010685</v>
      </c>
      <c r="AH31" s="625">
        <f t="shared" si="27"/>
        <v>1236847</v>
      </c>
      <c r="AI31" s="625">
        <f t="shared" si="27"/>
        <v>1379318</v>
      </c>
      <c r="AJ31" s="625">
        <f t="shared" si="27"/>
        <v>-6796280</v>
      </c>
      <c r="AK31" s="625">
        <f t="shared" si="27"/>
        <v>1431561</v>
      </c>
      <c r="AL31" s="625">
        <f t="shared" si="27"/>
        <v>1593483</v>
      </c>
      <c r="AM31" s="625">
        <f t="shared" ref="AM31:AY31" si="31">AM9-AM28</f>
        <v>1396154</v>
      </c>
      <c r="AN31" s="625">
        <f t="shared" si="31"/>
        <v>1310584</v>
      </c>
      <c r="AO31" s="625">
        <f t="shared" si="31"/>
        <v>1473322</v>
      </c>
      <c r="AP31" s="625">
        <f t="shared" si="31"/>
        <v>0</v>
      </c>
      <c r="AQ31" s="625">
        <f t="shared" si="31"/>
        <v>0</v>
      </c>
      <c r="AR31" s="625">
        <f t="shared" si="31"/>
        <v>0</v>
      </c>
      <c r="AS31" s="625">
        <f t="shared" si="31"/>
        <v>0</v>
      </c>
      <c r="AT31" s="625">
        <f t="shared" si="31"/>
        <v>0</v>
      </c>
      <c r="AU31" s="625">
        <f t="shared" si="31"/>
        <v>0</v>
      </c>
      <c r="AV31" s="625">
        <f t="shared" si="31"/>
        <v>0</v>
      </c>
      <c r="AW31" s="625">
        <f t="shared" si="31"/>
        <v>0</v>
      </c>
      <c r="AX31" s="625">
        <f t="shared" si="31"/>
        <v>0</v>
      </c>
      <c r="AY31" s="625">
        <f t="shared" si="31"/>
        <v>0</v>
      </c>
    </row>
    <row r="32" spans="1:51" ht="35.25" customHeight="1" thickBot="1" x14ac:dyDescent="0.2">
      <c r="A32" s="2117"/>
      <c r="B32" s="615" t="s">
        <v>535</v>
      </c>
      <c r="C32" s="591">
        <f t="shared" ref="C32:P32" si="32">C10-C29</f>
        <v>973945</v>
      </c>
      <c r="D32" s="591">
        <f t="shared" si="32"/>
        <v>985162</v>
      </c>
      <c r="E32" s="591">
        <f t="shared" si="25"/>
        <v>1061780</v>
      </c>
      <c r="F32" s="591">
        <f t="shared" si="25"/>
        <v>1070524.5</v>
      </c>
      <c r="G32" s="591">
        <f t="shared" si="25"/>
        <v>-6123664</v>
      </c>
      <c r="H32" s="591">
        <f t="shared" si="32"/>
        <v>1010654</v>
      </c>
      <c r="I32" s="591">
        <f t="shared" si="32"/>
        <v>1183933</v>
      </c>
      <c r="J32" s="591">
        <f t="shared" si="32"/>
        <v>1017260.5</v>
      </c>
      <c r="K32" s="591">
        <f t="shared" si="32"/>
        <v>966570</v>
      </c>
      <c r="L32" s="591">
        <f t="shared" si="32"/>
        <v>1052438</v>
      </c>
      <c r="M32" s="591">
        <f t="shared" si="32"/>
        <v>1400578</v>
      </c>
      <c r="N32" s="591">
        <f>N10-N29</f>
        <v>-3574599</v>
      </c>
      <c r="O32" s="591">
        <f t="shared" si="32"/>
        <v>1437877</v>
      </c>
      <c r="P32" s="591">
        <f t="shared" si="32"/>
        <v>1248591</v>
      </c>
      <c r="Q32" s="591">
        <f>Q10-Q29</f>
        <v>1849497</v>
      </c>
      <c r="R32" s="591">
        <f t="shared" ref="R32:AD32" si="33">R10-R29</f>
        <v>1734802</v>
      </c>
      <c r="S32" s="591">
        <f t="shared" si="33"/>
        <v>1656128</v>
      </c>
      <c r="T32" s="591">
        <f t="shared" si="33"/>
        <v>1702508</v>
      </c>
      <c r="U32" s="591">
        <f>U10-U29</f>
        <v>-10119970</v>
      </c>
      <c r="V32" s="591">
        <f t="shared" si="33"/>
        <v>1380201</v>
      </c>
      <c r="W32" s="591">
        <f t="shared" si="33"/>
        <v>1912784</v>
      </c>
      <c r="X32" s="591">
        <f t="shared" si="33"/>
        <v>-1683521</v>
      </c>
      <c r="Y32" s="591">
        <f t="shared" si="33"/>
        <v>1487536</v>
      </c>
      <c r="Z32" s="591">
        <f t="shared" si="33"/>
        <v>1859831</v>
      </c>
      <c r="AA32" s="591">
        <f t="shared" si="33"/>
        <v>1537179</v>
      </c>
      <c r="AB32" s="591">
        <f>AB10-AB29</f>
        <v>-5665504</v>
      </c>
      <c r="AC32" s="591">
        <f t="shared" si="33"/>
        <v>1629975</v>
      </c>
      <c r="AD32" s="1155">
        <f t="shared" si="33"/>
        <v>1550684</v>
      </c>
      <c r="AE32" s="1155">
        <f t="shared" si="27"/>
        <v>-1150000</v>
      </c>
      <c r="AF32" s="591">
        <f t="shared" si="27"/>
        <v>-2087528</v>
      </c>
      <c r="AG32" s="591">
        <f t="shared" si="27"/>
        <v>1620854</v>
      </c>
      <c r="AH32" s="591">
        <f t="shared" si="27"/>
        <v>1821560</v>
      </c>
      <c r="AI32" s="591">
        <f t="shared" si="27"/>
        <v>1801713</v>
      </c>
      <c r="AJ32" s="591">
        <f t="shared" si="27"/>
        <v>-10396280</v>
      </c>
      <c r="AK32" s="591">
        <f t="shared" si="27"/>
        <v>2020593</v>
      </c>
      <c r="AL32" s="591">
        <f t="shared" si="27"/>
        <v>2174108</v>
      </c>
      <c r="AM32" s="591">
        <f t="shared" ref="AM32:AY32" si="34">AM10-AM29</f>
        <v>2103929</v>
      </c>
      <c r="AN32" s="591">
        <f t="shared" si="34"/>
        <v>1956054</v>
      </c>
      <c r="AO32" s="591">
        <f t="shared" si="34"/>
        <v>4017020</v>
      </c>
      <c r="AP32" s="591">
        <f t="shared" si="34"/>
        <v>0</v>
      </c>
      <c r="AQ32" s="591">
        <f t="shared" si="34"/>
        <v>0</v>
      </c>
      <c r="AR32" s="591">
        <f t="shared" si="34"/>
        <v>0</v>
      </c>
      <c r="AS32" s="591">
        <f t="shared" si="34"/>
        <v>0</v>
      </c>
      <c r="AT32" s="591">
        <f t="shared" si="34"/>
        <v>0</v>
      </c>
      <c r="AU32" s="591">
        <f t="shared" si="34"/>
        <v>0</v>
      </c>
      <c r="AV32" s="591">
        <f t="shared" si="34"/>
        <v>0</v>
      </c>
      <c r="AW32" s="591">
        <f t="shared" si="34"/>
        <v>0</v>
      </c>
      <c r="AX32" s="591">
        <f t="shared" si="34"/>
        <v>0</v>
      </c>
      <c r="AY32" s="591">
        <f t="shared" si="34"/>
        <v>0</v>
      </c>
    </row>
    <row r="35" spans="3:7" x14ac:dyDescent="0.15">
      <c r="C35" s="26">
        <v>1265028</v>
      </c>
      <c r="D35" s="26">
        <v>1321361</v>
      </c>
      <c r="E35" s="26">
        <v>1498609</v>
      </c>
      <c r="F35" s="26">
        <f>F36*F37</f>
        <v>1454123.8499999999</v>
      </c>
      <c r="G35" s="26"/>
    </row>
    <row r="36" spans="3:7" x14ac:dyDescent="0.15">
      <c r="C36" s="26">
        <v>16469452</v>
      </c>
      <c r="D36" s="26">
        <v>17484715</v>
      </c>
      <c r="E36" s="26">
        <v>20103082</v>
      </c>
      <c r="F36" s="26">
        <v>19388318</v>
      </c>
      <c r="G36" s="26"/>
    </row>
    <row r="37" spans="3:7" x14ac:dyDescent="0.15">
      <c r="C37" s="80">
        <f>C35/C36</f>
        <v>7.6810570260625557E-2</v>
      </c>
      <c r="D37" s="80">
        <f>D35/D36</f>
        <v>7.5572349906761427E-2</v>
      </c>
      <c r="E37" s="80">
        <f>E35/E36</f>
        <v>7.4546231269414315E-2</v>
      </c>
      <c r="F37" s="80">
        <v>7.4999999999999997E-2</v>
      </c>
      <c r="G37" s="80"/>
    </row>
  </sheetData>
  <mergeCells count="7">
    <mergeCell ref="A8:A10"/>
    <mergeCell ref="A5:A7"/>
    <mergeCell ref="A11:A29"/>
    <mergeCell ref="A30:A32"/>
    <mergeCell ref="A2:B2"/>
    <mergeCell ref="A4:B4"/>
    <mergeCell ref="A3:B3"/>
  </mergeCells>
  <phoneticPr fontId="40"/>
  <conditionalFormatting sqref="C5:AE15 C17:AE23 C25:AE32 C24:AY24">
    <cfRule type="expression" dxfId="321" priority="6">
      <formula>C5=0</formula>
    </cfRule>
  </conditionalFormatting>
  <conditionalFormatting sqref="C4:AE4">
    <cfRule type="expression" dxfId="320" priority="5">
      <formula>C$4="賞与"</formula>
    </cfRule>
  </conditionalFormatting>
  <conditionalFormatting sqref="C16:AE16">
    <cfRule type="expression" dxfId="319" priority="4">
      <formula>C16=0</formula>
    </cfRule>
  </conditionalFormatting>
  <conditionalFormatting sqref="AF5:AY15 AF17:AY23 AF25:AY32">
    <cfRule type="expression" dxfId="318" priority="3">
      <formula>AF5=0</formula>
    </cfRule>
  </conditionalFormatting>
  <conditionalFormatting sqref="AF4:AY4">
    <cfRule type="expression" dxfId="317" priority="2">
      <formula>AF$4="賞与"</formula>
    </cfRule>
  </conditionalFormatting>
  <conditionalFormatting sqref="AF16:AY16">
    <cfRule type="expression" dxfId="316" priority="1">
      <formula>AF16=0</formula>
    </cfRule>
  </conditionalFormatting>
  <pageMargins left="0.31496062992125984" right="0.31496062992125984" top="0.51181102362204722" bottom="0.59055118110236227" header="0.31496062992125984" footer="0.31496062992125984"/>
  <pageSetup paperSize="8" scale="48" orientation="landscape" r:id="rId1"/>
  <headerFooter>
    <oddHeader>&amp;L&amp;A&amp;R日付 &amp;D</oddHeader>
    <oddFooter>&amp;L介護サービス友乃家&amp;R&amp;F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リスト!$S$2:$S$3</xm:f>
          </x14:formula1>
          <xm:sqref>C4:AY4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>
    <pageSetUpPr fitToPage="1"/>
  </sheetPr>
  <dimension ref="A1:AR96"/>
  <sheetViews>
    <sheetView zoomScale="90" zoomScaleNormal="90" workbookViewId="0">
      <pane xSplit="5" ySplit="2" topLeftCell="Y3" activePane="bottomRight" state="frozen"/>
      <selection activeCell="C1" sqref="C1"/>
      <selection pane="topRight" activeCell="F1" sqref="F1"/>
      <selection pane="bottomLeft" activeCell="C3" sqref="C3"/>
      <selection pane="bottomRight" activeCell="AC80" sqref="AC80"/>
    </sheetView>
  </sheetViews>
  <sheetFormatPr defaultRowHeight="13.5" x14ac:dyDescent="0.15"/>
  <cols>
    <col min="1" max="2" width="9" hidden="1" customWidth="1"/>
    <col min="3" max="3" width="3.375" customWidth="1"/>
    <col min="4" max="4" width="12.125" customWidth="1"/>
    <col min="5" max="5" width="17.375" customWidth="1"/>
    <col min="6" max="11" width="13.625" hidden="1" customWidth="1"/>
    <col min="12" max="31" width="13.625" customWidth="1"/>
    <col min="32" max="32" width="18" customWidth="1"/>
    <col min="33" max="33" width="10.25" bestFit="1" customWidth="1"/>
    <col min="34" max="34" width="11.375" bestFit="1" customWidth="1"/>
    <col min="35" max="35" width="9.625" customWidth="1"/>
    <col min="36" max="36" width="10" customWidth="1"/>
  </cols>
  <sheetData>
    <row r="1" spans="1:33" ht="14.25" thickBot="1" x14ac:dyDescent="0.2"/>
    <row r="2" spans="1:33" ht="14.25" thickBot="1" x14ac:dyDescent="0.2">
      <c r="D2" s="89" t="s">
        <v>33</v>
      </c>
      <c r="E2" s="90"/>
      <c r="F2" s="669">
        <f>推移!D2</f>
        <v>42856</v>
      </c>
      <c r="G2" s="669">
        <f>推移!E2</f>
        <v>42887</v>
      </c>
      <c r="H2" s="669">
        <f>推移!F2</f>
        <v>42917</v>
      </c>
      <c r="I2" s="669">
        <f>推移!G2</f>
        <v>42948</v>
      </c>
      <c r="J2" s="669">
        <f>推移!H2</f>
        <v>42979</v>
      </c>
      <c r="K2" s="669">
        <f>推移!I2</f>
        <v>43009</v>
      </c>
      <c r="L2" s="669">
        <f>推移!J2</f>
        <v>43040</v>
      </c>
      <c r="M2" s="669">
        <f>推移!K2</f>
        <v>43070</v>
      </c>
      <c r="N2" s="669">
        <f>推移!L2</f>
        <v>43101</v>
      </c>
      <c r="O2" s="669">
        <f>推移!M2</f>
        <v>43132</v>
      </c>
      <c r="P2" s="669">
        <f>推移!N2</f>
        <v>43160</v>
      </c>
      <c r="Q2" s="669">
        <f>推移!O2</f>
        <v>43191</v>
      </c>
      <c r="R2" s="669">
        <f>推移!P2</f>
        <v>43221</v>
      </c>
      <c r="S2" s="669">
        <f>推移!Q2</f>
        <v>43252</v>
      </c>
      <c r="T2" s="669">
        <f>推移!R2</f>
        <v>43282</v>
      </c>
      <c r="U2" s="669">
        <f>推移!S2</f>
        <v>43313</v>
      </c>
      <c r="V2" s="669">
        <f>推移!T2</f>
        <v>43344</v>
      </c>
      <c r="W2" s="669">
        <f>推移!U2</f>
        <v>43374</v>
      </c>
      <c r="X2" s="669">
        <f>推移!V2</f>
        <v>43405</v>
      </c>
      <c r="Y2" s="669">
        <f>推移!W2</f>
        <v>43435</v>
      </c>
      <c r="Z2" s="669">
        <f>推移!X2</f>
        <v>43466</v>
      </c>
      <c r="AA2" s="669">
        <f>推移!Y2</f>
        <v>43497</v>
      </c>
      <c r="AB2" s="669">
        <f>推移!Z2</f>
        <v>43525</v>
      </c>
      <c r="AC2" s="669">
        <f>推移!AA2</f>
        <v>43556</v>
      </c>
      <c r="AD2" s="691">
        <f>推移!$AB$2</f>
        <v>43344</v>
      </c>
      <c r="AE2" s="670">
        <f>推移!$AB$2</f>
        <v>43344</v>
      </c>
    </row>
    <row r="3" spans="1:33" x14ac:dyDescent="0.15">
      <c r="A3" t="s">
        <v>766</v>
      </c>
      <c r="B3" t="s">
        <v>26</v>
      </c>
      <c r="D3" s="2124" t="s">
        <v>489</v>
      </c>
      <c r="E3" s="81" t="s">
        <v>26</v>
      </c>
      <c r="F3" s="137">
        <f>IFERROR(GETPIVOTDATA("合計 / " &amp; $B3,【ピボット】事業所収支!$A$3,"年月",F$2,"事業所",$A3),"")</f>
        <v>0</v>
      </c>
      <c r="G3" s="137">
        <f>IFERROR(GETPIVOTDATA("合計 / " &amp; $B3,【ピボット】事業所収支!$A$3,"年月",G$2,"事業所",$A3),"")</f>
        <v>0</v>
      </c>
      <c r="H3" s="137">
        <f>IFERROR(GETPIVOTDATA("合計 / " &amp; $B3,【ピボット】事業所収支!$A$3,"年月",H$2,"事業所",$A3),"")</f>
        <v>0</v>
      </c>
      <c r="I3" s="137">
        <f>IFERROR(GETPIVOTDATA("合計 / " &amp; $B3,【ピボット】事業所収支!$A$3,"年月",I$2,"事業所",$A3),"")</f>
        <v>0</v>
      </c>
      <c r="J3" s="137">
        <f>IFERROR(GETPIVOTDATA("合計 / " &amp; $B3,【ピボット】事業所収支!$A$3,"年月",J$2,"事業所",$A3),"")</f>
        <v>0</v>
      </c>
      <c r="K3" s="137">
        <f>IFERROR(GETPIVOTDATA("合計 / " &amp; $B3,【ピボット】事業所収支!$A$3,"年月",K$2,"事業所",$A3),"")</f>
        <v>140400</v>
      </c>
      <c r="L3" s="137">
        <f>IFERROR(GETPIVOTDATA("合計 / " &amp; $B3,【ピボット】事業所収支!$A$3,"年月",L$2,"事業所",$A3),"")</f>
        <v>0</v>
      </c>
      <c r="M3" s="137">
        <f>IFERROR(GETPIVOTDATA("合計 / " &amp; $B3,【ピボット】事業所収支!$A$3,"年月",M$2,"事業所",$A3),"")</f>
        <v>0</v>
      </c>
      <c r="N3" s="137">
        <f>IFERROR(GETPIVOTDATA("合計 / " &amp; $B3,【ピボット】事業所収支!$A$3,"年月",N$2,"事業所",$A3),"")</f>
        <v>0</v>
      </c>
      <c r="O3" s="137">
        <f>IFERROR(GETPIVOTDATA("合計 / " &amp; $B3,【ピボット】事業所収支!$A$3,"年月",O$2,"事業所",$A3),"")</f>
        <v>0</v>
      </c>
      <c r="P3" s="137">
        <f>IFERROR(GETPIVOTDATA("合計 / " &amp; $B3,【ピボット】事業所収支!$A$3,"年月",P$2,"事業所",$A3),"")</f>
        <v>0</v>
      </c>
      <c r="Q3" s="137">
        <f>IFERROR(GETPIVOTDATA("合計 / " &amp; $B3,【ピボット】事業所収支!$A$3,"年月",Q$2,"事業所",$A3),"")</f>
        <v>0</v>
      </c>
      <c r="R3" s="137">
        <f>IFERROR(GETPIVOTDATA("合計 / " &amp; $B3,【ピボット】事業所収支!$A$3,"年月",R$2,"事業所",$A3),"")</f>
        <v>0</v>
      </c>
      <c r="S3" s="137">
        <f>IFERROR(GETPIVOTDATA("合計 / " &amp; $B3,【ピボット】事業所収支!$A$3,"年月",S$2,"事業所",$A3),"")</f>
        <v>0</v>
      </c>
      <c r="T3" s="137">
        <f>IFERROR(GETPIVOTDATA("合計 / " &amp; $B3,【ピボット】事業所収支!$A$3,"年月",T$2,"事業所",$A3),"")</f>
        <v>0</v>
      </c>
      <c r="U3" s="137">
        <f>IFERROR(GETPIVOTDATA("合計 / " &amp; $B3,【ピボット】事業所収支!$A$3,"年月",U$2,"事業所",$A3),"")</f>
        <v>0</v>
      </c>
      <c r="V3" s="137">
        <f>IFERROR(GETPIVOTDATA("合計 / " &amp; $B3,【ピボット】事業所収支!$A$3,"年月",V$2,"事業所",$A3),"")</f>
        <v>0</v>
      </c>
      <c r="W3" s="137">
        <f>IFERROR(GETPIVOTDATA("合計 / " &amp; $B3,【ピボット】事業所収支!$A$3,"年月",W$2,"事業所",$A3),"")</f>
        <v>0</v>
      </c>
      <c r="X3" s="137">
        <f>IFERROR(GETPIVOTDATA("合計 / " &amp; $B3,【ピボット】事業所収支!$A$3,"年月",X$2,"事業所",$A3),"")</f>
        <v>0</v>
      </c>
      <c r="Y3" s="137">
        <f>IFERROR(GETPIVOTDATA("合計 / " &amp; $B3,【ピボット】事業所収支!$A$3,"年月",Y$2,"事業所",$A3),"")</f>
        <v>0</v>
      </c>
      <c r="Z3" s="137">
        <f>IFERROR(GETPIVOTDATA("合計 / " &amp; $B3,【ピボット】事業所収支!$A$3,"年月",Z$2,"事業所",$A3),"")</f>
        <v>0</v>
      </c>
      <c r="AA3" s="137">
        <f>IFERROR(GETPIVOTDATA("合計 / " &amp; $B3,【ピボット】事業所収支!$A$3,"年月",AA$2,"事業所",$A3),"")</f>
        <v>0</v>
      </c>
      <c r="AB3" s="137">
        <f>IFERROR(GETPIVOTDATA("合計 / " &amp; $B3,【ピボット】事業所収支!$A$3,"年月",AB$2,"事業所",$A3),"")</f>
        <v>142560</v>
      </c>
      <c r="AC3" s="137">
        <f>IFERROR(GETPIVOTDATA("合計 / " &amp; $B3,【ピボット】事業所収支!$A$3,"年月",AC$2,"事業所",$A3),"")</f>
        <v>0</v>
      </c>
      <c r="AD3" s="139">
        <f ca="1">SUM(OFFSET(AC3,0,当期月数):AC3)</f>
        <v>142560</v>
      </c>
      <c r="AE3" s="47">
        <f ca="1">AVERAGE(OFFSET(AC3,0,当期月数):AC3)</f>
        <v>17820</v>
      </c>
      <c r="AG3" t="s">
        <v>294</v>
      </c>
    </row>
    <row r="4" spans="1:33" x14ac:dyDescent="0.15">
      <c r="A4" t="s">
        <v>766</v>
      </c>
      <c r="B4" t="s">
        <v>15</v>
      </c>
      <c r="D4" s="2125"/>
      <c r="E4" s="83" t="s">
        <v>15</v>
      </c>
      <c r="F4" s="30">
        <f>IFERROR(GETPIVOTDATA("合計 / " &amp; $B4,【ピボット】事業所収支!$A$3,"年月",F$2,"事業所",$A4),"")</f>
        <v>2465952</v>
      </c>
      <c r="G4" s="30">
        <f>IFERROR(GETPIVOTDATA("合計 / " &amp; $B4,【ピボット】事業所収支!$A$3,"年月",G$2,"事業所",$A4),"")</f>
        <v>3574531</v>
      </c>
      <c r="H4" s="30">
        <f>IFERROR(GETPIVOTDATA("合計 / " &amp; $B4,【ピボット】事業所収支!$A$3,"年月",H$2,"事業所",$A4),"")</f>
        <v>3876049</v>
      </c>
      <c r="I4" s="30">
        <f>IFERROR(GETPIVOTDATA("合計 / " &amp; $B4,【ピボット】事業所収支!$A$3,"年月",I$2,"事業所",$A4),"")</f>
        <v>3444751</v>
      </c>
      <c r="J4" s="30">
        <f>IFERROR(GETPIVOTDATA("合計 / " &amp; $B4,【ピボット】事業所収支!$A$3,"年月",J$2,"事業所",$A4),"")</f>
        <v>3361765</v>
      </c>
      <c r="K4" s="30">
        <f>IFERROR(GETPIVOTDATA("合計 / " &amp; $B4,【ピボット】事業所収支!$A$3,"年月",K$2,"事業所",$A4),"")</f>
        <v>3416511</v>
      </c>
      <c r="L4" s="30">
        <f>IFERROR(GETPIVOTDATA("合計 / " &amp; $B4,【ピボット】事業所収支!$A$3,"年月",L$2,"事業所",$A4),"")</f>
        <v>4465097</v>
      </c>
      <c r="M4" s="30">
        <f>IFERROR(GETPIVOTDATA("合計 / " &amp; $B4,【ピボット】事業所収支!$A$3,"年月",M$2,"事業所",$A4),"")</f>
        <v>5487649.7577564418</v>
      </c>
      <c r="N4" s="30">
        <f>IFERROR(GETPIVOTDATA("合計 / " &amp; $B4,【ピボット】事業所収支!$A$3,"年月",N$2,"事業所",$A4),"")</f>
        <v>4509811</v>
      </c>
      <c r="O4" s="30">
        <f>IFERROR(GETPIVOTDATA("合計 / " &amp; $B4,【ピボット】事業所収支!$A$3,"年月",O$2,"事業所",$A4),"")</f>
        <v>3654892</v>
      </c>
      <c r="P4" s="30">
        <f>IFERROR(GETPIVOTDATA("合計 / " &amp; $B4,【ピボット】事業所収支!$A$3,"年月",P$2,"事業所",$A4),"")</f>
        <v>3762282</v>
      </c>
      <c r="Q4" s="30">
        <f>IFERROR(GETPIVOTDATA("合計 / " &amp; $B4,【ピボット】事業所収支!$A$3,"年月",Q$2,"事業所",$A4),"")</f>
        <v>3755392</v>
      </c>
      <c r="R4" s="30">
        <f>IFERROR(GETPIVOTDATA("合計 / " &amp; $B4,【ピボット】事業所収支!$A$3,"年月",R$2,"事業所",$A4),"")</f>
        <v>3762490</v>
      </c>
      <c r="S4" s="30">
        <f>IFERROR(GETPIVOTDATA("合計 / " &amp; $B4,【ピボット】事業所収支!$A$3,"年月",S$2,"事業所",$A4),"")</f>
        <v>4982819</v>
      </c>
      <c r="T4" s="30">
        <f>IFERROR(GETPIVOTDATA("合計 / " &amp; $B4,【ピボット】事業所収支!$A$3,"年月",T$2,"事業所",$A4),"")</f>
        <v>4691807</v>
      </c>
      <c r="U4" s="30">
        <f>IFERROR(GETPIVOTDATA("合計 / " &amp; $B4,【ピボット】事業所収支!$A$3,"年月",U$2,"事業所",$A4),"")</f>
        <v>4057264</v>
      </c>
      <c r="V4" s="30">
        <f>IFERROR(GETPIVOTDATA("合計 / " &amp; $B4,【ピボット】事業所収支!$A$3,"年月",V$2,"事業所",$A4),"")</f>
        <v>4275862</v>
      </c>
      <c r="W4" s="30">
        <f>IFERROR(GETPIVOTDATA("合計 / " &amp; $B4,【ピボット】事業所収支!$A$3,"年月",W$2,"事業所",$A4),"")</f>
        <v>4742462</v>
      </c>
      <c r="X4" s="30">
        <f>IFERROR(GETPIVOTDATA("合計 / " &amp; $B4,【ピボット】事業所収支!$A$3,"年月",X$2,"事業所",$A4),"")</f>
        <v>5751671</v>
      </c>
      <c r="Y4" s="30">
        <f>IFERROR(GETPIVOTDATA("合計 / " &amp; $B4,【ピボット】事業所収支!$A$3,"年月",Y$2,"事業所",$A4),"")</f>
        <v>8276517</v>
      </c>
      <c r="Z4" s="30">
        <f>IFERROR(GETPIVOTDATA("合計 / " &amp; $B4,【ピボット】事業所収支!$A$3,"年月",Z$2,"事業所",$A4),"")</f>
        <v>4804576</v>
      </c>
      <c r="AA4" s="30">
        <f>IFERROR(GETPIVOTDATA("合計 / " &amp; $B4,【ピボット】事業所収支!$A$3,"年月",AA$2,"事業所",$A4),"")</f>
        <v>5356414</v>
      </c>
      <c r="AB4" s="30">
        <f>IFERROR(GETPIVOTDATA("合計 / " &amp; $B4,【ピボット】事業所収支!$A$3,"年月",AB$2,"事業所",$A4),"")</f>
        <v>4480730</v>
      </c>
      <c r="AC4" s="30">
        <f>IFERROR(GETPIVOTDATA("合計 / " &amp; $B4,【ピボット】事業所収支!$A$3,"年月",AC$2,"事業所",$A4),"")</f>
        <v>5414831</v>
      </c>
      <c r="AD4" s="140">
        <f ca="1">SUM(OFFSET(AC4,0,当期月数):AC4)</f>
        <v>43103063</v>
      </c>
      <c r="AE4" s="46">
        <f ca="1">AVERAGE(OFFSET(AC4,0,当期月数):AC4)</f>
        <v>5387882.875</v>
      </c>
      <c r="AF4" s="4"/>
      <c r="AG4" t="s">
        <v>294</v>
      </c>
    </row>
    <row r="5" spans="1:33" ht="14.25" thickBot="1" x14ac:dyDescent="0.2">
      <c r="A5" t="s">
        <v>766</v>
      </c>
      <c r="B5" t="s">
        <v>1226</v>
      </c>
      <c r="D5" s="2125"/>
      <c r="E5" s="84" t="s">
        <v>35</v>
      </c>
      <c r="F5" s="53">
        <f>IFERROR(GETPIVOTDATA("合計 / " &amp; $B5,【ピボット】事業所収支!$A$3,"年月",F$2,"事業所",$A5),"")</f>
        <v>1537199</v>
      </c>
      <c r="G5" s="53">
        <f>IFERROR(GETPIVOTDATA("合計 / " &amp; $B5,【ピボット】事業所収支!$A$3,"年月",G$2,"事業所",$A5),"")</f>
        <v>1345014</v>
      </c>
      <c r="H5" s="53">
        <f>IFERROR(GETPIVOTDATA("合計 / " &amp; $B5,【ピボット】事業所収支!$A$3,"年月",H$2,"事業所",$A5),"")</f>
        <v>1234610</v>
      </c>
      <c r="I5" s="53">
        <f>IFERROR(GETPIVOTDATA("合計 / " &amp; $B5,【ピボット】事業所収支!$A$3,"年月",I$2,"事業所",$A5),"")</f>
        <v>3226453</v>
      </c>
      <c r="J5" s="53">
        <f>IFERROR(GETPIVOTDATA("合計 / " &amp; $B5,【ピボット】事業所収支!$A$3,"年月",J$2,"事業所",$A5),"")</f>
        <v>1655232</v>
      </c>
      <c r="K5" s="53">
        <f>IFERROR(GETPIVOTDATA("合計 / " &amp; $B5,【ピボット】事業所収支!$A$3,"年月",K$2,"事業所",$A5),"")</f>
        <v>1563805</v>
      </c>
      <c r="L5" s="53">
        <f>IFERROR(GETPIVOTDATA("合計 / " &amp; $B5,【ピボット】事業所収支!$A$3,"年月",L$2,"事業所",$A5),"")</f>
        <v>2425654</v>
      </c>
      <c r="M5" s="53">
        <f>IFERROR(GETPIVOTDATA("合計 / " &amp; $B5,【ピボット】事業所収支!$A$3,"年月",M$2,"事業所",$A5),"")</f>
        <v>2104595</v>
      </c>
      <c r="N5" s="53">
        <f>IFERROR(GETPIVOTDATA("合計 / " &amp; $B5,【ピボット】事業所収支!$A$3,"年月",N$2,"事業所",$A5),"")</f>
        <v>2318665</v>
      </c>
      <c r="O5" s="53">
        <f>IFERROR(GETPIVOTDATA("合計 / " &amp; $B5,【ピボット】事業所収支!$A$3,"年月",O$2,"事業所",$A5),"")</f>
        <v>1654867</v>
      </c>
      <c r="P5" s="53">
        <f>IFERROR(GETPIVOTDATA("合計 / " &amp; $B5,【ピボット】事業所収支!$A$3,"年月",P$2,"事業所",$A5),"")</f>
        <v>2685780</v>
      </c>
      <c r="Q5" s="53">
        <f>IFERROR(GETPIVOTDATA("合計 / " &amp; $B5,【ピボット】事業所収支!$A$3,"年月",Q$2,"事業所",$A5),"")</f>
        <v>3392629</v>
      </c>
      <c r="R5" s="53">
        <f>IFERROR(GETPIVOTDATA("合計 / " &amp; $B5,【ピボット】事業所収支!$A$3,"年月",R$2,"事業所",$A5),"")</f>
        <v>2776985</v>
      </c>
      <c r="S5" s="53">
        <f>IFERROR(GETPIVOTDATA("合計 / " &amp; $B5,【ピボット】事業所収支!$A$3,"年月",S$2,"事業所",$A5),"")</f>
        <v>4225191</v>
      </c>
      <c r="T5" s="53">
        <f>IFERROR(GETPIVOTDATA("合計 / " &amp; $B5,【ピボット】事業所収支!$A$3,"年月",T$2,"事業所",$A5),"")</f>
        <v>2631277</v>
      </c>
      <c r="U5" s="53">
        <f>IFERROR(GETPIVOTDATA("合計 / " &amp; $B5,【ピボット】事業所収支!$A$3,"年月",U$2,"事業所",$A5),"")</f>
        <v>3953352</v>
      </c>
      <c r="V5" s="53">
        <f>IFERROR(GETPIVOTDATA("合計 / " &amp; $B5,【ピボット】事業所収支!$A$3,"年月",V$2,"事業所",$A5),"")</f>
        <v>3234033</v>
      </c>
      <c r="W5" s="53">
        <f>IFERROR(GETPIVOTDATA("合計 / " &amp; $B5,【ピボット】事業所収支!$A$3,"年月",W$2,"事業所",$A5),"")</f>
        <v>5282133</v>
      </c>
      <c r="X5" s="53">
        <f>IFERROR(GETPIVOTDATA("合計 / " &amp; $B5,【ピボット】事業所収支!$A$3,"年月",X$2,"事業所",$A5),"")</f>
        <v>2864700</v>
      </c>
      <c r="Y5" s="53">
        <f>IFERROR(GETPIVOTDATA("合計 / " &amp; $B5,【ピボット】事業所収支!$A$3,"年月",Y$2,"事業所",$A5),"")</f>
        <v>1950921</v>
      </c>
      <c r="Z5" s="53">
        <f>IFERROR(GETPIVOTDATA("合計 / " &amp; $B5,【ピボット】事業所収支!$A$3,"年月",Z$2,"事業所",$A5),"")</f>
        <v>1758723</v>
      </c>
      <c r="AA5" s="53">
        <f>IFERROR(GETPIVOTDATA("合計 / " &amp; $B5,【ピボット】事業所収支!$A$3,"年月",AA$2,"事業所",$A5),"")</f>
        <v>2554606</v>
      </c>
      <c r="AB5" s="53">
        <f>IFERROR(GETPIVOTDATA("合計 / " &amp; $B5,【ピボット】事業所収支!$A$3,"年月",AB$2,"事業所",$A5),"")</f>
        <v>2293024</v>
      </c>
      <c r="AC5" s="53">
        <f>IFERROR(GETPIVOTDATA("合計 / " &amp; $B5,【ピボット】事業所収支!$A$3,"年月",AC$2,"事業所",$A5),"")</f>
        <v>2444410</v>
      </c>
      <c r="AD5" s="141">
        <f ca="1">SUM(OFFSET(AC5,0,当期月数):AC5)</f>
        <v>22382550</v>
      </c>
      <c r="AE5" s="56">
        <f ca="1">AVERAGE(OFFSET(AC5,0,当期月数):AC5)</f>
        <v>2797818.75</v>
      </c>
      <c r="AF5" s="4"/>
    </row>
    <row r="6" spans="1:33" x14ac:dyDescent="0.15">
      <c r="A6" t="s">
        <v>767</v>
      </c>
      <c r="B6" t="s">
        <v>26</v>
      </c>
      <c r="D6" s="2126" t="s">
        <v>34</v>
      </c>
      <c r="E6" s="86" t="s">
        <v>144</v>
      </c>
      <c r="F6" s="138">
        <f>IFERROR(GETPIVOTDATA("合計 / " &amp; $B6,【ピボット】事業所収支!$A$3,"年月",F$2,"事業所",$A6),"")</f>
        <v>10081728</v>
      </c>
      <c r="G6" s="138">
        <f>IFERROR(GETPIVOTDATA("合計 / " &amp; $B6,【ピボット】事業所収支!$A$3,"年月",G$2,"事業所",$A6),"")</f>
        <v>9528673</v>
      </c>
      <c r="H6" s="138">
        <f>IFERROR(GETPIVOTDATA("合計 / " &amp; $B6,【ピボット】事業所収支!$A$3,"年月",H$2,"事業所",$A6),"")</f>
        <v>10338554</v>
      </c>
      <c r="I6" s="138">
        <f>IFERROR(GETPIVOTDATA("合計 / " &amp; $B6,【ピボット】事業所収支!$A$3,"年月",I$2,"事業所",$A6),"")</f>
        <v>10004240</v>
      </c>
      <c r="J6" s="138">
        <f>IFERROR(GETPIVOTDATA("合計 / " &amp; $B6,【ピボット】事業所収支!$A$3,"年月",J$2,"事業所",$A6),"")</f>
        <v>10291903</v>
      </c>
      <c r="K6" s="138">
        <f>IFERROR(GETPIVOTDATA("合計 / " &amp; $B6,【ピボット】事業所収支!$A$3,"年月",K$2,"事業所",$A6),"")</f>
        <v>10634528</v>
      </c>
      <c r="L6" s="138">
        <f>IFERROR(GETPIVOTDATA("合計 / " &amp; $B6,【ピボット】事業所収支!$A$3,"年月",L$2,"事業所",$A6),"")</f>
        <v>9718481</v>
      </c>
      <c r="M6" s="138">
        <f>IFERROR(GETPIVOTDATA("合計 / " &amp; $B6,【ピボット】事業所収支!$A$3,"年月",M$2,"事業所",$A6),"")</f>
        <v>10007332</v>
      </c>
      <c r="N6" s="138">
        <f>IFERROR(GETPIVOTDATA("合計 / " &amp; $B6,【ピボット】事業所収支!$A$3,"年月",N$2,"事業所",$A6),"")</f>
        <v>10050857</v>
      </c>
      <c r="O6" s="138">
        <f>IFERROR(GETPIVOTDATA("合計 / " &amp; $B6,【ピボット】事業所収支!$A$3,"年月",O$2,"事業所",$A6),"")</f>
        <v>9647827</v>
      </c>
      <c r="P6" s="138">
        <f>IFERROR(GETPIVOTDATA("合計 / " &amp; $B6,【ピボット】事業所収支!$A$3,"年月",P$2,"事業所",$A6),"")</f>
        <v>10237581</v>
      </c>
      <c r="Q6" s="138">
        <f>IFERROR(GETPIVOTDATA("合計 / " &amp; $B6,【ピボット】事業所収支!$A$3,"年月",Q$2,"事業所",$A6),"")</f>
        <v>10301194</v>
      </c>
      <c r="R6" s="138">
        <f>IFERROR(GETPIVOTDATA("合計 / " &amp; $B6,【ピボット】事業所収支!$A$3,"年月",R$2,"事業所",$A6),"")</f>
        <v>10772827</v>
      </c>
      <c r="S6" s="138">
        <f>IFERROR(GETPIVOTDATA("合計 / " &amp; $B6,【ピボット】事業所収支!$A$3,"年月",S$2,"事業所",$A6),"")</f>
        <v>9835106</v>
      </c>
      <c r="T6" s="138">
        <f>IFERROR(GETPIVOTDATA("合計 / " &amp; $B6,【ピボット】事業所収支!$A$3,"年月",T$2,"事業所",$A6),"")</f>
        <v>11042771</v>
      </c>
      <c r="U6" s="138">
        <f>IFERROR(GETPIVOTDATA("合計 / " &amp; $B6,【ピボット】事業所収支!$A$3,"年月",U$2,"事業所",$A6),"")</f>
        <v>9842755</v>
      </c>
      <c r="V6" s="138">
        <f>IFERROR(GETPIVOTDATA("合計 / " &amp; $B6,【ピボット】事業所収支!$A$3,"年月",V$2,"事業所",$A6),"")</f>
        <v>11239510</v>
      </c>
      <c r="W6" s="138">
        <f>IFERROR(GETPIVOTDATA("合計 / " &amp; $B6,【ピボット】事業所収支!$A$3,"年月",W$2,"事業所",$A6),"")</f>
        <v>12511332</v>
      </c>
      <c r="X6" s="138">
        <f>IFERROR(GETPIVOTDATA("合計 / " &amp; $B6,【ピボット】事業所収支!$A$3,"年月",X$2,"事業所",$A6),"")</f>
        <v>12778671</v>
      </c>
      <c r="Y6" s="138">
        <f>IFERROR(GETPIVOTDATA("合計 / " &amp; $B6,【ピボット】事業所収支!$A$3,"年月",Y$2,"事業所",$A6),"")</f>
        <v>12163091</v>
      </c>
      <c r="Z6" s="138">
        <f>IFERROR(GETPIVOTDATA("合計 / " &amp; $B6,【ピボット】事業所収支!$A$3,"年月",Z$2,"事業所",$A6),"")</f>
        <v>12668826</v>
      </c>
      <c r="AA6" s="138">
        <f>IFERROR(GETPIVOTDATA("合計 / " &amp; $B6,【ピボット】事業所収支!$A$3,"年月",AA$2,"事業所",$A6),"")</f>
        <v>11458207</v>
      </c>
      <c r="AB6" s="138">
        <f>IFERROR(GETPIVOTDATA("合計 / " &amp; $B6,【ピボット】事業所収支!$A$3,"年月",AB$2,"事業所",$A6),"")</f>
        <v>12821396</v>
      </c>
      <c r="AC6" s="138">
        <f>IFERROR(GETPIVOTDATA("合計 / " &amp; $B6,【ピボット】事業所収支!$A$3,"年月",AC$2,"事業所",$A6),"")</f>
        <v>12901588</v>
      </c>
      <c r="AD6" s="143">
        <f ca="1">SUM(OFFSET(AC6,0,当期月数):AC6)</f>
        <v>98542621</v>
      </c>
      <c r="AE6" s="153">
        <f ca="1">AVERAGE(OFFSET(AC6,0,当期月数):AC6)</f>
        <v>12317827.625</v>
      </c>
      <c r="AG6" t="s">
        <v>292</v>
      </c>
    </row>
    <row r="7" spans="1:33" x14ac:dyDescent="0.15">
      <c r="A7" t="s">
        <v>767</v>
      </c>
      <c r="B7" t="s">
        <v>142</v>
      </c>
      <c r="D7" s="2125"/>
      <c r="E7" s="13" t="s">
        <v>142</v>
      </c>
      <c r="F7" s="30">
        <f>IFERROR(
(IFERROR(GETPIVOTDATA("合計 / 訪問処遇改善加算金",【ピボット】事業所売上!$A$3,"年月",F$2,"事業所",$A7),"")
+IFERROR(GETPIVOTDATA("合計 / 障害処遇改善加算金",【ピボット】事業所売上!$A$3,"年月",F$2,"事業所",$A7),""))
*F6/SUM(F$6,F$42,F$48,F$78),"")</f>
        <v>1058329.0502877526</v>
      </c>
      <c r="G7" s="30">
        <f>IFERROR(
(IFERROR(GETPIVOTDATA("合計 / 訪問処遇改善加算金",【ピボット】事業所売上!$A$3,"年月",G$2,"事業所",$A7),"")
+IFERROR(GETPIVOTDATA("合計 / 障害処遇改善加算金",【ピボット】事業所売上!$A$3,"年月",G$2,"事業所",$A7),""))
*G6/SUM(G$6,G$42,G$48,G$78),"")</f>
        <v>968982.2287452477</v>
      </c>
      <c r="H7" s="30">
        <f>IFERROR(
(IFERROR(GETPIVOTDATA("合計 / 訪問処遇改善加算金",【ピボット】事業所売上!$A$3,"年月",H$2,"事業所",$A7),"")
+IFERROR(GETPIVOTDATA("合計 / 障害処遇改善加算金",【ピボット】事業所売上!$A$3,"年月",H$2,"事業所",$A7),""))
*H6/SUM(H$6,H$42,H$48,H$78),"")</f>
        <v>1070119.1330304409</v>
      </c>
      <c r="I7" s="30">
        <f>IFERROR(
(IFERROR(GETPIVOTDATA("合計 / 訪問処遇改善加算金",【ピボット】事業所売上!$A$3,"年月",I$2,"事業所",$A7),"")
+IFERROR(GETPIVOTDATA("合計 / 障害処遇改善加算金",【ピボット】事業所売上!$A$3,"年月",I$2,"事業所",$A7),""))
*I6/SUM(I$6,I$42,I$48,I$78),"")</f>
        <v>1031167.9778117889</v>
      </c>
      <c r="J7" s="30">
        <f>IFERROR(
(IFERROR(GETPIVOTDATA("合計 / 訪問処遇改善加算金",【ピボット】事業所売上!$A$3,"年月",J$2,"事業所",$A7),"")
+IFERROR(GETPIVOTDATA("合計 / 障害処遇改善加算金",【ピボット】事業所売上!$A$3,"年月",J$2,"事業所",$A7),""))
*J6/SUM(J$6,J$42,J$48,J$78),"")</f>
        <v>1060578.0184180657</v>
      </c>
      <c r="K7" s="30">
        <f>IFERROR(
(IFERROR(GETPIVOTDATA("合計 / 訪問処遇改善加算金",【ピボット】事業所売上!$A$3,"年月",K$2,"事業所",$A7),"")
+IFERROR(GETPIVOTDATA("合計 / 障害処遇改善加算金",【ピボット】事業所売上!$A$3,"年月",K$2,"事業所",$A7),""))
*K6/SUM(K$6,K$42,K$48,K$78),"")</f>
        <v>1079321.5417551911</v>
      </c>
      <c r="L7" s="30">
        <f>IFERROR(
(IFERROR(GETPIVOTDATA("合計 / 訪問処遇改善加算金",【ピボット】事業所売上!$A$3,"年月",L$2,"事業所",$A7),"")
+IFERROR(GETPIVOTDATA("合計 / 障害処遇改善加算金",【ピボット】事業所売上!$A$3,"年月",L$2,"事業所",$A7),""))
*L6/SUM(L$6,L$42,L$48,L$78),"")</f>
        <v>984202.11835502007</v>
      </c>
      <c r="M7" s="30">
        <f>IFERROR(
(IFERROR(GETPIVOTDATA("合計 / 訪問処遇改善加算金",【ピボット】事業所売上!$A$3,"年月",M$2,"事業所",$A7),"")
+IFERROR(GETPIVOTDATA("合計 / 障害処遇改善加算金",【ピボット】事業所売上!$A$3,"年月",M$2,"事業所",$A7),""))
*M6/SUM(M$6,M$42,M$48,M$78),"")</f>
        <v>1007912.6218244274</v>
      </c>
      <c r="N7" s="30">
        <f>IFERROR(
(IFERROR(GETPIVOTDATA("合計 / 訪問処遇改善加算金",【ピボット】事業所売上!$A$3,"年月",N$2,"事業所",$A7),"")
+IFERROR(GETPIVOTDATA("合計 / 障害処遇改善加算金",【ピボット】事業所売上!$A$3,"年月",N$2,"事業所",$A7),""))
*N6/SUM(N$6,N$42,N$48,N$78),"")</f>
        <v>1149118.9488937014</v>
      </c>
      <c r="O7" s="30">
        <f>IFERROR(
(IFERROR(GETPIVOTDATA("合計 / 訪問処遇改善加算金",【ピボット】事業所売上!$A$3,"年月",O$2,"事業所",$A7),"")
+IFERROR(GETPIVOTDATA("合計 / 障害処遇改善加算金",【ピボット】事業所売上!$A$3,"年月",O$2,"事業所",$A7),""))
*O6/SUM(O$6,O$42,O$48,O$78),"")</f>
        <v>983331.26185009524</v>
      </c>
      <c r="P7" s="30">
        <f>IFERROR(
(IFERROR(GETPIVOTDATA("合計 / 訪問処遇改善加算金",【ピボット】事業所売上!$A$3,"年月",P$2,"事業所",$A7),"")
+IFERROR(GETPIVOTDATA("合計 / 障害処遇改善加算金",【ピボット】事業所売上!$A$3,"年月",P$2,"事業所",$A7),""))
*P6/SUM(P$6,P$42,P$48,P$78),"")</f>
        <v>1028004.5368600523</v>
      </c>
      <c r="Q7" s="30">
        <f>IFERROR(
(IFERROR(GETPIVOTDATA("合計 / 訪問処遇改善加算金",【ピボット】事業所売上!$A$3,"年月",Q$2,"事業所",$A7),"")
+IFERROR(GETPIVOTDATA("合計 / 障害処遇改善加算金",【ピボット】事業所売上!$A$3,"年月",Q$2,"事業所",$A7),""))
*Q6/SUM(Q$6,Q$42,Q$48,Q$78),"")</f>
        <v>1068196.8896850464</v>
      </c>
      <c r="R7" s="30">
        <f>IFERROR(
(IFERROR(GETPIVOTDATA("合計 / 訪問処遇改善加算金",【ピボット】事業所売上!$A$3,"年月",R$2,"事業所",$A7),"")
+IFERROR(GETPIVOTDATA("合計 / 障害処遇改善加算金",【ピボット】事業所売上!$A$3,"年月",R$2,"事業所",$A7),""))
*R6/SUM(R$6,R$42,R$48,R$78),"")</f>
        <v>1147083.8838232104</v>
      </c>
      <c r="S7" s="30">
        <f>IFERROR(
(IFERROR(GETPIVOTDATA("合計 / 訪問処遇改善加算金",【ピボット】事業所売上!$A$3,"年月",S$2,"事業所",$A7),"")
+IFERROR(GETPIVOTDATA("合計 / 障害処遇改善加算金",【ピボット】事業所売上!$A$3,"年月",S$2,"事業所",$A7),""))
*S6/SUM(S$6,S$42,S$48,S$78),"")</f>
        <v>1047193.2194639791</v>
      </c>
      <c r="T7" s="30">
        <f>IFERROR(
(IFERROR(GETPIVOTDATA("合計 / 訪問処遇改善加算金",【ピボット】事業所売上!$A$3,"年月",T$2,"事業所",$A7),"")
+IFERROR(GETPIVOTDATA("合計 / 障害処遇改善加算金",【ピボット】事業所売上!$A$3,"年月",T$2,"事業所",$A7),""))
*T6/SUM(T$6,T$42,T$48,T$78),"")</f>
        <v>1166306.4936803733</v>
      </c>
      <c r="U7" s="30">
        <f>IFERROR(
(IFERROR(GETPIVOTDATA("合計 / 訪問処遇改善加算金",【ピボット】事業所売上!$A$3,"年月",U$2,"事業所",$A7),"")
+IFERROR(GETPIVOTDATA("合計 / 障害処遇改善加算金",【ピボット】事業所売上!$A$3,"年月",U$2,"事業所",$A7),""))
*U6/SUM(U$6,U$42,U$48,U$78),"")</f>
        <v>1037121.8775456426</v>
      </c>
      <c r="V7" s="30">
        <f>IFERROR(
(IFERROR(GETPIVOTDATA("合計 / 訪問処遇改善加算金",【ピボット】事業所売上!$A$3,"年月",V$2,"事業所",$A7),"")
+IFERROR(GETPIVOTDATA("合計 / 障害処遇改善加算金",【ピボット】事業所売上!$A$3,"年月",V$2,"事業所",$A7),""))
*V6/SUM(V$6,V$42,V$48,V$78),"")</f>
        <v>1223302.1639277379</v>
      </c>
      <c r="W7" s="30">
        <f>IFERROR(
(IFERROR(GETPIVOTDATA("合計 / 訪問処遇改善加算金",【ピボット】事業所売上!$A$3,"年月",W$2,"事業所",$A7),"")
+IFERROR(GETPIVOTDATA("合計 / 障害処遇改善加算金",【ピボット】事業所売上!$A$3,"年月",W$2,"事業所",$A7),""))
*W6/SUM(W$6,W$42,W$48,W$78),"")</f>
        <v>1396035.1920862843</v>
      </c>
      <c r="X7" s="30">
        <f>IFERROR(
(IFERROR(GETPIVOTDATA("合計 / 訪問処遇改善加算金",【ピボット】事業所売上!$A$3,"年月",X$2,"事業所",$A7),"")
+IFERROR(GETPIVOTDATA("合計 / 障害処遇改善加算金",【ピボット】事業所売上!$A$3,"年月",X$2,"事業所",$A7),""))
*X6/SUM(X$6,X$42,X$48,X$78),"")</f>
        <v>1446021.6104976318</v>
      </c>
      <c r="Y7" s="30">
        <f>IFERROR(
(IFERROR(GETPIVOTDATA("合計 / 訪問処遇改善加算金",【ピボット】事業所売上!$A$3,"年月",Y$2,"事業所",$A7),"")
+IFERROR(GETPIVOTDATA("合計 / 障害処遇改善加算金",【ピボット】事業所売上!$A$3,"年月",Y$2,"事業所",$A7),""))
*Y6/SUM(Y$6,Y$42,Y$48,Y$78),"")</f>
        <v>1405423.8657728685</v>
      </c>
      <c r="Z7" s="30">
        <f>IFERROR(
(IFERROR(GETPIVOTDATA("合計 / 訪問処遇改善加算金",【ピボット】事業所売上!$A$3,"年月",Z$2,"事業所",$A7),"")
+IFERROR(GETPIVOTDATA("合計 / 障害処遇改善加算金",【ピボット】事業所売上!$A$3,"年月",Z$2,"事業所",$A7),""))
*Z6/SUM(Z$6,Z$42,Z$48,Z$78),"")</f>
        <v>1490838.5182060939</v>
      </c>
      <c r="AA7" s="30">
        <f>IFERROR(
(IFERROR(GETPIVOTDATA("合計 / 訪問処遇改善加算金",【ピボット】事業所売上!$A$3,"年月",AA$2,"事業所",$A7),"")
+IFERROR(GETPIVOTDATA("合計 / 障害処遇改善加算金",【ピボット】事業所売上!$A$3,"年月",AA$2,"事業所",$A7),""))
*AA6/SUM(AA$6,AA$42,AA$48,AA$78),"")</f>
        <v>1289404.4773749707</v>
      </c>
      <c r="AB7" s="30">
        <f>IFERROR(
(IFERROR(GETPIVOTDATA("合計 / 訪問処遇改善加算金",【ピボット】事業所売上!$A$3,"年月",AB$2,"事業所",$A7),"")
+IFERROR(GETPIVOTDATA("合計 / 障害処遇改善加算金",【ピボット】事業所売上!$A$3,"年月",AB$2,"事業所",$A7),""))
*AB6/SUM(AB$6,AB$42,AB$48,AB$78),"")</f>
        <v>1467197.986003865</v>
      </c>
      <c r="AC7" s="30">
        <f>IFERROR(
(IFERROR(GETPIVOTDATA("合計 / 訪問処遇改善加算金",【ピボット】事業所売上!$A$3,"年月",AC$2,"事業所",$A7),"")
+IFERROR(GETPIVOTDATA("合計 / 障害処遇改善加算金",【ピボット】事業所売上!$A$3,"年月",AC$2,"事業所",$A7),""))
*AC6/SUM(AC$6,AC$42,AC$48,AC$78),"")</f>
        <v>0</v>
      </c>
      <c r="AD7" s="140">
        <f ca="1">SUM(OFFSET(AC7,0,当期月数):AC7)</f>
        <v>9718223.8138694521</v>
      </c>
      <c r="AE7" s="46">
        <f ca="1">AVERAGE(OFFSET(AC7,0,当期月数):AC7)</f>
        <v>1214777.9767336815</v>
      </c>
      <c r="AG7" t="s">
        <v>292</v>
      </c>
    </row>
    <row r="8" spans="1:33" x14ac:dyDescent="0.15">
      <c r="A8" t="s">
        <v>767</v>
      </c>
      <c r="B8" t="s">
        <v>15</v>
      </c>
      <c r="D8" s="2125"/>
      <c r="E8" s="83" t="s">
        <v>15</v>
      </c>
      <c r="F8" s="30">
        <f>IFERROR(GETPIVOTDATA("合計 / " &amp; $B8,【ピボット】事業所収支!$A$3,"年月",F$2,"事業所",$A8),"")</f>
        <v>5414278</v>
      </c>
      <c r="G8" s="30">
        <f>IFERROR(GETPIVOTDATA("合計 / " &amp; $B8,【ピボット】事業所収支!$A$3,"年月",G$2,"事業所",$A8),"")</f>
        <v>8389900</v>
      </c>
      <c r="H8" s="30">
        <f>IFERROR(GETPIVOTDATA("合計 / " &amp; $B8,【ピボット】事業所収支!$A$3,"年月",H$2,"事業所",$A8),"")</f>
        <v>5963451</v>
      </c>
      <c r="I8" s="30">
        <f>IFERROR(GETPIVOTDATA("合計 / " &amp; $B8,【ピボット】事業所収支!$A$3,"年月",I$2,"事業所",$A8),"")</f>
        <v>5945104</v>
      </c>
      <c r="J8" s="30">
        <f>IFERROR(GETPIVOTDATA("合計 / " &amp; $B8,【ピボット】事業所収支!$A$3,"年月",J$2,"事業所",$A8),"")</f>
        <v>5686858</v>
      </c>
      <c r="K8" s="30">
        <f>IFERROR(GETPIVOTDATA("合計 / " &amp; $B8,【ピボット】事業所収支!$A$3,"年月",K$2,"事業所",$A8),"")</f>
        <v>5926745</v>
      </c>
      <c r="L8" s="30">
        <f>IFERROR(GETPIVOTDATA("合計 / " &amp; $B8,【ピボット】事業所収支!$A$3,"年月",L$2,"事業所",$A8),"")</f>
        <v>5874921</v>
      </c>
      <c r="M8" s="30">
        <f>IFERROR(GETPIVOTDATA("合計 / " &amp; $B8,【ピボット】事業所収支!$A$3,"年月",M$2,"事業所",$A8),"")</f>
        <v>9246413.5809065793</v>
      </c>
      <c r="N8" s="30">
        <f>IFERROR(GETPIVOTDATA("合計 / " &amp; $B8,【ピボット】事業所収支!$A$3,"年月",N$2,"事業所",$A8),"")</f>
        <v>6117998</v>
      </c>
      <c r="O8" s="30">
        <f>IFERROR(GETPIVOTDATA("合計 / " &amp; $B8,【ピボット】事業所収支!$A$3,"年月",O$2,"事業所",$A8),"")</f>
        <v>5099734</v>
      </c>
      <c r="P8" s="30">
        <f>IFERROR(GETPIVOTDATA("合計 / " &amp; $B8,【ピボット】事業所収支!$A$3,"年月",P$2,"事業所",$A8),"")</f>
        <v>5529722</v>
      </c>
      <c r="Q8" s="30">
        <f>IFERROR(GETPIVOTDATA("合計 / " &amp; $B8,【ピボット】事業所収支!$A$3,"年月",Q$2,"事業所",$A8),"")</f>
        <v>5610054</v>
      </c>
      <c r="R8" s="30">
        <f>IFERROR(GETPIVOTDATA("合計 / " &amp; $B8,【ピボット】事業所収支!$A$3,"年月",R$2,"事業所",$A8),"")</f>
        <v>5597651</v>
      </c>
      <c r="S8" s="30">
        <f>IFERROR(GETPIVOTDATA("合計 / " &amp; $B8,【ピボット】事業所収支!$A$3,"年月",S$2,"事業所",$A8),"")</f>
        <v>8343946</v>
      </c>
      <c r="T8" s="30">
        <f>IFERROR(GETPIVOTDATA("合計 / " &amp; $B8,【ピボット】事業所収支!$A$3,"年月",T$2,"事業所",$A8),"")</f>
        <v>6323797</v>
      </c>
      <c r="U8" s="30">
        <f>IFERROR(GETPIVOTDATA("合計 / " &amp; $B8,【ピボット】事業所収支!$A$3,"年月",U$2,"事業所",$A8),"")</f>
        <v>6012816</v>
      </c>
      <c r="V8" s="30">
        <f>IFERROR(GETPIVOTDATA("合計 / " &amp; $B8,【ピボット】事業所収支!$A$3,"年月",V$2,"事業所",$A8),"")</f>
        <v>5728498</v>
      </c>
      <c r="W8" s="30">
        <f>IFERROR(GETPIVOTDATA("合計 / " &amp; $B8,【ピボット】事業所収支!$A$3,"年月",W$2,"事業所",$A8),"")</f>
        <v>6850522</v>
      </c>
      <c r="X8" s="30">
        <f>IFERROR(GETPIVOTDATA("合計 / " &amp; $B8,【ピボット】事業所収支!$A$3,"年月",X$2,"事業所",$A8),"")</f>
        <v>6898249</v>
      </c>
      <c r="Y8" s="30">
        <f>IFERROR(GETPIVOTDATA("合計 / " &amp; $B8,【ピボット】事業所収支!$A$3,"年月",Y$2,"事業所",$A8),"")</f>
        <v>10396961</v>
      </c>
      <c r="Z8" s="30">
        <f>IFERROR(GETPIVOTDATA("合計 / " &amp; $B8,【ピボット】事業所収支!$A$3,"年月",Z$2,"事業所",$A8),"")</f>
        <v>7106379</v>
      </c>
      <c r="AA8" s="30">
        <f>IFERROR(GETPIVOTDATA("合計 / " &amp; $B8,【ピボット】事業所収支!$A$3,"年月",AA$2,"事業所",$A8),"")</f>
        <v>6977171</v>
      </c>
      <c r="AB8" s="30">
        <f>IFERROR(GETPIVOTDATA("合計 / " &amp; $B8,【ピボット】事業所収支!$A$3,"年月",AB$2,"事業所",$A8),"")</f>
        <v>7175183</v>
      </c>
      <c r="AC8" s="30">
        <f>IFERROR(GETPIVOTDATA("合計 / " &amp; $B8,【ピボット】事業所収支!$A$3,"年月",AC$2,"事業所",$A8),"")</f>
        <v>6591671</v>
      </c>
      <c r="AD8" s="140">
        <f ca="1">SUM(OFFSET(AC8,0,当期月数):AC8)</f>
        <v>57724634</v>
      </c>
      <c r="AE8" s="46">
        <f ca="1">AVERAGE(OFFSET(AC8,0,当期月数):AC8)</f>
        <v>7215579.25</v>
      </c>
      <c r="AF8" s="4"/>
      <c r="AG8" s="4" t="s">
        <v>293</v>
      </c>
    </row>
    <row r="9" spans="1:33" x14ac:dyDescent="0.15">
      <c r="A9" t="s">
        <v>767</v>
      </c>
      <c r="B9" t="s">
        <v>48</v>
      </c>
      <c r="D9" s="2125"/>
      <c r="E9" s="83" t="s">
        <v>48</v>
      </c>
      <c r="F9" s="115">
        <f>IFERROR(F8/F6*100,"")</f>
        <v>53.703869019279239</v>
      </c>
      <c r="G9" s="115">
        <f>IFERROR(G8/G6*100,"")</f>
        <v>88.0489864643272</v>
      </c>
      <c r="H9" s="115">
        <f t="shared" ref="H9:AC9" si="0">IFERROR(H8/H6*100,"")</f>
        <v>57.681673858839446</v>
      </c>
      <c r="I9" s="115">
        <f t="shared" si="0"/>
        <v>59.425843442380433</v>
      </c>
      <c r="J9" s="115">
        <f t="shared" si="0"/>
        <v>55.255650971448134</v>
      </c>
      <c r="K9" s="115">
        <f t="shared" si="0"/>
        <v>55.73115233699135</v>
      </c>
      <c r="L9" s="115">
        <f t="shared" si="0"/>
        <v>60.451021100931314</v>
      </c>
      <c r="M9" s="115">
        <f t="shared" si="0"/>
        <v>92.396390775349303</v>
      </c>
      <c r="N9" s="115">
        <f t="shared" si="0"/>
        <v>60.870411349002374</v>
      </c>
      <c r="O9" s="115">
        <f t="shared" si="0"/>
        <v>52.858887291407697</v>
      </c>
      <c r="P9" s="115">
        <f t="shared" si="0"/>
        <v>54.013951147248548</v>
      </c>
      <c r="Q9" s="115">
        <f t="shared" si="0"/>
        <v>54.46023053249943</v>
      </c>
      <c r="R9" s="115">
        <f t="shared" si="0"/>
        <v>51.960836278165424</v>
      </c>
      <c r="S9" s="115">
        <f t="shared" si="0"/>
        <v>84.838394217611892</v>
      </c>
      <c r="T9" s="115">
        <f t="shared" si="0"/>
        <v>57.266396269559515</v>
      </c>
      <c r="U9" s="115">
        <f t="shared" si="0"/>
        <v>61.088750050163796</v>
      </c>
      <c r="V9" s="115">
        <f t="shared" si="0"/>
        <v>50.967506590589807</v>
      </c>
      <c r="W9" s="115">
        <f t="shared" si="0"/>
        <v>54.754537726278862</v>
      </c>
      <c r="X9" s="115">
        <f t="shared" si="0"/>
        <v>53.982522908681197</v>
      </c>
      <c r="Y9" s="115">
        <f t="shared" si="0"/>
        <v>85.479595606084018</v>
      </c>
      <c r="Z9" s="115">
        <f t="shared" si="0"/>
        <v>56.093429651650439</v>
      </c>
      <c r="AA9" s="115">
        <f t="shared" si="0"/>
        <v>60.892345547606183</v>
      </c>
      <c r="AB9" s="115">
        <f t="shared" si="0"/>
        <v>55.962572250322815</v>
      </c>
      <c r="AC9" s="115">
        <f t="shared" si="0"/>
        <v>51.091935349353889</v>
      </c>
      <c r="AD9" s="144">
        <f ca="1">AD8/AD6*100</f>
        <v>58.578342461583198</v>
      </c>
      <c r="AE9" s="154">
        <f ca="1">AE8/AE6*100</f>
        <v>58.578342461583198</v>
      </c>
      <c r="AF9" s="4"/>
      <c r="AG9" s="4"/>
    </row>
    <row r="10" spans="1:33" x14ac:dyDescent="0.15">
      <c r="A10" t="s">
        <v>767</v>
      </c>
      <c r="B10" t="s">
        <v>1226</v>
      </c>
      <c r="D10" s="2125"/>
      <c r="E10" s="84" t="s">
        <v>35</v>
      </c>
      <c r="F10" s="53">
        <f>IFERROR(GETPIVOTDATA("合計 / " &amp; $B10,【ピボット】事業所収支!$A$3,"年月",F$2,"事業所",$A10),"")</f>
        <v>691271</v>
      </c>
      <c r="G10" s="53">
        <f>IFERROR(GETPIVOTDATA("合計 / " &amp; $B10,【ピボット】事業所収支!$A$3,"年月",G$2,"事業所",$A10),"")</f>
        <v>687623</v>
      </c>
      <c r="H10" s="53">
        <f>IFERROR(GETPIVOTDATA("合計 / " &amp; $B10,【ピボット】事業所収支!$A$3,"年月",H$2,"事業所",$A10),"")</f>
        <v>686383</v>
      </c>
      <c r="I10" s="53">
        <f>IFERROR(GETPIVOTDATA("合計 / " &amp; $B10,【ピボット】事業所収支!$A$3,"年月",I$2,"事業所",$A10),"")</f>
        <v>815869</v>
      </c>
      <c r="J10" s="53">
        <f>IFERROR(GETPIVOTDATA("合計 / " &amp; $B10,【ピボット】事業所収支!$A$3,"年月",J$2,"事業所",$A10),"")</f>
        <v>693471</v>
      </c>
      <c r="K10" s="53">
        <f>IFERROR(GETPIVOTDATA("合計 / " &amp; $B10,【ピボット】事業所収支!$A$3,"年月",K$2,"事業所",$A10),"")</f>
        <v>731238</v>
      </c>
      <c r="L10" s="53">
        <f>IFERROR(GETPIVOTDATA("合計 / " &amp; $B10,【ピボット】事業所収支!$A$3,"年月",L$2,"事業所",$A10),"")</f>
        <v>718518</v>
      </c>
      <c r="M10" s="53">
        <f>IFERROR(GETPIVOTDATA("合計 / " &amp; $B10,【ピボット】事業所収支!$A$3,"年月",M$2,"事業所",$A10),"")</f>
        <v>1226343</v>
      </c>
      <c r="N10" s="53">
        <f>IFERROR(GETPIVOTDATA("合計 / " &amp; $B10,【ピボット】事業所収支!$A$3,"年月",N$2,"事業所",$A10),"")</f>
        <v>748654</v>
      </c>
      <c r="O10" s="53">
        <f>IFERROR(GETPIVOTDATA("合計 / " &amp; $B10,【ピボット】事業所収支!$A$3,"年月",O$2,"事業所",$A10),"")</f>
        <v>865331</v>
      </c>
      <c r="P10" s="53">
        <f>IFERROR(GETPIVOTDATA("合計 / " &amp; $B10,【ピボット】事業所収支!$A$3,"年月",P$2,"事業所",$A10),"")</f>
        <v>1009607</v>
      </c>
      <c r="Q10" s="53">
        <f>IFERROR(GETPIVOTDATA("合計 / " &amp; $B10,【ピボット】事業所収支!$A$3,"年月",Q$2,"事業所",$A10),"")</f>
        <v>923174</v>
      </c>
      <c r="R10" s="53">
        <f>IFERROR(GETPIVOTDATA("合計 / " &amp; $B10,【ピボット】事業所収支!$A$3,"年月",R$2,"事業所",$A10),"")</f>
        <v>1100663</v>
      </c>
      <c r="S10" s="53">
        <f>IFERROR(GETPIVOTDATA("合計 / " &amp; $B10,【ピボット】事業所収支!$A$3,"年月",S$2,"事業所",$A10),"")</f>
        <v>816030</v>
      </c>
      <c r="T10" s="53">
        <f>IFERROR(GETPIVOTDATA("合計 / " &amp; $B10,【ピボット】事業所収支!$A$3,"年月",T$2,"事業所",$A10),"")</f>
        <v>1023675</v>
      </c>
      <c r="U10" s="53">
        <f>IFERROR(GETPIVOTDATA("合計 / " &amp; $B10,【ピボット】事業所収支!$A$3,"年月",U$2,"事業所",$A10),"")</f>
        <v>1058189</v>
      </c>
      <c r="V10" s="53">
        <f>IFERROR(GETPIVOTDATA("合計 / " &amp; $B10,【ピボット】事業所収支!$A$3,"年月",V$2,"事業所",$A10),"")</f>
        <v>830297</v>
      </c>
      <c r="W10" s="53">
        <f>IFERROR(GETPIVOTDATA("合計 / " &amp; $B10,【ピボット】事業所収支!$A$3,"年月",W$2,"事業所",$A10),"")</f>
        <v>1854621</v>
      </c>
      <c r="X10" s="53">
        <f>IFERROR(GETPIVOTDATA("合計 / " &amp; $B10,【ピボット】事業所収支!$A$3,"年月",X$2,"事業所",$A10),"")</f>
        <v>1365541</v>
      </c>
      <c r="Y10" s="53">
        <f>IFERROR(GETPIVOTDATA("合計 / " &amp; $B10,【ピボット】事業所収支!$A$3,"年月",Y$2,"事業所",$A10),"")</f>
        <v>1361625</v>
      </c>
      <c r="Z10" s="53">
        <f>IFERROR(GETPIVOTDATA("合計 / " &amp; $B10,【ピボット】事業所収支!$A$3,"年月",Z$2,"事業所",$A10),"")</f>
        <v>1548843</v>
      </c>
      <c r="AA10" s="53">
        <f>IFERROR(GETPIVOTDATA("合計 / " &amp; $B10,【ピボット】事業所収支!$A$3,"年月",AA$2,"事業所",$A10),"")</f>
        <v>1273886</v>
      </c>
      <c r="AB10" s="53">
        <f>IFERROR(GETPIVOTDATA("合計 / " &amp; $B10,【ピボット】事業所収支!$A$3,"年月",AB$2,"事業所",$A10),"")</f>
        <v>1155405</v>
      </c>
      <c r="AC10" s="53">
        <f>IFERROR(GETPIVOTDATA("合計 / " &amp; $B10,【ピボット】事業所収支!$A$3,"年月",AC$2,"事業所",$A10),"")</f>
        <v>1067661</v>
      </c>
      <c r="AD10" s="141">
        <f ca="1">SUM(OFFSET(AC10,0,当期月数):AC10)</f>
        <v>10457879</v>
      </c>
      <c r="AE10" s="56">
        <f ca="1">AVERAGE(OFFSET(AC10,0,当期月数):AC10)</f>
        <v>1307234.875</v>
      </c>
      <c r="AF10" s="4"/>
      <c r="AG10" t="s">
        <v>294</v>
      </c>
    </row>
    <row r="11" spans="1:33" ht="14.25" thickBot="1" x14ac:dyDescent="0.2">
      <c r="A11" t="s">
        <v>767</v>
      </c>
      <c r="B11" t="s">
        <v>32</v>
      </c>
      <c r="D11" s="2127"/>
      <c r="E11" s="87" t="s">
        <v>32</v>
      </c>
      <c r="F11" s="116">
        <f>IFERROR(F6-(F8+F10),"")</f>
        <v>3976179</v>
      </c>
      <c r="G11" s="116">
        <f>IFERROR(G6-(G8+G10),"")</f>
        <v>451150</v>
      </c>
      <c r="H11" s="116">
        <f t="shared" ref="H11:AC11" si="1">IFERROR(H6-(H8+H10),"")</f>
        <v>3688720</v>
      </c>
      <c r="I11" s="116">
        <f t="shared" si="1"/>
        <v>3243267</v>
      </c>
      <c r="J11" s="116">
        <f t="shared" si="1"/>
        <v>3911574</v>
      </c>
      <c r="K11" s="116">
        <f t="shared" si="1"/>
        <v>3976545</v>
      </c>
      <c r="L11" s="116">
        <f t="shared" si="1"/>
        <v>3125042</v>
      </c>
      <c r="M11" s="116">
        <f t="shared" si="1"/>
        <v>-465424.58090657927</v>
      </c>
      <c r="N11" s="116">
        <f t="shared" si="1"/>
        <v>3184205</v>
      </c>
      <c r="O11" s="116">
        <f t="shared" si="1"/>
        <v>3682762</v>
      </c>
      <c r="P11" s="116">
        <f t="shared" si="1"/>
        <v>3698252</v>
      </c>
      <c r="Q11" s="116">
        <f t="shared" si="1"/>
        <v>3767966</v>
      </c>
      <c r="R11" s="116">
        <f t="shared" si="1"/>
        <v>4074513</v>
      </c>
      <c r="S11" s="116">
        <f t="shared" si="1"/>
        <v>675130</v>
      </c>
      <c r="T11" s="116">
        <f t="shared" si="1"/>
        <v>3695299</v>
      </c>
      <c r="U11" s="116">
        <f t="shared" si="1"/>
        <v>2771750</v>
      </c>
      <c r="V11" s="116">
        <f t="shared" si="1"/>
        <v>4680715</v>
      </c>
      <c r="W11" s="116">
        <f t="shared" si="1"/>
        <v>3806189</v>
      </c>
      <c r="X11" s="116">
        <f t="shared" si="1"/>
        <v>4514881</v>
      </c>
      <c r="Y11" s="116">
        <f t="shared" si="1"/>
        <v>404505</v>
      </c>
      <c r="Z11" s="116">
        <f t="shared" si="1"/>
        <v>4013604</v>
      </c>
      <c r="AA11" s="116">
        <f t="shared" si="1"/>
        <v>3207150</v>
      </c>
      <c r="AB11" s="116">
        <f t="shared" si="1"/>
        <v>4490808</v>
      </c>
      <c r="AC11" s="116">
        <f t="shared" si="1"/>
        <v>5242256</v>
      </c>
      <c r="AD11" s="142">
        <f ca="1">SUM(OFFSET(AC11,0,当期月数):AC11)</f>
        <v>30360108</v>
      </c>
      <c r="AE11" s="152">
        <f ca="1">AVERAGE(OFFSET(AC11,0,当期月数):AC11)</f>
        <v>3795013.5</v>
      </c>
      <c r="AF11" s="4"/>
      <c r="AG11" s="4"/>
    </row>
    <row r="12" spans="1:33" x14ac:dyDescent="0.15">
      <c r="A12" t="s">
        <v>753</v>
      </c>
      <c r="B12" t="s">
        <v>26</v>
      </c>
      <c r="D12" s="2126" t="s">
        <v>37</v>
      </c>
      <c r="E12" s="86" t="s">
        <v>144</v>
      </c>
      <c r="F12" s="137">
        <f>IFERROR(GETPIVOTDATA("合計 / " &amp; $B12,【ピボット】事業所収支!$A$3,"年月",F$2,"事業所",$A12),"")</f>
        <v>5342987</v>
      </c>
      <c r="G12" s="137">
        <f>IFERROR(GETPIVOTDATA("合計 / " &amp; $B12,【ピボット】事業所収支!$A$3,"年月",G$2,"事業所",$A12),"")</f>
        <v>5683733</v>
      </c>
      <c r="H12" s="137">
        <f>IFERROR(GETPIVOTDATA("合計 / " &amp; $B12,【ピボット】事業所収支!$A$3,"年月",H$2,"事業所",$A12),"")</f>
        <v>5487698</v>
      </c>
      <c r="I12" s="137">
        <f>IFERROR(GETPIVOTDATA("合計 / " &amp; $B12,【ピボット】事業所収支!$A$3,"年月",I$2,"事業所",$A12),"")</f>
        <v>5643961</v>
      </c>
      <c r="J12" s="137">
        <f>IFERROR(GETPIVOTDATA("合計 / " &amp; $B12,【ピボット】事業所収支!$A$3,"年月",J$2,"事業所",$A12),"")</f>
        <v>6023613</v>
      </c>
      <c r="K12" s="137">
        <f>IFERROR(GETPIVOTDATA("合計 / " &amp; $B12,【ピボット】事業所収支!$A$3,"年月",K$2,"事業所",$A12),"")</f>
        <v>6290993</v>
      </c>
      <c r="L12" s="137">
        <f>IFERROR(GETPIVOTDATA("合計 / " &amp; $B12,【ピボット】事業所収支!$A$3,"年月",L$2,"事業所",$A12),"")</f>
        <v>5954408</v>
      </c>
      <c r="M12" s="137">
        <f>IFERROR(GETPIVOTDATA("合計 / " &amp; $B12,【ピボット】事業所収支!$A$3,"年月",M$2,"事業所",$A12),"")</f>
        <v>5963920</v>
      </c>
      <c r="N12" s="137">
        <f>IFERROR(GETPIVOTDATA("合計 / " &amp; $B12,【ピボット】事業所収支!$A$3,"年月",N$2,"事業所",$A12),"")</f>
        <v>5489569</v>
      </c>
      <c r="O12" s="137">
        <f>IFERROR(GETPIVOTDATA("合計 / " &amp; $B12,【ピボット】事業所収支!$A$3,"年月",O$2,"事業所",$A12),"")</f>
        <v>5383737</v>
      </c>
      <c r="P12" s="137">
        <f>IFERROR(GETPIVOTDATA("合計 / " &amp; $B12,【ピボット】事業所収支!$A$3,"年月",P$2,"事業所",$A12),"")</f>
        <v>5385437</v>
      </c>
      <c r="Q12" s="137">
        <f>IFERROR(GETPIVOTDATA("合計 / " &amp; $B12,【ピボット】事業所収支!$A$3,"年月",Q$2,"事業所",$A12),"")</f>
        <v>7729590</v>
      </c>
      <c r="R12" s="137">
        <f>IFERROR(GETPIVOTDATA("合計 / " &amp; $B12,【ピボット】事業所収支!$A$3,"年月",R$2,"事業所",$A12),"")</f>
        <v>6731026</v>
      </c>
      <c r="S12" s="137">
        <f>IFERROR(GETPIVOTDATA("合計 / " &amp; $B12,【ピボット】事業所収支!$A$3,"年月",S$2,"事業所",$A12),"")</f>
        <v>6530234</v>
      </c>
      <c r="T12" s="137">
        <f>IFERROR(GETPIVOTDATA("合計 / " &amp; $B12,【ピボット】事業所収支!$A$3,"年月",T$2,"事業所",$A12),"")</f>
        <v>6075758</v>
      </c>
      <c r="U12" s="137">
        <f>IFERROR(GETPIVOTDATA("合計 / " &amp; $B12,【ピボット】事業所収支!$A$3,"年月",U$2,"事業所",$A12),"")</f>
        <v>6170804</v>
      </c>
      <c r="V12" s="137">
        <f>IFERROR(GETPIVOTDATA("合計 / " &amp; $B12,【ピボット】事業所収支!$A$3,"年月",V$2,"事業所",$A12),"")</f>
        <v>6157056</v>
      </c>
      <c r="W12" s="137">
        <f>IFERROR(GETPIVOTDATA("合計 / " &amp; $B12,【ピボット】事業所収支!$A$3,"年月",W$2,"事業所",$A12),"")</f>
        <v>7557882</v>
      </c>
      <c r="X12" s="137">
        <f>IFERROR(GETPIVOTDATA("合計 / " &amp; $B12,【ピボット】事業所収支!$A$3,"年月",X$2,"事業所",$A12),"")</f>
        <v>7285298</v>
      </c>
      <c r="Y12" s="137">
        <f>IFERROR(GETPIVOTDATA("合計 / " &amp; $B12,【ピボット】事業所収支!$A$3,"年月",Y$2,"事業所",$A12),"")</f>
        <v>6678253</v>
      </c>
      <c r="Z12" s="137">
        <f>IFERROR(GETPIVOTDATA("合計 / " &amp; $B12,【ピボット】事業所収支!$A$3,"年月",Z$2,"事業所",$A12),"")</f>
        <v>5940817</v>
      </c>
      <c r="AA12" s="137">
        <f>IFERROR(GETPIVOTDATA("合計 / " &amp; $B12,【ピボット】事業所収支!$A$3,"年月",AA$2,"事業所",$A12),"")</f>
        <v>6270597</v>
      </c>
      <c r="AB12" s="137">
        <f>IFERROR(GETPIVOTDATA("合計 / " &amp; $B12,【ピボット】事業所収支!$A$3,"年月",AB$2,"事業所",$A12),"")</f>
        <v>5457771</v>
      </c>
      <c r="AC12" s="137">
        <f>IFERROR(GETPIVOTDATA("合計 / " &amp; $B12,【ピボット】事業所収支!$A$3,"年月",AC$2,"事業所",$A12),"")</f>
        <v>6262229</v>
      </c>
      <c r="AD12" s="139">
        <f ca="1">SUM(OFFSET(AC12,0,当期月数):AC12)</f>
        <v>51609903</v>
      </c>
      <c r="AE12" s="47">
        <f ca="1">AVERAGE(OFFSET(AC12,0,当期月数):AC12)</f>
        <v>6451237.875</v>
      </c>
    </row>
    <row r="13" spans="1:33" x14ac:dyDescent="0.15">
      <c r="A13" t="s">
        <v>753</v>
      </c>
      <c r="B13" t="s">
        <v>142</v>
      </c>
      <c r="D13" s="2125"/>
      <c r="E13" s="82" t="s">
        <v>142</v>
      </c>
      <c r="F13" s="30">
        <f>IFERROR(GETPIVOTDATA("合計 / 訪問処遇改善加算金",【ピボット】事業所売上!$A$3,"年月",F$2,"事業所",$A13)
+GETPIVOTDATA("合計 / 障害処遇改善加算金",【ピボット】事業所売上!$A$3,"年月",F$2,"事業所",$A13),"")</f>
        <v>674543</v>
      </c>
      <c r="G13" s="30">
        <f>IFERROR(GETPIVOTDATA("合計 / 訪問処遇改善加算金",【ピボット】事業所売上!$A$3,"年月",G$2,"事業所",$A13)
+GETPIVOTDATA("合計 / 障害処遇改善加算金",【ピボット】事業所売上!$A$3,"年月",G$2,"事業所",$A13),"")</f>
        <v>646997</v>
      </c>
      <c r="H13" s="30">
        <f>IFERROR(GETPIVOTDATA("合計 / 訪問処遇改善加算金",【ピボット】事業所売上!$A$3,"年月",H$2,"事業所",$A13)
+GETPIVOTDATA("合計 / 障害処遇改善加算金",【ピボット】事業所売上!$A$3,"年月",H$2,"事業所",$A13),"")</f>
        <v>664042</v>
      </c>
      <c r="I13" s="30">
        <f>IFERROR(GETPIVOTDATA("合計 / 訪問処遇改善加算金",【ピボット】事業所売上!$A$3,"年月",I$2,"事業所",$A13)
+GETPIVOTDATA("合計 / 障害処遇改善加算金",【ピボット】事業所売上!$A$3,"年月",I$2,"事業所",$A13),"")</f>
        <v>634905</v>
      </c>
      <c r="J13" s="30">
        <f>IFERROR(GETPIVOTDATA("合計 / 訪問処遇改善加算金",【ピボット】事業所売上!$A$3,"年月",J$2,"事業所",$A13)
+GETPIVOTDATA("合計 / 障害処遇改善加算金",【ピボット】事業所売上!$A$3,"年月",J$2,"事業所",$A13),"")</f>
        <v>692327</v>
      </c>
      <c r="K13" s="30">
        <f>IFERROR(GETPIVOTDATA("合計 / 訪問処遇改善加算金",【ピボット】事業所売上!$A$3,"年月",K$2,"事業所",$A13)
+GETPIVOTDATA("合計 / 障害処遇改善加算金",【ピボット】事業所売上!$A$3,"年月",K$2,"事業所",$A13),"")</f>
        <v>699273</v>
      </c>
      <c r="L13" s="30">
        <f>IFERROR(GETPIVOTDATA("合計 / 訪問処遇改善加算金",【ピボット】事業所売上!$A$3,"年月",L$2,"事業所",$A13)
+GETPIVOTDATA("合計 / 障害処遇改善加算金",【ピボット】事業所売上!$A$3,"年月",L$2,"事業所",$A13),"")</f>
        <v>688598</v>
      </c>
      <c r="M13" s="30">
        <f>IFERROR(GETPIVOTDATA("合計 / 訪問処遇改善加算金",【ピボット】事業所売上!$A$3,"年月",M$2,"事業所",$A13)
+GETPIVOTDATA("合計 / 障害処遇改善加算金",【ピボット】事業所売上!$A$3,"年月",M$2,"事業所",$A13),"")</f>
        <v>681305</v>
      </c>
      <c r="N13" s="30">
        <f>IFERROR(GETPIVOTDATA("合計 / 訪問処遇改善加算金",【ピボット】事業所売上!$A$3,"年月",N$2,"事業所",$A13)
+GETPIVOTDATA("合計 / 障害処遇改善加算金",【ピボット】事業所売上!$A$3,"年月",N$2,"事業所",$A13),"")</f>
        <v>617860</v>
      </c>
      <c r="O13" s="30">
        <f>IFERROR(GETPIVOTDATA("合計 / 訪問処遇改善加算金",【ピボット】事業所売上!$A$3,"年月",O$2,"事業所",$A13)
+GETPIVOTDATA("合計 / 障害処遇改善加算金",【ピボット】事業所売上!$A$3,"年月",O$2,"事業所",$A13),"")</f>
        <v>594872</v>
      </c>
      <c r="P13" s="30">
        <f>IFERROR(GETPIVOTDATA("合計 / 訪問処遇改善加算金",【ピボット】事業所売上!$A$3,"年月",P$2,"事業所",$A13)
+GETPIVOTDATA("合計 / 障害処遇改善加算金",【ピボット】事業所売上!$A$3,"年月",P$2,"事業所",$A13),"")</f>
        <v>729468</v>
      </c>
      <c r="Q13" s="30">
        <f>IFERROR(GETPIVOTDATA("合計 / 訪問処遇改善加算金",【ピボット】事業所売上!$A$3,"年月",Q$2,"事業所",$A13)
+GETPIVOTDATA("合計 / 障害処遇改善加算金",【ピボット】事業所売上!$A$3,"年月",Q$2,"事業所",$A13),"")</f>
        <v>785470</v>
      </c>
      <c r="R13" s="30">
        <f>IFERROR(GETPIVOTDATA("合計 / 訪問処遇改善加算金",【ピボット】事業所売上!$A$3,"年月",R$2,"事業所",$A13)
+GETPIVOTDATA("合計 / 障害処遇改善加算金",【ピボット】事業所売上!$A$3,"年月",R$2,"事業所",$A13),"")</f>
        <v>752381</v>
      </c>
      <c r="S13" s="30">
        <f>IFERROR(GETPIVOTDATA("合計 / 訪問処遇改善加算金",【ピボット】事業所売上!$A$3,"年月",S$2,"事業所",$A13)
+GETPIVOTDATA("合計 / 障害処遇改善加算金",【ピボット】事業所売上!$A$3,"年月",S$2,"事業所",$A13),"")</f>
        <v>715516</v>
      </c>
      <c r="T13" s="30">
        <f>IFERROR(GETPIVOTDATA("合計 / 訪問処遇改善加算金",【ピボット】事業所売上!$A$3,"年月",T$2,"事業所",$A13)
+GETPIVOTDATA("合計 / 障害処遇改善加算金",【ピボット】事業所売上!$A$3,"年月",T$2,"事業所",$A13),"")</f>
        <v>671442</v>
      </c>
      <c r="U13" s="30">
        <f>IFERROR(GETPIVOTDATA("合計 / 訪問処遇改善加算金",【ピボット】事業所売上!$A$3,"年月",U$2,"事業所",$A13)
+GETPIVOTDATA("合計 / 障害処遇改善加算金",【ピボット】事業所売上!$A$3,"年月",U$2,"事業所",$A13),"")</f>
        <v>663115</v>
      </c>
      <c r="V13" s="30">
        <f>IFERROR(GETPIVOTDATA("合計 / 訪問処遇改善加算金",【ピボット】事業所売上!$A$3,"年月",V$2,"事業所",$A13)
+GETPIVOTDATA("合計 / 障害処遇改善加算金",【ピボット】事業所売上!$A$3,"年月",V$2,"事業所",$A13),"")</f>
        <v>687553</v>
      </c>
      <c r="W13" s="30">
        <f>IFERROR(GETPIVOTDATA("合計 / 訪問処遇改善加算金",【ピボット】事業所売上!$A$3,"年月",W$2,"事業所",$A13)
+GETPIVOTDATA("合計 / 障害処遇改善加算金",【ピボット】事業所売上!$A$3,"年月",W$2,"事業所",$A13),"")</f>
        <v>891937</v>
      </c>
      <c r="X13" s="30">
        <f>IFERROR(GETPIVOTDATA("合計 / 訪問処遇改善加算金",【ピボット】事業所売上!$A$3,"年月",X$2,"事業所",$A13)
+GETPIVOTDATA("合計 / 障害処遇改善加算金",【ピボット】事業所売上!$A$3,"年月",X$2,"事業所",$A13),"")</f>
        <v>872008</v>
      </c>
      <c r="Y13" s="30">
        <f>IFERROR(GETPIVOTDATA("合計 / 訪問処遇改善加算金",【ピボット】事業所売上!$A$3,"年月",Y$2,"事業所",$A13)
+GETPIVOTDATA("合計 / 障害処遇改善加算金",【ピボット】事業所売上!$A$3,"年月",Y$2,"事業所",$A13),"")</f>
        <v>783598</v>
      </c>
      <c r="Z13" s="30">
        <f>IFERROR(GETPIVOTDATA("合計 / 訪問処遇改善加算金",【ピボット】事業所売上!$A$3,"年月",Z$2,"事業所",$A13)
+GETPIVOTDATA("合計 / 障害処遇改善加算金",【ピボット】事業所売上!$A$3,"年月",Z$2,"事業所",$A13),"")</f>
        <v>676352</v>
      </c>
      <c r="AA13" s="30">
        <f>IFERROR(GETPIVOTDATA("合計 / 訪問処遇改善加算金",【ピボット】事業所売上!$A$3,"年月",AA$2,"事業所",$A13)
+GETPIVOTDATA("合計 / 障害処遇改善加算金",【ピボット】事業所売上!$A$3,"年月",AA$2,"事業所",$A13),"")</f>
        <v>697167</v>
      </c>
      <c r="AB13" s="30">
        <f>IFERROR(GETPIVOTDATA("合計 / 訪問処遇改善加算金",【ピボット】事業所売上!$A$3,"年月",AB$2,"事業所",$A13)
+GETPIVOTDATA("合計 / 障害処遇改善加算金",【ピボット】事業所売上!$A$3,"年月",AB$2,"事業所",$A13),"")</f>
        <v>597155</v>
      </c>
      <c r="AC13" s="30">
        <f>IFERROR(GETPIVOTDATA("合計 / 訪問処遇改善加算金",【ピボット】事業所売上!$A$3,"年月",AC$2,"事業所",$A13)
+GETPIVOTDATA("合計 / 障害処遇改善加算金",【ピボット】事業所売上!$A$3,"年月",AC$2,"事業所",$A13),"")</f>
        <v>0</v>
      </c>
      <c r="AD13" s="140">
        <f ca="1">SUM(OFFSET(AC13,0,当期月数):AC13)</f>
        <v>5205770</v>
      </c>
      <c r="AE13" s="46">
        <f ca="1">AVERAGE(OFFSET(AC13,0,当期月数):AC13)</f>
        <v>650721.25</v>
      </c>
    </row>
    <row r="14" spans="1:33" x14ac:dyDescent="0.15">
      <c r="A14" t="s">
        <v>753</v>
      </c>
      <c r="B14" t="s">
        <v>15</v>
      </c>
      <c r="D14" s="2125"/>
      <c r="E14" s="83" t="s">
        <v>15</v>
      </c>
      <c r="F14" s="30">
        <f>IFERROR(GETPIVOTDATA("合計 / " &amp; $B14,【ピボット】事業所収支!$A$3,"年月",F$2,"事業所",$A14),"")</f>
        <v>3104378</v>
      </c>
      <c r="G14" s="30">
        <f>IFERROR(GETPIVOTDATA("合計 / " &amp; $B14,【ピボット】事業所収支!$A$3,"年月",G$2,"事業所",$A14),"")</f>
        <v>3572171</v>
      </c>
      <c r="H14" s="30">
        <f>IFERROR(GETPIVOTDATA("合計 / " &amp; $B14,【ピボット】事業所収支!$A$3,"年月",H$2,"事業所",$A14),"")</f>
        <v>3752045</v>
      </c>
      <c r="I14" s="30">
        <f>IFERROR(GETPIVOTDATA("合計 / " &amp; $B14,【ピボット】事業所収支!$A$3,"年月",I$2,"事業所",$A14),"")</f>
        <v>3740910</v>
      </c>
      <c r="J14" s="30">
        <f>IFERROR(GETPIVOTDATA("合計 / " &amp; $B14,【ピボット】事業所収支!$A$3,"年月",J$2,"事業所",$A14),"")</f>
        <v>3526461</v>
      </c>
      <c r="K14" s="30">
        <f>IFERROR(GETPIVOTDATA("合計 / " &amp; $B14,【ピボット】事業所収支!$A$3,"年月",K$2,"事業所",$A14),"")</f>
        <v>3995529</v>
      </c>
      <c r="L14" s="30">
        <f>IFERROR(GETPIVOTDATA("合計 / " &amp; $B14,【ピボット】事業所収支!$A$3,"年月",L$2,"事業所",$A14),"")</f>
        <v>3856901</v>
      </c>
      <c r="M14" s="30">
        <f>IFERROR(GETPIVOTDATA("合計 / " &amp; $B14,【ピボット】事業所収支!$A$3,"年月",M$2,"事業所",$A14),"")</f>
        <v>6896121.9664213415</v>
      </c>
      <c r="N14" s="30">
        <f>IFERROR(GETPIVOTDATA("合計 / " &amp; $B14,【ピボット】事業所収支!$A$3,"年月",N$2,"事業所",$A14),"")</f>
        <v>4873990</v>
      </c>
      <c r="O14" s="30">
        <f>IFERROR(GETPIVOTDATA("合計 / " &amp; $B14,【ピボット】事業所収支!$A$3,"年月",O$2,"事業所",$A14),"")</f>
        <v>4190881</v>
      </c>
      <c r="P14" s="30">
        <f>IFERROR(GETPIVOTDATA("合計 / " &amp; $B14,【ピボット】事業所収支!$A$3,"年月",P$2,"事業所",$A14),"")</f>
        <v>4189364</v>
      </c>
      <c r="Q14" s="30">
        <f>IFERROR(GETPIVOTDATA("合計 / " &amp; $B14,【ピボット】事業所収支!$A$3,"年月",Q$2,"事業所",$A14),"")</f>
        <v>4150320</v>
      </c>
      <c r="R14" s="30">
        <f>IFERROR(GETPIVOTDATA("合計 / " &amp; $B14,【ピボット】事業所収支!$A$3,"年月",R$2,"事業所",$A14),"")</f>
        <v>3950891</v>
      </c>
      <c r="S14" s="30">
        <f>IFERROR(GETPIVOTDATA("合計 / " &amp; $B14,【ピボット】事業所収支!$A$3,"年月",S$2,"事業所",$A14),"")</f>
        <v>4746420</v>
      </c>
      <c r="T14" s="30">
        <f>IFERROR(GETPIVOTDATA("合計 / " &amp; $B14,【ピボット】事業所収支!$A$3,"年月",T$2,"事業所",$A14),"")</f>
        <v>4651239</v>
      </c>
      <c r="U14" s="30">
        <f>IFERROR(GETPIVOTDATA("合計 / " &amp; $B14,【ピボット】事業所収支!$A$3,"年月",U$2,"事業所",$A14),"")</f>
        <v>4848520</v>
      </c>
      <c r="V14" s="30">
        <f>IFERROR(GETPIVOTDATA("合計 / " &amp; $B14,【ピボット】事業所収支!$A$3,"年月",V$2,"事業所",$A14),"")</f>
        <v>4414583</v>
      </c>
      <c r="W14" s="30">
        <f>IFERROR(GETPIVOTDATA("合計 / " &amp; $B14,【ピボット】事業所収支!$A$3,"年月",W$2,"事業所",$A14),"")</f>
        <v>4314050</v>
      </c>
      <c r="X14" s="30">
        <f>IFERROR(GETPIVOTDATA("合計 / " &amp; $B14,【ピボット】事業所収支!$A$3,"年月",X$2,"事業所",$A14),"")</f>
        <v>4376006</v>
      </c>
      <c r="Y14" s="30">
        <f>IFERROR(GETPIVOTDATA("合計 / " &amp; $B14,【ピボット】事業所収支!$A$3,"年月",Y$2,"事業所",$A14),"")</f>
        <v>7308069</v>
      </c>
      <c r="Z14" s="30">
        <f>IFERROR(GETPIVOTDATA("合計 / " &amp; $B14,【ピボット】事業所収支!$A$3,"年月",Z$2,"事業所",$A14),"")</f>
        <v>4007265</v>
      </c>
      <c r="AA14" s="30">
        <f>IFERROR(GETPIVOTDATA("合計 / " &amp; $B14,【ピボット】事業所収支!$A$3,"年月",AA$2,"事業所",$A14),"")</f>
        <v>3563976</v>
      </c>
      <c r="AB14" s="30">
        <f>IFERROR(GETPIVOTDATA("合計 / " &amp; $B14,【ピボット】事業所収支!$A$3,"年月",AB$2,"事業所",$A14),"")</f>
        <v>3399432</v>
      </c>
      <c r="AC14" s="30">
        <f>IFERROR(GETPIVOTDATA("合計 / " &amp; $B14,【ピボット】事業所収支!$A$3,"年月",AC$2,"事業所",$A14),"")</f>
        <v>3585412</v>
      </c>
      <c r="AD14" s="140">
        <f ca="1">SUM(OFFSET(AC14,0,当期月数):AC14)</f>
        <v>34968793</v>
      </c>
      <c r="AE14" s="46">
        <f ca="1">AVERAGE(OFFSET(AC14,0,当期月数):AC14)</f>
        <v>4371099.125</v>
      </c>
    </row>
    <row r="15" spans="1:33" x14ac:dyDescent="0.15">
      <c r="A15" t="s">
        <v>753</v>
      </c>
      <c r="B15" t="s">
        <v>48</v>
      </c>
      <c r="D15" s="2125"/>
      <c r="E15" s="83" t="s">
        <v>48</v>
      </c>
      <c r="F15" s="115">
        <f t="shared" ref="F15:AC15" si="2">IFERROR(F14/F12*100,"")</f>
        <v>58.10191939452595</v>
      </c>
      <c r="G15" s="115">
        <f t="shared" si="2"/>
        <v>62.849028974443378</v>
      </c>
      <c r="H15" s="115">
        <f t="shared" si="2"/>
        <v>68.371929359086451</v>
      </c>
      <c r="I15" s="115">
        <f t="shared" si="2"/>
        <v>66.281641563433908</v>
      </c>
      <c r="J15" s="115">
        <f t="shared" si="2"/>
        <v>58.54395028365866</v>
      </c>
      <c r="K15" s="115">
        <f t="shared" si="2"/>
        <v>63.511897088424675</v>
      </c>
      <c r="L15" s="115">
        <f t="shared" si="2"/>
        <v>64.773878444339047</v>
      </c>
      <c r="M15" s="115">
        <f t="shared" si="2"/>
        <v>115.63069200159192</v>
      </c>
      <c r="N15" s="115">
        <f t="shared" si="2"/>
        <v>88.786387419485933</v>
      </c>
      <c r="O15" s="115">
        <f t="shared" si="2"/>
        <v>77.843345616622798</v>
      </c>
      <c r="P15" s="115">
        <f t="shared" si="2"/>
        <v>77.790604550754196</v>
      </c>
      <c r="Q15" s="115">
        <f t="shared" si="2"/>
        <v>53.693921669842773</v>
      </c>
      <c r="R15" s="115">
        <f t="shared" si="2"/>
        <v>58.696712804258965</v>
      </c>
      <c r="S15" s="115">
        <f t="shared" si="2"/>
        <v>72.683766002872176</v>
      </c>
      <c r="T15" s="115">
        <f t="shared" si="2"/>
        <v>76.554053008694552</v>
      </c>
      <c r="U15" s="115">
        <f t="shared" si="2"/>
        <v>78.571933252133746</v>
      </c>
      <c r="V15" s="115">
        <f t="shared" si="2"/>
        <v>71.699575251548794</v>
      </c>
      <c r="W15" s="115">
        <f t="shared" si="2"/>
        <v>57.080144940077126</v>
      </c>
      <c r="X15" s="115">
        <f t="shared" si="2"/>
        <v>60.066259472158855</v>
      </c>
      <c r="Y15" s="115">
        <f t="shared" si="2"/>
        <v>109.43084965484238</v>
      </c>
      <c r="Z15" s="115">
        <f t="shared" si="2"/>
        <v>67.453096097725279</v>
      </c>
      <c r="AA15" s="115">
        <f t="shared" si="2"/>
        <v>56.836310801028986</v>
      </c>
      <c r="AB15" s="115">
        <f t="shared" si="2"/>
        <v>62.286087122380188</v>
      </c>
      <c r="AC15" s="115">
        <f t="shared" si="2"/>
        <v>57.254565427102712</v>
      </c>
      <c r="AD15" s="144">
        <f ca="1">AD14/AD12*100</f>
        <v>67.755975049982169</v>
      </c>
      <c r="AE15" s="154">
        <f ca="1">AE14/AE12*100</f>
        <v>67.755975049982169</v>
      </c>
    </row>
    <row r="16" spans="1:33" x14ac:dyDescent="0.15">
      <c r="A16" t="s">
        <v>753</v>
      </c>
      <c r="B16" t="s">
        <v>1226</v>
      </c>
      <c r="D16" s="2125"/>
      <c r="E16" s="84" t="s">
        <v>35</v>
      </c>
      <c r="F16" s="53">
        <f>IFERROR(GETPIVOTDATA("合計 / " &amp; $B16,【ピボット】事業所収支!$A$3,"年月",F$2,"事業所",$A16),"")</f>
        <v>866374</v>
      </c>
      <c r="G16" s="53">
        <f>IFERROR(GETPIVOTDATA("合計 / " &amp; $B16,【ピボット】事業所収支!$A$3,"年月",G$2,"事業所",$A16),"")</f>
        <v>984939</v>
      </c>
      <c r="H16" s="53">
        <f>IFERROR(GETPIVOTDATA("合計 / " &amp; $B16,【ピボット】事業所収支!$A$3,"年月",H$2,"事業所",$A16),"")</f>
        <v>908008</v>
      </c>
      <c r="I16" s="53">
        <f>IFERROR(GETPIVOTDATA("合計 / " &amp; $B16,【ピボット】事業所収支!$A$3,"年月",I$2,"事業所",$A16),"")</f>
        <v>1109072</v>
      </c>
      <c r="J16" s="53">
        <f>IFERROR(GETPIVOTDATA("合計 / " &amp; $B16,【ピボット】事業所収支!$A$3,"年月",J$2,"事業所",$A16),"")</f>
        <v>942537</v>
      </c>
      <c r="K16" s="53">
        <f>IFERROR(GETPIVOTDATA("合計 / " &amp; $B16,【ピボット】事業所収支!$A$3,"年月",K$2,"事業所",$A16),"")</f>
        <v>879489</v>
      </c>
      <c r="L16" s="53">
        <f>IFERROR(GETPIVOTDATA("合計 / " &amp; $B16,【ピボット】事業所収支!$A$3,"年月",L$2,"事業所",$A16),"")</f>
        <v>1009541</v>
      </c>
      <c r="M16" s="53">
        <f>IFERROR(GETPIVOTDATA("合計 / " &amp; $B16,【ピボット】事業所収支!$A$3,"年月",M$2,"事業所",$A16),"")</f>
        <v>894494</v>
      </c>
      <c r="N16" s="53">
        <f>IFERROR(GETPIVOTDATA("合計 / " &amp; $B16,【ピボット】事業所収支!$A$3,"年月",N$2,"事業所",$A16),"")</f>
        <v>973495</v>
      </c>
      <c r="O16" s="53">
        <f>IFERROR(GETPIVOTDATA("合計 / " &amp; $B16,【ピボット】事業所収支!$A$3,"年月",O$2,"事業所",$A16),"")</f>
        <v>981443</v>
      </c>
      <c r="P16" s="53">
        <f>IFERROR(GETPIVOTDATA("合計 / " &amp; $B16,【ピボット】事業所収支!$A$3,"年月",P$2,"事業所",$A16),"")</f>
        <v>1138983</v>
      </c>
      <c r="Q16" s="53">
        <f>IFERROR(GETPIVOTDATA("合計 / " &amp; $B16,【ピボット】事業所収支!$A$3,"年月",Q$2,"事業所",$A16),"")</f>
        <v>1027364</v>
      </c>
      <c r="R16" s="53">
        <f>IFERROR(GETPIVOTDATA("合計 / " &amp; $B16,【ピボット】事業所収支!$A$3,"年月",R$2,"事業所",$A16),"")</f>
        <v>1004094</v>
      </c>
      <c r="S16" s="53">
        <f>IFERROR(GETPIVOTDATA("合計 / " &amp; $B16,【ピボット】事業所収支!$A$3,"年月",S$2,"事業所",$A16),"")</f>
        <v>1000461</v>
      </c>
      <c r="T16" s="53">
        <f>IFERROR(GETPIVOTDATA("合計 / " &amp; $B16,【ピボット】事業所収支!$A$3,"年月",T$2,"事業所",$A16),"")</f>
        <v>1024705</v>
      </c>
      <c r="U16" s="53">
        <f>IFERROR(GETPIVOTDATA("合計 / " &amp; $B16,【ピボット】事業所収支!$A$3,"年月",U$2,"事業所",$A16),"")</f>
        <v>972141</v>
      </c>
      <c r="V16" s="53">
        <f>IFERROR(GETPIVOTDATA("合計 / " &amp; $B16,【ピボット】事業所収支!$A$3,"年月",V$2,"事業所",$A16),"")</f>
        <v>1096851</v>
      </c>
      <c r="W16" s="53">
        <f>IFERROR(GETPIVOTDATA("合計 / " &amp; $B16,【ピボット】事業所収支!$A$3,"年月",W$2,"事業所",$A16),"")</f>
        <v>1080585</v>
      </c>
      <c r="X16" s="53">
        <f>IFERROR(GETPIVOTDATA("合計 / " &amp; $B16,【ピボット】事業所収支!$A$3,"年月",X$2,"事業所",$A16),"")</f>
        <v>906143</v>
      </c>
      <c r="Y16" s="53">
        <f>IFERROR(GETPIVOTDATA("合計 / " &amp; $B16,【ピボット】事業所収支!$A$3,"年月",Y$2,"事業所",$A16),"")</f>
        <v>864935</v>
      </c>
      <c r="Z16" s="53">
        <f>IFERROR(GETPIVOTDATA("合計 / " &amp; $B16,【ピボット】事業所収支!$A$3,"年月",Z$2,"事業所",$A16),"")</f>
        <v>894137</v>
      </c>
      <c r="AA16" s="53">
        <f>IFERROR(GETPIVOTDATA("合計 / " &amp; $B16,【ピボット】事業所収支!$A$3,"年月",AA$2,"事業所",$A16),"")</f>
        <v>861953</v>
      </c>
      <c r="AB16" s="53">
        <f>IFERROR(GETPIVOTDATA("合計 / " &amp; $B16,【ピボット】事業所収支!$A$3,"年月",AB$2,"事業所",$A16),"")</f>
        <v>817415</v>
      </c>
      <c r="AC16" s="53">
        <f>IFERROR(GETPIVOTDATA("合計 / " &amp; $B16,【ピボット】事業所収支!$A$3,"年月",AC$2,"事業所",$A16),"")</f>
        <v>946371</v>
      </c>
      <c r="AD16" s="141">
        <f ca="1">SUM(OFFSET(AC16,0,当期月数):AC16)</f>
        <v>7468390</v>
      </c>
      <c r="AE16" s="56">
        <f ca="1">AVERAGE(OFFSET(AC16,0,当期月数):AC16)</f>
        <v>933548.75</v>
      </c>
    </row>
    <row r="17" spans="1:31" ht="14.25" thickBot="1" x14ac:dyDescent="0.2">
      <c r="B17" t="s">
        <v>32</v>
      </c>
      <c r="D17" s="2127"/>
      <c r="E17" s="87" t="s">
        <v>32</v>
      </c>
      <c r="F17" s="116">
        <f t="shared" ref="F17:AC17" si="3">IFERROR(F12-(F14+F16),"")</f>
        <v>1372235</v>
      </c>
      <c r="G17" s="116">
        <f t="shared" si="3"/>
        <v>1126623</v>
      </c>
      <c r="H17" s="116">
        <f t="shared" si="3"/>
        <v>827645</v>
      </c>
      <c r="I17" s="116">
        <f t="shared" si="3"/>
        <v>793979</v>
      </c>
      <c r="J17" s="116">
        <f t="shared" si="3"/>
        <v>1554615</v>
      </c>
      <c r="K17" s="116">
        <f t="shared" si="3"/>
        <v>1415975</v>
      </c>
      <c r="L17" s="116">
        <f t="shared" si="3"/>
        <v>1087966</v>
      </c>
      <c r="M17" s="116">
        <f t="shared" si="3"/>
        <v>-1826695.9664213415</v>
      </c>
      <c r="N17" s="116">
        <f t="shared" si="3"/>
        <v>-357916</v>
      </c>
      <c r="O17" s="116">
        <f t="shared" si="3"/>
        <v>211413</v>
      </c>
      <c r="P17" s="116">
        <f t="shared" si="3"/>
        <v>57090</v>
      </c>
      <c r="Q17" s="116">
        <f t="shared" si="3"/>
        <v>2551906</v>
      </c>
      <c r="R17" s="116">
        <f t="shared" si="3"/>
        <v>1776041</v>
      </c>
      <c r="S17" s="116">
        <f t="shared" si="3"/>
        <v>783353</v>
      </c>
      <c r="T17" s="116">
        <f t="shared" si="3"/>
        <v>399814</v>
      </c>
      <c r="U17" s="116">
        <f t="shared" si="3"/>
        <v>350143</v>
      </c>
      <c r="V17" s="116">
        <f t="shared" si="3"/>
        <v>645622</v>
      </c>
      <c r="W17" s="116">
        <f t="shared" si="3"/>
        <v>2163247</v>
      </c>
      <c r="X17" s="116">
        <f t="shared" si="3"/>
        <v>2003149</v>
      </c>
      <c r="Y17" s="116">
        <f t="shared" si="3"/>
        <v>-1494751</v>
      </c>
      <c r="Z17" s="116">
        <f t="shared" si="3"/>
        <v>1039415</v>
      </c>
      <c r="AA17" s="116">
        <f t="shared" si="3"/>
        <v>1844668</v>
      </c>
      <c r="AB17" s="116">
        <f t="shared" si="3"/>
        <v>1240924</v>
      </c>
      <c r="AC17" s="116">
        <f t="shared" si="3"/>
        <v>1730446</v>
      </c>
      <c r="AD17" s="142">
        <f ca="1">SUM(OFFSET(AC17,0,当期月数):AC17)</f>
        <v>9172720</v>
      </c>
      <c r="AE17" s="152">
        <f ca="1">AVERAGE(OFFSET(AC17,0,当期月数):AC17)</f>
        <v>1146590</v>
      </c>
    </row>
    <row r="18" spans="1:31" x14ac:dyDescent="0.15">
      <c r="A18" t="s">
        <v>752</v>
      </c>
      <c r="B18" t="s">
        <v>26</v>
      </c>
      <c r="D18" s="2126" t="s">
        <v>66</v>
      </c>
      <c r="E18" s="86" t="s">
        <v>144</v>
      </c>
      <c r="F18" s="137">
        <f>IFERROR(GETPIVOTDATA("合計 / " &amp; $B18,【ピボット】事業所収支!$A$3,"年月",F$2,"事業所",$A18),"")</f>
        <v>5374919</v>
      </c>
      <c r="G18" s="137">
        <f>IFERROR(GETPIVOTDATA("合計 / " &amp; $B18,【ピボット】事業所収支!$A$3,"年月",G$2,"事業所",$A18),"")</f>
        <v>5697582</v>
      </c>
      <c r="H18" s="137">
        <f>IFERROR(GETPIVOTDATA("合計 / " &amp; $B18,【ピボット】事業所収支!$A$3,"年月",H$2,"事業所",$A18),"")</f>
        <v>5897081</v>
      </c>
      <c r="I18" s="137">
        <f>IFERROR(GETPIVOTDATA("合計 / " &amp; $B18,【ピボット】事業所収支!$A$3,"年月",I$2,"事業所",$A18),"")</f>
        <v>5788645</v>
      </c>
      <c r="J18" s="137">
        <f>IFERROR(GETPIVOTDATA("合計 / " &amp; $B18,【ピボット】事業所収支!$A$3,"年月",J$2,"事業所",$A18),"")</f>
        <v>5817896</v>
      </c>
      <c r="K18" s="137">
        <f>IFERROR(GETPIVOTDATA("合計 / " &amp; $B18,【ピボット】事業所収支!$A$3,"年月",K$2,"事業所",$A18),"")</f>
        <v>5787410</v>
      </c>
      <c r="L18" s="137">
        <f>IFERROR(GETPIVOTDATA("合計 / " &amp; $B18,【ピボット】事業所収支!$A$3,"年月",L$2,"事業所",$A18),"")</f>
        <v>5899891</v>
      </c>
      <c r="M18" s="137">
        <f>IFERROR(GETPIVOTDATA("合計 / " &amp; $B18,【ピボット】事業所収支!$A$3,"年月",M$2,"事業所",$A18),"")</f>
        <v>5629984</v>
      </c>
      <c r="N18" s="137">
        <f>IFERROR(GETPIVOTDATA("合計 / " &amp; $B18,【ピボット】事業所収支!$A$3,"年月",N$2,"事業所",$A18),"")</f>
        <v>6168362</v>
      </c>
      <c r="O18" s="137">
        <f>IFERROR(GETPIVOTDATA("合計 / " &amp; $B18,【ピボット】事業所収支!$A$3,"年月",O$2,"事業所",$A18),"")</f>
        <v>5709957</v>
      </c>
      <c r="P18" s="137">
        <f>IFERROR(GETPIVOTDATA("合計 / " &amp; $B18,【ピボット】事業所収支!$A$3,"年月",P$2,"事業所",$A18),"")</f>
        <v>5793244</v>
      </c>
      <c r="Q18" s="137">
        <f>IFERROR(GETPIVOTDATA("合計 / " &amp; $B18,【ピボット】事業所収支!$A$3,"年月",Q$2,"事業所",$A18),"")</f>
        <v>6587828</v>
      </c>
      <c r="R18" s="137">
        <f>IFERROR(GETPIVOTDATA("合計 / " &amp; $B18,【ピボット】事業所収支!$A$3,"年月",R$2,"事業所",$A18),"")</f>
        <v>6479560</v>
      </c>
      <c r="S18" s="137">
        <f>IFERROR(GETPIVOTDATA("合計 / " &amp; $B18,【ピボット】事業所収支!$A$3,"年月",S$2,"事業所",$A18),"")</f>
        <v>6806472</v>
      </c>
      <c r="T18" s="137">
        <f>IFERROR(GETPIVOTDATA("合計 / " &amp; $B18,【ピボット】事業所収支!$A$3,"年月",T$2,"事業所",$A18),"")</f>
        <v>6915528</v>
      </c>
      <c r="U18" s="137">
        <f>IFERROR(GETPIVOTDATA("合計 / " &amp; $B18,【ピボット】事業所収支!$A$3,"年月",U$2,"事業所",$A18),"")</f>
        <v>7519354</v>
      </c>
      <c r="V18" s="137">
        <f>IFERROR(GETPIVOTDATA("合計 / " &amp; $B18,【ピボット】事業所収支!$A$3,"年月",V$2,"事業所",$A18),"")</f>
        <v>6774361</v>
      </c>
      <c r="W18" s="137">
        <f>IFERROR(GETPIVOTDATA("合計 / " &amp; $B18,【ピボット】事業所収支!$A$3,"年月",W$2,"事業所",$A18),"")</f>
        <v>7419604</v>
      </c>
      <c r="X18" s="137">
        <f>IFERROR(GETPIVOTDATA("合計 / " &amp; $B18,【ピボット】事業所収支!$A$3,"年月",X$2,"事業所",$A18),"")</f>
        <v>7099035</v>
      </c>
      <c r="Y18" s="137">
        <f>IFERROR(GETPIVOTDATA("合計 / " &amp; $B18,【ピボット】事業所収支!$A$3,"年月",Y$2,"事業所",$A18),"")</f>
        <v>7065580</v>
      </c>
      <c r="Z18" s="137">
        <f>IFERROR(GETPIVOTDATA("合計 / " &amp; $B18,【ピボット】事業所収支!$A$3,"年月",Z$2,"事業所",$A18),"")</f>
        <v>7041908</v>
      </c>
      <c r="AA18" s="137">
        <f>IFERROR(GETPIVOTDATA("合計 / " &amp; $B18,【ピボット】事業所収支!$A$3,"年月",AA$2,"事業所",$A18),"")</f>
        <v>6369053</v>
      </c>
      <c r="AB18" s="137">
        <f>IFERROR(GETPIVOTDATA("合計 / " &amp; $B18,【ピボット】事業所収支!$A$3,"年月",AB$2,"事業所",$A18),"")</f>
        <v>6979599</v>
      </c>
      <c r="AC18" s="137">
        <f>IFERROR(GETPIVOTDATA("合計 / " &amp; $B18,【ピボット】事業所収支!$A$3,"年月",AC$2,"事業所",$A18),"")</f>
        <v>7110420</v>
      </c>
      <c r="AD18" s="139">
        <f ca="1">SUM(OFFSET(AC18,0,当期月数):AC18)</f>
        <v>55859560</v>
      </c>
      <c r="AE18" s="47">
        <f ca="1">AVERAGE(OFFSET(AC18,0,当期月数):AC18)</f>
        <v>6982445</v>
      </c>
    </row>
    <row r="19" spans="1:31" x14ac:dyDescent="0.15">
      <c r="A19" t="s">
        <v>752</v>
      </c>
      <c r="B19" t="s">
        <v>142</v>
      </c>
      <c r="D19" s="2125"/>
      <c r="E19" s="82" t="s">
        <v>142</v>
      </c>
      <c r="F19" s="30">
        <f>IFERROR(GETPIVOTDATA("合計 / 訪問処遇改善加算金",【ピボット】事業所売上!$A$3,"年月",F$2,"事業所",$A19)
+GETPIVOTDATA("合計 / 障害処遇改善加算金",【ピボット】事業所売上!$A$3,"年月",F$2,"事業所",$A19),"")</f>
        <v>806768</v>
      </c>
      <c r="G19" s="30">
        <f>IFERROR(GETPIVOTDATA("合計 / 訪問処遇改善加算金",【ピボット】事業所売上!$A$3,"年月",G$2,"事業所",$A19)
+GETPIVOTDATA("合計 / 障害処遇改善加算金",【ピボット】事業所売上!$A$3,"年月",G$2,"事業所",$A19),"")</f>
        <v>887467</v>
      </c>
      <c r="H19" s="30">
        <f>IFERROR(GETPIVOTDATA("合計 / 訪問処遇改善加算金",【ピボット】事業所売上!$A$3,"年月",H$2,"事業所",$A19)
+GETPIVOTDATA("合計 / 障害処遇改善加算金",【ピボット】事業所売上!$A$3,"年月",H$2,"事業所",$A19),"")</f>
        <v>885676</v>
      </c>
      <c r="I19" s="30">
        <f>IFERROR(GETPIVOTDATA("合計 / 訪問処遇改善加算金",【ピボット】事業所売上!$A$3,"年月",I$2,"事業所",$A19)
+GETPIVOTDATA("合計 / 障害処遇改善加算金",【ピボット】事業所売上!$A$3,"年月",I$2,"事業所",$A19),"")</f>
        <v>859272</v>
      </c>
      <c r="J19" s="30">
        <f>IFERROR(GETPIVOTDATA("合計 / 訪問処遇改善加算金",【ピボット】事業所売上!$A$3,"年月",J$2,"事業所",$A19)
+GETPIVOTDATA("合計 / 障害処遇改善加算金",【ピボット】事業所売上!$A$3,"年月",J$2,"事業所",$A19),"")</f>
        <v>842264</v>
      </c>
      <c r="K19" s="30">
        <f>IFERROR(GETPIVOTDATA("合計 / 訪問処遇改善加算金",【ピボット】事業所売上!$A$3,"年月",K$2,"事業所",$A19)
+GETPIVOTDATA("合計 / 障害処遇改善加算金",【ピボット】事業所売上!$A$3,"年月",K$2,"事業所",$A19),"")</f>
        <v>834114</v>
      </c>
      <c r="L19" s="30">
        <f>IFERROR(GETPIVOTDATA("合計 / 訪問処遇改善加算金",【ピボット】事業所売上!$A$3,"年月",L$2,"事業所",$A19)
+GETPIVOTDATA("合計 / 障害処遇改善加算金",【ピボット】事業所売上!$A$3,"年月",L$2,"事業所",$A19),"")</f>
        <v>844308</v>
      </c>
      <c r="M19" s="30">
        <f>IFERROR(GETPIVOTDATA("合計 / 訪問処遇改善加算金",【ピボット】事業所売上!$A$3,"年月",M$2,"事業所",$A19)
+GETPIVOTDATA("合計 / 障害処遇改善加算金",【ピボット】事業所売上!$A$3,"年月",M$2,"事業所",$A19),"")</f>
        <v>759750</v>
      </c>
      <c r="N19" s="30">
        <f>IFERROR(GETPIVOTDATA("合計 / 訪問処遇改善加算金",【ピボット】事業所売上!$A$3,"年月",N$2,"事業所",$A19)
+GETPIVOTDATA("合計 / 障害処遇改善加算金",【ピボット】事業所売上!$A$3,"年月",N$2,"事業所",$A19),"")</f>
        <v>903816</v>
      </c>
      <c r="O19" s="30">
        <f>IFERROR(GETPIVOTDATA("合計 / 訪問処遇改善加算金",【ピボット】事業所売上!$A$3,"年月",O$2,"事業所",$A19)
+GETPIVOTDATA("合計 / 障害処遇改善加算金",【ピボット】事業所売上!$A$3,"年月",O$2,"事業所",$A19),"")</f>
        <v>797323</v>
      </c>
      <c r="P19" s="30">
        <f>IFERROR(GETPIVOTDATA("合計 / 訪問処遇改善加算金",【ピボット】事業所売上!$A$3,"年月",P$2,"事業所",$A19)
+GETPIVOTDATA("合計 / 障害処遇改善加算金",【ピボット】事業所売上!$A$3,"年月",P$2,"事業所",$A19),"")</f>
        <v>782459</v>
      </c>
      <c r="Q19" s="30">
        <f>IFERROR(GETPIVOTDATA("合計 / 訪問処遇改善加算金",【ピボット】事業所売上!$A$3,"年月",Q$2,"事業所",$A19)
+GETPIVOTDATA("合計 / 障害処遇改善加算金",【ピボット】事業所売上!$A$3,"年月",Q$2,"事業所",$A19),"")</f>
        <v>922146</v>
      </c>
      <c r="R19" s="30">
        <f>IFERROR(GETPIVOTDATA("合計 / 訪問処遇改善加算金",【ピボット】事業所売上!$A$3,"年月",R$2,"事業所",$A19)
+GETPIVOTDATA("合計 / 障害処遇改善加算金",【ピボット】事業所売上!$A$3,"年月",R$2,"事業所",$A19),"")</f>
        <v>809828</v>
      </c>
      <c r="S19" s="30">
        <f>IFERROR(GETPIVOTDATA("合計 / 訪問処遇改善加算金",【ピボット】事業所売上!$A$3,"年月",S$2,"事業所",$A19)
+GETPIVOTDATA("合計 / 障害処遇改善加算金",【ピボット】事業所売上!$A$3,"年月",S$2,"事業所",$A19),"")</f>
        <v>909249</v>
      </c>
      <c r="T19" s="30">
        <f>IFERROR(GETPIVOTDATA("合計 / 訪問処遇改善加算金",【ピボット】事業所売上!$A$3,"年月",T$2,"事業所",$A19)
+GETPIVOTDATA("合計 / 障害処遇改善加算金",【ピボット】事業所売上!$A$3,"年月",T$2,"事業所",$A19),"")</f>
        <v>928377</v>
      </c>
      <c r="U19" s="30">
        <f>IFERROR(GETPIVOTDATA("合計 / 訪問処遇改善加算金",【ピボット】事業所売上!$A$3,"年月",U$2,"事業所",$A19)
+GETPIVOTDATA("合計 / 障害処遇改善加算金",【ピボット】事業所売上!$A$3,"年月",U$2,"事業所",$A19),"")</f>
        <v>995718</v>
      </c>
      <c r="V19" s="30">
        <f>IFERROR(GETPIVOTDATA("合計 / 訪問処遇改善加算金",【ピボット】事業所売上!$A$3,"年月",V$2,"事業所",$A19)
+GETPIVOTDATA("合計 / 障害処遇改善加算金",【ピボット】事業所売上!$A$3,"年月",V$2,"事業所",$A19),"")</f>
        <v>916774</v>
      </c>
      <c r="W19" s="30">
        <f>IFERROR(GETPIVOTDATA("合計 / 訪問処遇改善加算金",【ピボット】事業所売上!$A$3,"年月",W$2,"事業所",$A19)
+GETPIVOTDATA("合計 / 障害処遇改善加算金",【ピボット】事業所売上!$A$3,"年月",W$2,"事業所",$A19),"")</f>
        <v>957396</v>
      </c>
      <c r="X19" s="30">
        <f>IFERROR(GETPIVOTDATA("合計 / 訪問処遇改善加算金",【ピボット】事業所売上!$A$3,"年月",X$2,"事業所",$A19)
+GETPIVOTDATA("合計 / 障害処遇改善加算金",【ピボット】事業所売上!$A$3,"年月",X$2,"事業所",$A19),"")</f>
        <v>930838</v>
      </c>
      <c r="Y19" s="30">
        <f>IFERROR(GETPIVOTDATA("合計 / 訪問処遇改善加算金",【ピボット】事業所売上!$A$3,"年月",Y$2,"事業所",$A19)
+GETPIVOTDATA("合計 / 障害処遇改善加算金",【ピボット】事業所売上!$A$3,"年月",Y$2,"事業所",$A19),"")</f>
        <v>963829</v>
      </c>
      <c r="Z19" s="30">
        <f>IFERROR(GETPIVOTDATA("合計 / 訪問処遇改善加算金",【ピボット】事業所売上!$A$3,"年月",Z$2,"事業所",$A19)
+GETPIVOTDATA("合計 / 障害処遇改善加算金",【ピボット】事業所売上!$A$3,"年月",Z$2,"事業所",$A19),"")</f>
        <v>924894</v>
      </c>
      <c r="AA19" s="30">
        <f>IFERROR(GETPIVOTDATA("合計 / 訪問処遇改善加算金",【ピボット】事業所売上!$A$3,"年月",AA$2,"事業所",$A19)
+GETPIVOTDATA("合計 / 障害処遇改善加算金",【ピボット】事業所売上!$A$3,"年月",AA$2,"事業所",$A19),"")</f>
        <v>844420</v>
      </c>
      <c r="AB19" s="30">
        <f>IFERROR(GETPIVOTDATA("合計 / 訪問処遇改善加算金",【ピボット】事業所売上!$A$3,"年月",AB$2,"事業所",$A19)
+GETPIVOTDATA("合計 / 障害処遇改善加算金",【ピボット】事業所売上!$A$3,"年月",AB$2,"事業所",$A19),"")</f>
        <v>899334</v>
      </c>
      <c r="AC19" s="30">
        <f>IFERROR(GETPIVOTDATA("合計 / 訪問処遇改善加算金",【ピボット】事業所売上!$A$3,"年月",AC$2,"事業所",$A19)
+GETPIVOTDATA("合計 / 障害処遇改善加算金",【ピボット】事業所売上!$A$3,"年月",AC$2,"事業所",$A19),"")</f>
        <v>0</v>
      </c>
      <c r="AD19" s="140">
        <f ca="1">SUM(OFFSET(AC19,0,当期月数):AC19)</f>
        <v>6437485</v>
      </c>
      <c r="AE19" s="46">
        <f ca="1">AVERAGE(OFFSET(AC19,0,当期月数):AC19)</f>
        <v>804685.625</v>
      </c>
    </row>
    <row r="20" spans="1:31" x14ac:dyDescent="0.15">
      <c r="A20" t="s">
        <v>752</v>
      </c>
      <c r="B20" t="s">
        <v>15</v>
      </c>
      <c r="D20" s="2125"/>
      <c r="E20" s="83" t="s">
        <v>15</v>
      </c>
      <c r="F20" s="30">
        <f>IFERROR(GETPIVOTDATA("合計 / " &amp; $B20,【ピボット】事業所収支!$A$3,"年月",F$2,"事業所",$A20),"")</f>
        <v>3199018</v>
      </c>
      <c r="G20" s="30">
        <f>IFERROR(GETPIVOTDATA("合計 / " &amp; $B20,【ピボット】事業所収支!$A$3,"年月",G$2,"事業所",$A20),"")</f>
        <v>4327172</v>
      </c>
      <c r="H20" s="30">
        <f>IFERROR(GETPIVOTDATA("合計 / " &amp; $B20,【ピボット】事業所収支!$A$3,"年月",H$2,"事業所",$A20),"")</f>
        <v>3670064</v>
      </c>
      <c r="I20" s="30">
        <f>IFERROR(GETPIVOTDATA("合計 / " &amp; $B20,【ピボット】事業所収支!$A$3,"年月",I$2,"事業所",$A20),"")</f>
        <v>3534203</v>
      </c>
      <c r="J20" s="30">
        <f>IFERROR(GETPIVOTDATA("合計 / " &amp; $B20,【ピボット】事業所収支!$A$3,"年月",J$2,"事業所",$A20),"")</f>
        <v>3371743</v>
      </c>
      <c r="K20" s="30">
        <f>IFERROR(GETPIVOTDATA("合計 / " &amp; $B20,【ピボット】事業所収支!$A$3,"年月",K$2,"事業所",$A20),"")</f>
        <v>3465713</v>
      </c>
      <c r="L20" s="30">
        <f>IFERROR(GETPIVOTDATA("合計 / " &amp; $B20,【ピボット】事業所収支!$A$3,"年月",L$2,"事業所",$A20),"")</f>
        <v>3520452</v>
      </c>
      <c r="M20" s="30">
        <f>IFERROR(GETPIVOTDATA("合計 / " &amp; $B20,【ピボット】事業所収支!$A$3,"年月",M$2,"事業所",$A20),"")</f>
        <v>6051985.9444993129</v>
      </c>
      <c r="N20" s="30">
        <f>IFERROR(GETPIVOTDATA("合計 / " &amp; $B20,【ピボット】事業所収支!$A$3,"年月",N$2,"事業所",$A20),"")</f>
        <v>4209055</v>
      </c>
      <c r="O20" s="30">
        <f>IFERROR(GETPIVOTDATA("合計 / " &amp; $B20,【ピボット】事業所収支!$A$3,"年月",O$2,"事業所",$A20),"")</f>
        <v>3969445</v>
      </c>
      <c r="P20" s="30">
        <f>IFERROR(GETPIVOTDATA("合計 / " &amp; $B20,【ピボット】事業所収支!$A$3,"年月",P$2,"事業所",$A20),"")</f>
        <v>3828677</v>
      </c>
      <c r="Q20" s="30">
        <f>IFERROR(GETPIVOTDATA("合計 / " &amp; $B20,【ピボット】事業所収支!$A$3,"年月",Q$2,"事業所",$A20),"")</f>
        <v>3878385</v>
      </c>
      <c r="R20" s="30">
        <f>IFERROR(GETPIVOTDATA("合計 / " &amp; $B20,【ピボット】事業所収支!$A$3,"年月",R$2,"事業所",$A20),"")</f>
        <v>3840302</v>
      </c>
      <c r="S20" s="30">
        <f>IFERROR(GETPIVOTDATA("合計 / " &amp; $B20,【ピボット】事業所収支!$A$3,"年月",S$2,"事業所",$A20),"")</f>
        <v>5731123</v>
      </c>
      <c r="T20" s="30">
        <f>IFERROR(GETPIVOTDATA("合計 / " &amp; $B20,【ピボット】事業所収支!$A$3,"年月",T$2,"事業所",$A20),"")</f>
        <v>4502052</v>
      </c>
      <c r="U20" s="30">
        <f>IFERROR(GETPIVOTDATA("合計 / " &amp; $B20,【ピボット】事業所収支!$A$3,"年月",U$2,"事業所",$A20),"")</f>
        <v>4507594</v>
      </c>
      <c r="V20" s="30">
        <f>IFERROR(GETPIVOTDATA("合計 / " &amp; $B20,【ピボット】事業所収支!$A$3,"年月",V$2,"事業所",$A20),"")</f>
        <v>4297759</v>
      </c>
      <c r="W20" s="30">
        <f>IFERROR(GETPIVOTDATA("合計 / " &amp; $B20,【ピボット】事業所収支!$A$3,"年月",W$2,"事業所",$A20),"")</f>
        <v>4521609</v>
      </c>
      <c r="X20" s="30">
        <f>IFERROR(GETPIVOTDATA("合計 / " &amp; $B20,【ピボット】事業所収支!$A$3,"年月",X$2,"事業所",$A20),"")</f>
        <v>4825792</v>
      </c>
      <c r="Y20" s="30">
        <f>IFERROR(GETPIVOTDATA("合計 / " &amp; $B20,【ピボット】事業所収支!$A$3,"年月",Y$2,"事業所",$A20),"")</f>
        <v>8175324</v>
      </c>
      <c r="Z20" s="30">
        <f>IFERROR(GETPIVOTDATA("合計 / " &amp; $B20,【ピボット】事業所収支!$A$3,"年月",Z$2,"事業所",$A20),"")</f>
        <v>4942279</v>
      </c>
      <c r="AA20" s="30">
        <f>IFERROR(GETPIVOTDATA("合計 / " &amp; $B20,【ピボット】事業所収支!$A$3,"年月",AA$2,"事業所",$A20),"")</f>
        <v>4273487</v>
      </c>
      <c r="AB20" s="30">
        <f>IFERROR(GETPIVOTDATA("合計 / " &amp; $B20,【ピボット】事業所収支!$A$3,"年月",AB$2,"事業所",$A20),"")</f>
        <v>4516581</v>
      </c>
      <c r="AC20" s="30">
        <f>IFERROR(GETPIVOTDATA("合計 / " &amp; $B20,【ピボット】事業所収支!$A$3,"年月",AC$2,"事業所",$A20),"")</f>
        <v>4643324</v>
      </c>
      <c r="AD20" s="140">
        <f ca="1">SUM(OFFSET(AC20,0,当期月数):AC20)</f>
        <v>40196155</v>
      </c>
      <c r="AE20" s="46">
        <f ca="1">AVERAGE(OFFSET(AC20,0,当期月数):AC20)</f>
        <v>5024519.375</v>
      </c>
    </row>
    <row r="21" spans="1:31" x14ac:dyDescent="0.15">
      <c r="A21" t="s">
        <v>752</v>
      </c>
      <c r="B21" t="s">
        <v>48</v>
      </c>
      <c r="D21" s="2125"/>
      <c r="E21" s="83" t="s">
        <v>48</v>
      </c>
      <c r="F21" s="115">
        <f t="shared" ref="F21:AC21" si="4">IFERROR(F20/F18*100,"")</f>
        <v>59.517510868535886</v>
      </c>
      <c r="G21" s="115">
        <f t="shared" si="4"/>
        <v>75.947515981340857</v>
      </c>
      <c r="H21" s="115">
        <f t="shared" si="4"/>
        <v>62.235265210025091</v>
      </c>
      <c r="I21" s="115">
        <f t="shared" si="4"/>
        <v>61.054063602103767</v>
      </c>
      <c r="J21" s="115">
        <f t="shared" si="4"/>
        <v>57.954679836146951</v>
      </c>
      <c r="K21" s="115">
        <f t="shared" si="4"/>
        <v>59.883661257799261</v>
      </c>
      <c r="L21" s="115">
        <f t="shared" si="4"/>
        <v>59.669780340009673</v>
      </c>
      <c r="M21" s="115">
        <f t="shared" si="4"/>
        <v>107.49561534276675</v>
      </c>
      <c r="N21" s="115">
        <f t="shared" si="4"/>
        <v>68.2361865273147</v>
      </c>
      <c r="O21" s="115">
        <f t="shared" si="4"/>
        <v>69.517949084380149</v>
      </c>
      <c r="P21" s="115">
        <f t="shared" si="4"/>
        <v>66.088654301458732</v>
      </c>
      <c r="Q21" s="115">
        <f t="shared" si="4"/>
        <v>58.871983300110443</v>
      </c>
      <c r="R21" s="115">
        <f t="shared" si="4"/>
        <v>59.267944119662438</v>
      </c>
      <c r="S21" s="115">
        <f t="shared" si="4"/>
        <v>84.201080971169802</v>
      </c>
      <c r="T21" s="115">
        <f t="shared" si="4"/>
        <v>65.100625722287589</v>
      </c>
      <c r="U21" s="115">
        <f t="shared" si="4"/>
        <v>59.946559238998454</v>
      </c>
      <c r="V21" s="115">
        <f t="shared" si="4"/>
        <v>63.441540833150171</v>
      </c>
      <c r="W21" s="115">
        <f t="shared" si="4"/>
        <v>60.94137908168684</v>
      </c>
      <c r="X21" s="115">
        <f t="shared" si="4"/>
        <v>67.978140690953069</v>
      </c>
      <c r="Y21" s="115">
        <f t="shared" si="4"/>
        <v>115.70633974847075</v>
      </c>
      <c r="Z21" s="115">
        <f t="shared" si="4"/>
        <v>70.183805298223163</v>
      </c>
      <c r="AA21" s="115">
        <f t="shared" si="4"/>
        <v>67.097683124948091</v>
      </c>
      <c r="AB21" s="115">
        <f t="shared" si="4"/>
        <v>64.711181831506366</v>
      </c>
      <c r="AC21" s="115">
        <f t="shared" si="4"/>
        <v>65.30309039409768</v>
      </c>
      <c r="AD21" s="144">
        <f ca="1">AD20/AD18*100</f>
        <v>71.959311888600624</v>
      </c>
      <c r="AE21" s="154">
        <f ca="1">AE20/AE18*100</f>
        <v>71.959311888600624</v>
      </c>
    </row>
    <row r="22" spans="1:31" x14ac:dyDescent="0.15">
      <c r="A22" t="s">
        <v>752</v>
      </c>
      <c r="B22" t="s">
        <v>1226</v>
      </c>
      <c r="D22" s="2125"/>
      <c r="E22" s="84" t="s">
        <v>35</v>
      </c>
      <c r="F22" s="53">
        <f>IFERROR(GETPIVOTDATA("合計 / " &amp; $B22,【ピボット】事業所収支!$A$3,"年月",F$2,"事業所",$A22),"")</f>
        <v>827102</v>
      </c>
      <c r="G22" s="53">
        <f>IFERROR(GETPIVOTDATA("合計 / " &amp; $B22,【ピボット】事業所収支!$A$3,"年月",G$2,"事業所",$A22),"")</f>
        <v>718514</v>
      </c>
      <c r="H22" s="53">
        <f>IFERROR(GETPIVOTDATA("合計 / " &amp; $B22,【ピボット】事業所収支!$A$3,"年月",H$2,"事業所",$A22),"")</f>
        <v>729566</v>
      </c>
      <c r="I22" s="53">
        <f>IFERROR(GETPIVOTDATA("合計 / " &amp; $B22,【ピボット】事業所収支!$A$3,"年月",I$2,"事業所",$A22),"")</f>
        <v>846397</v>
      </c>
      <c r="J22" s="53">
        <f>IFERROR(GETPIVOTDATA("合計 / " &amp; $B22,【ピボット】事業所収支!$A$3,"年月",J$2,"事業所",$A22),"")</f>
        <v>744536</v>
      </c>
      <c r="K22" s="53">
        <f>IFERROR(GETPIVOTDATA("合計 / " &amp; $B22,【ピボット】事業所収支!$A$3,"年月",K$2,"事業所",$A22),"")</f>
        <v>902306</v>
      </c>
      <c r="L22" s="53">
        <f>IFERROR(GETPIVOTDATA("合計 / " &amp; $B22,【ピボット】事業所収支!$A$3,"年月",L$2,"事業所",$A22),"")</f>
        <v>829374</v>
      </c>
      <c r="M22" s="53">
        <f>IFERROR(GETPIVOTDATA("合計 / " &amp; $B22,【ピボット】事業所収支!$A$3,"年月",M$2,"事業所",$A22),"")</f>
        <v>997975</v>
      </c>
      <c r="N22" s="53">
        <f>IFERROR(GETPIVOTDATA("合計 / " &amp; $B22,【ピボット】事業所収支!$A$3,"年月",N$2,"事業所",$A22),"")</f>
        <v>927618</v>
      </c>
      <c r="O22" s="53">
        <f>IFERROR(GETPIVOTDATA("合計 / " &amp; $B22,【ピボット】事業所収支!$A$3,"年月",O$2,"事業所",$A22),"")</f>
        <v>785358</v>
      </c>
      <c r="P22" s="53">
        <f>IFERROR(GETPIVOTDATA("合計 / " &amp; $B22,【ピボット】事業所収支!$A$3,"年月",P$2,"事業所",$A22),"")</f>
        <v>859073</v>
      </c>
      <c r="Q22" s="53">
        <f>IFERROR(GETPIVOTDATA("合計 / " &amp; $B22,【ピボット】事業所収支!$A$3,"年月",Q$2,"事業所",$A22),"")</f>
        <v>777798</v>
      </c>
      <c r="R22" s="53">
        <f>IFERROR(GETPIVOTDATA("合計 / " &amp; $B22,【ピボット】事業所収支!$A$3,"年月",R$2,"事業所",$A22),"")</f>
        <v>870485</v>
      </c>
      <c r="S22" s="53">
        <f>IFERROR(GETPIVOTDATA("合計 / " &amp; $B22,【ピボット】事業所収支!$A$3,"年月",S$2,"事業所",$A22),"")</f>
        <v>946985</v>
      </c>
      <c r="T22" s="53">
        <f>IFERROR(GETPIVOTDATA("合計 / " &amp; $B22,【ピボット】事業所収支!$A$3,"年月",T$2,"事業所",$A22),"")</f>
        <v>817228</v>
      </c>
      <c r="U22" s="53">
        <f>IFERROR(GETPIVOTDATA("合計 / " &amp; $B22,【ピボット】事業所収支!$A$3,"年月",U$2,"事業所",$A22),"")</f>
        <v>1126297</v>
      </c>
      <c r="V22" s="53">
        <f>IFERROR(GETPIVOTDATA("合計 / " &amp; $B22,【ピボット】事業所収支!$A$3,"年月",V$2,"事業所",$A22),"")</f>
        <v>801389</v>
      </c>
      <c r="W22" s="53">
        <f>IFERROR(GETPIVOTDATA("合計 / " &amp; $B22,【ピボット】事業所収支!$A$3,"年月",W$2,"事業所",$A22),"")</f>
        <v>1522750</v>
      </c>
      <c r="X22" s="53">
        <f>IFERROR(GETPIVOTDATA("合計 / " &amp; $B22,【ピボット】事業所収支!$A$3,"年月",X$2,"事業所",$A22),"")</f>
        <v>937541</v>
      </c>
      <c r="Y22" s="53">
        <f>IFERROR(GETPIVOTDATA("合計 / " &amp; $B22,【ピボット】事業所収支!$A$3,"年月",Y$2,"事業所",$A22),"")</f>
        <v>844228</v>
      </c>
      <c r="Z22" s="53">
        <f>IFERROR(GETPIVOTDATA("合計 / " &amp; $B22,【ピボット】事業所収支!$A$3,"年月",Z$2,"事業所",$A22),"")</f>
        <v>1033335</v>
      </c>
      <c r="AA22" s="53">
        <f>IFERROR(GETPIVOTDATA("合計 / " &amp; $B22,【ピボット】事業所収支!$A$3,"年月",AA$2,"事業所",$A22),"")</f>
        <v>773129</v>
      </c>
      <c r="AB22" s="53">
        <f>IFERROR(GETPIVOTDATA("合計 / " &amp; $B22,【ピボット】事業所収支!$A$3,"年月",AB$2,"事業所",$A22),"")</f>
        <v>726515</v>
      </c>
      <c r="AC22" s="53">
        <f>IFERROR(GETPIVOTDATA("合計 / " &amp; $B22,【ピボット】事業所収支!$A$3,"年月",AC$2,"事業所",$A22),"")</f>
        <v>738059</v>
      </c>
      <c r="AD22" s="141">
        <f ca="1">SUM(OFFSET(AC22,0,当期月数):AC22)</f>
        <v>7376946</v>
      </c>
      <c r="AE22" s="56">
        <f ca="1">AVERAGE(OFFSET(AC22,0,当期月数):AC22)</f>
        <v>922118.25</v>
      </c>
    </row>
    <row r="23" spans="1:31" ht="14.25" thickBot="1" x14ac:dyDescent="0.2">
      <c r="B23" t="s">
        <v>32</v>
      </c>
      <c r="D23" s="2127"/>
      <c r="E23" s="87" t="s">
        <v>32</v>
      </c>
      <c r="F23" s="116">
        <f t="shared" ref="F23:AC23" si="5">IFERROR(F18-(F20+F22),"")</f>
        <v>1348799</v>
      </c>
      <c r="G23" s="116">
        <f t="shared" si="5"/>
        <v>651896</v>
      </c>
      <c r="H23" s="116">
        <f t="shared" si="5"/>
        <v>1497451</v>
      </c>
      <c r="I23" s="116">
        <f t="shared" si="5"/>
        <v>1408045</v>
      </c>
      <c r="J23" s="116">
        <f t="shared" si="5"/>
        <v>1701617</v>
      </c>
      <c r="K23" s="116">
        <f t="shared" si="5"/>
        <v>1419391</v>
      </c>
      <c r="L23" s="116">
        <f t="shared" si="5"/>
        <v>1550065</v>
      </c>
      <c r="M23" s="116">
        <f t="shared" si="5"/>
        <v>-1419976.9444993129</v>
      </c>
      <c r="N23" s="116">
        <f t="shared" si="5"/>
        <v>1031689</v>
      </c>
      <c r="O23" s="116">
        <f t="shared" si="5"/>
        <v>955154</v>
      </c>
      <c r="P23" s="116">
        <f t="shared" si="5"/>
        <v>1105494</v>
      </c>
      <c r="Q23" s="116">
        <f t="shared" si="5"/>
        <v>1931645</v>
      </c>
      <c r="R23" s="116">
        <f t="shared" si="5"/>
        <v>1768773</v>
      </c>
      <c r="S23" s="116">
        <f t="shared" si="5"/>
        <v>128364</v>
      </c>
      <c r="T23" s="116">
        <f t="shared" si="5"/>
        <v>1596248</v>
      </c>
      <c r="U23" s="116">
        <f t="shared" si="5"/>
        <v>1885463</v>
      </c>
      <c r="V23" s="116">
        <f t="shared" si="5"/>
        <v>1675213</v>
      </c>
      <c r="W23" s="116">
        <f t="shared" si="5"/>
        <v>1375245</v>
      </c>
      <c r="X23" s="116">
        <f t="shared" si="5"/>
        <v>1335702</v>
      </c>
      <c r="Y23" s="116">
        <f t="shared" si="5"/>
        <v>-1953972</v>
      </c>
      <c r="Z23" s="116">
        <f t="shared" si="5"/>
        <v>1066294</v>
      </c>
      <c r="AA23" s="116">
        <f t="shared" si="5"/>
        <v>1322437</v>
      </c>
      <c r="AB23" s="116">
        <f t="shared" si="5"/>
        <v>1736503</v>
      </c>
      <c r="AC23" s="116">
        <f t="shared" si="5"/>
        <v>1729037</v>
      </c>
      <c r="AD23" s="142">
        <f ca="1">SUM(OFFSET(AC23,0,当期月数):AC23)</f>
        <v>8286459</v>
      </c>
      <c r="AE23" s="152">
        <f ca="1">AVERAGE(OFFSET(AC23,0,当期月数):AC23)</f>
        <v>1035807.375</v>
      </c>
    </row>
    <row r="24" spans="1:31" x14ac:dyDescent="0.15">
      <c r="A24" t="s">
        <v>972</v>
      </c>
      <c r="B24" t="s">
        <v>26</v>
      </c>
      <c r="D24" s="2126" t="s">
        <v>972</v>
      </c>
      <c r="E24" s="86" t="s">
        <v>144</v>
      </c>
      <c r="F24" s="137" t="str">
        <f>IFERROR(GETPIVOTDATA("合計 / " &amp; $B24,【ピボット】事業所収支!$A$3,"年月",F$2,"事業所",$A24),"")</f>
        <v/>
      </c>
      <c r="G24" s="137" t="str">
        <f>IFERROR(GETPIVOTDATA("合計 / " &amp; $B24,【ピボット】事業所収支!$A$3,"年月",G$2,"事業所",$A24),"")</f>
        <v/>
      </c>
      <c r="H24" s="137" t="str">
        <f>IFERROR(GETPIVOTDATA("合計 / " &amp; $B24,【ピボット】事業所収支!$A$3,"年月",H$2,"事業所",$A24),"")</f>
        <v/>
      </c>
      <c r="I24" s="137" t="str">
        <f>IFERROR(GETPIVOTDATA("合計 / " &amp; $B24,【ピボット】事業所収支!$A$3,"年月",I$2,"事業所",$A24),"")</f>
        <v/>
      </c>
      <c r="J24" s="137" t="str">
        <f>IFERROR(GETPIVOTDATA("合計 / " &amp; $B24,【ピボット】事業所収支!$A$3,"年月",J$2,"事業所",$A24),"")</f>
        <v/>
      </c>
      <c r="K24" s="137" t="str">
        <f>IFERROR(GETPIVOTDATA("合計 / " &amp; $B24,【ピボット】事業所収支!$A$3,"年月",K$2,"事業所",$A24),"")</f>
        <v/>
      </c>
      <c r="L24" s="137" t="str">
        <f>IFERROR(GETPIVOTDATA("合計 / " &amp; $B24,【ピボット】事業所収支!$A$3,"年月",L$2,"事業所",$A24),"")</f>
        <v/>
      </c>
      <c r="M24" s="137" t="str">
        <f>IFERROR(GETPIVOTDATA("合計 / " &amp; $B24,【ピボット】事業所収支!$A$3,"年月",M$2,"事業所",$A24),"")</f>
        <v/>
      </c>
      <c r="N24" s="137" t="str">
        <f>IFERROR(GETPIVOTDATA("合計 / " &amp; $B24,【ピボット】事業所収支!$A$3,"年月",N$2,"事業所",$A24),"")</f>
        <v/>
      </c>
      <c r="O24" s="137" t="str">
        <f>IFERROR(GETPIVOTDATA("合計 / " &amp; $B24,【ピボット】事業所収支!$A$3,"年月",O$2,"事業所",$A24),"")</f>
        <v/>
      </c>
      <c r="P24" s="137">
        <f>IFERROR(GETPIVOTDATA("合計 / " &amp; $B24,【ピボット】事業所収支!$A$3,"年月",P$2,"事業所",$A24),"")</f>
        <v>0</v>
      </c>
      <c r="Q24" s="137">
        <f>IFERROR(GETPIVOTDATA("合計 / " &amp; $B24,【ピボット】事業所収支!$A$3,"年月",Q$2,"事業所",$A24),"")</f>
        <v>0</v>
      </c>
      <c r="R24" s="137">
        <f>IFERROR(GETPIVOTDATA("合計 / " &amp; $B24,【ピボット】事業所収支!$A$3,"年月",R$2,"事業所",$A24),"")</f>
        <v>0</v>
      </c>
      <c r="S24" s="137">
        <f>IFERROR(GETPIVOTDATA("合計 / " &amp; $B24,【ピボット】事業所収支!$A$3,"年月",S$2,"事業所",$A24),"")</f>
        <v>100885</v>
      </c>
      <c r="T24" s="137">
        <f>IFERROR(GETPIVOTDATA("合計 / " &amp; $B24,【ピボット】事業所収支!$A$3,"年月",T$2,"事業所",$A24),"")</f>
        <v>663080</v>
      </c>
      <c r="U24" s="137">
        <f>IFERROR(GETPIVOTDATA("合計 / " &amp; $B24,【ピボット】事業所収支!$A$3,"年月",U$2,"事業所",$A24),"")</f>
        <v>624826</v>
      </c>
      <c r="V24" s="137">
        <f>IFERROR(GETPIVOTDATA("合計 / " &amp; $B24,【ピボット】事業所収支!$A$3,"年月",V$2,"事業所",$A24),"")</f>
        <v>1193278</v>
      </c>
      <c r="W24" s="137">
        <f>IFERROR(GETPIVOTDATA("合計 / " &amp; $B24,【ピボット】事業所収支!$A$3,"年月",W$2,"事業所",$A24),"")</f>
        <v>1631546</v>
      </c>
      <c r="X24" s="137">
        <f>IFERROR(GETPIVOTDATA("合計 / " &amp; $B24,【ピボット】事業所収支!$A$3,"年月",X$2,"事業所",$A24),"")</f>
        <v>1296114</v>
      </c>
      <c r="Y24" s="137">
        <f>IFERROR(GETPIVOTDATA("合計 / " &amp; $B24,【ピボット】事業所収支!$A$3,"年月",Y$2,"事業所",$A24),"")</f>
        <v>1520846</v>
      </c>
      <c r="Z24" s="137">
        <f>IFERROR(GETPIVOTDATA("合計 / " &amp; $B24,【ピボット】事業所収支!$A$3,"年月",Z$2,"事業所",$A24),"")</f>
        <v>1160774</v>
      </c>
      <c r="AA24" s="137">
        <f>IFERROR(GETPIVOTDATA("合計 / " &amp; $B24,【ピボット】事業所収支!$A$3,"年月",AA$2,"事業所",$A24),"")</f>
        <v>903949</v>
      </c>
      <c r="AB24" s="137">
        <f>IFERROR(GETPIVOTDATA("合計 / " &amp; $B24,【ピボット】事業所収支!$A$3,"年月",AB$2,"事業所",$A24),"")</f>
        <v>0</v>
      </c>
      <c r="AC24" s="137">
        <f>IFERROR(GETPIVOTDATA("合計 / " &amp; $B24,【ピボット】事業所収支!$A$3,"年月",AC$2,"事業所",$A24),"")</f>
        <v>13148</v>
      </c>
      <c r="AD24" s="139">
        <f ca="1">SUM(OFFSET(AC24,0,当期月数):AC24)</f>
        <v>7719655</v>
      </c>
      <c r="AE24" s="47">
        <f ca="1">AVERAGE(OFFSET(AC24,0,当期月数):AC24)</f>
        <v>964956.875</v>
      </c>
    </row>
    <row r="25" spans="1:31" x14ac:dyDescent="0.15">
      <c r="A25" t="s">
        <v>981</v>
      </c>
      <c r="B25" t="s">
        <v>142</v>
      </c>
      <c r="D25" s="2125"/>
      <c r="E25" s="82" t="s">
        <v>142</v>
      </c>
      <c r="F25" s="30" t="str">
        <f>IFERROR(GETPIVOTDATA("合計 / 訪問処遇改善加算金",【ピボット】事業所売上!$A$3,"年月",F$2,"事業所",$A25)
+GETPIVOTDATA("合計 / 障害処遇改善加算金",【ピボット】事業所売上!$A$3,"年月",F$2,"事業所",$A25),"")</f>
        <v/>
      </c>
      <c r="G25" s="30" t="str">
        <f>IFERROR(GETPIVOTDATA("合計 / 訪問処遇改善加算金",【ピボット】事業所売上!$A$3,"年月",G$2,"事業所",$A25)
+GETPIVOTDATA("合計 / 障害処遇改善加算金",【ピボット】事業所売上!$A$3,"年月",G$2,"事業所",$A25),"")</f>
        <v/>
      </c>
      <c r="H25" s="30" t="str">
        <f>IFERROR(GETPIVOTDATA("合計 / 訪問処遇改善加算金",【ピボット】事業所売上!$A$3,"年月",H$2,"事業所",$A25)
+GETPIVOTDATA("合計 / 障害処遇改善加算金",【ピボット】事業所売上!$A$3,"年月",H$2,"事業所",$A25),"")</f>
        <v/>
      </c>
      <c r="I25" s="30" t="str">
        <f>IFERROR(GETPIVOTDATA("合計 / 訪問処遇改善加算金",【ピボット】事業所売上!$A$3,"年月",I$2,"事業所",$A25)
+GETPIVOTDATA("合計 / 障害処遇改善加算金",【ピボット】事業所売上!$A$3,"年月",I$2,"事業所",$A25),"")</f>
        <v/>
      </c>
      <c r="J25" s="30" t="str">
        <f>IFERROR(GETPIVOTDATA("合計 / 訪問処遇改善加算金",【ピボット】事業所売上!$A$3,"年月",J$2,"事業所",$A25)
+GETPIVOTDATA("合計 / 障害処遇改善加算金",【ピボット】事業所売上!$A$3,"年月",J$2,"事業所",$A25),"")</f>
        <v/>
      </c>
      <c r="K25" s="30" t="str">
        <f>IFERROR(GETPIVOTDATA("合計 / 訪問処遇改善加算金",【ピボット】事業所売上!$A$3,"年月",K$2,"事業所",$A25)
+GETPIVOTDATA("合計 / 障害処遇改善加算金",【ピボット】事業所売上!$A$3,"年月",K$2,"事業所",$A25),"")</f>
        <v/>
      </c>
      <c r="L25" s="30" t="str">
        <f>IFERROR(GETPIVOTDATA("合計 / 訪問処遇改善加算金",【ピボット】事業所売上!$A$3,"年月",L$2,"事業所",$A25)
+GETPIVOTDATA("合計 / 障害処遇改善加算金",【ピボット】事業所売上!$A$3,"年月",L$2,"事業所",$A25),"")</f>
        <v/>
      </c>
      <c r="M25" s="30" t="str">
        <f>IFERROR(GETPIVOTDATA("合計 / 訪問処遇改善加算金",【ピボット】事業所売上!$A$3,"年月",M$2,"事業所",$A25)
+GETPIVOTDATA("合計 / 障害処遇改善加算金",【ピボット】事業所売上!$A$3,"年月",M$2,"事業所",$A25),"")</f>
        <v/>
      </c>
      <c r="N25" s="30" t="str">
        <f>IFERROR(GETPIVOTDATA("合計 / 訪問処遇改善加算金",【ピボット】事業所売上!$A$3,"年月",N$2,"事業所",$A25)
+GETPIVOTDATA("合計 / 障害処遇改善加算金",【ピボット】事業所売上!$A$3,"年月",N$2,"事業所",$A25),"")</f>
        <v/>
      </c>
      <c r="O25" s="30" t="str">
        <f>IFERROR(GETPIVOTDATA("合計 / 訪問処遇改善加算金",【ピボット】事業所売上!$A$3,"年月",O$2,"事業所",$A25)
+GETPIVOTDATA("合計 / 障害処遇改善加算金",【ピボット】事業所売上!$A$3,"年月",O$2,"事業所",$A25),"")</f>
        <v/>
      </c>
      <c r="P25" s="30" t="str">
        <f>IFERROR(GETPIVOTDATA("合計 / 訪問処遇改善加算金",【ピボット】事業所売上!$A$3,"年月",P$2,"事業所",$A25)
+GETPIVOTDATA("合計 / 障害処遇改善加算金",【ピボット】事業所売上!$A$3,"年月",P$2,"事業所",$A25),"")</f>
        <v/>
      </c>
      <c r="Q25" s="30" t="str">
        <f>IFERROR(GETPIVOTDATA("合計 / 訪問処遇改善加算金",【ピボット】事業所売上!$A$3,"年月",Q$2,"事業所",$A25)
+GETPIVOTDATA("合計 / 障害処遇改善加算金",【ピボット】事業所売上!$A$3,"年月",Q$2,"事業所",$A25),"")</f>
        <v/>
      </c>
      <c r="R25" s="30" t="str">
        <f>IFERROR(GETPIVOTDATA("合計 / 訪問処遇改善加算金",【ピボット】事業所売上!$A$3,"年月",R$2,"事業所",$A25)
+GETPIVOTDATA("合計 / 障害処遇改善加算金",【ピボット】事業所売上!$A$3,"年月",R$2,"事業所",$A25),"")</f>
        <v/>
      </c>
      <c r="S25" s="30">
        <f>IFERROR(GETPIVOTDATA("合計 / 訪問処遇改善加算金",【ピボット】事業所売上!$A$3,"年月",S$2,"事業所",$A25)
+GETPIVOTDATA("合計 / 障害処遇改善加算金",【ピボット】事業所売上!$A$3,"年月",S$2,"事業所",$A25),"")</f>
        <v>22715</v>
      </c>
      <c r="T25" s="30">
        <f>IFERROR(GETPIVOTDATA("合計 / 訪問処遇改善加算金",【ピボット】事業所売上!$A$3,"年月",T$2,"事業所",$A25)
+GETPIVOTDATA("合計 / 障害処遇改善加算金",【ピボット】事業所売上!$A$3,"年月",T$2,"事業所",$A25),"")</f>
        <v>87480</v>
      </c>
      <c r="U25" s="30">
        <f>IFERROR(GETPIVOTDATA("合計 / 訪問処遇改善加算金",【ピボット】事業所売上!$A$3,"年月",U$2,"事業所",$A25)
+GETPIVOTDATA("合計 / 障害処遇改善加算金",【ピボット】事業所売上!$A$3,"年月",U$2,"事業所",$A25),"")</f>
        <v>55797</v>
      </c>
      <c r="V25" s="30">
        <f>IFERROR(GETPIVOTDATA("合計 / 訪問処遇改善加算金",【ピボット】事業所売上!$A$3,"年月",V$2,"事業所",$A25)
+GETPIVOTDATA("合計 / 障害処遇改善加算金",【ピボット】事業所売上!$A$3,"年月",V$2,"事業所",$A25),"")</f>
        <v>139457</v>
      </c>
      <c r="W25" s="30">
        <f>IFERROR(GETPIVOTDATA("合計 / 訪問処遇改善加算金",【ピボット】事業所売上!$A$3,"年月",W$2,"事業所",$A25)
+GETPIVOTDATA("合計 / 障害処遇改善加算金",【ピボット】事業所売上!$A$3,"年月",W$2,"事業所",$A25),"")</f>
        <v>21396</v>
      </c>
      <c r="X25" s="30">
        <f>IFERROR(GETPIVOTDATA("合計 / 訪問処遇改善加算金",【ピボット】事業所売上!$A$3,"年月",X$2,"事業所",$A25)
+GETPIVOTDATA("合計 / 障害処遇改善加算金",【ピボット】事業所売上!$A$3,"年月",X$2,"事業所",$A25),"")</f>
        <v>123448</v>
      </c>
      <c r="Y25" s="30">
        <f>IFERROR(GETPIVOTDATA("合計 / 訪問処遇改善加算金",【ピボット】事業所売上!$A$3,"年月",Y$2,"事業所",$A25)
+GETPIVOTDATA("合計 / 障害処遇改善加算金",【ピボット】事業所売上!$A$3,"年月",Y$2,"事業所",$A25),"")</f>
        <v>156395</v>
      </c>
      <c r="Z25" s="30">
        <f>IFERROR(GETPIVOTDATA("合計 / 訪問処遇改善加算金",【ピボット】事業所売上!$A$3,"年月",Z$2,"事業所",$A25)
+GETPIVOTDATA("合計 / 障害処遇改善加算金",【ピボット】事業所売上!$A$3,"年月",Z$2,"事業所",$A25),"")</f>
        <v>114813</v>
      </c>
      <c r="AA25" s="30">
        <f>IFERROR(GETPIVOTDATA("合計 / 訪問処遇改善加算金",【ピボット】事業所売上!$A$3,"年月",AA$2,"事業所",$A25)
+GETPIVOTDATA("合計 / 障害処遇改善加算金",【ピボット】事業所売上!$A$3,"年月",AA$2,"事業所",$A25),"")</f>
        <v>84748</v>
      </c>
      <c r="AB25" s="30" t="str">
        <f>IFERROR(GETPIVOTDATA("合計 / 訪問処遇改善加算金",【ピボット】事業所売上!$A$3,"年月",AB$2,"事業所",$A25)
+GETPIVOTDATA("合計 / 障害処遇改善加算金",【ピボット】事業所売上!$A$3,"年月",AB$2,"事業所",$A25),"")</f>
        <v/>
      </c>
      <c r="AC25" s="30">
        <f>IFERROR(GETPIVOTDATA("合計 / 訪問処遇改善加算金",【ピボット】事業所売上!$A$3,"年月",AC$2,"事業所",$A25)
+GETPIVOTDATA("合計 / 障害処遇改善加算金",【ピボット】事業所売上!$A$3,"年月",AC$2,"事業所",$A25),"")</f>
        <v>0</v>
      </c>
      <c r="AD25" s="140">
        <f ca="1">SUM(OFFSET(AC25,0,当期月数):AC25)</f>
        <v>640257</v>
      </c>
      <c r="AE25" s="46">
        <f ca="1">AVERAGE(OFFSET(AC25,0,当期月数):AC25)</f>
        <v>91465.28571428571</v>
      </c>
    </row>
    <row r="26" spans="1:31" x14ac:dyDescent="0.15">
      <c r="A26" t="s">
        <v>972</v>
      </c>
      <c r="B26" t="s">
        <v>15</v>
      </c>
      <c r="D26" s="2125"/>
      <c r="E26" s="83" t="s">
        <v>15</v>
      </c>
      <c r="F26" s="30" t="str">
        <f>IFERROR(GETPIVOTDATA("合計 / " &amp; $B26,【ピボット】事業所収支!$A$3,"年月",F$2,"事業所",$A26),"")</f>
        <v/>
      </c>
      <c r="G26" s="30" t="str">
        <f>IFERROR(GETPIVOTDATA("合計 / " &amp; $B26,【ピボット】事業所収支!$A$3,"年月",G$2,"事業所",$A26),"")</f>
        <v/>
      </c>
      <c r="H26" s="30" t="str">
        <f>IFERROR(GETPIVOTDATA("合計 / " &amp; $B26,【ピボット】事業所収支!$A$3,"年月",H$2,"事業所",$A26),"")</f>
        <v/>
      </c>
      <c r="I26" s="30" t="str">
        <f>IFERROR(GETPIVOTDATA("合計 / " &amp; $B26,【ピボット】事業所収支!$A$3,"年月",I$2,"事業所",$A26),"")</f>
        <v/>
      </c>
      <c r="J26" s="30" t="str">
        <f>IFERROR(GETPIVOTDATA("合計 / " &amp; $B26,【ピボット】事業所収支!$A$3,"年月",J$2,"事業所",$A26),"")</f>
        <v/>
      </c>
      <c r="K26" s="30" t="str">
        <f>IFERROR(GETPIVOTDATA("合計 / " &amp; $B26,【ピボット】事業所収支!$A$3,"年月",K$2,"事業所",$A26),"")</f>
        <v/>
      </c>
      <c r="L26" s="30" t="str">
        <f>IFERROR(GETPIVOTDATA("合計 / " &amp; $B26,【ピボット】事業所収支!$A$3,"年月",L$2,"事業所",$A26),"")</f>
        <v/>
      </c>
      <c r="M26" s="30" t="str">
        <f>IFERROR(GETPIVOTDATA("合計 / " &amp; $B26,【ピボット】事業所収支!$A$3,"年月",M$2,"事業所",$A26),"")</f>
        <v/>
      </c>
      <c r="N26" s="30" t="str">
        <f>IFERROR(GETPIVOTDATA("合計 / " &amp; $B26,【ピボット】事業所収支!$A$3,"年月",N$2,"事業所",$A26),"")</f>
        <v/>
      </c>
      <c r="O26" s="30" t="str">
        <f>IFERROR(GETPIVOTDATA("合計 / " &amp; $B26,【ピボット】事業所収支!$A$3,"年月",O$2,"事業所",$A26),"")</f>
        <v/>
      </c>
      <c r="P26" s="30">
        <f>IFERROR(GETPIVOTDATA("合計 / " &amp; $B26,【ピボット】事業所収支!$A$3,"年月",P$2,"事業所",$A26),"")</f>
        <v>0</v>
      </c>
      <c r="Q26" s="30">
        <f>IFERROR(GETPIVOTDATA("合計 / " &amp; $B26,【ピボット】事業所収支!$A$3,"年月",Q$2,"事業所",$A26),"")</f>
        <v>0</v>
      </c>
      <c r="R26" s="30">
        <f>IFERROR(GETPIVOTDATA("合計 / " &amp; $B26,【ピボット】事業所収支!$A$3,"年月",R$2,"事業所",$A26),"")</f>
        <v>394863</v>
      </c>
      <c r="S26" s="30">
        <f>IFERROR(GETPIVOTDATA("合計 / " &amp; $B26,【ピボット】事業所収支!$A$3,"年月",S$2,"事業所",$A26),"")</f>
        <v>845708</v>
      </c>
      <c r="T26" s="30">
        <f>IFERROR(GETPIVOTDATA("合計 / " &amp; $B26,【ピボット】事業所収支!$A$3,"年月",T$2,"事業所",$A26),"")</f>
        <v>534698</v>
      </c>
      <c r="U26" s="30">
        <f>IFERROR(GETPIVOTDATA("合計 / " &amp; $B26,【ピボット】事業所収支!$A$3,"年月",U$2,"事業所",$A26),"")</f>
        <v>636291</v>
      </c>
      <c r="V26" s="30">
        <f>IFERROR(GETPIVOTDATA("合計 / " &amp; $B26,【ピボット】事業所収支!$A$3,"年月",V$2,"事業所",$A26),"")</f>
        <v>1097703</v>
      </c>
      <c r="W26" s="30">
        <f>IFERROR(GETPIVOTDATA("合計 / " &amp; $B26,【ピボット】事業所収支!$A$3,"年月",W$2,"事業所",$A26),"")</f>
        <v>834332</v>
      </c>
      <c r="X26" s="30">
        <f>IFERROR(GETPIVOTDATA("合計 / " &amp; $B26,【ピボット】事業所収支!$A$3,"年月",X$2,"事業所",$A26),"")</f>
        <v>657648</v>
      </c>
      <c r="Y26" s="30">
        <f>IFERROR(GETPIVOTDATA("合計 / " &amp; $B26,【ピボット】事業所収支!$A$3,"年月",Y$2,"事業所",$A26),"")</f>
        <v>1225203</v>
      </c>
      <c r="Z26" s="30">
        <f>IFERROR(GETPIVOTDATA("合計 / " &amp; $B26,【ピボット】事業所収支!$A$3,"年月",Z$2,"事業所",$A26),"")</f>
        <v>643986</v>
      </c>
      <c r="AA26" s="30">
        <f>IFERROR(GETPIVOTDATA("合計 / " &amp; $B26,【ピボット】事業所収支!$A$3,"年月",AA$2,"事業所",$A26),"")</f>
        <v>588032</v>
      </c>
      <c r="AB26" s="30">
        <f>IFERROR(GETPIVOTDATA("合計 / " &amp; $B26,【ピボット】事業所収支!$A$3,"年月",AB$2,"事業所",$A26),"")</f>
        <v>0</v>
      </c>
      <c r="AC26" s="30">
        <f>IFERROR(GETPIVOTDATA("合計 / " &amp; $B26,【ピボット】事業所収支!$A$3,"年月",AC$2,"事業所",$A26),"")</f>
        <v>0</v>
      </c>
      <c r="AD26" s="140">
        <f ca="1">SUM(OFFSET(AC26,0,当期月数):AC26)</f>
        <v>5046904</v>
      </c>
      <c r="AE26" s="46">
        <f ca="1">AVERAGE(OFFSET(AC26,0,当期月数):AC26)</f>
        <v>630863</v>
      </c>
    </row>
    <row r="27" spans="1:31" x14ac:dyDescent="0.15">
      <c r="A27" t="s">
        <v>972</v>
      </c>
      <c r="B27" t="s">
        <v>48</v>
      </c>
      <c r="D27" s="2125"/>
      <c r="E27" s="83" t="s">
        <v>48</v>
      </c>
      <c r="F27" s="115" t="str">
        <f t="shared" ref="F27:AC27" si="6">IFERROR(F26/F24*100,"")</f>
        <v/>
      </c>
      <c r="G27" s="115" t="str">
        <f t="shared" si="6"/>
        <v/>
      </c>
      <c r="H27" s="115" t="str">
        <f t="shared" si="6"/>
        <v/>
      </c>
      <c r="I27" s="115" t="str">
        <f t="shared" si="6"/>
        <v/>
      </c>
      <c r="J27" s="115" t="str">
        <f t="shared" si="6"/>
        <v/>
      </c>
      <c r="K27" s="115" t="str">
        <f t="shared" si="6"/>
        <v/>
      </c>
      <c r="L27" s="115" t="str">
        <f t="shared" si="6"/>
        <v/>
      </c>
      <c r="M27" s="115" t="str">
        <f t="shared" si="6"/>
        <v/>
      </c>
      <c r="N27" s="115" t="str">
        <f t="shared" si="6"/>
        <v/>
      </c>
      <c r="O27" s="115" t="str">
        <f t="shared" si="6"/>
        <v/>
      </c>
      <c r="P27" s="115" t="str">
        <f t="shared" si="6"/>
        <v/>
      </c>
      <c r="Q27" s="115" t="str">
        <f t="shared" si="6"/>
        <v/>
      </c>
      <c r="R27" s="115" t="str">
        <f t="shared" si="6"/>
        <v/>
      </c>
      <c r="S27" s="115">
        <f t="shared" si="6"/>
        <v>838.2891411012539</v>
      </c>
      <c r="T27" s="115">
        <f t="shared" si="6"/>
        <v>80.638535320021717</v>
      </c>
      <c r="U27" s="115">
        <f t="shared" si="6"/>
        <v>101.83491083917761</v>
      </c>
      <c r="V27" s="115">
        <f t="shared" si="6"/>
        <v>91.990550399823007</v>
      </c>
      <c r="W27" s="115">
        <f t="shared" si="6"/>
        <v>51.137510067138777</v>
      </c>
      <c r="X27" s="115">
        <f t="shared" si="6"/>
        <v>50.739981205356933</v>
      </c>
      <c r="Y27" s="115">
        <f t="shared" si="6"/>
        <v>80.560622180023486</v>
      </c>
      <c r="Z27" s="115">
        <f t="shared" si="6"/>
        <v>55.479016587208186</v>
      </c>
      <c r="AA27" s="115">
        <f t="shared" si="6"/>
        <v>65.05145754904315</v>
      </c>
      <c r="AB27" s="115" t="str">
        <f t="shared" si="6"/>
        <v/>
      </c>
      <c r="AC27" s="115">
        <f t="shared" si="6"/>
        <v>0</v>
      </c>
      <c r="AD27" s="144">
        <f ca="1">AD26/AD24*100</f>
        <v>65.377325800181481</v>
      </c>
      <c r="AE27" s="154">
        <f ca="1">AE26/AE24*100</f>
        <v>65.377325800181481</v>
      </c>
    </row>
    <row r="28" spans="1:31" x14ac:dyDescent="0.15">
      <c r="A28" t="s">
        <v>972</v>
      </c>
      <c r="B28" t="s">
        <v>1226</v>
      </c>
      <c r="D28" s="2125"/>
      <c r="E28" s="84" t="s">
        <v>35</v>
      </c>
      <c r="F28" s="53" t="str">
        <f>IFERROR(GETPIVOTDATA("合計 / " &amp; $B28,【ピボット】事業所収支!$A$3,"年月",F$2,"事業所",$A28),"")</f>
        <v/>
      </c>
      <c r="G28" s="53" t="str">
        <f>IFERROR(GETPIVOTDATA("合計 / " &amp; $B28,【ピボット】事業所収支!$A$3,"年月",G$2,"事業所",$A28),"")</f>
        <v/>
      </c>
      <c r="H28" s="53" t="str">
        <f>IFERROR(GETPIVOTDATA("合計 / " &amp; $B28,【ピボット】事業所収支!$A$3,"年月",H$2,"事業所",$A28),"")</f>
        <v/>
      </c>
      <c r="I28" s="53" t="str">
        <f>IFERROR(GETPIVOTDATA("合計 / " &amp; $B28,【ピボット】事業所収支!$A$3,"年月",I$2,"事業所",$A28),"")</f>
        <v/>
      </c>
      <c r="J28" s="53" t="str">
        <f>IFERROR(GETPIVOTDATA("合計 / " &amp; $B28,【ピボット】事業所収支!$A$3,"年月",J$2,"事業所",$A28),"")</f>
        <v/>
      </c>
      <c r="K28" s="53" t="str">
        <f>IFERROR(GETPIVOTDATA("合計 / " &amp; $B28,【ピボット】事業所収支!$A$3,"年月",K$2,"事業所",$A28),"")</f>
        <v/>
      </c>
      <c r="L28" s="53" t="str">
        <f>IFERROR(GETPIVOTDATA("合計 / " &amp; $B28,【ピボット】事業所収支!$A$3,"年月",L$2,"事業所",$A28),"")</f>
        <v/>
      </c>
      <c r="M28" s="53" t="str">
        <f>IFERROR(GETPIVOTDATA("合計 / " &amp; $B28,【ピボット】事業所収支!$A$3,"年月",M$2,"事業所",$A28),"")</f>
        <v/>
      </c>
      <c r="N28" s="53" t="str">
        <f>IFERROR(GETPIVOTDATA("合計 / " &amp; $B28,【ピボット】事業所収支!$A$3,"年月",N$2,"事業所",$A28),"")</f>
        <v/>
      </c>
      <c r="O28" s="53" t="str">
        <f>IFERROR(GETPIVOTDATA("合計 / " &amp; $B28,【ピボット】事業所収支!$A$3,"年月",O$2,"事業所",$A28),"")</f>
        <v/>
      </c>
      <c r="P28" s="53">
        <f>IFERROR(GETPIVOTDATA("合計 / " &amp; $B28,【ピボット】事業所収支!$A$3,"年月",P$2,"事業所",$A28),"")</f>
        <v>793800</v>
      </c>
      <c r="Q28" s="53">
        <f>IFERROR(GETPIVOTDATA("合計 / " &amp; $B28,【ピボット】事業所収支!$A$3,"年月",Q$2,"事業所",$A28),"")</f>
        <v>741095</v>
      </c>
      <c r="R28" s="53">
        <f>IFERROR(GETPIVOTDATA("合計 / " &amp; $B28,【ピボット】事業所収支!$A$3,"年月",R$2,"事業所",$A28),"")</f>
        <v>690320</v>
      </c>
      <c r="S28" s="53">
        <f>IFERROR(GETPIVOTDATA("合計 / " &amp; $B28,【ピボット】事業所収支!$A$3,"年月",S$2,"事業所",$A28),"")</f>
        <v>759192</v>
      </c>
      <c r="T28" s="53">
        <f>IFERROR(GETPIVOTDATA("合計 / " &amp; $B28,【ピボット】事業所収支!$A$3,"年月",T$2,"事業所",$A28),"")</f>
        <v>713868</v>
      </c>
      <c r="U28" s="53">
        <f>IFERROR(GETPIVOTDATA("合計 / " &amp; $B28,【ピボット】事業所収支!$A$3,"年月",U$2,"事業所",$A28),"")</f>
        <v>683798</v>
      </c>
      <c r="V28" s="53">
        <f>IFERROR(GETPIVOTDATA("合計 / " &amp; $B28,【ピボット】事業所収支!$A$3,"年月",V$2,"事業所",$A28),"")</f>
        <v>600303</v>
      </c>
      <c r="W28" s="53">
        <f>IFERROR(GETPIVOTDATA("合計 / " &amp; $B28,【ピボット】事業所収支!$A$3,"年月",W$2,"事業所",$A28),"")</f>
        <v>606856</v>
      </c>
      <c r="X28" s="53">
        <f>IFERROR(GETPIVOTDATA("合計 / " &amp; $B28,【ピボット】事業所収支!$A$3,"年月",X$2,"事業所",$A28),"")</f>
        <v>530155</v>
      </c>
      <c r="Y28" s="53">
        <f>IFERROR(GETPIVOTDATA("合計 / " &amp; $B28,【ピボット】事業所収支!$A$3,"年月",Y$2,"事業所",$A28),"")</f>
        <v>544701</v>
      </c>
      <c r="Z28" s="53">
        <f>IFERROR(GETPIVOTDATA("合計 / " &amp; $B28,【ピボット】事業所収支!$A$3,"年月",Z$2,"事業所",$A28),"")</f>
        <v>476615</v>
      </c>
      <c r="AA28" s="53">
        <f>IFERROR(GETPIVOTDATA("合計 / " &amp; $B28,【ピボット】事業所収支!$A$3,"年月",AA$2,"事業所",$A28),"")</f>
        <v>364736</v>
      </c>
      <c r="AB28" s="53">
        <f>IFERROR(GETPIVOTDATA("合計 / " &amp; $B28,【ピボット】事業所収支!$A$3,"年月",AB$2,"事業所",$A28),"")</f>
        <v>329510</v>
      </c>
      <c r="AC28" s="53">
        <f>IFERROR(GETPIVOTDATA("合計 / " &amp; $B28,【ピボット】事業所収支!$A$3,"年月",AC$2,"事業所",$A28),"")</f>
        <v>275106</v>
      </c>
      <c r="AD28" s="141">
        <f ca="1">SUM(OFFSET(AC28,0,当期月数):AC28)</f>
        <v>3727982</v>
      </c>
      <c r="AE28" s="56">
        <f ca="1">AVERAGE(OFFSET(AC28,0,当期月数):AC28)</f>
        <v>465997.75</v>
      </c>
    </row>
    <row r="29" spans="1:31" ht="14.25" thickBot="1" x14ac:dyDescent="0.2">
      <c r="B29" t="s">
        <v>32</v>
      </c>
      <c r="D29" s="2127"/>
      <c r="E29" s="87" t="s">
        <v>32</v>
      </c>
      <c r="F29" s="116" t="str">
        <f t="shared" ref="F29:AC29" si="7">IFERROR(F24-(F26+F28),"")</f>
        <v/>
      </c>
      <c r="G29" s="116" t="str">
        <f t="shared" si="7"/>
        <v/>
      </c>
      <c r="H29" s="116" t="str">
        <f t="shared" si="7"/>
        <v/>
      </c>
      <c r="I29" s="116" t="str">
        <f t="shared" si="7"/>
        <v/>
      </c>
      <c r="J29" s="116" t="str">
        <f t="shared" si="7"/>
        <v/>
      </c>
      <c r="K29" s="116" t="str">
        <f t="shared" si="7"/>
        <v/>
      </c>
      <c r="L29" s="116" t="str">
        <f t="shared" si="7"/>
        <v/>
      </c>
      <c r="M29" s="116" t="str">
        <f t="shared" si="7"/>
        <v/>
      </c>
      <c r="N29" s="116" t="str">
        <f t="shared" si="7"/>
        <v/>
      </c>
      <c r="O29" s="116" t="str">
        <f t="shared" si="7"/>
        <v/>
      </c>
      <c r="P29" s="116">
        <f t="shared" si="7"/>
        <v>-793800</v>
      </c>
      <c r="Q29" s="116">
        <f t="shared" si="7"/>
        <v>-741095</v>
      </c>
      <c r="R29" s="116">
        <f t="shared" si="7"/>
        <v>-1085183</v>
      </c>
      <c r="S29" s="116">
        <f t="shared" si="7"/>
        <v>-1504015</v>
      </c>
      <c r="T29" s="116">
        <f t="shared" si="7"/>
        <v>-585486</v>
      </c>
      <c r="U29" s="116">
        <f t="shared" si="7"/>
        <v>-695263</v>
      </c>
      <c r="V29" s="116">
        <f t="shared" si="7"/>
        <v>-504728</v>
      </c>
      <c r="W29" s="116">
        <f t="shared" si="7"/>
        <v>190358</v>
      </c>
      <c r="X29" s="116">
        <f t="shared" si="7"/>
        <v>108311</v>
      </c>
      <c r="Y29" s="116">
        <f t="shared" si="7"/>
        <v>-249058</v>
      </c>
      <c r="Z29" s="116">
        <f t="shared" si="7"/>
        <v>40173</v>
      </c>
      <c r="AA29" s="116">
        <f t="shared" si="7"/>
        <v>-48819</v>
      </c>
      <c r="AB29" s="116">
        <f t="shared" si="7"/>
        <v>-329510</v>
      </c>
      <c r="AC29" s="116">
        <f t="shared" si="7"/>
        <v>-261958</v>
      </c>
      <c r="AD29" s="142">
        <f ca="1">SUM(OFFSET(AC29,0,当期月数):AC29)</f>
        <v>-1055231</v>
      </c>
      <c r="AE29" s="152">
        <f ca="1">AVERAGE(OFFSET(AC29,0,当期月数):AC29)</f>
        <v>-131903.875</v>
      </c>
    </row>
    <row r="30" spans="1:31" x14ac:dyDescent="0.15">
      <c r="A30" t="s">
        <v>1199</v>
      </c>
      <c r="B30" t="s">
        <v>26</v>
      </c>
      <c r="D30" s="2126" t="s">
        <v>1199</v>
      </c>
      <c r="E30" s="86" t="s">
        <v>144</v>
      </c>
      <c r="F30" s="137" t="str">
        <f>IFERROR(GETPIVOTDATA("合計 / " &amp; $B30,【ピボット】事業所収支!$A$3,"年月",F$2,"事業所",$A30),"")</f>
        <v/>
      </c>
      <c r="G30" s="137" t="str">
        <f>IFERROR(GETPIVOTDATA("合計 / " &amp; $B30,【ピボット】事業所収支!$A$3,"年月",G$2,"事業所",$A30),"")</f>
        <v/>
      </c>
      <c r="H30" s="137" t="str">
        <f>IFERROR(GETPIVOTDATA("合計 / " &amp; $B30,【ピボット】事業所収支!$A$3,"年月",H$2,"事業所",$A30),"")</f>
        <v/>
      </c>
      <c r="I30" s="137" t="str">
        <f>IFERROR(GETPIVOTDATA("合計 / " &amp; $B30,【ピボット】事業所収支!$A$3,"年月",I$2,"事業所",$A30),"")</f>
        <v/>
      </c>
      <c r="J30" s="137" t="str">
        <f>IFERROR(GETPIVOTDATA("合計 / " &amp; $B30,【ピボット】事業所収支!$A$3,"年月",J$2,"事業所",$A30),"")</f>
        <v/>
      </c>
      <c r="K30" s="137" t="str">
        <f>IFERROR(GETPIVOTDATA("合計 / " &amp; $B30,【ピボット】事業所収支!$A$3,"年月",K$2,"事業所",$A30),"")</f>
        <v/>
      </c>
      <c r="L30" s="137" t="str">
        <f>IFERROR(GETPIVOTDATA("合計 / " &amp; $B30,【ピボット】事業所収支!$A$3,"年月",L$2,"事業所",$A30),"")</f>
        <v/>
      </c>
      <c r="M30" s="137" t="str">
        <f>IFERROR(GETPIVOTDATA("合計 / " &amp; $B30,【ピボット】事業所収支!$A$3,"年月",M$2,"事業所",$A30),"")</f>
        <v/>
      </c>
      <c r="N30" s="137" t="str">
        <f>IFERROR(GETPIVOTDATA("合計 / " &amp; $B30,【ピボット】事業所収支!$A$3,"年月",N$2,"事業所",$A30),"")</f>
        <v/>
      </c>
      <c r="O30" s="137" t="str">
        <f>IFERROR(GETPIVOTDATA("合計 / " &amp; $B30,【ピボット】事業所収支!$A$3,"年月",O$2,"事業所",$A30),"")</f>
        <v/>
      </c>
      <c r="P30" s="137" t="str">
        <f>IFERROR(GETPIVOTDATA("合計 / " &amp; $B30,【ピボット】事業所収支!$A$3,"年月",P$2,"事業所",$A30),"")</f>
        <v/>
      </c>
      <c r="Q30" s="137" t="str">
        <f>IFERROR(GETPIVOTDATA("合計 / " &amp; $B30,【ピボット】事業所収支!$A$3,"年月",Q$2,"事業所",$A30),"")</f>
        <v/>
      </c>
      <c r="R30" s="137" t="str">
        <f>IFERROR(GETPIVOTDATA("合計 / " &amp; $B30,【ピボット】事業所収支!$A$3,"年月",R$2,"事業所",$A30),"")</f>
        <v/>
      </c>
      <c r="S30" s="137" t="str">
        <f>IFERROR(GETPIVOTDATA("合計 / " &amp; $B30,【ピボット】事業所収支!$A$3,"年月",S$2,"事業所",$A30),"")</f>
        <v/>
      </c>
      <c r="T30" s="137">
        <f>IFERROR(GETPIVOTDATA("合計 / " &amp; $B30,【ピボット】事業所収支!$A$3,"年月",T$2,"事業所",$A30),"")</f>
        <v>0</v>
      </c>
      <c r="U30" s="137">
        <f>IFERROR(GETPIVOTDATA("合計 / " &amp; $B30,【ピボット】事業所収支!$A$3,"年月",U$2,"事業所",$A30),"")</f>
        <v>0</v>
      </c>
      <c r="V30" s="137">
        <f>IFERROR(GETPIVOTDATA("合計 / " &amp; $B30,【ピボット】事業所収支!$A$3,"年月",V$2,"事業所",$A30),"")</f>
        <v>0</v>
      </c>
      <c r="W30" s="137">
        <f>IFERROR(GETPIVOTDATA("合計 / " &amp; $B30,【ピボット】事業所収支!$A$3,"年月",W$2,"事業所",$A30),"")</f>
        <v>234284</v>
      </c>
      <c r="X30" s="137">
        <f>IFERROR(GETPIVOTDATA("合計 / " &amp; $B30,【ピボット】事業所収支!$A$3,"年月",X$2,"事業所",$A30),"")</f>
        <v>485638</v>
      </c>
      <c r="Y30" s="137">
        <f>IFERROR(GETPIVOTDATA("合計 / " &amp; $B30,【ピボット】事業所収支!$A$3,"年月",Y$2,"事業所",$A30),"")</f>
        <v>701720</v>
      </c>
      <c r="Z30" s="137">
        <f>IFERROR(GETPIVOTDATA("合計 / " &amp; $B30,【ピボット】事業所収支!$A$3,"年月",Z$2,"事業所",$A30),"")</f>
        <v>810680</v>
      </c>
      <c r="AA30" s="137">
        <f>IFERROR(GETPIVOTDATA("合計 / " &amp; $B30,【ピボット】事業所収支!$A$3,"年月",AA$2,"事業所",$A30),"")</f>
        <v>1060746</v>
      </c>
      <c r="AB30" s="137">
        <f>IFERROR(GETPIVOTDATA("合計 / " &amp; $B30,【ピボット】事業所収支!$A$3,"年月",AB$2,"事業所",$A30),"")</f>
        <v>1438607</v>
      </c>
      <c r="AC30" s="137">
        <f>IFERROR(GETPIVOTDATA("合計 / " &amp; $B30,【ピボット】事業所収支!$A$3,"年月",AC$2,"事業所",$A30),"")</f>
        <v>1905194</v>
      </c>
      <c r="AD30" s="139">
        <f ca="1">SUM(OFFSET(AC30,0,当期月数):AC30)</f>
        <v>6636869</v>
      </c>
      <c r="AE30" s="47">
        <f ca="1">AVERAGE(OFFSET(AC30,0,当期月数):AC30)</f>
        <v>829608.625</v>
      </c>
    </row>
    <row r="31" spans="1:31" x14ac:dyDescent="0.15">
      <c r="A31" t="s">
        <v>1199</v>
      </c>
      <c r="B31" t="s">
        <v>142</v>
      </c>
      <c r="D31" s="2125"/>
      <c r="E31" s="82" t="s">
        <v>142</v>
      </c>
      <c r="F31" s="30" t="str">
        <f>IFERROR(GETPIVOTDATA("合計 / 訪問処遇改善加算金",【ピボット】事業所売上!$A$3,"年月",F$2,"事業所",$A31)
+GETPIVOTDATA("合計 / 障害処遇改善加算金",【ピボット】事業所売上!$A$3,"年月",F$2,"事業所",$A31),"")</f>
        <v/>
      </c>
      <c r="G31" s="30" t="str">
        <f>IFERROR(GETPIVOTDATA("合計 / 訪問処遇改善加算金",【ピボット】事業所売上!$A$3,"年月",G$2,"事業所",$A31)
+GETPIVOTDATA("合計 / 障害処遇改善加算金",【ピボット】事業所売上!$A$3,"年月",G$2,"事業所",$A31),"")</f>
        <v/>
      </c>
      <c r="H31" s="30" t="str">
        <f>IFERROR(GETPIVOTDATA("合計 / 訪問処遇改善加算金",【ピボット】事業所売上!$A$3,"年月",H$2,"事業所",$A31)
+GETPIVOTDATA("合計 / 障害処遇改善加算金",【ピボット】事業所売上!$A$3,"年月",H$2,"事業所",$A31),"")</f>
        <v/>
      </c>
      <c r="I31" s="30" t="str">
        <f>IFERROR(GETPIVOTDATA("合計 / 訪問処遇改善加算金",【ピボット】事業所売上!$A$3,"年月",I$2,"事業所",$A31)
+GETPIVOTDATA("合計 / 障害処遇改善加算金",【ピボット】事業所売上!$A$3,"年月",I$2,"事業所",$A31),"")</f>
        <v/>
      </c>
      <c r="J31" s="30" t="str">
        <f>IFERROR(GETPIVOTDATA("合計 / 訪問処遇改善加算金",【ピボット】事業所売上!$A$3,"年月",J$2,"事業所",$A31)
+GETPIVOTDATA("合計 / 障害処遇改善加算金",【ピボット】事業所売上!$A$3,"年月",J$2,"事業所",$A31),"")</f>
        <v/>
      </c>
      <c r="K31" s="30" t="str">
        <f>IFERROR(GETPIVOTDATA("合計 / 訪問処遇改善加算金",【ピボット】事業所売上!$A$3,"年月",K$2,"事業所",$A31)
+GETPIVOTDATA("合計 / 障害処遇改善加算金",【ピボット】事業所売上!$A$3,"年月",K$2,"事業所",$A31),"")</f>
        <v/>
      </c>
      <c r="L31" s="30" t="str">
        <f>IFERROR(GETPIVOTDATA("合計 / 訪問処遇改善加算金",【ピボット】事業所売上!$A$3,"年月",L$2,"事業所",$A31)
+GETPIVOTDATA("合計 / 障害処遇改善加算金",【ピボット】事業所売上!$A$3,"年月",L$2,"事業所",$A31),"")</f>
        <v/>
      </c>
      <c r="M31" s="30" t="str">
        <f>IFERROR(GETPIVOTDATA("合計 / 訪問処遇改善加算金",【ピボット】事業所売上!$A$3,"年月",M$2,"事業所",$A31)
+GETPIVOTDATA("合計 / 障害処遇改善加算金",【ピボット】事業所売上!$A$3,"年月",M$2,"事業所",$A31),"")</f>
        <v/>
      </c>
      <c r="N31" s="30" t="str">
        <f>IFERROR(GETPIVOTDATA("合計 / 訪問処遇改善加算金",【ピボット】事業所売上!$A$3,"年月",N$2,"事業所",$A31)
+GETPIVOTDATA("合計 / 障害処遇改善加算金",【ピボット】事業所売上!$A$3,"年月",N$2,"事業所",$A31),"")</f>
        <v/>
      </c>
      <c r="O31" s="30" t="str">
        <f>IFERROR(GETPIVOTDATA("合計 / 訪問処遇改善加算金",【ピボット】事業所売上!$A$3,"年月",O$2,"事業所",$A31)
+GETPIVOTDATA("合計 / 障害処遇改善加算金",【ピボット】事業所売上!$A$3,"年月",O$2,"事業所",$A31),"")</f>
        <v/>
      </c>
      <c r="P31" s="30" t="str">
        <f>IFERROR(GETPIVOTDATA("合計 / 訪問処遇改善加算金",【ピボット】事業所売上!$A$3,"年月",P$2,"事業所",$A31)
+GETPIVOTDATA("合計 / 障害処遇改善加算金",【ピボット】事業所売上!$A$3,"年月",P$2,"事業所",$A31),"")</f>
        <v/>
      </c>
      <c r="Q31" s="30" t="str">
        <f>IFERROR(GETPIVOTDATA("合計 / 訪問処遇改善加算金",【ピボット】事業所売上!$A$3,"年月",Q$2,"事業所",$A31)
+GETPIVOTDATA("合計 / 障害処遇改善加算金",【ピボット】事業所売上!$A$3,"年月",Q$2,"事業所",$A31),"")</f>
        <v/>
      </c>
      <c r="R31" s="30" t="str">
        <f>IFERROR(GETPIVOTDATA("合計 / 訪問処遇改善加算金",【ピボット】事業所売上!$A$3,"年月",R$2,"事業所",$A31)
+GETPIVOTDATA("合計 / 障害処遇改善加算金",【ピボット】事業所売上!$A$3,"年月",R$2,"事業所",$A31),"")</f>
        <v/>
      </c>
      <c r="S31" s="30" t="str">
        <f>IFERROR(GETPIVOTDATA("合計 / 訪問処遇改善加算金",【ピボット】事業所売上!$A$3,"年月",S$2,"事業所",$A31)
+GETPIVOTDATA("合計 / 障害処遇改善加算金",【ピボット】事業所売上!$A$3,"年月",S$2,"事業所",$A31),"")</f>
        <v/>
      </c>
      <c r="T31" s="30" t="str">
        <f>IFERROR(GETPIVOTDATA("合計 / 訪問処遇改善加算金",【ピボット】事業所売上!$A$3,"年月",T$2,"事業所",$A31)
+GETPIVOTDATA("合計 / 障害処遇改善加算金",【ピボット】事業所売上!$A$3,"年月",T$2,"事業所",$A31),"")</f>
        <v/>
      </c>
      <c r="U31" s="30" t="str">
        <f>IFERROR(GETPIVOTDATA("合計 / 訪問処遇改善加算金",【ピボット】事業所売上!$A$3,"年月",U$2,"事業所",$A31)
+GETPIVOTDATA("合計 / 障害処遇改善加算金",【ピボット】事業所売上!$A$3,"年月",U$2,"事業所",$A31),"")</f>
        <v/>
      </c>
      <c r="V31" s="30" t="str">
        <f>IFERROR(GETPIVOTDATA("合計 / 訪問処遇改善加算金",【ピボット】事業所売上!$A$3,"年月",V$2,"事業所",$A31)
+GETPIVOTDATA("合計 / 障害処遇改善加算金",【ピボット】事業所売上!$A$3,"年月",V$2,"事業所",$A31),"")</f>
        <v/>
      </c>
      <c r="W31" s="30">
        <f>IFERROR(GETPIVOTDATA("合計 / 訪問処遇改善加算金",【ピボット】事業所売上!$A$3,"年月",W$2,"事業所",$A31)
+GETPIVOTDATA("合計 / 障害処遇改善加算金",【ピボット】事業所売上!$A$3,"年月",W$2,"事業所",$A31),"")</f>
        <v>27586</v>
      </c>
      <c r="X31" s="30">
        <f>IFERROR(GETPIVOTDATA("合計 / 訪問処遇改善加算金",【ピボット】事業所売上!$A$3,"年月",X$2,"事業所",$A31)
+GETPIVOTDATA("合計 / 障害処遇改善加算金",【ピボット】事業所売上!$A$3,"年月",X$2,"事業所",$A31),"")</f>
        <v>49510</v>
      </c>
      <c r="Y31" s="30">
        <f>IFERROR(GETPIVOTDATA("合計 / 訪問処遇改善加算金",【ピボット】事業所売上!$A$3,"年月",Y$2,"事業所",$A31)
+GETPIVOTDATA("合計 / 障害処遇改善加算金",【ピボット】事業所売上!$A$3,"年月",Y$2,"事業所",$A31),"")</f>
        <v>82473</v>
      </c>
      <c r="Z31" s="30">
        <f>IFERROR(GETPIVOTDATA("合計 / 訪問処遇改善加算金",【ピボット】事業所売上!$A$3,"年月",Z$2,"事業所",$A31)
+GETPIVOTDATA("合計 / 障害処遇改善加算金",【ピボット】事業所売上!$A$3,"年月",Z$2,"事業所",$A31),"")</f>
        <v>95670</v>
      </c>
      <c r="AA31" s="30">
        <f>IFERROR(GETPIVOTDATA("合計 / 訪問処遇改善加算金",【ピボット】事業所売上!$A$3,"年月",AA$2,"事業所",$A31)
+GETPIVOTDATA("合計 / 障害処遇改善加算金",【ピボット】事業所売上!$A$3,"年月",AA$2,"事業所",$A31),"")</f>
        <v>129285</v>
      </c>
      <c r="AB31" s="30">
        <f>IFERROR(GETPIVOTDATA("合計 / 訪問処遇改善加算金",【ピボット】事業所売上!$A$3,"年月",AB$2,"事業所",$A31)
+GETPIVOTDATA("合計 / 障害処遇改善加算金",【ピボット】事業所売上!$A$3,"年月",AB$2,"事業所",$A31),"")</f>
        <v>169633</v>
      </c>
      <c r="AC31" s="30">
        <f>IFERROR(GETPIVOTDATA("合計 / 訪問処遇改善加算金",【ピボット】事業所売上!$A$3,"年月",AC$2,"事業所",$A31)
+GETPIVOTDATA("合計 / 障害処遇改善加算金",【ピボット】事業所売上!$A$3,"年月",AC$2,"事業所",$A31),"")</f>
        <v>0</v>
      </c>
      <c r="AD31" s="140">
        <f ca="1">SUM(OFFSET(AC31,0,当期月数):AC31)</f>
        <v>554157</v>
      </c>
      <c r="AE31" s="46">
        <f ca="1">AVERAGE(OFFSET(AC31,0,当期月数):AC31)</f>
        <v>79165.28571428571</v>
      </c>
    </row>
    <row r="32" spans="1:31" x14ac:dyDescent="0.15">
      <c r="A32" t="s">
        <v>1199</v>
      </c>
      <c r="B32" t="s">
        <v>15</v>
      </c>
      <c r="D32" s="2125"/>
      <c r="E32" s="83" t="s">
        <v>15</v>
      </c>
      <c r="F32" s="30" t="str">
        <f>IFERROR(GETPIVOTDATA("合計 / " &amp; $B32,【ピボット】事業所収支!$A$3,"年月",F$2,"事業所",$A32),"")</f>
        <v/>
      </c>
      <c r="G32" s="30" t="str">
        <f>IFERROR(GETPIVOTDATA("合計 / " &amp; $B32,【ピボット】事業所収支!$A$3,"年月",G$2,"事業所",$A32),"")</f>
        <v/>
      </c>
      <c r="H32" s="30" t="str">
        <f>IFERROR(GETPIVOTDATA("合計 / " &amp; $B32,【ピボット】事業所収支!$A$3,"年月",H$2,"事業所",$A32),"")</f>
        <v/>
      </c>
      <c r="I32" s="30" t="str">
        <f>IFERROR(GETPIVOTDATA("合計 / " &amp; $B32,【ピボット】事業所収支!$A$3,"年月",I$2,"事業所",$A32),"")</f>
        <v/>
      </c>
      <c r="J32" s="30" t="str">
        <f>IFERROR(GETPIVOTDATA("合計 / " &amp; $B32,【ピボット】事業所収支!$A$3,"年月",J$2,"事業所",$A32),"")</f>
        <v/>
      </c>
      <c r="K32" s="30" t="str">
        <f>IFERROR(GETPIVOTDATA("合計 / " &amp; $B32,【ピボット】事業所収支!$A$3,"年月",K$2,"事業所",$A32),"")</f>
        <v/>
      </c>
      <c r="L32" s="30" t="str">
        <f>IFERROR(GETPIVOTDATA("合計 / " &amp; $B32,【ピボット】事業所収支!$A$3,"年月",L$2,"事業所",$A32),"")</f>
        <v/>
      </c>
      <c r="M32" s="30" t="str">
        <f>IFERROR(GETPIVOTDATA("合計 / " &amp; $B32,【ピボット】事業所収支!$A$3,"年月",M$2,"事業所",$A32),"")</f>
        <v/>
      </c>
      <c r="N32" s="30" t="str">
        <f>IFERROR(GETPIVOTDATA("合計 / " &amp; $B32,【ピボット】事業所収支!$A$3,"年月",N$2,"事業所",$A32),"")</f>
        <v/>
      </c>
      <c r="O32" s="30" t="str">
        <f>IFERROR(GETPIVOTDATA("合計 / " &amp; $B32,【ピボット】事業所収支!$A$3,"年月",O$2,"事業所",$A32),"")</f>
        <v/>
      </c>
      <c r="P32" s="30" t="str">
        <f>IFERROR(GETPIVOTDATA("合計 / " &amp; $B32,【ピボット】事業所収支!$A$3,"年月",P$2,"事業所",$A32),"")</f>
        <v/>
      </c>
      <c r="Q32" s="30" t="str">
        <f>IFERROR(GETPIVOTDATA("合計 / " &amp; $B32,【ピボット】事業所収支!$A$3,"年月",Q$2,"事業所",$A32),"")</f>
        <v/>
      </c>
      <c r="R32" s="30" t="str">
        <f>IFERROR(GETPIVOTDATA("合計 / " &amp; $B32,【ピボット】事業所収支!$A$3,"年月",R$2,"事業所",$A32),"")</f>
        <v/>
      </c>
      <c r="S32" s="30" t="str">
        <f>IFERROR(GETPIVOTDATA("合計 / " &amp; $B32,【ピボット】事業所収支!$A$3,"年月",S$2,"事業所",$A32),"")</f>
        <v/>
      </c>
      <c r="T32" s="30">
        <f>IFERROR(GETPIVOTDATA("合計 / " &amp; $B32,【ピボット】事業所収支!$A$3,"年月",T$2,"事業所",$A32),"")</f>
        <v>0</v>
      </c>
      <c r="U32" s="30">
        <f>IFERROR(GETPIVOTDATA("合計 / " &amp; $B32,【ピボット】事業所収支!$A$3,"年月",U$2,"事業所",$A32),"")</f>
        <v>0</v>
      </c>
      <c r="V32" s="30">
        <f>IFERROR(GETPIVOTDATA("合計 / " &amp; $B32,【ピボット】事業所収支!$A$3,"年月",V$2,"事業所",$A32),"")</f>
        <v>56395</v>
      </c>
      <c r="W32" s="30">
        <f>IFERROR(GETPIVOTDATA("合計 / " &amp; $B32,【ピボット】事業所収支!$A$3,"年月",W$2,"事業所",$A32),"")</f>
        <v>433580</v>
      </c>
      <c r="X32" s="30">
        <f>IFERROR(GETPIVOTDATA("合計 / " &amp; $B32,【ピボット】事業所収支!$A$3,"年月",X$2,"事業所",$A32),"")</f>
        <v>488250</v>
      </c>
      <c r="Y32" s="30">
        <f>IFERROR(GETPIVOTDATA("合計 / " &amp; $B32,【ピボット】事業所収支!$A$3,"年月",Y$2,"事業所",$A32),"")</f>
        <v>561749</v>
      </c>
      <c r="Z32" s="30">
        <f>IFERROR(GETPIVOTDATA("合計 / " &amp; $B32,【ピボット】事業所収支!$A$3,"年月",Z$2,"事業所",$A32),"")</f>
        <v>692404</v>
      </c>
      <c r="AA32" s="30">
        <f>IFERROR(GETPIVOTDATA("合計 / " &amp; $B32,【ピボット】事業所収支!$A$3,"年月",AA$2,"事業所",$A32),"")</f>
        <v>691176</v>
      </c>
      <c r="AB32" s="30">
        <f>IFERROR(GETPIVOTDATA("合計 / " &amp; $B32,【ピボット】事業所収支!$A$3,"年月",AB$2,"事業所",$A32),"")</f>
        <v>1124832</v>
      </c>
      <c r="AC32" s="30">
        <f>IFERROR(GETPIVOTDATA("合計 / " &amp; $B32,【ピボット】事業所収支!$A$3,"年月",AC$2,"事業所",$A32),"")</f>
        <v>1318589</v>
      </c>
      <c r="AD32" s="140">
        <f ca="1">SUM(OFFSET(AC32,0,当期月数):AC32)</f>
        <v>5366975</v>
      </c>
      <c r="AE32" s="46">
        <f ca="1">AVERAGE(OFFSET(AC32,0,当期月数):AC32)</f>
        <v>670871.875</v>
      </c>
    </row>
    <row r="33" spans="1:44" x14ac:dyDescent="0.15">
      <c r="A33" t="s">
        <v>1199</v>
      </c>
      <c r="B33" t="s">
        <v>48</v>
      </c>
      <c r="D33" s="2125"/>
      <c r="E33" s="83" t="s">
        <v>48</v>
      </c>
      <c r="F33" s="115" t="str">
        <f t="shared" ref="F33:AC33" si="8">IFERROR(F32/F30*100,"")</f>
        <v/>
      </c>
      <c r="G33" s="115" t="str">
        <f t="shared" si="8"/>
        <v/>
      </c>
      <c r="H33" s="115" t="str">
        <f t="shared" si="8"/>
        <v/>
      </c>
      <c r="I33" s="115" t="str">
        <f t="shared" si="8"/>
        <v/>
      </c>
      <c r="J33" s="115" t="str">
        <f t="shared" si="8"/>
        <v/>
      </c>
      <c r="K33" s="115" t="str">
        <f t="shared" si="8"/>
        <v/>
      </c>
      <c r="L33" s="115" t="str">
        <f t="shared" si="8"/>
        <v/>
      </c>
      <c r="M33" s="115" t="str">
        <f t="shared" si="8"/>
        <v/>
      </c>
      <c r="N33" s="115" t="str">
        <f t="shared" si="8"/>
        <v/>
      </c>
      <c r="O33" s="115" t="str">
        <f t="shared" si="8"/>
        <v/>
      </c>
      <c r="P33" s="115" t="str">
        <f t="shared" si="8"/>
        <v/>
      </c>
      <c r="Q33" s="115" t="str">
        <f t="shared" si="8"/>
        <v/>
      </c>
      <c r="R33" s="115" t="str">
        <f t="shared" si="8"/>
        <v/>
      </c>
      <c r="S33" s="115" t="str">
        <f t="shared" si="8"/>
        <v/>
      </c>
      <c r="T33" s="115" t="str">
        <f t="shared" si="8"/>
        <v/>
      </c>
      <c r="U33" s="115" t="str">
        <f t="shared" si="8"/>
        <v/>
      </c>
      <c r="V33" s="115" t="str">
        <f t="shared" si="8"/>
        <v/>
      </c>
      <c r="W33" s="115">
        <f t="shared" si="8"/>
        <v>185.06598828771919</v>
      </c>
      <c r="X33" s="115">
        <f t="shared" si="8"/>
        <v>100.53784917984177</v>
      </c>
      <c r="Y33" s="115">
        <f t="shared" si="8"/>
        <v>80.053155104600123</v>
      </c>
      <c r="Z33" s="115">
        <f t="shared" si="8"/>
        <v>85.410272857354315</v>
      </c>
      <c r="AA33" s="115">
        <f t="shared" si="8"/>
        <v>65.159425536367792</v>
      </c>
      <c r="AB33" s="115">
        <f t="shared" si="8"/>
        <v>78.18897030252181</v>
      </c>
      <c r="AC33" s="115">
        <f t="shared" si="8"/>
        <v>69.210222161102749</v>
      </c>
      <c r="AD33" s="144">
        <f ca="1">AD32/AD30*100</f>
        <v>80.866068020929745</v>
      </c>
      <c r="AE33" s="154">
        <f ca="1">AE32/AE30*100</f>
        <v>80.866068020929745</v>
      </c>
    </row>
    <row r="34" spans="1:44" x14ac:dyDescent="0.15">
      <c r="A34" t="s">
        <v>1199</v>
      </c>
      <c r="B34" t="s">
        <v>1226</v>
      </c>
      <c r="D34" s="2125"/>
      <c r="E34" s="84" t="s">
        <v>35</v>
      </c>
      <c r="F34" s="53" t="str">
        <f>IFERROR(GETPIVOTDATA("合計 / " &amp; $B34,【ピボット】事業所収支!$A$3,"年月",F$2,"事業所",$A34),"")</f>
        <v/>
      </c>
      <c r="G34" s="53" t="str">
        <f>IFERROR(GETPIVOTDATA("合計 / " &amp; $B34,【ピボット】事業所収支!$A$3,"年月",G$2,"事業所",$A34),"")</f>
        <v/>
      </c>
      <c r="H34" s="53" t="str">
        <f>IFERROR(GETPIVOTDATA("合計 / " &amp; $B34,【ピボット】事業所収支!$A$3,"年月",H$2,"事業所",$A34),"")</f>
        <v/>
      </c>
      <c r="I34" s="53" t="str">
        <f>IFERROR(GETPIVOTDATA("合計 / " &amp; $B34,【ピボット】事業所収支!$A$3,"年月",I$2,"事業所",$A34),"")</f>
        <v/>
      </c>
      <c r="J34" s="53" t="str">
        <f>IFERROR(GETPIVOTDATA("合計 / " &amp; $B34,【ピボット】事業所収支!$A$3,"年月",J$2,"事業所",$A34),"")</f>
        <v/>
      </c>
      <c r="K34" s="53" t="str">
        <f>IFERROR(GETPIVOTDATA("合計 / " &amp; $B34,【ピボット】事業所収支!$A$3,"年月",K$2,"事業所",$A34),"")</f>
        <v/>
      </c>
      <c r="L34" s="53" t="str">
        <f>IFERROR(GETPIVOTDATA("合計 / " &amp; $B34,【ピボット】事業所収支!$A$3,"年月",L$2,"事業所",$A34),"")</f>
        <v/>
      </c>
      <c r="M34" s="53" t="str">
        <f>IFERROR(GETPIVOTDATA("合計 / " &amp; $B34,【ピボット】事業所収支!$A$3,"年月",M$2,"事業所",$A34),"")</f>
        <v/>
      </c>
      <c r="N34" s="53" t="str">
        <f>IFERROR(GETPIVOTDATA("合計 / " &amp; $B34,【ピボット】事業所収支!$A$3,"年月",N$2,"事業所",$A34),"")</f>
        <v/>
      </c>
      <c r="O34" s="53" t="str">
        <f>IFERROR(GETPIVOTDATA("合計 / " &amp; $B34,【ピボット】事業所収支!$A$3,"年月",O$2,"事業所",$A34),"")</f>
        <v/>
      </c>
      <c r="P34" s="53" t="str">
        <f>IFERROR(GETPIVOTDATA("合計 / " &amp; $B34,【ピボット】事業所収支!$A$3,"年月",P$2,"事業所",$A34),"")</f>
        <v/>
      </c>
      <c r="Q34" s="53" t="str">
        <f>IFERROR(GETPIVOTDATA("合計 / " &amp; $B34,【ピボット】事業所収支!$A$3,"年月",Q$2,"事業所",$A34),"")</f>
        <v/>
      </c>
      <c r="R34" s="53" t="str">
        <f>IFERROR(GETPIVOTDATA("合計 / " &amp; $B34,【ピボット】事業所収支!$A$3,"年月",R$2,"事業所",$A34),"")</f>
        <v/>
      </c>
      <c r="S34" s="53" t="str">
        <f>IFERROR(GETPIVOTDATA("合計 / " &amp; $B34,【ピボット】事業所収支!$A$3,"年月",S$2,"事業所",$A34),"")</f>
        <v/>
      </c>
      <c r="T34" s="53">
        <f>IFERROR(GETPIVOTDATA("合計 / " &amp; $B34,【ピボット】事業所収支!$A$3,"年月",T$2,"事業所",$A34),"")</f>
        <v>835563</v>
      </c>
      <c r="U34" s="53">
        <f>IFERROR(GETPIVOTDATA("合計 / " &amp; $B34,【ピボット】事業所収支!$A$3,"年月",U$2,"事業所",$A34),"")</f>
        <v>752125</v>
      </c>
      <c r="V34" s="53">
        <f>IFERROR(GETPIVOTDATA("合計 / " &amp; $B34,【ピボット】事業所収支!$A$3,"年月",V$2,"事業所",$A34),"")</f>
        <v>740398</v>
      </c>
      <c r="W34" s="53">
        <f>IFERROR(GETPIVOTDATA("合計 / " &amp; $B34,【ピボット】事業所収支!$A$3,"年月",W$2,"事業所",$A34),"")</f>
        <v>704776</v>
      </c>
      <c r="X34" s="53">
        <f>IFERROR(GETPIVOTDATA("合計 / " &amp; $B34,【ピボット】事業所収支!$A$3,"年月",X$2,"事業所",$A34),"")</f>
        <v>533896</v>
      </c>
      <c r="Y34" s="53">
        <f>IFERROR(GETPIVOTDATA("合計 / " &amp; $B34,【ピボット】事業所収支!$A$3,"年月",Y$2,"事業所",$A34),"")</f>
        <v>395245</v>
      </c>
      <c r="Z34" s="53">
        <f>IFERROR(GETPIVOTDATA("合計 / " &amp; $B34,【ピボット】事業所収支!$A$3,"年月",Z$2,"事業所",$A34),"")</f>
        <v>438641</v>
      </c>
      <c r="AA34" s="53">
        <f>IFERROR(GETPIVOTDATA("合計 / " &amp; $B34,【ピボット】事業所収支!$A$3,"年月",AA$2,"事業所",$A34),"")</f>
        <v>383687</v>
      </c>
      <c r="AB34" s="53">
        <f>IFERROR(GETPIVOTDATA("合計 / " &amp; $B34,【ピボット】事業所収支!$A$3,"年月",AB$2,"事業所",$A34),"")</f>
        <v>410646</v>
      </c>
      <c r="AC34" s="53">
        <f>IFERROR(GETPIVOTDATA("合計 / " &amp; $B34,【ピボット】事業所収支!$A$3,"年月",AC$2,"事業所",$A34),"")</f>
        <v>458741</v>
      </c>
      <c r="AD34" s="141">
        <f ca="1">SUM(OFFSET(AC34,0,当期月数):AC34)</f>
        <v>4066030</v>
      </c>
      <c r="AE34" s="56">
        <f ca="1">AVERAGE(OFFSET(AC34,0,当期月数):AC34)</f>
        <v>508253.75</v>
      </c>
    </row>
    <row r="35" spans="1:44" ht="14.25" thickBot="1" x14ac:dyDescent="0.2">
      <c r="B35" t="s">
        <v>32</v>
      </c>
      <c r="D35" s="2127"/>
      <c r="E35" s="87" t="s">
        <v>32</v>
      </c>
      <c r="F35" s="116" t="str">
        <f t="shared" ref="F35:AC35" si="9">IFERROR(F30-(F32+F34),"")</f>
        <v/>
      </c>
      <c r="G35" s="116" t="str">
        <f t="shared" si="9"/>
        <v/>
      </c>
      <c r="H35" s="116" t="str">
        <f t="shared" si="9"/>
        <v/>
      </c>
      <c r="I35" s="116" t="str">
        <f t="shared" si="9"/>
        <v/>
      </c>
      <c r="J35" s="116" t="str">
        <f t="shared" si="9"/>
        <v/>
      </c>
      <c r="K35" s="116" t="str">
        <f t="shared" si="9"/>
        <v/>
      </c>
      <c r="L35" s="116" t="str">
        <f t="shared" si="9"/>
        <v/>
      </c>
      <c r="M35" s="116" t="str">
        <f t="shared" si="9"/>
        <v/>
      </c>
      <c r="N35" s="116" t="str">
        <f t="shared" si="9"/>
        <v/>
      </c>
      <c r="O35" s="116" t="str">
        <f t="shared" si="9"/>
        <v/>
      </c>
      <c r="P35" s="116" t="str">
        <f t="shared" si="9"/>
        <v/>
      </c>
      <c r="Q35" s="116" t="str">
        <f t="shared" si="9"/>
        <v/>
      </c>
      <c r="R35" s="116" t="str">
        <f t="shared" si="9"/>
        <v/>
      </c>
      <c r="S35" s="116" t="str">
        <f t="shared" si="9"/>
        <v/>
      </c>
      <c r="T35" s="116">
        <f t="shared" si="9"/>
        <v>-835563</v>
      </c>
      <c r="U35" s="116">
        <f t="shared" si="9"/>
        <v>-752125</v>
      </c>
      <c r="V35" s="116">
        <f t="shared" si="9"/>
        <v>-796793</v>
      </c>
      <c r="W35" s="116">
        <f t="shared" si="9"/>
        <v>-904072</v>
      </c>
      <c r="X35" s="116">
        <f t="shared" si="9"/>
        <v>-536508</v>
      </c>
      <c r="Y35" s="116">
        <f t="shared" si="9"/>
        <v>-255274</v>
      </c>
      <c r="Z35" s="116">
        <f t="shared" si="9"/>
        <v>-320365</v>
      </c>
      <c r="AA35" s="116">
        <f t="shared" si="9"/>
        <v>-14117</v>
      </c>
      <c r="AB35" s="116">
        <f t="shared" si="9"/>
        <v>-96871</v>
      </c>
      <c r="AC35" s="116">
        <f t="shared" si="9"/>
        <v>127864</v>
      </c>
      <c r="AD35" s="142">
        <f ca="1">SUM(OFFSET(AC35,0,当期月数):AC35)</f>
        <v>-2796136</v>
      </c>
      <c r="AE35" s="152">
        <f ca="1">AVERAGE(OFFSET(AC35,0,当期月数):AC35)</f>
        <v>-349517</v>
      </c>
    </row>
    <row r="36" spans="1:44" x14ac:dyDescent="0.15">
      <c r="A36" t="s">
        <v>749</v>
      </c>
      <c r="B36" t="s">
        <v>26</v>
      </c>
      <c r="D36" s="2126" t="s">
        <v>358</v>
      </c>
      <c r="E36" s="86" t="s">
        <v>144</v>
      </c>
      <c r="F36" s="137">
        <f>IFERROR(GETPIVOTDATA("合計 / " &amp; $B36,【ピボット】事業所収支!$A$3,"年月",F$2,"事業所",$A36),"")</f>
        <v>3549708</v>
      </c>
      <c r="G36" s="137">
        <f>IFERROR(GETPIVOTDATA("合計 / " &amp; $B36,【ピボット】事業所収支!$A$3,"年月",G$2,"事業所",$A36),"")</f>
        <v>3597785</v>
      </c>
      <c r="H36" s="137">
        <f>IFERROR(GETPIVOTDATA("合計 / " &amp; $B36,【ピボット】事業所収支!$A$3,"年月",H$2,"事業所",$A36),"")</f>
        <v>3616139</v>
      </c>
      <c r="I36" s="137">
        <f>IFERROR(GETPIVOTDATA("合計 / " &amp; $B36,【ピボット】事業所収支!$A$3,"年月",I$2,"事業所",$A36),"")</f>
        <v>3174804</v>
      </c>
      <c r="J36" s="137">
        <f>IFERROR(GETPIVOTDATA("合計 / " &amp; $B36,【ピボット】事業所収支!$A$3,"年月",J$2,"事業所",$A36),"")</f>
        <v>3130698</v>
      </c>
      <c r="K36" s="137">
        <f>IFERROR(GETPIVOTDATA("合計 / " &amp; $B36,【ピボット】事業所収支!$A$3,"年月",K$2,"事業所",$A36),"")</f>
        <v>3270391</v>
      </c>
      <c r="L36" s="137">
        <f>IFERROR(GETPIVOTDATA("合計 / " &amp; $B36,【ピボット】事業所収支!$A$3,"年月",L$2,"事業所",$A36),"")</f>
        <v>3507733</v>
      </c>
      <c r="M36" s="137">
        <f>IFERROR(GETPIVOTDATA("合計 / " &amp; $B36,【ピボット】事業所収支!$A$3,"年月",M$2,"事業所",$A36),"")</f>
        <v>3292348</v>
      </c>
      <c r="N36" s="137">
        <f>IFERROR(GETPIVOTDATA("合計 / " &amp; $B36,【ピボット】事業所収支!$A$3,"年月",N$2,"事業所",$A36),"")</f>
        <v>3313516</v>
      </c>
      <c r="O36" s="137">
        <f>IFERROR(GETPIVOTDATA("合計 / " &amp; $B36,【ピボット】事業所収支!$A$3,"年月",O$2,"事業所",$A36),"")</f>
        <v>3497339</v>
      </c>
      <c r="P36" s="137">
        <f>IFERROR(GETPIVOTDATA("合計 / " &amp; $B36,【ピボット】事業所収支!$A$3,"年月",P$2,"事業所",$A36),"")</f>
        <v>3458623</v>
      </c>
      <c r="Q36" s="137">
        <f>IFERROR(GETPIVOTDATA("合計 / " &amp; $B36,【ピボット】事業所収支!$A$3,"年月",Q$2,"事業所",$A36),"")</f>
        <v>4706520</v>
      </c>
      <c r="R36" s="137">
        <f>IFERROR(GETPIVOTDATA("合計 / " &amp; $B36,【ピボット】事業所収支!$A$3,"年月",R$2,"事業所",$A36),"")</f>
        <v>4419633</v>
      </c>
      <c r="S36" s="137">
        <f>IFERROR(GETPIVOTDATA("合計 / " &amp; $B36,【ピボット】事業所収支!$A$3,"年月",S$2,"事業所",$A36),"")</f>
        <v>4146272</v>
      </c>
      <c r="T36" s="137">
        <f>IFERROR(GETPIVOTDATA("合計 / " &amp; $B36,【ピボット】事業所収支!$A$3,"年月",T$2,"事業所",$A36),"")</f>
        <v>4468494</v>
      </c>
      <c r="U36" s="137">
        <f>IFERROR(GETPIVOTDATA("合計 / " &amp; $B36,【ピボット】事業所収支!$A$3,"年月",U$2,"事業所",$A36),"")</f>
        <v>4494230</v>
      </c>
      <c r="V36" s="137">
        <f>IFERROR(GETPIVOTDATA("合計 / " &amp; $B36,【ピボット】事業所収支!$A$3,"年月",V$2,"事業所",$A36),"")</f>
        <v>4417151</v>
      </c>
      <c r="W36" s="137">
        <f>IFERROR(GETPIVOTDATA("合計 / " &amp; $B36,【ピボット】事業所収支!$A$3,"年月",W$2,"事業所",$A36),"")</f>
        <v>4442200</v>
      </c>
      <c r="X36" s="137">
        <f>IFERROR(GETPIVOTDATA("合計 / " &amp; $B36,【ピボット】事業所収支!$A$3,"年月",X$2,"事業所",$A36),"")</f>
        <v>4833081</v>
      </c>
      <c r="Y36" s="137">
        <f>IFERROR(GETPIVOTDATA("合計 / " &amp; $B36,【ピボット】事業所収支!$A$3,"年月",Y$2,"事業所",$A36),"")</f>
        <v>4422644</v>
      </c>
      <c r="Z36" s="137">
        <f>IFERROR(GETPIVOTDATA("合計 / " &amp; $B36,【ピボット】事業所収支!$A$3,"年月",Z$2,"事業所",$A36),"")</f>
        <v>4120917</v>
      </c>
      <c r="AA36" s="137">
        <f>IFERROR(GETPIVOTDATA("合計 / " &amp; $B36,【ピボット】事業所収支!$A$3,"年月",AA$2,"事業所",$A36),"")</f>
        <v>4475893</v>
      </c>
      <c r="AB36" s="137">
        <f>IFERROR(GETPIVOTDATA("合計 / " &amp; $B36,【ピボット】事業所収支!$A$3,"年月",AB$2,"事業所",$A36),"")</f>
        <v>4931183</v>
      </c>
      <c r="AC36" s="137">
        <f>IFERROR(GETPIVOTDATA("合計 / " &amp; $B36,【ピボット】事業所収支!$A$3,"年月",AC$2,"事業所",$A36),"")</f>
        <v>4425975</v>
      </c>
      <c r="AD36" s="139">
        <f ca="1">SUM(OFFSET(AC36,0,当期月数):AC36)</f>
        <v>36069044</v>
      </c>
      <c r="AE36" s="47">
        <f ca="1">AVERAGE(OFFSET(AC36,0,当期月数):AC36)</f>
        <v>4508630.5</v>
      </c>
    </row>
    <row r="37" spans="1:44" x14ac:dyDescent="0.15">
      <c r="A37" t="s">
        <v>749</v>
      </c>
      <c r="B37" t="s">
        <v>142</v>
      </c>
      <c r="D37" s="2125"/>
      <c r="E37" s="82" t="s">
        <v>142</v>
      </c>
      <c r="F37" s="30">
        <f>IFERROR(GETPIVOTDATA("合計 / 通所介護処遇改善加算金",【ピボット】事業所売上!$A$3,"年月",F$2,"事業所",$A37),"")</f>
        <v>187859</v>
      </c>
      <c r="G37" s="30">
        <f>IFERROR(GETPIVOTDATA("合計 / 通所介護処遇改善加算金",【ピボット】事業所売上!$A$3,"年月",G$2,"事業所",$A37),"")</f>
        <v>187729</v>
      </c>
      <c r="H37" s="30">
        <f>IFERROR(GETPIVOTDATA("合計 / 通所介護処遇改善加算金",【ピボット】事業所売上!$A$3,"年月",H$2,"事業所",$A37),"")</f>
        <v>190666</v>
      </c>
      <c r="I37" s="30">
        <f>IFERROR(GETPIVOTDATA("合計 / 通所介護処遇改善加算金",【ピボット】事業所売上!$A$3,"年月",I$2,"事業所",$A37),"")</f>
        <v>167502</v>
      </c>
      <c r="J37" s="30">
        <f>IFERROR(GETPIVOTDATA("合計 / 通所介護処遇改善加算金",【ピボット】事業所売上!$A$3,"年月",J$2,"事業所",$A37),"")</f>
        <v>165400</v>
      </c>
      <c r="K37" s="30">
        <f>IFERROR(GETPIVOTDATA("合計 / 通所介護処遇改善加算金",【ピボット】事業所売上!$A$3,"年月",K$2,"事業所",$A37),"")</f>
        <v>173798</v>
      </c>
      <c r="L37" s="30">
        <f>IFERROR(GETPIVOTDATA("合計 / 通所介護処遇改善加算金",【ピボット】事業所売上!$A$3,"年月",L$2,"事業所",$A37),"")</f>
        <v>184210</v>
      </c>
      <c r="M37" s="30">
        <f>IFERROR(GETPIVOTDATA("合計 / 通所介護処遇改善加算金",【ピボット】事業所売上!$A$3,"年月",M$2,"事業所",$A37),"")</f>
        <v>173739</v>
      </c>
      <c r="N37" s="30">
        <f>IFERROR(GETPIVOTDATA("合計 / 通所介護処遇改善加算金",【ピボット】事業所売上!$A$3,"年月",N$2,"事業所",$A37),"")</f>
        <v>174710</v>
      </c>
      <c r="O37" s="30">
        <f>IFERROR(GETPIVOTDATA("合計 / 通所介護処遇改善加算金",【ピボット】事業所売上!$A$3,"年月",O$2,"事業所",$A37),"")</f>
        <v>184869</v>
      </c>
      <c r="P37" s="30">
        <f>IFERROR(GETPIVOTDATA("合計 / 通所介護処遇改善加算金",【ピボット】事業所売上!$A$3,"年月",P$2,"事業所",$A37),"")</f>
        <v>186659</v>
      </c>
      <c r="Q37" s="30">
        <f>IFERROR(GETPIVOTDATA("合計 / 通所介護処遇改善加算金",【ピボット】事業所売上!$A$3,"年月",Q$2,"事業所",$A37),"")</f>
        <v>247531</v>
      </c>
      <c r="R37" s="30">
        <f>IFERROR(GETPIVOTDATA("合計 / 通所介護処遇改善加算金",【ピボット】事業所売上!$A$3,"年月",R$2,"事業所",$A37),"")</f>
        <v>231845</v>
      </c>
      <c r="S37" s="30">
        <f>IFERROR(GETPIVOTDATA("合計 / 通所介護処遇改善加算金",【ピボット】事業所売上!$A$3,"年月",S$2,"事業所",$A37),"")</f>
        <v>218824</v>
      </c>
      <c r="T37" s="30">
        <f>IFERROR(GETPIVOTDATA("合計 / 通所介護処遇改善加算金",【ピボット】事業所売上!$A$3,"年月",T$2,"事業所",$A37),"")</f>
        <v>234931</v>
      </c>
      <c r="U37" s="30">
        <f>IFERROR(GETPIVOTDATA("合計 / 通所介護処遇改善加算金",【ピボット】事業所売上!$A$3,"年月",U$2,"事業所",$A37),"")</f>
        <v>235524</v>
      </c>
      <c r="V37" s="30">
        <f>IFERROR(GETPIVOTDATA("合計 / 通所介護処遇改善加算金",【ピボット】事業所売上!$A$3,"年月",V$2,"事業所",$A37),"")</f>
        <v>233085</v>
      </c>
      <c r="W37" s="30">
        <f>IFERROR(GETPIVOTDATA("合計 / 通所介護処遇改善加算金",【ピボット】事業所売上!$A$3,"年月",W$2,"事業所",$A37),"")</f>
        <v>234125</v>
      </c>
      <c r="X37" s="30">
        <f>IFERROR(GETPIVOTDATA("合計 / 通所介護処遇改善加算金",【ピボット】事業所売上!$A$3,"年月",X$2,"事業所",$A37),"")</f>
        <v>255681</v>
      </c>
      <c r="Y37" s="30">
        <f>IFERROR(GETPIVOTDATA("合計 / 通所介護処遇改善加算金",【ピボット】事業所売上!$A$3,"年月",Y$2,"事業所",$A37),"")</f>
        <v>228390</v>
      </c>
      <c r="Z37" s="30">
        <f>IFERROR(GETPIVOTDATA("合計 / 通所介護処遇改善加算金",【ピボット】事業所売上!$A$3,"年月",Z$2,"事業所",$A37),"")</f>
        <v>214247</v>
      </c>
      <c r="AA37" s="30">
        <f>IFERROR(GETPIVOTDATA("合計 / 通所介護処遇改善加算金",【ピボット】事業所売上!$A$3,"年月",AA$2,"事業所",$A37),"")</f>
        <v>230959</v>
      </c>
      <c r="AB37" s="30">
        <f>IFERROR(GETPIVOTDATA("合計 / 通所介護処遇改善加算金",【ピボット】事業所売上!$A$3,"年月",AB$2,"事業所",$A37),"")</f>
        <v>255703</v>
      </c>
      <c r="AC37" s="30">
        <f>IFERROR(GETPIVOTDATA("合計 / 通所介護処遇改善加算金",【ピボット】事業所売上!$A$3,"年月",AC$2,"事業所",$A37),"")</f>
        <v>0</v>
      </c>
      <c r="AD37" s="140">
        <f ca="1">SUM(OFFSET(AC37,0,当期月数):AC37)</f>
        <v>1652190</v>
      </c>
      <c r="AE37" s="46">
        <f ca="1">AVERAGE(OFFSET(AC37,0,当期月数):AC37)</f>
        <v>206523.75</v>
      </c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</row>
    <row r="38" spans="1:44" x14ac:dyDescent="0.15">
      <c r="A38" t="s">
        <v>749</v>
      </c>
      <c r="B38" t="s">
        <v>15</v>
      </c>
      <c r="D38" s="2125"/>
      <c r="E38" s="83" t="s">
        <v>15</v>
      </c>
      <c r="F38" s="30">
        <f>IFERROR(GETPIVOTDATA("合計 / " &amp; $B38,【ピボット】事業所収支!$A$3,"年月",F$2,"事業所",$A38),"")</f>
        <v>1747386</v>
      </c>
      <c r="G38" s="30">
        <f>IFERROR(GETPIVOTDATA("合計 / " &amp; $B38,【ピボット】事業所収支!$A$3,"年月",G$2,"事業所",$A38),"")</f>
        <v>1816576</v>
      </c>
      <c r="H38" s="30">
        <f>IFERROR(GETPIVOTDATA("合計 / " &amp; $B38,【ピボット】事業所収支!$A$3,"年月",H$2,"事業所",$A38),"")</f>
        <v>1929604</v>
      </c>
      <c r="I38" s="30">
        <f>IFERROR(GETPIVOTDATA("合計 / " &amp; $B38,【ピボット】事業所収支!$A$3,"年月",I$2,"事業所",$A38),"")</f>
        <v>1971148</v>
      </c>
      <c r="J38" s="30">
        <f>IFERROR(GETPIVOTDATA("合計 / " &amp; $B38,【ピボット】事業所収支!$A$3,"年月",J$2,"事業所",$A38),"")</f>
        <v>1814610</v>
      </c>
      <c r="K38" s="30">
        <f>IFERROR(GETPIVOTDATA("合計 / " &amp; $B38,【ピボット】事業所収支!$A$3,"年月",K$2,"事業所",$A38),"")</f>
        <v>1917384</v>
      </c>
      <c r="L38" s="30">
        <f>IFERROR(GETPIVOTDATA("合計 / " &amp; $B38,【ピボット】事業所収支!$A$3,"年月",L$2,"事業所",$A38),"")</f>
        <v>1620791</v>
      </c>
      <c r="M38" s="30">
        <f>IFERROR(GETPIVOTDATA("合計 / " &amp; $B38,【ピボット】事業所収支!$A$3,"年月",M$2,"事業所",$A38),"")</f>
        <v>2221300.6135975425</v>
      </c>
      <c r="N38" s="30">
        <f>IFERROR(GETPIVOTDATA("合計 / " &amp; $B38,【ピボット】事業所収支!$A$3,"年月",N$2,"事業所",$A38),"")</f>
        <v>2142318</v>
      </c>
      <c r="O38" s="30">
        <f>IFERROR(GETPIVOTDATA("合計 / " &amp; $B38,【ピボット】事業所収支!$A$3,"年月",O$2,"事業所",$A38),"")</f>
        <v>2272159</v>
      </c>
      <c r="P38" s="30">
        <f>IFERROR(GETPIVOTDATA("合計 / " &amp; $B38,【ピボット】事業所収支!$A$3,"年月",P$2,"事業所",$A38),"")</f>
        <v>2458758</v>
      </c>
      <c r="Q38" s="30">
        <f>IFERROR(GETPIVOTDATA("合計 / " &amp; $B38,【ピボット】事業所収支!$A$3,"年月",Q$2,"事業所",$A38),"")</f>
        <v>2574150</v>
      </c>
      <c r="R38" s="30">
        <f>IFERROR(GETPIVOTDATA("合計 / " &amp; $B38,【ピボット】事業所収支!$A$3,"年月",R$2,"事業所",$A38),"")</f>
        <v>2522266</v>
      </c>
      <c r="S38" s="30">
        <f>IFERROR(GETPIVOTDATA("合計 / " &amp; $B38,【ピボット】事業所収支!$A$3,"年月",S$2,"事業所",$A38),"")</f>
        <v>2675261</v>
      </c>
      <c r="T38" s="30">
        <f>IFERROR(GETPIVOTDATA("合計 / " &amp; $B38,【ピボット】事業所収支!$A$3,"年月",T$2,"事業所",$A38),"")</f>
        <v>2695210</v>
      </c>
      <c r="U38" s="30">
        <f>IFERROR(GETPIVOTDATA("合計 / " &amp; $B38,【ピボット】事業所収支!$A$3,"年月",U$2,"事業所",$A38),"")</f>
        <v>2472573</v>
      </c>
      <c r="V38" s="30">
        <f>IFERROR(GETPIVOTDATA("合計 / " &amp; $B38,【ピボット】事業所収支!$A$3,"年月",V$2,"事業所",$A38),"")</f>
        <v>2350226</v>
      </c>
      <c r="W38" s="30">
        <f>IFERROR(GETPIVOTDATA("合計 / " &amp; $B38,【ピボット】事業所収支!$A$3,"年月",W$2,"事業所",$A38),"")</f>
        <v>2086350</v>
      </c>
      <c r="X38" s="30">
        <f>IFERROR(GETPIVOTDATA("合計 / " &amp; $B38,【ピボット】事業所収支!$A$3,"年月",X$2,"事業所",$A38),"")</f>
        <v>2191511</v>
      </c>
      <c r="Y38" s="30">
        <f>IFERROR(GETPIVOTDATA("合計 / " &amp; $B38,【ピボット】事業所収支!$A$3,"年月",Y$2,"事業所",$A38),"")</f>
        <v>3314822</v>
      </c>
      <c r="Z38" s="30">
        <f>IFERROR(GETPIVOTDATA("合計 / " &amp; $B38,【ピボット】事業所収支!$A$3,"年月",Z$2,"事業所",$A38),"")</f>
        <v>2332898</v>
      </c>
      <c r="AA38" s="30">
        <f>IFERROR(GETPIVOTDATA("合計 / " &amp; $B38,【ピボット】事業所収支!$A$3,"年月",AA$2,"事業所",$A38),"")</f>
        <v>2102329</v>
      </c>
      <c r="AB38" s="30">
        <f>IFERROR(GETPIVOTDATA("合計 / " &amp; $B38,【ピボット】事業所収支!$A$3,"年月",AB$2,"事業所",$A38),"")</f>
        <v>2180249</v>
      </c>
      <c r="AC38" s="30">
        <f>IFERROR(GETPIVOTDATA("合計 / " &amp; $B38,【ピボット】事業所収支!$A$3,"年月",AC$2,"事業所",$A38),"")</f>
        <v>2316325</v>
      </c>
      <c r="AD38" s="140">
        <f ca="1">SUM(OFFSET(AC38,0,当期月数):AC38)</f>
        <v>18874710</v>
      </c>
      <c r="AE38" s="46">
        <f ca="1">AVERAGE(OFFSET(AC38,0,当期月数):AC38)</f>
        <v>2359338.75</v>
      </c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</row>
    <row r="39" spans="1:44" x14ac:dyDescent="0.15">
      <c r="A39" t="s">
        <v>749</v>
      </c>
      <c r="B39" t="s">
        <v>48</v>
      </c>
      <c r="D39" s="2125"/>
      <c r="E39" s="83" t="s">
        <v>48</v>
      </c>
      <c r="F39" s="115">
        <f t="shared" ref="F39:AC39" si="10">IFERROR(F38/F36*100,"")</f>
        <v>49.226189872519093</v>
      </c>
      <c r="G39" s="115">
        <f t="shared" si="10"/>
        <v>50.491510748974719</v>
      </c>
      <c r="H39" s="115">
        <f t="shared" si="10"/>
        <v>53.360891271049042</v>
      </c>
      <c r="I39" s="115">
        <f t="shared" si="10"/>
        <v>62.087234361554287</v>
      </c>
      <c r="J39" s="115">
        <f t="shared" si="10"/>
        <v>57.961834709064874</v>
      </c>
      <c r="K39" s="115">
        <f t="shared" si="10"/>
        <v>58.628586000878791</v>
      </c>
      <c r="L39" s="115">
        <f t="shared" si="10"/>
        <v>46.206224932171288</v>
      </c>
      <c r="M39" s="115">
        <f t="shared" si="10"/>
        <v>67.468585143415666</v>
      </c>
      <c r="N39" s="115">
        <f t="shared" si="10"/>
        <v>64.653920488085774</v>
      </c>
      <c r="O39" s="115">
        <f t="shared" si="10"/>
        <v>64.968222983245255</v>
      </c>
      <c r="P39" s="115">
        <f t="shared" si="10"/>
        <v>71.090662382109869</v>
      </c>
      <c r="Q39" s="115">
        <f t="shared" si="10"/>
        <v>54.693276561025982</v>
      </c>
      <c r="R39" s="115">
        <f t="shared" si="10"/>
        <v>57.069580211750612</v>
      </c>
      <c r="S39" s="115">
        <f t="shared" si="10"/>
        <v>64.52208152287163</v>
      </c>
      <c r="T39" s="115">
        <f t="shared" si="10"/>
        <v>60.315846905019896</v>
      </c>
      <c r="U39" s="115">
        <f t="shared" si="10"/>
        <v>55.016610186839564</v>
      </c>
      <c r="V39" s="115">
        <f t="shared" si="10"/>
        <v>53.206829469945674</v>
      </c>
      <c r="W39" s="115">
        <f t="shared" si="10"/>
        <v>46.966593129530416</v>
      </c>
      <c r="X39" s="115">
        <f t="shared" si="10"/>
        <v>45.343974164720187</v>
      </c>
      <c r="Y39" s="115">
        <f t="shared" si="10"/>
        <v>74.951137826151054</v>
      </c>
      <c r="Z39" s="115">
        <f t="shared" si="10"/>
        <v>56.611137763755004</v>
      </c>
      <c r="AA39" s="115">
        <f t="shared" si="10"/>
        <v>46.970045977417243</v>
      </c>
      <c r="AB39" s="115">
        <f t="shared" si="10"/>
        <v>44.213508198742574</v>
      </c>
      <c r="AC39" s="115">
        <f t="shared" si="10"/>
        <v>52.334796287823579</v>
      </c>
      <c r="AD39" s="144">
        <f ca="1">AD38/AD36*100</f>
        <v>52.329388048100192</v>
      </c>
      <c r="AE39" s="154">
        <f ca="1">AE38/AE36*100</f>
        <v>52.329388048100192</v>
      </c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</row>
    <row r="40" spans="1:44" x14ac:dyDescent="0.15">
      <c r="A40" t="s">
        <v>749</v>
      </c>
      <c r="B40" t="s">
        <v>1226</v>
      </c>
      <c r="D40" s="2125"/>
      <c r="E40" s="84" t="s">
        <v>35</v>
      </c>
      <c r="F40" s="53">
        <f>IFERROR(GETPIVOTDATA("合計 / " &amp; $B40,【ピボット】事業所収支!$A$3,"年月",F$2,"事業所",$A40),"")</f>
        <v>1001164</v>
      </c>
      <c r="G40" s="53">
        <f>IFERROR(GETPIVOTDATA("合計 / " &amp; $B40,【ピボット】事業所収支!$A$3,"年月",G$2,"事業所",$A40),"")</f>
        <v>989607</v>
      </c>
      <c r="H40" s="53">
        <f>IFERROR(GETPIVOTDATA("合計 / " &amp; $B40,【ピボット】事業所収支!$A$3,"年月",H$2,"事業所",$A40),"")</f>
        <v>897734</v>
      </c>
      <c r="I40" s="53">
        <f>IFERROR(GETPIVOTDATA("合計 / " &amp; $B40,【ピボット】事業所収支!$A$3,"年月",I$2,"事業所",$A40),"")</f>
        <v>1167584</v>
      </c>
      <c r="J40" s="53">
        <f>IFERROR(GETPIVOTDATA("合計 / " &amp; $B40,【ピボット】事業所収支!$A$3,"年月",J$2,"事業所",$A40),"")</f>
        <v>824423</v>
      </c>
      <c r="K40" s="53">
        <f>IFERROR(GETPIVOTDATA("合計 / " &amp; $B40,【ピボット】事業所収支!$A$3,"年月",K$2,"事業所",$A40),"")</f>
        <v>966398</v>
      </c>
      <c r="L40" s="53">
        <f>IFERROR(GETPIVOTDATA("合計 / " &amp; $B40,【ピボット】事業所収支!$A$3,"年月",L$2,"事業所",$A40),"")</f>
        <v>859233</v>
      </c>
      <c r="M40" s="53">
        <f>IFERROR(GETPIVOTDATA("合計 / " &amp; $B40,【ピボット】事業所収支!$A$3,"年月",M$2,"事業所",$A40),"")</f>
        <v>1042803</v>
      </c>
      <c r="N40" s="53">
        <f>IFERROR(GETPIVOTDATA("合計 / " &amp; $B40,【ピボット】事業所収支!$A$3,"年月",N$2,"事業所",$A40),"")</f>
        <v>1015011</v>
      </c>
      <c r="O40" s="53">
        <f>IFERROR(GETPIVOTDATA("合計 / " &amp; $B40,【ピボット】事業所収支!$A$3,"年月",O$2,"事業所",$A40),"")</f>
        <v>1024904</v>
      </c>
      <c r="P40" s="53">
        <f>IFERROR(GETPIVOTDATA("合計 / " &amp; $B40,【ピボット】事業所収支!$A$3,"年月",P$2,"事業所",$A40),"")</f>
        <v>969911</v>
      </c>
      <c r="Q40" s="53">
        <f>IFERROR(GETPIVOTDATA("合計 / " &amp; $B40,【ピボット】事業所収支!$A$3,"年月",Q$2,"事業所",$A40),"")</f>
        <v>821057</v>
      </c>
      <c r="R40" s="53">
        <f>IFERROR(GETPIVOTDATA("合計 / " &amp; $B40,【ピボット】事業所収支!$A$3,"年月",R$2,"事業所",$A40),"")</f>
        <v>1282778</v>
      </c>
      <c r="S40" s="53">
        <f>IFERROR(GETPIVOTDATA("合計 / " &amp; $B40,【ピボット】事業所収支!$A$3,"年月",S$2,"事業所",$A40),"")</f>
        <v>1171971</v>
      </c>
      <c r="T40" s="53">
        <f>IFERROR(GETPIVOTDATA("合計 / " &amp; $B40,【ピボット】事業所収支!$A$3,"年月",T$2,"事業所",$A40),"")</f>
        <v>1095648</v>
      </c>
      <c r="U40" s="53">
        <f>IFERROR(GETPIVOTDATA("合計 / " &amp; $B40,【ピボット】事業所収支!$A$3,"年月",U$2,"事業所",$A40),"")</f>
        <v>1218671</v>
      </c>
      <c r="V40" s="53">
        <f>IFERROR(GETPIVOTDATA("合計 / " &amp; $B40,【ピボット】事業所収支!$A$3,"年月",V$2,"事業所",$A40),"")</f>
        <v>1089344</v>
      </c>
      <c r="W40" s="53">
        <f>IFERROR(GETPIVOTDATA("合計 / " &amp; $B40,【ピボット】事業所収支!$A$3,"年月",W$2,"事業所",$A40),"")</f>
        <v>1207486</v>
      </c>
      <c r="X40" s="53">
        <f>IFERROR(GETPIVOTDATA("合計 / " &amp; $B40,【ピボット】事業所収支!$A$3,"年月",X$2,"事業所",$A40),"")</f>
        <v>1037871</v>
      </c>
      <c r="Y40" s="53">
        <f>IFERROR(GETPIVOTDATA("合計 / " &amp; $B40,【ピボット】事業所収支!$A$3,"年月",Y$2,"事業所",$A40),"")</f>
        <v>1158080</v>
      </c>
      <c r="Z40" s="53">
        <f>IFERROR(GETPIVOTDATA("合計 / " &amp; $B40,【ピボット】事業所収支!$A$3,"年月",Z$2,"事業所",$A40),"")</f>
        <v>1282667</v>
      </c>
      <c r="AA40" s="53">
        <f>IFERROR(GETPIVOTDATA("合計 / " &amp; $B40,【ピボット】事業所収支!$A$3,"年月",AA$2,"事業所",$A40),"")</f>
        <v>1149109</v>
      </c>
      <c r="AB40" s="53">
        <f>IFERROR(GETPIVOTDATA("合計 / " &amp; $B40,【ピボット】事業所収支!$A$3,"年月",AB$2,"事業所",$A40),"")</f>
        <v>1064856</v>
      </c>
      <c r="AC40" s="53">
        <f>IFERROR(GETPIVOTDATA("合計 / " &amp; $B40,【ピボット】事業所収支!$A$3,"年月",AC$2,"事業所",$A40),"")</f>
        <v>1085892</v>
      </c>
      <c r="AD40" s="141">
        <f ca="1">SUM(OFFSET(AC40,0,当期月数):AC40)</f>
        <v>9075305</v>
      </c>
      <c r="AE40" s="56">
        <f ca="1">AVERAGE(OFFSET(AC40,0,当期月数):AC40)</f>
        <v>1134413.125</v>
      </c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</row>
    <row r="41" spans="1:44" ht="14.25" thickBot="1" x14ac:dyDescent="0.2">
      <c r="B41" t="s">
        <v>32</v>
      </c>
      <c r="D41" s="2127"/>
      <c r="E41" s="87" t="s">
        <v>32</v>
      </c>
      <c r="F41" s="116">
        <f t="shared" ref="F41:AC41" si="11">IFERROR(F36-(F38+F40),"")</f>
        <v>801158</v>
      </c>
      <c r="G41" s="116">
        <f t="shared" si="11"/>
        <v>791602</v>
      </c>
      <c r="H41" s="116">
        <f t="shared" si="11"/>
        <v>788801</v>
      </c>
      <c r="I41" s="116">
        <f t="shared" si="11"/>
        <v>36072</v>
      </c>
      <c r="J41" s="116">
        <f t="shared" si="11"/>
        <v>491665</v>
      </c>
      <c r="K41" s="116">
        <f t="shared" si="11"/>
        <v>386609</v>
      </c>
      <c r="L41" s="116">
        <f t="shared" si="11"/>
        <v>1027709</v>
      </c>
      <c r="M41" s="116">
        <f t="shared" si="11"/>
        <v>28244.386402457487</v>
      </c>
      <c r="N41" s="116">
        <f t="shared" si="11"/>
        <v>156187</v>
      </c>
      <c r="O41" s="116">
        <f t="shared" si="11"/>
        <v>200276</v>
      </c>
      <c r="P41" s="116">
        <f t="shared" si="11"/>
        <v>29954</v>
      </c>
      <c r="Q41" s="116">
        <f t="shared" si="11"/>
        <v>1311313</v>
      </c>
      <c r="R41" s="116">
        <f t="shared" si="11"/>
        <v>614589</v>
      </c>
      <c r="S41" s="116">
        <f t="shared" si="11"/>
        <v>299040</v>
      </c>
      <c r="T41" s="116">
        <f t="shared" si="11"/>
        <v>677636</v>
      </c>
      <c r="U41" s="116">
        <f t="shared" si="11"/>
        <v>802986</v>
      </c>
      <c r="V41" s="116">
        <f t="shared" si="11"/>
        <v>977581</v>
      </c>
      <c r="W41" s="116">
        <f t="shared" si="11"/>
        <v>1148364</v>
      </c>
      <c r="X41" s="116">
        <f t="shared" si="11"/>
        <v>1603699</v>
      </c>
      <c r="Y41" s="116">
        <f t="shared" si="11"/>
        <v>-50258</v>
      </c>
      <c r="Z41" s="116">
        <f t="shared" si="11"/>
        <v>505352</v>
      </c>
      <c r="AA41" s="116">
        <f t="shared" si="11"/>
        <v>1224455</v>
      </c>
      <c r="AB41" s="116">
        <f t="shared" si="11"/>
        <v>1686078</v>
      </c>
      <c r="AC41" s="116">
        <f t="shared" si="11"/>
        <v>1023758</v>
      </c>
      <c r="AD41" s="142">
        <f ca="1">SUM(OFFSET(AC41,0,当期月数):AC41)</f>
        <v>8119029</v>
      </c>
      <c r="AE41" s="152">
        <f ca="1">AVERAGE(OFFSET(AC41,0,当期月数):AC41)</f>
        <v>1014878.625</v>
      </c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</row>
    <row r="42" spans="1:44" x14ac:dyDescent="0.15">
      <c r="A42" t="s">
        <v>755</v>
      </c>
      <c r="B42" t="s">
        <v>26</v>
      </c>
      <c r="D42" s="2126" t="s">
        <v>38</v>
      </c>
      <c r="E42" s="86" t="s">
        <v>144</v>
      </c>
      <c r="F42" s="137">
        <f>IFERROR(GETPIVOTDATA("合計 / " &amp; $B42,【ピボット】事業所収支!$A$3,"年月",F$2,"事業所",$A42),"")</f>
        <v>3218370</v>
      </c>
      <c r="G42" s="137">
        <f>IFERROR(GETPIVOTDATA("合計 / " &amp; $B42,【ピボット】事業所収支!$A$3,"年月",G$2,"事業所",$A42),"")</f>
        <v>2893429</v>
      </c>
      <c r="H42" s="137">
        <f>IFERROR(GETPIVOTDATA("合計 / " &amp; $B42,【ピボット】事業所収支!$A$3,"年月",H$2,"事業所",$A42),"")</f>
        <v>3184472</v>
      </c>
      <c r="I42" s="137">
        <f>IFERROR(GETPIVOTDATA("合計 / " &amp; $B42,【ピボット】事業所収支!$A$3,"年月",I$2,"事業所",$A42),"")</f>
        <v>3124894</v>
      </c>
      <c r="J42" s="137">
        <f>IFERROR(GETPIVOTDATA("合計 / " &amp; $B42,【ピボット】事業所収支!$A$3,"年月",J$2,"事業所",$A42),"")</f>
        <v>3081346</v>
      </c>
      <c r="K42" s="137">
        <f>IFERROR(GETPIVOTDATA("合計 / " &amp; $B42,【ピボット】事業所収支!$A$3,"年月",K$2,"事業所",$A42),"")</f>
        <v>2989139</v>
      </c>
      <c r="L42" s="137">
        <f>IFERROR(GETPIVOTDATA("合計 / " &amp; $B42,【ピボット】事業所収支!$A$3,"年月",L$2,"事業所",$A42),"")</f>
        <v>2574677</v>
      </c>
      <c r="M42" s="137">
        <f>IFERROR(GETPIVOTDATA("合計 / " &amp; $B42,【ピボット】事業所収支!$A$3,"年月",M$2,"事業所",$A42),"")</f>
        <v>2853536</v>
      </c>
      <c r="N42" s="137">
        <f>IFERROR(GETPIVOTDATA("合計 / " &amp; $B42,【ピボット】事業所収支!$A$3,"年月",N$2,"事業所",$A42),"")</f>
        <v>2617181</v>
      </c>
      <c r="O42" s="137">
        <f>IFERROR(GETPIVOTDATA("合計 / " &amp; $B42,【ピボット】事業所収支!$A$3,"年月",O$2,"事業所",$A42),"")</f>
        <v>3057960</v>
      </c>
      <c r="P42" s="137">
        <f>IFERROR(GETPIVOTDATA("合計 / " &amp; $B42,【ピボット】事業所収支!$A$3,"年月",P$2,"事業所",$A42),"")</f>
        <v>3056897</v>
      </c>
      <c r="Q42" s="137">
        <f>IFERROR(GETPIVOTDATA("合計 / " &amp; $B42,【ピボット】事業所収支!$A$3,"年月",Q$2,"事業所",$A42),"")</f>
        <v>3183714</v>
      </c>
      <c r="R42" s="137">
        <f>IFERROR(GETPIVOTDATA("合計 / " &amp; $B42,【ピボット】事業所収支!$A$3,"年月",R$2,"事業所",$A42),"")</f>
        <v>3021707</v>
      </c>
      <c r="S42" s="137">
        <f>IFERROR(GETPIVOTDATA("合計 / " &amp; $B42,【ピボット】事業所収支!$A$3,"年月",S$2,"事業所",$A42),"")</f>
        <v>2692178</v>
      </c>
      <c r="T42" s="137">
        <f>IFERROR(GETPIVOTDATA("合計 / " &amp; $B42,【ピボット】事業所収支!$A$3,"年月",T$2,"事業所",$A42),"")</f>
        <v>2546587</v>
      </c>
      <c r="U42" s="137">
        <f>IFERROR(GETPIVOTDATA("合計 / " &amp; $B42,【ピボット】事業所収支!$A$3,"年月",U$2,"事業所",$A42),"")</f>
        <v>2351469</v>
      </c>
      <c r="V42" s="137">
        <f>IFERROR(GETPIVOTDATA("合計 / " &amp; $B42,【ピボット】事業所収支!$A$3,"年月",V$2,"事業所",$A42),"")</f>
        <v>2112073</v>
      </c>
      <c r="W42" s="137">
        <f>IFERROR(GETPIVOTDATA("合計 / " &amp; $B42,【ピボット】事業所収支!$A$3,"年月",W$2,"事業所",$A42),"")</f>
        <v>2397265</v>
      </c>
      <c r="X42" s="137">
        <f>IFERROR(GETPIVOTDATA("合計 / " &amp; $B42,【ピボット】事業所収支!$A$3,"年月",X$2,"事業所",$A42),"")</f>
        <v>3521977</v>
      </c>
      <c r="Y42" s="137">
        <f>IFERROR(GETPIVOTDATA("合計 / " &amp; $B42,【ピボット】事業所収支!$A$3,"年月",Y$2,"事業所",$A42),"")</f>
        <v>2606315</v>
      </c>
      <c r="Z42" s="137">
        <f>IFERROR(GETPIVOTDATA("合計 / " &amp; $B42,【ピボット】事業所収支!$A$3,"年月",Z$2,"事業所",$A42),"")</f>
        <v>2627069</v>
      </c>
      <c r="AA42" s="137">
        <f>IFERROR(GETPIVOTDATA("合計 / " &amp; $B42,【ピボット】事業所収支!$A$3,"年月",AA$2,"事業所",$A42),"")</f>
        <v>2515123</v>
      </c>
      <c r="AB42" s="137">
        <f>IFERROR(GETPIVOTDATA("合計 / " &amp; $B42,【ピボット】事業所収支!$A$3,"年月",AB$2,"事業所",$A42),"")</f>
        <v>2498262</v>
      </c>
      <c r="AC42" s="137">
        <f>IFERROR(GETPIVOTDATA("合計 / " &amp; $B42,【ピボット】事業所収支!$A$3,"年月",AC$2,"事業所",$A42),"")</f>
        <v>2462469</v>
      </c>
      <c r="AD42" s="139">
        <f ca="1">SUM(OFFSET(AC42,0,当期月数):AC42)</f>
        <v>20740553</v>
      </c>
      <c r="AE42" s="47">
        <f ca="1">AVERAGE(OFFSET(AC42,0,当期月数):AC42)</f>
        <v>2592569.125</v>
      </c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</row>
    <row r="43" spans="1:44" x14ac:dyDescent="0.15">
      <c r="A43" t="s">
        <v>767</v>
      </c>
      <c r="B43" t="s">
        <v>142</v>
      </c>
      <c r="D43" s="2125"/>
      <c r="E43" s="82" t="s">
        <v>142</v>
      </c>
      <c r="F43" s="30">
        <f>IFERROR(
(IFERROR(GETPIVOTDATA("合計 / 訪問処遇改善加算金",【ピボット】事業所売上!$A$3,"年月",F$2,"事業所",$A43),"")
+IFERROR(GETPIVOTDATA("合計 / 障害処遇改善加算金",【ピボット】事業所売上!$A$3,"年月",F$2,"事業所",$A43),""))
*F42/SUM(F$6,F$42,F$48,F$78),"")</f>
        <v>337848.2801335837</v>
      </c>
      <c r="G43" s="30">
        <f>IFERROR(
(IFERROR(GETPIVOTDATA("合計 / 訪問処遇改善加算金",【ピボット】事業所売上!$A$3,"年月",G$2,"事業所",$A43),"")
+IFERROR(GETPIVOTDATA("合計 / 障害処遇改善加算金",【ピボット】事業所売上!$A$3,"年月",G$2,"事業所",$A43),""))
*G42/SUM(G$6,G$42,G$48,G$78),"")</f>
        <v>294236.27835021028</v>
      </c>
      <c r="H43" s="30">
        <f>IFERROR(
(IFERROR(GETPIVOTDATA("合計 / 訪問処遇改善加算金",【ピボット】事業所売上!$A$3,"年月",H$2,"事業所",$A43),"")
+IFERROR(GETPIVOTDATA("合計 / 障害処遇改善加算金",【ピボット】事業所売上!$A$3,"年月",H$2,"事業所",$A43),""))
*H42/SUM(H$6,H$42,H$48,H$78),"")</f>
        <v>329617.12206559198</v>
      </c>
      <c r="I43" s="30">
        <f>IFERROR(
(IFERROR(GETPIVOTDATA("合計 / 訪問処遇改善加算金",【ピボット】事業所売上!$A$3,"年月",I$2,"事業所",$A43),"")
+IFERROR(GETPIVOTDATA("合計 / 障害処遇改善加算金",【ピボット】事業所売上!$A$3,"年月",I$2,"事業所",$A43),""))
*I42/SUM(I$6,I$42,I$48,I$78),"")</f>
        <v>322092.49546754098</v>
      </c>
      <c r="J43" s="30">
        <f>IFERROR(
(IFERROR(GETPIVOTDATA("合計 / 訪問処遇改善加算金",【ピボット】事業所売上!$A$3,"年月",J$2,"事業所",$A43),"")
+IFERROR(GETPIVOTDATA("合計 / 障害処遇改善加算金",【ピボット】事業所売上!$A$3,"年月",J$2,"事業所",$A43),""))
*J42/SUM(J$6,J$42,J$48,J$78),"")</f>
        <v>317531.9311443601</v>
      </c>
      <c r="K43" s="30">
        <f>IFERROR(
(IFERROR(GETPIVOTDATA("合計 / 訪問処遇改善加算金",【ピボット】事業所売上!$A$3,"年月",K$2,"事業所",$A43),"")
+IFERROR(GETPIVOTDATA("合計 / 障害処遇改善加算金",【ピボット】事業所売上!$A$3,"年月",K$2,"事業所",$A43),""))
*K42/SUM(K$6,K$42,K$48,K$78),"")</f>
        <v>303374.26484753907</v>
      </c>
      <c r="L43" s="30">
        <f>IFERROR(
(IFERROR(GETPIVOTDATA("合計 / 訪問処遇改善加算金",【ピボット】事業所売上!$A$3,"年月",L$2,"事業所",$A43),"")
+IFERROR(GETPIVOTDATA("合計 / 障害処遇改善加算金",【ピボット】事業所売上!$A$3,"年月",L$2,"事業所",$A43),""))
*L42/SUM(L$6,L$42,L$48,L$78),"")</f>
        <v>260740.59901747483</v>
      </c>
      <c r="M43" s="30">
        <f>IFERROR(
(IFERROR(GETPIVOTDATA("合計 / 訪問処遇改善加算金",【ピボット】事業所売上!$A$3,"年月",M$2,"事業所",$A43),"")
+IFERROR(GETPIVOTDATA("合計 / 障害処遇改善加算金",【ピボット】事業所売上!$A$3,"年月",M$2,"事業所",$A43),""))
*M42/SUM(M$6,M$42,M$48,M$78),"")</f>
        <v>287400.77287636598</v>
      </c>
      <c r="N43" s="30">
        <f>IFERROR(
(IFERROR(GETPIVOTDATA("合計 / 訪問処遇改善加算金",【ピボット】事業所売上!$A$3,"年月",N$2,"事業所",$A43),"")
+IFERROR(GETPIVOTDATA("合計 / 障害処遇改善加算金",【ピボット】事業所売上!$A$3,"年月",N$2,"事業所",$A43),""))
*N42/SUM(N$6,N$42,N$48,N$78),"")</f>
        <v>299223.46719136153</v>
      </c>
      <c r="O43" s="30">
        <f>IFERROR(
(IFERROR(GETPIVOTDATA("合計 / 訪問処遇改善加算金",【ピボット】事業所売上!$A$3,"年月",O$2,"事業所",$A43),"")
+IFERROR(GETPIVOTDATA("合計 / 障害処遇改善加算金",【ピボット】事業所売上!$A$3,"年月",O$2,"事業所",$A43),""))
*O42/SUM(O$6,O$42,O$48,O$78),"")</f>
        <v>311675.12285275402</v>
      </c>
      <c r="P43" s="30">
        <f>IFERROR(
(IFERROR(GETPIVOTDATA("合計 / 訪問処遇改善加算金",【ピボット】事業所売上!$A$3,"年月",P$2,"事業所",$A43),"")
+IFERROR(GETPIVOTDATA("合計 / 障害処遇改善加算金",【ピボット】事業所売上!$A$3,"年月",P$2,"事業所",$A43),""))
*P42/SUM(P$6,P$42,P$48,P$78),"")</f>
        <v>306957.66751089768</v>
      </c>
      <c r="Q43" s="30">
        <f>IFERROR(
(IFERROR(GETPIVOTDATA("合計 / 訪問処遇改善加算金",【ピボット】事業所売上!$A$3,"年月",Q$2,"事業所",$A43),"")
+IFERROR(GETPIVOTDATA("合計 / 障害処遇改善加算金",【ピボット】事業所売上!$A$3,"年月",Q$2,"事業所",$A43),""))
*Q42/SUM(Q$6,Q$42,Q$48,Q$78),"")</f>
        <v>330139.728700065</v>
      </c>
      <c r="R43" s="30">
        <f>IFERROR(
(IFERROR(GETPIVOTDATA("合計 / 訪問処遇改善加算金",【ピボット】事業所売上!$A$3,"年月",R$2,"事業所",$A43),"")
+IFERROR(GETPIVOTDATA("合計 / 障害処遇改善加算金",【ピボット】事業所売上!$A$3,"年月",R$2,"事業所",$A43),""))
*R42/SUM(R$6,R$42,R$48,R$78),"")</f>
        <v>321749.47219850292</v>
      </c>
      <c r="S43" s="30">
        <f>IFERROR(
(IFERROR(GETPIVOTDATA("合計 / 訪問処遇改善加算金",【ピボット】事業所売上!$A$3,"年月",S$2,"事業所",$A43),"")
+IFERROR(GETPIVOTDATA("合計 / 障害処遇改善加算金",【ピボット】事業所売上!$A$3,"年月",S$2,"事業所",$A43),""))
*S42/SUM(S$6,S$42,S$48,S$78),"")</f>
        <v>286649.73689049168</v>
      </c>
      <c r="T43" s="30">
        <f>IFERROR(
(IFERROR(GETPIVOTDATA("合計 / 訪問処遇改善加算金",【ピボット】事業所売上!$A$3,"年月",T$2,"事業所",$A43),"")
+IFERROR(GETPIVOTDATA("合計 / 障害処遇改善加算金",【ピボット】事業所売上!$A$3,"年月",T$2,"事業所",$A43),""))
*T42/SUM(T$6,T$42,T$48,T$78),"")</f>
        <v>268963.37475639227</v>
      </c>
      <c r="U43" s="30">
        <f>IFERROR(
(IFERROR(GETPIVOTDATA("合計 / 訪問処遇改善加算金",【ピボット】事業所売上!$A$3,"年月",U$2,"事業所",$A43),"")
+IFERROR(GETPIVOTDATA("合計 / 障害処遇改善加算金",【ピボット】事業所売上!$A$3,"年月",U$2,"事業所",$A43),""))
*U42/SUM(U$6,U$42,U$48,U$78),"")</f>
        <v>247772.08660282355</v>
      </c>
      <c r="V43" s="30">
        <f>IFERROR(
(IFERROR(GETPIVOTDATA("合計 / 訪問処遇改善加算金",【ピボット】事業所売上!$A$3,"年月",V$2,"事業所",$A43),"")
+IFERROR(GETPIVOTDATA("合計 / 障害処遇改善加算金",【ピボット】事業所売上!$A$3,"年月",V$2,"事業所",$A43),""))
*V42/SUM(V$6,V$42,V$48,V$78),"")</f>
        <v>229876.87819783503</v>
      </c>
      <c r="W43" s="30">
        <f>IFERROR(
(IFERROR(GETPIVOTDATA("合計 / 訪問処遇改善加算金",【ピボット】事業所売上!$A$3,"年月",W$2,"事業所",$A43),"")
+IFERROR(GETPIVOTDATA("合計 / 障害処遇改善加算金",【ピボット】事業所売上!$A$3,"年月",W$2,"事業所",$A43),""))
*W42/SUM(W$6,W$42,W$48,W$78),"")</f>
        <v>267490.80791371583</v>
      </c>
      <c r="X43" s="30">
        <f>IFERROR(
(IFERROR(GETPIVOTDATA("合計 / 訪問処遇改善加算金",【ピボット】事業所売上!$A$3,"年月",X$2,"事業所",$A43),"")
+IFERROR(GETPIVOTDATA("合計 / 障害処遇改善加算金",【ピボット】事業所売上!$A$3,"年月",X$2,"事業所",$A43),""))
*X42/SUM(X$6,X$42,X$48,X$78),"")</f>
        <v>398543.38950236823</v>
      </c>
      <c r="Y43" s="30">
        <f>IFERROR(
(IFERROR(GETPIVOTDATA("合計 / 訪問処遇改善加算金",【ピボット】事業所売上!$A$3,"年月",Y$2,"事業所",$A43),"")
+IFERROR(GETPIVOTDATA("合計 / 障害処遇改善加算金",【ピボット】事業所売上!$A$3,"年月",Y$2,"事業所",$A43),""))
*Y42/SUM(Y$6,Y$42,Y$48,Y$78),"")</f>
        <v>301155.13422713144</v>
      </c>
      <c r="Z43" s="30">
        <f>IFERROR(
(IFERROR(GETPIVOTDATA("合計 / 訪問処遇改善加算金",【ピボット】事業所売上!$A$3,"年月",Z$2,"事業所",$A43),"")
+IFERROR(GETPIVOTDATA("合計 / 障害処遇改善加算金",【ピボット】事業所売上!$A$3,"年月",Z$2,"事業所",$A43),""))
*Z42/SUM(Z$6,Z$42,Z$48,Z$78),"")</f>
        <v>309147.48179390613</v>
      </c>
      <c r="AA43" s="30">
        <f>IFERROR(
(IFERROR(GETPIVOTDATA("合計 / 訪問処遇改善加算金",【ピボット】事業所売上!$A$3,"年月",AA$2,"事業所",$A43),"")
+IFERROR(GETPIVOTDATA("合計 / 障害処遇改善加算金",【ピボット】事業所売上!$A$3,"年月",AA$2,"事業所",$A43),""))
*AA42/SUM(AA$6,AA$42,AA$48,AA$78),"")</f>
        <v>283029.52262502926</v>
      </c>
      <c r="AB43" s="30">
        <f>IFERROR(
(IFERROR(GETPIVOTDATA("合計 / 訪問処遇改善加算金",【ピボット】事業所売上!$A$3,"年月",AB$2,"事業所",$A43),"")
+IFERROR(GETPIVOTDATA("合計 / 障害処遇改善加算金",【ピボット】事業所売上!$A$3,"年月",AB$2,"事業所",$A43),""))
*AB42/SUM(AB$6,AB$42,AB$48,AB$78),"")</f>
        <v>285885.01399613492</v>
      </c>
      <c r="AC43" s="30">
        <f>IFERROR(
(IFERROR(GETPIVOTDATA("合計 / 訪問処遇改善加算金",【ピボット】事業所売上!$A$3,"年月",AC$2,"事業所",$A43),"")
+IFERROR(GETPIVOTDATA("合計 / 障害処遇改善加算金",【ピボット】事業所売上!$A$3,"年月",AC$2,"事業所",$A43),""))
*AC42/SUM(AC$6,AC$42,AC$48,AC$78),"")</f>
        <v>0</v>
      </c>
      <c r="AD43" s="140">
        <f ca="1">SUM(OFFSET(AC43,0,当期月数):AC43)</f>
        <v>2075128.228256121</v>
      </c>
      <c r="AE43" s="46">
        <f ca="1">AVERAGE(OFFSET(AC43,0,当期月数):AC43)</f>
        <v>259391.02853201513</v>
      </c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</row>
    <row r="44" spans="1:44" x14ac:dyDescent="0.15">
      <c r="A44" t="s">
        <v>755</v>
      </c>
      <c r="B44" t="s">
        <v>15</v>
      </c>
      <c r="D44" s="2125"/>
      <c r="E44" s="83" t="s">
        <v>15</v>
      </c>
      <c r="F44" s="30">
        <f>IFERROR(GETPIVOTDATA("合計 / " &amp; $B44,【ピボット】事業所収支!$A$3,"年月",F$2,"事業所",$A44),"")</f>
        <v>1390513</v>
      </c>
      <c r="G44" s="30">
        <f>IFERROR(GETPIVOTDATA("合計 / " &amp; $B44,【ピボット】事業所収支!$A$3,"年月",G$2,"事業所",$A44),"")</f>
        <v>1590430</v>
      </c>
      <c r="H44" s="30">
        <f>IFERROR(GETPIVOTDATA("合計 / " &amp; $B44,【ピボット】事業所収支!$A$3,"年月",H$2,"事業所",$A44),"")</f>
        <v>1701691</v>
      </c>
      <c r="I44" s="30">
        <f>IFERROR(GETPIVOTDATA("合計 / " &amp; $B44,【ピボット】事業所収支!$A$3,"年月",I$2,"事業所",$A44),"")</f>
        <v>1749915</v>
      </c>
      <c r="J44" s="30">
        <f>IFERROR(GETPIVOTDATA("合計 / " &amp; $B44,【ピボット】事業所収支!$A$3,"年月",J$2,"事業所",$A44),"")</f>
        <v>1657682</v>
      </c>
      <c r="K44" s="30">
        <f>IFERROR(GETPIVOTDATA("合計 / " &amp; $B44,【ピボット】事業所収支!$A$3,"年月",K$2,"事業所",$A44),"")</f>
        <v>1844386</v>
      </c>
      <c r="L44" s="30">
        <f>IFERROR(GETPIVOTDATA("合計 / " &amp; $B44,【ピボット】事業所収支!$A$3,"年月",L$2,"事業所",$A44),"")</f>
        <v>1778292</v>
      </c>
      <c r="M44" s="30">
        <f>IFERROR(GETPIVOTDATA("合計 / " &amp; $B44,【ピボット】事業所収支!$A$3,"年月",M$2,"事業所",$A44),"")</f>
        <v>2331206.8134925622</v>
      </c>
      <c r="N44" s="30">
        <f>IFERROR(GETPIVOTDATA("合計 / " &amp; $B44,【ピボット】事業所収支!$A$3,"年月",N$2,"事業所",$A44),"")</f>
        <v>2142868</v>
      </c>
      <c r="O44" s="30">
        <f>IFERROR(GETPIVOTDATA("合計 / " &amp; $B44,【ピボット】事業所収支!$A$3,"年月",O$2,"事業所",$A44),"")</f>
        <v>1544400</v>
      </c>
      <c r="P44" s="30">
        <f>IFERROR(GETPIVOTDATA("合計 / " &amp; $B44,【ピボット】事業所収支!$A$3,"年月",P$2,"事業所",$A44),"")</f>
        <v>1713633</v>
      </c>
      <c r="Q44" s="30">
        <f>IFERROR(GETPIVOTDATA("合計 / " &amp; $B44,【ピボット】事業所収支!$A$3,"年月",Q$2,"事業所",$A44),"")</f>
        <v>1717258</v>
      </c>
      <c r="R44" s="30">
        <f>IFERROR(GETPIVOTDATA("合計 / " &amp; $B44,【ピボット】事業所収支!$A$3,"年月",R$2,"事業所",$A44),"")</f>
        <v>1591339</v>
      </c>
      <c r="S44" s="30">
        <f>IFERROR(GETPIVOTDATA("合計 / " &amp; $B44,【ピボット】事業所収支!$A$3,"年月",S$2,"事業所",$A44),"")</f>
        <v>2098226</v>
      </c>
      <c r="T44" s="30">
        <f>IFERROR(GETPIVOTDATA("合計 / " &amp; $B44,【ピボット】事業所収支!$A$3,"年月",T$2,"事業所",$A44),"")</f>
        <v>2002252</v>
      </c>
      <c r="U44" s="30">
        <f>IFERROR(GETPIVOTDATA("合計 / " &amp; $B44,【ピボット】事業所収支!$A$3,"年月",U$2,"事業所",$A44),"")</f>
        <v>1812806</v>
      </c>
      <c r="V44" s="30">
        <f>IFERROR(GETPIVOTDATA("合計 / " &amp; $B44,【ピボット】事業所収支!$A$3,"年月",V$2,"事業所",$A44),"")</f>
        <v>1316645</v>
      </c>
      <c r="W44" s="30">
        <f>IFERROR(GETPIVOTDATA("合計 / " &amp; $B44,【ピボット】事業所収支!$A$3,"年月",W$2,"事業所",$A44),"")</f>
        <v>1375936</v>
      </c>
      <c r="X44" s="30">
        <f>IFERROR(GETPIVOTDATA("合計 / " &amp; $B44,【ピボット】事業所収支!$A$3,"年月",X$2,"事業所",$A44),"")</f>
        <v>1428141</v>
      </c>
      <c r="Y44" s="30">
        <f>IFERROR(GETPIVOTDATA("合計 / " &amp; $B44,【ピボット】事業所収支!$A$3,"年月",Y$2,"事業所",$A44),"")</f>
        <v>1812297</v>
      </c>
      <c r="Z44" s="30">
        <f>IFERROR(GETPIVOTDATA("合計 / " &amp; $B44,【ピボット】事業所収支!$A$3,"年月",Z$2,"事業所",$A44),"")</f>
        <v>1470264</v>
      </c>
      <c r="AA44" s="30">
        <f>IFERROR(GETPIVOTDATA("合計 / " &amp; $B44,【ピボット】事業所収支!$A$3,"年月",AA$2,"事業所",$A44),"")</f>
        <v>1322966</v>
      </c>
      <c r="AB44" s="30">
        <f>IFERROR(GETPIVOTDATA("合計 / " &amp; $B44,【ピボット】事業所収支!$A$3,"年月",AB$2,"事業所",$A44),"")</f>
        <v>1377986</v>
      </c>
      <c r="AC44" s="30">
        <f>IFERROR(GETPIVOTDATA("合計 / " &amp; $B44,【ピボット】事業所収支!$A$3,"年月",AC$2,"事業所",$A44),"")</f>
        <v>1430079</v>
      </c>
      <c r="AD44" s="140">
        <f ca="1">SUM(OFFSET(AC44,0,当期月数):AC44)</f>
        <v>11534314</v>
      </c>
      <c r="AE44" s="46">
        <f ca="1">AVERAGE(OFFSET(AC44,0,当期月数):AC44)</f>
        <v>1441789.25</v>
      </c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</row>
    <row r="45" spans="1:44" x14ac:dyDescent="0.15">
      <c r="A45" t="s">
        <v>755</v>
      </c>
      <c r="B45" t="s">
        <v>48</v>
      </c>
      <c r="D45" s="2125"/>
      <c r="E45" s="83" t="s">
        <v>48</v>
      </c>
      <c r="F45" s="115">
        <f t="shared" ref="F45:AC45" si="12">IFERROR(F44/F42*100,"")</f>
        <v>43.20550464986934</v>
      </c>
      <c r="G45" s="115">
        <f t="shared" si="12"/>
        <v>54.966961345863332</v>
      </c>
      <c r="H45" s="115">
        <f t="shared" si="12"/>
        <v>53.437147508283942</v>
      </c>
      <c r="I45" s="115">
        <f t="shared" si="12"/>
        <v>55.999179492168373</v>
      </c>
      <c r="J45" s="115">
        <f t="shared" si="12"/>
        <v>53.797334022209775</v>
      </c>
      <c r="K45" s="115">
        <f t="shared" si="12"/>
        <v>61.702918465819089</v>
      </c>
      <c r="L45" s="115">
        <f t="shared" si="12"/>
        <v>69.068547239129416</v>
      </c>
      <c r="M45" s="115">
        <f t="shared" si="12"/>
        <v>81.695370708221731</v>
      </c>
      <c r="N45" s="115">
        <f t="shared" si="12"/>
        <v>81.876950810815146</v>
      </c>
      <c r="O45" s="115">
        <f t="shared" si="12"/>
        <v>50.50425774045442</v>
      </c>
      <c r="P45" s="115">
        <f t="shared" si="12"/>
        <v>56.057924097540749</v>
      </c>
      <c r="Q45" s="115">
        <f t="shared" si="12"/>
        <v>53.938827419799637</v>
      </c>
      <c r="R45" s="115">
        <f t="shared" si="12"/>
        <v>52.66357724292925</v>
      </c>
      <c r="S45" s="115">
        <f t="shared" si="12"/>
        <v>77.937862949626663</v>
      </c>
      <c r="T45" s="115">
        <f t="shared" si="12"/>
        <v>78.624920334549728</v>
      </c>
      <c r="U45" s="115">
        <f t="shared" si="12"/>
        <v>77.092489843582882</v>
      </c>
      <c r="V45" s="115">
        <f t="shared" si="12"/>
        <v>62.338991123886345</v>
      </c>
      <c r="W45" s="115">
        <f t="shared" si="12"/>
        <v>57.396074276310713</v>
      </c>
      <c r="X45" s="115">
        <f t="shared" si="12"/>
        <v>40.549413014338256</v>
      </c>
      <c r="Y45" s="115">
        <f t="shared" si="12"/>
        <v>69.534841337290388</v>
      </c>
      <c r="Z45" s="115">
        <f t="shared" si="12"/>
        <v>55.965945317766682</v>
      </c>
      <c r="AA45" s="115">
        <f t="shared" si="12"/>
        <v>52.600449361721083</v>
      </c>
      <c r="AB45" s="115">
        <f t="shared" si="12"/>
        <v>55.157785692613501</v>
      </c>
      <c r="AC45" s="115">
        <f t="shared" si="12"/>
        <v>58.075005208187392</v>
      </c>
      <c r="AD45" s="144">
        <f ca="1">AD44/AD42*100</f>
        <v>55.612374462725271</v>
      </c>
      <c r="AE45" s="154">
        <f ca="1">AE44/AE42*100</f>
        <v>55.612374462725271</v>
      </c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</row>
    <row r="46" spans="1:44" x14ac:dyDescent="0.15">
      <c r="A46" t="s">
        <v>755</v>
      </c>
      <c r="B46" t="s">
        <v>1226</v>
      </c>
      <c r="D46" s="2125"/>
      <c r="E46" s="84" t="s">
        <v>35</v>
      </c>
      <c r="F46" s="53">
        <f>IFERROR(GETPIVOTDATA("合計 / " &amp; $B46,【ピボット】事業所収支!$A$3,"年月",F$2,"事業所",$A46),"")</f>
        <v>678719</v>
      </c>
      <c r="G46" s="53">
        <f>IFERROR(GETPIVOTDATA("合計 / " &amp; $B46,【ピボット】事業所収支!$A$3,"年月",G$2,"事業所",$A46),"")</f>
        <v>716850</v>
      </c>
      <c r="H46" s="53">
        <f>IFERROR(GETPIVOTDATA("合計 / " &amp; $B46,【ピボット】事業所収支!$A$3,"年月",H$2,"事業所",$A46),"")</f>
        <v>312799</v>
      </c>
      <c r="I46" s="53">
        <f>IFERROR(GETPIVOTDATA("合計 / " &amp; $B46,【ピボット】事業所収支!$A$3,"年月",I$2,"事業所",$A46),"")</f>
        <v>340117</v>
      </c>
      <c r="J46" s="53">
        <f>IFERROR(GETPIVOTDATA("合計 / " &amp; $B46,【ピボット】事業所収支!$A$3,"年月",J$2,"事業所",$A46),"")</f>
        <v>521873</v>
      </c>
      <c r="K46" s="53">
        <f>IFERROR(GETPIVOTDATA("合計 / " &amp; $B46,【ピボット】事業所収支!$A$3,"年月",K$2,"事業所",$A46),"")</f>
        <v>346984</v>
      </c>
      <c r="L46" s="53">
        <f>IFERROR(GETPIVOTDATA("合計 / " &amp; $B46,【ピボット】事業所収支!$A$3,"年月",L$2,"事業所",$A46),"")</f>
        <v>604342</v>
      </c>
      <c r="M46" s="53">
        <f>IFERROR(GETPIVOTDATA("合計 / " &amp; $B46,【ピボット】事業所収支!$A$3,"年月",M$2,"事業所",$A46),"")</f>
        <v>582653</v>
      </c>
      <c r="N46" s="53">
        <f>IFERROR(GETPIVOTDATA("合計 / " &amp; $B46,【ピボット】事業所収支!$A$3,"年月",N$2,"事業所",$A46),"")</f>
        <v>573594</v>
      </c>
      <c r="O46" s="53">
        <f>IFERROR(GETPIVOTDATA("合計 / " &amp; $B46,【ピボット】事業所収支!$A$3,"年月",O$2,"事業所",$A46),"")</f>
        <v>616591</v>
      </c>
      <c r="P46" s="53">
        <f>IFERROR(GETPIVOTDATA("合計 / " &amp; $B46,【ピボット】事業所収支!$A$3,"年月",P$2,"事業所",$A46),"")</f>
        <v>684050</v>
      </c>
      <c r="Q46" s="53">
        <f>IFERROR(GETPIVOTDATA("合計 / " &amp; $B46,【ピボット】事業所収支!$A$3,"年月",Q$2,"事業所",$A46),"")</f>
        <v>706946</v>
      </c>
      <c r="R46" s="53">
        <f>IFERROR(GETPIVOTDATA("合計 / " &amp; $B46,【ピボット】事業所収支!$A$3,"年月",R$2,"事業所",$A46),"")</f>
        <v>727124</v>
      </c>
      <c r="S46" s="53">
        <f>IFERROR(GETPIVOTDATA("合計 / " &amp; $B46,【ピボット】事業所収支!$A$3,"年月",S$2,"事業所",$A46),"")</f>
        <v>683680</v>
      </c>
      <c r="T46" s="53">
        <f>IFERROR(GETPIVOTDATA("合計 / " &amp; $B46,【ピボット】事業所収支!$A$3,"年月",T$2,"事業所",$A46),"")</f>
        <v>678728</v>
      </c>
      <c r="U46" s="53">
        <f>IFERROR(GETPIVOTDATA("合計 / " &amp; $B46,【ピボット】事業所収支!$A$3,"年月",U$2,"事業所",$A46),"")</f>
        <v>942554</v>
      </c>
      <c r="V46" s="53">
        <f>IFERROR(GETPIVOTDATA("合計 / " &amp; $B46,【ピボット】事業所収支!$A$3,"年月",V$2,"事業所",$A46),"")</f>
        <v>309334</v>
      </c>
      <c r="W46" s="53">
        <f>IFERROR(GETPIVOTDATA("合計 / " &amp; $B46,【ピボット】事業所収支!$A$3,"年月",W$2,"事業所",$A46),"")</f>
        <v>691457</v>
      </c>
      <c r="X46" s="53">
        <f>IFERROR(GETPIVOTDATA("合計 / " &amp; $B46,【ピボット】事業所収支!$A$3,"年月",X$2,"事業所",$A46),"")</f>
        <v>568580</v>
      </c>
      <c r="Y46" s="53">
        <f>IFERROR(GETPIVOTDATA("合計 / " &amp; $B46,【ピボット】事業所収支!$A$3,"年月",Y$2,"事業所",$A46),"")</f>
        <v>547437</v>
      </c>
      <c r="Z46" s="53">
        <f>IFERROR(GETPIVOTDATA("合計 / " &amp; $B46,【ピボット】事業所収支!$A$3,"年月",Z$2,"事業所",$A46),"")</f>
        <v>648199</v>
      </c>
      <c r="AA46" s="53">
        <f>IFERROR(GETPIVOTDATA("合計 / " &amp; $B46,【ピボット】事業所収支!$A$3,"年月",AA$2,"事業所",$A46),"")</f>
        <v>588210</v>
      </c>
      <c r="AB46" s="53">
        <f>IFERROR(GETPIVOTDATA("合計 / " &amp; $B46,【ピボット】事業所収支!$A$3,"年月",AB$2,"事業所",$A46),"")</f>
        <v>778041</v>
      </c>
      <c r="AC46" s="53">
        <f>IFERROR(GETPIVOTDATA("合計 / " &amp; $B46,【ピボット】事業所収支!$A$3,"年月",AC$2,"事業所",$A46),"")</f>
        <v>601669</v>
      </c>
      <c r="AD46" s="141">
        <f ca="1">SUM(OFFSET(AC46,0,当期月数):AC46)</f>
        <v>4732927</v>
      </c>
      <c r="AE46" s="56">
        <f ca="1">AVERAGE(OFFSET(AC46,0,当期月数):AC46)</f>
        <v>591615.875</v>
      </c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</row>
    <row r="47" spans="1:44" ht="14.25" thickBot="1" x14ac:dyDescent="0.2">
      <c r="B47" t="s">
        <v>32</v>
      </c>
      <c r="D47" s="2127"/>
      <c r="E47" s="87" t="s">
        <v>32</v>
      </c>
      <c r="F47" s="116">
        <f t="shared" ref="F47:AC47" si="13">IFERROR(F42-(F44+F46),"")</f>
        <v>1149138</v>
      </c>
      <c r="G47" s="116">
        <f t="shared" si="13"/>
        <v>586149</v>
      </c>
      <c r="H47" s="116">
        <f t="shared" si="13"/>
        <v>1169982</v>
      </c>
      <c r="I47" s="116">
        <f t="shared" si="13"/>
        <v>1034862</v>
      </c>
      <c r="J47" s="116">
        <f t="shared" si="13"/>
        <v>901791</v>
      </c>
      <c r="K47" s="116">
        <f t="shared" si="13"/>
        <v>797769</v>
      </c>
      <c r="L47" s="116">
        <f t="shared" si="13"/>
        <v>192043</v>
      </c>
      <c r="M47" s="116">
        <f t="shared" si="13"/>
        <v>-60323.813492562156</v>
      </c>
      <c r="N47" s="116">
        <f t="shared" si="13"/>
        <v>-99281</v>
      </c>
      <c r="O47" s="116">
        <f t="shared" si="13"/>
        <v>896969</v>
      </c>
      <c r="P47" s="116">
        <f t="shared" si="13"/>
        <v>659214</v>
      </c>
      <c r="Q47" s="116">
        <f t="shared" si="13"/>
        <v>759510</v>
      </c>
      <c r="R47" s="116">
        <f t="shared" si="13"/>
        <v>703244</v>
      </c>
      <c r="S47" s="116">
        <f t="shared" si="13"/>
        <v>-89728</v>
      </c>
      <c r="T47" s="116">
        <f t="shared" si="13"/>
        <v>-134393</v>
      </c>
      <c r="U47" s="116">
        <f t="shared" si="13"/>
        <v>-403891</v>
      </c>
      <c r="V47" s="116">
        <f t="shared" si="13"/>
        <v>486094</v>
      </c>
      <c r="W47" s="116">
        <f t="shared" si="13"/>
        <v>329872</v>
      </c>
      <c r="X47" s="116">
        <f t="shared" si="13"/>
        <v>1525256</v>
      </c>
      <c r="Y47" s="116">
        <f t="shared" si="13"/>
        <v>246581</v>
      </c>
      <c r="Z47" s="116">
        <f t="shared" si="13"/>
        <v>508606</v>
      </c>
      <c r="AA47" s="116">
        <f t="shared" si="13"/>
        <v>603947</v>
      </c>
      <c r="AB47" s="116">
        <f t="shared" si="13"/>
        <v>342235</v>
      </c>
      <c r="AC47" s="116">
        <f t="shared" si="13"/>
        <v>430721</v>
      </c>
      <c r="AD47" s="142">
        <f ca="1">SUM(OFFSET(AC47,0,当期月数):AC47)</f>
        <v>4473312</v>
      </c>
      <c r="AE47" s="152">
        <f ca="1">AVERAGE(OFFSET(AC47,0,当期月数):AC47)</f>
        <v>559164</v>
      </c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</row>
    <row r="48" spans="1:44" hidden="1" x14ac:dyDescent="0.15">
      <c r="A48" t="s">
        <v>750</v>
      </c>
      <c r="B48" t="s">
        <v>26</v>
      </c>
      <c r="D48" s="2126" t="s">
        <v>39</v>
      </c>
      <c r="E48" s="86" t="s">
        <v>144</v>
      </c>
      <c r="F48" s="137">
        <f>IFERROR(GETPIVOTDATA("合計 / " &amp; $B48,【ピボット】事業所収支!$A$3,"年月",F$2,"事業所",$A48),"")</f>
        <v>596033</v>
      </c>
      <c r="G48" s="137">
        <f>IFERROR(GETPIVOTDATA("合計 / " &amp; $B48,【ピボット】事業所収支!$A$3,"年月",G$2,"事業所",$A48),"")</f>
        <v>0</v>
      </c>
      <c r="H48" s="137">
        <f>IFERROR(GETPIVOTDATA("合計 / " &amp; $B48,【ピボット】事業所収支!$A$3,"年月",H$2,"事業所",$A48),"")</f>
        <v>0</v>
      </c>
      <c r="I48" s="137">
        <f>IFERROR(GETPIVOTDATA("合計 / " &amp; $B48,【ピボット】事業所収支!$A$3,"年月",I$2,"事業所",$A48),"")</f>
        <v>0</v>
      </c>
      <c r="J48" s="137" t="str">
        <f>IFERROR(GETPIVOTDATA("合計 / " &amp; $B48,【ピボット】事業所収支!$A$3,"年月",J$2,"事業所",$A48),"")</f>
        <v/>
      </c>
      <c r="K48" s="137" t="str">
        <f>IFERROR(GETPIVOTDATA("合計 / " &amp; $B48,【ピボット】事業所収支!$A$3,"年月",K$2,"事業所",$A48),"")</f>
        <v/>
      </c>
      <c r="L48" s="137" t="str">
        <f>IFERROR(GETPIVOTDATA("合計 / " &amp; $B48,【ピボット】事業所収支!$A$3,"年月",L$2,"事業所",$A48),"")</f>
        <v/>
      </c>
      <c r="M48" s="137" t="str">
        <f>IFERROR(GETPIVOTDATA("合計 / " &amp; $B48,【ピボット】事業所収支!$A$3,"年月",M$2,"事業所",$A48),"")</f>
        <v/>
      </c>
      <c r="N48" s="137" t="str">
        <f>IFERROR(GETPIVOTDATA("合計 / " &amp; $B48,【ピボット】事業所収支!$A$3,"年月",N$2,"事業所",$A48),"")</f>
        <v/>
      </c>
      <c r="O48" s="137" t="str">
        <f>IFERROR(GETPIVOTDATA("合計 / " &amp; $B48,【ピボット】事業所収支!$A$3,"年月",O$2,"事業所",$A48),"")</f>
        <v/>
      </c>
      <c r="P48" s="137" t="str">
        <f>IFERROR(GETPIVOTDATA("合計 / " &amp; $B48,【ピボット】事業所収支!$A$3,"年月",P$2,"事業所",$A48),"")</f>
        <v/>
      </c>
      <c r="Q48" s="137" t="str">
        <f>IFERROR(GETPIVOTDATA("合計 / " &amp; $B48,【ピボット】事業所収支!$A$3,"年月",Q$2,"事業所",$A48),"")</f>
        <v/>
      </c>
      <c r="R48" s="137" t="str">
        <f>IFERROR(GETPIVOTDATA("合計 / " &amp; $B48,【ピボット】事業所収支!$A$3,"年月",R$2,"事業所",$A48),"")</f>
        <v/>
      </c>
      <c r="S48" s="137" t="str">
        <f>IFERROR(GETPIVOTDATA("合計 / " &amp; $B48,【ピボット】事業所収支!$A$3,"年月",S$2,"事業所",$A48),"")</f>
        <v/>
      </c>
      <c r="T48" s="137" t="str">
        <f>IFERROR(GETPIVOTDATA("合計 / " &amp; $B48,【ピボット】事業所収支!$A$3,"年月",T$2,"事業所",$A48),"")</f>
        <v/>
      </c>
      <c r="U48" s="137" t="str">
        <f>IFERROR(GETPIVOTDATA("合計 / " &amp; $B48,【ピボット】事業所収支!$A$3,"年月",U$2,"事業所",$A48),"")</f>
        <v/>
      </c>
      <c r="V48" s="137" t="str">
        <f>IFERROR(GETPIVOTDATA("合計 / " &amp; $B48,【ピボット】事業所収支!$A$3,"年月",V$2,"事業所",$A48),"")</f>
        <v/>
      </c>
      <c r="W48" s="137" t="str">
        <f>IFERROR(GETPIVOTDATA("合計 / " &amp; $B48,【ピボット】事業所収支!$A$3,"年月",W$2,"事業所",$A48),"")</f>
        <v/>
      </c>
      <c r="X48" s="137" t="str">
        <f>IFERROR(GETPIVOTDATA("合計 / " &amp; $B48,【ピボット】事業所収支!$A$3,"年月",X$2,"事業所",$A48),"")</f>
        <v/>
      </c>
      <c r="Y48" s="137" t="str">
        <f>IFERROR(GETPIVOTDATA("合計 / " &amp; $B48,【ピボット】事業所収支!$A$3,"年月",Y$2,"事業所",$A48),"")</f>
        <v/>
      </c>
      <c r="Z48" s="137" t="str">
        <f>IFERROR(GETPIVOTDATA("合計 / " &amp; $B48,【ピボット】事業所収支!$A$3,"年月",Z$2,"事業所",$A48),"")</f>
        <v/>
      </c>
      <c r="AA48" s="137" t="str">
        <f>IFERROR(GETPIVOTDATA("合計 / " &amp; $B48,【ピボット】事業所収支!$A$3,"年月",AA$2,"事業所",$A48),"")</f>
        <v/>
      </c>
      <c r="AB48" s="137" t="str">
        <f>IFERROR(GETPIVOTDATA("合計 / " &amp; $B48,【ピボット】事業所収支!$A$3,"年月",AB$2,"事業所",$A48),"")</f>
        <v/>
      </c>
      <c r="AC48" s="137" t="str">
        <f>IFERROR(GETPIVOTDATA("合計 / " &amp; $B48,【ピボット】事業所収支!$A$3,"年月",AC$2,"事業所",$A48),"")</f>
        <v/>
      </c>
      <c r="AD48" s="139">
        <f ca="1">SUM(OFFSET(AC48,0,当期月数):AC48)</f>
        <v>0</v>
      </c>
      <c r="AE48" s="47" t="e">
        <f ca="1">AVERAGE(OFFSET(AC48,0,当期月数):AC48)</f>
        <v>#DIV/0!</v>
      </c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</row>
    <row r="49" spans="1:44" hidden="1" x14ac:dyDescent="0.15">
      <c r="A49" t="s">
        <v>767</v>
      </c>
      <c r="B49" t="s">
        <v>142</v>
      </c>
      <c r="D49" s="2125"/>
      <c r="E49" s="82" t="s">
        <v>142</v>
      </c>
      <c r="F49" s="30">
        <f>IFERROR(
(IFERROR(GETPIVOTDATA("合計 / 訪問処遇改善加算金",【ピボット】事業所売上!$A$3,"年月",F$2,"事業所",$A49),"")
+IFERROR(GETPIVOTDATA("合計 / 障害処遇改善加算金",【ピボット】事業所売上!$A$3,"年月",F$2,"事業所",$A49),""))
*F48/SUM(F$6,F$42,F$48,F$78),"")</f>
        <v>62568.543689153288</v>
      </c>
      <c r="G49" s="30">
        <f>IFERROR(
(IFERROR(GETPIVOTDATA("合計 / 訪問処遇改善加算金",【ピボット】事業所売上!$A$3,"年月",G$2,"事業所",$A49),"")
+IFERROR(GETPIVOTDATA("合計 / 障害処遇改善加算金",【ピボット】事業所売上!$A$3,"年月",G$2,"事業所",$A49),""))
*G48/SUM(G$6,G$42,G$48,G$78),"")</f>
        <v>0</v>
      </c>
      <c r="H49" s="30">
        <f>IFERROR(
(IFERROR(GETPIVOTDATA("合計 / 訪問処遇改善加算金",【ピボット】事業所売上!$A$3,"年月",H$2,"事業所",$A49),"")
+IFERROR(GETPIVOTDATA("合計 / 障害処遇改善加算金",【ピボット】事業所売上!$A$3,"年月",H$2,"事業所",$A49),""))
*H48/SUM(H$6,H$42,H$48,H$78),"")</f>
        <v>0</v>
      </c>
      <c r="I49" s="30">
        <f>IFERROR(
(IFERROR(GETPIVOTDATA("合計 / 訪問処遇改善加算金",【ピボット】事業所売上!$A$3,"年月",I$2,"事業所",$A49),"")
+IFERROR(GETPIVOTDATA("合計 / 障害処遇改善加算金",【ピボット】事業所売上!$A$3,"年月",I$2,"事業所",$A49),""))
*I48/SUM(I$6,I$42,I$48,I$78),"")</f>
        <v>0</v>
      </c>
      <c r="J49" s="30" t="str">
        <f>IFERROR(
(IFERROR(GETPIVOTDATA("合計 / 訪問処遇改善加算金",【ピボット】事業所売上!$A$3,"年月",J$2,"事業所",$A49),"")
+IFERROR(GETPIVOTDATA("合計 / 障害処遇改善加算金",【ピボット】事業所売上!$A$3,"年月",J$2,"事業所",$A49),""))
*J48/SUM(J$6,J$42,J$48,J$78),"")</f>
        <v/>
      </c>
      <c r="K49" s="30" t="str">
        <f>IFERROR(
(IFERROR(GETPIVOTDATA("合計 / 訪問処遇改善加算金",【ピボット】事業所売上!$A$3,"年月",K$2,"事業所",$A49),"")
+IFERROR(GETPIVOTDATA("合計 / 障害処遇改善加算金",【ピボット】事業所売上!$A$3,"年月",K$2,"事業所",$A49),""))
*K48/SUM(K$6,K$42,K$48,K$78),"")</f>
        <v/>
      </c>
      <c r="L49" s="30" t="str">
        <f>IFERROR(
(IFERROR(GETPIVOTDATA("合計 / 訪問処遇改善加算金",【ピボット】事業所売上!$A$3,"年月",L$2,"事業所",$A49),"")
+IFERROR(GETPIVOTDATA("合計 / 障害処遇改善加算金",【ピボット】事業所売上!$A$3,"年月",L$2,"事業所",$A49),""))
*L48/SUM(L$6,L$42,L$48,L$78),"")</f>
        <v/>
      </c>
      <c r="M49" s="30" t="str">
        <f>IFERROR(
(IFERROR(GETPIVOTDATA("合計 / 訪問処遇改善加算金",【ピボット】事業所売上!$A$3,"年月",M$2,"事業所",$A49),"")
+IFERROR(GETPIVOTDATA("合計 / 障害処遇改善加算金",【ピボット】事業所売上!$A$3,"年月",M$2,"事業所",$A49),""))
*M48/SUM(M$6,M$42,M$48,M$78),"")</f>
        <v/>
      </c>
      <c r="N49" s="30" t="str">
        <f>IFERROR(
(IFERROR(GETPIVOTDATA("合計 / 訪問処遇改善加算金",【ピボット】事業所売上!$A$3,"年月",N$2,"事業所",$A49),"")
+IFERROR(GETPIVOTDATA("合計 / 障害処遇改善加算金",【ピボット】事業所売上!$A$3,"年月",N$2,"事業所",$A49),""))
*N48/SUM(N$6,N$42,N$48,N$78),"")</f>
        <v/>
      </c>
      <c r="O49" s="30" t="str">
        <f>IFERROR(
(IFERROR(GETPIVOTDATA("合計 / 訪問処遇改善加算金",【ピボット】事業所売上!$A$3,"年月",O$2,"事業所",$A49),"")
+IFERROR(GETPIVOTDATA("合計 / 障害処遇改善加算金",【ピボット】事業所売上!$A$3,"年月",O$2,"事業所",$A49),""))
*O48/SUM(O$6,O$42,O$48,O$78),"")</f>
        <v/>
      </c>
      <c r="P49" s="30" t="str">
        <f>IFERROR(
(IFERROR(GETPIVOTDATA("合計 / 訪問処遇改善加算金",【ピボット】事業所売上!$A$3,"年月",P$2,"事業所",$A49),"")
+IFERROR(GETPIVOTDATA("合計 / 障害処遇改善加算金",【ピボット】事業所売上!$A$3,"年月",P$2,"事業所",$A49),""))
*P48/SUM(P$6,P$42,P$48,P$78),"")</f>
        <v/>
      </c>
      <c r="Q49" s="30" t="str">
        <f>IFERROR(
(IFERROR(GETPIVOTDATA("合計 / 訪問処遇改善加算金",【ピボット】事業所売上!$A$3,"年月",Q$2,"事業所",$A49),"")
+IFERROR(GETPIVOTDATA("合計 / 障害処遇改善加算金",【ピボット】事業所売上!$A$3,"年月",Q$2,"事業所",$A49),""))
*Q48/SUM(Q$6,Q$42,Q$48,Q$78),"")</f>
        <v/>
      </c>
      <c r="R49" s="30" t="str">
        <f>IFERROR(
(IFERROR(GETPIVOTDATA("合計 / 訪問処遇改善加算金",【ピボット】事業所売上!$A$3,"年月",R$2,"事業所",$A49),"")
+IFERROR(GETPIVOTDATA("合計 / 障害処遇改善加算金",【ピボット】事業所売上!$A$3,"年月",R$2,"事業所",$A49),""))
*R48/SUM(R$6,R$42,R$48,R$78),"")</f>
        <v/>
      </c>
      <c r="S49" s="30" t="str">
        <f>IFERROR(
(IFERROR(GETPIVOTDATA("合計 / 訪問処遇改善加算金",【ピボット】事業所売上!$A$3,"年月",S$2,"事業所",$A49),"")
+IFERROR(GETPIVOTDATA("合計 / 障害処遇改善加算金",【ピボット】事業所売上!$A$3,"年月",S$2,"事業所",$A49),""))
*S48/SUM(S$6,S$42,S$48,S$78),"")</f>
        <v/>
      </c>
      <c r="T49" s="30" t="str">
        <f>IFERROR(
(IFERROR(GETPIVOTDATA("合計 / 訪問処遇改善加算金",【ピボット】事業所売上!$A$3,"年月",T$2,"事業所",$A49),"")
+IFERROR(GETPIVOTDATA("合計 / 障害処遇改善加算金",【ピボット】事業所売上!$A$3,"年月",T$2,"事業所",$A49),""))
*T48/SUM(T$6,T$42,T$48,T$78),"")</f>
        <v/>
      </c>
      <c r="U49" s="30" t="str">
        <f>IFERROR(
(IFERROR(GETPIVOTDATA("合計 / 訪問処遇改善加算金",【ピボット】事業所売上!$A$3,"年月",U$2,"事業所",$A49),"")
+IFERROR(GETPIVOTDATA("合計 / 障害処遇改善加算金",【ピボット】事業所売上!$A$3,"年月",U$2,"事業所",$A49),""))
*U48/SUM(U$6,U$42,U$48,U$78),"")</f>
        <v/>
      </c>
      <c r="V49" s="30" t="str">
        <f>IFERROR(
(IFERROR(GETPIVOTDATA("合計 / 訪問処遇改善加算金",【ピボット】事業所売上!$A$3,"年月",V$2,"事業所",$A49),"")
+IFERROR(GETPIVOTDATA("合計 / 障害処遇改善加算金",【ピボット】事業所売上!$A$3,"年月",V$2,"事業所",$A49),""))
*V48/SUM(V$6,V$42,V$48,V$78),"")</f>
        <v/>
      </c>
      <c r="W49" s="30" t="str">
        <f>IFERROR(
(IFERROR(GETPIVOTDATA("合計 / 訪問処遇改善加算金",【ピボット】事業所売上!$A$3,"年月",W$2,"事業所",$A49),"")
+IFERROR(GETPIVOTDATA("合計 / 障害処遇改善加算金",【ピボット】事業所売上!$A$3,"年月",W$2,"事業所",$A49),""))
*W48/SUM(W$6,W$42,W$48,W$78),"")</f>
        <v/>
      </c>
      <c r="X49" s="30" t="str">
        <f>IFERROR(
(IFERROR(GETPIVOTDATA("合計 / 訪問処遇改善加算金",【ピボット】事業所売上!$A$3,"年月",X$2,"事業所",$A49),"")
+IFERROR(GETPIVOTDATA("合計 / 障害処遇改善加算金",【ピボット】事業所売上!$A$3,"年月",X$2,"事業所",$A49),""))
*X48/SUM(X$6,X$42,X$48,X$78),"")</f>
        <v/>
      </c>
      <c r="Y49" s="30" t="str">
        <f>IFERROR(
(IFERROR(GETPIVOTDATA("合計 / 訪問処遇改善加算金",【ピボット】事業所売上!$A$3,"年月",Y$2,"事業所",$A49),"")
+IFERROR(GETPIVOTDATA("合計 / 障害処遇改善加算金",【ピボット】事業所売上!$A$3,"年月",Y$2,"事業所",$A49),""))
*Y48/SUM(Y$6,Y$42,Y$48,Y$78),"")</f>
        <v/>
      </c>
      <c r="Z49" s="30" t="str">
        <f>IFERROR(
(IFERROR(GETPIVOTDATA("合計 / 訪問処遇改善加算金",【ピボット】事業所売上!$A$3,"年月",Z$2,"事業所",$A49),"")
+IFERROR(GETPIVOTDATA("合計 / 障害処遇改善加算金",【ピボット】事業所売上!$A$3,"年月",Z$2,"事業所",$A49),""))
*Z48/SUM(Z$6,Z$42,Z$48,Z$78),"")</f>
        <v/>
      </c>
      <c r="AA49" s="30" t="str">
        <f>IFERROR(
(IFERROR(GETPIVOTDATA("合計 / 訪問処遇改善加算金",【ピボット】事業所売上!$A$3,"年月",AA$2,"事業所",$A49),"")
+IFERROR(GETPIVOTDATA("合計 / 障害処遇改善加算金",【ピボット】事業所売上!$A$3,"年月",AA$2,"事業所",$A49),""))
*AA48/SUM(AA$6,AA$42,AA$48,AA$78),"")</f>
        <v/>
      </c>
      <c r="AB49" s="30" t="str">
        <f>IFERROR(
(IFERROR(GETPIVOTDATA("合計 / 訪問処遇改善加算金",【ピボット】事業所売上!$A$3,"年月",AB$2,"事業所",$A49),"")
+IFERROR(GETPIVOTDATA("合計 / 障害処遇改善加算金",【ピボット】事業所売上!$A$3,"年月",AB$2,"事業所",$A49),""))
*AB48/SUM(AB$6,AB$42,AB$48,AB$78),"")</f>
        <v/>
      </c>
      <c r="AC49" s="30" t="str">
        <f>IFERROR(
(IFERROR(GETPIVOTDATA("合計 / 訪問処遇改善加算金",【ピボット】事業所売上!$A$3,"年月",AC$2,"事業所",$A49),"")
+IFERROR(GETPIVOTDATA("合計 / 障害処遇改善加算金",【ピボット】事業所売上!$A$3,"年月",AC$2,"事業所",$A49),""))
*AC48/SUM(AC$6,AC$42,AC$48,AC$78),"")</f>
        <v/>
      </c>
      <c r="AD49" s="140">
        <f ca="1">SUM(OFFSET(AC49,0,当期月数):AC49)</f>
        <v>0</v>
      </c>
      <c r="AE49" s="46" t="e">
        <f ca="1">AVERAGE(OFFSET(AC49,0,当期月数):AC49)</f>
        <v>#DIV/0!</v>
      </c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</row>
    <row r="50" spans="1:44" hidden="1" x14ac:dyDescent="0.15">
      <c r="A50" t="s">
        <v>750</v>
      </c>
      <c r="B50" t="s">
        <v>15</v>
      </c>
      <c r="D50" s="2125"/>
      <c r="E50" s="83" t="s">
        <v>15</v>
      </c>
      <c r="F50" s="30">
        <f>IFERROR(GETPIVOTDATA("合計 / " &amp; $B50,【ピボット】事業所収支!$A$3,"年月",F$2,"事業所",$A50),"")</f>
        <v>746183</v>
      </c>
      <c r="G50" s="30">
        <f>IFERROR(GETPIVOTDATA("合計 / " &amp; $B50,【ピボット】事業所収支!$A$3,"年月",G$2,"事業所",$A50),"")</f>
        <v>0</v>
      </c>
      <c r="H50" s="30">
        <f>IFERROR(GETPIVOTDATA("合計 / " &amp; $B50,【ピボット】事業所収支!$A$3,"年月",H$2,"事業所",$A50),"")</f>
        <v>0</v>
      </c>
      <c r="I50" s="30">
        <f>IFERROR(GETPIVOTDATA("合計 / " &amp; $B50,【ピボット】事業所収支!$A$3,"年月",I$2,"事業所",$A50),"")</f>
        <v>0</v>
      </c>
      <c r="J50" s="30" t="str">
        <f>IFERROR(GETPIVOTDATA("合計 / " &amp; $B50,【ピボット】事業所収支!$A$3,"年月",J$2,"事業所",$A50),"")</f>
        <v/>
      </c>
      <c r="K50" s="30" t="str">
        <f>IFERROR(GETPIVOTDATA("合計 / " &amp; $B50,【ピボット】事業所収支!$A$3,"年月",K$2,"事業所",$A50),"")</f>
        <v/>
      </c>
      <c r="L50" s="30" t="str">
        <f>IFERROR(GETPIVOTDATA("合計 / " &amp; $B50,【ピボット】事業所収支!$A$3,"年月",L$2,"事業所",$A50),"")</f>
        <v/>
      </c>
      <c r="M50" s="30" t="str">
        <f>IFERROR(GETPIVOTDATA("合計 / " &amp; $B50,【ピボット】事業所収支!$A$3,"年月",M$2,"事業所",$A50),"")</f>
        <v/>
      </c>
      <c r="N50" s="30" t="str">
        <f>IFERROR(GETPIVOTDATA("合計 / " &amp; $B50,【ピボット】事業所収支!$A$3,"年月",N$2,"事業所",$A50),"")</f>
        <v/>
      </c>
      <c r="O50" s="30" t="str">
        <f>IFERROR(GETPIVOTDATA("合計 / " &amp; $B50,【ピボット】事業所収支!$A$3,"年月",O$2,"事業所",$A50),"")</f>
        <v/>
      </c>
      <c r="P50" s="30" t="str">
        <f>IFERROR(GETPIVOTDATA("合計 / " &amp; $B50,【ピボット】事業所収支!$A$3,"年月",P$2,"事業所",$A50),"")</f>
        <v/>
      </c>
      <c r="Q50" s="30" t="str">
        <f>IFERROR(GETPIVOTDATA("合計 / " &amp; $B50,【ピボット】事業所収支!$A$3,"年月",Q$2,"事業所",$A50),"")</f>
        <v/>
      </c>
      <c r="R50" s="30" t="str">
        <f>IFERROR(GETPIVOTDATA("合計 / " &amp; $B50,【ピボット】事業所収支!$A$3,"年月",R$2,"事業所",$A50),"")</f>
        <v/>
      </c>
      <c r="S50" s="30" t="str">
        <f>IFERROR(GETPIVOTDATA("合計 / " &amp; $B50,【ピボット】事業所収支!$A$3,"年月",S$2,"事業所",$A50),"")</f>
        <v/>
      </c>
      <c r="T50" s="30" t="str">
        <f>IFERROR(GETPIVOTDATA("合計 / " &amp; $B50,【ピボット】事業所収支!$A$3,"年月",T$2,"事業所",$A50),"")</f>
        <v/>
      </c>
      <c r="U50" s="30" t="str">
        <f>IFERROR(GETPIVOTDATA("合計 / " &amp; $B50,【ピボット】事業所収支!$A$3,"年月",U$2,"事業所",$A50),"")</f>
        <v/>
      </c>
      <c r="V50" s="30" t="str">
        <f>IFERROR(GETPIVOTDATA("合計 / " &amp; $B50,【ピボット】事業所収支!$A$3,"年月",V$2,"事業所",$A50),"")</f>
        <v/>
      </c>
      <c r="W50" s="30" t="str">
        <f>IFERROR(GETPIVOTDATA("合計 / " &amp; $B50,【ピボット】事業所収支!$A$3,"年月",W$2,"事業所",$A50),"")</f>
        <v/>
      </c>
      <c r="X50" s="30" t="str">
        <f>IFERROR(GETPIVOTDATA("合計 / " &amp; $B50,【ピボット】事業所収支!$A$3,"年月",X$2,"事業所",$A50),"")</f>
        <v/>
      </c>
      <c r="Y50" s="30" t="str">
        <f>IFERROR(GETPIVOTDATA("合計 / " &amp; $B50,【ピボット】事業所収支!$A$3,"年月",Y$2,"事業所",$A50),"")</f>
        <v/>
      </c>
      <c r="Z50" s="30" t="str">
        <f>IFERROR(GETPIVOTDATA("合計 / " &amp; $B50,【ピボット】事業所収支!$A$3,"年月",Z$2,"事業所",$A50),"")</f>
        <v/>
      </c>
      <c r="AA50" s="30" t="str">
        <f>IFERROR(GETPIVOTDATA("合計 / " &amp; $B50,【ピボット】事業所収支!$A$3,"年月",AA$2,"事業所",$A50),"")</f>
        <v/>
      </c>
      <c r="AB50" s="30" t="str">
        <f>IFERROR(GETPIVOTDATA("合計 / " &amp; $B50,【ピボット】事業所収支!$A$3,"年月",AB$2,"事業所",$A50),"")</f>
        <v/>
      </c>
      <c r="AC50" s="30" t="str">
        <f>IFERROR(GETPIVOTDATA("合計 / " &amp; $B50,【ピボット】事業所収支!$A$3,"年月",AC$2,"事業所",$A50),"")</f>
        <v/>
      </c>
      <c r="AD50" s="140">
        <f ca="1">SUM(OFFSET(AC50,0,当期月数):AC50)</f>
        <v>0</v>
      </c>
      <c r="AE50" s="46" t="e">
        <f ca="1">AVERAGE(OFFSET(AC50,0,当期月数):AC50)</f>
        <v>#DIV/0!</v>
      </c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</row>
    <row r="51" spans="1:44" hidden="1" x14ac:dyDescent="0.15">
      <c r="A51" t="s">
        <v>750</v>
      </c>
      <c r="B51" t="s">
        <v>48</v>
      </c>
      <c r="D51" s="2125"/>
      <c r="E51" s="83" t="s">
        <v>48</v>
      </c>
      <c r="F51" s="115">
        <f t="shared" ref="F51:AC51" si="14">IFERROR(F50/F48*100,"")</f>
        <v>125.19155818553671</v>
      </c>
      <c r="G51" s="115" t="str">
        <f t="shared" si="14"/>
        <v/>
      </c>
      <c r="H51" s="115" t="str">
        <f t="shared" si="14"/>
        <v/>
      </c>
      <c r="I51" s="115" t="str">
        <f t="shared" si="14"/>
        <v/>
      </c>
      <c r="J51" s="115" t="str">
        <f t="shared" si="14"/>
        <v/>
      </c>
      <c r="K51" s="115" t="str">
        <f t="shared" si="14"/>
        <v/>
      </c>
      <c r="L51" s="115" t="str">
        <f t="shared" si="14"/>
        <v/>
      </c>
      <c r="M51" s="115" t="str">
        <f t="shared" si="14"/>
        <v/>
      </c>
      <c r="N51" s="115" t="str">
        <f t="shared" si="14"/>
        <v/>
      </c>
      <c r="O51" s="115" t="str">
        <f t="shared" si="14"/>
        <v/>
      </c>
      <c r="P51" s="115" t="str">
        <f t="shared" si="14"/>
        <v/>
      </c>
      <c r="Q51" s="115" t="str">
        <f t="shared" si="14"/>
        <v/>
      </c>
      <c r="R51" s="115" t="str">
        <f t="shared" si="14"/>
        <v/>
      </c>
      <c r="S51" s="115" t="str">
        <f t="shared" si="14"/>
        <v/>
      </c>
      <c r="T51" s="115" t="str">
        <f t="shared" si="14"/>
        <v/>
      </c>
      <c r="U51" s="115" t="str">
        <f t="shared" si="14"/>
        <v/>
      </c>
      <c r="V51" s="115" t="str">
        <f t="shared" si="14"/>
        <v/>
      </c>
      <c r="W51" s="115" t="str">
        <f t="shared" si="14"/>
        <v/>
      </c>
      <c r="X51" s="115" t="str">
        <f t="shared" si="14"/>
        <v/>
      </c>
      <c r="Y51" s="115" t="str">
        <f t="shared" si="14"/>
        <v/>
      </c>
      <c r="Z51" s="115" t="str">
        <f t="shared" si="14"/>
        <v/>
      </c>
      <c r="AA51" s="115" t="str">
        <f t="shared" si="14"/>
        <v/>
      </c>
      <c r="AB51" s="115" t="str">
        <f t="shared" si="14"/>
        <v/>
      </c>
      <c r="AC51" s="115" t="str">
        <f t="shared" si="14"/>
        <v/>
      </c>
      <c r="AD51" s="144" t="e">
        <f ca="1">AD50/AD48*100</f>
        <v>#DIV/0!</v>
      </c>
      <c r="AE51" s="154" t="e">
        <f ca="1">AE50/AE48*100</f>
        <v>#DIV/0!</v>
      </c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</row>
    <row r="52" spans="1:44" hidden="1" x14ac:dyDescent="0.15">
      <c r="A52" t="s">
        <v>750</v>
      </c>
      <c r="B52" t="s">
        <v>1226</v>
      </c>
      <c r="D52" s="2125"/>
      <c r="E52" s="84" t="s">
        <v>35</v>
      </c>
      <c r="F52" s="53">
        <f>IFERROR(GETPIVOTDATA("合計 / " &amp; $B52,【ピボット】事業所収支!$A$3,"年月",F$2,"事業所",$A52),"")</f>
        <v>164646</v>
      </c>
      <c r="G52" s="53">
        <f>IFERROR(GETPIVOTDATA("合計 / " &amp; $B52,【ピボット】事業所収支!$A$3,"年月",G$2,"事業所",$A52),"")</f>
        <v>54694</v>
      </c>
      <c r="H52" s="53">
        <f>IFERROR(GETPIVOTDATA("合計 / " &amp; $B52,【ピボット】事業所収支!$A$3,"年月",H$2,"事業所",$A52),"")</f>
        <v>5420</v>
      </c>
      <c r="I52" s="53">
        <f>IFERROR(GETPIVOTDATA("合計 / " &amp; $B52,【ピボット】事業所収支!$A$3,"年月",I$2,"事業所",$A52),"")</f>
        <v>2842</v>
      </c>
      <c r="J52" s="53" t="str">
        <f>IFERROR(GETPIVOTDATA("合計 / " &amp; $B52,【ピボット】事業所収支!$A$3,"年月",J$2,"事業所",$A52),"")</f>
        <v/>
      </c>
      <c r="K52" s="53" t="str">
        <f>IFERROR(GETPIVOTDATA("合計 / " &amp; $B52,【ピボット】事業所収支!$A$3,"年月",K$2,"事業所",$A52),"")</f>
        <v/>
      </c>
      <c r="L52" s="53" t="str">
        <f>IFERROR(GETPIVOTDATA("合計 / " &amp; $B52,【ピボット】事業所収支!$A$3,"年月",L$2,"事業所",$A52),"")</f>
        <v/>
      </c>
      <c r="M52" s="53" t="str">
        <f>IFERROR(GETPIVOTDATA("合計 / " &amp; $B52,【ピボット】事業所収支!$A$3,"年月",M$2,"事業所",$A52),"")</f>
        <v/>
      </c>
      <c r="N52" s="53" t="str">
        <f>IFERROR(GETPIVOTDATA("合計 / " &amp; $B52,【ピボット】事業所収支!$A$3,"年月",N$2,"事業所",$A52),"")</f>
        <v/>
      </c>
      <c r="O52" s="53" t="str">
        <f>IFERROR(GETPIVOTDATA("合計 / " &amp; $B52,【ピボット】事業所収支!$A$3,"年月",O$2,"事業所",$A52),"")</f>
        <v/>
      </c>
      <c r="P52" s="53" t="str">
        <f>IFERROR(GETPIVOTDATA("合計 / " &amp; $B52,【ピボット】事業所収支!$A$3,"年月",P$2,"事業所",$A52),"")</f>
        <v/>
      </c>
      <c r="Q52" s="53" t="str">
        <f>IFERROR(GETPIVOTDATA("合計 / " &amp; $B52,【ピボット】事業所収支!$A$3,"年月",Q$2,"事業所",$A52),"")</f>
        <v/>
      </c>
      <c r="R52" s="53" t="str">
        <f>IFERROR(GETPIVOTDATA("合計 / " &amp; $B52,【ピボット】事業所収支!$A$3,"年月",R$2,"事業所",$A52),"")</f>
        <v/>
      </c>
      <c r="S52" s="53" t="str">
        <f>IFERROR(GETPIVOTDATA("合計 / " &amp; $B52,【ピボット】事業所収支!$A$3,"年月",S$2,"事業所",$A52),"")</f>
        <v/>
      </c>
      <c r="T52" s="53" t="str">
        <f>IFERROR(GETPIVOTDATA("合計 / " &amp; $B52,【ピボット】事業所収支!$A$3,"年月",T$2,"事業所",$A52),"")</f>
        <v/>
      </c>
      <c r="U52" s="53" t="str">
        <f>IFERROR(GETPIVOTDATA("合計 / " &amp; $B52,【ピボット】事業所収支!$A$3,"年月",U$2,"事業所",$A52),"")</f>
        <v/>
      </c>
      <c r="V52" s="53" t="str">
        <f>IFERROR(GETPIVOTDATA("合計 / " &amp; $B52,【ピボット】事業所収支!$A$3,"年月",V$2,"事業所",$A52),"")</f>
        <v/>
      </c>
      <c r="W52" s="53" t="str">
        <f>IFERROR(GETPIVOTDATA("合計 / " &amp; $B52,【ピボット】事業所収支!$A$3,"年月",W$2,"事業所",$A52),"")</f>
        <v/>
      </c>
      <c r="X52" s="53" t="str">
        <f>IFERROR(GETPIVOTDATA("合計 / " &amp; $B52,【ピボット】事業所収支!$A$3,"年月",X$2,"事業所",$A52),"")</f>
        <v/>
      </c>
      <c r="Y52" s="53" t="str">
        <f>IFERROR(GETPIVOTDATA("合計 / " &amp; $B52,【ピボット】事業所収支!$A$3,"年月",Y$2,"事業所",$A52),"")</f>
        <v/>
      </c>
      <c r="Z52" s="53" t="str">
        <f>IFERROR(GETPIVOTDATA("合計 / " &amp; $B52,【ピボット】事業所収支!$A$3,"年月",Z$2,"事業所",$A52),"")</f>
        <v/>
      </c>
      <c r="AA52" s="53" t="str">
        <f>IFERROR(GETPIVOTDATA("合計 / " &amp; $B52,【ピボット】事業所収支!$A$3,"年月",AA$2,"事業所",$A52),"")</f>
        <v/>
      </c>
      <c r="AB52" s="53" t="str">
        <f>IFERROR(GETPIVOTDATA("合計 / " &amp; $B52,【ピボット】事業所収支!$A$3,"年月",AB$2,"事業所",$A52),"")</f>
        <v/>
      </c>
      <c r="AC52" s="53" t="str">
        <f>IFERROR(GETPIVOTDATA("合計 / " &amp; $B52,【ピボット】事業所収支!$A$3,"年月",AC$2,"事業所",$A52),"")</f>
        <v/>
      </c>
      <c r="AD52" s="141">
        <f ca="1">SUM(OFFSET(AC52,0,当期月数):AC52)</f>
        <v>0</v>
      </c>
      <c r="AE52" s="56" t="e">
        <f ca="1">AVERAGE(OFFSET(AC52,0,当期月数):AC52)</f>
        <v>#DIV/0!</v>
      </c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</row>
    <row r="53" spans="1:44" ht="14.25" hidden="1" thickBot="1" x14ac:dyDescent="0.2">
      <c r="A53" t="s">
        <v>750</v>
      </c>
      <c r="B53" t="s">
        <v>32</v>
      </c>
      <c r="D53" s="2127"/>
      <c r="E53" s="87" t="s">
        <v>32</v>
      </c>
      <c r="F53" s="116">
        <f t="shared" ref="F53:AC53" si="15">IFERROR(F48-(F50+F52),"")</f>
        <v>-314796</v>
      </c>
      <c r="G53" s="116">
        <f t="shared" si="15"/>
        <v>-54694</v>
      </c>
      <c r="H53" s="116">
        <f t="shared" si="15"/>
        <v>-5420</v>
      </c>
      <c r="I53" s="116">
        <f t="shared" si="15"/>
        <v>-2842</v>
      </c>
      <c r="J53" s="116" t="str">
        <f t="shared" si="15"/>
        <v/>
      </c>
      <c r="K53" s="116" t="str">
        <f t="shared" si="15"/>
        <v/>
      </c>
      <c r="L53" s="116" t="str">
        <f t="shared" si="15"/>
        <v/>
      </c>
      <c r="M53" s="116" t="str">
        <f t="shared" si="15"/>
        <v/>
      </c>
      <c r="N53" s="116" t="str">
        <f t="shared" si="15"/>
        <v/>
      </c>
      <c r="O53" s="116" t="str">
        <f t="shared" si="15"/>
        <v/>
      </c>
      <c r="P53" s="116" t="str">
        <f t="shared" si="15"/>
        <v/>
      </c>
      <c r="Q53" s="116" t="str">
        <f t="shared" si="15"/>
        <v/>
      </c>
      <c r="R53" s="116" t="str">
        <f t="shared" si="15"/>
        <v/>
      </c>
      <c r="S53" s="116" t="str">
        <f t="shared" si="15"/>
        <v/>
      </c>
      <c r="T53" s="116" t="str">
        <f t="shared" si="15"/>
        <v/>
      </c>
      <c r="U53" s="116" t="str">
        <f t="shared" si="15"/>
        <v/>
      </c>
      <c r="V53" s="116" t="str">
        <f t="shared" si="15"/>
        <v/>
      </c>
      <c r="W53" s="116" t="str">
        <f t="shared" si="15"/>
        <v/>
      </c>
      <c r="X53" s="116" t="str">
        <f t="shared" si="15"/>
        <v/>
      </c>
      <c r="Y53" s="116" t="str">
        <f t="shared" si="15"/>
        <v/>
      </c>
      <c r="Z53" s="116" t="str">
        <f t="shared" si="15"/>
        <v/>
      </c>
      <c r="AA53" s="116" t="str">
        <f t="shared" si="15"/>
        <v/>
      </c>
      <c r="AB53" s="116" t="str">
        <f t="shared" si="15"/>
        <v/>
      </c>
      <c r="AC53" s="116" t="str">
        <f t="shared" si="15"/>
        <v/>
      </c>
      <c r="AD53" s="142">
        <f ca="1">SUM(OFFSET(AC53,0,当期月数):AC53)</f>
        <v>0</v>
      </c>
      <c r="AE53" s="152" t="e">
        <f ca="1">AVERAGE(OFFSET(AC53,0,当期月数):AC53)</f>
        <v>#DIV/0!</v>
      </c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</row>
    <row r="54" spans="1:44" x14ac:dyDescent="0.15">
      <c r="A54" t="s">
        <v>748</v>
      </c>
      <c r="B54" t="s">
        <v>26</v>
      </c>
      <c r="D54" s="2124" t="s">
        <v>119</v>
      </c>
      <c r="E54" s="86" t="s">
        <v>144</v>
      </c>
      <c r="F54" s="137">
        <f>IFERROR(GETPIVOTDATA("合計 / " &amp; $B54,【ピボット】事業所収支!$A$3,"年月",F$2,"事業所",$A54),"")</f>
        <v>408033</v>
      </c>
      <c r="G54" s="137">
        <f>IFERROR(GETPIVOTDATA("合計 / " &amp; $B54,【ピボット】事業所収支!$A$3,"年月",G$2,"事業所",$A54),"")</f>
        <v>2686373</v>
      </c>
      <c r="H54" s="137">
        <f>IFERROR(GETPIVOTDATA("合計 / " &amp; $B54,【ピボット】事業所収支!$A$3,"年月",H$2,"事業所",$A54),"")</f>
        <v>1273066</v>
      </c>
      <c r="I54" s="137">
        <f>IFERROR(GETPIVOTDATA("合計 / " &amp; $B54,【ピボット】事業所収支!$A$3,"年月",I$2,"事業所",$A54),"")</f>
        <v>1036363</v>
      </c>
      <c r="J54" s="137">
        <f>IFERROR(GETPIVOTDATA("合計 / " &amp; $B54,【ピボット】事業所収支!$A$3,"年月",J$2,"事業所",$A54),"")</f>
        <v>1236162</v>
      </c>
      <c r="K54" s="137">
        <f>IFERROR(GETPIVOTDATA("合計 / " &amp; $B54,【ピボット】事業所収支!$A$3,"年月",K$2,"事業所",$A54),"")</f>
        <v>1051496</v>
      </c>
      <c r="L54" s="137">
        <f>IFERROR(GETPIVOTDATA("合計 / " &amp; $B54,【ピボット】事業所収支!$A$3,"年月",L$2,"事業所",$A54),"")</f>
        <v>1225409</v>
      </c>
      <c r="M54" s="137">
        <f>IFERROR(GETPIVOTDATA("合計 / " &amp; $B54,【ピボット】事業所収支!$A$3,"年月",M$2,"事業所",$A54),"")</f>
        <v>1036248</v>
      </c>
      <c r="N54" s="137">
        <f>IFERROR(GETPIVOTDATA("合計 / " &amp; $B54,【ピボット】事業所収支!$A$3,"年月",N$2,"事業所",$A54),"")</f>
        <v>809040</v>
      </c>
      <c r="O54" s="137">
        <f>IFERROR(GETPIVOTDATA("合計 / " &amp; $B54,【ピボット】事業所収支!$A$3,"年月",O$2,"事業所",$A54),"")</f>
        <v>741413</v>
      </c>
      <c r="P54" s="137">
        <f>IFERROR(GETPIVOTDATA("合計 / " &amp; $B54,【ピボット】事業所収支!$A$3,"年月",P$2,"事業所",$A54),"")</f>
        <v>820390</v>
      </c>
      <c r="Q54" s="137">
        <f>IFERROR(GETPIVOTDATA("合計 / " &amp; $B54,【ピボット】事業所収支!$A$3,"年月",Q$2,"事業所",$A54),"")</f>
        <v>859760</v>
      </c>
      <c r="R54" s="137">
        <f>IFERROR(GETPIVOTDATA("合計 / " &amp; $B54,【ピボット】事業所収支!$A$3,"年月",R$2,"事業所",$A54),"")</f>
        <v>1366814</v>
      </c>
      <c r="S54" s="137">
        <f>IFERROR(GETPIVOTDATA("合計 / " &amp; $B54,【ピボット】事業所収支!$A$3,"年月",S$2,"事業所",$A54),"")</f>
        <v>548955</v>
      </c>
      <c r="T54" s="137">
        <f>IFERROR(GETPIVOTDATA("合計 / " &amp; $B54,【ピボット】事業所収支!$A$3,"年月",T$2,"事業所",$A54),"")</f>
        <v>1159974</v>
      </c>
      <c r="U54" s="137">
        <f>IFERROR(GETPIVOTDATA("合計 / " &amp; $B54,【ピボット】事業所収支!$A$3,"年月",U$2,"事業所",$A54),"")</f>
        <v>870546</v>
      </c>
      <c r="V54" s="137">
        <f>IFERROR(GETPIVOTDATA("合計 / " &amp; $B54,【ピボット】事業所収支!$A$3,"年月",V$2,"事業所",$A54),"")</f>
        <v>861636</v>
      </c>
      <c r="W54" s="137">
        <f>IFERROR(GETPIVOTDATA("合計 / " &amp; $B54,【ピボット】事業所収支!$A$3,"年月",W$2,"事業所",$A54),"")</f>
        <v>1139110</v>
      </c>
      <c r="X54" s="137">
        <f>IFERROR(GETPIVOTDATA("合計 / " &amp; $B54,【ピボット】事業所収支!$A$3,"年月",X$2,"事業所",$A54),"")</f>
        <v>1134937</v>
      </c>
      <c r="Y54" s="137">
        <f>IFERROR(GETPIVOTDATA("合計 / " &amp; $B54,【ピボット】事業所収支!$A$3,"年月",Y$2,"事業所",$A54),"")</f>
        <v>1175963</v>
      </c>
      <c r="Z54" s="137">
        <f>IFERROR(GETPIVOTDATA("合計 / " &amp; $B54,【ピボット】事業所収支!$A$3,"年月",Z$2,"事業所",$A54),"")</f>
        <v>1272363</v>
      </c>
      <c r="AA54" s="137">
        <f>IFERROR(GETPIVOTDATA("合計 / " &amp; $B54,【ピボット】事業所収支!$A$3,"年月",AA$2,"事業所",$A54),"")</f>
        <v>1036423</v>
      </c>
      <c r="AB54" s="137">
        <f>IFERROR(GETPIVOTDATA("合計 / " &amp; $B54,【ピボット】事業所収支!$A$3,"年月",AB$2,"事業所",$A54),"")</f>
        <v>1027444</v>
      </c>
      <c r="AC54" s="137">
        <f>IFERROR(GETPIVOTDATA("合計 / " &amp; $B54,【ピボット】事業所収支!$A$3,"年月",AC$2,"事業所",$A54),"")</f>
        <v>1077061</v>
      </c>
      <c r="AD54" s="139">
        <f ca="1">SUM(OFFSET(AC54,0,当期月数):AC54)</f>
        <v>8724937</v>
      </c>
      <c r="AE54" s="47">
        <f ca="1">AVERAGE(OFFSET(AC54,0,当期月数):AC54)</f>
        <v>1090617.125</v>
      </c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</row>
    <row r="55" spans="1:44" x14ac:dyDescent="0.15">
      <c r="A55" t="s">
        <v>748</v>
      </c>
      <c r="B55" t="s">
        <v>142</v>
      </c>
      <c r="D55" s="2128"/>
      <c r="E55" s="82" t="s">
        <v>142</v>
      </c>
      <c r="F55" s="30">
        <f>IFERROR(GETPIVOTDATA("合計 / 共同生活援助処遇改善加算金",【ピボット】事業所売上!$A$3,"年月",F$2,"事業所",$A55),"")</f>
        <v>0</v>
      </c>
      <c r="G55" s="30">
        <f>IFERROR(GETPIVOTDATA("合計 / 共同生活援助処遇改善加算金",【ピボット】事業所売上!$A$3,"年月",G$2,"事業所",$A55),"")</f>
        <v>431509</v>
      </c>
      <c r="H55" s="30">
        <f>IFERROR(GETPIVOTDATA("合計 / 共同生活援助処遇改善加算金",【ピボット】事業所売上!$A$3,"年月",H$2,"事業所",$A55),"")</f>
        <v>256019</v>
      </c>
      <c r="I55" s="30">
        <f>IFERROR(GETPIVOTDATA("合計 / 共同生活援助処遇改善加算金",【ピボット】事業所売上!$A$3,"年月",I$2,"事業所",$A55),"")</f>
        <v>251984</v>
      </c>
      <c r="J55" s="30">
        <f>IFERROR(GETPIVOTDATA("合計 / 共同生活援助処遇改善加算金",【ピボット】事業所売上!$A$3,"年月",J$2,"事業所",$A55),"")</f>
        <v>266247</v>
      </c>
      <c r="K55" s="30">
        <f>IFERROR(GETPIVOTDATA("合計 / 共同生活援助処遇改善加算金",【ピボット】事業所売上!$A$3,"年月",K$2,"事業所",$A55),"")</f>
        <v>332983</v>
      </c>
      <c r="L55" s="30">
        <f>IFERROR(GETPIVOTDATA("合計 / 共同生活援助処遇改善加算金",【ピボット】事業所売上!$A$3,"年月",L$2,"事業所",$A55),"")</f>
        <v>293704</v>
      </c>
      <c r="M55" s="30">
        <f>IFERROR(GETPIVOTDATA("合計 / 共同生活援助処遇改善加算金",【ピボット】事業所売上!$A$3,"年月",M$2,"事業所",$A55),"")</f>
        <v>292855</v>
      </c>
      <c r="N55" s="30">
        <f>IFERROR(GETPIVOTDATA("合計 / 共同生活援助処遇改善加算金",【ピボット】事業所売上!$A$3,"年月",N$2,"事業所",$A55),"")</f>
        <v>271654</v>
      </c>
      <c r="O55" s="30">
        <f>IFERROR(GETPIVOTDATA("合計 / 共同生活援助処遇改善加算金",【ピボット】事業所売上!$A$3,"年月",O$2,"事業所",$A55),"")</f>
        <v>248202</v>
      </c>
      <c r="P55" s="30">
        <f>IFERROR(GETPIVOTDATA("合計 / 共同生活援助処遇改善加算金",【ピボット】事業所売上!$A$3,"年月",P$2,"事業所",$A55),"")</f>
        <v>268227</v>
      </c>
      <c r="Q55" s="30">
        <f>IFERROR(GETPIVOTDATA("合計 / 共同生活援助処遇改善加算金",【ピボット】事業所売上!$A$3,"年月",Q$2,"事業所",$A55),"")</f>
        <v>273762</v>
      </c>
      <c r="R55" s="30">
        <f>IFERROR(GETPIVOTDATA("合計 / 共同生活援助処遇改善加算金",【ピボット】事業所売上!$A$3,"年月",R$2,"事業所",$A55),"")</f>
        <v>283493</v>
      </c>
      <c r="S55" s="30">
        <f>IFERROR(GETPIVOTDATA("合計 / 共同生活援助処遇改善加算金",【ピボット】事業所売上!$A$3,"年月",S$2,"事業所",$A55),"")</f>
        <v>242054</v>
      </c>
      <c r="T55" s="30">
        <f>IFERROR(GETPIVOTDATA("合計 / 共同生活援助処遇改善加算金",【ピボット】事業所売上!$A$3,"年月",T$2,"事業所",$A55),"")</f>
        <v>318645</v>
      </c>
      <c r="U55" s="30">
        <f>IFERROR(GETPIVOTDATA("合計 / 共同生活援助処遇改善加算金",【ピボット】事業所売上!$A$3,"年月",U$2,"事業所",$A55),"")</f>
        <v>255357</v>
      </c>
      <c r="V55" s="30">
        <f>IFERROR(GETPIVOTDATA("合計 / 共同生活援助処遇改善加算金",【ピボット】事業所売上!$A$3,"年月",V$2,"事業所",$A55),"")</f>
        <v>272142</v>
      </c>
      <c r="W55" s="30">
        <f>IFERROR(GETPIVOTDATA("合計 / 共同生活援助処遇改善加算金",【ピボット】事業所売上!$A$3,"年月",W$2,"事業所",$A55),"")</f>
        <v>306754</v>
      </c>
      <c r="X55" s="30">
        <f>IFERROR(GETPIVOTDATA("合計 / 共同生活援助処遇改善加算金",【ピボット】事業所売上!$A$3,"年月",X$2,"事業所",$A55),"")</f>
        <v>299671</v>
      </c>
      <c r="Y55" s="30">
        <f>IFERROR(GETPIVOTDATA("合計 / 共同生活援助処遇改善加算金",【ピボット】事業所売上!$A$3,"年月",Y$2,"事業所",$A55),"")</f>
        <v>308666</v>
      </c>
      <c r="Z55" s="30">
        <f>IFERROR(GETPIVOTDATA("合計 / 共同生活援助処遇改善加算金",【ピボット】事業所売上!$A$3,"年月",Z$2,"事業所",$A55),"")</f>
        <v>309206</v>
      </c>
      <c r="AA55" s="30">
        <f>IFERROR(GETPIVOTDATA("合計 / 共同生活援助処遇改善加算金",【ピボット】事業所売上!$A$3,"年月",AA$2,"事業所",$A55),"")</f>
        <v>328167</v>
      </c>
      <c r="AB55" s="30">
        <f>IFERROR(GETPIVOTDATA("合計 / 共同生活援助処遇改善加算金",【ピボット】事業所売上!$A$3,"年月",AB$2,"事業所",$A55),"")</f>
        <v>342112</v>
      </c>
      <c r="AC55" s="30">
        <f>IFERROR(GETPIVOTDATA("合計 / 共同生活援助処遇改善加算金",【ピボット】事業所売上!$A$3,"年月",AC$2,"事業所",$A55),"")</f>
        <v>0</v>
      </c>
      <c r="AD55" s="140">
        <f ca="1">SUM(OFFSET(AC55,0,当期月数):AC55)</f>
        <v>2166718</v>
      </c>
      <c r="AE55" s="46">
        <f ca="1">AVERAGE(OFFSET(AC55,0,当期月数):AC55)</f>
        <v>270839.75</v>
      </c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</row>
    <row r="56" spans="1:44" x14ac:dyDescent="0.15">
      <c r="A56" t="s">
        <v>748</v>
      </c>
      <c r="B56" t="s">
        <v>15</v>
      </c>
      <c r="D56" s="2125"/>
      <c r="E56" s="83" t="s">
        <v>15</v>
      </c>
      <c r="F56" s="30">
        <f>IFERROR(GETPIVOTDATA("合計 / " &amp; $B56,【ピボット】事業所収支!$A$3,"年月",F$2,"事業所",$A56),"")</f>
        <v>384233</v>
      </c>
      <c r="G56" s="30">
        <f>IFERROR(GETPIVOTDATA("合計 / " &amp; $B56,【ピボット】事業所収支!$A$3,"年月",G$2,"事業所",$A56),"")</f>
        <v>451365</v>
      </c>
      <c r="H56" s="30">
        <f>IFERROR(GETPIVOTDATA("合計 / " &amp; $B56,【ピボット】事業所収支!$A$3,"年月",H$2,"事業所",$A56),"")</f>
        <v>457105</v>
      </c>
      <c r="I56" s="30">
        <f>IFERROR(GETPIVOTDATA("合計 / " &amp; $B56,【ピボット】事業所収支!$A$3,"年月",I$2,"事業所",$A56),"")</f>
        <v>411182</v>
      </c>
      <c r="J56" s="30">
        <f>IFERROR(GETPIVOTDATA("合計 / " &amp; $B56,【ピボット】事業所収支!$A$3,"年月",J$2,"事業所",$A56),"")</f>
        <v>406108</v>
      </c>
      <c r="K56" s="30">
        <f>IFERROR(GETPIVOTDATA("合計 / " &amp; $B56,【ピボット】事業所収支!$A$3,"年月",K$2,"事業所",$A56),"")</f>
        <v>437577</v>
      </c>
      <c r="L56" s="30">
        <f>IFERROR(GETPIVOTDATA("合計 / " &amp; $B56,【ピボット】事業所収支!$A$3,"年月",L$2,"事業所",$A56),"")</f>
        <v>418059</v>
      </c>
      <c r="M56" s="30">
        <f>IFERROR(GETPIVOTDATA("合計 / " &amp; $B56,【ピボット】事業所収支!$A$3,"年月",M$2,"事業所",$A56),"")</f>
        <v>418446.0655371336</v>
      </c>
      <c r="N56" s="30">
        <f>IFERROR(GETPIVOTDATA("合計 / " &amp; $B56,【ピボット】事業所収支!$A$3,"年月",N$2,"事業所",$A56),"")</f>
        <v>441121</v>
      </c>
      <c r="O56" s="30">
        <f>IFERROR(GETPIVOTDATA("合計 / " &amp; $B56,【ピボット】事業所収支!$A$3,"年月",O$2,"事業所",$A56),"")</f>
        <v>327190</v>
      </c>
      <c r="P56" s="30">
        <f>IFERROR(GETPIVOTDATA("合計 / " &amp; $B56,【ピボット】事業所収支!$A$3,"年月",P$2,"事業所",$A56),"")</f>
        <v>366028</v>
      </c>
      <c r="Q56" s="30">
        <f>IFERROR(GETPIVOTDATA("合計 / " &amp; $B56,【ピボット】事業所収支!$A$3,"年月",Q$2,"事業所",$A56),"")</f>
        <v>348293</v>
      </c>
      <c r="R56" s="30">
        <f>IFERROR(GETPIVOTDATA("合計 / " &amp; $B56,【ピボット】事業所収支!$A$3,"年月",R$2,"事業所",$A56),"")</f>
        <v>360441</v>
      </c>
      <c r="S56" s="30">
        <f>IFERROR(GETPIVOTDATA("合計 / " &amp; $B56,【ピボット】事業所収支!$A$3,"年月",S$2,"事業所",$A56),"")</f>
        <v>358841</v>
      </c>
      <c r="T56" s="30">
        <f>IFERROR(GETPIVOTDATA("合計 / " &amp; $B56,【ピボット】事業所収支!$A$3,"年月",T$2,"事業所",$A56),"")</f>
        <v>394951</v>
      </c>
      <c r="U56" s="30">
        <f>IFERROR(GETPIVOTDATA("合計 / " &amp; $B56,【ピボット】事業所収支!$A$3,"年月",U$2,"事業所",$A56),"")</f>
        <v>341359</v>
      </c>
      <c r="V56" s="30">
        <f>IFERROR(GETPIVOTDATA("合計 / " &amp; $B56,【ピボット】事業所収支!$A$3,"年月",V$2,"事業所",$A56),"")</f>
        <v>368002</v>
      </c>
      <c r="W56" s="30">
        <f>IFERROR(GETPIVOTDATA("合計 / " &amp; $B56,【ピボット】事業所収支!$A$3,"年月",W$2,"事業所",$A56),"")</f>
        <v>411456</v>
      </c>
      <c r="X56" s="30">
        <f>IFERROR(GETPIVOTDATA("合計 / " &amp; $B56,【ピボット】事業所収支!$A$3,"年月",X$2,"事業所",$A56),"")</f>
        <v>396967</v>
      </c>
      <c r="Y56" s="30">
        <f>IFERROR(GETPIVOTDATA("合計 / " &amp; $B56,【ピボット】事業所収支!$A$3,"年月",Y$2,"事業所",$A56),"")</f>
        <v>420894</v>
      </c>
      <c r="Z56" s="30">
        <f>IFERROR(GETPIVOTDATA("合計 / " &amp; $B56,【ピボット】事業所収支!$A$3,"年月",Z$2,"事業所",$A56),"")</f>
        <v>388478</v>
      </c>
      <c r="AA56" s="30">
        <f>IFERROR(GETPIVOTDATA("合計 / " &amp; $B56,【ピボット】事業所収支!$A$3,"年月",AA$2,"事業所",$A56),"")</f>
        <v>320194</v>
      </c>
      <c r="AB56" s="30">
        <f>IFERROR(GETPIVOTDATA("合計 / " &amp; $B56,【ピボット】事業所収支!$A$3,"年月",AB$2,"事業所",$A56),"")</f>
        <v>303548</v>
      </c>
      <c r="AC56" s="30">
        <f>IFERROR(GETPIVOTDATA("合計 / " &amp; $B56,【ピボット】事業所収支!$A$3,"年月",AC$2,"事業所",$A56),"")</f>
        <v>338431</v>
      </c>
      <c r="AD56" s="140">
        <f ca="1">SUM(OFFSET(AC56,0,当期月数):AC56)</f>
        <v>2947970</v>
      </c>
      <c r="AE56" s="46">
        <f ca="1">AVERAGE(OFFSET(AC56,0,当期月数):AC56)</f>
        <v>368496.25</v>
      </c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</row>
    <row r="57" spans="1:44" x14ac:dyDescent="0.15">
      <c r="A57" t="s">
        <v>748</v>
      </c>
      <c r="B57" t="s">
        <v>48</v>
      </c>
      <c r="D57" s="2125"/>
      <c r="E57" s="83" t="s">
        <v>48</v>
      </c>
      <c r="F57" s="115">
        <f t="shared" ref="F57:AC57" si="16">IFERROR(F56/F54*100,"")</f>
        <v>94.167138442233849</v>
      </c>
      <c r="G57" s="115">
        <f t="shared" si="16"/>
        <v>16.802022652848283</v>
      </c>
      <c r="H57" s="115">
        <f t="shared" si="16"/>
        <v>35.905836775155414</v>
      </c>
      <c r="I57" s="115">
        <f t="shared" si="16"/>
        <v>39.675480502488028</v>
      </c>
      <c r="J57" s="115">
        <f t="shared" si="16"/>
        <v>32.852328416502047</v>
      </c>
      <c r="K57" s="115">
        <f t="shared" si="16"/>
        <v>41.614708948013117</v>
      </c>
      <c r="L57" s="115">
        <f t="shared" si="16"/>
        <v>34.115874781399519</v>
      </c>
      <c r="M57" s="115">
        <f t="shared" si="16"/>
        <v>40.380880400940086</v>
      </c>
      <c r="N57" s="115">
        <f t="shared" si="16"/>
        <v>54.524003757539795</v>
      </c>
      <c r="O57" s="115">
        <f t="shared" si="16"/>
        <v>44.13059927462831</v>
      </c>
      <c r="P57" s="115">
        <f t="shared" si="16"/>
        <v>44.616341008544715</v>
      </c>
      <c r="Q57" s="115">
        <f t="shared" si="16"/>
        <v>40.510491299897645</v>
      </c>
      <c r="R57" s="115">
        <f t="shared" si="16"/>
        <v>26.370888796866289</v>
      </c>
      <c r="S57" s="115">
        <f t="shared" si="16"/>
        <v>65.368017414906504</v>
      </c>
      <c r="T57" s="115">
        <f t="shared" si="16"/>
        <v>34.048263150725795</v>
      </c>
      <c r="U57" s="115">
        <f t="shared" si="16"/>
        <v>39.212057720097505</v>
      </c>
      <c r="V57" s="115">
        <f t="shared" si="16"/>
        <v>42.709682510944297</v>
      </c>
      <c r="W57" s="115">
        <f t="shared" si="16"/>
        <v>36.120831175215741</v>
      </c>
      <c r="X57" s="115">
        <f t="shared" si="16"/>
        <v>34.97700753433891</v>
      </c>
      <c r="Y57" s="115">
        <f t="shared" si="16"/>
        <v>35.791432213428479</v>
      </c>
      <c r="Z57" s="115">
        <f t="shared" si="16"/>
        <v>30.532010126041076</v>
      </c>
      <c r="AA57" s="115">
        <f t="shared" si="16"/>
        <v>30.89414264253109</v>
      </c>
      <c r="AB57" s="115">
        <f t="shared" si="16"/>
        <v>29.543994611871792</v>
      </c>
      <c r="AC57" s="115">
        <f t="shared" si="16"/>
        <v>31.421711490806924</v>
      </c>
      <c r="AD57" s="144">
        <f ca="1">AD56/AD54*100</f>
        <v>33.78786574619393</v>
      </c>
      <c r="AE57" s="154">
        <f ca="1">AE56/AE54*100</f>
        <v>33.78786574619393</v>
      </c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</row>
    <row r="58" spans="1:44" x14ac:dyDescent="0.15">
      <c r="A58" t="s">
        <v>748</v>
      </c>
      <c r="B58" t="s">
        <v>1226</v>
      </c>
      <c r="D58" s="2125"/>
      <c r="E58" s="84" t="s">
        <v>35</v>
      </c>
      <c r="F58" s="53">
        <f>IFERROR(GETPIVOTDATA("合計 / " &amp; $B58,【ピボット】事業所収支!$A$3,"年月",F$2,"事業所",$A58),"")</f>
        <v>147733</v>
      </c>
      <c r="G58" s="53">
        <f>IFERROR(GETPIVOTDATA("合計 / " &amp; $B58,【ピボット】事業所収支!$A$3,"年月",G$2,"事業所",$A58),"")</f>
        <v>162095</v>
      </c>
      <c r="H58" s="53">
        <f>IFERROR(GETPIVOTDATA("合計 / " &amp; $B58,【ピボット】事業所収支!$A$3,"年月",H$2,"事業所",$A58),"")</f>
        <v>117007</v>
      </c>
      <c r="I58" s="53">
        <f>IFERROR(GETPIVOTDATA("合計 / " &amp; $B58,【ピボット】事業所収支!$A$3,"年月",I$2,"事業所",$A58),"")</f>
        <v>122447</v>
      </c>
      <c r="J58" s="53">
        <f>IFERROR(GETPIVOTDATA("合計 / " &amp; $B58,【ピボット】事業所収支!$A$3,"年月",J$2,"事業所",$A58),"")</f>
        <v>124140</v>
      </c>
      <c r="K58" s="53">
        <f>IFERROR(GETPIVOTDATA("合計 / " &amp; $B58,【ピボット】事業所収支!$A$3,"年月",K$2,"事業所",$A58),"")</f>
        <v>127801</v>
      </c>
      <c r="L58" s="53">
        <f>IFERROR(GETPIVOTDATA("合計 / " &amp; $B58,【ピボット】事業所収支!$A$3,"年月",L$2,"事業所",$A58),"")</f>
        <v>155938</v>
      </c>
      <c r="M58" s="53">
        <f>IFERROR(GETPIVOTDATA("合計 / " &amp; $B58,【ピボット】事業所収支!$A$3,"年月",M$2,"事業所",$A58),"")</f>
        <v>154535</v>
      </c>
      <c r="N58" s="53">
        <f>IFERROR(GETPIVOTDATA("合計 / " &amp; $B58,【ピボット】事業所収支!$A$3,"年月",N$2,"事業所",$A58),"")</f>
        <v>134184</v>
      </c>
      <c r="O58" s="53">
        <f>IFERROR(GETPIVOTDATA("合計 / " &amp; $B58,【ピボット】事業所収支!$A$3,"年月",O$2,"事業所",$A58),"")</f>
        <v>126910</v>
      </c>
      <c r="P58" s="53">
        <f>IFERROR(GETPIVOTDATA("合計 / " &amp; $B58,【ピボット】事業所収支!$A$3,"年月",P$2,"事業所",$A58),"")</f>
        <v>167880</v>
      </c>
      <c r="Q58" s="53">
        <f>IFERROR(GETPIVOTDATA("合計 / " &amp; $B58,【ピボット】事業所収支!$A$3,"年月",Q$2,"事業所",$A58),"")</f>
        <v>129954</v>
      </c>
      <c r="R58" s="53">
        <f>IFERROR(GETPIVOTDATA("合計 / " &amp; $B58,【ピボット】事業所収支!$A$3,"年月",R$2,"事業所",$A58),"")</f>
        <v>129795</v>
      </c>
      <c r="S58" s="53">
        <f>IFERROR(GETPIVOTDATA("合計 / " &amp; $B58,【ピボット】事業所収支!$A$3,"年月",S$2,"事業所",$A58),"")</f>
        <v>173077</v>
      </c>
      <c r="T58" s="53">
        <f>IFERROR(GETPIVOTDATA("合計 / " &amp; $B58,【ピボット】事業所収支!$A$3,"年月",T$2,"事業所",$A58),"")</f>
        <v>127926</v>
      </c>
      <c r="U58" s="53">
        <f>IFERROR(GETPIVOTDATA("合計 / " &amp; $B58,【ピボット】事業所収支!$A$3,"年月",U$2,"事業所",$A58),"")</f>
        <v>125559</v>
      </c>
      <c r="V58" s="53">
        <f>IFERROR(GETPIVOTDATA("合計 / " &amp; $B58,【ピボット】事業所収支!$A$3,"年月",V$2,"事業所",$A58),"")</f>
        <v>121814</v>
      </c>
      <c r="W58" s="53">
        <f>IFERROR(GETPIVOTDATA("合計 / " &amp; $B58,【ピボット】事業所収支!$A$3,"年月",W$2,"事業所",$A58),"")</f>
        <v>184298</v>
      </c>
      <c r="X58" s="53">
        <f>IFERROR(GETPIVOTDATA("合計 / " &amp; $B58,【ピボット】事業所収支!$A$3,"年月",X$2,"事業所",$A58),"")</f>
        <v>142328</v>
      </c>
      <c r="Y58" s="53">
        <f>IFERROR(GETPIVOTDATA("合計 / " &amp; $B58,【ピボット】事業所収支!$A$3,"年月",Y$2,"事業所",$A58),"")</f>
        <v>143912</v>
      </c>
      <c r="Z58" s="53">
        <f>IFERROR(GETPIVOTDATA("合計 / " &amp; $B58,【ピボット】事業所収支!$A$3,"年月",Z$2,"事業所",$A58),"")</f>
        <v>129440</v>
      </c>
      <c r="AA58" s="53">
        <f>IFERROR(GETPIVOTDATA("合計 / " &amp; $B58,【ピボット】事業所収支!$A$3,"年月",AA$2,"事業所",$A58),"")</f>
        <v>122019</v>
      </c>
      <c r="AB58" s="53">
        <f>IFERROR(GETPIVOTDATA("合計 / " &amp; $B58,【ピボット】事業所収支!$A$3,"年月",AB$2,"事業所",$A58),"")</f>
        <v>136143</v>
      </c>
      <c r="AC58" s="53">
        <f>IFERROR(GETPIVOTDATA("合計 / " &amp; $B58,【ピボット】事業所収支!$A$3,"年月",AC$2,"事業所",$A58),"")</f>
        <v>116406</v>
      </c>
      <c r="AD58" s="141">
        <f ca="1">SUM(OFFSET(AC58,0,当期月数):AC58)</f>
        <v>1096360</v>
      </c>
      <c r="AE58" s="56">
        <f ca="1">AVERAGE(OFFSET(AC58,0,当期月数):AC58)</f>
        <v>137045</v>
      </c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</row>
    <row r="59" spans="1:44" ht="14.25" thickBot="1" x14ac:dyDescent="0.2">
      <c r="A59" t="s">
        <v>748</v>
      </c>
      <c r="B59" t="s">
        <v>32</v>
      </c>
      <c r="D59" s="2127"/>
      <c r="E59" s="87" t="s">
        <v>32</v>
      </c>
      <c r="F59" s="116">
        <f t="shared" ref="F59:AC59" si="17">IFERROR(F54-(F56+F58),"")</f>
        <v>-123933</v>
      </c>
      <c r="G59" s="116">
        <f t="shared" si="17"/>
        <v>2072913</v>
      </c>
      <c r="H59" s="116">
        <f t="shared" si="17"/>
        <v>698954</v>
      </c>
      <c r="I59" s="116">
        <f t="shared" si="17"/>
        <v>502734</v>
      </c>
      <c r="J59" s="116">
        <f t="shared" si="17"/>
        <v>705914</v>
      </c>
      <c r="K59" s="116">
        <f t="shared" si="17"/>
        <v>486118</v>
      </c>
      <c r="L59" s="116">
        <f t="shared" si="17"/>
        <v>651412</v>
      </c>
      <c r="M59" s="116">
        <f t="shared" si="17"/>
        <v>463266.9344628664</v>
      </c>
      <c r="N59" s="116">
        <f t="shared" si="17"/>
        <v>233735</v>
      </c>
      <c r="O59" s="116">
        <f t="shared" si="17"/>
        <v>287313</v>
      </c>
      <c r="P59" s="116">
        <f t="shared" si="17"/>
        <v>286482</v>
      </c>
      <c r="Q59" s="116">
        <f t="shared" si="17"/>
        <v>381513</v>
      </c>
      <c r="R59" s="116">
        <f t="shared" si="17"/>
        <v>876578</v>
      </c>
      <c r="S59" s="116">
        <f t="shared" si="17"/>
        <v>17037</v>
      </c>
      <c r="T59" s="116">
        <f t="shared" si="17"/>
        <v>637097</v>
      </c>
      <c r="U59" s="116">
        <f t="shared" si="17"/>
        <v>403628</v>
      </c>
      <c r="V59" s="116">
        <f t="shared" si="17"/>
        <v>371820</v>
      </c>
      <c r="W59" s="116">
        <f t="shared" si="17"/>
        <v>543356</v>
      </c>
      <c r="X59" s="116">
        <f t="shared" si="17"/>
        <v>595642</v>
      </c>
      <c r="Y59" s="116">
        <f t="shared" si="17"/>
        <v>611157</v>
      </c>
      <c r="Z59" s="116">
        <f t="shared" si="17"/>
        <v>754445</v>
      </c>
      <c r="AA59" s="116">
        <f t="shared" si="17"/>
        <v>594210</v>
      </c>
      <c r="AB59" s="116">
        <f t="shared" si="17"/>
        <v>587753</v>
      </c>
      <c r="AC59" s="116">
        <f t="shared" si="17"/>
        <v>622224</v>
      </c>
      <c r="AD59" s="142">
        <f ca="1">SUM(OFFSET(AC59,0,当期月数):AC59)</f>
        <v>4680607</v>
      </c>
      <c r="AE59" s="152">
        <f ca="1">AVERAGE(OFFSET(AC59,0,当期月数):AC59)</f>
        <v>585075.875</v>
      </c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</row>
    <row r="60" spans="1:44" x14ac:dyDescent="0.15">
      <c r="A60" t="s">
        <v>747</v>
      </c>
      <c r="B60" t="s">
        <v>26</v>
      </c>
      <c r="D60" s="2124" t="s">
        <v>189</v>
      </c>
      <c r="E60" s="86" t="s">
        <v>144</v>
      </c>
      <c r="F60" s="137">
        <f>IFERROR(GETPIVOTDATA("合計 / " &amp; $B60,【ピボット】事業所収支!$A$3,"年月",F$2,"事業所",$A60),"")</f>
        <v>1119631</v>
      </c>
      <c r="G60" s="137">
        <f>IFERROR(GETPIVOTDATA("合計 / " &amp; $B60,【ピボット】事業所収支!$A$3,"年月",G$2,"事業所",$A60),"")</f>
        <v>2075072</v>
      </c>
      <c r="H60" s="137">
        <f>IFERROR(GETPIVOTDATA("合計 / " &amp; $B60,【ピボット】事業所収支!$A$3,"年月",H$2,"事業所",$A60),"")</f>
        <v>1101492</v>
      </c>
      <c r="I60" s="137">
        <f>IFERROR(GETPIVOTDATA("合計 / " &amp; $B60,【ピボット】事業所収支!$A$3,"年月",I$2,"事業所",$A60),"")</f>
        <v>1001492</v>
      </c>
      <c r="J60" s="137">
        <f>IFERROR(GETPIVOTDATA("合計 / " &amp; $B60,【ピボット】事業所収支!$A$3,"年月",J$2,"事業所",$A60),"")</f>
        <v>1015378</v>
      </c>
      <c r="K60" s="137">
        <f>IFERROR(GETPIVOTDATA("合計 / " &amp; $B60,【ピボット】事業所収支!$A$3,"年月",K$2,"事業所",$A60),"")</f>
        <v>1061492</v>
      </c>
      <c r="L60" s="137">
        <f>IFERROR(GETPIVOTDATA("合計 / " &amp; $B60,【ピボット】事業所収支!$A$3,"年月",L$2,"事業所",$A60),"")</f>
        <v>1000792</v>
      </c>
      <c r="M60" s="137">
        <f>IFERROR(GETPIVOTDATA("合計 / " &amp; $B60,【ピボット】事業所収支!$A$3,"年月",M$2,"事業所",$A60),"")</f>
        <v>1061492</v>
      </c>
      <c r="N60" s="137">
        <f>IFERROR(GETPIVOTDATA("合計 / " &amp; $B60,【ピボット】事業所収支!$A$3,"年月",N$2,"事業所",$A60),"")</f>
        <v>1016092</v>
      </c>
      <c r="O60" s="137">
        <f>IFERROR(GETPIVOTDATA("合計 / " &amp; $B60,【ピボット】事業所収支!$A$3,"年月",O$2,"事業所",$A60),"")</f>
        <v>939922</v>
      </c>
      <c r="P60" s="137">
        <f>IFERROR(GETPIVOTDATA("合計 / " &amp; $B60,【ピボット】事業所収支!$A$3,"年月",P$2,"事業所",$A60),"")</f>
        <v>1205836</v>
      </c>
      <c r="Q60" s="137">
        <f>IFERROR(GETPIVOTDATA("合計 / " &amp; $B60,【ピボット】事業所収支!$A$3,"年月",Q$2,"事業所",$A60),"")</f>
        <v>1038460</v>
      </c>
      <c r="R60" s="137">
        <f>IFERROR(GETPIVOTDATA("合計 / " &amp; $B60,【ピボット】事業所収支!$A$3,"年月",R$2,"事業所",$A60),"")</f>
        <v>1150795</v>
      </c>
      <c r="S60" s="137">
        <f>IFERROR(GETPIVOTDATA("合計 / " &amp; $B60,【ピボット】事業所収支!$A$3,"年月",S$2,"事業所",$A60),"")</f>
        <v>1054056</v>
      </c>
      <c r="T60" s="137">
        <f>IFERROR(GETPIVOTDATA("合計 / " &amp; $B60,【ピボット】事業所収支!$A$3,"年月",T$2,"事業所",$A60),"")</f>
        <v>1085268</v>
      </c>
      <c r="U60" s="137">
        <f>IFERROR(GETPIVOTDATA("合計 / " &amp; $B60,【ピボット】事業所収支!$A$3,"年月",U$2,"事業所",$A60),"")</f>
        <v>923999</v>
      </c>
      <c r="V60" s="137">
        <f>IFERROR(GETPIVOTDATA("合計 / " &amp; $B60,【ピボット】事業所収支!$A$3,"年月",V$2,"事業所",$A60),"")</f>
        <v>1050085</v>
      </c>
      <c r="W60" s="137">
        <f>IFERROR(GETPIVOTDATA("合計 / " &amp; $B60,【ピボット】事業所収支!$A$3,"年月",W$2,"事業所",$A60),"")</f>
        <v>1087657</v>
      </c>
      <c r="X60" s="137">
        <f>IFERROR(GETPIVOTDATA("合計 / " &amp; $B60,【ピボット】事業所収支!$A$3,"年月",X$2,"事業所",$A60),"")</f>
        <v>1070236</v>
      </c>
      <c r="Y60" s="137">
        <f>IFERROR(GETPIVOTDATA("合計 / " &amp; $B60,【ピボット】事業所収支!$A$3,"年月",Y$2,"事業所",$A60),"")</f>
        <v>1102442</v>
      </c>
      <c r="Z60" s="137">
        <f>IFERROR(GETPIVOTDATA("合計 / " &amp; $B60,【ピボット】事業所収支!$A$3,"年月",Z$2,"事業所",$A60),"")</f>
        <v>1356442</v>
      </c>
      <c r="AA60" s="137">
        <f>IFERROR(GETPIVOTDATA("合計 / " &amp; $B60,【ピボット】事業所収支!$A$3,"年月",AA$2,"事業所",$A60),"")</f>
        <v>1005836</v>
      </c>
      <c r="AB60" s="137">
        <f>IFERROR(GETPIVOTDATA("合計 / " &amp; $B60,【ピボット】事業所収支!$A$3,"年月",AB$2,"事業所",$A60),"")</f>
        <v>973793</v>
      </c>
      <c r="AC60" s="137">
        <f>IFERROR(GETPIVOTDATA("合計 / " &amp; $B60,【ピボット】事業所収支!$A$3,"年月",AC$2,"事業所",$A60),"")</f>
        <v>797482</v>
      </c>
      <c r="AD60" s="139">
        <f ca="1">SUM(OFFSET(AC60,0,当期月数):AC60)</f>
        <v>8443973</v>
      </c>
      <c r="AE60" s="47">
        <f ca="1">AVERAGE(OFFSET(AC60,0,当期月数):AC60)</f>
        <v>1055496.625</v>
      </c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</row>
    <row r="61" spans="1:44" x14ac:dyDescent="0.15">
      <c r="A61" t="s">
        <v>747</v>
      </c>
      <c r="B61" t="s">
        <v>142</v>
      </c>
      <c r="D61" s="2128"/>
      <c r="E61" s="82" t="s">
        <v>142</v>
      </c>
      <c r="F61" s="30">
        <f>IFERROR(GETPIVOTDATA("合計 / 共同生活援助処遇改善加算金",【ピボット】事業所売上!$A$3,"年月",F$2,"事業所",$A61),"")</f>
        <v>0</v>
      </c>
      <c r="G61" s="30">
        <f>IFERROR(GETPIVOTDATA("合計 / 共同生活援助処遇改善加算金",【ピボット】事業所売上!$A$3,"年月",G$2,"事業所",$A61),"")</f>
        <v>0</v>
      </c>
      <c r="H61" s="30">
        <f>IFERROR(GETPIVOTDATA("合計 / 共同生活援助処遇改善加算金",【ピボット】事業所売上!$A$3,"年月",H$2,"事業所",$A61),"")</f>
        <v>0</v>
      </c>
      <c r="I61" s="30">
        <f>IFERROR(GETPIVOTDATA("合計 / 共同生活援助処遇改善加算金",【ピボット】事業所売上!$A$3,"年月",I$2,"事業所",$A61),"")</f>
        <v>0</v>
      </c>
      <c r="J61" s="30">
        <f>IFERROR(GETPIVOTDATA("合計 / 共同生活援助処遇改善加算金",【ピボット】事業所売上!$A$3,"年月",J$2,"事業所",$A61),"")</f>
        <v>0</v>
      </c>
      <c r="K61" s="30">
        <f>IFERROR(GETPIVOTDATA("合計 / 共同生活援助処遇改善加算金",【ピボット】事業所売上!$A$3,"年月",K$2,"事業所",$A61),"")</f>
        <v>0</v>
      </c>
      <c r="L61" s="30">
        <f>IFERROR(GETPIVOTDATA("合計 / 共同生活援助処遇改善加算金",【ピボット】事業所売上!$A$3,"年月",L$2,"事業所",$A61),"")</f>
        <v>0</v>
      </c>
      <c r="M61" s="30">
        <f>IFERROR(GETPIVOTDATA("合計 / 共同生活援助処遇改善加算金",【ピボット】事業所売上!$A$3,"年月",M$2,"事業所",$A61),"")</f>
        <v>0</v>
      </c>
      <c r="N61" s="30">
        <f>IFERROR(GETPIVOTDATA("合計 / 共同生活援助処遇改善加算金",【ピボット】事業所売上!$A$3,"年月",N$2,"事業所",$A61),"")</f>
        <v>0</v>
      </c>
      <c r="O61" s="30">
        <f>IFERROR(GETPIVOTDATA("合計 / 共同生活援助処遇改善加算金",【ピボット】事業所売上!$A$3,"年月",O$2,"事業所",$A61),"")</f>
        <v>0</v>
      </c>
      <c r="P61" s="30">
        <f>IFERROR(GETPIVOTDATA("合計 / 共同生活援助処遇改善加算金",【ピボット】事業所売上!$A$3,"年月",P$2,"事業所",$A61),"")</f>
        <v>0</v>
      </c>
      <c r="Q61" s="30">
        <f>IFERROR(GETPIVOTDATA("合計 / 共同生活援助処遇改善加算金",【ピボット】事業所売上!$A$3,"年月",Q$2,"事業所",$A61),"")</f>
        <v>0</v>
      </c>
      <c r="R61" s="30">
        <f>IFERROR(GETPIVOTDATA("合計 / 共同生活援助処遇改善加算金",【ピボット】事業所売上!$A$3,"年月",R$2,"事業所",$A61),"")</f>
        <v>0</v>
      </c>
      <c r="S61" s="30">
        <f>IFERROR(GETPIVOTDATA("合計 / 共同生活援助処遇改善加算金",【ピボット】事業所売上!$A$3,"年月",S$2,"事業所",$A61),"")</f>
        <v>0</v>
      </c>
      <c r="T61" s="30">
        <f>IFERROR(GETPIVOTDATA("合計 / 共同生活援助処遇改善加算金",【ピボット】事業所売上!$A$3,"年月",T$2,"事業所",$A61),"")</f>
        <v>0</v>
      </c>
      <c r="U61" s="30">
        <f>IFERROR(GETPIVOTDATA("合計 / 共同生活援助処遇改善加算金",【ピボット】事業所売上!$A$3,"年月",U$2,"事業所",$A61),"")</f>
        <v>0</v>
      </c>
      <c r="V61" s="30">
        <f>IFERROR(GETPIVOTDATA("合計 / 共同生活援助処遇改善加算金",【ピボット】事業所売上!$A$3,"年月",V$2,"事業所",$A61),"")</f>
        <v>0</v>
      </c>
      <c r="W61" s="30">
        <f>IFERROR(GETPIVOTDATA("合計 / 共同生活援助処遇改善加算金",【ピボット】事業所売上!$A$3,"年月",W$2,"事業所",$A61),"")</f>
        <v>0</v>
      </c>
      <c r="X61" s="30">
        <f>IFERROR(GETPIVOTDATA("合計 / 共同生活援助処遇改善加算金",【ピボット】事業所売上!$A$3,"年月",X$2,"事業所",$A61),"")</f>
        <v>0</v>
      </c>
      <c r="Y61" s="30">
        <f>IFERROR(GETPIVOTDATA("合計 / 共同生活援助処遇改善加算金",【ピボット】事業所売上!$A$3,"年月",Y$2,"事業所",$A61),"")</f>
        <v>0</v>
      </c>
      <c r="Z61" s="30">
        <f>IFERROR(GETPIVOTDATA("合計 / 共同生活援助処遇改善加算金",【ピボット】事業所売上!$A$3,"年月",Z$2,"事業所",$A61),"")</f>
        <v>0</v>
      </c>
      <c r="AA61" s="30">
        <f>IFERROR(GETPIVOTDATA("合計 / 共同生活援助処遇改善加算金",【ピボット】事業所売上!$A$3,"年月",AA$2,"事業所",$A61),"")</f>
        <v>0</v>
      </c>
      <c r="AB61" s="30">
        <f>IFERROR(GETPIVOTDATA("合計 / 共同生活援助処遇改善加算金",【ピボット】事業所売上!$A$3,"年月",AB$2,"事業所",$A61),"")</f>
        <v>0</v>
      </c>
      <c r="AC61" s="30">
        <f>IFERROR(GETPIVOTDATA("合計 / 共同生活援助処遇改善加算金",【ピボット】事業所売上!$A$3,"年月",AC$2,"事業所",$A61),"")</f>
        <v>0</v>
      </c>
      <c r="AD61" s="140">
        <f ca="1">SUM(OFFSET(AC61,0,当期月数):AC61)</f>
        <v>0</v>
      </c>
      <c r="AE61" s="46">
        <f ca="1">AVERAGE(OFFSET(AC61,0,当期月数):AC61)</f>
        <v>0</v>
      </c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</row>
    <row r="62" spans="1:44" x14ac:dyDescent="0.15">
      <c r="A62" t="s">
        <v>747</v>
      </c>
      <c r="B62" t="s">
        <v>15</v>
      </c>
      <c r="D62" s="2125"/>
      <c r="E62" s="83" t="s">
        <v>15</v>
      </c>
      <c r="F62" s="30">
        <f>IFERROR(GETPIVOTDATA("合計 / " &amp; $B62,【ピボット】事業所収支!$A$3,"年月",F$2,"事業所",$A62),"")</f>
        <v>337775</v>
      </c>
      <c r="G62" s="30">
        <f>IFERROR(GETPIVOTDATA("合計 / " &amp; $B62,【ピボット】事業所収支!$A$3,"年月",G$2,"事業所",$A62),"")</f>
        <v>672224</v>
      </c>
      <c r="H62" s="30">
        <f>IFERROR(GETPIVOTDATA("合計 / " &amp; $B62,【ピボット】事業所収支!$A$3,"年月",H$2,"事業所",$A62),"")</f>
        <v>568518</v>
      </c>
      <c r="I62" s="30">
        <f>IFERROR(GETPIVOTDATA("合計 / " &amp; $B62,【ピボット】事業所収支!$A$3,"年月",I$2,"事業所",$A62),"")</f>
        <v>373725</v>
      </c>
      <c r="J62" s="30">
        <f>IFERROR(GETPIVOTDATA("合計 / " &amp; $B62,【ピボット】事業所収支!$A$3,"年月",J$2,"事業所",$A62),"")</f>
        <v>352925</v>
      </c>
      <c r="K62" s="30">
        <f>IFERROR(GETPIVOTDATA("合計 / " &amp; $B62,【ピボット】事業所収支!$A$3,"年月",K$2,"事業所",$A62),"")</f>
        <v>360225</v>
      </c>
      <c r="L62" s="30">
        <f>IFERROR(GETPIVOTDATA("合計 / " &amp; $B62,【ピボット】事業所収支!$A$3,"年月",L$2,"事業所",$A62),"")</f>
        <v>332700</v>
      </c>
      <c r="M62" s="30">
        <f>IFERROR(GETPIVOTDATA("合計 / " &amp; $B62,【ピボット】事業所収支!$A$3,"年月",M$2,"事業所",$A62),"")</f>
        <v>366550</v>
      </c>
      <c r="N62" s="30">
        <f>IFERROR(GETPIVOTDATA("合計 / " &amp; $B62,【ピボット】事業所収支!$A$3,"年月",N$2,"事業所",$A62),"")</f>
        <v>285100</v>
      </c>
      <c r="O62" s="30">
        <f>IFERROR(GETPIVOTDATA("合計 / " &amp; $B62,【ピボット】事業所収支!$A$3,"年月",O$2,"事業所",$A62),"")</f>
        <v>254875</v>
      </c>
      <c r="P62" s="30">
        <f>IFERROR(GETPIVOTDATA("合計 / " &amp; $B62,【ピボット】事業所収支!$A$3,"年月",P$2,"事業所",$A62),"")</f>
        <v>301575</v>
      </c>
      <c r="Q62" s="30">
        <f>IFERROR(GETPIVOTDATA("合計 / " &amp; $B62,【ピボット】事業所収支!$A$3,"年月",Q$2,"事業所",$A62),"")</f>
        <v>285775</v>
      </c>
      <c r="R62" s="30">
        <f>IFERROR(GETPIVOTDATA("合計 / " &amp; $B62,【ピボット】事業所収支!$A$3,"年月",R$2,"事業所",$A62),"")</f>
        <v>303275</v>
      </c>
      <c r="S62" s="30">
        <f>IFERROR(GETPIVOTDATA("合計 / " &amp; $B62,【ピボット】事業所収支!$A$3,"年月",S$2,"事業所",$A62),"")</f>
        <v>299100</v>
      </c>
      <c r="T62" s="30">
        <f>IFERROR(GETPIVOTDATA("合計 / " &amp; $B62,【ピボット】事業所収支!$A$3,"年月",T$2,"事業所",$A62),"")</f>
        <v>302725</v>
      </c>
      <c r="U62" s="30">
        <f>IFERROR(GETPIVOTDATA("合計 / " &amp; $B62,【ピボット】事業所収支!$A$3,"年月",U$2,"事業所",$A62),"")</f>
        <v>307500</v>
      </c>
      <c r="V62" s="30">
        <f>IFERROR(GETPIVOTDATA("合計 / " &amp; $B62,【ピボット】事業所収支!$A$3,"年月",V$2,"事業所",$A62),"")</f>
        <v>290550</v>
      </c>
      <c r="W62" s="30">
        <f>IFERROR(GETPIVOTDATA("合計 / " &amp; $B62,【ピボット】事業所収支!$A$3,"年月",W$2,"事業所",$A62),"")</f>
        <v>315275</v>
      </c>
      <c r="X62" s="30">
        <f>IFERROR(GETPIVOTDATA("合計 / " &amp; $B62,【ピボット】事業所収支!$A$3,"年月",X$2,"事業所",$A62),"")</f>
        <v>251250</v>
      </c>
      <c r="Y62" s="30">
        <f>IFERROR(GETPIVOTDATA("合計 / " &amp; $B62,【ピボット】事業所収支!$A$3,"年月",Y$2,"事業所",$A62),"")</f>
        <v>227000</v>
      </c>
      <c r="Z62" s="30">
        <f>IFERROR(GETPIVOTDATA("合計 / " &amp; $B62,【ピボット】事業所収支!$A$3,"年月",Z$2,"事業所",$A62),"")</f>
        <v>238000</v>
      </c>
      <c r="AA62" s="30">
        <f>IFERROR(GETPIVOTDATA("合計 / " &amp; $B62,【ピボット】事業所収支!$A$3,"年月",AA$2,"事業所",$A62),"")</f>
        <v>199000</v>
      </c>
      <c r="AB62" s="30">
        <f>IFERROR(GETPIVOTDATA("合計 / " &amp; $B62,【ピボット】事業所収支!$A$3,"年月",AB$2,"事業所",$A62),"")</f>
        <v>219000</v>
      </c>
      <c r="AC62" s="30">
        <f>IFERROR(GETPIVOTDATA("合計 / " &amp; $B62,【ピボット】事業所収支!$A$3,"年月",AC$2,"事業所",$A62),"")</f>
        <v>209300</v>
      </c>
      <c r="AD62" s="140">
        <f ca="1">SUM(OFFSET(AC62,0,当期月数):AC62)</f>
        <v>1949375</v>
      </c>
      <c r="AE62" s="46">
        <f ca="1">AVERAGE(OFFSET(AC62,0,当期月数):AC62)</f>
        <v>243671.875</v>
      </c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</row>
    <row r="63" spans="1:44" x14ac:dyDescent="0.15">
      <c r="A63" t="s">
        <v>747</v>
      </c>
      <c r="B63" t="s">
        <v>48</v>
      </c>
      <c r="D63" s="2125"/>
      <c r="E63" s="83" t="s">
        <v>48</v>
      </c>
      <c r="F63" s="115">
        <f t="shared" ref="F63:AC63" si="18">IFERROR(F62/F60*100,"")</f>
        <v>30.168421560317643</v>
      </c>
      <c r="G63" s="115">
        <f t="shared" si="18"/>
        <v>32.395213274527343</v>
      </c>
      <c r="H63" s="115">
        <f t="shared" si="18"/>
        <v>51.613447941519318</v>
      </c>
      <c r="I63" s="115">
        <f t="shared" si="18"/>
        <v>37.316823299636944</v>
      </c>
      <c r="J63" s="115">
        <f t="shared" si="18"/>
        <v>34.757991605096819</v>
      </c>
      <c r="K63" s="115">
        <f t="shared" si="18"/>
        <v>33.935724433156352</v>
      </c>
      <c r="L63" s="115">
        <f t="shared" si="18"/>
        <v>33.243671012558053</v>
      </c>
      <c r="M63" s="115">
        <f t="shared" si="18"/>
        <v>34.531583846133557</v>
      </c>
      <c r="N63" s="115">
        <f t="shared" si="18"/>
        <v>28.058482893281315</v>
      </c>
      <c r="O63" s="115">
        <f t="shared" si="18"/>
        <v>27.1166118039582</v>
      </c>
      <c r="P63" s="115">
        <f t="shared" si="18"/>
        <v>25.009619881974</v>
      </c>
      <c r="Q63" s="115">
        <f t="shared" si="18"/>
        <v>27.519114843133103</v>
      </c>
      <c r="R63" s="115">
        <f t="shared" si="18"/>
        <v>26.353520826906617</v>
      </c>
      <c r="S63" s="115">
        <f t="shared" si="18"/>
        <v>28.376101459504998</v>
      </c>
      <c r="T63" s="115">
        <f t="shared" si="18"/>
        <v>27.894031704611212</v>
      </c>
      <c r="U63" s="115">
        <f t="shared" si="18"/>
        <v>33.279256795732465</v>
      </c>
      <c r="V63" s="115">
        <f t="shared" si="18"/>
        <v>27.669188684725519</v>
      </c>
      <c r="W63" s="115">
        <f t="shared" si="18"/>
        <v>28.986619862695683</v>
      </c>
      <c r="X63" s="115">
        <f t="shared" si="18"/>
        <v>23.476130498319996</v>
      </c>
      <c r="Y63" s="115">
        <f t="shared" si="18"/>
        <v>20.590652388062139</v>
      </c>
      <c r="Z63" s="115">
        <f t="shared" si="18"/>
        <v>17.545903179052257</v>
      </c>
      <c r="AA63" s="115">
        <f t="shared" si="18"/>
        <v>19.784537439503062</v>
      </c>
      <c r="AB63" s="115">
        <f t="shared" si="18"/>
        <v>22.489379159636595</v>
      </c>
      <c r="AC63" s="115">
        <f t="shared" si="18"/>
        <v>26.245106472622581</v>
      </c>
      <c r="AD63" s="144">
        <f ca="1">AD62/AD60*100</f>
        <v>23.085992814046183</v>
      </c>
      <c r="AE63" s="154">
        <f ca="1">AE62/AE60*100</f>
        <v>23.085992814046183</v>
      </c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</row>
    <row r="64" spans="1:44" x14ac:dyDescent="0.15">
      <c r="A64" t="s">
        <v>747</v>
      </c>
      <c r="B64" t="s">
        <v>1226</v>
      </c>
      <c r="D64" s="2125"/>
      <c r="E64" s="84" t="s">
        <v>35</v>
      </c>
      <c r="F64" s="53">
        <f>IFERROR(GETPIVOTDATA("合計 / " &amp; $B64,【ピボット】事業所収支!$A$3,"年月",F$2,"事業所",$A64),"")</f>
        <v>353105</v>
      </c>
      <c r="G64" s="53">
        <f>IFERROR(GETPIVOTDATA("合計 / " &amp; $B64,【ピボット】事業所収支!$A$3,"年月",G$2,"事業所",$A64),"")</f>
        <v>298938</v>
      </c>
      <c r="H64" s="53">
        <f>IFERROR(GETPIVOTDATA("合計 / " &amp; $B64,【ピボット】事業所収支!$A$3,"年月",H$2,"事業所",$A64),"")</f>
        <v>307050</v>
      </c>
      <c r="I64" s="53">
        <f>IFERROR(GETPIVOTDATA("合計 / " &amp; $B64,【ピボット】事業所収支!$A$3,"年月",I$2,"事業所",$A64),"")</f>
        <v>306079</v>
      </c>
      <c r="J64" s="53">
        <f>IFERROR(GETPIVOTDATA("合計 / " &amp; $B64,【ピボット】事業所収支!$A$3,"年月",J$2,"事業所",$A64),"")</f>
        <v>265479</v>
      </c>
      <c r="K64" s="53">
        <f>IFERROR(GETPIVOTDATA("合計 / " &amp; $B64,【ピボット】事業所収支!$A$3,"年月",K$2,"事業所",$A64),"")</f>
        <v>183340</v>
      </c>
      <c r="L64" s="53">
        <f>IFERROR(GETPIVOTDATA("合計 / " &amp; $B64,【ピボット】事業所収支!$A$3,"年月",L$2,"事業所",$A64),"")</f>
        <v>233991</v>
      </c>
      <c r="M64" s="53">
        <f>IFERROR(GETPIVOTDATA("合計 / " &amp; $B64,【ピボット】事業所収支!$A$3,"年月",M$2,"事業所",$A64),"")</f>
        <v>175504</v>
      </c>
      <c r="N64" s="53">
        <f>IFERROR(GETPIVOTDATA("合計 / " &amp; $B64,【ピボット】事業所収支!$A$3,"年月",N$2,"事業所",$A64),"")</f>
        <v>179603</v>
      </c>
      <c r="O64" s="53">
        <f>IFERROR(GETPIVOTDATA("合計 / " &amp; $B64,【ピボット】事業所収支!$A$3,"年月",O$2,"事業所",$A64),"")</f>
        <v>178705</v>
      </c>
      <c r="P64" s="53">
        <f>IFERROR(GETPIVOTDATA("合計 / " &amp; $B64,【ピボット】事業所収支!$A$3,"年月",P$2,"事業所",$A64),"")</f>
        <v>322423</v>
      </c>
      <c r="Q64" s="53">
        <f>IFERROR(GETPIVOTDATA("合計 / " &amp; $B64,【ピボット】事業所収支!$A$3,"年月",Q$2,"事業所",$A64),"")</f>
        <v>182111</v>
      </c>
      <c r="R64" s="53">
        <f>IFERROR(GETPIVOTDATA("合計 / " &amp; $B64,【ピボット】事業所収支!$A$3,"年月",R$2,"事業所",$A64),"")</f>
        <v>184675</v>
      </c>
      <c r="S64" s="53">
        <f>IFERROR(GETPIVOTDATA("合計 / " &amp; $B64,【ピボット】事業所収支!$A$3,"年月",S$2,"事業所",$A64),"")</f>
        <v>176539</v>
      </c>
      <c r="T64" s="53">
        <f>IFERROR(GETPIVOTDATA("合計 / " &amp; $B64,【ピボット】事業所収支!$A$3,"年月",T$2,"事業所",$A64),"")</f>
        <v>173186</v>
      </c>
      <c r="U64" s="53">
        <f>IFERROR(GETPIVOTDATA("合計 / " &amp; $B64,【ピボット】事業所収支!$A$3,"年月",U$2,"事業所",$A64),"")</f>
        <v>155590</v>
      </c>
      <c r="V64" s="53">
        <f>IFERROR(GETPIVOTDATA("合計 / " &amp; $B64,【ピボット】事業所収支!$A$3,"年月",V$2,"事業所",$A64),"")</f>
        <v>155385</v>
      </c>
      <c r="W64" s="53">
        <f>IFERROR(GETPIVOTDATA("合計 / " &amp; $B64,【ピボット】事業所収支!$A$3,"年月",W$2,"事業所",$A64),"")</f>
        <v>192786</v>
      </c>
      <c r="X64" s="53">
        <f>IFERROR(GETPIVOTDATA("合計 / " &amp; $B64,【ピボット】事業所収支!$A$3,"年月",X$2,"事業所",$A64),"")</f>
        <v>127769</v>
      </c>
      <c r="Y64" s="53">
        <f>IFERROR(GETPIVOTDATA("合計 / " &amp; $B64,【ピボット】事業所収支!$A$3,"年月",Y$2,"事業所",$A64),"")</f>
        <v>124309</v>
      </c>
      <c r="Z64" s="53">
        <f>IFERROR(GETPIVOTDATA("合計 / " &amp; $B64,【ピボット】事業所収支!$A$3,"年月",Z$2,"事業所",$A64),"")</f>
        <v>123007</v>
      </c>
      <c r="AA64" s="53">
        <f>IFERROR(GETPIVOTDATA("合計 / " &amp; $B64,【ピボット】事業所収支!$A$3,"年月",AA$2,"事業所",$A64),"")</f>
        <v>127781</v>
      </c>
      <c r="AB64" s="53">
        <f>IFERROR(GETPIVOTDATA("合計 / " &amp; $B64,【ピボット】事業所収支!$A$3,"年月",AB$2,"事業所",$A64),"")</f>
        <v>154379</v>
      </c>
      <c r="AC64" s="53">
        <f>IFERROR(GETPIVOTDATA("合計 / " &amp; $B64,【ピボット】事業所収支!$A$3,"年月",AC$2,"事業所",$A64),"")</f>
        <v>121870</v>
      </c>
      <c r="AD64" s="141">
        <f ca="1">SUM(OFFSET(AC64,0,当期月数):AC64)</f>
        <v>1127286</v>
      </c>
      <c r="AE64" s="56">
        <f ca="1">AVERAGE(OFFSET(AC64,0,当期月数):AC64)</f>
        <v>140910.75</v>
      </c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</row>
    <row r="65" spans="1:44" ht="14.25" thickBot="1" x14ac:dyDescent="0.2">
      <c r="A65" t="s">
        <v>747</v>
      </c>
      <c r="B65" t="s">
        <v>32</v>
      </c>
      <c r="D65" s="2127"/>
      <c r="E65" s="87" t="s">
        <v>32</v>
      </c>
      <c r="F65" s="116">
        <f t="shared" ref="F65:AC65" si="19">IFERROR(F60-(F62+F64),"")</f>
        <v>428751</v>
      </c>
      <c r="G65" s="116">
        <f t="shared" si="19"/>
        <v>1103910</v>
      </c>
      <c r="H65" s="116">
        <f t="shared" si="19"/>
        <v>225924</v>
      </c>
      <c r="I65" s="116">
        <f t="shared" si="19"/>
        <v>321688</v>
      </c>
      <c r="J65" s="116">
        <f t="shared" si="19"/>
        <v>396974</v>
      </c>
      <c r="K65" s="116">
        <f t="shared" si="19"/>
        <v>517927</v>
      </c>
      <c r="L65" s="116">
        <f t="shared" si="19"/>
        <v>434101</v>
      </c>
      <c r="M65" s="116">
        <f t="shared" si="19"/>
        <v>519438</v>
      </c>
      <c r="N65" s="116">
        <f t="shared" si="19"/>
        <v>551389</v>
      </c>
      <c r="O65" s="116">
        <f t="shared" si="19"/>
        <v>506342</v>
      </c>
      <c r="P65" s="116">
        <f t="shared" si="19"/>
        <v>581838</v>
      </c>
      <c r="Q65" s="116">
        <f t="shared" si="19"/>
        <v>570574</v>
      </c>
      <c r="R65" s="116">
        <f t="shared" si="19"/>
        <v>662845</v>
      </c>
      <c r="S65" s="116">
        <f t="shared" si="19"/>
        <v>578417</v>
      </c>
      <c r="T65" s="116">
        <f t="shared" si="19"/>
        <v>609357</v>
      </c>
      <c r="U65" s="116">
        <f t="shared" si="19"/>
        <v>460909</v>
      </c>
      <c r="V65" s="116">
        <f t="shared" si="19"/>
        <v>604150</v>
      </c>
      <c r="W65" s="116">
        <f t="shared" si="19"/>
        <v>579596</v>
      </c>
      <c r="X65" s="116">
        <f t="shared" si="19"/>
        <v>691217</v>
      </c>
      <c r="Y65" s="116">
        <f t="shared" si="19"/>
        <v>751133</v>
      </c>
      <c r="Z65" s="116">
        <f t="shared" si="19"/>
        <v>995435</v>
      </c>
      <c r="AA65" s="116">
        <f t="shared" si="19"/>
        <v>679055</v>
      </c>
      <c r="AB65" s="116">
        <f t="shared" si="19"/>
        <v>600414</v>
      </c>
      <c r="AC65" s="116">
        <f t="shared" si="19"/>
        <v>466312</v>
      </c>
      <c r="AD65" s="142">
        <f ca="1">SUM(OFFSET(AC65,0,当期月数):AC65)</f>
        <v>5367312</v>
      </c>
      <c r="AE65" s="152">
        <f ca="1">AVERAGE(OFFSET(AC65,0,当期月数):AC65)</f>
        <v>670914</v>
      </c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</row>
    <row r="66" spans="1:44" x14ac:dyDescent="0.15">
      <c r="A66" t="s">
        <v>756</v>
      </c>
      <c r="B66" t="s">
        <v>26</v>
      </c>
      <c r="D66" s="2124" t="s">
        <v>375</v>
      </c>
      <c r="E66" s="86" t="s">
        <v>144</v>
      </c>
      <c r="F66" s="137">
        <f>IFERROR(GETPIVOTDATA("合計 / " &amp; $B66,【ピボット】事業所収支!$A$3,"年月",F$2,"事業所",$A66),"")</f>
        <v>0</v>
      </c>
      <c r="G66" s="137">
        <f>IFERROR(GETPIVOTDATA("合計 / " &amp; $B66,【ピボット】事業所収支!$A$3,"年月",G$2,"事業所",$A66),"")</f>
        <v>1940389</v>
      </c>
      <c r="H66" s="137">
        <f>IFERROR(GETPIVOTDATA("合計 / " &amp; $B66,【ピボット】事業所収支!$A$3,"年月",H$2,"事業所",$A66),"")</f>
        <v>1965328</v>
      </c>
      <c r="I66" s="137">
        <f>IFERROR(GETPIVOTDATA("合計 / " &amp; $B66,【ピボット】事業所収支!$A$3,"年月",I$2,"事業所",$A66),"")</f>
        <v>1995197</v>
      </c>
      <c r="J66" s="137">
        <f>IFERROR(GETPIVOTDATA("合計 / " &amp; $B66,【ピボット】事業所収支!$A$3,"年月",J$2,"事業所",$A66),"")</f>
        <v>2133548</v>
      </c>
      <c r="K66" s="137">
        <f>IFERROR(GETPIVOTDATA("合計 / " &amp; $B66,【ピボット】事業所収支!$A$3,"年月",K$2,"事業所",$A66),"")</f>
        <v>3275498</v>
      </c>
      <c r="L66" s="137">
        <f>IFERROR(GETPIVOTDATA("合計 / " &amp; $B66,【ピボット】事業所収支!$A$3,"年月",L$2,"事業所",$A66),"")</f>
        <v>2705860</v>
      </c>
      <c r="M66" s="137">
        <f>IFERROR(GETPIVOTDATA("合計 / " &amp; $B66,【ピボット】事業所収支!$A$3,"年月",M$2,"事業所",$A66),"")</f>
        <v>2748469</v>
      </c>
      <c r="N66" s="137">
        <f>IFERROR(GETPIVOTDATA("合計 / " &amp; $B66,【ピボット】事業所収支!$A$3,"年月",N$2,"事業所",$A66),"")</f>
        <v>2696635</v>
      </c>
      <c r="O66" s="137">
        <f>IFERROR(GETPIVOTDATA("合計 / " &amp; $B66,【ピボット】事業所収支!$A$3,"年月",O$2,"事業所",$A66),"")</f>
        <v>2570319</v>
      </c>
      <c r="P66" s="137">
        <f>IFERROR(GETPIVOTDATA("合計 / " &amp; $B66,【ピボット】事業所収支!$A$3,"年月",P$2,"事業所",$A66),"")</f>
        <v>2819531</v>
      </c>
      <c r="Q66" s="137">
        <f>IFERROR(GETPIVOTDATA("合計 / " &amp; $B66,【ピボット】事業所収支!$A$3,"年月",Q$2,"事業所",$A66),"")</f>
        <v>2754232</v>
      </c>
      <c r="R66" s="137">
        <f>IFERROR(GETPIVOTDATA("合計 / " &amp; $B66,【ピボット】事業所収支!$A$3,"年月",R$2,"事業所",$A66),"")</f>
        <v>3771025</v>
      </c>
      <c r="S66" s="137">
        <f>IFERROR(GETPIVOTDATA("合計 / " &amp; $B66,【ピボット】事業所収支!$A$3,"年月",S$2,"事業所",$A66),"")</f>
        <v>2469018</v>
      </c>
      <c r="T66" s="137">
        <f>IFERROR(GETPIVOTDATA("合計 / " &amp; $B66,【ピボット】事業所収支!$A$3,"年月",T$2,"事業所",$A66),"")</f>
        <v>2977988</v>
      </c>
      <c r="U66" s="137">
        <f>IFERROR(GETPIVOTDATA("合計 / " &amp; $B66,【ピボット】事業所収支!$A$3,"年月",U$2,"事業所",$A66),"")</f>
        <v>2468275</v>
      </c>
      <c r="V66" s="137">
        <f>IFERROR(GETPIVOTDATA("合計 / " &amp; $B66,【ピボット】事業所収支!$A$3,"年月",V$2,"事業所",$A66),"")</f>
        <v>2587385</v>
      </c>
      <c r="W66" s="137">
        <f>IFERROR(GETPIVOTDATA("合計 / " &amp; $B66,【ピボット】事業所収支!$A$3,"年月",W$2,"事業所",$A66),"")</f>
        <v>2800912</v>
      </c>
      <c r="X66" s="137">
        <f>IFERROR(GETPIVOTDATA("合計 / " &amp; $B66,【ピボット】事業所収支!$A$3,"年月",X$2,"事業所",$A66),"")</f>
        <v>2743866</v>
      </c>
      <c r="Y66" s="137">
        <f>IFERROR(GETPIVOTDATA("合計 / " &amp; $B66,【ピボット】事業所収支!$A$3,"年月",Y$2,"事業所",$A66),"")</f>
        <v>2807684</v>
      </c>
      <c r="Z66" s="137">
        <f>IFERROR(GETPIVOTDATA("合計 / " &amp; $B66,【ピボット】事業所収支!$A$3,"年月",Z$2,"事業所",$A66),"")</f>
        <v>2942481</v>
      </c>
      <c r="AA66" s="137">
        <f>IFERROR(GETPIVOTDATA("合計 / " &amp; $B66,【ピボット】事業所収支!$A$3,"年月",AA$2,"事業所",$A66),"")</f>
        <v>2118435</v>
      </c>
      <c r="AB66" s="137">
        <f>IFERROR(GETPIVOTDATA("合計 / " &amp; $B66,【ピボット】事業所収支!$A$3,"年月",AB$2,"事業所",$A66),"")</f>
        <v>1999507</v>
      </c>
      <c r="AC66" s="137">
        <f>IFERROR(GETPIVOTDATA("合計 / " &amp; $B66,【ピボット】事業所収支!$A$3,"年月",AC$2,"事業所",$A66),"")</f>
        <v>2831820</v>
      </c>
      <c r="AD66" s="139">
        <f ca="1">SUM(OFFSET(AC66,0,当期月数):AC66)</f>
        <v>20832090</v>
      </c>
      <c r="AE66" s="47">
        <f ca="1">AVERAGE(OFFSET(AC66,0,当期月数):AC66)</f>
        <v>2604011.25</v>
      </c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</row>
    <row r="67" spans="1:44" x14ac:dyDescent="0.15">
      <c r="A67" t="s">
        <v>756</v>
      </c>
      <c r="B67" t="s">
        <v>142</v>
      </c>
      <c r="D67" s="2128"/>
      <c r="E67" s="82" t="s">
        <v>142</v>
      </c>
      <c r="F67" s="30" t="str">
        <f>IFERROR(GETPIVOTDATA("合計 / 共同生活援助処遇改善加算金",【ピボット】事業所売上!$A$3,"年月",F$2,"事業所",$A67),"")</f>
        <v/>
      </c>
      <c r="G67" s="30">
        <f>IFERROR(GETPIVOTDATA("合計 / 共同生活援助処遇改善加算金",【ピボット】事業所売上!$A$3,"年月",G$2,"事業所",$A67),"")</f>
        <v>0</v>
      </c>
      <c r="H67" s="30">
        <f>IFERROR(GETPIVOTDATA("合計 / 共同生活援助処遇改善加算金",【ピボット】事業所売上!$A$3,"年月",H$2,"事業所",$A67),"")</f>
        <v>0</v>
      </c>
      <c r="I67" s="30">
        <f>IFERROR(GETPIVOTDATA("合計 / 共同生活援助処遇改善加算金",【ピボット】事業所売上!$A$3,"年月",I$2,"事業所",$A67),"")</f>
        <v>0</v>
      </c>
      <c r="J67" s="30">
        <f>IFERROR(GETPIVOTDATA("合計 / 共同生活援助処遇改善加算金",【ピボット】事業所売上!$A$3,"年月",J$2,"事業所",$A67),"")</f>
        <v>0</v>
      </c>
      <c r="K67" s="30">
        <f>IFERROR(GETPIVOTDATA("合計 / 共同生活援助処遇改善加算金",【ピボット】事業所売上!$A$3,"年月",K$2,"事業所",$A67),"")</f>
        <v>0</v>
      </c>
      <c r="L67" s="30">
        <f>IFERROR(GETPIVOTDATA("合計 / 共同生活援助処遇改善加算金",【ピボット】事業所売上!$A$3,"年月",L$2,"事業所",$A67),"")</f>
        <v>0</v>
      </c>
      <c r="M67" s="30">
        <f>IFERROR(GETPIVOTDATA("合計 / 共同生活援助処遇改善加算金",【ピボット】事業所売上!$A$3,"年月",M$2,"事業所",$A67),"")</f>
        <v>0</v>
      </c>
      <c r="N67" s="30">
        <f>IFERROR(GETPIVOTDATA("合計 / 共同生活援助処遇改善加算金",【ピボット】事業所売上!$A$3,"年月",N$2,"事業所",$A67),"")</f>
        <v>0</v>
      </c>
      <c r="O67" s="30">
        <f>IFERROR(GETPIVOTDATA("合計 / 共同生活援助処遇改善加算金",【ピボット】事業所売上!$A$3,"年月",O$2,"事業所",$A67),"")</f>
        <v>0</v>
      </c>
      <c r="P67" s="30">
        <f>IFERROR(GETPIVOTDATA("合計 / 共同生活援助処遇改善加算金",【ピボット】事業所売上!$A$3,"年月",P$2,"事業所",$A67),"")</f>
        <v>0</v>
      </c>
      <c r="Q67" s="30">
        <f>IFERROR(GETPIVOTDATA("合計 / 共同生活援助処遇改善加算金",【ピボット】事業所売上!$A$3,"年月",Q$2,"事業所",$A67),"")</f>
        <v>0</v>
      </c>
      <c r="R67" s="30">
        <f>IFERROR(GETPIVOTDATA("合計 / 共同生活援助処遇改善加算金",【ピボット】事業所売上!$A$3,"年月",R$2,"事業所",$A67),"")</f>
        <v>0</v>
      </c>
      <c r="S67" s="30">
        <f>IFERROR(GETPIVOTDATA("合計 / 共同生活援助処遇改善加算金",【ピボット】事業所売上!$A$3,"年月",S$2,"事業所",$A67),"")</f>
        <v>0</v>
      </c>
      <c r="T67" s="30">
        <f>IFERROR(GETPIVOTDATA("合計 / 共同生活援助処遇改善加算金",【ピボット】事業所売上!$A$3,"年月",T$2,"事業所",$A67),"")</f>
        <v>0</v>
      </c>
      <c r="U67" s="30">
        <f>IFERROR(GETPIVOTDATA("合計 / 共同生活援助処遇改善加算金",【ピボット】事業所売上!$A$3,"年月",U$2,"事業所",$A67),"")</f>
        <v>0</v>
      </c>
      <c r="V67" s="30">
        <f>IFERROR(GETPIVOTDATA("合計 / 共同生活援助処遇改善加算金",【ピボット】事業所売上!$A$3,"年月",V$2,"事業所",$A67),"")</f>
        <v>0</v>
      </c>
      <c r="W67" s="30">
        <f>IFERROR(GETPIVOTDATA("合計 / 共同生活援助処遇改善加算金",【ピボット】事業所売上!$A$3,"年月",W$2,"事業所",$A67),"")</f>
        <v>0</v>
      </c>
      <c r="X67" s="30">
        <f>IFERROR(GETPIVOTDATA("合計 / 共同生活援助処遇改善加算金",【ピボット】事業所売上!$A$3,"年月",X$2,"事業所",$A67),"")</f>
        <v>0</v>
      </c>
      <c r="Y67" s="30">
        <f>IFERROR(GETPIVOTDATA("合計 / 共同生活援助処遇改善加算金",【ピボット】事業所売上!$A$3,"年月",Y$2,"事業所",$A67),"")</f>
        <v>0</v>
      </c>
      <c r="Z67" s="30">
        <f>IFERROR(GETPIVOTDATA("合計 / 共同生活援助処遇改善加算金",【ピボット】事業所売上!$A$3,"年月",Z$2,"事業所",$A67),"")</f>
        <v>0</v>
      </c>
      <c r="AA67" s="30">
        <f>IFERROR(GETPIVOTDATA("合計 / 共同生活援助処遇改善加算金",【ピボット】事業所売上!$A$3,"年月",AA$2,"事業所",$A67),"")</f>
        <v>0</v>
      </c>
      <c r="AB67" s="30">
        <f>IFERROR(GETPIVOTDATA("合計 / 共同生活援助処遇改善加算金",【ピボット】事業所売上!$A$3,"年月",AB$2,"事業所",$A67),"")</f>
        <v>0</v>
      </c>
      <c r="AC67" s="30">
        <f>IFERROR(GETPIVOTDATA("合計 / 共同生活援助処遇改善加算金",【ピボット】事業所売上!$A$3,"年月",AC$2,"事業所",$A67),"")</f>
        <v>0</v>
      </c>
      <c r="AD67" s="140">
        <f ca="1">SUM(OFFSET(AC67,0,当期月数):AC67)</f>
        <v>0</v>
      </c>
      <c r="AE67" s="46">
        <f ca="1">AVERAGE(OFFSET(AC67,0,当期月数):AC67)</f>
        <v>0</v>
      </c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</row>
    <row r="68" spans="1:44" x14ac:dyDescent="0.15">
      <c r="A68" t="s">
        <v>756</v>
      </c>
      <c r="B68" t="s">
        <v>15</v>
      </c>
      <c r="D68" s="2125"/>
      <c r="E68" s="83" t="s">
        <v>15</v>
      </c>
      <c r="F68" s="30">
        <f>IFERROR(GETPIVOTDATA("合計 / " &amp; $B68,【ピボット】事業所収支!$A$3,"年月",F$2,"事業所",$A68),"")</f>
        <v>64405</v>
      </c>
      <c r="G68" s="30">
        <f>IFERROR(GETPIVOTDATA("合計 / " &amp; $B68,【ピボット】事業所収支!$A$3,"年月",G$2,"事業所",$A68),"")</f>
        <v>619301</v>
      </c>
      <c r="H68" s="30">
        <f>IFERROR(GETPIVOTDATA("合計 / " &amp; $B68,【ピボット】事業所収支!$A$3,"年月",H$2,"事業所",$A68),"")</f>
        <v>789841</v>
      </c>
      <c r="I68" s="30">
        <f>IFERROR(GETPIVOTDATA("合計 / " &amp; $B68,【ピボット】事業所収支!$A$3,"年月",I$2,"事業所",$A68),"")</f>
        <v>785394</v>
      </c>
      <c r="J68" s="30">
        <f>IFERROR(GETPIVOTDATA("合計 / " &amp; $B68,【ピボット】事業所収支!$A$3,"年月",J$2,"事業所",$A68),"")</f>
        <v>708477</v>
      </c>
      <c r="K68" s="30">
        <f>IFERROR(GETPIVOTDATA("合計 / " &amp; $B68,【ピボット】事業所収支!$A$3,"年月",K$2,"事業所",$A68),"")</f>
        <v>673024</v>
      </c>
      <c r="L68" s="30">
        <f>IFERROR(GETPIVOTDATA("合計 / " &amp; $B68,【ピボット】事業所収支!$A$3,"年月",L$2,"事業所",$A68),"")</f>
        <v>710550</v>
      </c>
      <c r="M68" s="30">
        <f>IFERROR(GETPIVOTDATA("合計 / " &amp; $B68,【ピボット】事業所収支!$A$3,"年月",M$2,"事業所",$A68),"")</f>
        <v>680588.27100330812</v>
      </c>
      <c r="N68" s="30">
        <f>IFERROR(GETPIVOTDATA("合計 / " &amp; $B68,【ピボット】事業所収支!$A$3,"年月",N$2,"事業所",$A68),"")</f>
        <v>807871</v>
      </c>
      <c r="O68" s="30">
        <f>IFERROR(GETPIVOTDATA("合計 / " &amp; $B68,【ピボット】事業所収支!$A$3,"年月",O$2,"事業所",$A68),"")</f>
        <v>637625</v>
      </c>
      <c r="P68" s="30">
        <f>IFERROR(GETPIVOTDATA("合計 / " &amp; $B68,【ピボット】事業所収支!$A$3,"年月",P$2,"事業所",$A68),"")</f>
        <v>716957</v>
      </c>
      <c r="Q68" s="30">
        <f>IFERROR(GETPIVOTDATA("合計 / " &amp; $B68,【ピボット】事業所収支!$A$3,"年月",Q$2,"事業所",$A68),"")</f>
        <v>661124</v>
      </c>
      <c r="R68" s="30">
        <f>IFERROR(GETPIVOTDATA("合計 / " &amp; $B68,【ピボット】事業所収支!$A$3,"年月",R$2,"事業所",$A68),"")</f>
        <v>667563</v>
      </c>
      <c r="S68" s="30">
        <f>IFERROR(GETPIVOTDATA("合計 / " &amp; $B68,【ピボット】事業所収支!$A$3,"年月",S$2,"事業所",$A68),"")</f>
        <v>660185</v>
      </c>
      <c r="T68" s="30">
        <f>IFERROR(GETPIVOTDATA("合計 / " &amp; $B68,【ピボット】事業所収支!$A$3,"年月",T$2,"事業所",$A68),"")</f>
        <v>677214</v>
      </c>
      <c r="U68" s="30">
        <f>IFERROR(GETPIVOTDATA("合計 / " &amp; $B68,【ピボット】事業所収支!$A$3,"年月",U$2,"事業所",$A68),"")</f>
        <v>695777</v>
      </c>
      <c r="V68" s="30">
        <f>IFERROR(GETPIVOTDATA("合計 / " &amp; $B68,【ピボット】事業所収支!$A$3,"年月",V$2,"事業所",$A68),"")</f>
        <v>696938</v>
      </c>
      <c r="W68" s="30">
        <f>IFERROR(GETPIVOTDATA("合計 / " &amp; $B68,【ピボット】事業所収支!$A$3,"年月",W$2,"事業所",$A68),"")</f>
        <v>1032197</v>
      </c>
      <c r="X68" s="30">
        <f>IFERROR(GETPIVOTDATA("合計 / " &amp; $B68,【ピボット】事業所収支!$A$3,"年月",X$2,"事業所",$A68),"")</f>
        <v>1025805</v>
      </c>
      <c r="Y68" s="30">
        <f>IFERROR(GETPIVOTDATA("合計 / " &amp; $B68,【ピボット】事業所収支!$A$3,"年月",Y$2,"事業所",$A68),"")</f>
        <v>1281398</v>
      </c>
      <c r="Z68" s="30">
        <f>IFERROR(GETPIVOTDATA("合計 / " &amp; $B68,【ピボット】事業所収支!$A$3,"年月",Z$2,"事業所",$A68),"")</f>
        <v>1243543</v>
      </c>
      <c r="AA68" s="30">
        <f>IFERROR(GETPIVOTDATA("合計 / " &amp; $B68,【ピボット】事業所収支!$A$3,"年月",AA$2,"事業所",$A68),"")</f>
        <v>1079826</v>
      </c>
      <c r="AB68" s="30">
        <f>IFERROR(GETPIVOTDATA("合計 / " &amp; $B68,【ピボット】事業所収支!$A$3,"年月",AB$2,"事業所",$A68),"")</f>
        <v>1525918</v>
      </c>
      <c r="AC68" s="30">
        <f>IFERROR(GETPIVOTDATA("合計 / " &amp; $B68,【ピボット】事業所収支!$A$3,"年月",AC$2,"事業所",$A68),"")</f>
        <v>1449692</v>
      </c>
      <c r="AD68" s="140">
        <f ca="1">SUM(OFFSET(AC68,0,当期月数):AC68)</f>
        <v>9335317</v>
      </c>
      <c r="AE68" s="46">
        <f ca="1">AVERAGE(OFFSET(AC68,0,当期月数):AC68)</f>
        <v>1166914.625</v>
      </c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</row>
    <row r="69" spans="1:44" x14ac:dyDescent="0.15">
      <c r="A69" t="s">
        <v>756</v>
      </c>
      <c r="B69" t="s">
        <v>48</v>
      </c>
      <c r="D69" s="2125"/>
      <c r="E69" s="83" t="s">
        <v>48</v>
      </c>
      <c r="F69" s="115" t="str">
        <f t="shared" ref="F69:AC69" si="20">IFERROR(F68/F66*100,"")</f>
        <v/>
      </c>
      <c r="G69" s="115">
        <f t="shared" si="20"/>
        <v>31.916332240597118</v>
      </c>
      <c r="H69" s="115">
        <f t="shared" si="20"/>
        <v>40.188762384701185</v>
      </c>
      <c r="I69" s="115">
        <f t="shared" si="20"/>
        <v>39.364233206044311</v>
      </c>
      <c r="J69" s="115">
        <f t="shared" si="20"/>
        <v>33.206517969129358</v>
      </c>
      <c r="K69" s="115">
        <f t="shared" si="20"/>
        <v>20.547226711785505</v>
      </c>
      <c r="L69" s="115">
        <f t="shared" si="20"/>
        <v>26.259673449476324</v>
      </c>
      <c r="M69" s="115">
        <f t="shared" si="20"/>
        <v>24.762450331559428</v>
      </c>
      <c r="N69" s="115">
        <f t="shared" si="20"/>
        <v>29.958485297416964</v>
      </c>
      <c r="O69" s="115">
        <f t="shared" si="20"/>
        <v>24.807232098428251</v>
      </c>
      <c r="P69" s="115">
        <f t="shared" si="20"/>
        <v>25.428236114445983</v>
      </c>
      <c r="Q69" s="115">
        <f t="shared" si="20"/>
        <v>24.003932856781855</v>
      </c>
      <c r="R69" s="115">
        <f t="shared" si="20"/>
        <v>17.702428384855576</v>
      </c>
      <c r="S69" s="115">
        <f t="shared" si="20"/>
        <v>26.738768206631136</v>
      </c>
      <c r="T69" s="115">
        <f t="shared" si="20"/>
        <v>22.740655771614929</v>
      </c>
      <c r="U69" s="115">
        <f t="shared" si="20"/>
        <v>28.188795818942381</v>
      </c>
      <c r="V69" s="115">
        <f t="shared" si="20"/>
        <v>26.935999087882166</v>
      </c>
      <c r="W69" s="115">
        <f t="shared" si="20"/>
        <v>36.852175291476492</v>
      </c>
      <c r="X69" s="115">
        <f t="shared" si="20"/>
        <v>37.385389811310027</v>
      </c>
      <c r="Y69" s="115">
        <f t="shared" si="20"/>
        <v>45.638967918042063</v>
      </c>
      <c r="Z69" s="115">
        <f t="shared" si="20"/>
        <v>42.261717237936288</v>
      </c>
      <c r="AA69" s="115">
        <f t="shared" si="20"/>
        <v>50.97281719760106</v>
      </c>
      <c r="AB69" s="115">
        <f t="shared" si="20"/>
        <v>76.314711576403582</v>
      </c>
      <c r="AC69" s="115">
        <f t="shared" si="20"/>
        <v>51.192943054290176</v>
      </c>
      <c r="AD69" s="144">
        <f ca="1">AD68/AD66*100</f>
        <v>44.812195991856797</v>
      </c>
      <c r="AE69" s="154">
        <f ca="1">AE68/AE66*100</f>
        <v>44.812195991856797</v>
      </c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</row>
    <row r="70" spans="1:44" x14ac:dyDescent="0.15">
      <c r="A70" t="s">
        <v>756</v>
      </c>
      <c r="B70" t="s">
        <v>1226</v>
      </c>
      <c r="D70" s="2125"/>
      <c r="E70" s="84" t="s">
        <v>35</v>
      </c>
      <c r="F70" s="53">
        <f>IFERROR(GETPIVOTDATA("合計 / " &amp; $B70,【ピボット】事業所収支!$A$3,"年月",F$2,"事業所",$A70),"")</f>
        <v>1127827</v>
      </c>
      <c r="G70" s="53">
        <f>IFERROR(GETPIVOTDATA("合計 / " &amp; $B70,【ピボット】事業所収支!$A$3,"年月",G$2,"事業所",$A70),"")</f>
        <v>693960</v>
      </c>
      <c r="H70" s="53">
        <f>IFERROR(GETPIVOTDATA("合計 / " &amp; $B70,【ピボット】事業所収支!$A$3,"年月",H$2,"事業所",$A70),"")</f>
        <v>519521</v>
      </c>
      <c r="I70" s="53">
        <f>IFERROR(GETPIVOTDATA("合計 / " &amp; $B70,【ピボット】事業所収支!$A$3,"年月",I$2,"事業所",$A70),"")</f>
        <v>560741</v>
      </c>
      <c r="J70" s="53">
        <f>IFERROR(GETPIVOTDATA("合計 / " &amp; $B70,【ピボット】事業所収支!$A$3,"年月",J$2,"事業所",$A70),"")</f>
        <v>542900</v>
      </c>
      <c r="K70" s="53">
        <f>IFERROR(GETPIVOTDATA("合計 / " &amp; $B70,【ピボット】事業所収支!$A$3,"年月",K$2,"事業所",$A70),"")</f>
        <v>624881</v>
      </c>
      <c r="L70" s="53">
        <f>IFERROR(GETPIVOTDATA("合計 / " &amp; $B70,【ピボット】事業所収支!$A$3,"年月",L$2,"事業所",$A70),"")</f>
        <v>688081</v>
      </c>
      <c r="M70" s="53">
        <f>IFERROR(GETPIVOTDATA("合計 / " &amp; $B70,【ピボット】事業所収支!$A$3,"年月",M$2,"事業所",$A70),"")</f>
        <v>606874</v>
      </c>
      <c r="N70" s="53">
        <f>IFERROR(GETPIVOTDATA("合計 / " &amp; $B70,【ピボット】事業所収支!$A$3,"年月",N$2,"事業所",$A70),"")</f>
        <v>769409</v>
      </c>
      <c r="O70" s="53">
        <f>IFERROR(GETPIVOTDATA("合計 / " &amp; $B70,【ピボット】事業所収支!$A$3,"年月",O$2,"事業所",$A70),"")</f>
        <v>616496</v>
      </c>
      <c r="P70" s="53">
        <f>IFERROR(GETPIVOTDATA("合計 / " &amp; $B70,【ピボット】事業所収支!$A$3,"年月",P$2,"事業所",$A70),"")</f>
        <v>632985</v>
      </c>
      <c r="Q70" s="53">
        <f>IFERROR(GETPIVOTDATA("合計 / " &amp; $B70,【ピボット】事業所収支!$A$3,"年月",Q$2,"事業所",$A70),"")</f>
        <v>658790</v>
      </c>
      <c r="R70" s="53">
        <f>IFERROR(GETPIVOTDATA("合計 / " &amp; $B70,【ピボット】事業所収支!$A$3,"年月",R$2,"事業所",$A70),"")</f>
        <v>773088</v>
      </c>
      <c r="S70" s="53">
        <f>IFERROR(GETPIVOTDATA("合計 / " &amp; $B70,【ピボット】事業所収支!$A$3,"年月",S$2,"事業所",$A70),"")</f>
        <v>589882</v>
      </c>
      <c r="T70" s="53">
        <f>IFERROR(GETPIVOTDATA("合計 / " &amp; $B70,【ピボット】事業所収支!$A$3,"年月",T$2,"事業所",$A70),"")</f>
        <v>720815</v>
      </c>
      <c r="U70" s="53">
        <f>IFERROR(GETPIVOTDATA("合計 / " &amp; $B70,【ピボット】事業所収支!$A$3,"年月",U$2,"事業所",$A70),"")</f>
        <v>501785</v>
      </c>
      <c r="V70" s="53">
        <f>IFERROR(GETPIVOTDATA("合計 / " &amp; $B70,【ピボット】事業所収支!$A$3,"年月",V$2,"事業所",$A70),"")</f>
        <v>603836</v>
      </c>
      <c r="W70" s="53">
        <f>IFERROR(GETPIVOTDATA("合計 / " &amp; $B70,【ピボット】事業所収支!$A$3,"年月",W$2,"事業所",$A70),"")</f>
        <v>822996</v>
      </c>
      <c r="X70" s="53">
        <f>IFERROR(GETPIVOTDATA("合計 / " &amp; $B70,【ピボット】事業所収支!$A$3,"年月",X$2,"事業所",$A70),"")</f>
        <v>695910</v>
      </c>
      <c r="Y70" s="53">
        <f>IFERROR(GETPIVOTDATA("合計 / " &amp; $B70,【ピボット】事業所収支!$A$3,"年月",Y$2,"事業所",$A70),"")</f>
        <v>635256</v>
      </c>
      <c r="Z70" s="53">
        <f>IFERROR(GETPIVOTDATA("合計 / " &amp; $B70,【ピボット】事業所収支!$A$3,"年月",Z$2,"事業所",$A70),"")</f>
        <v>654503</v>
      </c>
      <c r="AA70" s="53">
        <f>IFERROR(GETPIVOTDATA("合計 / " &amp; $B70,【ピボット】事業所収支!$A$3,"年月",AA$2,"事業所",$A70),"")</f>
        <v>611780</v>
      </c>
      <c r="AB70" s="53">
        <f>IFERROR(GETPIVOTDATA("合計 / " &amp; $B70,【ピボット】事業所収支!$A$3,"年月",AB$2,"事業所",$A70),"")</f>
        <v>656722</v>
      </c>
      <c r="AC70" s="53">
        <f>IFERROR(GETPIVOTDATA("合計 / " &amp; $B70,【ピボット】事業所収支!$A$3,"年月",AC$2,"事業所",$A70),"")</f>
        <v>638498</v>
      </c>
      <c r="AD70" s="141">
        <f ca="1">SUM(OFFSET(AC70,0,当期月数):AC70)</f>
        <v>5319501</v>
      </c>
      <c r="AE70" s="56">
        <f ca="1">AVERAGE(OFFSET(AC70,0,当期月数):AC70)</f>
        <v>664937.625</v>
      </c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</row>
    <row r="71" spans="1:44" ht="14.25" thickBot="1" x14ac:dyDescent="0.2">
      <c r="A71" t="s">
        <v>756</v>
      </c>
      <c r="B71" t="s">
        <v>32</v>
      </c>
      <c r="D71" s="2127"/>
      <c r="E71" s="87" t="s">
        <v>32</v>
      </c>
      <c r="F71" s="116">
        <f t="shared" ref="F71:AC71" si="21">IFERROR(F66-(F68+F70),"")</f>
        <v>-1192232</v>
      </c>
      <c r="G71" s="116">
        <f t="shared" si="21"/>
        <v>627128</v>
      </c>
      <c r="H71" s="116">
        <f t="shared" si="21"/>
        <v>655966</v>
      </c>
      <c r="I71" s="116">
        <f t="shared" si="21"/>
        <v>649062</v>
      </c>
      <c r="J71" s="116">
        <f t="shared" si="21"/>
        <v>882171</v>
      </c>
      <c r="K71" s="116">
        <f t="shared" si="21"/>
        <v>1977593</v>
      </c>
      <c r="L71" s="116">
        <f t="shared" si="21"/>
        <v>1307229</v>
      </c>
      <c r="M71" s="116">
        <f t="shared" si="21"/>
        <v>1461006.7289966918</v>
      </c>
      <c r="N71" s="116">
        <f t="shared" si="21"/>
        <v>1119355</v>
      </c>
      <c r="O71" s="116">
        <f t="shared" si="21"/>
        <v>1316198</v>
      </c>
      <c r="P71" s="116">
        <f t="shared" si="21"/>
        <v>1469589</v>
      </c>
      <c r="Q71" s="116">
        <f t="shared" si="21"/>
        <v>1434318</v>
      </c>
      <c r="R71" s="116">
        <f t="shared" si="21"/>
        <v>2330374</v>
      </c>
      <c r="S71" s="116">
        <f t="shared" si="21"/>
        <v>1218951</v>
      </c>
      <c r="T71" s="116">
        <f t="shared" si="21"/>
        <v>1579959</v>
      </c>
      <c r="U71" s="116">
        <f t="shared" si="21"/>
        <v>1270713</v>
      </c>
      <c r="V71" s="116">
        <f t="shared" si="21"/>
        <v>1286611</v>
      </c>
      <c r="W71" s="116">
        <f t="shared" si="21"/>
        <v>945719</v>
      </c>
      <c r="X71" s="116">
        <f t="shared" si="21"/>
        <v>1022151</v>
      </c>
      <c r="Y71" s="116">
        <f t="shared" si="21"/>
        <v>891030</v>
      </c>
      <c r="Z71" s="116">
        <f t="shared" si="21"/>
        <v>1044435</v>
      </c>
      <c r="AA71" s="116">
        <f t="shared" si="21"/>
        <v>426829</v>
      </c>
      <c r="AB71" s="116">
        <f t="shared" si="21"/>
        <v>-183133</v>
      </c>
      <c r="AC71" s="116">
        <f t="shared" si="21"/>
        <v>743630</v>
      </c>
      <c r="AD71" s="142">
        <f ca="1">SUM(OFFSET(AC71,0,当期月数):AC71)</f>
        <v>6177272</v>
      </c>
      <c r="AE71" s="152">
        <f ca="1">AVERAGE(OFFSET(AC71,0,当期月数):AC71)</f>
        <v>772159</v>
      </c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</row>
    <row r="72" spans="1:44" x14ac:dyDescent="0.15">
      <c r="A72" t="s">
        <v>1223</v>
      </c>
      <c r="B72" t="s">
        <v>26</v>
      </c>
      <c r="D72" s="2124" t="s">
        <v>1223</v>
      </c>
      <c r="E72" s="86" t="s">
        <v>144</v>
      </c>
      <c r="F72" s="137" t="str">
        <f>IFERROR(GETPIVOTDATA("合計 / " &amp; $B72,【ピボット】事業所収支!$A$3,"年月",F$2,"事業所",$A72),"")</f>
        <v/>
      </c>
      <c r="G72" s="137" t="str">
        <f>IFERROR(GETPIVOTDATA("合計 / " &amp; $B72,【ピボット】事業所収支!$A$3,"年月",G$2,"事業所",$A72),"")</f>
        <v/>
      </c>
      <c r="H72" s="137" t="str">
        <f>IFERROR(GETPIVOTDATA("合計 / " &amp; $B72,【ピボット】事業所収支!$A$3,"年月",H$2,"事業所",$A72),"")</f>
        <v/>
      </c>
      <c r="I72" s="137" t="str">
        <f>IFERROR(GETPIVOTDATA("合計 / " &amp; $B72,【ピボット】事業所収支!$A$3,"年月",I$2,"事業所",$A72),"")</f>
        <v/>
      </c>
      <c r="J72" s="137" t="str">
        <f>IFERROR(GETPIVOTDATA("合計 / " &amp; $B72,【ピボット】事業所収支!$A$3,"年月",J$2,"事業所",$A72),"")</f>
        <v/>
      </c>
      <c r="K72" s="137" t="str">
        <f>IFERROR(GETPIVOTDATA("合計 / " &amp; $B72,【ピボット】事業所収支!$A$3,"年月",K$2,"事業所",$A72),"")</f>
        <v/>
      </c>
      <c r="L72" s="137" t="str">
        <f>IFERROR(GETPIVOTDATA("合計 / " &amp; $B72,【ピボット】事業所収支!$A$3,"年月",L$2,"事業所",$A72),"")</f>
        <v/>
      </c>
      <c r="M72" s="137" t="str">
        <f>IFERROR(GETPIVOTDATA("合計 / " &amp; $B72,【ピボット】事業所収支!$A$3,"年月",M$2,"事業所",$A72),"")</f>
        <v/>
      </c>
      <c r="N72" s="137" t="str">
        <f>IFERROR(GETPIVOTDATA("合計 / " &amp; $B72,【ピボット】事業所収支!$A$3,"年月",N$2,"事業所",$A72),"")</f>
        <v/>
      </c>
      <c r="O72" s="137" t="str">
        <f>IFERROR(GETPIVOTDATA("合計 / " &amp; $B72,【ピボット】事業所収支!$A$3,"年月",O$2,"事業所",$A72),"")</f>
        <v/>
      </c>
      <c r="P72" s="137" t="str">
        <f>IFERROR(GETPIVOTDATA("合計 / " &amp; $B72,【ピボット】事業所収支!$A$3,"年月",P$2,"事業所",$A72),"")</f>
        <v/>
      </c>
      <c r="Q72" s="137" t="str">
        <f>IFERROR(GETPIVOTDATA("合計 / " &amp; $B72,【ピボット】事業所収支!$A$3,"年月",Q$2,"事業所",$A72),"")</f>
        <v/>
      </c>
      <c r="R72" s="137" t="str">
        <f>IFERROR(GETPIVOTDATA("合計 / " &amp; $B72,【ピボット】事業所収支!$A$3,"年月",R$2,"事業所",$A72),"")</f>
        <v/>
      </c>
      <c r="S72" s="137" t="str">
        <f>IFERROR(GETPIVOTDATA("合計 / " &amp; $B72,【ピボット】事業所収支!$A$3,"年月",S$2,"事業所",$A72),"")</f>
        <v/>
      </c>
      <c r="T72" s="137" t="str">
        <f>IFERROR(GETPIVOTDATA("合計 / " &amp; $B72,【ピボット】事業所収支!$A$3,"年月",T$2,"事業所",$A72),"")</f>
        <v/>
      </c>
      <c r="U72" s="137" t="str">
        <f>IFERROR(GETPIVOTDATA("合計 / " &amp; $B72,【ピボット】事業所収支!$A$3,"年月",U$2,"事業所",$A72),"")</f>
        <v/>
      </c>
      <c r="V72" s="137">
        <f>IFERROR(GETPIVOTDATA("合計 / " &amp; $B72,【ピボット】事業所収支!$A$3,"年月",V$2,"事業所",$A72),"")</f>
        <v>0</v>
      </c>
      <c r="W72" s="137" t="str">
        <f>IFERROR(GETPIVOTDATA("合計 / " &amp; $B72,【ピボット】事業所収支!$A$3,"年月",W$2,"事業所",$A72),"")</f>
        <v/>
      </c>
      <c r="X72" s="137">
        <f>IFERROR(GETPIVOTDATA("合計 / " &amp; $B72,【ピボット】事業所収支!$A$3,"年月",X$2,"事業所",$A72),"")</f>
        <v>16000</v>
      </c>
      <c r="Y72" s="137">
        <f>IFERROR(GETPIVOTDATA("合計 / " &amp; $B72,【ピボット】事業所収支!$A$3,"年月",Y$2,"事業所",$A72),"")</f>
        <v>40000</v>
      </c>
      <c r="Z72" s="137">
        <f>IFERROR(GETPIVOTDATA("合計 / " &amp; $B72,【ピボット】事業所収支!$A$3,"年月",Z$2,"事業所",$A72),"")</f>
        <v>40000</v>
      </c>
      <c r="AA72" s="137">
        <f>IFERROR(GETPIVOTDATA("合計 / " &amp; $B72,【ピボット】事業所収支!$A$3,"年月",AA$2,"事業所",$A72),"")</f>
        <v>1476188</v>
      </c>
      <c r="AB72" s="137">
        <f>IFERROR(GETPIVOTDATA("合計 / " &amp; $B72,【ピボット】事業所収支!$A$3,"年月",AB$2,"事業所",$A72),"")</f>
        <v>1775131</v>
      </c>
      <c r="AC72" s="137">
        <f>IFERROR(GETPIVOTDATA("合計 / " &amp; $B72,【ピボット】事業所収支!$A$3,"年月",AC$2,"事業所",$A72),"")</f>
        <v>2077332</v>
      </c>
      <c r="AD72" s="139">
        <f ca="1">SUM(OFFSET(AC72,0,当期月数):AC72)</f>
        <v>5424651</v>
      </c>
      <c r="AE72" s="47">
        <f ca="1">AVERAGE(OFFSET(AC72,0,当期月数):AC72)</f>
        <v>774950.14285714284</v>
      </c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</row>
    <row r="73" spans="1:44" x14ac:dyDescent="0.15">
      <c r="A73" t="s">
        <v>1223</v>
      </c>
      <c r="B73" t="s">
        <v>142</v>
      </c>
      <c r="D73" s="2128"/>
      <c r="E73" s="82" t="s">
        <v>142</v>
      </c>
      <c r="F73" s="30" t="str">
        <f>IFERROR(GETPIVOTDATA("合計 / 共同生活援助処遇改善加算金",【ピボット】事業所売上!$A$3,"年月",F$2,"事業所",$A73),"")</f>
        <v/>
      </c>
      <c r="G73" s="30" t="str">
        <f>IFERROR(GETPIVOTDATA("合計 / 共同生活援助処遇改善加算金",【ピボット】事業所売上!$A$3,"年月",G$2,"事業所",$A73),"")</f>
        <v/>
      </c>
      <c r="H73" s="30" t="str">
        <f>IFERROR(GETPIVOTDATA("合計 / 共同生活援助処遇改善加算金",【ピボット】事業所売上!$A$3,"年月",H$2,"事業所",$A73),"")</f>
        <v/>
      </c>
      <c r="I73" s="30" t="str">
        <f>IFERROR(GETPIVOTDATA("合計 / 共同生活援助処遇改善加算金",【ピボット】事業所売上!$A$3,"年月",I$2,"事業所",$A73),"")</f>
        <v/>
      </c>
      <c r="J73" s="30" t="str">
        <f>IFERROR(GETPIVOTDATA("合計 / 共同生活援助処遇改善加算金",【ピボット】事業所売上!$A$3,"年月",J$2,"事業所",$A73),"")</f>
        <v/>
      </c>
      <c r="K73" s="30" t="str">
        <f>IFERROR(GETPIVOTDATA("合計 / 共同生活援助処遇改善加算金",【ピボット】事業所売上!$A$3,"年月",K$2,"事業所",$A73),"")</f>
        <v/>
      </c>
      <c r="L73" s="30" t="str">
        <f>IFERROR(GETPIVOTDATA("合計 / 共同生活援助処遇改善加算金",【ピボット】事業所売上!$A$3,"年月",L$2,"事業所",$A73),"")</f>
        <v/>
      </c>
      <c r="M73" s="30" t="str">
        <f>IFERROR(GETPIVOTDATA("合計 / 共同生活援助処遇改善加算金",【ピボット】事業所売上!$A$3,"年月",M$2,"事業所",$A73),"")</f>
        <v/>
      </c>
      <c r="N73" s="30" t="str">
        <f>IFERROR(GETPIVOTDATA("合計 / 共同生活援助処遇改善加算金",【ピボット】事業所売上!$A$3,"年月",N$2,"事業所",$A73),"")</f>
        <v/>
      </c>
      <c r="O73" s="30" t="str">
        <f>IFERROR(GETPIVOTDATA("合計 / 共同生活援助処遇改善加算金",【ピボット】事業所売上!$A$3,"年月",O$2,"事業所",$A73),"")</f>
        <v/>
      </c>
      <c r="P73" s="30" t="str">
        <f>IFERROR(GETPIVOTDATA("合計 / 共同生活援助処遇改善加算金",【ピボット】事業所売上!$A$3,"年月",P$2,"事業所",$A73),"")</f>
        <v/>
      </c>
      <c r="Q73" s="30" t="str">
        <f>IFERROR(GETPIVOTDATA("合計 / 共同生活援助処遇改善加算金",【ピボット】事業所売上!$A$3,"年月",Q$2,"事業所",$A73),"")</f>
        <v/>
      </c>
      <c r="R73" s="30" t="str">
        <f>IFERROR(GETPIVOTDATA("合計 / 共同生活援助処遇改善加算金",【ピボット】事業所売上!$A$3,"年月",R$2,"事業所",$A73),"")</f>
        <v/>
      </c>
      <c r="S73" s="30" t="str">
        <f>IFERROR(GETPIVOTDATA("合計 / 共同生活援助処遇改善加算金",【ピボット】事業所売上!$A$3,"年月",S$2,"事業所",$A73),"")</f>
        <v/>
      </c>
      <c r="T73" s="30" t="str">
        <f>IFERROR(GETPIVOTDATA("合計 / 共同生活援助処遇改善加算金",【ピボット】事業所売上!$A$3,"年月",T$2,"事業所",$A73),"")</f>
        <v/>
      </c>
      <c r="U73" s="30" t="str">
        <f>IFERROR(GETPIVOTDATA("合計 / 共同生活援助処遇改善加算金",【ピボット】事業所売上!$A$3,"年月",U$2,"事業所",$A73),"")</f>
        <v/>
      </c>
      <c r="V73" s="30" t="str">
        <f>IFERROR(GETPIVOTDATA("合計 / 共同生活援助処遇改善加算金",【ピボット】事業所売上!$A$3,"年月",V$2,"事業所",$A73),"")</f>
        <v/>
      </c>
      <c r="W73" s="30" t="str">
        <f>IFERROR(GETPIVOTDATA("合計 / 共同生活援助処遇改善加算金",【ピボット】事業所売上!$A$3,"年月",W$2,"事業所",$A73),"")</f>
        <v/>
      </c>
      <c r="X73" s="30">
        <f>IFERROR(GETPIVOTDATA("合計 / 共同生活援助処遇改善加算金",【ピボット】事業所売上!$A$3,"年月",X$2,"事業所",$A73),"")</f>
        <v>0</v>
      </c>
      <c r="Y73" s="30">
        <f>IFERROR(GETPIVOTDATA("合計 / 共同生活援助処遇改善加算金",【ピボット】事業所売上!$A$3,"年月",Y$2,"事業所",$A73),"")</f>
        <v>0</v>
      </c>
      <c r="Z73" s="30">
        <f>IFERROR(GETPIVOTDATA("合計 / 共同生活援助処遇改善加算金",【ピボット】事業所売上!$A$3,"年月",Z$2,"事業所",$A73),"")</f>
        <v>0</v>
      </c>
      <c r="AA73" s="30">
        <f>IFERROR(GETPIVOTDATA("合計 / 共同生活援助処遇改善加算金",【ピボット】事業所売上!$A$3,"年月",AA$2,"事業所",$A73),"")</f>
        <v>0</v>
      </c>
      <c r="AB73" s="30">
        <f>IFERROR(GETPIVOTDATA("合計 / 共同生活援助処遇改善加算金",【ピボット】事業所売上!$A$3,"年月",AB$2,"事業所",$A73),"")</f>
        <v>0</v>
      </c>
      <c r="AC73" s="30">
        <f>IFERROR(GETPIVOTDATA("合計 / 共同生活援助処遇改善加算金",【ピボット】事業所売上!$A$3,"年月",AC$2,"事業所",$A73),"")</f>
        <v>0</v>
      </c>
      <c r="AD73" s="140">
        <f ca="1">SUM(OFFSET(AC73,0,当期月数):AC73)</f>
        <v>0</v>
      </c>
      <c r="AE73" s="46">
        <f ca="1">AVERAGE(OFFSET(AC73,0,当期月数):AC73)</f>
        <v>0</v>
      </c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</row>
    <row r="74" spans="1:44" x14ac:dyDescent="0.15">
      <c r="A74" t="s">
        <v>1223</v>
      </c>
      <c r="B74" t="s">
        <v>15</v>
      </c>
      <c r="D74" s="2125"/>
      <c r="E74" s="83" t="s">
        <v>15</v>
      </c>
      <c r="F74" s="30" t="str">
        <f>IFERROR(GETPIVOTDATA("合計 / " &amp; $B74,【ピボット】事業所収支!$A$3,"年月",F$2,"事業所",$A74),"")</f>
        <v/>
      </c>
      <c r="G74" s="30" t="str">
        <f>IFERROR(GETPIVOTDATA("合計 / " &amp; $B74,【ピボット】事業所収支!$A$3,"年月",G$2,"事業所",$A74),"")</f>
        <v/>
      </c>
      <c r="H74" s="30" t="str">
        <f>IFERROR(GETPIVOTDATA("合計 / " &amp; $B74,【ピボット】事業所収支!$A$3,"年月",H$2,"事業所",$A74),"")</f>
        <v/>
      </c>
      <c r="I74" s="30" t="str">
        <f>IFERROR(GETPIVOTDATA("合計 / " &amp; $B74,【ピボット】事業所収支!$A$3,"年月",I$2,"事業所",$A74),"")</f>
        <v/>
      </c>
      <c r="J74" s="30" t="str">
        <f>IFERROR(GETPIVOTDATA("合計 / " &amp; $B74,【ピボット】事業所収支!$A$3,"年月",J$2,"事業所",$A74),"")</f>
        <v/>
      </c>
      <c r="K74" s="30" t="str">
        <f>IFERROR(GETPIVOTDATA("合計 / " &amp; $B74,【ピボット】事業所収支!$A$3,"年月",K$2,"事業所",$A74),"")</f>
        <v/>
      </c>
      <c r="L74" s="30" t="str">
        <f>IFERROR(GETPIVOTDATA("合計 / " &amp; $B74,【ピボット】事業所収支!$A$3,"年月",L$2,"事業所",$A74),"")</f>
        <v/>
      </c>
      <c r="M74" s="30" t="str">
        <f>IFERROR(GETPIVOTDATA("合計 / " &amp; $B74,【ピボット】事業所収支!$A$3,"年月",M$2,"事業所",$A74),"")</f>
        <v/>
      </c>
      <c r="N74" s="30" t="str">
        <f>IFERROR(GETPIVOTDATA("合計 / " &amp; $B74,【ピボット】事業所収支!$A$3,"年月",N$2,"事業所",$A74),"")</f>
        <v/>
      </c>
      <c r="O74" s="30" t="str">
        <f>IFERROR(GETPIVOTDATA("合計 / " &amp; $B74,【ピボット】事業所収支!$A$3,"年月",O$2,"事業所",$A74),"")</f>
        <v/>
      </c>
      <c r="P74" s="30" t="str">
        <f>IFERROR(GETPIVOTDATA("合計 / " &amp; $B74,【ピボット】事業所収支!$A$3,"年月",P$2,"事業所",$A74),"")</f>
        <v/>
      </c>
      <c r="Q74" s="30" t="str">
        <f>IFERROR(GETPIVOTDATA("合計 / " &amp; $B74,【ピボット】事業所収支!$A$3,"年月",Q$2,"事業所",$A74),"")</f>
        <v/>
      </c>
      <c r="R74" s="30" t="str">
        <f>IFERROR(GETPIVOTDATA("合計 / " &amp; $B74,【ピボット】事業所収支!$A$3,"年月",R$2,"事業所",$A74),"")</f>
        <v/>
      </c>
      <c r="S74" s="30" t="str">
        <f>IFERROR(GETPIVOTDATA("合計 / " &amp; $B74,【ピボット】事業所収支!$A$3,"年月",S$2,"事業所",$A74),"")</f>
        <v/>
      </c>
      <c r="T74" s="30" t="str">
        <f>IFERROR(GETPIVOTDATA("合計 / " &amp; $B74,【ピボット】事業所収支!$A$3,"年月",T$2,"事業所",$A74),"")</f>
        <v/>
      </c>
      <c r="U74" s="30" t="str">
        <f>IFERROR(GETPIVOTDATA("合計 / " &amp; $B74,【ピボット】事業所収支!$A$3,"年月",U$2,"事業所",$A74),"")</f>
        <v/>
      </c>
      <c r="V74" s="30">
        <f>IFERROR(GETPIVOTDATA("合計 / " &amp; $B74,【ピボット】事業所収支!$A$3,"年月",V$2,"事業所",$A74),"")</f>
        <v>0</v>
      </c>
      <c r="W74" s="30" t="str">
        <f>IFERROR(GETPIVOTDATA("合計 / " &amp; $B74,【ピボット】事業所収支!$A$3,"年月",W$2,"事業所",$A74),"")</f>
        <v/>
      </c>
      <c r="X74" s="30">
        <f>IFERROR(GETPIVOTDATA("合計 / " &amp; $B74,【ピボット】事業所収支!$A$3,"年月",X$2,"事業所",$A74),"")</f>
        <v>0</v>
      </c>
      <c r="Y74" s="30">
        <f>IFERROR(GETPIVOTDATA("合計 / " &amp; $B74,【ピボット】事業所収支!$A$3,"年月",Y$2,"事業所",$A74),"")</f>
        <v>0</v>
      </c>
      <c r="Z74" s="30">
        <f>IFERROR(GETPIVOTDATA("合計 / " &amp; $B74,【ピボット】事業所収支!$A$3,"年月",Z$2,"事業所",$A74),"")</f>
        <v>0</v>
      </c>
      <c r="AA74" s="30">
        <f>IFERROR(GETPIVOTDATA("合計 / " &amp; $B74,【ピボット】事業所収支!$A$3,"年月",AA$2,"事業所",$A74),"")</f>
        <v>379400</v>
      </c>
      <c r="AB74" s="30">
        <f>IFERROR(GETPIVOTDATA("合計 / " &amp; $B74,【ピボット】事業所収支!$A$3,"年月",AB$2,"事業所",$A74),"")</f>
        <v>509200</v>
      </c>
      <c r="AC74" s="30">
        <f>IFERROR(GETPIVOTDATA("合計 / " &amp; $B74,【ピボット】事業所収支!$A$3,"年月",AC$2,"事業所",$A74),"")</f>
        <v>418350</v>
      </c>
      <c r="AD74" s="140">
        <f ca="1">SUM(OFFSET(AC74,0,当期月数):AC74)</f>
        <v>1306950</v>
      </c>
      <c r="AE74" s="46">
        <f ca="1">AVERAGE(OFFSET(AC74,0,当期月数):AC74)</f>
        <v>186707.14285714287</v>
      </c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</row>
    <row r="75" spans="1:44" x14ac:dyDescent="0.15">
      <c r="A75" t="s">
        <v>1223</v>
      </c>
      <c r="B75" t="s">
        <v>48</v>
      </c>
      <c r="D75" s="2125"/>
      <c r="E75" s="83" t="s">
        <v>48</v>
      </c>
      <c r="F75" s="115" t="str">
        <f t="shared" ref="F75:AC75" si="22">IFERROR(F74/F72*100,"")</f>
        <v/>
      </c>
      <c r="G75" s="115" t="str">
        <f t="shared" si="22"/>
        <v/>
      </c>
      <c r="H75" s="115" t="str">
        <f t="shared" si="22"/>
        <v/>
      </c>
      <c r="I75" s="115" t="str">
        <f t="shared" si="22"/>
        <v/>
      </c>
      <c r="J75" s="115" t="str">
        <f t="shared" si="22"/>
        <v/>
      </c>
      <c r="K75" s="115" t="str">
        <f t="shared" si="22"/>
        <v/>
      </c>
      <c r="L75" s="115" t="str">
        <f t="shared" si="22"/>
        <v/>
      </c>
      <c r="M75" s="115" t="str">
        <f t="shared" si="22"/>
        <v/>
      </c>
      <c r="N75" s="115" t="str">
        <f t="shared" si="22"/>
        <v/>
      </c>
      <c r="O75" s="115" t="str">
        <f t="shared" si="22"/>
        <v/>
      </c>
      <c r="P75" s="115" t="str">
        <f t="shared" si="22"/>
        <v/>
      </c>
      <c r="Q75" s="115" t="str">
        <f t="shared" si="22"/>
        <v/>
      </c>
      <c r="R75" s="115" t="str">
        <f t="shared" si="22"/>
        <v/>
      </c>
      <c r="S75" s="115" t="str">
        <f t="shared" si="22"/>
        <v/>
      </c>
      <c r="T75" s="115" t="str">
        <f t="shared" si="22"/>
        <v/>
      </c>
      <c r="U75" s="115" t="str">
        <f t="shared" si="22"/>
        <v/>
      </c>
      <c r="V75" s="115" t="str">
        <f t="shared" si="22"/>
        <v/>
      </c>
      <c r="W75" s="115" t="str">
        <f t="shared" si="22"/>
        <v/>
      </c>
      <c r="X75" s="115">
        <f t="shared" si="22"/>
        <v>0</v>
      </c>
      <c r="Y75" s="115">
        <f t="shared" si="22"/>
        <v>0</v>
      </c>
      <c r="Z75" s="115">
        <f t="shared" si="22"/>
        <v>0</v>
      </c>
      <c r="AA75" s="115">
        <f t="shared" si="22"/>
        <v>25.701333434494796</v>
      </c>
      <c r="AB75" s="115">
        <f t="shared" si="22"/>
        <v>28.685206894589747</v>
      </c>
      <c r="AC75" s="115">
        <f t="shared" si="22"/>
        <v>20.13881266932777</v>
      </c>
      <c r="AD75" s="144">
        <f ca="1">AD74/AD72*100</f>
        <v>24.092794172380859</v>
      </c>
      <c r="AE75" s="154">
        <f ca="1">AE74/AE72*100</f>
        <v>24.092794172380859</v>
      </c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</row>
    <row r="76" spans="1:44" x14ac:dyDescent="0.15">
      <c r="A76" t="s">
        <v>1223</v>
      </c>
      <c r="B76" t="s">
        <v>1226</v>
      </c>
      <c r="D76" s="2125"/>
      <c r="E76" s="84" t="s">
        <v>35</v>
      </c>
      <c r="F76" s="53" t="str">
        <f>IFERROR(GETPIVOTDATA("合計 / " &amp; $B76,【ピボット】事業所収支!$A$3,"年月",F$2,"事業所",$A76),"")</f>
        <v/>
      </c>
      <c r="G76" s="53" t="str">
        <f>IFERROR(GETPIVOTDATA("合計 / " &amp; $B76,【ピボット】事業所収支!$A$3,"年月",G$2,"事業所",$A76),"")</f>
        <v/>
      </c>
      <c r="H76" s="53" t="str">
        <f>IFERROR(GETPIVOTDATA("合計 / " &amp; $B76,【ピボット】事業所収支!$A$3,"年月",H$2,"事業所",$A76),"")</f>
        <v/>
      </c>
      <c r="I76" s="53" t="str">
        <f>IFERROR(GETPIVOTDATA("合計 / " &amp; $B76,【ピボット】事業所収支!$A$3,"年月",I$2,"事業所",$A76),"")</f>
        <v/>
      </c>
      <c r="J76" s="53" t="str">
        <f>IFERROR(GETPIVOTDATA("合計 / " &amp; $B76,【ピボット】事業所収支!$A$3,"年月",J$2,"事業所",$A76),"")</f>
        <v/>
      </c>
      <c r="K76" s="53" t="str">
        <f>IFERROR(GETPIVOTDATA("合計 / " &amp; $B76,【ピボット】事業所収支!$A$3,"年月",K$2,"事業所",$A76),"")</f>
        <v/>
      </c>
      <c r="L76" s="53" t="str">
        <f>IFERROR(GETPIVOTDATA("合計 / " &amp; $B76,【ピボット】事業所収支!$A$3,"年月",L$2,"事業所",$A76),"")</f>
        <v/>
      </c>
      <c r="M76" s="53" t="str">
        <f>IFERROR(GETPIVOTDATA("合計 / " &amp; $B76,【ピボット】事業所収支!$A$3,"年月",M$2,"事業所",$A76),"")</f>
        <v/>
      </c>
      <c r="N76" s="53" t="str">
        <f>IFERROR(GETPIVOTDATA("合計 / " &amp; $B76,【ピボット】事業所収支!$A$3,"年月",N$2,"事業所",$A76),"")</f>
        <v/>
      </c>
      <c r="O76" s="53" t="str">
        <f>IFERROR(GETPIVOTDATA("合計 / " &amp; $B76,【ピボット】事業所収支!$A$3,"年月",O$2,"事業所",$A76),"")</f>
        <v/>
      </c>
      <c r="P76" s="53" t="str">
        <f>IFERROR(GETPIVOTDATA("合計 / " &amp; $B76,【ピボット】事業所収支!$A$3,"年月",P$2,"事業所",$A76),"")</f>
        <v/>
      </c>
      <c r="Q76" s="53" t="str">
        <f>IFERROR(GETPIVOTDATA("合計 / " &amp; $B76,【ピボット】事業所収支!$A$3,"年月",Q$2,"事業所",$A76),"")</f>
        <v/>
      </c>
      <c r="R76" s="53" t="str">
        <f>IFERROR(GETPIVOTDATA("合計 / " &amp; $B76,【ピボット】事業所収支!$A$3,"年月",R$2,"事業所",$A76),"")</f>
        <v/>
      </c>
      <c r="S76" s="53" t="str">
        <f>IFERROR(GETPIVOTDATA("合計 / " &amp; $B76,【ピボット】事業所収支!$A$3,"年月",S$2,"事業所",$A76),"")</f>
        <v/>
      </c>
      <c r="T76" s="53" t="str">
        <f>IFERROR(GETPIVOTDATA("合計 / " &amp; $B76,【ピボット】事業所収支!$A$3,"年月",T$2,"事業所",$A76),"")</f>
        <v/>
      </c>
      <c r="U76" s="53" t="str">
        <f>IFERROR(GETPIVOTDATA("合計 / " &amp; $B76,【ピボット】事業所収支!$A$3,"年月",U$2,"事業所",$A76),"")</f>
        <v/>
      </c>
      <c r="V76" s="53">
        <f>IFERROR(GETPIVOTDATA("合計 / " &amp; $B76,【ピボット】事業所収支!$A$3,"年月",V$2,"事業所",$A76),"")</f>
        <v>30864</v>
      </c>
      <c r="W76" s="53" t="str">
        <f>IFERROR(GETPIVOTDATA("合計 / " &amp; $B76,【ピボット】事業所収支!$A$3,"年月",W$2,"事業所",$A76),"")</f>
        <v/>
      </c>
      <c r="X76" s="53">
        <f>IFERROR(GETPIVOTDATA("合計 / " &amp; $B76,【ピボット】事業所収支!$A$3,"年月",X$2,"事業所",$A76),"")</f>
        <v>17066</v>
      </c>
      <c r="Y76" s="53">
        <f>IFERROR(GETPIVOTDATA("合計 / " &amp; $B76,【ピボット】事業所収支!$A$3,"年月",Y$2,"事業所",$A76),"")</f>
        <v>18008</v>
      </c>
      <c r="Z76" s="53">
        <f>IFERROR(GETPIVOTDATA("合計 / " &amp; $B76,【ピボット】事業所収支!$A$3,"年月",Z$2,"事業所",$A76),"")</f>
        <v>185160</v>
      </c>
      <c r="AA76" s="53">
        <f>IFERROR(GETPIVOTDATA("合計 / " &amp; $B76,【ピボット】事業所収支!$A$3,"年月",AA$2,"事業所",$A76),"")</f>
        <v>188283</v>
      </c>
      <c r="AB76" s="53">
        <f>IFERROR(GETPIVOTDATA("合計 / " &amp; $B76,【ピボット】事業所収支!$A$3,"年月",AB$2,"事業所",$A76),"")</f>
        <v>133407</v>
      </c>
      <c r="AC76" s="53">
        <f>IFERROR(GETPIVOTDATA("合計 / " &amp; $B76,【ピボット】事業所収支!$A$3,"年月",AC$2,"事業所",$A76),"")</f>
        <v>153096</v>
      </c>
      <c r="AD76" s="141">
        <f ca="1">SUM(OFFSET(AC76,0,当期月数):AC76)</f>
        <v>725884</v>
      </c>
      <c r="AE76" s="56">
        <f ca="1">AVERAGE(OFFSET(AC76,0,当期月数):AC76)</f>
        <v>103697.71428571429</v>
      </c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</row>
    <row r="77" spans="1:44" ht="14.25" thickBot="1" x14ac:dyDescent="0.2">
      <c r="A77" t="s">
        <v>1223</v>
      </c>
      <c r="B77" t="s">
        <v>32</v>
      </c>
      <c r="D77" s="2127"/>
      <c r="E77" s="87" t="s">
        <v>32</v>
      </c>
      <c r="F77" s="116" t="str">
        <f t="shared" ref="F77:AC77" si="23">IFERROR(F72-(F74+F76),"")</f>
        <v/>
      </c>
      <c r="G77" s="116" t="str">
        <f t="shared" si="23"/>
        <v/>
      </c>
      <c r="H77" s="116" t="str">
        <f t="shared" si="23"/>
        <v/>
      </c>
      <c r="I77" s="116" t="str">
        <f t="shared" si="23"/>
        <v/>
      </c>
      <c r="J77" s="116" t="str">
        <f t="shared" si="23"/>
        <v/>
      </c>
      <c r="K77" s="116" t="str">
        <f t="shared" si="23"/>
        <v/>
      </c>
      <c r="L77" s="116" t="str">
        <f t="shared" si="23"/>
        <v/>
      </c>
      <c r="M77" s="116" t="str">
        <f t="shared" si="23"/>
        <v/>
      </c>
      <c r="N77" s="116" t="str">
        <f t="shared" si="23"/>
        <v/>
      </c>
      <c r="O77" s="116" t="str">
        <f t="shared" si="23"/>
        <v/>
      </c>
      <c r="P77" s="116" t="str">
        <f t="shared" si="23"/>
        <v/>
      </c>
      <c r="Q77" s="116" t="str">
        <f t="shared" si="23"/>
        <v/>
      </c>
      <c r="R77" s="116" t="str">
        <f t="shared" si="23"/>
        <v/>
      </c>
      <c r="S77" s="116" t="str">
        <f t="shared" si="23"/>
        <v/>
      </c>
      <c r="T77" s="116" t="str">
        <f t="shared" si="23"/>
        <v/>
      </c>
      <c r="U77" s="116" t="str">
        <f t="shared" si="23"/>
        <v/>
      </c>
      <c r="V77" s="116">
        <f t="shared" si="23"/>
        <v>-30864</v>
      </c>
      <c r="W77" s="116" t="str">
        <f t="shared" si="23"/>
        <v/>
      </c>
      <c r="X77" s="116">
        <f t="shared" si="23"/>
        <v>-1066</v>
      </c>
      <c r="Y77" s="116">
        <f t="shared" si="23"/>
        <v>21992</v>
      </c>
      <c r="Z77" s="116">
        <f t="shared" si="23"/>
        <v>-145160</v>
      </c>
      <c r="AA77" s="116">
        <f t="shared" si="23"/>
        <v>908505</v>
      </c>
      <c r="AB77" s="116">
        <f t="shared" si="23"/>
        <v>1132524</v>
      </c>
      <c r="AC77" s="116">
        <f t="shared" si="23"/>
        <v>1505886</v>
      </c>
      <c r="AD77" s="142">
        <f ca="1">SUM(OFFSET(AC77,0,当期月数):AC77)</f>
        <v>3391817</v>
      </c>
      <c r="AE77" s="152">
        <f ca="1">AVERAGE(OFFSET(AC77,0,当期月数):AC77)</f>
        <v>484545.28571428574</v>
      </c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</row>
    <row r="78" spans="1:44" ht="13.5" customHeight="1" x14ac:dyDescent="0.15">
      <c r="A78" t="s">
        <v>745</v>
      </c>
      <c r="B78" t="s">
        <v>26</v>
      </c>
      <c r="D78" s="2124" t="s">
        <v>337</v>
      </c>
      <c r="E78" s="86" t="s">
        <v>144</v>
      </c>
      <c r="F78" s="137">
        <f>IFERROR(GETPIVOTDATA("合計 / " &amp; $B78,【ピボット】事業所収支!$A$3,"年月",F$2,"事業所",$A78),"")</f>
        <v>3011624</v>
      </c>
      <c r="G78" s="137">
        <f>IFERROR(GETPIVOTDATA("合計 / " &amp; $B78,【ピボット】事業所収支!$A$3,"年月",G$2,"事業所",$A78),"")</f>
        <v>2812785</v>
      </c>
      <c r="H78" s="137">
        <f>IFERROR(GETPIVOTDATA("合計 / " &amp; $B78,【ピボット】事業所収支!$A$3,"年月",H$2,"事業所",$A78),"")</f>
        <v>3216466</v>
      </c>
      <c r="I78" s="137">
        <f>IFERROR(GETPIVOTDATA("合計 / " &amp; $B78,【ピボット】事業所収支!$A$3,"年月",I$2,"事業所",$A78),"")</f>
        <v>3129590</v>
      </c>
      <c r="J78" s="137">
        <f>IFERROR(GETPIVOTDATA("合計 / " &amp; $B78,【ピボット】事業所収支!$A$3,"年月",J$2,"事業所",$A78),"")</f>
        <v>3185656</v>
      </c>
      <c r="K78" s="137">
        <f>IFERROR(GETPIVOTDATA("合計 / " &amp; $B78,【ピボット】事業所収支!$A$3,"年月",K$2,"事業所",$A78),"")</f>
        <v>3195164</v>
      </c>
      <c r="L78" s="137">
        <f>IFERROR(GETPIVOTDATA("合計 / " &amp; $B78,【ピボット】事業所収支!$A$3,"年月",L$2,"事業所",$A78),"")</f>
        <v>3133826</v>
      </c>
      <c r="M78" s="137">
        <f>IFERROR(GETPIVOTDATA("合計 / " &amp; $B78,【ピボット】事業所収支!$A$3,"年月",M$2,"事業所",$A78),"")</f>
        <v>3119675</v>
      </c>
      <c r="N78" s="137">
        <f>IFERROR(GETPIVOTDATA("合計 / " &amp; $B78,【ピボット】事業所収支!$A$3,"年月",N$2,"事業所",$A78),"")</f>
        <v>2345767</v>
      </c>
      <c r="O78" s="137">
        <f>IFERROR(GETPIVOTDATA("合計 / " &amp; $B78,【ピボット】事業所収支!$A$3,"年月",O$2,"事業所",$A78),"")</f>
        <v>2169663</v>
      </c>
      <c r="P78" s="137">
        <f>IFERROR(GETPIVOTDATA("合計 / " &amp; $B78,【ピボット】事業所収支!$A$3,"年月",P$2,"事業所",$A78),"")</f>
        <v>2256558</v>
      </c>
      <c r="Q78" s="137">
        <f>IFERROR(GETPIVOTDATA("合計 / " &amp; $B78,【ピボット】事業所収支!$A$3,"年月",Q$2,"事業所",$A78),"")</f>
        <v>1960949</v>
      </c>
      <c r="R78" s="137">
        <f>IFERROR(GETPIVOTDATA("合計 / " &amp; $B78,【ピボット】事業所収支!$A$3,"年月",R$2,"事業所",$A78),"")</f>
        <v>1955643</v>
      </c>
      <c r="S78" s="137">
        <f>IFERROR(GETPIVOTDATA("合計 / " &amp; $B78,【ピボット】事業所収支!$A$3,"年月",S$2,"事業所",$A78),"")</f>
        <v>1889542</v>
      </c>
      <c r="T78" s="137">
        <f>IFERROR(GETPIVOTDATA("合計 / " &amp; $B78,【ピボット】事業所収支!$A$3,"年月",T$2,"事業所",$A78),"")</f>
        <v>1614388</v>
      </c>
      <c r="U78" s="137">
        <f>IFERROR(GETPIVOTDATA("合計 / " &amp; $B78,【ピボット】事業所収支!$A$3,"年月",U$2,"事業所",$A78),"")</f>
        <v>1444523</v>
      </c>
      <c r="V78" s="137">
        <f>IFERROR(GETPIVOTDATA("合計 / " &amp; $B78,【ピボット】事業所収支!$A$3,"年月",V$2,"事業所",$A78),"")</f>
        <v>1128956</v>
      </c>
      <c r="W78" s="137" t="str">
        <f>IFERROR(GETPIVOTDATA("合計 / " &amp; $B78,【ピボット】事業所収支!$A$3,"年月",W$2,"事業所",$A78),"")</f>
        <v/>
      </c>
      <c r="X78" s="137">
        <f>IFERROR(GETPIVOTDATA("合計 / " &amp; $B78,【ピボット】事業所収支!$A$3,"年月",X$2,"事業所",$A78),"")</f>
        <v>0</v>
      </c>
      <c r="Y78" s="137" t="str">
        <f>IFERROR(GETPIVOTDATA("合計 / " &amp; $B78,【ピボット】事業所収支!$A$3,"年月",Y$2,"事業所",$A78),"")</f>
        <v/>
      </c>
      <c r="Z78" s="137" t="str">
        <f>IFERROR(GETPIVOTDATA("合計 / " &amp; $B78,【ピボット】事業所収支!$A$3,"年月",Z$2,"事業所",$A78),"")</f>
        <v/>
      </c>
      <c r="AA78" s="137" t="str">
        <f>IFERROR(GETPIVOTDATA("合計 / " &amp; $B78,【ピボット】事業所収支!$A$3,"年月",AA$2,"事業所",$A78),"")</f>
        <v/>
      </c>
      <c r="AB78" s="137" t="str">
        <f>IFERROR(GETPIVOTDATA("合計 / " &amp; $B78,【ピボット】事業所収支!$A$3,"年月",AB$2,"事業所",$A78),"")</f>
        <v/>
      </c>
      <c r="AC78" s="137" t="str">
        <f>IFERROR(GETPIVOTDATA("合計 / " &amp; $B78,【ピボット】事業所収支!$A$3,"年月",AC$2,"事業所",$A78),"")</f>
        <v/>
      </c>
      <c r="AD78" s="139">
        <f ca="1">SUM(OFFSET(AC78,0,当期月数):AC78)</f>
        <v>1128956</v>
      </c>
      <c r="AE78" s="47">
        <f ca="1">AVERAGE(OFFSET(AC78,0,当期月数):AC78)</f>
        <v>564478</v>
      </c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</row>
    <row r="79" spans="1:44" x14ac:dyDescent="0.15">
      <c r="A79" t="s">
        <v>767</v>
      </c>
      <c r="B79" t="s">
        <v>142</v>
      </c>
      <c r="D79" s="2128"/>
      <c r="E79" s="82" t="s">
        <v>142</v>
      </c>
      <c r="F79" s="30">
        <f>IFERROR(
(IFERROR(GETPIVOTDATA("合計 / 訪問処遇改善加算金",【ピボット】事業所売上!$A$3,"年月",F$2,"事業所",$A79),"")
+IFERROR(GETPIVOTDATA("合計 / 障害処遇改善加算金",【ピボット】事業所売上!$A$3,"年月",F$2,"事業所",$A79),""))
*F78/SUM(F$6,F$42,F$48,F$78),"")</f>
        <v>316145.12588951044</v>
      </c>
      <c r="G79" s="30">
        <f>IFERROR(
(IFERROR(GETPIVOTDATA("合計 / 訪問処遇改善加算金",【ピボット】事業所売上!$A$3,"年月",G$2,"事業所",$A79),"")
+IFERROR(GETPIVOTDATA("合計 / 障害処遇改善加算金",【ピボット】事業所売上!$A$3,"年月",G$2,"事業所",$A79),""))
*G78/SUM(G$6,G$42,G$48,G$78),"")</f>
        <v>286035.49290454207</v>
      </c>
      <c r="H79" s="30">
        <f>IFERROR(
(IFERROR(GETPIVOTDATA("合計 / 訪問処遇改善加算金",【ピボット】事業所売上!$A$3,"年月",H$2,"事業所",$A79),"")
+IFERROR(GETPIVOTDATA("合計 / 障害処遇改善加算金",【ピボット】事業所売上!$A$3,"年月",H$2,"事業所",$A79),""))
*H78/SUM(H$6,H$42,H$48,H$78),"")</f>
        <v>332928.74490396719</v>
      </c>
      <c r="I79" s="30">
        <f>IFERROR(
(IFERROR(GETPIVOTDATA("合計 / 訪問処遇改善加算金",【ピボット】事業所売上!$A$3,"年月",I$2,"事業所",$A79),"")
+IFERROR(GETPIVOTDATA("合計 / 障害処遇改善加算金",【ピボット】事業所売上!$A$3,"年月",I$2,"事業所",$A79),""))
*I78/SUM(I$6,I$42,I$48,I$78),"")</f>
        <v>322576.52672067011</v>
      </c>
      <c r="J79" s="30">
        <f>IFERROR(
(IFERROR(GETPIVOTDATA("合計 / 訪問処遇改善加算金",【ピボット】事業所売上!$A$3,"年月",J$2,"事業所",$A79),"")
+IFERROR(GETPIVOTDATA("合計 / 障害処遇改善加算金",【ピボット】事業所売上!$A$3,"年月",J$2,"事業所",$A79),""))
*J78/SUM(J$6,J$42,J$48,J$78),"")</f>
        <v>328281.05043757422</v>
      </c>
      <c r="K79" s="30">
        <f>IFERROR(
(IFERROR(GETPIVOTDATA("合計 / 訪問処遇改善加算金",【ピボット】事業所売上!$A$3,"年月",K$2,"事業所",$A79),"")
+IFERROR(GETPIVOTDATA("合計 / 障害処遇改善加算金",【ピボット】事業所売上!$A$3,"年月",K$2,"事業所",$A79),""))
*K78/SUM(K$6,K$42,K$48,K$78),"")</f>
        <v>324284.19339726999</v>
      </c>
      <c r="L79" s="30">
        <f>IFERROR(
(IFERROR(GETPIVOTDATA("合計 / 訪問処遇改善加算金",【ピボット】事業所売上!$A$3,"年月",L$2,"事業所",$A79),"")
+IFERROR(GETPIVOTDATA("合計 / 障害処遇改善加算金",【ピボット】事業所売上!$A$3,"年月",L$2,"事業所",$A79),""))
*L78/SUM(L$6,L$42,L$48,L$78),"")</f>
        <v>317366.28262750513</v>
      </c>
      <c r="M79" s="30">
        <f>IFERROR(
(IFERROR(GETPIVOTDATA("合計 / 訪問処遇改善加算金",【ピボット】事業所売上!$A$3,"年月",M$2,"事業所",$A79),"")
+IFERROR(GETPIVOTDATA("合計 / 障害処遇改善加算金",【ピボット】事業所売上!$A$3,"年月",M$2,"事業所",$A79),""))
*M78/SUM(M$6,M$42,M$48,M$78),"")</f>
        <v>314205.60529920668</v>
      </c>
      <c r="N79" s="30">
        <f>IFERROR(
(IFERROR(GETPIVOTDATA("合計 / 訪問処遇改善加算金",【ピボット】事業所売上!$A$3,"年月",N$2,"事業所",$A79),"")
+IFERROR(GETPIVOTDATA("合計 / 障害処遇改善加算金",【ピボット】事業所売上!$A$3,"年月",N$2,"事業所",$A79),""))
*N78/SUM(N$6,N$42,N$48,N$78),"")</f>
        <v>268192.58391493693</v>
      </c>
      <c r="O79" s="30">
        <f>IFERROR(
(IFERROR(GETPIVOTDATA("合計 / 訪問処遇改善加算金",【ピボット】事業所売上!$A$3,"年月",O$2,"事業所",$A79),"")
+IFERROR(GETPIVOTDATA("合計 / 障害処遇改善加算金",【ピボット】事業所売上!$A$3,"年月",O$2,"事業所",$A79),""))
*O78/SUM(O$6,O$42,O$48,O$78),"")</f>
        <v>221137.61529715068</v>
      </c>
      <c r="P79" s="30">
        <f>IFERROR(
(IFERROR(GETPIVOTDATA("合計 / 訪問処遇改善加算金",【ピボット】事業所売上!$A$3,"年月",P$2,"事業所",$A79),"")
+IFERROR(GETPIVOTDATA("合計 / 障害処遇改善加算金",【ピボット】事業所売上!$A$3,"年月",P$2,"事業所",$A79),""))
*P78/SUM(P$6,P$42,P$48,P$78),"")</f>
        <v>226591.79562905006</v>
      </c>
      <c r="Q79" s="30">
        <f>IFERROR(
(IFERROR(GETPIVOTDATA("合計 / 訪問処遇改善加算金",【ピボット】事業所売上!$A$3,"年月",Q$2,"事業所",$A79),"")
+IFERROR(GETPIVOTDATA("合計 / 障害処遇改善加算金",【ピボット】事業所売上!$A$3,"年月",Q$2,"事業所",$A79),""))
*Q78/SUM(Q$6,Q$42,Q$48,Q$78),"")</f>
        <v>203343.3816148887</v>
      </c>
      <c r="R79" s="30">
        <f>IFERROR(
(IFERROR(GETPIVOTDATA("合計 / 訪問処遇改善加算金",【ピボット】事業所売上!$A$3,"年月",R$2,"事業所",$A79),"")
+IFERROR(GETPIVOTDATA("合計 / 障害処遇改善加算金",【ピボット】事業所売上!$A$3,"年月",R$2,"事業所",$A79),""))
*R78/SUM(R$6,R$42,R$48,R$78),"")</f>
        <v>208235.64397828671</v>
      </c>
      <c r="S79" s="30">
        <f>IFERROR(
(IFERROR(GETPIVOTDATA("合計 / 訪問処遇改善加算金",【ピボット】事業所売上!$A$3,"年月",S$2,"事業所",$A79),"")
+IFERROR(GETPIVOTDATA("合計 / 障害処遇改善加算金",【ピボット】事業所売上!$A$3,"年月",S$2,"事業所",$A79),""))
*S78/SUM(S$6,S$42,S$48,S$78),"")</f>
        <v>201189.04364552919</v>
      </c>
      <c r="T79" s="30">
        <f>IFERROR(
(IFERROR(GETPIVOTDATA("合計 / 訪問処遇改善加算金",【ピボット】事業所売上!$A$3,"年月",T$2,"事業所",$A79),"")
+IFERROR(GETPIVOTDATA("合計 / 障害処遇改善加算金",【ピボット】事業所売上!$A$3,"年月",T$2,"事業所",$A79),""))
*T78/SUM(T$6,T$42,T$48,T$78),"")</f>
        <v>170507.13156323449</v>
      </c>
      <c r="U79" s="30">
        <f>IFERROR(
(IFERROR(GETPIVOTDATA("合計 / 訪問処遇改善加算金",【ピボット】事業所売上!$A$3,"年月",U$2,"事業所",$A79),"")
+IFERROR(GETPIVOTDATA("合計 / 障害処遇改善加算金",【ピボット】事業所売上!$A$3,"年月",U$2,"事業所",$A79),""))
*U78/SUM(U$6,U$42,U$48,U$78),"")</f>
        <v>152208.03585153387</v>
      </c>
      <c r="V79" s="30">
        <f>IFERROR(
(IFERROR(GETPIVOTDATA("合計 / 訪問処遇改善加算金",【ピボット】事業所売上!$A$3,"年月",V$2,"事業所",$A79),"")
+IFERROR(GETPIVOTDATA("合計 / 障害処遇改善加算金",【ピボット】事業所売上!$A$3,"年月",V$2,"事業所",$A79),""))
*V78/SUM(V$6,V$42,V$48,V$78),"")</f>
        <v>122874.95787442719</v>
      </c>
      <c r="W79" s="30" t="str">
        <f>IFERROR(
(IFERROR(GETPIVOTDATA("合計 / 訪問処遇改善加算金",【ピボット】事業所売上!$A$3,"年月",W$2,"事業所",$A79),"")
+IFERROR(GETPIVOTDATA("合計 / 障害処遇改善加算金",【ピボット】事業所売上!$A$3,"年月",W$2,"事業所",$A79),""))
*W78/SUM(W$6,W$42,W$48,W$78),"")</f>
        <v/>
      </c>
      <c r="X79" s="30">
        <f>IFERROR(
(IFERROR(GETPIVOTDATA("合計 / 訪問処遇改善加算金",【ピボット】事業所売上!$A$3,"年月",X$2,"事業所",$A79),"")
+IFERROR(GETPIVOTDATA("合計 / 障害処遇改善加算金",【ピボット】事業所売上!$A$3,"年月",X$2,"事業所",$A79),""))
*X78/SUM(X$6,X$42,X$48,X$78),"")</f>
        <v>0</v>
      </c>
      <c r="Y79" s="30" t="str">
        <f>IFERROR(
(IFERROR(GETPIVOTDATA("合計 / 訪問処遇改善加算金",【ピボット】事業所売上!$A$3,"年月",Y$2,"事業所",$A79),"")
+IFERROR(GETPIVOTDATA("合計 / 障害処遇改善加算金",【ピボット】事業所売上!$A$3,"年月",Y$2,"事業所",$A79),""))
*Y78/SUM(Y$6,Y$42,Y$48,Y$78),"")</f>
        <v/>
      </c>
      <c r="Z79" s="30" t="str">
        <f>IFERROR(
(IFERROR(GETPIVOTDATA("合計 / 訪問処遇改善加算金",【ピボット】事業所売上!$A$3,"年月",Z$2,"事業所",$A79),"")
+IFERROR(GETPIVOTDATA("合計 / 障害処遇改善加算金",【ピボット】事業所売上!$A$3,"年月",Z$2,"事業所",$A79),""))
*Z78/SUM(Z$6,Z$42,Z$48,Z$78),"")</f>
        <v/>
      </c>
      <c r="AA79" s="30" t="str">
        <f>IFERROR(
(IFERROR(GETPIVOTDATA("合計 / 訪問処遇改善加算金",【ピボット】事業所売上!$A$3,"年月",AA$2,"事業所",$A79),"")
+IFERROR(GETPIVOTDATA("合計 / 障害処遇改善加算金",【ピボット】事業所売上!$A$3,"年月",AA$2,"事業所",$A79),""))
*AA78/SUM(AA$6,AA$42,AA$48,AA$78),"")</f>
        <v/>
      </c>
      <c r="AB79" s="30" t="str">
        <f>IFERROR(
(IFERROR(GETPIVOTDATA("合計 / 訪問処遇改善加算金",【ピボット】事業所売上!$A$3,"年月",AB$2,"事業所",$A79),"")
+IFERROR(GETPIVOTDATA("合計 / 障害処遇改善加算金",【ピボット】事業所売上!$A$3,"年月",AB$2,"事業所",$A79),""))
*AB78/SUM(AB$6,AB$42,AB$48,AB$78),"")</f>
        <v/>
      </c>
      <c r="AC79" s="30" t="str">
        <f>IFERROR(
(IFERROR(GETPIVOTDATA("合計 / 訪問処遇改善加算金",【ピボット】事業所売上!$A$3,"年月",AC$2,"事業所",$A79),"")
+IFERROR(GETPIVOTDATA("合計 / 障害処遇改善加算金",【ピボット】事業所売上!$A$3,"年月",AC$2,"事業所",$A79),""))
*AC78/SUM(AC$6,AC$42,AC$48,AC$78),"")</f>
        <v/>
      </c>
      <c r="AD79" s="140">
        <f ca="1">SUM(OFFSET(AC79,0,当期月数):AC79)</f>
        <v>122874.95787442719</v>
      </c>
      <c r="AE79" s="46">
        <f ca="1">AVERAGE(OFFSET(AC79,0,当期月数):AC79)</f>
        <v>61437.478937213593</v>
      </c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</row>
    <row r="80" spans="1:44" x14ac:dyDescent="0.15">
      <c r="A80" t="s">
        <v>745</v>
      </c>
      <c r="B80" t="s">
        <v>15</v>
      </c>
      <c r="D80" s="2128"/>
      <c r="E80" s="83" t="s">
        <v>15</v>
      </c>
      <c r="F80" s="30">
        <f>IFERROR(GETPIVOTDATA("合計 / " &amp; $B80,【ピボット】事業所収支!$A$3,"年月",F$2,"事業所",$A80),"")</f>
        <v>1592861</v>
      </c>
      <c r="G80" s="30">
        <f>IFERROR(GETPIVOTDATA("合計 / " &amp; $B80,【ピボット】事業所収支!$A$3,"年月",G$2,"事業所",$A80),"")</f>
        <v>1573040</v>
      </c>
      <c r="H80" s="30">
        <f>IFERROR(GETPIVOTDATA("合計 / " &amp; $B80,【ピボット】事業所収支!$A$3,"年月",H$2,"事業所",$A80),"")</f>
        <v>1767600</v>
      </c>
      <c r="I80" s="30">
        <f>IFERROR(GETPIVOTDATA("合計 / " &amp; $B80,【ピボット】事業所収支!$A$3,"年月",I$2,"事業所",$A80),"")</f>
        <v>1796117</v>
      </c>
      <c r="J80" s="30">
        <f>IFERROR(GETPIVOTDATA("合計 / " &amp; $B80,【ピボット】事業所収支!$A$3,"年月",J$2,"事業所",$A80),"")</f>
        <v>1716632</v>
      </c>
      <c r="K80" s="30">
        <f>IFERROR(GETPIVOTDATA("合計 / " &amp; $B80,【ピボット】事業所収支!$A$3,"年月",K$2,"事業所",$A80),"")</f>
        <v>1706006</v>
      </c>
      <c r="L80" s="30">
        <f>IFERROR(GETPIVOTDATA("合計 / " &amp; $B80,【ピボット】事業所収支!$A$3,"年月",L$2,"事業所",$A80),"")</f>
        <v>1694389</v>
      </c>
      <c r="M80" s="30">
        <f>IFERROR(GETPIVOTDATA("合計 / " &amp; $B80,【ピボット】事業所収支!$A$3,"年月",M$2,"事業所",$A80),"")</f>
        <v>1862425.9867857778</v>
      </c>
      <c r="N80" s="30">
        <f>IFERROR(GETPIVOTDATA("合計 / " &amp; $B80,【ピボット】事業所収支!$A$3,"年月",N$2,"事業所",$A80),"")</f>
        <v>2505733</v>
      </c>
      <c r="O80" s="30">
        <f>IFERROR(GETPIVOTDATA("合計 / " &amp; $B80,【ピボット】事業所収支!$A$3,"年月",O$2,"事業所",$A80),"")</f>
        <v>1313909</v>
      </c>
      <c r="P80" s="30">
        <f>IFERROR(GETPIVOTDATA("合計 / " &amp; $B80,【ピボット】事業所収支!$A$3,"年月",P$2,"事業所",$A80),"")</f>
        <v>1420588</v>
      </c>
      <c r="Q80" s="30">
        <f>IFERROR(GETPIVOTDATA("合計 / " &amp; $B80,【ピボット】事業所収支!$A$3,"年月",Q$2,"事業所",$A80),"")</f>
        <v>1231638</v>
      </c>
      <c r="R80" s="30">
        <f>IFERROR(GETPIVOTDATA("合計 / " &amp; $B80,【ピボット】事業所収支!$A$3,"年月",R$2,"事業所",$A80),"")</f>
        <v>916985</v>
      </c>
      <c r="S80" s="30">
        <f>IFERROR(GETPIVOTDATA("合計 / " &amp; $B80,【ピボット】事業所収支!$A$3,"年月",S$2,"事業所",$A80),"")</f>
        <v>955534</v>
      </c>
      <c r="T80" s="30">
        <f>IFERROR(GETPIVOTDATA("合計 / " &amp; $B80,【ピボット】事業所収支!$A$3,"年月",T$2,"事業所",$A80),"")</f>
        <v>829847</v>
      </c>
      <c r="U80" s="30">
        <f>IFERROR(GETPIVOTDATA("合計 / " &amp; $B80,【ピボット】事業所収支!$A$3,"年月",U$2,"事業所",$A80),"")</f>
        <v>827963</v>
      </c>
      <c r="V80" s="30">
        <f>IFERROR(GETPIVOTDATA("合計 / " &amp; $B80,【ピボット】事業所収支!$A$3,"年月",V$2,"事業所",$A80),"")</f>
        <v>685027</v>
      </c>
      <c r="W80" s="30" t="str">
        <f>IFERROR(GETPIVOTDATA("合計 / " &amp; $B80,【ピボット】事業所収支!$A$3,"年月",W$2,"事業所",$A80),"")</f>
        <v/>
      </c>
      <c r="X80" s="30">
        <f>IFERROR(GETPIVOTDATA("合計 / " &amp; $B80,【ピボット】事業所収支!$A$3,"年月",X$2,"事業所",$A80),"")</f>
        <v>0</v>
      </c>
      <c r="Y80" s="30" t="str">
        <f>IFERROR(GETPIVOTDATA("合計 / " &amp; $B80,【ピボット】事業所収支!$A$3,"年月",Y$2,"事業所",$A80),"")</f>
        <v/>
      </c>
      <c r="Z80" s="30" t="str">
        <f>IFERROR(GETPIVOTDATA("合計 / " &amp; $B80,【ピボット】事業所収支!$A$3,"年月",Z$2,"事業所",$A80),"")</f>
        <v/>
      </c>
      <c r="AA80" s="30" t="str">
        <f>IFERROR(GETPIVOTDATA("合計 / " &amp; $B80,【ピボット】事業所収支!$A$3,"年月",AA$2,"事業所",$A80),"")</f>
        <v/>
      </c>
      <c r="AB80" s="30" t="str">
        <f>IFERROR(GETPIVOTDATA("合計 / " &amp; $B80,【ピボット】事業所収支!$A$3,"年月",AB$2,"事業所",$A80),"")</f>
        <v/>
      </c>
      <c r="AC80" s="30" t="str">
        <f>IFERROR(GETPIVOTDATA("合計 / " &amp; $B80,【ピボット】事業所収支!$A$3,"年月",AC$2,"事業所",$A80),"")</f>
        <v/>
      </c>
      <c r="AD80" s="140">
        <f ca="1">SUM(OFFSET(AC80,0,当期月数):AC80)</f>
        <v>685027</v>
      </c>
      <c r="AE80" s="46">
        <f ca="1">AVERAGE(OFFSET(AC80,0,当期月数):AC80)</f>
        <v>342513.5</v>
      </c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</row>
    <row r="81" spans="1:44" x14ac:dyDescent="0.15">
      <c r="A81" t="s">
        <v>745</v>
      </c>
      <c r="B81" t="s">
        <v>48</v>
      </c>
      <c r="D81" s="2128"/>
      <c r="E81" s="83" t="s">
        <v>48</v>
      </c>
      <c r="F81" s="115">
        <f t="shared" ref="F81:AC81" si="24">IFERROR(F80/F78*100,"")</f>
        <v>52.890433865582153</v>
      </c>
      <c r="G81" s="115">
        <f t="shared" si="24"/>
        <v>55.924644080510951</v>
      </c>
      <c r="H81" s="115">
        <f t="shared" si="24"/>
        <v>54.954723600373825</v>
      </c>
      <c r="I81" s="115">
        <f t="shared" si="24"/>
        <v>57.391447441997187</v>
      </c>
      <c r="J81" s="115">
        <f t="shared" si="24"/>
        <v>53.886295318766372</v>
      </c>
      <c r="K81" s="115">
        <f t="shared" si="24"/>
        <v>53.393378242869538</v>
      </c>
      <c r="L81" s="115">
        <f t="shared" si="24"/>
        <v>54.067743390985967</v>
      </c>
      <c r="M81" s="115">
        <f t="shared" si="24"/>
        <v>59.699359285367159</v>
      </c>
      <c r="N81" s="115">
        <f t="shared" si="24"/>
        <v>106.81934736058611</v>
      </c>
      <c r="O81" s="115">
        <f t="shared" si="24"/>
        <v>60.55820650488117</v>
      </c>
      <c r="P81" s="115">
        <f t="shared" si="24"/>
        <v>62.95375523252671</v>
      </c>
      <c r="Q81" s="115">
        <f t="shared" si="24"/>
        <v>62.808262734012963</v>
      </c>
      <c r="R81" s="115">
        <f t="shared" si="24"/>
        <v>46.889181716703924</v>
      </c>
      <c r="S81" s="115">
        <f t="shared" si="24"/>
        <v>50.569608931688201</v>
      </c>
      <c r="T81" s="115">
        <f t="shared" si="24"/>
        <v>51.403194275477773</v>
      </c>
      <c r="U81" s="115">
        <f t="shared" si="24"/>
        <v>57.317398199959435</v>
      </c>
      <c r="V81" s="115">
        <f t="shared" si="24"/>
        <v>60.677918359971514</v>
      </c>
      <c r="W81" s="115" t="str">
        <f t="shared" si="24"/>
        <v/>
      </c>
      <c r="X81" s="115" t="str">
        <f t="shared" si="24"/>
        <v/>
      </c>
      <c r="Y81" s="115" t="str">
        <f t="shared" si="24"/>
        <v/>
      </c>
      <c r="Z81" s="115" t="str">
        <f t="shared" si="24"/>
        <v/>
      </c>
      <c r="AA81" s="115" t="str">
        <f t="shared" si="24"/>
        <v/>
      </c>
      <c r="AB81" s="115" t="str">
        <f t="shared" si="24"/>
        <v/>
      </c>
      <c r="AC81" s="115" t="str">
        <f t="shared" si="24"/>
        <v/>
      </c>
      <c r="AD81" s="144">
        <f ca="1">AD80/AD78*100</f>
        <v>60.677918359971514</v>
      </c>
      <c r="AE81" s="154">
        <f ca="1">AE80/AE78*100</f>
        <v>60.677918359971514</v>
      </c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</row>
    <row r="82" spans="1:44" x14ac:dyDescent="0.15">
      <c r="A82" t="s">
        <v>745</v>
      </c>
      <c r="B82" t="s">
        <v>1226</v>
      </c>
      <c r="D82" s="2128"/>
      <c r="E82" s="84" t="s">
        <v>35</v>
      </c>
      <c r="F82" s="53">
        <f>IFERROR(GETPIVOTDATA("合計 / " &amp; $B82,【ピボット】事業所収支!$A$3,"年月",F$2,"事業所",$A82),"")</f>
        <v>1119742</v>
      </c>
      <c r="G82" s="53">
        <f>IFERROR(GETPIVOTDATA("合計 / " &amp; $B82,【ピボット】事業所収支!$A$3,"年月",G$2,"事業所",$A82),"")</f>
        <v>842340</v>
      </c>
      <c r="H82" s="53">
        <f>IFERROR(GETPIVOTDATA("合計 / " &amp; $B82,【ピボット】事業所収支!$A$3,"年月",H$2,"事業所",$A82),"")</f>
        <v>840179</v>
      </c>
      <c r="I82" s="53">
        <f>IFERROR(GETPIVOTDATA("合計 / " &amp; $B82,【ピボット】事業所収支!$A$3,"年月",I$2,"事業所",$A82),"")</f>
        <v>988684</v>
      </c>
      <c r="J82" s="53">
        <f>IFERROR(GETPIVOTDATA("合計 / " &amp; $B82,【ピボット】事業所収支!$A$3,"年月",J$2,"事業所",$A82),"")</f>
        <v>979802</v>
      </c>
      <c r="K82" s="53">
        <f>IFERROR(GETPIVOTDATA("合計 / " &amp; $B82,【ピボット】事業所収支!$A$3,"年月",K$2,"事業所",$A82),"")</f>
        <v>980412</v>
      </c>
      <c r="L82" s="53">
        <f>IFERROR(GETPIVOTDATA("合計 / " &amp; $B82,【ピボット】事業所収支!$A$3,"年月",L$2,"事業所",$A82),"")</f>
        <v>882358</v>
      </c>
      <c r="M82" s="53">
        <f>IFERROR(GETPIVOTDATA("合計 / " &amp; $B82,【ピボット】事業所収支!$A$3,"年月",M$2,"事業所",$A82),"")</f>
        <v>1022330</v>
      </c>
      <c r="N82" s="53">
        <f>IFERROR(GETPIVOTDATA("合計 / " &amp; $B82,【ピボット】事業所収支!$A$3,"年月",N$2,"事業所",$A82),"")</f>
        <v>1003296</v>
      </c>
      <c r="O82" s="53">
        <f>IFERROR(GETPIVOTDATA("合計 / " &amp; $B82,【ピボット】事業所収支!$A$3,"年月",O$2,"事業所",$A82),"")</f>
        <v>1081985</v>
      </c>
      <c r="P82" s="53">
        <f>IFERROR(GETPIVOTDATA("合計 / " &amp; $B82,【ピボット】事業所収支!$A$3,"年月",P$2,"事業所",$A82),"")</f>
        <v>799757</v>
      </c>
      <c r="Q82" s="53">
        <f>IFERROR(GETPIVOTDATA("合計 / " &amp; $B82,【ピボット】事業所収支!$A$3,"年月",Q$2,"事業所",$A82),"")</f>
        <v>870969</v>
      </c>
      <c r="R82" s="53">
        <f>IFERROR(GETPIVOTDATA("合計 / " &amp; $B82,【ピボット】事業所収支!$A$3,"年月",R$2,"事業所",$A82),"")</f>
        <v>675648</v>
      </c>
      <c r="S82" s="53">
        <f>IFERROR(GETPIVOTDATA("合計 / " &amp; $B82,【ピボット】事業所収支!$A$3,"年月",S$2,"事業所",$A82),"")</f>
        <v>709959</v>
      </c>
      <c r="T82" s="53">
        <f>IFERROR(GETPIVOTDATA("合計 / " &amp; $B82,【ピボット】事業所収支!$A$3,"年月",T$2,"事業所",$A82),"")</f>
        <v>698763</v>
      </c>
      <c r="U82" s="53">
        <f>IFERROR(GETPIVOTDATA("合計 / " &amp; $B82,【ピボット】事業所収支!$A$3,"年月",U$2,"事業所",$A82),"")</f>
        <v>539944</v>
      </c>
      <c r="V82" s="53">
        <f>IFERROR(GETPIVOTDATA("合計 / " &amp; $B82,【ピボット】事業所収支!$A$3,"年月",V$2,"事業所",$A82),"")</f>
        <v>540758</v>
      </c>
      <c r="W82" s="53" t="str">
        <f>IFERROR(GETPIVOTDATA("合計 / " &amp; $B82,【ピボット】事業所収支!$A$3,"年月",W$2,"事業所",$A82),"")</f>
        <v/>
      </c>
      <c r="X82" s="53">
        <f>IFERROR(GETPIVOTDATA("合計 / " &amp; $B82,【ピボット】事業所収支!$A$3,"年月",X$2,"事業所",$A82),"")</f>
        <v>0</v>
      </c>
      <c r="Y82" s="53" t="str">
        <f>IFERROR(GETPIVOTDATA("合計 / " &amp; $B82,【ピボット】事業所収支!$A$3,"年月",Y$2,"事業所",$A82),"")</f>
        <v/>
      </c>
      <c r="Z82" s="53" t="str">
        <f>IFERROR(GETPIVOTDATA("合計 / " &amp; $B82,【ピボット】事業所収支!$A$3,"年月",Z$2,"事業所",$A82),"")</f>
        <v/>
      </c>
      <c r="AA82" s="53" t="str">
        <f>IFERROR(GETPIVOTDATA("合計 / " &amp; $B82,【ピボット】事業所収支!$A$3,"年月",AA$2,"事業所",$A82),"")</f>
        <v/>
      </c>
      <c r="AB82" s="53" t="str">
        <f>IFERROR(GETPIVOTDATA("合計 / " &amp; $B82,【ピボット】事業所収支!$A$3,"年月",AB$2,"事業所",$A82),"")</f>
        <v/>
      </c>
      <c r="AC82" s="53" t="str">
        <f>IFERROR(GETPIVOTDATA("合計 / " &amp; $B82,【ピボット】事業所収支!$A$3,"年月",AC$2,"事業所",$A82),"")</f>
        <v/>
      </c>
      <c r="AD82" s="141">
        <f ca="1">SUM(OFFSET(AC82,0,当期月数):AC82)</f>
        <v>540758</v>
      </c>
      <c r="AE82" s="56">
        <f ca="1">AVERAGE(OFFSET(AC82,0,当期月数):AC82)</f>
        <v>270379</v>
      </c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</row>
    <row r="83" spans="1:44" ht="14.25" thickBot="1" x14ac:dyDescent="0.2">
      <c r="A83" t="s">
        <v>745</v>
      </c>
      <c r="B83" t="s">
        <v>32</v>
      </c>
      <c r="D83" s="2129"/>
      <c r="E83" s="87" t="s">
        <v>32</v>
      </c>
      <c r="F83" s="116">
        <f t="shared" ref="F83:AC83" si="25">IFERROR(F79-(F81+F96),"")</f>
        <v>316092.23545564484</v>
      </c>
      <c r="G83" s="116">
        <f t="shared" si="25"/>
        <v>285979.56826046156</v>
      </c>
      <c r="H83" s="116">
        <f t="shared" si="25"/>
        <v>332873.79018036684</v>
      </c>
      <c r="I83" s="116">
        <f t="shared" si="25"/>
        <v>322519.13527322811</v>
      </c>
      <c r="J83" s="116">
        <f t="shared" si="25"/>
        <v>254795.16414225544</v>
      </c>
      <c r="K83" s="116">
        <f t="shared" si="25"/>
        <v>246500.80001902714</v>
      </c>
      <c r="L83" s="116">
        <f t="shared" si="25"/>
        <v>239299.21488411416</v>
      </c>
      <c r="M83" s="116">
        <f t="shared" si="25"/>
        <v>236401.90593992133</v>
      </c>
      <c r="N83" s="116">
        <f t="shared" si="25"/>
        <v>208541.76456757635</v>
      </c>
      <c r="O83" s="116">
        <f t="shared" si="25"/>
        <v>162650.0570906458</v>
      </c>
      <c r="P83" s="116">
        <f t="shared" si="25"/>
        <v>164623.84187381752</v>
      </c>
      <c r="Q83" s="116">
        <f t="shared" si="25"/>
        <v>157881.57335215469</v>
      </c>
      <c r="R83" s="116">
        <f t="shared" si="25"/>
        <v>161937.75479656999</v>
      </c>
      <c r="S83" s="116">
        <f t="shared" si="25"/>
        <v>158375.4740365975</v>
      </c>
      <c r="T83" s="116">
        <f t="shared" si="25"/>
        <v>132698.72836895901</v>
      </c>
      <c r="U83" s="116">
        <f t="shared" si="25"/>
        <v>111818.71845333392</v>
      </c>
      <c r="V83" s="116">
        <f t="shared" si="25"/>
        <v>87984.279956067214</v>
      </c>
      <c r="W83" s="116" t="str">
        <f t="shared" si="25"/>
        <v/>
      </c>
      <c r="X83" s="116" t="str">
        <f t="shared" si="25"/>
        <v/>
      </c>
      <c r="Y83" s="116" t="str">
        <f t="shared" si="25"/>
        <v/>
      </c>
      <c r="Z83" s="116" t="str">
        <f t="shared" si="25"/>
        <v/>
      </c>
      <c r="AA83" s="116" t="str">
        <f t="shared" si="25"/>
        <v/>
      </c>
      <c r="AB83" s="116" t="str">
        <f t="shared" si="25"/>
        <v/>
      </c>
      <c r="AC83" s="116" t="str">
        <f t="shared" si="25"/>
        <v/>
      </c>
      <c r="AD83" s="142">
        <f ca="1">SUM(OFFSET(AC83,0,当期月数):AC83)</f>
        <v>87984.279956067214</v>
      </c>
      <c r="AE83" s="152">
        <f ca="1">AVERAGE(OFFSET(AC83,0,当期月数):AC83)</f>
        <v>87984.279956067214</v>
      </c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</row>
    <row r="84" spans="1:44" x14ac:dyDescent="0.15">
      <c r="B84" t="s">
        <v>26</v>
      </c>
      <c r="D84" s="2130" t="s">
        <v>19</v>
      </c>
      <c r="E84" s="86" t="s">
        <v>144</v>
      </c>
      <c r="F84" s="784">
        <f t="shared" ref="F84:AB84" si="26">IF(F3="","",SUM(F3,F6,F36,F12,F18,F24,F30,F42,F48,F54,F60,F66,F72,F78))</f>
        <v>32703033</v>
      </c>
      <c r="G84" s="784">
        <f t="shared" si="26"/>
        <v>36915821</v>
      </c>
      <c r="H84" s="784">
        <f t="shared" si="26"/>
        <v>36080296</v>
      </c>
      <c r="I84" s="784">
        <f t="shared" si="26"/>
        <v>34899186</v>
      </c>
      <c r="J84" s="784">
        <f t="shared" si="26"/>
        <v>35916200</v>
      </c>
      <c r="K84" s="784">
        <f t="shared" si="26"/>
        <v>37696511</v>
      </c>
      <c r="L84" s="784">
        <f t="shared" si="26"/>
        <v>35721077</v>
      </c>
      <c r="M84" s="784">
        <f t="shared" si="26"/>
        <v>35713004</v>
      </c>
      <c r="N84" s="784">
        <f t="shared" si="26"/>
        <v>34507019</v>
      </c>
      <c r="O84" s="784">
        <f t="shared" si="26"/>
        <v>33718137</v>
      </c>
      <c r="P84" s="784">
        <f t="shared" si="26"/>
        <v>35034097</v>
      </c>
      <c r="Q84" s="784">
        <f t="shared" si="26"/>
        <v>39122247</v>
      </c>
      <c r="R84" s="784">
        <f t="shared" si="26"/>
        <v>39669030</v>
      </c>
      <c r="S84" s="784">
        <f t="shared" si="26"/>
        <v>36072718</v>
      </c>
      <c r="T84" s="784">
        <f t="shared" si="26"/>
        <v>38549836</v>
      </c>
      <c r="U84" s="784">
        <f t="shared" si="26"/>
        <v>36710781</v>
      </c>
      <c r="V84" s="784">
        <f t="shared" si="26"/>
        <v>37521491</v>
      </c>
      <c r="W84" s="784">
        <f t="shared" si="26"/>
        <v>41221792</v>
      </c>
      <c r="X84" s="784">
        <f t="shared" si="26"/>
        <v>42264853</v>
      </c>
      <c r="Y84" s="784">
        <f t="shared" si="26"/>
        <v>40284538</v>
      </c>
      <c r="Z84" s="784">
        <f t="shared" si="26"/>
        <v>39982277</v>
      </c>
      <c r="AA84" s="784">
        <f t="shared" si="26"/>
        <v>38690450</v>
      </c>
      <c r="AB84" s="784">
        <f t="shared" si="26"/>
        <v>40045253</v>
      </c>
      <c r="AC84" s="784">
        <f>IF(AC3="","",SUM(AC3,AC6,AC36,AC12,AC18,AC24,AC30,AC42,AC48,AC54,AC60,AC66,AC72,AC78))</f>
        <v>41864718</v>
      </c>
      <c r="AD84" s="785">
        <f ca="1">SUM(OFFSET(AC84,0,当期月数):AC84)</f>
        <v>321875372</v>
      </c>
      <c r="AE84" s="786">
        <f ca="1">AVERAGE(OFFSET(AC84,0,当期月数):AC84)</f>
        <v>40234421.5</v>
      </c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</row>
    <row r="85" spans="1:44" x14ac:dyDescent="0.15">
      <c r="B85" t="s">
        <v>179</v>
      </c>
      <c r="D85" s="2131"/>
      <c r="E85" s="83" t="s">
        <v>179</v>
      </c>
      <c r="F85" s="3">
        <f>IF(F3="","",IFERROR(GETPIVOTDATA("合計 / 訪問処遇改善加算金",【ピボット】事業所売上!$A$3,"年月",F$2)
+GETPIVOTDATA("合計 / 通所介護処遇改善加算金",【ピボット】事業所売上!$A$3,"年月",F$2),""))</f>
        <v>2475862</v>
      </c>
      <c r="G85" s="3">
        <f>IF(G3="","",IFERROR(GETPIVOTDATA("合計 / 訪問処遇改善加算金",【ピボット】事業所売上!$A$3,"年月",G$2)
+GETPIVOTDATA("合計 / 通所介護処遇改善加算金",【ピボット】事業所売上!$A$3,"年月",G$2),""))</f>
        <v>2260825</v>
      </c>
      <c r="H85" s="3">
        <f>IF(H3="","",IFERROR(GETPIVOTDATA("合計 / 訪問処遇改善加算金",【ピボット】事業所売上!$A$3,"年月",H$2)
+GETPIVOTDATA("合計 / 通所介護処遇改善加算金",【ピボット】事業所売上!$A$3,"年月",H$2),""))</f>
        <v>2367623</v>
      </c>
      <c r="I85" s="3">
        <f>IF(I3="","",IFERROR(GETPIVOTDATA("合計 / 訪問処遇改善加算金",【ピボット】事業所売上!$A$3,"年月",I$2)
+GETPIVOTDATA("合計 / 通所介護処遇改善加算金",【ピボット】事業所売上!$A$3,"年月",I$2),""))</f>
        <v>2347544</v>
      </c>
      <c r="J85" s="3">
        <f>IF(J3="","",IFERROR(GETPIVOTDATA("合計 / 訪問処遇改善加算金",【ピボット】事業所売上!$A$3,"年月",J$2)
+GETPIVOTDATA("合計 / 通所介護処遇改善加算金",【ピボット】事業所売上!$A$3,"年月",J$2),""))</f>
        <v>2474592</v>
      </c>
      <c r="K85" s="3">
        <f>IF(K3="","",IFERROR(GETPIVOTDATA("合計 / 訪問処遇改善加算金",【ピボット】事業所売上!$A$3,"年月",K$2)
+GETPIVOTDATA("合計 / 通所介護処遇改善加算金",【ピボット】事業所売上!$A$3,"年月",K$2),""))</f>
        <v>2443820</v>
      </c>
      <c r="L85" s="3">
        <f>IF(L3="","",IFERROR(GETPIVOTDATA("合計 / 訪問処遇改善加算金",【ピボット】事業所売上!$A$3,"年月",L$2)
+GETPIVOTDATA("合計 / 通所介護処遇改善加算金",【ピボット】事業所売上!$A$3,"年月",L$2),""))</f>
        <v>2356316</v>
      </c>
      <c r="M85" s="3">
        <f>IF(M3="","",IFERROR(GETPIVOTDATA("合計 / 訪問処遇改善加算金",【ピボット】事業所売上!$A$3,"年月",M$2)
+GETPIVOTDATA("合計 / 通所介護処遇改善加算金",【ピボット】事業所売上!$A$3,"年月",M$2),""))</f>
        <v>2380642</v>
      </c>
      <c r="N85" s="3">
        <f>IF(N3="","",IFERROR(GETPIVOTDATA("合計 / 訪問処遇改善加算金",【ピボット】事業所売上!$A$3,"年月",N$2)
+GETPIVOTDATA("合計 / 通所介護処遇改善加算金",【ピボット】事業所売上!$A$3,"年月",N$2),""))</f>
        <v>2394735</v>
      </c>
      <c r="O85" s="3">
        <f>IF(O3="","",IFERROR(GETPIVOTDATA("合計 / 訪問処遇改善加算金",【ピボット】事業所売上!$A$3,"年月",O$2)
+GETPIVOTDATA("合計 / 通所介護処遇改善加算金",【ピボット】事業所売上!$A$3,"年月",O$2),""))</f>
        <v>2229755</v>
      </c>
      <c r="P85" s="3">
        <f>IF(P3="","",IFERROR(GETPIVOTDATA("合計 / 訪問処遇改善加算金",【ピボット】事業所売上!$A$3,"年月",P$2)
+GETPIVOTDATA("合計 / 通所介護処遇改善加算金",【ピボット】事業所売上!$A$3,"年月",P$2),""))</f>
        <v>2404267</v>
      </c>
      <c r="Q85" s="3">
        <f>IF(Q3="","",IFERROR(GETPIVOTDATA("合計 / 訪問処遇改善加算金",【ピボット】事業所売上!$A$3,"年月",Q$2)
+GETPIVOTDATA("合計 / 通所介護処遇改善加算金",【ピボット】事業所売上!$A$3,"年月",Q$2),""))</f>
        <v>2691724</v>
      </c>
      <c r="R85" s="3">
        <f>IF(R3="","",IFERROR(GETPIVOTDATA("合計 / 訪問処遇改善加算金",【ピボット】事業所売上!$A$3,"年月",R$2)
+GETPIVOTDATA("合計 / 通所介護処遇改善加算金",【ピボット】事業所売上!$A$3,"年月",R$2),""))</f>
        <v>2600228</v>
      </c>
      <c r="S85" s="3">
        <f>IF(S3="","",IFERROR(GETPIVOTDATA("合計 / 訪問処遇改善加算金",【ピボット】事業所売上!$A$3,"年月",S$2)
+GETPIVOTDATA("合計 / 通所介護処遇改善加算金",【ピボット】事業所売上!$A$3,"年月",S$2),""))</f>
        <v>2494253</v>
      </c>
      <c r="T85" s="3">
        <f>IF(T3="","",IFERROR(GETPIVOTDATA("合計 / 訪問処遇改善加算金",【ピボット】事業所売上!$A$3,"年月",T$2)
+GETPIVOTDATA("合計 / 通所介護処遇改善加算金",【ピボット】事業所売上!$A$3,"年月",T$2),""))</f>
        <v>2562534</v>
      </c>
      <c r="U85" s="3">
        <f>IF(U3="","",IFERROR(GETPIVOTDATA("合計 / 訪問処遇改善加算金",【ピボット】事業所売上!$A$3,"年月",U$2)
+GETPIVOTDATA("合計 / 通所介護処遇改善加算金",【ピボット】事業所売上!$A$3,"年月",U$2),""))</f>
        <v>2512035</v>
      </c>
      <c r="V85" s="3">
        <f>IF(V3="","",IFERROR(GETPIVOTDATA("合計 / 訪問処遇改善加算金",【ピボット】事業所売上!$A$3,"年月",V$2)
+GETPIVOTDATA("合計 / 通所介護処遇改善加算金",【ピボット】事業所売上!$A$3,"年月",V$2),""))</f>
        <v>2531587</v>
      </c>
      <c r="W85" s="3">
        <f>IF(W3="","",IFERROR(GETPIVOTDATA("合計 / 訪問処遇改善加算金",【ピボット】事業所売上!$A$3,"年月",W$2)
+GETPIVOTDATA("合計 / 通所介護処遇改善加算金",【ピボット】事業所売上!$A$3,"年月",W$2),""))</f>
        <v>2639853</v>
      </c>
      <c r="X85" s="3">
        <f>IF(X3="","",IFERROR(GETPIVOTDATA("合計 / 訪問処遇改善加算金",【ピボット】事業所売上!$A$3,"年月",X$2)
+GETPIVOTDATA("合計 / 通所介護処遇改善加算金",【ピボット】事業所売上!$A$3,"年月",X$2),""))</f>
        <v>2863186</v>
      </c>
      <c r="Y85" s="3">
        <f>IF(Y3="","",IFERROR(GETPIVOTDATA("合計 / 訪問処遇改善加算金",【ピボット】事業所売上!$A$3,"年月",Y$2)
+GETPIVOTDATA("合計 / 通所介護処遇改善加算金",【ピボット】事業所売上!$A$3,"年月",Y$2),""))</f>
        <v>2607541</v>
      </c>
      <c r="Z85" s="3">
        <f>IF(Z3="","",IFERROR(GETPIVOTDATA("合計 / 訪問処遇改善加算金",【ピボット】事業所売上!$A$3,"年月",Z$2)
+GETPIVOTDATA("合計 / 通所介護処遇改善加算金",【ピボット】事業所売上!$A$3,"年月",Z$2),""))</f>
        <v>2601128</v>
      </c>
      <c r="AA85" s="3">
        <f>IF(AA3="","",IFERROR(GETPIVOTDATA("合計 / 訪問処遇改善加算金",【ピボット】事業所売上!$A$3,"年月",AA$2)
+GETPIVOTDATA("合計 / 通所介護処遇改善加算金",【ピボット】事業所売上!$A$3,"年月",AA$2),""))</f>
        <v>2476407</v>
      </c>
      <c r="AB85" s="3">
        <f>IF(AB3="","",IFERROR(GETPIVOTDATA("合計 / 訪問処遇改善加算金",【ピボット】事業所売上!$A$3,"年月",AB$2)
+GETPIVOTDATA("合計 / 通所介護処遇改善加算金",【ピボット】事業所売上!$A$3,"年月",AB$2),""))</f>
        <v>2543698</v>
      </c>
      <c r="AC85" s="3">
        <f>IF(AC3="","",IFERROR(GETPIVOTDATA("合計 / 訪問処遇改善加算金",【ピボット】事業所売上!$A$3,"年月",AC$2)
+GETPIVOTDATA("合計 / 通所介護処遇改善加算金",【ピボット】事業所売上!$A$3,"年月",AC$2),""))</f>
        <v>0</v>
      </c>
      <c r="AD85" s="551">
        <f ca="1">SUM(OFFSET(AC85,0,当期月数):AC85)</f>
        <v>18263400</v>
      </c>
      <c r="AE85" s="552">
        <f ca="1">AVERAGE(OFFSET(AC85,0,当期月数):AC85)</f>
        <v>2282925</v>
      </c>
      <c r="AG85" s="4" t="s">
        <v>292</v>
      </c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</row>
    <row r="86" spans="1:44" x14ac:dyDescent="0.15">
      <c r="B86" t="s">
        <v>180</v>
      </c>
      <c r="D86" s="2131"/>
      <c r="E86" s="83" t="s">
        <v>180</v>
      </c>
      <c r="F86" s="14">
        <f>IF(F3="","",IFERROR(GETPIVOTDATA("合計 / 障害処遇改善加算金",【ピボット】事業所売上!$A$3,"年月",F$2)
+GETPIVOTDATA("合計 / 共同生活援助処遇改善加算金",【ピボット】事業所売上!$A$3,"年月",F$2),""))</f>
        <v>968199</v>
      </c>
      <c r="G86" s="14">
        <f>IF(G3="","",IFERROR(GETPIVOTDATA("合計 / 障害処遇改善加算金",【ピボット】事業所売上!$A$3,"年月",G$2)
+GETPIVOTDATA("合計 / 共同生活援助処遇改善加算金",【ピボット】事業所売上!$A$3,"年月",G$2),""))</f>
        <v>1442131</v>
      </c>
      <c r="H86" s="14">
        <f>IF(H3="","",IFERROR(GETPIVOTDATA("合計 / 障害処遇改善加算金",【ピボット】事業所売上!$A$3,"年月",H$2)
+GETPIVOTDATA("合計 / 共同生活援助処遇改善加算金",【ピボット】事業所売上!$A$3,"年月",H$2),""))</f>
        <v>1361445</v>
      </c>
      <c r="I86" s="14">
        <f>IF(I3="","",IFERROR(GETPIVOTDATA("合計 / 障害処遇改善加算金",【ピボット】事業所売上!$A$3,"年月",I$2)
+GETPIVOTDATA("合計 / 共同生活援助処遇改善加算金",【ピボット】事業所売上!$A$3,"年月",I$2),""))</f>
        <v>1241956</v>
      </c>
      <c r="J86" s="14">
        <f>IF(J3="","",IFERROR(GETPIVOTDATA("合計 / 障害処遇改善加算金",【ピボット】事業所売上!$A$3,"年月",J$2)
+GETPIVOTDATA("合計 / 共同生活援助処遇改善加算金",【ピボット】事業所売上!$A$3,"年月",J$2),""))</f>
        <v>1198037</v>
      </c>
      <c r="K86" s="14">
        <f>IF(K3="","",IFERROR(GETPIVOTDATA("合計 / 障害処遇改善加算金",【ピボット】事業所売上!$A$3,"年月",K$2)
+GETPIVOTDATA("合計 / 共同生活援助処遇改善加算金",【ピボット】事業所売上!$A$3,"年月",K$2),""))</f>
        <v>1303328</v>
      </c>
      <c r="L86" s="14">
        <f>IF(L3="","",IFERROR(GETPIVOTDATA("合計 / 障害処遇改善加算金",【ピボット】事業所売上!$A$3,"年月",L$2)
+GETPIVOTDATA("合計 / 共同生活援助処遇改善加算金",【ピボット】事業所売上!$A$3,"年月",L$2),""))</f>
        <v>1216813</v>
      </c>
      <c r="M86" s="14">
        <f>IF(M3="","",IFERROR(GETPIVOTDATA("合計 / 障害処遇改善加算金",【ピボット】事業所売上!$A$3,"年月",M$2)
+GETPIVOTDATA("合計 / 共同生活援助処遇改善加算金",【ピボット】事業所売上!$A$3,"年月",M$2),""))</f>
        <v>1136526</v>
      </c>
      <c r="N86" s="14">
        <f>IF(N3="","",IFERROR(GETPIVOTDATA("合計 / 障害処遇改善加算金",【ピボット】事業所売上!$A$3,"年月",N$2)
+GETPIVOTDATA("合計 / 共同生活援助処遇改善加算金",【ピボット】事業所売上!$A$3,"年月",N$2),""))</f>
        <v>1289840</v>
      </c>
      <c r="O86" s="14">
        <f>IF(O3="","",IFERROR(GETPIVOTDATA("合計 / 障害処遇改善加算金",【ピボット】事業所売上!$A$3,"年月",O$2)
+GETPIVOTDATA("合計 / 共同生活援助処遇改善加算金",【ピボット】事業所売上!$A$3,"年月",O$2),""))</f>
        <v>1111655</v>
      </c>
      <c r="P86" s="14">
        <f>IF(P3="","",IFERROR(GETPIVOTDATA("合計 / 障害処遇改善加算金",【ピボット】事業所売上!$A$3,"年月",P$2)
+GETPIVOTDATA("合計 / 共同生活援助処遇改善加算金",【ピボット】事業所売上!$A$3,"年月",P$2),""))</f>
        <v>1124100</v>
      </c>
      <c r="Q86" s="14">
        <f>IF(Q3="","",IFERROR(GETPIVOTDATA("合計 / 障害処遇改善加算金",【ピボット】事業所売上!$A$3,"年月",Q$2)
+GETPIVOTDATA("合計 / 共同生活援助処遇改善加算金",【ピボット】事業所売上!$A$3,"年月",Q$2),""))</f>
        <v>1138865</v>
      </c>
      <c r="R86" s="14">
        <f>IF(R3="","",IFERROR(GETPIVOTDATA("合計 / 障害処遇改善加算金",【ピボット】事業所売上!$A$3,"年月",R$2)
+GETPIVOTDATA("合計 / 共同生活援助処遇改善加算金",【ピボット】事業所売上!$A$3,"年月",R$2),""))</f>
        <v>1154388</v>
      </c>
      <c r="S86" s="14">
        <f>IF(S3="","",IFERROR(GETPIVOTDATA("合計 / 障害処遇改善加算金",【ピボット】事業所売上!$A$3,"年月",S$2)
+GETPIVOTDATA("合計 / 共同生活援助処遇改善加算金",【ピボット】事業所売上!$A$3,"年月",S$2),""))</f>
        <v>1149137</v>
      </c>
      <c r="T86" s="14">
        <f>IF(T3="","",IFERROR(GETPIVOTDATA("合計 / 障害処遇改善加算金",【ピボット】事業所売上!$A$3,"年月",T$2)
+GETPIVOTDATA("合計 / 共同生活援助処遇改善加算金",【ピボット】事業所売上!$A$3,"年月",T$2),""))</f>
        <v>1284118</v>
      </c>
      <c r="U86" s="14">
        <f>IF(U3="","",IFERROR(GETPIVOTDATA("合計 / 障害処遇改善加算金",【ピボット】事業所売上!$A$3,"年月",U$2)
+GETPIVOTDATA("合計 / 共同生活援助処遇改善加算金",【ピボット】事業所売上!$A$3,"年月",U$2),""))</f>
        <v>1130578</v>
      </c>
      <c r="V86" s="14">
        <f>IF(V3="","",IFERROR(GETPIVOTDATA("合計 / 障害処遇改善加算金",【ピボット】事業所売上!$A$3,"年月",V$2)
+GETPIVOTDATA("合計 / 共同生活援助処遇改善加算金",【ピボット】事業所売上!$A$3,"年月",V$2),""))</f>
        <v>1293478</v>
      </c>
      <c r="W86" s="14">
        <f>IF(W3="","",IFERROR(GETPIVOTDATA("合計 / 障害処遇改善加算金",【ピボット】事業所売上!$A$3,"年月",W$2)
+GETPIVOTDATA("合計 / 共同生活援助処遇改善加算金",【ピボット】事業所売上!$A$3,"年月",W$2),""))</f>
        <v>1462867</v>
      </c>
      <c r="X86" s="14">
        <f>IF(X3="","",IFERROR(GETPIVOTDATA("合計 / 障害処遇改善加算金",【ピボット】事業所売上!$A$3,"年月",X$2)
+GETPIVOTDATA("合計 / 共同生活援助処遇改善加算金",【ピボット】事業所売上!$A$3,"年月",X$2),""))</f>
        <v>1512535</v>
      </c>
      <c r="Y86" s="14">
        <f>IF(Y3="","",IFERROR(GETPIVOTDATA("合計 / 障害処遇改善加算金",【ピボット】事業所売上!$A$3,"年月",Y$2)
+GETPIVOTDATA("合計 / 共同生活援助処遇改善加算金",【ピボット】事業所売上!$A$3,"年月",Y$2),""))</f>
        <v>1622389</v>
      </c>
      <c r="Z86" s="14">
        <f>IF(Z3="","",IFERROR(GETPIVOTDATA("合計 / 障害処遇改善加算金",【ピボット】事業所売上!$A$3,"年月",Z$2)
+GETPIVOTDATA("合計 / 共同生活援助処遇改善加算金",【ピボット】事業所売上!$A$3,"年月",Z$2),""))</f>
        <v>1534040</v>
      </c>
      <c r="AA86" s="14">
        <f>IF(AA3="","",IFERROR(GETPIVOTDATA("合計 / 障害処遇改善加算金",【ピボット】事業所売上!$A$3,"年月",AA$2)
+GETPIVOTDATA("合計 / 共同生活援助処遇改善加算金",【ピボット】事業所売上!$A$3,"年月",AA$2),""))</f>
        <v>1410773</v>
      </c>
      <c r="AB86" s="14">
        <f>IF(AB3="","",IFERROR(GETPIVOTDATA("合計 / 障害処遇改善加算金",【ピボット】事業所売上!$A$3,"年月",AB$2)
+GETPIVOTDATA("合計 / 共同生活援助処遇改善加算金",【ピボット】事業所売上!$A$3,"年月",AB$2),""))</f>
        <v>1473322</v>
      </c>
      <c r="AC86" s="3">
        <f>IF(AC3="","",IFERROR(GETPIVOTDATA("合計 / 障害処遇改善加算金",【ピボット】事業所売上!$A$3,"年月",AC$2)
+GETPIVOTDATA("合計 / 共同生活援助処遇改善加算金",【ピボット】事業所売上!$A$3,"年月",AC$2),""))</f>
        <v>0</v>
      </c>
      <c r="AD86" s="551">
        <f ca="1">SUM(OFFSET(AC86,0,当期月数):AC86)</f>
        <v>10309404</v>
      </c>
      <c r="AE86" s="552">
        <f ca="1">AVERAGE(OFFSET(AC86,0,当期月数):AC86)</f>
        <v>1288675.5</v>
      </c>
      <c r="AG86" s="4" t="s">
        <v>292</v>
      </c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</row>
    <row r="87" spans="1:44" x14ac:dyDescent="0.15">
      <c r="B87" t="s">
        <v>178</v>
      </c>
      <c r="D87" s="2131"/>
      <c r="E87" s="787" t="s">
        <v>178</v>
      </c>
      <c r="F87" s="145">
        <f t="shared" ref="F87:AB87" si="27">IF(F3="","",SUM(F85:F86))</f>
        <v>3444061</v>
      </c>
      <c r="G87" s="145">
        <f t="shared" si="27"/>
        <v>3702956</v>
      </c>
      <c r="H87" s="145">
        <f t="shared" si="27"/>
        <v>3729068</v>
      </c>
      <c r="I87" s="145">
        <f t="shared" si="27"/>
        <v>3589500</v>
      </c>
      <c r="J87" s="145">
        <f t="shared" si="27"/>
        <v>3672629</v>
      </c>
      <c r="K87" s="145">
        <f t="shared" si="27"/>
        <v>3747148</v>
      </c>
      <c r="L87" s="145">
        <f t="shared" si="27"/>
        <v>3573129</v>
      </c>
      <c r="M87" s="145">
        <f t="shared" si="27"/>
        <v>3517168</v>
      </c>
      <c r="N87" s="145">
        <f t="shared" si="27"/>
        <v>3684575</v>
      </c>
      <c r="O87" s="145">
        <f t="shared" si="27"/>
        <v>3341410</v>
      </c>
      <c r="P87" s="145">
        <f t="shared" si="27"/>
        <v>3528367</v>
      </c>
      <c r="Q87" s="145">
        <f t="shared" si="27"/>
        <v>3830589</v>
      </c>
      <c r="R87" s="145">
        <f t="shared" si="27"/>
        <v>3754616</v>
      </c>
      <c r="S87" s="145">
        <f t="shared" si="27"/>
        <v>3643390</v>
      </c>
      <c r="T87" s="145">
        <f t="shared" si="27"/>
        <v>3846652</v>
      </c>
      <c r="U87" s="145">
        <f t="shared" si="27"/>
        <v>3642613</v>
      </c>
      <c r="V87" s="145">
        <f t="shared" si="27"/>
        <v>3825065</v>
      </c>
      <c r="W87" s="145">
        <f t="shared" si="27"/>
        <v>4102720</v>
      </c>
      <c r="X87" s="145">
        <f t="shared" si="27"/>
        <v>4375721</v>
      </c>
      <c r="Y87" s="145">
        <f t="shared" si="27"/>
        <v>4229930</v>
      </c>
      <c r="Z87" s="145">
        <f t="shared" si="27"/>
        <v>4135168</v>
      </c>
      <c r="AA87" s="145">
        <f t="shared" si="27"/>
        <v>3887180</v>
      </c>
      <c r="AB87" s="145">
        <f t="shared" si="27"/>
        <v>4017020</v>
      </c>
      <c r="AC87" s="145">
        <f>IF(AC3="","",SUM(AC85:AC86))</f>
        <v>0</v>
      </c>
      <c r="AD87" s="553">
        <f ca="1">SUM(OFFSET(AC87,0,当期月数):AC87)</f>
        <v>28572804</v>
      </c>
      <c r="AE87" s="134">
        <f ca="1">AVERAGE(OFFSET(AC87,0,当期月数):AC87)</f>
        <v>3571600.5</v>
      </c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</row>
    <row r="88" spans="1:44" x14ac:dyDescent="0.15">
      <c r="B88" t="s">
        <v>151</v>
      </c>
      <c r="D88" s="2131"/>
      <c r="E88" s="83" t="s">
        <v>151</v>
      </c>
      <c r="F88" s="14">
        <f>IF(F3="","",IFERROR(GETPIVOTDATA("合計 / 合計",【ピボット】処遇改善加算!$A$3,"年月",F$2,"支払区分","給与"),0)
+IFERROR(GETPIVOTDATA("合計 / 合計",【ピボット】処遇改善加算!$A$3,"年月",F$2,"支払区分","賞与"),0))</f>
        <v>1171054</v>
      </c>
      <c r="G88" s="14">
        <f>IF(G3="","",IFERROR(GETPIVOTDATA("合計 / 合計",【ピボット】処遇改善加算!$A$3,"年月",G$2,"支払区分","給与"),0)
+IFERROR(GETPIVOTDATA("合計 / 合計",【ピボット】処遇改善加算!$A$3,"年月",G$2,"支払区分","賞与"),0))</f>
        <v>5378375</v>
      </c>
      <c r="H88" s="14">
        <f>IF(H3="","",IFERROR(GETPIVOTDATA("合計 / 合計",【ピボット】処遇改善加算!$A$3,"年月",H$2,"支払区分","給与"),0)
+IFERROR(GETPIVOTDATA("合計 / 合計",【ピボット】処遇改善加算!$A$3,"年月",H$2,"支払区分","賞与"),0))</f>
        <v>2006184</v>
      </c>
      <c r="I88" s="14">
        <f>IF(I3="","",IFERROR(GETPIVOTDATA("合計 / 合計",【ピボット】処遇改善加算!$A$3,"年月",I$2,"支払区分","給与"),0)
+IFERROR(GETPIVOTDATA("合計 / 合計",【ピボット】処遇改善加算!$A$3,"年月",I$2,"支払区分","賞与"),0))</f>
        <v>2454365</v>
      </c>
      <c r="J88" s="14">
        <f>IF(J3="","",IFERROR(GETPIVOTDATA("合計 / 合計",【ピボット】処遇改善加算!$A$3,"年月",J$2,"支払区分","給与"),0)
+IFERROR(GETPIVOTDATA("合計 / 合計",【ピボット】処遇改善加算!$A$3,"年月",J$2,"支払区分","賞与"),0))</f>
        <v>1879571</v>
      </c>
      <c r="K88" s="14">
        <f>IF(K3="","",IFERROR(GETPIVOTDATA("合計 / 合計",【ピボット】処遇改善加算!$A$3,"年月",K$2,"支払区分","給与"),0)
+IFERROR(GETPIVOTDATA("合計 / 合計",【ピボット】処遇改善加算!$A$3,"年月",K$2,"支払区分","賞与"),0))</f>
        <v>1854698</v>
      </c>
      <c r="L88" s="14">
        <f>IF(L3="","",IFERROR(GETPIVOTDATA("合計 / 合計",【ピボット】処遇改善加算!$A$3,"年月",L$2,"支払区分","給与"),0)
+IFERROR(GETPIVOTDATA("合計 / 合計",【ピボット】処遇改善加算!$A$3,"年月",L$2,"支払区分","賞与"),0))</f>
        <v>2016501</v>
      </c>
      <c r="M88" s="14">
        <f>IF(M3="","",IFERROR(GETPIVOTDATA("合計 / 合計",【ピボット】処遇改善加算!$A$3,"年月",M$2,"支払区分","給与"),0)
+IFERROR(GETPIVOTDATA("合計 / 合計",【ピボット】処遇改善加算!$A$3,"年月",M$2,"支払区分","賞与"),0))</f>
        <v>12164610</v>
      </c>
      <c r="N88" s="14">
        <f>IF(N3="","",IFERROR(GETPIVOTDATA("合計 / 合計",【ピボット】処遇改善加算!$A$3,"年月",N$2,"支払区分","給与"),0)
+IFERROR(GETPIVOTDATA("合計 / 合計",【ピボット】処遇改善加算!$A$3,"年月",N$2,"支払区分","賞与"),0))</f>
        <v>2192928</v>
      </c>
      <c r="O88" s="14">
        <f>IF(O3="","",IFERROR(GETPIVOTDATA("合計 / 合計",【ピボット】処遇改善加算!$A$3,"年月",O$2,"支払区分","給与"),0)
+IFERROR(GETPIVOTDATA("合計 / 合計",【ピボット】処遇改善加算!$A$3,"年月",O$2,"支払区分","賞与"),0))</f>
        <v>1604384</v>
      </c>
      <c r="P88" s="14">
        <f>IF(P3="","",IFERROR(GETPIVOTDATA("合計 / 合計",【ピボット】処遇改善加算!$A$3,"年月",P$2,"支払区分","給与"),0)
+IFERROR(GETPIVOTDATA("合計 / 合計",【ピボット】処遇改善加算!$A$3,"年月",P$2,"支払区分","賞与"),0))</f>
        <v>1683521</v>
      </c>
      <c r="Q88" s="14">
        <f>IF(Q3="","",IFERROR(GETPIVOTDATA("合計 / 合計",【ピボット】処遇改善加算!$A$3,"年月",Q$2,"支払区分","給与"),0)
+IFERROR(GETPIVOTDATA("合計 / 合計",【ピボット】処遇改善加算!$A$3,"年月",Q$2,"支払区分","賞与"),0))</f>
        <v>1853874</v>
      </c>
      <c r="R88" s="14">
        <f>IF(R3="","",IFERROR(GETPIVOTDATA("合計 / 合計",【ピボット】処遇改善加算!$A$3,"年月",R$2,"支払区分","給与"),0)
+IFERROR(GETPIVOTDATA("合計 / 合計",【ピボット】処遇改善加算!$A$3,"年月",R$2,"支払区分","賞与"),0))</f>
        <v>1668536</v>
      </c>
      <c r="S88" s="14">
        <f>IF(S3="","",IFERROR(GETPIVOTDATA("合計 / 合計",【ピボット】処遇改善加算!$A$3,"年月",S$2,"支払区分","給与"),0)
+IFERROR(GETPIVOTDATA("合計 / 合計",【ピボット】処遇改善加算!$A$3,"年月",S$2,"支払区分","賞与"),0))</f>
        <v>7958914</v>
      </c>
      <c r="T88" s="14">
        <f>IF(T3="","",IFERROR(GETPIVOTDATA("合計 / 合計",【ピボット】処遇改善加算!$A$3,"年月",T$2,"支払区分","給与"),0)
+IFERROR(GETPIVOTDATA("合計 / 合計",【ピボット】処遇改善加算!$A$3,"年月",T$2,"支払区分","賞与"),0))</f>
        <v>2124641</v>
      </c>
      <c r="U88" s="14">
        <f>IF(U3="","",IFERROR(GETPIVOTDATA("合計 / 合計",【ピボット】処遇改善加算!$A$3,"年月",U$2,"支払区分","給与"),0)
+IFERROR(GETPIVOTDATA("合計 / 合計",【ピボット】処遇改善加算!$A$3,"年月",U$2,"支払区分","賞与"),0))</f>
        <v>3254888</v>
      </c>
      <c r="V88" s="14">
        <f>IF(V3="","",IFERROR(GETPIVOTDATA("合計 / 合計",【ピボット】処遇改善加算!$A$3,"年月",V$2,"支払区分","給与"),0)
+IFERROR(GETPIVOTDATA("合計 / 合計",【ピボット】処遇改善加算!$A$3,"年月",V$2,"支払区分","賞与"),0))</f>
        <v>2096491</v>
      </c>
      <c r="W88" s="14">
        <f>IF(W3="","",IFERROR(GETPIVOTDATA("合計 / 合計",【ピボット】処遇改善加算!$A$3,"年月",W$2,"支払区分","給与"),0)
+IFERROR(GETPIVOTDATA("合計 / 合計",【ピボット】処遇改善加算!$A$3,"年月",W$2,"支払区分","賞与"),0))</f>
        <v>2040887</v>
      </c>
      <c r="X88" s="14">
        <f>IF(X3="","",IFERROR(GETPIVOTDATA("合計 / 合計",【ピボット】処遇改善加算!$A$3,"年月",X$2,"支払区分","給与"),0)
+IFERROR(GETPIVOTDATA("合計 / 合計",【ピボット】処遇改善加算!$A$3,"年月",X$2,"支払区分","賞与"),0))</f>
        <v>2038684</v>
      </c>
      <c r="Y88" s="14">
        <f>IF(Y3="","",IFERROR(GETPIVOTDATA("合計 / 合計",【ピボット】処遇改善加算!$A$3,"年月",Y$2,"支払区分","給与"),0)
+IFERROR(GETPIVOTDATA("合計 / 合計",【ピボット】処遇改善加算!$A$3,"年月",Y$2,"支払区分","賞与"),0))</f>
        <v>12729943</v>
      </c>
      <c r="Z88" s="14">
        <f>IF(Z3="","",IFERROR(GETPIVOTDATA("合計 / 合計",【ピボット】処遇改善加算!$A$3,"年月",Z$2,"支払区分","給与"),0)
+IFERROR(GETPIVOTDATA("合計 / 合計",【ピボット】処遇改善加算!$A$3,"年月",Z$2,"支払区分","賞与"),0))</f>
        <v>2389305</v>
      </c>
      <c r="AA88" s="14">
        <f>IF(AA3="","",IFERROR(GETPIVOTDATA("合計 / 合計",【ピボット】処遇改善加算!$A$3,"年月",AA$2,"支払区分","給与"),0)
+IFERROR(GETPIVOTDATA("合計 / 合計",【ピボット】処遇改善加算!$A$3,"年月",AA$2,"支払区分","賞与"),0))</f>
        <v>2119365</v>
      </c>
      <c r="AB88" s="14">
        <f>IF(AB3="","",IFERROR(GETPIVOTDATA("合計 / 合計",【ピボット】処遇改善加算!$A$3,"年月",AB$2,"支払区分","給与"),0)
+IFERROR(GETPIVOTDATA("合計 / 合計",【ピボット】処遇改善加算!$A$3,"年月",AB$2,"支払区分","賞与"),0))</f>
        <v>2079955</v>
      </c>
      <c r="AC88" s="14">
        <f>IF(AC3="","",IFERROR(GETPIVOTDATA("合計 / 合計",【ピボット】処遇改善加算!$A$3,"年月",AC$2,"支払区分","給与"),0)
+IFERROR(GETPIVOTDATA("合計 / 合計",【ピボット】処遇改善加算!$A$3,"年月",AC$2,"支払区分","賞与"),0))</f>
        <v>1983507</v>
      </c>
      <c r="AD88" s="551">
        <f ca="1">SUM(OFFSET(AC88,0,当期月数):AC88)</f>
        <v>27478137</v>
      </c>
      <c r="AE88" s="552">
        <f ca="1">AVERAGE(OFFSET(AC88,0,当期月数):AC88)</f>
        <v>3434767.125</v>
      </c>
      <c r="AG88" s="4" t="s">
        <v>295</v>
      </c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</row>
    <row r="89" spans="1:44" x14ac:dyDescent="0.15">
      <c r="B89" t="s">
        <v>163</v>
      </c>
      <c r="D89" s="2131"/>
      <c r="E89" s="788" t="s">
        <v>163</v>
      </c>
      <c r="F89" s="150">
        <f t="shared" ref="F89:AB89" si="28">IF(F3="","",F87-F88)</f>
        <v>2273007</v>
      </c>
      <c r="G89" s="150">
        <f t="shared" si="28"/>
        <v>-1675419</v>
      </c>
      <c r="H89" s="150">
        <f t="shared" si="28"/>
        <v>1722884</v>
      </c>
      <c r="I89" s="150">
        <f t="shared" si="28"/>
        <v>1135135</v>
      </c>
      <c r="J89" s="150">
        <f t="shared" si="28"/>
        <v>1793058</v>
      </c>
      <c r="K89" s="150">
        <f t="shared" si="28"/>
        <v>1892450</v>
      </c>
      <c r="L89" s="150">
        <f t="shared" si="28"/>
        <v>1556628</v>
      </c>
      <c r="M89" s="150">
        <f t="shared" si="28"/>
        <v>-8647442</v>
      </c>
      <c r="N89" s="150">
        <f t="shared" si="28"/>
        <v>1491647</v>
      </c>
      <c r="O89" s="150">
        <f t="shared" si="28"/>
        <v>1737026</v>
      </c>
      <c r="P89" s="150">
        <f t="shared" si="28"/>
        <v>1844846</v>
      </c>
      <c r="Q89" s="150">
        <f t="shared" si="28"/>
        <v>1976715</v>
      </c>
      <c r="R89" s="150">
        <f t="shared" si="28"/>
        <v>2086080</v>
      </c>
      <c r="S89" s="150">
        <f t="shared" si="28"/>
        <v>-4315524</v>
      </c>
      <c r="T89" s="150">
        <f t="shared" si="28"/>
        <v>1722011</v>
      </c>
      <c r="U89" s="150">
        <f t="shared" si="28"/>
        <v>387725</v>
      </c>
      <c r="V89" s="150">
        <f t="shared" si="28"/>
        <v>1728574</v>
      </c>
      <c r="W89" s="150">
        <f t="shared" si="28"/>
        <v>2061833</v>
      </c>
      <c r="X89" s="150">
        <f t="shared" si="28"/>
        <v>2337037</v>
      </c>
      <c r="Y89" s="150">
        <f t="shared" si="28"/>
        <v>-8500013</v>
      </c>
      <c r="Z89" s="150">
        <f t="shared" si="28"/>
        <v>1745863</v>
      </c>
      <c r="AA89" s="150">
        <f t="shared" si="28"/>
        <v>1767815</v>
      </c>
      <c r="AB89" s="150">
        <f t="shared" si="28"/>
        <v>1937065</v>
      </c>
      <c r="AC89" s="150">
        <f>IF(AC3="","",AC87-AC88)</f>
        <v>-1983507</v>
      </c>
      <c r="AD89" s="554">
        <f ca="1">SUM(OFFSET(AC89,0,当期月数):AC89)</f>
        <v>1094667</v>
      </c>
      <c r="AE89" s="555">
        <f ca="1">AVERAGE(OFFSET(AC89,0,当期月数):AC89)</f>
        <v>136833.375</v>
      </c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</row>
    <row r="90" spans="1:44" x14ac:dyDescent="0.15">
      <c r="B90" t="s">
        <v>15</v>
      </c>
      <c r="D90" s="2131"/>
      <c r="E90" s="85" t="s">
        <v>15</v>
      </c>
      <c r="F90" s="14">
        <f t="shared" ref="F90:AB90" si="29">IF(F3="","",SUM(F4,F8,F38,F14,F26,F32,F44,F50,F20,F56,F62,F68,F74,F80))</f>
        <v>20446982</v>
      </c>
      <c r="G90" s="14">
        <f t="shared" si="29"/>
        <v>26586710</v>
      </c>
      <c r="H90" s="14">
        <f t="shared" si="29"/>
        <v>24475968</v>
      </c>
      <c r="I90" s="14">
        <f t="shared" si="29"/>
        <v>23752449</v>
      </c>
      <c r="J90" s="14">
        <f t="shared" si="29"/>
        <v>22603261</v>
      </c>
      <c r="K90" s="14">
        <f t="shared" si="29"/>
        <v>23743100</v>
      </c>
      <c r="L90" s="14">
        <f t="shared" si="29"/>
        <v>24272152</v>
      </c>
      <c r="M90" s="14">
        <f t="shared" si="29"/>
        <v>35562689</v>
      </c>
      <c r="N90" s="14">
        <f t="shared" si="29"/>
        <v>28035865</v>
      </c>
      <c r="O90" s="14">
        <f t="shared" si="29"/>
        <v>23265110</v>
      </c>
      <c r="P90" s="14">
        <f t="shared" si="29"/>
        <v>24287584</v>
      </c>
      <c r="Q90" s="14">
        <f t="shared" si="29"/>
        <v>24212389</v>
      </c>
      <c r="R90" s="14">
        <f t="shared" si="29"/>
        <v>23908066</v>
      </c>
      <c r="S90" s="14">
        <f t="shared" si="29"/>
        <v>31697163</v>
      </c>
      <c r="T90" s="14">
        <f t="shared" si="29"/>
        <v>27605792</v>
      </c>
      <c r="U90" s="14">
        <f t="shared" si="29"/>
        <v>26520463</v>
      </c>
      <c r="V90" s="14">
        <f t="shared" si="29"/>
        <v>25578188</v>
      </c>
      <c r="W90" s="14">
        <f t="shared" si="29"/>
        <v>26917769</v>
      </c>
      <c r="X90" s="14">
        <f t="shared" si="29"/>
        <v>28291290</v>
      </c>
      <c r="Y90" s="14">
        <f t="shared" si="29"/>
        <v>43000234</v>
      </c>
      <c r="Z90" s="14">
        <f t="shared" si="29"/>
        <v>27870072</v>
      </c>
      <c r="AA90" s="14">
        <f t="shared" si="29"/>
        <v>26853971</v>
      </c>
      <c r="AB90" s="14">
        <f t="shared" si="29"/>
        <v>26812659</v>
      </c>
      <c r="AC90" s="14">
        <f>IF(AC3="","",SUM(AC4,AC8,AC38,AC14,AC26,AC32,AC44,AC50,AC20,AC56,AC62,AC68,AC74,AC80))</f>
        <v>27716004</v>
      </c>
      <c r="AD90" s="551">
        <f ca="1">SUM(OFFSET(AC90,0,当期月数):AC90)</f>
        <v>233040187</v>
      </c>
      <c r="AE90" s="552">
        <f ca="1">AVERAGE(OFFSET(AC90,0,当期月数):AC90)</f>
        <v>29130023.375</v>
      </c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</row>
    <row r="91" spans="1:44" x14ac:dyDescent="0.15">
      <c r="B91" t="s">
        <v>48</v>
      </c>
      <c r="D91" s="2131"/>
      <c r="E91" s="83" t="s">
        <v>48</v>
      </c>
      <c r="F91" s="114">
        <f t="shared" ref="F91:AB91" si="30">IF(F3="","",F90/F84*100)</f>
        <v>62.523197771900854</v>
      </c>
      <c r="G91" s="114">
        <f t="shared" si="30"/>
        <v>72.019825862737818</v>
      </c>
      <c r="H91" s="114">
        <f t="shared" si="30"/>
        <v>67.837492242303114</v>
      </c>
      <c r="I91" s="114">
        <f t="shared" si="30"/>
        <v>68.060180544039056</v>
      </c>
      <c r="J91" s="114">
        <f t="shared" si="30"/>
        <v>62.93333092030894</v>
      </c>
      <c r="K91" s="114">
        <f t="shared" si="30"/>
        <v>62.984874117395108</v>
      </c>
      <c r="L91" s="114">
        <f t="shared" si="30"/>
        <v>67.949104670052364</v>
      </c>
      <c r="M91" s="114">
        <f t="shared" si="30"/>
        <v>99.579102894844695</v>
      </c>
      <c r="N91" s="114">
        <f t="shared" si="30"/>
        <v>81.24684719940602</v>
      </c>
      <c r="O91" s="114">
        <f t="shared" si="30"/>
        <v>68.998800259931329</v>
      </c>
      <c r="P91" s="114">
        <f t="shared" si="30"/>
        <v>69.325560182127717</v>
      </c>
      <c r="Q91" s="114">
        <f t="shared" si="30"/>
        <v>61.889055094407027</v>
      </c>
      <c r="R91" s="114">
        <f t="shared" si="30"/>
        <v>60.268844486492355</v>
      </c>
      <c r="S91" s="114">
        <f t="shared" si="30"/>
        <v>87.870182113806891</v>
      </c>
      <c r="T91" s="114">
        <f t="shared" si="30"/>
        <v>71.610660029785862</v>
      </c>
      <c r="U91" s="114">
        <f t="shared" si="30"/>
        <v>72.241620247741395</v>
      </c>
      <c r="V91" s="114">
        <f t="shared" si="30"/>
        <v>68.1694338852366</v>
      </c>
      <c r="W91" s="114">
        <f t="shared" si="30"/>
        <v>65.299851593060282</v>
      </c>
      <c r="X91" s="114">
        <f t="shared" si="30"/>
        <v>66.938101026874506</v>
      </c>
      <c r="Y91" s="114">
        <f t="shared" si="30"/>
        <v>106.74128619769698</v>
      </c>
      <c r="Z91" s="114">
        <f t="shared" si="30"/>
        <v>69.706065014756419</v>
      </c>
      <c r="AA91" s="114">
        <f t="shared" si="30"/>
        <v>69.407233567973492</v>
      </c>
      <c r="AB91" s="114">
        <f t="shared" si="30"/>
        <v>66.955898617995985</v>
      </c>
      <c r="AC91" s="114">
        <f>IF(AC3="","",AC90/AC84*100)</f>
        <v>66.203727921922223</v>
      </c>
      <c r="AD91" s="556">
        <f ca="1">IF(ISERROR(AD90/AD84*100),0,AD90/AD84*100)</f>
        <v>72.400751120529975</v>
      </c>
      <c r="AE91" s="557">
        <f ca="1">IF(ISERROR(AE90/AE84*100),0,AE90/AE84*100)</f>
        <v>72.400751120529975</v>
      </c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</row>
    <row r="92" spans="1:44" x14ac:dyDescent="0.15">
      <c r="B92" t="s">
        <v>1233</v>
      </c>
      <c r="D92" s="2131"/>
      <c r="E92" s="88" t="s">
        <v>43</v>
      </c>
      <c r="F92" s="53">
        <f t="shared" ref="F92:AB92" si="31">IF(F3="","",SUM(F5,F10,F40,F16,F28,F34,F46,F52,F22,F58,F64,F70,F76,F82))</f>
        <v>8514882</v>
      </c>
      <c r="G92" s="53">
        <f t="shared" si="31"/>
        <v>7494574</v>
      </c>
      <c r="H92" s="53">
        <f t="shared" si="31"/>
        <v>6558277</v>
      </c>
      <c r="I92" s="53">
        <f t="shared" si="31"/>
        <v>9486285</v>
      </c>
      <c r="J92" s="53">
        <f t="shared" si="31"/>
        <v>7294393</v>
      </c>
      <c r="K92" s="53">
        <f t="shared" si="31"/>
        <v>7306654</v>
      </c>
      <c r="L92" s="53">
        <f t="shared" si="31"/>
        <v>8407030</v>
      </c>
      <c r="M92" s="53">
        <f t="shared" si="31"/>
        <v>8808106</v>
      </c>
      <c r="N92" s="53">
        <f t="shared" si="31"/>
        <v>8643529</v>
      </c>
      <c r="O92" s="53">
        <f t="shared" si="31"/>
        <v>7932590</v>
      </c>
      <c r="P92" s="53">
        <f t="shared" si="31"/>
        <v>10064249</v>
      </c>
      <c r="Q92" s="53">
        <f t="shared" si="31"/>
        <v>10231887</v>
      </c>
      <c r="R92" s="53">
        <f t="shared" si="31"/>
        <v>10215655</v>
      </c>
      <c r="S92" s="53">
        <f t="shared" si="31"/>
        <v>11252967</v>
      </c>
      <c r="T92" s="53">
        <f t="shared" si="31"/>
        <v>10541382</v>
      </c>
      <c r="U92" s="53">
        <f t="shared" si="31"/>
        <v>12030005</v>
      </c>
      <c r="V92" s="53">
        <f t="shared" si="31"/>
        <v>10154606</v>
      </c>
      <c r="W92" s="53">
        <f t="shared" si="31"/>
        <v>14150744</v>
      </c>
      <c r="X92" s="53">
        <f t="shared" si="31"/>
        <v>9727500</v>
      </c>
      <c r="Y92" s="53">
        <f t="shared" si="31"/>
        <v>8588657</v>
      </c>
      <c r="Z92" s="53">
        <f t="shared" si="31"/>
        <v>9173270</v>
      </c>
      <c r="AA92" s="53">
        <f t="shared" si="31"/>
        <v>8999179</v>
      </c>
      <c r="AB92" s="53">
        <f t="shared" si="31"/>
        <v>8656063</v>
      </c>
      <c r="AC92" s="53">
        <f>IF(AC3="","",SUM(AC5,AC10,AC40,AC16,AC28,AC34,AC46,AC52,AC22,AC58,AC64,AC70,AC76,AC82))</f>
        <v>8647779</v>
      </c>
      <c r="AD92" s="558">
        <f ca="1">SUM(OFFSET(AC92,0,当期月数):AC92)</f>
        <v>78097798</v>
      </c>
      <c r="AE92" s="559">
        <f ca="1">AVERAGE(OFFSET(AC92,0,当期月数):AC92)</f>
        <v>9762224.75</v>
      </c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</row>
    <row r="93" spans="1:44" x14ac:dyDescent="0.15">
      <c r="B93" t="s">
        <v>506</v>
      </c>
      <c r="D93" s="2131"/>
      <c r="E93" s="448" t="s">
        <v>509</v>
      </c>
      <c r="F93" s="53">
        <f>IF(F3="","",IFERROR(GETPIVOTDATA("合計 / " &amp; $B93,【ピボット】事業所収支!$A$3,"年月",F$2),""))</f>
        <v>0</v>
      </c>
      <c r="G93" s="53">
        <f>IF(G3="","",IFERROR(GETPIVOTDATA("合計 / " &amp; $B93,【ピボット】事業所収支!$A$3,"年月",G$2),""))</f>
        <v>0</v>
      </c>
      <c r="H93" s="53">
        <f>IF(H3="","",IFERROR(GETPIVOTDATA("合計 / " &amp; $B93,【ピボット】事業所収支!$A$3,"年月",H$2),""))</f>
        <v>0</v>
      </c>
      <c r="I93" s="53">
        <f>IF(I3="","",IFERROR(GETPIVOTDATA("合計 / " &amp; $B93,【ピボット】事業所収支!$A$3,"年月",I$2),""))</f>
        <v>731894</v>
      </c>
      <c r="J93" s="53">
        <f>IF(J3="","",IFERROR(GETPIVOTDATA("合計 / " &amp; $B93,【ピボット】事業所収支!$A$3,"年月",J$2),""))</f>
        <v>163183</v>
      </c>
      <c r="K93" s="53">
        <f>IF(K3="","",IFERROR(GETPIVOTDATA("合計 / " &amp; $B93,【ピボット】事業所収支!$A$3,"年月",K$2),""))</f>
        <v>0</v>
      </c>
      <c r="L93" s="53">
        <f>IF(L3="","",IFERROR(GETPIVOTDATA("合計 / " &amp; $B93,【ピボット】事業所収支!$A$3,"年月",L$2),""))</f>
        <v>0</v>
      </c>
      <c r="M93" s="53">
        <f>IF(M3="","",IFERROR(GETPIVOTDATA("合計 / " &amp; $B93,【ピボット】事業所収支!$A$3,"年月",M$2),""))</f>
        <v>0</v>
      </c>
      <c r="N93" s="53">
        <f>IF(N3="","",IFERROR(GETPIVOTDATA("合計 / " &amp; $B93,【ピボット】事業所収支!$A$3,"年月",N$2),""))</f>
        <v>0</v>
      </c>
      <c r="O93" s="53">
        <f>IF(O3="","",IFERROR(GETPIVOTDATA("合計 / " &amp; $B93,【ピボット】事業所収支!$A$3,"年月",O$2),""))</f>
        <v>0</v>
      </c>
      <c r="P93" s="53">
        <f>IF(P3="","",IFERROR(GETPIVOTDATA("合計 / " &amp; $B93,【ピボット】事業所収支!$A$3,"年月",P$2),""))</f>
        <v>0</v>
      </c>
      <c r="Q93" s="53">
        <f>IF(Q3="","",IFERROR(GETPIVOTDATA("合計 / " &amp; $B93,【ピボット】事業所収支!$A$3,"年月",Q$2),""))</f>
        <v>0</v>
      </c>
      <c r="R93" s="53">
        <f>IF(R3="","",IFERROR(GETPIVOTDATA("合計 / " &amp; $B93,【ピボット】事業所収支!$A$3,"年月",R$2),""))</f>
        <v>0</v>
      </c>
      <c r="S93" s="53">
        <f>IF(S3="","",IFERROR(GETPIVOTDATA("合計 / " &amp; $B93,【ピボット】事業所収支!$A$3,"年月",S$2),""))</f>
        <v>0</v>
      </c>
      <c r="T93" s="53">
        <f>IF(T3="","",IFERROR(GETPIVOTDATA("合計 / " &amp; $B93,【ピボット】事業所収支!$A$3,"年月",T$2),""))</f>
        <v>0</v>
      </c>
      <c r="U93" s="53">
        <f>IF(U3="","",IFERROR(GETPIVOTDATA("合計 / " &amp; $B93,【ピボット】事業所収支!$A$3,"年月",U$2),""))</f>
        <v>732150</v>
      </c>
      <c r="V93" s="53">
        <f>IF(V3="","",IFERROR(GETPIVOTDATA("合計 / " &amp; $B93,【ピボット】事業所収支!$A$3,"年月",V$2),""))</f>
        <v>0</v>
      </c>
      <c r="W93" s="53">
        <f>IF(W3="","",IFERROR(GETPIVOTDATA("合計 / " &amp; $B93,【ピボット】事業所収支!$A$3,"年月",W$2),""))</f>
        <v>0</v>
      </c>
      <c r="X93" s="53">
        <f>IF(X3="","",IFERROR(GETPIVOTDATA("合計 / " &amp; $B93,【ピボット】事業所収支!$A$3,"年月",X$2),""))</f>
        <v>4167</v>
      </c>
      <c r="Y93" s="53">
        <f>IF(Y3="","",IFERROR(GETPIVOTDATA("合計 / " &amp; $B93,【ピボット】事業所収支!$A$3,"年月",Y$2),""))</f>
        <v>2198</v>
      </c>
      <c r="Z93" s="53">
        <f>IF(Z3="","",IFERROR(GETPIVOTDATA("合計 / " &amp; $B93,【ピボット】事業所収支!$A$3,"年月",Z$2),""))</f>
        <v>0</v>
      </c>
      <c r="AA93" s="53">
        <f>IF(AA3="","",IFERROR(GETPIVOTDATA("合計 / " &amp; $B93,【ピボット】事業所収支!$A$3,"年月",AA$2),""))</f>
        <v>-80616</v>
      </c>
      <c r="AB93" s="53">
        <f>IF(AB3="","",IFERROR(GETPIVOTDATA("合計 / " &amp; $B93,【ピボット】事業所収支!$A$3,"年月",AB$2),""))</f>
        <v>0</v>
      </c>
      <c r="AC93" s="53">
        <f>IF(AC3="","",IFERROR(GETPIVOTDATA("合計 / " &amp; $B93,【ピボット】事業所収支!$A$3,"年月",AC$2),""))</f>
        <v>0</v>
      </c>
      <c r="AD93" s="558">
        <f ca="1">SUM(OFFSET(AC93,0,当期月数):AC93)</f>
        <v>-74251</v>
      </c>
      <c r="AE93" s="559">
        <f ca="1">AVERAGE(OFFSET(AC93,0,当期月数):AC93)</f>
        <v>-9281.375</v>
      </c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</row>
    <row r="94" spans="1:44" x14ac:dyDescent="0.15">
      <c r="B94" t="s">
        <v>32</v>
      </c>
      <c r="D94" s="2131"/>
      <c r="E94" s="789" t="s">
        <v>32</v>
      </c>
      <c r="F94" s="790">
        <f t="shared" ref="F94:AB94" si="32">IF(F3="","",F84-SUM(F90,F92)+F93)</f>
        <v>3741169</v>
      </c>
      <c r="G94" s="790">
        <f t="shared" si="32"/>
        <v>2834537</v>
      </c>
      <c r="H94" s="790">
        <f t="shared" si="32"/>
        <v>5046051</v>
      </c>
      <c r="I94" s="790">
        <f t="shared" si="32"/>
        <v>2392346</v>
      </c>
      <c r="J94" s="790">
        <f t="shared" si="32"/>
        <v>6181729</v>
      </c>
      <c r="K94" s="790">
        <f t="shared" si="32"/>
        <v>6646757</v>
      </c>
      <c r="L94" s="790">
        <f t="shared" si="32"/>
        <v>3041895</v>
      </c>
      <c r="M94" s="790">
        <f t="shared" si="32"/>
        <v>-8657791</v>
      </c>
      <c r="N94" s="790">
        <f t="shared" si="32"/>
        <v>-2172375</v>
      </c>
      <c r="O94" s="790">
        <f t="shared" si="32"/>
        <v>2520437</v>
      </c>
      <c r="P94" s="790">
        <f t="shared" si="32"/>
        <v>682264</v>
      </c>
      <c r="Q94" s="790">
        <f t="shared" si="32"/>
        <v>4677971</v>
      </c>
      <c r="R94" s="790">
        <f t="shared" si="32"/>
        <v>5545309</v>
      </c>
      <c r="S94" s="790">
        <f t="shared" si="32"/>
        <v>-6877412</v>
      </c>
      <c r="T94" s="790">
        <f t="shared" si="32"/>
        <v>402662</v>
      </c>
      <c r="U94" s="790">
        <f t="shared" si="32"/>
        <v>-1107537</v>
      </c>
      <c r="V94" s="790">
        <f t="shared" si="32"/>
        <v>1788697</v>
      </c>
      <c r="W94" s="790">
        <f t="shared" si="32"/>
        <v>153279</v>
      </c>
      <c r="X94" s="790">
        <f t="shared" si="32"/>
        <v>4250230</v>
      </c>
      <c r="Y94" s="790">
        <f t="shared" si="32"/>
        <v>-11302155</v>
      </c>
      <c r="Z94" s="790">
        <f t="shared" si="32"/>
        <v>2938935</v>
      </c>
      <c r="AA94" s="790">
        <f t="shared" si="32"/>
        <v>2756684</v>
      </c>
      <c r="AB94" s="790">
        <f t="shared" si="32"/>
        <v>4576531</v>
      </c>
      <c r="AC94" s="790">
        <f>IF(AC3="","",AC84-SUM(AC90,AC92)+AC93)</f>
        <v>5500935</v>
      </c>
      <c r="AD94" s="791">
        <f ca="1">SUM(OFFSET(AC94,0,当期月数):AC94)</f>
        <v>10663136</v>
      </c>
      <c r="AE94" s="792">
        <f ca="1">AVERAGE(OFFSET(AC94,0,当期月数):AC94)</f>
        <v>1332892</v>
      </c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</row>
    <row r="95" spans="1:44" x14ac:dyDescent="0.15">
      <c r="B95" t="s">
        <v>162</v>
      </c>
      <c r="D95" s="2131"/>
      <c r="E95" s="793" t="s">
        <v>162</v>
      </c>
      <c r="F95" s="794">
        <f t="shared" ref="F95:AB95" si="33">IF(F3="","",F94-F89)</f>
        <v>1468162</v>
      </c>
      <c r="G95" s="794">
        <f t="shared" si="33"/>
        <v>4509956</v>
      </c>
      <c r="H95" s="794">
        <f t="shared" si="33"/>
        <v>3323167</v>
      </c>
      <c r="I95" s="794">
        <f t="shared" si="33"/>
        <v>1257211</v>
      </c>
      <c r="J95" s="794">
        <f t="shared" si="33"/>
        <v>4388671</v>
      </c>
      <c r="K95" s="794">
        <f t="shared" si="33"/>
        <v>4754307</v>
      </c>
      <c r="L95" s="794">
        <f t="shared" si="33"/>
        <v>1485267</v>
      </c>
      <c r="M95" s="794">
        <f t="shared" si="33"/>
        <v>-10349</v>
      </c>
      <c r="N95" s="794">
        <f t="shared" si="33"/>
        <v>-3664022</v>
      </c>
      <c r="O95" s="794">
        <f t="shared" si="33"/>
        <v>783411</v>
      </c>
      <c r="P95" s="794">
        <f t="shared" si="33"/>
        <v>-1162582</v>
      </c>
      <c r="Q95" s="794">
        <f t="shared" si="33"/>
        <v>2701256</v>
      </c>
      <c r="R95" s="794">
        <f t="shared" si="33"/>
        <v>3459229</v>
      </c>
      <c r="S95" s="794">
        <f t="shared" si="33"/>
        <v>-2561888</v>
      </c>
      <c r="T95" s="794">
        <f t="shared" si="33"/>
        <v>-1319349</v>
      </c>
      <c r="U95" s="794">
        <f t="shared" si="33"/>
        <v>-1495262</v>
      </c>
      <c r="V95" s="794">
        <f t="shared" si="33"/>
        <v>60123</v>
      </c>
      <c r="W95" s="794">
        <f t="shared" si="33"/>
        <v>-1908554</v>
      </c>
      <c r="X95" s="794">
        <f t="shared" si="33"/>
        <v>1913193</v>
      </c>
      <c r="Y95" s="794">
        <f t="shared" si="33"/>
        <v>-2802142</v>
      </c>
      <c r="Z95" s="794">
        <f t="shared" si="33"/>
        <v>1193072</v>
      </c>
      <c r="AA95" s="794">
        <f t="shared" si="33"/>
        <v>988869</v>
      </c>
      <c r="AB95" s="794">
        <f t="shared" si="33"/>
        <v>2639466</v>
      </c>
      <c r="AC95" s="794">
        <f>IF(AC3="","",AC94-AC89)</f>
        <v>7484442</v>
      </c>
      <c r="AD95" s="795">
        <f ca="1">AD94-IF(AD89&lt;0,0,AD89)</f>
        <v>9568469</v>
      </c>
      <c r="AE95" s="796">
        <f ca="1">AVERAGE(OFFSET(AC95,0,当期月数):AC95)</f>
        <v>1196058.625</v>
      </c>
    </row>
    <row r="96" spans="1:44" ht="14.25" thickBot="1" x14ac:dyDescent="0.2">
      <c r="A96" t="s">
        <v>745</v>
      </c>
      <c r="B96" t="s">
        <v>501</v>
      </c>
      <c r="D96" s="2132"/>
      <c r="E96" s="797" t="s">
        <v>501</v>
      </c>
      <c r="F96" s="798">
        <f>IFERROR(GETPIVOTDATA("合計 / " &amp; $B96,【ピボット】事業所収支!$A$3,"年月",F$2,"事業所",$A96),"")</f>
        <v>0</v>
      </c>
      <c r="G96" s="798">
        <f>IFERROR(GETPIVOTDATA("合計 / " &amp; $B96,【ピボット】事業所収支!$A$3,"年月",G$2,"事業所",$A96),"")</f>
        <v>0</v>
      </c>
      <c r="H96" s="798">
        <f>IFERROR(GETPIVOTDATA("合計 / " &amp; $B96,【ピボット】事業所収支!$A$3,"年月",H$2,"事業所",$A96),"")</f>
        <v>0</v>
      </c>
      <c r="I96" s="798">
        <f>IFERROR(GETPIVOTDATA("合計 / " &amp; $B96,【ピボット】事業所収支!$A$3,"年月",I$2,"事業所",$A96),"")</f>
        <v>0</v>
      </c>
      <c r="J96" s="798">
        <f>IFERROR(GETPIVOTDATA("合計 / " &amp; $B96,【ピボット】事業所収支!$A$3,"年月",J$2,"事業所",$A96),"")</f>
        <v>73432</v>
      </c>
      <c r="K96" s="798">
        <f>IFERROR(GETPIVOTDATA("合計 / " &amp; $B96,【ピボット】事業所収支!$A$3,"年月",K$2,"事業所",$A96),"")</f>
        <v>77730</v>
      </c>
      <c r="L96" s="798">
        <f>IFERROR(GETPIVOTDATA("合計 / " &amp; $B96,【ピボット】事業所収支!$A$3,"年月",L$2,"事業所",$A96),"")</f>
        <v>78013</v>
      </c>
      <c r="M96" s="798">
        <f>IFERROR(GETPIVOTDATA("合計 / " &amp; $B96,【ピボット】事業所収支!$A$3,"年月",M$2,"事業所",$A96),"")</f>
        <v>77744</v>
      </c>
      <c r="N96" s="798">
        <f>IFERROR(GETPIVOTDATA("合計 / " &amp; $B96,【ピボット】事業所収支!$A$3,"年月",N$2,"事業所",$A96),"")</f>
        <v>59544</v>
      </c>
      <c r="O96" s="798">
        <f>IFERROR(GETPIVOTDATA("合計 / " &amp; $B96,【ピボット】事業所収支!$A$3,"年月",O$2,"事業所",$A96),"")</f>
        <v>58427</v>
      </c>
      <c r="P96" s="798">
        <f>IFERROR(GETPIVOTDATA("合計 / " &amp; $B96,【ピボット】事業所収支!$A$3,"年月",P$2,"事業所",$A96),"")</f>
        <v>61905</v>
      </c>
      <c r="Q96" s="798">
        <f>IFERROR(GETPIVOTDATA("合計 / " &amp; $B96,【ピボット】事業所収支!$A$3,"年月",Q$2,"事業所",$A96),"")</f>
        <v>45399</v>
      </c>
      <c r="R96" s="798">
        <f>IFERROR(GETPIVOTDATA("合計 / " &amp; $B96,【ピボット】事業所収支!$A$3,"年月",R$2,"事業所",$A96),"")</f>
        <v>46251</v>
      </c>
      <c r="S96" s="798">
        <f>IFERROR(GETPIVOTDATA("合計 / " &amp; $B96,【ピボット】事業所収支!$A$3,"年月",S$2,"事業所",$A96),"")</f>
        <v>42763</v>
      </c>
      <c r="T96" s="798">
        <f>IFERROR(GETPIVOTDATA("合計 / " &amp; $B96,【ピボット】事業所収支!$A$3,"年月",T$2,"事業所",$A96),"")</f>
        <v>37757</v>
      </c>
      <c r="U96" s="798">
        <f>IFERROR(GETPIVOTDATA("合計 / " &amp; $B96,【ピボット】事業所収支!$A$3,"年月",U$2,"事業所",$A96),"")</f>
        <v>40332</v>
      </c>
      <c r="V96" s="798">
        <f>IFERROR(GETPIVOTDATA("合計 / " &amp; $B96,【ピボット】事業所収支!$A$3,"年月",V$2,"事業所",$A96),"")</f>
        <v>34830</v>
      </c>
      <c r="W96" s="798" t="str">
        <f>IFERROR(GETPIVOTDATA("合計 / " &amp; $B96,【ピボット】事業所収支!$A$3,"年月",W$2,"事業所",$A96),"")</f>
        <v/>
      </c>
      <c r="X96" s="798">
        <f>IFERROR(GETPIVOTDATA("合計 / " &amp; $B96,【ピボット】事業所収支!$A$3,"年月",X$2,"事業所",$A96),"")</f>
        <v>0</v>
      </c>
      <c r="Y96" s="798" t="str">
        <f>IFERROR(GETPIVOTDATA("合計 / " &amp; $B96,【ピボット】事業所収支!$A$3,"年月",Y$2,"事業所",$A96),"")</f>
        <v/>
      </c>
      <c r="Z96" s="798" t="str">
        <f>IFERROR(GETPIVOTDATA("合計 / " &amp; $B96,【ピボット】事業所収支!$A$3,"年月",Z$2,"事業所",$A96),"")</f>
        <v/>
      </c>
      <c r="AA96" s="798" t="str">
        <f>IFERROR(GETPIVOTDATA("合計 / " &amp; $B96,【ピボット】事業所収支!$A$3,"年月",AA$2,"事業所",$A96),"")</f>
        <v/>
      </c>
      <c r="AB96" s="798" t="str">
        <f>IFERROR(GETPIVOTDATA("合計 / " &amp; $B96,【ピボット】事業所収支!$A$3,"年月",AB$2,"事業所",$A96),"")</f>
        <v/>
      </c>
      <c r="AC96" s="798" t="str">
        <f>IFERROR(GETPIVOTDATA("合計 / " &amp; $B96,【ピボット】事業所収支!$A$3,"年月",AC$2,"事業所",$A96),"")</f>
        <v/>
      </c>
      <c r="AD96" s="799">
        <f ca="1">SUM(OFFSET(AC96,0,当期月数):AC96)</f>
        <v>34830</v>
      </c>
      <c r="AE96" s="800">
        <f ca="1">AVERAGE(OFFSET(AC96,0,当期月数):AC96)</f>
        <v>17415</v>
      </c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</row>
  </sheetData>
  <mergeCells count="15">
    <mergeCell ref="D78:D83"/>
    <mergeCell ref="D84:D96"/>
    <mergeCell ref="D60:D65"/>
    <mergeCell ref="D66:D71"/>
    <mergeCell ref="D42:D47"/>
    <mergeCell ref="D48:D53"/>
    <mergeCell ref="D54:D59"/>
    <mergeCell ref="D72:D77"/>
    <mergeCell ref="D3:D5"/>
    <mergeCell ref="D6:D11"/>
    <mergeCell ref="D36:D41"/>
    <mergeCell ref="D12:D17"/>
    <mergeCell ref="D18:D23"/>
    <mergeCell ref="D24:D29"/>
    <mergeCell ref="D30:D35"/>
  </mergeCells>
  <phoneticPr fontId="40"/>
  <pageMargins left="0.31496062992125984" right="0.23622047244094491" top="0.51181102362204722" bottom="0.39370078740157483" header="0.31496062992125984" footer="0.23622047244094491"/>
  <pageSetup paperSize="8" scale="68" orientation="landscape" r:id="rId1"/>
  <headerFooter>
    <oddHeader>&amp;L&amp;A&amp;R&amp;D 印刷</oddHeader>
    <oddFooter>&amp;L介護サービス友乃家&amp;C&amp;P／&amp;N&amp;R&amp;F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G100"/>
  <sheetViews>
    <sheetView zoomScale="70" zoomScaleNormal="70" workbookViewId="0">
      <pane xSplit="5" ySplit="2" topLeftCell="F72" activePane="bottomRight" state="frozen"/>
      <selection pane="topRight" activeCell="F1" sqref="F1"/>
      <selection pane="bottomLeft" activeCell="A3" sqref="A3"/>
      <selection pane="bottomRight" activeCell="X76" sqref="X76"/>
    </sheetView>
  </sheetViews>
  <sheetFormatPr defaultRowHeight="13.5" x14ac:dyDescent="0.15"/>
  <cols>
    <col min="1" max="2" width="9" hidden="1" customWidth="1"/>
    <col min="3" max="3" width="3.375" customWidth="1"/>
    <col min="4" max="4" width="15" customWidth="1"/>
    <col min="5" max="5" width="16.125" customWidth="1"/>
    <col min="6" max="11" width="13.625" hidden="1" customWidth="1"/>
    <col min="12" max="29" width="13.625" customWidth="1"/>
    <col min="30" max="31" width="14.375" customWidth="1"/>
    <col min="33" max="33" width="10.375" bestFit="1" customWidth="1"/>
  </cols>
  <sheetData>
    <row r="1" spans="1:33" ht="26.45" customHeight="1" thickBot="1" x14ac:dyDescent="0.2">
      <c r="D1" s="121" t="s">
        <v>33</v>
      </c>
      <c r="E1" s="122"/>
      <c r="F1" s="692">
        <f>推移!D2</f>
        <v>42856</v>
      </c>
      <c r="G1" s="692">
        <f>推移!E2</f>
        <v>42887</v>
      </c>
      <c r="H1" s="692">
        <f>推移!F2</f>
        <v>42917</v>
      </c>
      <c r="I1" s="692">
        <f>推移!G2</f>
        <v>42948</v>
      </c>
      <c r="J1" s="692">
        <f>推移!H2</f>
        <v>42979</v>
      </c>
      <c r="K1" s="692">
        <f>推移!I2</f>
        <v>43009</v>
      </c>
      <c r="L1" s="692">
        <f>推移!J2</f>
        <v>43040</v>
      </c>
      <c r="M1" s="692">
        <f>推移!K2</f>
        <v>43070</v>
      </c>
      <c r="N1" s="692">
        <f>推移!L2</f>
        <v>43101</v>
      </c>
      <c r="O1" s="692">
        <f>推移!M2</f>
        <v>43132</v>
      </c>
      <c r="P1" s="692">
        <f>推移!N2</f>
        <v>43160</v>
      </c>
      <c r="Q1" s="692">
        <f>推移!O2</f>
        <v>43191</v>
      </c>
      <c r="R1" s="692">
        <f>推移!P2</f>
        <v>43221</v>
      </c>
      <c r="S1" s="692">
        <f>推移!Q2</f>
        <v>43252</v>
      </c>
      <c r="T1" s="692">
        <f>推移!R2</f>
        <v>43282</v>
      </c>
      <c r="U1" s="692">
        <f>推移!S2</f>
        <v>43313</v>
      </c>
      <c r="V1" s="692">
        <f>推移!T2</f>
        <v>43344</v>
      </c>
      <c r="W1" s="692">
        <f>推移!U2</f>
        <v>43374</v>
      </c>
      <c r="X1" s="692">
        <f>推移!V2</f>
        <v>43405</v>
      </c>
      <c r="Y1" s="692">
        <f>推移!W2</f>
        <v>43435</v>
      </c>
      <c r="Z1" s="692">
        <f>推移!X2</f>
        <v>43466</v>
      </c>
      <c r="AA1" s="692">
        <f>推移!Y2</f>
        <v>43497</v>
      </c>
      <c r="AB1" s="692">
        <f>推移!Z2</f>
        <v>43525</v>
      </c>
      <c r="AC1" s="692">
        <f>推移!AA2</f>
        <v>43556</v>
      </c>
      <c r="AD1" s="693">
        <f>推移!$AB$2</f>
        <v>43344</v>
      </c>
      <c r="AE1" s="694">
        <f>推移!$AB$2</f>
        <v>43344</v>
      </c>
    </row>
    <row r="2" spans="1:33" ht="26.45" hidden="1" customHeight="1" thickBot="1" x14ac:dyDescent="0.2">
      <c r="A2" t="s">
        <v>867</v>
      </c>
      <c r="B2" t="s">
        <v>868</v>
      </c>
      <c r="D2" s="121" t="s">
        <v>490</v>
      </c>
      <c r="E2" s="91" t="s">
        <v>26</v>
      </c>
      <c r="F2" s="92">
        <f>IFERROR(GETPIVOTDATA("合計 / " &amp; $B2,【ピボット】事業所収支!$A$3,"年月",F$1,"事業所",$A2),"")</f>
        <v>0</v>
      </c>
      <c r="G2" s="452">
        <f>IFERROR(GETPIVOTDATA("合計 / " &amp; $B2,【ピボット】事業所収支!$A$3,"年月",G$1,"事業所",$A2),"")</f>
        <v>0</v>
      </c>
      <c r="H2" s="452">
        <f>IFERROR(GETPIVOTDATA("合計 / " &amp; $B2,【ピボット】事業所収支!$A$3,"年月",H$1,"事業所",$A2),"")</f>
        <v>0</v>
      </c>
      <c r="I2" s="452">
        <f>IFERROR(GETPIVOTDATA("合計 / " &amp; $B2,【ピボット】事業所収支!$A$3,"年月",I$1,"事業所",$A2),"")</f>
        <v>0</v>
      </c>
      <c r="J2" s="452">
        <f>IFERROR(GETPIVOTDATA("合計 / " &amp; $B2,【ピボット】事業所収支!$A$3,"年月",J$1,"事業所",$A2),"")</f>
        <v>0</v>
      </c>
      <c r="K2" s="452">
        <f>IFERROR(GETPIVOTDATA("合計 / " &amp; $B2,【ピボット】事業所収支!$A$3,"年月",K$1,"事業所",$A2),"")</f>
        <v>140400</v>
      </c>
      <c r="L2" s="452">
        <f>IFERROR(GETPIVOTDATA("合計 / " &amp; $B2,【ピボット】事業所収支!$A$3,"年月",L$1,"事業所",$A2),"")</f>
        <v>0</v>
      </c>
      <c r="M2" s="452">
        <f>IFERROR(GETPIVOTDATA("合計 / " &amp; $B2,【ピボット】事業所収支!$A$3,"年月",M$1,"事業所",$A2),"")</f>
        <v>0</v>
      </c>
      <c r="N2" s="452">
        <f>IFERROR(GETPIVOTDATA("合計 / " &amp; $B2,【ピボット】事業所収支!$A$3,"年月",N$1,"事業所",$A2),"")</f>
        <v>0</v>
      </c>
      <c r="O2" s="452">
        <f>IFERROR(GETPIVOTDATA("合計 / " &amp; $B2,【ピボット】事業所収支!$A$3,"年月",O$1,"事業所",$A2),"")</f>
        <v>0</v>
      </c>
      <c r="P2" s="452">
        <f>IFERROR(GETPIVOTDATA("合計 / " &amp; $B2,【ピボット】事業所収支!$A$3,"年月",P$1,"事業所",$A2),"")</f>
        <v>0</v>
      </c>
      <c r="Q2" s="452">
        <f>IFERROR(GETPIVOTDATA("合計 / " &amp; $B2,【ピボット】事業所収支!$A$3,"年月",Q$1,"事業所",$A2),"")</f>
        <v>0</v>
      </c>
      <c r="R2" s="452">
        <f>IFERROR(GETPIVOTDATA("合計 / " &amp; $B2,【ピボット】事業所収支!$A$3,"年月",R$1,"事業所",$A2),"")</f>
        <v>0</v>
      </c>
      <c r="S2" s="452">
        <f>IFERROR(GETPIVOTDATA("合計 / " &amp; $B2,【ピボット】事業所収支!$A$3,"年月",S$1,"事業所",$A2),"")</f>
        <v>0</v>
      </c>
      <c r="T2" s="452">
        <f>IFERROR(GETPIVOTDATA("合計 / " &amp; $B2,【ピボット】事業所収支!$A$3,"年月",T$1,"事業所",$A2),"")</f>
        <v>0</v>
      </c>
      <c r="U2" s="452">
        <f>IFERROR(GETPIVOTDATA("合計 / " &amp; $B2,【ピボット】事業所収支!$A$3,"年月",U$1,"事業所",$A2),"")</f>
        <v>0</v>
      </c>
      <c r="V2" s="452">
        <f>IFERROR(GETPIVOTDATA("合計 / " &amp; $B2,【ピボット】事業所収支!$A$3,"年月",V$1,"事業所",$A2),"")</f>
        <v>0</v>
      </c>
      <c r="W2" s="452">
        <f>IFERROR(GETPIVOTDATA("合計 / " &amp; $B2,【ピボット】事業所収支!$A$3,"年月",W$1,"事業所",$A2),"")</f>
        <v>0</v>
      </c>
      <c r="X2" s="452">
        <f>IFERROR(GETPIVOTDATA("合計 / " &amp; $B2,【ピボット】事業所収支!$A$3,"年月",X$1,"事業所",$A2),"")</f>
        <v>0</v>
      </c>
      <c r="Y2" s="452">
        <f>IFERROR(GETPIVOTDATA("合計 / " &amp; $B2,【ピボット】事業所収支!$A$3,"年月",Y$1,"事業所",$A2),"")</f>
        <v>0</v>
      </c>
      <c r="Z2" s="452">
        <f>IFERROR(GETPIVOTDATA("合計 / " &amp; $B2,【ピボット】事業所収支!$A$3,"年月",Z$1,"事業所",$A2),"")</f>
        <v>0</v>
      </c>
      <c r="AA2" s="452">
        <f>IFERROR(GETPIVOTDATA("合計 / " &amp; $B2,【ピボット】事業所収支!$A$3,"年月",AA$1,"事業所",$A2),"")</f>
        <v>0</v>
      </c>
      <c r="AB2" s="452">
        <f>IFERROR(GETPIVOTDATA("合計 / " &amp; $B2,【ピボット】事業所収支!$A$3,"年月",AB$1,"事業所",$A2),"")</f>
        <v>142560</v>
      </c>
      <c r="AC2" s="452">
        <f>IFERROR(GETPIVOTDATA("合計 / " &amp; $B2,【ピボット】事業所収支!$A$3,"年月",AC$1,"事業所",$A2),"")</f>
        <v>0</v>
      </c>
      <c r="AD2" s="453">
        <f>SUM(AC2)</f>
        <v>0</v>
      </c>
      <c r="AE2" s="454">
        <f>AVERAGE(AC2:AC2)</f>
        <v>0</v>
      </c>
      <c r="AG2" t="s">
        <v>296</v>
      </c>
    </row>
    <row r="3" spans="1:33" ht="26.25" customHeight="1" x14ac:dyDescent="0.15">
      <c r="A3" t="s">
        <v>767</v>
      </c>
      <c r="B3" t="s">
        <v>26</v>
      </c>
      <c r="D3" s="2143" t="s">
        <v>34</v>
      </c>
      <c r="E3" s="91" t="s">
        <v>26</v>
      </c>
      <c r="F3" s="95">
        <f>IFERROR(GETPIVOTDATA("合計 / " &amp; $B3,【ピボット】事業所収支!$A$3,"年月",F$1,"事業所",$A3),"")</f>
        <v>10081728</v>
      </c>
      <c r="G3" s="461">
        <f>IFERROR(GETPIVOTDATA("合計 / " &amp; $B3,【ピボット】事業所収支!$A$3,"年月",G$1,"事業所",$A3),"")</f>
        <v>9528673</v>
      </c>
      <c r="H3" s="461">
        <f>IFERROR(GETPIVOTDATA("合計 / " &amp; $B3,【ピボット】事業所収支!$A$3,"年月",H$1,"事業所",$A3),"")</f>
        <v>10338554</v>
      </c>
      <c r="I3" s="461">
        <f>IFERROR(GETPIVOTDATA("合計 / " &amp; $B3,【ピボット】事業所収支!$A$3,"年月",I$1,"事業所",$A3),"")</f>
        <v>10004240</v>
      </c>
      <c r="J3" s="461">
        <f>IFERROR(GETPIVOTDATA("合計 / " &amp; $B3,【ピボット】事業所収支!$A$3,"年月",J$1,"事業所",$A3),"")</f>
        <v>10291903</v>
      </c>
      <c r="K3" s="461">
        <f>IFERROR(GETPIVOTDATA("合計 / " &amp; $B3,【ピボット】事業所収支!$A$3,"年月",K$1,"事業所",$A3),"")</f>
        <v>10634528</v>
      </c>
      <c r="L3" s="461">
        <f>IFERROR(GETPIVOTDATA("合計 / " &amp; $B3,【ピボット】事業所収支!$A$3,"年月",L$1,"事業所",$A3),"")</f>
        <v>9718481</v>
      </c>
      <c r="M3" s="461">
        <f>IFERROR(GETPIVOTDATA("合計 / " &amp; $B3,【ピボット】事業所収支!$A$3,"年月",M$1,"事業所",$A3),"")</f>
        <v>10007332</v>
      </c>
      <c r="N3" s="461">
        <f>IFERROR(GETPIVOTDATA("合計 / " &amp; $B3,【ピボット】事業所収支!$A$3,"年月",N$1,"事業所",$A3),"")</f>
        <v>10050857</v>
      </c>
      <c r="O3" s="461">
        <f>IFERROR(GETPIVOTDATA("合計 / " &amp; $B3,【ピボット】事業所収支!$A$3,"年月",O$1,"事業所",$A3),"")</f>
        <v>9647827</v>
      </c>
      <c r="P3" s="461">
        <f>IFERROR(GETPIVOTDATA("合計 / " &amp; $B3,【ピボット】事業所収支!$A$3,"年月",P$1,"事業所",$A3),"")</f>
        <v>10237581</v>
      </c>
      <c r="Q3" s="461">
        <f>IFERROR(GETPIVOTDATA("合計 / " &amp; $B3,【ピボット】事業所収支!$A$3,"年月",Q$1,"事業所",$A3),"")</f>
        <v>10301194</v>
      </c>
      <c r="R3" s="461">
        <f>IFERROR(GETPIVOTDATA("合計 / " &amp; $B3,【ピボット】事業所収支!$A$3,"年月",R$1,"事業所",$A3),"")</f>
        <v>10772827</v>
      </c>
      <c r="S3" s="461">
        <f>IFERROR(GETPIVOTDATA("合計 / " &amp; $B3,【ピボット】事業所収支!$A$3,"年月",S$1,"事業所",$A3),"")</f>
        <v>9835106</v>
      </c>
      <c r="T3" s="461">
        <f>IFERROR(GETPIVOTDATA("合計 / " &amp; $B3,【ピボット】事業所収支!$A$3,"年月",T$1,"事業所",$A3),"")</f>
        <v>11042771</v>
      </c>
      <c r="U3" s="461">
        <f>IFERROR(GETPIVOTDATA("合計 / " &amp; $B3,【ピボット】事業所収支!$A$3,"年月",U$1,"事業所",$A3),"")</f>
        <v>9842755</v>
      </c>
      <c r="V3" s="461">
        <f>IFERROR(GETPIVOTDATA("合計 / " &amp; $B3,【ピボット】事業所収支!$A$3,"年月",V$1,"事業所",$A3),"")</f>
        <v>11239510</v>
      </c>
      <c r="W3" s="461">
        <f>IFERROR(GETPIVOTDATA("合計 / " &amp; $B3,【ピボット】事業所収支!$A$3,"年月",W$1,"事業所",$A3),"")</f>
        <v>12511332</v>
      </c>
      <c r="X3" s="461">
        <f>IFERROR(GETPIVOTDATA("合計 / " &amp; $B3,【ピボット】事業所収支!$A$3,"年月",X$1,"事業所",$A3),"")</f>
        <v>12778671</v>
      </c>
      <c r="Y3" s="461">
        <f>IFERROR(GETPIVOTDATA("合計 / " &amp; $B3,【ピボット】事業所収支!$A$3,"年月",Y$1,"事業所",$A3),"")</f>
        <v>12163091</v>
      </c>
      <c r="Z3" s="461">
        <f>IFERROR(GETPIVOTDATA("合計 / " &amp; $B3,【ピボット】事業所収支!$A$3,"年月",Z$1,"事業所",$A3),"")</f>
        <v>12668826</v>
      </c>
      <c r="AA3" s="461">
        <f>IFERROR(GETPIVOTDATA("合計 / " &amp; $B3,【ピボット】事業所収支!$A$3,"年月",AA$1,"事業所",$A3),"")</f>
        <v>11458207</v>
      </c>
      <c r="AB3" s="461">
        <f>IFERROR(GETPIVOTDATA("合計 / " &amp; $B3,【ピボット】事業所収支!$A$3,"年月",AB$1,"事業所",$A3),"")</f>
        <v>12821396</v>
      </c>
      <c r="AC3" s="461">
        <f>IFERROR(GETPIVOTDATA("合計 / " &amp; $B3,【ピボット】事業所収支!$A$3,"年月",AC$1,"事業所",$A3),"")</f>
        <v>12901588</v>
      </c>
      <c r="AD3" s="462">
        <f ca="1">SUM(OFFSET(AC3,0,当期月数):AC3)</f>
        <v>98542621</v>
      </c>
      <c r="AE3" s="463">
        <f ca="1">AVERAGE(OFFSET(AC3,0,当期月数):AC3)</f>
        <v>12317827.625</v>
      </c>
      <c r="AG3" t="s">
        <v>296</v>
      </c>
    </row>
    <row r="4" spans="1:33" ht="26.45" customHeight="1" x14ac:dyDescent="0.15">
      <c r="A4" t="s">
        <v>767</v>
      </c>
      <c r="B4" t="s">
        <v>15</v>
      </c>
      <c r="D4" s="2144"/>
      <c r="E4" s="93" t="s">
        <v>15</v>
      </c>
      <c r="F4" s="94">
        <f>IFERROR(GETPIVOTDATA("合計 / " &amp; $B4,【ピボット】事業所収支!$A$3,"年月",F$1,"事業所",$A4),"")</f>
        <v>5414278</v>
      </c>
      <c r="G4" s="458">
        <f>IFERROR(GETPIVOTDATA("合計 / " &amp; $B4,【ピボット】事業所収支!$A$3,"年月",G$1,"事業所",$A4),"")</f>
        <v>8389900</v>
      </c>
      <c r="H4" s="458">
        <f>IFERROR(GETPIVOTDATA("合計 / " &amp; $B4,【ピボット】事業所収支!$A$3,"年月",H$1,"事業所",$A4),"")</f>
        <v>5963451</v>
      </c>
      <c r="I4" s="458">
        <f>IFERROR(GETPIVOTDATA("合計 / " &amp; $B4,【ピボット】事業所収支!$A$3,"年月",I$1,"事業所",$A4),"")</f>
        <v>5945104</v>
      </c>
      <c r="J4" s="458">
        <f>IFERROR(GETPIVOTDATA("合計 / " &amp; $B4,【ピボット】事業所収支!$A$3,"年月",J$1,"事業所",$A4),"")</f>
        <v>5686858</v>
      </c>
      <c r="K4" s="458">
        <f>IFERROR(GETPIVOTDATA("合計 / " &amp; $B4,【ピボット】事業所収支!$A$3,"年月",K$1,"事業所",$A4),"")</f>
        <v>5926745</v>
      </c>
      <c r="L4" s="458">
        <f>IFERROR(GETPIVOTDATA("合計 / " &amp; $B4,【ピボット】事業所収支!$A$3,"年月",L$1,"事業所",$A4),"")</f>
        <v>5874921</v>
      </c>
      <c r="M4" s="458">
        <f>IFERROR(GETPIVOTDATA("合計 / " &amp; $B4,【ピボット】事業所収支!$A$3,"年月",M$1,"事業所",$A4),"")</f>
        <v>9246413.5809065793</v>
      </c>
      <c r="N4" s="458">
        <f>IFERROR(GETPIVOTDATA("合計 / " &amp; $B4,【ピボット】事業所収支!$A$3,"年月",N$1,"事業所",$A4),"")</f>
        <v>6117998</v>
      </c>
      <c r="O4" s="458">
        <f>IFERROR(GETPIVOTDATA("合計 / " &amp; $B4,【ピボット】事業所収支!$A$3,"年月",O$1,"事業所",$A4),"")</f>
        <v>5099734</v>
      </c>
      <c r="P4" s="458">
        <f>IFERROR(GETPIVOTDATA("合計 / " &amp; $B4,【ピボット】事業所収支!$A$3,"年月",P$1,"事業所",$A4),"")</f>
        <v>5529722</v>
      </c>
      <c r="Q4" s="458">
        <f>IFERROR(GETPIVOTDATA("合計 / " &amp; $B4,【ピボット】事業所収支!$A$3,"年月",Q$1,"事業所",$A4),"")</f>
        <v>5610054</v>
      </c>
      <c r="R4" s="458">
        <f>IFERROR(GETPIVOTDATA("合計 / " &amp; $B4,【ピボット】事業所収支!$A$3,"年月",R$1,"事業所",$A4),"")</f>
        <v>5597651</v>
      </c>
      <c r="S4" s="458">
        <f>IFERROR(GETPIVOTDATA("合計 / " &amp; $B4,【ピボット】事業所収支!$A$3,"年月",S$1,"事業所",$A4),"")</f>
        <v>8343946</v>
      </c>
      <c r="T4" s="458">
        <f>IFERROR(GETPIVOTDATA("合計 / " &amp; $B4,【ピボット】事業所収支!$A$3,"年月",T$1,"事業所",$A4),"")</f>
        <v>6323797</v>
      </c>
      <c r="U4" s="458">
        <f>IFERROR(GETPIVOTDATA("合計 / " &amp; $B4,【ピボット】事業所収支!$A$3,"年月",U$1,"事業所",$A4),"")</f>
        <v>6012816</v>
      </c>
      <c r="V4" s="458">
        <f>IFERROR(GETPIVOTDATA("合計 / " &amp; $B4,【ピボット】事業所収支!$A$3,"年月",V$1,"事業所",$A4),"")</f>
        <v>5728498</v>
      </c>
      <c r="W4" s="458">
        <f>IFERROR(GETPIVOTDATA("合計 / " &amp; $B4,【ピボット】事業所収支!$A$3,"年月",W$1,"事業所",$A4),"")</f>
        <v>6850522</v>
      </c>
      <c r="X4" s="458">
        <f>IFERROR(GETPIVOTDATA("合計 / " &amp; $B4,【ピボット】事業所収支!$A$3,"年月",X$1,"事業所",$A4),"")</f>
        <v>6898249</v>
      </c>
      <c r="Y4" s="458">
        <f>IFERROR(GETPIVOTDATA("合計 / " &amp; $B4,【ピボット】事業所収支!$A$3,"年月",Y$1,"事業所",$A4),"")</f>
        <v>10396961</v>
      </c>
      <c r="Z4" s="458">
        <f>IFERROR(GETPIVOTDATA("合計 / " &amp; $B4,【ピボット】事業所収支!$A$3,"年月",Z$1,"事業所",$A4),"")</f>
        <v>7106379</v>
      </c>
      <c r="AA4" s="458">
        <f>IFERROR(GETPIVOTDATA("合計 / " &amp; $B4,【ピボット】事業所収支!$A$3,"年月",AA$1,"事業所",$A4),"")</f>
        <v>6977171</v>
      </c>
      <c r="AB4" s="458">
        <f>IFERROR(GETPIVOTDATA("合計 / " &amp; $B4,【ピボット】事業所収支!$A$3,"年月",AB$1,"事業所",$A4),"")</f>
        <v>7175183</v>
      </c>
      <c r="AC4" s="458">
        <f>IFERROR(GETPIVOTDATA("合計 / " &amp; $B4,【ピボット】事業所収支!$A$3,"年月",AC$1,"事業所",$A4),"")</f>
        <v>6591671</v>
      </c>
      <c r="AD4" s="459">
        <f ca="1">SUM(OFFSET(AC4,0,当期月数):AC4)</f>
        <v>57724634</v>
      </c>
      <c r="AE4" s="460">
        <f ca="1">AVERAGE(OFFSET(AC4,0,当期月数):AC4)</f>
        <v>7215579.25</v>
      </c>
      <c r="AG4" t="s">
        <v>296</v>
      </c>
    </row>
    <row r="5" spans="1:33" ht="26.45" customHeight="1" x14ac:dyDescent="0.15">
      <c r="A5" t="s">
        <v>767</v>
      </c>
      <c r="B5" t="s">
        <v>48</v>
      </c>
      <c r="D5" s="2144"/>
      <c r="E5" s="93" t="s">
        <v>48</v>
      </c>
      <c r="F5" s="96">
        <f>IFERROR(F4/F3,"")</f>
        <v>0.53703869019279238</v>
      </c>
      <c r="G5" s="464">
        <f t="shared" ref="G5:AC5" si="0">IFERROR(G4/G3,"")</f>
        <v>0.88048986464327195</v>
      </c>
      <c r="H5" s="464">
        <f t="shared" si="0"/>
        <v>0.57681673858839444</v>
      </c>
      <c r="I5" s="464">
        <f t="shared" si="0"/>
        <v>0.59425843442380433</v>
      </c>
      <c r="J5" s="464">
        <f t="shared" si="0"/>
        <v>0.55255650971448134</v>
      </c>
      <c r="K5" s="464">
        <f t="shared" si="0"/>
        <v>0.55731152336991352</v>
      </c>
      <c r="L5" s="464">
        <f t="shared" si="0"/>
        <v>0.60451021100931313</v>
      </c>
      <c r="M5" s="464">
        <f t="shared" si="0"/>
        <v>0.92396390775349302</v>
      </c>
      <c r="N5" s="464">
        <f t="shared" si="0"/>
        <v>0.60870411349002373</v>
      </c>
      <c r="O5" s="464">
        <f t="shared" si="0"/>
        <v>0.52858887291407697</v>
      </c>
      <c r="P5" s="464">
        <f t="shared" si="0"/>
        <v>0.54013951147248551</v>
      </c>
      <c r="Q5" s="464">
        <f t="shared" si="0"/>
        <v>0.54460230532499432</v>
      </c>
      <c r="R5" s="464">
        <f t="shared" si="0"/>
        <v>0.51960836278165423</v>
      </c>
      <c r="S5" s="464">
        <f t="shared" si="0"/>
        <v>0.8483839421761189</v>
      </c>
      <c r="T5" s="464">
        <f t="shared" si="0"/>
        <v>0.57266396269559516</v>
      </c>
      <c r="U5" s="464">
        <f t="shared" si="0"/>
        <v>0.61088750050163798</v>
      </c>
      <c r="V5" s="464">
        <f t="shared" si="0"/>
        <v>0.50967506590589806</v>
      </c>
      <c r="W5" s="464">
        <f t="shared" si="0"/>
        <v>0.54754537726278862</v>
      </c>
      <c r="X5" s="464">
        <f t="shared" si="0"/>
        <v>0.53982522908681196</v>
      </c>
      <c r="Y5" s="464">
        <f t="shared" si="0"/>
        <v>0.85479595606084013</v>
      </c>
      <c r="Z5" s="464">
        <f t="shared" si="0"/>
        <v>0.56093429651650439</v>
      </c>
      <c r="AA5" s="464">
        <f t="shared" si="0"/>
        <v>0.60892345547606186</v>
      </c>
      <c r="AB5" s="464">
        <f t="shared" si="0"/>
        <v>0.55962572250322817</v>
      </c>
      <c r="AC5" s="464">
        <f t="shared" si="0"/>
        <v>0.5109193534935389</v>
      </c>
      <c r="AD5" s="465">
        <f ca="1">AD4/AD3</f>
        <v>0.58578342461583199</v>
      </c>
      <c r="AE5" s="466">
        <f ca="1">AE4/AE3</f>
        <v>0.58578342461583199</v>
      </c>
    </row>
    <row r="6" spans="1:33" ht="26.45" customHeight="1" x14ac:dyDescent="0.15">
      <c r="A6" t="s">
        <v>767</v>
      </c>
      <c r="B6" t="s">
        <v>1230</v>
      </c>
      <c r="D6" s="2144"/>
      <c r="E6" s="93" t="s">
        <v>43</v>
      </c>
      <c r="F6" s="94">
        <f>IFERROR(GETPIVOTDATA("合計 / " &amp; $B6,【ピボット】事業所収支!$A$3,"年月",F$1,"事業所",$A6),"")</f>
        <v>691271</v>
      </c>
      <c r="G6" s="458">
        <f>IFERROR(GETPIVOTDATA("合計 / " &amp; $B6,【ピボット】事業所収支!$A$3,"年月",G$1,"事業所",$A6),"")</f>
        <v>687623</v>
      </c>
      <c r="H6" s="458">
        <f>IFERROR(GETPIVOTDATA("合計 / " &amp; $B6,【ピボット】事業所収支!$A$3,"年月",H$1,"事業所",$A6),"")</f>
        <v>686383</v>
      </c>
      <c r="I6" s="458">
        <f>IFERROR(GETPIVOTDATA("合計 / " &amp; $B6,【ピボット】事業所収支!$A$3,"年月",I$1,"事業所",$A6),"")</f>
        <v>815869</v>
      </c>
      <c r="J6" s="458">
        <f>IFERROR(GETPIVOTDATA("合計 / " &amp; $B6,【ピボット】事業所収支!$A$3,"年月",J$1,"事業所",$A6),"")</f>
        <v>693471</v>
      </c>
      <c r="K6" s="458">
        <f>IFERROR(GETPIVOTDATA("合計 / " &amp; $B6,【ピボット】事業所収支!$A$3,"年月",K$1,"事業所",$A6),"")</f>
        <v>731238</v>
      </c>
      <c r="L6" s="458">
        <f>IFERROR(GETPIVOTDATA("合計 / " &amp; $B6,【ピボット】事業所収支!$A$3,"年月",L$1,"事業所",$A6),"")</f>
        <v>718518</v>
      </c>
      <c r="M6" s="458">
        <f>IFERROR(GETPIVOTDATA("合計 / " &amp; $B6,【ピボット】事業所収支!$A$3,"年月",M$1,"事業所",$A6),"")</f>
        <v>1226343</v>
      </c>
      <c r="N6" s="458">
        <f>IFERROR(GETPIVOTDATA("合計 / " &amp; $B6,【ピボット】事業所収支!$A$3,"年月",N$1,"事業所",$A6),"")</f>
        <v>748654</v>
      </c>
      <c r="O6" s="458">
        <f>IFERROR(GETPIVOTDATA("合計 / " &amp; $B6,【ピボット】事業所収支!$A$3,"年月",O$1,"事業所",$A6),"")</f>
        <v>865331</v>
      </c>
      <c r="P6" s="458">
        <f>IFERROR(GETPIVOTDATA("合計 / " &amp; $B6,【ピボット】事業所収支!$A$3,"年月",P$1,"事業所",$A6),"")</f>
        <v>1009607</v>
      </c>
      <c r="Q6" s="458">
        <f>IFERROR(GETPIVOTDATA("合計 / " &amp; $B6,【ピボット】事業所収支!$A$3,"年月",Q$1,"事業所",$A6),"")</f>
        <v>923174</v>
      </c>
      <c r="R6" s="458">
        <f>IFERROR(GETPIVOTDATA("合計 / " &amp; $B6,【ピボット】事業所収支!$A$3,"年月",R$1,"事業所",$A6),"")</f>
        <v>1100663</v>
      </c>
      <c r="S6" s="458">
        <f>IFERROR(GETPIVOTDATA("合計 / " &amp; $B6,【ピボット】事業所収支!$A$3,"年月",S$1,"事業所",$A6),"")</f>
        <v>816030</v>
      </c>
      <c r="T6" s="458">
        <f>IFERROR(GETPIVOTDATA("合計 / " &amp; $B6,【ピボット】事業所収支!$A$3,"年月",T$1,"事業所",$A6),"")</f>
        <v>1023675</v>
      </c>
      <c r="U6" s="458">
        <f>IFERROR(GETPIVOTDATA("合計 / " &amp; $B6,【ピボット】事業所収支!$A$3,"年月",U$1,"事業所",$A6),"")</f>
        <v>1058189</v>
      </c>
      <c r="V6" s="458">
        <f>IFERROR(GETPIVOTDATA("合計 / " &amp; $B6,【ピボット】事業所収支!$A$3,"年月",V$1,"事業所",$A6),"")</f>
        <v>830297</v>
      </c>
      <c r="W6" s="458">
        <f>IFERROR(GETPIVOTDATA("合計 / " &amp; $B6,【ピボット】事業所収支!$A$3,"年月",W$1,"事業所",$A6),"")</f>
        <v>1854621</v>
      </c>
      <c r="X6" s="458">
        <f>IFERROR(GETPIVOTDATA("合計 / " &amp; $B6,【ピボット】事業所収支!$A$3,"年月",X$1,"事業所",$A6),"")</f>
        <v>1365541</v>
      </c>
      <c r="Y6" s="458">
        <f>IFERROR(GETPIVOTDATA("合計 / " &amp; $B6,【ピボット】事業所収支!$A$3,"年月",Y$1,"事業所",$A6),"")</f>
        <v>1361625</v>
      </c>
      <c r="Z6" s="458">
        <f>IFERROR(GETPIVOTDATA("合計 / " &amp; $B6,【ピボット】事業所収支!$A$3,"年月",Z$1,"事業所",$A6),"")</f>
        <v>1548843</v>
      </c>
      <c r="AA6" s="458">
        <f>IFERROR(GETPIVOTDATA("合計 / " &amp; $B6,【ピボット】事業所収支!$A$3,"年月",AA$1,"事業所",$A6),"")</f>
        <v>1273886</v>
      </c>
      <c r="AB6" s="458">
        <f>IFERROR(GETPIVOTDATA("合計 / " &amp; $B6,【ピボット】事業所収支!$A$3,"年月",AB$1,"事業所",$A6),"")</f>
        <v>1155405</v>
      </c>
      <c r="AC6" s="458">
        <f>IFERROR(GETPIVOTDATA("合計 / " &amp; $B6,【ピボット】事業所収支!$A$3,"年月",AC$1,"事業所",$A6),"")</f>
        <v>1067661</v>
      </c>
      <c r="AD6" s="459">
        <f ca="1">SUM(OFFSET(AC6,0,当期月数):AC6)</f>
        <v>10457879</v>
      </c>
      <c r="AE6" s="460">
        <f ca="1">AVERAGE(OFFSET(AC6,0,当期月数):AC6)</f>
        <v>1307234.875</v>
      </c>
      <c r="AG6" t="s">
        <v>296</v>
      </c>
    </row>
    <row r="7" spans="1:33" ht="26.45" customHeight="1" x14ac:dyDescent="0.15">
      <c r="A7" t="s">
        <v>767</v>
      </c>
      <c r="B7" t="s">
        <v>32</v>
      </c>
      <c r="D7" s="2144"/>
      <c r="E7" s="117" t="s">
        <v>32</v>
      </c>
      <c r="F7" s="118">
        <f>IFERROR(F3-(F4+F6),"")</f>
        <v>3976179</v>
      </c>
      <c r="G7" s="467">
        <f t="shared" ref="G7:AC7" si="1">IFERROR(G3-(G4+G6),"")</f>
        <v>451150</v>
      </c>
      <c r="H7" s="467">
        <f t="shared" si="1"/>
        <v>3688720</v>
      </c>
      <c r="I7" s="467">
        <f t="shared" si="1"/>
        <v>3243267</v>
      </c>
      <c r="J7" s="467">
        <f t="shared" si="1"/>
        <v>3911574</v>
      </c>
      <c r="K7" s="467">
        <f t="shared" si="1"/>
        <v>3976545</v>
      </c>
      <c r="L7" s="467">
        <f t="shared" si="1"/>
        <v>3125042</v>
      </c>
      <c r="M7" s="467">
        <f t="shared" si="1"/>
        <v>-465424.58090657927</v>
      </c>
      <c r="N7" s="467">
        <f t="shared" si="1"/>
        <v>3184205</v>
      </c>
      <c r="O7" s="467">
        <f t="shared" si="1"/>
        <v>3682762</v>
      </c>
      <c r="P7" s="467">
        <f t="shared" si="1"/>
        <v>3698252</v>
      </c>
      <c r="Q7" s="467">
        <f t="shared" si="1"/>
        <v>3767966</v>
      </c>
      <c r="R7" s="467">
        <f t="shared" si="1"/>
        <v>4074513</v>
      </c>
      <c r="S7" s="467">
        <f t="shared" si="1"/>
        <v>675130</v>
      </c>
      <c r="T7" s="467">
        <f t="shared" si="1"/>
        <v>3695299</v>
      </c>
      <c r="U7" s="467">
        <f t="shared" si="1"/>
        <v>2771750</v>
      </c>
      <c r="V7" s="467">
        <f t="shared" si="1"/>
        <v>4680715</v>
      </c>
      <c r="W7" s="467">
        <f t="shared" si="1"/>
        <v>3806189</v>
      </c>
      <c r="X7" s="467">
        <f t="shared" si="1"/>
        <v>4514881</v>
      </c>
      <c r="Y7" s="467">
        <f t="shared" si="1"/>
        <v>404505</v>
      </c>
      <c r="Z7" s="467">
        <f t="shared" si="1"/>
        <v>4013604</v>
      </c>
      <c r="AA7" s="467">
        <f t="shared" si="1"/>
        <v>3207150</v>
      </c>
      <c r="AB7" s="467">
        <f t="shared" si="1"/>
        <v>4490808</v>
      </c>
      <c r="AC7" s="467">
        <f t="shared" si="1"/>
        <v>5242256</v>
      </c>
      <c r="AD7" s="468">
        <f ca="1">SUM(OFFSET(AC7,0,当期月数):AC7)</f>
        <v>30360108</v>
      </c>
      <c r="AE7" s="469">
        <f ca="1">AVERAGE(OFFSET(AC7,0,当期月数):AC7)</f>
        <v>3795013.5</v>
      </c>
    </row>
    <row r="8" spans="1:33" ht="26.45" customHeight="1" thickBot="1" x14ac:dyDescent="0.2">
      <c r="A8" t="s">
        <v>767</v>
      </c>
      <c r="B8" t="s">
        <v>177</v>
      </c>
      <c r="D8" s="2145"/>
      <c r="E8" s="119" t="s">
        <v>177</v>
      </c>
      <c r="F8" s="120">
        <f>IFERROR(F7/F3,"")</f>
        <v>0.39439459187948733</v>
      </c>
      <c r="G8" s="470">
        <f t="shared" ref="G8:AC8" si="2">IFERROR(G7/G3,"")</f>
        <v>4.7346571762930681E-2</v>
      </c>
      <c r="H8" s="470">
        <f t="shared" si="2"/>
        <v>0.35679264237532637</v>
      </c>
      <c r="I8" s="470">
        <f t="shared" si="2"/>
        <v>0.32418924376064551</v>
      </c>
      <c r="J8" s="470">
        <f t="shared" si="2"/>
        <v>0.38006324000527403</v>
      </c>
      <c r="K8" s="470">
        <f t="shared" si="2"/>
        <v>0.37392773802466833</v>
      </c>
      <c r="L8" s="470">
        <f t="shared" si="2"/>
        <v>0.32155663009476482</v>
      </c>
      <c r="M8" s="470">
        <f t="shared" si="2"/>
        <v>-4.6508358162453217E-2</v>
      </c>
      <c r="N8" s="470">
        <f t="shared" si="2"/>
        <v>0.31680930292809856</v>
      </c>
      <c r="O8" s="470">
        <f t="shared" si="2"/>
        <v>0.38171932394724739</v>
      </c>
      <c r="P8" s="470">
        <f t="shared" si="2"/>
        <v>0.36124275842115439</v>
      </c>
      <c r="Q8" s="470">
        <f t="shared" si="2"/>
        <v>0.36577953973102534</v>
      </c>
      <c r="R8" s="470">
        <f t="shared" si="2"/>
        <v>0.37822133410292397</v>
      </c>
      <c r="S8" s="470">
        <f t="shared" si="2"/>
        <v>6.8644913435605068E-2</v>
      </c>
      <c r="T8" s="470">
        <f t="shared" si="2"/>
        <v>0.3346351201161375</v>
      </c>
      <c r="U8" s="470">
        <f t="shared" si="2"/>
        <v>0.28160306743386382</v>
      </c>
      <c r="V8" s="470">
        <f t="shared" si="2"/>
        <v>0.41645187379165105</v>
      </c>
      <c r="W8" s="470">
        <f t="shared" si="2"/>
        <v>0.30421932692698106</v>
      </c>
      <c r="X8" s="470">
        <f t="shared" si="2"/>
        <v>0.35331381487167168</v>
      </c>
      <c r="Y8" s="470">
        <f t="shared" si="2"/>
        <v>3.3256760144275824E-2</v>
      </c>
      <c r="Z8" s="470">
        <f t="shared" si="2"/>
        <v>0.3168094660073475</v>
      </c>
      <c r="AA8" s="470">
        <f t="shared" si="2"/>
        <v>0.27989981329539604</v>
      </c>
      <c r="AB8" s="470">
        <f t="shared" si="2"/>
        <v>0.35025889536521609</v>
      </c>
      <c r="AC8" s="470">
        <f t="shared" si="2"/>
        <v>0.40632641501185746</v>
      </c>
      <c r="AD8" s="471">
        <f ca="1">AD7/AD3</f>
        <v>0.30809113550978107</v>
      </c>
      <c r="AE8" s="472">
        <f ca="1">AE7/AE3</f>
        <v>0.30809113550978107</v>
      </c>
    </row>
    <row r="9" spans="1:33" ht="26.45" customHeight="1" x14ac:dyDescent="0.15">
      <c r="A9" t="s">
        <v>753</v>
      </c>
      <c r="B9" t="s">
        <v>26</v>
      </c>
      <c r="D9" s="2143" t="s">
        <v>37</v>
      </c>
      <c r="E9" s="91" t="s">
        <v>26</v>
      </c>
      <c r="F9" s="95">
        <f>IFERROR(GETPIVOTDATA("合計 / " &amp; $B9,【ピボット】事業所収支!$A$3,"年月",F$1,"事業所",$A9),"")</f>
        <v>5342987</v>
      </c>
      <c r="G9" s="461">
        <f>IFERROR(GETPIVOTDATA("合計 / " &amp; $B9,【ピボット】事業所収支!$A$3,"年月",G$1,"事業所",$A9),"")</f>
        <v>5683733</v>
      </c>
      <c r="H9" s="461">
        <f>IFERROR(GETPIVOTDATA("合計 / " &amp; $B9,【ピボット】事業所収支!$A$3,"年月",H$1,"事業所",$A9),"")</f>
        <v>5487698</v>
      </c>
      <c r="I9" s="461">
        <f>IFERROR(GETPIVOTDATA("合計 / " &amp; $B9,【ピボット】事業所収支!$A$3,"年月",I$1,"事業所",$A9),"")</f>
        <v>5643961</v>
      </c>
      <c r="J9" s="461">
        <f>IFERROR(GETPIVOTDATA("合計 / " &amp; $B9,【ピボット】事業所収支!$A$3,"年月",J$1,"事業所",$A9),"")</f>
        <v>6023613</v>
      </c>
      <c r="K9" s="461">
        <f>IFERROR(GETPIVOTDATA("合計 / " &amp; $B9,【ピボット】事業所収支!$A$3,"年月",K$1,"事業所",$A9),"")</f>
        <v>6290993</v>
      </c>
      <c r="L9" s="461">
        <f>IFERROR(GETPIVOTDATA("合計 / " &amp; $B9,【ピボット】事業所収支!$A$3,"年月",L$1,"事業所",$A9),"")</f>
        <v>5954408</v>
      </c>
      <c r="M9" s="461">
        <f>IFERROR(GETPIVOTDATA("合計 / " &amp; $B9,【ピボット】事業所収支!$A$3,"年月",M$1,"事業所",$A9),"")</f>
        <v>5963920</v>
      </c>
      <c r="N9" s="461">
        <f>IFERROR(GETPIVOTDATA("合計 / " &amp; $B9,【ピボット】事業所収支!$A$3,"年月",N$1,"事業所",$A9),"")</f>
        <v>5489569</v>
      </c>
      <c r="O9" s="461">
        <f>IFERROR(GETPIVOTDATA("合計 / " &amp; $B9,【ピボット】事業所収支!$A$3,"年月",O$1,"事業所",$A9),"")</f>
        <v>5383737</v>
      </c>
      <c r="P9" s="461">
        <f>IFERROR(GETPIVOTDATA("合計 / " &amp; $B9,【ピボット】事業所収支!$A$3,"年月",P$1,"事業所",$A9),"")</f>
        <v>5385437</v>
      </c>
      <c r="Q9" s="461">
        <f>IFERROR(GETPIVOTDATA("合計 / " &amp; $B9,【ピボット】事業所収支!$A$3,"年月",Q$1,"事業所",$A9),"")</f>
        <v>7729590</v>
      </c>
      <c r="R9" s="461">
        <f>IFERROR(GETPIVOTDATA("合計 / " &amp; $B9,【ピボット】事業所収支!$A$3,"年月",R$1,"事業所",$A9),"")</f>
        <v>6731026</v>
      </c>
      <c r="S9" s="461">
        <f>IFERROR(GETPIVOTDATA("合計 / " &amp; $B9,【ピボット】事業所収支!$A$3,"年月",S$1,"事業所",$A9),"")</f>
        <v>6530234</v>
      </c>
      <c r="T9" s="461">
        <f>IFERROR(GETPIVOTDATA("合計 / " &amp; $B9,【ピボット】事業所収支!$A$3,"年月",T$1,"事業所",$A9),"")</f>
        <v>6075758</v>
      </c>
      <c r="U9" s="461">
        <f>IFERROR(GETPIVOTDATA("合計 / " &amp; $B9,【ピボット】事業所収支!$A$3,"年月",U$1,"事業所",$A9),"")</f>
        <v>6170804</v>
      </c>
      <c r="V9" s="461">
        <f>IFERROR(GETPIVOTDATA("合計 / " &amp; $B9,【ピボット】事業所収支!$A$3,"年月",V$1,"事業所",$A9),"")</f>
        <v>6157056</v>
      </c>
      <c r="W9" s="461">
        <f>IFERROR(GETPIVOTDATA("合計 / " &amp; $B9,【ピボット】事業所収支!$A$3,"年月",W$1,"事業所",$A9),"")</f>
        <v>7557882</v>
      </c>
      <c r="X9" s="461">
        <f>IFERROR(GETPIVOTDATA("合計 / " &amp; $B9,【ピボット】事業所収支!$A$3,"年月",X$1,"事業所",$A9),"")</f>
        <v>7285298</v>
      </c>
      <c r="Y9" s="461">
        <f>IFERROR(GETPIVOTDATA("合計 / " &amp; $B9,【ピボット】事業所収支!$A$3,"年月",Y$1,"事業所",$A9),"")</f>
        <v>6678253</v>
      </c>
      <c r="Z9" s="461">
        <f>IFERROR(GETPIVOTDATA("合計 / " &amp; $B9,【ピボット】事業所収支!$A$3,"年月",Z$1,"事業所",$A9),"")</f>
        <v>5940817</v>
      </c>
      <c r="AA9" s="461">
        <f>IFERROR(GETPIVOTDATA("合計 / " &amp; $B9,【ピボット】事業所収支!$A$3,"年月",AA$1,"事業所",$A9),"")</f>
        <v>6270597</v>
      </c>
      <c r="AB9" s="461">
        <f>IFERROR(GETPIVOTDATA("合計 / " &amp; $B9,【ピボット】事業所収支!$A$3,"年月",AB$1,"事業所",$A9),"")</f>
        <v>5457771</v>
      </c>
      <c r="AC9" s="461">
        <f>IFERROR(GETPIVOTDATA("合計 / " &amp; $B9,【ピボット】事業所収支!$A$3,"年月",AC$1,"事業所",$A9),"")</f>
        <v>6262229</v>
      </c>
      <c r="AD9" s="462">
        <f ca="1">SUM(OFFSET(AC9,0,当期月数):AC9)</f>
        <v>51609903</v>
      </c>
      <c r="AE9" s="463">
        <f ca="1">AVERAGE(OFFSET(AC9,0,当期月数):AC9)</f>
        <v>6451237.875</v>
      </c>
      <c r="AG9" s="654"/>
    </row>
    <row r="10" spans="1:33" ht="26.45" customHeight="1" x14ac:dyDescent="0.15">
      <c r="A10" t="s">
        <v>753</v>
      </c>
      <c r="B10" t="s">
        <v>15</v>
      </c>
      <c r="D10" s="2144"/>
      <c r="E10" s="93" t="s">
        <v>15</v>
      </c>
      <c r="F10" s="94">
        <f>IFERROR(GETPIVOTDATA("合計 / " &amp; $B10,【ピボット】事業所収支!$A$3,"年月",F$1,"事業所",$A10),"")</f>
        <v>3104378</v>
      </c>
      <c r="G10" s="458">
        <f>IFERROR(GETPIVOTDATA("合計 / " &amp; $B10,【ピボット】事業所収支!$A$3,"年月",G$1,"事業所",$A10),"")</f>
        <v>3572171</v>
      </c>
      <c r="H10" s="458">
        <f>IFERROR(GETPIVOTDATA("合計 / " &amp; $B10,【ピボット】事業所収支!$A$3,"年月",H$1,"事業所",$A10),"")</f>
        <v>3752045</v>
      </c>
      <c r="I10" s="458">
        <f>IFERROR(GETPIVOTDATA("合計 / " &amp; $B10,【ピボット】事業所収支!$A$3,"年月",I$1,"事業所",$A10),"")</f>
        <v>3740910</v>
      </c>
      <c r="J10" s="458">
        <f>IFERROR(GETPIVOTDATA("合計 / " &amp; $B10,【ピボット】事業所収支!$A$3,"年月",J$1,"事業所",$A10),"")</f>
        <v>3526461</v>
      </c>
      <c r="K10" s="458">
        <f>IFERROR(GETPIVOTDATA("合計 / " &amp; $B10,【ピボット】事業所収支!$A$3,"年月",K$1,"事業所",$A10),"")</f>
        <v>3995529</v>
      </c>
      <c r="L10" s="458">
        <f>IFERROR(GETPIVOTDATA("合計 / " &amp; $B10,【ピボット】事業所収支!$A$3,"年月",L$1,"事業所",$A10),"")</f>
        <v>3856901</v>
      </c>
      <c r="M10" s="458">
        <f>IFERROR(GETPIVOTDATA("合計 / " &amp; $B10,【ピボット】事業所収支!$A$3,"年月",M$1,"事業所",$A10),"")</f>
        <v>6896121.9664213415</v>
      </c>
      <c r="N10" s="458">
        <f>IFERROR(GETPIVOTDATA("合計 / " &amp; $B10,【ピボット】事業所収支!$A$3,"年月",N$1,"事業所",$A10),"")</f>
        <v>4873990</v>
      </c>
      <c r="O10" s="458">
        <f>IFERROR(GETPIVOTDATA("合計 / " &amp; $B10,【ピボット】事業所収支!$A$3,"年月",O$1,"事業所",$A10),"")</f>
        <v>4190881</v>
      </c>
      <c r="P10" s="458">
        <f>IFERROR(GETPIVOTDATA("合計 / " &amp; $B10,【ピボット】事業所収支!$A$3,"年月",P$1,"事業所",$A10),"")</f>
        <v>4189364</v>
      </c>
      <c r="Q10" s="458">
        <f>IFERROR(GETPIVOTDATA("合計 / " &amp; $B10,【ピボット】事業所収支!$A$3,"年月",Q$1,"事業所",$A10),"")</f>
        <v>4150320</v>
      </c>
      <c r="R10" s="458">
        <f>IFERROR(GETPIVOTDATA("合計 / " &amp; $B10,【ピボット】事業所収支!$A$3,"年月",R$1,"事業所",$A10),"")</f>
        <v>3950891</v>
      </c>
      <c r="S10" s="458">
        <f>IFERROR(GETPIVOTDATA("合計 / " &amp; $B10,【ピボット】事業所収支!$A$3,"年月",S$1,"事業所",$A10),"")</f>
        <v>4746420</v>
      </c>
      <c r="T10" s="458">
        <f>IFERROR(GETPIVOTDATA("合計 / " &amp; $B10,【ピボット】事業所収支!$A$3,"年月",T$1,"事業所",$A10),"")</f>
        <v>4651239</v>
      </c>
      <c r="U10" s="458">
        <f>IFERROR(GETPIVOTDATA("合計 / " &amp; $B10,【ピボット】事業所収支!$A$3,"年月",U$1,"事業所",$A10),"")</f>
        <v>4848520</v>
      </c>
      <c r="V10" s="458">
        <f>IFERROR(GETPIVOTDATA("合計 / " &amp; $B10,【ピボット】事業所収支!$A$3,"年月",V$1,"事業所",$A10),"")</f>
        <v>4414583</v>
      </c>
      <c r="W10" s="458">
        <f>IFERROR(GETPIVOTDATA("合計 / " &amp; $B10,【ピボット】事業所収支!$A$3,"年月",W$1,"事業所",$A10),"")</f>
        <v>4314050</v>
      </c>
      <c r="X10" s="458">
        <f>IFERROR(GETPIVOTDATA("合計 / " &amp; $B10,【ピボット】事業所収支!$A$3,"年月",X$1,"事業所",$A10),"")</f>
        <v>4376006</v>
      </c>
      <c r="Y10" s="458">
        <f>IFERROR(GETPIVOTDATA("合計 / " &amp; $B10,【ピボット】事業所収支!$A$3,"年月",Y$1,"事業所",$A10),"")</f>
        <v>7308069</v>
      </c>
      <c r="Z10" s="458">
        <f>IFERROR(GETPIVOTDATA("合計 / " &amp; $B10,【ピボット】事業所収支!$A$3,"年月",Z$1,"事業所",$A10),"")</f>
        <v>4007265</v>
      </c>
      <c r="AA10" s="458">
        <f>IFERROR(GETPIVOTDATA("合計 / " &amp; $B10,【ピボット】事業所収支!$A$3,"年月",AA$1,"事業所",$A10),"")</f>
        <v>3563976</v>
      </c>
      <c r="AB10" s="458">
        <f>IFERROR(GETPIVOTDATA("合計 / " &amp; $B10,【ピボット】事業所収支!$A$3,"年月",AB$1,"事業所",$A10),"")</f>
        <v>3399432</v>
      </c>
      <c r="AC10" s="458">
        <f>IFERROR(GETPIVOTDATA("合計 / " &amp; $B10,【ピボット】事業所収支!$A$3,"年月",AC$1,"事業所",$A10),"")</f>
        <v>3585412</v>
      </c>
      <c r="AD10" s="459">
        <f ca="1">SUM(OFFSET(AC10,0,当期月数):AC10)</f>
        <v>34968793</v>
      </c>
      <c r="AE10" s="460">
        <f ca="1">AVERAGE(OFFSET(AC10,0,当期月数):AC10)</f>
        <v>4371099.125</v>
      </c>
    </row>
    <row r="11" spans="1:33" ht="26.45" customHeight="1" x14ac:dyDescent="0.15">
      <c r="A11" t="s">
        <v>753</v>
      </c>
      <c r="B11" t="s">
        <v>48</v>
      </c>
      <c r="D11" s="2144"/>
      <c r="E11" s="93" t="s">
        <v>48</v>
      </c>
      <c r="F11" s="96">
        <f t="shared" ref="F11:AC11" si="3">IFERROR(F10/F9,"")</f>
        <v>0.58101919394525947</v>
      </c>
      <c r="G11" s="464">
        <f t="shared" si="3"/>
        <v>0.62849028974443377</v>
      </c>
      <c r="H11" s="464">
        <f t="shared" si="3"/>
        <v>0.68371929359086447</v>
      </c>
      <c r="I11" s="464">
        <f t="shared" si="3"/>
        <v>0.66281641563433913</v>
      </c>
      <c r="J11" s="464">
        <f t="shared" si="3"/>
        <v>0.58543950283658663</v>
      </c>
      <c r="K11" s="464">
        <f t="shared" si="3"/>
        <v>0.63511897088424674</v>
      </c>
      <c r="L11" s="464">
        <f t="shared" si="3"/>
        <v>0.6477387844433905</v>
      </c>
      <c r="M11" s="464">
        <f t="shared" si="3"/>
        <v>1.1563069200159193</v>
      </c>
      <c r="N11" s="464">
        <f t="shared" si="3"/>
        <v>0.88786387419485935</v>
      </c>
      <c r="O11" s="464">
        <f t="shared" si="3"/>
        <v>0.77843345616622805</v>
      </c>
      <c r="P11" s="464">
        <f t="shared" si="3"/>
        <v>0.77790604550754194</v>
      </c>
      <c r="Q11" s="464">
        <f t="shared" si="3"/>
        <v>0.5369392166984277</v>
      </c>
      <c r="R11" s="464">
        <f t="shared" si="3"/>
        <v>0.58696712804258966</v>
      </c>
      <c r="S11" s="464">
        <f t="shared" si="3"/>
        <v>0.72683766002872174</v>
      </c>
      <c r="T11" s="464">
        <f t="shared" si="3"/>
        <v>0.76554053008694556</v>
      </c>
      <c r="U11" s="464">
        <f t="shared" si="3"/>
        <v>0.78571933252133752</v>
      </c>
      <c r="V11" s="464">
        <f t="shared" si="3"/>
        <v>0.71699575251548797</v>
      </c>
      <c r="W11" s="464">
        <f t="shared" si="3"/>
        <v>0.57080144940077127</v>
      </c>
      <c r="X11" s="464">
        <f t="shared" si="3"/>
        <v>0.60066259472158856</v>
      </c>
      <c r="Y11" s="464">
        <f t="shared" si="3"/>
        <v>1.0943084965484238</v>
      </c>
      <c r="Z11" s="464">
        <f t="shared" si="3"/>
        <v>0.67453096097725285</v>
      </c>
      <c r="AA11" s="464">
        <f t="shared" si="3"/>
        <v>0.56836310801028989</v>
      </c>
      <c r="AB11" s="464">
        <f t="shared" si="3"/>
        <v>0.62286087122380185</v>
      </c>
      <c r="AC11" s="464">
        <f t="shared" si="3"/>
        <v>0.5725456542710271</v>
      </c>
      <c r="AD11" s="465">
        <f ca="1">AD10/AD9</f>
        <v>0.67755975049982176</v>
      </c>
      <c r="AE11" s="466">
        <f ca="1">AE10/AE9</f>
        <v>0.67755975049982176</v>
      </c>
    </row>
    <row r="12" spans="1:33" ht="26.45" customHeight="1" x14ac:dyDescent="0.15">
      <c r="A12" t="s">
        <v>753</v>
      </c>
      <c r="B12" t="s">
        <v>1230</v>
      </c>
      <c r="D12" s="2144"/>
      <c r="E12" s="93" t="s">
        <v>43</v>
      </c>
      <c r="F12" s="94">
        <f>IFERROR(GETPIVOTDATA("合計 / " &amp; $B12,【ピボット】事業所収支!$A$3,"年月",F$1,"事業所",$A12),"")</f>
        <v>866374</v>
      </c>
      <c r="G12" s="458">
        <f>IFERROR(GETPIVOTDATA("合計 / " &amp; $B12,【ピボット】事業所収支!$A$3,"年月",G$1,"事業所",$A12),"")</f>
        <v>984939</v>
      </c>
      <c r="H12" s="458">
        <f>IFERROR(GETPIVOTDATA("合計 / " &amp; $B12,【ピボット】事業所収支!$A$3,"年月",H$1,"事業所",$A12),"")</f>
        <v>908008</v>
      </c>
      <c r="I12" s="458">
        <f>IFERROR(GETPIVOTDATA("合計 / " &amp; $B12,【ピボット】事業所収支!$A$3,"年月",I$1,"事業所",$A12),"")</f>
        <v>1109072</v>
      </c>
      <c r="J12" s="458">
        <f>IFERROR(GETPIVOTDATA("合計 / " &amp; $B12,【ピボット】事業所収支!$A$3,"年月",J$1,"事業所",$A12),"")</f>
        <v>942537</v>
      </c>
      <c r="K12" s="458">
        <f>IFERROR(GETPIVOTDATA("合計 / " &amp; $B12,【ピボット】事業所収支!$A$3,"年月",K$1,"事業所",$A12),"")</f>
        <v>879489</v>
      </c>
      <c r="L12" s="458">
        <f>IFERROR(GETPIVOTDATA("合計 / " &amp; $B12,【ピボット】事業所収支!$A$3,"年月",L$1,"事業所",$A12),"")</f>
        <v>1009541</v>
      </c>
      <c r="M12" s="458">
        <f>IFERROR(GETPIVOTDATA("合計 / " &amp; $B12,【ピボット】事業所収支!$A$3,"年月",M$1,"事業所",$A12),"")</f>
        <v>894494</v>
      </c>
      <c r="N12" s="458">
        <f>IFERROR(GETPIVOTDATA("合計 / " &amp; $B12,【ピボット】事業所収支!$A$3,"年月",N$1,"事業所",$A12),"")</f>
        <v>973495</v>
      </c>
      <c r="O12" s="458">
        <f>IFERROR(GETPIVOTDATA("合計 / " &amp; $B12,【ピボット】事業所収支!$A$3,"年月",O$1,"事業所",$A12),"")</f>
        <v>981443</v>
      </c>
      <c r="P12" s="458">
        <f>IFERROR(GETPIVOTDATA("合計 / " &amp; $B12,【ピボット】事業所収支!$A$3,"年月",P$1,"事業所",$A12),"")</f>
        <v>1138983</v>
      </c>
      <c r="Q12" s="458">
        <f>IFERROR(GETPIVOTDATA("合計 / " &amp; $B12,【ピボット】事業所収支!$A$3,"年月",Q$1,"事業所",$A12),"")</f>
        <v>1027364</v>
      </c>
      <c r="R12" s="458">
        <f>IFERROR(GETPIVOTDATA("合計 / " &amp; $B12,【ピボット】事業所収支!$A$3,"年月",R$1,"事業所",$A12),"")</f>
        <v>1004094</v>
      </c>
      <c r="S12" s="458">
        <f>IFERROR(GETPIVOTDATA("合計 / " &amp; $B12,【ピボット】事業所収支!$A$3,"年月",S$1,"事業所",$A12),"")</f>
        <v>1000461</v>
      </c>
      <c r="T12" s="458">
        <f>IFERROR(GETPIVOTDATA("合計 / " &amp; $B12,【ピボット】事業所収支!$A$3,"年月",T$1,"事業所",$A12),"")</f>
        <v>1024705</v>
      </c>
      <c r="U12" s="458">
        <f>IFERROR(GETPIVOTDATA("合計 / " &amp; $B12,【ピボット】事業所収支!$A$3,"年月",U$1,"事業所",$A12),"")</f>
        <v>972141</v>
      </c>
      <c r="V12" s="458">
        <f>IFERROR(GETPIVOTDATA("合計 / " &amp; $B12,【ピボット】事業所収支!$A$3,"年月",V$1,"事業所",$A12),"")</f>
        <v>1096851</v>
      </c>
      <c r="W12" s="458">
        <f>IFERROR(GETPIVOTDATA("合計 / " &amp; $B12,【ピボット】事業所収支!$A$3,"年月",W$1,"事業所",$A12),"")</f>
        <v>1080585</v>
      </c>
      <c r="X12" s="458">
        <f>IFERROR(GETPIVOTDATA("合計 / " &amp; $B12,【ピボット】事業所収支!$A$3,"年月",X$1,"事業所",$A12),"")</f>
        <v>906143</v>
      </c>
      <c r="Y12" s="458">
        <f>IFERROR(GETPIVOTDATA("合計 / " &amp; $B12,【ピボット】事業所収支!$A$3,"年月",Y$1,"事業所",$A12),"")</f>
        <v>864935</v>
      </c>
      <c r="Z12" s="458">
        <f>IFERROR(GETPIVOTDATA("合計 / " &amp; $B12,【ピボット】事業所収支!$A$3,"年月",Z$1,"事業所",$A12),"")</f>
        <v>894137</v>
      </c>
      <c r="AA12" s="458">
        <f>IFERROR(GETPIVOTDATA("合計 / " &amp; $B12,【ピボット】事業所収支!$A$3,"年月",AA$1,"事業所",$A12),"")</f>
        <v>861953</v>
      </c>
      <c r="AB12" s="458">
        <f>IFERROR(GETPIVOTDATA("合計 / " &amp; $B12,【ピボット】事業所収支!$A$3,"年月",AB$1,"事業所",$A12),"")</f>
        <v>817415</v>
      </c>
      <c r="AC12" s="458">
        <f>IFERROR(GETPIVOTDATA("合計 / " &amp; $B12,【ピボット】事業所収支!$A$3,"年月",AC$1,"事業所",$A12),"")</f>
        <v>946371</v>
      </c>
      <c r="AD12" s="459">
        <f ca="1">SUM(OFFSET(AC12,0,当期月数):AC12)</f>
        <v>7468390</v>
      </c>
      <c r="AE12" s="460">
        <f ca="1">AVERAGE(OFFSET(AC12,0,当期月数):AC12)</f>
        <v>933548.75</v>
      </c>
    </row>
    <row r="13" spans="1:33" ht="26.45" customHeight="1" x14ac:dyDescent="0.15">
      <c r="A13" t="s">
        <v>753</v>
      </c>
      <c r="B13" t="s">
        <v>32</v>
      </c>
      <c r="D13" s="2144"/>
      <c r="E13" s="117" t="s">
        <v>32</v>
      </c>
      <c r="F13" s="118">
        <f t="shared" ref="F13:AC13" si="4">IFERROR(F9-(F10+F12),"")</f>
        <v>1372235</v>
      </c>
      <c r="G13" s="467">
        <f t="shared" si="4"/>
        <v>1126623</v>
      </c>
      <c r="H13" s="467">
        <f t="shared" si="4"/>
        <v>827645</v>
      </c>
      <c r="I13" s="467">
        <f t="shared" si="4"/>
        <v>793979</v>
      </c>
      <c r="J13" s="467">
        <f t="shared" si="4"/>
        <v>1554615</v>
      </c>
      <c r="K13" s="467">
        <f t="shared" si="4"/>
        <v>1415975</v>
      </c>
      <c r="L13" s="467">
        <f t="shared" si="4"/>
        <v>1087966</v>
      </c>
      <c r="M13" s="467">
        <f t="shared" si="4"/>
        <v>-1826695.9664213415</v>
      </c>
      <c r="N13" s="467">
        <f t="shared" si="4"/>
        <v>-357916</v>
      </c>
      <c r="O13" s="467">
        <f t="shared" si="4"/>
        <v>211413</v>
      </c>
      <c r="P13" s="467">
        <f t="shared" si="4"/>
        <v>57090</v>
      </c>
      <c r="Q13" s="467">
        <f t="shared" si="4"/>
        <v>2551906</v>
      </c>
      <c r="R13" s="467">
        <f t="shared" si="4"/>
        <v>1776041</v>
      </c>
      <c r="S13" s="467">
        <f t="shared" si="4"/>
        <v>783353</v>
      </c>
      <c r="T13" s="467">
        <f t="shared" si="4"/>
        <v>399814</v>
      </c>
      <c r="U13" s="467">
        <f t="shared" si="4"/>
        <v>350143</v>
      </c>
      <c r="V13" s="467">
        <f t="shared" si="4"/>
        <v>645622</v>
      </c>
      <c r="W13" s="467">
        <f t="shared" si="4"/>
        <v>2163247</v>
      </c>
      <c r="X13" s="467">
        <f t="shared" si="4"/>
        <v>2003149</v>
      </c>
      <c r="Y13" s="467">
        <f t="shared" si="4"/>
        <v>-1494751</v>
      </c>
      <c r="Z13" s="467">
        <f t="shared" si="4"/>
        <v>1039415</v>
      </c>
      <c r="AA13" s="467">
        <f t="shared" si="4"/>
        <v>1844668</v>
      </c>
      <c r="AB13" s="467">
        <f t="shared" si="4"/>
        <v>1240924</v>
      </c>
      <c r="AC13" s="467">
        <f t="shared" si="4"/>
        <v>1730446</v>
      </c>
      <c r="AD13" s="468">
        <f ca="1">SUM(OFFSET(AC13,0,当期月数):AC13)</f>
        <v>9172720</v>
      </c>
      <c r="AE13" s="469">
        <f ca="1">AVERAGE(OFFSET(AC13,0,当期月数):AC13)</f>
        <v>1146590</v>
      </c>
      <c r="AG13" s="234"/>
    </row>
    <row r="14" spans="1:33" ht="26.45" customHeight="1" thickBot="1" x14ac:dyDescent="0.2">
      <c r="B14" t="s">
        <v>177</v>
      </c>
      <c r="D14" s="2145"/>
      <c r="E14" s="119" t="s">
        <v>177</v>
      </c>
      <c r="F14" s="120">
        <f t="shared" ref="F14:AC14" si="5">IFERROR(F13/F9,"")</f>
        <v>0.2568291856221997</v>
      </c>
      <c r="G14" s="470">
        <f t="shared" si="5"/>
        <v>0.19821884666292383</v>
      </c>
      <c r="H14" s="470">
        <f t="shared" si="5"/>
        <v>0.15081824838028624</v>
      </c>
      <c r="I14" s="470">
        <f t="shared" si="5"/>
        <v>0.1406776198488969</v>
      </c>
      <c r="J14" s="470">
        <f t="shared" si="5"/>
        <v>0.25808679940095752</v>
      </c>
      <c r="K14" s="470">
        <f t="shared" si="5"/>
        <v>0.22507972906661952</v>
      </c>
      <c r="L14" s="470">
        <f t="shared" si="5"/>
        <v>0.18271606514031286</v>
      </c>
      <c r="M14" s="470">
        <f t="shared" si="5"/>
        <v>-0.3062911585704271</v>
      </c>
      <c r="N14" s="470">
        <f t="shared" si="5"/>
        <v>-6.5199289780308797E-2</v>
      </c>
      <c r="O14" s="470">
        <f t="shared" si="5"/>
        <v>3.9268820152247405E-2</v>
      </c>
      <c r="P14" s="470">
        <f t="shared" si="5"/>
        <v>1.0600811039104163E-2</v>
      </c>
      <c r="Q14" s="470">
        <f t="shared" si="5"/>
        <v>0.33014765336841928</v>
      </c>
      <c r="R14" s="470">
        <f t="shared" si="5"/>
        <v>0.26385888273199359</v>
      </c>
      <c r="S14" s="470">
        <f t="shared" si="5"/>
        <v>0.11995787593522682</v>
      </c>
      <c r="T14" s="470">
        <f t="shared" si="5"/>
        <v>6.5804793410139117E-2</v>
      </c>
      <c r="U14" s="470">
        <f t="shared" si="5"/>
        <v>5.6741876747341193E-2</v>
      </c>
      <c r="V14" s="470">
        <f t="shared" si="5"/>
        <v>0.10485888060787493</v>
      </c>
      <c r="W14" s="470">
        <f t="shared" si="5"/>
        <v>0.28622397121309912</v>
      </c>
      <c r="X14" s="470">
        <f t="shared" si="5"/>
        <v>0.27495772993774587</v>
      </c>
      <c r="Y14" s="470">
        <f t="shared" si="5"/>
        <v>-0.22382365567761509</v>
      </c>
      <c r="Z14" s="470">
        <f t="shared" si="5"/>
        <v>0.1749616256484588</v>
      </c>
      <c r="AA14" s="470">
        <f t="shared" si="5"/>
        <v>0.29417741245371054</v>
      </c>
      <c r="AB14" s="470">
        <f t="shared" si="5"/>
        <v>0.22736827910148666</v>
      </c>
      <c r="AC14" s="470">
        <f t="shared" si="5"/>
        <v>0.2763306803376242</v>
      </c>
      <c r="AD14" s="471">
        <f ca="1">AD13/AD9</f>
        <v>0.17773178143737259</v>
      </c>
      <c r="AE14" s="472">
        <f ca="1">AE13/AE9</f>
        <v>0.17773178143737259</v>
      </c>
      <c r="AG14" s="234"/>
    </row>
    <row r="15" spans="1:33" ht="26.45" customHeight="1" x14ac:dyDescent="0.15">
      <c r="A15" t="s">
        <v>752</v>
      </c>
      <c r="B15" t="s">
        <v>26</v>
      </c>
      <c r="D15" s="2143" t="s">
        <v>66</v>
      </c>
      <c r="E15" s="91" t="s">
        <v>26</v>
      </c>
      <c r="F15" s="95">
        <f>IFERROR(GETPIVOTDATA("合計 / " &amp; $B15,【ピボット】事業所収支!$A$3,"年月",F$1,"事業所",$A15),"")</f>
        <v>5374919</v>
      </c>
      <c r="G15" s="461">
        <f>IFERROR(GETPIVOTDATA("合計 / " &amp; $B15,【ピボット】事業所収支!$A$3,"年月",G$1,"事業所",$A15),"")</f>
        <v>5697582</v>
      </c>
      <c r="H15" s="461">
        <f>IFERROR(GETPIVOTDATA("合計 / " &amp; $B15,【ピボット】事業所収支!$A$3,"年月",H$1,"事業所",$A15),"")</f>
        <v>5897081</v>
      </c>
      <c r="I15" s="461">
        <f>IFERROR(GETPIVOTDATA("合計 / " &amp; $B15,【ピボット】事業所収支!$A$3,"年月",I$1,"事業所",$A15),"")</f>
        <v>5788645</v>
      </c>
      <c r="J15" s="461">
        <f>IFERROR(GETPIVOTDATA("合計 / " &amp; $B15,【ピボット】事業所収支!$A$3,"年月",J$1,"事業所",$A15),"")</f>
        <v>5817896</v>
      </c>
      <c r="K15" s="461">
        <f>IFERROR(GETPIVOTDATA("合計 / " &amp; $B15,【ピボット】事業所収支!$A$3,"年月",K$1,"事業所",$A15),"")</f>
        <v>5787410</v>
      </c>
      <c r="L15" s="461">
        <f>IFERROR(GETPIVOTDATA("合計 / " &amp; $B15,【ピボット】事業所収支!$A$3,"年月",L$1,"事業所",$A15),"")</f>
        <v>5899891</v>
      </c>
      <c r="M15" s="461">
        <f>IFERROR(GETPIVOTDATA("合計 / " &amp; $B15,【ピボット】事業所収支!$A$3,"年月",M$1,"事業所",$A15),"")</f>
        <v>5629984</v>
      </c>
      <c r="N15" s="461">
        <f>IFERROR(GETPIVOTDATA("合計 / " &amp; $B15,【ピボット】事業所収支!$A$3,"年月",N$1,"事業所",$A15),"")</f>
        <v>6168362</v>
      </c>
      <c r="O15" s="461">
        <f>IFERROR(GETPIVOTDATA("合計 / " &amp; $B15,【ピボット】事業所収支!$A$3,"年月",O$1,"事業所",$A15),"")</f>
        <v>5709957</v>
      </c>
      <c r="P15" s="461">
        <f>IFERROR(GETPIVOTDATA("合計 / " &amp; $B15,【ピボット】事業所収支!$A$3,"年月",P$1,"事業所",$A15),"")</f>
        <v>5793244</v>
      </c>
      <c r="Q15" s="461">
        <f>IFERROR(GETPIVOTDATA("合計 / " &amp; $B15,【ピボット】事業所収支!$A$3,"年月",Q$1,"事業所",$A15),"")</f>
        <v>6587828</v>
      </c>
      <c r="R15" s="461">
        <f>IFERROR(GETPIVOTDATA("合計 / " &amp; $B15,【ピボット】事業所収支!$A$3,"年月",R$1,"事業所",$A15),"")</f>
        <v>6479560</v>
      </c>
      <c r="S15" s="461">
        <f>IFERROR(GETPIVOTDATA("合計 / " &amp; $B15,【ピボット】事業所収支!$A$3,"年月",S$1,"事業所",$A15),"")</f>
        <v>6806472</v>
      </c>
      <c r="T15" s="461">
        <f>IFERROR(GETPIVOTDATA("合計 / " &amp; $B15,【ピボット】事業所収支!$A$3,"年月",T$1,"事業所",$A15),"")</f>
        <v>6915528</v>
      </c>
      <c r="U15" s="461">
        <f>IFERROR(GETPIVOTDATA("合計 / " &amp; $B15,【ピボット】事業所収支!$A$3,"年月",U$1,"事業所",$A15),"")</f>
        <v>7519354</v>
      </c>
      <c r="V15" s="461">
        <f>IFERROR(GETPIVOTDATA("合計 / " &amp; $B15,【ピボット】事業所収支!$A$3,"年月",V$1,"事業所",$A15),"")</f>
        <v>6774361</v>
      </c>
      <c r="W15" s="461">
        <f>IFERROR(GETPIVOTDATA("合計 / " &amp; $B15,【ピボット】事業所収支!$A$3,"年月",W$1,"事業所",$A15),"")</f>
        <v>7419604</v>
      </c>
      <c r="X15" s="461">
        <f>IFERROR(GETPIVOTDATA("合計 / " &amp; $B15,【ピボット】事業所収支!$A$3,"年月",X$1,"事業所",$A15),"")</f>
        <v>7099035</v>
      </c>
      <c r="Y15" s="461">
        <f>IFERROR(GETPIVOTDATA("合計 / " &amp; $B15,【ピボット】事業所収支!$A$3,"年月",Y$1,"事業所",$A15),"")</f>
        <v>7065580</v>
      </c>
      <c r="Z15" s="461">
        <f>IFERROR(GETPIVOTDATA("合計 / " &amp; $B15,【ピボット】事業所収支!$A$3,"年月",Z$1,"事業所",$A15),"")</f>
        <v>7041908</v>
      </c>
      <c r="AA15" s="461">
        <f>IFERROR(GETPIVOTDATA("合計 / " &amp; $B15,【ピボット】事業所収支!$A$3,"年月",AA$1,"事業所",$A15),"")</f>
        <v>6369053</v>
      </c>
      <c r="AB15" s="461">
        <f>IFERROR(GETPIVOTDATA("合計 / " &amp; $B15,【ピボット】事業所収支!$A$3,"年月",AB$1,"事業所",$A15),"")</f>
        <v>6979599</v>
      </c>
      <c r="AC15" s="461">
        <f>IFERROR(GETPIVOTDATA("合計 / " &amp; $B15,【ピボット】事業所収支!$A$3,"年月",AC$1,"事業所",$A15),"")</f>
        <v>7110420</v>
      </c>
      <c r="AD15" s="462">
        <f ca="1">SUM(OFFSET(AC15,0,当期月数):AC15)</f>
        <v>55859560</v>
      </c>
      <c r="AE15" s="463">
        <f ca="1">AVERAGE(OFFSET(AC15,0,当期月数):AC15)</f>
        <v>6982445</v>
      </c>
    </row>
    <row r="16" spans="1:33" ht="26.45" customHeight="1" x14ac:dyDescent="0.15">
      <c r="A16" t="s">
        <v>752</v>
      </c>
      <c r="B16" t="s">
        <v>15</v>
      </c>
      <c r="D16" s="2144"/>
      <c r="E16" s="93" t="s">
        <v>15</v>
      </c>
      <c r="F16" s="94">
        <f>IFERROR(GETPIVOTDATA("合計 / " &amp; $B16,【ピボット】事業所収支!$A$3,"年月",F$1,"事業所",$A16),"")</f>
        <v>3199018</v>
      </c>
      <c r="G16" s="458">
        <f>IFERROR(GETPIVOTDATA("合計 / " &amp; $B16,【ピボット】事業所収支!$A$3,"年月",G$1,"事業所",$A16),"")</f>
        <v>4327172</v>
      </c>
      <c r="H16" s="458">
        <f>IFERROR(GETPIVOTDATA("合計 / " &amp; $B16,【ピボット】事業所収支!$A$3,"年月",H$1,"事業所",$A16),"")</f>
        <v>3670064</v>
      </c>
      <c r="I16" s="458">
        <f>IFERROR(GETPIVOTDATA("合計 / " &amp; $B16,【ピボット】事業所収支!$A$3,"年月",I$1,"事業所",$A16),"")</f>
        <v>3534203</v>
      </c>
      <c r="J16" s="458">
        <f>IFERROR(GETPIVOTDATA("合計 / " &amp; $B16,【ピボット】事業所収支!$A$3,"年月",J$1,"事業所",$A16),"")</f>
        <v>3371743</v>
      </c>
      <c r="K16" s="458">
        <f>IFERROR(GETPIVOTDATA("合計 / " &amp; $B16,【ピボット】事業所収支!$A$3,"年月",K$1,"事業所",$A16),"")</f>
        <v>3465713</v>
      </c>
      <c r="L16" s="458">
        <f>IFERROR(GETPIVOTDATA("合計 / " &amp; $B16,【ピボット】事業所収支!$A$3,"年月",L$1,"事業所",$A16),"")</f>
        <v>3520452</v>
      </c>
      <c r="M16" s="458">
        <f>IFERROR(GETPIVOTDATA("合計 / " &amp; $B16,【ピボット】事業所収支!$A$3,"年月",M$1,"事業所",$A16),"")</f>
        <v>6051985.9444993129</v>
      </c>
      <c r="N16" s="458">
        <f>IFERROR(GETPIVOTDATA("合計 / " &amp; $B16,【ピボット】事業所収支!$A$3,"年月",N$1,"事業所",$A16),"")</f>
        <v>4209055</v>
      </c>
      <c r="O16" s="458">
        <f>IFERROR(GETPIVOTDATA("合計 / " &amp; $B16,【ピボット】事業所収支!$A$3,"年月",O$1,"事業所",$A16),"")</f>
        <v>3969445</v>
      </c>
      <c r="P16" s="458">
        <f>IFERROR(GETPIVOTDATA("合計 / " &amp; $B16,【ピボット】事業所収支!$A$3,"年月",P$1,"事業所",$A16),"")</f>
        <v>3828677</v>
      </c>
      <c r="Q16" s="458">
        <f>IFERROR(GETPIVOTDATA("合計 / " &amp; $B16,【ピボット】事業所収支!$A$3,"年月",Q$1,"事業所",$A16),"")</f>
        <v>3878385</v>
      </c>
      <c r="R16" s="458">
        <f>IFERROR(GETPIVOTDATA("合計 / " &amp; $B16,【ピボット】事業所収支!$A$3,"年月",R$1,"事業所",$A16),"")</f>
        <v>3840302</v>
      </c>
      <c r="S16" s="458">
        <f>IFERROR(GETPIVOTDATA("合計 / " &amp; $B16,【ピボット】事業所収支!$A$3,"年月",S$1,"事業所",$A16),"")</f>
        <v>5731123</v>
      </c>
      <c r="T16" s="458">
        <f>IFERROR(GETPIVOTDATA("合計 / " &amp; $B16,【ピボット】事業所収支!$A$3,"年月",T$1,"事業所",$A16),"")</f>
        <v>4502052</v>
      </c>
      <c r="U16" s="458">
        <f>IFERROR(GETPIVOTDATA("合計 / " &amp; $B16,【ピボット】事業所収支!$A$3,"年月",U$1,"事業所",$A16),"")</f>
        <v>4507594</v>
      </c>
      <c r="V16" s="458">
        <f>IFERROR(GETPIVOTDATA("合計 / " &amp; $B16,【ピボット】事業所収支!$A$3,"年月",V$1,"事業所",$A16),"")</f>
        <v>4297759</v>
      </c>
      <c r="W16" s="458">
        <f>IFERROR(GETPIVOTDATA("合計 / " &amp; $B16,【ピボット】事業所収支!$A$3,"年月",W$1,"事業所",$A16),"")</f>
        <v>4521609</v>
      </c>
      <c r="X16" s="458">
        <f>IFERROR(GETPIVOTDATA("合計 / " &amp; $B16,【ピボット】事業所収支!$A$3,"年月",X$1,"事業所",$A16),"")</f>
        <v>4825792</v>
      </c>
      <c r="Y16" s="458">
        <f>IFERROR(GETPIVOTDATA("合計 / " &amp; $B16,【ピボット】事業所収支!$A$3,"年月",Y$1,"事業所",$A16),"")</f>
        <v>8175324</v>
      </c>
      <c r="Z16" s="458">
        <f>IFERROR(GETPIVOTDATA("合計 / " &amp; $B16,【ピボット】事業所収支!$A$3,"年月",Z$1,"事業所",$A16),"")</f>
        <v>4942279</v>
      </c>
      <c r="AA16" s="458">
        <f>IFERROR(GETPIVOTDATA("合計 / " &amp; $B16,【ピボット】事業所収支!$A$3,"年月",AA$1,"事業所",$A16),"")</f>
        <v>4273487</v>
      </c>
      <c r="AB16" s="458">
        <f>IFERROR(GETPIVOTDATA("合計 / " &amp; $B16,【ピボット】事業所収支!$A$3,"年月",AB$1,"事業所",$A16),"")</f>
        <v>4516581</v>
      </c>
      <c r="AC16" s="458">
        <f>IFERROR(GETPIVOTDATA("合計 / " &amp; $B16,【ピボット】事業所収支!$A$3,"年月",AC$1,"事業所",$A16),"")</f>
        <v>4643324</v>
      </c>
      <c r="AD16" s="459">
        <f ca="1">SUM(OFFSET(AC16,0,当期月数):AC16)</f>
        <v>40196155</v>
      </c>
      <c r="AE16" s="460">
        <f ca="1">AVERAGE(OFFSET(AC16,0,当期月数):AC16)</f>
        <v>5024519.375</v>
      </c>
    </row>
    <row r="17" spans="1:31" ht="26.45" customHeight="1" x14ac:dyDescent="0.15">
      <c r="A17" t="s">
        <v>752</v>
      </c>
      <c r="B17" t="s">
        <v>48</v>
      </c>
      <c r="D17" s="2144"/>
      <c r="E17" s="93" t="s">
        <v>48</v>
      </c>
      <c r="F17" s="96">
        <f t="shared" ref="F17:AC17" si="6">IFERROR(F16/F15,"")</f>
        <v>0.59517510868535883</v>
      </c>
      <c r="G17" s="464">
        <f t="shared" si="6"/>
        <v>0.75947515981340852</v>
      </c>
      <c r="H17" s="464">
        <f t="shared" si="6"/>
        <v>0.62235265210025092</v>
      </c>
      <c r="I17" s="464">
        <f t="shared" si="6"/>
        <v>0.6105406360210377</v>
      </c>
      <c r="J17" s="464">
        <f t="shared" si="6"/>
        <v>0.5795467983614695</v>
      </c>
      <c r="K17" s="464">
        <f t="shared" si="6"/>
        <v>0.59883661257799259</v>
      </c>
      <c r="L17" s="464">
        <f t="shared" si="6"/>
        <v>0.5966978034000967</v>
      </c>
      <c r="M17" s="464">
        <f t="shared" si="6"/>
        <v>1.0749561534276675</v>
      </c>
      <c r="N17" s="464">
        <f t="shared" si="6"/>
        <v>0.68236186527314702</v>
      </c>
      <c r="O17" s="464">
        <f t="shared" si="6"/>
        <v>0.69517949084380148</v>
      </c>
      <c r="P17" s="464">
        <f t="shared" si="6"/>
        <v>0.66088654301458738</v>
      </c>
      <c r="Q17" s="464">
        <f t="shared" si="6"/>
        <v>0.58871983300110442</v>
      </c>
      <c r="R17" s="464">
        <f t="shared" si="6"/>
        <v>0.59267944119662441</v>
      </c>
      <c r="S17" s="464">
        <f t="shared" si="6"/>
        <v>0.84201080971169795</v>
      </c>
      <c r="T17" s="464">
        <f t="shared" si="6"/>
        <v>0.65100625722287586</v>
      </c>
      <c r="U17" s="464">
        <f t="shared" si="6"/>
        <v>0.59946559238998454</v>
      </c>
      <c r="V17" s="464">
        <f t="shared" si="6"/>
        <v>0.63441540833150167</v>
      </c>
      <c r="W17" s="464">
        <f t="shared" si="6"/>
        <v>0.60941379081686842</v>
      </c>
      <c r="X17" s="464">
        <f t="shared" si="6"/>
        <v>0.67978140690953071</v>
      </c>
      <c r="Y17" s="464">
        <f t="shared" si="6"/>
        <v>1.1570633974847075</v>
      </c>
      <c r="Z17" s="464">
        <f t="shared" si="6"/>
        <v>0.70183805298223156</v>
      </c>
      <c r="AA17" s="464">
        <f t="shared" si="6"/>
        <v>0.67097683124948093</v>
      </c>
      <c r="AB17" s="464">
        <f t="shared" si="6"/>
        <v>0.6471118183150637</v>
      </c>
      <c r="AC17" s="464">
        <f t="shared" si="6"/>
        <v>0.65303090394097674</v>
      </c>
      <c r="AD17" s="465">
        <f ca="1">AD16/AD15</f>
        <v>0.7195931188860063</v>
      </c>
      <c r="AE17" s="466">
        <f ca="1">AE16/AE15</f>
        <v>0.7195931188860063</v>
      </c>
    </row>
    <row r="18" spans="1:31" ht="26.45" customHeight="1" x14ac:dyDescent="0.15">
      <c r="A18" t="s">
        <v>752</v>
      </c>
      <c r="B18" t="s">
        <v>1230</v>
      </c>
      <c r="D18" s="2144"/>
      <c r="E18" s="93" t="s">
        <v>43</v>
      </c>
      <c r="F18" s="94">
        <f>IFERROR(GETPIVOTDATA("合計 / " &amp; $B18,【ピボット】事業所収支!$A$3,"年月",F$1,"事業所",$A18),"")</f>
        <v>827102</v>
      </c>
      <c r="G18" s="458">
        <f>IFERROR(GETPIVOTDATA("合計 / " &amp; $B18,【ピボット】事業所収支!$A$3,"年月",G$1,"事業所",$A18),"")</f>
        <v>718514</v>
      </c>
      <c r="H18" s="458">
        <f>IFERROR(GETPIVOTDATA("合計 / " &amp; $B18,【ピボット】事業所収支!$A$3,"年月",H$1,"事業所",$A18),"")</f>
        <v>729566</v>
      </c>
      <c r="I18" s="458">
        <f>IFERROR(GETPIVOTDATA("合計 / " &amp; $B18,【ピボット】事業所収支!$A$3,"年月",I$1,"事業所",$A18),"")</f>
        <v>846397</v>
      </c>
      <c r="J18" s="458">
        <f>IFERROR(GETPIVOTDATA("合計 / " &amp; $B18,【ピボット】事業所収支!$A$3,"年月",J$1,"事業所",$A18),"")</f>
        <v>744536</v>
      </c>
      <c r="K18" s="458">
        <f>IFERROR(GETPIVOTDATA("合計 / " &amp; $B18,【ピボット】事業所収支!$A$3,"年月",K$1,"事業所",$A18),"")</f>
        <v>902306</v>
      </c>
      <c r="L18" s="458">
        <f>IFERROR(GETPIVOTDATA("合計 / " &amp; $B18,【ピボット】事業所収支!$A$3,"年月",L$1,"事業所",$A18),"")</f>
        <v>829374</v>
      </c>
      <c r="M18" s="458">
        <f>IFERROR(GETPIVOTDATA("合計 / " &amp; $B18,【ピボット】事業所収支!$A$3,"年月",M$1,"事業所",$A18),"")</f>
        <v>997975</v>
      </c>
      <c r="N18" s="458">
        <f>IFERROR(GETPIVOTDATA("合計 / " &amp; $B18,【ピボット】事業所収支!$A$3,"年月",N$1,"事業所",$A18),"")</f>
        <v>927618</v>
      </c>
      <c r="O18" s="458">
        <f>IFERROR(GETPIVOTDATA("合計 / " &amp; $B18,【ピボット】事業所収支!$A$3,"年月",O$1,"事業所",$A18),"")</f>
        <v>785358</v>
      </c>
      <c r="P18" s="458">
        <f>IFERROR(GETPIVOTDATA("合計 / " &amp; $B18,【ピボット】事業所収支!$A$3,"年月",P$1,"事業所",$A18),"")</f>
        <v>859073</v>
      </c>
      <c r="Q18" s="458">
        <f>IFERROR(GETPIVOTDATA("合計 / " &amp; $B18,【ピボット】事業所収支!$A$3,"年月",Q$1,"事業所",$A18),"")</f>
        <v>777798</v>
      </c>
      <c r="R18" s="458">
        <f>IFERROR(GETPIVOTDATA("合計 / " &amp; $B18,【ピボット】事業所収支!$A$3,"年月",R$1,"事業所",$A18),"")</f>
        <v>870485</v>
      </c>
      <c r="S18" s="458">
        <f>IFERROR(GETPIVOTDATA("合計 / " &amp; $B18,【ピボット】事業所収支!$A$3,"年月",S$1,"事業所",$A18),"")</f>
        <v>946985</v>
      </c>
      <c r="T18" s="458">
        <f>IFERROR(GETPIVOTDATA("合計 / " &amp; $B18,【ピボット】事業所収支!$A$3,"年月",T$1,"事業所",$A18),"")</f>
        <v>817228</v>
      </c>
      <c r="U18" s="458">
        <f>IFERROR(GETPIVOTDATA("合計 / " &amp; $B18,【ピボット】事業所収支!$A$3,"年月",U$1,"事業所",$A18),"")</f>
        <v>1126297</v>
      </c>
      <c r="V18" s="458">
        <f>IFERROR(GETPIVOTDATA("合計 / " &amp; $B18,【ピボット】事業所収支!$A$3,"年月",V$1,"事業所",$A18),"")</f>
        <v>801389</v>
      </c>
      <c r="W18" s="458">
        <f>IFERROR(GETPIVOTDATA("合計 / " &amp; $B18,【ピボット】事業所収支!$A$3,"年月",W$1,"事業所",$A18),"")</f>
        <v>1522750</v>
      </c>
      <c r="X18" s="458">
        <f>IFERROR(GETPIVOTDATA("合計 / " &amp; $B18,【ピボット】事業所収支!$A$3,"年月",X$1,"事業所",$A18),"")</f>
        <v>937541</v>
      </c>
      <c r="Y18" s="458">
        <f>IFERROR(GETPIVOTDATA("合計 / " &amp; $B18,【ピボット】事業所収支!$A$3,"年月",Y$1,"事業所",$A18),"")</f>
        <v>844228</v>
      </c>
      <c r="Z18" s="458">
        <f>IFERROR(GETPIVOTDATA("合計 / " &amp; $B18,【ピボット】事業所収支!$A$3,"年月",Z$1,"事業所",$A18),"")</f>
        <v>1033335</v>
      </c>
      <c r="AA18" s="458">
        <f>IFERROR(GETPIVOTDATA("合計 / " &amp; $B18,【ピボット】事業所収支!$A$3,"年月",AA$1,"事業所",$A18),"")</f>
        <v>773129</v>
      </c>
      <c r="AB18" s="458">
        <f>IFERROR(GETPIVOTDATA("合計 / " &amp; $B18,【ピボット】事業所収支!$A$3,"年月",AB$1,"事業所",$A18),"")</f>
        <v>726515</v>
      </c>
      <c r="AC18" s="458">
        <f>IFERROR(GETPIVOTDATA("合計 / " &amp; $B18,【ピボット】事業所収支!$A$3,"年月",AC$1,"事業所",$A18),"")</f>
        <v>738059</v>
      </c>
      <c r="AD18" s="459">
        <f ca="1">SUM(OFFSET(AC18,0,当期月数):AC18)</f>
        <v>7376946</v>
      </c>
      <c r="AE18" s="460">
        <f ca="1">AVERAGE(OFFSET(AC18,0,当期月数):AC18)</f>
        <v>922118.25</v>
      </c>
    </row>
    <row r="19" spans="1:31" ht="26.45" customHeight="1" x14ac:dyDescent="0.15">
      <c r="A19" t="s">
        <v>752</v>
      </c>
      <c r="B19" t="s">
        <v>32</v>
      </c>
      <c r="D19" s="2144"/>
      <c r="E19" s="117" t="s">
        <v>32</v>
      </c>
      <c r="F19" s="118">
        <f t="shared" ref="F19:AC19" si="7">IFERROR(F15-(F16+F18),"")</f>
        <v>1348799</v>
      </c>
      <c r="G19" s="467">
        <f t="shared" si="7"/>
        <v>651896</v>
      </c>
      <c r="H19" s="467">
        <f t="shared" si="7"/>
        <v>1497451</v>
      </c>
      <c r="I19" s="467">
        <f t="shared" si="7"/>
        <v>1408045</v>
      </c>
      <c r="J19" s="467">
        <f t="shared" si="7"/>
        <v>1701617</v>
      </c>
      <c r="K19" s="467">
        <f t="shared" si="7"/>
        <v>1419391</v>
      </c>
      <c r="L19" s="467">
        <f t="shared" si="7"/>
        <v>1550065</v>
      </c>
      <c r="M19" s="467">
        <f t="shared" si="7"/>
        <v>-1419976.9444993129</v>
      </c>
      <c r="N19" s="467">
        <f t="shared" si="7"/>
        <v>1031689</v>
      </c>
      <c r="O19" s="467">
        <f t="shared" si="7"/>
        <v>955154</v>
      </c>
      <c r="P19" s="467">
        <f t="shared" si="7"/>
        <v>1105494</v>
      </c>
      <c r="Q19" s="467">
        <f t="shared" si="7"/>
        <v>1931645</v>
      </c>
      <c r="R19" s="467">
        <f t="shared" si="7"/>
        <v>1768773</v>
      </c>
      <c r="S19" s="467">
        <f t="shared" si="7"/>
        <v>128364</v>
      </c>
      <c r="T19" s="467">
        <f t="shared" si="7"/>
        <v>1596248</v>
      </c>
      <c r="U19" s="467">
        <f t="shared" si="7"/>
        <v>1885463</v>
      </c>
      <c r="V19" s="467">
        <f t="shared" si="7"/>
        <v>1675213</v>
      </c>
      <c r="W19" s="467">
        <f t="shared" si="7"/>
        <v>1375245</v>
      </c>
      <c r="X19" s="467">
        <f t="shared" si="7"/>
        <v>1335702</v>
      </c>
      <c r="Y19" s="467">
        <f t="shared" si="7"/>
        <v>-1953972</v>
      </c>
      <c r="Z19" s="467">
        <f t="shared" si="7"/>
        <v>1066294</v>
      </c>
      <c r="AA19" s="467">
        <f t="shared" si="7"/>
        <v>1322437</v>
      </c>
      <c r="AB19" s="467">
        <f t="shared" si="7"/>
        <v>1736503</v>
      </c>
      <c r="AC19" s="467">
        <f t="shared" si="7"/>
        <v>1729037</v>
      </c>
      <c r="AD19" s="468">
        <f ca="1">SUM(OFFSET(AC19,0,当期月数):AC19)</f>
        <v>8286459</v>
      </c>
      <c r="AE19" s="469">
        <f ca="1">AVERAGE(OFFSET(AC19,0,当期月数):AC19)</f>
        <v>1035807.375</v>
      </c>
    </row>
    <row r="20" spans="1:31" ht="26.45" customHeight="1" thickBot="1" x14ac:dyDescent="0.2">
      <c r="B20" t="s">
        <v>177</v>
      </c>
      <c r="D20" s="2145"/>
      <c r="E20" s="119" t="s">
        <v>177</v>
      </c>
      <c r="F20" s="120">
        <f t="shared" ref="F20:AC20" si="8">IFERROR(F19/F15,"")</f>
        <v>0.25094313049182693</v>
      </c>
      <c r="G20" s="470">
        <f t="shared" si="8"/>
        <v>0.11441625587837086</v>
      </c>
      <c r="H20" s="470">
        <f t="shared" si="8"/>
        <v>0.25393088546689457</v>
      </c>
      <c r="I20" s="470">
        <f t="shared" si="8"/>
        <v>0.24324258958702771</v>
      </c>
      <c r="J20" s="470">
        <f t="shared" si="8"/>
        <v>0.29247978994468105</v>
      </c>
      <c r="K20" s="470">
        <f t="shared" si="8"/>
        <v>0.24525495860842761</v>
      </c>
      <c r="L20" s="470">
        <f t="shared" si="8"/>
        <v>0.26272773513951359</v>
      </c>
      <c r="M20" s="470">
        <f t="shared" si="8"/>
        <v>-0.2522168703320139</v>
      </c>
      <c r="N20" s="470">
        <f t="shared" si="8"/>
        <v>0.16725493737235267</v>
      </c>
      <c r="O20" s="470">
        <f t="shared" si="8"/>
        <v>0.16727866777280459</v>
      </c>
      <c r="P20" s="470">
        <f t="shared" si="8"/>
        <v>0.1908246916580762</v>
      </c>
      <c r="Q20" s="470">
        <f t="shared" si="8"/>
        <v>0.29321424299480803</v>
      </c>
      <c r="R20" s="470">
        <f t="shared" si="8"/>
        <v>0.27297733179413419</v>
      </c>
      <c r="S20" s="470">
        <f t="shared" si="8"/>
        <v>1.8859109388828749E-2</v>
      </c>
      <c r="T20" s="470">
        <f t="shared" si="8"/>
        <v>0.23082084260232913</v>
      </c>
      <c r="U20" s="470">
        <f t="shared" si="8"/>
        <v>0.25074800308643536</v>
      </c>
      <c r="V20" s="470">
        <f t="shared" si="8"/>
        <v>0.2472872349141122</v>
      </c>
      <c r="W20" s="470">
        <f t="shared" si="8"/>
        <v>0.1853528840622761</v>
      </c>
      <c r="X20" s="470">
        <f t="shared" si="8"/>
        <v>0.18815261510895495</v>
      </c>
      <c r="Y20" s="470">
        <f t="shared" si="8"/>
        <v>-0.27654799747508341</v>
      </c>
      <c r="Z20" s="470">
        <f t="shared" si="8"/>
        <v>0.15142117732864446</v>
      </c>
      <c r="AA20" s="470">
        <f t="shared" si="8"/>
        <v>0.20763479280200683</v>
      </c>
      <c r="AB20" s="470">
        <f t="shared" si="8"/>
        <v>0.24879695810604591</v>
      </c>
      <c r="AC20" s="470">
        <f t="shared" si="8"/>
        <v>0.24316946115700619</v>
      </c>
      <c r="AD20" s="471">
        <f ca="1">AD19/AD15</f>
        <v>0.14834450897930454</v>
      </c>
      <c r="AE20" s="472">
        <f ca="1">AE19/AE15</f>
        <v>0.14834450897930454</v>
      </c>
    </row>
    <row r="21" spans="1:31" ht="26.45" customHeight="1" x14ac:dyDescent="0.15">
      <c r="A21" t="s">
        <v>972</v>
      </c>
      <c r="B21" t="s">
        <v>26</v>
      </c>
      <c r="D21" s="2143" t="s">
        <v>972</v>
      </c>
      <c r="E21" s="91" t="s">
        <v>26</v>
      </c>
      <c r="F21" s="95" t="str">
        <f>IFERROR(GETPIVOTDATA("合計 / " &amp; $B21,【ピボット】事業所収支!$A$3,"年月",F$1,"事業所",$A21),"")</f>
        <v/>
      </c>
      <c r="G21" s="461" t="str">
        <f>IFERROR(GETPIVOTDATA("合計 / " &amp; $B21,【ピボット】事業所収支!$A$3,"年月",G$1,"事業所",$A21),"")</f>
        <v/>
      </c>
      <c r="H21" s="461" t="str">
        <f>IFERROR(GETPIVOTDATA("合計 / " &amp; $B21,【ピボット】事業所収支!$A$3,"年月",H$1,"事業所",$A21),"")</f>
        <v/>
      </c>
      <c r="I21" s="461" t="str">
        <f>IFERROR(GETPIVOTDATA("合計 / " &amp; $B21,【ピボット】事業所収支!$A$3,"年月",I$1,"事業所",$A21),"")</f>
        <v/>
      </c>
      <c r="J21" s="461" t="str">
        <f>IFERROR(GETPIVOTDATA("合計 / " &amp; $B21,【ピボット】事業所収支!$A$3,"年月",J$1,"事業所",$A21),"")</f>
        <v/>
      </c>
      <c r="K21" s="461" t="str">
        <f>IFERROR(GETPIVOTDATA("合計 / " &amp; $B21,【ピボット】事業所収支!$A$3,"年月",K$1,"事業所",$A21),"")</f>
        <v/>
      </c>
      <c r="L21" s="461" t="str">
        <f>IFERROR(GETPIVOTDATA("合計 / " &amp; $B21,【ピボット】事業所収支!$A$3,"年月",L$1,"事業所",$A21),"")</f>
        <v/>
      </c>
      <c r="M21" s="461" t="str">
        <f>IFERROR(GETPIVOTDATA("合計 / " &amp; $B21,【ピボット】事業所収支!$A$3,"年月",M$1,"事業所",$A21),"")</f>
        <v/>
      </c>
      <c r="N21" s="461" t="str">
        <f>IFERROR(GETPIVOTDATA("合計 / " &amp; $B21,【ピボット】事業所収支!$A$3,"年月",N$1,"事業所",$A21),"")</f>
        <v/>
      </c>
      <c r="O21" s="461" t="str">
        <f>IFERROR(GETPIVOTDATA("合計 / " &amp; $B21,【ピボット】事業所収支!$A$3,"年月",O$1,"事業所",$A21),"")</f>
        <v/>
      </c>
      <c r="P21" s="461">
        <f>IFERROR(GETPIVOTDATA("合計 / " &amp; $B21,【ピボット】事業所収支!$A$3,"年月",P$1,"事業所",$A21),"")</f>
        <v>0</v>
      </c>
      <c r="Q21" s="461">
        <f>IFERROR(GETPIVOTDATA("合計 / " &amp; $B21,【ピボット】事業所収支!$A$3,"年月",Q$1,"事業所",$A21),"")</f>
        <v>0</v>
      </c>
      <c r="R21" s="461">
        <f>IFERROR(GETPIVOTDATA("合計 / " &amp; $B21,【ピボット】事業所収支!$A$3,"年月",R$1,"事業所",$A21),"")</f>
        <v>0</v>
      </c>
      <c r="S21" s="461">
        <f>IFERROR(GETPIVOTDATA("合計 / " &amp; $B21,【ピボット】事業所収支!$A$3,"年月",S$1,"事業所",$A21),"")</f>
        <v>100885</v>
      </c>
      <c r="T21" s="461">
        <f>IFERROR(GETPIVOTDATA("合計 / " &amp; $B21,【ピボット】事業所収支!$A$3,"年月",T$1,"事業所",$A21),"")</f>
        <v>663080</v>
      </c>
      <c r="U21" s="461">
        <f>IFERROR(GETPIVOTDATA("合計 / " &amp; $B21,【ピボット】事業所収支!$A$3,"年月",U$1,"事業所",$A21),"")</f>
        <v>624826</v>
      </c>
      <c r="V21" s="461">
        <f>IFERROR(GETPIVOTDATA("合計 / " &amp; $B21,【ピボット】事業所収支!$A$3,"年月",V$1,"事業所",$A21),"")</f>
        <v>1193278</v>
      </c>
      <c r="W21" s="461">
        <f>IFERROR(GETPIVOTDATA("合計 / " &amp; $B21,【ピボット】事業所収支!$A$3,"年月",W$1,"事業所",$A21),"")</f>
        <v>1631546</v>
      </c>
      <c r="X21" s="461">
        <f>IFERROR(GETPIVOTDATA("合計 / " &amp; $B21,【ピボット】事業所収支!$A$3,"年月",X$1,"事業所",$A21),"")</f>
        <v>1296114</v>
      </c>
      <c r="Y21" s="461">
        <f>IFERROR(GETPIVOTDATA("合計 / " &amp; $B21,【ピボット】事業所収支!$A$3,"年月",Y$1,"事業所",$A21),"")</f>
        <v>1520846</v>
      </c>
      <c r="Z21" s="461">
        <f>IFERROR(GETPIVOTDATA("合計 / " &amp; $B21,【ピボット】事業所収支!$A$3,"年月",Z$1,"事業所",$A21),"")</f>
        <v>1160774</v>
      </c>
      <c r="AA21" s="461">
        <f>IFERROR(GETPIVOTDATA("合計 / " &amp; $B21,【ピボット】事業所収支!$A$3,"年月",AA$1,"事業所",$A21),"")</f>
        <v>903949</v>
      </c>
      <c r="AB21" s="461">
        <f>IFERROR(GETPIVOTDATA("合計 / " &amp; $B21,【ピボット】事業所収支!$A$3,"年月",AB$1,"事業所",$A21),"")</f>
        <v>0</v>
      </c>
      <c r="AC21" s="461">
        <f>IFERROR(GETPIVOTDATA("合計 / " &amp; $B21,【ピボット】事業所収支!$A$3,"年月",AC$1,"事業所",$A21),"")</f>
        <v>13148</v>
      </c>
      <c r="AD21" s="462">
        <f ca="1">SUM(OFFSET(AC21,0,当期月数):AC21)</f>
        <v>7719655</v>
      </c>
      <c r="AE21" s="463">
        <f ca="1">AVERAGE(OFFSET(AC21,0,当期月数):AC21)</f>
        <v>964956.875</v>
      </c>
    </row>
    <row r="22" spans="1:31" ht="26.45" customHeight="1" x14ac:dyDescent="0.15">
      <c r="A22" t="s">
        <v>972</v>
      </c>
      <c r="B22" t="s">
        <v>15</v>
      </c>
      <c r="D22" s="2144"/>
      <c r="E22" s="93" t="s">
        <v>15</v>
      </c>
      <c r="F22" s="94" t="str">
        <f>IFERROR(GETPIVOTDATA("合計 / " &amp; $B22,【ピボット】事業所収支!$A$3,"年月",F$1,"事業所",$A22),"")</f>
        <v/>
      </c>
      <c r="G22" s="458" t="str">
        <f>IFERROR(GETPIVOTDATA("合計 / " &amp; $B22,【ピボット】事業所収支!$A$3,"年月",G$1,"事業所",$A22),"")</f>
        <v/>
      </c>
      <c r="H22" s="458" t="str">
        <f>IFERROR(GETPIVOTDATA("合計 / " &amp; $B22,【ピボット】事業所収支!$A$3,"年月",H$1,"事業所",$A22),"")</f>
        <v/>
      </c>
      <c r="I22" s="458" t="str">
        <f>IFERROR(GETPIVOTDATA("合計 / " &amp; $B22,【ピボット】事業所収支!$A$3,"年月",I$1,"事業所",$A22),"")</f>
        <v/>
      </c>
      <c r="J22" s="458" t="str">
        <f>IFERROR(GETPIVOTDATA("合計 / " &amp; $B22,【ピボット】事業所収支!$A$3,"年月",J$1,"事業所",$A22),"")</f>
        <v/>
      </c>
      <c r="K22" s="458" t="str">
        <f>IFERROR(GETPIVOTDATA("合計 / " &amp; $B22,【ピボット】事業所収支!$A$3,"年月",K$1,"事業所",$A22),"")</f>
        <v/>
      </c>
      <c r="L22" s="458" t="str">
        <f>IFERROR(GETPIVOTDATA("合計 / " &amp; $B22,【ピボット】事業所収支!$A$3,"年月",L$1,"事業所",$A22),"")</f>
        <v/>
      </c>
      <c r="M22" s="458" t="str">
        <f>IFERROR(GETPIVOTDATA("合計 / " &amp; $B22,【ピボット】事業所収支!$A$3,"年月",M$1,"事業所",$A22),"")</f>
        <v/>
      </c>
      <c r="N22" s="458" t="str">
        <f>IFERROR(GETPIVOTDATA("合計 / " &amp; $B22,【ピボット】事業所収支!$A$3,"年月",N$1,"事業所",$A22),"")</f>
        <v/>
      </c>
      <c r="O22" s="458" t="str">
        <f>IFERROR(GETPIVOTDATA("合計 / " &amp; $B22,【ピボット】事業所収支!$A$3,"年月",O$1,"事業所",$A22),"")</f>
        <v/>
      </c>
      <c r="P22" s="458">
        <f>IFERROR(GETPIVOTDATA("合計 / " &amp; $B22,【ピボット】事業所収支!$A$3,"年月",P$1,"事業所",$A22),"")</f>
        <v>0</v>
      </c>
      <c r="Q22" s="458">
        <f>IFERROR(GETPIVOTDATA("合計 / " &amp; $B22,【ピボット】事業所収支!$A$3,"年月",Q$1,"事業所",$A22),"")</f>
        <v>0</v>
      </c>
      <c r="R22" s="458">
        <f>IFERROR(GETPIVOTDATA("合計 / " &amp; $B22,【ピボット】事業所収支!$A$3,"年月",R$1,"事業所",$A22),"")</f>
        <v>394863</v>
      </c>
      <c r="S22" s="458">
        <f>IFERROR(GETPIVOTDATA("合計 / " &amp; $B22,【ピボット】事業所収支!$A$3,"年月",S$1,"事業所",$A22),"")</f>
        <v>845708</v>
      </c>
      <c r="T22" s="458">
        <f>IFERROR(GETPIVOTDATA("合計 / " &amp; $B22,【ピボット】事業所収支!$A$3,"年月",T$1,"事業所",$A22),"")</f>
        <v>534698</v>
      </c>
      <c r="U22" s="458">
        <f>IFERROR(GETPIVOTDATA("合計 / " &amp; $B22,【ピボット】事業所収支!$A$3,"年月",U$1,"事業所",$A22),"")</f>
        <v>636291</v>
      </c>
      <c r="V22" s="458">
        <f>IFERROR(GETPIVOTDATA("合計 / " &amp; $B22,【ピボット】事業所収支!$A$3,"年月",V$1,"事業所",$A22),"")</f>
        <v>1097703</v>
      </c>
      <c r="W22" s="458">
        <f>IFERROR(GETPIVOTDATA("合計 / " &amp; $B22,【ピボット】事業所収支!$A$3,"年月",W$1,"事業所",$A22),"")</f>
        <v>834332</v>
      </c>
      <c r="X22" s="458">
        <f>IFERROR(GETPIVOTDATA("合計 / " &amp; $B22,【ピボット】事業所収支!$A$3,"年月",X$1,"事業所",$A22),"")</f>
        <v>657648</v>
      </c>
      <c r="Y22" s="458">
        <f>IFERROR(GETPIVOTDATA("合計 / " &amp; $B22,【ピボット】事業所収支!$A$3,"年月",Y$1,"事業所",$A22),"")</f>
        <v>1225203</v>
      </c>
      <c r="Z22" s="458">
        <f>IFERROR(GETPIVOTDATA("合計 / " &amp; $B22,【ピボット】事業所収支!$A$3,"年月",Z$1,"事業所",$A22),"")</f>
        <v>643986</v>
      </c>
      <c r="AA22" s="458">
        <f>IFERROR(GETPIVOTDATA("合計 / " &amp; $B22,【ピボット】事業所収支!$A$3,"年月",AA$1,"事業所",$A22),"")</f>
        <v>588032</v>
      </c>
      <c r="AB22" s="458">
        <f>IFERROR(GETPIVOTDATA("合計 / " &amp; $B22,【ピボット】事業所収支!$A$3,"年月",AB$1,"事業所",$A22),"")</f>
        <v>0</v>
      </c>
      <c r="AC22" s="458">
        <f>IFERROR(GETPIVOTDATA("合計 / " &amp; $B22,【ピボット】事業所収支!$A$3,"年月",AC$1,"事業所",$A22),"")</f>
        <v>0</v>
      </c>
      <c r="AD22" s="459">
        <f ca="1">SUM(OFFSET(AC22,0,当期月数):AC22)</f>
        <v>5046904</v>
      </c>
      <c r="AE22" s="460">
        <f ca="1">AVERAGE(OFFSET(AC22,0,当期月数):AC22)</f>
        <v>630863</v>
      </c>
    </row>
    <row r="23" spans="1:31" ht="26.45" customHeight="1" x14ac:dyDescent="0.15">
      <c r="A23" t="s">
        <v>982</v>
      </c>
      <c r="B23" t="s">
        <v>48</v>
      </c>
      <c r="D23" s="2144"/>
      <c r="E23" s="93" t="s">
        <v>48</v>
      </c>
      <c r="F23" s="96" t="str">
        <f t="shared" ref="F23:AC23" si="9">IFERROR(F22/F21,"")</f>
        <v/>
      </c>
      <c r="G23" s="464" t="str">
        <f t="shared" si="9"/>
        <v/>
      </c>
      <c r="H23" s="464" t="str">
        <f t="shared" si="9"/>
        <v/>
      </c>
      <c r="I23" s="464" t="str">
        <f t="shared" si="9"/>
        <v/>
      </c>
      <c r="J23" s="464" t="str">
        <f t="shared" si="9"/>
        <v/>
      </c>
      <c r="K23" s="464" t="str">
        <f t="shared" si="9"/>
        <v/>
      </c>
      <c r="L23" s="464" t="str">
        <f t="shared" si="9"/>
        <v/>
      </c>
      <c r="M23" s="464" t="str">
        <f t="shared" si="9"/>
        <v/>
      </c>
      <c r="N23" s="464" t="str">
        <f t="shared" si="9"/>
        <v/>
      </c>
      <c r="O23" s="464" t="str">
        <f t="shared" si="9"/>
        <v/>
      </c>
      <c r="P23" s="464" t="str">
        <f t="shared" si="9"/>
        <v/>
      </c>
      <c r="Q23" s="464" t="str">
        <f t="shared" si="9"/>
        <v/>
      </c>
      <c r="R23" s="464" t="str">
        <f t="shared" si="9"/>
        <v/>
      </c>
      <c r="S23" s="464">
        <f t="shared" si="9"/>
        <v>8.3828914110125385</v>
      </c>
      <c r="T23" s="464">
        <f t="shared" si="9"/>
        <v>0.8063853532002172</v>
      </c>
      <c r="U23" s="464">
        <f t="shared" si="9"/>
        <v>1.0183491083917762</v>
      </c>
      <c r="V23" s="464">
        <f t="shared" si="9"/>
        <v>0.91990550399823012</v>
      </c>
      <c r="W23" s="464">
        <f t="shared" si="9"/>
        <v>0.51137510067138781</v>
      </c>
      <c r="X23" s="464">
        <f t="shared" si="9"/>
        <v>0.50739981205356932</v>
      </c>
      <c r="Y23" s="464">
        <f t="shared" si="9"/>
        <v>0.80560622180023489</v>
      </c>
      <c r="Z23" s="464">
        <f t="shared" si="9"/>
        <v>0.55479016587208185</v>
      </c>
      <c r="AA23" s="464">
        <f t="shared" si="9"/>
        <v>0.65051457549043146</v>
      </c>
      <c r="AB23" s="464" t="str">
        <f t="shared" si="9"/>
        <v/>
      </c>
      <c r="AC23" s="464">
        <f t="shared" si="9"/>
        <v>0</v>
      </c>
      <c r="AD23" s="465">
        <f ca="1">AD22/AD21</f>
        <v>0.65377325800181485</v>
      </c>
      <c r="AE23" s="466">
        <f ca="1">AE22/AE21</f>
        <v>0.65377325800181485</v>
      </c>
    </row>
    <row r="24" spans="1:31" ht="26.45" customHeight="1" x14ac:dyDescent="0.15">
      <c r="A24" t="s">
        <v>972</v>
      </c>
      <c r="B24" t="s">
        <v>1230</v>
      </c>
      <c r="D24" s="2144"/>
      <c r="E24" s="93" t="s">
        <v>43</v>
      </c>
      <c r="F24" s="94" t="str">
        <f>IFERROR(GETPIVOTDATA("合計 / " &amp; $B24,【ピボット】事業所収支!$A$3,"年月",F$1,"事業所",$A24),"")</f>
        <v/>
      </c>
      <c r="G24" s="458" t="str">
        <f>IFERROR(GETPIVOTDATA("合計 / " &amp; $B24,【ピボット】事業所収支!$A$3,"年月",G$1,"事業所",$A24),"")</f>
        <v/>
      </c>
      <c r="H24" s="458" t="str">
        <f>IFERROR(GETPIVOTDATA("合計 / " &amp; $B24,【ピボット】事業所収支!$A$3,"年月",H$1,"事業所",$A24),"")</f>
        <v/>
      </c>
      <c r="I24" s="458" t="str">
        <f>IFERROR(GETPIVOTDATA("合計 / " &amp; $B24,【ピボット】事業所収支!$A$3,"年月",I$1,"事業所",$A24),"")</f>
        <v/>
      </c>
      <c r="J24" s="458" t="str">
        <f>IFERROR(GETPIVOTDATA("合計 / " &amp; $B24,【ピボット】事業所収支!$A$3,"年月",J$1,"事業所",$A24),"")</f>
        <v/>
      </c>
      <c r="K24" s="458" t="str">
        <f>IFERROR(GETPIVOTDATA("合計 / " &amp; $B24,【ピボット】事業所収支!$A$3,"年月",K$1,"事業所",$A24),"")</f>
        <v/>
      </c>
      <c r="L24" s="458" t="str">
        <f>IFERROR(GETPIVOTDATA("合計 / " &amp; $B24,【ピボット】事業所収支!$A$3,"年月",L$1,"事業所",$A24),"")</f>
        <v/>
      </c>
      <c r="M24" s="458" t="str">
        <f>IFERROR(GETPIVOTDATA("合計 / " &amp; $B24,【ピボット】事業所収支!$A$3,"年月",M$1,"事業所",$A24),"")</f>
        <v/>
      </c>
      <c r="N24" s="458" t="str">
        <f>IFERROR(GETPIVOTDATA("合計 / " &amp; $B24,【ピボット】事業所収支!$A$3,"年月",N$1,"事業所",$A24),"")</f>
        <v/>
      </c>
      <c r="O24" s="458" t="str">
        <f>IFERROR(GETPIVOTDATA("合計 / " &amp; $B24,【ピボット】事業所収支!$A$3,"年月",O$1,"事業所",$A24),"")</f>
        <v/>
      </c>
      <c r="P24" s="458">
        <f>IFERROR(GETPIVOTDATA("合計 / " &amp; $B24,【ピボット】事業所収支!$A$3,"年月",P$1,"事業所",$A24),"")</f>
        <v>793800</v>
      </c>
      <c r="Q24" s="458">
        <f>IFERROR(GETPIVOTDATA("合計 / " &amp; $B24,【ピボット】事業所収支!$A$3,"年月",Q$1,"事業所",$A24),"")</f>
        <v>741095</v>
      </c>
      <c r="R24" s="458">
        <f>IFERROR(GETPIVOTDATA("合計 / " &amp; $B24,【ピボット】事業所収支!$A$3,"年月",R$1,"事業所",$A24),"")</f>
        <v>690320</v>
      </c>
      <c r="S24" s="458">
        <f>IFERROR(GETPIVOTDATA("合計 / " &amp; $B24,【ピボット】事業所収支!$A$3,"年月",S$1,"事業所",$A24),"")</f>
        <v>759192</v>
      </c>
      <c r="T24" s="458">
        <f>IFERROR(GETPIVOTDATA("合計 / " &amp; $B24,【ピボット】事業所収支!$A$3,"年月",T$1,"事業所",$A24),"")</f>
        <v>713868</v>
      </c>
      <c r="U24" s="458">
        <f>IFERROR(GETPIVOTDATA("合計 / " &amp; $B24,【ピボット】事業所収支!$A$3,"年月",U$1,"事業所",$A24),"")</f>
        <v>683798</v>
      </c>
      <c r="V24" s="458">
        <f>IFERROR(GETPIVOTDATA("合計 / " &amp; $B24,【ピボット】事業所収支!$A$3,"年月",V$1,"事業所",$A24),"")</f>
        <v>600303</v>
      </c>
      <c r="W24" s="458">
        <f>IFERROR(GETPIVOTDATA("合計 / " &amp; $B24,【ピボット】事業所収支!$A$3,"年月",W$1,"事業所",$A24),"")</f>
        <v>606856</v>
      </c>
      <c r="X24" s="458">
        <f>IFERROR(GETPIVOTDATA("合計 / " &amp; $B24,【ピボット】事業所収支!$A$3,"年月",X$1,"事業所",$A24),"")</f>
        <v>530155</v>
      </c>
      <c r="Y24" s="458">
        <f>IFERROR(GETPIVOTDATA("合計 / " &amp; $B24,【ピボット】事業所収支!$A$3,"年月",Y$1,"事業所",$A24),"")</f>
        <v>544701</v>
      </c>
      <c r="Z24" s="458">
        <f>IFERROR(GETPIVOTDATA("合計 / " &amp; $B24,【ピボット】事業所収支!$A$3,"年月",Z$1,"事業所",$A24),"")</f>
        <v>476615</v>
      </c>
      <c r="AA24" s="458">
        <f>IFERROR(GETPIVOTDATA("合計 / " &amp; $B24,【ピボット】事業所収支!$A$3,"年月",AA$1,"事業所",$A24),"")</f>
        <v>364736</v>
      </c>
      <c r="AB24" s="458">
        <f>IFERROR(GETPIVOTDATA("合計 / " &amp; $B24,【ピボット】事業所収支!$A$3,"年月",AB$1,"事業所",$A24),"")</f>
        <v>329510</v>
      </c>
      <c r="AC24" s="458">
        <f>IFERROR(GETPIVOTDATA("合計 / " &amp; $B24,【ピボット】事業所収支!$A$3,"年月",AC$1,"事業所",$A24),"")</f>
        <v>275106</v>
      </c>
      <c r="AD24" s="459">
        <f ca="1">SUM(OFFSET(AC24,0,当期月数):AC24)</f>
        <v>3727982</v>
      </c>
      <c r="AE24" s="460">
        <f ca="1">AVERAGE(OFFSET(AC24,0,当期月数):AC24)</f>
        <v>465997.75</v>
      </c>
    </row>
    <row r="25" spans="1:31" ht="26.45" customHeight="1" x14ac:dyDescent="0.15">
      <c r="A25" t="s">
        <v>972</v>
      </c>
      <c r="B25" t="s">
        <v>32</v>
      </c>
      <c r="D25" s="2144"/>
      <c r="E25" s="117" t="s">
        <v>32</v>
      </c>
      <c r="F25" s="118" t="str">
        <f t="shared" ref="F25:AC25" si="10">IFERROR(F21-(F22+F24),"")</f>
        <v/>
      </c>
      <c r="G25" s="467" t="str">
        <f t="shared" si="10"/>
        <v/>
      </c>
      <c r="H25" s="467" t="str">
        <f t="shared" si="10"/>
        <v/>
      </c>
      <c r="I25" s="467" t="str">
        <f t="shared" si="10"/>
        <v/>
      </c>
      <c r="J25" s="467" t="str">
        <f t="shared" si="10"/>
        <v/>
      </c>
      <c r="K25" s="467" t="str">
        <f t="shared" si="10"/>
        <v/>
      </c>
      <c r="L25" s="467" t="str">
        <f t="shared" si="10"/>
        <v/>
      </c>
      <c r="M25" s="467" t="str">
        <f t="shared" si="10"/>
        <v/>
      </c>
      <c r="N25" s="467" t="str">
        <f t="shared" si="10"/>
        <v/>
      </c>
      <c r="O25" s="467" t="str">
        <f t="shared" si="10"/>
        <v/>
      </c>
      <c r="P25" s="467">
        <f t="shared" si="10"/>
        <v>-793800</v>
      </c>
      <c r="Q25" s="467">
        <f t="shared" si="10"/>
        <v>-741095</v>
      </c>
      <c r="R25" s="467">
        <f t="shared" si="10"/>
        <v>-1085183</v>
      </c>
      <c r="S25" s="467">
        <f t="shared" si="10"/>
        <v>-1504015</v>
      </c>
      <c r="T25" s="467">
        <f t="shared" si="10"/>
        <v>-585486</v>
      </c>
      <c r="U25" s="467">
        <f t="shared" si="10"/>
        <v>-695263</v>
      </c>
      <c r="V25" s="467">
        <f t="shared" si="10"/>
        <v>-504728</v>
      </c>
      <c r="W25" s="467">
        <f t="shared" si="10"/>
        <v>190358</v>
      </c>
      <c r="X25" s="467">
        <f t="shared" si="10"/>
        <v>108311</v>
      </c>
      <c r="Y25" s="467">
        <f t="shared" si="10"/>
        <v>-249058</v>
      </c>
      <c r="Z25" s="467">
        <f t="shared" si="10"/>
        <v>40173</v>
      </c>
      <c r="AA25" s="467">
        <f t="shared" si="10"/>
        <v>-48819</v>
      </c>
      <c r="AB25" s="467">
        <f t="shared" si="10"/>
        <v>-329510</v>
      </c>
      <c r="AC25" s="467">
        <f t="shared" si="10"/>
        <v>-261958</v>
      </c>
      <c r="AD25" s="468">
        <f ca="1">SUM(OFFSET(AC25,0,当期月数):AC25)</f>
        <v>-1055231</v>
      </c>
      <c r="AE25" s="469">
        <f ca="1">AVERAGE(OFFSET(AC25,0,当期月数):AC25)</f>
        <v>-131903.875</v>
      </c>
    </row>
    <row r="26" spans="1:31" ht="26.45" customHeight="1" thickBot="1" x14ac:dyDescent="0.2">
      <c r="B26" t="s">
        <v>177</v>
      </c>
      <c r="D26" s="2145"/>
      <c r="E26" s="119" t="s">
        <v>177</v>
      </c>
      <c r="F26" s="120" t="str">
        <f t="shared" ref="F26:AC26" si="11">IFERROR(F25/F21,"")</f>
        <v/>
      </c>
      <c r="G26" s="470" t="str">
        <f t="shared" si="11"/>
        <v/>
      </c>
      <c r="H26" s="470" t="str">
        <f t="shared" si="11"/>
        <v/>
      </c>
      <c r="I26" s="470" t="str">
        <f t="shared" si="11"/>
        <v/>
      </c>
      <c r="J26" s="470" t="str">
        <f t="shared" si="11"/>
        <v/>
      </c>
      <c r="K26" s="470" t="str">
        <f t="shared" si="11"/>
        <v/>
      </c>
      <c r="L26" s="470" t="str">
        <f t="shared" si="11"/>
        <v/>
      </c>
      <c r="M26" s="470" t="str">
        <f t="shared" si="11"/>
        <v/>
      </c>
      <c r="N26" s="470" t="str">
        <f t="shared" si="11"/>
        <v/>
      </c>
      <c r="O26" s="470" t="str">
        <f t="shared" si="11"/>
        <v/>
      </c>
      <c r="P26" s="470" t="str">
        <f t="shared" si="11"/>
        <v/>
      </c>
      <c r="Q26" s="470" t="str">
        <f t="shared" si="11"/>
        <v/>
      </c>
      <c r="R26" s="470" t="str">
        <f t="shared" si="11"/>
        <v/>
      </c>
      <c r="S26" s="470">
        <f t="shared" si="11"/>
        <v>-14.908212320959509</v>
      </c>
      <c r="T26" s="470">
        <f t="shared" si="11"/>
        <v>-0.88297942932979434</v>
      </c>
      <c r="U26" s="470">
        <f t="shared" si="11"/>
        <v>-1.1127305841946398</v>
      </c>
      <c r="V26" s="470">
        <f t="shared" si="11"/>
        <v>-0.42297603743637274</v>
      </c>
      <c r="W26" s="470">
        <f t="shared" si="11"/>
        <v>0.11667338830777679</v>
      </c>
      <c r="X26" s="470">
        <f t="shared" si="11"/>
        <v>8.3565951760416132E-2</v>
      </c>
      <c r="Y26" s="470">
        <f t="shared" si="11"/>
        <v>-0.16376280044133332</v>
      </c>
      <c r="Z26" s="470">
        <f t="shared" si="11"/>
        <v>3.460880412552314E-2</v>
      </c>
      <c r="AA26" s="470">
        <f t="shared" si="11"/>
        <v>-5.4006365403357931E-2</v>
      </c>
      <c r="AB26" s="470" t="str">
        <f t="shared" si="11"/>
        <v/>
      </c>
      <c r="AC26" s="470">
        <f t="shared" si="11"/>
        <v>-19.923790690599329</v>
      </c>
      <c r="AD26" s="471">
        <f ca="1">AD25/AD21</f>
        <v>-0.13669406210510704</v>
      </c>
      <c r="AE26" s="472">
        <f ca="1">AE25/AE21</f>
        <v>-0.13669406210510704</v>
      </c>
    </row>
    <row r="27" spans="1:31" ht="26.45" customHeight="1" x14ac:dyDescent="0.15">
      <c r="A27" t="s">
        <v>1199</v>
      </c>
      <c r="B27" t="s">
        <v>26</v>
      </c>
      <c r="D27" s="2143" t="s">
        <v>1199</v>
      </c>
      <c r="E27" s="91" t="s">
        <v>26</v>
      </c>
      <c r="F27" s="95" t="str">
        <f>IFERROR(GETPIVOTDATA("合計 / " &amp; $B27,【ピボット】事業所収支!$A$3,"年月",F$1,"事業所",$A27),"")</f>
        <v/>
      </c>
      <c r="G27" s="461" t="str">
        <f>IFERROR(GETPIVOTDATA("合計 / " &amp; $B27,【ピボット】事業所収支!$A$3,"年月",G$1,"事業所",$A27),"")</f>
        <v/>
      </c>
      <c r="H27" s="461" t="str">
        <f>IFERROR(GETPIVOTDATA("合計 / " &amp; $B27,【ピボット】事業所収支!$A$3,"年月",H$1,"事業所",$A27),"")</f>
        <v/>
      </c>
      <c r="I27" s="461" t="str">
        <f>IFERROR(GETPIVOTDATA("合計 / " &amp; $B27,【ピボット】事業所収支!$A$3,"年月",I$1,"事業所",$A27),"")</f>
        <v/>
      </c>
      <c r="J27" s="461" t="str">
        <f>IFERROR(GETPIVOTDATA("合計 / " &amp; $B27,【ピボット】事業所収支!$A$3,"年月",J$1,"事業所",$A27),"")</f>
        <v/>
      </c>
      <c r="K27" s="461" t="str">
        <f>IFERROR(GETPIVOTDATA("合計 / " &amp; $B27,【ピボット】事業所収支!$A$3,"年月",K$1,"事業所",$A27),"")</f>
        <v/>
      </c>
      <c r="L27" s="461" t="str">
        <f>IFERROR(GETPIVOTDATA("合計 / " &amp; $B27,【ピボット】事業所収支!$A$3,"年月",L$1,"事業所",$A27),"")</f>
        <v/>
      </c>
      <c r="M27" s="461" t="str">
        <f>IFERROR(GETPIVOTDATA("合計 / " &amp; $B27,【ピボット】事業所収支!$A$3,"年月",M$1,"事業所",$A27),"")</f>
        <v/>
      </c>
      <c r="N27" s="461" t="str">
        <f>IFERROR(GETPIVOTDATA("合計 / " &amp; $B27,【ピボット】事業所収支!$A$3,"年月",N$1,"事業所",$A27),"")</f>
        <v/>
      </c>
      <c r="O27" s="461" t="str">
        <f>IFERROR(GETPIVOTDATA("合計 / " &amp; $B27,【ピボット】事業所収支!$A$3,"年月",O$1,"事業所",$A27),"")</f>
        <v/>
      </c>
      <c r="P27" s="461" t="str">
        <f>IFERROR(GETPIVOTDATA("合計 / " &amp; $B27,【ピボット】事業所収支!$A$3,"年月",P$1,"事業所",$A27),"")</f>
        <v/>
      </c>
      <c r="Q27" s="461" t="str">
        <f>IFERROR(GETPIVOTDATA("合計 / " &amp; $B27,【ピボット】事業所収支!$A$3,"年月",Q$1,"事業所",$A27),"")</f>
        <v/>
      </c>
      <c r="R27" s="461" t="str">
        <f>IFERROR(GETPIVOTDATA("合計 / " &amp; $B27,【ピボット】事業所収支!$A$3,"年月",R$1,"事業所",$A27),"")</f>
        <v/>
      </c>
      <c r="S27" s="461" t="str">
        <f>IFERROR(GETPIVOTDATA("合計 / " &amp; $B27,【ピボット】事業所収支!$A$3,"年月",S$1,"事業所",$A27),"")</f>
        <v/>
      </c>
      <c r="T27" s="461">
        <f>IFERROR(GETPIVOTDATA("合計 / " &amp; $B27,【ピボット】事業所収支!$A$3,"年月",T$1,"事業所",$A27),"")</f>
        <v>0</v>
      </c>
      <c r="U27" s="461">
        <f>IFERROR(GETPIVOTDATA("合計 / " &amp; $B27,【ピボット】事業所収支!$A$3,"年月",U$1,"事業所",$A27),"")</f>
        <v>0</v>
      </c>
      <c r="V27" s="461">
        <f>IFERROR(GETPIVOTDATA("合計 / " &amp; $B27,【ピボット】事業所収支!$A$3,"年月",V$1,"事業所",$A27),"")</f>
        <v>0</v>
      </c>
      <c r="W27" s="461">
        <f>IFERROR(GETPIVOTDATA("合計 / " &amp; $B27,【ピボット】事業所収支!$A$3,"年月",W$1,"事業所",$A27),"")</f>
        <v>234284</v>
      </c>
      <c r="X27" s="461">
        <f>IFERROR(GETPIVOTDATA("合計 / " &amp; $B27,【ピボット】事業所収支!$A$3,"年月",X$1,"事業所",$A27),"")</f>
        <v>485638</v>
      </c>
      <c r="Y27" s="461">
        <f>IFERROR(GETPIVOTDATA("合計 / " &amp; $B27,【ピボット】事業所収支!$A$3,"年月",Y$1,"事業所",$A27),"")</f>
        <v>701720</v>
      </c>
      <c r="Z27" s="461">
        <f>IFERROR(GETPIVOTDATA("合計 / " &amp; $B27,【ピボット】事業所収支!$A$3,"年月",Z$1,"事業所",$A27),"")</f>
        <v>810680</v>
      </c>
      <c r="AA27" s="461">
        <f>IFERROR(GETPIVOTDATA("合計 / " &amp; $B27,【ピボット】事業所収支!$A$3,"年月",AA$1,"事業所",$A27),"")</f>
        <v>1060746</v>
      </c>
      <c r="AB27" s="461">
        <f>IFERROR(GETPIVOTDATA("合計 / " &amp; $B27,【ピボット】事業所収支!$A$3,"年月",AB$1,"事業所",$A27),"")</f>
        <v>1438607</v>
      </c>
      <c r="AC27" s="461">
        <f>IFERROR(GETPIVOTDATA("合計 / " &amp; $B27,【ピボット】事業所収支!$A$3,"年月",AC$1,"事業所",$A27),"")</f>
        <v>1905194</v>
      </c>
      <c r="AD27" s="462">
        <f ca="1">SUM(OFFSET(AC27,0,当期月数):AC27)</f>
        <v>6636869</v>
      </c>
      <c r="AE27" s="463">
        <f ca="1">AVERAGE(OFFSET(AC27,0,当期月数):AC27)</f>
        <v>829608.625</v>
      </c>
    </row>
    <row r="28" spans="1:31" ht="26.45" customHeight="1" x14ac:dyDescent="0.15">
      <c r="A28" t="s">
        <v>1199</v>
      </c>
      <c r="B28" t="s">
        <v>15</v>
      </c>
      <c r="D28" s="2144"/>
      <c r="E28" s="93" t="s">
        <v>15</v>
      </c>
      <c r="F28" s="94" t="str">
        <f>IFERROR(GETPIVOTDATA("合計 / " &amp; $B28,【ピボット】事業所収支!$A$3,"年月",F$1,"事業所",$A28),"")</f>
        <v/>
      </c>
      <c r="G28" s="458" t="str">
        <f>IFERROR(GETPIVOTDATA("合計 / " &amp; $B28,【ピボット】事業所収支!$A$3,"年月",G$1,"事業所",$A28),"")</f>
        <v/>
      </c>
      <c r="H28" s="458" t="str">
        <f>IFERROR(GETPIVOTDATA("合計 / " &amp; $B28,【ピボット】事業所収支!$A$3,"年月",H$1,"事業所",$A28),"")</f>
        <v/>
      </c>
      <c r="I28" s="458" t="str">
        <f>IFERROR(GETPIVOTDATA("合計 / " &amp; $B28,【ピボット】事業所収支!$A$3,"年月",I$1,"事業所",$A28),"")</f>
        <v/>
      </c>
      <c r="J28" s="458" t="str">
        <f>IFERROR(GETPIVOTDATA("合計 / " &amp; $B28,【ピボット】事業所収支!$A$3,"年月",J$1,"事業所",$A28),"")</f>
        <v/>
      </c>
      <c r="K28" s="458" t="str">
        <f>IFERROR(GETPIVOTDATA("合計 / " &amp; $B28,【ピボット】事業所収支!$A$3,"年月",K$1,"事業所",$A28),"")</f>
        <v/>
      </c>
      <c r="L28" s="458" t="str">
        <f>IFERROR(GETPIVOTDATA("合計 / " &amp; $B28,【ピボット】事業所収支!$A$3,"年月",L$1,"事業所",$A28),"")</f>
        <v/>
      </c>
      <c r="M28" s="458" t="str">
        <f>IFERROR(GETPIVOTDATA("合計 / " &amp; $B28,【ピボット】事業所収支!$A$3,"年月",M$1,"事業所",$A28),"")</f>
        <v/>
      </c>
      <c r="N28" s="458" t="str">
        <f>IFERROR(GETPIVOTDATA("合計 / " &amp; $B28,【ピボット】事業所収支!$A$3,"年月",N$1,"事業所",$A28),"")</f>
        <v/>
      </c>
      <c r="O28" s="458" t="str">
        <f>IFERROR(GETPIVOTDATA("合計 / " &amp; $B28,【ピボット】事業所収支!$A$3,"年月",O$1,"事業所",$A28),"")</f>
        <v/>
      </c>
      <c r="P28" s="458" t="str">
        <f>IFERROR(GETPIVOTDATA("合計 / " &amp; $B28,【ピボット】事業所収支!$A$3,"年月",P$1,"事業所",$A28),"")</f>
        <v/>
      </c>
      <c r="Q28" s="458" t="str">
        <f>IFERROR(GETPIVOTDATA("合計 / " &amp; $B28,【ピボット】事業所収支!$A$3,"年月",Q$1,"事業所",$A28),"")</f>
        <v/>
      </c>
      <c r="R28" s="458" t="str">
        <f>IFERROR(GETPIVOTDATA("合計 / " &amp; $B28,【ピボット】事業所収支!$A$3,"年月",R$1,"事業所",$A28),"")</f>
        <v/>
      </c>
      <c r="S28" s="458" t="str">
        <f>IFERROR(GETPIVOTDATA("合計 / " &amp; $B28,【ピボット】事業所収支!$A$3,"年月",S$1,"事業所",$A28),"")</f>
        <v/>
      </c>
      <c r="T28" s="458">
        <f>IFERROR(GETPIVOTDATA("合計 / " &amp; $B28,【ピボット】事業所収支!$A$3,"年月",T$1,"事業所",$A28),"")</f>
        <v>0</v>
      </c>
      <c r="U28" s="458">
        <f>IFERROR(GETPIVOTDATA("合計 / " &amp; $B28,【ピボット】事業所収支!$A$3,"年月",U$1,"事業所",$A28),"")</f>
        <v>0</v>
      </c>
      <c r="V28" s="458">
        <f>IFERROR(GETPIVOTDATA("合計 / " &amp; $B28,【ピボット】事業所収支!$A$3,"年月",V$1,"事業所",$A28),"")</f>
        <v>56395</v>
      </c>
      <c r="W28" s="458">
        <f>IFERROR(GETPIVOTDATA("合計 / " &amp; $B28,【ピボット】事業所収支!$A$3,"年月",W$1,"事業所",$A28),"")</f>
        <v>433580</v>
      </c>
      <c r="X28" s="458">
        <f>IFERROR(GETPIVOTDATA("合計 / " &amp; $B28,【ピボット】事業所収支!$A$3,"年月",X$1,"事業所",$A28),"")</f>
        <v>488250</v>
      </c>
      <c r="Y28" s="458">
        <f>IFERROR(GETPIVOTDATA("合計 / " &amp; $B28,【ピボット】事業所収支!$A$3,"年月",Y$1,"事業所",$A28),"")</f>
        <v>561749</v>
      </c>
      <c r="Z28" s="458">
        <f>IFERROR(GETPIVOTDATA("合計 / " &amp; $B28,【ピボット】事業所収支!$A$3,"年月",Z$1,"事業所",$A28),"")</f>
        <v>692404</v>
      </c>
      <c r="AA28" s="458">
        <f>IFERROR(GETPIVOTDATA("合計 / " &amp; $B28,【ピボット】事業所収支!$A$3,"年月",AA$1,"事業所",$A28),"")</f>
        <v>691176</v>
      </c>
      <c r="AB28" s="458">
        <f>IFERROR(GETPIVOTDATA("合計 / " &amp; $B28,【ピボット】事業所収支!$A$3,"年月",AB$1,"事業所",$A28),"")</f>
        <v>1124832</v>
      </c>
      <c r="AC28" s="458">
        <f>IFERROR(GETPIVOTDATA("合計 / " &amp; $B28,【ピボット】事業所収支!$A$3,"年月",AC$1,"事業所",$A28),"")</f>
        <v>1318589</v>
      </c>
      <c r="AD28" s="459">
        <f ca="1">SUM(OFFSET(AC28,0,当期月数):AC28)</f>
        <v>5366975</v>
      </c>
      <c r="AE28" s="460">
        <f ca="1">AVERAGE(OFFSET(AC28,0,当期月数):AC28)</f>
        <v>670871.875</v>
      </c>
    </row>
    <row r="29" spans="1:31" ht="26.45" customHeight="1" x14ac:dyDescent="0.15">
      <c r="A29" t="s">
        <v>1199</v>
      </c>
      <c r="B29" t="s">
        <v>48</v>
      </c>
      <c r="D29" s="2144"/>
      <c r="E29" s="93" t="s">
        <v>48</v>
      </c>
      <c r="F29" s="96" t="str">
        <f t="shared" ref="F29:AC29" si="12">IFERROR(F28/F27,"")</f>
        <v/>
      </c>
      <c r="G29" s="464" t="str">
        <f t="shared" si="12"/>
        <v/>
      </c>
      <c r="H29" s="464" t="str">
        <f t="shared" si="12"/>
        <v/>
      </c>
      <c r="I29" s="464" t="str">
        <f t="shared" si="12"/>
        <v/>
      </c>
      <c r="J29" s="464" t="str">
        <f t="shared" si="12"/>
        <v/>
      </c>
      <c r="K29" s="464" t="str">
        <f t="shared" si="12"/>
        <v/>
      </c>
      <c r="L29" s="464" t="str">
        <f t="shared" si="12"/>
        <v/>
      </c>
      <c r="M29" s="464" t="str">
        <f t="shared" si="12"/>
        <v/>
      </c>
      <c r="N29" s="464" t="str">
        <f t="shared" si="12"/>
        <v/>
      </c>
      <c r="O29" s="464" t="str">
        <f t="shared" si="12"/>
        <v/>
      </c>
      <c r="P29" s="464" t="str">
        <f t="shared" si="12"/>
        <v/>
      </c>
      <c r="Q29" s="464" t="str">
        <f t="shared" si="12"/>
        <v/>
      </c>
      <c r="R29" s="464" t="str">
        <f t="shared" si="12"/>
        <v/>
      </c>
      <c r="S29" s="464" t="str">
        <f t="shared" si="12"/>
        <v/>
      </c>
      <c r="T29" s="464" t="str">
        <f t="shared" si="12"/>
        <v/>
      </c>
      <c r="U29" s="464" t="str">
        <f t="shared" si="12"/>
        <v/>
      </c>
      <c r="V29" s="464" t="str">
        <f t="shared" si="12"/>
        <v/>
      </c>
      <c r="W29" s="464">
        <f t="shared" si="12"/>
        <v>1.8506598828771919</v>
      </c>
      <c r="X29" s="464">
        <f t="shared" si="12"/>
        <v>1.0053784917984177</v>
      </c>
      <c r="Y29" s="464">
        <f t="shared" si="12"/>
        <v>0.80053155104600127</v>
      </c>
      <c r="Z29" s="464">
        <f t="shared" si="12"/>
        <v>0.85410272857354319</v>
      </c>
      <c r="AA29" s="464">
        <f t="shared" si="12"/>
        <v>0.65159425536367799</v>
      </c>
      <c r="AB29" s="464">
        <f t="shared" si="12"/>
        <v>0.7818897030252181</v>
      </c>
      <c r="AC29" s="464">
        <f t="shared" si="12"/>
        <v>0.69210222161102752</v>
      </c>
      <c r="AD29" s="465">
        <f ca="1">AD28/AD27</f>
        <v>0.80866068020929749</v>
      </c>
      <c r="AE29" s="466">
        <f ca="1">AE28/AE27</f>
        <v>0.80866068020929749</v>
      </c>
    </row>
    <row r="30" spans="1:31" ht="26.45" customHeight="1" x14ac:dyDescent="0.15">
      <c r="A30" t="s">
        <v>1199</v>
      </c>
      <c r="B30" t="s">
        <v>1230</v>
      </c>
      <c r="D30" s="2144"/>
      <c r="E30" s="93" t="s">
        <v>43</v>
      </c>
      <c r="F30" s="94" t="str">
        <f>IFERROR(GETPIVOTDATA("合計 / " &amp; $B30,【ピボット】事業所収支!$A$3,"年月",F$1,"事業所",$A30),"")</f>
        <v/>
      </c>
      <c r="G30" s="458" t="str">
        <f>IFERROR(GETPIVOTDATA("合計 / " &amp; $B30,【ピボット】事業所収支!$A$3,"年月",G$1,"事業所",$A30),"")</f>
        <v/>
      </c>
      <c r="H30" s="458" t="str">
        <f>IFERROR(GETPIVOTDATA("合計 / " &amp; $B30,【ピボット】事業所収支!$A$3,"年月",H$1,"事業所",$A30),"")</f>
        <v/>
      </c>
      <c r="I30" s="458" t="str">
        <f>IFERROR(GETPIVOTDATA("合計 / " &amp; $B30,【ピボット】事業所収支!$A$3,"年月",I$1,"事業所",$A30),"")</f>
        <v/>
      </c>
      <c r="J30" s="458" t="str">
        <f>IFERROR(GETPIVOTDATA("合計 / " &amp; $B30,【ピボット】事業所収支!$A$3,"年月",J$1,"事業所",$A30),"")</f>
        <v/>
      </c>
      <c r="K30" s="458" t="str">
        <f>IFERROR(GETPIVOTDATA("合計 / " &amp; $B30,【ピボット】事業所収支!$A$3,"年月",K$1,"事業所",$A30),"")</f>
        <v/>
      </c>
      <c r="L30" s="458" t="str">
        <f>IFERROR(GETPIVOTDATA("合計 / " &amp; $B30,【ピボット】事業所収支!$A$3,"年月",L$1,"事業所",$A30),"")</f>
        <v/>
      </c>
      <c r="M30" s="458" t="str">
        <f>IFERROR(GETPIVOTDATA("合計 / " &amp; $B30,【ピボット】事業所収支!$A$3,"年月",M$1,"事業所",$A30),"")</f>
        <v/>
      </c>
      <c r="N30" s="458" t="str">
        <f>IFERROR(GETPIVOTDATA("合計 / " &amp; $B30,【ピボット】事業所収支!$A$3,"年月",N$1,"事業所",$A30),"")</f>
        <v/>
      </c>
      <c r="O30" s="458" t="str">
        <f>IFERROR(GETPIVOTDATA("合計 / " &amp; $B30,【ピボット】事業所収支!$A$3,"年月",O$1,"事業所",$A30),"")</f>
        <v/>
      </c>
      <c r="P30" s="458" t="str">
        <f>IFERROR(GETPIVOTDATA("合計 / " &amp; $B30,【ピボット】事業所収支!$A$3,"年月",P$1,"事業所",$A30),"")</f>
        <v/>
      </c>
      <c r="Q30" s="458" t="str">
        <f>IFERROR(GETPIVOTDATA("合計 / " &amp; $B30,【ピボット】事業所収支!$A$3,"年月",Q$1,"事業所",$A30),"")</f>
        <v/>
      </c>
      <c r="R30" s="458" t="str">
        <f>IFERROR(GETPIVOTDATA("合計 / " &amp; $B30,【ピボット】事業所収支!$A$3,"年月",R$1,"事業所",$A30),"")</f>
        <v/>
      </c>
      <c r="S30" s="458" t="str">
        <f>IFERROR(GETPIVOTDATA("合計 / " &amp; $B30,【ピボット】事業所収支!$A$3,"年月",S$1,"事業所",$A30),"")</f>
        <v/>
      </c>
      <c r="T30" s="458">
        <f>IFERROR(GETPIVOTDATA("合計 / " &amp; $B30,【ピボット】事業所収支!$A$3,"年月",T$1,"事業所",$A30),"")</f>
        <v>835563</v>
      </c>
      <c r="U30" s="458">
        <f>IFERROR(GETPIVOTDATA("合計 / " &amp; $B30,【ピボット】事業所収支!$A$3,"年月",U$1,"事業所",$A30),"")</f>
        <v>752125</v>
      </c>
      <c r="V30" s="458">
        <f>IFERROR(GETPIVOTDATA("合計 / " &amp; $B30,【ピボット】事業所収支!$A$3,"年月",V$1,"事業所",$A30),"")</f>
        <v>740398</v>
      </c>
      <c r="W30" s="458">
        <f>IFERROR(GETPIVOTDATA("合計 / " &amp; $B30,【ピボット】事業所収支!$A$3,"年月",W$1,"事業所",$A30),"")</f>
        <v>704776</v>
      </c>
      <c r="X30" s="458">
        <f>IFERROR(GETPIVOTDATA("合計 / " &amp; $B30,【ピボット】事業所収支!$A$3,"年月",X$1,"事業所",$A30),"")</f>
        <v>533896</v>
      </c>
      <c r="Y30" s="458">
        <f>IFERROR(GETPIVOTDATA("合計 / " &amp; $B30,【ピボット】事業所収支!$A$3,"年月",Y$1,"事業所",$A30),"")</f>
        <v>395245</v>
      </c>
      <c r="Z30" s="458">
        <f>IFERROR(GETPIVOTDATA("合計 / " &amp; $B30,【ピボット】事業所収支!$A$3,"年月",Z$1,"事業所",$A30),"")</f>
        <v>438641</v>
      </c>
      <c r="AA30" s="458">
        <f>IFERROR(GETPIVOTDATA("合計 / " &amp; $B30,【ピボット】事業所収支!$A$3,"年月",AA$1,"事業所",$A30),"")</f>
        <v>383687</v>
      </c>
      <c r="AB30" s="458">
        <f>IFERROR(GETPIVOTDATA("合計 / " &amp; $B30,【ピボット】事業所収支!$A$3,"年月",AB$1,"事業所",$A30),"")</f>
        <v>410646</v>
      </c>
      <c r="AC30" s="458">
        <f>IFERROR(GETPIVOTDATA("合計 / " &amp; $B30,【ピボット】事業所収支!$A$3,"年月",AC$1,"事業所",$A30),"")</f>
        <v>458741</v>
      </c>
      <c r="AD30" s="459">
        <f ca="1">SUM(OFFSET(AC30,0,当期月数):AC30)</f>
        <v>4066030</v>
      </c>
      <c r="AE30" s="460">
        <f ca="1">AVERAGE(OFFSET(AC30,0,当期月数):AC30)</f>
        <v>508253.75</v>
      </c>
    </row>
    <row r="31" spans="1:31" ht="26.45" customHeight="1" x14ac:dyDescent="0.15">
      <c r="A31" t="s">
        <v>1199</v>
      </c>
      <c r="B31" t="s">
        <v>32</v>
      </c>
      <c r="D31" s="2144"/>
      <c r="E31" s="117" t="s">
        <v>32</v>
      </c>
      <c r="F31" s="118" t="str">
        <f t="shared" ref="F31:AC31" si="13">IFERROR(F27-(F28+F30),"")</f>
        <v/>
      </c>
      <c r="G31" s="467" t="str">
        <f t="shared" si="13"/>
        <v/>
      </c>
      <c r="H31" s="467" t="str">
        <f t="shared" si="13"/>
        <v/>
      </c>
      <c r="I31" s="467" t="str">
        <f t="shared" si="13"/>
        <v/>
      </c>
      <c r="J31" s="467" t="str">
        <f t="shared" si="13"/>
        <v/>
      </c>
      <c r="K31" s="467" t="str">
        <f t="shared" si="13"/>
        <v/>
      </c>
      <c r="L31" s="467" t="str">
        <f t="shared" si="13"/>
        <v/>
      </c>
      <c r="M31" s="467" t="str">
        <f t="shared" si="13"/>
        <v/>
      </c>
      <c r="N31" s="467" t="str">
        <f t="shared" si="13"/>
        <v/>
      </c>
      <c r="O31" s="467" t="str">
        <f t="shared" si="13"/>
        <v/>
      </c>
      <c r="P31" s="467" t="str">
        <f t="shared" si="13"/>
        <v/>
      </c>
      <c r="Q31" s="467" t="str">
        <f t="shared" si="13"/>
        <v/>
      </c>
      <c r="R31" s="467" t="str">
        <f t="shared" si="13"/>
        <v/>
      </c>
      <c r="S31" s="467" t="str">
        <f t="shared" si="13"/>
        <v/>
      </c>
      <c r="T31" s="467">
        <f t="shared" si="13"/>
        <v>-835563</v>
      </c>
      <c r="U31" s="467">
        <f t="shared" si="13"/>
        <v>-752125</v>
      </c>
      <c r="V31" s="467">
        <f t="shared" si="13"/>
        <v>-796793</v>
      </c>
      <c r="W31" s="467">
        <f t="shared" si="13"/>
        <v>-904072</v>
      </c>
      <c r="X31" s="467">
        <f t="shared" si="13"/>
        <v>-536508</v>
      </c>
      <c r="Y31" s="467">
        <f t="shared" si="13"/>
        <v>-255274</v>
      </c>
      <c r="Z31" s="467">
        <f t="shared" si="13"/>
        <v>-320365</v>
      </c>
      <c r="AA31" s="467">
        <f t="shared" si="13"/>
        <v>-14117</v>
      </c>
      <c r="AB31" s="467">
        <f t="shared" si="13"/>
        <v>-96871</v>
      </c>
      <c r="AC31" s="467">
        <f t="shared" si="13"/>
        <v>127864</v>
      </c>
      <c r="AD31" s="468">
        <f ca="1">SUM(OFFSET(AC31,0,当期月数):AC31)</f>
        <v>-2796136</v>
      </c>
      <c r="AE31" s="469">
        <f ca="1">AVERAGE(OFFSET(AC31,0,当期月数):AC31)</f>
        <v>-349517</v>
      </c>
    </row>
    <row r="32" spans="1:31" ht="26.45" customHeight="1" thickBot="1" x14ac:dyDescent="0.2">
      <c r="B32" t="s">
        <v>177</v>
      </c>
      <c r="D32" s="2145"/>
      <c r="E32" s="119" t="s">
        <v>177</v>
      </c>
      <c r="F32" s="120" t="str">
        <f t="shared" ref="F32:AC32" si="14">IFERROR(F31/F27,"")</f>
        <v/>
      </c>
      <c r="G32" s="470" t="str">
        <f t="shared" si="14"/>
        <v/>
      </c>
      <c r="H32" s="470" t="str">
        <f t="shared" si="14"/>
        <v/>
      </c>
      <c r="I32" s="470" t="str">
        <f t="shared" si="14"/>
        <v/>
      </c>
      <c r="J32" s="470" t="str">
        <f t="shared" si="14"/>
        <v/>
      </c>
      <c r="K32" s="470" t="str">
        <f t="shared" si="14"/>
        <v/>
      </c>
      <c r="L32" s="470" t="str">
        <f t="shared" si="14"/>
        <v/>
      </c>
      <c r="M32" s="470" t="str">
        <f t="shared" si="14"/>
        <v/>
      </c>
      <c r="N32" s="470" t="str">
        <f t="shared" si="14"/>
        <v/>
      </c>
      <c r="O32" s="470" t="str">
        <f t="shared" si="14"/>
        <v/>
      </c>
      <c r="P32" s="470" t="str">
        <f t="shared" si="14"/>
        <v/>
      </c>
      <c r="Q32" s="470" t="str">
        <f t="shared" si="14"/>
        <v/>
      </c>
      <c r="R32" s="470" t="str">
        <f t="shared" si="14"/>
        <v/>
      </c>
      <c r="S32" s="470" t="str">
        <f t="shared" si="14"/>
        <v/>
      </c>
      <c r="T32" s="470" t="str">
        <f t="shared" si="14"/>
        <v/>
      </c>
      <c r="U32" s="470" t="str">
        <f t="shared" si="14"/>
        <v/>
      </c>
      <c r="V32" s="470" t="str">
        <f t="shared" si="14"/>
        <v/>
      </c>
      <c r="W32" s="470">
        <f t="shared" si="14"/>
        <v>-3.8588721380888154</v>
      </c>
      <c r="X32" s="470">
        <f t="shared" si="14"/>
        <v>-1.1047488046652032</v>
      </c>
      <c r="Y32" s="470">
        <f t="shared" si="14"/>
        <v>-0.36378327538049365</v>
      </c>
      <c r="Z32" s="470">
        <f t="shared" si="14"/>
        <v>-0.39518058913504711</v>
      </c>
      <c r="AA32" s="470">
        <f t="shared" si="14"/>
        <v>-1.3308558316505554E-2</v>
      </c>
      <c r="AB32" s="470">
        <f t="shared" si="14"/>
        <v>-6.7336666650447269E-2</v>
      </c>
      <c r="AC32" s="470">
        <f t="shared" si="14"/>
        <v>6.7113375330806205E-2</v>
      </c>
      <c r="AD32" s="471">
        <f ca="1">AD31/AD27</f>
        <v>-0.4213034790953385</v>
      </c>
      <c r="AE32" s="472">
        <f ca="1">AE31/AE27</f>
        <v>-0.4213034790953385</v>
      </c>
    </row>
    <row r="33" spans="1:31" ht="26.45" customHeight="1" x14ac:dyDescent="0.15">
      <c r="A33" t="s">
        <v>749</v>
      </c>
      <c r="B33" t="s">
        <v>26</v>
      </c>
      <c r="D33" s="2143" t="s">
        <v>36</v>
      </c>
      <c r="E33" s="91" t="s">
        <v>26</v>
      </c>
      <c r="F33" s="95">
        <f>IFERROR(GETPIVOTDATA("合計 / " &amp; $B33,【ピボット】事業所収支!$A$3,"年月",F$1,"事業所",$A33),"")</f>
        <v>3549708</v>
      </c>
      <c r="G33" s="461">
        <f>IFERROR(GETPIVOTDATA("合計 / " &amp; $B33,【ピボット】事業所収支!$A$3,"年月",G$1,"事業所",$A33),"")</f>
        <v>3597785</v>
      </c>
      <c r="H33" s="461">
        <f>IFERROR(GETPIVOTDATA("合計 / " &amp; $B33,【ピボット】事業所収支!$A$3,"年月",H$1,"事業所",$A33),"")</f>
        <v>3616139</v>
      </c>
      <c r="I33" s="461">
        <f>IFERROR(GETPIVOTDATA("合計 / " &amp; $B33,【ピボット】事業所収支!$A$3,"年月",I$1,"事業所",$A33),"")</f>
        <v>3174804</v>
      </c>
      <c r="J33" s="461">
        <f>IFERROR(GETPIVOTDATA("合計 / " &amp; $B33,【ピボット】事業所収支!$A$3,"年月",J$1,"事業所",$A33),"")</f>
        <v>3130698</v>
      </c>
      <c r="K33" s="461">
        <f>IFERROR(GETPIVOTDATA("合計 / " &amp; $B33,【ピボット】事業所収支!$A$3,"年月",K$1,"事業所",$A33),"")</f>
        <v>3270391</v>
      </c>
      <c r="L33" s="461">
        <f>IFERROR(GETPIVOTDATA("合計 / " &amp; $B33,【ピボット】事業所収支!$A$3,"年月",L$1,"事業所",$A33),"")</f>
        <v>3507733</v>
      </c>
      <c r="M33" s="461">
        <f>IFERROR(GETPIVOTDATA("合計 / " &amp; $B33,【ピボット】事業所収支!$A$3,"年月",M$1,"事業所",$A33),"")</f>
        <v>3292348</v>
      </c>
      <c r="N33" s="461">
        <f>IFERROR(GETPIVOTDATA("合計 / " &amp; $B33,【ピボット】事業所収支!$A$3,"年月",N$1,"事業所",$A33),"")</f>
        <v>3313516</v>
      </c>
      <c r="O33" s="461">
        <f>IFERROR(GETPIVOTDATA("合計 / " &amp; $B33,【ピボット】事業所収支!$A$3,"年月",O$1,"事業所",$A33),"")</f>
        <v>3497339</v>
      </c>
      <c r="P33" s="461">
        <f>IFERROR(GETPIVOTDATA("合計 / " &amp; $B33,【ピボット】事業所収支!$A$3,"年月",P$1,"事業所",$A33),"")</f>
        <v>3458623</v>
      </c>
      <c r="Q33" s="461">
        <f>IFERROR(GETPIVOTDATA("合計 / " &amp; $B33,【ピボット】事業所収支!$A$3,"年月",Q$1,"事業所",$A33),"")</f>
        <v>4706520</v>
      </c>
      <c r="R33" s="461">
        <f>IFERROR(GETPIVOTDATA("合計 / " &amp; $B33,【ピボット】事業所収支!$A$3,"年月",R$1,"事業所",$A33),"")</f>
        <v>4419633</v>
      </c>
      <c r="S33" s="461">
        <f>IFERROR(GETPIVOTDATA("合計 / " &amp; $B33,【ピボット】事業所収支!$A$3,"年月",S$1,"事業所",$A33),"")</f>
        <v>4146272</v>
      </c>
      <c r="T33" s="461">
        <f>IFERROR(GETPIVOTDATA("合計 / " &amp; $B33,【ピボット】事業所収支!$A$3,"年月",T$1,"事業所",$A33),"")</f>
        <v>4468494</v>
      </c>
      <c r="U33" s="461">
        <f>IFERROR(GETPIVOTDATA("合計 / " &amp; $B33,【ピボット】事業所収支!$A$3,"年月",U$1,"事業所",$A33),"")</f>
        <v>4494230</v>
      </c>
      <c r="V33" s="461">
        <f>IFERROR(GETPIVOTDATA("合計 / " &amp; $B33,【ピボット】事業所収支!$A$3,"年月",V$1,"事業所",$A33),"")</f>
        <v>4417151</v>
      </c>
      <c r="W33" s="461">
        <f>IFERROR(GETPIVOTDATA("合計 / " &amp; $B33,【ピボット】事業所収支!$A$3,"年月",W$1,"事業所",$A33),"")</f>
        <v>4442200</v>
      </c>
      <c r="X33" s="461">
        <f>IFERROR(GETPIVOTDATA("合計 / " &amp; $B33,【ピボット】事業所収支!$A$3,"年月",X$1,"事業所",$A33),"")</f>
        <v>4833081</v>
      </c>
      <c r="Y33" s="461">
        <f>IFERROR(GETPIVOTDATA("合計 / " &amp; $B33,【ピボット】事業所収支!$A$3,"年月",Y$1,"事業所",$A33),"")</f>
        <v>4422644</v>
      </c>
      <c r="Z33" s="461">
        <f>IFERROR(GETPIVOTDATA("合計 / " &amp; $B33,【ピボット】事業所収支!$A$3,"年月",Z$1,"事業所",$A33),"")</f>
        <v>4120917</v>
      </c>
      <c r="AA33" s="461">
        <f>IFERROR(GETPIVOTDATA("合計 / " &amp; $B33,【ピボット】事業所収支!$A$3,"年月",AA$1,"事業所",$A33),"")</f>
        <v>4475893</v>
      </c>
      <c r="AB33" s="461">
        <f>IFERROR(GETPIVOTDATA("合計 / " &amp; $B33,【ピボット】事業所収支!$A$3,"年月",AB$1,"事業所",$A33),"")</f>
        <v>4931183</v>
      </c>
      <c r="AC33" s="461">
        <f>IFERROR(GETPIVOTDATA("合計 / " &amp; $B33,【ピボット】事業所収支!$A$3,"年月",AC$1,"事業所",$A33),"")</f>
        <v>4425975</v>
      </c>
      <c r="AD33" s="462">
        <f ca="1">SUM(OFFSET(AC33,0,当期月数):AC33)</f>
        <v>36069044</v>
      </c>
      <c r="AE33" s="463">
        <f ca="1">AVERAGE(OFFSET(AC33,0,当期月数):AC33)</f>
        <v>4508630.5</v>
      </c>
    </row>
    <row r="34" spans="1:31" ht="26.45" customHeight="1" x14ac:dyDescent="0.15">
      <c r="A34" t="s">
        <v>749</v>
      </c>
      <c r="B34" t="s">
        <v>15</v>
      </c>
      <c r="D34" s="2144"/>
      <c r="E34" s="93" t="s">
        <v>15</v>
      </c>
      <c r="F34" s="94">
        <f>IFERROR(GETPIVOTDATA("合計 / " &amp; $B34,【ピボット】事業所収支!$A$3,"年月",F$1,"事業所",$A34),"")</f>
        <v>1747386</v>
      </c>
      <c r="G34" s="458">
        <f>IFERROR(GETPIVOTDATA("合計 / " &amp; $B34,【ピボット】事業所収支!$A$3,"年月",G$1,"事業所",$A34),"")</f>
        <v>1816576</v>
      </c>
      <c r="H34" s="458">
        <f>IFERROR(GETPIVOTDATA("合計 / " &amp; $B34,【ピボット】事業所収支!$A$3,"年月",H$1,"事業所",$A34),"")</f>
        <v>1929604</v>
      </c>
      <c r="I34" s="458">
        <f>IFERROR(GETPIVOTDATA("合計 / " &amp; $B34,【ピボット】事業所収支!$A$3,"年月",I$1,"事業所",$A34),"")</f>
        <v>1971148</v>
      </c>
      <c r="J34" s="458">
        <f>IFERROR(GETPIVOTDATA("合計 / " &amp; $B34,【ピボット】事業所収支!$A$3,"年月",J$1,"事業所",$A34),"")</f>
        <v>1814610</v>
      </c>
      <c r="K34" s="458">
        <f>IFERROR(GETPIVOTDATA("合計 / " &amp; $B34,【ピボット】事業所収支!$A$3,"年月",K$1,"事業所",$A34),"")</f>
        <v>1917384</v>
      </c>
      <c r="L34" s="458">
        <f>IFERROR(GETPIVOTDATA("合計 / " &amp; $B34,【ピボット】事業所収支!$A$3,"年月",L$1,"事業所",$A34),"")</f>
        <v>1620791</v>
      </c>
      <c r="M34" s="458">
        <f>IFERROR(GETPIVOTDATA("合計 / " &amp; $B34,【ピボット】事業所収支!$A$3,"年月",M$1,"事業所",$A34),"")</f>
        <v>2221300.6135975425</v>
      </c>
      <c r="N34" s="458">
        <f>IFERROR(GETPIVOTDATA("合計 / " &amp; $B34,【ピボット】事業所収支!$A$3,"年月",N$1,"事業所",$A34),"")</f>
        <v>2142318</v>
      </c>
      <c r="O34" s="458">
        <f>IFERROR(GETPIVOTDATA("合計 / " &amp; $B34,【ピボット】事業所収支!$A$3,"年月",O$1,"事業所",$A34),"")</f>
        <v>2272159</v>
      </c>
      <c r="P34" s="458">
        <f>IFERROR(GETPIVOTDATA("合計 / " &amp; $B34,【ピボット】事業所収支!$A$3,"年月",P$1,"事業所",$A34),"")</f>
        <v>2458758</v>
      </c>
      <c r="Q34" s="458">
        <f>IFERROR(GETPIVOTDATA("合計 / " &amp; $B34,【ピボット】事業所収支!$A$3,"年月",Q$1,"事業所",$A34),"")</f>
        <v>2574150</v>
      </c>
      <c r="R34" s="458">
        <f>IFERROR(GETPIVOTDATA("合計 / " &amp; $B34,【ピボット】事業所収支!$A$3,"年月",R$1,"事業所",$A34),"")</f>
        <v>2522266</v>
      </c>
      <c r="S34" s="458">
        <f>IFERROR(GETPIVOTDATA("合計 / " &amp; $B34,【ピボット】事業所収支!$A$3,"年月",S$1,"事業所",$A34),"")</f>
        <v>2675261</v>
      </c>
      <c r="T34" s="458">
        <f>IFERROR(GETPIVOTDATA("合計 / " &amp; $B34,【ピボット】事業所収支!$A$3,"年月",T$1,"事業所",$A34),"")</f>
        <v>2695210</v>
      </c>
      <c r="U34" s="458">
        <f>IFERROR(GETPIVOTDATA("合計 / " &amp; $B34,【ピボット】事業所収支!$A$3,"年月",U$1,"事業所",$A34),"")</f>
        <v>2472573</v>
      </c>
      <c r="V34" s="458">
        <f>IFERROR(GETPIVOTDATA("合計 / " &amp; $B34,【ピボット】事業所収支!$A$3,"年月",V$1,"事業所",$A34),"")</f>
        <v>2350226</v>
      </c>
      <c r="W34" s="458">
        <f>IFERROR(GETPIVOTDATA("合計 / " &amp; $B34,【ピボット】事業所収支!$A$3,"年月",W$1,"事業所",$A34),"")</f>
        <v>2086350</v>
      </c>
      <c r="X34" s="458">
        <f>IFERROR(GETPIVOTDATA("合計 / " &amp; $B34,【ピボット】事業所収支!$A$3,"年月",X$1,"事業所",$A34),"")</f>
        <v>2191511</v>
      </c>
      <c r="Y34" s="458">
        <f>IFERROR(GETPIVOTDATA("合計 / " &amp; $B34,【ピボット】事業所収支!$A$3,"年月",Y$1,"事業所",$A34),"")</f>
        <v>3314822</v>
      </c>
      <c r="Z34" s="458">
        <f>IFERROR(GETPIVOTDATA("合計 / " &amp; $B34,【ピボット】事業所収支!$A$3,"年月",Z$1,"事業所",$A34),"")</f>
        <v>2332898</v>
      </c>
      <c r="AA34" s="458">
        <f>IFERROR(GETPIVOTDATA("合計 / " &amp; $B34,【ピボット】事業所収支!$A$3,"年月",AA$1,"事業所",$A34),"")</f>
        <v>2102329</v>
      </c>
      <c r="AB34" s="458">
        <f>IFERROR(GETPIVOTDATA("合計 / " &amp; $B34,【ピボット】事業所収支!$A$3,"年月",AB$1,"事業所",$A34),"")</f>
        <v>2180249</v>
      </c>
      <c r="AC34" s="458">
        <f>IFERROR(GETPIVOTDATA("合計 / " &amp; $B34,【ピボット】事業所収支!$A$3,"年月",AC$1,"事業所",$A34),"")</f>
        <v>2316325</v>
      </c>
      <c r="AD34" s="459">
        <f ca="1">SUM(OFFSET(AC34,0,当期月数):AC34)</f>
        <v>18874710</v>
      </c>
      <c r="AE34" s="460">
        <f ca="1">AVERAGE(OFFSET(AC34,0,当期月数):AC34)</f>
        <v>2359338.75</v>
      </c>
    </row>
    <row r="35" spans="1:31" ht="26.45" customHeight="1" x14ac:dyDescent="0.15">
      <c r="A35" t="s">
        <v>749</v>
      </c>
      <c r="B35" t="s">
        <v>48</v>
      </c>
      <c r="D35" s="2144"/>
      <c r="E35" s="93" t="s">
        <v>48</v>
      </c>
      <c r="F35" s="96">
        <f t="shared" ref="F35:AC35" si="15">IFERROR(F34/F33,"")</f>
        <v>0.49226189872519094</v>
      </c>
      <c r="G35" s="464">
        <f t="shared" si="15"/>
        <v>0.50491510748974722</v>
      </c>
      <c r="H35" s="464">
        <f t="shared" si="15"/>
        <v>0.53360891271049038</v>
      </c>
      <c r="I35" s="464">
        <f t="shared" si="15"/>
        <v>0.62087234361554289</v>
      </c>
      <c r="J35" s="464">
        <f t="shared" si="15"/>
        <v>0.57961834709064874</v>
      </c>
      <c r="K35" s="464">
        <f t="shared" si="15"/>
        <v>0.58628586000878791</v>
      </c>
      <c r="L35" s="464">
        <f t="shared" si="15"/>
        <v>0.46206224932171291</v>
      </c>
      <c r="M35" s="464">
        <f t="shared" si="15"/>
        <v>0.6746858514341566</v>
      </c>
      <c r="N35" s="464">
        <f t="shared" si="15"/>
        <v>0.6465392048808577</v>
      </c>
      <c r="O35" s="464">
        <f t="shared" si="15"/>
        <v>0.64968222983245261</v>
      </c>
      <c r="P35" s="464">
        <f t="shared" si="15"/>
        <v>0.7109066238210987</v>
      </c>
      <c r="Q35" s="464">
        <f t="shared" si="15"/>
        <v>0.54693276561025983</v>
      </c>
      <c r="R35" s="464">
        <f t="shared" si="15"/>
        <v>0.57069580211750615</v>
      </c>
      <c r="S35" s="464">
        <f t="shared" si="15"/>
        <v>0.64522081522871633</v>
      </c>
      <c r="T35" s="464">
        <f t="shared" si="15"/>
        <v>0.60315846905019899</v>
      </c>
      <c r="U35" s="464">
        <f t="shared" si="15"/>
        <v>0.55016610186839565</v>
      </c>
      <c r="V35" s="464">
        <f t="shared" si="15"/>
        <v>0.53206829469945671</v>
      </c>
      <c r="W35" s="464">
        <f t="shared" si="15"/>
        <v>0.46966593129530415</v>
      </c>
      <c r="X35" s="464">
        <f t="shared" si="15"/>
        <v>0.45343974164720185</v>
      </c>
      <c r="Y35" s="464">
        <f t="shared" si="15"/>
        <v>0.74951137826151049</v>
      </c>
      <c r="Z35" s="464">
        <f t="shared" si="15"/>
        <v>0.56611137763755004</v>
      </c>
      <c r="AA35" s="464">
        <f t="shared" si="15"/>
        <v>0.46970045977417246</v>
      </c>
      <c r="AB35" s="464">
        <f t="shared" si="15"/>
        <v>0.44213508198742574</v>
      </c>
      <c r="AC35" s="464">
        <f t="shared" si="15"/>
        <v>0.52334796287823582</v>
      </c>
      <c r="AD35" s="465">
        <f ca="1">AD34/AD33</f>
        <v>0.52329388048100189</v>
      </c>
      <c r="AE35" s="466">
        <f ca="1">AE34/AE33</f>
        <v>0.52329388048100189</v>
      </c>
    </row>
    <row r="36" spans="1:31" ht="26.45" customHeight="1" x14ac:dyDescent="0.15">
      <c r="A36" t="s">
        <v>749</v>
      </c>
      <c r="B36" t="s">
        <v>1230</v>
      </c>
      <c r="D36" s="2144"/>
      <c r="E36" s="93" t="s">
        <v>43</v>
      </c>
      <c r="F36" s="94">
        <f>IFERROR(GETPIVOTDATA("合計 / " &amp; $B36,【ピボット】事業所収支!$A$3,"年月",F$1,"事業所",$A36),"")</f>
        <v>1001164</v>
      </c>
      <c r="G36" s="458">
        <f>IFERROR(GETPIVOTDATA("合計 / " &amp; $B36,【ピボット】事業所収支!$A$3,"年月",G$1,"事業所",$A36),"")</f>
        <v>989607</v>
      </c>
      <c r="H36" s="458">
        <f>IFERROR(GETPIVOTDATA("合計 / " &amp; $B36,【ピボット】事業所収支!$A$3,"年月",H$1,"事業所",$A36),"")</f>
        <v>897734</v>
      </c>
      <c r="I36" s="458">
        <f>IFERROR(GETPIVOTDATA("合計 / " &amp; $B36,【ピボット】事業所収支!$A$3,"年月",I$1,"事業所",$A36),"")</f>
        <v>1167584</v>
      </c>
      <c r="J36" s="458">
        <f>IFERROR(GETPIVOTDATA("合計 / " &amp; $B36,【ピボット】事業所収支!$A$3,"年月",J$1,"事業所",$A36),"")</f>
        <v>824423</v>
      </c>
      <c r="K36" s="458">
        <f>IFERROR(GETPIVOTDATA("合計 / " &amp; $B36,【ピボット】事業所収支!$A$3,"年月",K$1,"事業所",$A36),"")</f>
        <v>966398</v>
      </c>
      <c r="L36" s="458">
        <f>IFERROR(GETPIVOTDATA("合計 / " &amp; $B36,【ピボット】事業所収支!$A$3,"年月",L$1,"事業所",$A36),"")</f>
        <v>859233</v>
      </c>
      <c r="M36" s="458">
        <f>IFERROR(GETPIVOTDATA("合計 / " &amp; $B36,【ピボット】事業所収支!$A$3,"年月",M$1,"事業所",$A36),"")</f>
        <v>1042803</v>
      </c>
      <c r="N36" s="458">
        <f>IFERROR(GETPIVOTDATA("合計 / " &amp; $B36,【ピボット】事業所収支!$A$3,"年月",N$1,"事業所",$A36),"")</f>
        <v>1015011</v>
      </c>
      <c r="O36" s="458">
        <f>IFERROR(GETPIVOTDATA("合計 / " &amp; $B36,【ピボット】事業所収支!$A$3,"年月",O$1,"事業所",$A36),"")</f>
        <v>1024904</v>
      </c>
      <c r="P36" s="458">
        <f>IFERROR(GETPIVOTDATA("合計 / " &amp; $B36,【ピボット】事業所収支!$A$3,"年月",P$1,"事業所",$A36),"")</f>
        <v>969911</v>
      </c>
      <c r="Q36" s="458">
        <f>IFERROR(GETPIVOTDATA("合計 / " &amp; $B36,【ピボット】事業所収支!$A$3,"年月",Q$1,"事業所",$A36),"")</f>
        <v>821057</v>
      </c>
      <c r="R36" s="458">
        <f>IFERROR(GETPIVOTDATA("合計 / " &amp; $B36,【ピボット】事業所収支!$A$3,"年月",R$1,"事業所",$A36),"")</f>
        <v>1282778</v>
      </c>
      <c r="S36" s="458">
        <f>IFERROR(GETPIVOTDATA("合計 / " &amp; $B36,【ピボット】事業所収支!$A$3,"年月",S$1,"事業所",$A36),"")</f>
        <v>1171971</v>
      </c>
      <c r="T36" s="458">
        <f>IFERROR(GETPIVOTDATA("合計 / " &amp; $B36,【ピボット】事業所収支!$A$3,"年月",T$1,"事業所",$A36),"")</f>
        <v>1095648</v>
      </c>
      <c r="U36" s="458">
        <f>IFERROR(GETPIVOTDATA("合計 / " &amp; $B36,【ピボット】事業所収支!$A$3,"年月",U$1,"事業所",$A36),"")</f>
        <v>1218671</v>
      </c>
      <c r="V36" s="458">
        <f>IFERROR(GETPIVOTDATA("合計 / " &amp; $B36,【ピボット】事業所収支!$A$3,"年月",V$1,"事業所",$A36),"")</f>
        <v>1089344</v>
      </c>
      <c r="W36" s="458">
        <f>IFERROR(GETPIVOTDATA("合計 / " &amp; $B36,【ピボット】事業所収支!$A$3,"年月",W$1,"事業所",$A36),"")</f>
        <v>1207486</v>
      </c>
      <c r="X36" s="458">
        <f>IFERROR(GETPIVOTDATA("合計 / " &amp; $B36,【ピボット】事業所収支!$A$3,"年月",X$1,"事業所",$A36),"")</f>
        <v>1037871</v>
      </c>
      <c r="Y36" s="458">
        <f>IFERROR(GETPIVOTDATA("合計 / " &amp; $B36,【ピボット】事業所収支!$A$3,"年月",Y$1,"事業所",$A36),"")</f>
        <v>1158080</v>
      </c>
      <c r="Z36" s="458">
        <f>IFERROR(GETPIVOTDATA("合計 / " &amp; $B36,【ピボット】事業所収支!$A$3,"年月",Z$1,"事業所",$A36),"")</f>
        <v>1282667</v>
      </c>
      <c r="AA36" s="458">
        <f>IFERROR(GETPIVOTDATA("合計 / " &amp; $B36,【ピボット】事業所収支!$A$3,"年月",AA$1,"事業所",$A36),"")</f>
        <v>1149109</v>
      </c>
      <c r="AB36" s="458">
        <f>IFERROR(GETPIVOTDATA("合計 / " &amp; $B36,【ピボット】事業所収支!$A$3,"年月",AB$1,"事業所",$A36),"")</f>
        <v>1064856</v>
      </c>
      <c r="AC36" s="458">
        <f>IFERROR(GETPIVOTDATA("合計 / " &amp; $B36,【ピボット】事業所収支!$A$3,"年月",AC$1,"事業所",$A36),"")</f>
        <v>1085892</v>
      </c>
      <c r="AD36" s="459">
        <f ca="1">SUM(OFFSET(AC36,0,当期月数):AC36)</f>
        <v>9075305</v>
      </c>
      <c r="AE36" s="460">
        <f ca="1">AVERAGE(OFFSET(AC36,0,当期月数):AC36)</f>
        <v>1134413.125</v>
      </c>
    </row>
    <row r="37" spans="1:31" ht="26.45" customHeight="1" x14ac:dyDescent="0.15">
      <c r="A37" t="s">
        <v>749</v>
      </c>
      <c r="B37" t="s">
        <v>32</v>
      </c>
      <c r="D37" s="2144"/>
      <c r="E37" s="117" t="s">
        <v>32</v>
      </c>
      <c r="F37" s="118">
        <f t="shared" ref="F37:AC37" si="16">IFERROR(F33-(F34+F36),"")</f>
        <v>801158</v>
      </c>
      <c r="G37" s="467">
        <f t="shared" si="16"/>
        <v>791602</v>
      </c>
      <c r="H37" s="467">
        <f>IFERROR(H33-(H34+H36),"")</f>
        <v>788801</v>
      </c>
      <c r="I37" s="467">
        <f t="shared" si="16"/>
        <v>36072</v>
      </c>
      <c r="J37" s="467">
        <f t="shared" si="16"/>
        <v>491665</v>
      </c>
      <c r="K37" s="467">
        <f t="shared" si="16"/>
        <v>386609</v>
      </c>
      <c r="L37" s="467">
        <f t="shared" si="16"/>
        <v>1027709</v>
      </c>
      <c r="M37" s="467">
        <f t="shared" si="16"/>
        <v>28244.386402457487</v>
      </c>
      <c r="N37" s="467">
        <f t="shared" si="16"/>
        <v>156187</v>
      </c>
      <c r="O37" s="467">
        <f t="shared" si="16"/>
        <v>200276</v>
      </c>
      <c r="P37" s="467">
        <f t="shared" si="16"/>
        <v>29954</v>
      </c>
      <c r="Q37" s="467">
        <f t="shared" si="16"/>
        <v>1311313</v>
      </c>
      <c r="R37" s="467">
        <f t="shared" si="16"/>
        <v>614589</v>
      </c>
      <c r="S37" s="467">
        <f t="shared" si="16"/>
        <v>299040</v>
      </c>
      <c r="T37" s="467">
        <f t="shared" si="16"/>
        <v>677636</v>
      </c>
      <c r="U37" s="467">
        <f t="shared" si="16"/>
        <v>802986</v>
      </c>
      <c r="V37" s="467">
        <f t="shared" si="16"/>
        <v>977581</v>
      </c>
      <c r="W37" s="467">
        <f t="shared" si="16"/>
        <v>1148364</v>
      </c>
      <c r="X37" s="467">
        <f t="shared" si="16"/>
        <v>1603699</v>
      </c>
      <c r="Y37" s="467">
        <f t="shared" si="16"/>
        <v>-50258</v>
      </c>
      <c r="Z37" s="467">
        <f t="shared" si="16"/>
        <v>505352</v>
      </c>
      <c r="AA37" s="467">
        <f t="shared" si="16"/>
        <v>1224455</v>
      </c>
      <c r="AB37" s="467">
        <f t="shared" si="16"/>
        <v>1686078</v>
      </c>
      <c r="AC37" s="467">
        <f t="shared" si="16"/>
        <v>1023758</v>
      </c>
      <c r="AD37" s="468">
        <f ca="1">SUM(OFFSET(AC37,0,当期月数):AC37)</f>
        <v>8119029</v>
      </c>
      <c r="AE37" s="469">
        <f ca="1">AVERAGE(OFFSET(AC37,0,当期月数):AC37)</f>
        <v>1014878.625</v>
      </c>
    </row>
    <row r="38" spans="1:31" ht="26.45" customHeight="1" thickBot="1" x14ac:dyDescent="0.2">
      <c r="B38" t="s">
        <v>177</v>
      </c>
      <c r="D38" s="2145"/>
      <c r="E38" s="119" t="s">
        <v>177</v>
      </c>
      <c r="F38" s="120">
        <f t="shared" ref="F38:AC38" si="17">IFERROR(F37/F33,"")</f>
        <v>0.22569687422176699</v>
      </c>
      <c r="G38" s="470">
        <f t="shared" si="17"/>
        <v>0.22002482082725899</v>
      </c>
      <c r="H38" s="470">
        <f t="shared" si="17"/>
        <v>0.2181334843599762</v>
      </c>
      <c r="I38" s="470">
        <f t="shared" si="17"/>
        <v>1.1361961242331809E-2</v>
      </c>
      <c r="J38" s="470">
        <f t="shared" si="17"/>
        <v>0.15704644778895951</v>
      </c>
      <c r="K38" s="470">
        <f t="shared" si="17"/>
        <v>0.11821491680964141</v>
      </c>
      <c r="L38" s="470">
        <f t="shared" si="17"/>
        <v>0.29298381604301127</v>
      </c>
      <c r="M38" s="470">
        <f t="shared" si="17"/>
        <v>8.5787973818252164E-3</v>
      </c>
      <c r="N38" s="470">
        <f t="shared" si="17"/>
        <v>4.7136334938476229E-2</v>
      </c>
      <c r="O38" s="470">
        <f t="shared" si="17"/>
        <v>5.72652522389165E-2</v>
      </c>
      <c r="P38" s="470">
        <f t="shared" si="17"/>
        <v>8.6606721808072176E-3</v>
      </c>
      <c r="Q38" s="470">
        <f t="shared" si="17"/>
        <v>0.27861625999677042</v>
      </c>
      <c r="R38" s="470">
        <f t="shared" si="17"/>
        <v>0.13905883135545419</v>
      </c>
      <c r="S38" s="470">
        <f t="shared" si="17"/>
        <v>7.2122620030716747E-2</v>
      </c>
      <c r="T38" s="470">
        <f t="shared" si="17"/>
        <v>0.15164751256239797</v>
      </c>
      <c r="U38" s="470">
        <f t="shared" si="17"/>
        <v>0.17867042852724493</v>
      </c>
      <c r="V38" s="470">
        <f t="shared" si="17"/>
        <v>0.22131482487241211</v>
      </c>
      <c r="W38" s="470">
        <f t="shared" si="17"/>
        <v>0.25851244878663726</v>
      </c>
      <c r="X38" s="470">
        <f t="shared" si="17"/>
        <v>0.33181711624531018</v>
      </c>
      <c r="Y38" s="470">
        <f t="shared" si="17"/>
        <v>-1.1363790528923423E-2</v>
      </c>
      <c r="Z38" s="470">
        <f t="shared" si="17"/>
        <v>0.1226309581095664</v>
      </c>
      <c r="AA38" s="470">
        <f t="shared" si="17"/>
        <v>0.27356663798710112</v>
      </c>
      <c r="AB38" s="470">
        <f t="shared" si="17"/>
        <v>0.34192160380176523</v>
      </c>
      <c r="AC38" s="470">
        <f t="shared" si="17"/>
        <v>0.23130677421359136</v>
      </c>
      <c r="AD38" s="471">
        <f ca="1">AD37/AD33</f>
        <v>0.22509687254256031</v>
      </c>
      <c r="AE38" s="472">
        <f ca="1">AE37/AE33</f>
        <v>0.22509687254256031</v>
      </c>
    </row>
    <row r="39" spans="1:31" ht="26.45" customHeight="1" x14ac:dyDescent="0.15">
      <c r="A39" t="s">
        <v>755</v>
      </c>
      <c r="B39" t="s">
        <v>26</v>
      </c>
      <c r="D39" s="2143" t="s">
        <v>38</v>
      </c>
      <c r="E39" s="91" t="s">
        <v>26</v>
      </c>
      <c r="F39" s="95">
        <f>IFERROR(GETPIVOTDATA("合計 / " &amp; $B39,【ピボット】事業所収支!$A$3,"年月",F$1,"事業所",$A39),"")</f>
        <v>3218370</v>
      </c>
      <c r="G39" s="461">
        <f>IFERROR(GETPIVOTDATA("合計 / " &amp; $B39,【ピボット】事業所収支!$A$3,"年月",G$1,"事業所",$A39),"")</f>
        <v>2893429</v>
      </c>
      <c r="H39" s="461">
        <f>IFERROR(GETPIVOTDATA("合計 / " &amp; $B39,【ピボット】事業所収支!$A$3,"年月",H$1,"事業所",$A39),"")</f>
        <v>3184472</v>
      </c>
      <c r="I39" s="461">
        <f>IFERROR(GETPIVOTDATA("合計 / " &amp; $B39,【ピボット】事業所収支!$A$3,"年月",I$1,"事業所",$A39),"")</f>
        <v>3124894</v>
      </c>
      <c r="J39" s="461">
        <f>IFERROR(GETPIVOTDATA("合計 / " &amp; $B39,【ピボット】事業所収支!$A$3,"年月",J$1,"事業所",$A39),"")</f>
        <v>3081346</v>
      </c>
      <c r="K39" s="461">
        <f>IFERROR(GETPIVOTDATA("合計 / " &amp; $B39,【ピボット】事業所収支!$A$3,"年月",K$1,"事業所",$A39),"")</f>
        <v>2989139</v>
      </c>
      <c r="L39" s="461">
        <f>IFERROR(GETPIVOTDATA("合計 / " &amp; $B39,【ピボット】事業所収支!$A$3,"年月",L$1,"事業所",$A39),"")</f>
        <v>2574677</v>
      </c>
      <c r="M39" s="461">
        <f>IFERROR(GETPIVOTDATA("合計 / " &amp; $B39,【ピボット】事業所収支!$A$3,"年月",M$1,"事業所",$A39),"")</f>
        <v>2853536</v>
      </c>
      <c r="N39" s="461">
        <f>IFERROR(GETPIVOTDATA("合計 / " &amp; $B39,【ピボット】事業所収支!$A$3,"年月",N$1,"事業所",$A39),"")</f>
        <v>2617181</v>
      </c>
      <c r="O39" s="461">
        <f>IFERROR(GETPIVOTDATA("合計 / " &amp; $B39,【ピボット】事業所収支!$A$3,"年月",O$1,"事業所",$A39),"")</f>
        <v>3057960</v>
      </c>
      <c r="P39" s="461">
        <f>IFERROR(GETPIVOTDATA("合計 / " &amp; $B39,【ピボット】事業所収支!$A$3,"年月",P$1,"事業所",$A39),"")</f>
        <v>3056897</v>
      </c>
      <c r="Q39" s="461">
        <f>IFERROR(GETPIVOTDATA("合計 / " &amp; $B39,【ピボット】事業所収支!$A$3,"年月",Q$1,"事業所",$A39),"")</f>
        <v>3183714</v>
      </c>
      <c r="R39" s="461">
        <f>IFERROR(GETPIVOTDATA("合計 / " &amp; $B39,【ピボット】事業所収支!$A$3,"年月",R$1,"事業所",$A39),"")</f>
        <v>3021707</v>
      </c>
      <c r="S39" s="461">
        <f>IFERROR(GETPIVOTDATA("合計 / " &amp; $B39,【ピボット】事業所収支!$A$3,"年月",S$1,"事業所",$A39),"")</f>
        <v>2692178</v>
      </c>
      <c r="T39" s="461">
        <f>IFERROR(GETPIVOTDATA("合計 / " &amp; $B39,【ピボット】事業所収支!$A$3,"年月",T$1,"事業所",$A39),"")</f>
        <v>2546587</v>
      </c>
      <c r="U39" s="461">
        <f>IFERROR(GETPIVOTDATA("合計 / " &amp; $B39,【ピボット】事業所収支!$A$3,"年月",U$1,"事業所",$A39),"")</f>
        <v>2351469</v>
      </c>
      <c r="V39" s="461">
        <f>IFERROR(GETPIVOTDATA("合計 / " &amp; $B39,【ピボット】事業所収支!$A$3,"年月",V$1,"事業所",$A39),"")</f>
        <v>2112073</v>
      </c>
      <c r="W39" s="461">
        <f>IFERROR(GETPIVOTDATA("合計 / " &amp; $B39,【ピボット】事業所収支!$A$3,"年月",W$1,"事業所",$A39),"")</f>
        <v>2397265</v>
      </c>
      <c r="X39" s="461">
        <f>IFERROR(GETPIVOTDATA("合計 / " &amp; $B39,【ピボット】事業所収支!$A$3,"年月",X$1,"事業所",$A39),"")</f>
        <v>3521977</v>
      </c>
      <c r="Y39" s="461">
        <f>IFERROR(GETPIVOTDATA("合計 / " &amp; $B39,【ピボット】事業所収支!$A$3,"年月",Y$1,"事業所",$A39),"")</f>
        <v>2606315</v>
      </c>
      <c r="Z39" s="461">
        <f>IFERROR(GETPIVOTDATA("合計 / " &amp; $B39,【ピボット】事業所収支!$A$3,"年月",Z$1,"事業所",$A39),"")</f>
        <v>2627069</v>
      </c>
      <c r="AA39" s="461">
        <f>IFERROR(GETPIVOTDATA("合計 / " &amp; $B39,【ピボット】事業所収支!$A$3,"年月",AA$1,"事業所",$A39),"")</f>
        <v>2515123</v>
      </c>
      <c r="AB39" s="461">
        <f>IFERROR(GETPIVOTDATA("合計 / " &amp; $B39,【ピボット】事業所収支!$A$3,"年月",AB$1,"事業所",$A39),"")</f>
        <v>2498262</v>
      </c>
      <c r="AC39" s="461">
        <f>IFERROR(GETPIVOTDATA("合計 / " &amp; $B39,【ピボット】事業所収支!$A$3,"年月",AC$1,"事業所",$A39),"")</f>
        <v>2462469</v>
      </c>
      <c r="AD39" s="462">
        <f ca="1">SUM(OFFSET(AC39,0,当期月数):AC39)</f>
        <v>20740553</v>
      </c>
      <c r="AE39" s="463">
        <f ca="1">AVERAGE(OFFSET(AC39,0,当期月数):AC39)</f>
        <v>2592569.125</v>
      </c>
    </row>
    <row r="40" spans="1:31" ht="26.45" customHeight="1" x14ac:dyDescent="0.15">
      <c r="A40" t="s">
        <v>755</v>
      </c>
      <c r="B40" t="s">
        <v>15</v>
      </c>
      <c r="D40" s="2144"/>
      <c r="E40" s="93" t="s">
        <v>15</v>
      </c>
      <c r="F40" s="94">
        <f>IFERROR(GETPIVOTDATA("合計 / " &amp; $B40,【ピボット】事業所収支!$A$3,"年月",F$1,"事業所",$A40),"")</f>
        <v>1390513</v>
      </c>
      <c r="G40" s="458">
        <f>IFERROR(GETPIVOTDATA("合計 / " &amp; $B40,【ピボット】事業所収支!$A$3,"年月",G$1,"事業所",$A40),"")</f>
        <v>1590430</v>
      </c>
      <c r="H40" s="458">
        <f>IFERROR(GETPIVOTDATA("合計 / " &amp; $B40,【ピボット】事業所収支!$A$3,"年月",H$1,"事業所",$A40),"")</f>
        <v>1701691</v>
      </c>
      <c r="I40" s="458">
        <f>IFERROR(GETPIVOTDATA("合計 / " &amp; $B40,【ピボット】事業所収支!$A$3,"年月",I$1,"事業所",$A40),"")</f>
        <v>1749915</v>
      </c>
      <c r="J40" s="458">
        <f>IFERROR(GETPIVOTDATA("合計 / " &amp; $B40,【ピボット】事業所収支!$A$3,"年月",J$1,"事業所",$A40),"")</f>
        <v>1657682</v>
      </c>
      <c r="K40" s="458">
        <f>IFERROR(GETPIVOTDATA("合計 / " &amp; $B40,【ピボット】事業所収支!$A$3,"年月",K$1,"事業所",$A40),"")</f>
        <v>1844386</v>
      </c>
      <c r="L40" s="458">
        <f>IFERROR(GETPIVOTDATA("合計 / " &amp; $B40,【ピボット】事業所収支!$A$3,"年月",L$1,"事業所",$A40),"")</f>
        <v>1778292</v>
      </c>
      <c r="M40" s="458">
        <f>IFERROR(GETPIVOTDATA("合計 / " &amp; $B40,【ピボット】事業所収支!$A$3,"年月",M$1,"事業所",$A40),"")</f>
        <v>2331206.8134925622</v>
      </c>
      <c r="N40" s="458">
        <f>IFERROR(GETPIVOTDATA("合計 / " &amp; $B40,【ピボット】事業所収支!$A$3,"年月",N$1,"事業所",$A40),"")</f>
        <v>2142868</v>
      </c>
      <c r="O40" s="458">
        <f>IFERROR(GETPIVOTDATA("合計 / " &amp; $B40,【ピボット】事業所収支!$A$3,"年月",O$1,"事業所",$A40),"")</f>
        <v>1544400</v>
      </c>
      <c r="P40" s="458">
        <f>IFERROR(GETPIVOTDATA("合計 / " &amp; $B40,【ピボット】事業所収支!$A$3,"年月",P$1,"事業所",$A40),"")</f>
        <v>1713633</v>
      </c>
      <c r="Q40" s="458">
        <f>IFERROR(GETPIVOTDATA("合計 / " &amp; $B40,【ピボット】事業所収支!$A$3,"年月",Q$1,"事業所",$A40),"")</f>
        <v>1717258</v>
      </c>
      <c r="R40" s="458">
        <f>IFERROR(GETPIVOTDATA("合計 / " &amp; $B40,【ピボット】事業所収支!$A$3,"年月",R$1,"事業所",$A40),"")</f>
        <v>1591339</v>
      </c>
      <c r="S40" s="458">
        <f>IFERROR(GETPIVOTDATA("合計 / " &amp; $B40,【ピボット】事業所収支!$A$3,"年月",S$1,"事業所",$A40),"")</f>
        <v>2098226</v>
      </c>
      <c r="T40" s="458">
        <f>IFERROR(GETPIVOTDATA("合計 / " &amp; $B40,【ピボット】事業所収支!$A$3,"年月",T$1,"事業所",$A40),"")</f>
        <v>2002252</v>
      </c>
      <c r="U40" s="458">
        <f>IFERROR(GETPIVOTDATA("合計 / " &amp; $B40,【ピボット】事業所収支!$A$3,"年月",U$1,"事業所",$A40),"")</f>
        <v>1812806</v>
      </c>
      <c r="V40" s="458">
        <f>IFERROR(GETPIVOTDATA("合計 / " &amp; $B40,【ピボット】事業所収支!$A$3,"年月",V$1,"事業所",$A40),"")</f>
        <v>1316645</v>
      </c>
      <c r="W40" s="458">
        <f>IFERROR(GETPIVOTDATA("合計 / " &amp; $B40,【ピボット】事業所収支!$A$3,"年月",W$1,"事業所",$A40),"")</f>
        <v>1375936</v>
      </c>
      <c r="X40" s="458">
        <f>IFERROR(GETPIVOTDATA("合計 / " &amp; $B40,【ピボット】事業所収支!$A$3,"年月",X$1,"事業所",$A40),"")</f>
        <v>1428141</v>
      </c>
      <c r="Y40" s="458">
        <f>IFERROR(GETPIVOTDATA("合計 / " &amp; $B40,【ピボット】事業所収支!$A$3,"年月",Y$1,"事業所",$A40),"")</f>
        <v>1812297</v>
      </c>
      <c r="Z40" s="458">
        <f>IFERROR(GETPIVOTDATA("合計 / " &amp; $B40,【ピボット】事業所収支!$A$3,"年月",Z$1,"事業所",$A40),"")</f>
        <v>1470264</v>
      </c>
      <c r="AA40" s="458">
        <f>IFERROR(GETPIVOTDATA("合計 / " &amp; $B40,【ピボット】事業所収支!$A$3,"年月",AA$1,"事業所",$A40),"")</f>
        <v>1322966</v>
      </c>
      <c r="AB40" s="458">
        <f>IFERROR(GETPIVOTDATA("合計 / " &amp; $B40,【ピボット】事業所収支!$A$3,"年月",AB$1,"事業所",$A40),"")</f>
        <v>1377986</v>
      </c>
      <c r="AC40" s="458">
        <f>IFERROR(GETPIVOTDATA("合計 / " &amp; $B40,【ピボット】事業所収支!$A$3,"年月",AC$1,"事業所",$A40),"")</f>
        <v>1430079</v>
      </c>
      <c r="AD40" s="459">
        <f ca="1">SUM(OFFSET(AC40,0,当期月数):AC40)</f>
        <v>11534314</v>
      </c>
      <c r="AE40" s="460">
        <f ca="1">AVERAGE(OFFSET(AC40,0,当期月数):AC40)</f>
        <v>1441789.25</v>
      </c>
    </row>
    <row r="41" spans="1:31" ht="26.45" customHeight="1" x14ac:dyDescent="0.15">
      <c r="A41" t="s">
        <v>755</v>
      </c>
      <c r="B41" t="s">
        <v>48</v>
      </c>
      <c r="D41" s="2144"/>
      <c r="E41" s="93" t="s">
        <v>48</v>
      </c>
      <c r="F41" s="96">
        <f t="shared" ref="F41:AC41" si="18">IFERROR(F40/F39,"")</f>
        <v>0.43205504649869342</v>
      </c>
      <c r="G41" s="464">
        <f t="shared" si="18"/>
        <v>0.5496696134586333</v>
      </c>
      <c r="H41" s="464">
        <f t="shared" si="18"/>
        <v>0.53437147508283944</v>
      </c>
      <c r="I41" s="464">
        <f t="shared" si="18"/>
        <v>0.55999179492168372</v>
      </c>
      <c r="J41" s="464">
        <f t="shared" si="18"/>
        <v>0.53797334022209775</v>
      </c>
      <c r="K41" s="464">
        <f t="shared" si="18"/>
        <v>0.6170291846581909</v>
      </c>
      <c r="L41" s="464">
        <f t="shared" si="18"/>
        <v>0.69068547239129419</v>
      </c>
      <c r="M41" s="464">
        <f t="shared" si="18"/>
        <v>0.81695370708221737</v>
      </c>
      <c r="N41" s="464">
        <f t="shared" si="18"/>
        <v>0.81876950810815152</v>
      </c>
      <c r="O41" s="464">
        <f t="shared" si="18"/>
        <v>0.50504257740454417</v>
      </c>
      <c r="P41" s="464">
        <f t="shared" si="18"/>
        <v>0.56057924097540746</v>
      </c>
      <c r="Q41" s="464">
        <f t="shared" si="18"/>
        <v>0.5393882741979964</v>
      </c>
      <c r="R41" s="464">
        <f t="shared" si="18"/>
        <v>0.52663577242929249</v>
      </c>
      <c r="S41" s="464">
        <f t="shared" si="18"/>
        <v>0.77937862949626657</v>
      </c>
      <c r="T41" s="464">
        <f t="shared" si="18"/>
        <v>0.78624920334549731</v>
      </c>
      <c r="U41" s="464">
        <f t="shared" si="18"/>
        <v>0.77092489843582879</v>
      </c>
      <c r="V41" s="464">
        <f t="shared" si="18"/>
        <v>0.62338991123886345</v>
      </c>
      <c r="W41" s="464">
        <f t="shared" si="18"/>
        <v>0.57396074276310716</v>
      </c>
      <c r="X41" s="464">
        <f t="shared" si="18"/>
        <v>0.40549413014338254</v>
      </c>
      <c r="Y41" s="464">
        <f t="shared" si="18"/>
        <v>0.69534841337290387</v>
      </c>
      <c r="Z41" s="464">
        <f t="shared" si="18"/>
        <v>0.55965945317766685</v>
      </c>
      <c r="AA41" s="464">
        <f t="shared" si="18"/>
        <v>0.5260044936172108</v>
      </c>
      <c r="AB41" s="464">
        <f t="shared" si="18"/>
        <v>0.55157785692613504</v>
      </c>
      <c r="AC41" s="464">
        <f t="shared" si="18"/>
        <v>0.58075005208187391</v>
      </c>
      <c r="AD41" s="465">
        <f ca="1">AD40/AD39</f>
        <v>0.55612374462725267</v>
      </c>
      <c r="AE41" s="466">
        <f ca="1">AE40/AE39</f>
        <v>0.55612374462725267</v>
      </c>
    </row>
    <row r="42" spans="1:31" ht="26.45" customHeight="1" x14ac:dyDescent="0.15">
      <c r="A42" t="s">
        <v>755</v>
      </c>
      <c r="B42" t="s">
        <v>1230</v>
      </c>
      <c r="D42" s="2144"/>
      <c r="E42" s="93" t="s">
        <v>43</v>
      </c>
      <c r="F42" s="94">
        <f>IFERROR(GETPIVOTDATA("合計 / " &amp; $B42,【ピボット】事業所収支!$A$3,"年月",F$1,"事業所",$A42),"")</f>
        <v>678719</v>
      </c>
      <c r="G42" s="458">
        <f>IFERROR(GETPIVOTDATA("合計 / " &amp; $B42,【ピボット】事業所収支!$A$3,"年月",G$1,"事業所",$A42),"")</f>
        <v>716850</v>
      </c>
      <c r="H42" s="458">
        <f>IFERROR(GETPIVOTDATA("合計 / " &amp; $B42,【ピボット】事業所収支!$A$3,"年月",H$1,"事業所",$A42),"")</f>
        <v>312799</v>
      </c>
      <c r="I42" s="458">
        <f>IFERROR(GETPIVOTDATA("合計 / " &amp; $B42,【ピボット】事業所収支!$A$3,"年月",I$1,"事業所",$A42),"")</f>
        <v>340117</v>
      </c>
      <c r="J42" s="458">
        <f>IFERROR(GETPIVOTDATA("合計 / " &amp; $B42,【ピボット】事業所収支!$A$3,"年月",J$1,"事業所",$A42),"")</f>
        <v>521873</v>
      </c>
      <c r="K42" s="458">
        <f>IFERROR(GETPIVOTDATA("合計 / " &amp; $B42,【ピボット】事業所収支!$A$3,"年月",K$1,"事業所",$A42),"")</f>
        <v>346984</v>
      </c>
      <c r="L42" s="458">
        <f>IFERROR(GETPIVOTDATA("合計 / " &amp; $B42,【ピボット】事業所収支!$A$3,"年月",L$1,"事業所",$A42),"")</f>
        <v>604342</v>
      </c>
      <c r="M42" s="458">
        <f>IFERROR(GETPIVOTDATA("合計 / " &amp; $B42,【ピボット】事業所収支!$A$3,"年月",M$1,"事業所",$A42),"")</f>
        <v>582653</v>
      </c>
      <c r="N42" s="458">
        <f>IFERROR(GETPIVOTDATA("合計 / " &amp; $B42,【ピボット】事業所収支!$A$3,"年月",N$1,"事業所",$A42),"")</f>
        <v>573594</v>
      </c>
      <c r="O42" s="458">
        <f>IFERROR(GETPIVOTDATA("合計 / " &amp; $B42,【ピボット】事業所収支!$A$3,"年月",O$1,"事業所",$A42),"")</f>
        <v>616591</v>
      </c>
      <c r="P42" s="458">
        <f>IFERROR(GETPIVOTDATA("合計 / " &amp; $B42,【ピボット】事業所収支!$A$3,"年月",P$1,"事業所",$A42),"")</f>
        <v>684050</v>
      </c>
      <c r="Q42" s="458">
        <f>IFERROR(GETPIVOTDATA("合計 / " &amp; $B42,【ピボット】事業所収支!$A$3,"年月",Q$1,"事業所",$A42),"")</f>
        <v>706946</v>
      </c>
      <c r="R42" s="458">
        <f>IFERROR(GETPIVOTDATA("合計 / " &amp; $B42,【ピボット】事業所収支!$A$3,"年月",R$1,"事業所",$A42),"")</f>
        <v>727124</v>
      </c>
      <c r="S42" s="458">
        <f>IFERROR(GETPIVOTDATA("合計 / " &amp; $B42,【ピボット】事業所収支!$A$3,"年月",S$1,"事業所",$A42),"")</f>
        <v>683680</v>
      </c>
      <c r="T42" s="458">
        <f>IFERROR(GETPIVOTDATA("合計 / " &amp; $B42,【ピボット】事業所収支!$A$3,"年月",T$1,"事業所",$A42),"")</f>
        <v>678728</v>
      </c>
      <c r="U42" s="458">
        <f>IFERROR(GETPIVOTDATA("合計 / " &amp; $B42,【ピボット】事業所収支!$A$3,"年月",U$1,"事業所",$A42),"")</f>
        <v>942554</v>
      </c>
      <c r="V42" s="458">
        <f>IFERROR(GETPIVOTDATA("合計 / " &amp; $B42,【ピボット】事業所収支!$A$3,"年月",V$1,"事業所",$A42),"")</f>
        <v>309334</v>
      </c>
      <c r="W42" s="458">
        <f>IFERROR(GETPIVOTDATA("合計 / " &amp; $B42,【ピボット】事業所収支!$A$3,"年月",W$1,"事業所",$A42),"")</f>
        <v>691457</v>
      </c>
      <c r="X42" s="458">
        <f>IFERROR(GETPIVOTDATA("合計 / " &amp; $B42,【ピボット】事業所収支!$A$3,"年月",X$1,"事業所",$A42),"")</f>
        <v>568580</v>
      </c>
      <c r="Y42" s="458">
        <f>IFERROR(GETPIVOTDATA("合計 / " &amp; $B42,【ピボット】事業所収支!$A$3,"年月",Y$1,"事業所",$A42),"")</f>
        <v>547437</v>
      </c>
      <c r="Z42" s="458">
        <f>IFERROR(GETPIVOTDATA("合計 / " &amp; $B42,【ピボット】事業所収支!$A$3,"年月",Z$1,"事業所",$A42),"")</f>
        <v>648199</v>
      </c>
      <c r="AA42" s="458">
        <f>IFERROR(GETPIVOTDATA("合計 / " &amp; $B42,【ピボット】事業所収支!$A$3,"年月",AA$1,"事業所",$A42),"")</f>
        <v>588210</v>
      </c>
      <c r="AB42" s="458">
        <f>IFERROR(GETPIVOTDATA("合計 / " &amp; $B42,【ピボット】事業所収支!$A$3,"年月",AB$1,"事業所",$A42),"")</f>
        <v>778041</v>
      </c>
      <c r="AC42" s="458">
        <f>IFERROR(GETPIVOTDATA("合計 / " &amp; $B42,【ピボット】事業所収支!$A$3,"年月",AC$1,"事業所",$A42),"")</f>
        <v>601669</v>
      </c>
      <c r="AD42" s="459">
        <f ca="1">SUM(OFFSET(AC42,0,当期月数):AC42)</f>
        <v>4732927</v>
      </c>
      <c r="AE42" s="460">
        <f ca="1">AVERAGE(OFFSET(AC42,0,当期月数):AC42)</f>
        <v>591615.875</v>
      </c>
    </row>
    <row r="43" spans="1:31" ht="26.45" customHeight="1" x14ac:dyDescent="0.15">
      <c r="A43" t="s">
        <v>755</v>
      </c>
      <c r="B43" t="s">
        <v>32</v>
      </c>
      <c r="D43" s="2144"/>
      <c r="E43" s="117" t="s">
        <v>32</v>
      </c>
      <c r="F43" s="118">
        <f t="shared" ref="F43:AC43" si="19">IFERROR(F39-(F40+F42),"")</f>
        <v>1149138</v>
      </c>
      <c r="G43" s="467">
        <f t="shared" si="19"/>
        <v>586149</v>
      </c>
      <c r="H43" s="467">
        <f>IFERROR(H39-(H40+H42),"")</f>
        <v>1169982</v>
      </c>
      <c r="I43" s="467">
        <f t="shared" si="19"/>
        <v>1034862</v>
      </c>
      <c r="J43" s="467">
        <f t="shared" si="19"/>
        <v>901791</v>
      </c>
      <c r="K43" s="467">
        <f t="shared" si="19"/>
        <v>797769</v>
      </c>
      <c r="L43" s="467">
        <f t="shared" si="19"/>
        <v>192043</v>
      </c>
      <c r="M43" s="467">
        <f t="shared" si="19"/>
        <v>-60323.813492562156</v>
      </c>
      <c r="N43" s="467">
        <f t="shared" si="19"/>
        <v>-99281</v>
      </c>
      <c r="O43" s="467">
        <f t="shared" si="19"/>
        <v>896969</v>
      </c>
      <c r="P43" s="467">
        <f t="shared" si="19"/>
        <v>659214</v>
      </c>
      <c r="Q43" s="467">
        <f t="shared" si="19"/>
        <v>759510</v>
      </c>
      <c r="R43" s="467">
        <f t="shared" si="19"/>
        <v>703244</v>
      </c>
      <c r="S43" s="467">
        <f t="shared" si="19"/>
        <v>-89728</v>
      </c>
      <c r="T43" s="467">
        <f t="shared" si="19"/>
        <v>-134393</v>
      </c>
      <c r="U43" s="467">
        <f t="shared" si="19"/>
        <v>-403891</v>
      </c>
      <c r="V43" s="467">
        <f t="shared" si="19"/>
        <v>486094</v>
      </c>
      <c r="W43" s="467">
        <f t="shared" si="19"/>
        <v>329872</v>
      </c>
      <c r="X43" s="467">
        <f t="shared" si="19"/>
        <v>1525256</v>
      </c>
      <c r="Y43" s="467">
        <f t="shared" si="19"/>
        <v>246581</v>
      </c>
      <c r="Z43" s="467">
        <f t="shared" si="19"/>
        <v>508606</v>
      </c>
      <c r="AA43" s="467">
        <f t="shared" si="19"/>
        <v>603947</v>
      </c>
      <c r="AB43" s="467">
        <f t="shared" si="19"/>
        <v>342235</v>
      </c>
      <c r="AC43" s="467">
        <f t="shared" si="19"/>
        <v>430721</v>
      </c>
      <c r="AD43" s="468">
        <f ca="1">SUM(OFFSET(AC43,0,当期月数):AC43)</f>
        <v>4473312</v>
      </c>
      <c r="AE43" s="469">
        <f ca="1">AVERAGE(OFFSET(AC43,0,当期月数):AC43)</f>
        <v>559164</v>
      </c>
    </row>
    <row r="44" spans="1:31" ht="26.45" customHeight="1" thickBot="1" x14ac:dyDescent="0.2">
      <c r="B44" t="s">
        <v>177</v>
      </c>
      <c r="D44" s="2145"/>
      <c r="E44" s="119" t="s">
        <v>177</v>
      </c>
      <c r="F44" s="120">
        <f t="shared" ref="F44:AC44" si="20">IFERROR(F43/F39,"")</f>
        <v>0.3570559009685027</v>
      </c>
      <c r="G44" s="470">
        <f t="shared" si="20"/>
        <v>0.20257936171926114</v>
      </c>
      <c r="H44" s="470">
        <f t="shared" si="20"/>
        <v>0.36740219414709879</v>
      </c>
      <c r="I44" s="470">
        <f t="shared" si="20"/>
        <v>0.33116707318712252</v>
      </c>
      <c r="J44" s="470">
        <f t="shared" si="20"/>
        <v>0.29266138888654503</v>
      </c>
      <c r="K44" s="470">
        <f t="shared" si="20"/>
        <v>0.26688922796832132</v>
      </c>
      <c r="L44" s="470">
        <f t="shared" si="20"/>
        <v>7.4589162057997954E-2</v>
      </c>
      <c r="M44" s="470">
        <f t="shared" si="20"/>
        <v>-2.1140021886025675E-2</v>
      </c>
      <c r="N44" s="470">
        <f t="shared" si="20"/>
        <v>-3.7934327048836133E-2</v>
      </c>
      <c r="O44" s="470">
        <f t="shared" si="20"/>
        <v>0.29332267263142747</v>
      </c>
      <c r="P44" s="470">
        <f t="shared" si="20"/>
        <v>0.21564809020388975</v>
      </c>
      <c r="Q44" s="470">
        <f t="shared" si="20"/>
        <v>0.23856100139648223</v>
      </c>
      <c r="R44" s="470">
        <f t="shared" si="20"/>
        <v>0.23273070486317832</v>
      </c>
      <c r="S44" s="470">
        <f t="shared" si="20"/>
        <v>-3.3329148369832903E-2</v>
      </c>
      <c r="T44" s="470">
        <f t="shared" si="20"/>
        <v>-5.2773771326092532E-2</v>
      </c>
      <c r="U44" s="470">
        <f t="shared" si="20"/>
        <v>-0.1717611416523033</v>
      </c>
      <c r="V44" s="470">
        <f t="shared" si="20"/>
        <v>0.23015018893759828</v>
      </c>
      <c r="W44" s="470">
        <f t="shared" si="20"/>
        <v>0.13760347729600189</v>
      </c>
      <c r="X44" s="470">
        <f t="shared" si="20"/>
        <v>0.4330681319043253</v>
      </c>
      <c r="Y44" s="470">
        <f t="shared" si="20"/>
        <v>9.4609055313728388E-2</v>
      </c>
      <c r="Z44" s="470">
        <f t="shared" si="20"/>
        <v>0.19360207135785165</v>
      </c>
      <c r="AA44" s="470">
        <f t="shared" si="20"/>
        <v>0.24012622841904749</v>
      </c>
      <c r="AB44" s="470">
        <f t="shared" si="20"/>
        <v>0.13698923491611367</v>
      </c>
      <c r="AC44" s="470">
        <f t="shared" si="20"/>
        <v>0.17491428318488478</v>
      </c>
      <c r="AD44" s="471">
        <f ca="1">AD43/AD39</f>
        <v>0.21567949514171583</v>
      </c>
      <c r="AE44" s="472">
        <f ca="1">AE43/AE39</f>
        <v>0.21567949514171583</v>
      </c>
    </row>
    <row r="45" spans="1:31" ht="26.45" hidden="1" customHeight="1" x14ac:dyDescent="0.15">
      <c r="A45" t="s">
        <v>750</v>
      </c>
      <c r="B45" t="s">
        <v>26</v>
      </c>
      <c r="D45" s="2143" t="s">
        <v>39</v>
      </c>
      <c r="E45" s="91" t="s">
        <v>26</v>
      </c>
      <c r="F45" s="95">
        <f>IFERROR(GETPIVOTDATA("合計 / " &amp; $B45,【ピボット】事業所収支!$A$3,"年月",F$1,"事業所",$A45),"")</f>
        <v>596033</v>
      </c>
      <c r="G45" s="461">
        <f>IFERROR(GETPIVOTDATA("合計 / " &amp; $B45,【ピボット】事業所収支!$A$3,"年月",G$1,"事業所",$A45),"")</f>
        <v>0</v>
      </c>
      <c r="H45" s="461">
        <f>IFERROR(GETPIVOTDATA("合計 / " &amp; $B45,【ピボット】事業所収支!$A$3,"年月",H$1,"事業所",$A45),"")</f>
        <v>0</v>
      </c>
      <c r="I45" s="461">
        <f>IFERROR(GETPIVOTDATA("合計 / " &amp; $B45,【ピボット】事業所収支!$A$3,"年月",I$1,"事業所",$A45),"")</f>
        <v>0</v>
      </c>
      <c r="J45" s="461" t="str">
        <f>IFERROR(GETPIVOTDATA("合計 / " &amp; $B45,【ピボット】事業所収支!$A$3,"年月",J$1,"事業所",$A45),"")</f>
        <v/>
      </c>
      <c r="K45" s="461" t="str">
        <f>IFERROR(GETPIVOTDATA("合計 / " &amp; $B45,【ピボット】事業所収支!$A$3,"年月",K$1,"事業所",$A45),"")</f>
        <v/>
      </c>
      <c r="L45" s="461" t="str">
        <f>IFERROR(GETPIVOTDATA("合計 / " &amp; $B45,【ピボット】事業所収支!$A$3,"年月",L$1,"事業所",$A45),"")</f>
        <v/>
      </c>
      <c r="M45" s="461" t="str">
        <f>IFERROR(GETPIVOTDATA("合計 / " &amp; $B45,【ピボット】事業所収支!$A$3,"年月",M$1,"事業所",$A45),"")</f>
        <v/>
      </c>
      <c r="N45" s="461" t="str">
        <f>IFERROR(GETPIVOTDATA("合計 / " &amp; $B45,【ピボット】事業所収支!$A$3,"年月",N$1,"事業所",$A45),"")</f>
        <v/>
      </c>
      <c r="O45" s="461" t="str">
        <f>IFERROR(GETPIVOTDATA("合計 / " &amp; $B45,【ピボット】事業所収支!$A$3,"年月",O$1,"事業所",$A45),"")</f>
        <v/>
      </c>
      <c r="P45" s="461" t="str">
        <f>IFERROR(GETPIVOTDATA("合計 / " &amp; $B45,【ピボット】事業所収支!$A$3,"年月",P$1,"事業所",$A45),"")</f>
        <v/>
      </c>
      <c r="Q45" s="461" t="str">
        <f>IFERROR(GETPIVOTDATA("合計 / " &amp; $B45,【ピボット】事業所収支!$A$3,"年月",Q$1,"事業所",$A45),"")</f>
        <v/>
      </c>
      <c r="R45" s="461" t="str">
        <f>IFERROR(GETPIVOTDATA("合計 / " &amp; $B45,【ピボット】事業所収支!$A$3,"年月",R$1,"事業所",$A45),"")</f>
        <v/>
      </c>
      <c r="S45" s="461" t="str">
        <f>IFERROR(GETPIVOTDATA("合計 / " &amp; $B45,【ピボット】事業所収支!$A$3,"年月",S$1,"事業所",$A45),"")</f>
        <v/>
      </c>
      <c r="T45" s="461" t="str">
        <f>IFERROR(GETPIVOTDATA("合計 / " &amp; $B45,【ピボット】事業所収支!$A$3,"年月",T$1,"事業所",$A45),"")</f>
        <v/>
      </c>
      <c r="U45" s="461" t="str">
        <f>IFERROR(GETPIVOTDATA("合計 / " &amp; $B45,【ピボット】事業所収支!$A$3,"年月",U$1,"事業所",$A45),"")</f>
        <v/>
      </c>
      <c r="V45" s="461" t="str">
        <f>IFERROR(GETPIVOTDATA("合計 / " &amp; $B45,【ピボット】事業所収支!$A$3,"年月",V$1,"事業所",$A45),"")</f>
        <v/>
      </c>
      <c r="W45" s="461" t="str">
        <f>IFERROR(GETPIVOTDATA("合計 / " &amp; $B45,【ピボット】事業所収支!$A$3,"年月",W$1,"事業所",$A45),"")</f>
        <v/>
      </c>
      <c r="X45" s="461" t="str">
        <f>IFERROR(GETPIVOTDATA("合計 / " &amp; $B45,【ピボット】事業所収支!$A$3,"年月",X$1,"事業所",$A45),"")</f>
        <v/>
      </c>
      <c r="Y45" s="461" t="str">
        <f>IFERROR(GETPIVOTDATA("合計 / " &amp; $B45,【ピボット】事業所収支!$A$3,"年月",Y$1,"事業所",$A45),"")</f>
        <v/>
      </c>
      <c r="Z45" s="461" t="str">
        <f>IFERROR(GETPIVOTDATA("合計 / " &amp; $B45,【ピボット】事業所収支!$A$3,"年月",Z$1,"事業所",$A45),"")</f>
        <v/>
      </c>
      <c r="AA45" s="461" t="str">
        <f>IFERROR(GETPIVOTDATA("合計 / " &amp; $B45,【ピボット】事業所収支!$A$3,"年月",AA$1,"事業所",$A45),"")</f>
        <v/>
      </c>
      <c r="AB45" s="461" t="str">
        <f>IFERROR(GETPIVOTDATA("合計 / " &amp; $B45,【ピボット】事業所収支!$A$3,"年月",AB$1,"事業所",$A45),"")</f>
        <v/>
      </c>
      <c r="AC45" s="461" t="str">
        <f>IFERROR(GETPIVOTDATA("合計 / " &amp; $B45,【ピボット】事業所収支!$A$3,"年月",AC$1,"事業所",$A45),"")</f>
        <v/>
      </c>
      <c r="AD45" s="462">
        <f ca="1">SUM(OFFSET(AC45,0,当期月数):AC45)</f>
        <v>0</v>
      </c>
      <c r="AE45" s="463" t="e">
        <f ca="1">AVERAGE(OFFSET(AC45,0,当期月数):AC45)</f>
        <v>#DIV/0!</v>
      </c>
    </row>
    <row r="46" spans="1:31" ht="26.45" hidden="1" customHeight="1" x14ac:dyDescent="0.15">
      <c r="A46" t="s">
        <v>750</v>
      </c>
      <c r="B46" t="s">
        <v>15</v>
      </c>
      <c r="D46" s="2144"/>
      <c r="E46" s="93" t="s">
        <v>15</v>
      </c>
      <c r="F46" s="94">
        <f>IFERROR(GETPIVOTDATA("合計 / " &amp; $B46,【ピボット】事業所収支!$A$3,"年月",F$1,"事業所",$A46),"")</f>
        <v>746183</v>
      </c>
      <c r="G46" s="458">
        <f>IFERROR(GETPIVOTDATA("合計 / " &amp; $B46,【ピボット】事業所収支!$A$3,"年月",G$1,"事業所",$A46),"")</f>
        <v>0</v>
      </c>
      <c r="H46" s="458">
        <f>IFERROR(GETPIVOTDATA("合計 / " &amp; $B46,【ピボット】事業所収支!$A$3,"年月",H$1,"事業所",$A46),"")</f>
        <v>0</v>
      </c>
      <c r="I46" s="458">
        <f>IFERROR(GETPIVOTDATA("合計 / " &amp; $B46,【ピボット】事業所収支!$A$3,"年月",I$1,"事業所",$A46),"")</f>
        <v>0</v>
      </c>
      <c r="J46" s="458" t="str">
        <f>IFERROR(GETPIVOTDATA("合計 / " &amp; $B46,【ピボット】事業所収支!$A$3,"年月",J$1,"事業所",$A46),"")</f>
        <v/>
      </c>
      <c r="K46" s="458" t="str">
        <f>IFERROR(GETPIVOTDATA("合計 / " &amp; $B46,【ピボット】事業所収支!$A$3,"年月",K$1,"事業所",$A46),"")</f>
        <v/>
      </c>
      <c r="L46" s="458" t="str">
        <f>IFERROR(GETPIVOTDATA("合計 / " &amp; $B46,【ピボット】事業所収支!$A$3,"年月",L$1,"事業所",$A46),"")</f>
        <v/>
      </c>
      <c r="M46" s="458" t="str">
        <f>IFERROR(GETPIVOTDATA("合計 / " &amp; $B46,【ピボット】事業所収支!$A$3,"年月",M$1,"事業所",$A46),"")</f>
        <v/>
      </c>
      <c r="N46" s="458" t="str">
        <f>IFERROR(GETPIVOTDATA("合計 / " &amp; $B46,【ピボット】事業所収支!$A$3,"年月",N$1,"事業所",$A46),"")</f>
        <v/>
      </c>
      <c r="O46" s="458" t="str">
        <f>IFERROR(GETPIVOTDATA("合計 / " &amp; $B46,【ピボット】事業所収支!$A$3,"年月",O$1,"事業所",$A46),"")</f>
        <v/>
      </c>
      <c r="P46" s="458" t="str">
        <f>IFERROR(GETPIVOTDATA("合計 / " &amp; $B46,【ピボット】事業所収支!$A$3,"年月",P$1,"事業所",$A46),"")</f>
        <v/>
      </c>
      <c r="Q46" s="458" t="str">
        <f>IFERROR(GETPIVOTDATA("合計 / " &amp; $B46,【ピボット】事業所収支!$A$3,"年月",Q$1,"事業所",$A46),"")</f>
        <v/>
      </c>
      <c r="R46" s="458" t="str">
        <f>IFERROR(GETPIVOTDATA("合計 / " &amp; $B46,【ピボット】事業所収支!$A$3,"年月",R$1,"事業所",$A46),"")</f>
        <v/>
      </c>
      <c r="S46" s="458" t="str">
        <f>IFERROR(GETPIVOTDATA("合計 / " &amp; $B46,【ピボット】事業所収支!$A$3,"年月",S$1,"事業所",$A46),"")</f>
        <v/>
      </c>
      <c r="T46" s="458" t="str">
        <f>IFERROR(GETPIVOTDATA("合計 / " &amp; $B46,【ピボット】事業所収支!$A$3,"年月",T$1,"事業所",$A46),"")</f>
        <v/>
      </c>
      <c r="U46" s="458" t="str">
        <f>IFERROR(GETPIVOTDATA("合計 / " &amp; $B46,【ピボット】事業所収支!$A$3,"年月",U$1,"事業所",$A46),"")</f>
        <v/>
      </c>
      <c r="V46" s="458" t="str">
        <f>IFERROR(GETPIVOTDATA("合計 / " &amp; $B46,【ピボット】事業所収支!$A$3,"年月",V$1,"事業所",$A46),"")</f>
        <v/>
      </c>
      <c r="W46" s="458" t="str">
        <f>IFERROR(GETPIVOTDATA("合計 / " &amp; $B46,【ピボット】事業所収支!$A$3,"年月",W$1,"事業所",$A46),"")</f>
        <v/>
      </c>
      <c r="X46" s="458" t="str">
        <f>IFERROR(GETPIVOTDATA("合計 / " &amp; $B46,【ピボット】事業所収支!$A$3,"年月",X$1,"事業所",$A46),"")</f>
        <v/>
      </c>
      <c r="Y46" s="458" t="str">
        <f>IFERROR(GETPIVOTDATA("合計 / " &amp; $B46,【ピボット】事業所収支!$A$3,"年月",Y$1,"事業所",$A46),"")</f>
        <v/>
      </c>
      <c r="Z46" s="458" t="str">
        <f>IFERROR(GETPIVOTDATA("合計 / " &amp; $B46,【ピボット】事業所収支!$A$3,"年月",Z$1,"事業所",$A46),"")</f>
        <v/>
      </c>
      <c r="AA46" s="458" t="str">
        <f>IFERROR(GETPIVOTDATA("合計 / " &amp; $B46,【ピボット】事業所収支!$A$3,"年月",AA$1,"事業所",$A46),"")</f>
        <v/>
      </c>
      <c r="AB46" s="458" t="str">
        <f>IFERROR(GETPIVOTDATA("合計 / " &amp; $B46,【ピボット】事業所収支!$A$3,"年月",AB$1,"事業所",$A46),"")</f>
        <v/>
      </c>
      <c r="AC46" s="458" t="str">
        <f>IFERROR(GETPIVOTDATA("合計 / " &amp; $B46,【ピボット】事業所収支!$A$3,"年月",AC$1,"事業所",$A46),"")</f>
        <v/>
      </c>
      <c r="AD46" s="459">
        <f ca="1">SUM(OFFSET(AC46,0,当期月数):AC46)</f>
        <v>0</v>
      </c>
      <c r="AE46" s="460" t="e">
        <f ca="1">AVERAGE(OFFSET(AC46,0,当期月数):AC46)</f>
        <v>#DIV/0!</v>
      </c>
    </row>
    <row r="47" spans="1:31" ht="26.45" hidden="1" customHeight="1" x14ac:dyDescent="0.15">
      <c r="A47" t="s">
        <v>750</v>
      </c>
      <c r="B47" t="s">
        <v>48</v>
      </c>
      <c r="D47" s="2144"/>
      <c r="E47" s="93" t="s">
        <v>48</v>
      </c>
      <c r="F47" s="96">
        <f t="shared" ref="F47:AC47" si="21">IFERROR(F46/F45,"")</f>
        <v>1.2519155818553671</v>
      </c>
      <c r="G47" s="464" t="str">
        <f t="shared" si="21"/>
        <v/>
      </c>
      <c r="H47" s="464" t="str">
        <f t="shared" si="21"/>
        <v/>
      </c>
      <c r="I47" s="464" t="str">
        <f t="shared" si="21"/>
        <v/>
      </c>
      <c r="J47" s="464" t="str">
        <f t="shared" si="21"/>
        <v/>
      </c>
      <c r="K47" s="464" t="str">
        <f t="shared" si="21"/>
        <v/>
      </c>
      <c r="L47" s="464" t="str">
        <f t="shared" si="21"/>
        <v/>
      </c>
      <c r="M47" s="464" t="str">
        <f t="shared" si="21"/>
        <v/>
      </c>
      <c r="N47" s="464" t="str">
        <f t="shared" si="21"/>
        <v/>
      </c>
      <c r="O47" s="464" t="str">
        <f t="shared" si="21"/>
        <v/>
      </c>
      <c r="P47" s="464" t="str">
        <f t="shared" si="21"/>
        <v/>
      </c>
      <c r="Q47" s="464" t="str">
        <f t="shared" si="21"/>
        <v/>
      </c>
      <c r="R47" s="464" t="str">
        <f t="shared" si="21"/>
        <v/>
      </c>
      <c r="S47" s="464" t="str">
        <f t="shared" si="21"/>
        <v/>
      </c>
      <c r="T47" s="464" t="str">
        <f t="shared" si="21"/>
        <v/>
      </c>
      <c r="U47" s="464" t="str">
        <f t="shared" si="21"/>
        <v/>
      </c>
      <c r="V47" s="464" t="str">
        <f t="shared" si="21"/>
        <v/>
      </c>
      <c r="W47" s="464" t="str">
        <f t="shared" si="21"/>
        <v/>
      </c>
      <c r="X47" s="464" t="str">
        <f t="shared" si="21"/>
        <v/>
      </c>
      <c r="Y47" s="464" t="str">
        <f t="shared" si="21"/>
        <v/>
      </c>
      <c r="Z47" s="464" t="str">
        <f t="shared" si="21"/>
        <v/>
      </c>
      <c r="AA47" s="464" t="str">
        <f t="shared" si="21"/>
        <v/>
      </c>
      <c r="AB47" s="464" t="str">
        <f t="shared" si="21"/>
        <v/>
      </c>
      <c r="AC47" s="464" t="str">
        <f t="shared" si="21"/>
        <v/>
      </c>
      <c r="AD47" s="465" t="e">
        <f ca="1">AD46/AD45</f>
        <v>#DIV/0!</v>
      </c>
      <c r="AE47" s="466" t="e">
        <f ca="1">AE46/AE45</f>
        <v>#DIV/0!</v>
      </c>
    </row>
    <row r="48" spans="1:31" ht="26.45" hidden="1" customHeight="1" x14ac:dyDescent="0.15">
      <c r="A48" t="s">
        <v>750</v>
      </c>
      <c r="B48" t="s">
        <v>1230</v>
      </c>
      <c r="D48" s="2144"/>
      <c r="E48" s="93" t="s">
        <v>43</v>
      </c>
      <c r="F48" s="94">
        <f>IFERROR(GETPIVOTDATA("合計 / " &amp; $B48,【ピボット】事業所収支!$A$3,"年月",F$1,"事業所",$A48),"")</f>
        <v>164646</v>
      </c>
      <c r="G48" s="458">
        <f>IFERROR(GETPIVOTDATA("合計 / " &amp; $B48,【ピボット】事業所収支!$A$3,"年月",G$1,"事業所",$A48),"")</f>
        <v>54694</v>
      </c>
      <c r="H48" s="458">
        <f>IFERROR(GETPIVOTDATA("合計 / " &amp; $B48,【ピボット】事業所収支!$A$3,"年月",H$1,"事業所",$A48),"")</f>
        <v>5420</v>
      </c>
      <c r="I48" s="458">
        <f>IFERROR(GETPIVOTDATA("合計 / " &amp; $B48,【ピボット】事業所収支!$A$3,"年月",I$1,"事業所",$A48),"")</f>
        <v>2842</v>
      </c>
      <c r="J48" s="458" t="str">
        <f>IFERROR(GETPIVOTDATA("合計 / " &amp; $B48,【ピボット】事業所収支!$A$3,"年月",J$1,"事業所",$A48),"")</f>
        <v/>
      </c>
      <c r="K48" s="458" t="str">
        <f>IFERROR(GETPIVOTDATA("合計 / " &amp; $B48,【ピボット】事業所収支!$A$3,"年月",K$1,"事業所",$A48),"")</f>
        <v/>
      </c>
      <c r="L48" s="458" t="str">
        <f>IFERROR(GETPIVOTDATA("合計 / " &amp; $B48,【ピボット】事業所収支!$A$3,"年月",L$1,"事業所",$A48),"")</f>
        <v/>
      </c>
      <c r="M48" s="458" t="str">
        <f>IFERROR(GETPIVOTDATA("合計 / " &amp; $B48,【ピボット】事業所収支!$A$3,"年月",M$1,"事業所",$A48),"")</f>
        <v/>
      </c>
      <c r="N48" s="458" t="str">
        <f>IFERROR(GETPIVOTDATA("合計 / " &amp; $B48,【ピボット】事業所収支!$A$3,"年月",N$1,"事業所",$A48),"")</f>
        <v/>
      </c>
      <c r="O48" s="458" t="str">
        <f>IFERROR(GETPIVOTDATA("合計 / " &amp; $B48,【ピボット】事業所収支!$A$3,"年月",O$1,"事業所",$A48),"")</f>
        <v/>
      </c>
      <c r="P48" s="458" t="str">
        <f>IFERROR(GETPIVOTDATA("合計 / " &amp; $B48,【ピボット】事業所収支!$A$3,"年月",P$1,"事業所",$A48),"")</f>
        <v/>
      </c>
      <c r="Q48" s="458" t="str">
        <f>IFERROR(GETPIVOTDATA("合計 / " &amp; $B48,【ピボット】事業所収支!$A$3,"年月",Q$1,"事業所",$A48),"")</f>
        <v/>
      </c>
      <c r="R48" s="458" t="str">
        <f>IFERROR(GETPIVOTDATA("合計 / " &amp; $B48,【ピボット】事業所収支!$A$3,"年月",R$1,"事業所",$A48),"")</f>
        <v/>
      </c>
      <c r="S48" s="458" t="str">
        <f>IFERROR(GETPIVOTDATA("合計 / " &amp; $B48,【ピボット】事業所収支!$A$3,"年月",S$1,"事業所",$A48),"")</f>
        <v/>
      </c>
      <c r="T48" s="458" t="str">
        <f>IFERROR(GETPIVOTDATA("合計 / " &amp; $B48,【ピボット】事業所収支!$A$3,"年月",T$1,"事業所",$A48),"")</f>
        <v/>
      </c>
      <c r="U48" s="458" t="str">
        <f>IFERROR(GETPIVOTDATA("合計 / " &amp; $B48,【ピボット】事業所収支!$A$3,"年月",U$1,"事業所",$A48),"")</f>
        <v/>
      </c>
      <c r="V48" s="458" t="str">
        <f>IFERROR(GETPIVOTDATA("合計 / " &amp; $B48,【ピボット】事業所収支!$A$3,"年月",V$1,"事業所",$A48),"")</f>
        <v/>
      </c>
      <c r="W48" s="458" t="str">
        <f>IFERROR(GETPIVOTDATA("合計 / " &amp; $B48,【ピボット】事業所収支!$A$3,"年月",W$1,"事業所",$A48),"")</f>
        <v/>
      </c>
      <c r="X48" s="458" t="str">
        <f>IFERROR(GETPIVOTDATA("合計 / " &amp; $B48,【ピボット】事業所収支!$A$3,"年月",X$1,"事業所",$A48),"")</f>
        <v/>
      </c>
      <c r="Y48" s="458" t="str">
        <f>IFERROR(GETPIVOTDATA("合計 / " &amp; $B48,【ピボット】事業所収支!$A$3,"年月",Y$1,"事業所",$A48),"")</f>
        <v/>
      </c>
      <c r="Z48" s="458" t="str">
        <f>IFERROR(GETPIVOTDATA("合計 / " &amp; $B48,【ピボット】事業所収支!$A$3,"年月",Z$1,"事業所",$A48),"")</f>
        <v/>
      </c>
      <c r="AA48" s="458" t="str">
        <f>IFERROR(GETPIVOTDATA("合計 / " &amp; $B48,【ピボット】事業所収支!$A$3,"年月",AA$1,"事業所",$A48),"")</f>
        <v/>
      </c>
      <c r="AB48" s="458" t="str">
        <f>IFERROR(GETPIVOTDATA("合計 / " &amp; $B48,【ピボット】事業所収支!$A$3,"年月",AB$1,"事業所",$A48),"")</f>
        <v/>
      </c>
      <c r="AC48" s="458" t="str">
        <f>IFERROR(GETPIVOTDATA("合計 / " &amp; $B48,【ピボット】事業所収支!$A$3,"年月",AC$1,"事業所",$A48),"")</f>
        <v/>
      </c>
      <c r="AD48" s="459">
        <f ca="1">SUM(OFFSET(AC48,0,当期月数):AC48)</f>
        <v>0</v>
      </c>
      <c r="AE48" s="460" t="e">
        <f ca="1">AVERAGE(OFFSET(AC48,0,当期月数):AC48)</f>
        <v>#DIV/0!</v>
      </c>
    </row>
    <row r="49" spans="1:31" ht="26.45" hidden="1" customHeight="1" x14ac:dyDescent="0.15">
      <c r="A49" t="s">
        <v>750</v>
      </c>
      <c r="B49" t="s">
        <v>32</v>
      </c>
      <c r="D49" s="2144"/>
      <c r="E49" s="117" t="s">
        <v>32</v>
      </c>
      <c r="F49" s="118">
        <f t="shared" ref="F49:AC49" si="22">IFERROR(F45-(F46+F48),"")</f>
        <v>-314796</v>
      </c>
      <c r="G49" s="467">
        <f t="shared" si="22"/>
        <v>-54694</v>
      </c>
      <c r="H49" s="467">
        <f t="shared" si="22"/>
        <v>-5420</v>
      </c>
      <c r="I49" s="467">
        <f t="shared" si="22"/>
        <v>-2842</v>
      </c>
      <c r="J49" s="467" t="str">
        <f t="shared" si="22"/>
        <v/>
      </c>
      <c r="K49" s="467" t="str">
        <f t="shared" si="22"/>
        <v/>
      </c>
      <c r="L49" s="467" t="str">
        <f t="shared" si="22"/>
        <v/>
      </c>
      <c r="M49" s="467" t="str">
        <f t="shared" si="22"/>
        <v/>
      </c>
      <c r="N49" s="467" t="str">
        <f t="shared" si="22"/>
        <v/>
      </c>
      <c r="O49" s="467" t="str">
        <f t="shared" si="22"/>
        <v/>
      </c>
      <c r="P49" s="467" t="str">
        <f t="shared" si="22"/>
        <v/>
      </c>
      <c r="Q49" s="467" t="str">
        <f t="shared" si="22"/>
        <v/>
      </c>
      <c r="R49" s="467" t="str">
        <f t="shared" si="22"/>
        <v/>
      </c>
      <c r="S49" s="467" t="str">
        <f t="shared" si="22"/>
        <v/>
      </c>
      <c r="T49" s="467" t="str">
        <f t="shared" si="22"/>
        <v/>
      </c>
      <c r="U49" s="467" t="str">
        <f t="shared" si="22"/>
        <v/>
      </c>
      <c r="V49" s="467" t="str">
        <f t="shared" si="22"/>
        <v/>
      </c>
      <c r="W49" s="467" t="str">
        <f t="shared" si="22"/>
        <v/>
      </c>
      <c r="X49" s="467" t="str">
        <f t="shared" si="22"/>
        <v/>
      </c>
      <c r="Y49" s="467" t="str">
        <f t="shared" si="22"/>
        <v/>
      </c>
      <c r="Z49" s="467" t="str">
        <f t="shared" si="22"/>
        <v/>
      </c>
      <c r="AA49" s="467" t="str">
        <f t="shared" si="22"/>
        <v/>
      </c>
      <c r="AB49" s="467" t="str">
        <f t="shared" si="22"/>
        <v/>
      </c>
      <c r="AC49" s="467" t="str">
        <f t="shared" si="22"/>
        <v/>
      </c>
      <c r="AD49" s="468">
        <f ca="1">SUM(OFFSET(AC49,0,当期月数):AC49)</f>
        <v>0</v>
      </c>
      <c r="AE49" s="469" t="e">
        <f ca="1">AVERAGE(OFFSET(AC49,0,当期月数):AC49)</f>
        <v>#DIV/0!</v>
      </c>
    </row>
    <row r="50" spans="1:31" ht="26.45" hidden="1" customHeight="1" thickBot="1" x14ac:dyDescent="0.2">
      <c r="B50" t="s">
        <v>177</v>
      </c>
      <c r="D50" s="2145"/>
      <c r="E50" s="119" t="s">
        <v>177</v>
      </c>
      <c r="F50" s="120">
        <f t="shared" ref="F50:AC50" si="23">IFERROR(F49/F45,"")</f>
        <v>-0.52815196474020731</v>
      </c>
      <c r="G50" s="470" t="str">
        <f t="shared" si="23"/>
        <v/>
      </c>
      <c r="H50" s="470" t="str">
        <f t="shared" si="23"/>
        <v/>
      </c>
      <c r="I50" s="470" t="str">
        <f t="shared" si="23"/>
        <v/>
      </c>
      <c r="J50" s="470" t="str">
        <f t="shared" si="23"/>
        <v/>
      </c>
      <c r="K50" s="470" t="str">
        <f t="shared" si="23"/>
        <v/>
      </c>
      <c r="L50" s="470" t="str">
        <f t="shared" si="23"/>
        <v/>
      </c>
      <c r="M50" s="470" t="str">
        <f t="shared" si="23"/>
        <v/>
      </c>
      <c r="N50" s="470" t="str">
        <f t="shared" si="23"/>
        <v/>
      </c>
      <c r="O50" s="470" t="str">
        <f t="shared" si="23"/>
        <v/>
      </c>
      <c r="P50" s="470" t="str">
        <f t="shared" si="23"/>
        <v/>
      </c>
      <c r="Q50" s="470" t="str">
        <f t="shared" si="23"/>
        <v/>
      </c>
      <c r="R50" s="470" t="str">
        <f t="shared" si="23"/>
        <v/>
      </c>
      <c r="S50" s="470" t="str">
        <f t="shared" si="23"/>
        <v/>
      </c>
      <c r="T50" s="470" t="str">
        <f t="shared" si="23"/>
        <v/>
      </c>
      <c r="U50" s="470" t="str">
        <f t="shared" si="23"/>
        <v/>
      </c>
      <c r="V50" s="470" t="str">
        <f t="shared" si="23"/>
        <v/>
      </c>
      <c r="W50" s="470" t="str">
        <f t="shared" si="23"/>
        <v/>
      </c>
      <c r="X50" s="470" t="str">
        <f t="shared" si="23"/>
        <v/>
      </c>
      <c r="Y50" s="470" t="str">
        <f t="shared" si="23"/>
        <v/>
      </c>
      <c r="Z50" s="470" t="str">
        <f t="shared" si="23"/>
        <v/>
      </c>
      <c r="AA50" s="470" t="str">
        <f t="shared" si="23"/>
        <v/>
      </c>
      <c r="AB50" s="470" t="str">
        <f t="shared" si="23"/>
        <v/>
      </c>
      <c r="AC50" s="470" t="str">
        <f t="shared" si="23"/>
        <v/>
      </c>
      <c r="AD50" s="471" t="e">
        <f ca="1">AD49/AD45</f>
        <v>#DIV/0!</v>
      </c>
      <c r="AE50" s="472" t="e">
        <f ca="1">AE49/AE45</f>
        <v>#DIV/0!</v>
      </c>
    </row>
    <row r="51" spans="1:31" ht="26.45" customHeight="1" x14ac:dyDescent="0.15">
      <c r="A51" t="s">
        <v>748</v>
      </c>
      <c r="B51" t="s">
        <v>26</v>
      </c>
      <c r="D51" s="2135" t="s">
        <v>119</v>
      </c>
      <c r="E51" s="91" t="s">
        <v>26</v>
      </c>
      <c r="F51" s="92">
        <f>IFERROR(GETPIVOTDATA("合計 / " &amp; $B51,【ピボット】事業所収支!$A$3,"年月",F$1,"事業所",$A51),"")</f>
        <v>408033</v>
      </c>
      <c r="G51" s="452">
        <f>IFERROR(GETPIVOTDATA("合計 / " &amp; $B51,【ピボット】事業所収支!$A$3,"年月",G$1,"事業所",$A51),"")</f>
        <v>2686373</v>
      </c>
      <c r="H51" s="452">
        <f>IFERROR(GETPIVOTDATA("合計 / " &amp; $B51,【ピボット】事業所収支!$A$3,"年月",H$1,"事業所",$A51),"")</f>
        <v>1273066</v>
      </c>
      <c r="I51" s="452">
        <f>IFERROR(GETPIVOTDATA("合計 / " &amp; $B51,【ピボット】事業所収支!$A$3,"年月",I$1,"事業所",$A51),"")</f>
        <v>1036363</v>
      </c>
      <c r="J51" s="452">
        <f>IFERROR(GETPIVOTDATA("合計 / " &amp; $B51,【ピボット】事業所収支!$A$3,"年月",J$1,"事業所",$A51),"")</f>
        <v>1236162</v>
      </c>
      <c r="K51" s="452">
        <f>IFERROR(GETPIVOTDATA("合計 / " &amp; $B51,【ピボット】事業所収支!$A$3,"年月",K$1,"事業所",$A51),"")</f>
        <v>1051496</v>
      </c>
      <c r="L51" s="452">
        <f>IFERROR(GETPIVOTDATA("合計 / " &amp; $B51,【ピボット】事業所収支!$A$3,"年月",L$1,"事業所",$A51),"")</f>
        <v>1225409</v>
      </c>
      <c r="M51" s="452">
        <f>IFERROR(GETPIVOTDATA("合計 / " &amp; $B51,【ピボット】事業所収支!$A$3,"年月",M$1,"事業所",$A51),"")</f>
        <v>1036248</v>
      </c>
      <c r="N51" s="452">
        <f>IFERROR(GETPIVOTDATA("合計 / " &amp; $B51,【ピボット】事業所収支!$A$3,"年月",N$1,"事業所",$A51),"")</f>
        <v>809040</v>
      </c>
      <c r="O51" s="452">
        <f>IFERROR(GETPIVOTDATA("合計 / " &amp; $B51,【ピボット】事業所収支!$A$3,"年月",O$1,"事業所",$A51),"")</f>
        <v>741413</v>
      </c>
      <c r="P51" s="452">
        <f>IFERROR(GETPIVOTDATA("合計 / " &amp; $B51,【ピボット】事業所収支!$A$3,"年月",P$1,"事業所",$A51),"")</f>
        <v>820390</v>
      </c>
      <c r="Q51" s="452">
        <f>IFERROR(GETPIVOTDATA("合計 / " &amp; $B51,【ピボット】事業所収支!$A$3,"年月",Q$1,"事業所",$A51),"")</f>
        <v>859760</v>
      </c>
      <c r="R51" s="452">
        <f>IFERROR(GETPIVOTDATA("合計 / " &amp; $B51,【ピボット】事業所収支!$A$3,"年月",R$1,"事業所",$A51),"")</f>
        <v>1366814</v>
      </c>
      <c r="S51" s="452">
        <f>IFERROR(GETPIVOTDATA("合計 / " &amp; $B51,【ピボット】事業所収支!$A$3,"年月",S$1,"事業所",$A51),"")</f>
        <v>548955</v>
      </c>
      <c r="T51" s="452">
        <f>IFERROR(GETPIVOTDATA("合計 / " &amp; $B51,【ピボット】事業所収支!$A$3,"年月",T$1,"事業所",$A51),"")</f>
        <v>1159974</v>
      </c>
      <c r="U51" s="452">
        <f>IFERROR(GETPIVOTDATA("合計 / " &amp; $B51,【ピボット】事業所収支!$A$3,"年月",U$1,"事業所",$A51),"")</f>
        <v>870546</v>
      </c>
      <c r="V51" s="452">
        <f>IFERROR(GETPIVOTDATA("合計 / " &amp; $B51,【ピボット】事業所収支!$A$3,"年月",V$1,"事業所",$A51),"")</f>
        <v>861636</v>
      </c>
      <c r="W51" s="452">
        <f>IFERROR(GETPIVOTDATA("合計 / " &amp; $B51,【ピボット】事業所収支!$A$3,"年月",W$1,"事業所",$A51),"")</f>
        <v>1139110</v>
      </c>
      <c r="X51" s="452">
        <f>IFERROR(GETPIVOTDATA("合計 / " &amp; $B51,【ピボット】事業所収支!$A$3,"年月",X$1,"事業所",$A51),"")</f>
        <v>1134937</v>
      </c>
      <c r="Y51" s="452">
        <f>IFERROR(GETPIVOTDATA("合計 / " &amp; $B51,【ピボット】事業所収支!$A$3,"年月",Y$1,"事業所",$A51),"")</f>
        <v>1175963</v>
      </c>
      <c r="Z51" s="452">
        <f>IFERROR(GETPIVOTDATA("合計 / " &amp; $B51,【ピボット】事業所収支!$A$3,"年月",Z$1,"事業所",$A51),"")</f>
        <v>1272363</v>
      </c>
      <c r="AA51" s="452">
        <f>IFERROR(GETPIVOTDATA("合計 / " &amp; $B51,【ピボット】事業所収支!$A$3,"年月",AA$1,"事業所",$A51),"")</f>
        <v>1036423</v>
      </c>
      <c r="AB51" s="452">
        <f>IFERROR(GETPIVOTDATA("合計 / " &amp; $B51,【ピボット】事業所収支!$A$3,"年月",AB$1,"事業所",$A51),"")</f>
        <v>1027444</v>
      </c>
      <c r="AC51" s="452">
        <f>IFERROR(GETPIVOTDATA("合計 / " &amp; $B51,【ピボット】事業所収支!$A$3,"年月",AC$1,"事業所",$A51),"")</f>
        <v>1077061</v>
      </c>
      <c r="AD51" s="462">
        <f ca="1">SUM(OFFSET(AC51,0,当期月数):AC51)</f>
        <v>8724937</v>
      </c>
      <c r="AE51" s="463">
        <f ca="1">AVERAGE(OFFSET(AC51,0,当期月数):AC51)</f>
        <v>1090617.125</v>
      </c>
    </row>
    <row r="52" spans="1:31" ht="26.45" customHeight="1" x14ac:dyDescent="0.15">
      <c r="A52" t="s">
        <v>748</v>
      </c>
      <c r="B52" t="s">
        <v>15</v>
      </c>
      <c r="D52" s="2136"/>
      <c r="E52" s="93" t="s">
        <v>15</v>
      </c>
      <c r="F52" s="29">
        <f>IFERROR(GETPIVOTDATA("合計 / " &amp; $B52,【ピボット】事業所収支!$A$3,"年月",F$1,"事業所",$A52),"")</f>
        <v>384233</v>
      </c>
      <c r="G52" s="455">
        <f>IFERROR(GETPIVOTDATA("合計 / " &amp; $B52,【ピボット】事業所収支!$A$3,"年月",G$1,"事業所",$A52),"")</f>
        <v>451365</v>
      </c>
      <c r="H52" s="455">
        <f>IFERROR(GETPIVOTDATA("合計 / " &amp; $B52,【ピボット】事業所収支!$A$3,"年月",H$1,"事業所",$A52),"")</f>
        <v>457105</v>
      </c>
      <c r="I52" s="455">
        <f>IFERROR(GETPIVOTDATA("合計 / " &amp; $B52,【ピボット】事業所収支!$A$3,"年月",I$1,"事業所",$A52),"")</f>
        <v>411182</v>
      </c>
      <c r="J52" s="455">
        <f>IFERROR(GETPIVOTDATA("合計 / " &amp; $B52,【ピボット】事業所収支!$A$3,"年月",J$1,"事業所",$A52),"")</f>
        <v>406108</v>
      </c>
      <c r="K52" s="455">
        <f>IFERROR(GETPIVOTDATA("合計 / " &amp; $B52,【ピボット】事業所収支!$A$3,"年月",K$1,"事業所",$A52),"")</f>
        <v>437577</v>
      </c>
      <c r="L52" s="455">
        <f>IFERROR(GETPIVOTDATA("合計 / " &amp; $B52,【ピボット】事業所収支!$A$3,"年月",L$1,"事業所",$A52),"")</f>
        <v>418059</v>
      </c>
      <c r="M52" s="455">
        <f>IFERROR(GETPIVOTDATA("合計 / " &amp; $B52,【ピボット】事業所収支!$A$3,"年月",M$1,"事業所",$A52),"")</f>
        <v>418446.0655371336</v>
      </c>
      <c r="N52" s="455">
        <f>IFERROR(GETPIVOTDATA("合計 / " &amp; $B52,【ピボット】事業所収支!$A$3,"年月",N$1,"事業所",$A52),"")</f>
        <v>441121</v>
      </c>
      <c r="O52" s="455">
        <f>IFERROR(GETPIVOTDATA("合計 / " &amp; $B52,【ピボット】事業所収支!$A$3,"年月",O$1,"事業所",$A52),"")</f>
        <v>327190</v>
      </c>
      <c r="P52" s="455">
        <f>IFERROR(GETPIVOTDATA("合計 / " &amp; $B52,【ピボット】事業所収支!$A$3,"年月",P$1,"事業所",$A52),"")</f>
        <v>366028</v>
      </c>
      <c r="Q52" s="455">
        <f>IFERROR(GETPIVOTDATA("合計 / " &amp; $B52,【ピボット】事業所収支!$A$3,"年月",Q$1,"事業所",$A52),"")</f>
        <v>348293</v>
      </c>
      <c r="R52" s="455">
        <f>IFERROR(GETPIVOTDATA("合計 / " &amp; $B52,【ピボット】事業所収支!$A$3,"年月",R$1,"事業所",$A52),"")</f>
        <v>360441</v>
      </c>
      <c r="S52" s="455">
        <f>IFERROR(GETPIVOTDATA("合計 / " &amp; $B52,【ピボット】事業所収支!$A$3,"年月",S$1,"事業所",$A52),"")</f>
        <v>358841</v>
      </c>
      <c r="T52" s="455">
        <f>IFERROR(GETPIVOTDATA("合計 / " &amp; $B52,【ピボット】事業所収支!$A$3,"年月",T$1,"事業所",$A52),"")</f>
        <v>394951</v>
      </c>
      <c r="U52" s="455">
        <f>IFERROR(GETPIVOTDATA("合計 / " &amp; $B52,【ピボット】事業所収支!$A$3,"年月",U$1,"事業所",$A52),"")</f>
        <v>341359</v>
      </c>
      <c r="V52" s="455">
        <f>IFERROR(GETPIVOTDATA("合計 / " &amp; $B52,【ピボット】事業所収支!$A$3,"年月",V$1,"事業所",$A52),"")</f>
        <v>368002</v>
      </c>
      <c r="W52" s="455">
        <f>IFERROR(GETPIVOTDATA("合計 / " &amp; $B52,【ピボット】事業所収支!$A$3,"年月",W$1,"事業所",$A52),"")</f>
        <v>411456</v>
      </c>
      <c r="X52" s="455">
        <f>IFERROR(GETPIVOTDATA("合計 / " &amp; $B52,【ピボット】事業所収支!$A$3,"年月",X$1,"事業所",$A52),"")</f>
        <v>396967</v>
      </c>
      <c r="Y52" s="455">
        <f>IFERROR(GETPIVOTDATA("合計 / " &amp; $B52,【ピボット】事業所収支!$A$3,"年月",Y$1,"事業所",$A52),"")</f>
        <v>420894</v>
      </c>
      <c r="Z52" s="455">
        <f>IFERROR(GETPIVOTDATA("合計 / " &amp; $B52,【ピボット】事業所収支!$A$3,"年月",Z$1,"事業所",$A52),"")</f>
        <v>388478</v>
      </c>
      <c r="AA52" s="455">
        <f>IFERROR(GETPIVOTDATA("合計 / " &amp; $B52,【ピボット】事業所収支!$A$3,"年月",AA$1,"事業所",$A52),"")</f>
        <v>320194</v>
      </c>
      <c r="AB52" s="455">
        <f>IFERROR(GETPIVOTDATA("合計 / " &amp; $B52,【ピボット】事業所収支!$A$3,"年月",AB$1,"事業所",$A52),"")</f>
        <v>303548</v>
      </c>
      <c r="AC52" s="455">
        <f>IFERROR(GETPIVOTDATA("合計 / " &amp; $B52,【ピボット】事業所収支!$A$3,"年月",AC$1,"事業所",$A52),"")</f>
        <v>338431</v>
      </c>
      <c r="AD52" s="459">
        <f ca="1">SUM(OFFSET(AC52,0,当期月数):AC52)</f>
        <v>2947970</v>
      </c>
      <c r="AE52" s="460">
        <f ca="1">AVERAGE(OFFSET(AC52,0,当期月数):AC52)</f>
        <v>368496.25</v>
      </c>
    </row>
    <row r="53" spans="1:31" ht="26.45" customHeight="1" x14ac:dyDescent="0.15">
      <c r="A53" t="s">
        <v>748</v>
      </c>
      <c r="B53" t="s">
        <v>48</v>
      </c>
      <c r="D53" s="2136"/>
      <c r="E53" s="93" t="s">
        <v>48</v>
      </c>
      <c r="F53" s="96">
        <f t="shared" ref="F53:AC53" si="24">IFERROR(F52/F51,"")</f>
        <v>0.94167138442233844</v>
      </c>
      <c r="G53" s="464">
        <f t="shared" si="24"/>
        <v>0.16802022652848284</v>
      </c>
      <c r="H53" s="464">
        <f t="shared" si="24"/>
        <v>0.35905836775155414</v>
      </c>
      <c r="I53" s="464">
        <f t="shared" si="24"/>
        <v>0.39675480502488025</v>
      </c>
      <c r="J53" s="464">
        <f t="shared" si="24"/>
        <v>0.32852328416502047</v>
      </c>
      <c r="K53" s="464">
        <f t="shared" si="24"/>
        <v>0.41614708948013118</v>
      </c>
      <c r="L53" s="464">
        <f t="shared" si="24"/>
        <v>0.34115874781399519</v>
      </c>
      <c r="M53" s="464">
        <f t="shared" si="24"/>
        <v>0.40380880400940083</v>
      </c>
      <c r="N53" s="464">
        <f t="shared" si="24"/>
        <v>0.54524003757539796</v>
      </c>
      <c r="O53" s="464">
        <f t="shared" si="24"/>
        <v>0.44130599274628313</v>
      </c>
      <c r="P53" s="464">
        <f t="shared" si="24"/>
        <v>0.44616341008544719</v>
      </c>
      <c r="Q53" s="464">
        <f t="shared" si="24"/>
        <v>0.40510491299897644</v>
      </c>
      <c r="R53" s="464">
        <f t="shared" si="24"/>
        <v>0.26370888796866288</v>
      </c>
      <c r="S53" s="464">
        <f t="shared" si="24"/>
        <v>0.6536801741490651</v>
      </c>
      <c r="T53" s="464">
        <f t="shared" si="24"/>
        <v>0.34048263150725794</v>
      </c>
      <c r="U53" s="464">
        <f t="shared" si="24"/>
        <v>0.39212057720097504</v>
      </c>
      <c r="V53" s="464">
        <f t="shared" si="24"/>
        <v>0.42709682510944297</v>
      </c>
      <c r="W53" s="464">
        <f t="shared" si="24"/>
        <v>0.3612083117521574</v>
      </c>
      <c r="X53" s="464">
        <f t="shared" si="24"/>
        <v>0.34977007534338911</v>
      </c>
      <c r="Y53" s="464">
        <f t="shared" si="24"/>
        <v>0.35791432213428481</v>
      </c>
      <c r="Z53" s="464">
        <f t="shared" si="24"/>
        <v>0.30532010126041076</v>
      </c>
      <c r="AA53" s="464">
        <f t="shared" si="24"/>
        <v>0.30894142642531092</v>
      </c>
      <c r="AB53" s="464">
        <f t="shared" si="24"/>
        <v>0.29543994611871793</v>
      </c>
      <c r="AC53" s="464">
        <f t="shared" si="24"/>
        <v>0.31421711490806925</v>
      </c>
      <c r="AD53" s="465">
        <f ca="1">AD52/AD51</f>
        <v>0.33787865746193929</v>
      </c>
      <c r="AE53" s="466">
        <f ca="1">AE52/AE51</f>
        <v>0.33787865746193929</v>
      </c>
    </row>
    <row r="54" spans="1:31" ht="26.45" customHeight="1" x14ac:dyDescent="0.15">
      <c r="A54" t="s">
        <v>748</v>
      </c>
      <c r="B54" t="s">
        <v>1230</v>
      </c>
      <c r="D54" s="2136"/>
      <c r="E54" s="93" t="s">
        <v>43</v>
      </c>
      <c r="F54" s="29">
        <f>IFERROR(GETPIVOTDATA("合計 / " &amp; $B54,【ピボット】事業所収支!$A$3,"年月",F$1,"事業所",$A54),"")</f>
        <v>147733</v>
      </c>
      <c r="G54" s="455">
        <f>IFERROR(GETPIVOTDATA("合計 / " &amp; $B54,【ピボット】事業所収支!$A$3,"年月",G$1,"事業所",$A54),"")</f>
        <v>162095</v>
      </c>
      <c r="H54" s="455">
        <f>IFERROR(GETPIVOTDATA("合計 / " &amp; $B54,【ピボット】事業所収支!$A$3,"年月",H$1,"事業所",$A54),"")</f>
        <v>117007</v>
      </c>
      <c r="I54" s="455">
        <f>IFERROR(GETPIVOTDATA("合計 / " &amp; $B54,【ピボット】事業所収支!$A$3,"年月",I$1,"事業所",$A54),"")</f>
        <v>122447</v>
      </c>
      <c r="J54" s="455">
        <f>IFERROR(GETPIVOTDATA("合計 / " &amp; $B54,【ピボット】事業所収支!$A$3,"年月",J$1,"事業所",$A54),"")</f>
        <v>124140</v>
      </c>
      <c r="K54" s="455">
        <f>IFERROR(GETPIVOTDATA("合計 / " &amp; $B54,【ピボット】事業所収支!$A$3,"年月",K$1,"事業所",$A54),"")</f>
        <v>127801</v>
      </c>
      <c r="L54" s="455">
        <f>IFERROR(GETPIVOTDATA("合計 / " &amp; $B54,【ピボット】事業所収支!$A$3,"年月",L$1,"事業所",$A54),"")</f>
        <v>155938</v>
      </c>
      <c r="M54" s="455">
        <f>IFERROR(GETPIVOTDATA("合計 / " &amp; $B54,【ピボット】事業所収支!$A$3,"年月",M$1,"事業所",$A54),"")</f>
        <v>154535</v>
      </c>
      <c r="N54" s="455">
        <f>IFERROR(GETPIVOTDATA("合計 / " &amp; $B54,【ピボット】事業所収支!$A$3,"年月",N$1,"事業所",$A54),"")</f>
        <v>134184</v>
      </c>
      <c r="O54" s="455">
        <f>IFERROR(GETPIVOTDATA("合計 / " &amp; $B54,【ピボット】事業所収支!$A$3,"年月",O$1,"事業所",$A54),"")</f>
        <v>126910</v>
      </c>
      <c r="P54" s="455">
        <f>IFERROR(GETPIVOTDATA("合計 / " &amp; $B54,【ピボット】事業所収支!$A$3,"年月",P$1,"事業所",$A54),"")</f>
        <v>167880</v>
      </c>
      <c r="Q54" s="455">
        <f>IFERROR(GETPIVOTDATA("合計 / " &amp; $B54,【ピボット】事業所収支!$A$3,"年月",Q$1,"事業所",$A54),"")</f>
        <v>129954</v>
      </c>
      <c r="R54" s="455">
        <f>IFERROR(GETPIVOTDATA("合計 / " &amp; $B54,【ピボット】事業所収支!$A$3,"年月",R$1,"事業所",$A54),"")</f>
        <v>129795</v>
      </c>
      <c r="S54" s="455">
        <f>IFERROR(GETPIVOTDATA("合計 / " &amp; $B54,【ピボット】事業所収支!$A$3,"年月",S$1,"事業所",$A54),"")</f>
        <v>173077</v>
      </c>
      <c r="T54" s="455">
        <f>IFERROR(GETPIVOTDATA("合計 / " &amp; $B54,【ピボット】事業所収支!$A$3,"年月",T$1,"事業所",$A54),"")</f>
        <v>127926</v>
      </c>
      <c r="U54" s="455">
        <f>IFERROR(GETPIVOTDATA("合計 / " &amp; $B54,【ピボット】事業所収支!$A$3,"年月",U$1,"事業所",$A54),"")</f>
        <v>125559</v>
      </c>
      <c r="V54" s="455">
        <f>IFERROR(GETPIVOTDATA("合計 / " &amp; $B54,【ピボット】事業所収支!$A$3,"年月",V$1,"事業所",$A54),"")</f>
        <v>121814</v>
      </c>
      <c r="W54" s="455">
        <f>IFERROR(GETPIVOTDATA("合計 / " &amp; $B54,【ピボット】事業所収支!$A$3,"年月",W$1,"事業所",$A54),"")</f>
        <v>184298</v>
      </c>
      <c r="X54" s="455">
        <f>IFERROR(GETPIVOTDATA("合計 / " &amp; $B54,【ピボット】事業所収支!$A$3,"年月",X$1,"事業所",$A54),"")</f>
        <v>142328</v>
      </c>
      <c r="Y54" s="455">
        <f>IFERROR(GETPIVOTDATA("合計 / " &amp; $B54,【ピボット】事業所収支!$A$3,"年月",Y$1,"事業所",$A54),"")</f>
        <v>143912</v>
      </c>
      <c r="Z54" s="455">
        <f>IFERROR(GETPIVOTDATA("合計 / " &amp; $B54,【ピボット】事業所収支!$A$3,"年月",Z$1,"事業所",$A54),"")</f>
        <v>129440</v>
      </c>
      <c r="AA54" s="455">
        <f>IFERROR(GETPIVOTDATA("合計 / " &amp; $B54,【ピボット】事業所収支!$A$3,"年月",AA$1,"事業所",$A54),"")</f>
        <v>122019</v>
      </c>
      <c r="AB54" s="455">
        <f>IFERROR(GETPIVOTDATA("合計 / " &amp; $B54,【ピボット】事業所収支!$A$3,"年月",AB$1,"事業所",$A54),"")</f>
        <v>136143</v>
      </c>
      <c r="AC54" s="455">
        <f>IFERROR(GETPIVOTDATA("合計 / " &amp; $B54,【ピボット】事業所収支!$A$3,"年月",AC$1,"事業所",$A54),"")</f>
        <v>116406</v>
      </c>
      <c r="AD54" s="459">
        <f ca="1">SUM(OFFSET(AC54,0,当期月数):AC54)</f>
        <v>1096360</v>
      </c>
      <c r="AE54" s="460">
        <f ca="1">AVERAGE(OFFSET(AC54,0,当期月数):AC54)</f>
        <v>137045</v>
      </c>
    </row>
    <row r="55" spans="1:31" ht="26.45" customHeight="1" x14ac:dyDescent="0.15">
      <c r="A55" t="s">
        <v>748</v>
      </c>
      <c r="B55" t="s">
        <v>32</v>
      </c>
      <c r="D55" s="2136"/>
      <c r="E55" s="117" t="s">
        <v>32</v>
      </c>
      <c r="F55" s="118">
        <f t="shared" ref="F55:AC55" si="25">IFERROR(F51-(F52+F54),"")</f>
        <v>-123933</v>
      </c>
      <c r="G55" s="467">
        <f t="shared" si="25"/>
        <v>2072913</v>
      </c>
      <c r="H55" s="467">
        <f t="shared" si="25"/>
        <v>698954</v>
      </c>
      <c r="I55" s="467">
        <f t="shared" si="25"/>
        <v>502734</v>
      </c>
      <c r="J55" s="467">
        <f t="shared" si="25"/>
        <v>705914</v>
      </c>
      <c r="K55" s="467">
        <f t="shared" si="25"/>
        <v>486118</v>
      </c>
      <c r="L55" s="467">
        <f t="shared" si="25"/>
        <v>651412</v>
      </c>
      <c r="M55" s="467">
        <f t="shared" si="25"/>
        <v>463266.9344628664</v>
      </c>
      <c r="N55" s="467">
        <f t="shared" si="25"/>
        <v>233735</v>
      </c>
      <c r="O55" s="467">
        <f t="shared" si="25"/>
        <v>287313</v>
      </c>
      <c r="P55" s="467">
        <f t="shared" si="25"/>
        <v>286482</v>
      </c>
      <c r="Q55" s="467">
        <f t="shared" si="25"/>
        <v>381513</v>
      </c>
      <c r="R55" s="467">
        <f t="shared" si="25"/>
        <v>876578</v>
      </c>
      <c r="S55" s="467">
        <f t="shared" si="25"/>
        <v>17037</v>
      </c>
      <c r="T55" s="467">
        <f t="shared" si="25"/>
        <v>637097</v>
      </c>
      <c r="U55" s="467">
        <f t="shared" si="25"/>
        <v>403628</v>
      </c>
      <c r="V55" s="467">
        <f t="shared" si="25"/>
        <v>371820</v>
      </c>
      <c r="W55" s="467">
        <f t="shared" si="25"/>
        <v>543356</v>
      </c>
      <c r="X55" s="467">
        <f t="shared" si="25"/>
        <v>595642</v>
      </c>
      <c r="Y55" s="467">
        <f t="shared" si="25"/>
        <v>611157</v>
      </c>
      <c r="Z55" s="467">
        <f t="shared" si="25"/>
        <v>754445</v>
      </c>
      <c r="AA55" s="467">
        <f t="shared" si="25"/>
        <v>594210</v>
      </c>
      <c r="AB55" s="467">
        <f t="shared" si="25"/>
        <v>587753</v>
      </c>
      <c r="AC55" s="467">
        <f t="shared" si="25"/>
        <v>622224</v>
      </c>
      <c r="AD55" s="468">
        <f ca="1">SUM(OFFSET(AC55,0,当期月数):AC55)</f>
        <v>4680607</v>
      </c>
      <c r="AE55" s="469">
        <f ca="1">AVERAGE(OFFSET(AC55,0,当期月数):AC55)</f>
        <v>585075.875</v>
      </c>
    </row>
    <row r="56" spans="1:31" ht="26.45" customHeight="1" thickBot="1" x14ac:dyDescent="0.2">
      <c r="B56" t="s">
        <v>177</v>
      </c>
      <c r="D56" s="2137"/>
      <c r="E56" s="119" t="s">
        <v>177</v>
      </c>
      <c r="F56" s="120">
        <f t="shared" ref="F56:AC56" si="26">IFERROR(F55/F51,"")</f>
        <v>-0.30373278631875361</v>
      </c>
      <c r="G56" s="470">
        <f t="shared" si="26"/>
        <v>0.77164005147460912</v>
      </c>
      <c r="H56" s="470">
        <f t="shared" si="26"/>
        <v>0.54903202190616984</v>
      </c>
      <c r="I56" s="470">
        <f t="shared" si="26"/>
        <v>0.48509450839136481</v>
      </c>
      <c r="J56" s="470">
        <f t="shared" si="26"/>
        <v>0.57105298496475376</v>
      </c>
      <c r="K56" s="470">
        <f t="shared" si="26"/>
        <v>0.46231084093520092</v>
      </c>
      <c r="L56" s="470">
        <f t="shared" si="26"/>
        <v>0.53158741285562616</v>
      </c>
      <c r="M56" s="470">
        <f t="shared" si="26"/>
        <v>0.44706183699545515</v>
      </c>
      <c r="N56" s="470">
        <f t="shared" si="26"/>
        <v>0.28890413329378029</v>
      </c>
      <c r="O56" s="470">
        <f t="shared" si="26"/>
        <v>0.38752085544763848</v>
      </c>
      <c r="P56" s="470">
        <f t="shared" si="26"/>
        <v>0.34920220870561564</v>
      </c>
      <c r="Q56" s="470">
        <f t="shared" si="26"/>
        <v>0.44374360286591608</v>
      </c>
      <c r="R56" s="470">
        <f t="shared" si="26"/>
        <v>0.64132939814780943</v>
      </c>
      <c r="S56" s="470">
        <f t="shared" si="26"/>
        <v>3.103533076481679E-2</v>
      </c>
      <c r="T56" s="470">
        <f t="shared" si="26"/>
        <v>0.54923386213828929</v>
      </c>
      <c r="U56" s="470">
        <f t="shared" si="26"/>
        <v>0.46364925001091267</v>
      </c>
      <c r="V56" s="470">
        <f t="shared" si="26"/>
        <v>0.43152793058785843</v>
      </c>
      <c r="W56" s="470">
        <f t="shared" si="26"/>
        <v>0.47700046527552215</v>
      </c>
      <c r="X56" s="470">
        <f t="shared" si="26"/>
        <v>0.52482384484777567</v>
      </c>
      <c r="Y56" s="470">
        <f t="shared" si="26"/>
        <v>0.51970767787762029</v>
      </c>
      <c r="Z56" s="470">
        <f t="shared" si="26"/>
        <v>0.59294792445237721</v>
      </c>
      <c r="AA56" s="470">
        <f t="shared" si="26"/>
        <v>0.57332768570361714</v>
      </c>
      <c r="AB56" s="470">
        <f t="shared" si="26"/>
        <v>0.57205356204328406</v>
      </c>
      <c r="AC56" s="470">
        <f t="shared" si="26"/>
        <v>0.57770544101030485</v>
      </c>
      <c r="AD56" s="471">
        <f ca="1">AD55/AD51</f>
        <v>0.53646312861628687</v>
      </c>
      <c r="AE56" s="472">
        <f ca="1">AE55/AE51</f>
        <v>0.53646312861628687</v>
      </c>
    </row>
    <row r="57" spans="1:31" ht="26.45" customHeight="1" x14ac:dyDescent="0.15">
      <c r="A57" t="s">
        <v>747</v>
      </c>
      <c r="B57" t="s">
        <v>26</v>
      </c>
      <c r="D57" s="2135" t="s">
        <v>189</v>
      </c>
      <c r="E57" s="91" t="s">
        <v>26</v>
      </c>
      <c r="F57" s="92">
        <f>IFERROR(GETPIVOTDATA("合計 / " &amp; $B57,【ピボット】事業所収支!$A$3,"年月",F$1,"事業所",$A57),"")</f>
        <v>1119631</v>
      </c>
      <c r="G57" s="452">
        <f>IFERROR(GETPIVOTDATA("合計 / " &amp; $B57,【ピボット】事業所収支!$A$3,"年月",G$1,"事業所",$A57),"")</f>
        <v>2075072</v>
      </c>
      <c r="H57" s="452">
        <f>IFERROR(GETPIVOTDATA("合計 / " &amp; $B57,【ピボット】事業所収支!$A$3,"年月",H$1,"事業所",$A57),"")</f>
        <v>1101492</v>
      </c>
      <c r="I57" s="452">
        <f>IFERROR(GETPIVOTDATA("合計 / " &amp; $B57,【ピボット】事業所収支!$A$3,"年月",I$1,"事業所",$A57),"")</f>
        <v>1001492</v>
      </c>
      <c r="J57" s="452">
        <f>IFERROR(GETPIVOTDATA("合計 / " &amp; $B57,【ピボット】事業所収支!$A$3,"年月",J$1,"事業所",$A57),"")</f>
        <v>1015378</v>
      </c>
      <c r="K57" s="452">
        <f>IFERROR(GETPIVOTDATA("合計 / " &amp; $B57,【ピボット】事業所収支!$A$3,"年月",K$1,"事業所",$A57),"")</f>
        <v>1061492</v>
      </c>
      <c r="L57" s="452">
        <f>IFERROR(GETPIVOTDATA("合計 / " &amp; $B57,【ピボット】事業所収支!$A$3,"年月",L$1,"事業所",$A57),"")</f>
        <v>1000792</v>
      </c>
      <c r="M57" s="452">
        <f>IFERROR(GETPIVOTDATA("合計 / " &amp; $B57,【ピボット】事業所収支!$A$3,"年月",M$1,"事業所",$A57),"")</f>
        <v>1061492</v>
      </c>
      <c r="N57" s="452">
        <f>IFERROR(GETPIVOTDATA("合計 / " &amp; $B57,【ピボット】事業所収支!$A$3,"年月",N$1,"事業所",$A57),"")</f>
        <v>1016092</v>
      </c>
      <c r="O57" s="452">
        <f>IFERROR(GETPIVOTDATA("合計 / " &amp; $B57,【ピボット】事業所収支!$A$3,"年月",O$1,"事業所",$A57),"")</f>
        <v>939922</v>
      </c>
      <c r="P57" s="452">
        <f>IFERROR(GETPIVOTDATA("合計 / " &amp; $B57,【ピボット】事業所収支!$A$3,"年月",P$1,"事業所",$A57),"")</f>
        <v>1205836</v>
      </c>
      <c r="Q57" s="452">
        <f>IFERROR(GETPIVOTDATA("合計 / " &amp; $B57,【ピボット】事業所収支!$A$3,"年月",Q$1,"事業所",$A57),"")</f>
        <v>1038460</v>
      </c>
      <c r="R57" s="452">
        <f>IFERROR(GETPIVOTDATA("合計 / " &amp; $B57,【ピボット】事業所収支!$A$3,"年月",R$1,"事業所",$A57),"")</f>
        <v>1150795</v>
      </c>
      <c r="S57" s="452">
        <f>IFERROR(GETPIVOTDATA("合計 / " &amp; $B57,【ピボット】事業所収支!$A$3,"年月",S$1,"事業所",$A57),"")</f>
        <v>1054056</v>
      </c>
      <c r="T57" s="452">
        <f>IFERROR(GETPIVOTDATA("合計 / " &amp; $B57,【ピボット】事業所収支!$A$3,"年月",T$1,"事業所",$A57),"")</f>
        <v>1085268</v>
      </c>
      <c r="U57" s="452">
        <f>IFERROR(GETPIVOTDATA("合計 / " &amp; $B57,【ピボット】事業所収支!$A$3,"年月",U$1,"事業所",$A57),"")</f>
        <v>923999</v>
      </c>
      <c r="V57" s="452">
        <f>IFERROR(GETPIVOTDATA("合計 / " &amp; $B57,【ピボット】事業所収支!$A$3,"年月",V$1,"事業所",$A57),"")</f>
        <v>1050085</v>
      </c>
      <c r="W57" s="452">
        <f>IFERROR(GETPIVOTDATA("合計 / " &amp; $B57,【ピボット】事業所収支!$A$3,"年月",W$1,"事業所",$A57),"")</f>
        <v>1087657</v>
      </c>
      <c r="X57" s="452">
        <f>IFERROR(GETPIVOTDATA("合計 / " &amp; $B57,【ピボット】事業所収支!$A$3,"年月",X$1,"事業所",$A57),"")</f>
        <v>1070236</v>
      </c>
      <c r="Y57" s="452">
        <f>IFERROR(GETPIVOTDATA("合計 / " &amp; $B57,【ピボット】事業所収支!$A$3,"年月",Y$1,"事業所",$A57),"")</f>
        <v>1102442</v>
      </c>
      <c r="Z57" s="452">
        <f>IFERROR(GETPIVOTDATA("合計 / " &amp; $B57,【ピボット】事業所収支!$A$3,"年月",Z$1,"事業所",$A57),"")</f>
        <v>1356442</v>
      </c>
      <c r="AA57" s="452">
        <f>IFERROR(GETPIVOTDATA("合計 / " &amp; $B57,【ピボット】事業所収支!$A$3,"年月",AA$1,"事業所",$A57),"")</f>
        <v>1005836</v>
      </c>
      <c r="AB57" s="452">
        <f>IFERROR(GETPIVOTDATA("合計 / " &amp; $B57,【ピボット】事業所収支!$A$3,"年月",AB$1,"事業所",$A57),"")</f>
        <v>973793</v>
      </c>
      <c r="AC57" s="452">
        <f>IFERROR(GETPIVOTDATA("合計 / " &amp; $B57,【ピボット】事業所収支!$A$3,"年月",AC$1,"事業所",$A57),"")</f>
        <v>797482</v>
      </c>
      <c r="AD57" s="462">
        <f ca="1">SUM(OFFSET(AC57,0,当期月数):AC57)</f>
        <v>8443973</v>
      </c>
      <c r="AE57" s="463">
        <f ca="1">AVERAGE(OFFSET(AC57,0,当期月数):AC57)</f>
        <v>1055496.625</v>
      </c>
    </row>
    <row r="58" spans="1:31" ht="26.45" customHeight="1" x14ac:dyDescent="0.15">
      <c r="A58" t="s">
        <v>747</v>
      </c>
      <c r="B58" t="s">
        <v>15</v>
      </c>
      <c r="D58" s="2136"/>
      <c r="E58" s="93" t="s">
        <v>15</v>
      </c>
      <c r="F58" s="29">
        <f>IFERROR(GETPIVOTDATA("合計 / " &amp; $B58,【ピボット】事業所収支!$A$3,"年月",F$1,"事業所",$A58),"")</f>
        <v>337775</v>
      </c>
      <c r="G58" s="455">
        <f>IFERROR(GETPIVOTDATA("合計 / " &amp; $B58,【ピボット】事業所収支!$A$3,"年月",G$1,"事業所",$A58),"")</f>
        <v>672224</v>
      </c>
      <c r="H58" s="455">
        <f>IFERROR(GETPIVOTDATA("合計 / " &amp; $B58,【ピボット】事業所収支!$A$3,"年月",H$1,"事業所",$A58),"")</f>
        <v>568518</v>
      </c>
      <c r="I58" s="455">
        <f>IFERROR(GETPIVOTDATA("合計 / " &amp; $B58,【ピボット】事業所収支!$A$3,"年月",I$1,"事業所",$A58),"")</f>
        <v>373725</v>
      </c>
      <c r="J58" s="455">
        <f>IFERROR(GETPIVOTDATA("合計 / " &amp; $B58,【ピボット】事業所収支!$A$3,"年月",J$1,"事業所",$A58),"")</f>
        <v>352925</v>
      </c>
      <c r="K58" s="455">
        <f>IFERROR(GETPIVOTDATA("合計 / " &amp; $B58,【ピボット】事業所収支!$A$3,"年月",K$1,"事業所",$A58),"")</f>
        <v>360225</v>
      </c>
      <c r="L58" s="455">
        <f>IFERROR(GETPIVOTDATA("合計 / " &amp; $B58,【ピボット】事業所収支!$A$3,"年月",L$1,"事業所",$A58),"")</f>
        <v>332700</v>
      </c>
      <c r="M58" s="455">
        <f>IFERROR(GETPIVOTDATA("合計 / " &amp; $B58,【ピボット】事業所収支!$A$3,"年月",M$1,"事業所",$A58),"")</f>
        <v>366550</v>
      </c>
      <c r="N58" s="455">
        <f>IFERROR(GETPIVOTDATA("合計 / " &amp; $B58,【ピボット】事業所収支!$A$3,"年月",N$1,"事業所",$A58),"")</f>
        <v>285100</v>
      </c>
      <c r="O58" s="455">
        <f>IFERROR(GETPIVOTDATA("合計 / " &amp; $B58,【ピボット】事業所収支!$A$3,"年月",O$1,"事業所",$A58),"")</f>
        <v>254875</v>
      </c>
      <c r="P58" s="455">
        <f>IFERROR(GETPIVOTDATA("合計 / " &amp; $B58,【ピボット】事業所収支!$A$3,"年月",P$1,"事業所",$A58),"")</f>
        <v>301575</v>
      </c>
      <c r="Q58" s="455">
        <f>IFERROR(GETPIVOTDATA("合計 / " &amp; $B58,【ピボット】事業所収支!$A$3,"年月",Q$1,"事業所",$A58),"")</f>
        <v>285775</v>
      </c>
      <c r="R58" s="455">
        <f>IFERROR(GETPIVOTDATA("合計 / " &amp; $B58,【ピボット】事業所収支!$A$3,"年月",R$1,"事業所",$A58),"")</f>
        <v>303275</v>
      </c>
      <c r="S58" s="455">
        <f>IFERROR(GETPIVOTDATA("合計 / " &amp; $B58,【ピボット】事業所収支!$A$3,"年月",S$1,"事業所",$A58),"")</f>
        <v>299100</v>
      </c>
      <c r="T58" s="455">
        <f>IFERROR(GETPIVOTDATA("合計 / " &amp; $B58,【ピボット】事業所収支!$A$3,"年月",T$1,"事業所",$A58),"")</f>
        <v>302725</v>
      </c>
      <c r="U58" s="455">
        <f>IFERROR(GETPIVOTDATA("合計 / " &amp; $B58,【ピボット】事業所収支!$A$3,"年月",U$1,"事業所",$A58),"")</f>
        <v>307500</v>
      </c>
      <c r="V58" s="455">
        <f>IFERROR(GETPIVOTDATA("合計 / " &amp; $B58,【ピボット】事業所収支!$A$3,"年月",V$1,"事業所",$A58),"")</f>
        <v>290550</v>
      </c>
      <c r="W58" s="455">
        <f>IFERROR(GETPIVOTDATA("合計 / " &amp; $B58,【ピボット】事業所収支!$A$3,"年月",W$1,"事業所",$A58),"")</f>
        <v>315275</v>
      </c>
      <c r="X58" s="455">
        <f>IFERROR(GETPIVOTDATA("合計 / " &amp; $B58,【ピボット】事業所収支!$A$3,"年月",X$1,"事業所",$A58),"")</f>
        <v>251250</v>
      </c>
      <c r="Y58" s="455">
        <f>IFERROR(GETPIVOTDATA("合計 / " &amp; $B58,【ピボット】事業所収支!$A$3,"年月",Y$1,"事業所",$A58),"")</f>
        <v>227000</v>
      </c>
      <c r="Z58" s="455">
        <f>IFERROR(GETPIVOTDATA("合計 / " &amp; $B58,【ピボット】事業所収支!$A$3,"年月",Z$1,"事業所",$A58),"")</f>
        <v>238000</v>
      </c>
      <c r="AA58" s="455">
        <f>IFERROR(GETPIVOTDATA("合計 / " &amp; $B58,【ピボット】事業所収支!$A$3,"年月",AA$1,"事業所",$A58),"")</f>
        <v>199000</v>
      </c>
      <c r="AB58" s="455">
        <f>IFERROR(GETPIVOTDATA("合計 / " &amp; $B58,【ピボット】事業所収支!$A$3,"年月",AB$1,"事業所",$A58),"")</f>
        <v>219000</v>
      </c>
      <c r="AC58" s="455">
        <f>IFERROR(GETPIVOTDATA("合計 / " &amp; $B58,【ピボット】事業所収支!$A$3,"年月",AC$1,"事業所",$A58),"")</f>
        <v>209300</v>
      </c>
      <c r="AD58" s="459">
        <f ca="1">SUM(OFFSET(AC58,0,当期月数):AC58)</f>
        <v>1949375</v>
      </c>
      <c r="AE58" s="460">
        <f ca="1">AVERAGE(OFFSET(AC58,0,当期月数):AC58)</f>
        <v>243671.875</v>
      </c>
    </row>
    <row r="59" spans="1:31" ht="26.45" customHeight="1" x14ac:dyDescent="0.15">
      <c r="A59" t="s">
        <v>747</v>
      </c>
      <c r="B59" t="s">
        <v>48</v>
      </c>
      <c r="D59" s="2136"/>
      <c r="E59" s="93" t="s">
        <v>48</v>
      </c>
      <c r="F59" s="96">
        <f t="shared" ref="F59:AC59" si="27">IFERROR(F58/F57,"")</f>
        <v>0.30168421560317643</v>
      </c>
      <c r="G59" s="464">
        <f t="shared" si="27"/>
        <v>0.3239521327452734</v>
      </c>
      <c r="H59" s="464">
        <f t="shared" si="27"/>
        <v>0.51613447941519319</v>
      </c>
      <c r="I59" s="464">
        <f t="shared" si="27"/>
        <v>0.37316823299636942</v>
      </c>
      <c r="J59" s="464">
        <f t="shared" si="27"/>
        <v>0.34757991605096822</v>
      </c>
      <c r="K59" s="464">
        <f t="shared" si="27"/>
        <v>0.3393572443315635</v>
      </c>
      <c r="L59" s="464">
        <f t="shared" si="27"/>
        <v>0.33243671012558051</v>
      </c>
      <c r="M59" s="464">
        <f t="shared" si="27"/>
        <v>0.34531583846133557</v>
      </c>
      <c r="N59" s="464">
        <f t="shared" si="27"/>
        <v>0.28058482893281317</v>
      </c>
      <c r="O59" s="464">
        <f t="shared" si="27"/>
        <v>0.27116611803958202</v>
      </c>
      <c r="P59" s="464">
        <f t="shared" si="27"/>
        <v>0.25009619881973999</v>
      </c>
      <c r="Q59" s="464">
        <f t="shared" si="27"/>
        <v>0.27519114843133102</v>
      </c>
      <c r="R59" s="464">
        <f t="shared" si="27"/>
        <v>0.26353520826906618</v>
      </c>
      <c r="S59" s="464">
        <f t="shared" si="27"/>
        <v>0.28376101459504999</v>
      </c>
      <c r="T59" s="464">
        <f t="shared" si="27"/>
        <v>0.27894031704611211</v>
      </c>
      <c r="U59" s="464">
        <f t="shared" si="27"/>
        <v>0.33279256795732465</v>
      </c>
      <c r="V59" s="464">
        <f t="shared" si="27"/>
        <v>0.27669188684725521</v>
      </c>
      <c r="W59" s="464">
        <f t="shared" si="27"/>
        <v>0.28986619862695684</v>
      </c>
      <c r="X59" s="464">
        <f t="shared" si="27"/>
        <v>0.23476130498319997</v>
      </c>
      <c r="Y59" s="464">
        <f t="shared" si="27"/>
        <v>0.20590652388062139</v>
      </c>
      <c r="Z59" s="464">
        <f t="shared" si="27"/>
        <v>0.17545903179052255</v>
      </c>
      <c r="AA59" s="464">
        <f t="shared" si="27"/>
        <v>0.19784537439503061</v>
      </c>
      <c r="AB59" s="464">
        <f t="shared" si="27"/>
        <v>0.22489379159636597</v>
      </c>
      <c r="AC59" s="464">
        <f t="shared" si="27"/>
        <v>0.26245106472622581</v>
      </c>
      <c r="AD59" s="465">
        <f ca="1">AD58/AD57</f>
        <v>0.23085992814046183</v>
      </c>
      <c r="AE59" s="466">
        <f ca="1">AE58/AE57</f>
        <v>0.23085992814046183</v>
      </c>
    </row>
    <row r="60" spans="1:31" ht="26.45" customHeight="1" x14ac:dyDescent="0.15">
      <c r="A60" t="s">
        <v>747</v>
      </c>
      <c r="B60" t="s">
        <v>1230</v>
      </c>
      <c r="D60" s="2136"/>
      <c r="E60" s="93" t="s">
        <v>43</v>
      </c>
      <c r="F60" s="29">
        <f>IFERROR(GETPIVOTDATA("合計 / " &amp; $B60,【ピボット】事業所収支!$A$3,"年月",F$1,"事業所",$A60),"")</f>
        <v>353105</v>
      </c>
      <c r="G60" s="455">
        <f>IFERROR(GETPIVOTDATA("合計 / " &amp; $B60,【ピボット】事業所収支!$A$3,"年月",G$1,"事業所",$A60),"")</f>
        <v>298938</v>
      </c>
      <c r="H60" s="455">
        <f>IFERROR(GETPIVOTDATA("合計 / " &amp; $B60,【ピボット】事業所収支!$A$3,"年月",H$1,"事業所",$A60),"")</f>
        <v>307050</v>
      </c>
      <c r="I60" s="455">
        <f>IFERROR(GETPIVOTDATA("合計 / " &amp; $B60,【ピボット】事業所収支!$A$3,"年月",I$1,"事業所",$A60),"")</f>
        <v>306079</v>
      </c>
      <c r="J60" s="455">
        <f>IFERROR(GETPIVOTDATA("合計 / " &amp; $B60,【ピボット】事業所収支!$A$3,"年月",J$1,"事業所",$A60),"")</f>
        <v>265479</v>
      </c>
      <c r="K60" s="455">
        <f>IFERROR(GETPIVOTDATA("合計 / " &amp; $B60,【ピボット】事業所収支!$A$3,"年月",K$1,"事業所",$A60),"")</f>
        <v>183340</v>
      </c>
      <c r="L60" s="455">
        <f>IFERROR(GETPIVOTDATA("合計 / " &amp; $B60,【ピボット】事業所収支!$A$3,"年月",L$1,"事業所",$A60),"")</f>
        <v>233991</v>
      </c>
      <c r="M60" s="455">
        <f>IFERROR(GETPIVOTDATA("合計 / " &amp; $B60,【ピボット】事業所収支!$A$3,"年月",M$1,"事業所",$A60),"")</f>
        <v>175504</v>
      </c>
      <c r="N60" s="455">
        <f>IFERROR(GETPIVOTDATA("合計 / " &amp; $B60,【ピボット】事業所収支!$A$3,"年月",N$1,"事業所",$A60),"")</f>
        <v>179603</v>
      </c>
      <c r="O60" s="455">
        <f>IFERROR(GETPIVOTDATA("合計 / " &amp; $B60,【ピボット】事業所収支!$A$3,"年月",O$1,"事業所",$A60),"")</f>
        <v>178705</v>
      </c>
      <c r="P60" s="455">
        <f>IFERROR(GETPIVOTDATA("合計 / " &amp; $B60,【ピボット】事業所収支!$A$3,"年月",P$1,"事業所",$A60),"")</f>
        <v>322423</v>
      </c>
      <c r="Q60" s="455">
        <f>IFERROR(GETPIVOTDATA("合計 / " &amp; $B60,【ピボット】事業所収支!$A$3,"年月",Q$1,"事業所",$A60),"")</f>
        <v>182111</v>
      </c>
      <c r="R60" s="455">
        <f>IFERROR(GETPIVOTDATA("合計 / " &amp; $B60,【ピボット】事業所収支!$A$3,"年月",R$1,"事業所",$A60),"")</f>
        <v>184675</v>
      </c>
      <c r="S60" s="455">
        <f>IFERROR(GETPIVOTDATA("合計 / " &amp; $B60,【ピボット】事業所収支!$A$3,"年月",S$1,"事業所",$A60),"")</f>
        <v>176539</v>
      </c>
      <c r="T60" s="455">
        <f>IFERROR(GETPIVOTDATA("合計 / " &amp; $B60,【ピボット】事業所収支!$A$3,"年月",T$1,"事業所",$A60),"")</f>
        <v>173186</v>
      </c>
      <c r="U60" s="455">
        <f>IFERROR(GETPIVOTDATA("合計 / " &amp; $B60,【ピボット】事業所収支!$A$3,"年月",U$1,"事業所",$A60),"")</f>
        <v>155590</v>
      </c>
      <c r="V60" s="455">
        <f>IFERROR(GETPIVOTDATA("合計 / " &amp; $B60,【ピボット】事業所収支!$A$3,"年月",V$1,"事業所",$A60),"")</f>
        <v>155385</v>
      </c>
      <c r="W60" s="455">
        <f>IFERROR(GETPIVOTDATA("合計 / " &amp; $B60,【ピボット】事業所収支!$A$3,"年月",W$1,"事業所",$A60),"")</f>
        <v>192786</v>
      </c>
      <c r="X60" s="455">
        <f>IFERROR(GETPIVOTDATA("合計 / " &amp; $B60,【ピボット】事業所収支!$A$3,"年月",X$1,"事業所",$A60),"")</f>
        <v>127769</v>
      </c>
      <c r="Y60" s="455">
        <f>IFERROR(GETPIVOTDATA("合計 / " &amp; $B60,【ピボット】事業所収支!$A$3,"年月",Y$1,"事業所",$A60),"")</f>
        <v>124309</v>
      </c>
      <c r="Z60" s="455">
        <f>IFERROR(GETPIVOTDATA("合計 / " &amp; $B60,【ピボット】事業所収支!$A$3,"年月",Z$1,"事業所",$A60),"")</f>
        <v>123007</v>
      </c>
      <c r="AA60" s="455">
        <f>IFERROR(GETPIVOTDATA("合計 / " &amp; $B60,【ピボット】事業所収支!$A$3,"年月",AA$1,"事業所",$A60),"")</f>
        <v>127781</v>
      </c>
      <c r="AB60" s="455">
        <f>IFERROR(GETPIVOTDATA("合計 / " &amp; $B60,【ピボット】事業所収支!$A$3,"年月",AB$1,"事業所",$A60),"")</f>
        <v>154379</v>
      </c>
      <c r="AC60" s="455">
        <f>IFERROR(GETPIVOTDATA("合計 / " &amp; $B60,【ピボット】事業所収支!$A$3,"年月",AC$1,"事業所",$A60),"")</f>
        <v>121870</v>
      </c>
      <c r="AD60" s="459">
        <f ca="1">SUM(OFFSET(AC60,0,当期月数):AC60)</f>
        <v>1127286</v>
      </c>
      <c r="AE60" s="460">
        <f ca="1">AVERAGE(OFFSET(AC60,0,当期月数):AC60)</f>
        <v>140910.75</v>
      </c>
    </row>
    <row r="61" spans="1:31" ht="26.45" customHeight="1" x14ac:dyDescent="0.15">
      <c r="A61" t="s">
        <v>747</v>
      </c>
      <c r="B61" t="s">
        <v>32</v>
      </c>
      <c r="D61" s="2136"/>
      <c r="E61" s="117" t="s">
        <v>32</v>
      </c>
      <c r="F61" s="118">
        <f t="shared" ref="F61:AC61" si="28">IFERROR(F57-(F58+F60),"")</f>
        <v>428751</v>
      </c>
      <c r="G61" s="467">
        <f t="shared" si="28"/>
        <v>1103910</v>
      </c>
      <c r="H61" s="467">
        <f t="shared" si="28"/>
        <v>225924</v>
      </c>
      <c r="I61" s="467">
        <f t="shared" si="28"/>
        <v>321688</v>
      </c>
      <c r="J61" s="467">
        <f t="shared" si="28"/>
        <v>396974</v>
      </c>
      <c r="K61" s="467">
        <f t="shared" si="28"/>
        <v>517927</v>
      </c>
      <c r="L61" s="467">
        <f t="shared" si="28"/>
        <v>434101</v>
      </c>
      <c r="M61" s="467">
        <f t="shared" si="28"/>
        <v>519438</v>
      </c>
      <c r="N61" s="467">
        <f t="shared" si="28"/>
        <v>551389</v>
      </c>
      <c r="O61" s="467">
        <f t="shared" si="28"/>
        <v>506342</v>
      </c>
      <c r="P61" s="467">
        <f t="shared" si="28"/>
        <v>581838</v>
      </c>
      <c r="Q61" s="467">
        <f t="shared" si="28"/>
        <v>570574</v>
      </c>
      <c r="R61" s="467">
        <f t="shared" si="28"/>
        <v>662845</v>
      </c>
      <c r="S61" s="467">
        <f t="shared" si="28"/>
        <v>578417</v>
      </c>
      <c r="T61" s="467">
        <f t="shared" si="28"/>
        <v>609357</v>
      </c>
      <c r="U61" s="467">
        <f t="shared" si="28"/>
        <v>460909</v>
      </c>
      <c r="V61" s="467">
        <f t="shared" si="28"/>
        <v>604150</v>
      </c>
      <c r="W61" s="467">
        <f t="shared" si="28"/>
        <v>579596</v>
      </c>
      <c r="X61" s="467">
        <f t="shared" si="28"/>
        <v>691217</v>
      </c>
      <c r="Y61" s="467">
        <f t="shared" si="28"/>
        <v>751133</v>
      </c>
      <c r="Z61" s="467">
        <f t="shared" si="28"/>
        <v>995435</v>
      </c>
      <c r="AA61" s="467">
        <f t="shared" si="28"/>
        <v>679055</v>
      </c>
      <c r="AB61" s="467">
        <f t="shared" si="28"/>
        <v>600414</v>
      </c>
      <c r="AC61" s="467">
        <f t="shared" si="28"/>
        <v>466312</v>
      </c>
      <c r="AD61" s="468">
        <f ca="1">SUM(OFFSET(AC61,0,当期月数):AC61)</f>
        <v>5367312</v>
      </c>
      <c r="AE61" s="469">
        <f ca="1">AVERAGE(OFFSET(AC61,0,当期月数):AC61)</f>
        <v>670914</v>
      </c>
    </row>
    <row r="62" spans="1:31" ht="26.45" customHeight="1" thickBot="1" x14ac:dyDescent="0.2">
      <c r="B62" t="s">
        <v>177</v>
      </c>
      <c r="D62" s="2137"/>
      <c r="E62" s="119" t="s">
        <v>177</v>
      </c>
      <c r="F62" s="120">
        <f t="shared" ref="F62:AC62" si="29">IFERROR(F61/F57,"")</f>
        <v>0.38293955776501365</v>
      </c>
      <c r="G62" s="470">
        <f t="shared" si="29"/>
        <v>0.53198635999136412</v>
      </c>
      <c r="H62" s="470">
        <f t="shared" si="29"/>
        <v>0.205107254523864</v>
      </c>
      <c r="I62" s="470">
        <f t="shared" si="29"/>
        <v>0.32120875653524938</v>
      </c>
      <c r="J62" s="470">
        <f t="shared" si="29"/>
        <v>0.39096178959953831</v>
      </c>
      <c r="K62" s="470">
        <f t="shared" si="29"/>
        <v>0.48792360187358924</v>
      </c>
      <c r="L62" s="470">
        <f t="shared" si="29"/>
        <v>0.43375746408844196</v>
      </c>
      <c r="M62" s="470">
        <f t="shared" si="29"/>
        <v>0.48934706997320754</v>
      </c>
      <c r="N62" s="470">
        <f t="shared" si="29"/>
        <v>0.54265657046802851</v>
      </c>
      <c r="O62" s="470">
        <f t="shared" si="29"/>
        <v>0.53870640329729491</v>
      </c>
      <c r="P62" s="470">
        <f t="shared" si="29"/>
        <v>0.48251835241276592</v>
      </c>
      <c r="Q62" s="470">
        <f t="shared" si="29"/>
        <v>0.54944244361843497</v>
      </c>
      <c r="R62" s="470">
        <f t="shared" si="29"/>
        <v>0.57598877297868001</v>
      </c>
      <c r="S62" s="470">
        <f t="shared" si="29"/>
        <v>0.54875357666006364</v>
      </c>
      <c r="T62" s="470">
        <f t="shared" si="29"/>
        <v>0.56148066652660911</v>
      </c>
      <c r="U62" s="470">
        <f t="shared" si="29"/>
        <v>0.49881980391753672</v>
      </c>
      <c r="V62" s="470">
        <f t="shared" si="29"/>
        <v>0.57533437769323437</v>
      </c>
      <c r="W62" s="470">
        <f t="shared" si="29"/>
        <v>0.53288490765011398</v>
      </c>
      <c r="X62" s="470">
        <f t="shared" si="29"/>
        <v>0.64585474605601012</v>
      </c>
      <c r="Y62" s="470">
        <f t="shared" si="29"/>
        <v>0.68133561674899901</v>
      </c>
      <c r="Z62" s="470">
        <f t="shared" si="29"/>
        <v>0.73385740046386061</v>
      </c>
      <c r="AA62" s="470">
        <f t="shared" si="29"/>
        <v>0.67511502869255025</v>
      </c>
      <c r="AB62" s="470">
        <f t="shared" si="29"/>
        <v>0.6165725159248423</v>
      </c>
      <c r="AC62" s="470">
        <f t="shared" si="29"/>
        <v>0.58473043905693167</v>
      </c>
      <c r="AD62" s="471">
        <f ca="1">AD61/AD57</f>
        <v>0.6356382238550502</v>
      </c>
      <c r="AE62" s="472">
        <f ca="1">AE61/AE57</f>
        <v>0.6356382238550502</v>
      </c>
    </row>
    <row r="63" spans="1:31" ht="26.45" customHeight="1" x14ac:dyDescent="0.15">
      <c r="A63" t="s">
        <v>756</v>
      </c>
      <c r="B63" t="s">
        <v>26</v>
      </c>
      <c r="D63" s="2135" t="s">
        <v>375</v>
      </c>
      <c r="E63" s="91" t="s">
        <v>26</v>
      </c>
      <c r="F63" s="92">
        <f>IFERROR(GETPIVOTDATA("合計 / " &amp; $B63,【ピボット】事業所収支!$A$3,"年月",F$1,"事業所",$A63),"")</f>
        <v>0</v>
      </c>
      <c r="G63" s="452">
        <f>IFERROR(GETPIVOTDATA("合計 / " &amp; $B63,【ピボット】事業所収支!$A$3,"年月",G$1,"事業所",$A63),"")</f>
        <v>1940389</v>
      </c>
      <c r="H63" s="452">
        <f>IFERROR(GETPIVOTDATA("合計 / " &amp; $B63,【ピボット】事業所収支!$A$3,"年月",H$1,"事業所",$A63),"")</f>
        <v>1965328</v>
      </c>
      <c r="I63" s="452">
        <f>IFERROR(GETPIVOTDATA("合計 / " &amp; $B63,【ピボット】事業所収支!$A$3,"年月",I$1,"事業所",$A63),"")</f>
        <v>1995197</v>
      </c>
      <c r="J63" s="452">
        <f>IFERROR(GETPIVOTDATA("合計 / " &amp; $B63,【ピボット】事業所収支!$A$3,"年月",J$1,"事業所",$A63),"")</f>
        <v>2133548</v>
      </c>
      <c r="K63" s="452">
        <f>IFERROR(GETPIVOTDATA("合計 / " &amp; $B63,【ピボット】事業所収支!$A$3,"年月",K$1,"事業所",$A63),"")</f>
        <v>3275498</v>
      </c>
      <c r="L63" s="452">
        <f>IFERROR(GETPIVOTDATA("合計 / " &amp; $B63,【ピボット】事業所収支!$A$3,"年月",L$1,"事業所",$A63),"")</f>
        <v>2705860</v>
      </c>
      <c r="M63" s="452">
        <f>IFERROR(GETPIVOTDATA("合計 / " &amp; $B63,【ピボット】事業所収支!$A$3,"年月",M$1,"事業所",$A63),"")</f>
        <v>2748469</v>
      </c>
      <c r="N63" s="452">
        <f>IFERROR(GETPIVOTDATA("合計 / " &amp; $B63,【ピボット】事業所収支!$A$3,"年月",N$1,"事業所",$A63),"")</f>
        <v>2696635</v>
      </c>
      <c r="O63" s="452">
        <f>IFERROR(GETPIVOTDATA("合計 / " &amp; $B63,【ピボット】事業所収支!$A$3,"年月",O$1,"事業所",$A63),"")</f>
        <v>2570319</v>
      </c>
      <c r="P63" s="452">
        <f>IFERROR(GETPIVOTDATA("合計 / " &amp; $B63,【ピボット】事業所収支!$A$3,"年月",P$1,"事業所",$A63),"")</f>
        <v>2819531</v>
      </c>
      <c r="Q63" s="452">
        <f>IFERROR(GETPIVOTDATA("合計 / " &amp; $B63,【ピボット】事業所収支!$A$3,"年月",Q$1,"事業所",$A63),"")</f>
        <v>2754232</v>
      </c>
      <c r="R63" s="452">
        <f>IFERROR(GETPIVOTDATA("合計 / " &amp; $B63,【ピボット】事業所収支!$A$3,"年月",R$1,"事業所",$A63),"")</f>
        <v>3771025</v>
      </c>
      <c r="S63" s="452">
        <f>IFERROR(GETPIVOTDATA("合計 / " &amp; $B63,【ピボット】事業所収支!$A$3,"年月",S$1,"事業所",$A63),"")</f>
        <v>2469018</v>
      </c>
      <c r="T63" s="452">
        <f>IFERROR(GETPIVOTDATA("合計 / " &amp; $B63,【ピボット】事業所収支!$A$3,"年月",T$1,"事業所",$A63),"")</f>
        <v>2977988</v>
      </c>
      <c r="U63" s="452">
        <f>IFERROR(GETPIVOTDATA("合計 / " &amp; $B63,【ピボット】事業所収支!$A$3,"年月",U$1,"事業所",$A63),"")</f>
        <v>2468275</v>
      </c>
      <c r="V63" s="452">
        <f>IFERROR(GETPIVOTDATA("合計 / " &amp; $B63,【ピボット】事業所収支!$A$3,"年月",V$1,"事業所",$A63),"")</f>
        <v>2587385</v>
      </c>
      <c r="W63" s="452">
        <f>IFERROR(GETPIVOTDATA("合計 / " &amp; $B63,【ピボット】事業所収支!$A$3,"年月",W$1,"事業所",$A63),"")</f>
        <v>2800912</v>
      </c>
      <c r="X63" s="452">
        <f>IFERROR(GETPIVOTDATA("合計 / " &amp; $B63,【ピボット】事業所収支!$A$3,"年月",X$1,"事業所",$A63),"")</f>
        <v>2743866</v>
      </c>
      <c r="Y63" s="452">
        <f>IFERROR(GETPIVOTDATA("合計 / " &amp; $B63,【ピボット】事業所収支!$A$3,"年月",Y$1,"事業所",$A63),"")</f>
        <v>2807684</v>
      </c>
      <c r="Z63" s="452">
        <f>IFERROR(GETPIVOTDATA("合計 / " &amp; $B63,【ピボット】事業所収支!$A$3,"年月",Z$1,"事業所",$A63),"")</f>
        <v>2942481</v>
      </c>
      <c r="AA63" s="452">
        <f>IFERROR(GETPIVOTDATA("合計 / " &amp; $B63,【ピボット】事業所収支!$A$3,"年月",AA$1,"事業所",$A63),"")</f>
        <v>2118435</v>
      </c>
      <c r="AB63" s="452">
        <f>IFERROR(GETPIVOTDATA("合計 / " &amp; $B63,【ピボット】事業所収支!$A$3,"年月",AB$1,"事業所",$A63),"")</f>
        <v>1999507</v>
      </c>
      <c r="AC63" s="452">
        <f>IFERROR(GETPIVOTDATA("合計 / " &amp; $B63,【ピボット】事業所収支!$A$3,"年月",AC$1,"事業所",$A63),"")</f>
        <v>2831820</v>
      </c>
      <c r="AD63" s="462">
        <f ca="1">SUM(OFFSET(AC63,0,当期月数):AC63)</f>
        <v>20832090</v>
      </c>
      <c r="AE63" s="463">
        <f ca="1">AVERAGE(OFFSET(AC63,0,当期月数):AC63)</f>
        <v>2604011.25</v>
      </c>
    </row>
    <row r="64" spans="1:31" ht="26.45" customHeight="1" x14ac:dyDescent="0.15">
      <c r="A64" t="s">
        <v>756</v>
      </c>
      <c r="B64" t="s">
        <v>15</v>
      </c>
      <c r="D64" s="2136"/>
      <c r="E64" s="93" t="s">
        <v>15</v>
      </c>
      <c r="F64" s="29">
        <f>IFERROR(GETPIVOTDATA("合計 / " &amp; $B64,【ピボット】事業所収支!$A$3,"年月",F$1,"事業所",$A64),"")</f>
        <v>64405</v>
      </c>
      <c r="G64" s="455">
        <f>IFERROR(GETPIVOTDATA("合計 / " &amp; $B64,【ピボット】事業所収支!$A$3,"年月",G$1,"事業所",$A64),"")</f>
        <v>619301</v>
      </c>
      <c r="H64" s="455">
        <f>IFERROR(GETPIVOTDATA("合計 / " &amp; $B64,【ピボット】事業所収支!$A$3,"年月",H$1,"事業所",$A64),"")</f>
        <v>789841</v>
      </c>
      <c r="I64" s="455">
        <f>IFERROR(GETPIVOTDATA("合計 / " &amp; $B64,【ピボット】事業所収支!$A$3,"年月",I$1,"事業所",$A64),"")</f>
        <v>785394</v>
      </c>
      <c r="J64" s="455">
        <f>IFERROR(GETPIVOTDATA("合計 / " &amp; $B64,【ピボット】事業所収支!$A$3,"年月",J$1,"事業所",$A64),"")</f>
        <v>708477</v>
      </c>
      <c r="K64" s="455">
        <f>IFERROR(GETPIVOTDATA("合計 / " &amp; $B64,【ピボット】事業所収支!$A$3,"年月",K$1,"事業所",$A64),"")</f>
        <v>673024</v>
      </c>
      <c r="L64" s="455">
        <f>IFERROR(GETPIVOTDATA("合計 / " &amp; $B64,【ピボット】事業所収支!$A$3,"年月",L$1,"事業所",$A64),"")</f>
        <v>710550</v>
      </c>
      <c r="M64" s="455">
        <f>IFERROR(GETPIVOTDATA("合計 / " &amp; $B64,【ピボット】事業所収支!$A$3,"年月",M$1,"事業所",$A64),"")</f>
        <v>680588.27100330812</v>
      </c>
      <c r="N64" s="455">
        <f>IFERROR(GETPIVOTDATA("合計 / " &amp; $B64,【ピボット】事業所収支!$A$3,"年月",N$1,"事業所",$A64),"")</f>
        <v>807871</v>
      </c>
      <c r="O64" s="455">
        <f>IFERROR(GETPIVOTDATA("合計 / " &amp; $B64,【ピボット】事業所収支!$A$3,"年月",O$1,"事業所",$A64),"")</f>
        <v>637625</v>
      </c>
      <c r="P64" s="455">
        <f>IFERROR(GETPIVOTDATA("合計 / " &amp; $B64,【ピボット】事業所収支!$A$3,"年月",P$1,"事業所",$A64),"")</f>
        <v>716957</v>
      </c>
      <c r="Q64" s="455">
        <f>IFERROR(GETPIVOTDATA("合計 / " &amp; $B64,【ピボット】事業所収支!$A$3,"年月",Q$1,"事業所",$A64),"")</f>
        <v>661124</v>
      </c>
      <c r="R64" s="455">
        <f>IFERROR(GETPIVOTDATA("合計 / " &amp; $B64,【ピボット】事業所収支!$A$3,"年月",R$1,"事業所",$A64),"")</f>
        <v>667563</v>
      </c>
      <c r="S64" s="455">
        <f>IFERROR(GETPIVOTDATA("合計 / " &amp; $B64,【ピボット】事業所収支!$A$3,"年月",S$1,"事業所",$A64),"")</f>
        <v>660185</v>
      </c>
      <c r="T64" s="455">
        <f>IFERROR(GETPIVOTDATA("合計 / " &amp; $B64,【ピボット】事業所収支!$A$3,"年月",T$1,"事業所",$A64),"")</f>
        <v>677214</v>
      </c>
      <c r="U64" s="455">
        <f>IFERROR(GETPIVOTDATA("合計 / " &amp; $B64,【ピボット】事業所収支!$A$3,"年月",U$1,"事業所",$A64),"")</f>
        <v>695777</v>
      </c>
      <c r="V64" s="455">
        <f>IFERROR(GETPIVOTDATA("合計 / " &amp; $B64,【ピボット】事業所収支!$A$3,"年月",V$1,"事業所",$A64),"")</f>
        <v>696938</v>
      </c>
      <c r="W64" s="455">
        <f>IFERROR(GETPIVOTDATA("合計 / " &amp; $B64,【ピボット】事業所収支!$A$3,"年月",W$1,"事業所",$A64),"")</f>
        <v>1032197</v>
      </c>
      <c r="X64" s="455">
        <f>IFERROR(GETPIVOTDATA("合計 / " &amp; $B64,【ピボット】事業所収支!$A$3,"年月",X$1,"事業所",$A64),"")</f>
        <v>1025805</v>
      </c>
      <c r="Y64" s="455">
        <f>IFERROR(GETPIVOTDATA("合計 / " &amp; $B64,【ピボット】事業所収支!$A$3,"年月",Y$1,"事業所",$A64),"")</f>
        <v>1281398</v>
      </c>
      <c r="Z64" s="455">
        <f>IFERROR(GETPIVOTDATA("合計 / " &amp; $B64,【ピボット】事業所収支!$A$3,"年月",Z$1,"事業所",$A64),"")</f>
        <v>1243543</v>
      </c>
      <c r="AA64" s="455">
        <f>IFERROR(GETPIVOTDATA("合計 / " &amp; $B64,【ピボット】事業所収支!$A$3,"年月",AA$1,"事業所",$A64),"")</f>
        <v>1079826</v>
      </c>
      <c r="AB64" s="455">
        <f>IFERROR(GETPIVOTDATA("合計 / " &amp; $B64,【ピボット】事業所収支!$A$3,"年月",AB$1,"事業所",$A64),"")</f>
        <v>1525918</v>
      </c>
      <c r="AC64" s="455">
        <f>IFERROR(GETPIVOTDATA("合計 / " &amp; $B64,【ピボット】事業所収支!$A$3,"年月",AC$1,"事業所",$A64),"")</f>
        <v>1449692</v>
      </c>
      <c r="AD64" s="459">
        <f ca="1">SUM(OFFSET(AC64,0,当期月数):AC64)</f>
        <v>9335317</v>
      </c>
      <c r="AE64" s="460">
        <f ca="1">AVERAGE(OFFSET(AC64,0,当期月数):AC64)</f>
        <v>1166914.625</v>
      </c>
    </row>
    <row r="65" spans="1:31" ht="26.45" customHeight="1" x14ac:dyDescent="0.15">
      <c r="A65" t="s">
        <v>756</v>
      </c>
      <c r="B65" t="s">
        <v>48</v>
      </c>
      <c r="D65" s="2136"/>
      <c r="E65" s="93" t="s">
        <v>48</v>
      </c>
      <c r="F65" s="29" t="str">
        <f t="shared" ref="F65:AC65" si="30">IFERROR(F64/F63,"")</f>
        <v/>
      </c>
      <c r="G65" s="455">
        <f t="shared" si="30"/>
        <v>0.31916332240597117</v>
      </c>
      <c r="H65" s="455">
        <f t="shared" si="30"/>
        <v>0.40188762384701182</v>
      </c>
      <c r="I65" s="455">
        <f t="shared" si="30"/>
        <v>0.39364233206044313</v>
      </c>
      <c r="J65" s="455">
        <f t="shared" si="30"/>
        <v>0.33206517969129357</v>
      </c>
      <c r="K65" s="455">
        <f t="shared" si="30"/>
        <v>0.20547226711785505</v>
      </c>
      <c r="L65" s="455">
        <f t="shared" si="30"/>
        <v>0.26259673449476323</v>
      </c>
      <c r="M65" s="455">
        <f t="shared" si="30"/>
        <v>0.2476245033155943</v>
      </c>
      <c r="N65" s="455">
        <f t="shared" si="30"/>
        <v>0.29958485297416965</v>
      </c>
      <c r="O65" s="455">
        <f t="shared" si="30"/>
        <v>0.2480723209842825</v>
      </c>
      <c r="P65" s="455">
        <f t="shared" si="30"/>
        <v>0.25428236114445985</v>
      </c>
      <c r="Q65" s="455">
        <f t="shared" si="30"/>
        <v>0.24003932856781854</v>
      </c>
      <c r="R65" s="464">
        <f t="shared" si="30"/>
        <v>0.17702428384855576</v>
      </c>
      <c r="S65" s="464">
        <f t="shared" si="30"/>
        <v>0.26738768206631136</v>
      </c>
      <c r="T65" s="464">
        <f t="shared" si="30"/>
        <v>0.22740655771614929</v>
      </c>
      <c r="U65" s="464">
        <f t="shared" si="30"/>
        <v>0.2818879581894238</v>
      </c>
      <c r="V65" s="464">
        <f t="shared" si="30"/>
        <v>0.26935999087882168</v>
      </c>
      <c r="W65" s="464">
        <f t="shared" si="30"/>
        <v>0.36852175291476491</v>
      </c>
      <c r="X65" s="464">
        <f t="shared" si="30"/>
        <v>0.37385389811310027</v>
      </c>
      <c r="Y65" s="464">
        <f t="shared" si="30"/>
        <v>0.45638967918042062</v>
      </c>
      <c r="Z65" s="464">
        <f t="shared" si="30"/>
        <v>0.42261717237936286</v>
      </c>
      <c r="AA65" s="464">
        <f t="shared" si="30"/>
        <v>0.50972817197601061</v>
      </c>
      <c r="AB65" s="464">
        <f t="shared" si="30"/>
        <v>0.76314711576403582</v>
      </c>
      <c r="AC65" s="464">
        <f t="shared" si="30"/>
        <v>0.51192943054290174</v>
      </c>
      <c r="AD65" s="465">
        <f ca="1">AD64/AD63</f>
        <v>0.44812195991856796</v>
      </c>
      <c r="AE65" s="466">
        <f ca="1">AE64/AE63</f>
        <v>0.44812195991856796</v>
      </c>
    </row>
    <row r="66" spans="1:31" ht="26.45" customHeight="1" x14ac:dyDescent="0.15">
      <c r="A66" t="s">
        <v>756</v>
      </c>
      <c r="B66" t="s">
        <v>1230</v>
      </c>
      <c r="D66" s="2136"/>
      <c r="E66" s="93" t="s">
        <v>43</v>
      </c>
      <c r="F66" s="29">
        <f>IFERROR(GETPIVOTDATA("合計 / " &amp; $B66,【ピボット】事業所収支!$A$3,"年月",F$1,"事業所",$A66),"")</f>
        <v>1127827</v>
      </c>
      <c r="G66" s="455">
        <f>IFERROR(GETPIVOTDATA("合計 / " &amp; $B66,【ピボット】事業所収支!$A$3,"年月",G$1,"事業所",$A66),"")</f>
        <v>693960</v>
      </c>
      <c r="H66" s="455">
        <f>IFERROR(GETPIVOTDATA("合計 / " &amp; $B66,【ピボット】事業所収支!$A$3,"年月",H$1,"事業所",$A66),"")</f>
        <v>519521</v>
      </c>
      <c r="I66" s="455">
        <f>IFERROR(GETPIVOTDATA("合計 / " &amp; $B66,【ピボット】事業所収支!$A$3,"年月",I$1,"事業所",$A66),"")</f>
        <v>560741</v>
      </c>
      <c r="J66" s="455">
        <f>IFERROR(GETPIVOTDATA("合計 / " &amp; $B66,【ピボット】事業所収支!$A$3,"年月",J$1,"事業所",$A66),"")</f>
        <v>542900</v>
      </c>
      <c r="K66" s="455">
        <f>IFERROR(GETPIVOTDATA("合計 / " &amp; $B66,【ピボット】事業所収支!$A$3,"年月",K$1,"事業所",$A66),"")</f>
        <v>624881</v>
      </c>
      <c r="L66" s="455">
        <f>IFERROR(GETPIVOTDATA("合計 / " &amp; $B66,【ピボット】事業所収支!$A$3,"年月",L$1,"事業所",$A66),"")</f>
        <v>688081</v>
      </c>
      <c r="M66" s="455">
        <f>IFERROR(GETPIVOTDATA("合計 / " &amp; $B66,【ピボット】事業所収支!$A$3,"年月",M$1,"事業所",$A66),"")</f>
        <v>606874</v>
      </c>
      <c r="N66" s="455">
        <f>IFERROR(GETPIVOTDATA("合計 / " &amp; $B66,【ピボット】事業所収支!$A$3,"年月",N$1,"事業所",$A66),"")</f>
        <v>769409</v>
      </c>
      <c r="O66" s="455">
        <f>IFERROR(GETPIVOTDATA("合計 / " &amp; $B66,【ピボット】事業所収支!$A$3,"年月",O$1,"事業所",$A66),"")</f>
        <v>616496</v>
      </c>
      <c r="P66" s="455">
        <f>IFERROR(GETPIVOTDATA("合計 / " &amp; $B66,【ピボット】事業所収支!$A$3,"年月",P$1,"事業所",$A66),"")</f>
        <v>632985</v>
      </c>
      <c r="Q66" s="455">
        <f>IFERROR(GETPIVOTDATA("合計 / " &amp; $B66,【ピボット】事業所収支!$A$3,"年月",Q$1,"事業所",$A66),"")</f>
        <v>658790</v>
      </c>
      <c r="R66" s="455">
        <f>IFERROR(GETPIVOTDATA("合計 / " &amp; $B66,【ピボット】事業所収支!$A$3,"年月",R$1,"事業所",$A66),"")</f>
        <v>773088</v>
      </c>
      <c r="S66" s="455">
        <f>IFERROR(GETPIVOTDATA("合計 / " &amp; $B66,【ピボット】事業所収支!$A$3,"年月",S$1,"事業所",$A66),"")</f>
        <v>589882</v>
      </c>
      <c r="T66" s="455">
        <f>IFERROR(GETPIVOTDATA("合計 / " &amp; $B66,【ピボット】事業所収支!$A$3,"年月",T$1,"事業所",$A66),"")</f>
        <v>720815</v>
      </c>
      <c r="U66" s="455">
        <f>IFERROR(GETPIVOTDATA("合計 / " &amp; $B66,【ピボット】事業所収支!$A$3,"年月",U$1,"事業所",$A66),"")</f>
        <v>501785</v>
      </c>
      <c r="V66" s="455">
        <f>IFERROR(GETPIVOTDATA("合計 / " &amp; $B66,【ピボット】事業所収支!$A$3,"年月",V$1,"事業所",$A66),"")</f>
        <v>603836</v>
      </c>
      <c r="W66" s="455">
        <f>IFERROR(GETPIVOTDATA("合計 / " &amp; $B66,【ピボット】事業所収支!$A$3,"年月",W$1,"事業所",$A66),"")</f>
        <v>822996</v>
      </c>
      <c r="X66" s="455">
        <f>IFERROR(GETPIVOTDATA("合計 / " &amp; $B66,【ピボット】事業所収支!$A$3,"年月",X$1,"事業所",$A66),"")</f>
        <v>695910</v>
      </c>
      <c r="Y66" s="455">
        <f>IFERROR(GETPIVOTDATA("合計 / " &amp; $B66,【ピボット】事業所収支!$A$3,"年月",Y$1,"事業所",$A66),"")</f>
        <v>635256</v>
      </c>
      <c r="Z66" s="455">
        <f>IFERROR(GETPIVOTDATA("合計 / " &amp; $B66,【ピボット】事業所収支!$A$3,"年月",Z$1,"事業所",$A66),"")</f>
        <v>654503</v>
      </c>
      <c r="AA66" s="455">
        <f>IFERROR(GETPIVOTDATA("合計 / " &amp; $B66,【ピボット】事業所収支!$A$3,"年月",AA$1,"事業所",$A66),"")</f>
        <v>611780</v>
      </c>
      <c r="AB66" s="455">
        <f>IFERROR(GETPIVOTDATA("合計 / " &amp; $B66,【ピボット】事業所収支!$A$3,"年月",AB$1,"事業所",$A66),"")</f>
        <v>656722</v>
      </c>
      <c r="AC66" s="455">
        <f>IFERROR(GETPIVOTDATA("合計 / " &amp; $B66,【ピボット】事業所収支!$A$3,"年月",AC$1,"事業所",$A66),"")</f>
        <v>638498</v>
      </c>
      <c r="AD66" s="459">
        <f ca="1">SUM(OFFSET(AC66,0,当期月数):AC66)</f>
        <v>5319501</v>
      </c>
      <c r="AE66" s="460">
        <f ca="1">AVERAGE(OFFSET(AC66,0,当期月数):AC66)</f>
        <v>664937.625</v>
      </c>
    </row>
    <row r="67" spans="1:31" ht="26.45" customHeight="1" x14ac:dyDescent="0.15">
      <c r="A67" t="s">
        <v>756</v>
      </c>
      <c r="B67" t="s">
        <v>32</v>
      </c>
      <c r="D67" s="2136"/>
      <c r="E67" s="117" t="s">
        <v>32</v>
      </c>
      <c r="F67" s="118">
        <f t="shared" ref="F67:AB67" si="31">IFERROR(F63-(F64+F66),"")</f>
        <v>-1192232</v>
      </c>
      <c r="G67" s="467">
        <f t="shared" si="31"/>
        <v>627128</v>
      </c>
      <c r="H67" s="467">
        <f t="shared" si="31"/>
        <v>655966</v>
      </c>
      <c r="I67" s="467">
        <f t="shared" si="31"/>
        <v>649062</v>
      </c>
      <c r="J67" s="467">
        <f t="shared" si="31"/>
        <v>882171</v>
      </c>
      <c r="K67" s="467">
        <f t="shared" si="31"/>
        <v>1977593</v>
      </c>
      <c r="L67" s="467">
        <f t="shared" si="31"/>
        <v>1307229</v>
      </c>
      <c r="M67" s="467">
        <f t="shared" si="31"/>
        <v>1461006.7289966918</v>
      </c>
      <c r="N67" s="467">
        <f t="shared" si="31"/>
        <v>1119355</v>
      </c>
      <c r="O67" s="467">
        <f t="shared" si="31"/>
        <v>1316198</v>
      </c>
      <c r="P67" s="467">
        <f t="shared" si="31"/>
        <v>1469589</v>
      </c>
      <c r="Q67" s="467">
        <f t="shared" si="31"/>
        <v>1434318</v>
      </c>
      <c r="R67" s="467">
        <f t="shared" si="31"/>
        <v>2330374</v>
      </c>
      <c r="S67" s="467">
        <f t="shared" si="31"/>
        <v>1218951</v>
      </c>
      <c r="T67" s="467">
        <f t="shared" si="31"/>
        <v>1579959</v>
      </c>
      <c r="U67" s="467">
        <f t="shared" si="31"/>
        <v>1270713</v>
      </c>
      <c r="V67" s="467">
        <f t="shared" si="31"/>
        <v>1286611</v>
      </c>
      <c r="W67" s="467">
        <f t="shared" si="31"/>
        <v>945719</v>
      </c>
      <c r="X67" s="467">
        <f t="shared" si="31"/>
        <v>1022151</v>
      </c>
      <c r="Y67" s="467">
        <f t="shared" si="31"/>
        <v>891030</v>
      </c>
      <c r="Z67" s="467">
        <f t="shared" si="31"/>
        <v>1044435</v>
      </c>
      <c r="AA67" s="467">
        <f t="shared" si="31"/>
        <v>426829</v>
      </c>
      <c r="AB67" s="467">
        <f t="shared" si="31"/>
        <v>-183133</v>
      </c>
      <c r="AC67" s="467">
        <f>IFERROR(AC63-(AC64+AC66),"")</f>
        <v>743630</v>
      </c>
      <c r="AD67" s="468">
        <f ca="1">SUM(OFFSET(AC67,0,当期月数):AC67)</f>
        <v>6177272</v>
      </c>
      <c r="AE67" s="469">
        <f ca="1">AVERAGE(OFFSET(AC67,0,当期月数):AC67)</f>
        <v>772159</v>
      </c>
    </row>
    <row r="68" spans="1:31" ht="26.45" customHeight="1" thickBot="1" x14ac:dyDescent="0.2">
      <c r="B68" t="s">
        <v>177</v>
      </c>
      <c r="D68" s="2137"/>
      <c r="E68" s="119" t="s">
        <v>177</v>
      </c>
      <c r="F68" s="120" t="str">
        <f t="shared" ref="F68:AC68" si="32">IFERROR(F67/F63,"")</f>
        <v/>
      </c>
      <c r="G68" s="470">
        <f t="shared" si="32"/>
        <v>0.32319704966375301</v>
      </c>
      <c r="H68" s="470">
        <f t="shared" si="32"/>
        <v>0.33376922325433717</v>
      </c>
      <c r="I68" s="470">
        <f t="shared" si="32"/>
        <v>0.3253122373379671</v>
      </c>
      <c r="J68" s="470">
        <f t="shared" si="32"/>
        <v>0.41347605022244638</v>
      </c>
      <c r="K68" s="470">
        <f t="shared" si="32"/>
        <v>0.60375338345497387</v>
      </c>
      <c r="L68" s="470">
        <f t="shared" si="32"/>
        <v>0.48311036047689088</v>
      </c>
      <c r="M68" s="470">
        <f t="shared" si="32"/>
        <v>0.53157111431734971</v>
      </c>
      <c r="N68" s="470">
        <f t="shared" si="32"/>
        <v>0.41509325511239009</v>
      </c>
      <c r="O68" s="470">
        <f t="shared" si="32"/>
        <v>0.51207573845892285</v>
      </c>
      <c r="P68" s="470">
        <f t="shared" si="32"/>
        <v>0.52121753582422037</v>
      </c>
      <c r="Q68" s="470">
        <f t="shared" si="32"/>
        <v>0.52076876602987698</v>
      </c>
      <c r="R68" s="470">
        <f t="shared" si="32"/>
        <v>0.61796832426197124</v>
      </c>
      <c r="S68" s="470">
        <f t="shared" si="32"/>
        <v>0.49369870936542382</v>
      </c>
      <c r="T68" s="470">
        <f t="shared" si="32"/>
        <v>0.5305457913195083</v>
      </c>
      <c r="U68" s="470">
        <f t="shared" si="32"/>
        <v>0.51481824351014371</v>
      </c>
      <c r="V68" s="470">
        <f t="shared" si="32"/>
        <v>0.49726306676431997</v>
      </c>
      <c r="W68" s="470">
        <f t="shared" si="32"/>
        <v>0.33764680932496272</v>
      </c>
      <c r="X68" s="470">
        <f t="shared" si="32"/>
        <v>0.37252220042815504</v>
      </c>
      <c r="Y68" s="470">
        <f t="shared" si="32"/>
        <v>0.31735408970525175</v>
      </c>
      <c r="Z68" s="470">
        <f t="shared" si="32"/>
        <v>0.35495046527063384</v>
      </c>
      <c r="AA68" s="470">
        <f t="shared" si="32"/>
        <v>0.20148317035925106</v>
      </c>
      <c r="AB68" s="470">
        <f t="shared" si="32"/>
        <v>-9.1589076707408373E-2</v>
      </c>
      <c r="AC68" s="470">
        <f t="shared" si="32"/>
        <v>0.26259790523408971</v>
      </c>
      <c r="AD68" s="471">
        <f ca="1">AD67/AD63</f>
        <v>0.29652675271660212</v>
      </c>
      <c r="AE68" s="472">
        <f ca="1">AE67/AE63</f>
        <v>0.29652675271660212</v>
      </c>
    </row>
    <row r="69" spans="1:31" ht="26.45" customHeight="1" x14ac:dyDescent="0.15">
      <c r="A69" t="s">
        <v>1394</v>
      </c>
      <c r="B69" t="s">
        <v>26</v>
      </c>
      <c r="D69" s="2135" t="s">
        <v>1223</v>
      </c>
      <c r="E69" s="91" t="s">
        <v>26</v>
      </c>
      <c r="F69" s="92" t="str">
        <f>IFERROR(GETPIVOTDATA("合計 / " &amp; $B69,【ピボット】事業所収支!$A$3,"年月",F$1,"事業所",$A69),"")</f>
        <v/>
      </c>
      <c r="G69" s="452" t="str">
        <f>IFERROR(GETPIVOTDATA("合計 / " &amp; $B69,【ピボット】事業所収支!$A$3,"年月",G$1,"事業所",$A69),"")</f>
        <v/>
      </c>
      <c r="H69" s="452" t="str">
        <f>IFERROR(GETPIVOTDATA("合計 / " &amp; $B69,【ピボット】事業所収支!$A$3,"年月",H$1,"事業所",$A69),"")</f>
        <v/>
      </c>
      <c r="I69" s="452" t="str">
        <f>IFERROR(GETPIVOTDATA("合計 / " &amp; $B69,【ピボット】事業所収支!$A$3,"年月",I$1,"事業所",$A69),"")</f>
        <v/>
      </c>
      <c r="J69" s="452" t="str">
        <f>IFERROR(GETPIVOTDATA("合計 / " &amp; $B69,【ピボット】事業所収支!$A$3,"年月",J$1,"事業所",$A69),"")</f>
        <v/>
      </c>
      <c r="K69" s="452" t="str">
        <f>IFERROR(GETPIVOTDATA("合計 / " &amp; $B69,【ピボット】事業所収支!$A$3,"年月",K$1,"事業所",$A69),"")</f>
        <v/>
      </c>
      <c r="L69" s="452" t="str">
        <f>IFERROR(GETPIVOTDATA("合計 / " &amp; $B69,【ピボット】事業所収支!$A$3,"年月",L$1,"事業所",$A69),"")</f>
        <v/>
      </c>
      <c r="M69" s="452" t="str">
        <f>IFERROR(GETPIVOTDATA("合計 / " &amp; $B69,【ピボット】事業所収支!$A$3,"年月",M$1,"事業所",$A69),"")</f>
        <v/>
      </c>
      <c r="N69" s="452" t="str">
        <f>IFERROR(GETPIVOTDATA("合計 / " &amp; $B69,【ピボット】事業所収支!$A$3,"年月",N$1,"事業所",$A69),"")</f>
        <v/>
      </c>
      <c r="O69" s="452" t="str">
        <f>IFERROR(GETPIVOTDATA("合計 / " &amp; $B69,【ピボット】事業所収支!$A$3,"年月",O$1,"事業所",$A69),"")</f>
        <v/>
      </c>
      <c r="P69" s="452" t="str">
        <f>IFERROR(GETPIVOTDATA("合計 / " &amp; $B69,【ピボット】事業所収支!$A$3,"年月",P$1,"事業所",$A69),"")</f>
        <v/>
      </c>
      <c r="Q69" s="452" t="str">
        <f>IFERROR(GETPIVOTDATA("合計 / " &amp; $B69,【ピボット】事業所収支!$A$3,"年月",Q$1,"事業所",$A69),"")</f>
        <v/>
      </c>
      <c r="R69" s="452" t="str">
        <f>IFERROR(GETPIVOTDATA("合計 / " &amp; $B69,【ピボット】事業所収支!$A$3,"年月",R$1,"事業所",$A69),"")</f>
        <v/>
      </c>
      <c r="S69" s="452" t="str">
        <f>IFERROR(GETPIVOTDATA("合計 / " &amp; $B69,【ピボット】事業所収支!$A$3,"年月",S$1,"事業所",$A69),"")</f>
        <v/>
      </c>
      <c r="T69" s="452" t="str">
        <f>IFERROR(GETPIVOTDATA("合計 / " &amp; $B69,【ピボット】事業所収支!$A$3,"年月",T$1,"事業所",$A69),"")</f>
        <v/>
      </c>
      <c r="U69" s="452" t="str">
        <f>IFERROR(GETPIVOTDATA("合計 / " &amp; $B69,【ピボット】事業所収支!$A$3,"年月",U$1,"事業所",$A69),"")</f>
        <v/>
      </c>
      <c r="V69" s="452">
        <f>IFERROR(GETPIVOTDATA("合計 / " &amp; $B69,【ピボット】事業所収支!$A$3,"年月",V$1,"事業所",$A69),"")</f>
        <v>0</v>
      </c>
      <c r="W69" s="452" t="str">
        <f>IFERROR(GETPIVOTDATA("合計 / " &amp; $B69,【ピボット】事業所収支!$A$3,"年月",W$1,"事業所",$A69),"")</f>
        <v/>
      </c>
      <c r="X69" s="452">
        <f>IFERROR(GETPIVOTDATA("合計 / " &amp; $B69,【ピボット】事業所収支!$A$3,"年月",X$1,"事業所",$A69),"")</f>
        <v>16000</v>
      </c>
      <c r="Y69" s="452">
        <f>IFERROR(GETPIVOTDATA("合計 / " &amp; $B69,【ピボット】事業所収支!$A$3,"年月",Y$1,"事業所",$A69),"")</f>
        <v>40000</v>
      </c>
      <c r="Z69" s="452">
        <f>IFERROR(GETPIVOTDATA("合計 / " &amp; $B69,【ピボット】事業所収支!$A$3,"年月",Z$1,"事業所",$A69),"")</f>
        <v>40000</v>
      </c>
      <c r="AA69" s="452">
        <f>IFERROR(GETPIVOTDATA("合計 / " &amp; $B69,【ピボット】事業所収支!$A$3,"年月",AA$1,"事業所",$A69),"")</f>
        <v>1476188</v>
      </c>
      <c r="AB69" s="452">
        <f>IFERROR(GETPIVOTDATA("合計 / " &amp; $B69,【ピボット】事業所収支!$A$3,"年月",AB$1,"事業所",$A69),"")</f>
        <v>1775131</v>
      </c>
      <c r="AC69" s="452">
        <f>IFERROR(GETPIVOTDATA("合計 / " &amp; $B69,【ピボット】事業所収支!$A$3,"年月",AC$1,"事業所",$A69),"")</f>
        <v>2077332</v>
      </c>
      <c r="AD69" s="462">
        <f ca="1">SUM(OFFSET(AC69,0,当期月数):AC69)</f>
        <v>5424651</v>
      </c>
      <c r="AE69" s="463">
        <f ca="1">AVERAGE(OFFSET(AC69,0,当期月数):AC69)</f>
        <v>774950.14285714284</v>
      </c>
    </row>
    <row r="70" spans="1:31" ht="26.45" customHeight="1" x14ac:dyDescent="0.15">
      <c r="A70" t="s">
        <v>1394</v>
      </c>
      <c r="B70" t="s">
        <v>15</v>
      </c>
      <c r="D70" s="2136"/>
      <c r="E70" s="93" t="s">
        <v>15</v>
      </c>
      <c r="F70" s="29" t="str">
        <f>IFERROR(GETPIVOTDATA("合計 / " &amp; $B70,【ピボット】事業所収支!$A$3,"年月",F$1,"事業所",$A70),"")</f>
        <v/>
      </c>
      <c r="G70" s="455" t="str">
        <f>IFERROR(GETPIVOTDATA("合計 / " &amp; $B70,【ピボット】事業所収支!$A$3,"年月",G$1,"事業所",$A70),"")</f>
        <v/>
      </c>
      <c r="H70" s="455" t="str">
        <f>IFERROR(GETPIVOTDATA("合計 / " &amp; $B70,【ピボット】事業所収支!$A$3,"年月",H$1,"事業所",$A70),"")</f>
        <v/>
      </c>
      <c r="I70" s="455" t="str">
        <f>IFERROR(GETPIVOTDATA("合計 / " &amp; $B70,【ピボット】事業所収支!$A$3,"年月",I$1,"事業所",$A70),"")</f>
        <v/>
      </c>
      <c r="J70" s="455" t="str">
        <f>IFERROR(GETPIVOTDATA("合計 / " &amp; $B70,【ピボット】事業所収支!$A$3,"年月",J$1,"事業所",$A70),"")</f>
        <v/>
      </c>
      <c r="K70" s="455" t="str">
        <f>IFERROR(GETPIVOTDATA("合計 / " &amp; $B70,【ピボット】事業所収支!$A$3,"年月",K$1,"事業所",$A70),"")</f>
        <v/>
      </c>
      <c r="L70" s="455" t="str">
        <f>IFERROR(GETPIVOTDATA("合計 / " &amp; $B70,【ピボット】事業所収支!$A$3,"年月",L$1,"事業所",$A70),"")</f>
        <v/>
      </c>
      <c r="M70" s="455" t="str">
        <f>IFERROR(GETPIVOTDATA("合計 / " &amp; $B70,【ピボット】事業所収支!$A$3,"年月",M$1,"事業所",$A70),"")</f>
        <v/>
      </c>
      <c r="N70" s="455" t="str">
        <f>IFERROR(GETPIVOTDATA("合計 / " &amp; $B70,【ピボット】事業所収支!$A$3,"年月",N$1,"事業所",$A70),"")</f>
        <v/>
      </c>
      <c r="O70" s="455" t="str">
        <f>IFERROR(GETPIVOTDATA("合計 / " &amp; $B70,【ピボット】事業所収支!$A$3,"年月",O$1,"事業所",$A70),"")</f>
        <v/>
      </c>
      <c r="P70" s="455" t="str">
        <f>IFERROR(GETPIVOTDATA("合計 / " &amp; $B70,【ピボット】事業所収支!$A$3,"年月",P$1,"事業所",$A70),"")</f>
        <v/>
      </c>
      <c r="Q70" s="455" t="str">
        <f>IFERROR(GETPIVOTDATA("合計 / " &amp; $B70,【ピボット】事業所収支!$A$3,"年月",Q$1,"事業所",$A70),"")</f>
        <v/>
      </c>
      <c r="R70" s="455" t="str">
        <f>IFERROR(GETPIVOTDATA("合計 / " &amp; $B70,【ピボット】事業所収支!$A$3,"年月",R$1,"事業所",$A70),"")</f>
        <v/>
      </c>
      <c r="S70" s="455" t="str">
        <f>IFERROR(GETPIVOTDATA("合計 / " &amp; $B70,【ピボット】事業所収支!$A$3,"年月",S$1,"事業所",$A70),"")</f>
        <v/>
      </c>
      <c r="T70" s="455" t="str">
        <f>IFERROR(GETPIVOTDATA("合計 / " &amp; $B70,【ピボット】事業所収支!$A$3,"年月",T$1,"事業所",$A70),"")</f>
        <v/>
      </c>
      <c r="U70" s="455" t="str">
        <f>IFERROR(GETPIVOTDATA("合計 / " &amp; $B70,【ピボット】事業所収支!$A$3,"年月",U$1,"事業所",$A70),"")</f>
        <v/>
      </c>
      <c r="V70" s="455">
        <f>IFERROR(GETPIVOTDATA("合計 / " &amp; $B70,【ピボット】事業所収支!$A$3,"年月",V$1,"事業所",$A70),"")</f>
        <v>0</v>
      </c>
      <c r="W70" s="455" t="str">
        <f>IFERROR(GETPIVOTDATA("合計 / " &amp; $B70,【ピボット】事業所収支!$A$3,"年月",W$1,"事業所",$A70),"")</f>
        <v/>
      </c>
      <c r="X70" s="455">
        <f>IFERROR(GETPIVOTDATA("合計 / " &amp; $B70,【ピボット】事業所収支!$A$3,"年月",X$1,"事業所",$A70),"")</f>
        <v>0</v>
      </c>
      <c r="Y70" s="455">
        <f>IFERROR(GETPIVOTDATA("合計 / " &amp; $B70,【ピボット】事業所収支!$A$3,"年月",Y$1,"事業所",$A70),"")</f>
        <v>0</v>
      </c>
      <c r="Z70" s="455">
        <f>IFERROR(GETPIVOTDATA("合計 / " &amp; $B70,【ピボット】事業所収支!$A$3,"年月",Z$1,"事業所",$A70),"")</f>
        <v>0</v>
      </c>
      <c r="AA70" s="455">
        <f>IFERROR(GETPIVOTDATA("合計 / " &amp; $B70,【ピボット】事業所収支!$A$3,"年月",AA$1,"事業所",$A70),"")</f>
        <v>379400</v>
      </c>
      <c r="AB70" s="455">
        <f>IFERROR(GETPIVOTDATA("合計 / " &amp; $B70,【ピボット】事業所収支!$A$3,"年月",AB$1,"事業所",$A70),"")</f>
        <v>509200</v>
      </c>
      <c r="AC70" s="455">
        <f>IFERROR(GETPIVOTDATA("合計 / " &amp; $B70,【ピボット】事業所収支!$A$3,"年月",AC$1,"事業所",$A70),"")</f>
        <v>418350</v>
      </c>
      <c r="AD70" s="459">
        <f ca="1">SUM(OFFSET(AC70,0,当期月数):AC70)</f>
        <v>1306950</v>
      </c>
      <c r="AE70" s="460">
        <f ca="1">AVERAGE(OFFSET(AC70,0,当期月数):AC70)</f>
        <v>186707.14285714287</v>
      </c>
    </row>
    <row r="71" spans="1:31" ht="26.45" customHeight="1" x14ac:dyDescent="0.15">
      <c r="A71" t="s">
        <v>1394</v>
      </c>
      <c r="B71" t="s">
        <v>48</v>
      </c>
      <c r="D71" s="2136"/>
      <c r="E71" s="93" t="s">
        <v>48</v>
      </c>
      <c r="F71" s="29" t="str">
        <f t="shared" ref="F71:AC71" si="33">IFERROR(F70/F69,"")</f>
        <v/>
      </c>
      <c r="G71" s="455" t="str">
        <f t="shared" si="33"/>
        <v/>
      </c>
      <c r="H71" s="455" t="str">
        <f t="shared" si="33"/>
        <v/>
      </c>
      <c r="I71" s="455" t="str">
        <f t="shared" si="33"/>
        <v/>
      </c>
      <c r="J71" s="455" t="str">
        <f t="shared" si="33"/>
        <v/>
      </c>
      <c r="K71" s="455" t="str">
        <f t="shared" si="33"/>
        <v/>
      </c>
      <c r="L71" s="455" t="str">
        <f t="shared" si="33"/>
        <v/>
      </c>
      <c r="M71" s="455" t="str">
        <f t="shared" si="33"/>
        <v/>
      </c>
      <c r="N71" s="455" t="str">
        <f t="shared" si="33"/>
        <v/>
      </c>
      <c r="O71" s="455" t="str">
        <f t="shared" si="33"/>
        <v/>
      </c>
      <c r="P71" s="455" t="str">
        <f t="shared" si="33"/>
        <v/>
      </c>
      <c r="Q71" s="455" t="str">
        <f t="shared" si="33"/>
        <v/>
      </c>
      <c r="R71" s="464" t="str">
        <f t="shared" si="33"/>
        <v/>
      </c>
      <c r="S71" s="464" t="str">
        <f t="shared" si="33"/>
        <v/>
      </c>
      <c r="T71" s="464" t="str">
        <f t="shared" si="33"/>
        <v/>
      </c>
      <c r="U71" s="464" t="str">
        <f t="shared" si="33"/>
        <v/>
      </c>
      <c r="V71" s="464" t="str">
        <f t="shared" si="33"/>
        <v/>
      </c>
      <c r="W71" s="464" t="str">
        <f t="shared" si="33"/>
        <v/>
      </c>
      <c r="X71" s="464">
        <f t="shared" si="33"/>
        <v>0</v>
      </c>
      <c r="Y71" s="464">
        <f t="shared" si="33"/>
        <v>0</v>
      </c>
      <c r="Z71" s="464">
        <f t="shared" si="33"/>
        <v>0</v>
      </c>
      <c r="AA71" s="464">
        <f t="shared" si="33"/>
        <v>0.25701333434494794</v>
      </c>
      <c r="AB71" s="464">
        <f t="shared" si="33"/>
        <v>0.28685206894589749</v>
      </c>
      <c r="AC71" s="464">
        <f t="shared" si="33"/>
        <v>0.20138812669327771</v>
      </c>
      <c r="AD71" s="465">
        <f ca="1">AD70/AD69</f>
        <v>0.2409279417238086</v>
      </c>
      <c r="AE71" s="466">
        <f ca="1">AE70/AE69</f>
        <v>0.2409279417238086</v>
      </c>
    </row>
    <row r="72" spans="1:31" ht="26.45" customHeight="1" x14ac:dyDescent="0.15">
      <c r="A72" t="s">
        <v>1394</v>
      </c>
      <c r="B72" t="s">
        <v>1230</v>
      </c>
      <c r="D72" s="2136"/>
      <c r="E72" s="93" t="s">
        <v>43</v>
      </c>
      <c r="F72" s="29" t="str">
        <f>IFERROR(GETPIVOTDATA("合計 / " &amp; $B72,【ピボット】事業所収支!$A$3,"年月",F$1,"事業所",$A72),"")</f>
        <v/>
      </c>
      <c r="G72" s="455" t="str">
        <f>IFERROR(GETPIVOTDATA("合計 / " &amp; $B72,【ピボット】事業所収支!$A$3,"年月",G$1,"事業所",$A72),"")</f>
        <v/>
      </c>
      <c r="H72" s="455" t="str">
        <f>IFERROR(GETPIVOTDATA("合計 / " &amp; $B72,【ピボット】事業所収支!$A$3,"年月",H$1,"事業所",$A72),"")</f>
        <v/>
      </c>
      <c r="I72" s="455" t="str">
        <f>IFERROR(GETPIVOTDATA("合計 / " &amp; $B72,【ピボット】事業所収支!$A$3,"年月",I$1,"事業所",$A72),"")</f>
        <v/>
      </c>
      <c r="J72" s="455" t="str">
        <f>IFERROR(GETPIVOTDATA("合計 / " &amp; $B72,【ピボット】事業所収支!$A$3,"年月",J$1,"事業所",$A72),"")</f>
        <v/>
      </c>
      <c r="K72" s="455" t="str">
        <f>IFERROR(GETPIVOTDATA("合計 / " &amp; $B72,【ピボット】事業所収支!$A$3,"年月",K$1,"事業所",$A72),"")</f>
        <v/>
      </c>
      <c r="L72" s="455" t="str">
        <f>IFERROR(GETPIVOTDATA("合計 / " &amp; $B72,【ピボット】事業所収支!$A$3,"年月",L$1,"事業所",$A72),"")</f>
        <v/>
      </c>
      <c r="M72" s="455" t="str">
        <f>IFERROR(GETPIVOTDATA("合計 / " &amp; $B72,【ピボット】事業所収支!$A$3,"年月",M$1,"事業所",$A72),"")</f>
        <v/>
      </c>
      <c r="N72" s="455" t="str">
        <f>IFERROR(GETPIVOTDATA("合計 / " &amp; $B72,【ピボット】事業所収支!$A$3,"年月",N$1,"事業所",$A72),"")</f>
        <v/>
      </c>
      <c r="O72" s="455" t="str">
        <f>IFERROR(GETPIVOTDATA("合計 / " &amp; $B72,【ピボット】事業所収支!$A$3,"年月",O$1,"事業所",$A72),"")</f>
        <v/>
      </c>
      <c r="P72" s="455" t="str">
        <f>IFERROR(GETPIVOTDATA("合計 / " &amp; $B72,【ピボット】事業所収支!$A$3,"年月",P$1,"事業所",$A72),"")</f>
        <v/>
      </c>
      <c r="Q72" s="455" t="str">
        <f>IFERROR(GETPIVOTDATA("合計 / " &amp; $B72,【ピボット】事業所収支!$A$3,"年月",Q$1,"事業所",$A72),"")</f>
        <v/>
      </c>
      <c r="R72" s="455" t="str">
        <f>IFERROR(GETPIVOTDATA("合計 / " &amp; $B72,【ピボット】事業所収支!$A$3,"年月",R$1,"事業所",$A72),"")</f>
        <v/>
      </c>
      <c r="S72" s="455" t="str">
        <f>IFERROR(GETPIVOTDATA("合計 / " &amp; $B72,【ピボット】事業所収支!$A$3,"年月",S$1,"事業所",$A72),"")</f>
        <v/>
      </c>
      <c r="T72" s="455" t="str">
        <f>IFERROR(GETPIVOTDATA("合計 / " &amp; $B72,【ピボット】事業所収支!$A$3,"年月",T$1,"事業所",$A72),"")</f>
        <v/>
      </c>
      <c r="U72" s="455" t="str">
        <f>IFERROR(GETPIVOTDATA("合計 / " &amp; $B72,【ピボット】事業所収支!$A$3,"年月",U$1,"事業所",$A72),"")</f>
        <v/>
      </c>
      <c r="V72" s="455">
        <f>IFERROR(GETPIVOTDATA("合計 / " &amp; $B72,【ピボット】事業所収支!$A$3,"年月",V$1,"事業所",$A72),"")</f>
        <v>30864</v>
      </c>
      <c r="W72" s="455" t="str">
        <f>IFERROR(GETPIVOTDATA("合計 / " &amp; $B72,【ピボット】事業所収支!$A$3,"年月",W$1,"事業所",$A72),"")</f>
        <v/>
      </c>
      <c r="X72" s="455">
        <f>IFERROR(GETPIVOTDATA("合計 / " &amp; $B72,【ピボット】事業所収支!$A$3,"年月",X$1,"事業所",$A72),"")</f>
        <v>17066</v>
      </c>
      <c r="Y72" s="455">
        <f>IFERROR(GETPIVOTDATA("合計 / " &amp; $B72,【ピボット】事業所収支!$A$3,"年月",Y$1,"事業所",$A72),"")</f>
        <v>18008</v>
      </c>
      <c r="Z72" s="455">
        <f>IFERROR(GETPIVOTDATA("合計 / " &amp; $B72,【ピボット】事業所収支!$A$3,"年月",Z$1,"事業所",$A72),"")</f>
        <v>185160</v>
      </c>
      <c r="AA72" s="455">
        <f>IFERROR(GETPIVOTDATA("合計 / " &amp; $B72,【ピボット】事業所収支!$A$3,"年月",AA$1,"事業所",$A72),"")</f>
        <v>188283</v>
      </c>
      <c r="AB72" s="455">
        <f>IFERROR(GETPIVOTDATA("合計 / " &amp; $B72,【ピボット】事業所収支!$A$3,"年月",AB$1,"事業所",$A72),"")</f>
        <v>133407</v>
      </c>
      <c r="AC72" s="455">
        <f>IFERROR(GETPIVOTDATA("合計 / " &amp; $B72,【ピボット】事業所収支!$A$3,"年月",AC$1,"事業所",$A72),"")</f>
        <v>153096</v>
      </c>
      <c r="AD72" s="459">
        <f ca="1">SUM(OFFSET(AC72,0,当期月数):AC72)</f>
        <v>725884</v>
      </c>
      <c r="AE72" s="460">
        <f ca="1">AVERAGE(OFFSET(AC72,0,当期月数):AC72)</f>
        <v>103697.71428571429</v>
      </c>
    </row>
    <row r="73" spans="1:31" ht="26.45" customHeight="1" x14ac:dyDescent="0.15">
      <c r="A73" t="s">
        <v>1394</v>
      </c>
      <c r="B73" t="s">
        <v>32</v>
      </c>
      <c r="D73" s="2136"/>
      <c r="E73" s="117" t="s">
        <v>32</v>
      </c>
      <c r="F73" s="118" t="str">
        <f t="shared" ref="F73:AB73" si="34">IFERROR(F69-(F70+F72),"")</f>
        <v/>
      </c>
      <c r="G73" s="467" t="str">
        <f t="shared" si="34"/>
        <v/>
      </c>
      <c r="H73" s="467" t="str">
        <f t="shared" si="34"/>
        <v/>
      </c>
      <c r="I73" s="467" t="str">
        <f t="shared" si="34"/>
        <v/>
      </c>
      <c r="J73" s="467" t="str">
        <f t="shared" si="34"/>
        <v/>
      </c>
      <c r="K73" s="467" t="str">
        <f t="shared" si="34"/>
        <v/>
      </c>
      <c r="L73" s="467" t="str">
        <f t="shared" si="34"/>
        <v/>
      </c>
      <c r="M73" s="467" t="str">
        <f t="shared" si="34"/>
        <v/>
      </c>
      <c r="N73" s="467" t="str">
        <f t="shared" si="34"/>
        <v/>
      </c>
      <c r="O73" s="467" t="str">
        <f t="shared" si="34"/>
        <v/>
      </c>
      <c r="P73" s="467" t="str">
        <f t="shared" si="34"/>
        <v/>
      </c>
      <c r="Q73" s="467" t="str">
        <f t="shared" si="34"/>
        <v/>
      </c>
      <c r="R73" s="467" t="str">
        <f t="shared" si="34"/>
        <v/>
      </c>
      <c r="S73" s="467" t="str">
        <f t="shared" si="34"/>
        <v/>
      </c>
      <c r="T73" s="467" t="str">
        <f t="shared" si="34"/>
        <v/>
      </c>
      <c r="U73" s="467" t="str">
        <f t="shared" si="34"/>
        <v/>
      </c>
      <c r="V73" s="467">
        <f t="shared" si="34"/>
        <v>-30864</v>
      </c>
      <c r="W73" s="467" t="str">
        <f t="shared" si="34"/>
        <v/>
      </c>
      <c r="X73" s="467">
        <f t="shared" si="34"/>
        <v>-1066</v>
      </c>
      <c r="Y73" s="467">
        <f t="shared" si="34"/>
        <v>21992</v>
      </c>
      <c r="Z73" s="467">
        <f t="shared" si="34"/>
        <v>-145160</v>
      </c>
      <c r="AA73" s="467">
        <f t="shared" si="34"/>
        <v>908505</v>
      </c>
      <c r="AB73" s="467">
        <f t="shared" si="34"/>
        <v>1132524</v>
      </c>
      <c r="AC73" s="467">
        <f>IFERROR(AC69-(AC70+AC72),"")</f>
        <v>1505886</v>
      </c>
      <c r="AD73" s="468">
        <f ca="1">SUM(OFFSET(AC73,0,当期月数):AC73)</f>
        <v>3391817</v>
      </c>
      <c r="AE73" s="469">
        <f ca="1">AVERAGE(OFFSET(AC73,0,当期月数):AC73)</f>
        <v>484545.28571428574</v>
      </c>
    </row>
    <row r="74" spans="1:31" ht="26.45" customHeight="1" thickBot="1" x14ac:dyDescent="0.2">
      <c r="B74" t="s">
        <v>177</v>
      </c>
      <c r="D74" s="2137"/>
      <c r="E74" s="119" t="s">
        <v>177</v>
      </c>
      <c r="F74" s="120" t="str">
        <f t="shared" ref="F74:AC74" si="35">IFERROR(F73/F69,"")</f>
        <v/>
      </c>
      <c r="G74" s="470" t="str">
        <f t="shared" si="35"/>
        <v/>
      </c>
      <c r="H74" s="470" t="str">
        <f t="shared" si="35"/>
        <v/>
      </c>
      <c r="I74" s="470" t="str">
        <f t="shared" si="35"/>
        <v/>
      </c>
      <c r="J74" s="470" t="str">
        <f t="shared" si="35"/>
        <v/>
      </c>
      <c r="K74" s="470" t="str">
        <f t="shared" si="35"/>
        <v/>
      </c>
      <c r="L74" s="470" t="str">
        <f t="shared" si="35"/>
        <v/>
      </c>
      <c r="M74" s="470" t="str">
        <f t="shared" si="35"/>
        <v/>
      </c>
      <c r="N74" s="470" t="str">
        <f t="shared" si="35"/>
        <v/>
      </c>
      <c r="O74" s="470" t="str">
        <f t="shared" si="35"/>
        <v/>
      </c>
      <c r="P74" s="470" t="str">
        <f t="shared" si="35"/>
        <v/>
      </c>
      <c r="Q74" s="470" t="str">
        <f t="shared" si="35"/>
        <v/>
      </c>
      <c r="R74" s="470" t="str">
        <f t="shared" si="35"/>
        <v/>
      </c>
      <c r="S74" s="470" t="str">
        <f t="shared" si="35"/>
        <v/>
      </c>
      <c r="T74" s="470" t="str">
        <f t="shared" si="35"/>
        <v/>
      </c>
      <c r="U74" s="470" t="str">
        <f t="shared" si="35"/>
        <v/>
      </c>
      <c r="V74" s="470" t="str">
        <f t="shared" si="35"/>
        <v/>
      </c>
      <c r="W74" s="470" t="str">
        <f t="shared" si="35"/>
        <v/>
      </c>
      <c r="X74" s="470">
        <f t="shared" si="35"/>
        <v>-6.6625000000000004E-2</v>
      </c>
      <c r="Y74" s="470">
        <f t="shared" si="35"/>
        <v>0.54979999999999996</v>
      </c>
      <c r="Z74" s="470">
        <f t="shared" si="35"/>
        <v>-3.629</v>
      </c>
      <c r="AA74" s="470">
        <f t="shared" si="35"/>
        <v>0.61543990331854748</v>
      </c>
      <c r="AB74" s="470">
        <f t="shared" si="35"/>
        <v>0.63799460434187671</v>
      </c>
      <c r="AC74" s="470">
        <f t="shared" si="35"/>
        <v>0.72491349480968859</v>
      </c>
      <c r="AD74" s="471">
        <f ca="1">AD73/AD69</f>
        <v>0.62525994759847225</v>
      </c>
      <c r="AE74" s="472">
        <f ca="1">AE73/AE69</f>
        <v>0.62525994759847225</v>
      </c>
    </row>
    <row r="75" spans="1:31" ht="26.45" customHeight="1" x14ac:dyDescent="0.15">
      <c r="A75" t="s">
        <v>745</v>
      </c>
      <c r="B75" t="s">
        <v>26</v>
      </c>
      <c r="D75" s="2135" t="s">
        <v>337</v>
      </c>
      <c r="E75" s="91" t="s">
        <v>26</v>
      </c>
      <c r="F75" s="92">
        <f>IFERROR(GETPIVOTDATA("合計 / " &amp; $B75,【ピボット】事業所収支!$A$3,"年月",F$1,"事業所",$A75),"")</f>
        <v>3011624</v>
      </c>
      <c r="G75" s="452">
        <f>IFERROR(GETPIVOTDATA("合計 / " &amp; $B75,【ピボット】事業所収支!$A$3,"年月",G$1,"事業所",$A75),"")</f>
        <v>2812785</v>
      </c>
      <c r="H75" s="452">
        <f>IFERROR(GETPIVOTDATA("合計 / " &amp; $B75,【ピボット】事業所収支!$A$3,"年月",H$1,"事業所",$A75),"")</f>
        <v>3216466</v>
      </c>
      <c r="I75" s="452">
        <f>IFERROR(GETPIVOTDATA("合計 / " &amp; $B75,【ピボット】事業所収支!$A$3,"年月",I$1,"事業所",$A75),"")</f>
        <v>3129590</v>
      </c>
      <c r="J75" s="452">
        <f>IFERROR(GETPIVOTDATA("合計 / " &amp; $B75,【ピボット】事業所収支!$A$3,"年月",J$1,"事業所",$A75),"")</f>
        <v>3185656</v>
      </c>
      <c r="K75" s="452">
        <f>IFERROR(GETPIVOTDATA("合計 / " &amp; $B75,【ピボット】事業所収支!$A$3,"年月",K$1,"事業所",$A75),"")</f>
        <v>3195164</v>
      </c>
      <c r="L75" s="452">
        <f>IFERROR(GETPIVOTDATA("合計 / " &amp; $B75,【ピボット】事業所収支!$A$3,"年月",L$1,"事業所",$A75),"")</f>
        <v>3133826</v>
      </c>
      <c r="M75" s="452">
        <f>IFERROR(GETPIVOTDATA("合計 / " &amp; $B75,【ピボット】事業所収支!$A$3,"年月",M$1,"事業所",$A75),"")</f>
        <v>3119675</v>
      </c>
      <c r="N75" s="452">
        <f>IFERROR(GETPIVOTDATA("合計 / " &amp; $B75,【ピボット】事業所収支!$A$3,"年月",N$1,"事業所",$A75),"")</f>
        <v>2345767</v>
      </c>
      <c r="O75" s="452">
        <f>IFERROR(GETPIVOTDATA("合計 / " &amp; $B75,【ピボット】事業所収支!$A$3,"年月",O$1,"事業所",$A75),"")</f>
        <v>2169663</v>
      </c>
      <c r="P75" s="452">
        <f>IFERROR(GETPIVOTDATA("合計 / " &amp; $B75,【ピボット】事業所収支!$A$3,"年月",P$1,"事業所",$A75),"")</f>
        <v>2256558</v>
      </c>
      <c r="Q75" s="452">
        <f>IFERROR(GETPIVOTDATA("合計 / " &amp; $B75,【ピボット】事業所収支!$A$3,"年月",Q$1,"事業所",$A75),"")</f>
        <v>1960949</v>
      </c>
      <c r="R75" s="452">
        <f>IFERROR(GETPIVOTDATA("合計 / " &amp; $B75,【ピボット】事業所収支!$A$3,"年月",R$1,"事業所",$A75),"")</f>
        <v>1955643</v>
      </c>
      <c r="S75" s="452">
        <f>IFERROR(GETPIVOTDATA("合計 / " &amp; $B75,【ピボット】事業所収支!$A$3,"年月",S$1,"事業所",$A75),"")</f>
        <v>1889542</v>
      </c>
      <c r="T75" s="452">
        <f>IFERROR(GETPIVOTDATA("合計 / " &amp; $B75,【ピボット】事業所収支!$A$3,"年月",T$1,"事業所",$A75),"")</f>
        <v>1614388</v>
      </c>
      <c r="U75" s="452">
        <f>IFERROR(GETPIVOTDATA("合計 / " &amp; $B75,【ピボット】事業所収支!$A$3,"年月",U$1,"事業所",$A75),"")</f>
        <v>1444523</v>
      </c>
      <c r="V75" s="452">
        <f>IFERROR(GETPIVOTDATA("合計 / " &amp; $B75,【ピボット】事業所収支!$A$3,"年月",V$1,"事業所",$A75),"")</f>
        <v>1128956</v>
      </c>
      <c r="W75" s="452" t="str">
        <f>IFERROR(GETPIVOTDATA("合計 / " &amp; $B75,【ピボット】事業所収支!$A$3,"年月",W$1,"事業所",$A75),"")</f>
        <v/>
      </c>
      <c r="X75" s="452">
        <f>IFERROR(GETPIVOTDATA("合計 / " &amp; $B75,【ピボット】事業所収支!$A$3,"年月",X$1,"事業所",$A75),"")</f>
        <v>0</v>
      </c>
      <c r="Y75" s="452" t="str">
        <f>IFERROR(GETPIVOTDATA("合計 / " &amp; $B75,【ピボット】事業所収支!$A$3,"年月",Y$1,"事業所",$A75),"")</f>
        <v/>
      </c>
      <c r="Z75" s="452" t="str">
        <f>IFERROR(GETPIVOTDATA("合計 / " &amp; $B75,【ピボット】事業所収支!$A$3,"年月",Z$1,"事業所",$A75),"")</f>
        <v/>
      </c>
      <c r="AA75" s="452" t="str">
        <f>IFERROR(GETPIVOTDATA("合計 / " &amp; $B75,【ピボット】事業所収支!$A$3,"年月",AA$1,"事業所",$A75),"")</f>
        <v/>
      </c>
      <c r="AB75" s="452" t="str">
        <f>IFERROR(GETPIVOTDATA("合計 / " &amp; $B75,【ピボット】事業所収支!$A$3,"年月",AB$1,"事業所",$A75),"")</f>
        <v/>
      </c>
      <c r="AC75" s="452" t="str">
        <f>IFERROR(GETPIVOTDATA("合計 / " &amp; $B75,【ピボット】事業所収支!$A$3,"年月",AC$1,"事業所",$A75),"")</f>
        <v/>
      </c>
      <c r="AD75" s="462">
        <f ca="1">SUM(OFFSET(AC75,0,当期月数):AC75)</f>
        <v>1128956</v>
      </c>
      <c r="AE75" s="463">
        <f ca="1">AVERAGE(OFFSET(AC75,0,当期月数):AC75)</f>
        <v>564478</v>
      </c>
    </row>
    <row r="76" spans="1:31" ht="26.45" customHeight="1" x14ac:dyDescent="0.15">
      <c r="A76" t="s">
        <v>745</v>
      </c>
      <c r="B76" t="s">
        <v>15</v>
      </c>
      <c r="D76" s="2136"/>
      <c r="E76" s="93" t="s">
        <v>15</v>
      </c>
      <c r="F76" s="29">
        <f>IFERROR(GETPIVOTDATA("合計 / " &amp; $B76,【ピボット】事業所収支!$A$3,"年月",F$1,"事業所",$A76),"")</f>
        <v>1592861</v>
      </c>
      <c r="G76" s="455">
        <f>IFERROR(GETPIVOTDATA("合計 / " &amp; $B76,【ピボット】事業所収支!$A$3,"年月",G$1,"事業所",$A76),"")</f>
        <v>1573040</v>
      </c>
      <c r="H76" s="455">
        <f>IFERROR(GETPIVOTDATA("合計 / " &amp; $B76,【ピボット】事業所収支!$A$3,"年月",H$1,"事業所",$A76),"")</f>
        <v>1767600</v>
      </c>
      <c r="I76" s="455">
        <f>IFERROR(GETPIVOTDATA("合計 / " &amp; $B76,【ピボット】事業所収支!$A$3,"年月",I$1,"事業所",$A76),"")</f>
        <v>1796117</v>
      </c>
      <c r="J76" s="455">
        <f>IFERROR(GETPIVOTDATA("合計 / " &amp; $B76,【ピボット】事業所収支!$A$3,"年月",J$1,"事業所",$A76),"")</f>
        <v>1716632</v>
      </c>
      <c r="K76" s="455">
        <f>IFERROR(GETPIVOTDATA("合計 / " &amp; $B76,【ピボット】事業所収支!$A$3,"年月",K$1,"事業所",$A76),"")</f>
        <v>1706006</v>
      </c>
      <c r="L76" s="455">
        <f>IFERROR(GETPIVOTDATA("合計 / " &amp; $B76,【ピボット】事業所収支!$A$3,"年月",L$1,"事業所",$A76),"")</f>
        <v>1694389</v>
      </c>
      <c r="M76" s="455">
        <f>IFERROR(GETPIVOTDATA("合計 / " &amp; $B76,【ピボット】事業所収支!$A$3,"年月",M$1,"事業所",$A76),"")</f>
        <v>1862425.9867857778</v>
      </c>
      <c r="N76" s="455">
        <f>IFERROR(GETPIVOTDATA("合計 / " &amp; $B76,【ピボット】事業所収支!$A$3,"年月",N$1,"事業所",$A76),"")</f>
        <v>2505733</v>
      </c>
      <c r="O76" s="455">
        <f>IFERROR(GETPIVOTDATA("合計 / " &amp; $B76,【ピボット】事業所収支!$A$3,"年月",O$1,"事業所",$A76),"")</f>
        <v>1313909</v>
      </c>
      <c r="P76" s="455">
        <f>IFERROR(GETPIVOTDATA("合計 / " &amp; $B76,【ピボット】事業所収支!$A$3,"年月",P$1,"事業所",$A76),"")</f>
        <v>1420588</v>
      </c>
      <c r="Q76" s="455">
        <f>IFERROR(GETPIVOTDATA("合計 / " &amp; $B76,【ピボット】事業所収支!$A$3,"年月",Q$1,"事業所",$A76),"")</f>
        <v>1231638</v>
      </c>
      <c r="R76" s="455">
        <f>IFERROR(GETPIVOTDATA("合計 / " &amp; $B76,【ピボット】事業所収支!$A$3,"年月",R$1,"事業所",$A76),"")</f>
        <v>916985</v>
      </c>
      <c r="S76" s="455">
        <f>IFERROR(GETPIVOTDATA("合計 / " &amp; $B76,【ピボット】事業所収支!$A$3,"年月",S$1,"事業所",$A76),"")</f>
        <v>955534</v>
      </c>
      <c r="T76" s="455">
        <f>IFERROR(GETPIVOTDATA("合計 / " &amp; $B76,【ピボット】事業所収支!$A$3,"年月",T$1,"事業所",$A76),"")</f>
        <v>829847</v>
      </c>
      <c r="U76" s="455">
        <f>IFERROR(GETPIVOTDATA("合計 / " &amp; $B76,【ピボット】事業所収支!$A$3,"年月",U$1,"事業所",$A76),"")</f>
        <v>827963</v>
      </c>
      <c r="V76" s="455">
        <f>IFERROR(GETPIVOTDATA("合計 / " &amp; $B76,【ピボット】事業所収支!$A$3,"年月",V$1,"事業所",$A76),"")</f>
        <v>685027</v>
      </c>
      <c r="W76" s="455" t="str">
        <f>IFERROR(GETPIVOTDATA("合計 / " &amp; $B76,【ピボット】事業所収支!$A$3,"年月",W$1,"事業所",$A76),"")</f>
        <v/>
      </c>
      <c r="X76" s="455">
        <f>IFERROR(GETPIVOTDATA("合計 / " &amp; $B76,【ピボット】事業所収支!$A$3,"年月",X$1,"事業所",$A76),"")</f>
        <v>0</v>
      </c>
      <c r="Y76" s="455" t="str">
        <f>IFERROR(GETPIVOTDATA("合計 / " &amp; $B76,【ピボット】事業所収支!$A$3,"年月",Y$1,"事業所",$A76),"")</f>
        <v/>
      </c>
      <c r="Z76" s="455" t="str">
        <f>IFERROR(GETPIVOTDATA("合計 / " &amp; $B76,【ピボット】事業所収支!$A$3,"年月",Z$1,"事業所",$A76),"")</f>
        <v/>
      </c>
      <c r="AA76" s="455" t="str">
        <f>IFERROR(GETPIVOTDATA("合計 / " &amp; $B76,【ピボット】事業所収支!$A$3,"年月",AA$1,"事業所",$A76),"")</f>
        <v/>
      </c>
      <c r="AB76" s="455" t="str">
        <f>IFERROR(GETPIVOTDATA("合計 / " &amp; $B76,【ピボット】事業所収支!$A$3,"年月",AB$1,"事業所",$A76),"")</f>
        <v/>
      </c>
      <c r="AC76" s="455" t="str">
        <f>IFERROR(GETPIVOTDATA("合計 / " &amp; $B76,【ピボット】事業所収支!$A$3,"年月",AC$1,"事業所",$A76),"")</f>
        <v/>
      </c>
      <c r="AD76" s="459">
        <f ca="1">SUM(OFFSET(AC76,0,当期月数):AC76)</f>
        <v>685027</v>
      </c>
      <c r="AE76" s="460">
        <f ca="1">AVERAGE(OFFSET(AC76,0,当期月数):AC76)</f>
        <v>342513.5</v>
      </c>
    </row>
    <row r="77" spans="1:31" ht="26.45" customHeight="1" x14ac:dyDescent="0.15">
      <c r="A77" t="s">
        <v>745</v>
      </c>
      <c r="B77" t="s">
        <v>48</v>
      </c>
      <c r="D77" s="2136"/>
      <c r="E77" s="93" t="s">
        <v>48</v>
      </c>
      <c r="F77" s="464">
        <f t="shared" ref="F77:AC77" si="36">IFERROR(F76/F75,"")</f>
        <v>0.52890433865582154</v>
      </c>
      <c r="G77" s="464">
        <f t="shared" si="36"/>
        <v>0.55924644080510955</v>
      </c>
      <c r="H77" s="464">
        <f t="shared" si="36"/>
        <v>0.54954723600373823</v>
      </c>
      <c r="I77" s="464">
        <f t="shared" si="36"/>
        <v>0.5739144744199719</v>
      </c>
      <c r="J77" s="464">
        <f t="shared" si="36"/>
        <v>0.53886295318766375</v>
      </c>
      <c r="K77" s="464">
        <f t="shared" si="36"/>
        <v>0.53393378242869538</v>
      </c>
      <c r="L77" s="464">
        <f t="shared" si="36"/>
        <v>0.54067743390985967</v>
      </c>
      <c r="M77" s="464">
        <f t="shared" si="36"/>
        <v>0.5969935928536716</v>
      </c>
      <c r="N77" s="464">
        <f t="shared" si="36"/>
        <v>1.0681934736058611</v>
      </c>
      <c r="O77" s="464">
        <f t="shared" si="36"/>
        <v>0.60558206504881174</v>
      </c>
      <c r="P77" s="464">
        <f t="shared" si="36"/>
        <v>0.62953755232526709</v>
      </c>
      <c r="Q77" s="464">
        <f t="shared" si="36"/>
        <v>0.62808262734012965</v>
      </c>
      <c r="R77" s="464">
        <f t="shared" si="36"/>
        <v>0.4688918171670392</v>
      </c>
      <c r="S77" s="464">
        <f t="shared" si="36"/>
        <v>0.50569608931688204</v>
      </c>
      <c r="T77" s="464">
        <f t="shared" si="36"/>
        <v>0.5140319427547777</v>
      </c>
      <c r="U77" s="464">
        <f t="shared" si="36"/>
        <v>0.57317398199959435</v>
      </c>
      <c r="V77" s="464">
        <f t="shared" si="36"/>
        <v>0.60677918359971517</v>
      </c>
      <c r="W77" s="464" t="str">
        <f t="shared" si="36"/>
        <v/>
      </c>
      <c r="X77" s="464" t="str">
        <f t="shared" si="36"/>
        <v/>
      </c>
      <c r="Y77" s="464" t="str">
        <f t="shared" si="36"/>
        <v/>
      </c>
      <c r="Z77" s="464" t="str">
        <f t="shared" si="36"/>
        <v/>
      </c>
      <c r="AA77" s="464" t="str">
        <f t="shared" si="36"/>
        <v/>
      </c>
      <c r="AB77" s="464" t="str">
        <f t="shared" si="36"/>
        <v/>
      </c>
      <c r="AC77" s="464" t="str">
        <f t="shared" si="36"/>
        <v/>
      </c>
      <c r="AD77" s="465">
        <f ca="1">AD76/AD75</f>
        <v>0.60677918359971517</v>
      </c>
      <c r="AE77" s="466">
        <f ca="1">AE76/AE75</f>
        <v>0.60677918359971517</v>
      </c>
    </row>
    <row r="78" spans="1:31" ht="26.45" customHeight="1" x14ac:dyDescent="0.15">
      <c r="A78" t="s">
        <v>745</v>
      </c>
      <c r="B78" t="s">
        <v>1230</v>
      </c>
      <c r="D78" s="2136"/>
      <c r="E78" s="93" t="s">
        <v>43</v>
      </c>
      <c r="F78" s="29">
        <f>IFERROR(GETPIVOTDATA("合計 / " &amp; $B78,【ピボット】事業所収支!$A$3,"年月",F$1,"事業所",$A78),"")</f>
        <v>1119742</v>
      </c>
      <c r="G78" s="455">
        <f>IFERROR(GETPIVOTDATA("合計 / " &amp; $B78,【ピボット】事業所収支!$A$3,"年月",G$1,"事業所",$A78),"")</f>
        <v>842340</v>
      </c>
      <c r="H78" s="455">
        <f>IFERROR(GETPIVOTDATA("合計 / " &amp; $B78,【ピボット】事業所収支!$A$3,"年月",H$1,"事業所",$A78),"")</f>
        <v>840179</v>
      </c>
      <c r="I78" s="455">
        <f>IFERROR(GETPIVOTDATA("合計 / " &amp; $B78,【ピボット】事業所収支!$A$3,"年月",I$1,"事業所",$A78),"")</f>
        <v>988684</v>
      </c>
      <c r="J78" s="455">
        <f>IFERROR(GETPIVOTDATA("合計 / " &amp; $B78,【ピボット】事業所収支!$A$3,"年月",J$1,"事業所",$A78),"")</f>
        <v>979802</v>
      </c>
      <c r="K78" s="455">
        <f>IFERROR(GETPIVOTDATA("合計 / " &amp; $B78,【ピボット】事業所収支!$A$3,"年月",K$1,"事業所",$A78),"")</f>
        <v>980412</v>
      </c>
      <c r="L78" s="455">
        <f>IFERROR(GETPIVOTDATA("合計 / " &amp; $B78,【ピボット】事業所収支!$A$3,"年月",L$1,"事業所",$A78),"")</f>
        <v>882358</v>
      </c>
      <c r="M78" s="455">
        <f>IFERROR(GETPIVOTDATA("合計 / " &amp; $B78,【ピボット】事業所収支!$A$3,"年月",M$1,"事業所",$A78),"")</f>
        <v>1022330</v>
      </c>
      <c r="N78" s="455">
        <f>IFERROR(GETPIVOTDATA("合計 / " &amp; $B78,【ピボット】事業所収支!$A$3,"年月",N$1,"事業所",$A78),"")</f>
        <v>1003296</v>
      </c>
      <c r="O78" s="455">
        <f>IFERROR(GETPIVOTDATA("合計 / " &amp; $B78,【ピボット】事業所収支!$A$3,"年月",O$1,"事業所",$A78),"")</f>
        <v>1081985</v>
      </c>
      <c r="P78" s="455">
        <f>IFERROR(GETPIVOTDATA("合計 / " &amp; $B78,【ピボット】事業所収支!$A$3,"年月",P$1,"事業所",$A78),"")</f>
        <v>799757</v>
      </c>
      <c r="Q78" s="455">
        <f>IFERROR(GETPIVOTDATA("合計 / " &amp; $B78,【ピボット】事業所収支!$A$3,"年月",Q$1,"事業所",$A78),"")</f>
        <v>870969</v>
      </c>
      <c r="R78" s="455">
        <f>IFERROR(GETPIVOTDATA("合計 / " &amp; $B78,【ピボット】事業所収支!$A$3,"年月",R$1,"事業所",$A78),"")</f>
        <v>675648</v>
      </c>
      <c r="S78" s="455">
        <f>IFERROR(GETPIVOTDATA("合計 / " &amp; $B78,【ピボット】事業所収支!$A$3,"年月",S$1,"事業所",$A78),"")</f>
        <v>709959</v>
      </c>
      <c r="T78" s="455">
        <f>IFERROR(GETPIVOTDATA("合計 / " &amp; $B78,【ピボット】事業所収支!$A$3,"年月",T$1,"事業所",$A78),"")</f>
        <v>698763</v>
      </c>
      <c r="U78" s="455">
        <f>IFERROR(GETPIVOTDATA("合計 / " &amp; $B78,【ピボット】事業所収支!$A$3,"年月",U$1,"事業所",$A78),"")</f>
        <v>539944</v>
      </c>
      <c r="V78" s="455">
        <f>IFERROR(GETPIVOTDATA("合計 / " &amp; $B78,【ピボット】事業所収支!$A$3,"年月",V$1,"事業所",$A78),"")</f>
        <v>540758</v>
      </c>
      <c r="W78" s="455" t="str">
        <f>IFERROR(GETPIVOTDATA("合計 / " &amp; $B78,【ピボット】事業所収支!$A$3,"年月",W$1,"事業所",$A78),"")</f>
        <v/>
      </c>
      <c r="X78" s="455">
        <f>IFERROR(GETPIVOTDATA("合計 / " &amp; $B78,【ピボット】事業所収支!$A$3,"年月",X$1,"事業所",$A78),"")</f>
        <v>0</v>
      </c>
      <c r="Y78" s="455" t="str">
        <f>IFERROR(GETPIVOTDATA("合計 / " &amp; $B78,【ピボット】事業所収支!$A$3,"年月",Y$1,"事業所",$A78),"")</f>
        <v/>
      </c>
      <c r="Z78" s="455" t="str">
        <f>IFERROR(GETPIVOTDATA("合計 / " &amp; $B78,【ピボット】事業所収支!$A$3,"年月",Z$1,"事業所",$A78),"")</f>
        <v/>
      </c>
      <c r="AA78" s="455" t="str">
        <f>IFERROR(GETPIVOTDATA("合計 / " &amp; $B78,【ピボット】事業所収支!$A$3,"年月",AA$1,"事業所",$A78),"")</f>
        <v/>
      </c>
      <c r="AB78" s="455" t="str">
        <f>IFERROR(GETPIVOTDATA("合計 / " &amp; $B78,【ピボット】事業所収支!$A$3,"年月",AB$1,"事業所",$A78),"")</f>
        <v/>
      </c>
      <c r="AC78" s="455" t="str">
        <f>IFERROR(GETPIVOTDATA("合計 / " &amp; $B78,【ピボット】事業所収支!$A$3,"年月",AC$1,"事業所",$A78),"")</f>
        <v/>
      </c>
      <c r="AD78" s="459">
        <f ca="1">SUM(OFFSET(AC78,0,当期月数):AC78)</f>
        <v>540758</v>
      </c>
      <c r="AE78" s="460">
        <f ca="1">AVERAGE(OFFSET(AC78,0,当期月数):AC78)</f>
        <v>270379</v>
      </c>
    </row>
    <row r="79" spans="1:31" ht="26.45" customHeight="1" x14ac:dyDescent="0.15">
      <c r="A79" t="s">
        <v>745</v>
      </c>
      <c r="D79" s="2136"/>
      <c r="E79" s="117" t="s">
        <v>32</v>
      </c>
      <c r="F79" s="118">
        <f t="shared" ref="F79:AB79" si="37">IFERROR(F75-(F76+F78),"")</f>
        <v>299021</v>
      </c>
      <c r="G79" s="467">
        <f t="shared" si="37"/>
        <v>397405</v>
      </c>
      <c r="H79" s="467">
        <f t="shared" si="37"/>
        <v>608687</v>
      </c>
      <c r="I79" s="467">
        <f t="shared" si="37"/>
        <v>344789</v>
      </c>
      <c r="J79" s="467">
        <f t="shared" si="37"/>
        <v>489222</v>
      </c>
      <c r="K79" s="467">
        <f t="shared" si="37"/>
        <v>508746</v>
      </c>
      <c r="L79" s="467">
        <f t="shared" si="37"/>
        <v>557079</v>
      </c>
      <c r="M79" s="467">
        <f t="shared" si="37"/>
        <v>234919.01321422216</v>
      </c>
      <c r="N79" s="467">
        <f t="shared" si="37"/>
        <v>-1163262</v>
      </c>
      <c r="O79" s="467">
        <f t="shared" si="37"/>
        <v>-226231</v>
      </c>
      <c r="P79" s="467">
        <f t="shared" si="37"/>
        <v>36213</v>
      </c>
      <c r="Q79" s="467">
        <f t="shared" si="37"/>
        <v>-141658</v>
      </c>
      <c r="R79" s="467">
        <f t="shared" si="37"/>
        <v>363010</v>
      </c>
      <c r="S79" s="467">
        <f t="shared" si="37"/>
        <v>224049</v>
      </c>
      <c r="T79" s="467">
        <f t="shared" si="37"/>
        <v>85778</v>
      </c>
      <c r="U79" s="467">
        <f t="shared" si="37"/>
        <v>76616</v>
      </c>
      <c r="V79" s="467">
        <f t="shared" si="37"/>
        <v>-96829</v>
      </c>
      <c r="W79" s="467" t="str">
        <f t="shared" si="37"/>
        <v/>
      </c>
      <c r="X79" s="467">
        <f t="shared" si="37"/>
        <v>0</v>
      </c>
      <c r="Y79" s="467" t="str">
        <f t="shared" si="37"/>
        <v/>
      </c>
      <c r="Z79" s="467" t="str">
        <f t="shared" si="37"/>
        <v/>
      </c>
      <c r="AA79" s="467" t="str">
        <f t="shared" si="37"/>
        <v/>
      </c>
      <c r="AB79" s="467" t="str">
        <f t="shared" si="37"/>
        <v/>
      </c>
      <c r="AC79" s="467" t="str">
        <f>IFERROR(AC75-(AC76+AC78),"")</f>
        <v/>
      </c>
      <c r="AD79" s="468">
        <f ca="1">SUM(OFFSET(AC79,0,当期月数):AC79)</f>
        <v>-96829</v>
      </c>
      <c r="AE79" s="469">
        <f ca="1">AVERAGE(OFFSET(AC79,0,当期月数):AC79)</f>
        <v>-48414.5</v>
      </c>
    </row>
    <row r="80" spans="1:31" ht="26.45" customHeight="1" thickBot="1" x14ac:dyDescent="0.2">
      <c r="D80" s="2137"/>
      <c r="E80" s="119" t="s">
        <v>177</v>
      </c>
      <c r="F80" s="120">
        <f t="shared" ref="F80:AC80" si="38">IFERROR(F79/F75,"")</f>
        <v>9.9288955062119308E-2</v>
      </c>
      <c r="G80" s="470">
        <f t="shared" si="38"/>
        <v>0.14128523865137221</v>
      </c>
      <c r="H80" s="470">
        <f t="shared" si="38"/>
        <v>0.18924092466701031</v>
      </c>
      <c r="I80" s="470">
        <f t="shared" si="38"/>
        <v>0.11017066133263463</v>
      </c>
      <c r="J80" s="470">
        <f t="shared" si="38"/>
        <v>0.15357025366204011</v>
      </c>
      <c r="K80" s="470">
        <f t="shared" si="38"/>
        <v>0.15922375189505139</v>
      </c>
      <c r="L80" s="470">
        <f t="shared" si="38"/>
        <v>0.17776321978310219</v>
      </c>
      <c r="M80" s="470">
        <f t="shared" si="38"/>
        <v>7.5302399517328616E-2</v>
      </c>
      <c r="N80" s="470">
        <f t="shared" si="38"/>
        <v>-0.49589835648638592</v>
      </c>
      <c r="O80" s="470">
        <f t="shared" si="38"/>
        <v>-0.10427011015074691</v>
      </c>
      <c r="P80" s="470">
        <f t="shared" si="38"/>
        <v>1.6047892409590182E-2</v>
      </c>
      <c r="Q80" s="470">
        <f t="shared" si="38"/>
        <v>-7.2239512603336442E-2</v>
      </c>
      <c r="R80" s="470">
        <f t="shared" si="38"/>
        <v>0.18562181338823089</v>
      </c>
      <c r="S80" s="470">
        <f t="shared" si="38"/>
        <v>0.11857317805055405</v>
      </c>
      <c r="T80" s="470">
        <f t="shared" si="38"/>
        <v>5.3133447473593706E-2</v>
      </c>
      <c r="U80" s="470">
        <f t="shared" si="38"/>
        <v>5.30389616503164E-2</v>
      </c>
      <c r="V80" s="470">
        <f t="shared" si="38"/>
        <v>-8.5768621629186609E-2</v>
      </c>
      <c r="W80" s="470" t="str">
        <f t="shared" si="38"/>
        <v/>
      </c>
      <c r="X80" s="470" t="str">
        <f t="shared" si="38"/>
        <v/>
      </c>
      <c r="Y80" s="470" t="str">
        <f t="shared" si="38"/>
        <v/>
      </c>
      <c r="Z80" s="470" t="str">
        <f t="shared" si="38"/>
        <v/>
      </c>
      <c r="AA80" s="470" t="str">
        <f t="shared" si="38"/>
        <v/>
      </c>
      <c r="AB80" s="470" t="str">
        <f t="shared" si="38"/>
        <v/>
      </c>
      <c r="AC80" s="470" t="str">
        <f t="shared" si="38"/>
        <v/>
      </c>
      <c r="AD80" s="471">
        <f ca="1">AD79/AD75</f>
        <v>-8.5768621629186609E-2</v>
      </c>
      <c r="AE80" s="472">
        <f ca="1">AE79/AE75</f>
        <v>-8.5768621629186609E-2</v>
      </c>
    </row>
    <row r="81" spans="1:33" ht="26.45" customHeight="1" x14ac:dyDescent="0.15">
      <c r="B81" t="s">
        <v>26</v>
      </c>
      <c r="D81" s="2138" t="s">
        <v>95</v>
      </c>
      <c r="E81" s="91" t="s">
        <v>26</v>
      </c>
      <c r="F81" s="452">
        <f t="shared" ref="F81:AB81" si="39">IF(SUM(F2,F3,F33,F9,F15,F21,F27,F39,F45,F51,F57,F63,F69,F75)=0,"",SUM(F2,F3,F33,F9,F15,F21,F27,F39,F45,F51,F57,F63,F69,F75))</f>
        <v>32703033</v>
      </c>
      <c r="G81" s="452">
        <f t="shared" si="39"/>
        <v>36915821</v>
      </c>
      <c r="H81" s="452">
        <f t="shared" si="39"/>
        <v>36080296</v>
      </c>
      <c r="I81" s="452">
        <f t="shared" si="39"/>
        <v>34899186</v>
      </c>
      <c r="J81" s="452">
        <f t="shared" si="39"/>
        <v>35916200</v>
      </c>
      <c r="K81" s="452">
        <f t="shared" si="39"/>
        <v>37696511</v>
      </c>
      <c r="L81" s="452">
        <f t="shared" si="39"/>
        <v>35721077</v>
      </c>
      <c r="M81" s="452">
        <f t="shared" si="39"/>
        <v>35713004</v>
      </c>
      <c r="N81" s="452">
        <f t="shared" si="39"/>
        <v>34507019</v>
      </c>
      <c r="O81" s="452">
        <f t="shared" si="39"/>
        <v>33718137</v>
      </c>
      <c r="P81" s="452">
        <f t="shared" si="39"/>
        <v>35034097</v>
      </c>
      <c r="Q81" s="452">
        <f t="shared" si="39"/>
        <v>39122247</v>
      </c>
      <c r="R81" s="452">
        <f t="shared" si="39"/>
        <v>39669030</v>
      </c>
      <c r="S81" s="452">
        <f t="shared" si="39"/>
        <v>36072718</v>
      </c>
      <c r="T81" s="452">
        <f t="shared" si="39"/>
        <v>38549836</v>
      </c>
      <c r="U81" s="452">
        <f t="shared" si="39"/>
        <v>36710781</v>
      </c>
      <c r="V81" s="452">
        <f t="shared" si="39"/>
        <v>37521491</v>
      </c>
      <c r="W81" s="452">
        <f t="shared" si="39"/>
        <v>41221792</v>
      </c>
      <c r="X81" s="452">
        <f t="shared" si="39"/>
        <v>42264853</v>
      </c>
      <c r="Y81" s="452">
        <f t="shared" si="39"/>
        <v>40284538</v>
      </c>
      <c r="Z81" s="452">
        <f t="shared" si="39"/>
        <v>39982277</v>
      </c>
      <c r="AA81" s="452">
        <f t="shared" si="39"/>
        <v>38690450</v>
      </c>
      <c r="AB81" s="452">
        <f t="shared" si="39"/>
        <v>40045253</v>
      </c>
      <c r="AC81" s="452">
        <f>IF(SUM(AC2,AC3,AC33,AC9,AC15,AC21,AC27,AC39,AC45,AC51,AC57,AC63,AC69,AC75)=0,"",SUM(AC2,AC3,AC33,AC9,AC15,AC21,AC27,AC39,AC45,AC51,AC57,AC63,AC69,AC75))</f>
        <v>41864718</v>
      </c>
      <c r="AD81" s="462">
        <f ca="1">SUM(OFFSET(AC81,0,当期月数):AC81)</f>
        <v>321875372</v>
      </c>
      <c r="AE81" s="463">
        <f ca="1">AVERAGE(OFFSET(AC81,0,当期月数):AC81)</f>
        <v>40234421.5</v>
      </c>
    </row>
    <row r="82" spans="1:33" ht="26.45" customHeight="1" x14ac:dyDescent="0.15">
      <c r="B82" t="s">
        <v>15</v>
      </c>
      <c r="D82" s="2139"/>
      <c r="E82" s="93" t="s">
        <v>15</v>
      </c>
      <c r="F82" s="455">
        <f t="shared" ref="F82:AB82" si="40">IF(SUM(F4,F34,F10,F16,F22,F28,F40,F46,F52,F58,F64,F70,F76)=0,"",SUM(F4,F34,F10,F16,F22,F28,F40,F46,F52,F58,F64,F70,F76))</f>
        <v>17981030</v>
      </c>
      <c r="G82" s="455">
        <f t="shared" si="40"/>
        <v>23012179</v>
      </c>
      <c r="H82" s="455">
        <f t="shared" si="40"/>
        <v>20599919</v>
      </c>
      <c r="I82" s="455">
        <f t="shared" si="40"/>
        <v>20307698</v>
      </c>
      <c r="J82" s="455">
        <f t="shared" si="40"/>
        <v>19241496</v>
      </c>
      <c r="K82" s="455">
        <f t="shared" si="40"/>
        <v>20326589</v>
      </c>
      <c r="L82" s="455">
        <f t="shared" si="40"/>
        <v>19807055</v>
      </c>
      <c r="M82" s="455">
        <f t="shared" si="40"/>
        <v>30075039.242243558</v>
      </c>
      <c r="N82" s="455">
        <f t="shared" si="40"/>
        <v>23526054</v>
      </c>
      <c r="O82" s="455">
        <f t="shared" si="40"/>
        <v>19610218</v>
      </c>
      <c r="P82" s="455">
        <f t="shared" si="40"/>
        <v>20525302</v>
      </c>
      <c r="Q82" s="455">
        <f t="shared" si="40"/>
        <v>20456997</v>
      </c>
      <c r="R82" s="455">
        <f t="shared" si="40"/>
        <v>20145576</v>
      </c>
      <c r="S82" s="455">
        <f t="shared" si="40"/>
        <v>26714344</v>
      </c>
      <c r="T82" s="455">
        <f t="shared" si="40"/>
        <v>22913985</v>
      </c>
      <c r="U82" s="455">
        <f t="shared" si="40"/>
        <v>22463199</v>
      </c>
      <c r="V82" s="455">
        <f t="shared" si="40"/>
        <v>21302326</v>
      </c>
      <c r="W82" s="455">
        <f t="shared" si="40"/>
        <v>22175307</v>
      </c>
      <c r="X82" s="455">
        <f t="shared" si="40"/>
        <v>22539619</v>
      </c>
      <c r="Y82" s="455">
        <f t="shared" si="40"/>
        <v>34723717</v>
      </c>
      <c r="Z82" s="455">
        <f t="shared" si="40"/>
        <v>23065496</v>
      </c>
      <c r="AA82" s="455">
        <f t="shared" si="40"/>
        <v>21497557</v>
      </c>
      <c r="AB82" s="455">
        <f t="shared" si="40"/>
        <v>22331929</v>
      </c>
      <c r="AC82" s="455">
        <f>IF(SUM(AC4,AC34,AC10,AC16,AC22,AC28,AC40,AC46,AC52,AC58,AC64,AC70,AC76)=0,"",SUM(AC4,AC34,AC10,AC16,AC22,AC28,AC40,AC46,AC52,AC58,AC64,AC70,AC76))</f>
        <v>22301173</v>
      </c>
      <c r="AD82" s="459">
        <f ca="1">SUM(OFFSET(AC82,0,当期月数):AC82)</f>
        <v>189937124</v>
      </c>
      <c r="AE82" s="460">
        <f ca="1">AVERAGE(OFFSET(AC82,0,当期月数):AC82)</f>
        <v>23742140.5</v>
      </c>
    </row>
    <row r="83" spans="1:33" ht="26.45" customHeight="1" x14ac:dyDescent="0.15">
      <c r="B83" t="s">
        <v>48</v>
      </c>
      <c r="D83" s="2139"/>
      <c r="E83" s="93" t="s">
        <v>48</v>
      </c>
      <c r="F83" s="464">
        <f t="shared" ref="F83:AB83" si="41">IFERROR(F82/F81,"")</f>
        <v>0.54982759550161597</v>
      </c>
      <c r="G83" s="464">
        <f t="shared" si="41"/>
        <v>0.62336901568571368</v>
      </c>
      <c r="H83" s="464">
        <f t="shared" si="41"/>
        <v>0.57094650775592304</v>
      </c>
      <c r="I83" s="464">
        <f t="shared" si="41"/>
        <v>0.58189603619981278</v>
      </c>
      <c r="J83" s="464">
        <f t="shared" si="41"/>
        <v>0.53573306752941574</v>
      </c>
      <c r="K83" s="464">
        <f t="shared" si="41"/>
        <v>0.53921671955263972</v>
      </c>
      <c r="L83" s="464">
        <f t="shared" si="41"/>
        <v>0.5544921000002323</v>
      </c>
      <c r="M83" s="464">
        <f t="shared" si="41"/>
        <v>0.84213132119167455</v>
      </c>
      <c r="N83" s="464">
        <f t="shared" si="41"/>
        <v>0.68177590188245474</v>
      </c>
      <c r="O83" s="464">
        <f t="shared" si="41"/>
        <v>0.58159257138079723</v>
      </c>
      <c r="P83" s="464">
        <f t="shared" si="41"/>
        <v>0.58586644890547623</v>
      </c>
      <c r="Q83" s="464">
        <f t="shared" si="41"/>
        <v>0.5228993365335074</v>
      </c>
      <c r="R83" s="464">
        <f t="shared" si="41"/>
        <v>0.50784140675988299</v>
      </c>
      <c r="S83" s="464">
        <f t="shared" si="41"/>
        <v>0.74056920246486557</v>
      </c>
      <c r="T83" s="464">
        <f t="shared" si="41"/>
        <v>0.5943990267559115</v>
      </c>
      <c r="U83" s="464">
        <f t="shared" si="41"/>
        <v>0.6118965161759975</v>
      </c>
      <c r="V83" s="464">
        <f t="shared" si="41"/>
        <v>0.56773666057140426</v>
      </c>
      <c r="W83" s="464">
        <f t="shared" si="41"/>
        <v>0.53795106724132713</v>
      </c>
      <c r="X83" s="464">
        <f t="shared" si="41"/>
        <v>0.53329462662510618</v>
      </c>
      <c r="Y83" s="464">
        <f t="shared" si="41"/>
        <v>0.86196140563905688</v>
      </c>
      <c r="Z83" s="464">
        <f t="shared" si="41"/>
        <v>0.57689300686901845</v>
      </c>
      <c r="AA83" s="464">
        <f t="shared" si="41"/>
        <v>0.55562954165692047</v>
      </c>
      <c r="AB83" s="464">
        <f t="shared" si="41"/>
        <v>0.55766732201691915</v>
      </c>
      <c r="AC83" s="464">
        <f>IFERROR(AC82/AC81,"")</f>
        <v>0.53269612373837083</v>
      </c>
      <c r="AD83" s="465">
        <f ca="1">AD82/AD81</f>
        <v>0.59009523723362101</v>
      </c>
      <c r="AE83" s="466">
        <f ca="1">AE82/AE81</f>
        <v>0.59009523723362101</v>
      </c>
    </row>
    <row r="84" spans="1:33" ht="26.45" customHeight="1" x14ac:dyDescent="0.15">
      <c r="B84" t="s">
        <v>1234</v>
      </c>
      <c r="D84" s="2139"/>
      <c r="E84" s="97" t="s">
        <v>97</v>
      </c>
      <c r="F84" s="455">
        <f t="shared" ref="F84:AB84" si="42">IF(SUM(F6,F36,F12,F18,F24,F30,F42,F48,F54,F60,F66,F72,F78)=0,"",SUM(F6,F36,F12,F18,F24,F30,F42,F48,F54,F60,F66,F72,F78))</f>
        <v>6977683</v>
      </c>
      <c r="G84" s="455">
        <f t="shared" si="42"/>
        <v>6149560</v>
      </c>
      <c r="H84" s="455">
        <f t="shared" si="42"/>
        <v>5323667</v>
      </c>
      <c r="I84" s="455">
        <f t="shared" si="42"/>
        <v>6259832</v>
      </c>
      <c r="J84" s="455">
        <f t="shared" si="42"/>
        <v>5639161</v>
      </c>
      <c r="K84" s="455">
        <f t="shared" si="42"/>
        <v>5742849</v>
      </c>
      <c r="L84" s="455">
        <f t="shared" si="42"/>
        <v>5981376</v>
      </c>
      <c r="M84" s="455">
        <f t="shared" si="42"/>
        <v>6703511</v>
      </c>
      <c r="N84" s="455">
        <f t="shared" si="42"/>
        <v>6324864</v>
      </c>
      <c r="O84" s="455">
        <f t="shared" si="42"/>
        <v>6277723</v>
      </c>
      <c r="P84" s="455">
        <f t="shared" si="42"/>
        <v>7378469</v>
      </c>
      <c r="Q84" s="455">
        <f t="shared" si="42"/>
        <v>6839258</v>
      </c>
      <c r="R84" s="455">
        <f t="shared" si="42"/>
        <v>7438670</v>
      </c>
      <c r="S84" s="455">
        <f t="shared" si="42"/>
        <v>7027776</v>
      </c>
      <c r="T84" s="455">
        <f t="shared" si="42"/>
        <v>7910105</v>
      </c>
      <c r="U84" s="455">
        <f t="shared" si="42"/>
        <v>8076653</v>
      </c>
      <c r="V84" s="455">
        <f t="shared" si="42"/>
        <v>6920573</v>
      </c>
      <c r="W84" s="455">
        <f t="shared" si="42"/>
        <v>8868611</v>
      </c>
      <c r="X84" s="455">
        <f t="shared" si="42"/>
        <v>6862800</v>
      </c>
      <c r="Y84" s="455">
        <f t="shared" si="42"/>
        <v>6637736</v>
      </c>
      <c r="Z84" s="455">
        <f t="shared" si="42"/>
        <v>7414547</v>
      </c>
      <c r="AA84" s="455">
        <f t="shared" si="42"/>
        <v>6444573</v>
      </c>
      <c r="AB84" s="455">
        <f t="shared" si="42"/>
        <v>6363039</v>
      </c>
      <c r="AC84" s="455">
        <f>IF(SUM(AC6,AC36,AC12,AC18,AC24,AC30,AC42,AC48,AC54,AC60,AC66,AC72,AC78)=0,"",SUM(AC6,AC36,AC12,AC18,AC24,AC30,AC42,AC48,AC54,AC60,AC66,AC72,AC78))</f>
        <v>6203369</v>
      </c>
      <c r="AD84" s="459">
        <f ca="1">SUM(OFFSET(AC84,0,当期月数):AC84)</f>
        <v>55715248</v>
      </c>
      <c r="AE84" s="460">
        <f ca="1">AVERAGE(OFFSET(AC84,0,当期月数):AC84)</f>
        <v>6964406</v>
      </c>
    </row>
    <row r="85" spans="1:33" ht="26.45" customHeight="1" x14ac:dyDescent="0.15">
      <c r="B85" t="s">
        <v>508</v>
      </c>
      <c r="D85" s="2139"/>
      <c r="E85" s="449" t="s">
        <v>508</v>
      </c>
      <c r="F85" s="473">
        <f>IFERROR(GETPIVOTDATA("合計 / " &amp; $B85,【ピボット】事業所収支!$A$3,"年月",F$1),"")</f>
        <v>0</v>
      </c>
      <c r="G85" s="473">
        <f>IFERROR(GETPIVOTDATA("合計 / " &amp; $B85,【ピボット】事業所収支!$A$3,"年月",G$1),"")</f>
        <v>0</v>
      </c>
      <c r="H85" s="473">
        <f>IFERROR(GETPIVOTDATA("合計 / " &amp; $B85,【ピボット】事業所収支!$A$3,"年月",H$1),"")</f>
        <v>0</v>
      </c>
      <c r="I85" s="473">
        <f>IFERROR(GETPIVOTDATA("合計 / " &amp; $B85,【ピボット】事業所収支!$A$3,"年月",I$1),"")</f>
        <v>731894</v>
      </c>
      <c r="J85" s="473">
        <f>IFERROR(GETPIVOTDATA("合計 / " &amp; $B85,【ピボット】事業所収支!$A$3,"年月",J$1),"")</f>
        <v>163183</v>
      </c>
      <c r="K85" s="473">
        <f>IFERROR(GETPIVOTDATA("合計 / " &amp; $B85,【ピボット】事業所収支!$A$3,"年月",K$1),"")</f>
        <v>0</v>
      </c>
      <c r="L85" s="473">
        <f>IFERROR(GETPIVOTDATA("合計 / " &amp; $B85,【ピボット】事業所収支!$A$3,"年月",L$1),"")</f>
        <v>0</v>
      </c>
      <c r="M85" s="473">
        <f>IFERROR(GETPIVOTDATA("合計 / " &amp; $B85,【ピボット】事業所収支!$A$3,"年月",M$1),"")</f>
        <v>0</v>
      </c>
      <c r="N85" s="473">
        <f>IFERROR(GETPIVOTDATA("合計 / " &amp; $B85,【ピボット】事業所収支!$A$3,"年月",N$1),"")</f>
        <v>0</v>
      </c>
      <c r="O85" s="473">
        <f>IFERROR(GETPIVOTDATA("合計 / " &amp; $B85,【ピボット】事業所収支!$A$3,"年月",O$1),"")</f>
        <v>0</v>
      </c>
      <c r="P85" s="473">
        <f>IFERROR(GETPIVOTDATA("合計 / " &amp; $B85,【ピボット】事業所収支!$A$3,"年月",P$1),"")</f>
        <v>0</v>
      </c>
      <c r="Q85" s="473">
        <f>IFERROR(GETPIVOTDATA("合計 / " &amp; $B85,【ピボット】事業所収支!$A$3,"年月",Q$1),"")</f>
        <v>0</v>
      </c>
      <c r="R85" s="473">
        <f>IFERROR(GETPIVOTDATA("合計 / " &amp; $B85,【ピボット】事業所収支!$A$3,"年月",R$1),"")</f>
        <v>0</v>
      </c>
      <c r="S85" s="473">
        <f>IFERROR(GETPIVOTDATA("合計 / " &amp; $B85,【ピボット】事業所収支!$A$3,"年月",S$1),"")</f>
        <v>0</v>
      </c>
      <c r="T85" s="473">
        <f>IFERROR(GETPIVOTDATA("合計 / " &amp; $B85,【ピボット】事業所収支!$A$3,"年月",T$1),"")</f>
        <v>0</v>
      </c>
      <c r="U85" s="473">
        <f>IFERROR(GETPIVOTDATA("合計 / " &amp; $B85,【ピボット】事業所収支!$A$3,"年月",U$1),"")</f>
        <v>732150</v>
      </c>
      <c r="V85" s="473">
        <f>IFERROR(GETPIVOTDATA("合計 / " &amp; $B85,【ピボット】事業所収支!$A$3,"年月",V$1),"")</f>
        <v>0</v>
      </c>
      <c r="W85" s="473">
        <f>IFERROR(GETPIVOTDATA("合計 / " &amp; $B85,【ピボット】事業所収支!$A$3,"年月",W$1),"")</f>
        <v>0</v>
      </c>
      <c r="X85" s="473">
        <f>IFERROR(GETPIVOTDATA("合計 / " &amp; $B85,【ピボット】事業所収支!$A$3,"年月",X$1),"")</f>
        <v>4167</v>
      </c>
      <c r="Y85" s="473">
        <f>IFERROR(GETPIVOTDATA("合計 / " &amp; $B85,【ピボット】事業所収支!$A$3,"年月",Y$1),"")</f>
        <v>2198</v>
      </c>
      <c r="Z85" s="473">
        <f>IFERROR(GETPIVOTDATA("合計 / " &amp; $B85,【ピボット】事業所収支!$A$3,"年月",Z$1),"")</f>
        <v>0</v>
      </c>
      <c r="AA85" s="473">
        <f>IFERROR(GETPIVOTDATA("合計 / " &amp; $B85,【ピボット】事業所収支!$A$3,"年月",AA$1),"")</f>
        <v>-80616</v>
      </c>
      <c r="AB85" s="473">
        <f>IFERROR(GETPIVOTDATA("合計 / " &amp; $B85,【ピボット】事業所収支!$A$3,"年月",AB$1),"")</f>
        <v>0</v>
      </c>
      <c r="AC85" s="473">
        <f>IFERROR(GETPIVOTDATA("合計 / " &amp; $B85,【ピボット】事業所収支!$A$3,"年月",AC$1),"")</f>
        <v>0</v>
      </c>
      <c r="AD85" s="459">
        <f ca="1">SUM(OFFSET(AC85,0,当期月数):AC85)</f>
        <v>-74251</v>
      </c>
      <c r="AE85" s="460">
        <f ca="1">AVERAGE(OFFSET(AC85,0,当期月数):AC85)</f>
        <v>-9281.375</v>
      </c>
    </row>
    <row r="86" spans="1:33" ht="26.45" customHeight="1" x14ac:dyDescent="0.15">
      <c r="D86" s="2139"/>
      <c r="E86" s="117" t="s">
        <v>32</v>
      </c>
      <c r="F86" s="467">
        <f t="shared" ref="F86:AB86" si="43">IFERROR(F81-SUM(F82,F84)+F85,"")</f>
        <v>7744320</v>
      </c>
      <c r="G86" s="467">
        <f t="shared" si="43"/>
        <v>7754082</v>
      </c>
      <c r="H86" s="467">
        <f t="shared" si="43"/>
        <v>10156710</v>
      </c>
      <c r="I86" s="467">
        <f t="shared" si="43"/>
        <v>9063550</v>
      </c>
      <c r="J86" s="467">
        <f t="shared" si="43"/>
        <v>11198726</v>
      </c>
      <c r="K86" s="467">
        <f t="shared" si="43"/>
        <v>11627073</v>
      </c>
      <c r="L86" s="467">
        <f t="shared" si="43"/>
        <v>9932646</v>
      </c>
      <c r="M86" s="467">
        <f t="shared" si="43"/>
        <v>-1065546.2422435582</v>
      </c>
      <c r="N86" s="467">
        <f t="shared" si="43"/>
        <v>4656101</v>
      </c>
      <c r="O86" s="467">
        <f t="shared" si="43"/>
        <v>7830196</v>
      </c>
      <c r="P86" s="467">
        <f t="shared" si="43"/>
        <v>7130326</v>
      </c>
      <c r="Q86" s="467">
        <f t="shared" si="43"/>
        <v>11825992</v>
      </c>
      <c r="R86" s="467">
        <f t="shared" si="43"/>
        <v>12084784</v>
      </c>
      <c r="S86" s="467">
        <f t="shared" si="43"/>
        <v>2330598</v>
      </c>
      <c r="T86" s="467">
        <f t="shared" si="43"/>
        <v>7725746</v>
      </c>
      <c r="U86" s="467">
        <f t="shared" si="43"/>
        <v>6903079</v>
      </c>
      <c r="V86" s="467">
        <f t="shared" si="43"/>
        <v>9298592</v>
      </c>
      <c r="W86" s="467">
        <f t="shared" si="43"/>
        <v>10177874</v>
      </c>
      <c r="X86" s="467">
        <f t="shared" si="43"/>
        <v>12866601</v>
      </c>
      <c r="Y86" s="467">
        <f t="shared" si="43"/>
        <v>-1074717</v>
      </c>
      <c r="Z86" s="467">
        <f t="shared" si="43"/>
        <v>9502234</v>
      </c>
      <c r="AA86" s="467">
        <f t="shared" si="43"/>
        <v>10667704</v>
      </c>
      <c r="AB86" s="467">
        <f t="shared" si="43"/>
        <v>11350285</v>
      </c>
      <c r="AC86" s="467">
        <f>IFERROR(AC81-SUM(AC82,AC84)+AC85,"")</f>
        <v>13360176</v>
      </c>
      <c r="AD86" s="468">
        <f ca="1">SUM(OFFSET(AC86,0,当期月数):AC86)</f>
        <v>76148749</v>
      </c>
      <c r="AE86" s="469">
        <f ca="1">AVERAGE(OFFSET(AC86,0,当期月数):AC86)</f>
        <v>9518593.625</v>
      </c>
    </row>
    <row r="87" spans="1:33" ht="26.45" customHeight="1" thickBot="1" x14ac:dyDescent="0.2">
      <c r="D87" s="2140"/>
      <c r="E87" s="119" t="s">
        <v>177</v>
      </c>
      <c r="F87" s="470">
        <f t="shared" ref="F87:AB87" si="44">IFERROR(F86/F81,"")</f>
        <v>0.23680739336929391</v>
      </c>
      <c r="G87" s="470">
        <f t="shared" si="44"/>
        <v>0.21004766492935373</v>
      </c>
      <c r="H87" s="470">
        <f t="shared" si="44"/>
        <v>0.28150295662762853</v>
      </c>
      <c r="I87" s="470">
        <f t="shared" si="44"/>
        <v>0.25970663040679515</v>
      </c>
      <c r="J87" s="470">
        <f t="shared" si="44"/>
        <v>0.31180152688758833</v>
      </c>
      <c r="K87" s="470">
        <f t="shared" si="44"/>
        <v>0.3084389693253044</v>
      </c>
      <c r="L87" s="470">
        <f t="shared" si="44"/>
        <v>0.27806121299198228</v>
      </c>
      <c r="M87" s="470">
        <f t="shared" si="44"/>
        <v>-2.9836365550306498E-2</v>
      </c>
      <c r="N87" s="470">
        <f t="shared" si="44"/>
        <v>0.13493199745825624</v>
      </c>
      <c r="O87" s="470">
        <f t="shared" si="44"/>
        <v>0.23222504849541362</v>
      </c>
      <c r="P87" s="470">
        <f t="shared" si="44"/>
        <v>0.20352532562777342</v>
      </c>
      <c r="Q87" s="470">
        <f t="shared" si="44"/>
        <v>0.30228304626776675</v>
      </c>
      <c r="R87" s="470">
        <f t="shared" si="44"/>
        <v>0.30464026975199543</v>
      </c>
      <c r="S87" s="470">
        <f t="shared" si="44"/>
        <v>6.4608328099923049E-2</v>
      </c>
      <c r="T87" s="470">
        <f t="shared" si="44"/>
        <v>0.20040930913428529</v>
      </c>
      <c r="U87" s="470">
        <f t="shared" si="44"/>
        <v>0.18803955709904402</v>
      </c>
      <c r="V87" s="470">
        <f t="shared" si="44"/>
        <v>0.24782042909755372</v>
      </c>
      <c r="W87" s="470">
        <f t="shared" si="44"/>
        <v>0.24690518063843514</v>
      </c>
      <c r="X87" s="470">
        <f t="shared" si="44"/>
        <v>0.30442791318829382</v>
      </c>
      <c r="Y87" s="470">
        <f t="shared" si="44"/>
        <v>-2.6678151304602278E-2</v>
      </c>
      <c r="Z87" s="470">
        <f t="shared" si="44"/>
        <v>0.23766115171479604</v>
      </c>
      <c r="AA87" s="470">
        <f t="shared" si="44"/>
        <v>0.27571930540999134</v>
      </c>
      <c r="AB87" s="470">
        <f t="shared" si="44"/>
        <v>0.28343646623983121</v>
      </c>
      <c r="AC87" s="470">
        <f>IFERROR(AC86/AC81,"")</f>
        <v>0.3191273377262448</v>
      </c>
      <c r="AD87" s="471">
        <f ca="1">AD86/AD81</f>
        <v>0.23657836424962642</v>
      </c>
      <c r="AE87" s="472">
        <f ca="1">AE86/AE81</f>
        <v>0.23657836424962642</v>
      </c>
    </row>
    <row r="88" spans="1:33" ht="26.45" customHeight="1" x14ac:dyDescent="0.15">
      <c r="A88" t="s">
        <v>766</v>
      </c>
      <c r="B88" t="s">
        <v>15</v>
      </c>
      <c r="D88" s="2141" t="s">
        <v>488</v>
      </c>
      <c r="E88" s="93" t="s">
        <v>15</v>
      </c>
      <c r="F88" s="455">
        <f>IFERROR(GETPIVOTDATA("合計 / " &amp; $B88,【ピボット】事業所収支!$A$3,"年月",F$1,"事業所",$A88),"")</f>
        <v>2465952</v>
      </c>
      <c r="G88" s="455">
        <f>IFERROR(GETPIVOTDATA("合計 / " &amp; $B88,【ピボット】事業所収支!$A$3,"年月",G$1,"事業所",$A88),"")</f>
        <v>3574531</v>
      </c>
      <c r="H88" s="455">
        <f>IFERROR(GETPIVOTDATA("合計 / " &amp; $B88,【ピボット】事業所収支!$A$3,"年月",H$1,"事業所",$A88),"")</f>
        <v>3876049</v>
      </c>
      <c r="I88" s="455">
        <f>IFERROR(GETPIVOTDATA("合計 / " &amp; $B88,【ピボット】事業所収支!$A$3,"年月",I$1,"事業所",$A88),"")</f>
        <v>3444751</v>
      </c>
      <c r="J88" s="455">
        <f>IFERROR(GETPIVOTDATA("合計 / " &amp; $B88,【ピボット】事業所収支!$A$3,"年月",J$1,"事業所",$A88),"")</f>
        <v>3361765</v>
      </c>
      <c r="K88" s="455">
        <f>IFERROR(GETPIVOTDATA("合計 / " &amp; $B88,【ピボット】事業所収支!$A$3,"年月",K$1,"事業所",$A88),"")</f>
        <v>3416511</v>
      </c>
      <c r="L88" s="455">
        <f>IFERROR(GETPIVOTDATA("合計 / " &amp; $B88,【ピボット】事業所収支!$A$3,"年月",L$1,"事業所",$A88),"")</f>
        <v>4465097</v>
      </c>
      <c r="M88" s="455">
        <f>IFERROR(GETPIVOTDATA("合計 / " &amp; $B88,【ピボット】事業所収支!$A$3,"年月",M$1,"事業所",$A88),"")</f>
        <v>5487649.7577564418</v>
      </c>
      <c r="N88" s="455">
        <f>IFERROR(GETPIVOTDATA("合計 / " &amp; $B88,【ピボット】事業所収支!$A$3,"年月",N$1,"事業所",$A88),"")</f>
        <v>4509811</v>
      </c>
      <c r="O88" s="455">
        <f>IFERROR(GETPIVOTDATA("合計 / " &amp; $B88,【ピボット】事業所収支!$A$3,"年月",O$1,"事業所",$A88),"")</f>
        <v>3654892</v>
      </c>
      <c r="P88" s="455">
        <f>IFERROR(GETPIVOTDATA("合計 / " &amp; $B88,【ピボット】事業所収支!$A$3,"年月",P$1,"事業所",$A88),"")</f>
        <v>3762282</v>
      </c>
      <c r="Q88" s="455">
        <f>IFERROR(GETPIVOTDATA("合計 / " &amp; $B88,【ピボット】事業所収支!$A$3,"年月",Q$1,"事業所",$A88),"")</f>
        <v>3755392</v>
      </c>
      <c r="R88" s="455">
        <f>IFERROR(GETPIVOTDATA("合計 / " &amp; $B88,【ピボット】事業所収支!$A$3,"年月",R$1,"事業所",$A88),"")</f>
        <v>3762490</v>
      </c>
      <c r="S88" s="455">
        <f>IFERROR(GETPIVOTDATA("合計 / " &amp; $B88,【ピボット】事業所収支!$A$3,"年月",S$1,"事業所",$A88),"")</f>
        <v>4982819</v>
      </c>
      <c r="T88" s="455">
        <f>IFERROR(GETPIVOTDATA("合計 / " &amp; $B88,【ピボット】事業所収支!$A$3,"年月",T$1,"事業所",$A88),"")</f>
        <v>4691807</v>
      </c>
      <c r="U88" s="455">
        <f>IFERROR(GETPIVOTDATA("合計 / " &amp; $B88,【ピボット】事業所収支!$A$3,"年月",U$1,"事業所",$A88),"")</f>
        <v>4057264</v>
      </c>
      <c r="V88" s="455">
        <f>IFERROR(GETPIVOTDATA("合計 / " &amp; $B88,【ピボット】事業所収支!$A$3,"年月",V$1,"事業所",$A88),"")</f>
        <v>4275862</v>
      </c>
      <c r="W88" s="455">
        <f>IFERROR(GETPIVOTDATA("合計 / " &amp; $B88,【ピボット】事業所収支!$A$3,"年月",W$1,"事業所",$A88),"")</f>
        <v>4742462</v>
      </c>
      <c r="X88" s="455">
        <f>IFERROR(GETPIVOTDATA("合計 / " &amp; $B88,【ピボット】事業所収支!$A$3,"年月",X$1,"事業所",$A88),"")</f>
        <v>5751671</v>
      </c>
      <c r="Y88" s="455">
        <f>IFERROR(GETPIVOTDATA("合計 / " &amp; $B88,【ピボット】事業所収支!$A$3,"年月",Y$1,"事業所",$A88),"")</f>
        <v>8276517</v>
      </c>
      <c r="Z88" s="455">
        <f>IFERROR(GETPIVOTDATA("合計 / " &amp; $B88,【ピボット】事業所収支!$A$3,"年月",Z$1,"事業所",$A88),"")</f>
        <v>4804576</v>
      </c>
      <c r="AA88" s="455">
        <f>IFERROR(GETPIVOTDATA("合計 / " &amp; $B88,【ピボット】事業所収支!$A$3,"年月",AA$1,"事業所",$A88),"")</f>
        <v>5356414</v>
      </c>
      <c r="AB88" s="455">
        <f>IFERROR(GETPIVOTDATA("合計 / " &amp; $B88,【ピボット】事業所収支!$A$3,"年月",AB$1,"事業所",$A88),"")</f>
        <v>4480730</v>
      </c>
      <c r="AC88" s="455">
        <f>IFERROR(GETPIVOTDATA("合計 / " &amp; $B88,【ピボット】事業所収支!$A$3,"年月",AC$1,"事業所",$A88),"")</f>
        <v>5414831</v>
      </c>
      <c r="AD88" s="456">
        <f ca="1">SUM(OFFSET(AC88,0,当期月数):AC88)</f>
        <v>43103063</v>
      </c>
      <c r="AE88" s="457">
        <f ca="1">AVERAGE(OFFSET(AC88,0,当期月数):AC88)</f>
        <v>5387882.875</v>
      </c>
      <c r="AG88" t="s">
        <v>296</v>
      </c>
    </row>
    <row r="89" spans="1:33" ht="26.45" customHeight="1" thickBot="1" x14ac:dyDescent="0.2">
      <c r="A89" t="s">
        <v>766</v>
      </c>
      <c r="B89" t="s">
        <v>1230</v>
      </c>
      <c r="D89" s="2142"/>
      <c r="E89" s="97" t="s">
        <v>35</v>
      </c>
      <c r="F89" s="473">
        <f>IFERROR(GETPIVOTDATA("合計 / " &amp; $B89,【ピボット】事業所収支!$A$3,"年月",F$1,"事業所",$A89),"")</f>
        <v>1537199</v>
      </c>
      <c r="G89" s="473">
        <f>IFERROR(GETPIVOTDATA("合計 / " &amp; $B89,【ピボット】事業所収支!$A$3,"年月",G$1,"事業所",$A89),"")</f>
        <v>1345014</v>
      </c>
      <c r="H89" s="473">
        <f>IFERROR(GETPIVOTDATA("合計 / " &amp; $B89,【ピボット】事業所収支!$A$3,"年月",H$1,"事業所",$A89),"")</f>
        <v>1234610</v>
      </c>
      <c r="I89" s="473">
        <f>IFERROR(GETPIVOTDATA("合計 / " &amp; $B89,【ピボット】事業所収支!$A$3,"年月",I$1,"事業所",$A89),"")</f>
        <v>3226453</v>
      </c>
      <c r="J89" s="473">
        <f>IFERROR(GETPIVOTDATA("合計 / " &amp; $B89,【ピボット】事業所収支!$A$3,"年月",J$1,"事業所",$A89),"")</f>
        <v>1655232</v>
      </c>
      <c r="K89" s="473">
        <f>IFERROR(GETPIVOTDATA("合計 / " &amp; $B89,【ピボット】事業所収支!$A$3,"年月",K$1,"事業所",$A89),"")</f>
        <v>1563805</v>
      </c>
      <c r="L89" s="473">
        <f>IFERROR(GETPIVOTDATA("合計 / " &amp; $B89,【ピボット】事業所収支!$A$3,"年月",L$1,"事業所",$A89),"")</f>
        <v>2425654</v>
      </c>
      <c r="M89" s="473">
        <f>IFERROR(GETPIVOTDATA("合計 / " &amp; $B89,【ピボット】事業所収支!$A$3,"年月",M$1,"事業所",$A89),"")</f>
        <v>2104595</v>
      </c>
      <c r="N89" s="473">
        <f>IFERROR(GETPIVOTDATA("合計 / " &amp; $B89,【ピボット】事業所収支!$A$3,"年月",N$1,"事業所",$A89),"")</f>
        <v>2318665</v>
      </c>
      <c r="O89" s="473">
        <f>IFERROR(GETPIVOTDATA("合計 / " &amp; $B89,【ピボット】事業所収支!$A$3,"年月",O$1,"事業所",$A89),"")</f>
        <v>1654867</v>
      </c>
      <c r="P89" s="473">
        <f>IFERROR(GETPIVOTDATA("合計 / " &amp; $B89,【ピボット】事業所収支!$A$3,"年月",P$1,"事業所",$A89),"")</f>
        <v>2685780</v>
      </c>
      <c r="Q89" s="473">
        <f>IFERROR(GETPIVOTDATA("合計 / " &amp; $B89,【ピボット】事業所収支!$A$3,"年月",Q$1,"事業所",$A89),"")</f>
        <v>3392629</v>
      </c>
      <c r="R89" s="473">
        <f>IFERROR(GETPIVOTDATA("合計 / " &amp; $B89,【ピボット】事業所収支!$A$3,"年月",R$1,"事業所",$A89),"")</f>
        <v>2776985</v>
      </c>
      <c r="S89" s="473">
        <f>IFERROR(GETPIVOTDATA("合計 / " &amp; $B89,【ピボット】事業所収支!$A$3,"年月",S$1,"事業所",$A89),"")</f>
        <v>4225191</v>
      </c>
      <c r="T89" s="473">
        <f>IFERROR(GETPIVOTDATA("合計 / " &amp; $B89,【ピボット】事業所収支!$A$3,"年月",T$1,"事業所",$A89),"")</f>
        <v>2631277</v>
      </c>
      <c r="U89" s="473">
        <f>IFERROR(GETPIVOTDATA("合計 / " &amp; $B89,【ピボット】事業所収支!$A$3,"年月",U$1,"事業所",$A89),"")</f>
        <v>3953352</v>
      </c>
      <c r="V89" s="473">
        <f>IFERROR(GETPIVOTDATA("合計 / " &amp; $B89,【ピボット】事業所収支!$A$3,"年月",V$1,"事業所",$A89),"")</f>
        <v>3234033</v>
      </c>
      <c r="W89" s="473">
        <f>IFERROR(GETPIVOTDATA("合計 / " &amp; $B89,【ピボット】事業所収支!$A$3,"年月",W$1,"事業所",$A89),"")</f>
        <v>5282133</v>
      </c>
      <c r="X89" s="473">
        <f>IFERROR(GETPIVOTDATA("合計 / " &amp; $B89,【ピボット】事業所収支!$A$3,"年月",X$1,"事業所",$A89),"")</f>
        <v>2864700</v>
      </c>
      <c r="Y89" s="473">
        <f>IFERROR(GETPIVOTDATA("合計 / " &amp; $B89,【ピボット】事業所収支!$A$3,"年月",Y$1,"事業所",$A89),"")</f>
        <v>1950921</v>
      </c>
      <c r="Z89" s="473">
        <f>IFERROR(GETPIVOTDATA("合計 / " &amp; $B89,【ピボット】事業所収支!$A$3,"年月",Z$1,"事業所",$A89),"")</f>
        <v>1758723</v>
      </c>
      <c r="AA89" s="473">
        <f>IFERROR(GETPIVOTDATA("合計 / " &amp; $B89,【ピボット】事業所収支!$A$3,"年月",AA$1,"事業所",$A89),"")</f>
        <v>2554606</v>
      </c>
      <c r="AB89" s="473">
        <f>IFERROR(GETPIVOTDATA("合計 / " &amp; $B89,【ピボット】事業所収支!$A$3,"年月",AB$1,"事業所",$A89),"")</f>
        <v>2293024</v>
      </c>
      <c r="AC89" s="473">
        <f>IFERROR(GETPIVOTDATA("合計 / " &amp; $B89,【ピボット】事業所収支!$A$3,"年月",AC$1,"事業所",$A89),"")</f>
        <v>2444410</v>
      </c>
      <c r="AD89" s="474">
        <f ca="1">SUM(OFFSET(AC89,0,当期月数):AC89)</f>
        <v>22382550</v>
      </c>
      <c r="AE89" s="475">
        <f ca="1">AVERAGE(OFFSET(AC89,0,当期月数):AC89)</f>
        <v>2797818.75</v>
      </c>
      <c r="AG89" t="s">
        <v>296</v>
      </c>
    </row>
    <row r="90" spans="1:33" ht="26.45" customHeight="1" thickBot="1" x14ac:dyDescent="0.2">
      <c r="D90" s="2142"/>
      <c r="E90" s="98" t="s">
        <v>96</v>
      </c>
      <c r="F90" s="99">
        <f>IFERROR(F88+F89,"")</f>
        <v>4003151</v>
      </c>
      <c r="G90" s="476">
        <f t="shared" ref="G90:AC90" si="45">IFERROR(G88+G89,"")</f>
        <v>4919545</v>
      </c>
      <c r="H90" s="476">
        <f t="shared" si="45"/>
        <v>5110659</v>
      </c>
      <c r="I90" s="476">
        <f t="shared" si="45"/>
        <v>6671204</v>
      </c>
      <c r="J90" s="476">
        <f t="shared" si="45"/>
        <v>5016997</v>
      </c>
      <c r="K90" s="476">
        <f t="shared" si="45"/>
        <v>4980316</v>
      </c>
      <c r="L90" s="476">
        <f t="shared" si="45"/>
        <v>6890751</v>
      </c>
      <c r="M90" s="476">
        <f t="shared" si="45"/>
        <v>7592244.7577564418</v>
      </c>
      <c r="N90" s="476">
        <f t="shared" si="45"/>
        <v>6828476</v>
      </c>
      <c r="O90" s="476">
        <f t="shared" si="45"/>
        <v>5309759</v>
      </c>
      <c r="P90" s="476">
        <f t="shared" si="45"/>
        <v>6448062</v>
      </c>
      <c r="Q90" s="476">
        <f t="shared" si="45"/>
        <v>7148021</v>
      </c>
      <c r="R90" s="476">
        <f t="shared" si="45"/>
        <v>6539475</v>
      </c>
      <c r="S90" s="476">
        <f t="shared" si="45"/>
        <v>9208010</v>
      </c>
      <c r="T90" s="476">
        <f t="shared" si="45"/>
        <v>7323084</v>
      </c>
      <c r="U90" s="476">
        <f t="shared" si="45"/>
        <v>8010616</v>
      </c>
      <c r="V90" s="476">
        <f t="shared" si="45"/>
        <v>7509895</v>
      </c>
      <c r="W90" s="476">
        <f t="shared" si="45"/>
        <v>10024595</v>
      </c>
      <c r="X90" s="476">
        <f>IFERROR(X88+X89,"")</f>
        <v>8616371</v>
      </c>
      <c r="Y90" s="476">
        <f t="shared" si="45"/>
        <v>10227438</v>
      </c>
      <c r="Z90" s="476">
        <f t="shared" si="45"/>
        <v>6563299</v>
      </c>
      <c r="AA90" s="476">
        <f t="shared" si="45"/>
        <v>7911020</v>
      </c>
      <c r="AB90" s="476">
        <f t="shared" si="45"/>
        <v>6773754</v>
      </c>
      <c r="AC90" s="476">
        <f t="shared" si="45"/>
        <v>7859241</v>
      </c>
      <c r="AD90" s="477">
        <f ca="1">SUM(OFFSET(AC90,0,当期月数):AC90)</f>
        <v>65485613</v>
      </c>
      <c r="AE90" s="478">
        <f ca="1">AVERAGE(OFFSET(AC90,0,当期月数):AC90)</f>
        <v>8185701.625</v>
      </c>
    </row>
    <row r="91" spans="1:33" ht="26.25" customHeight="1" thickTop="1" x14ac:dyDescent="0.15">
      <c r="D91" s="2133" t="s">
        <v>62</v>
      </c>
      <c r="E91" s="125" t="s">
        <v>45</v>
      </c>
      <c r="F91" s="126">
        <f>IFERROR(F86-F90,"")</f>
        <v>3741169</v>
      </c>
      <c r="G91" s="479">
        <f t="shared" ref="G91:AC91" si="46">IFERROR(G86-G90,"")</f>
        <v>2834537</v>
      </c>
      <c r="H91" s="479">
        <f t="shared" si="46"/>
        <v>5046051</v>
      </c>
      <c r="I91" s="479">
        <f t="shared" si="46"/>
        <v>2392346</v>
      </c>
      <c r="J91" s="479">
        <f t="shared" si="46"/>
        <v>6181729</v>
      </c>
      <c r="K91" s="479">
        <f t="shared" si="46"/>
        <v>6646757</v>
      </c>
      <c r="L91" s="479">
        <f>IFERROR(L86-L90,"")</f>
        <v>3041895</v>
      </c>
      <c r="M91" s="479">
        <f t="shared" si="46"/>
        <v>-8657791</v>
      </c>
      <c r="N91" s="479">
        <f t="shared" si="46"/>
        <v>-2172375</v>
      </c>
      <c r="O91" s="479">
        <f t="shared" si="46"/>
        <v>2520437</v>
      </c>
      <c r="P91" s="479">
        <f t="shared" si="46"/>
        <v>682264</v>
      </c>
      <c r="Q91" s="479">
        <f t="shared" si="46"/>
        <v>4677971</v>
      </c>
      <c r="R91" s="479">
        <f t="shared" si="46"/>
        <v>5545309</v>
      </c>
      <c r="S91" s="479">
        <f t="shared" si="46"/>
        <v>-6877412</v>
      </c>
      <c r="T91" s="479">
        <f t="shared" si="46"/>
        <v>402662</v>
      </c>
      <c r="U91" s="479">
        <f t="shared" si="46"/>
        <v>-1107537</v>
      </c>
      <c r="V91" s="479">
        <f t="shared" si="46"/>
        <v>1788697</v>
      </c>
      <c r="W91" s="479">
        <f t="shared" si="46"/>
        <v>153279</v>
      </c>
      <c r="X91" s="479">
        <f>IFERROR(X86-X90,"")</f>
        <v>4250230</v>
      </c>
      <c r="Y91" s="479">
        <f t="shared" si="46"/>
        <v>-11302155</v>
      </c>
      <c r="Z91" s="479">
        <f t="shared" si="46"/>
        <v>2938935</v>
      </c>
      <c r="AA91" s="479">
        <f t="shared" si="46"/>
        <v>2756684</v>
      </c>
      <c r="AB91" s="479">
        <f t="shared" si="46"/>
        <v>4576531</v>
      </c>
      <c r="AC91" s="479">
        <f t="shared" si="46"/>
        <v>5500935</v>
      </c>
      <c r="AD91" s="480">
        <f ca="1">SUM(OFFSET(AC91,0,当期月数):AC91)</f>
        <v>10663136</v>
      </c>
      <c r="AE91" s="481">
        <f ca="1">AVERAGE(OFFSET(AC91,0,当期月数):AC91)</f>
        <v>1332892</v>
      </c>
    </row>
    <row r="92" spans="1:33" ht="30" customHeight="1" thickBot="1" x14ac:dyDescent="0.2">
      <c r="D92" s="2134"/>
      <c r="E92" s="119" t="s">
        <v>177</v>
      </c>
      <c r="F92" s="120">
        <f t="shared" ref="F92:AC92" si="47">IFERROR(F91/F81,"")</f>
        <v>0.11439822722253315</v>
      </c>
      <c r="G92" s="470">
        <f t="shared" si="47"/>
        <v>7.6783799553042584E-2</v>
      </c>
      <c r="H92" s="470">
        <f t="shared" si="47"/>
        <v>0.1398561419784361</v>
      </c>
      <c r="I92" s="470">
        <f t="shared" si="47"/>
        <v>6.8550194838355255E-2</v>
      </c>
      <c r="J92" s="470">
        <f t="shared" si="47"/>
        <v>0.17211534070976328</v>
      </c>
      <c r="K92" s="470">
        <f t="shared" si="47"/>
        <v>0.17632286977434067</v>
      </c>
      <c r="L92" s="470">
        <f t="shared" si="47"/>
        <v>8.5156866910815712E-2</v>
      </c>
      <c r="M92" s="470">
        <f t="shared" si="47"/>
        <v>-0.24242684821472874</v>
      </c>
      <c r="N92" s="470">
        <f t="shared" si="47"/>
        <v>-6.2954583240006912E-2</v>
      </c>
      <c r="O92" s="470">
        <f t="shared" si="47"/>
        <v>7.4750185634514743E-2</v>
      </c>
      <c r="P92" s="470">
        <f t="shared" si="47"/>
        <v>1.9474285294123608E-2</v>
      </c>
      <c r="Q92" s="470">
        <f t="shared" si="47"/>
        <v>0.11957316766595742</v>
      </c>
      <c r="R92" s="470">
        <f t="shared" si="47"/>
        <v>0.1397893772547501</v>
      </c>
      <c r="S92" s="470">
        <f t="shared" si="47"/>
        <v>-0.19065411150886938</v>
      </c>
      <c r="T92" s="470">
        <f t="shared" si="47"/>
        <v>1.0445232503712857E-2</v>
      </c>
      <c r="U92" s="470">
        <f t="shared" si="47"/>
        <v>-3.0169257363388699E-2</v>
      </c>
      <c r="V92" s="470">
        <f t="shared" si="47"/>
        <v>4.7671266581597198E-2</v>
      </c>
      <c r="W92" s="470">
        <f t="shared" si="47"/>
        <v>3.7183972982057644E-3</v>
      </c>
      <c r="X92" s="470">
        <f t="shared" si="47"/>
        <v>0.10056180723022981</v>
      </c>
      <c r="Y92" s="470">
        <f t="shared" si="47"/>
        <v>-0.28055813870820612</v>
      </c>
      <c r="Z92" s="470">
        <f t="shared" si="47"/>
        <v>7.350594364598094E-2</v>
      </c>
      <c r="AA92" s="470">
        <f t="shared" si="47"/>
        <v>7.1249726999815202E-2</v>
      </c>
      <c r="AB92" s="470">
        <f t="shared" si="47"/>
        <v>0.11428398267330213</v>
      </c>
      <c r="AC92" s="470">
        <f t="shared" si="47"/>
        <v>0.13139787541385087</v>
      </c>
      <c r="AD92" s="471">
        <f ca="1">AD91/AD81</f>
        <v>3.3128151227425996E-2</v>
      </c>
      <c r="AE92" s="472">
        <f ca="1">AE91/AE81</f>
        <v>3.3128151227425996E-2</v>
      </c>
    </row>
    <row r="93" spans="1:33" ht="26.45" customHeight="1" thickBot="1" x14ac:dyDescent="0.2">
      <c r="A93" t="s">
        <v>745</v>
      </c>
      <c r="B93" t="s">
        <v>502</v>
      </c>
      <c r="D93" s="801"/>
      <c r="E93" s="802" t="s">
        <v>502</v>
      </c>
      <c r="F93" s="803">
        <f>IFERROR(GETPIVOTDATA("合計 / " &amp; $B93,【ピボット】事業所収支!$A$3,"年月",F$1,"事業所",$A93),"")</f>
        <v>0</v>
      </c>
      <c r="G93" s="804">
        <f>IFERROR(GETPIVOTDATA("合計 / " &amp; $B93,【ピボット】事業所収支!$A$3,"年月",G$1,"事業所",$A93),"")</f>
        <v>0</v>
      </c>
      <c r="H93" s="804">
        <f>IFERROR(GETPIVOTDATA("合計 / " &amp; $B93,【ピボット】事業所収支!$A$3,"年月",H$1,"事業所",$A93),"")</f>
        <v>0</v>
      </c>
      <c r="I93" s="804">
        <f>IFERROR(GETPIVOTDATA("合計 / " &amp; $B93,【ピボット】事業所収支!$A$3,"年月",I$1,"事業所",$A93),"")</f>
        <v>0</v>
      </c>
      <c r="J93" s="804">
        <f>IFERROR(GETPIVOTDATA("合計 / " &amp; $B93,【ピボット】事業所収支!$A$3,"年月",J$1,"事業所",$A93),"")</f>
        <v>73432</v>
      </c>
      <c r="K93" s="804">
        <f>IFERROR(GETPIVOTDATA("合計 / " &amp; $B93,【ピボット】事業所収支!$A$3,"年月",K$1,"事業所",$A93),"")</f>
        <v>77730</v>
      </c>
      <c r="L93" s="804">
        <f>IFERROR(GETPIVOTDATA("合計 / " &amp; $B93,【ピボット】事業所収支!$A$3,"年月",L$1,"事業所",$A93),"")</f>
        <v>78013</v>
      </c>
      <c r="M93" s="804">
        <f>IFERROR(GETPIVOTDATA("合計 / " &amp; $B93,【ピボット】事業所収支!$A$3,"年月",M$1,"事業所",$A93),"")</f>
        <v>77744</v>
      </c>
      <c r="N93" s="804">
        <f>IFERROR(GETPIVOTDATA("合計 / " &amp; $B93,【ピボット】事業所収支!$A$3,"年月",N$1,"事業所",$A93),"")</f>
        <v>59544</v>
      </c>
      <c r="O93" s="804">
        <f>IFERROR(GETPIVOTDATA("合計 / " &amp; $B93,【ピボット】事業所収支!$A$3,"年月",O$1,"事業所",$A93),"")</f>
        <v>58427</v>
      </c>
      <c r="P93" s="804">
        <f>IFERROR(GETPIVOTDATA("合計 / " &amp; $B93,【ピボット】事業所収支!$A$3,"年月",P$1,"事業所",$A93),"")</f>
        <v>61905</v>
      </c>
      <c r="Q93" s="804">
        <f>IFERROR(GETPIVOTDATA("合計 / " &amp; $B93,【ピボット】事業所収支!$A$3,"年月",Q$1,"事業所",$A93),"")</f>
        <v>45399</v>
      </c>
      <c r="R93" s="804">
        <f>IFERROR(GETPIVOTDATA("合計 / " &amp; $B93,【ピボット】事業所収支!$A$3,"年月",R$1,"事業所",$A93),"")</f>
        <v>46251</v>
      </c>
      <c r="S93" s="804">
        <f>IFERROR(GETPIVOTDATA("合計 / " &amp; $B93,【ピボット】事業所収支!$A$3,"年月",S$1,"事業所",$A93),"")</f>
        <v>42763</v>
      </c>
      <c r="T93" s="804">
        <f>IFERROR(GETPIVOTDATA("合計 / " &amp; $B93,【ピボット】事業所収支!$A$3,"年月",T$1,"事業所",$A93),"")</f>
        <v>37757</v>
      </c>
      <c r="U93" s="804">
        <f>IFERROR(GETPIVOTDATA("合計 / " &amp; $B93,【ピボット】事業所収支!$A$3,"年月",U$1,"事業所",$A93),"")</f>
        <v>40332</v>
      </c>
      <c r="V93" s="804">
        <f>IFERROR(GETPIVOTDATA("合計 / " &amp; $B93,【ピボット】事業所収支!$A$3,"年月",V$1,"事業所",$A93),"")</f>
        <v>34830</v>
      </c>
      <c r="W93" s="804" t="str">
        <f>IFERROR(GETPIVOTDATA("合計 / " &amp; $B93,【ピボット】事業所収支!$A$3,"年月",W$1,"事業所",$A93),"")</f>
        <v/>
      </c>
      <c r="X93" s="804">
        <f>IFERROR(GETPIVOTDATA("合計 / " &amp; $B93,【ピボット】事業所収支!$A$3,"年月",X$1,"事業所",$A93),"")</f>
        <v>0</v>
      </c>
      <c r="Y93" s="804" t="str">
        <f>IFERROR(GETPIVOTDATA("合計 / " &amp; $B93,【ピボット】事業所収支!$A$3,"年月",Y$1,"事業所",$A93),"")</f>
        <v/>
      </c>
      <c r="Z93" s="804" t="str">
        <f>IFERROR(GETPIVOTDATA("合計 / " &amp; $B93,【ピボット】事業所収支!$A$3,"年月",Z$1,"事業所",$A93),"")</f>
        <v/>
      </c>
      <c r="AA93" s="804" t="str">
        <f>IFERROR(GETPIVOTDATA("合計 / " &amp; $B93,【ピボット】事業所収支!$A$3,"年月",AA$1,"事業所",$A93),"")</f>
        <v/>
      </c>
      <c r="AB93" s="804" t="str">
        <f>IFERROR(GETPIVOTDATA("合計 / " &amp; $B93,【ピボット】事業所収支!$A$3,"年月",AB$1,"事業所",$A93),"")</f>
        <v/>
      </c>
      <c r="AC93" s="804" t="str">
        <f>IFERROR(GETPIVOTDATA("合計 / " &amp; $B93,【ピボット】事業所収支!$A$3,"年月",AC$1,"事業所",$A93),"")</f>
        <v/>
      </c>
      <c r="AD93" s="805">
        <f ca="1">SUM(OFFSET(AC93,0,当期月数):AC93)</f>
        <v>34830</v>
      </c>
      <c r="AE93" s="806">
        <f ca="1">AVERAGE(OFFSET(AC93,0,当期月数):AC93)</f>
        <v>17415</v>
      </c>
    </row>
    <row r="94" spans="1:33" x14ac:dyDescent="0.15">
      <c r="E94" t="s">
        <v>120</v>
      </c>
      <c r="F94" s="4">
        <f t="shared" ref="F94:AC94" si="48">F82+F88</f>
        <v>20446982</v>
      </c>
      <c r="G94" s="4">
        <f t="shared" si="48"/>
        <v>26586710</v>
      </c>
      <c r="H94" s="4">
        <f t="shared" si="48"/>
        <v>24475968</v>
      </c>
      <c r="I94" s="4">
        <f t="shared" si="48"/>
        <v>23752449</v>
      </c>
      <c r="J94" s="4">
        <f t="shared" si="48"/>
        <v>22603261</v>
      </c>
      <c r="K94" s="4">
        <f t="shared" si="48"/>
        <v>23743100</v>
      </c>
      <c r="L94" s="4">
        <f t="shared" si="48"/>
        <v>24272152</v>
      </c>
      <c r="M94" s="4">
        <f t="shared" si="48"/>
        <v>35562689</v>
      </c>
      <c r="N94" s="4">
        <f t="shared" si="48"/>
        <v>28035865</v>
      </c>
      <c r="O94" s="4">
        <f t="shared" si="48"/>
        <v>23265110</v>
      </c>
      <c r="P94" s="4">
        <f t="shared" si="48"/>
        <v>24287584</v>
      </c>
      <c r="Q94" s="4">
        <f t="shared" si="48"/>
        <v>24212389</v>
      </c>
      <c r="R94" s="4">
        <f t="shared" si="48"/>
        <v>23908066</v>
      </c>
      <c r="S94" s="4">
        <f t="shared" si="48"/>
        <v>31697163</v>
      </c>
      <c r="T94" s="4">
        <f t="shared" si="48"/>
        <v>27605792</v>
      </c>
      <c r="U94" s="4">
        <f t="shared" si="48"/>
        <v>26520463</v>
      </c>
      <c r="V94" s="4">
        <f t="shared" si="48"/>
        <v>25578188</v>
      </c>
      <c r="W94" s="4">
        <f t="shared" si="48"/>
        <v>26917769</v>
      </c>
      <c r="X94" s="4">
        <f t="shared" si="48"/>
        <v>28291290</v>
      </c>
      <c r="Y94" s="4">
        <f t="shared" si="48"/>
        <v>43000234</v>
      </c>
      <c r="Z94" s="4">
        <f t="shared" si="48"/>
        <v>27870072</v>
      </c>
      <c r="AA94" s="4">
        <f t="shared" si="48"/>
        <v>26853971</v>
      </c>
      <c r="AB94" s="4">
        <f t="shared" si="48"/>
        <v>26812659</v>
      </c>
      <c r="AC94" s="4">
        <f t="shared" si="48"/>
        <v>27716004</v>
      </c>
      <c r="AD94" s="4"/>
      <c r="AE94" s="4"/>
    </row>
    <row r="95" spans="1:33" x14ac:dyDescent="0.15">
      <c r="E95" t="s">
        <v>121</v>
      </c>
      <c r="F95" s="4">
        <f t="shared" ref="F95:AC95" si="49">F84+F89</f>
        <v>8514882</v>
      </c>
      <c r="G95" s="4">
        <f t="shared" si="49"/>
        <v>7494574</v>
      </c>
      <c r="H95" s="4">
        <f t="shared" si="49"/>
        <v>6558277</v>
      </c>
      <c r="I95" s="4">
        <f t="shared" si="49"/>
        <v>9486285</v>
      </c>
      <c r="J95" s="4">
        <f t="shared" si="49"/>
        <v>7294393</v>
      </c>
      <c r="K95" s="4">
        <f t="shared" si="49"/>
        <v>7306654</v>
      </c>
      <c r="L95" s="4">
        <f t="shared" si="49"/>
        <v>8407030</v>
      </c>
      <c r="M95" s="4">
        <f t="shared" si="49"/>
        <v>8808106</v>
      </c>
      <c r="N95" s="4">
        <f t="shared" si="49"/>
        <v>8643529</v>
      </c>
      <c r="O95" s="4">
        <f t="shared" si="49"/>
        <v>7932590</v>
      </c>
      <c r="P95" s="4">
        <f t="shared" si="49"/>
        <v>10064249</v>
      </c>
      <c r="Q95" s="4">
        <f t="shared" si="49"/>
        <v>10231887</v>
      </c>
      <c r="R95" s="4">
        <f t="shared" si="49"/>
        <v>10215655</v>
      </c>
      <c r="S95" s="4">
        <f t="shared" si="49"/>
        <v>11252967</v>
      </c>
      <c r="T95" s="4">
        <f t="shared" si="49"/>
        <v>10541382</v>
      </c>
      <c r="U95" s="4">
        <f t="shared" si="49"/>
        <v>12030005</v>
      </c>
      <c r="V95" s="4">
        <f t="shared" si="49"/>
        <v>10154606</v>
      </c>
      <c r="W95" s="4">
        <f t="shared" si="49"/>
        <v>14150744</v>
      </c>
      <c r="X95" s="4">
        <f t="shared" si="49"/>
        <v>9727500</v>
      </c>
      <c r="Y95" s="4">
        <f t="shared" si="49"/>
        <v>8588657</v>
      </c>
      <c r="Z95" s="4">
        <f t="shared" si="49"/>
        <v>9173270</v>
      </c>
      <c r="AA95" s="4">
        <f t="shared" si="49"/>
        <v>8999179</v>
      </c>
      <c r="AB95" s="4">
        <f t="shared" si="49"/>
        <v>8656063</v>
      </c>
      <c r="AC95" s="4">
        <f t="shared" si="49"/>
        <v>8647779</v>
      </c>
      <c r="AD95" s="4"/>
      <c r="AE95" s="4"/>
    </row>
    <row r="96" spans="1:33" x14ac:dyDescent="0.15"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spans="4:29" x14ac:dyDescent="0.15">
      <c r="D97" t="s">
        <v>135</v>
      </c>
      <c r="F97" s="80">
        <f t="shared" ref="F97:AC97" si="50">F90/SUM(F94:F95)</f>
        <v>0.1382214556355903</v>
      </c>
      <c r="G97" s="80">
        <f t="shared" si="50"/>
        <v>0.14434740780306282</v>
      </c>
      <c r="H97" s="80">
        <f t="shared" si="50"/>
        <v>0.16467805161685101</v>
      </c>
      <c r="I97" s="80">
        <f t="shared" si="50"/>
        <v>0.20070571881588511</v>
      </c>
      <c r="J97" s="80">
        <f t="shared" si="50"/>
        <v>0.16780570810004022</v>
      </c>
      <c r="K97" s="80">
        <f t="shared" si="50"/>
        <v>0.16039792134907091</v>
      </c>
      <c r="L97" s="80">
        <f t="shared" si="50"/>
        <v>0.21086057172422493</v>
      </c>
      <c r="M97" s="80">
        <f t="shared" si="50"/>
        <v>0.17110905400176946</v>
      </c>
      <c r="N97" s="80">
        <f t="shared" si="50"/>
        <v>0.18616654353667894</v>
      </c>
      <c r="O97" s="80">
        <f t="shared" si="50"/>
        <v>0.17019712991662847</v>
      </c>
      <c r="P97" s="80">
        <f t="shared" si="50"/>
        <v>0.18770649007288781</v>
      </c>
      <c r="Q97" s="80">
        <f t="shared" si="50"/>
        <v>0.20752420518288728</v>
      </c>
      <c r="R97" s="80">
        <f t="shared" si="50"/>
        <v>0.1916401496776978</v>
      </c>
      <c r="S97" s="80">
        <f t="shared" si="50"/>
        <v>0.21438840813753066</v>
      </c>
      <c r="T97" s="80">
        <f t="shared" si="50"/>
        <v>0.19196923997567947</v>
      </c>
      <c r="U97" s="80">
        <f t="shared" si="50"/>
        <v>0.20779555776080333</v>
      </c>
      <c r="V97" s="80">
        <f t="shared" si="50"/>
        <v>0.21016814414232485</v>
      </c>
      <c r="W97" s="80">
        <f t="shared" si="50"/>
        <v>0.24409442338464993</v>
      </c>
      <c r="X97" s="80">
        <f t="shared" si="50"/>
        <v>0.22663454044697373</v>
      </c>
      <c r="Y97" s="80">
        <f t="shared" si="50"/>
        <v>0.19824884392261893</v>
      </c>
      <c r="Z97" s="80">
        <f t="shared" si="50"/>
        <v>0.1771789111252435</v>
      </c>
      <c r="AA97" s="80">
        <f t="shared" si="50"/>
        <v>0.22065062623507278</v>
      </c>
      <c r="AB97" s="80">
        <f t="shared" si="50"/>
        <v>0.19097823710704886</v>
      </c>
      <c r="AC97" s="80">
        <f t="shared" si="50"/>
        <v>0.21612825596280782</v>
      </c>
    </row>
    <row r="98" spans="4:29" x14ac:dyDescent="0.15">
      <c r="D98" t="s">
        <v>136</v>
      </c>
      <c r="F98" s="80">
        <f t="shared" ref="F98:AC98" si="51">F90/F81</f>
        <v>0.12240916614676076</v>
      </c>
      <c r="G98" s="80">
        <f t="shared" si="51"/>
        <v>0.13326386537631116</v>
      </c>
      <c r="H98" s="80">
        <f t="shared" si="51"/>
        <v>0.14164681464919246</v>
      </c>
      <c r="I98" s="80">
        <f t="shared" si="51"/>
        <v>0.19115643556843989</v>
      </c>
      <c r="J98" s="80">
        <f t="shared" si="51"/>
        <v>0.13968618617782505</v>
      </c>
      <c r="K98" s="80">
        <f t="shared" si="51"/>
        <v>0.13211609955096376</v>
      </c>
      <c r="L98" s="80">
        <f t="shared" si="51"/>
        <v>0.19290434608116658</v>
      </c>
      <c r="M98" s="80">
        <f t="shared" si="51"/>
        <v>0.21259048266442224</v>
      </c>
      <c r="N98" s="80">
        <f t="shared" si="51"/>
        <v>0.19788658069826315</v>
      </c>
      <c r="O98" s="80">
        <f t="shared" si="51"/>
        <v>0.15747486286089887</v>
      </c>
      <c r="P98" s="80">
        <f t="shared" si="51"/>
        <v>0.18405104033364983</v>
      </c>
      <c r="Q98" s="80">
        <f t="shared" si="51"/>
        <v>0.18270987860180934</v>
      </c>
      <c r="R98" s="80">
        <f t="shared" si="51"/>
        <v>0.16485089249724533</v>
      </c>
      <c r="S98" s="80">
        <f t="shared" si="51"/>
        <v>0.25526243960879241</v>
      </c>
      <c r="T98" s="80">
        <f t="shared" si="51"/>
        <v>0.18996407663057244</v>
      </c>
      <c r="U98" s="80">
        <f t="shared" si="51"/>
        <v>0.2182088144624327</v>
      </c>
      <c r="V98" s="80">
        <f t="shared" si="51"/>
        <v>0.20014916251595652</v>
      </c>
      <c r="W98" s="80">
        <f t="shared" si="51"/>
        <v>0.24318678334022936</v>
      </c>
      <c r="X98" s="80">
        <f t="shared" si="51"/>
        <v>0.20386610595806401</v>
      </c>
      <c r="Y98" s="80">
        <f t="shared" si="51"/>
        <v>0.25387998740360385</v>
      </c>
      <c r="Z98" s="80">
        <f t="shared" si="51"/>
        <v>0.16415520806881509</v>
      </c>
      <c r="AA98" s="80">
        <f t="shared" si="51"/>
        <v>0.20446957841017616</v>
      </c>
      <c r="AB98" s="80">
        <f t="shared" si="51"/>
        <v>0.16915248356652909</v>
      </c>
      <c r="AC98" s="80">
        <f t="shared" si="51"/>
        <v>0.18772946231239393</v>
      </c>
    </row>
    <row r="100" spans="4:29" x14ac:dyDescent="0.15">
      <c r="F100" s="4">
        <f>F34+F36</f>
        <v>2748550</v>
      </c>
      <c r="G100" s="4">
        <f>G34+G36</f>
        <v>2806183</v>
      </c>
      <c r="H100" s="4">
        <f>H34+H36</f>
        <v>2827338</v>
      </c>
      <c r="I100" s="4">
        <f t="shared" ref="I100:S100" si="52">I34+I36</f>
        <v>3138732</v>
      </c>
      <c r="J100" s="4">
        <f t="shared" si="52"/>
        <v>2639033</v>
      </c>
      <c r="K100" s="4">
        <f t="shared" si="52"/>
        <v>2883782</v>
      </c>
      <c r="L100" s="4">
        <f t="shared" si="52"/>
        <v>2480024</v>
      </c>
      <c r="M100" s="4">
        <f t="shared" si="52"/>
        <v>3264103.6135975425</v>
      </c>
      <c r="N100" s="4">
        <f t="shared" si="52"/>
        <v>3157329</v>
      </c>
      <c r="O100" s="4">
        <f t="shared" si="52"/>
        <v>3297063</v>
      </c>
      <c r="P100" s="4">
        <f t="shared" si="52"/>
        <v>3428669</v>
      </c>
      <c r="Q100" s="4">
        <f t="shared" si="52"/>
        <v>3395207</v>
      </c>
      <c r="R100" s="4">
        <f t="shared" si="52"/>
        <v>3805044</v>
      </c>
      <c r="S100" s="4">
        <f t="shared" si="52"/>
        <v>3847232</v>
      </c>
      <c r="T100" s="4">
        <f t="shared" ref="T100:Y100" si="53">T34+T36</f>
        <v>3790858</v>
      </c>
      <c r="U100" s="4">
        <f t="shared" si="53"/>
        <v>3691244</v>
      </c>
      <c r="V100" s="4">
        <f t="shared" si="53"/>
        <v>3439570</v>
      </c>
      <c r="W100" s="4">
        <f t="shared" si="53"/>
        <v>3293836</v>
      </c>
      <c r="X100" s="4">
        <f t="shared" si="53"/>
        <v>3229382</v>
      </c>
      <c r="Y100" s="4">
        <f t="shared" si="53"/>
        <v>4472902</v>
      </c>
      <c r="Z100" s="4">
        <f>Z34+Z36</f>
        <v>3615565</v>
      </c>
      <c r="AA100" s="4">
        <f>AA34+AA36</f>
        <v>3251438</v>
      </c>
      <c r="AB100" s="4">
        <f>AB34+AB36</f>
        <v>3245105</v>
      </c>
      <c r="AC100" s="4">
        <f>AC34+AC36</f>
        <v>3402217</v>
      </c>
    </row>
  </sheetData>
  <mergeCells count="16">
    <mergeCell ref="D91:D92"/>
    <mergeCell ref="D51:D56"/>
    <mergeCell ref="D81:D87"/>
    <mergeCell ref="D88:D90"/>
    <mergeCell ref="D3:D8"/>
    <mergeCell ref="D9:D14"/>
    <mergeCell ref="D15:D20"/>
    <mergeCell ref="D33:D38"/>
    <mergeCell ref="D39:D44"/>
    <mergeCell ref="D45:D50"/>
    <mergeCell ref="D57:D62"/>
    <mergeCell ref="D63:D68"/>
    <mergeCell ref="D21:D26"/>
    <mergeCell ref="D75:D80"/>
    <mergeCell ref="D27:D32"/>
    <mergeCell ref="D69:D74"/>
  </mergeCells>
  <phoneticPr fontId="40"/>
  <conditionalFormatting sqref="P8 P14 P20 P38 P44 P56 P87">
    <cfRule type="cellIs" dxfId="315" priority="238" operator="lessThan">
      <formula>0</formula>
    </cfRule>
  </conditionalFormatting>
  <conditionalFormatting sqref="P92">
    <cfRule type="cellIs" dxfId="314" priority="237" operator="lessThan">
      <formula>0</formula>
    </cfRule>
  </conditionalFormatting>
  <conditionalFormatting sqref="F8 F14 F20 F38 F44 F56">
    <cfRule type="cellIs" dxfId="313" priority="284" operator="lessThan">
      <formula>0</formula>
    </cfRule>
  </conditionalFormatting>
  <conditionalFormatting sqref="F92">
    <cfRule type="cellIs" dxfId="312" priority="283" operator="lessThan">
      <formula>0</formula>
    </cfRule>
  </conditionalFormatting>
  <conditionalFormatting sqref="F62">
    <cfRule type="cellIs" dxfId="311" priority="282" operator="lessThan">
      <formula>0</formula>
    </cfRule>
  </conditionalFormatting>
  <conditionalFormatting sqref="G8 G14 G20 G38 G44 G56 F87:G87">
    <cfRule type="cellIs" dxfId="310" priority="281" operator="lessThan">
      <formula>0</formula>
    </cfRule>
  </conditionalFormatting>
  <conditionalFormatting sqref="G92">
    <cfRule type="cellIs" dxfId="309" priority="280" operator="lessThan">
      <formula>0</formula>
    </cfRule>
  </conditionalFormatting>
  <conditionalFormatting sqref="G62">
    <cfRule type="cellIs" dxfId="308" priority="279" operator="lessThan">
      <formula>0</formula>
    </cfRule>
  </conditionalFormatting>
  <conditionalFormatting sqref="AD62">
    <cfRule type="cellIs" dxfId="307" priority="278" operator="lessThan">
      <formula>0</formula>
    </cfRule>
  </conditionalFormatting>
  <conditionalFormatting sqref="I8 I14 I20 I38 I44 I56 I87">
    <cfRule type="cellIs" dxfId="306" priority="274" operator="lessThan">
      <formula>0</formula>
    </cfRule>
  </conditionalFormatting>
  <conditionalFormatting sqref="I92">
    <cfRule type="cellIs" dxfId="305" priority="273" operator="lessThan">
      <formula>0</formula>
    </cfRule>
  </conditionalFormatting>
  <conditionalFormatting sqref="AD8:AE8 AD87:AE87 AD14:AE14 AD20:AE20 AD38:AE38 AD44:AE44 AD50:AE50 AD56:AE56">
    <cfRule type="cellIs" dxfId="304" priority="295" operator="lessThan">
      <formula>0</formula>
    </cfRule>
  </conditionalFormatting>
  <conditionalFormatting sqref="AE92">
    <cfRule type="cellIs" dxfId="303" priority="294" operator="lessThan">
      <formula>0</formula>
    </cfRule>
  </conditionalFormatting>
  <conditionalFormatting sqref="AE62">
    <cfRule type="cellIs" dxfId="302" priority="293" operator="lessThan">
      <formula>0</formula>
    </cfRule>
  </conditionalFormatting>
  <conditionalFormatting sqref="AD92">
    <cfRule type="cellIs" dxfId="301" priority="291" operator="lessThan">
      <formula>0</formula>
    </cfRule>
  </conditionalFormatting>
  <conditionalFormatting sqref="I68">
    <cfRule type="cellIs" dxfId="300" priority="218" operator="lessThan">
      <formula>0</formula>
    </cfRule>
  </conditionalFormatting>
  <conditionalFormatting sqref="J68">
    <cfRule type="cellIs" dxfId="299" priority="217" operator="lessThan">
      <formula>0</formula>
    </cfRule>
  </conditionalFormatting>
  <conditionalFormatting sqref="K68">
    <cfRule type="cellIs" dxfId="298" priority="216" operator="lessThan">
      <formula>0</formula>
    </cfRule>
  </conditionalFormatting>
  <conditionalFormatting sqref="L68">
    <cfRule type="cellIs" dxfId="297" priority="215" operator="lessThan">
      <formula>0</formula>
    </cfRule>
  </conditionalFormatting>
  <conditionalFormatting sqref="AD80">
    <cfRule type="cellIs" dxfId="296" priority="262" operator="lessThan">
      <formula>0</formula>
    </cfRule>
  </conditionalFormatting>
  <conditionalFormatting sqref="N68">
    <cfRule type="cellIs" dxfId="295" priority="213" operator="lessThan">
      <formula>0</formula>
    </cfRule>
  </conditionalFormatting>
  <conditionalFormatting sqref="P62">
    <cfRule type="cellIs" dxfId="294" priority="236" operator="lessThan">
      <formula>0</formula>
    </cfRule>
  </conditionalFormatting>
  <conditionalFormatting sqref="Q8 Q14 Q20 Q38 Q44 Q56 Q87">
    <cfRule type="cellIs" dxfId="293" priority="234" operator="lessThan">
      <formula>0</formula>
    </cfRule>
  </conditionalFormatting>
  <conditionalFormatting sqref="Q92">
    <cfRule type="cellIs" dxfId="292" priority="233" operator="lessThan">
      <formula>0</formula>
    </cfRule>
  </conditionalFormatting>
  <conditionalFormatting sqref="Q62">
    <cfRule type="cellIs" dxfId="291" priority="232" operator="lessThan">
      <formula>0</formula>
    </cfRule>
  </conditionalFormatting>
  <conditionalFormatting sqref="R8 R14 R20 R38 R44 R56 R87">
    <cfRule type="cellIs" dxfId="290" priority="230" operator="lessThan">
      <formula>0</formula>
    </cfRule>
  </conditionalFormatting>
  <conditionalFormatting sqref="H8 H14 H20 H38 H44 H56 H87">
    <cfRule type="cellIs" dxfId="289" priority="277" operator="lessThan">
      <formula>0</formula>
    </cfRule>
  </conditionalFormatting>
  <conditionalFormatting sqref="H92">
    <cfRule type="cellIs" dxfId="288" priority="276" operator="lessThan">
      <formula>0</formula>
    </cfRule>
  </conditionalFormatting>
  <conditionalFormatting sqref="H62">
    <cfRule type="cellIs" dxfId="287" priority="275" operator="lessThan">
      <formula>0</formula>
    </cfRule>
  </conditionalFormatting>
  <conditionalFormatting sqref="AE68">
    <cfRule type="cellIs" dxfId="286" priority="225" operator="lessThan">
      <formula>0</formula>
    </cfRule>
  </conditionalFormatting>
  <conditionalFormatting sqref="I62">
    <cfRule type="cellIs" dxfId="285" priority="272" operator="lessThan">
      <formula>0</formula>
    </cfRule>
  </conditionalFormatting>
  <conditionalFormatting sqref="J8 J14 J20 J38 J44 J56 J87">
    <cfRule type="cellIs" dxfId="284" priority="271" operator="lessThan">
      <formula>0</formula>
    </cfRule>
  </conditionalFormatting>
  <conditionalFormatting sqref="J92">
    <cfRule type="cellIs" dxfId="283" priority="270" operator="lessThan">
      <formula>0</formula>
    </cfRule>
  </conditionalFormatting>
  <conditionalFormatting sqref="J62">
    <cfRule type="cellIs" dxfId="282" priority="269" operator="lessThan">
      <formula>0</formula>
    </cfRule>
  </conditionalFormatting>
  <conditionalFormatting sqref="N62">
    <cfRule type="cellIs" dxfId="281" priority="244" operator="lessThan">
      <formula>0</formula>
    </cfRule>
  </conditionalFormatting>
  <conditionalFormatting sqref="AE80">
    <cfRule type="cellIs" dxfId="280" priority="267" operator="lessThan">
      <formula>0</formula>
    </cfRule>
  </conditionalFormatting>
  <conditionalFormatting sqref="O8 O14 O20 O38 O44 O56 O87">
    <cfRule type="cellIs" dxfId="279" priority="242" operator="lessThan">
      <formula>0</formula>
    </cfRule>
  </conditionalFormatting>
  <conditionalFormatting sqref="O92">
    <cfRule type="cellIs" dxfId="278" priority="241" operator="lessThan">
      <formula>0</formula>
    </cfRule>
  </conditionalFormatting>
  <conditionalFormatting sqref="M68">
    <cfRule type="cellIs" dxfId="277" priority="214" operator="lessThan">
      <formula>0</formula>
    </cfRule>
  </conditionalFormatting>
  <conditionalFormatting sqref="O68">
    <cfRule type="cellIs" dxfId="276" priority="212" operator="lessThan">
      <formula>0</formula>
    </cfRule>
  </conditionalFormatting>
  <conditionalFormatting sqref="P68">
    <cfRule type="cellIs" dxfId="275" priority="211" operator="lessThan">
      <formula>0</formula>
    </cfRule>
  </conditionalFormatting>
  <conditionalFormatting sqref="K8 K14 K20 K38 K44 K56 K87">
    <cfRule type="cellIs" dxfId="274" priority="258" operator="lessThan">
      <formula>0</formula>
    </cfRule>
  </conditionalFormatting>
  <conditionalFormatting sqref="K92">
    <cfRule type="cellIs" dxfId="273" priority="257" operator="lessThan">
      <formula>0</formula>
    </cfRule>
  </conditionalFormatting>
  <conditionalFormatting sqref="K62">
    <cfRule type="cellIs" dxfId="272" priority="256" operator="lessThan">
      <formula>0</formula>
    </cfRule>
  </conditionalFormatting>
  <conditionalFormatting sqref="S92">
    <cfRule type="cellIs" dxfId="271" priority="207" operator="lessThan">
      <formula>0</formula>
    </cfRule>
  </conditionalFormatting>
  <conditionalFormatting sqref="L8 L14 L20 L38 L44 L56 L87">
    <cfRule type="cellIs" dxfId="270" priority="254" operator="lessThan">
      <formula>0</formula>
    </cfRule>
  </conditionalFormatting>
  <conditionalFormatting sqref="L92">
    <cfRule type="cellIs" dxfId="269" priority="253" operator="lessThan">
      <formula>0</formula>
    </cfRule>
  </conditionalFormatting>
  <conditionalFormatting sqref="L62">
    <cfRule type="cellIs" dxfId="268" priority="252" operator="lessThan">
      <formula>0</formula>
    </cfRule>
  </conditionalFormatting>
  <conditionalFormatting sqref="T8 T14 T20 T38 T44 T56 T87">
    <cfRule type="cellIs" dxfId="267" priority="203" operator="lessThan">
      <formula>0</formula>
    </cfRule>
  </conditionalFormatting>
  <conditionalFormatting sqref="M8 M14 M20 M38 M44 M56 M87">
    <cfRule type="cellIs" dxfId="266" priority="250" operator="lessThan">
      <formula>0</formula>
    </cfRule>
  </conditionalFormatting>
  <conditionalFormatting sqref="M92">
    <cfRule type="cellIs" dxfId="265" priority="249" operator="lessThan">
      <formula>0</formula>
    </cfRule>
  </conditionalFormatting>
  <conditionalFormatting sqref="M62">
    <cfRule type="cellIs" dxfId="264" priority="248" operator="lessThan">
      <formula>0</formula>
    </cfRule>
  </conditionalFormatting>
  <conditionalFormatting sqref="T68">
    <cfRule type="cellIs" dxfId="263" priority="199" operator="lessThan">
      <formula>0</formula>
    </cfRule>
  </conditionalFormatting>
  <conditionalFormatting sqref="N8 N14 N20 N38 N44 N56 N87">
    <cfRule type="cellIs" dxfId="262" priority="246" operator="lessThan">
      <formula>0</formula>
    </cfRule>
  </conditionalFormatting>
  <conditionalFormatting sqref="N92">
    <cfRule type="cellIs" dxfId="261" priority="245" operator="lessThan">
      <formula>0</formula>
    </cfRule>
  </conditionalFormatting>
  <conditionalFormatting sqref="U62">
    <cfRule type="cellIs" dxfId="260" priority="196" operator="lessThan">
      <formula>0</formula>
    </cfRule>
  </conditionalFormatting>
  <conditionalFormatting sqref="U68">
    <cfRule type="cellIs" dxfId="259" priority="194" operator="lessThan">
      <formula>0</formula>
    </cfRule>
  </conditionalFormatting>
  <conditionalFormatting sqref="V8 V14 V20 V38 V44 V56 V87">
    <cfRule type="cellIs" dxfId="258" priority="193" operator="lessThan">
      <formula>0</formula>
    </cfRule>
  </conditionalFormatting>
  <conditionalFormatting sqref="O62">
    <cfRule type="cellIs" dxfId="257" priority="240" operator="lessThan">
      <formula>0</formula>
    </cfRule>
  </conditionalFormatting>
  <conditionalFormatting sqref="V62">
    <cfRule type="cellIs" dxfId="256" priority="191" operator="lessThan">
      <formula>0</formula>
    </cfRule>
  </conditionalFormatting>
  <conditionalFormatting sqref="W92">
    <cfRule type="cellIs" dxfId="255" priority="187" operator="lessThan">
      <formula>0</formula>
    </cfRule>
  </conditionalFormatting>
  <conditionalFormatting sqref="X8 X14 X20 X38 X44 X56 X87">
    <cfRule type="cellIs" dxfId="254" priority="183" operator="lessThan">
      <formula>0</formula>
    </cfRule>
  </conditionalFormatting>
  <conditionalFormatting sqref="R92">
    <cfRule type="cellIs" dxfId="253" priority="229" operator="lessThan">
      <formula>0</formula>
    </cfRule>
  </conditionalFormatting>
  <conditionalFormatting sqref="R62">
    <cfRule type="cellIs" dxfId="252" priority="228" operator="lessThan">
      <formula>0</formula>
    </cfRule>
  </conditionalFormatting>
  <conditionalFormatting sqref="X68">
    <cfRule type="cellIs" dxfId="251" priority="179" operator="lessThan">
      <formula>0</formula>
    </cfRule>
  </conditionalFormatting>
  <conditionalFormatting sqref="T92">
    <cfRule type="cellIs" dxfId="250" priority="202" operator="lessThan">
      <formula>0</formula>
    </cfRule>
  </conditionalFormatting>
  <conditionalFormatting sqref="AC92">
    <cfRule type="cellIs" dxfId="249" priority="152" operator="lessThan">
      <formula>0</formula>
    </cfRule>
  </conditionalFormatting>
  <conditionalFormatting sqref="F68">
    <cfRule type="cellIs" dxfId="248" priority="222" operator="lessThan">
      <formula>0</formula>
    </cfRule>
  </conditionalFormatting>
  <conditionalFormatting sqref="G68">
    <cfRule type="cellIs" dxfId="247" priority="221" operator="lessThan">
      <formula>0</formula>
    </cfRule>
  </conditionalFormatting>
  <conditionalFormatting sqref="AD68">
    <cfRule type="cellIs" dxfId="246" priority="220" operator="lessThan">
      <formula>0</formula>
    </cfRule>
  </conditionalFormatting>
  <conditionalFormatting sqref="H68">
    <cfRule type="cellIs" dxfId="245" priority="219" operator="lessThan">
      <formula>0</formula>
    </cfRule>
  </conditionalFormatting>
  <conditionalFormatting sqref="Q68">
    <cfRule type="cellIs" dxfId="244" priority="210" operator="lessThan">
      <formula>0</formula>
    </cfRule>
  </conditionalFormatting>
  <conditionalFormatting sqref="R68">
    <cfRule type="cellIs" dxfId="243" priority="209" operator="lessThan">
      <formula>0</formula>
    </cfRule>
  </conditionalFormatting>
  <conditionalFormatting sqref="S8 S14 S20 S38 S44 S56 S87">
    <cfRule type="cellIs" dxfId="242" priority="208" operator="lessThan">
      <formula>0</formula>
    </cfRule>
  </conditionalFormatting>
  <conditionalFormatting sqref="S62">
    <cfRule type="cellIs" dxfId="241" priority="206" operator="lessThan">
      <formula>0</formula>
    </cfRule>
  </conditionalFormatting>
  <conditionalFormatting sqref="S68">
    <cfRule type="cellIs" dxfId="240" priority="204" operator="lessThan">
      <formula>0</formula>
    </cfRule>
  </conditionalFormatting>
  <conditionalFormatting sqref="T62">
    <cfRule type="cellIs" dxfId="239" priority="201" operator="lessThan">
      <formula>0</formula>
    </cfRule>
  </conditionalFormatting>
  <conditionalFormatting sqref="AC62">
    <cfRule type="cellIs" dxfId="238" priority="151" operator="lessThan">
      <formula>0</formula>
    </cfRule>
  </conditionalFormatting>
  <conditionalFormatting sqref="U8 U14 U20 U38 U44 U56 U87">
    <cfRule type="cellIs" dxfId="237" priority="198" operator="lessThan">
      <formula>0</formula>
    </cfRule>
  </conditionalFormatting>
  <conditionalFormatting sqref="U92">
    <cfRule type="cellIs" dxfId="236" priority="197" operator="lessThan">
      <formula>0</formula>
    </cfRule>
  </conditionalFormatting>
  <conditionalFormatting sqref="G50">
    <cfRule type="cellIs" dxfId="235" priority="147" operator="lessThan">
      <formula>0</formula>
    </cfRule>
  </conditionalFormatting>
  <conditionalFormatting sqref="V92">
    <cfRule type="cellIs" dxfId="234" priority="192" operator="lessThan">
      <formula>0</formula>
    </cfRule>
  </conditionalFormatting>
  <conditionalFormatting sqref="L50">
    <cfRule type="cellIs" dxfId="233" priority="142" operator="lessThan">
      <formula>0</formula>
    </cfRule>
  </conditionalFormatting>
  <conditionalFormatting sqref="V68">
    <cfRule type="cellIs" dxfId="232" priority="189" operator="lessThan">
      <formula>0</formula>
    </cfRule>
  </conditionalFormatting>
  <conditionalFormatting sqref="W8 W14 W20 W38 W44 W56 W87">
    <cfRule type="cellIs" dxfId="231" priority="188" operator="lessThan">
      <formula>0</formula>
    </cfRule>
  </conditionalFormatting>
  <conditionalFormatting sqref="W62">
    <cfRule type="cellIs" dxfId="230" priority="186" operator="lessThan">
      <formula>0</formula>
    </cfRule>
  </conditionalFormatting>
  <conditionalFormatting sqref="Q50">
    <cfRule type="cellIs" dxfId="229" priority="137" operator="lessThan">
      <formula>0</formula>
    </cfRule>
  </conditionalFormatting>
  <conditionalFormatting sqref="W68">
    <cfRule type="cellIs" dxfId="228" priority="184" operator="lessThan">
      <formula>0</formula>
    </cfRule>
  </conditionalFormatting>
  <conditionalFormatting sqref="X92">
    <cfRule type="cellIs" dxfId="227" priority="182" operator="lessThan">
      <formula>0</formula>
    </cfRule>
  </conditionalFormatting>
  <conditionalFormatting sqref="X62">
    <cfRule type="cellIs" dxfId="226" priority="181" operator="lessThan">
      <formula>0</formula>
    </cfRule>
  </conditionalFormatting>
  <conditionalFormatting sqref="V50">
    <cfRule type="cellIs" dxfId="225" priority="132" operator="lessThan">
      <formula>0</formula>
    </cfRule>
  </conditionalFormatting>
  <conditionalFormatting sqref="Y8 Y14 Y20 Y38 Y44 Y56 Y87">
    <cfRule type="cellIs" dxfId="224" priority="178" operator="lessThan">
      <formula>0</formula>
    </cfRule>
  </conditionalFormatting>
  <conditionalFormatting sqref="Y92">
    <cfRule type="cellIs" dxfId="223" priority="177" operator="lessThan">
      <formula>0</formula>
    </cfRule>
  </conditionalFormatting>
  <conditionalFormatting sqref="Y62">
    <cfRule type="cellIs" dxfId="222" priority="176" operator="lessThan">
      <formula>0</formula>
    </cfRule>
  </conditionalFormatting>
  <conditionalFormatting sqref="AA50">
    <cfRule type="cellIs" dxfId="221" priority="127" operator="lessThan">
      <formula>0</formula>
    </cfRule>
  </conditionalFormatting>
  <conditionalFormatting sqref="Y68">
    <cfRule type="cellIs" dxfId="220" priority="174" operator="lessThan">
      <formula>0</formula>
    </cfRule>
  </conditionalFormatting>
  <conditionalFormatting sqref="Z8 Z14 Z20 Z38 Z44 Z56 Z87">
    <cfRule type="cellIs" dxfId="219" priority="173" operator="lessThan">
      <formula>0</formula>
    </cfRule>
  </conditionalFormatting>
  <conditionalFormatting sqref="Z92">
    <cfRule type="cellIs" dxfId="218" priority="172" operator="lessThan">
      <formula>0</formula>
    </cfRule>
  </conditionalFormatting>
  <conditionalFormatting sqref="Z62">
    <cfRule type="cellIs" dxfId="217" priority="171" operator="lessThan">
      <formula>0</formula>
    </cfRule>
  </conditionalFormatting>
  <conditionalFormatting sqref="Z68">
    <cfRule type="cellIs" dxfId="216" priority="169" operator="lessThan">
      <formula>0</formula>
    </cfRule>
  </conditionalFormatting>
  <conditionalFormatting sqref="AA8 AA14 AA20 AA38 AA44 AA56 AA87">
    <cfRule type="cellIs" dxfId="215" priority="168" operator="lessThan">
      <formula>0</formula>
    </cfRule>
  </conditionalFormatting>
  <conditionalFormatting sqref="AA92">
    <cfRule type="cellIs" dxfId="214" priority="167" operator="lessThan">
      <formula>0</formula>
    </cfRule>
  </conditionalFormatting>
  <conditionalFormatting sqref="AA62">
    <cfRule type="cellIs" dxfId="213" priority="166" operator="lessThan">
      <formula>0</formula>
    </cfRule>
  </conditionalFormatting>
  <conditionalFormatting sqref="AA68">
    <cfRule type="cellIs" dxfId="212" priority="164" operator="lessThan">
      <formula>0</formula>
    </cfRule>
  </conditionalFormatting>
  <conditionalFormatting sqref="AB8 AB14 AB20 AB38 AB44 AB56 AB87">
    <cfRule type="cellIs" dxfId="211" priority="163" operator="lessThan">
      <formula>0</formula>
    </cfRule>
  </conditionalFormatting>
  <conditionalFormatting sqref="AB92">
    <cfRule type="cellIs" dxfId="210" priority="162" operator="lessThan">
      <formula>0</formula>
    </cfRule>
  </conditionalFormatting>
  <conditionalFormatting sqref="AB62">
    <cfRule type="cellIs" dxfId="209" priority="161" operator="lessThan">
      <formula>0</formula>
    </cfRule>
  </conditionalFormatting>
  <conditionalFormatting sqref="AB68">
    <cfRule type="cellIs" dxfId="208" priority="159" operator="lessThan">
      <formula>0</formula>
    </cfRule>
  </conditionalFormatting>
  <conditionalFormatting sqref="AC8 AC14 AC20 AC38 AC44 AC56 AC87">
    <cfRule type="cellIs" dxfId="207" priority="153" operator="lessThan">
      <formula>0</formula>
    </cfRule>
  </conditionalFormatting>
  <conditionalFormatting sqref="AC68">
    <cfRule type="cellIs" dxfId="206" priority="149" operator="lessThan">
      <formula>0</formula>
    </cfRule>
  </conditionalFormatting>
  <conditionalFormatting sqref="AC50">
    <cfRule type="cellIs" dxfId="205" priority="125" operator="lessThan">
      <formula>0</formula>
    </cfRule>
  </conditionalFormatting>
  <conditionalFormatting sqref="AC80">
    <cfRule type="cellIs" dxfId="204" priority="77" operator="lessThan">
      <formula>0</formula>
    </cfRule>
  </conditionalFormatting>
  <conditionalFormatting sqref="F50">
    <cfRule type="cellIs" dxfId="203" priority="148" operator="lessThan">
      <formula>0</formula>
    </cfRule>
  </conditionalFormatting>
  <conditionalFormatting sqref="H50">
    <cfRule type="cellIs" dxfId="202" priority="146" operator="lessThan">
      <formula>0</formula>
    </cfRule>
  </conditionalFormatting>
  <conditionalFormatting sqref="I50">
    <cfRule type="cellIs" dxfId="201" priority="145" operator="lessThan">
      <formula>0</formula>
    </cfRule>
  </conditionalFormatting>
  <conditionalFormatting sqref="J50">
    <cfRule type="cellIs" dxfId="200" priority="144" operator="lessThan">
      <formula>0</formula>
    </cfRule>
  </conditionalFormatting>
  <conditionalFormatting sqref="K50">
    <cfRule type="cellIs" dxfId="199" priority="143" operator="lessThan">
      <formula>0</formula>
    </cfRule>
  </conditionalFormatting>
  <conditionalFormatting sqref="M50">
    <cfRule type="cellIs" dxfId="198" priority="141" operator="lessThan">
      <formula>0</formula>
    </cfRule>
  </conditionalFormatting>
  <conditionalFormatting sqref="N50">
    <cfRule type="cellIs" dxfId="197" priority="140" operator="lessThan">
      <formula>0</formula>
    </cfRule>
  </conditionalFormatting>
  <conditionalFormatting sqref="O50">
    <cfRule type="cellIs" dxfId="196" priority="139" operator="lessThan">
      <formula>0</formula>
    </cfRule>
  </conditionalFormatting>
  <conditionalFormatting sqref="P50">
    <cfRule type="cellIs" dxfId="195" priority="138" operator="lessThan">
      <formula>0</formula>
    </cfRule>
  </conditionalFormatting>
  <conditionalFormatting sqref="R50">
    <cfRule type="cellIs" dxfId="194" priority="136" operator="lessThan">
      <formula>0</formula>
    </cfRule>
  </conditionalFormatting>
  <conditionalFormatting sqref="S50">
    <cfRule type="cellIs" dxfId="193" priority="135" operator="lessThan">
      <formula>0</formula>
    </cfRule>
  </conditionalFormatting>
  <conditionalFormatting sqref="T50">
    <cfRule type="cellIs" dxfId="192" priority="134" operator="lessThan">
      <formula>0</formula>
    </cfRule>
  </conditionalFormatting>
  <conditionalFormatting sqref="U50">
    <cfRule type="cellIs" dxfId="191" priority="133" operator="lessThan">
      <formula>0</formula>
    </cfRule>
  </conditionalFormatting>
  <conditionalFormatting sqref="W50">
    <cfRule type="cellIs" dxfId="190" priority="131" operator="lessThan">
      <formula>0</formula>
    </cfRule>
  </conditionalFormatting>
  <conditionalFormatting sqref="X50">
    <cfRule type="cellIs" dxfId="189" priority="130" operator="lessThan">
      <formula>0</formula>
    </cfRule>
  </conditionalFormatting>
  <conditionalFormatting sqref="Y50">
    <cfRule type="cellIs" dxfId="188" priority="129" operator="lessThan">
      <formula>0</formula>
    </cfRule>
  </conditionalFormatting>
  <conditionalFormatting sqref="Z50">
    <cfRule type="cellIs" dxfId="187" priority="128" operator="lessThan">
      <formula>0</formula>
    </cfRule>
  </conditionalFormatting>
  <conditionalFormatting sqref="AB50">
    <cfRule type="cellIs" dxfId="186" priority="126" operator="lessThan">
      <formula>0</formula>
    </cfRule>
  </conditionalFormatting>
  <conditionalFormatting sqref="T80">
    <cfRule type="cellIs" dxfId="185" priority="86" operator="lessThan">
      <formula>0</formula>
    </cfRule>
  </conditionalFormatting>
  <conditionalFormatting sqref="F80">
    <cfRule type="cellIs" dxfId="184" priority="100" operator="lessThan">
      <formula>0</formula>
    </cfRule>
  </conditionalFormatting>
  <conditionalFormatting sqref="G80">
    <cfRule type="cellIs" dxfId="183" priority="99" operator="lessThan">
      <formula>0</formula>
    </cfRule>
  </conditionalFormatting>
  <conditionalFormatting sqref="H80">
    <cfRule type="cellIs" dxfId="182" priority="98" operator="lessThan">
      <formula>0</formula>
    </cfRule>
  </conditionalFormatting>
  <conditionalFormatting sqref="I80">
    <cfRule type="cellIs" dxfId="181" priority="97" operator="lessThan">
      <formula>0</formula>
    </cfRule>
  </conditionalFormatting>
  <conditionalFormatting sqref="J80">
    <cfRule type="cellIs" dxfId="180" priority="96" operator="lessThan">
      <formula>0</formula>
    </cfRule>
  </conditionalFormatting>
  <conditionalFormatting sqref="K80">
    <cfRule type="cellIs" dxfId="179" priority="95" operator="lessThan">
      <formula>0</formula>
    </cfRule>
  </conditionalFormatting>
  <conditionalFormatting sqref="L80">
    <cfRule type="cellIs" dxfId="178" priority="94" operator="lessThan">
      <formula>0</formula>
    </cfRule>
  </conditionalFormatting>
  <conditionalFormatting sqref="M80">
    <cfRule type="cellIs" dxfId="177" priority="93" operator="lessThan">
      <formula>0</formula>
    </cfRule>
  </conditionalFormatting>
  <conditionalFormatting sqref="N80">
    <cfRule type="cellIs" dxfId="176" priority="92" operator="lessThan">
      <formula>0</formula>
    </cfRule>
  </conditionalFormatting>
  <conditionalFormatting sqref="O80">
    <cfRule type="cellIs" dxfId="175" priority="91" operator="lessThan">
      <formula>0</formula>
    </cfRule>
  </conditionalFormatting>
  <conditionalFormatting sqref="P80">
    <cfRule type="cellIs" dxfId="174" priority="90" operator="lessThan">
      <formula>0</formula>
    </cfRule>
  </conditionalFormatting>
  <conditionalFormatting sqref="Q80">
    <cfRule type="cellIs" dxfId="173" priority="89" operator="lessThan">
      <formula>0</formula>
    </cfRule>
  </conditionalFormatting>
  <conditionalFormatting sqref="R80">
    <cfRule type="cellIs" dxfId="172" priority="88" operator="lessThan">
      <formula>0</formula>
    </cfRule>
  </conditionalFormatting>
  <conditionalFormatting sqref="S80">
    <cfRule type="cellIs" dxfId="171" priority="87" operator="lessThan">
      <formula>0</formula>
    </cfRule>
  </conditionalFormatting>
  <conditionalFormatting sqref="U80">
    <cfRule type="cellIs" dxfId="170" priority="85" operator="lessThan">
      <formula>0</formula>
    </cfRule>
  </conditionalFormatting>
  <conditionalFormatting sqref="V80">
    <cfRule type="cellIs" dxfId="169" priority="84" operator="lessThan">
      <formula>0</formula>
    </cfRule>
  </conditionalFormatting>
  <conditionalFormatting sqref="W80">
    <cfRule type="cellIs" dxfId="168" priority="83" operator="lessThan">
      <formula>0</formula>
    </cfRule>
  </conditionalFormatting>
  <conditionalFormatting sqref="X80">
    <cfRule type="cellIs" dxfId="167" priority="82" operator="lessThan">
      <formula>0</formula>
    </cfRule>
  </conditionalFormatting>
  <conditionalFormatting sqref="Y80">
    <cfRule type="cellIs" dxfId="166" priority="81" operator="lessThan">
      <formula>0</formula>
    </cfRule>
  </conditionalFormatting>
  <conditionalFormatting sqref="Z80">
    <cfRule type="cellIs" dxfId="165" priority="80" operator="lessThan">
      <formula>0</formula>
    </cfRule>
  </conditionalFormatting>
  <conditionalFormatting sqref="AA80">
    <cfRule type="cellIs" dxfId="164" priority="79" operator="lessThan">
      <formula>0</formula>
    </cfRule>
  </conditionalFormatting>
  <conditionalFormatting sqref="AB80">
    <cfRule type="cellIs" dxfId="163" priority="78" operator="lessThan">
      <formula>0</formula>
    </cfRule>
  </conditionalFormatting>
  <conditionalFormatting sqref="P26">
    <cfRule type="cellIs" dxfId="162" priority="65" operator="lessThan">
      <formula>0</formula>
    </cfRule>
  </conditionalFormatting>
  <conditionalFormatting sqref="F26">
    <cfRule type="cellIs" dxfId="161" priority="75" operator="lessThan">
      <formula>0</formula>
    </cfRule>
  </conditionalFormatting>
  <conditionalFormatting sqref="G26">
    <cfRule type="cellIs" dxfId="160" priority="74" operator="lessThan">
      <formula>0</formula>
    </cfRule>
  </conditionalFormatting>
  <conditionalFormatting sqref="I26">
    <cfRule type="cellIs" dxfId="159" priority="72" operator="lessThan">
      <formula>0</formula>
    </cfRule>
  </conditionalFormatting>
  <conditionalFormatting sqref="AD26:AE26">
    <cfRule type="cellIs" dxfId="158" priority="76" operator="lessThan">
      <formula>0</formula>
    </cfRule>
  </conditionalFormatting>
  <conditionalFormatting sqref="Q26">
    <cfRule type="cellIs" dxfId="157" priority="64" operator="lessThan">
      <formula>0</formula>
    </cfRule>
  </conditionalFormatting>
  <conditionalFormatting sqref="R26">
    <cfRule type="cellIs" dxfId="156" priority="63" operator="lessThan">
      <formula>0</formula>
    </cfRule>
  </conditionalFormatting>
  <conditionalFormatting sqref="H26">
    <cfRule type="cellIs" dxfId="155" priority="73" operator="lessThan">
      <formula>0</formula>
    </cfRule>
  </conditionalFormatting>
  <conditionalFormatting sqref="J26">
    <cfRule type="cellIs" dxfId="154" priority="71" operator="lessThan">
      <formula>0</formula>
    </cfRule>
  </conditionalFormatting>
  <conditionalFormatting sqref="O26">
    <cfRule type="cellIs" dxfId="153" priority="66" operator="lessThan">
      <formula>0</formula>
    </cfRule>
  </conditionalFormatting>
  <conditionalFormatting sqref="K26">
    <cfRule type="cellIs" dxfId="152" priority="70" operator="lessThan">
      <formula>0</formula>
    </cfRule>
  </conditionalFormatting>
  <conditionalFormatting sqref="L26">
    <cfRule type="cellIs" dxfId="151" priority="69" operator="lessThan">
      <formula>0</formula>
    </cfRule>
  </conditionalFormatting>
  <conditionalFormatting sqref="T26">
    <cfRule type="cellIs" dxfId="150" priority="61" operator="lessThan">
      <formula>0</formula>
    </cfRule>
  </conditionalFormatting>
  <conditionalFormatting sqref="M26">
    <cfRule type="cellIs" dxfId="149" priority="68" operator="lessThan">
      <formula>0</formula>
    </cfRule>
  </conditionalFormatting>
  <conditionalFormatting sqref="N26">
    <cfRule type="cellIs" dxfId="148" priority="67" operator="lessThan">
      <formula>0</formula>
    </cfRule>
  </conditionalFormatting>
  <conditionalFormatting sqref="V26">
    <cfRule type="cellIs" dxfId="147" priority="59" operator="lessThan">
      <formula>0</formula>
    </cfRule>
  </conditionalFormatting>
  <conditionalFormatting sqref="X26">
    <cfRule type="cellIs" dxfId="146" priority="57" operator="lessThan">
      <formula>0</formula>
    </cfRule>
  </conditionalFormatting>
  <conditionalFormatting sqref="S26">
    <cfRule type="cellIs" dxfId="145" priority="62" operator="lessThan">
      <formula>0</formula>
    </cfRule>
  </conditionalFormatting>
  <conditionalFormatting sqref="U26">
    <cfRule type="cellIs" dxfId="144" priority="60" operator="lessThan">
      <formula>0</formula>
    </cfRule>
  </conditionalFormatting>
  <conditionalFormatting sqref="W26">
    <cfRule type="cellIs" dxfId="143" priority="58" operator="lessThan">
      <formula>0</formula>
    </cfRule>
  </conditionalFormatting>
  <conditionalFormatting sqref="Y26">
    <cfRule type="cellIs" dxfId="142" priority="56" operator="lessThan">
      <formula>0</formula>
    </cfRule>
  </conditionalFormatting>
  <conditionalFormatting sqref="Z26">
    <cfRule type="cellIs" dxfId="141" priority="55" operator="lessThan">
      <formula>0</formula>
    </cfRule>
  </conditionalFormatting>
  <conditionalFormatting sqref="AA26">
    <cfRule type="cellIs" dxfId="140" priority="54" operator="lessThan">
      <formula>0</formula>
    </cfRule>
  </conditionalFormatting>
  <conditionalFormatting sqref="AB26">
    <cfRule type="cellIs" dxfId="139" priority="53" operator="lessThan">
      <formula>0</formula>
    </cfRule>
  </conditionalFormatting>
  <conditionalFormatting sqref="AC26">
    <cfRule type="cellIs" dxfId="138" priority="52" operator="lessThan">
      <formula>0</formula>
    </cfRule>
  </conditionalFormatting>
  <conditionalFormatting sqref="P32">
    <cfRule type="cellIs" dxfId="137" priority="40" operator="lessThan">
      <formula>0</formula>
    </cfRule>
  </conditionalFormatting>
  <conditionalFormatting sqref="F32">
    <cfRule type="cellIs" dxfId="136" priority="50" operator="lessThan">
      <formula>0</formula>
    </cfRule>
  </conditionalFormatting>
  <conditionalFormatting sqref="G32">
    <cfRule type="cellIs" dxfId="135" priority="49" operator="lessThan">
      <formula>0</formula>
    </cfRule>
  </conditionalFormatting>
  <conditionalFormatting sqref="I32">
    <cfRule type="cellIs" dxfId="134" priority="47" operator="lessThan">
      <formula>0</formula>
    </cfRule>
  </conditionalFormatting>
  <conditionalFormatting sqref="AD32:AE32">
    <cfRule type="cellIs" dxfId="133" priority="51" operator="lessThan">
      <formula>0</formula>
    </cfRule>
  </conditionalFormatting>
  <conditionalFormatting sqref="Q32">
    <cfRule type="cellIs" dxfId="132" priority="39" operator="lessThan">
      <formula>0</formula>
    </cfRule>
  </conditionalFormatting>
  <conditionalFormatting sqref="R32">
    <cfRule type="cellIs" dxfId="131" priority="38" operator="lessThan">
      <formula>0</formula>
    </cfRule>
  </conditionalFormatting>
  <conditionalFormatting sqref="H32">
    <cfRule type="cellIs" dxfId="130" priority="48" operator="lessThan">
      <formula>0</formula>
    </cfRule>
  </conditionalFormatting>
  <conditionalFormatting sqref="J32">
    <cfRule type="cellIs" dxfId="129" priority="46" operator="lessThan">
      <formula>0</formula>
    </cfRule>
  </conditionalFormatting>
  <conditionalFormatting sqref="O32">
    <cfRule type="cellIs" dxfId="128" priority="41" operator="lessThan">
      <formula>0</formula>
    </cfRule>
  </conditionalFormatting>
  <conditionalFormatting sqref="K32">
    <cfRule type="cellIs" dxfId="127" priority="45" operator="lessThan">
      <formula>0</formula>
    </cfRule>
  </conditionalFormatting>
  <conditionalFormatting sqref="L32">
    <cfRule type="cellIs" dxfId="126" priority="44" operator="lessThan">
      <formula>0</formula>
    </cfRule>
  </conditionalFormatting>
  <conditionalFormatting sqref="T32">
    <cfRule type="cellIs" dxfId="125" priority="36" operator="lessThan">
      <formula>0</formula>
    </cfRule>
  </conditionalFormatting>
  <conditionalFormatting sqref="M32">
    <cfRule type="cellIs" dxfId="124" priority="43" operator="lessThan">
      <formula>0</formula>
    </cfRule>
  </conditionalFormatting>
  <conditionalFormatting sqref="N32">
    <cfRule type="cellIs" dxfId="123" priority="42" operator="lessThan">
      <formula>0</formula>
    </cfRule>
  </conditionalFormatting>
  <conditionalFormatting sqref="V32">
    <cfRule type="cellIs" dxfId="122" priority="34" operator="lessThan">
      <formula>0</formula>
    </cfRule>
  </conditionalFormatting>
  <conditionalFormatting sqref="X32">
    <cfRule type="cellIs" dxfId="121" priority="32" operator="lessThan">
      <formula>0</formula>
    </cfRule>
  </conditionalFormatting>
  <conditionalFormatting sqref="S32">
    <cfRule type="cellIs" dxfId="120" priority="37" operator="lessThan">
      <formula>0</formula>
    </cfRule>
  </conditionalFormatting>
  <conditionalFormatting sqref="U32">
    <cfRule type="cellIs" dxfId="119" priority="35" operator="lessThan">
      <formula>0</formula>
    </cfRule>
  </conditionalFormatting>
  <conditionalFormatting sqref="W32">
    <cfRule type="cellIs" dxfId="118" priority="33" operator="lessThan">
      <formula>0</formula>
    </cfRule>
  </conditionalFormatting>
  <conditionalFormatting sqref="Y32">
    <cfRule type="cellIs" dxfId="117" priority="31" operator="lessThan">
      <formula>0</formula>
    </cfRule>
  </conditionalFormatting>
  <conditionalFormatting sqref="Z32">
    <cfRule type="cellIs" dxfId="116" priority="30" operator="lessThan">
      <formula>0</formula>
    </cfRule>
  </conditionalFormatting>
  <conditionalFormatting sqref="AA32">
    <cfRule type="cellIs" dxfId="115" priority="29" operator="lessThan">
      <formula>0</formula>
    </cfRule>
  </conditionalFormatting>
  <conditionalFormatting sqref="AB32">
    <cfRule type="cellIs" dxfId="114" priority="28" operator="lessThan">
      <formula>0</formula>
    </cfRule>
  </conditionalFormatting>
  <conditionalFormatting sqref="AC32">
    <cfRule type="cellIs" dxfId="113" priority="27" operator="lessThan">
      <formula>0</formula>
    </cfRule>
  </conditionalFormatting>
  <conditionalFormatting sqref="I74">
    <cfRule type="cellIs" dxfId="112" priority="21" operator="lessThan">
      <formula>0</formula>
    </cfRule>
  </conditionalFormatting>
  <conditionalFormatting sqref="J74">
    <cfRule type="cellIs" dxfId="111" priority="20" operator="lessThan">
      <formula>0</formula>
    </cfRule>
  </conditionalFormatting>
  <conditionalFormatting sqref="K74">
    <cfRule type="cellIs" dxfId="110" priority="19" operator="lessThan">
      <formula>0</formula>
    </cfRule>
  </conditionalFormatting>
  <conditionalFormatting sqref="L74">
    <cfRule type="cellIs" dxfId="109" priority="18" operator="lessThan">
      <formula>0</formula>
    </cfRule>
  </conditionalFormatting>
  <conditionalFormatting sqref="N74">
    <cfRule type="cellIs" dxfId="108" priority="16" operator="lessThan">
      <formula>0</formula>
    </cfRule>
  </conditionalFormatting>
  <conditionalFormatting sqref="AE74">
    <cfRule type="cellIs" dxfId="107" priority="26" operator="lessThan">
      <formula>0</formula>
    </cfRule>
  </conditionalFormatting>
  <conditionalFormatting sqref="M74">
    <cfRule type="cellIs" dxfId="106" priority="17" operator="lessThan">
      <formula>0</formula>
    </cfRule>
  </conditionalFormatting>
  <conditionalFormatting sqref="O74">
    <cfRule type="cellIs" dxfId="105" priority="15" operator="lessThan">
      <formula>0</formula>
    </cfRule>
  </conditionalFormatting>
  <conditionalFormatting sqref="P74">
    <cfRule type="cellIs" dxfId="104" priority="14" operator="lessThan">
      <formula>0</formula>
    </cfRule>
  </conditionalFormatting>
  <conditionalFormatting sqref="T74">
    <cfRule type="cellIs" dxfId="103" priority="10" operator="lessThan">
      <formula>0</formula>
    </cfRule>
  </conditionalFormatting>
  <conditionalFormatting sqref="U74">
    <cfRule type="cellIs" dxfId="102" priority="9" operator="lessThan">
      <formula>0</formula>
    </cfRule>
  </conditionalFormatting>
  <conditionalFormatting sqref="X74">
    <cfRule type="cellIs" dxfId="101" priority="6" operator="lessThan">
      <formula>0</formula>
    </cfRule>
  </conditionalFormatting>
  <conditionalFormatting sqref="F74">
    <cfRule type="cellIs" dxfId="100" priority="25" operator="lessThan">
      <formula>0</formula>
    </cfRule>
  </conditionalFormatting>
  <conditionalFormatting sqref="G74">
    <cfRule type="cellIs" dxfId="99" priority="24" operator="lessThan">
      <formula>0</formula>
    </cfRule>
  </conditionalFormatting>
  <conditionalFormatting sqref="AD74">
    <cfRule type="cellIs" dxfId="98" priority="23" operator="lessThan">
      <formula>0</formula>
    </cfRule>
  </conditionalFormatting>
  <conditionalFormatting sqref="H74">
    <cfRule type="cellIs" dxfId="97" priority="22" operator="lessThan">
      <formula>0</formula>
    </cfRule>
  </conditionalFormatting>
  <conditionalFormatting sqref="Q74">
    <cfRule type="cellIs" dxfId="96" priority="13" operator="lessThan">
      <formula>0</formula>
    </cfRule>
  </conditionalFormatting>
  <conditionalFormatting sqref="R74">
    <cfRule type="cellIs" dxfId="95" priority="12" operator="lessThan">
      <formula>0</formula>
    </cfRule>
  </conditionalFormatting>
  <conditionalFormatting sqref="S74">
    <cfRule type="cellIs" dxfId="94" priority="11" operator="lessThan">
      <formula>0</formula>
    </cfRule>
  </conditionalFormatting>
  <conditionalFormatting sqref="V74">
    <cfRule type="cellIs" dxfId="93" priority="8" operator="lessThan">
      <formula>0</formula>
    </cfRule>
  </conditionalFormatting>
  <conditionalFormatting sqref="W74">
    <cfRule type="cellIs" dxfId="92" priority="7" operator="lessThan">
      <formula>0</formula>
    </cfRule>
  </conditionalFormatting>
  <conditionalFormatting sqref="Y74">
    <cfRule type="cellIs" dxfId="91" priority="5" operator="lessThan">
      <formula>0</formula>
    </cfRule>
  </conditionalFormatting>
  <conditionalFormatting sqref="Z74">
    <cfRule type="cellIs" dxfId="90" priority="4" operator="lessThan">
      <formula>0</formula>
    </cfRule>
  </conditionalFormatting>
  <conditionalFormatting sqref="AA74">
    <cfRule type="cellIs" dxfId="89" priority="3" operator="lessThan">
      <formula>0</formula>
    </cfRule>
  </conditionalFormatting>
  <conditionalFormatting sqref="AB74">
    <cfRule type="cellIs" dxfId="88" priority="2" operator="lessThan">
      <formula>0</formula>
    </cfRule>
  </conditionalFormatting>
  <conditionalFormatting sqref="AC74">
    <cfRule type="cellIs" dxfId="87" priority="1" operator="lessThan">
      <formula>0</formula>
    </cfRule>
  </conditionalFormatting>
  <printOptions horizontalCentered="1"/>
  <pageMargins left="0.31496062992125984" right="0.31496062992125984" top="0.70866141732283472" bottom="0.31496062992125984" header="0.23622047244094491" footer="0.19685039370078741"/>
  <pageSetup paperSize="8" scale="47" orientation="portrait" r:id="rId1"/>
  <headerFooter>
    <oddHeader>&amp;L&amp;A&amp;R日付 &amp;D</oddHeader>
    <oddFooter>&amp;L介護サービス友乃家&amp;C&amp;P／&amp;N&amp;R&amp;F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R81"/>
  <sheetViews>
    <sheetView zoomScale="90" zoomScaleNormal="90" workbookViewId="0">
      <pane xSplit="4" ySplit="3" topLeftCell="E4" activePane="bottomRight" state="frozen"/>
      <selection activeCell="C1" sqref="C1"/>
      <selection pane="topRight" activeCell="E1" sqref="E1"/>
      <selection pane="bottomLeft" activeCell="C4" sqref="C4"/>
      <selection pane="bottomRight" activeCell="I65" sqref="I65"/>
    </sheetView>
  </sheetViews>
  <sheetFormatPr defaultColWidth="10" defaultRowHeight="13.5" x14ac:dyDescent="0.15"/>
  <cols>
    <col min="1" max="2" width="10" style="217" hidden="1" customWidth="1"/>
    <col min="3" max="3" width="11.625" style="226" customWidth="1"/>
    <col min="4" max="4" width="17.25" style="226" customWidth="1"/>
    <col min="5" max="16" width="12.625" style="217" customWidth="1"/>
    <col min="17" max="18" width="13.125" style="217" customWidth="1"/>
    <col min="19" max="16384" width="10" style="217"/>
  </cols>
  <sheetData>
    <row r="1" spans="1:18" ht="18.75" x14ac:dyDescent="0.15">
      <c r="C1" s="2152" t="s">
        <v>1331</v>
      </c>
      <c r="D1" s="2152"/>
      <c r="E1" s="2152"/>
    </row>
    <row r="2" spans="1:18" ht="14.25" thickBot="1" x14ac:dyDescent="0.2"/>
    <row r="3" spans="1:18" s="218" customFormat="1" ht="18" customHeight="1" thickBot="1" x14ac:dyDescent="0.2">
      <c r="C3" s="227" t="s">
        <v>100</v>
      </c>
      <c r="D3" s="245" t="s">
        <v>326</v>
      </c>
      <c r="E3" s="774">
        <f>DATE(YEAR(推移!AB2),9,1)</f>
        <v>43344</v>
      </c>
      <c r="F3" s="673">
        <f>EDATE(E3,1)</f>
        <v>43374</v>
      </c>
      <c r="G3" s="673">
        <f t="shared" ref="G3:P3" si="0">EDATE(F3,1)</f>
        <v>43405</v>
      </c>
      <c r="H3" s="673">
        <f t="shared" si="0"/>
        <v>43435</v>
      </c>
      <c r="I3" s="673">
        <f t="shared" si="0"/>
        <v>43466</v>
      </c>
      <c r="J3" s="673">
        <f t="shared" si="0"/>
        <v>43497</v>
      </c>
      <c r="K3" s="673">
        <f t="shared" si="0"/>
        <v>43525</v>
      </c>
      <c r="L3" s="673">
        <f t="shared" si="0"/>
        <v>43556</v>
      </c>
      <c r="M3" s="673">
        <f t="shared" si="0"/>
        <v>43586</v>
      </c>
      <c r="N3" s="673">
        <f t="shared" si="0"/>
        <v>43617</v>
      </c>
      <c r="O3" s="673">
        <f t="shared" si="0"/>
        <v>43647</v>
      </c>
      <c r="P3" s="674">
        <f t="shared" si="0"/>
        <v>43678</v>
      </c>
      <c r="Q3" s="697">
        <f>推移!$AB$2</f>
        <v>43344</v>
      </c>
      <c r="R3" s="696">
        <f>推移!$AB$2</f>
        <v>43344</v>
      </c>
    </row>
    <row r="4" spans="1:18" ht="18" customHeight="1" x14ac:dyDescent="0.15">
      <c r="A4" s="675" t="s">
        <v>779</v>
      </c>
      <c r="B4" s="675" t="s">
        <v>789</v>
      </c>
      <c r="C4" s="2146" t="s">
        <v>102</v>
      </c>
      <c r="D4" s="246" t="s">
        <v>319</v>
      </c>
      <c r="E4" s="240">
        <f>IFERROR(GETPIVOTDATA("合計 / " &amp; $B4,【ピボット】国保連売上!$A$3,"年月",E$3,"事業所",$A4,"請求区分","単月")
+GETPIVOTDATA("合計 / " &amp; $B4,【ピボット】国保連売上!$A$3,"年月",E$3,"事業所",$A4,"請求区分","再請求"),"")</f>
        <v>11464512</v>
      </c>
      <c r="F4" s="220">
        <f>IFERROR(GETPIVOTDATA("合計 / " &amp; $B4,【ピボット】国保連売上!$A$3,"年月",F$3,"事業所",$A4,"請求区分","単月")
+GETPIVOTDATA("合計 / " &amp; $B4,【ピボット】国保連売上!$A$3,"年月",F$3,"事業所",$A4,"請求区分","再請求"),"")</f>
        <v>12049796</v>
      </c>
      <c r="G4" s="220">
        <f>IFERROR(GETPIVOTDATA("合計 / " &amp; $B4,【ピボット】国保連売上!$A$3,"年月",G$3,"事業所",$A4,"請求区分","単月")
+GETPIVOTDATA("合計 / " &amp; $B4,【ピボット】国保連売上!$A$3,"年月",G$3,"事業所",$A4,"請求区分","再請求"),"")</f>
        <v>12559959</v>
      </c>
      <c r="H4" s="220">
        <f>IFERROR(GETPIVOTDATA("合計 / " &amp; $B4,【ピボット】国保連売上!$A$3,"年月",H$3,"事業所",$A4,"請求区分","単月")
+GETPIVOTDATA("合計 / " &amp; $B4,【ピボット】国保連売上!$A$3,"年月",H$3,"事業所",$A4,"請求区分","再請求"),"")</f>
        <v>11638190</v>
      </c>
      <c r="I4" s="220">
        <f>IFERROR(GETPIVOTDATA("合計 / " &amp; $B4,【ピボット】国保連売上!$A$3,"年月",I$3,"事業所",$A4,"請求区分","単月")
+GETPIVOTDATA("合計 / " &amp; $B4,【ピボット】国保連売上!$A$3,"年月",I$3,"事業所",$A4,"請求区分","再請求"),"")</f>
        <v>12015078</v>
      </c>
      <c r="J4" s="220">
        <f>IFERROR(GETPIVOTDATA("合計 / " &amp; $B4,【ピボット】国保連売上!$A$3,"年月",J$3,"事業所",$A4,"請求区分","単月")
+GETPIVOTDATA("合計 / " &amp; $B4,【ピボット】国保連売上!$A$3,"年月",J$3,"事業所",$A4,"請求区分","再請求"),"")</f>
        <v>11017300</v>
      </c>
      <c r="K4" s="220">
        <f>IFERROR(GETPIVOTDATA("合計 / " &amp; $B4,【ピボット】国保連売上!$A$3,"年月",K$3,"事業所",$A4,"請求区分","単月")
+GETPIVOTDATA("合計 / " &amp; $B4,【ピボット】国保連売上!$A$3,"年月",K$3,"事業所",$A4,"請求区分","再請求"),"")</f>
        <v>12195483</v>
      </c>
      <c r="L4" s="220">
        <f>IFERROR(GETPIVOTDATA("合計 / " &amp; $B4,【ピボット】国保連売上!$A$3,"年月",L$3,"事業所",$A4,"請求区分","単月")
+GETPIVOTDATA("合計 / " &amp; $B4,【ピボット】国保連売上!$A$3,"年月",L$3,"事業所",$A4,"請求区分","再請求"),"")</f>
        <v>12244884</v>
      </c>
      <c r="M4" s="220" t="str">
        <f>IFERROR(GETPIVOTDATA("合計 / " &amp; $B4,【ピボット】国保連売上!$A$3,"年月",M$3,"事業所",$A4,"請求区分","単月")
+GETPIVOTDATA("合計 / " &amp; $B4,【ピボット】国保連売上!$A$3,"年月",M$3,"事業所",$A4,"請求区分","再請求"),"")</f>
        <v/>
      </c>
      <c r="N4" s="220" t="str">
        <f>IFERROR(GETPIVOTDATA("合計 / " &amp; $B4,【ピボット】国保連売上!$A$3,"年月",N$3,"事業所",$A4,"請求区分","単月")
+GETPIVOTDATA("合計 / " &amp; $B4,【ピボット】国保連売上!$A$3,"年月",N$3,"事業所",$A4,"請求区分","再請求"),"")</f>
        <v/>
      </c>
      <c r="O4" s="220" t="str">
        <f>IFERROR(GETPIVOTDATA("合計 / " &amp; $B4,【ピボット】国保連売上!$A$3,"年月",O$3,"事業所",$A4,"請求区分","単月")
+GETPIVOTDATA("合計 / " &amp; $B4,【ピボット】国保連売上!$A$3,"年月",O$3,"事業所",$A4,"請求区分","再請求"),"")</f>
        <v/>
      </c>
      <c r="P4" s="221" t="str">
        <f>IFERROR(GETPIVOTDATA("合計 / " &amp; $B4,【ピボット】国保連売上!$A$3,"年月",P$3,"事業所",$A4,"請求区分","単月")
+GETPIVOTDATA("合計 / " &amp; $B4,【ピボット】国保連売上!$A$3,"年月",P$3,"事業所",$A4,"請求区分","再請求"),"")</f>
        <v/>
      </c>
      <c r="Q4" s="240">
        <f>SUM(E4:P4)</f>
        <v>95185202</v>
      </c>
      <c r="R4" s="221">
        <f>AVERAGE(E4:P4)</f>
        <v>11898150.25</v>
      </c>
    </row>
    <row r="5" spans="1:18" ht="18" customHeight="1" x14ac:dyDescent="0.15">
      <c r="A5" s="675" t="s">
        <v>870</v>
      </c>
      <c r="B5" s="675" t="s">
        <v>869</v>
      </c>
      <c r="C5" s="2147"/>
      <c r="D5" s="247" t="s">
        <v>318</v>
      </c>
      <c r="E5" s="241">
        <f>IFERROR(E9-E6,"")</f>
        <v>11799256</v>
      </c>
      <c r="F5" s="222">
        <f t="shared" ref="F5:P5" si="1">IFERROR(F9-F6,"")</f>
        <v>12998734</v>
      </c>
      <c r="G5" s="222">
        <f t="shared" si="1"/>
        <v>13382858</v>
      </c>
      <c r="H5" s="222">
        <f t="shared" si="1"/>
        <v>12337519</v>
      </c>
      <c r="I5" s="222">
        <f t="shared" si="1"/>
        <v>12718827</v>
      </c>
      <c r="J5" s="222">
        <f t="shared" si="1"/>
        <v>11770688</v>
      </c>
      <c r="K5" s="222">
        <f t="shared" si="1"/>
        <v>12865475</v>
      </c>
      <c r="L5" s="222">
        <f t="shared" si="1"/>
        <v>12901588</v>
      </c>
      <c r="M5" s="222" t="str">
        <f t="shared" si="1"/>
        <v/>
      </c>
      <c r="N5" s="222" t="str">
        <f t="shared" si="1"/>
        <v/>
      </c>
      <c r="O5" s="222" t="str">
        <f t="shared" si="1"/>
        <v/>
      </c>
      <c r="P5" s="223" t="str">
        <f t="shared" si="1"/>
        <v/>
      </c>
      <c r="Q5" s="241">
        <f>SUM(E5:P5)</f>
        <v>100774945</v>
      </c>
      <c r="R5" s="223">
        <f t="shared" ref="R5:R41" si="2">AVERAGE(E5:P5)</f>
        <v>12596868.125</v>
      </c>
    </row>
    <row r="6" spans="1:18" ht="18" customHeight="1" x14ac:dyDescent="0.15">
      <c r="A6" s="675" t="s">
        <v>791</v>
      </c>
      <c r="B6" s="675" t="s">
        <v>790</v>
      </c>
      <c r="C6" s="2147"/>
      <c r="D6" s="248" t="s">
        <v>327</v>
      </c>
      <c r="E6" s="695">
        <f>IFERROR(GETPIVOTDATA("合計 / " &amp; $B6,【ピボット】国保連売上!$A$3,"年月",E$3,"事業所",$A6,"請求区分","単月")
+GETPIVOTDATA("合計 / " &amp; $B6,【ピボット】国保連売上!$A$3,"年月",E$3,"事業所",$A6,"請求区分","再請求"),"")</f>
        <v>-559746</v>
      </c>
      <c r="F6" s="236">
        <f>IFERROR(GETPIVOTDATA("合計 / " &amp; $B6,【ピボット】国保連売上!$A$3,"年月",F$3,"事業所",$A6,"請求区分","単月")
+GETPIVOTDATA("合計 / " &amp; $B6,【ピボット】国保連売上!$A$3,"年月",F$3,"事業所",$A6,"請求区分","再請求"),"")</f>
        <v>-487402</v>
      </c>
      <c r="G6" s="236">
        <f>IFERROR(GETPIVOTDATA("合計 / " &amp; $B6,【ピボット】国保連売上!$A$3,"年月",G$3,"事業所",$A6,"請求区分","単月")
+GETPIVOTDATA("合計 / " &amp; $B6,【ピボット】国保連売上!$A$3,"年月",G$3,"事業所",$A6,"請求区分","再請求"),"")</f>
        <v>-604187</v>
      </c>
      <c r="H6" s="236">
        <f>IFERROR(GETPIVOTDATA("合計 / " &amp; $B6,【ピボット】国保連売上!$A$3,"年月",H$3,"事業所",$A6,"請求区分","単月")
+GETPIVOTDATA("合計 / " &amp; $B6,【ピボット】国保連売上!$A$3,"年月",H$3,"事業所",$A6,"請求区分","再請求"),"")</f>
        <v>-174428</v>
      </c>
      <c r="I6" s="236">
        <f>IFERROR(GETPIVOTDATA("合計 / " &amp; $B6,【ピボット】国保連売上!$A$3,"年月",I$3,"事業所",$A6,"請求区分","単月")
+GETPIVOTDATA("合計 / " &amp; $B6,【ピボット】国保連売上!$A$3,"年月",I$3,"事業所",$A6,"請求区分","再請求"),"")</f>
        <v>-50001</v>
      </c>
      <c r="J6" s="236">
        <f>IFERROR(GETPIVOTDATA("合計 / " &amp; $B6,【ピボット】国保連売上!$A$3,"年月",J$3,"事業所",$A6,"請求区分","単月")
+GETPIVOTDATA("合計 / " &amp; $B6,【ピボット】国保連売上!$A$3,"年月",J$3,"事業所",$A6,"請求区分","再請求"),"")</f>
        <v>-312481</v>
      </c>
      <c r="K6" s="236">
        <f>IFERROR(GETPIVOTDATA("合計 / " &amp; $B6,【ピボット】国保連売上!$A$3,"年月",K$3,"事業所",$A6,"請求区分","単月")
+GETPIVOTDATA("合計 / " &amp; $B6,【ピボット】国保連売上!$A$3,"年月",K$3,"事業所",$A6,"請求区分","再請求"),"")</f>
        <v>-44079</v>
      </c>
      <c r="L6" s="236">
        <f>IFERROR(GETPIVOTDATA("合計 / " &amp; $B6,【ピボット】国保連売上!$A$3,"年月",L$3,"事業所",$A6,"請求区分","単月")
+GETPIVOTDATA("合計 / " &amp; $B6,【ピボット】国保連売上!$A$3,"年月",L$3,"事業所",$A6,"請求区分","再請求"),"")</f>
        <v>0</v>
      </c>
      <c r="M6" s="236" t="str">
        <f>IFERROR(GETPIVOTDATA("合計 / " &amp; $B6,【ピボット】国保連売上!$A$3,"年月",M$3,"事業所",$A6,"請求区分","単月")
+GETPIVOTDATA("合計 / " &amp; $B6,【ピボット】国保連売上!$A$3,"年月",M$3,"事業所",$A6,"請求区分","再請求"),"")</f>
        <v/>
      </c>
      <c r="N6" s="236" t="str">
        <f>IFERROR(GETPIVOTDATA("合計 / " &amp; $B6,【ピボット】国保連売上!$A$3,"年月",N$3,"事業所",$A6,"請求区分","単月")
+GETPIVOTDATA("合計 / " &amp; $B6,【ピボット】国保連売上!$A$3,"年月",N$3,"事業所",$A6,"請求区分","再請求"),"")</f>
        <v/>
      </c>
      <c r="O6" s="236" t="str">
        <f>IFERROR(GETPIVOTDATA("合計 / " &amp; $B6,【ピボット】国保連売上!$A$3,"年月",O$3,"事業所",$A6,"請求区分","単月")
+GETPIVOTDATA("合計 / " &amp; $B6,【ピボット】国保連売上!$A$3,"年月",O$3,"事業所",$A6,"請求区分","再請求"),"")</f>
        <v/>
      </c>
      <c r="P6" s="237" t="str">
        <f>IFERROR(GETPIVOTDATA("合計 / " &amp; $B6,【ピボット】国保連売上!$A$3,"年月",P$3,"事業所",$A6,"請求区分","単月")
+GETPIVOTDATA("合計 / " &amp; $B6,【ピボット】国保連売上!$A$3,"年月",P$3,"事業所",$A6,"請求区分","再請求"),"")</f>
        <v/>
      </c>
      <c r="Q6" s="242">
        <f>SUM(E6:P6)</f>
        <v>-2232324</v>
      </c>
      <c r="R6" s="237">
        <f>IFERROR(AVERAGE(E6:P6),0)</f>
        <v>-279040.5</v>
      </c>
    </row>
    <row r="7" spans="1:18" ht="18" customHeight="1" x14ac:dyDescent="0.15">
      <c r="A7" s="675" t="s">
        <v>791</v>
      </c>
      <c r="B7" s="675" t="s">
        <v>871</v>
      </c>
      <c r="C7" s="2147"/>
      <c r="D7" s="247" t="s">
        <v>328</v>
      </c>
      <c r="E7" s="241">
        <f>IFERROR(GETPIVOTDATA("合計 / " &amp; $B7,【ピボット】国保連売上!$A$3,"年月",E$3,"事業所",$A7,"請求区分","単月")
+GETPIVOTDATA("合計 / " &amp; $B7,【ピボット】国保連売上!$A$3,"年月",E$3,"事業所",$A7,"請求区分","再請求"),"")</f>
        <v>10904766</v>
      </c>
      <c r="F7" s="222">
        <f>IFERROR(GETPIVOTDATA("合計 / " &amp; $B7,【ピボット】国保連売上!$A$3,"年月",F$3,"事業所",$A7,"請求区分","単月")
+GETPIVOTDATA("合計 / " &amp; $B7,【ピボット】国保連売上!$A$3,"年月",F$3,"事業所",$A7,"請求区分","再請求"),"")</f>
        <v>11562394</v>
      </c>
      <c r="G7" s="222">
        <f>IFERROR(GETPIVOTDATA("合計 / " &amp; $B7,【ピボット】国保連売上!$A$3,"年月",G$3,"事業所",$A7,"請求区分","単月")
+GETPIVOTDATA("合計 / " &amp; $B7,【ピボット】国保連売上!$A$3,"年月",G$3,"事業所",$A7,"請求区分","再請求"),"")</f>
        <v>11955772</v>
      </c>
      <c r="H7" s="222">
        <f>IFERROR(GETPIVOTDATA("合計 / " &amp; $B7,【ピボット】国保連売上!$A$3,"年月",H$3,"事業所",$A7,"請求区分","単月")
+GETPIVOTDATA("合計 / " &amp; $B7,【ピボット】国保連売上!$A$3,"年月",H$3,"事業所",$A7,"請求区分","再請求"),"")</f>
        <v>11463762</v>
      </c>
      <c r="I7" s="222">
        <f>IFERROR(GETPIVOTDATA("合計 / " &amp; $B7,【ピボット】国保連売上!$A$3,"年月",I$3,"事業所",$A7,"請求区分","単月")
+GETPIVOTDATA("合計 / " &amp; $B7,【ピボット】国保連売上!$A$3,"年月",I$3,"事業所",$A7,"請求区分","再請求"),"")</f>
        <v>11965077</v>
      </c>
      <c r="J7" s="222">
        <f>IFERROR(GETPIVOTDATA("合計 / " &amp; $B7,【ピボット】国保連売上!$A$3,"年月",J$3,"事業所",$A7,"請求区分","単月")
+GETPIVOTDATA("合計 / " &amp; $B7,【ピボット】国保連売上!$A$3,"年月",J$3,"事業所",$A7,"請求区分","再請求"),"")</f>
        <v>10704819</v>
      </c>
      <c r="K7" s="222">
        <f>IFERROR(GETPIVOTDATA("合計 / " &amp; $B7,【ピボット】国保連売上!$A$3,"年月",K$3,"事業所",$A7,"請求区分","単月")
+GETPIVOTDATA("合計 / " &amp; $B7,【ピボット】国保連売上!$A$3,"年月",K$3,"事業所",$A7,"請求区分","再請求"),"")</f>
        <v>12151404</v>
      </c>
      <c r="L7" s="222">
        <f>IFERROR(GETPIVOTDATA("合計 / " &amp; $B7,【ピボット】国保連売上!$A$3,"年月",L$3,"事業所",$A7,"請求区分","単月")
+GETPIVOTDATA("合計 / " &amp; $B7,【ピボット】国保連売上!$A$3,"年月",L$3,"事業所",$A7,"請求区分","再請求"),"")</f>
        <v>12244884</v>
      </c>
      <c r="M7" s="222" t="str">
        <f>IFERROR(GETPIVOTDATA("合計 / " &amp; $B7,【ピボット】国保連売上!$A$3,"年月",M$3,"事業所",$A7,"請求区分","単月")
+GETPIVOTDATA("合計 / " &amp; $B7,【ピボット】国保連売上!$A$3,"年月",M$3,"事業所",$A7,"請求区分","再請求"),"")</f>
        <v/>
      </c>
      <c r="N7" s="222" t="str">
        <f>IFERROR(GETPIVOTDATA("合計 / " &amp; $B7,【ピボット】国保連売上!$A$3,"年月",N$3,"事業所",$A7,"請求区分","単月")
+GETPIVOTDATA("合計 / " &amp; $B7,【ピボット】国保連売上!$A$3,"年月",N$3,"事業所",$A7,"請求区分","再請求"),"")</f>
        <v/>
      </c>
      <c r="O7" s="222" t="str">
        <f>IFERROR(GETPIVOTDATA("合計 / " &amp; $B7,【ピボット】国保連売上!$A$3,"年月",O$3,"事業所",$A7,"請求区分","単月")
+GETPIVOTDATA("合計 / " &amp; $B7,【ピボット】国保連売上!$A$3,"年月",O$3,"事業所",$A7,"請求区分","再請求"),"")</f>
        <v/>
      </c>
      <c r="P7" s="223" t="str">
        <f>IFERROR(GETPIVOTDATA("合計 / " &amp; $B7,【ピボット】国保連売上!$A$3,"年月",P$3,"事業所",$A7,"請求区分","単月")
+GETPIVOTDATA("合計 / " &amp; $B7,【ピボット】国保連売上!$A$3,"年月",P$3,"事業所",$A7,"請求区分","再請求"),"")</f>
        <v/>
      </c>
      <c r="Q7" s="241">
        <f>SUM(E7:P7)</f>
        <v>92952878</v>
      </c>
      <c r="R7" s="223">
        <f t="shared" si="2"/>
        <v>11619109.75</v>
      </c>
    </row>
    <row r="8" spans="1:18" s="219" customFormat="1" ht="18" customHeight="1" x14ac:dyDescent="0.15">
      <c r="A8" s="675" t="s">
        <v>791</v>
      </c>
      <c r="C8" s="2147"/>
      <c r="D8" s="249" t="s">
        <v>317</v>
      </c>
      <c r="E8" s="243">
        <f>IFERROR(E6/E4*-1,"")</f>
        <v>4.8824232553465859E-2</v>
      </c>
      <c r="F8" s="238">
        <f t="shared" ref="F8:P8" si="3">IFERROR(F6/F4*-1,"")</f>
        <v>4.0448983534659012E-2</v>
      </c>
      <c r="G8" s="238">
        <f t="shared" si="3"/>
        <v>4.8104217537652788E-2</v>
      </c>
      <c r="H8" s="238">
        <f t="shared" si="3"/>
        <v>1.4987553906578256E-2</v>
      </c>
      <c r="I8" s="238">
        <f t="shared" si="3"/>
        <v>4.1615210488021798E-3</v>
      </c>
      <c r="J8" s="238">
        <f t="shared" si="3"/>
        <v>2.8362756755284869E-2</v>
      </c>
      <c r="K8" s="238">
        <f t="shared" si="3"/>
        <v>3.6143709929323834E-3</v>
      </c>
      <c r="L8" s="238">
        <f t="shared" si="3"/>
        <v>0</v>
      </c>
      <c r="M8" s="238" t="str">
        <f t="shared" si="3"/>
        <v/>
      </c>
      <c r="N8" s="238" t="str">
        <f t="shared" si="3"/>
        <v/>
      </c>
      <c r="O8" s="238" t="str">
        <f t="shared" si="3"/>
        <v/>
      </c>
      <c r="P8" s="239" t="str">
        <f t="shared" si="3"/>
        <v/>
      </c>
      <c r="Q8" s="243">
        <f>Q6/Q4*-1</f>
        <v>2.345242698544675E-2</v>
      </c>
      <c r="R8" s="239">
        <f t="shared" si="2"/>
        <v>2.3562954541171917E-2</v>
      </c>
    </row>
    <row r="9" spans="1:18" ht="18" customHeight="1" thickBot="1" x14ac:dyDescent="0.2">
      <c r="A9" s="675" t="s">
        <v>791</v>
      </c>
      <c r="B9" s="675" t="s">
        <v>792</v>
      </c>
      <c r="C9" s="2148"/>
      <c r="D9" s="250" t="s">
        <v>316</v>
      </c>
      <c r="E9" s="244">
        <f>IFERROR(GETPIVOTDATA("合計 / 売上",【ピボット】事業所収支!$A$3,"年月",E$3,"事業所",$A9),"")</f>
        <v>11239510</v>
      </c>
      <c r="F9" s="224">
        <f>IFERROR(GETPIVOTDATA("合計 / 売上",【ピボット】事業所収支!$A$3,"年月",F$3,"事業所",$A9),"")</f>
        <v>12511332</v>
      </c>
      <c r="G9" s="224">
        <f>IFERROR(GETPIVOTDATA("合計 / 売上",【ピボット】事業所収支!$A$3,"年月",G$3,"事業所",$A9),"")</f>
        <v>12778671</v>
      </c>
      <c r="H9" s="224">
        <f>IFERROR(GETPIVOTDATA("合計 / 売上",【ピボット】事業所収支!$A$3,"年月",H$3,"事業所",$A9),"")</f>
        <v>12163091</v>
      </c>
      <c r="I9" s="224">
        <f>IFERROR(GETPIVOTDATA("合計 / 売上",【ピボット】事業所収支!$A$3,"年月",I$3,"事業所",$A9),"")</f>
        <v>12668826</v>
      </c>
      <c r="J9" s="224">
        <f>IFERROR(GETPIVOTDATA("合計 / 売上",【ピボット】事業所収支!$A$3,"年月",J$3,"事業所",$A9),"")</f>
        <v>11458207</v>
      </c>
      <c r="K9" s="224">
        <f>IFERROR(GETPIVOTDATA("合計 / 売上",【ピボット】事業所収支!$A$3,"年月",K$3,"事業所",$A9),"")</f>
        <v>12821396</v>
      </c>
      <c r="L9" s="224">
        <f>IFERROR(GETPIVOTDATA("合計 / 売上",【ピボット】事業所収支!$A$3,"年月",L$3,"事業所",$A9),"")</f>
        <v>12901588</v>
      </c>
      <c r="M9" s="224" t="str">
        <f>IFERROR(GETPIVOTDATA("合計 / 売上",【ピボット】事業所収支!$A$3,"年月",M$3,"事業所",$A9),"")</f>
        <v/>
      </c>
      <c r="N9" s="224" t="str">
        <f>IFERROR(GETPIVOTDATA("合計 / 売上",【ピボット】事業所収支!$A$3,"年月",N$3,"事業所",$A9),"")</f>
        <v/>
      </c>
      <c r="O9" s="224" t="str">
        <f>IFERROR(GETPIVOTDATA("合計 / 売上",【ピボット】事業所収支!$A$3,"年月",O$3,"事業所",$A9),"")</f>
        <v/>
      </c>
      <c r="P9" s="225" t="str">
        <f>IFERROR(GETPIVOTDATA("合計 / 売上",【ピボット】事業所収支!$A$3,"年月",P$3,"事業所",$A9),"")</f>
        <v/>
      </c>
      <c r="Q9" s="244">
        <f>Q5-Q6</f>
        <v>103007269</v>
      </c>
      <c r="R9" s="225">
        <f t="shared" si="2"/>
        <v>12317827.625</v>
      </c>
    </row>
    <row r="10" spans="1:18" ht="18" customHeight="1" x14ac:dyDescent="0.15">
      <c r="A10" s="675" t="s">
        <v>780</v>
      </c>
      <c r="B10" s="675" t="s">
        <v>789</v>
      </c>
      <c r="C10" s="2146" t="s">
        <v>104</v>
      </c>
      <c r="D10" s="246" t="s">
        <v>319</v>
      </c>
      <c r="E10" s="240">
        <f>IFERROR(GETPIVOTDATA("合計 / " &amp; $B10,【ピボット】国保連売上!$A$3,"年月",E$3,"事業所",$A10,"請求区分","単月")
+GETPIVOTDATA("合計 / " &amp; $B10,【ピボット】国保連売上!$A$3,"年月",E$3,"事業所",$A10,"請求区分","再請求"),"")</f>
        <v>6439226</v>
      </c>
      <c r="F10" s="220">
        <f>IFERROR(GETPIVOTDATA("合計 / " &amp; $B10,【ピボット】国保連売上!$A$3,"年月",F$3,"事業所",$A10,"請求区分","単月")
+GETPIVOTDATA("合計 / " &amp; $B10,【ピボット】国保連売上!$A$3,"年月",F$3,"事業所",$A10,"請求区分","再請求"),"")</f>
        <v>7777898</v>
      </c>
      <c r="G10" s="220">
        <f>IFERROR(GETPIVOTDATA("合計 / " &amp; $B10,【ピボット】国保連売上!$A$3,"年月",G$3,"事業所",$A10,"請求区分","単月")
+GETPIVOTDATA("合計 / " &amp; $B10,【ピボット】国保連売上!$A$3,"年月",G$3,"事業所",$A10,"請求区分","再請求"),"")</f>
        <v>7313019</v>
      </c>
      <c r="H10" s="220">
        <f>IFERROR(GETPIVOTDATA("合計 / " &amp; $B10,【ピボット】国保連売上!$A$3,"年月",H$3,"事業所",$A10,"請求区分","単月")
+GETPIVOTDATA("合計 / " &amp; $B10,【ピボット】国保連売上!$A$3,"年月",H$3,"事業所",$A10,"請求区分","再請求"),"")</f>
        <v>6652951</v>
      </c>
      <c r="I10" s="220">
        <f>IFERROR(GETPIVOTDATA("合計 / " &amp; $B10,【ピボット】国保連売上!$A$3,"年月",I$3,"事業所",$A10,"請求区分","単月")
+GETPIVOTDATA("合計 / " &amp; $B10,【ピボット】国保連売上!$A$3,"年月",I$3,"事業所",$A10,"請求区分","再請求"),"")</f>
        <v>6333193</v>
      </c>
      <c r="J10" s="220">
        <f>IFERROR(GETPIVOTDATA("合計 / " &amp; $B10,【ピボット】国保連売上!$A$3,"年月",J$3,"事業所",$A10,"請求区分","単月")
+GETPIVOTDATA("合計 / " &amp; $B10,【ピボット】国保連売上!$A$3,"年月",J$3,"事業所",$A10,"請求区分","再請求"),"")</f>
        <v>5941048</v>
      </c>
      <c r="K10" s="220">
        <f>IFERROR(GETPIVOTDATA("合計 / " &amp; $B10,【ピボット】国保連売上!$A$3,"年月",K$3,"事業所",$A10,"請求区分","単月")
+GETPIVOTDATA("合計 / " &amp; $B10,【ピボット】国保連売上!$A$3,"年月",K$3,"事業所",$A10,"請求区分","再請求"),"")</f>
        <v>5614300</v>
      </c>
      <c r="L10" s="220">
        <f>IFERROR(GETPIVOTDATA("合計 / " &amp; $B10,【ピボット】国保連売上!$A$3,"年月",L$3,"事業所",$A10,"請求区分","単月")
+GETPIVOTDATA("合計 / " &amp; $B10,【ピボット】国保連売上!$A$3,"年月",L$3,"事業所",$A10,"請求区分","再請求"),"")</f>
        <v>5819788</v>
      </c>
      <c r="M10" s="220" t="str">
        <f>IFERROR(GETPIVOTDATA("合計 / " &amp; $B10,【ピボット】国保連売上!$A$3,"年月",M$3,"事業所",$A10,"請求区分","単月")
+GETPIVOTDATA("合計 / " &amp; $B10,【ピボット】国保連売上!$A$3,"年月",M$3,"事業所",$A10,"請求区分","再請求"),"")</f>
        <v/>
      </c>
      <c r="N10" s="220" t="str">
        <f>IFERROR(GETPIVOTDATA("合計 / " &amp; $B10,【ピボット】国保連売上!$A$3,"年月",N$3,"事業所",$A10,"請求区分","単月")
+GETPIVOTDATA("合計 / " &amp; $B10,【ピボット】国保連売上!$A$3,"年月",N$3,"事業所",$A10,"請求区分","再請求"),"")</f>
        <v/>
      </c>
      <c r="O10" s="220" t="str">
        <f>IFERROR(GETPIVOTDATA("合計 / " &amp; $B10,【ピボット】国保連売上!$A$3,"年月",O$3,"事業所",$A10,"請求区分","単月")
+GETPIVOTDATA("合計 / " &amp; $B10,【ピボット】国保連売上!$A$3,"年月",O$3,"事業所",$A10,"請求区分","再請求"),"")</f>
        <v/>
      </c>
      <c r="P10" s="221" t="str">
        <f>IFERROR(GETPIVOTDATA("合計 / " &amp; $B10,【ピボット】国保連売上!$A$3,"年月",P$3,"事業所",$A10,"請求区分","単月")
+GETPIVOTDATA("合計 / " &amp; $B10,【ピボット】国保連売上!$A$3,"年月",P$3,"事業所",$A10,"請求区分","再請求"),"")</f>
        <v/>
      </c>
      <c r="Q10" s="240">
        <f>SUM(E10:P10)</f>
        <v>51891423</v>
      </c>
      <c r="R10" s="221">
        <f t="shared" si="2"/>
        <v>6486427.875</v>
      </c>
    </row>
    <row r="11" spans="1:18" ht="18" customHeight="1" x14ac:dyDescent="0.15">
      <c r="A11" s="675" t="s">
        <v>37</v>
      </c>
      <c r="B11" s="675" t="s">
        <v>26</v>
      </c>
      <c r="C11" s="2147"/>
      <c r="D11" s="247" t="s">
        <v>318</v>
      </c>
      <c r="E11" s="241">
        <f t="shared" ref="E11:P11" si="4">IFERROR(E15-E12,"")</f>
        <v>6802756</v>
      </c>
      <c r="F11" s="222">
        <f t="shared" si="4"/>
        <v>8178078</v>
      </c>
      <c r="G11" s="222">
        <f t="shared" si="4"/>
        <v>7701862</v>
      </c>
      <c r="H11" s="222">
        <f t="shared" si="4"/>
        <v>7005227</v>
      </c>
      <c r="I11" s="222">
        <f t="shared" si="4"/>
        <v>6644013</v>
      </c>
      <c r="J11" s="222">
        <f t="shared" si="4"/>
        <v>6232610</v>
      </c>
      <c r="K11" s="222">
        <f t="shared" si="4"/>
        <v>5981457</v>
      </c>
      <c r="L11" s="222">
        <f t="shared" si="4"/>
        <v>6262229</v>
      </c>
      <c r="M11" s="222" t="str">
        <f t="shared" si="4"/>
        <v/>
      </c>
      <c r="N11" s="222" t="str">
        <f t="shared" si="4"/>
        <v/>
      </c>
      <c r="O11" s="222" t="str">
        <f t="shared" si="4"/>
        <v/>
      </c>
      <c r="P11" s="223" t="str">
        <f t="shared" si="4"/>
        <v/>
      </c>
      <c r="Q11" s="241">
        <f>SUM(E11:P11)</f>
        <v>54808232</v>
      </c>
      <c r="R11" s="223">
        <f t="shared" si="2"/>
        <v>6851029</v>
      </c>
    </row>
    <row r="12" spans="1:18" ht="18" customHeight="1" x14ac:dyDescent="0.15">
      <c r="A12" s="675" t="s">
        <v>37</v>
      </c>
      <c r="B12" s="675" t="s">
        <v>790</v>
      </c>
      <c r="C12" s="2147"/>
      <c r="D12" s="248" t="s">
        <v>327</v>
      </c>
      <c r="E12" s="242">
        <f>IFERROR(GETPIVOTDATA("合計 / " &amp; $B12,【ピボット】国保連売上!$A$3,"年月",E$3,"事業所",$A12,"請求区分","単月")
+GETPIVOTDATA("合計 / " &amp; $B12,【ピボット】国保連売上!$A$3,"年月",E$3,"事業所",$A12,"請求区分","再請求"),"")</f>
        <v>-645700</v>
      </c>
      <c r="F12" s="236">
        <f>IFERROR(GETPIVOTDATA("合計 / " &amp; $B12,【ピボット】国保連売上!$A$3,"年月",F$3,"事業所",$A12,"請求区分","単月")
+GETPIVOTDATA("合計 / " &amp; $B12,【ピボット】国保連売上!$A$3,"年月",F$3,"事業所",$A12,"請求区分","再請求"),"")</f>
        <v>-620196</v>
      </c>
      <c r="G12" s="236">
        <f>IFERROR(GETPIVOTDATA("合計 / " &amp; $B12,【ピボット】国保連売上!$A$3,"年月",G$3,"事業所",$A12,"請求区分","単月")
+GETPIVOTDATA("合計 / " &amp; $B12,【ピボット】国保連売上!$A$3,"年月",G$3,"事業所",$A12,"請求区分","再請求"),"")</f>
        <v>-416564</v>
      </c>
      <c r="H12" s="236">
        <f>IFERROR(GETPIVOTDATA("合計 / " &amp; $B12,【ピボット】国保連売上!$A$3,"年月",H$3,"事業所",$A12,"請求区分","単月")
+GETPIVOTDATA("合計 / " &amp; $B12,【ピボット】国保連売上!$A$3,"年月",H$3,"事業所",$A12,"請求区分","再請求"),"")</f>
        <v>-326974</v>
      </c>
      <c r="I12" s="236">
        <f>IFERROR(GETPIVOTDATA("合計 / " &amp; $B12,【ピボット】国保連売上!$A$3,"年月",I$3,"事業所",$A12,"請求区分","単月")
+GETPIVOTDATA("合計 / " &amp; $B12,【ピボット】国保連売上!$A$3,"年月",I$3,"事業所",$A12,"請求区分","再請求"),"")</f>
        <v>-703196</v>
      </c>
      <c r="J12" s="236">
        <f>IFERROR(GETPIVOTDATA("合計 / " &amp; $B12,【ピボット】国保連売上!$A$3,"年月",J$3,"事業所",$A12,"請求区分","単月")
+GETPIVOTDATA("合計 / " &amp; $B12,【ピボット】国保連売上!$A$3,"年月",J$3,"事業所",$A12,"請求区分","再請求"),"")</f>
        <v>37987</v>
      </c>
      <c r="K12" s="236">
        <f>IFERROR(GETPIVOTDATA("合計 / " &amp; $B12,【ピボット】国保連売上!$A$3,"年月",K$3,"事業所",$A12,"請求区分","単月")
+GETPIVOTDATA("合計 / " &amp; $B12,【ピボット】国保連売上!$A$3,"年月",K$3,"事業所",$A12,"請求区分","再請求"),"")</f>
        <v>-523686</v>
      </c>
      <c r="L12" s="236">
        <f>IFERROR(GETPIVOTDATA("合計 / " &amp; $B12,【ピボット】国保連売上!$A$3,"年月",L$3,"事業所",$A12,"請求区分","単月")
+GETPIVOTDATA("合計 / " &amp; $B12,【ピボット】国保連売上!$A$3,"年月",L$3,"事業所",$A12,"請求区分","再請求"),"")</f>
        <v>0</v>
      </c>
      <c r="M12" s="236" t="str">
        <f>IFERROR(GETPIVOTDATA("合計 / " &amp; $B12,【ピボット】国保連売上!$A$3,"年月",M$3,"事業所",$A12,"請求区分","単月")
+GETPIVOTDATA("合計 / " &amp; $B12,【ピボット】国保連売上!$A$3,"年月",M$3,"事業所",$A12,"請求区分","再請求"),"")</f>
        <v/>
      </c>
      <c r="N12" s="236" t="str">
        <f>IFERROR(GETPIVOTDATA("合計 / " &amp; $B12,【ピボット】国保連売上!$A$3,"年月",N$3,"事業所",$A12,"請求区分","単月")
+GETPIVOTDATA("合計 / " &amp; $B12,【ピボット】国保連売上!$A$3,"年月",N$3,"事業所",$A12,"請求区分","再請求"),"")</f>
        <v/>
      </c>
      <c r="O12" s="236" t="str">
        <f>IFERROR(GETPIVOTDATA("合計 / " &amp; $B12,【ピボット】国保連売上!$A$3,"年月",O$3,"事業所",$A12,"請求区分","単月")
+GETPIVOTDATA("合計 / " &amp; $B12,【ピボット】国保連売上!$A$3,"年月",O$3,"事業所",$A12,"請求区分","再請求"),"")</f>
        <v/>
      </c>
      <c r="P12" s="237" t="str">
        <f>IFERROR(GETPIVOTDATA("合計 / " &amp; $B12,【ピボット】国保連売上!$A$3,"年月",P$3,"事業所",$A12,"請求区分","単月")
+GETPIVOTDATA("合計 / " &amp; $B12,【ピボット】国保連売上!$A$3,"年月",P$3,"事業所",$A12,"請求区分","再請求"),"")</f>
        <v/>
      </c>
      <c r="Q12" s="242">
        <f>SUM(E12:P12)</f>
        <v>-3198329</v>
      </c>
      <c r="R12" s="237">
        <f>IFERROR(AVERAGE(E12:P12),0)</f>
        <v>-399791.125</v>
      </c>
    </row>
    <row r="13" spans="1:18" ht="18" customHeight="1" x14ac:dyDescent="0.15">
      <c r="A13" s="675" t="s">
        <v>37</v>
      </c>
      <c r="B13" s="675" t="s">
        <v>871</v>
      </c>
      <c r="C13" s="2147"/>
      <c r="D13" s="247" t="s">
        <v>328</v>
      </c>
      <c r="E13" s="241">
        <f>IFERROR(GETPIVOTDATA("合計 / " &amp; $B13,【ピボット】国保連売上!$A$3,"年月",E$3,"事業所",$A13,"請求区分","単月")
+GETPIVOTDATA("合計 / " &amp; $B13,【ピボット】国保連売上!$A$3,"年月",E$3,"事業所",$A13,"請求区分","再請求"),"")</f>
        <v>5793526</v>
      </c>
      <c r="F13" s="222">
        <f>IFERROR(GETPIVOTDATA("合計 / " &amp; $B13,【ピボット】国保連売上!$A$3,"年月",F$3,"事業所",$A13,"請求区分","単月")
+GETPIVOTDATA("合計 / " &amp; $B13,【ピボット】国保連売上!$A$3,"年月",F$3,"事業所",$A13,"請求区分","再請求"),"")</f>
        <v>7157702</v>
      </c>
      <c r="G13" s="222">
        <f>IFERROR(GETPIVOTDATA("合計 / " &amp; $B13,【ピボット】国保連売上!$A$3,"年月",G$3,"事業所",$A13,"請求区分","単月")
+GETPIVOTDATA("合計 / " &amp; $B13,【ピボット】国保連売上!$A$3,"年月",G$3,"事業所",$A13,"請求区分","再請求"),"")</f>
        <v>6896455</v>
      </c>
      <c r="H13" s="222">
        <f>IFERROR(GETPIVOTDATA("合計 / " &amp; $B13,【ピボット】国保連売上!$A$3,"年月",H$3,"事業所",$A13,"請求区分","単月")
+GETPIVOTDATA("合計 / " &amp; $B13,【ピボット】国保連売上!$A$3,"年月",H$3,"事業所",$A13,"請求区分","再請求"),"")</f>
        <v>6325977</v>
      </c>
      <c r="I13" s="222">
        <f>IFERROR(GETPIVOTDATA("合計 / " &amp; $B13,【ピボット】国保連売上!$A$3,"年月",I$3,"事業所",$A13,"請求区分","単月")
+GETPIVOTDATA("合計 / " &amp; $B13,【ピボット】国保連売上!$A$3,"年月",I$3,"事業所",$A13,"請求区分","再請求"),"")</f>
        <v>5629997</v>
      </c>
      <c r="J13" s="222">
        <f>IFERROR(GETPIVOTDATA("合計 / " &amp; $B13,【ピボット】国保連売上!$A$3,"年月",J$3,"事業所",$A13,"請求区分","単月")
+GETPIVOTDATA("合計 / " &amp; $B13,【ピボット】国保連売上!$A$3,"年月",J$3,"事業所",$A13,"請求区分","再請求"),"")</f>
        <v>5979035</v>
      </c>
      <c r="K13" s="222">
        <f>IFERROR(GETPIVOTDATA("合計 / " &amp; $B13,【ピボット】国保連売上!$A$3,"年月",K$3,"事業所",$A13,"請求区分","単月")
+GETPIVOTDATA("合計 / " &amp; $B13,【ピボット】国保連売上!$A$3,"年月",K$3,"事業所",$A13,"請求区分","再請求"),"")</f>
        <v>5090614</v>
      </c>
      <c r="L13" s="222">
        <f>IFERROR(GETPIVOTDATA("合計 / " &amp; $B13,【ピボット】国保連売上!$A$3,"年月",L$3,"事業所",$A13,"請求区分","単月")
+GETPIVOTDATA("合計 / " &amp; $B13,【ピボット】国保連売上!$A$3,"年月",L$3,"事業所",$A13,"請求区分","再請求"),"")</f>
        <v>5819788</v>
      </c>
      <c r="M13" s="222" t="str">
        <f>IFERROR(GETPIVOTDATA("合計 / " &amp; $B13,【ピボット】国保連売上!$A$3,"年月",M$3,"事業所",$A13,"請求区分","単月")
+GETPIVOTDATA("合計 / " &amp; $B13,【ピボット】国保連売上!$A$3,"年月",M$3,"事業所",$A13,"請求区分","再請求"),"")</f>
        <v/>
      </c>
      <c r="N13" s="222" t="str">
        <f>IFERROR(GETPIVOTDATA("合計 / " &amp; $B13,【ピボット】国保連売上!$A$3,"年月",N$3,"事業所",$A13,"請求区分","単月")
+GETPIVOTDATA("合計 / " &amp; $B13,【ピボット】国保連売上!$A$3,"年月",N$3,"事業所",$A13,"請求区分","再請求"),"")</f>
        <v/>
      </c>
      <c r="O13" s="222" t="str">
        <f>IFERROR(GETPIVOTDATA("合計 / " &amp; $B13,【ピボット】国保連売上!$A$3,"年月",O$3,"事業所",$A13,"請求区分","単月")
+GETPIVOTDATA("合計 / " &amp; $B13,【ピボット】国保連売上!$A$3,"年月",O$3,"事業所",$A13,"請求区分","再請求"),"")</f>
        <v/>
      </c>
      <c r="P13" s="223" t="str">
        <f>IFERROR(GETPIVOTDATA("合計 / " &amp; $B13,【ピボット】国保連売上!$A$3,"年月",P$3,"事業所",$A13,"請求区分","単月")
+GETPIVOTDATA("合計 / " &amp; $B13,【ピボット】国保連売上!$A$3,"年月",P$3,"事業所",$A13,"請求区分","再請求"),"")</f>
        <v/>
      </c>
      <c r="Q13" s="241">
        <f>SUM(E13:P13)</f>
        <v>48693094</v>
      </c>
      <c r="R13" s="223">
        <f t="shared" si="2"/>
        <v>6086636.75</v>
      </c>
    </row>
    <row r="14" spans="1:18" s="219" customFormat="1" ht="18" customHeight="1" x14ac:dyDescent="0.15">
      <c r="A14" s="675" t="s">
        <v>37</v>
      </c>
      <c r="C14" s="2147"/>
      <c r="D14" s="249" t="s">
        <v>317</v>
      </c>
      <c r="E14" s="243">
        <f t="shared" ref="E14:P14" si="5">IFERROR(E12/E10*-1,"")</f>
        <v>0.10027602696348908</v>
      </c>
      <c r="F14" s="238">
        <f t="shared" si="5"/>
        <v>7.9738253188714997E-2</v>
      </c>
      <c r="G14" s="238">
        <f t="shared" si="5"/>
        <v>5.6961974254408472E-2</v>
      </c>
      <c r="H14" s="238">
        <f t="shared" si="5"/>
        <v>4.9147213018704033E-2</v>
      </c>
      <c r="I14" s="238">
        <f t="shared" si="5"/>
        <v>0.11103340763497969</v>
      </c>
      <c r="J14" s="238">
        <f t="shared" si="5"/>
        <v>-6.3939897472634457E-3</v>
      </c>
      <c r="K14" s="238">
        <f t="shared" si="5"/>
        <v>9.327716723367116E-2</v>
      </c>
      <c r="L14" s="238">
        <f t="shared" si="5"/>
        <v>0</v>
      </c>
      <c r="M14" s="238" t="str">
        <f t="shared" si="5"/>
        <v/>
      </c>
      <c r="N14" s="238" t="str">
        <f t="shared" si="5"/>
        <v/>
      </c>
      <c r="O14" s="238" t="str">
        <f t="shared" si="5"/>
        <v/>
      </c>
      <c r="P14" s="239" t="str">
        <f t="shared" si="5"/>
        <v/>
      </c>
      <c r="Q14" s="243">
        <f>Q12/Q10*-1</f>
        <v>6.1635022034373578E-2</v>
      </c>
      <c r="R14" s="239">
        <f t="shared" si="2"/>
        <v>6.0505006568338002E-2</v>
      </c>
    </row>
    <row r="15" spans="1:18" ht="18" customHeight="1" thickBot="1" x14ac:dyDescent="0.2">
      <c r="A15" s="675" t="s">
        <v>780</v>
      </c>
      <c r="B15" s="675" t="s">
        <v>792</v>
      </c>
      <c r="C15" s="2148"/>
      <c r="D15" s="250" t="s">
        <v>316</v>
      </c>
      <c r="E15" s="244">
        <f>IFERROR(GETPIVOTDATA("合計 / 売上",【ピボット】事業所収支!$A$3,"年月",E$3,"事業所",$A15),"")</f>
        <v>6157056</v>
      </c>
      <c r="F15" s="224">
        <f>IFERROR(GETPIVOTDATA("合計 / 売上",【ピボット】事業所収支!$A$3,"年月",F$3,"事業所",$A15),"")</f>
        <v>7557882</v>
      </c>
      <c r="G15" s="224">
        <f>IFERROR(GETPIVOTDATA("合計 / 売上",【ピボット】事業所収支!$A$3,"年月",G$3,"事業所",$A15),"")</f>
        <v>7285298</v>
      </c>
      <c r="H15" s="224">
        <f>IFERROR(GETPIVOTDATA("合計 / 売上",【ピボット】事業所収支!$A$3,"年月",H$3,"事業所",$A15),"")</f>
        <v>6678253</v>
      </c>
      <c r="I15" s="224">
        <f>IFERROR(GETPIVOTDATA("合計 / 売上",【ピボット】事業所収支!$A$3,"年月",I$3,"事業所",$A15),"")</f>
        <v>5940817</v>
      </c>
      <c r="J15" s="224">
        <f>IFERROR(GETPIVOTDATA("合計 / 売上",【ピボット】事業所収支!$A$3,"年月",J$3,"事業所",$A15),"")</f>
        <v>6270597</v>
      </c>
      <c r="K15" s="224">
        <f>IFERROR(GETPIVOTDATA("合計 / 売上",【ピボット】事業所収支!$A$3,"年月",K$3,"事業所",$A15),"")</f>
        <v>5457771</v>
      </c>
      <c r="L15" s="224">
        <f>IFERROR(GETPIVOTDATA("合計 / 売上",【ピボット】事業所収支!$A$3,"年月",L$3,"事業所",$A15),"")</f>
        <v>6262229</v>
      </c>
      <c r="M15" s="224" t="str">
        <f>IFERROR(GETPIVOTDATA("合計 / 売上",【ピボット】事業所収支!$A$3,"年月",M$3,"事業所",$A15),"")</f>
        <v/>
      </c>
      <c r="N15" s="224" t="str">
        <f>IFERROR(GETPIVOTDATA("合計 / 売上",【ピボット】事業所収支!$A$3,"年月",N$3,"事業所",$A15),"")</f>
        <v/>
      </c>
      <c r="O15" s="224" t="str">
        <f>IFERROR(GETPIVOTDATA("合計 / 売上",【ピボット】事業所収支!$A$3,"年月",O$3,"事業所",$A15),"")</f>
        <v/>
      </c>
      <c r="P15" s="225" t="str">
        <f>IFERROR(GETPIVOTDATA("合計 / 売上",【ピボット】事業所収支!$A$3,"年月",P$3,"事業所",$A15),"")</f>
        <v/>
      </c>
      <c r="Q15" s="244">
        <f>Q11-Q12</f>
        <v>58006561</v>
      </c>
      <c r="R15" s="225">
        <f>AVERAGE(E15:P15)</f>
        <v>6451237.875</v>
      </c>
    </row>
    <row r="16" spans="1:18" ht="18" customHeight="1" x14ac:dyDescent="0.15">
      <c r="A16" s="675" t="s">
        <v>781</v>
      </c>
      <c r="B16" s="675" t="s">
        <v>789</v>
      </c>
      <c r="C16" s="2146" t="s">
        <v>105</v>
      </c>
      <c r="D16" s="246" t="s">
        <v>319</v>
      </c>
      <c r="E16" s="240">
        <f>IFERROR(GETPIVOTDATA("合計 / " &amp; $B16,【ピボット】国保連売上!$A$3,"年月",E$3,"事業所",$A16,"請求区分","単月")
+GETPIVOTDATA("合計 / " &amp; $B16,【ピボット】国保連売上!$A$3,"年月",E$3,"事業所",$A16,"請求区分","再請求"),"")</f>
        <v>6565872</v>
      </c>
      <c r="F16" s="220">
        <f>IFERROR(GETPIVOTDATA("合計 / " &amp; $B16,【ピボット】国保連売上!$A$3,"年月",F$3,"事業所",$A16,"請求区分","単月")
+GETPIVOTDATA("合計 / " &amp; $B16,【ピボット】国保連売上!$A$3,"年月",F$3,"事業所",$A16,"請求区分","再請求"),"")</f>
        <v>7287636</v>
      </c>
      <c r="G16" s="220">
        <f>IFERROR(GETPIVOTDATA("合計 / " &amp; $B16,【ピボット】国保連売上!$A$3,"年月",G$3,"事業所",$A16,"請求区分","単月")
+GETPIVOTDATA("合計 / " &amp; $B16,【ピボット】国保連売上!$A$3,"年月",G$3,"事業所",$A16,"請求区分","再請求"),"")</f>
        <v>7020399</v>
      </c>
      <c r="H16" s="220">
        <f>IFERROR(GETPIVOTDATA("合計 / " &amp; $B16,【ピボット】国保連売上!$A$3,"年月",H$3,"事業所",$A16,"請求区分","単月")
+GETPIVOTDATA("合計 / " &amp; $B16,【ピボット】国保連売上!$A$3,"年月",H$3,"事業所",$A16,"請求区分","再請求"),"")</f>
        <v>6601523</v>
      </c>
      <c r="I16" s="220">
        <f>IFERROR(GETPIVOTDATA("合計 / " &amp; $B16,【ピボット】国保連売上!$A$3,"年月",I$3,"事業所",$A16,"請求区分","単月")
+GETPIVOTDATA("合計 / " &amp; $B16,【ピボット】国保連売上!$A$3,"年月",I$3,"事業所",$A16,"請求区分","再請求"),"")</f>
        <v>6706067</v>
      </c>
      <c r="J16" s="220">
        <f>IFERROR(GETPIVOTDATA("合計 / " &amp; $B16,【ピボット】国保連売上!$A$3,"年月",J$3,"事業所",$A16,"請求区分","単月")
+GETPIVOTDATA("合計 / " &amp; $B16,【ピボット】国保連売上!$A$3,"年月",J$3,"事業所",$A16,"請求区分","再請求"),"")</f>
        <v>6078716</v>
      </c>
      <c r="K16" s="220">
        <f>IFERROR(GETPIVOTDATA("合計 / " &amp; $B16,【ピボット】国保連売上!$A$3,"年月",K$3,"事業所",$A16,"請求区分","単月")
+GETPIVOTDATA("合計 / " &amp; $B16,【ピボット】国保連売上!$A$3,"年月",K$3,"事業所",$A16,"請求区分","再請求"),"")</f>
        <v>6844940</v>
      </c>
      <c r="L16" s="220">
        <f>IFERROR(GETPIVOTDATA("合計 / " &amp; $B16,【ピボット】国保連売上!$A$3,"年月",L$3,"事業所",$A16,"請求区分","単月")
+GETPIVOTDATA("合計 / " &amp; $B16,【ピボット】国保連売上!$A$3,"年月",L$3,"事業所",$A16,"請求区分","再請求"),"")</f>
        <v>6750115</v>
      </c>
      <c r="M16" s="220" t="str">
        <f>IFERROR(GETPIVOTDATA("合計 / " &amp; $B16,【ピボット】国保連売上!$A$3,"年月",M$3,"事業所",$A16,"請求区分","単月")
+GETPIVOTDATA("合計 / " &amp; $B16,【ピボット】国保連売上!$A$3,"年月",M$3,"事業所",$A16,"請求区分","再請求"),"")</f>
        <v/>
      </c>
      <c r="N16" s="220" t="str">
        <f>IFERROR(GETPIVOTDATA("合計 / " &amp; $B16,【ピボット】国保連売上!$A$3,"年月",N$3,"事業所",$A16,"請求区分","単月")
+GETPIVOTDATA("合計 / " &amp; $B16,【ピボット】国保連売上!$A$3,"年月",N$3,"事業所",$A16,"請求区分","再請求"),"")</f>
        <v/>
      </c>
      <c r="O16" s="220" t="str">
        <f>IFERROR(GETPIVOTDATA("合計 / " &amp; $B16,【ピボット】国保連売上!$A$3,"年月",O$3,"事業所",$A16,"請求区分","単月")
+GETPIVOTDATA("合計 / " &amp; $B16,【ピボット】国保連売上!$A$3,"年月",O$3,"事業所",$A16,"請求区分","再請求"),"")</f>
        <v/>
      </c>
      <c r="P16" s="221" t="str">
        <f>IFERROR(GETPIVOTDATA("合計 / " &amp; $B16,【ピボット】国保連売上!$A$3,"年月",P$3,"事業所",$A16,"請求区分","単月")
+GETPIVOTDATA("合計 / " &amp; $B16,【ピボット】国保連売上!$A$3,"年月",P$3,"事業所",$A16,"請求区分","再請求"),"")</f>
        <v/>
      </c>
      <c r="Q16" s="240">
        <f>SUM(E16:P16)</f>
        <v>53855268</v>
      </c>
      <c r="R16" s="221">
        <f t="shared" si="2"/>
        <v>6731908.5</v>
      </c>
    </row>
    <row r="17" spans="1:18" ht="18" customHeight="1" x14ac:dyDescent="0.15">
      <c r="A17" s="675" t="s">
        <v>66</v>
      </c>
      <c r="B17" s="675" t="s">
        <v>26</v>
      </c>
      <c r="C17" s="2147"/>
      <c r="D17" s="247" t="s">
        <v>318</v>
      </c>
      <c r="E17" s="241">
        <f t="shared" ref="E17:P17" si="6">IFERROR(E21-E18,"")</f>
        <v>6876738</v>
      </c>
      <c r="F17" s="222">
        <f t="shared" si="6"/>
        <v>7697916</v>
      </c>
      <c r="G17" s="222">
        <f t="shared" si="6"/>
        <v>7382423</v>
      </c>
      <c r="H17" s="222">
        <f t="shared" si="6"/>
        <v>7073049</v>
      </c>
      <c r="I17" s="222">
        <f t="shared" si="6"/>
        <v>7037069</v>
      </c>
      <c r="J17" s="222">
        <f t="shared" si="6"/>
        <v>6366423</v>
      </c>
      <c r="K17" s="222">
        <f t="shared" si="6"/>
        <v>7119761</v>
      </c>
      <c r="L17" s="222">
        <f t="shared" si="6"/>
        <v>7110420</v>
      </c>
      <c r="M17" s="222" t="str">
        <f t="shared" si="6"/>
        <v/>
      </c>
      <c r="N17" s="222" t="str">
        <f t="shared" si="6"/>
        <v/>
      </c>
      <c r="O17" s="222" t="str">
        <f t="shared" si="6"/>
        <v/>
      </c>
      <c r="P17" s="223" t="str">
        <f t="shared" si="6"/>
        <v/>
      </c>
      <c r="Q17" s="241">
        <f>SUM(E17:P17)</f>
        <v>56663799</v>
      </c>
      <c r="R17" s="223">
        <f t="shared" si="2"/>
        <v>7082974.875</v>
      </c>
    </row>
    <row r="18" spans="1:18" ht="18" customHeight="1" x14ac:dyDescent="0.15">
      <c r="A18" s="675" t="s">
        <v>66</v>
      </c>
      <c r="B18" s="675" t="s">
        <v>790</v>
      </c>
      <c r="C18" s="2147"/>
      <c r="D18" s="248" t="s">
        <v>327</v>
      </c>
      <c r="E18" s="242">
        <f>IFERROR(GETPIVOTDATA("合計 / " &amp; $B18,【ピボット】国保連売上!$A$3,"年月",E$3,"事業所",$A18,"請求区分","単月")
+GETPIVOTDATA("合計 / " &amp; $B18,【ピボット】国保連売上!$A$3,"年月",E$3,"事業所",$A18,"請求区分","再請求"),"")</f>
        <v>-102377</v>
      </c>
      <c r="F18" s="236">
        <f>IFERROR(GETPIVOTDATA("合計 / " &amp; $B18,【ピボット】国保連売上!$A$3,"年月",F$3,"事業所",$A18,"請求区分","単月")
+GETPIVOTDATA("合計 / " &amp; $B18,【ピボット】国保連売上!$A$3,"年月",F$3,"事業所",$A18,"請求区分","再請求"),"")</f>
        <v>-278312</v>
      </c>
      <c r="G18" s="236">
        <f>IFERROR(GETPIVOTDATA("合計 / " &amp; $B18,【ピボット】国保連売上!$A$3,"年月",G$3,"事業所",$A18,"請求区分","単月")
+GETPIVOTDATA("合計 / " &amp; $B18,【ピボット】国保連売上!$A$3,"年月",G$3,"事業所",$A18,"請求区分","再請求"),"")</f>
        <v>-283388</v>
      </c>
      <c r="H18" s="236">
        <f>IFERROR(GETPIVOTDATA("合計 / " &amp; $B18,【ピボット】国保連売上!$A$3,"年月",H$3,"事業所",$A18,"請求区分","単月")
+GETPIVOTDATA("合計 / " &amp; $B18,【ピボット】国保連売上!$A$3,"年月",H$3,"事業所",$A18,"請求区分","再請求"),"")</f>
        <v>-7469</v>
      </c>
      <c r="I18" s="236">
        <f>IFERROR(GETPIVOTDATA("合計 / " &amp; $B18,【ピボット】国保連売上!$A$3,"年月",I$3,"事業所",$A18,"請求区分","単月")
+GETPIVOTDATA("合計 / " &amp; $B18,【ピボット】国保連売上!$A$3,"年月",I$3,"事業所",$A18,"請求区分","再請求"),"")</f>
        <v>4839</v>
      </c>
      <c r="J18" s="236">
        <f>IFERROR(GETPIVOTDATA("合計 / " &amp; $B18,【ピボット】国保連売上!$A$3,"年月",J$3,"事業所",$A18,"請求区分","単月")
+GETPIVOTDATA("合計 / " &amp; $B18,【ピボット】国保連売上!$A$3,"年月",J$3,"事業所",$A18,"請求区分","再請求"),"")</f>
        <v>2630</v>
      </c>
      <c r="K18" s="236">
        <f>IFERROR(GETPIVOTDATA("合計 / " &amp; $B18,【ピボット】国保連売上!$A$3,"年月",K$3,"事業所",$A18,"請求区分","単月")
+GETPIVOTDATA("合計 / " &amp; $B18,【ピボット】国保連売上!$A$3,"年月",K$3,"事業所",$A18,"請求区分","再請求"),"")</f>
        <v>-140162</v>
      </c>
      <c r="L18" s="236">
        <f>IFERROR(GETPIVOTDATA("合計 / " &amp; $B18,【ピボット】国保連売上!$A$3,"年月",L$3,"事業所",$A18,"請求区分","単月")
+GETPIVOTDATA("合計 / " &amp; $B18,【ピボット】国保連売上!$A$3,"年月",L$3,"事業所",$A18,"請求区分","再請求"),"")</f>
        <v>0</v>
      </c>
      <c r="M18" s="236" t="str">
        <f>IFERROR(GETPIVOTDATA("合計 / " &amp; $B18,【ピボット】国保連売上!$A$3,"年月",M$3,"事業所",$A18,"請求区分","単月")
+GETPIVOTDATA("合計 / " &amp; $B18,【ピボット】国保連売上!$A$3,"年月",M$3,"事業所",$A18,"請求区分","再請求"),"")</f>
        <v/>
      </c>
      <c r="N18" s="236" t="str">
        <f>IFERROR(GETPIVOTDATA("合計 / " &amp; $B18,【ピボット】国保連売上!$A$3,"年月",N$3,"事業所",$A18,"請求区分","単月")
+GETPIVOTDATA("合計 / " &amp; $B18,【ピボット】国保連売上!$A$3,"年月",N$3,"事業所",$A18,"請求区分","再請求"),"")</f>
        <v/>
      </c>
      <c r="O18" s="236" t="str">
        <f>IFERROR(GETPIVOTDATA("合計 / " &amp; $B18,【ピボット】国保連売上!$A$3,"年月",O$3,"事業所",$A18,"請求区分","単月")
+GETPIVOTDATA("合計 / " &amp; $B18,【ピボット】国保連売上!$A$3,"年月",O$3,"事業所",$A18,"請求区分","再請求"),"")</f>
        <v/>
      </c>
      <c r="P18" s="237" t="str">
        <f>IFERROR(GETPIVOTDATA("合計 / " &amp; $B18,【ピボット】国保連売上!$A$3,"年月",P$3,"事業所",$A18,"請求区分","単月")
+GETPIVOTDATA("合計 / " &amp; $B18,【ピボット】国保連売上!$A$3,"年月",P$3,"事業所",$A18,"請求区分","再請求"),"")</f>
        <v/>
      </c>
      <c r="Q18" s="242">
        <f>SUM(E18:P18)</f>
        <v>-804239</v>
      </c>
      <c r="R18" s="237">
        <f>IFERROR(AVERAGE(E18:P18),0)</f>
        <v>-100529.875</v>
      </c>
    </row>
    <row r="19" spans="1:18" ht="18" customHeight="1" x14ac:dyDescent="0.15">
      <c r="A19" s="675" t="s">
        <v>66</v>
      </c>
      <c r="B19" s="675" t="s">
        <v>871</v>
      </c>
      <c r="C19" s="2147"/>
      <c r="D19" s="247" t="s">
        <v>328</v>
      </c>
      <c r="E19" s="241">
        <f>IFERROR(GETPIVOTDATA("合計 / " &amp; $B19,【ピボット】国保連売上!$A$3,"年月",E$3,"事業所",$A19,"請求区分","単月")
+GETPIVOTDATA("合計 / " &amp; $B19,【ピボット】国保連売上!$A$3,"年月",E$3,"事業所",$A19,"請求区分","再請求"),"")</f>
        <v>6463495</v>
      </c>
      <c r="F19" s="222">
        <f>IFERROR(GETPIVOTDATA("合計 / " &amp; $B19,【ピボット】国保連売上!$A$3,"年月",F$3,"事業所",$A19,"請求区分","単月")
+GETPIVOTDATA("合計 / " &amp; $B19,【ピボット】国保連売上!$A$3,"年月",F$3,"事業所",$A19,"請求区分","再請求"),"")</f>
        <v>7009324</v>
      </c>
      <c r="G19" s="222">
        <f>IFERROR(GETPIVOTDATA("合計 / " &amp; $B19,【ピボット】国保連売上!$A$3,"年月",G$3,"事業所",$A19,"請求区分","単月")
+GETPIVOTDATA("合計 / " &amp; $B19,【ピボット】国保連売上!$A$3,"年月",G$3,"事業所",$A19,"請求区分","再請求"),"")</f>
        <v>6737011</v>
      </c>
      <c r="H19" s="222">
        <f>IFERROR(GETPIVOTDATA("合計 / " &amp; $B19,【ピボット】国保連売上!$A$3,"年月",H$3,"事業所",$A19,"請求区分","単月")
+GETPIVOTDATA("合計 / " &amp; $B19,【ピボット】国保連売上!$A$3,"年月",H$3,"事業所",$A19,"請求区分","再請求"),"")</f>
        <v>6594054</v>
      </c>
      <c r="I19" s="222">
        <f>IFERROR(GETPIVOTDATA("合計 / " &amp; $B19,【ピボット】国保連売上!$A$3,"年月",I$3,"事業所",$A19,"請求区分","単月")
+GETPIVOTDATA("合計 / " &amp; $B19,【ピボット】国保連売上!$A$3,"年月",I$3,"事業所",$A19,"請求区分","再請求"),"")</f>
        <v>6710906</v>
      </c>
      <c r="J19" s="222">
        <f>IFERROR(GETPIVOTDATA("合計 / " &amp; $B19,【ピボット】国保連売上!$A$3,"年月",J$3,"事業所",$A19,"請求区分","単月")
+GETPIVOTDATA("合計 / " &amp; $B19,【ピボット】国保連売上!$A$3,"年月",J$3,"事業所",$A19,"請求区分","再請求"),"")</f>
        <v>6081346</v>
      </c>
      <c r="K19" s="222">
        <f>IFERROR(GETPIVOTDATA("合計 / " &amp; $B19,【ピボット】国保連売上!$A$3,"年月",K$3,"事業所",$A19,"請求区分","単月")
+GETPIVOTDATA("合計 / " &amp; $B19,【ピボット】国保連売上!$A$3,"年月",K$3,"事業所",$A19,"請求区分","再請求"),"")</f>
        <v>6704778</v>
      </c>
      <c r="L19" s="222">
        <f>IFERROR(GETPIVOTDATA("合計 / " &amp; $B19,【ピボット】国保連売上!$A$3,"年月",L$3,"事業所",$A19,"請求区分","単月")
+GETPIVOTDATA("合計 / " &amp; $B19,【ピボット】国保連売上!$A$3,"年月",L$3,"事業所",$A19,"請求区分","再請求"),"")</f>
        <v>6750115</v>
      </c>
      <c r="M19" s="222" t="str">
        <f>IFERROR(GETPIVOTDATA("合計 / " &amp; $B19,【ピボット】国保連売上!$A$3,"年月",M$3,"事業所",$A19,"請求区分","単月")
+GETPIVOTDATA("合計 / " &amp; $B19,【ピボット】国保連売上!$A$3,"年月",M$3,"事業所",$A19,"請求区分","再請求"),"")</f>
        <v/>
      </c>
      <c r="N19" s="222" t="str">
        <f>IFERROR(GETPIVOTDATA("合計 / " &amp; $B19,【ピボット】国保連売上!$A$3,"年月",N$3,"事業所",$A19,"請求区分","単月")
+GETPIVOTDATA("合計 / " &amp; $B19,【ピボット】国保連売上!$A$3,"年月",N$3,"事業所",$A19,"請求区分","再請求"),"")</f>
        <v/>
      </c>
      <c r="O19" s="222" t="str">
        <f>IFERROR(GETPIVOTDATA("合計 / " &amp; $B19,【ピボット】国保連売上!$A$3,"年月",O$3,"事業所",$A19,"請求区分","単月")
+GETPIVOTDATA("合計 / " &amp; $B19,【ピボット】国保連売上!$A$3,"年月",O$3,"事業所",$A19,"請求区分","再請求"),"")</f>
        <v/>
      </c>
      <c r="P19" s="223" t="str">
        <f>IFERROR(GETPIVOTDATA("合計 / " &amp; $B19,【ピボット】国保連売上!$A$3,"年月",P$3,"事業所",$A19,"請求区分","単月")
+GETPIVOTDATA("合計 / " &amp; $B19,【ピボット】国保連売上!$A$3,"年月",P$3,"事業所",$A19,"請求区分","再請求"),"")</f>
        <v/>
      </c>
      <c r="Q19" s="241">
        <f>SUM(E19:P19)</f>
        <v>53051029</v>
      </c>
      <c r="R19" s="223">
        <f t="shared" si="2"/>
        <v>6631378.625</v>
      </c>
    </row>
    <row r="20" spans="1:18" s="219" customFormat="1" ht="18" customHeight="1" x14ac:dyDescent="0.15">
      <c r="A20" s="675" t="s">
        <v>66</v>
      </c>
      <c r="C20" s="2147"/>
      <c r="D20" s="249" t="s">
        <v>317</v>
      </c>
      <c r="E20" s="243">
        <f t="shared" ref="E20:P20" si="7">IFERROR(E18/E16*-1,"")</f>
        <v>1.5592292996269193E-2</v>
      </c>
      <c r="F20" s="238">
        <f t="shared" si="7"/>
        <v>3.8189613202415706E-2</v>
      </c>
      <c r="G20" s="238">
        <f t="shared" si="7"/>
        <v>4.0366366640984364E-2</v>
      </c>
      <c r="H20" s="238">
        <f t="shared" si="7"/>
        <v>1.1314055862563835E-3</v>
      </c>
      <c r="I20" s="238">
        <f t="shared" si="7"/>
        <v>-7.2158539424076738E-4</v>
      </c>
      <c r="J20" s="238">
        <f t="shared" si="7"/>
        <v>-4.3265715983441239E-4</v>
      </c>
      <c r="K20" s="238">
        <f t="shared" si="7"/>
        <v>2.0476731717151649E-2</v>
      </c>
      <c r="L20" s="238">
        <f t="shared" si="7"/>
        <v>0</v>
      </c>
      <c r="M20" s="238" t="str">
        <f t="shared" si="7"/>
        <v/>
      </c>
      <c r="N20" s="238" t="str">
        <f t="shared" si="7"/>
        <v/>
      </c>
      <c r="O20" s="238" t="str">
        <f t="shared" si="7"/>
        <v/>
      </c>
      <c r="P20" s="239" t="str">
        <f t="shared" si="7"/>
        <v/>
      </c>
      <c r="Q20" s="243">
        <f>Q18/Q16*-1</f>
        <v>1.4933339483149542E-2</v>
      </c>
      <c r="R20" s="239">
        <f t="shared" si="2"/>
        <v>1.4325270948625263E-2</v>
      </c>
    </row>
    <row r="21" spans="1:18" ht="18" customHeight="1" thickBot="1" x14ac:dyDescent="0.2">
      <c r="A21" s="675" t="s">
        <v>781</v>
      </c>
      <c r="B21" s="675" t="s">
        <v>792</v>
      </c>
      <c r="C21" s="2148"/>
      <c r="D21" s="250" t="s">
        <v>316</v>
      </c>
      <c r="E21" s="244">
        <f>IFERROR(GETPIVOTDATA("合計 / 売上",【ピボット】事業所収支!$A$3,"年月",E$3,"事業所",$A21),"")</f>
        <v>6774361</v>
      </c>
      <c r="F21" s="224">
        <f>IFERROR(GETPIVOTDATA("合計 / 売上",【ピボット】事業所収支!$A$3,"年月",F$3,"事業所",$A21),"")</f>
        <v>7419604</v>
      </c>
      <c r="G21" s="224">
        <f>IFERROR(GETPIVOTDATA("合計 / 売上",【ピボット】事業所収支!$A$3,"年月",G$3,"事業所",$A21),"")</f>
        <v>7099035</v>
      </c>
      <c r="H21" s="224">
        <f>IFERROR(GETPIVOTDATA("合計 / 売上",【ピボット】事業所収支!$A$3,"年月",H$3,"事業所",$A21),"")</f>
        <v>7065580</v>
      </c>
      <c r="I21" s="224">
        <f>IFERROR(GETPIVOTDATA("合計 / 売上",【ピボット】事業所収支!$A$3,"年月",I$3,"事業所",$A21),"")</f>
        <v>7041908</v>
      </c>
      <c r="J21" s="224">
        <f>IFERROR(GETPIVOTDATA("合計 / 売上",【ピボット】事業所収支!$A$3,"年月",J$3,"事業所",$A21),"")</f>
        <v>6369053</v>
      </c>
      <c r="K21" s="224">
        <f>IFERROR(GETPIVOTDATA("合計 / 売上",【ピボット】事業所収支!$A$3,"年月",K$3,"事業所",$A21),"")</f>
        <v>6979599</v>
      </c>
      <c r="L21" s="224">
        <f>IFERROR(GETPIVOTDATA("合計 / 売上",【ピボット】事業所収支!$A$3,"年月",L$3,"事業所",$A21),"")</f>
        <v>7110420</v>
      </c>
      <c r="M21" s="224" t="str">
        <f>IFERROR(GETPIVOTDATA("合計 / 売上",【ピボット】事業所収支!$A$3,"年月",M$3,"事業所",$A21),"")</f>
        <v/>
      </c>
      <c r="N21" s="224" t="str">
        <f>IFERROR(GETPIVOTDATA("合計 / 売上",【ピボット】事業所収支!$A$3,"年月",N$3,"事業所",$A21),"")</f>
        <v/>
      </c>
      <c r="O21" s="224" t="str">
        <f>IFERROR(GETPIVOTDATA("合計 / 売上",【ピボット】事業所収支!$A$3,"年月",O$3,"事業所",$A21),"")</f>
        <v/>
      </c>
      <c r="P21" s="225" t="str">
        <f>IFERROR(GETPIVOTDATA("合計 / 売上",【ピボット】事業所収支!$A$3,"年月",P$3,"事業所",$A21),"")</f>
        <v/>
      </c>
      <c r="Q21" s="244">
        <f>Q17-Q18</f>
        <v>57468038</v>
      </c>
      <c r="R21" s="225">
        <f t="shared" si="2"/>
        <v>6982445</v>
      </c>
    </row>
    <row r="22" spans="1:18" ht="18" customHeight="1" x14ac:dyDescent="0.15">
      <c r="A22" s="675" t="s">
        <v>972</v>
      </c>
      <c r="B22" s="675" t="s">
        <v>554</v>
      </c>
      <c r="C22" s="2146" t="s">
        <v>983</v>
      </c>
      <c r="D22" s="246" t="s">
        <v>319</v>
      </c>
      <c r="E22" s="240">
        <f>IFERROR(GETPIVOTDATA("合計 / " &amp; $B22,【ピボット】国保連売上!$A$3,"年月",E$3,"事業所",$A22,"請求区分","単月")
+GETPIVOTDATA("合計 / " &amp; $B22,【ピボット】国保連売上!$A$3,"年月",E$3,"事業所",$A22,"請求区分","再請求"),"")</f>
        <v>1235036</v>
      </c>
      <c r="F22" s="220">
        <f>IFERROR(GETPIVOTDATA("合計 / " &amp; $B22,【ピボット】国保連売上!$A$3,"年月",F$3,"事業所",$A22,"請求区分","単月")
+GETPIVOTDATA("合計 / " &amp; $B22,【ピボット】国保連売上!$A$3,"年月",F$3,"事業所",$A22,"請求区分","再請求"),"")</f>
        <v>2075228</v>
      </c>
      <c r="G22" s="220">
        <f>IFERROR(GETPIVOTDATA("合計 / " &amp; $B22,【ピボット】国保連売上!$A$3,"年月",G$3,"事業所",$A22,"請求区分","単月")
+GETPIVOTDATA("合計 / " &amp; $B22,【ピボット】国保連売上!$A$3,"年月",G$3,"事業所",$A22,"請求区分","再請求"),"")</f>
        <v>1635558</v>
      </c>
      <c r="H22" s="220">
        <f>IFERROR(GETPIVOTDATA("合計 / " &amp; $B22,【ピボット】国保連売上!$A$3,"年月",H$3,"事業所",$A22,"請求区分","単月")
+GETPIVOTDATA("合計 / " &amp; $B22,【ピボット】国保連売上!$A$3,"年月",H$3,"事業所",$A22,"請求区分","再請求"),"")</f>
        <v>1496063</v>
      </c>
      <c r="I22" s="220">
        <f>IFERROR(GETPIVOTDATA("合計 / " &amp; $B22,【ピボット】国保連売上!$A$3,"年月",I$3,"事業所",$A22,"請求区分","単月")
+GETPIVOTDATA("合計 / " &amp; $B22,【ピボット】国保連売上!$A$3,"年月",I$3,"事業所",$A22,"請求区分","再請求"),"")</f>
        <v>1134172</v>
      </c>
      <c r="J22" s="220">
        <f>IFERROR(GETPIVOTDATA("合計 / " &amp; $B22,【ピボット】国保連売上!$A$3,"年月",J$3,"事業所",$A22,"請求区分","単月")
+GETPIVOTDATA("合計 / " &amp; $B22,【ピボット】国保連売上!$A$3,"年月",J$3,"事業所",$A22,"請求区分","再請求"),"")</f>
        <v>900458</v>
      </c>
      <c r="K22" s="220" t="str">
        <f>IFERROR(GETPIVOTDATA("合計 / " &amp; $B22,【ピボット】国保連売上!$A$3,"年月",K$3,"事業所",$A22,"請求区分","単月")
+GETPIVOTDATA("合計 / " &amp; $B22,【ピボット】国保連売上!$A$3,"年月",K$3,"事業所",$A22,"請求区分","再請求"),"")</f>
        <v/>
      </c>
      <c r="L22" s="220">
        <f>IFERROR(GETPIVOTDATA("合計 / " &amp; $B22,【ピボット】国保連売上!$A$3,"年月",L$3,"事業所",$A22,"請求区分","単月")
+GETPIVOTDATA("合計 / " &amp; $B22,【ピボット】国保連売上!$A$3,"年月",L$3,"事業所",$A22,"請求区分","再請求"),"")</f>
        <v>13148</v>
      </c>
      <c r="M22" s="220" t="str">
        <f>IFERROR(GETPIVOTDATA("合計 / " &amp; $B22,【ピボット】国保連売上!$A$3,"年月",M$3,"事業所",$A22,"請求区分","単月")
+GETPIVOTDATA("合計 / " &amp; $B22,【ピボット】国保連売上!$A$3,"年月",M$3,"事業所",$A22,"請求区分","再請求"),"")</f>
        <v/>
      </c>
      <c r="N22" s="220" t="str">
        <f>IFERROR(GETPIVOTDATA("合計 / " &amp; $B22,【ピボット】国保連売上!$A$3,"年月",N$3,"事業所",$A22,"請求区分","単月")
+GETPIVOTDATA("合計 / " &amp; $B22,【ピボット】国保連売上!$A$3,"年月",N$3,"事業所",$A22,"請求区分","再請求"),"")</f>
        <v/>
      </c>
      <c r="O22" s="220" t="str">
        <f>IFERROR(GETPIVOTDATA("合計 / " &amp; $B22,【ピボット】国保連売上!$A$3,"年月",O$3,"事業所",$A22,"請求区分","単月")
+GETPIVOTDATA("合計 / " &amp; $B22,【ピボット】国保連売上!$A$3,"年月",O$3,"事業所",$A22,"請求区分","再請求"),"")</f>
        <v/>
      </c>
      <c r="P22" s="221" t="str">
        <f>IFERROR(GETPIVOTDATA("合計 / " &amp; $B22,【ピボット】国保連売上!$A$3,"年月",P$3,"事業所",$A22,"請求区分","単月")
+GETPIVOTDATA("合計 / " &amp; $B22,【ピボット】国保連売上!$A$3,"年月",P$3,"事業所",$A22,"請求区分","再請求"),"")</f>
        <v/>
      </c>
      <c r="Q22" s="240">
        <f>SUM(E22:P22)</f>
        <v>8489663</v>
      </c>
      <c r="R22" s="221">
        <f>AVERAGE(E22:P22)</f>
        <v>1212809</v>
      </c>
    </row>
    <row r="23" spans="1:18" ht="18" customHeight="1" x14ac:dyDescent="0.15">
      <c r="A23" s="675" t="s">
        <v>972</v>
      </c>
      <c r="B23" s="675" t="s">
        <v>26</v>
      </c>
      <c r="C23" s="2147"/>
      <c r="D23" s="247" t="s">
        <v>318</v>
      </c>
      <c r="E23" s="241">
        <f t="shared" ref="E23:P23" si="8">IFERROR(E27-E24,"")</f>
        <v>1238636</v>
      </c>
      <c r="F23" s="222">
        <f t="shared" si="8"/>
        <v>2080328</v>
      </c>
      <c r="G23" s="222">
        <f>IFERROR(G27-G24,"")</f>
        <v>1657608</v>
      </c>
      <c r="H23" s="222">
        <f t="shared" si="8"/>
        <v>1520846</v>
      </c>
      <c r="I23" s="222">
        <f t="shared" si="8"/>
        <v>1173922</v>
      </c>
      <c r="J23" s="222">
        <f t="shared" si="8"/>
        <v>912358</v>
      </c>
      <c r="K23" s="222" t="str">
        <f t="shared" si="8"/>
        <v/>
      </c>
      <c r="L23" s="222">
        <f t="shared" si="8"/>
        <v>13148</v>
      </c>
      <c r="M23" s="222" t="str">
        <f t="shared" si="8"/>
        <v/>
      </c>
      <c r="N23" s="222" t="str">
        <f t="shared" si="8"/>
        <v/>
      </c>
      <c r="O23" s="222" t="str">
        <f t="shared" si="8"/>
        <v/>
      </c>
      <c r="P23" s="223" t="str">
        <f t="shared" si="8"/>
        <v/>
      </c>
      <c r="Q23" s="241">
        <f>SUM(E23:P23)</f>
        <v>8596846</v>
      </c>
      <c r="R23" s="223">
        <f>AVERAGE(E23:P23)</f>
        <v>1228120.857142857</v>
      </c>
    </row>
    <row r="24" spans="1:18" ht="18" customHeight="1" x14ac:dyDescent="0.15">
      <c r="A24" s="675" t="s">
        <v>972</v>
      </c>
      <c r="B24" s="675" t="s">
        <v>470</v>
      </c>
      <c r="C24" s="2147"/>
      <c r="D24" s="248" t="s">
        <v>327</v>
      </c>
      <c r="E24" s="242">
        <f>IFERROR(GETPIVOTDATA("合計 / " &amp; $B24,【ピボット】国保連売上!$A$3,"年月",E$3,"事業所",$A24,"請求区分","単月")
+GETPIVOTDATA("合計 / " &amp; $B24,【ピボット】国保連売上!$A$3,"年月",E$3,"事業所",$A24,"請求区分","再請求"),"")</f>
        <v>-45358</v>
      </c>
      <c r="F24" s="236">
        <f>IFERROR(GETPIVOTDATA("合計 / " &amp; $B24,【ピボット】国保連売上!$A$3,"年月",F$3,"事業所",$A24,"請求区分","単月")
+GETPIVOTDATA("合計 / " &amp; $B24,【ピボット】国保連売上!$A$3,"年月",F$3,"事業所",$A24,"請求区分","再請求"),"")</f>
        <v>-448782</v>
      </c>
      <c r="G24" s="236">
        <f>IFERROR(GETPIVOTDATA("合計 / " &amp; $B24,【ピボット】国保連売上!$A$3,"年月",G$3,"事業所",$A24,"請求区分","単月")
+GETPIVOTDATA("合計 / " &amp; $B24,【ピボット】国保連売上!$A$3,"年月",G$3,"事業所",$A24,"請求区分","再請求"),"")</f>
        <v>-361494</v>
      </c>
      <c r="H24" s="236">
        <f>IFERROR(GETPIVOTDATA("合計 / " &amp; $B24,【ピボット】国保連売上!$A$3,"年月",H$3,"事業所",$A24,"請求区分","単月")
+GETPIVOTDATA("合計 / " &amp; $B24,【ピボット】国保連売上!$A$3,"年月",H$3,"事業所",$A24,"請求区分","再請求"),"")</f>
        <v>0</v>
      </c>
      <c r="I24" s="236">
        <f>IFERROR(GETPIVOTDATA("合計 / " &amp; $B24,【ピボット】国保連売上!$A$3,"年月",I$3,"事業所",$A24,"請求区分","単月")
+GETPIVOTDATA("合計 / " &amp; $B24,【ピボット】国保連売上!$A$3,"年月",I$3,"事業所",$A24,"請求区分","再請求"),"")</f>
        <v>-13148</v>
      </c>
      <c r="J24" s="236">
        <f>IFERROR(GETPIVOTDATA("合計 / " &amp; $B24,【ピボット】国保連売上!$A$3,"年月",J$3,"事業所",$A24,"請求区分","単月")
+GETPIVOTDATA("合計 / " &amp; $B24,【ピボット】国保連売上!$A$3,"年月",J$3,"事業所",$A24,"請求区分","再請求"),"")</f>
        <v>-8409</v>
      </c>
      <c r="K24" s="236" t="str">
        <f>IFERROR(GETPIVOTDATA("合計 / " &amp; $B24,【ピボット】国保連売上!$A$3,"年月",K$3,"事業所",$A24,"請求区分","単月")
+GETPIVOTDATA("合計 / " &amp; $B24,【ピボット】国保連売上!$A$3,"年月",K$3,"事業所",$A24,"請求区分","再請求"),"")</f>
        <v/>
      </c>
      <c r="L24" s="236">
        <f>IFERROR(GETPIVOTDATA("合計 / " &amp; $B24,【ピボット】国保連売上!$A$3,"年月",L$3,"事業所",$A24,"請求区分","単月")
+GETPIVOTDATA("合計 / " &amp; $B24,【ピボット】国保連売上!$A$3,"年月",L$3,"事業所",$A24,"請求区分","再請求"),"")</f>
        <v>0</v>
      </c>
      <c r="M24" s="236" t="str">
        <f>IFERROR(GETPIVOTDATA("合計 / " &amp; $B24,【ピボット】国保連売上!$A$3,"年月",M$3,"事業所",$A24,"請求区分","単月")
+GETPIVOTDATA("合計 / " &amp; $B24,【ピボット】国保連売上!$A$3,"年月",M$3,"事業所",$A24,"請求区分","再請求"),"")</f>
        <v/>
      </c>
      <c r="N24" s="236" t="str">
        <f>IFERROR(GETPIVOTDATA("合計 / " &amp; $B24,【ピボット】国保連売上!$A$3,"年月",N$3,"事業所",$A24,"請求区分","単月")
+GETPIVOTDATA("合計 / " &amp; $B24,【ピボット】国保連売上!$A$3,"年月",N$3,"事業所",$A24,"請求区分","再請求"),"")</f>
        <v/>
      </c>
      <c r="O24" s="236" t="str">
        <f>IFERROR(GETPIVOTDATA("合計 / " &amp; $B24,【ピボット】国保連売上!$A$3,"年月",O$3,"事業所",$A24,"請求区分","単月")
+GETPIVOTDATA("合計 / " &amp; $B24,【ピボット】国保連売上!$A$3,"年月",O$3,"事業所",$A24,"請求区分","再請求"),"")</f>
        <v/>
      </c>
      <c r="P24" s="237" t="str">
        <f>IFERROR(GETPIVOTDATA("合計 / " &amp; $B24,【ピボット】国保連売上!$A$3,"年月",P$3,"事業所",$A24,"請求区分","単月")
+GETPIVOTDATA("合計 / " &amp; $B24,【ピボット】国保連売上!$A$3,"年月",P$3,"事業所",$A24,"請求区分","再請求"),"")</f>
        <v/>
      </c>
      <c r="Q24" s="242">
        <f>SUM(E24:P24)</f>
        <v>-877191</v>
      </c>
      <c r="R24" s="237">
        <f>IFERROR(AVERAGE(E24:P24),0)</f>
        <v>-125313</v>
      </c>
    </row>
    <row r="25" spans="1:18" ht="18" customHeight="1" x14ac:dyDescent="0.15">
      <c r="A25" s="675" t="s">
        <v>972</v>
      </c>
      <c r="B25" s="675" t="s">
        <v>555</v>
      </c>
      <c r="C25" s="2147"/>
      <c r="D25" s="247" t="s">
        <v>328</v>
      </c>
      <c r="E25" s="241">
        <f>IFERROR(GETPIVOTDATA("合計 / " &amp; $B25,【ピボット】国保連売上!$A$3,"年月",E$3,"事業所",$A25,"請求区分","単月")
+GETPIVOTDATA("合計 / " &amp; $B25,【ピボット】国保連売上!$A$3,"年月",E$3,"事業所",$A25,"請求区分","再請求"),"")</f>
        <v>1189678</v>
      </c>
      <c r="F25" s="222">
        <f>IFERROR(GETPIVOTDATA("合計 / " &amp; $B25,【ピボット】国保連売上!$A$3,"年月",F$3,"事業所",$A25,"請求区分","単月")
+GETPIVOTDATA("合計 / " &amp; $B25,【ピボット】国保連売上!$A$3,"年月",F$3,"事業所",$A25,"請求区分","再請求"),"")</f>
        <v>1626446</v>
      </c>
      <c r="G25" s="222">
        <f>IFERROR(GETPIVOTDATA("合計 / " &amp; $B25,【ピボット】国保連売上!$A$3,"年月",G$3,"事業所",$A25,"請求区分","単月")
+GETPIVOTDATA("合計 / " &amp; $B25,【ピボット】国保連売上!$A$3,"年月",G$3,"事業所",$A25,"請求区分","再請求"),"")</f>
        <v>1274064</v>
      </c>
      <c r="H25" s="222">
        <f>IFERROR(GETPIVOTDATA("合計 / " &amp; $B25,【ピボット】国保連売上!$A$3,"年月",H$3,"事業所",$A25,"請求区分","単月")
+GETPIVOTDATA("合計 / " &amp; $B25,【ピボット】国保連売上!$A$3,"年月",H$3,"事業所",$A25,"請求区分","再請求"),"")</f>
        <v>1496063</v>
      </c>
      <c r="I25" s="222">
        <f>IFERROR(GETPIVOTDATA("合計 / " &amp; $B25,【ピボット】国保連売上!$A$3,"年月",I$3,"事業所",$A25,"請求区分","単月")
+GETPIVOTDATA("合計 / " &amp; $B25,【ピボット】国保連売上!$A$3,"年月",I$3,"事業所",$A25,"請求区分","再請求"),"")</f>
        <v>1121024</v>
      </c>
      <c r="J25" s="222">
        <f>IFERROR(GETPIVOTDATA("合計 / " &amp; $B25,【ピボット】国保連売上!$A$3,"年月",J$3,"事業所",$A25,"請求区分","単月")
+GETPIVOTDATA("合計 / " &amp; $B25,【ピボット】国保連売上!$A$3,"年月",J$3,"事業所",$A25,"請求区分","再請求"),"")</f>
        <v>892049</v>
      </c>
      <c r="K25" s="222" t="str">
        <f>IFERROR(GETPIVOTDATA("合計 / " &amp; $B25,【ピボット】国保連売上!$A$3,"年月",K$3,"事業所",$A25,"請求区分","単月")
+GETPIVOTDATA("合計 / " &amp; $B25,【ピボット】国保連売上!$A$3,"年月",K$3,"事業所",$A25,"請求区分","再請求"),"")</f>
        <v/>
      </c>
      <c r="L25" s="222">
        <f>IFERROR(GETPIVOTDATA("合計 / " &amp; $B25,【ピボット】国保連売上!$A$3,"年月",L$3,"事業所",$A25,"請求区分","単月")
+GETPIVOTDATA("合計 / " &amp; $B25,【ピボット】国保連売上!$A$3,"年月",L$3,"事業所",$A25,"請求区分","再請求"),"")</f>
        <v>13148</v>
      </c>
      <c r="M25" s="222" t="str">
        <f>IFERROR(GETPIVOTDATA("合計 / " &amp; $B25,【ピボット】国保連売上!$A$3,"年月",M$3,"事業所",$A25,"請求区分","単月")
+GETPIVOTDATA("合計 / " &amp; $B25,【ピボット】国保連売上!$A$3,"年月",M$3,"事業所",$A25,"請求区分","再請求"),"")</f>
        <v/>
      </c>
      <c r="N25" s="222" t="str">
        <f>IFERROR(GETPIVOTDATA("合計 / " &amp; $B25,【ピボット】国保連売上!$A$3,"年月",N$3,"事業所",$A25,"請求区分","単月")
+GETPIVOTDATA("合計 / " &amp; $B25,【ピボット】国保連売上!$A$3,"年月",N$3,"事業所",$A25,"請求区分","再請求"),"")</f>
        <v/>
      </c>
      <c r="O25" s="222" t="str">
        <f>IFERROR(GETPIVOTDATA("合計 / " &amp; $B25,【ピボット】国保連売上!$A$3,"年月",O$3,"事業所",$A25,"請求区分","単月")
+GETPIVOTDATA("合計 / " &amp; $B25,【ピボット】国保連売上!$A$3,"年月",O$3,"事業所",$A25,"請求区分","再請求"),"")</f>
        <v/>
      </c>
      <c r="P25" s="223" t="str">
        <f>IFERROR(GETPIVOTDATA("合計 / " &amp; $B25,【ピボット】国保連売上!$A$3,"年月",P$3,"事業所",$A25,"請求区分","単月")
+GETPIVOTDATA("合計 / " &amp; $B25,【ピボット】国保連売上!$A$3,"年月",P$3,"事業所",$A25,"請求区分","再請求"),"")</f>
        <v/>
      </c>
      <c r="Q25" s="241">
        <f>SUM(E25:P25)</f>
        <v>7612472</v>
      </c>
      <c r="R25" s="223">
        <f>AVERAGE(E25:P25)</f>
        <v>1087496</v>
      </c>
    </row>
    <row r="26" spans="1:18" s="219" customFormat="1" ht="18" customHeight="1" x14ac:dyDescent="0.15">
      <c r="A26" s="675" t="s">
        <v>972</v>
      </c>
      <c r="C26" s="2147"/>
      <c r="D26" s="249" t="s">
        <v>317</v>
      </c>
      <c r="E26" s="243">
        <f t="shared" ref="E26:P26" si="9">IFERROR(E24/E22*-1,"")</f>
        <v>3.6726054949005535E-2</v>
      </c>
      <c r="F26" s="238">
        <f t="shared" si="9"/>
        <v>0.21625671974356553</v>
      </c>
      <c r="G26" s="238">
        <f t="shared" si="9"/>
        <v>0.22102181640761134</v>
      </c>
      <c r="H26" s="238">
        <f t="shared" si="9"/>
        <v>0</v>
      </c>
      <c r="I26" s="238">
        <f t="shared" si="9"/>
        <v>1.1592597948106636E-2</v>
      </c>
      <c r="J26" s="238">
        <f t="shared" si="9"/>
        <v>9.3385810332075447E-3</v>
      </c>
      <c r="K26" s="238" t="str">
        <f t="shared" si="9"/>
        <v/>
      </c>
      <c r="L26" s="238">
        <f t="shared" si="9"/>
        <v>0</v>
      </c>
      <c r="M26" s="238" t="str">
        <f t="shared" si="9"/>
        <v/>
      </c>
      <c r="N26" s="238" t="str">
        <f t="shared" si="9"/>
        <v/>
      </c>
      <c r="O26" s="238" t="str">
        <f t="shared" si="9"/>
        <v/>
      </c>
      <c r="P26" s="239" t="str">
        <f t="shared" si="9"/>
        <v/>
      </c>
      <c r="Q26" s="243">
        <f>Q24/Q22*-1</f>
        <v>0.10332459604109138</v>
      </c>
      <c r="R26" s="239">
        <f>AVERAGE(E26:P26)</f>
        <v>7.0705110011642383E-2</v>
      </c>
    </row>
    <row r="27" spans="1:18" ht="18" customHeight="1" thickBot="1" x14ac:dyDescent="0.2">
      <c r="A27" s="675" t="s">
        <v>972</v>
      </c>
      <c r="B27" s="675" t="s">
        <v>26</v>
      </c>
      <c r="C27" s="2148"/>
      <c r="D27" s="250" t="s">
        <v>316</v>
      </c>
      <c r="E27" s="244">
        <f>IFERROR(GETPIVOTDATA("合計 / 売上",【ピボット】事業所収支!$A$3,"年月",E$3,"事業所",$A27),"")</f>
        <v>1193278</v>
      </c>
      <c r="F27" s="224">
        <f>IFERROR(GETPIVOTDATA("合計 / 売上",【ピボット】事業所収支!$A$3,"年月",F$3,"事業所",$A27),"")</f>
        <v>1631546</v>
      </c>
      <c r="G27" s="224">
        <f>IFERROR(GETPIVOTDATA("合計 / 売上",【ピボット】事業所収支!$A$3,"年月",G$3,"事業所",$A27),"")</f>
        <v>1296114</v>
      </c>
      <c r="H27" s="224">
        <f>IFERROR(GETPIVOTDATA("合計 / 売上",【ピボット】事業所収支!$A$3,"年月",H$3,"事業所",$A27),"")</f>
        <v>1520846</v>
      </c>
      <c r="I27" s="224">
        <f>IFERROR(GETPIVOTDATA("合計 / 売上",【ピボット】事業所収支!$A$3,"年月",I$3,"事業所",$A27),"")</f>
        <v>1160774</v>
      </c>
      <c r="J27" s="224">
        <f>IFERROR(GETPIVOTDATA("合計 / 売上",【ピボット】事業所収支!$A$3,"年月",J$3,"事業所",$A27),"")</f>
        <v>903949</v>
      </c>
      <c r="K27" s="224">
        <f>IFERROR(GETPIVOTDATA("合計 / 売上",【ピボット】事業所収支!$A$3,"年月",K$3,"事業所",$A27),"")</f>
        <v>0</v>
      </c>
      <c r="L27" s="224">
        <f>IFERROR(GETPIVOTDATA("合計 / 売上",【ピボット】事業所収支!$A$3,"年月",L$3,"事業所",$A27),"")</f>
        <v>13148</v>
      </c>
      <c r="M27" s="224" t="str">
        <f>IFERROR(GETPIVOTDATA("合計 / 売上",【ピボット】事業所収支!$A$3,"年月",M$3,"事業所",$A27),"")</f>
        <v/>
      </c>
      <c r="N27" s="224" t="str">
        <f>IFERROR(GETPIVOTDATA("合計 / 売上",【ピボット】事業所収支!$A$3,"年月",N$3,"事業所",$A27),"")</f>
        <v/>
      </c>
      <c r="O27" s="224" t="str">
        <f>IFERROR(GETPIVOTDATA("合計 / 売上",【ピボット】事業所収支!$A$3,"年月",O$3,"事業所",$A27),"")</f>
        <v/>
      </c>
      <c r="P27" s="225" t="str">
        <f>IFERROR(GETPIVOTDATA("合計 / 売上",【ピボット】事業所収支!$A$3,"年月",P$3,"事業所",$A27),"")</f>
        <v/>
      </c>
      <c r="Q27" s="244">
        <f>Q23-Q24</f>
        <v>9474037</v>
      </c>
      <c r="R27" s="225">
        <f>AVERAGE(E27:P27)</f>
        <v>964956.875</v>
      </c>
    </row>
    <row r="28" spans="1:18" ht="18" customHeight="1" x14ac:dyDescent="0.15">
      <c r="A28" s="1682" t="s">
        <v>1207</v>
      </c>
      <c r="B28" s="675" t="s">
        <v>554</v>
      </c>
      <c r="C28" s="2154" t="s">
        <v>1383</v>
      </c>
      <c r="D28" s="246" t="s">
        <v>319</v>
      </c>
      <c r="E28" s="240" t="str">
        <f>IFERROR(GETPIVOTDATA("合計 / " &amp; $B28,【ピボット】国保連売上!$A$3,"年月",E$3,"事業所",$A28,"請求区分","単月")
+GETPIVOTDATA("合計 / " &amp; $B28,【ピボット】国保連売上!$A$3,"年月",E$3,"事業所",$A28,"請求区分","再請求"),"")</f>
        <v/>
      </c>
      <c r="F28" s="220">
        <f>IFERROR(GETPIVOTDATA("合計 / " &amp; $B28,【ピボット】国保連売上!$A$3,"年月",F$3,"事業所",$A28,"請求区分","単月")
+GETPIVOTDATA("合計 / " &amp; $B28,【ピボット】国保連売上!$A$3,"年月",F$3,"事業所",$A28,"請求区分","再請求"),"")</f>
        <v>279190</v>
      </c>
      <c r="G28" s="220">
        <f>IFERROR(GETPIVOTDATA("合計 / " &amp; $B28,【ピボット】国保連売上!$A$3,"年月",G$3,"事業所",$A28,"請求区分","単月")
+GETPIVOTDATA("合計 / " &amp; $B28,【ピボット】国保連売上!$A$3,"年月",G$3,"事業所",$A28,"請求区分","再請求"),"")</f>
        <v>529291</v>
      </c>
      <c r="H28" s="220">
        <f>IFERROR(GETPIVOTDATA("合計 / " &amp; $B28,【ピボット】国保連売上!$A$3,"年月",H$3,"事業所",$A28,"請求区分","単月")
+GETPIVOTDATA("合計 / " &amp; $B28,【ピボット】国保連売上!$A$3,"年月",H$3,"事業所",$A28,"請求区分","再請求"),"")</f>
        <v>687274</v>
      </c>
      <c r="I28" s="220">
        <f>IFERROR(GETPIVOTDATA("合計 / " &amp; $B28,【ピボット】国保連売上!$A$3,"年月",I$3,"事業所",$A28,"請求区分","単月")
+GETPIVOTDATA("合計 / " &amp; $B28,【ピボット】国保連売上!$A$3,"年月",I$3,"事業所",$A28,"請求区分","再請求"),"")</f>
        <v>842139</v>
      </c>
      <c r="J28" s="220">
        <f>IFERROR(GETPIVOTDATA("合計 / " &amp; $B28,【ピボット】国保連売上!$A$3,"年月",J$3,"事業所",$A28,"請求区分","単月")
+GETPIVOTDATA("合計 / " &amp; $B28,【ピボット】国保連売上!$A$3,"年月",J$3,"事業所",$A28,"請求区分","再請求"),"")</f>
        <v>1058326</v>
      </c>
      <c r="K28" s="220">
        <f>IFERROR(GETPIVOTDATA("合計 / " &amp; $B28,【ピボット】国保連売上!$A$3,"年月",K$3,"事業所",$A28,"請求区分","単月")
+GETPIVOTDATA("合計 / " &amp; $B28,【ピボット】国保連売上!$A$3,"年月",K$3,"事業所",$A28,"請求区分","再請求"),"")</f>
        <v>1412447</v>
      </c>
      <c r="L28" s="220">
        <f>IFERROR(GETPIVOTDATA("合計 / " &amp; $B28,【ピボット】国保連売上!$A$3,"年月",L$3,"事業所",$A28,"請求区分","単月")
+GETPIVOTDATA("合計 / " &amp; $B28,【ピボット】国保連売上!$A$3,"年月",L$3,"事業所",$A28,"請求区分","再請求"),"")</f>
        <v>1842536</v>
      </c>
      <c r="M28" s="220" t="str">
        <f>IFERROR(GETPIVOTDATA("合計 / " &amp; $B28,【ピボット】国保連売上!$A$3,"年月",M$3,"事業所",$A28,"請求区分","単月")
+GETPIVOTDATA("合計 / " &amp; $B28,【ピボット】国保連売上!$A$3,"年月",M$3,"事業所",$A28,"請求区分","再請求"),"")</f>
        <v/>
      </c>
      <c r="N28" s="220" t="str">
        <f>IFERROR(GETPIVOTDATA("合計 / " &amp; $B28,【ピボット】国保連売上!$A$3,"年月",N$3,"事業所",$A28,"請求区分","単月")
+GETPIVOTDATA("合計 / " &amp; $B28,【ピボット】国保連売上!$A$3,"年月",N$3,"事業所",$A28,"請求区分","再請求"),"")</f>
        <v/>
      </c>
      <c r="O28" s="220" t="str">
        <f>IFERROR(GETPIVOTDATA("合計 / " &amp; $B28,【ピボット】国保連売上!$A$3,"年月",O$3,"事業所",$A28,"請求区分","単月")
+GETPIVOTDATA("合計 / " &amp; $B28,【ピボット】国保連売上!$A$3,"年月",O$3,"事業所",$A28,"請求区分","再請求"),"")</f>
        <v/>
      </c>
      <c r="P28" s="221" t="str">
        <f>IFERROR(GETPIVOTDATA("合計 / " &amp; $B28,【ピボット】国保連売上!$A$3,"年月",P$3,"事業所",$A28,"請求区分","単月")
+GETPIVOTDATA("合計 / " &amp; $B28,【ピボット】国保連売上!$A$3,"年月",P$3,"事業所",$A28,"請求区分","再請求"),"")</f>
        <v/>
      </c>
      <c r="Q28" s="240">
        <f>SUM(E28:P28)</f>
        <v>6651203</v>
      </c>
      <c r="R28" s="221">
        <f>AVERAGE(E28:P28)</f>
        <v>950171.85714285716</v>
      </c>
    </row>
    <row r="29" spans="1:18" ht="18" customHeight="1" x14ac:dyDescent="0.15">
      <c r="A29" s="1682" t="s">
        <v>1207</v>
      </c>
      <c r="B29" s="675" t="s">
        <v>26</v>
      </c>
      <c r="C29" s="2147"/>
      <c r="D29" s="247" t="s">
        <v>318</v>
      </c>
      <c r="E29" s="241" t="str">
        <f>IFERROR(E33-E30,"")</f>
        <v/>
      </c>
      <c r="F29" s="222">
        <f>IFERROR(F33-F30,"")</f>
        <v>279190</v>
      </c>
      <c r="G29" s="222">
        <f>IFERROR(G33-G30,"")</f>
        <v>582301</v>
      </c>
      <c r="H29" s="222">
        <f t="shared" ref="H29:P29" si="10">IFERROR(H33-H30,"")</f>
        <v>720228</v>
      </c>
      <c r="I29" s="222">
        <f t="shared" si="10"/>
        <v>901256</v>
      </c>
      <c r="J29" s="222">
        <f t="shared" si="10"/>
        <v>1067320</v>
      </c>
      <c r="K29" s="222">
        <f t="shared" si="10"/>
        <v>1477082</v>
      </c>
      <c r="L29" s="222">
        <f t="shared" si="10"/>
        <v>1905194</v>
      </c>
      <c r="M29" s="222" t="str">
        <f t="shared" si="10"/>
        <v/>
      </c>
      <c r="N29" s="222" t="str">
        <f t="shared" si="10"/>
        <v/>
      </c>
      <c r="O29" s="222" t="str">
        <f t="shared" si="10"/>
        <v/>
      </c>
      <c r="P29" s="223" t="str">
        <f t="shared" si="10"/>
        <v/>
      </c>
      <c r="Q29" s="241">
        <f>SUM(E29:P29)</f>
        <v>6932571</v>
      </c>
      <c r="R29" s="223">
        <f>AVERAGE(E29:P29)</f>
        <v>990367.28571428568</v>
      </c>
    </row>
    <row r="30" spans="1:18" ht="18" customHeight="1" x14ac:dyDescent="0.15">
      <c r="A30" s="1682" t="s">
        <v>1207</v>
      </c>
      <c r="B30" s="675" t="s">
        <v>470</v>
      </c>
      <c r="C30" s="2147"/>
      <c r="D30" s="248" t="s">
        <v>327</v>
      </c>
      <c r="E30" s="242" t="str">
        <f>IFERROR(GETPIVOTDATA("合計 / " &amp; $B30,【ピボット】国保連売上!$A$3,"年月",E$3,"事業所",$A30,"請求区分","単月")
+GETPIVOTDATA("合計 / " &amp; $B30,【ピボット】国保連売上!$A$3,"年月",E$3,"事業所",$A30,"請求区分","再請求"),"")</f>
        <v/>
      </c>
      <c r="F30" s="236">
        <f>IFERROR(GETPIVOTDATA("合計 / " &amp; $B30,【ピボット】国保連売上!$A$3,"年月",F$3,"事業所",$A30,"請求区分","単月")
+GETPIVOTDATA("合計 / " &amp; $B30,【ピボット】国保連売上!$A$3,"年月",F$3,"事業所",$A30,"請求区分","再請求"),"")</f>
        <v>-44906</v>
      </c>
      <c r="G30" s="236">
        <f>IFERROR(GETPIVOTDATA("合計 / " &amp; $B30,【ピボット】国保連売上!$A$3,"年月",G$3,"事業所",$A30,"請求区分","単月")
+GETPIVOTDATA("合計 / " &amp; $B30,【ピボット】国保連売上!$A$3,"年月",G$3,"事業所",$A30,"請求区分","再請求"),"")</f>
        <v>-96663</v>
      </c>
      <c r="H30" s="236">
        <f>IFERROR(GETPIVOTDATA("合計 / " &amp; $B30,【ピボット】国保連売上!$A$3,"年月",H$3,"事業所",$A30,"請求区分","単月")
+GETPIVOTDATA("合計 / " &amp; $B30,【ピボット】国保連売上!$A$3,"年月",H$3,"事業所",$A30,"請求区分","再請求"),"")</f>
        <v>-18508</v>
      </c>
      <c r="I30" s="236">
        <f>IFERROR(GETPIVOTDATA("合計 / " &amp; $B30,【ピボット】国保連売上!$A$3,"年月",I$3,"事業所",$A30,"請求区分","単月")
+GETPIVOTDATA("合計 / " &amp; $B30,【ピボット】国保連売上!$A$3,"年月",I$3,"事業所",$A30,"請求区分","再請求"),"")</f>
        <v>-90576</v>
      </c>
      <c r="J30" s="236">
        <f>IFERROR(GETPIVOTDATA("合計 / " &amp; $B30,【ピボット】国保連売上!$A$3,"年月",J$3,"事業所",$A30,"請求区分","単月")
+GETPIVOTDATA("合計 / " &amp; $B30,【ピボット】国保連売上!$A$3,"年月",J$3,"事業所",$A30,"請求区分","再請求"),"")</f>
        <v>-6574</v>
      </c>
      <c r="K30" s="236">
        <f>IFERROR(GETPIVOTDATA("合計 / " &amp; $B30,【ピボット】国保連売上!$A$3,"年月",K$3,"事業所",$A30,"請求区分","単月")
+GETPIVOTDATA("合計 / " &amp; $B30,【ピボット】国保連売上!$A$3,"年月",K$3,"事業所",$A30,"請求区分","再請求"),"")</f>
        <v>-38475</v>
      </c>
      <c r="L30" s="236">
        <f>IFERROR(GETPIVOTDATA("合計 / " &amp; $B30,【ピボット】国保連売上!$A$3,"年月",L$3,"事業所",$A30,"請求区分","単月")
+GETPIVOTDATA("合計 / " &amp; $B30,【ピボット】国保連売上!$A$3,"年月",L$3,"事業所",$A30,"請求区分","再請求"),"")</f>
        <v>0</v>
      </c>
      <c r="M30" s="236" t="str">
        <f>IFERROR(GETPIVOTDATA("合計 / " &amp; $B30,【ピボット】国保連売上!$A$3,"年月",M$3,"事業所",$A30,"請求区分","単月")
+GETPIVOTDATA("合計 / " &amp; $B30,【ピボット】国保連売上!$A$3,"年月",M$3,"事業所",$A30,"請求区分","再請求"),"")</f>
        <v/>
      </c>
      <c r="N30" s="236" t="str">
        <f>IFERROR(GETPIVOTDATA("合計 / " &amp; $B30,【ピボット】国保連売上!$A$3,"年月",N$3,"事業所",$A30,"請求区分","単月")
+GETPIVOTDATA("合計 / " &amp; $B30,【ピボット】国保連売上!$A$3,"年月",N$3,"事業所",$A30,"請求区分","再請求"),"")</f>
        <v/>
      </c>
      <c r="O30" s="236" t="str">
        <f>IFERROR(GETPIVOTDATA("合計 / " &amp; $B30,【ピボット】国保連売上!$A$3,"年月",O$3,"事業所",$A30,"請求区分","単月")
+GETPIVOTDATA("合計 / " &amp; $B30,【ピボット】国保連売上!$A$3,"年月",O$3,"事業所",$A30,"請求区分","再請求"),"")</f>
        <v/>
      </c>
      <c r="P30" s="237" t="str">
        <f>IFERROR(GETPIVOTDATA("合計 / " &amp; $B30,【ピボット】国保連売上!$A$3,"年月",P$3,"事業所",$A30,"請求区分","単月")
+GETPIVOTDATA("合計 / " &amp; $B30,【ピボット】国保連売上!$A$3,"年月",P$3,"事業所",$A30,"請求区分","再請求"),"")</f>
        <v/>
      </c>
      <c r="Q30" s="242">
        <f>SUM(E30:P30)</f>
        <v>-295702</v>
      </c>
      <c r="R30" s="237">
        <f>IFERROR(AVERAGE(E30:P30),0)</f>
        <v>-42243.142857142855</v>
      </c>
    </row>
    <row r="31" spans="1:18" ht="18" customHeight="1" x14ac:dyDescent="0.15">
      <c r="A31" s="1682" t="s">
        <v>1207</v>
      </c>
      <c r="B31" s="675" t="s">
        <v>555</v>
      </c>
      <c r="C31" s="2147"/>
      <c r="D31" s="247" t="s">
        <v>328</v>
      </c>
      <c r="E31" s="241" t="str">
        <f>IFERROR(GETPIVOTDATA("合計 / " &amp; $B31,【ピボット】国保連売上!$A$3,"年月",E$3,"事業所",$A31,"請求区分","単月")
+GETPIVOTDATA("合計 / " &amp; $B31,【ピボット】国保連売上!$A$3,"年月",E$3,"事業所",$A31,"請求区分","再請求"),"")</f>
        <v/>
      </c>
      <c r="F31" s="222">
        <f>IFERROR(GETPIVOTDATA("合計 / " &amp; $B31,【ピボット】国保連売上!$A$3,"年月",F$3,"事業所",$A31,"請求区分","単月")
+GETPIVOTDATA("合計 / " &amp; $B31,【ピボット】国保連売上!$A$3,"年月",F$3,"事業所",$A31,"請求区分","再請求"),"")</f>
        <v>234284</v>
      </c>
      <c r="G31" s="222">
        <f>IFERROR(GETPIVOTDATA("合計 / " &amp; $B31,【ピボット】国保連売上!$A$3,"年月",G$3,"事業所",$A31,"請求区分","単月")
+GETPIVOTDATA("合計 / " &amp; $B31,【ピボット】国保連売上!$A$3,"年月",G$3,"事業所",$A31,"請求区分","再請求"),"")</f>
        <v>432628</v>
      </c>
      <c r="H31" s="222">
        <f>IFERROR(GETPIVOTDATA("合計 / " &amp; $B31,【ピボット】国保連売上!$A$3,"年月",H$3,"事業所",$A31,"請求区分","単月")
+GETPIVOTDATA("合計 / " &amp; $B31,【ピボット】国保連売上!$A$3,"年月",H$3,"事業所",$A31,"請求区分","再請求"),"")</f>
        <v>668766</v>
      </c>
      <c r="I31" s="222">
        <f>IFERROR(GETPIVOTDATA("合計 / " &amp; $B31,【ピボット】国保連売上!$A$3,"年月",I$3,"事業所",$A31,"請求区分","単月")
+GETPIVOTDATA("合計 / " &amp; $B31,【ピボット】国保連売上!$A$3,"年月",I$3,"事業所",$A31,"請求区分","再請求"),"")</f>
        <v>751563</v>
      </c>
      <c r="J31" s="222">
        <f>IFERROR(GETPIVOTDATA("合計 / " &amp; $B31,【ピボット】国保連売上!$A$3,"年月",J$3,"事業所",$A31,"請求区分","単月")
+GETPIVOTDATA("合計 / " &amp; $B31,【ピボット】国保連売上!$A$3,"年月",J$3,"事業所",$A31,"請求区分","再請求"),"")</f>
        <v>1051752</v>
      </c>
      <c r="K31" s="222">
        <f>IFERROR(GETPIVOTDATA("合計 / " &amp; $B31,【ピボット】国保連売上!$A$3,"年月",K$3,"事業所",$A31,"請求区分","単月")
+GETPIVOTDATA("合計 / " &amp; $B31,【ピボット】国保連売上!$A$3,"年月",K$3,"事業所",$A31,"請求区分","再請求"),"")</f>
        <v>1373972</v>
      </c>
      <c r="L31" s="222">
        <f>IFERROR(GETPIVOTDATA("合計 / " &amp; $B31,【ピボット】国保連売上!$A$3,"年月",L$3,"事業所",$A31,"請求区分","単月")
+GETPIVOTDATA("合計 / " &amp; $B31,【ピボット】国保連売上!$A$3,"年月",L$3,"事業所",$A31,"請求区分","再請求"),"")</f>
        <v>1842536</v>
      </c>
      <c r="M31" s="222" t="str">
        <f>IFERROR(GETPIVOTDATA("合計 / " &amp; $B31,【ピボット】国保連売上!$A$3,"年月",M$3,"事業所",$A31,"請求区分","単月")
+GETPIVOTDATA("合計 / " &amp; $B31,【ピボット】国保連売上!$A$3,"年月",M$3,"事業所",$A31,"請求区分","再請求"),"")</f>
        <v/>
      </c>
      <c r="N31" s="222" t="str">
        <f>IFERROR(GETPIVOTDATA("合計 / " &amp; $B31,【ピボット】国保連売上!$A$3,"年月",N$3,"事業所",$A31,"請求区分","単月")
+GETPIVOTDATA("合計 / " &amp; $B31,【ピボット】国保連売上!$A$3,"年月",N$3,"事業所",$A31,"請求区分","再請求"),"")</f>
        <v/>
      </c>
      <c r="O31" s="222" t="str">
        <f>IFERROR(GETPIVOTDATA("合計 / " &amp; $B31,【ピボット】国保連売上!$A$3,"年月",O$3,"事業所",$A31,"請求区分","単月")
+GETPIVOTDATA("合計 / " &amp; $B31,【ピボット】国保連売上!$A$3,"年月",O$3,"事業所",$A31,"請求区分","再請求"),"")</f>
        <v/>
      </c>
      <c r="P31" s="223" t="str">
        <f>IFERROR(GETPIVOTDATA("合計 / " &amp; $B31,【ピボット】国保連売上!$A$3,"年月",P$3,"事業所",$A31,"請求区分","単月")
+GETPIVOTDATA("合計 / " &amp; $B31,【ピボット】国保連売上!$A$3,"年月",P$3,"事業所",$A31,"請求区分","再請求"),"")</f>
        <v/>
      </c>
      <c r="Q31" s="241">
        <f>SUM(E31:P31)</f>
        <v>6355501</v>
      </c>
      <c r="R31" s="223">
        <f>AVERAGE(E31:P31)</f>
        <v>907928.71428571432</v>
      </c>
    </row>
    <row r="32" spans="1:18" s="219" customFormat="1" ht="18" customHeight="1" x14ac:dyDescent="0.15">
      <c r="A32" s="1682" t="s">
        <v>1207</v>
      </c>
      <c r="C32" s="2147"/>
      <c r="D32" s="249" t="s">
        <v>317</v>
      </c>
      <c r="E32" s="243" t="str">
        <f t="shared" ref="E32:P32" si="11">IFERROR(E30/E28*-1,"")</f>
        <v/>
      </c>
      <c r="F32" s="238">
        <f t="shared" si="11"/>
        <v>0.16084386976610909</v>
      </c>
      <c r="G32" s="238">
        <f t="shared" si="11"/>
        <v>0.18262732598891726</v>
      </c>
      <c r="H32" s="238">
        <f t="shared" si="11"/>
        <v>2.6929579760037483E-2</v>
      </c>
      <c r="I32" s="238">
        <f t="shared" si="11"/>
        <v>0.1075546910901882</v>
      </c>
      <c r="J32" s="238">
        <f t="shared" si="11"/>
        <v>6.2116965849842113E-3</v>
      </c>
      <c r="K32" s="238">
        <f t="shared" si="11"/>
        <v>2.7239960154257115E-2</v>
      </c>
      <c r="L32" s="238">
        <f t="shared" si="11"/>
        <v>0</v>
      </c>
      <c r="M32" s="238" t="str">
        <f t="shared" si="11"/>
        <v/>
      </c>
      <c r="N32" s="238" t="str">
        <f t="shared" si="11"/>
        <v/>
      </c>
      <c r="O32" s="238" t="str">
        <f t="shared" si="11"/>
        <v/>
      </c>
      <c r="P32" s="239" t="str">
        <f t="shared" si="11"/>
        <v/>
      </c>
      <c r="Q32" s="243">
        <f>Q30/Q28*-1</f>
        <v>4.4458423536313657E-2</v>
      </c>
      <c r="R32" s="239">
        <f>AVERAGE(E32:P32)</f>
        <v>7.3058160477784767E-2</v>
      </c>
    </row>
    <row r="33" spans="1:18" ht="18" customHeight="1" thickBot="1" x14ac:dyDescent="0.2">
      <c r="A33" s="1682" t="s">
        <v>1207</v>
      </c>
      <c r="B33" s="675" t="s">
        <v>26</v>
      </c>
      <c r="C33" s="2148"/>
      <c r="D33" s="250" t="s">
        <v>316</v>
      </c>
      <c r="E33" s="244">
        <f>IFERROR(GETPIVOTDATA("合計 / 売上",【ピボット】事業所収支!$A$3,"年月",E$3,"事業所",$A33),"")</f>
        <v>0</v>
      </c>
      <c r="F33" s="224">
        <f>IFERROR(GETPIVOTDATA("合計 / 売上",【ピボット】事業所収支!$A$3,"年月",F$3,"事業所",$A33),"")</f>
        <v>234284</v>
      </c>
      <c r="G33" s="224">
        <f>IFERROR(GETPIVOTDATA("合計 / 売上",【ピボット】事業所収支!$A$3,"年月",G$3,"事業所",$A33),"")</f>
        <v>485638</v>
      </c>
      <c r="H33" s="224">
        <f>IFERROR(GETPIVOTDATA("合計 / 売上",【ピボット】事業所収支!$A$3,"年月",H$3,"事業所",$A33),"")</f>
        <v>701720</v>
      </c>
      <c r="I33" s="224">
        <f>IFERROR(GETPIVOTDATA("合計 / 売上",【ピボット】事業所収支!$A$3,"年月",I$3,"事業所",$A33),"")</f>
        <v>810680</v>
      </c>
      <c r="J33" s="224">
        <f>IFERROR(GETPIVOTDATA("合計 / 売上",【ピボット】事業所収支!$A$3,"年月",J$3,"事業所",$A33),"")</f>
        <v>1060746</v>
      </c>
      <c r="K33" s="224">
        <f>IFERROR(GETPIVOTDATA("合計 / 売上",【ピボット】事業所収支!$A$3,"年月",K$3,"事業所",$A33),"")</f>
        <v>1438607</v>
      </c>
      <c r="L33" s="224">
        <f>IFERROR(GETPIVOTDATA("合計 / 売上",【ピボット】事業所収支!$A$3,"年月",L$3,"事業所",$A33),"")</f>
        <v>1905194</v>
      </c>
      <c r="M33" s="224" t="str">
        <f>IFERROR(GETPIVOTDATA("合計 / 売上",【ピボット】事業所収支!$A$3,"年月",M$3,"事業所",$A33),"")</f>
        <v/>
      </c>
      <c r="N33" s="224" t="str">
        <f>IFERROR(GETPIVOTDATA("合計 / 売上",【ピボット】事業所収支!$A$3,"年月",N$3,"事業所",$A33),"")</f>
        <v/>
      </c>
      <c r="O33" s="224" t="str">
        <f>IFERROR(GETPIVOTDATA("合計 / 売上",【ピボット】事業所収支!$A$3,"年月",O$3,"事業所",$A33),"")</f>
        <v/>
      </c>
      <c r="P33" s="225" t="str">
        <f>IFERROR(GETPIVOTDATA("合計 / 売上",【ピボット】事業所収支!$A$3,"年月",P$3,"事業所",$A33),"")</f>
        <v/>
      </c>
      <c r="Q33" s="244">
        <f>Q29-Q30</f>
        <v>7228273</v>
      </c>
      <c r="R33" s="225">
        <f>AVERAGE(E33:P33)</f>
        <v>829608.625</v>
      </c>
    </row>
    <row r="34" spans="1:18" ht="18" customHeight="1" x14ac:dyDescent="0.15">
      <c r="A34" s="675" t="s">
        <v>782</v>
      </c>
      <c r="B34" s="675" t="s">
        <v>789</v>
      </c>
      <c r="C34" s="2153" t="s">
        <v>536</v>
      </c>
      <c r="D34" s="246" t="s">
        <v>319</v>
      </c>
      <c r="E34" s="240">
        <f>IFERROR(GETPIVOTDATA("合計 / " &amp; $B34,【ピボット】国保連売上!$A$3,"年月",E$3,"事業所",$A34,"請求区分","単月")
+GETPIVOTDATA("合計 / " &amp; $B34,【ピボット】国保連売上!$A$3,"年月",E$3,"事業所",$A34,"請求区分","再請求"),"")</f>
        <v>4171382</v>
      </c>
      <c r="F34" s="220">
        <f>IFERROR(GETPIVOTDATA("合計 / " &amp; $B34,【ピボット】国保連売上!$A$3,"年月",F$3,"事業所",$A34,"請求区分","単月")
+GETPIVOTDATA("合計 / " &amp; $B34,【ピボット】国保連売上!$A$3,"年月",F$3,"事業所",$A34,"請求区分","再請求"),"")</f>
        <v>4519526</v>
      </c>
      <c r="G34" s="220">
        <f>IFERROR(GETPIVOTDATA("合計 / " &amp; $B34,【ピボット】国保連売上!$A$3,"年月",G$3,"事業所",$A34,"請求区分","単月")
+GETPIVOTDATA("合計 / " &amp; $B34,【ピボット】国保連売上!$A$3,"年月",G$3,"事業所",$A34,"請求区分","再請求"),"")</f>
        <v>4219441</v>
      </c>
      <c r="H34" s="220">
        <f>IFERROR(GETPIVOTDATA("合計 / " &amp; $B34,【ピボット】国保連売上!$A$3,"年月",H$3,"事業所",$A34,"請求区分","単月")
+GETPIVOTDATA("合計 / " &amp; $B34,【ピボット】国保連売上!$A$3,"年月",H$3,"事業所",$A34,"請求区分","再請求"),"")</f>
        <v>4297701</v>
      </c>
      <c r="I34" s="220">
        <f>IFERROR(GETPIVOTDATA("合計 / " &amp; $B34,【ピボット】国保連売上!$A$3,"年月",I$3,"事業所",$A34,"請求区分","単月")
+GETPIVOTDATA("合計 / " &amp; $B34,【ピボット】国保連売上!$A$3,"年月",I$3,"事業所",$A34,"請求区分","再請求"),"")</f>
        <v>3860025</v>
      </c>
      <c r="J34" s="220">
        <f>IFERROR(GETPIVOTDATA("合計 / " &amp; $B34,【ピボット】国保連売上!$A$3,"年月",J$3,"事業所",$A34,"請求区分","単月")
+GETPIVOTDATA("合計 / " &amp; $B34,【ピボット】国保連売上!$A$3,"年月",J$3,"事業所",$A34,"請求区分","再請求"),"")</f>
        <v>4191966</v>
      </c>
      <c r="K34" s="220">
        <f>IFERROR(GETPIVOTDATA("合計 / " &amp; $B34,【ピボット】国保連売上!$A$3,"年月",K$3,"事業所",$A34,"請求区分","単月")
+GETPIVOTDATA("合計 / " &amp; $B34,【ピボット】国保連売上!$A$3,"年月",K$3,"事業所",$A34,"請求区分","再請求"),"")</f>
        <v>4596566</v>
      </c>
      <c r="L34" s="220">
        <f>IFERROR(GETPIVOTDATA("合計 / " &amp; $B34,【ピボット】国保連売上!$A$3,"年月",L$3,"事業所",$A34,"請求区分","単月")
+GETPIVOTDATA("合計 / " &amp; $B34,【ピボット】国保連売上!$A$3,"年月",L$3,"事業所",$A34,"請求区分","再請求"),"")</f>
        <v>4128975</v>
      </c>
      <c r="M34" s="220" t="str">
        <f>IFERROR(GETPIVOTDATA("合計 / " &amp; $B34,【ピボット】国保連売上!$A$3,"年月",M$3,"事業所",$A34,"請求区分","単月")
+GETPIVOTDATA("合計 / " &amp; $B34,【ピボット】国保連売上!$A$3,"年月",M$3,"事業所",$A34,"請求区分","再請求"),"")</f>
        <v/>
      </c>
      <c r="N34" s="220" t="str">
        <f>IFERROR(GETPIVOTDATA("合計 / " &amp; $B34,【ピボット】国保連売上!$A$3,"年月",N$3,"事業所",$A34,"請求区分","単月")
+GETPIVOTDATA("合計 / " &amp; $B34,【ピボット】国保連売上!$A$3,"年月",N$3,"事業所",$A34,"請求区分","再請求"),"")</f>
        <v/>
      </c>
      <c r="O34" s="220" t="str">
        <f>IFERROR(GETPIVOTDATA("合計 / " &amp; $B34,【ピボット】国保連売上!$A$3,"年月",O$3,"事業所",$A34,"請求区分","単月")
+GETPIVOTDATA("合計 / " &amp; $B34,【ピボット】国保連売上!$A$3,"年月",O$3,"事業所",$A34,"請求区分","再請求"),"")</f>
        <v/>
      </c>
      <c r="P34" s="221" t="str">
        <f>IFERROR(GETPIVOTDATA("合計 / " &amp; $B34,【ピボット】国保連売上!$A$3,"年月",P$3,"事業所",$A34,"請求区分","単月")
+GETPIVOTDATA("合計 / " &amp; $B34,【ピボット】国保連売上!$A$3,"年月",P$3,"事業所",$A34,"請求区分","再請求"),"")</f>
        <v/>
      </c>
      <c r="Q34" s="240">
        <f>SUM(E34:P34)</f>
        <v>33985582</v>
      </c>
      <c r="R34" s="221">
        <f t="shared" si="2"/>
        <v>4248197.75</v>
      </c>
    </row>
    <row r="35" spans="1:18" ht="18" customHeight="1" x14ac:dyDescent="0.15">
      <c r="A35" s="675" t="s">
        <v>782</v>
      </c>
      <c r="B35" s="675" t="s">
        <v>26</v>
      </c>
      <c r="C35" s="2147"/>
      <c r="D35" s="247" t="s">
        <v>318</v>
      </c>
      <c r="E35" s="241">
        <f t="shared" ref="E35:P35" si="12">IFERROR(E39-E36,"")</f>
        <v>4403932</v>
      </c>
      <c r="F35" s="222">
        <f t="shared" si="12"/>
        <v>4759326</v>
      </c>
      <c r="G35" s="222">
        <f t="shared" si="12"/>
        <v>4462191</v>
      </c>
      <c r="H35" s="222">
        <f t="shared" si="12"/>
        <v>4620251</v>
      </c>
      <c r="I35" s="222">
        <f t="shared" si="12"/>
        <v>4134125</v>
      </c>
      <c r="J35" s="222">
        <f t="shared" si="12"/>
        <v>4522166</v>
      </c>
      <c r="K35" s="222">
        <f t="shared" si="12"/>
        <v>4937766</v>
      </c>
      <c r="L35" s="222">
        <f t="shared" si="12"/>
        <v>4425975</v>
      </c>
      <c r="M35" s="222" t="str">
        <f t="shared" si="12"/>
        <v/>
      </c>
      <c r="N35" s="222" t="str">
        <f t="shared" si="12"/>
        <v/>
      </c>
      <c r="O35" s="222" t="str">
        <f t="shared" si="12"/>
        <v/>
      </c>
      <c r="P35" s="223" t="str">
        <f t="shared" si="12"/>
        <v/>
      </c>
      <c r="Q35" s="241">
        <f>SUM(E35:P35)</f>
        <v>36265732</v>
      </c>
      <c r="R35" s="223">
        <f t="shared" si="2"/>
        <v>4533216.5</v>
      </c>
    </row>
    <row r="36" spans="1:18" ht="18" customHeight="1" x14ac:dyDescent="0.15">
      <c r="A36" s="675" t="s">
        <v>782</v>
      </c>
      <c r="B36" s="675" t="s">
        <v>790</v>
      </c>
      <c r="C36" s="2147"/>
      <c r="D36" s="248" t="s">
        <v>327</v>
      </c>
      <c r="E36" s="242">
        <f>IFERROR(GETPIVOTDATA("合計 / " &amp; $B36,【ピボット】国保連売上!$A$3,"年月",E$3,"事業所",$A36,"請求区分","単月")
+GETPIVOTDATA("合計 / " &amp; $B36,【ピボット】国保連売上!$A$3,"年月",E$3,"事業所",$A36,"請求区分","再請求"),"")</f>
        <v>13219</v>
      </c>
      <c r="F36" s="236">
        <f>IFERROR(GETPIVOTDATA("合計 / " &amp; $B36,【ピボット】国保連売上!$A$3,"年月",F$3,"事業所",$A36,"請求区分","単月")
+GETPIVOTDATA("合計 / " &amp; $B36,【ピボット】国保連売上!$A$3,"年月",F$3,"事業所",$A36,"請求区分","再請求"),"")</f>
        <v>-317126</v>
      </c>
      <c r="G36" s="236">
        <f>IFERROR(GETPIVOTDATA("合計 / " &amp; $B36,【ピボット】国保連売上!$A$3,"年月",G$3,"事業所",$A36,"請求区分","単月")
+GETPIVOTDATA("合計 / " &amp; $B36,【ピボット】国保連売上!$A$3,"年月",G$3,"事業所",$A36,"請求区分","再請求"),"")</f>
        <v>370890</v>
      </c>
      <c r="H36" s="236">
        <f>IFERROR(GETPIVOTDATA("合計 / " &amp; $B36,【ピボット】国保連売上!$A$3,"年月",H$3,"事業所",$A36,"請求区分","単月")
+GETPIVOTDATA("合計 / " &amp; $B36,【ピボット】国保連売上!$A$3,"年月",H$3,"事業所",$A36,"請求区分","再請求"),"")</f>
        <v>-197607</v>
      </c>
      <c r="I36" s="236">
        <f>IFERROR(GETPIVOTDATA("合計 / " &amp; $B36,【ピボット】国保連売上!$A$3,"年月",I$3,"事業所",$A36,"請求区分","単月")
+GETPIVOTDATA("合計 / " &amp; $B36,【ピボット】国保連売上!$A$3,"年月",I$3,"事業所",$A36,"請求区分","再請求"),"")</f>
        <v>-13208</v>
      </c>
      <c r="J36" s="236">
        <f>IFERROR(GETPIVOTDATA("合計 / " &amp; $B36,【ピボット】国保連売上!$A$3,"年月",J$3,"事業所",$A36,"請求区分","単月")
+GETPIVOTDATA("合計 / " &amp; $B36,【ピボット】国保連売上!$A$3,"年月",J$3,"事業所",$A36,"請求区分","再請求"),"")</f>
        <v>-46273</v>
      </c>
      <c r="K36" s="236">
        <f>IFERROR(GETPIVOTDATA("合計 / " &amp; $B36,【ピボット】国保連売上!$A$3,"年月",K$3,"事業所",$A36,"請求区分","単月")
+GETPIVOTDATA("合計 / " &amp; $B36,【ピボット】国保連売上!$A$3,"年月",K$3,"事業所",$A36,"請求区分","再請求"),"")</f>
        <v>-6583</v>
      </c>
      <c r="L36" s="236">
        <f>IFERROR(GETPIVOTDATA("合計 / " &amp; $B36,【ピボット】国保連売上!$A$3,"年月",L$3,"事業所",$A36,"請求区分","単月")
+GETPIVOTDATA("合計 / " &amp; $B36,【ピボット】国保連売上!$A$3,"年月",L$3,"事業所",$A36,"請求区分","再請求"),"")</f>
        <v>0</v>
      </c>
      <c r="M36" s="236" t="str">
        <f>IFERROR(GETPIVOTDATA("合計 / " &amp; $B36,【ピボット】国保連売上!$A$3,"年月",M$3,"事業所",$A36,"請求区分","単月")
+GETPIVOTDATA("合計 / " &amp; $B36,【ピボット】国保連売上!$A$3,"年月",M$3,"事業所",$A36,"請求区分","再請求"),"")</f>
        <v/>
      </c>
      <c r="N36" s="236" t="str">
        <f>IFERROR(GETPIVOTDATA("合計 / " &amp; $B36,【ピボット】国保連売上!$A$3,"年月",N$3,"事業所",$A36,"請求区分","単月")
+GETPIVOTDATA("合計 / " &amp; $B36,【ピボット】国保連売上!$A$3,"年月",N$3,"事業所",$A36,"請求区分","再請求"),"")</f>
        <v/>
      </c>
      <c r="O36" s="236" t="str">
        <f>IFERROR(GETPIVOTDATA("合計 / " &amp; $B36,【ピボット】国保連売上!$A$3,"年月",O$3,"事業所",$A36,"請求区分","単月")
+GETPIVOTDATA("合計 / " &amp; $B36,【ピボット】国保連売上!$A$3,"年月",O$3,"事業所",$A36,"請求区分","再請求"),"")</f>
        <v/>
      </c>
      <c r="P36" s="237" t="str">
        <f>IFERROR(GETPIVOTDATA("合計 / " &amp; $B36,【ピボット】国保連売上!$A$3,"年月",P$3,"事業所",$A36,"請求区分","単月")
+GETPIVOTDATA("合計 / " &amp; $B36,【ピボット】国保連売上!$A$3,"年月",P$3,"事業所",$A36,"請求区分","再請求"),"")</f>
        <v/>
      </c>
      <c r="Q36" s="242">
        <f>SUM(E36:P36)</f>
        <v>-196688</v>
      </c>
      <c r="R36" s="237">
        <f>IFERROR(AVERAGE(E36:P36),0)</f>
        <v>-24586</v>
      </c>
    </row>
    <row r="37" spans="1:18" ht="18" customHeight="1" x14ac:dyDescent="0.15">
      <c r="A37" s="675" t="s">
        <v>782</v>
      </c>
      <c r="B37" s="675" t="s">
        <v>871</v>
      </c>
      <c r="C37" s="2147"/>
      <c r="D37" s="247" t="s">
        <v>328</v>
      </c>
      <c r="E37" s="241">
        <f>IFERROR(GETPIVOTDATA("合計 / " &amp; $B37,【ピボット】国保連売上!$A$3,"年月",E$3,"事業所",$A37,"請求区分","単月")
+GETPIVOTDATA("合計 / " &amp; $B37,【ピボット】国保連売上!$A$3,"年月",E$3,"事業所",$A37,"請求区分","再請求"),"")</f>
        <v>4184601</v>
      </c>
      <c r="F37" s="222">
        <f>IFERROR(GETPIVOTDATA("合計 / " &amp; $B37,【ピボット】国保連売上!$A$3,"年月",F$3,"事業所",$A37,"請求区分","単月")
+GETPIVOTDATA("合計 / " &amp; $B37,【ピボット】国保連売上!$A$3,"年月",F$3,"事業所",$A37,"請求区分","再請求"),"")</f>
        <v>4202400</v>
      </c>
      <c r="G37" s="222">
        <f>IFERROR(GETPIVOTDATA("合計 / " &amp; $B37,【ピボット】国保連売上!$A$3,"年月",G$3,"事業所",$A37,"請求区分","単月")
+GETPIVOTDATA("合計 / " &amp; $B37,【ピボット】国保連売上!$A$3,"年月",G$3,"事業所",$A37,"請求区分","再請求"),"")</f>
        <v>4590331</v>
      </c>
      <c r="H37" s="222">
        <f>IFERROR(GETPIVOTDATA("合計 / " &amp; $B37,【ピボット】国保連売上!$A$3,"年月",H$3,"事業所",$A37,"請求区分","単月")
+GETPIVOTDATA("合計 / " &amp; $B37,【ピボット】国保連売上!$A$3,"年月",H$3,"事業所",$A37,"請求区分","再請求"),"")</f>
        <v>4100094</v>
      </c>
      <c r="I37" s="222">
        <f>IFERROR(GETPIVOTDATA("合計 / " &amp; $B37,【ピボット】国保連売上!$A$3,"年月",I$3,"事業所",$A37,"請求区分","単月")
+GETPIVOTDATA("合計 / " &amp; $B37,【ピボット】国保連売上!$A$3,"年月",I$3,"事業所",$A37,"請求区分","再請求"),"")</f>
        <v>3846817</v>
      </c>
      <c r="J37" s="222">
        <f>IFERROR(GETPIVOTDATA("合計 / " &amp; $B37,【ピボット】国保連売上!$A$3,"年月",J$3,"事業所",$A37,"請求区分","単月")
+GETPIVOTDATA("合計 / " &amp; $B37,【ピボット】国保連売上!$A$3,"年月",J$3,"事業所",$A37,"請求区分","再請求"),"")</f>
        <v>4145693</v>
      </c>
      <c r="K37" s="222">
        <f>IFERROR(GETPIVOTDATA("合計 / " &amp; $B37,【ピボット】国保連売上!$A$3,"年月",K$3,"事業所",$A37,"請求区分","単月")
+GETPIVOTDATA("合計 / " &amp; $B37,【ピボット】国保連売上!$A$3,"年月",K$3,"事業所",$A37,"請求区分","再請求"),"")</f>
        <v>4589983</v>
      </c>
      <c r="L37" s="222">
        <f>IFERROR(GETPIVOTDATA("合計 / " &amp; $B37,【ピボット】国保連売上!$A$3,"年月",L$3,"事業所",$A37,"請求区分","単月")
+GETPIVOTDATA("合計 / " &amp; $B37,【ピボット】国保連売上!$A$3,"年月",L$3,"事業所",$A37,"請求区分","再請求"),"")</f>
        <v>4128975</v>
      </c>
      <c r="M37" s="222" t="str">
        <f>IFERROR(GETPIVOTDATA("合計 / " &amp; $B37,【ピボット】国保連売上!$A$3,"年月",M$3,"事業所",$A37,"請求区分","単月")
+GETPIVOTDATA("合計 / " &amp; $B37,【ピボット】国保連売上!$A$3,"年月",M$3,"事業所",$A37,"請求区分","再請求"),"")</f>
        <v/>
      </c>
      <c r="N37" s="222" t="str">
        <f>IFERROR(GETPIVOTDATA("合計 / " &amp; $B37,【ピボット】国保連売上!$A$3,"年月",N$3,"事業所",$A37,"請求区分","単月")
+GETPIVOTDATA("合計 / " &amp; $B37,【ピボット】国保連売上!$A$3,"年月",N$3,"事業所",$A37,"請求区分","再請求"),"")</f>
        <v/>
      </c>
      <c r="O37" s="222" t="str">
        <f>IFERROR(GETPIVOTDATA("合計 / " &amp; $B37,【ピボット】国保連売上!$A$3,"年月",O$3,"事業所",$A37,"請求区分","単月")
+GETPIVOTDATA("合計 / " &amp; $B37,【ピボット】国保連売上!$A$3,"年月",O$3,"事業所",$A37,"請求区分","再請求"),"")</f>
        <v/>
      </c>
      <c r="P37" s="223" t="str">
        <f>IFERROR(GETPIVOTDATA("合計 / " &amp; $B37,【ピボット】国保連売上!$A$3,"年月",P$3,"事業所",$A37,"請求区分","単月")
+GETPIVOTDATA("合計 / " &amp; $B37,【ピボット】国保連売上!$A$3,"年月",P$3,"事業所",$A37,"請求区分","再請求"),"")</f>
        <v/>
      </c>
      <c r="Q37" s="241">
        <f>SUM(E37:P37)</f>
        <v>33788894</v>
      </c>
      <c r="R37" s="223">
        <f t="shared" si="2"/>
        <v>4223611.75</v>
      </c>
    </row>
    <row r="38" spans="1:18" s="219" customFormat="1" ht="18" customHeight="1" x14ac:dyDescent="0.15">
      <c r="A38" s="675" t="s">
        <v>782</v>
      </c>
      <c r="C38" s="2147"/>
      <c r="D38" s="249" t="s">
        <v>317</v>
      </c>
      <c r="E38" s="243">
        <f t="shared" ref="E38:P38" si="13">IFERROR(E36/E34*-1,"")</f>
        <v>-3.1689737358026669E-3</v>
      </c>
      <c r="F38" s="238">
        <f t="shared" si="13"/>
        <v>7.0167977792361405E-2</v>
      </c>
      <c r="G38" s="238">
        <f t="shared" si="13"/>
        <v>-8.7900269253676014E-2</v>
      </c>
      <c r="H38" s="238">
        <f t="shared" si="13"/>
        <v>4.5979699378807415E-2</v>
      </c>
      <c r="I38" s="238">
        <f t="shared" si="13"/>
        <v>3.4217394965058517E-3</v>
      </c>
      <c r="J38" s="238">
        <f t="shared" si="13"/>
        <v>1.1038496018336027E-2</v>
      </c>
      <c r="K38" s="238">
        <f t="shared" si="13"/>
        <v>1.4321560921783784E-3</v>
      </c>
      <c r="L38" s="238">
        <f t="shared" si="13"/>
        <v>0</v>
      </c>
      <c r="M38" s="238" t="str">
        <f t="shared" si="13"/>
        <v/>
      </c>
      <c r="N38" s="238" t="str">
        <f t="shared" si="13"/>
        <v/>
      </c>
      <c r="O38" s="238" t="str">
        <f t="shared" si="13"/>
        <v/>
      </c>
      <c r="P38" s="239" t="str">
        <f t="shared" si="13"/>
        <v/>
      </c>
      <c r="Q38" s="243">
        <f>Q36/Q34*-1</f>
        <v>5.7873953725435688E-3</v>
      </c>
      <c r="R38" s="239">
        <f t="shared" si="2"/>
        <v>5.1213532235888006E-3</v>
      </c>
    </row>
    <row r="39" spans="1:18" ht="18" customHeight="1" thickBot="1" x14ac:dyDescent="0.2">
      <c r="A39" s="675" t="s">
        <v>782</v>
      </c>
      <c r="B39" s="675" t="s">
        <v>792</v>
      </c>
      <c r="C39" s="2148"/>
      <c r="D39" s="250" t="s">
        <v>316</v>
      </c>
      <c r="E39" s="244">
        <f>IFERROR(GETPIVOTDATA("合計 / 売上",【ピボット】事業所収支!$A$3,"年月",E$3,"事業所",$A39),"")</f>
        <v>4417151</v>
      </c>
      <c r="F39" s="224">
        <f>IFERROR(GETPIVOTDATA("合計 / 売上",【ピボット】事業所収支!$A$3,"年月",F$3,"事業所",$A39),"")</f>
        <v>4442200</v>
      </c>
      <c r="G39" s="224">
        <f>IFERROR(GETPIVOTDATA("合計 / 売上",【ピボット】事業所収支!$A$3,"年月",G$3,"事業所",$A39),"")</f>
        <v>4833081</v>
      </c>
      <c r="H39" s="224">
        <f>IFERROR(GETPIVOTDATA("合計 / 売上",【ピボット】事業所収支!$A$3,"年月",H$3,"事業所",$A39),"")</f>
        <v>4422644</v>
      </c>
      <c r="I39" s="224">
        <f>IFERROR(GETPIVOTDATA("合計 / 売上",【ピボット】事業所収支!$A$3,"年月",I$3,"事業所",$A39),"")</f>
        <v>4120917</v>
      </c>
      <c r="J39" s="224">
        <f>IFERROR(GETPIVOTDATA("合計 / 売上",【ピボット】事業所収支!$A$3,"年月",J$3,"事業所",$A39),"")</f>
        <v>4475893</v>
      </c>
      <c r="K39" s="224">
        <f>IFERROR(GETPIVOTDATA("合計 / 売上",【ピボット】事業所収支!$A$3,"年月",K$3,"事業所",$A39),"")</f>
        <v>4931183</v>
      </c>
      <c r="L39" s="224">
        <f>IFERROR(GETPIVOTDATA("合計 / 売上",【ピボット】事業所収支!$A$3,"年月",L$3,"事業所",$A39),"")</f>
        <v>4425975</v>
      </c>
      <c r="M39" s="224" t="str">
        <f>IFERROR(GETPIVOTDATA("合計 / 売上",【ピボット】事業所収支!$A$3,"年月",M$3,"事業所",$A39),"")</f>
        <v/>
      </c>
      <c r="N39" s="224" t="str">
        <f>IFERROR(GETPIVOTDATA("合計 / 売上",【ピボット】事業所収支!$A$3,"年月",N$3,"事業所",$A39),"")</f>
        <v/>
      </c>
      <c r="O39" s="224" t="str">
        <f>IFERROR(GETPIVOTDATA("合計 / 売上",【ピボット】事業所収支!$A$3,"年月",O$3,"事業所",$A39),"")</f>
        <v/>
      </c>
      <c r="P39" s="225" t="str">
        <f>IFERROR(GETPIVOTDATA("合計 / 売上",【ピボット】事業所収支!$A$3,"年月",P$3,"事業所",$A39),"")</f>
        <v/>
      </c>
      <c r="Q39" s="244">
        <f>Q35-Q36</f>
        <v>36462420</v>
      </c>
      <c r="R39" s="225">
        <f t="shared" si="2"/>
        <v>4508630.5</v>
      </c>
    </row>
    <row r="40" spans="1:18" ht="18" customHeight="1" x14ac:dyDescent="0.15">
      <c r="A40" s="675" t="s">
        <v>783</v>
      </c>
      <c r="B40" s="675" t="s">
        <v>789</v>
      </c>
      <c r="C40" s="2146" t="s">
        <v>106</v>
      </c>
      <c r="D40" s="246" t="s">
        <v>319</v>
      </c>
      <c r="E40" s="240">
        <f>IFERROR(GETPIVOTDATA("合計 / " &amp; $B40,【ピボット】国保連売上!$A$3,"年月",E$3,"事業所",$A40,"請求区分","単月")
+GETPIVOTDATA("合計 / " &amp; $B40,【ピボット】国保連売上!$A$3,"年月",E$3,"事業所",$A40,"請求区分","再請求"),"")</f>
        <v>1331333</v>
      </c>
      <c r="F40" s="220">
        <f>IFERROR(GETPIVOTDATA("合計 / " &amp; $B40,【ピボット】国保連売上!$A$3,"年月",F$3,"事業所",$A40,"請求区分","単月")
+GETPIVOTDATA("合計 / " &amp; $B40,【ピボット】国保連売上!$A$3,"年月",F$3,"事業所",$A40,"請求区分","再請求"),"")</f>
        <v>1618585</v>
      </c>
      <c r="G40" s="220">
        <f>IFERROR(GETPIVOTDATA("合計 / " &amp; $B40,【ピボット】国保連売上!$A$3,"年月",G$3,"事業所",$A40,"請求区分","単月")
+GETPIVOTDATA("合計 / " &amp; $B40,【ピボット】国保連売上!$A$3,"年月",G$3,"事業所",$A40,"請求区分","再請求"),"")</f>
        <v>2678162</v>
      </c>
      <c r="H40" s="220">
        <f>IFERROR(GETPIVOTDATA("合計 / " &amp; $B40,【ピボット】国保連売上!$A$3,"年月",H$3,"事業所",$A40,"請求区分","単月")
+GETPIVOTDATA("合計 / " &amp; $B40,【ピボット】国保連売上!$A$3,"年月",H$3,"事業所",$A40,"請求区分","再請求"),"")</f>
        <v>1826775</v>
      </c>
      <c r="I40" s="220">
        <f>IFERROR(GETPIVOTDATA("合計 / " &amp; $B40,【ピボット】国保連売上!$A$3,"年月",I$3,"事業所",$A40,"請求区分","単月")
+GETPIVOTDATA("合計 / " &amp; $B40,【ピボット】国保連売上!$A$3,"年月",I$3,"事業所",$A40,"請求区分","再請求"),"")</f>
        <v>1845029</v>
      </c>
      <c r="J40" s="220">
        <f>IFERROR(GETPIVOTDATA("合計 / " &amp; $B40,【ピボット】国保連売上!$A$3,"年月",J$3,"事業所",$A40,"請求区分","単月")
+GETPIVOTDATA("合計 / " &amp; $B40,【ピボット】国保連売上!$A$3,"年月",J$3,"事業所",$A40,"請求区分","再請求"),"")</f>
        <v>1715603</v>
      </c>
      <c r="K40" s="220">
        <f>IFERROR(GETPIVOTDATA("合計 / " &amp; $B40,【ピボット】国保連売上!$A$3,"年月",K$3,"事業所",$A40,"請求区分","単月")
+GETPIVOTDATA("合計 / " &amp; $B40,【ピボット】国保連売上!$A$3,"年月",K$3,"事業所",$A40,"請求区分","再請求"),"")</f>
        <v>1715602</v>
      </c>
      <c r="L40" s="220">
        <f>IFERROR(GETPIVOTDATA("合計 / " &amp; $B40,【ピボット】国保連売上!$A$3,"年月",L$3,"事業所",$A40,"請求区分","単月")
+GETPIVOTDATA("合計 / " &amp; $B40,【ピボット】国保連売上!$A$3,"年月",L$3,"事業所",$A40,"請求区分","再請求"),"")</f>
        <v>1684049</v>
      </c>
      <c r="M40" s="220" t="str">
        <f>IFERROR(GETPIVOTDATA("合計 / " &amp; $B40,【ピボット】国保連売上!$A$3,"年月",M$3,"事業所",$A40,"請求区分","単月")
+GETPIVOTDATA("合計 / " &amp; $B40,【ピボット】国保連売上!$A$3,"年月",M$3,"事業所",$A40,"請求区分","再請求"),"")</f>
        <v/>
      </c>
      <c r="N40" s="220" t="str">
        <f>IFERROR(GETPIVOTDATA("合計 / " &amp; $B40,【ピボット】国保連売上!$A$3,"年月",N$3,"事業所",$A40,"請求区分","単月")
+GETPIVOTDATA("合計 / " &amp; $B40,【ピボット】国保連売上!$A$3,"年月",N$3,"事業所",$A40,"請求区分","再請求"),"")</f>
        <v/>
      </c>
      <c r="O40" s="220" t="str">
        <f>IFERROR(GETPIVOTDATA("合計 / " &amp; $B40,【ピボット】国保連売上!$A$3,"年月",O$3,"事業所",$A40,"請求区分","単月")
+GETPIVOTDATA("合計 / " &amp; $B40,【ピボット】国保連売上!$A$3,"年月",O$3,"事業所",$A40,"請求区分","再請求"),"")</f>
        <v/>
      </c>
      <c r="P40" s="221" t="str">
        <f>IFERROR(GETPIVOTDATA("合計 / " &amp; $B40,【ピボット】国保連売上!$A$3,"年月",P$3,"事業所",$A40,"請求区分","単月")
+GETPIVOTDATA("合計 / " &amp; $B40,【ピボット】国保連売上!$A$3,"年月",P$3,"事業所",$A40,"請求区分","再請求"),"")</f>
        <v/>
      </c>
      <c r="Q40" s="240">
        <f>SUM(E40:P40)</f>
        <v>14415138</v>
      </c>
      <c r="R40" s="221">
        <f t="shared" si="2"/>
        <v>1801892.25</v>
      </c>
    </row>
    <row r="41" spans="1:18" ht="18" customHeight="1" x14ac:dyDescent="0.15">
      <c r="A41" s="675" t="s">
        <v>784</v>
      </c>
      <c r="B41" s="675" t="s">
        <v>26</v>
      </c>
      <c r="C41" s="2147"/>
      <c r="D41" s="247" t="s">
        <v>318</v>
      </c>
      <c r="E41" s="241">
        <f t="shared" ref="E41:P41" si="14">IFERROR(E45-E42,"")</f>
        <v>2112073</v>
      </c>
      <c r="F41" s="222">
        <f t="shared" si="14"/>
        <v>2397265</v>
      </c>
      <c r="G41" s="222">
        <f t="shared" si="14"/>
        <v>3464722</v>
      </c>
      <c r="H41" s="222">
        <f t="shared" si="14"/>
        <v>2606315</v>
      </c>
      <c r="I41" s="222">
        <f t="shared" si="14"/>
        <v>2627069</v>
      </c>
      <c r="J41" s="222">
        <f t="shared" si="14"/>
        <v>2515123</v>
      </c>
      <c r="K41" s="222">
        <f t="shared" si="14"/>
        <v>2498262</v>
      </c>
      <c r="L41" s="222">
        <f t="shared" si="14"/>
        <v>2462469</v>
      </c>
      <c r="M41" s="222" t="str">
        <f t="shared" si="14"/>
        <v/>
      </c>
      <c r="N41" s="222" t="str">
        <f t="shared" si="14"/>
        <v/>
      </c>
      <c r="O41" s="222" t="str">
        <f t="shared" si="14"/>
        <v/>
      </c>
      <c r="P41" s="223" t="str">
        <f t="shared" si="14"/>
        <v/>
      </c>
      <c r="Q41" s="241">
        <f>SUM(E41:P41)</f>
        <v>20683298</v>
      </c>
      <c r="R41" s="223">
        <f t="shared" si="2"/>
        <v>2585412.25</v>
      </c>
    </row>
    <row r="42" spans="1:18" ht="18" customHeight="1" x14ac:dyDescent="0.15">
      <c r="A42" s="675" t="s">
        <v>784</v>
      </c>
      <c r="B42" s="675" t="s">
        <v>790</v>
      </c>
      <c r="C42" s="2147"/>
      <c r="D42" s="248" t="s">
        <v>327</v>
      </c>
      <c r="E42" s="242">
        <f>IFERROR(GETPIVOTDATA("合計 / " &amp; $B42,【ピボット】国保連売上!$A$3,"年月",E$3,"事業所",$A42,"請求区分","単月")
+GETPIVOTDATA("合計 / " &amp; $B42,【ピボット】国保連売上!$A$3,"年月",E$3,"事業所",$A42,"請求区分","再請求"),"")</f>
        <v>0</v>
      </c>
      <c r="F42" s="236">
        <f>IFERROR(GETPIVOTDATA("合計 / " &amp; $B42,【ピボット】国保連売上!$A$3,"年月",F$3,"事業所",$A42,"請求区分","単月")
+GETPIVOTDATA("合計 / " &amp; $B42,【ピボット】国保連売上!$A$3,"年月",F$3,"事業所",$A42,"請求区分","再請求"),"")</f>
        <v>0</v>
      </c>
      <c r="G42" s="236">
        <f>IFERROR(GETPIVOTDATA("合計 / " &amp; $B42,【ピボット】国保連売上!$A$3,"年月",G$3,"事業所",$A42,"請求区分","単月")
+GETPIVOTDATA("合計 / " &amp; $B42,【ピボット】国保連売上!$A$3,"年月",G$3,"事業所",$A42,"請求区分","再請求"),"")</f>
        <v>57255</v>
      </c>
      <c r="H42" s="236">
        <f>IFERROR(GETPIVOTDATA("合計 / " &amp; $B42,【ピボット】国保連売上!$A$3,"年月",H$3,"事業所",$A42,"請求区分","単月")
+GETPIVOTDATA("合計 / " &amp; $B42,【ピボット】国保連売上!$A$3,"年月",H$3,"事業所",$A42,"請求区分","再請求"),"")</f>
        <v>0</v>
      </c>
      <c r="I42" s="236">
        <f>IFERROR(GETPIVOTDATA("合計 / " &amp; $B42,【ピボット】国保連売上!$A$3,"年月",I$3,"事業所",$A42,"請求区分","単月")
+GETPIVOTDATA("合計 / " &amp; $B42,【ピボット】国保連売上!$A$3,"年月",I$3,"事業所",$A42,"請求区分","再請求"),"")</f>
        <v>0</v>
      </c>
      <c r="J42" s="236">
        <f>IFERROR(GETPIVOTDATA("合計 / " &amp; $B42,【ピボット】国保連売上!$A$3,"年月",J$3,"事業所",$A42,"請求区分","単月")
+GETPIVOTDATA("合計 / " &amp; $B42,【ピボット】国保連売上!$A$3,"年月",J$3,"事業所",$A42,"請求区分","再請求"),"")</f>
        <v>0</v>
      </c>
      <c r="K42" s="236">
        <f>IFERROR(GETPIVOTDATA("合計 / " &amp; $B42,【ピボット】国保連売上!$A$3,"年月",K$3,"事業所",$A42,"請求区分","単月")
+GETPIVOTDATA("合計 / " &amp; $B42,【ピボット】国保連売上!$A$3,"年月",K$3,"事業所",$A42,"請求区分","再請求"),"")</f>
        <v>0</v>
      </c>
      <c r="L42" s="236">
        <f>IFERROR(GETPIVOTDATA("合計 / " &amp; $B42,【ピボット】国保連売上!$A$3,"年月",L$3,"事業所",$A42,"請求区分","単月")
+GETPIVOTDATA("合計 / " &amp; $B42,【ピボット】国保連売上!$A$3,"年月",L$3,"事業所",$A42,"請求区分","再請求"),"")</f>
        <v>0</v>
      </c>
      <c r="M42" s="236" t="str">
        <f>IFERROR(GETPIVOTDATA("合計 / " &amp; $B42,【ピボット】国保連売上!$A$3,"年月",M$3,"事業所",$A42,"請求区分","単月")
+GETPIVOTDATA("合計 / " &amp; $B42,【ピボット】国保連売上!$A$3,"年月",M$3,"事業所",$A42,"請求区分","再請求"),"")</f>
        <v/>
      </c>
      <c r="N42" s="236" t="str">
        <f>IFERROR(GETPIVOTDATA("合計 / " &amp; $B42,【ピボット】国保連売上!$A$3,"年月",N$3,"事業所",$A42,"請求区分","単月")
+GETPIVOTDATA("合計 / " &amp; $B42,【ピボット】国保連売上!$A$3,"年月",N$3,"事業所",$A42,"請求区分","再請求"),"")</f>
        <v/>
      </c>
      <c r="O42" s="236" t="str">
        <f>IFERROR(GETPIVOTDATA("合計 / " &amp; $B42,【ピボット】国保連売上!$A$3,"年月",O$3,"事業所",$A42,"請求区分","単月")
+GETPIVOTDATA("合計 / " &amp; $B42,【ピボット】国保連売上!$A$3,"年月",O$3,"事業所",$A42,"請求区分","再請求"),"")</f>
        <v/>
      </c>
      <c r="P42" s="237" t="str">
        <f>IFERROR(GETPIVOTDATA("合計 / " &amp; $B42,【ピボット】国保連売上!$A$3,"年月",P$3,"事業所",$A42,"請求区分","単月")
+GETPIVOTDATA("合計 / " &amp; $B42,【ピボット】国保連売上!$A$3,"年月",P$3,"事業所",$A42,"請求区分","再請求"),"")</f>
        <v/>
      </c>
      <c r="Q42" s="242">
        <f>SUM(E42:P42)</f>
        <v>57255</v>
      </c>
      <c r="R42" s="237">
        <f>IFERROR(AVERAGE(E42:P42),0)</f>
        <v>7156.875</v>
      </c>
    </row>
    <row r="43" spans="1:18" ht="18" customHeight="1" x14ac:dyDescent="0.15">
      <c r="A43" s="675" t="s">
        <v>784</v>
      </c>
      <c r="B43" s="675" t="s">
        <v>871</v>
      </c>
      <c r="C43" s="2147"/>
      <c r="D43" s="247" t="s">
        <v>328</v>
      </c>
      <c r="E43" s="241">
        <f>IFERROR(GETPIVOTDATA("合計 / " &amp; $B43,【ピボット】国保連売上!$A$3,"年月",E$3,"事業所",$A43,"請求区分","単月")
+GETPIVOTDATA("合計 / " &amp; $B43,【ピボット】国保連売上!$A$3,"年月",E$3,"事業所",$A43,"請求区分","再請求"),"")</f>
        <v>1331333</v>
      </c>
      <c r="F43" s="222">
        <f>IFERROR(GETPIVOTDATA("合計 / " &amp; $B43,【ピボット】国保連売上!$A$3,"年月",F$3,"事業所",$A43,"請求区分","単月")
+GETPIVOTDATA("合計 / " &amp; $B43,【ピボット】国保連売上!$A$3,"年月",F$3,"事業所",$A43,"請求区分","再請求"),"")</f>
        <v>1618585</v>
      </c>
      <c r="G43" s="222">
        <f>IFERROR(GETPIVOTDATA("合計 / " &amp; $B43,【ピボット】国保連売上!$A$3,"年月",G$3,"事業所",$A43,"請求区分","単月")
+GETPIVOTDATA("合計 / " &amp; $B43,【ピボット】国保連売上!$A$3,"年月",G$3,"事業所",$A43,"請求区分","再請求"),"")</f>
        <v>2735417</v>
      </c>
      <c r="H43" s="222">
        <f>IFERROR(GETPIVOTDATA("合計 / " &amp; $B43,【ピボット】国保連売上!$A$3,"年月",H$3,"事業所",$A43,"請求区分","単月")
+GETPIVOTDATA("合計 / " &amp; $B43,【ピボット】国保連売上!$A$3,"年月",H$3,"事業所",$A43,"請求区分","再請求"),"")</f>
        <v>1826775</v>
      </c>
      <c r="I43" s="222">
        <f>IFERROR(GETPIVOTDATA("合計 / " &amp; $B43,【ピボット】国保連売上!$A$3,"年月",I$3,"事業所",$A43,"請求区分","単月")
+GETPIVOTDATA("合計 / " &amp; $B43,【ピボット】国保連売上!$A$3,"年月",I$3,"事業所",$A43,"請求区分","再請求"),"")</f>
        <v>1845029</v>
      </c>
      <c r="J43" s="222">
        <f>IFERROR(GETPIVOTDATA("合計 / " &amp; $B43,【ピボット】国保連売上!$A$3,"年月",J$3,"事業所",$A43,"請求区分","単月")
+GETPIVOTDATA("合計 / " &amp; $B43,【ピボット】国保連売上!$A$3,"年月",J$3,"事業所",$A43,"請求区分","再請求"),"")</f>
        <v>1715603</v>
      </c>
      <c r="K43" s="222">
        <f>IFERROR(GETPIVOTDATA("合計 / " &amp; $B43,【ピボット】国保連売上!$A$3,"年月",K$3,"事業所",$A43,"請求区分","単月")
+GETPIVOTDATA("合計 / " &amp; $B43,【ピボット】国保連売上!$A$3,"年月",K$3,"事業所",$A43,"請求区分","再請求"),"")</f>
        <v>1715602</v>
      </c>
      <c r="L43" s="222">
        <f>IFERROR(GETPIVOTDATA("合計 / " &amp; $B43,【ピボット】国保連売上!$A$3,"年月",L$3,"事業所",$A43,"請求区分","単月")
+GETPIVOTDATA("合計 / " &amp; $B43,【ピボット】国保連売上!$A$3,"年月",L$3,"事業所",$A43,"請求区分","再請求"),"")</f>
        <v>1684049</v>
      </c>
      <c r="M43" s="222" t="str">
        <f>IFERROR(GETPIVOTDATA("合計 / " &amp; $B43,【ピボット】国保連売上!$A$3,"年月",M$3,"事業所",$A43,"請求区分","単月")
+GETPIVOTDATA("合計 / " &amp; $B43,【ピボット】国保連売上!$A$3,"年月",M$3,"事業所",$A43,"請求区分","再請求"),"")</f>
        <v/>
      </c>
      <c r="N43" s="222" t="str">
        <f>IFERROR(GETPIVOTDATA("合計 / " &amp; $B43,【ピボット】国保連売上!$A$3,"年月",N$3,"事業所",$A43,"請求区分","単月")
+GETPIVOTDATA("合計 / " &amp; $B43,【ピボット】国保連売上!$A$3,"年月",N$3,"事業所",$A43,"請求区分","再請求"),"")</f>
        <v/>
      </c>
      <c r="O43" s="222" t="str">
        <f>IFERROR(GETPIVOTDATA("合計 / " &amp; $B43,【ピボット】国保連売上!$A$3,"年月",O$3,"事業所",$A43,"請求区分","単月")
+GETPIVOTDATA("合計 / " &amp; $B43,【ピボット】国保連売上!$A$3,"年月",O$3,"事業所",$A43,"請求区分","再請求"),"")</f>
        <v/>
      </c>
      <c r="P43" s="223" t="str">
        <f>IFERROR(GETPIVOTDATA("合計 / " &amp; $B43,【ピボット】国保連売上!$A$3,"年月",P$3,"事業所",$A43,"請求区分","単月")
+GETPIVOTDATA("合計 / " &amp; $B43,【ピボット】国保連売上!$A$3,"年月",P$3,"事業所",$A43,"請求区分","再請求"),"")</f>
        <v/>
      </c>
      <c r="Q43" s="241">
        <f>SUM(E43:P43)</f>
        <v>14472393</v>
      </c>
      <c r="R43" s="223">
        <f t="shared" ref="R43:R59" si="15">AVERAGE(E43:P43)</f>
        <v>1809049.125</v>
      </c>
    </row>
    <row r="44" spans="1:18" s="219" customFormat="1" ht="18" customHeight="1" x14ac:dyDescent="0.15">
      <c r="A44" s="675" t="s">
        <v>784</v>
      </c>
      <c r="C44" s="2147"/>
      <c r="D44" s="249" t="s">
        <v>317</v>
      </c>
      <c r="E44" s="243">
        <f t="shared" ref="E44:P44" si="16">IFERROR(E42/E40*-1,"")</f>
        <v>0</v>
      </c>
      <c r="F44" s="238">
        <f t="shared" si="16"/>
        <v>0</v>
      </c>
      <c r="G44" s="238">
        <f t="shared" si="16"/>
        <v>-2.1378467770060212E-2</v>
      </c>
      <c r="H44" s="238">
        <f t="shared" si="16"/>
        <v>0</v>
      </c>
      <c r="I44" s="238">
        <f t="shared" si="16"/>
        <v>0</v>
      </c>
      <c r="J44" s="238">
        <f t="shared" si="16"/>
        <v>0</v>
      </c>
      <c r="K44" s="238">
        <f t="shared" si="16"/>
        <v>0</v>
      </c>
      <c r="L44" s="238">
        <f t="shared" si="16"/>
        <v>0</v>
      </c>
      <c r="M44" s="238" t="str">
        <f t="shared" si="16"/>
        <v/>
      </c>
      <c r="N44" s="238" t="str">
        <f t="shared" si="16"/>
        <v/>
      </c>
      <c r="O44" s="238" t="str">
        <f t="shared" si="16"/>
        <v/>
      </c>
      <c r="P44" s="239" t="str">
        <f t="shared" si="16"/>
        <v/>
      </c>
      <c r="Q44" s="243">
        <f>Q42/Q40*-1</f>
        <v>-3.97186624227947E-3</v>
      </c>
      <c r="R44" s="239">
        <f t="shared" si="15"/>
        <v>-2.6723084712575265E-3</v>
      </c>
    </row>
    <row r="45" spans="1:18" ht="18" customHeight="1" thickBot="1" x14ac:dyDescent="0.2">
      <c r="A45" s="675" t="s">
        <v>784</v>
      </c>
      <c r="B45" s="675" t="s">
        <v>792</v>
      </c>
      <c r="C45" s="2148"/>
      <c r="D45" s="250" t="s">
        <v>316</v>
      </c>
      <c r="E45" s="244">
        <f>IFERROR(GETPIVOTDATA("合計 / 売上",【ピボット】事業所収支!$A$3,"年月",E$3,"事業所",$A45),"")</f>
        <v>2112073</v>
      </c>
      <c r="F45" s="224">
        <f>IFERROR(GETPIVOTDATA("合計 / 売上",【ピボット】事業所収支!$A$3,"年月",F$3,"事業所",$A45),"")</f>
        <v>2397265</v>
      </c>
      <c r="G45" s="224">
        <f>IFERROR(GETPIVOTDATA("合計 / 売上",【ピボット】事業所収支!$A$3,"年月",G$3,"事業所",$A45),"")</f>
        <v>3521977</v>
      </c>
      <c r="H45" s="224">
        <f>IFERROR(GETPIVOTDATA("合計 / 売上",【ピボット】事業所収支!$A$3,"年月",H$3,"事業所",$A45),"")</f>
        <v>2606315</v>
      </c>
      <c r="I45" s="224">
        <f>IFERROR(GETPIVOTDATA("合計 / 売上",【ピボット】事業所収支!$A$3,"年月",I$3,"事業所",$A45),"")</f>
        <v>2627069</v>
      </c>
      <c r="J45" s="224">
        <f>IFERROR(GETPIVOTDATA("合計 / 売上",【ピボット】事業所収支!$A$3,"年月",J$3,"事業所",$A45),"")</f>
        <v>2515123</v>
      </c>
      <c r="K45" s="224">
        <f>IFERROR(GETPIVOTDATA("合計 / 売上",【ピボット】事業所収支!$A$3,"年月",K$3,"事業所",$A45),"")</f>
        <v>2498262</v>
      </c>
      <c r="L45" s="224">
        <f>IFERROR(GETPIVOTDATA("合計 / 売上",【ピボット】事業所収支!$A$3,"年月",L$3,"事業所",$A45),"")</f>
        <v>2462469</v>
      </c>
      <c r="M45" s="224" t="str">
        <f>IFERROR(GETPIVOTDATA("合計 / 売上",【ピボット】事業所収支!$A$3,"年月",M$3,"事業所",$A45),"")</f>
        <v/>
      </c>
      <c r="N45" s="224" t="str">
        <f>IFERROR(GETPIVOTDATA("合計 / 売上",【ピボット】事業所収支!$A$3,"年月",N$3,"事業所",$A45),"")</f>
        <v/>
      </c>
      <c r="O45" s="224" t="str">
        <f>IFERROR(GETPIVOTDATA("合計 / 売上",【ピボット】事業所収支!$A$3,"年月",O$3,"事業所",$A45),"")</f>
        <v/>
      </c>
      <c r="P45" s="225" t="str">
        <f>IFERROR(GETPIVOTDATA("合計 / 売上",【ピボット】事業所収支!$A$3,"年月",P$3,"事業所",$A45),"")</f>
        <v/>
      </c>
      <c r="Q45" s="244">
        <f>Q41-Q42</f>
        <v>20626043</v>
      </c>
      <c r="R45" s="225">
        <f t="shared" si="15"/>
        <v>2592569.125</v>
      </c>
    </row>
    <row r="46" spans="1:18" ht="18" customHeight="1" x14ac:dyDescent="0.15">
      <c r="A46" s="675" t="s">
        <v>785</v>
      </c>
      <c r="B46" s="675" t="s">
        <v>789</v>
      </c>
      <c r="C46" s="2146" t="s">
        <v>308</v>
      </c>
      <c r="D46" s="246" t="s">
        <v>319</v>
      </c>
      <c r="E46" s="240">
        <f>IFERROR(GETPIVOTDATA("合計 / " &amp; $B46,【ピボット】国保連売上!$A$3,"年月",E$3,"事業所",$A46,"請求区分","単月")
+GETPIVOTDATA("合計 / " &amp; $B46,【ピボット】国保連売上!$A$3,"年月",E$3,"事業所",$A46,"請求区分","再請求"),"")</f>
        <v>813636</v>
      </c>
      <c r="F46" s="220">
        <f>IFERROR(GETPIVOTDATA("合計 / " &amp; $B46,【ピボット】国保連売上!$A$3,"年月",F$3,"事業所",$A46,"請求区分","単月")
+GETPIVOTDATA("合計 / " &amp; $B46,【ピボット】国保連売上!$A$3,"年月",F$3,"事業所",$A46,"請求区分","再請求"),"")</f>
        <v>1101110</v>
      </c>
      <c r="G46" s="220">
        <f>IFERROR(GETPIVOTDATA("合計 / " &amp; $B46,【ピボット】国保連売上!$A$3,"年月",G$3,"事業所",$A46,"請求区分","単月")
+GETPIVOTDATA("合計 / " &amp; $B46,【ピボット】国保連売上!$A$3,"年月",G$3,"事業所",$A46,"請求区分","再請求"),"")</f>
        <v>1073137</v>
      </c>
      <c r="H46" s="220">
        <f>IFERROR(GETPIVOTDATA("合計 / " &amp; $B46,【ピボット】国保連売上!$A$3,"年月",H$3,"事業所",$A46,"請求区分","単月")
+GETPIVOTDATA("合計 / " &amp; $B46,【ピボット】国保連売上!$A$3,"年月",H$3,"事業所",$A46,"請求区分","再請求"),"")</f>
        <v>1107363</v>
      </c>
      <c r="I46" s="220">
        <f>IFERROR(GETPIVOTDATA("合計 / " &amp; $B46,【ピボット】国保連売上!$A$3,"年月",I$3,"事業所",$A46,"請求区分","単月")
+GETPIVOTDATA("合計 / " &amp; $B46,【ピボット】国保連売上!$A$3,"年月",I$3,"事業所",$A46,"請求区分","再請求"),"")</f>
        <v>1107363</v>
      </c>
      <c r="J46" s="220">
        <f>IFERROR(GETPIVOTDATA("合計 / " &amp; $B46,【ピボット】国保連売上!$A$3,"年月",J$3,"事業所",$A46,"請求区分","単月")
+GETPIVOTDATA("合計 / " &amp; $B46,【ピボット】国保連売上!$A$3,"年月",J$3,"事業所",$A46,"請求区分","再請求"),"")</f>
        <v>998423</v>
      </c>
      <c r="K46" s="220">
        <f>IFERROR(GETPIVOTDATA("合計 / " &amp; $B46,【ピボット】国保連売上!$A$3,"年月",K$3,"事業所",$A46,"請求区分","単月")
+GETPIVOTDATA("合計 / " &amp; $B46,【ピボット】国保連売上!$A$3,"年月",K$3,"事業所",$A46,"請求区分","再請求"),"")</f>
        <v>982644</v>
      </c>
      <c r="L46" s="220">
        <f>IFERROR(GETPIVOTDATA("合計 / " &amp; $B46,【ピボット】国保連売上!$A$3,"年月",L$3,"事業所",$A46,"請求区分","単月")
+GETPIVOTDATA("合計 / " &amp; $B46,【ピボット】国保連売上!$A$3,"年月",L$3,"事業所",$A46,"請求区分","再請求"),"")</f>
        <v>1025725</v>
      </c>
      <c r="M46" s="220" t="str">
        <f>IFERROR(GETPIVOTDATA("合計 / " &amp; $B46,【ピボット】国保連売上!$A$3,"年月",M$3,"事業所",$A46,"請求区分","単月")
+GETPIVOTDATA("合計 / " &amp; $B46,【ピボット】国保連売上!$A$3,"年月",M$3,"事業所",$A46,"請求区分","再請求"),"")</f>
        <v/>
      </c>
      <c r="N46" s="220" t="str">
        <f>IFERROR(GETPIVOTDATA("合計 / " &amp; $B46,【ピボット】国保連売上!$A$3,"年月",N$3,"事業所",$A46,"請求区分","単月")
+GETPIVOTDATA("合計 / " &amp; $B46,【ピボット】国保連売上!$A$3,"年月",N$3,"事業所",$A46,"請求区分","再請求"),"")</f>
        <v/>
      </c>
      <c r="O46" s="220" t="str">
        <f>IFERROR(GETPIVOTDATA("合計 / " &amp; $B46,【ピボット】国保連売上!$A$3,"年月",O$3,"事業所",$A46,"請求区分","単月")
+GETPIVOTDATA("合計 / " &amp; $B46,【ピボット】国保連売上!$A$3,"年月",O$3,"事業所",$A46,"請求区分","再請求"),"")</f>
        <v/>
      </c>
      <c r="P46" s="221" t="str">
        <f>IFERROR(GETPIVOTDATA("合計 / " &amp; $B46,【ピボット】国保連売上!$A$3,"年月",P$3,"事業所",$A46,"請求区分","単月")
+GETPIVOTDATA("合計 / " &amp; $B46,【ピボット】国保連売上!$A$3,"年月",P$3,"事業所",$A46,"請求区分","再請求"),"")</f>
        <v/>
      </c>
      <c r="Q46" s="240">
        <f>SUM(E46:P46)</f>
        <v>8209401</v>
      </c>
      <c r="R46" s="221">
        <f t="shared" si="15"/>
        <v>1026175.125</v>
      </c>
    </row>
    <row r="47" spans="1:18" ht="18" customHeight="1" x14ac:dyDescent="0.15">
      <c r="A47" s="675" t="s">
        <v>119</v>
      </c>
      <c r="B47" s="675" t="s">
        <v>26</v>
      </c>
      <c r="C47" s="2147"/>
      <c r="D47" s="247" t="s">
        <v>318</v>
      </c>
      <c r="E47" s="241">
        <f t="shared" ref="E47:P47" si="17">IFERROR(E51-E48,"")</f>
        <v>861636</v>
      </c>
      <c r="F47" s="222">
        <f t="shared" si="17"/>
        <v>1139110</v>
      </c>
      <c r="G47" s="222">
        <f t="shared" si="17"/>
        <v>1134937</v>
      </c>
      <c r="H47" s="222">
        <f t="shared" si="17"/>
        <v>1175963</v>
      </c>
      <c r="I47" s="222">
        <f t="shared" si="17"/>
        <v>1272363</v>
      </c>
      <c r="J47" s="222">
        <f t="shared" si="17"/>
        <v>1036423</v>
      </c>
      <c r="K47" s="222">
        <f t="shared" si="17"/>
        <v>1027444</v>
      </c>
      <c r="L47" s="222">
        <f t="shared" si="17"/>
        <v>1077061</v>
      </c>
      <c r="M47" s="222" t="str">
        <f t="shared" si="17"/>
        <v/>
      </c>
      <c r="N47" s="222" t="str">
        <f t="shared" si="17"/>
        <v/>
      </c>
      <c r="O47" s="222" t="str">
        <f t="shared" si="17"/>
        <v/>
      </c>
      <c r="P47" s="223" t="str">
        <f t="shared" si="17"/>
        <v/>
      </c>
      <c r="Q47" s="241">
        <f>SUM(E47:P47)</f>
        <v>8724937</v>
      </c>
      <c r="R47" s="223">
        <f t="shared" si="15"/>
        <v>1090617.125</v>
      </c>
    </row>
    <row r="48" spans="1:18" ht="18" customHeight="1" x14ac:dyDescent="0.15">
      <c r="A48" s="675" t="s">
        <v>785</v>
      </c>
      <c r="B48" s="675" t="s">
        <v>790</v>
      </c>
      <c r="C48" s="2147"/>
      <c r="D48" s="248" t="s">
        <v>327</v>
      </c>
      <c r="E48" s="242">
        <f>IFERROR(GETPIVOTDATA("合計 / " &amp; $B48,【ピボット】国保連売上!$A$3,"年月",E$3,"事業所",$A48,"請求区分","単月")
+GETPIVOTDATA("合計 / " &amp; $B48,【ピボット】国保連売上!$A$3,"年月",E$3,"事業所",$A48,"請求区分","再請求"),"")</f>
        <v>0</v>
      </c>
      <c r="F48" s="236">
        <f>IFERROR(GETPIVOTDATA("合計 / " &amp; $B48,【ピボット】国保連売上!$A$3,"年月",F$3,"事業所",$A48,"請求区分","単月")
+GETPIVOTDATA("合計 / " &amp; $B48,【ピボット】国保連売上!$A$3,"年月",F$3,"事業所",$A48,"請求区分","再請求"),"")</f>
        <v>0</v>
      </c>
      <c r="G48" s="236">
        <f>IFERROR(GETPIVOTDATA("合計 / " &amp; $B48,【ピボット】国保連売上!$A$3,"年月",G$3,"事業所",$A48,"請求区分","単月")
+GETPIVOTDATA("合計 / " &amp; $B48,【ピボット】国保連売上!$A$3,"年月",G$3,"事業所",$A48,"請求区分","再請求"),"")</f>
        <v>0</v>
      </c>
      <c r="H48" s="236">
        <f>IFERROR(GETPIVOTDATA("合計 / " &amp; $B48,【ピボット】国保連売上!$A$3,"年月",H$3,"事業所",$A48,"請求区分","単月")
+GETPIVOTDATA("合計 / " &amp; $B48,【ピボット】国保連売上!$A$3,"年月",H$3,"事業所",$A48,"請求区分","再請求"),"")</f>
        <v>0</v>
      </c>
      <c r="I48" s="236">
        <f>IFERROR(GETPIVOTDATA("合計 / " &amp; $B48,【ピボット】国保連売上!$A$3,"年月",I$3,"事業所",$A48,"請求区分","単月")
+GETPIVOTDATA("合計 / " &amp; $B48,【ピボット】国保連売上!$A$3,"年月",I$3,"事業所",$A48,"請求区分","再請求"),"")</f>
        <v>0</v>
      </c>
      <c r="J48" s="236">
        <f>IFERROR(GETPIVOTDATA("合計 / " &amp; $B48,【ピボット】国保連売上!$A$3,"年月",J$3,"事業所",$A48,"請求区分","単月")
+GETPIVOTDATA("合計 / " &amp; $B48,【ピボット】国保連売上!$A$3,"年月",J$3,"事業所",$A48,"請求区分","再請求"),"")</f>
        <v>0</v>
      </c>
      <c r="K48" s="236">
        <f>IFERROR(GETPIVOTDATA("合計 / " &amp; $B48,【ピボット】国保連売上!$A$3,"年月",K$3,"事業所",$A48,"請求区分","単月")
+GETPIVOTDATA("合計 / " &amp; $B48,【ピボット】国保連売上!$A$3,"年月",K$3,"事業所",$A48,"請求区分","再請求"),"")</f>
        <v>0</v>
      </c>
      <c r="L48" s="236">
        <f>IFERROR(GETPIVOTDATA("合計 / " &amp; $B48,【ピボット】国保連売上!$A$3,"年月",L$3,"事業所",$A48,"請求区分","単月")
+GETPIVOTDATA("合計 / " &amp; $B48,【ピボット】国保連売上!$A$3,"年月",L$3,"事業所",$A48,"請求区分","再請求"),"")</f>
        <v>0</v>
      </c>
      <c r="M48" s="236" t="str">
        <f>IFERROR(GETPIVOTDATA("合計 / " &amp; $B48,【ピボット】国保連売上!$A$3,"年月",M$3,"事業所",$A48,"請求区分","単月")
+GETPIVOTDATA("合計 / " &amp; $B48,【ピボット】国保連売上!$A$3,"年月",M$3,"事業所",$A48,"請求区分","再請求"),"")</f>
        <v/>
      </c>
      <c r="N48" s="236" t="str">
        <f>IFERROR(GETPIVOTDATA("合計 / " &amp; $B48,【ピボット】国保連売上!$A$3,"年月",N$3,"事業所",$A48,"請求区分","単月")
+GETPIVOTDATA("合計 / " &amp; $B48,【ピボット】国保連売上!$A$3,"年月",N$3,"事業所",$A48,"請求区分","再請求"),"")</f>
        <v/>
      </c>
      <c r="O48" s="236" t="str">
        <f>IFERROR(GETPIVOTDATA("合計 / " &amp; $B48,【ピボット】国保連売上!$A$3,"年月",O$3,"事業所",$A48,"請求区分","単月")
+GETPIVOTDATA("合計 / " &amp; $B48,【ピボット】国保連売上!$A$3,"年月",O$3,"事業所",$A48,"請求区分","再請求"),"")</f>
        <v/>
      </c>
      <c r="P48" s="237" t="str">
        <f>IFERROR(GETPIVOTDATA("合計 / " &amp; $B48,【ピボット】国保連売上!$A$3,"年月",P$3,"事業所",$A48,"請求区分","単月")
+GETPIVOTDATA("合計 / " &amp; $B48,【ピボット】国保連売上!$A$3,"年月",P$3,"事業所",$A48,"請求区分","再請求"),"")</f>
        <v/>
      </c>
      <c r="Q48" s="242">
        <f>SUM(E48:P48)</f>
        <v>0</v>
      </c>
      <c r="R48" s="237">
        <f>IFERROR(AVERAGE(E48:P48),0)</f>
        <v>0</v>
      </c>
    </row>
    <row r="49" spans="1:18" ht="18" customHeight="1" x14ac:dyDescent="0.15">
      <c r="A49" s="675" t="s">
        <v>119</v>
      </c>
      <c r="B49" s="675" t="s">
        <v>871</v>
      </c>
      <c r="C49" s="2147"/>
      <c r="D49" s="247" t="s">
        <v>328</v>
      </c>
      <c r="E49" s="241">
        <f>IFERROR(GETPIVOTDATA("合計 / " &amp; $B49,【ピボット】国保連売上!$A$3,"年月",E$3,"事業所",$A49,"請求区分","単月")
+GETPIVOTDATA("合計 / " &amp; $B49,【ピボット】国保連売上!$A$3,"年月",E$3,"事業所",$A49,"請求区分","再請求"),"")</f>
        <v>813636</v>
      </c>
      <c r="F49" s="222">
        <f>IFERROR(GETPIVOTDATA("合計 / " &amp; $B49,【ピボット】国保連売上!$A$3,"年月",F$3,"事業所",$A49,"請求区分","単月")
+GETPIVOTDATA("合計 / " &amp; $B49,【ピボット】国保連売上!$A$3,"年月",F$3,"事業所",$A49,"請求区分","再請求"),"")</f>
        <v>1101110</v>
      </c>
      <c r="G49" s="222">
        <f>IFERROR(GETPIVOTDATA("合計 / " &amp; $B49,【ピボット】国保連売上!$A$3,"年月",G$3,"事業所",$A49,"請求区分","単月")
+GETPIVOTDATA("合計 / " &amp; $B49,【ピボット】国保連売上!$A$3,"年月",G$3,"事業所",$A49,"請求区分","再請求"),"")</f>
        <v>1073137</v>
      </c>
      <c r="H49" s="222">
        <f>IFERROR(GETPIVOTDATA("合計 / " &amp; $B49,【ピボット】国保連売上!$A$3,"年月",H$3,"事業所",$A49,"請求区分","単月")
+GETPIVOTDATA("合計 / " &amp; $B49,【ピボット】国保連売上!$A$3,"年月",H$3,"事業所",$A49,"請求区分","再請求"),"")</f>
        <v>1107363</v>
      </c>
      <c r="I49" s="222">
        <f>IFERROR(GETPIVOTDATA("合計 / " &amp; $B49,【ピボット】国保連売上!$A$3,"年月",I$3,"事業所",$A49,"請求区分","単月")
+GETPIVOTDATA("合計 / " &amp; $B49,【ピボット】国保連売上!$A$3,"年月",I$3,"事業所",$A49,"請求区分","再請求"),"")</f>
        <v>1107363</v>
      </c>
      <c r="J49" s="222">
        <f>IFERROR(GETPIVOTDATA("合計 / " &amp; $B49,【ピボット】国保連売上!$A$3,"年月",J$3,"事業所",$A49,"請求区分","単月")
+GETPIVOTDATA("合計 / " &amp; $B49,【ピボット】国保連売上!$A$3,"年月",J$3,"事業所",$A49,"請求区分","再請求"),"")</f>
        <v>998423</v>
      </c>
      <c r="K49" s="222">
        <f>IFERROR(GETPIVOTDATA("合計 / " &amp; $B49,【ピボット】国保連売上!$A$3,"年月",K$3,"事業所",$A49,"請求区分","単月")
+GETPIVOTDATA("合計 / " &amp; $B49,【ピボット】国保連売上!$A$3,"年月",K$3,"事業所",$A49,"請求区分","再請求"),"")</f>
        <v>982644</v>
      </c>
      <c r="L49" s="222">
        <f>IFERROR(GETPIVOTDATA("合計 / " &amp; $B49,【ピボット】国保連売上!$A$3,"年月",L$3,"事業所",$A49,"請求区分","単月")
+GETPIVOTDATA("合計 / " &amp; $B49,【ピボット】国保連売上!$A$3,"年月",L$3,"事業所",$A49,"請求区分","再請求"),"")</f>
        <v>1025725</v>
      </c>
      <c r="M49" s="222" t="str">
        <f>IFERROR(GETPIVOTDATA("合計 / " &amp; $B49,【ピボット】国保連売上!$A$3,"年月",M$3,"事業所",$A49,"請求区分","単月")
+GETPIVOTDATA("合計 / " &amp; $B49,【ピボット】国保連売上!$A$3,"年月",M$3,"事業所",$A49,"請求区分","再請求"),"")</f>
        <v/>
      </c>
      <c r="N49" s="222" t="str">
        <f>IFERROR(GETPIVOTDATA("合計 / " &amp; $B49,【ピボット】国保連売上!$A$3,"年月",N$3,"事業所",$A49,"請求区分","単月")
+GETPIVOTDATA("合計 / " &amp; $B49,【ピボット】国保連売上!$A$3,"年月",N$3,"事業所",$A49,"請求区分","再請求"),"")</f>
        <v/>
      </c>
      <c r="O49" s="222" t="str">
        <f>IFERROR(GETPIVOTDATA("合計 / " &amp; $B49,【ピボット】国保連売上!$A$3,"年月",O$3,"事業所",$A49,"請求区分","単月")
+GETPIVOTDATA("合計 / " &amp; $B49,【ピボット】国保連売上!$A$3,"年月",O$3,"事業所",$A49,"請求区分","再請求"),"")</f>
        <v/>
      </c>
      <c r="P49" s="223" t="str">
        <f>IFERROR(GETPIVOTDATA("合計 / " &amp; $B49,【ピボット】国保連売上!$A$3,"年月",P$3,"事業所",$A49,"請求区分","単月")
+GETPIVOTDATA("合計 / " &amp; $B49,【ピボット】国保連売上!$A$3,"年月",P$3,"事業所",$A49,"請求区分","再請求"),"")</f>
        <v/>
      </c>
      <c r="Q49" s="241">
        <f>SUM(E49:P49)</f>
        <v>8209401</v>
      </c>
      <c r="R49" s="223">
        <f>AVERAGE(E49:P49)</f>
        <v>1026175.125</v>
      </c>
    </row>
    <row r="50" spans="1:18" s="219" customFormat="1" ht="18" customHeight="1" x14ac:dyDescent="0.15">
      <c r="A50" s="675" t="s">
        <v>119</v>
      </c>
      <c r="C50" s="2147"/>
      <c r="D50" s="249" t="s">
        <v>317</v>
      </c>
      <c r="E50" s="243">
        <f t="shared" ref="E50:P50" si="18">IFERROR(E48/E46*-1,"")</f>
        <v>0</v>
      </c>
      <c r="F50" s="238">
        <f t="shared" si="18"/>
        <v>0</v>
      </c>
      <c r="G50" s="238">
        <f t="shared" si="18"/>
        <v>0</v>
      </c>
      <c r="H50" s="238">
        <f t="shared" si="18"/>
        <v>0</v>
      </c>
      <c r="I50" s="238">
        <f t="shared" si="18"/>
        <v>0</v>
      </c>
      <c r="J50" s="238">
        <f t="shared" si="18"/>
        <v>0</v>
      </c>
      <c r="K50" s="238">
        <f t="shared" si="18"/>
        <v>0</v>
      </c>
      <c r="L50" s="238">
        <f t="shared" si="18"/>
        <v>0</v>
      </c>
      <c r="M50" s="238" t="str">
        <f t="shared" si="18"/>
        <v/>
      </c>
      <c r="N50" s="238" t="str">
        <f t="shared" si="18"/>
        <v/>
      </c>
      <c r="O50" s="238" t="str">
        <f t="shared" si="18"/>
        <v/>
      </c>
      <c r="P50" s="239" t="str">
        <f t="shared" si="18"/>
        <v/>
      </c>
      <c r="Q50" s="243">
        <f>Q48/Q46*-1</f>
        <v>0</v>
      </c>
      <c r="R50" s="239">
        <f t="shared" si="15"/>
        <v>0</v>
      </c>
    </row>
    <row r="51" spans="1:18" ht="18" customHeight="1" thickBot="1" x14ac:dyDescent="0.2">
      <c r="A51" s="675" t="s">
        <v>785</v>
      </c>
      <c r="B51" s="675" t="s">
        <v>792</v>
      </c>
      <c r="C51" s="2148"/>
      <c r="D51" s="250" t="s">
        <v>316</v>
      </c>
      <c r="E51" s="244">
        <f>IFERROR(GETPIVOTDATA("合計 / 売上",【ピボット】事業所収支!$A$3,"年月",E$3,"事業所",$A51),"")</f>
        <v>861636</v>
      </c>
      <c r="F51" s="224">
        <f>IFERROR(GETPIVOTDATA("合計 / 売上",【ピボット】事業所収支!$A$3,"年月",F$3,"事業所",$A51),"")</f>
        <v>1139110</v>
      </c>
      <c r="G51" s="224">
        <f>IFERROR(GETPIVOTDATA("合計 / 売上",【ピボット】事業所収支!$A$3,"年月",G$3,"事業所",$A51),"")</f>
        <v>1134937</v>
      </c>
      <c r="H51" s="224">
        <f>IFERROR(GETPIVOTDATA("合計 / 売上",【ピボット】事業所収支!$A$3,"年月",H$3,"事業所",$A51),"")</f>
        <v>1175963</v>
      </c>
      <c r="I51" s="224">
        <f>IFERROR(GETPIVOTDATA("合計 / 売上",【ピボット】事業所収支!$A$3,"年月",I$3,"事業所",$A51),"")</f>
        <v>1272363</v>
      </c>
      <c r="J51" s="224">
        <f>IFERROR(GETPIVOTDATA("合計 / 売上",【ピボット】事業所収支!$A$3,"年月",J$3,"事業所",$A51),"")</f>
        <v>1036423</v>
      </c>
      <c r="K51" s="224">
        <f>IFERROR(GETPIVOTDATA("合計 / 売上",【ピボット】事業所収支!$A$3,"年月",K$3,"事業所",$A51),"")</f>
        <v>1027444</v>
      </c>
      <c r="L51" s="224">
        <f>IFERROR(GETPIVOTDATA("合計 / 売上",【ピボット】事業所収支!$A$3,"年月",L$3,"事業所",$A51),"")</f>
        <v>1077061</v>
      </c>
      <c r="M51" s="224" t="str">
        <f>IFERROR(GETPIVOTDATA("合計 / 売上",【ピボット】事業所収支!$A$3,"年月",M$3,"事業所",$A51),"")</f>
        <v/>
      </c>
      <c r="N51" s="224" t="str">
        <f>IFERROR(GETPIVOTDATA("合計 / 売上",【ピボット】事業所収支!$A$3,"年月",N$3,"事業所",$A51),"")</f>
        <v/>
      </c>
      <c r="O51" s="224" t="str">
        <f>IFERROR(GETPIVOTDATA("合計 / 売上",【ピボット】事業所収支!$A$3,"年月",O$3,"事業所",$A51),"")</f>
        <v/>
      </c>
      <c r="P51" s="225" t="str">
        <f>IFERROR(GETPIVOTDATA("合計 / 売上",【ピボット】事業所収支!$A$3,"年月",P$3,"事業所",$A51),"")</f>
        <v/>
      </c>
      <c r="Q51" s="244">
        <f>Q47-Q48</f>
        <v>8724937</v>
      </c>
      <c r="R51" s="225">
        <f t="shared" si="15"/>
        <v>1090617.125</v>
      </c>
    </row>
    <row r="52" spans="1:18" ht="18" customHeight="1" x14ac:dyDescent="0.15">
      <c r="A52" s="675" t="s">
        <v>786</v>
      </c>
      <c r="B52" s="675" t="s">
        <v>789</v>
      </c>
      <c r="C52" s="2146" t="s">
        <v>309</v>
      </c>
      <c r="D52" s="246" t="s">
        <v>319</v>
      </c>
      <c r="E52" s="240">
        <f>IFERROR(GETPIVOTDATA("合計 / " &amp; $B52,【ピボット】国保連売上!$A$3,"年月",E$3,"事業所",$A52,"請求区分","単月")
+GETPIVOTDATA("合計 / " &amp; $B52,【ピボット】国保連売上!$A$3,"年月",E$3,"事業所",$A52,"請求区分","再請求"),"")</f>
        <v>1003585</v>
      </c>
      <c r="F52" s="220">
        <f>IFERROR(GETPIVOTDATA("合計 / " &amp; $B52,【ピボット】国保連売上!$A$3,"年月",F$3,"事業所",$A52,"請求区分","単月")
+GETPIVOTDATA("合計 / " &amp; $B52,【ピボット】国保連売上!$A$3,"年月",F$3,"事業所",$A52,"請求区分","再請求"),"")</f>
        <v>1019657</v>
      </c>
      <c r="G52" s="220">
        <f>IFERROR(GETPIVOTDATA("合計 / " &amp; $B52,【ピボット】国保連売上!$A$3,"年月",G$3,"事業所",$A52,"請求区分","単月")
+GETPIVOTDATA("合計 / " &amp; $B52,【ピボット】国保連売上!$A$3,"年月",G$3,"事業所",$A52,"請求区分","再請求"),"")</f>
        <v>1012236</v>
      </c>
      <c r="H52" s="220">
        <f>IFERROR(GETPIVOTDATA("合計 / " &amp; $B52,【ピボット】国保連売上!$A$3,"年月",H$3,"事業所",$A52,"請求区分","単月")
+GETPIVOTDATA("合計 / " &amp; $B52,【ピボット】国保連売上!$A$3,"年月",H$3,"事業所",$A52,"請求区分","再請求"),"")</f>
        <v>1044442</v>
      </c>
      <c r="I52" s="220">
        <f>IFERROR(GETPIVOTDATA("合計 / " &amp; $B52,【ピボット】国保連売上!$A$3,"年月",I$3,"事業所",$A52,"請求区分","単月")
+GETPIVOTDATA("合計 / " &amp; $B52,【ピボット】国保連売上!$A$3,"年月",I$3,"事業所",$A52,"請求区分","再請求"),"")</f>
        <v>1044442</v>
      </c>
      <c r="J52" s="220">
        <f>IFERROR(GETPIVOTDATA("合計 / " &amp; $B52,【ピボット】国保連売上!$A$3,"年月",J$3,"事業所",$A52,"請求区分","単月")
+GETPIVOTDATA("合計 / " &amp; $B52,【ピボット】国保連売上!$A$3,"年月",J$3,"事業所",$A52,"請求区分","再請求"),"")</f>
        <v>937836</v>
      </c>
      <c r="K52" s="220">
        <f>IFERROR(GETPIVOTDATA("合計 / " &amp; $B52,【ピボット】国保連売上!$A$3,"年月",K$3,"事業所",$A52,"請求区分","単月")
+GETPIVOTDATA("合計 / " &amp; $B52,【ピボット】国保連売上!$A$3,"年月",K$3,"事業所",$A52,"請求区分","再請求"),"")</f>
        <v>915793</v>
      </c>
      <c r="L52" s="220">
        <f>IFERROR(GETPIVOTDATA("合計 / " &amp; $B52,【ピボット】国保連売上!$A$3,"年月",L$3,"事業所",$A52,"請求区分","単月")
+GETPIVOTDATA("合計 / " &amp; $B52,【ピボット】国保連売上!$A$3,"年月",L$3,"事業所",$A52,"請求区分","再請求"),"")</f>
        <v>746482</v>
      </c>
      <c r="M52" s="220" t="str">
        <f>IFERROR(GETPIVOTDATA("合計 / " &amp; $B52,【ピボット】国保連売上!$A$3,"年月",M$3,"事業所",$A52,"請求区分","単月")
+GETPIVOTDATA("合計 / " &amp; $B52,【ピボット】国保連売上!$A$3,"年月",M$3,"事業所",$A52,"請求区分","再請求"),"")</f>
        <v/>
      </c>
      <c r="N52" s="220" t="str">
        <f>IFERROR(GETPIVOTDATA("合計 / " &amp; $B52,【ピボット】国保連売上!$A$3,"年月",N$3,"事業所",$A52,"請求区分","単月")
+GETPIVOTDATA("合計 / " &amp; $B52,【ピボット】国保連売上!$A$3,"年月",N$3,"事業所",$A52,"請求区分","再請求"),"")</f>
        <v/>
      </c>
      <c r="O52" s="220" t="str">
        <f>IFERROR(GETPIVOTDATA("合計 / " &amp; $B52,【ピボット】国保連売上!$A$3,"年月",O$3,"事業所",$A52,"請求区分","単月")
+GETPIVOTDATA("合計 / " &amp; $B52,【ピボット】国保連売上!$A$3,"年月",O$3,"事業所",$A52,"請求区分","再請求"),"")</f>
        <v/>
      </c>
      <c r="P52" s="221" t="str">
        <f>IFERROR(GETPIVOTDATA("合計 / " &amp; $B52,【ピボット】国保連売上!$A$3,"年月",P$3,"事業所",$A52,"請求区分","単月")
+GETPIVOTDATA("合計 / " &amp; $B52,【ピボット】国保連売上!$A$3,"年月",P$3,"事業所",$A52,"請求区分","再請求"),"")</f>
        <v/>
      </c>
      <c r="Q52" s="240">
        <f>SUM(E52:P52)</f>
        <v>7724473</v>
      </c>
      <c r="R52" s="221">
        <f t="shared" si="15"/>
        <v>965559.125</v>
      </c>
    </row>
    <row r="53" spans="1:18" ht="18" customHeight="1" x14ac:dyDescent="0.15">
      <c r="A53" s="675" t="s">
        <v>786</v>
      </c>
      <c r="B53" s="675" t="s">
        <v>26</v>
      </c>
      <c r="C53" s="2147"/>
      <c r="D53" s="247" t="s">
        <v>318</v>
      </c>
      <c r="E53" s="241">
        <f t="shared" ref="E53:P53" si="19">IFERROR(E57-E54,"")</f>
        <v>1050085</v>
      </c>
      <c r="F53" s="222">
        <f t="shared" si="19"/>
        <v>1087657</v>
      </c>
      <c r="G53" s="222">
        <f t="shared" si="19"/>
        <v>1070236</v>
      </c>
      <c r="H53" s="222">
        <f t="shared" si="19"/>
        <v>1102442</v>
      </c>
      <c r="I53" s="222">
        <f t="shared" si="19"/>
        <v>1356442</v>
      </c>
      <c r="J53" s="222">
        <f t="shared" si="19"/>
        <v>1005836</v>
      </c>
      <c r="K53" s="222">
        <f t="shared" si="19"/>
        <v>973793</v>
      </c>
      <c r="L53" s="222">
        <f t="shared" si="19"/>
        <v>797482</v>
      </c>
      <c r="M53" s="222" t="str">
        <f t="shared" si="19"/>
        <v/>
      </c>
      <c r="N53" s="222" t="str">
        <f t="shared" si="19"/>
        <v/>
      </c>
      <c r="O53" s="222" t="str">
        <f t="shared" si="19"/>
        <v/>
      </c>
      <c r="P53" s="223" t="str">
        <f t="shared" si="19"/>
        <v/>
      </c>
      <c r="Q53" s="241">
        <f>SUM(E53:P53)</f>
        <v>8443973</v>
      </c>
      <c r="R53" s="223">
        <f t="shared" si="15"/>
        <v>1055496.625</v>
      </c>
    </row>
    <row r="54" spans="1:18" ht="18" customHeight="1" x14ac:dyDescent="0.15">
      <c r="A54" s="675" t="s">
        <v>786</v>
      </c>
      <c r="B54" s="675" t="s">
        <v>790</v>
      </c>
      <c r="C54" s="2147"/>
      <c r="D54" s="248" t="s">
        <v>327</v>
      </c>
      <c r="E54" s="242">
        <f>IFERROR(GETPIVOTDATA("合計 / " &amp; $B54,【ピボット】国保連売上!$A$3,"年月",E$3,"事業所",$A54,"請求区分","単月")
+GETPIVOTDATA("合計 / " &amp; $B54,【ピボット】国保連売上!$A$3,"年月",E$3,"事業所",$A54,"請求区分","再請求"),"")</f>
        <v>0</v>
      </c>
      <c r="F54" s="236">
        <f>IFERROR(GETPIVOTDATA("合計 / " &amp; $B54,【ピボット】国保連売上!$A$3,"年月",F$3,"事業所",$A54,"請求区分","単月")
+GETPIVOTDATA("合計 / " &amp; $B54,【ピボット】国保連売上!$A$3,"年月",F$3,"事業所",$A54,"請求区分","再請求"),"")</f>
        <v>0</v>
      </c>
      <c r="G54" s="236">
        <f>IFERROR(GETPIVOTDATA("合計 / " &amp; $B54,【ピボット】国保連売上!$A$3,"年月",G$3,"事業所",$A54,"請求区分","単月")
+GETPIVOTDATA("合計 / " &amp; $B54,【ピボット】国保連売上!$A$3,"年月",G$3,"事業所",$A54,"請求区分","再請求"),"")</f>
        <v>0</v>
      </c>
      <c r="H54" s="236">
        <f>IFERROR(GETPIVOTDATA("合計 / " &amp; $B54,【ピボット】国保連売上!$A$3,"年月",H$3,"事業所",$A54,"請求区分","単月")
+GETPIVOTDATA("合計 / " &amp; $B54,【ピボット】国保連売上!$A$3,"年月",H$3,"事業所",$A54,"請求区分","再請求"),"")</f>
        <v>0</v>
      </c>
      <c r="I54" s="236">
        <f>IFERROR(GETPIVOTDATA("合計 / " &amp; $B54,【ピボット】国保連売上!$A$3,"年月",I$3,"事業所",$A54,"請求区分","単月")
+GETPIVOTDATA("合計 / " &amp; $B54,【ピボット】国保連売上!$A$3,"年月",I$3,"事業所",$A54,"請求区分","再請求"),"")</f>
        <v>0</v>
      </c>
      <c r="J54" s="236">
        <f>IFERROR(GETPIVOTDATA("合計 / " &amp; $B54,【ピボット】国保連売上!$A$3,"年月",J$3,"事業所",$A54,"請求区分","単月")
+GETPIVOTDATA("合計 / " &amp; $B54,【ピボット】国保連売上!$A$3,"年月",J$3,"事業所",$A54,"請求区分","再請求"),"")</f>
        <v>0</v>
      </c>
      <c r="K54" s="236">
        <f>IFERROR(GETPIVOTDATA("合計 / " &amp; $B54,【ピボット】国保連売上!$A$3,"年月",K$3,"事業所",$A54,"請求区分","単月")
+GETPIVOTDATA("合計 / " &amp; $B54,【ピボット】国保連売上!$A$3,"年月",K$3,"事業所",$A54,"請求区分","再請求"),"")</f>
        <v>0</v>
      </c>
      <c r="L54" s="236">
        <f>IFERROR(GETPIVOTDATA("合計 / " &amp; $B54,【ピボット】国保連売上!$A$3,"年月",L$3,"事業所",$A54,"請求区分","単月")
+GETPIVOTDATA("合計 / " &amp; $B54,【ピボット】国保連売上!$A$3,"年月",L$3,"事業所",$A54,"請求区分","再請求"),"")</f>
        <v>0</v>
      </c>
      <c r="M54" s="236" t="str">
        <f>IFERROR(GETPIVOTDATA("合計 / " &amp; $B54,【ピボット】国保連売上!$A$3,"年月",M$3,"事業所",$A54,"請求区分","単月")
+GETPIVOTDATA("合計 / " &amp; $B54,【ピボット】国保連売上!$A$3,"年月",M$3,"事業所",$A54,"請求区分","再請求"),"")</f>
        <v/>
      </c>
      <c r="N54" s="236" t="str">
        <f>IFERROR(GETPIVOTDATA("合計 / " &amp; $B54,【ピボット】国保連売上!$A$3,"年月",N$3,"事業所",$A54,"請求区分","単月")
+GETPIVOTDATA("合計 / " &amp; $B54,【ピボット】国保連売上!$A$3,"年月",N$3,"事業所",$A54,"請求区分","再請求"),"")</f>
        <v/>
      </c>
      <c r="O54" s="236" t="str">
        <f>IFERROR(GETPIVOTDATA("合計 / " &amp; $B54,【ピボット】国保連売上!$A$3,"年月",O$3,"事業所",$A54,"請求区分","単月")
+GETPIVOTDATA("合計 / " &amp; $B54,【ピボット】国保連売上!$A$3,"年月",O$3,"事業所",$A54,"請求区分","再請求"),"")</f>
        <v/>
      </c>
      <c r="P54" s="237" t="str">
        <f>IFERROR(GETPIVOTDATA("合計 / " &amp; $B54,【ピボット】国保連売上!$A$3,"年月",P$3,"事業所",$A54,"請求区分","単月")
+GETPIVOTDATA("合計 / " &amp; $B54,【ピボット】国保連売上!$A$3,"年月",P$3,"事業所",$A54,"請求区分","再請求"),"")</f>
        <v/>
      </c>
      <c r="Q54" s="242">
        <f>SUM(E54:P54)</f>
        <v>0</v>
      </c>
      <c r="R54" s="237">
        <f>IFERROR(AVERAGE(E54:P54),0)</f>
        <v>0</v>
      </c>
    </row>
    <row r="55" spans="1:18" ht="18" customHeight="1" x14ac:dyDescent="0.15">
      <c r="A55" s="675" t="s">
        <v>786</v>
      </c>
      <c r="B55" s="675" t="s">
        <v>871</v>
      </c>
      <c r="C55" s="2147"/>
      <c r="D55" s="247" t="s">
        <v>328</v>
      </c>
      <c r="E55" s="241">
        <f>IFERROR(GETPIVOTDATA("合計 / " &amp; $B55,【ピボット】国保連売上!$A$3,"年月",E$3,"事業所",$A55,"請求区分","単月")
+GETPIVOTDATA("合計 / " &amp; $B55,【ピボット】国保連売上!$A$3,"年月",E$3,"事業所",$A55,"請求区分","再請求"),"")</f>
        <v>1003585</v>
      </c>
      <c r="F55" s="222">
        <f>IFERROR(GETPIVOTDATA("合計 / " &amp; $B55,【ピボット】国保連売上!$A$3,"年月",F$3,"事業所",$A55,"請求区分","単月")
+GETPIVOTDATA("合計 / " &amp; $B55,【ピボット】国保連売上!$A$3,"年月",F$3,"事業所",$A55,"請求区分","再請求"),"")</f>
        <v>1019657</v>
      </c>
      <c r="G55" s="222">
        <f>IFERROR(GETPIVOTDATA("合計 / " &amp; $B55,【ピボット】国保連売上!$A$3,"年月",G$3,"事業所",$A55,"請求区分","単月")
+GETPIVOTDATA("合計 / " &amp; $B55,【ピボット】国保連売上!$A$3,"年月",G$3,"事業所",$A55,"請求区分","再請求"),"")</f>
        <v>1012236</v>
      </c>
      <c r="H55" s="222">
        <f>IFERROR(GETPIVOTDATA("合計 / " &amp; $B55,【ピボット】国保連売上!$A$3,"年月",H$3,"事業所",$A55,"請求区分","単月")
+GETPIVOTDATA("合計 / " &amp; $B55,【ピボット】国保連売上!$A$3,"年月",H$3,"事業所",$A55,"請求区分","再請求"),"")</f>
        <v>1044442</v>
      </c>
      <c r="I55" s="222">
        <f>IFERROR(GETPIVOTDATA("合計 / " &amp; $B55,【ピボット】国保連売上!$A$3,"年月",I$3,"事業所",$A55,"請求区分","単月")
+GETPIVOTDATA("合計 / " &amp; $B55,【ピボット】国保連売上!$A$3,"年月",I$3,"事業所",$A55,"請求区分","再請求"),"")</f>
        <v>1044442</v>
      </c>
      <c r="J55" s="222">
        <f>IFERROR(GETPIVOTDATA("合計 / " &amp; $B55,【ピボット】国保連売上!$A$3,"年月",J$3,"事業所",$A55,"請求区分","単月")
+GETPIVOTDATA("合計 / " &amp; $B55,【ピボット】国保連売上!$A$3,"年月",J$3,"事業所",$A55,"請求区分","再請求"),"")</f>
        <v>937836</v>
      </c>
      <c r="K55" s="222">
        <f>IFERROR(GETPIVOTDATA("合計 / " &amp; $B55,【ピボット】国保連売上!$A$3,"年月",K$3,"事業所",$A55,"請求区分","単月")
+GETPIVOTDATA("合計 / " &amp; $B55,【ピボット】国保連売上!$A$3,"年月",K$3,"事業所",$A55,"請求区分","再請求"),"")</f>
        <v>915793</v>
      </c>
      <c r="L55" s="222">
        <f>IFERROR(GETPIVOTDATA("合計 / " &amp; $B55,【ピボット】国保連売上!$A$3,"年月",L$3,"事業所",$A55,"請求区分","単月")
+GETPIVOTDATA("合計 / " &amp; $B55,【ピボット】国保連売上!$A$3,"年月",L$3,"事業所",$A55,"請求区分","再請求"),"")</f>
        <v>746482</v>
      </c>
      <c r="M55" s="222" t="str">
        <f>IFERROR(GETPIVOTDATA("合計 / " &amp; $B55,【ピボット】国保連売上!$A$3,"年月",M$3,"事業所",$A55,"請求区分","単月")
+GETPIVOTDATA("合計 / " &amp; $B55,【ピボット】国保連売上!$A$3,"年月",M$3,"事業所",$A55,"請求区分","再請求"),"")</f>
        <v/>
      </c>
      <c r="N55" s="222" t="str">
        <f>IFERROR(GETPIVOTDATA("合計 / " &amp; $B55,【ピボット】国保連売上!$A$3,"年月",N$3,"事業所",$A55,"請求区分","単月")
+GETPIVOTDATA("合計 / " &amp; $B55,【ピボット】国保連売上!$A$3,"年月",N$3,"事業所",$A55,"請求区分","再請求"),"")</f>
        <v/>
      </c>
      <c r="O55" s="222" t="str">
        <f>IFERROR(GETPIVOTDATA("合計 / " &amp; $B55,【ピボット】国保連売上!$A$3,"年月",O$3,"事業所",$A55,"請求区分","単月")
+GETPIVOTDATA("合計 / " &amp; $B55,【ピボット】国保連売上!$A$3,"年月",O$3,"事業所",$A55,"請求区分","再請求"),"")</f>
        <v/>
      </c>
      <c r="P55" s="223" t="str">
        <f>IFERROR(GETPIVOTDATA("合計 / " &amp; $B55,【ピボット】国保連売上!$A$3,"年月",P$3,"事業所",$A55,"請求区分","単月")
+GETPIVOTDATA("合計 / " &amp; $B55,【ピボット】国保連売上!$A$3,"年月",P$3,"事業所",$A55,"請求区分","再請求"),"")</f>
        <v/>
      </c>
      <c r="Q55" s="241">
        <f>SUM(E55:P55)</f>
        <v>7724473</v>
      </c>
      <c r="R55" s="223">
        <f t="shared" si="15"/>
        <v>965559.125</v>
      </c>
    </row>
    <row r="56" spans="1:18" s="219" customFormat="1" ht="18" customHeight="1" x14ac:dyDescent="0.15">
      <c r="A56" s="675" t="s">
        <v>786</v>
      </c>
      <c r="C56" s="2147"/>
      <c r="D56" s="249" t="s">
        <v>317</v>
      </c>
      <c r="E56" s="243">
        <f t="shared" ref="E56:P56" si="20">IFERROR(E54/E52*-1,"")</f>
        <v>0</v>
      </c>
      <c r="F56" s="238">
        <f t="shared" si="20"/>
        <v>0</v>
      </c>
      <c r="G56" s="238">
        <f t="shared" si="20"/>
        <v>0</v>
      </c>
      <c r="H56" s="238">
        <f t="shared" si="20"/>
        <v>0</v>
      </c>
      <c r="I56" s="238">
        <f t="shared" si="20"/>
        <v>0</v>
      </c>
      <c r="J56" s="238">
        <f t="shared" si="20"/>
        <v>0</v>
      </c>
      <c r="K56" s="238">
        <f t="shared" si="20"/>
        <v>0</v>
      </c>
      <c r="L56" s="238">
        <f t="shared" si="20"/>
        <v>0</v>
      </c>
      <c r="M56" s="238" t="str">
        <f t="shared" si="20"/>
        <v/>
      </c>
      <c r="N56" s="238" t="str">
        <f t="shared" si="20"/>
        <v/>
      </c>
      <c r="O56" s="238" t="str">
        <f t="shared" si="20"/>
        <v/>
      </c>
      <c r="P56" s="239" t="str">
        <f t="shared" si="20"/>
        <v/>
      </c>
      <c r="Q56" s="243">
        <f>Q54/Q52*-1</f>
        <v>0</v>
      </c>
      <c r="R56" s="239">
        <f t="shared" si="15"/>
        <v>0</v>
      </c>
    </row>
    <row r="57" spans="1:18" ht="18" customHeight="1" thickBot="1" x14ac:dyDescent="0.2">
      <c r="A57" s="675" t="s">
        <v>786</v>
      </c>
      <c r="B57" s="675" t="s">
        <v>792</v>
      </c>
      <c r="C57" s="2148"/>
      <c r="D57" s="250" t="s">
        <v>316</v>
      </c>
      <c r="E57" s="244">
        <f>IFERROR(GETPIVOTDATA("合計 / 売上",【ピボット】事業所収支!$A$3,"年月",E$3,"事業所",$A57),"")</f>
        <v>1050085</v>
      </c>
      <c r="F57" s="224">
        <f>IFERROR(GETPIVOTDATA("合計 / 売上",【ピボット】事業所収支!$A$3,"年月",F$3,"事業所",$A57),"")</f>
        <v>1087657</v>
      </c>
      <c r="G57" s="224">
        <f>IFERROR(GETPIVOTDATA("合計 / 売上",【ピボット】事業所収支!$A$3,"年月",G$3,"事業所",$A57),"")</f>
        <v>1070236</v>
      </c>
      <c r="H57" s="224">
        <f>IFERROR(GETPIVOTDATA("合計 / 売上",【ピボット】事業所収支!$A$3,"年月",H$3,"事業所",$A57),"")</f>
        <v>1102442</v>
      </c>
      <c r="I57" s="224">
        <f>IFERROR(GETPIVOTDATA("合計 / 売上",【ピボット】事業所収支!$A$3,"年月",I$3,"事業所",$A57),"")</f>
        <v>1356442</v>
      </c>
      <c r="J57" s="224">
        <f>IFERROR(GETPIVOTDATA("合計 / 売上",【ピボット】事業所収支!$A$3,"年月",J$3,"事業所",$A57),"")</f>
        <v>1005836</v>
      </c>
      <c r="K57" s="224">
        <f>IFERROR(GETPIVOTDATA("合計 / 売上",【ピボット】事業所収支!$A$3,"年月",K$3,"事業所",$A57),"")</f>
        <v>973793</v>
      </c>
      <c r="L57" s="224">
        <f>IFERROR(GETPIVOTDATA("合計 / 売上",【ピボット】事業所収支!$A$3,"年月",L$3,"事業所",$A57),"")</f>
        <v>797482</v>
      </c>
      <c r="M57" s="224" t="str">
        <f>IFERROR(GETPIVOTDATA("合計 / 売上",【ピボット】事業所収支!$A$3,"年月",M$3,"事業所",$A57),"")</f>
        <v/>
      </c>
      <c r="N57" s="224" t="str">
        <f>IFERROR(GETPIVOTDATA("合計 / 売上",【ピボット】事業所収支!$A$3,"年月",N$3,"事業所",$A57),"")</f>
        <v/>
      </c>
      <c r="O57" s="224" t="str">
        <f>IFERROR(GETPIVOTDATA("合計 / 売上",【ピボット】事業所収支!$A$3,"年月",O$3,"事業所",$A57),"")</f>
        <v/>
      </c>
      <c r="P57" s="225" t="str">
        <f>IFERROR(GETPIVOTDATA("合計 / 売上",【ピボット】事業所収支!$A$3,"年月",P$3,"事業所",$A57),"")</f>
        <v/>
      </c>
      <c r="Q57" s="244">
        <f>Q53-Q54</f>
        <v>8443973</v>
      </c>
      <c r="R57" s="225">
        <f t="shared" si="15"/>
        <v>1055496.625</v>
      </c>
    </row>
    <row r="58" spans="1:18" ht="18" customHeight="1" x14ac:dyDescent="0.15">
      <c r="A58" s="675" t="s">
        <v>787</v>
      </c>
      <c r="B58" s="675" t="s">
        <v>789</v>
      </c>
      <c r="C58" s="2149" t="s">
        <v>404</v>
      </c>
      <c r="D58" s="246" t="s">
        <v>319</v>
      </c>
      <c r="E58" s="240">
        <f>IFERROR(GETPIVOTDATA("合計 / " &amp; $B58,【ピボット】国保連売上!$A$3,"年月",E$3,"事業所",$A58,"請求区分","単月")
+GETPIVOTDATA("合計 / " &amp; $B58,【ピボット】国保連売上!$A$3,"年月",E$3,"事業所",$A58,"請求区分","再請求"),"")</f>
        <v>2292635</v>
      </c>
      <c r="F58" s="220">
        <f>IFERROR(GETPIVOTDATA("合計 / " &amp; $B58,【ピボット】国保連売上!$A$3,"年月",F$3,"事業所",$A58,"請求区分","単月")
+GETPIVOTDATA("合計 / " &amp; $B58,【ピボット】国保連売上!$A$3,"年月",F$3,"事業所",$A58,"請求区分","再請求"),"")</f>
        <v>2500912</v>
      </c>
      <c r="G58" s="220">
        <f>IFERROR(GETPIVOTDATA("合計 / " &amp; $B58,【ピボット】国保連売上!$A$3,"年月",G$3,"事業所",$A58,"請求区分","単月")
+GETPIVOTDATA("合計 / " &amp; $B58,【ピボット】国保連売上!$A$3,"年月",G$3,"事業所",$A58,"請求区分","再請求"),"")</f>
        <v>2443866</v>
      </c>
      <c r="H58" s="220">
        <f>IFERROR(GETPIVOTDATA("合計 / " &amp; $B58,【ピボット】国保連売上!$A$3,"年月",H$3,"事業所",$A58,"請求区分","単月")
+GETPIVOTDATA("合計 / " &amp; $B58,【ピボット】国保連売上!$A$3,"年月",H$3,"事業所",$A58,"請求区分","再請求"),"")</f>
        <v>2507684</v>
      </c>
      <c r="I58" s="220">
        <f>IFERROR(GETPIVOTDATA("合計 / " &amp; $B58,【ピボット】国保連売上!$A$3,"年月",I$3,"事業所",$A58,"請求区分","単月")
+GETPIVOTDATA("合計 / " &amp; $B58,【ピボット】国保連売上!$A$3,"年月",I$3,"事業所",$A58,"請求区分","再請求"),"")</f>
        <v>2515481</v>
      </c>
      <c r="J58" s="220">
        <f>IFERROR(GETPIVOTDATA("合計 / " &amp; $B58,【ピボット】国保連売上!$A$3,"年月",J$3,"事業所",$A58,"請求区分","単月")
+GETPIVOTDATA("合計 / " &amp; $B58,【ピボット】国保連売上!$A$3,"年月",J$3,"事業所",$A58,"請求区分","再請求"),"")</f>
        <v>1944130</v>
      </c>
      <c r="K58" s="220">
        <f>IFERROR(GETPIVOTDATA("合計 / " &amp; $B58,【ピボット】国保連売上!$A$3,"年月",K$3,"事業所",$A58,"請求区分","単月")
+GETPIVOTDATA("合計 / " &amp; $B58,【ピボット】国保連売上!$A$3,"年月",K$3,"事業所",$A58,"請求区分","再請求"),"")</f>
        <v>2141143</v>
      </c>
      <c r="L58" s="220">
        <f>IFERROR(GETPIVOTDATA("合計 / " &amp; $B58,【ピボット】国保連売上!$A$3,"年月",L$3,"事業所",$A58,"請求区分","単月")
+GETPIVOTDATA("合計 / " &amp; $B58,【ピボット】国保連売上!$A$3,"年月",L$3,"事業所",$A58,"請求区分","再請求"),"")</f>
        <v>2509810</v>
      </c>
      <c r="M58" s="220" t="str">
        <f>IFERROR(GETPIVOTDATA("合計 / " &amp; $B58,【ピボット】国保連売上!$A$3,"年月",M$3,"事業所",$A58,"請求区分","単月")
+GETPIVOTDATA("合計 / " &amp; $B58,【ピボット】国保連売上!$A$3,"年月",M$3,"事業所",$A58,"請求区分","再請求"),"")</f>
        <v/>
      </c>
      <c r="N58" s="220" t="str">
        <f>IFERROR(GETPIVOTDATA("合計 / " &amp; $B58,【ピボット】国保連売上!$A$3,"年月",N$3,"事業所",$A58,"請求区分","単月")
+GETPIVOTDATA("合計 / " &amp; $B58,【ピボット】国保連売上!$A$3,"年月",N$3,"事業所",$A58,"請求区分","再請求"),"")</f>
        <v/>
      </c>
      <c r="O58" s="220" t="str">
        <f>IFERROR(GETPIVOTDATA("合計 / " &amp; $B58,【ピボット】国保連売上!$A$3,"年月",O$3,"事業所",$A58,"請求区分","単月")
+GETPIVOTDATA("合計 / " &amp; $B58,【ピボット】国保連売上!$A$3,"年月",O$3,"事業所",$A58,"請求区分","再請求"),"")</f>
        <v/>
      </c>
      <c r="P58" s="221" t="str">
        <f>IFERROR(GETPIVOTDATA("合計 / " &amp; $B58,【ピボット】国保連売上!$A$3,"年月",P$3,"事業所",$A58,"請求区分","単月")
+GETPIVOTDATA("合計 / " &amp; $B58,【ピボット】国保連売上!$A$3,"年月",P$3,"事業所",$A58,"請求区分","再請求"),"")</f>
        <v/>
      </c>
      <c r="Q58" s="240">
        <f>SUM(E58:P58)</f>
        <v>18855661</v>
      </c>
      <c r="R58" s="221">
        <f t="shared" si="15"/>
        <v>2356957.625</v>
      </c>
    </row>
    <row r="59" spans="1:18" ht="18" customHeight="1" x14ac:dyDescent="0.15">
      <c r="A59" s="675" t="s">
        <v>787</v>
      </c>
      <c r="B59" s="675" t="s">
        <v>26</v>
      </c>
      <c r="C59" s="2147"/>
      <c r="D59" s="247" t="s">
        <v>318</v>
      </c>
      <c r="E59" s="241">
        <f t="shared" ref="E59:P59" si="21">IFERROR(E63-E60,"")</f>
        <v>2587385</v>
      </c>
      <c r="F59" s="222">
        <f t="shared" si="21"/>
        <v>2800912</v>
      </c>
      <c r="G59" s="222">
        <f t="shared" si="21"/>
        <v>2743866</v>
      </c>
      <c r="H59" s="222">
        <f t="shared" si="21"/>
        <v>2807684</v>
      </c>
      <c r="I59" s="222">
        <f t="shared" si="21"/>
        <v>2942481</v>
      </c>
      <c r="J59" s="222">
        <f t="shared" si="21"/>
        <v>2332393</v>
      </c>
      <c r="K59" s="222">
        <f t="shared" si="21"/>
        <v>2449282</v>
      </c>
      <c r="L59" s="222">
        <f t="shared" si="21"/>
        <v>2831820</v>
      </c>
      <c r="M59" s="222" t="str">
        <f t="shared" si="21"/>
        <v/>
      </c>
      <c r="N59" s="222" t="str">
        <f t="shared" si="21"/>
        <v/>
      </c>
      <c r="O59" s="222" t="str">
        <f t="shared" si="21"/>
        <v/>
      </c>
      <c r="P59" s="223" t="str">
        <f t="shared" si="21"/>
        <v/>
      </c>
      <c r="Q59" s="241">
        <f>SUM(E59:P59)</f>
        <v>21495823</v>
      </c>
      <c r="R59" s="223">
        <f t="shared" si="15"/>
        <v>2686977.875</v>
      </c>
    </row>
    <row r="60" spans="1:18" ht="18" customHeight="1" x14ac:dyDescent="0.15">
      <c r="A60" s="675" t="s">
        <v>787</v>
      </c>
      <c r="B60" s="675" t="s">
        <v>790</v>
      </c>
      <c r="C60" s="2147"/>
      <c r="D60" s="248" t="s">
        <v>327</v>
      </c>
      <c r="E60" s="242">
        <f>IFERROR(GETPIVOTDATA("合計 / " &amp; $B60,【ピボット】国保連売上!$A$3,"年月",E$3,"事業所",$A60,"請求区分","単月")
+GETPIVOTDATA("合計 / " &amp; $B60,【ピボット】国保連売上!$A$3,"年月",E$3,"事業所",$A60,"請求区分","再請求"),"")</f>
        <v>0</v>
      </c>
      <c r="F60" s="236">
        <f>IFERROR(GETPIVOTDATA("合計 / " &amp; $B60,【ピボット】国保連売上!$A$3,"年月",F$3,"事業所",$A60,"請求区分","単月")
+GETPIVOTDATA("合計 / " &amp; $B60,【ピボット】国保連売上!$A$3,"年月",F$3,"事業所",$A60,"請求区分","再請求"),"")</f>
        <v>0</v>
      </c>
      <c r="G60" s="236">
        <f>IFERROR(GETPIVOTDATA("合計 / " &amp; $B60,【ピボット】国保連売上!$A$3,"年月",G$3,"事業所",$A60,"請求区分","単月")
+GETPIVOTDATA("合計 / " &amp; $B60,【ピボット】国保連売上!$A$3,"年月",G$3,"事業所",$A60,"請求区分","再請求"),"")</f>
        <v>0</v>
      </c>
      <c r="H60" s="236">
        <f>IFERROR(GETPIVOTDATA("合計 / " &amp; $B60,【ピボット】国保連売上!$A$3,"年月",H$3,"事業所",$A60,"請求区分","単月")
+GETPIVOTDATA("合計 / " &amp; $B60,【ピボット】国保連売上!$A$3,"年月",H$3,"事業所",$A60,"請求区分","再請求"),"")</f>
        <v>0</v>
      </c>
      <c r="I60" s="236">
        <f>IFERROR(GETPIVOTDATA("合計 / " &amp; $B60,【ピボット】国保連売上!$A$3,"年月",I$3,"事業所",$A60,"請求区分","単月")
+GETPIVOTDATA("合計 / " &amp; $B60,【ピボット】国保連売上!$A$3,"年月",I$3,"事業所",$A60,"請求区分","再請求"),"")</f>
        <v>0</v>
      </c>
      <c r="J60" s="236">
        <f>IFERROR(GETPIVOTDATA("合計 / " &amp; $B60,【ピボット】国保連売上!$A$3,"年月",J$3,"事業所",$A60,"請求区分","単月")
+GETPIVOTDATA("合計 / " &amp; $B60,【ピボット】国保連売上!$A$3,"年月",J$3,"事業所",$A60,"請求区分","再請求"),"")</f>
        <v>-213958</v>
      </c>
      <c r="K60" s="236">
        <f>IFERROR(GETPIVOTDATA("合計 / " &amp; $B60,【ピボット】国保連売上!$A$3,"年月",K$3,"事業所",$A60,"請求区分","単月")
+GETPIVOTDATA("合計 / " &amp; $B60,【ピボット】国保連売上!$A$3,"年月",K$3,"事業所",$A60,"請求区分","再請求"),"")</f>
        <v>-449775</v>
      </c>
      <c r="L60" s="236">
        <f>IFERROR(GETPIVOTDATA("合計 / " &amp; $B60,【ピボット】国保連売上!$A$3,"年月",L$3,"事業所",$A60,"請求区分","単月")
+GETPIVOTDATA("合計 / " &amp; $B60,【ピボット】国保連売上!$A$3,"年月",L$3,"事業所",$A60,"請求区分","再請求"),"")</f>
        <v>0</v>
      </c>
      <c r="M60" s="236" t="str">
        <f>IFERROR(GETPIVOTDATA("合計 / " &amp; $B60,【ピボット】国保連売上!$A$3,"年月",M$3,"事業所",$A60,"請求区分","単月")
+GETPIVOTDATA("合計 / " &amp; $B60,【ピボット】国保連売上!$A$3,"年月",M$3,"事業所",$A60,"請求区分","再請求"),"")</f>
        <v/>
      </c>
      <c r="N60" s="236" t="str">
        <f>IFERROR(GETPIVOTDATA("合計 / " &amp; $B60,【ピボット】国保連売上!$A$3,"年月",N$3,"事業所",$A60,"請求区分","単月")
+GETPIVOTDATA("合計 / " &amp; $B60,【ピボット】国保連売上!$A$3,"年月",N$3,"事業所",$A60,"請求区分","再請求"),"")</f>
        <v/>
      </c>
      <c r="O60" s="236" t="str">
        <f>IFERROR(GETPIVOTDATA("合計 / " &amp; $B60,【ピボット】国保連売上!$A$3,"年月",O$3,"事業所",$A60,"請求区分","単月")
+GETPIVOTDATA("合計 / " &amp; $B60,【ピボット】国保連売上!$A$3,"年月",O$3,"事業所",$A60,"請求区分","再請求"),"")</f>
        <v/>
      </c>
      <c r="P60" s="237" t="str">
        <f>IFERROR(GETPIVOTDATA("合計 / " &amp; $B60,【ピボット】国保連売上!$A$3,"年月",P$3,"事業所",$A60,"請求区分","単月")
+GETPIVOTDATA("合計 / " &amp; $B60,【ピボット】国保連売上!$A$3,"年月",P$3,"事業所",$A60,"請求区分","再請求"),"")</f>
        <v/>
      </c>
      <c r="Q60" s="242">
        <f>SUM(E60:P60)</f>
        <v>-663733</v>
      </c>
      <c r="R60" s="237">
        <f>IFERROR(AVERAGE(E60:P60),0)</f>
        <v>-82966.625</v>
      </c>
    </row>
    <row r="61" spans="1:18" ht="18" customHeight="1" x14ac:dyDescent="0.15">
      <c r="A61" s="675" t="s">
        <v>787</v>
      </c>
      <c r="B61" s="675" t="s">
        <v>871</v>
      </c>
      <c r="C61" s="2147"/>
      <c r="D61" s="247" t="s">
        <v>328</v>
      </c>
      <c r="E61" s="241">
        <f>IFERROR(GETPIVOTDATA("合計 / " &amp; $B61,【ピボット】国保連売上!$A$3,"年月",E$3,"事業所",$A61,"請求区分","単月")
+GETPIVOTDATA("合計 / " &amp; $B61,【ピボット】国保連売上!$A$3,"年月",E$3,"事業所",$A61,"請求区分","再請求"),"")</f>
        <v>2292635</v>
      </c>
      <c r="F61" s="222">
        <f>IFERROR(GETPIVOTDATA("合計 / " &amp; $B61,【ピボット】国保連売上!$A$3,"年月",F$3,"事業所",$A61,"請求区分","単月")
+GETPIVOTDATA("合計 / " &amp; $B61,【ピボット】国保連売上!$A$3,"年月",F$3,"事業所",$A61,"請求区分","再請求"),"")</f>
        <v>2500912</v>
      </c>
      <c r="G61" s="222">
        <f>IFERROR(GETPIVOTDATA("合計 / " &amp; $B61,【ピボット】国保連売上!$A$3,"年月",G$3,"事業所",$A61,"請求区分","単月")
+GETPIVOTDATA("合計 / " &amp; $B61,【ピボット】国保連売上!$A$3,"年月",G$3,"事業所",$A61,"請求区分","再請求"),"")</f>
        <v>2443866</v>
      </c>
      <c r="H61" s="222">
        <f>IFERROR(GETPIVOTDATA("合計 / " &amp; $B61,【ピボット】国保連売上!$A$3,"年月",H$3,"事業所",$A61,"請求区分","単月")
+GETPIVOTDATA("合計 / " &amp; $B61,【ピボット】国保連売上!$A$3,"年月",H$3,"事業所",$A61,"請求区分","再請求"),"")</f>
        <v>2507684</v>
      </c>
      <c r="I61" s="222">
        <f>IFERROR(GETPIVOTDATA("合計 / " &amp; $B61,【ピボット】国保連売上!$A$3,"年月",I$3,"事業所",$A61,"請求区分","単月")
+GETPIVOTDATA("合計 / " &amp; $B61,【ピボット】国保連売上!$A$3,"年月",I$3,"事業所",$A61,"請求区分","再請求"),"")</f>
        <v>2515481</v>
      </c>
      <c r="J61" s="222">
        <f>IFERROR(GETPIVOTDATA("合計 / " &amp; $B61,【ピボット】国保連売上!$A$3,"年月",J$3,"事業所",$A61,"請求区分","単月")
+GETPIVOTDATA("合計 / " &amp; $B61,【ピボット】国保連売上!$A$3,"年月",J$3,"事業所",$A61,"請求区分","再請求"),"")</f>
        <v>1730172</v>
      </c>
      <c r="K61" s="222">
        <f>IFERROR(GETPIVOTDATA("合計 / " &amp; $B61,【ピボット】国保連売上!$A$3,"年月",K$3,"事業所",$A61,"請求区分","単月")
+GETPIVOTDATA("合計 / " &amp; $B61,【ピボット】国保連売上!$A$3,"年月",K$3,"事業所",$A61,"請求区分","再請求"),"")</f>
        <v>1691368</v>
      </c>
      <c r="L61" s="222">
        <f>IFERROR(GETPIVOTDATA("合計 / " &amp; $B61,【ピボット】国保連売上!$A$3,"年月",L$3,"事業所",$A61,"請求区分","単月")
+GETPIVOTDATA("合計 / " &amp; $B61,【ピボット】国保連売上!$A$3,"年月",L$3,"事業所",$A61,"請求区分","再請求"),"")</f>
        <v>2509810</v>
      </c>
      <c r="M61" s="222" t="str">
        <f>IFERROR(GETPIVOTDATA("合計 / " &amp; $B61,【ピボット】国保連売上!$A$3,"年月",M$3,"事業所",$A61,"請求区分","単月")
+GETPIVOTDATA("合計 / " &amp; $B61,【ピボット】国保連売上!$A$3,"年月",M$3,"事業所",$A61,"請求区分","再請求"),"")</f>
        <v/>
      </c>
      <c r="N61" s="222" t="str">
        <f>IFERROR(GETPIVOTDATA("合計 / " &amp; $B61,【ピボット】国保連売上!$A$3,"年月",N$3,"事業所",$A61,"請求区分","単月")
+GETPIVOTDATA("合計 / " &amp; $B61,【ピボット】国保連売上!$A$3,"年月",N$3,"事業所",$A61,"請求区分","再請求"),"")</f>
        <v/>
      </c>
      <c r="O61" s="222" t="str">
        <f>IFERROR(GETPIVOTDATA("合計 / " &amp; $B61,【ピボット】国保連売上!$A$3,"年月",O$3,"事業所",$A61,"請求区分","単月")
+GETPIVOTDATA("合計 / " &amp; $B61,【ピボット】国保連売上!$A$3,"年月",O$3,"事業所",$A61,"請求区分","再請求"),"")</f>
        <v/>
      </c>
      <c r="P61" s="223" t="str">
        <f>IFERROR(GETPIVOTDATA("合計 / " &amp; $B61,【ピボット】国保連売上!$A$3,"年月",P$3,"事業所",$A61,"請求区分","単月")
+GETPIVOTDATA("合計 / " &amp; $B61,【ピボット】国保連売上!$A$3,"年月",P$3,"事業所",$A61,"請求区分","再請求"),"")</f>
        <v/>
      </c>
      <c r="Q61" s="241">
        <f>SUM(E61:P61)</f>
        <v>18191928</v>
      </c>
      <c r="R61" s="223">
        <f>AVERAGE(E61:P61)</f>
        <v>2273991</v>
      </c>
    </row>
    <row r="62" spans="1:18" s="219" customFormat="1" ht="18" customHeight="1" x14ac:dyDescent="0.15">
      <c r="A62" s="675" t="s">
        <v>787</v>
      </c>
      <c r="C62" s="2147"/>
      <c r="D62" s="249" t="s">
        <v>317</v>
      </c>
      <c r="E62" s="243">
        <f t="shared" ref="E62:P62" si="22">IFERROR(E60/E58*-1,"")</f>
        <v>0</v>
      </c>
      <c r="F62" s="238">
        <f t="shared" si="22"/>
        <v>0</v>
      </c>
      <c r="G62" s="238">
        <f t="shared" si="22"/>
        <v>0</v>
      </c>
      <c r="H62" s="238">
        <f t="shared" si="22"/>
        <v>0</v>
      </c>
      <c r="I62" s="238">
        <f t="shared" si="22"/>
        <v>0</v>
      </c>
      <c r="J62" s="238">
        <f t="shared" si="22"/>
        <v>0.11005334005442023</v>
      </c>
      <c r="K62" s="238">
        <f t="shared" si="22"/>
        <v>0.21006303642493751</v>
      </c>
      <c r="L62" s="238">
        <f t="shared" si="22"/>
        <v>0</v>
      </c>
      <c r="M62" s="238" t="str">
        <f t="shared" si="22"/>
        <v/>
      </c>
      <c r="N62" s="238" t="str">
        <f t="shared" si="22"/>
        <v/>
      </c>
      <c r="O62" s="238" t="str">
        <f t="shared" si="22"/>
        <v/>
      </c>
      <c r="P62" s="239" t="str">
        <f t="shared" si="22"/>
        <v/>
      </c>
      <c r="Q62" s="243">
        <f>Q60/Q58*-1</f>
        <v>3.5200728311778624E-2</v>
      </c>
      <c r="R62" s="239">
        <f>AVERAGE(E62:P62)</f>
        <v>4.0014547059919719E-2</v>
      </c>
    </row>
    <row r="63" spans="1:18" ht="18" customHeight="1" thickBot="1" x14ac:dyDescent="0.2">
      <c r="A63" s="675" t="s">
        <v>787</v>
      </c>
      <c r="B63" s="675" t="s">
        <v>792</v>
      </c>
      <c r="C63" s="2148"/>
      <c r="D63" s="250" t="s">
        <v>316</v>
      </c>
      <c r="E63" s="244">
        <f>IFERROR(GETPIVOTDATA("合計 / 売上",【ピボット】事業所収支!$A$3,"年月",E$3,"事業所",$A63),"")</f>
        <v>2587385</v>
      </c>
      <c r="F63" s="224">
        <f>IFERROR(GETPIVOTDATA("合計 / 売上",【ピボット】事業所収支!$A$3,"年月",F$3,"事業所",$A63),"")</f>
        <v>2800912</v>
      </c>
      <c r="G63" s="224">
        <f>IFERROR(GETPIVOTDATA("合計 / 売上",【ピボット】事業所収支!$A$3,"年月",G$3,"事業所",$A63),"")</f>
        <v>2743866</v>
      </c>
      <c r="H63" s="224">
        <f>IFERROR(GETPIVOTDATA("合計 / 売上",【ピボット】事業所収支!$A$3,"年月",H$3,"事業所",$A63),"")</f>
        <v>2807684</v>
      </c>
      <c r="I63" s="224">
        <f>IFERROR(GETPIVOTDATA("合計 / 売上",【ピボット】事業所収支!$A$3,"年月",I$3,"事業所",$A63),"")</f>
        <v>2942481</v>
      </c>
      <c r="J63" s="224">
        <f>IFERROR(GETPIVOTDATA("合計 / 売上",【ピボット】事業所収支!$A$3,"年月",J$3,"事業所",$A63),"")</f>
        <v>2118435</v>
      </c>
      <c r="K63" s="224">
        <f>IFERROR(GETPIVOTDATA("合計 / 売上",【ピボット】事業所収支!$A$3,"年月",K$3,"事業所",$A63),"")</f>
        <v>1999507</v>
      </c>
      <c r="L63" s="224">
        <f>IFERROR(GETPIVOTDATA("合計 / 売上",【ピボット】事業所収支!$A$3,"年月",L$3,"事業所",$A63),"")</f>
        <v>2831820</v>
      </c>
      <c r="M63" s="224" t="str">
        <f>IFERROR(GETPIVOTDATA("合計 / 売上",【ピボット】事業所収支!$A$3,"年月",M$3,"事業所",$A63),"")</f>
        <v/>
      </c>
      <c r="N63" s="224" t="str">
        <f>IFERROR(GETPIVOTDATA("合計 / 売上",【ピボット】事業所収支!$A$3,"年月",N$3,"事業所",$A63),"")</f>
        <v/>
      </c>
      <c r="O63" s="224" t="str">
        <f>IFERROR(GETPIVOTDATA("合計 / 売上",【ピボット】事業所収支!$A$3,"年月",O$3,"事業所",$A63),"")</f>
        <v/>
      </c>
      <c r="P63" s="225" t="str">
        <f>IFERROR(GETPIVOTDATA("合計 / 売上",【ピボット】事業所収支!$A$3,"年月",P$3,"事業所",$A63),"")</f>
        <v/>
      </c>
      <c r="Q63" s="244">
        <f>Q59-Q60</f>
        <v>22159556</v>
      </c>
      <c r="R63" s="225">
        <f>AVERAGE(E63:P63)</f>
        <v>2604011.25</v>
      </c>
    </row>
    <row r="64" spans="1:18" ht="18" customHeight="1" x14ac:dyDescent="0.15">
      <c r="A64" s="1682" t="s">
        <v>1223</v>
      </c>
      <c r="B64" s="675" t="s">
        <v>554</v>
      </c>
      <c r="C64" s="2151" t="s">
        <v>1495</v>
      </c>
      <c r="D64" s="246" t="s">
        <v>319</v>
      </c>
      <c r="E64" s="240" t="str">
        <f>IFERROR(GETPIVOTDATA("合計 / " &amp; $B64,【ピボット】国保連売上!$A$3,"年月",E$3,"事業所",$A64,"請求区分","単月")
+GETPIVOTDATA("合計 / " &amp; $B64,【ピボット】国保連売上!$A$3,"年月",E$3,"事業所",$A64,"請求区分","再請求"),"")</f>
        <v/>
      </c>
      <c r="F64" s="220" t="str">
        <f>IFERROR(GETPIVOTDATA("合計 / " &amp; $B64,【ピボット】国保連売上!$A$3,"年月",F$3,"事業所",$A64,"請求区分","単月")
+GETPIVOTDATA("合計 / " &amp; $B64,【ピボット】国保連売上!$A$3,"年月",F$3,"事業所",$A64,"請求区分","再請求"),"")</f>
        <v/>
      </c>
      <c r="G64" s="220" t="str">
        <f>IFERROR(GETPIVOTDATA("合計 / " &amp; $B64,【ピボット】国保連売上!$A$3,"年月",G$3,"事業所",$A64,"請求区分","単月")
+GETPIVOTDATA("合計 / " &amp; $B64,【ピボット】国保連売上!$A$3,"年月",G$3,"事業所",$A64,"請求区分","再請求"),"")</f>
        <v/>
      </c>
      <c r="H64" s="220" t="str">
        <f>IFERROR(GETPIVOTDATA("合計 / " &amp; $B64,【ピボット】国保連売上!$A$3,"年月",H$3,"事業所",$A64,"請求区分","単月")
+GETPIVOTDATA("合計 / " &amp; $B64,【ピボット】国保連売上!$A$3,"年月",H$3,"事業所",$A64,"請求区分","再請求"),"")</f>
        <v/>
      </c>
      <c r="I64" s="220" t="str">
        <f>IFERROR(GETPIVOTDATA("合計 / " &amp; $B64,【ピボット】国保連売上!$A$3,"年月",I$3,"事業所",$A64,"請求区分","単月")
+GETPIVOTDATA("合計 / " &amp; $B64,【ピボット】国保連売上!$A$3,"年月",I$3,"事業所",$A64,"請求区分","再請求"),"")</f>
        <v/>
      </c>
      <c r="J64" s="220">
        <f>IFERROR(GETPIVOTDATA("合計 / " &amp; $B64,【ピボット】国保連売上!$A$3,"年月",J$3,"事業所",$A64,"請求区分","単月")
+GETPIVOTDATA("合計 / " &amp; $B64,【ピボット】国保連売上!$A$3,"年月",J$3,"事業所",$A64,"請求区分","再請求"),"")</f>
        <v>1493913</v>
      </c>
      <c r="K64" s="220">
        <f>IFERROR(GETPIVOTDATA("合計 / " &amp; $B64,【ピボット】国保連売上!$A$3,"年月",K$3,"事業所",$A64,"請求区分","単月")
+GETPIVOTDATA("合計 / " &amp; $B64,【ピボット】国保連売上!$A$3,"年月",K$3,"事業所",$A64,"請求区分","再請求"),"")</f>
        <v>1830948</v>
      </c>
      <c r="L64" s="220">
        <f>IFERROR(GETPIVOTDATA("合計 / " &amp; $B64,【ピボット】国保連売上!$A$3,"年月",L$3,"事業所",$A64,"請求区分","単月")
+GETPIVOTDATA("合計 / " &amp; $B64,【ピボット】国保連売上!$A$3,"年月",L$3,"事業所",$A64,"請求区分","再請求"),"")</f>
        <v>1867332</v>
      </c>
      <c r="M64" s="220" t="str">
        <f>IFERROR(GETPIVOTDATA("合計 / " &amp; $B64,【ピボット】国保連売上!$A$3,"年月",M$3,"事業所",$A64,"請求区分","単月")
+GETPIVOTDATA("合計 / " &amp; $B64,【ピボット】国保連売上!$A$3,"年月",M$3,"事業所",$A64,"請求区分","再請求"),"")</f>
        <v/>
      </c>
      <c r="N64" s="220" t="str">
        <f>IFERROR(GETPIVOTDATA("合計 / " &amp; $B64,【ピボット】国保連売上!$A$3,"年月",N$3,"事業所",$A64,"請求区分","単月")
+GETPIVOTDATA("合計 / " &amp; $B64,【ピボット】国保連売上!$A$3,"年月",N$3,"事業所",$A64,"請求区分","再請求"),"")</f>
        <v/>
      </c>
      <c r="O64" s="220" t="str">
        <f>IFERROR(GETPIVOTDATA("合計 / " &amp; $B64,【ピボット】国保連売上!$A$3,"年月",O$3,"事業所",$A64,"請求区分","単月")
+GETPIVOTDATA("合計 / " &amp; $B64,【ピボット】国保連売上!$A$3,"年月",O$3,"事業所",$A64,"請求区分","再請求"),"")</f>
        <v/>
      </c>
      <c r="P64" s="221" t="str">
        <f>IFERROR(GETPIVOTDATA("合計 / " &amp; $B64,【ピボット】国保連売上!$A$3,"年月",P$3,"事業所",$A64,"請求区分","単月")
+GETPIVOTDATA("合計 / " &amp; $B64,【ピボット】国保連売上!$A$3,"年月",P$3,"事業所",$A64,"請求区分","再請求"),"")</f>
        <v/>
      </c>
      <c r="Q64" s="240">
        <f>SUM(E64:P64)</f>
        <v>5192193</v>
      </c>
      <c r="R64" s="221">
        <f t="shared" ref="R64:R65" si="23">AVERAGE(E64:P64)</f>
        <v>1730731</v>
      </c>
    </row>
    <row r="65" spans="1:18" ht="18" customHeight="1" x14ac:dyDescent="0.15">
      <c r="A65" s="1682" t="s">
        <v>1223</v>
      </c>
      <c r="B65" s="675" t="s">
        <v>26</v>
      </c>
      <c r="C65" s="2147"/>
      <c r="D65" s="247" t="s">
        <v>318</v>
      </c>
      <c r="E65" s="241" t="str">
        <f t="shared" ref="E65:P65" si="24">IFERROR(E69-E66,"")</f>
        <v/>
      </c>
      <c r="F65" s="222" t="str">
        <f t="shared" si="24"/>
        <v/>
      </c>
      <c r="G65" s="222">
        <f t="shared" si="24"/>
        <v>16000</v>
      </c>
      <c r="H65" s="222">
        <f>IFERROR(H69-H66,"")</f>
        <v>40000</v>
      </c>
      <c r="I65" s="222" t="str">
        <f t="shared" si="24"/>
        <v/>
      </c>
      <c r="J65" s="222">
        <f t="shared" si="24"/>
        <v>1673913</v>
      </c>
      <c r="K65" s="222">
        <f t="shared" si="24"/>
        <v>2010948</v>
      </c>
      <c r="L65" s="222">
        <f t="shared" si="24"/>
        <v>2077332</v>
      </c>
      <c r="M65" s="222" t="str">
        <f t="shared" si="24"/>
        <v/>
      </c>
      <c r="N65" s="222" t="str">
        <f t="shared" si="24"/>
        <v/>
      </c>
      <c r="O65" s="222" t="str">
        <f t="shared" si="24"/>
        <v/>
      </c>
      <c r="P65" s="223" t="str">
        <f t="shared" si="24"/>
        <v/>
      </c>
      <c r="Q65" s="241">
        <f>SUM(E65:P65)</f>
        <v>5818193</v>
      </c>
      <c r="R65" s="223">
        <f t="shared" si="23"/>
        <v>1163638.6000000001</v>
      </c>
    </row>
    <row r="66" spans="1:18" ht="18" customHeight="1" x14ac:dyDescent="0.15">
      <c r="A66" s="1682" t="s">
        <v>1223</v>
      </c>
      <c r="B66" s="675" t="s">
        <v>470</v>
      </c>
      <c r="C66" s="2147"/>
      <c r="D66" s="248" t="s">
        <v>327</v>
      </c>
      <c r="E66" s="242" t="str">
        <f>IFERROR(GETPIVOTDATA("合計 / " &amp; $B66,【ピボット】国保連売上!$A$3,"年月",E$3,"事業所",$A66,"請求区分","単月")
+GETPIVOTDATA("合計 / " &amp; $B66,【ピボット】国保連売上!$A$3,"年月",E$3,"事業所",$A66,"請求区分","再請求"),"")</f>
        <v/>
      </c>
      <c r="F66" s="236" t="str">
        <f>IFERROR(GETPIVOTDATA("合計 / " &amp; $B66,【ピボット】国保連売上!$A$3,"年月",F$3,"事業所",$A66,"請求区分","単月")
+GETPIVOTDATA("合計 / " &amp; $B66,【ピボット】国保連売上!$A$3,"年月",F$3,"事業所",$A66,"請求区分","再請求"),"")</f>
        <v/>
      </c>
      <c r="G66" s="236">
        <v>0</v>
      </c>
      <c r="H66" s="236">
        <v>0</v>
      </c>
      <c r="I66" s="236" t="str">
        <f>IFERROR(GETPIVOTDATA("合計 / " &amp; $B66,【ピボット】国保連売上!$A$3,"年月",I$3,"事業所",$A66,"請求区分","単月")
+GETPIVOTDATA("合計 / " &amp; $B66,【ピボット】国保連売上!$A$3,"年月",I$3,"事業所",$A66,"請求区分","再請求"),"")</f>
        <v/>
      </c>
      <c r="J66" s="236">
        <f>IFERROR(GETPIVOTDATA("合計 / " &amp; $B66,【ピボット】国保連売上!$A$3,"年月",J$3,"事業所",$A66,"請求区分","単月")
+GETPIVOTDATA("合計 / " &amp; $B66,【ピボット】国保連売上!$A$3,"年月",J$3,"事業所",$A66,"請求区分","再請求"),"")</f>
        <v>-197725</v>
      </c>
      <c r="K66" s="236">
        <f>IFERROR(GETPIVOTDATA("合計 / " &amp; $B66,【ピボット】国保連売上!$A$3,"年月",K$3,"事業所",$A66,"請求区分","単月")
+GETPIVOTDATA("合計 / " &amp; $B66,【ピボット】国保連売上!$A$3,"年月",K$3,"事業所",$A66,"請求区分","再請求"),"")</f>
        <v>-235817</v>
      </c>
      <c r="L66" s="236">
        <f>IFERROR(GETPIVOTDATA("合計 / " &amp; $B66,【ピボット】国保連売上!$A$3,"年月",L$3,"事業所",$A66,"請求区分","単月")
+GETPIVOTDATA("合計 / " &amp; $B66,【ピボット】国保連売上!$A$3,"年月",L$3,"事業所",$A66,"請求区分","再請求"),"")</f>
        <v>0</v>
      </c>
      <c r="M66" s="236" t="str">
        <f>IFERROR(GETPIVOTDATA("合計 / " &amp; $B66,【ピボット】国保連売上!$A$3,"年月",M$3,"事業所",$A66,"請求区分","単月")
+GETPIVOTDATA("合計 / " &amp; $B66,【ピボット】国保連売上!$A$3,"年月",M$3,"事業所",$A66,"請求区分","再請求"),"")</f>
        <v/>
      </c>
      <c r="N66" s="236" t="str">
        <f>IFERROR(GETPIVOTDATA("合計 / " &amp; $B66,【ピボット】国保連売上!$A$3,"年月",N$3,"事業所",$A66,"請求区分","単月")
+GETPIVOTDATA("合計 / " &amp; $B66,【ピボット】国保連売上!$A$3,"年月",N$3,"事業所",$A66,"請求区分","再請求"),"")</f>
        <v/>
      </c>
      <c r="O66" s="236" t="str">
        <f>IFERROR(GETPIVOTDATA("合計 / " &amp; $B66,【ピボット】国保連売上!$A$3,"年月",O$3,"事業所",$A66,"請求区分","単月")
+GETPIVOTDATA("合計 / " &amp; $B66,【ピボット】国保連売上!$A$3,"年月",O$3,"事業所",$A66,"請求区分","再請求"),"")</f>
        <v/>
      </c>
      <c r="P66" s="237" t="str">
        <f>IFERROR(GETPIVOTDATA("合計 / " &amp; $B66,【ピボット】国保連売上!$A$3,"年月",P$3,"事業所",$A66,"請求区分","単月")
+GETPIVOTDATA("合計 / " &amp; $B66,【ピボット】国保連売上!$A$3,"年月",P$3,"事業所",$A66,"請求区分","再請求"),"")</f>
        <v/>
      </c>
      <c r="Q66" s="242">
        <f>SUM(E66:P66)</f>
        <v>-433542</v>
      </c>
      <c r="R66" s="237">
        <f>IFERROR(AVERAGE(E66:P66),0)</f>
        <v>-86708.4</v>
      </c>
    </row>
    <row r="67" spans="1:18" ht="18" customHeight="1" x14ac:dyDescent="0.15">
      <c r="A67" s="1682" t="s">
        <v>1223</v>
      </c>
      <c r="B67" s="675" t="s">
        <v>555</v>
      </c>
      <c r="C67" s="2147"/>
      <c r="D67" s="247" t="s">
        <v>328</v>
      </c>
      <c r="E67" s="241" t="str">
        <f>IFERROR(GETPIVOTDATA("合計 / " &amp; $B67,【ピボット】国保連売上!$A$3,"年月",E$3,"事業所",$A67,"請求区分","単月")
+GETPIVOTDATA("合計 / " &amp; $B67,【ピボット】国保連売上!$A$3,"年月",E$3,"事業所",$A67,"請求区分","再請求"),"")</f>
        <v/>
      </c>
      <c r="F67" s="222" t="str">
        <f>IFERROR(GETPIVOTDATA("合計 / " &amp; $B67,【ピボット】国保連売上!$A$3,"年月",F$3,"事業所",$A67,"請求区分","単月")
+GETPIVOTDATA("合計 / " &amp; $B67,【ピボット】国保連売上!$A$3,"年月",F$3,"事業所",$A67,"請求区分","再請求"),"")</f>
        <v/>
      </c>
      <c r="G67" s="222" t="str">
        <f>IFERROR(GETPIVOTDATA("合計 / " &amp; $B67,【ピボット】国保連売上!$A$3,"年月",G$3,"事業所",$A67,"請求区分","単月")
+GETPIVOTDATA("合計 / " &amp; $B67,【ピボット】国保連売上!$A$3,"年月",G$3,"事業所",$A67,"請求区分","再請求"),"")</f>
        <v/>
      </c>
      <c r="H67" s="222" t="str">
        <f>IFERROR(GETPIVOTDATA("合計 / " &amp; $B67,【ピボット】国保連売上!$A$3,"年月",H$3,"事業所",$A67,"請求区分","単月")
+GETPIVOTDATA("合計 / " &amp; $B67,【ピボット】国保連売上!$A$3,"年月",H$3,"事業所",$A67,"請求区分","再請求"),"")</f>
        <v/>
      </c>
      <c r="I67" s="222" t="str">
        <f>IFERROR(GETPIVOTDATA("合計 / " &amp; $B67,【ピボット】国保連売上!$A$3,"年月",I$3,"事業所",$A67,"請求区分","単月")
+GETPIVOTDATA("合計 / " &amp; $B67,【ピボット】国保連売上!$A$3,"年月",I$3,"事業所",$A67,"請求区分","再請求"),"")</f>
        <v/>
      </c>
      <c r="J67" s="222">
        <f>IFERROR(GETPIVOTDATA("合計 / " &amp; $B67,【ピボット】国保連売上!$A$3,"年月",J$3,"事業所",$A67,"請求区分","単月")
+GETPIVOTDATA("合計 / " &amp; $B67,【ピボット】国保連売上!$A$3,"年月",J$3,"事業所",$A67,"請求区分","再請求"),"")</f>
        <v>1296188</v>
      </c>
      <c r="K67" s="222">
        <f>IFERROR(GETPIVOTDATA("合計 / " &amp; $B67,【ピボット】国保連売上!$A$3,"年月",K$3,"事業所",$A67,"請求区分","単月")
+GETPIVOTDATA("合計 / " &amp; $B67,【ピボット】国保連売上!$A$3,"年月",K$3,"事業所",$A67,"請求区分","再請求"),"")</f>
        <v>1595131</v>
      </c>
      <c r="L67" s="222">
        <f>IFERROR(GETPIVOTDATA("合計 / " &amp; $B67,【ピボット】国保連売上!$A$3,"年月",L$3,"事業所",$A67,"請求区分","単月")
+GETPIVOTDATA("合計 / " &amp; $B67,【ピボット】国保連売上!$A$3,"年月",L$3,"事業所",$A67,"請求区分","再請求"),"")</f>
        <v>1867332</v>
      </c>
      <c r="M67" s="222" t="str">
        <f>IFERROR(GETPIVOTDATA("合計 / " &amp; $B67,【ピボット】国保連売上!$A$3,"年月",M$3,"事業所",$A67,"請求区分","単月")
+GETPIVOTDATA("合計 / " &amp; $B67,【ピボット】国保連売上!$A$3,"年月",M$3,"事業所",$A67,"請求区分","再請求"),"")</f>
        <v/>
      </c>
      <c r="N67" s="222" t="str">
        <f>IFERROR(GETPIVOTDATA("合計 / " &amp; $B67,【ピボット】国保連売上!$A$3,"年月",N$3,"事業所",$A67,"請求区分","単月")
+GETPIVOTDATA("合計 / " &amp; $B67,【ピボット】国保連売上!$A$3,"年月",N$3,"事業所",$A67,"請求区分","再請求"),"")</f>
        <v/>
      </c>
      <c r="O67" s="222" t="str">
        <f>IFERROR(GETPIVOTDATA("合計 / " &amp; $B67,【ピボット】国保連売上!$A$3,"年月",O$3,"事業所",$A67,"請求区分","単月")
+GETPIVOTDATA("合計 / " &amp; $B67,【ピボット】国保連売上!$A$3,"年月",O$3,"事業所",$A67,"請求区分","再請求"),"")</f>
        <v/>
      </c>
      <c r="P67" s="223" t="str">
        <f>IFERROR(GETPIVOTDATA("合計 / " &amp; $B67,【ピボット】国保連売上!$A$3,"年月",P$3,"事業所",$A67,"請求区分","単月")
+GETPIVOTDATA("合計 / " &amp; $B67,【ピボット】国保連売上!$A$3,"年月",P$3,"事業所",$A67,"請求区分","再請求"),"")</f>
        <v/>
      </c>
      <c r="Q67" s="241">
        <f>SUM(E67:P67)</f>
        <v>4758651</v>
      </c>
      <c r="R67" s="223">
        <f>AVERAGE(E67:P67)</f>
        <v>1586217</v>
      </c>
    </row>
    <row r="68" spans="1:18" s="219" customFormat="1" ht="18" customHeight="1" x14ac:dyDescent="0.15">
      <c r="A68" s="1682" t="s">
        <v>1223</v>
      </c>
      <c r="C68" s="2147"/>
      <c r="D68" s="249" t="s">
        <v>317</v>
      </c>
      <c r="E68" s="243" t="str">
        <f t="shared" ref="E68:P68" si="25">IFERROR(E66/E64*-1,"")</f>
        <v/>
      </c>
      <c r="F68" s="238" t="str">
        <f t="shared" si="25"/>
        <v/>
      </c>
      <c r="G68" s="238" t="str">
        <f t="shared" si="25"/>
        <v/>
      </c>
      <c r="H68" s="238" t="str">
        <f t="shared" si="25"/>
        <v/>
      </c>
      <c r="I68" s="238" t="str">
        <f t="shared" si="25"/>
        <v/>
      </c>
      <c r="J68" s="238">
        <f t="shared" si="25"/>
        <v>0.13235375821751333</v>
      </c>
      <c r="K68" s="238">
        <f t="shared" si="25"/>
        <v>0.12879502858628428</v>
      </c>
      <c r="L68" s="238">
        <f t="shared" si="25"/>
        <v>0</v>
      </c>
      <c r="M68" s="238" t="str">
        <f t="shared" si="25"/>
        <v/>
      </c>
      <c r="N68" s="238" t="str">
        <f t="shared" si="25"/>
        <v/>
      </c>
      <c r="O68" s="238" t="str">
        <f t="shared" si="25"/>
        <v/>
      </c>
      <c r="P68" s="239" t="str">
        <f t="shared" si="25"/>
        <v/>
      </c>
      <c r="Q68" s="243">
        <f>Q66/Q64*-1</f>
        <v>8.3498822173983134E-2</v>
      </c>
      <c r="R68" s="239">
        <f>AVERAGE(E68:P68)</f>
        <v>8.7049595601265864E-2</v>
      </c>
    </row>
    <row r="69" spans="1:18" ht="18" customHeight="1" thickBot="1" x14ac:dyDescent="0.2">
      <c r="A69" s="1682" t="s">
        <v>1223</v>
      </c>
      <c r="B69" s="675" t="s">
        <v>26</v>
      </c>
      <c r="C69" s="2148"/>
      <c r="D69" s="250" t="s">
        <v>316</v>
      </c>
      <c r="E69" s="244">
        <f>IFERROR(GETPIVOTDATA("合計 / 売上",【ピボット】事業所収支!$A$3,"年月",E$3,"事業所",$A69),"")</f>
        <v>0</v>
      </c>
      <c r="F69" s="224" t="str">
        <f>IFERROR(GETPIVOTDATA("合計 / 売上",【ピボット】事業所収支!$A$3,"年月",F$3,"事業所",$A69),"")</f>
        <v/>
      </c>
      <c r="G69" s="224">
        <f>IFERROR(GETPIVOTDATA("合計 / 売上",【ピボット】事業所収支!$A$3,"年月",G$3,"事業所",$A69),"")</f>
        <v>16000</v>
      </c>
      <c r="H69" s="224">
        <f>IFERROR(GETPIVOTDATA("合計 / 売上",【ピボット】事業所収支!$A$3,"年月",H$3,"事業所",$A69),"")</f>
        <v>40000</v>
      </c>
      <c r="I69" s="224">
        <f>IFERROR(GETPIVOTDATA("合計 / 売上",【ピボット】事業所収支!$A$3,"年月",I$3,"事業所",$A69),"")</f>
        <v>40000</v>
      </c>
      <c r="J69" s="224">
        <f>IFERROR(GETPIVOTDATA("合計 / 売上",【ピボット】事業所収支!$A$3,"年月",J$3,"事業所",$A69),"")</f>
        <v>1476188</v>
      </c>
      <c r="K69" s="224">
        <f>IFERROR(GETPIVOTDATA("合計 / 売上",【ピボット】事業所収支!$A$3,"年月",K$3,"事業所",$A69),"")</f>
        <v>1775131</v>
      </c>
      <c r="L69" s="224">
        <f>IFERROR(GETPIVOTDATA("合計 / 売上",【ピボット】事業所収支!$A$3,"年月",L$3,"事業所",$A69),"")</f>
        <v>2077332</v>
      </c>
      <c r="M69" s="224" t="str">
        <f>IFERROR(GETPIVOTDATA("合計 / 売上",【ピボット】事業所収支!$A$3,"年月",M$3,"事業所",$A69),"")</f>
        <v/>
      </c>
      <c r="N69" s="224" t="str">
        <f>IFERROR(GETPIVOTDATA("合計 / 売上",【ピボット】事業所収支!$A$3,"年月",N$3,"事業所",$A69),"")</f>
        <v/>
      </c>
      <c r="O69" s="224" t="str">
        <f>IFERROR(GETPIVOTDATA("合計 / 売上",【ピボット】事業所収支!$A$3,"年月",O$3,"事業所",$A69),"")</f>
        <v/>
      </c>
      <c r="P69" s="225" t="str">
        <f>IFERROR(GETPIVOTDATA("合計 / 売上",【ピボット】事業所収支!$A$3,"年月",P$3,"事業所",$A69),"")</f>
        <v/>
      </c>
      <c r="Q69" s="244">
        <f>Q65-Q66</f>
        <v>6251735</v>
      </c>
      <c r="R69" s="225">
        <f>AVERAGE(E69:P69)</f>
        <v>774950.14285714284</v>
      </c>
    </row>
    <row r="70" spans="1:18" ht="18" customHeight="1" x14ac:dyDescent="0.15">
      <c r="A70" s="675" t="s">
        <v>788</v>
      </c>
      <c r="B70" s="675" t="s">
        <v>789</v>
      </c>
      <c r="C70" s="2150" t="s">
        <v>335</v>
      </c>
      <c r="D70" s="246" t="s">
        <v>319</v>
      </c>
      <c r="E70" s="240">
        <f>IFERROR(GETPIVOTDATA("合計 / " &amp; $B70,【ピボット】国保連売上!$A$3,"年月",E$3,"事業所",$A70,"請求区分","単月")
+GETPIVOTDATA("合計 / " &amp; $B70,【ピボット】国保連売上!$A$3,"年月",E$3,"事業所",$A70,"請求区分","再請求"),"")</f>
        <v>399221</v>
      </c>
      <c r="F70" s="220" t="str">
        <f>IFERROR(GETPIVOTDATA("合計 / " &amp; $B70,【ピボット】国保連売上!$A$3,"年月",F$3,"事業所",$A70,"請求区分","単月")
+GETPIVOTDATA("合計 / " &amp; $B70,【ピボット】国保連売上!$A$3,"年月",F$3,"事業所",$A70,"請求区分","再請求"),"")</f>
        <v/>
      </c>
      <c r="G70" s="220" t="str">
        <f>IFERROR(GETPIVOTDATA("合計 / " &amp; $B70,【ピボット】国保連売上!$A$3,"年月",G$3,"事業所",$A70,"請求区分","単月")
+GETPIVOTDATA("合計 / " &amp; $B70,【ピボット】国保連売上!$A$3,"年月",G$3,"事業所",$A70,"請求区分","再請求"),"")</f>
        <v/>
      </c>
      <c r="H70" s="220" t="str">
        <f>IFERROR(GETPIVOTDATA("合計 / " &amp; $B70,【ピボット】国保連売上!$A$3,"年月",H$3,"事業所",$A70,"請求区分","単月")
+GETPIVOTDATA("合計 / " &amp; $B70,【ピボット】国保連売上!$A$3,"年月",H$3,"事業所",$A70,"請求区分","再請求"),"")</f>
        <v/>
      </c>
      <c r="I70" s="220" t="str">
        <f>IFERROR(GETPIVOTDATA("合計 / " &amp; $B70,【ピボット】国保連売上!$A$3,"年月",I$3,"事業所",$A70,"請求区分","単月")
+GETPIVOTDATA("合計 / " &amp; $B70,【ピボット】国保連売上!$A$3,"年月",I$3,"事業所",$A70,"請求区分","再請求"),"")</f>
        <v/>
      </c>
      <c r="J70" s="220" t="str">
        <f>IFERROR(GETPIVOTDATA("合計 / " &amp; $B70,【ピボット】国保連売上!$A$3,"年月",J$3,"事業所",$A70,"請求区分","単月")
+GETPIVOTDATA("合計 / " &amp; $B70,【ピボット】国保連売上!$A$3,"年月",J$3,"事業所",$A70,"請求区分","再請求"),"")</f>
        <v/>
      </c>
      <c r="K70" s="220" t="str">
        <f>IFERROR(GETPIVOTDATA("合計 / " &amp; $B70,【ピボット】国保連売上!$A$3,"年月",K$3,"事業所",$A70,"請求区分","単月")
+GETPIVOTDATA("合計 / " &amp; $B70,【ピボット】国保連売上!$A$3,"年月",K$3,"事業所",$A70,"請求区分","再請求"),"")</f>
        <v/>
      </c>
      <c r="L70" s="220" t="str">
        <f>IFERROR(GETPIVOTDATA("合計 / " &amp; $B70,【ピボット】国保連売上!$A$3,"年月",L$3,"事業所",$A70,"請求区分","単月")
+GETPIVOTDATA("合計 / " &amp; $B70,【ピボット】国保連売上!$A$3,"年月",L$3,"事業所",$A70,"請求区分","再請求"),"")</f>
        <v/>
      </c>
      <c r="M70" s="220" t="str">
        <f>IFERROR(GETPIVOTDATA("合計 / " &amp; $B70,【ピボット】国保連売上!$A$3,"年月",M$3,"事業所",$A70,"請求区分","単月")
+GETPIVOTDATA("合計 / " &amp; $B70,【ピボット】国保連売上!$A$3,"年月",M$3,"事業所",$A70,"請求区分","再請求"),"")</f>
        <v/>
      </c>
      <c r="N70" s="220" t="str">
        <f>IFERROR(GETPIVOTDATA("合計 / " &amp; $B70,【ピボット】国保連売上!$A$3,"年月",N$3,"事業所",$A70,"請求区分","単月")
+GETPIVOTDATA("合計 / " &amp; $B70,【ピボット】国保連売上!$A$3,"年月",N$3,"事業所",$A70,"請求区分","再請求"),"")</f>
        <v/>
      </c>
      <c r="O70" s="220" t="str">
        <f>IFERROR(GETPIVOTDATA("合計 / " &amp; $B70,【ピボット】国保連売上!$A$3,"年月",O$3,"事業所",$A70,"請求区分","単月")
+GETPIVOTDATA("合計 / " &amp; $B70,【ピボット】国保連売上!$A$3,"年月",O$3,"事業所",$A70,"請求区分","再請求"),"")</f>
        <v/>
      </c>
      <c r="P70" s="221" t="str">
        <f>IFERROR(GETPIVOTDATA("合計 / " &amp; $B70,【ピボット】国保連売上!$A$3,"年月",P$3,"事業所",$A70,"請求区分","単月")
+GETPIVOTDATA("合計 / " &amp; $B70,【ピボット】国保連売上!$A$3,"年月",P$3,"事業所",$A70,"請求区分","再請求"),"")</f>
        <v/>
      </c>
      <c r="Q70" s="240">
        <f>SUM(E70:P70)</f>
        <v>399221</v>
      </c>
      <c r="R70" s="221">
        <f t="shared" ref="R70:R75" si="26">AVERAGE(E70:P70)</f>
        <v>399221</v>
      </c>
    </row>
    <row r="71" spans="1:18" ht="18" customHeight="1" x14ac:dyDescent="0.15">
      <c r="A71" s="675" t="s">
        <v>788</v>
      </c>
      <c r="B71" s="675" t="s">
        <v>26</v>
      </c>
      <c r="C71" s="2147"/>
      <c r="D71" s="247" t="s">
        <v>318</v>
      </c>
      <c r="E71" s="241">
        <f t="shared" ref="E71:P71" si="27">IFERROR(E75-E72,"")</f>
        <v>1128956</v>
      </c>
      <c r="F71" s="222" t="str">
        <f t="shared" si="27"/>
        <v/>
      </c>
      <c r="G71" s="222" t="str">
        <f t="shared" si="27"/>
        <v/>
      </c>
      <c r="H71" s="222" t="str">
        <f t="shared" si="27"/>
        <v/>
      </c>
      <c r="I71" s="222" t="str">
        <f t="shared" si="27"/>
        <v/>
      </c>
      <c r="J71" s="222" t="str">
        <f t="shared" si="27"/>
        <v/>
      </c>
      <c r="K71" s="222" t="str">
        <f t="shared" si="27"/>
        <v/>
      </c>
      <c r="L71" s="222" t="str">
        <f t="shared" si="27"/>
        <v/>
      </c>
      <c r="M71" s="222" t="str">
        <f t="shared" si="27"/>
        <v/>
      </c>
      <c r="N71" s="222" t="str">
        <f t="shared" si="27"/>
        <v/>
      </c>
      <c r="O71" s="222" t="str">
        <f t="shared" si="27"/>
        <v/>
      </c>
      <c r="P71" s="223" t="str">
        <f t="shared" si="27"/>
        <v/>
      </c>
      <c r="Q71" s="241">
        <f>SUM(E71:P71)</f>
        <v>1128956</v>
      </c>
      <c r="R71" s="223">
        <f t="shared" si="26"/>
        <v>1128956</v>
      </c>
    </row>
    <row r="72" spans="1:18" ht="18" customHeight="1" x14ac:dyDescent="0.15">
      <c r="A72" s="675" t="s">
        <v>788</v>
      </c>
      <c r="B72" s="675" t="s">
        <v>790</v>
      </c>
      <c r="C72" s="2147"/>
      <c r="D72" s="248" t="s">
        <v>327</v>
      </c>
      <c r="E72" s="242">
        <f>IFERROR(GETPIVOTDATA("合計 / " &amp; $B72,【ピボット】国保連売上!$A$3,"年月",E$3,"事業所",$A72,"請求区分","単月")
+GETPIVOTDATA("合計 / " &amp; $B72,【ピボット】国保連売上!$A$3,"年月",E$3,"事業所",$A72,"請求区分","再請求"),"")</f>
        <v>0</v>
      </c>
      <c r="F72" s="236" t="str">
        <f>IFERROR(GETPIVOTDATA("合計 / " &amp; $B72,【ピボット】国保連売上!$A$3,"年月",F$3,"事業所",$A72,"請求区分","単月")
+GETPIVOTDATA("合計 / " &amp; $B72,【ピボット】国保連売上!$A$3,"年月",F$3,"事業所",$A72,"請求区分","再請求"),"")</f>
        <v/>
      </c>
      <c r="G72" s="236" t="str">
        <f>IFERROR(GETPIVOTDATA("合計 / " &amp; $B72,【ピボット】国保連売上!$A$3,"年月",G$3,"事業所",$A72,"請求区分","単月")
+GETPIVOTDATA("合計 / " &amp; $B72,【ピボット】国保連売上!$A$3,"年月",G$3,"事業所",$A72,"請求区分","再請求"),"")</f>
        <v/>
      </c>
      <c r="H72" s="236" t="str">
        <f>IFERROR(GETPIVOTDATA("合計 / " &amp; $B72,【ピボット】国保連売上!$A$3,"年月",H$3,"事業所",$A72,"請求区分","単月")
+GETPIVOTDATA("合計 / " &amp; $B72,【ピボット】国保連売上!$A$3,"年月",H$3,"事業所",$A72,"請求区分","再請求"),"")</f>
        <v/>
      </c>
      <c r="I72" s="236" t="str">
        <f>IFERROR(GETPIVOTDATA("合計 / " &amp; $B72,【ピボット】国保連売上!$A$3,"年月",I$3,"事業所",$A72,"請求区分","単月")
+GETPIVOTDATA("合計 / " &amp; $B72,【ピボット】国保連売上!$A$3,"年月",I$3,"事業所",$A72,"請求区分","再請求"),"")</f>
        <v/>
      </c>
      <c r="J72" s="236" t="str">
        <f>IFERROR(GETPIVOTDATA("合計 / " &amp; $B72,【ピボット】国保連売上!$A$3,"年月",J$3,"事業所",$A72,"請求区分","単月")
+GETPIVOTDATA("合計 / " &amp; $B72,【ピボット】国保連売上!$A$3,"年月",J$3,"事業所",$A72,"請求区分","再請求"),"")</f>
        <v/>
      </c>
      <c r="K72" s="236" t="str">
        <f>IFERROR(GETPIVOTDATA("合計 / " &amp; $B72,【ピボット】国保連売上!$A$3,"年月",K$3,"事業所",$A72,"請求区分","単月")
+GETPIVOTDATA("合計 / " &amp; $B72,【ピボット】国保連売上!$A$3,"年月",K$3,"事業所",$A72,"請求区分","再請求"),"")</f>
        <v/>
      </c>
      <c r="L72" s="236" t="str">
        <f>IFERROR(GETPIVOTDATA("合計 / " &amp; $B72,【ピボット】国保連売上!$A$3,"年月",L$3,"事業所",$A72,"請求区分","単月")
+GETPIVOTDATA("合計 / " &amp; $B72,【ピボット】国保連売上!$A$3,"年月",L$3,"事業所",$A72,"請求区分","再請求"),"")</f>
        <v/>
      </c>
      <c r="M72" s="236" t="str">
        <f>IFERROR(GETPIVOTDATA("合計 / " &amp; $B72,【ピボット】国保連売上!$A$3,"年月",M$3,"事業所",$A72,"請求区分","単月")
+GETPIVOTDATA("合計 / " &amp; $B72,【ピボット】国保連売上!$A$3,"年月",M$3,"事業所",$A72,"請求区分","再請求"),"")</f>
        <v/>
      </c>
      <c r="N72" s="236" t="str">
        <f>IFERROR(GETPIVOTDATA("合計 / " &amp; $B72,【ピボット】国保連売上!$A$3,"年月",N$3,"事業所",$A72,"請求区分","単月")
+GETPIVOTDATA("合計 / " &amp; $B72,【ピボット】国保連売上!$A$3,"年月",N$3,"事業所",$A72,"請求区分","再請求"),"")</f>
        <v/>
      </c>
      <c r="O72" s="236" t="str">
        <f>IFERROR(GETPIVOTDATA("合計 / " &amp; $B72,【ピボット】国保連売上!$A$3,"年月",O$3,"事業所",$A72,"請求区分","単月")
+GETPIVOTDATA("合計 / " &amp; $B72,【ピボット】国保連売上!$A$3,"年月",O$3,"事業所",$A72,"請求区分","再請求"),"")</f>
        <v/>
      </c>
      <c r="P72" s="237" t="str">
        <f>IFERROR(GETPIVOTDATA("合計 / " &amp; $B72,【ピボット】国保連売上!$A$3,"年月",P$3,"事業所",$A72,"請求区分","単月")
+GETPIVOTDATA("合計 / " &amp; $B72,【ピボット】国保連売上!$A$3,"年月",P$3,"事業所",$A72,"請求区分","再請求"),"")</f>
        <v/>
      </c>
      <c r="Q72" s="242">
        <f>SUM(E72:P72)</f>
        <v>0</v>
      </c>
      <c r="R72" s="237">
        <f>IFERROR(AVERAGE(E72:P72),0)</f>
        <v>0</v>
      </c>
    </row>
    <row r="73" spans="1:18" ht="18" customHeight="1" x14ac:dyDescent="0.15">
      <c r="A73" s="675" t="s">
        <v>788</v>
      </c>
      <c r="B73" s="675" t="s">
        <v>871</v>
      </c>
      <c r="C73" s="2147"/>
      <c r="D73" s="247" t="s">
        <v>328</v>
      </c>
      <c r="E73" s="241">
        <f>IFERROR(GETPIVOTDATA("合計 / " &amp; $B73,【ピボット】国保連売上!$A$3,"年月",E$3,"事業所",$A73,"請求区分","単月")
+GETPIVOTDATA("合計 / " &amp; $B73,【ピボット】国保連売上!$A$3,"年月",E$3,"事業所",$A73,"請求区分","再請求"),"")</f>
        <v>399221</v>
      </c>
      <c r="F73" s="222" t="str">
        <f>IFERROR(GETPIVOTDATA("合計 / " &amp; $B73,【ピボット】国保連売上!$A$3,"年月",F$3,"事業所",$A73,"請求区分","単月")
+GETPIVOTDATA("合計 / " &amp; $B73,【ピボット】国保連売上!$A$3,"年月",F$3,"事業所",$A73,"請求区分","再請求"),"")</f>
        <v/>
      </c>
      <c r="G73" s="222" t="str">
        <f>IFERROR(GETPIVOTDATA("合計 / " &amp; $B73,【ピボット】国保連売上!$A$3,"年月",G$3,"事業所",$A73,"請求区分","単月")
+GETPIVOTDATA("合計 / " &amp; $B73,【ピボット】国保連売上!$A$3,"年月",G$3,"事業所",$A73,"請求区分","再請求"),"")</f>
        <v/>
      </c>
      <c r="H73" s="222" t="str">
        <f>IFERROR(GETPIVOTDATA("合計 / " &amp; $B73,【ピボット】国保連売上!$A$3,"年月",H$3,"事業所",$A73,"請求区分","単月")
+GETPIVOTDATA("合計 / " &amp; $B73,【ピボット】国保連売上!$A$3,"年月",H$3,"事業所",$A73,"請求区分","再請求"),"")</f>
        <v/>
      </c>
      <c r="I73" s="222" t="str">
        <f>IFERROR(GETPIVOTDATA("合計 / " &amp; $B73,【ピボット】国保連売上!$A$3,"年月",I$3,"事業所",$A73,"請求区分","単月")
+GETPIVOTDATA("合計 / " &amp; $B73,【ピボット】国保連売上!$A$3,"年月",I$3,"事業所",$A73,"請求区分","再請求"),"")</f>
        <v/>
      </c>
      <c r="J73" s="222" t="str">
        <f>IFERROR(GETPIVOTDATA("合計 / " &amp; $B73,【ピボット】国保連売上!$A$3,"年月",J$3,"事業所",$A73,"請求区分","単月")
+GETPIVOTDATA("合計 / " &amp; $B73,【ピボット】国保連売上!$A$3,"年月",J$3,"事業所",$A73,"請求区分","再請求"),"")</f>
        <v/>
      </c>
      <c r="K73" s="222" t="str">
        <f>IFERROR(GETPIVOTDATA("合計 / " &amp; $B73,【ピボット】国保連売上!$A$3,"年月",K$3,"事業所",$A73,"請求区分","単月")
+GETPIVOTDATA("合計 / " &amp; $B73,【ピボット】国保連売上!$A$3,"年月",K$3,"事業所",$A73,"請求区分","再請求"),"")</f>
        <v/>
      </c>
      <c r="L73" s="222" t="str">
        <f>IFERROR(GETPIVOTDATA("合計 / " &amp; $B73,【ピボット】国保連売上!$A$3,"年月",L$3,"事業所",$A73,"請求区分","単月")
+GETPIVOTDATA("合計 / " &amp; $B73,【ピボット】国保連売上!$A$3,"年月",L$3,"事業所",$A73,"請求区分","再請求"),"")</f>
        <v/>
      </c>
      <c r="M73" s="222" t="str">
        <f>IFERROR(GETPIVOTDATA("合計 / " &amp; $B73,【ピボット】国保連売上!$A$3,"年月",M$3,"事業所",$A73,"請求区分","単月")
+GETPIVOTDATA("合計 / " &amp; $B73,【ピボット】国保連売上!$A$3,"年月",M$3,"事業所",$A73,"請求区分","再請求"),"")</f>
        <v/>
      </c>
      <c r="N73" s="222" t="str">
        <f>IFERROR(GETPIVOTDATA("合計 / " &amp; $B73,【ピボット】国保連売上!$A$3,"年月",N$3,"事業所",$A73,"請求区分","単月")
+GETPIVOTDATA("合計 / " &amp; $B73,【ピボット】国保連売上!$A$3,"年月",N$3,"事業所",$A73,"請求区分","再請求"),"")</f>
        <v/>
      </c>
      <c r="O73" s="222" t="str">
        <f>IFERROR(GETPIVOTDATA("合計 / " &amp; $B73,【ピボット】国保連売上!$A$3,"年月",O$3,"事業所",$A73,"請求区分","単月")
+GETPIVOTDATA("合計 / " &amp; $B73,【ピボット】国保連売上!$A$3,"年月",O$3,"事業所",$A73,"請求区分","再請求"),"")</f>
        <v/>
      </c>
      <c r="P73" s="223" t="str">
        <f>IFERROR(GETPIVOTDATA("合計 / " &amp; $B73,【ピボット】国保連売上!$A$3,"年月",P$3,"事業所",$A73,"請求区分","単月")
+GETPIVOTDATA("合計 / " &amp; $B73,【ピボット】国保連売上!$A$3,"年月",P$3,"事業所",$A73,"請求区分","再請求"),"")</f>
        <v/>
      </c>
      <c r="Q73" s="241">
        <f>SUM(E73:P73)</f>
        <v>399221</v>
      </c>
      <c r="R73" s="223">
        <f t="shared" si="26"/>
        <v>399221</v>
      </c>
    </row>
    <row r="74" spans="1:18" s="219" customFormat="1" ht="18" customHeight="1" x14ac:dyDescent="0.15">
      <c r="A74" s="675" t="s">
        <v>788</v>
      </c>
      <c r="C74" s="2147"/>
      <c r="D74" s="249" t="s">
        <v>317</v>
      </c>
      <c r="E74" s="243">
        <f t="shared" ref="E74:P74" si="28">IFERROR(E72/E70*-1,"")</f>
        <v>0</v>
      </c>
      <c r="F74" s="238" t="str">
        <f t="shared" si="28"/>
        <v/>
      </c>
      <c r="G74" s="238" t="str">
        <f t="shared" si="28"/>
        <v/>
      </c>
      <c r="H74" s="238" t="str">
        <f t="shared" si="28"/>
        <v/>
      </c>
      <c r="I74" s="238" t="str">
        <f t="shared" si="28"/>
        <v/>
      </c>
      <c r="J74" s="238" t="str">
        <f t="shared" si="28"/>
        <v/>
      </c>
      <c r="K74" s="238" t="str">
        <f t="shared" si="28"/>
        <v/>
      </c>
      <c r="L74" s="238" t="str">
        <f t="shared" si="28"/>
        <v/>
      </c>
      <c r="M74" s="238" t="str">
        <f t="shared" si="28"/>
        <v/>
      </c>
      <c r="N74" s="238" t="str">
        <f t="shared" si="28"/>
        <v/>
      </c>
      <c r="O74" s="238" t="str">
        <f t="shared" si="28"/>
        <v/>
      </c>
      <c r="P74" s="239" t="str">
        <f t="shared" si="28"/>
        <v/>
      </c>
      <c r="Q74" s="243">
        <f>Q72/Q70*-1</f>
        <v>0</v>
      </c>
      <c r="R74" s="239">
        <f t="shared" si="26"/>
        <v>0</v>
      </c>
    </row>
    <row r="75" spans="1:18" ht="18" customHeight="1" thickBot="1" x14ac:dyDescent="0.2">
      <c r="A75" s="675" t="s">
        <v>788</v>
      </c>
      <c r="B75" s="675" t="s">
        <v>792</v>
      </c>
      <c r="C75" s="2148"/>
      <c r="D75" s="250" t="s">
        <v>316</v>
      </c>
      <c r="E75" s="244">
        <f>IFERROR(GETPIVOTDATA("合計 / 売上",【ピボット】事業所収支!$A$3,"年月",E$3,"事業所",$A75),"")</f>
        <v>1128956</v>
      </c>
      <c r="F75" s="224" t="str">
        <f>IFERROR(GETPIVOTDATA("合計 / 売上",【ピボット】事業所収支!$A$3,"年月",F$3,"事業所",$A75),"")</f>
        <v/>
      </c>
      <c r="G75" s="224">
        <f>IFERROR(GETPIVOTDATA("合計 / 売上",【ピボット】事業所収支!$A$3,"年月",G$3,"事業所",$A75),"")</f>
        <v>0</v>
      </c>
      <c r="H75" s="224" t="str">
        <f>IFERROR(GETPIVOTDATA("合計 / 売上",【ピボット】事業所収支!$A$3,"年月",H$3,"事業所",$A75),"")</f>
        <v/>
      </c>
      <c r="I75" s="224" t="str">
        <f>IFERROR(GETPIVOTDATA("合計 / 売上",【ピボット】事業所収支!$A$3,"年月",I$3,"事業所",$A75),"")</f>
        <v/>
      </c>
      <c r="J75" s="224" t="str">
        <f>IFERROR(GETPIVOTDATA("合計 / 売上",【ピボット】事業所収支!$A$3,"年月",J$3,"事業所",$A75),"")</f>
        <v/>
      </c>
      <c r="K75" s="224" t="str">
        <f>IFERROR(GETPIVOTDATA("合計 / 売上",【ピボット】事業所収支!$A$3,"年月",K$3,"事業所",$A75),"")</f>
        <v/>
      </c>
      <c r="L75" s="224" t="str">
        <f>IFERROR(GETPIVOTDATA("合計 / 売上",【ピボット】事業所収支!$A$3,"年月",L$3,"事業所",$A75),"")</f>
        <v/>
      </c>
      <c r="M75" s="224" t="str">
        <f>IFERROR(GETPIVOTDATA("合計 / 売上",【ピボット】事業所収支!$A$3,"年月",M$3,"事業所",$A75),"")</f>
        <v/>
      </c>
      <c r="N75" s="224" t="str">
        <f>IFERROR(GETPIVOTDATA("合計 / 売上",【ピボット】事業所収支!$A$3,"年月",N$3,"事業所",$A75),"")</f>
        <v/>
      </c>
      <c r="O75" s="224" t="str">
        <f>IFERROR(GETPIVOTDATA("合計 / 売上",【ピボット】事業所収支!$A$3,"年月",O$3,"事業所",$A75),"")</f>
        <v/>
      </c>
      <c r="P75" s="225" t="str">
        <f>IFERROR(GETPIVOTDATA("合計 / 売上",【ピボット】事業所収支!$A$3,"年月",P$3,"事業所",$A75),"")</f>
        <v/>
      </c>
      <c r="Q75" s="244">
        <f>Q71-Q72</f>
        <v>1128956</v>
      </c>
      <c r="R75" s="225">
        <f t="shared" si="26"/>
        <v>564478</v>
      </c>
    </row>
    <row r="76" spans="1:18" ht="18" customHeight="1" x14ac:dyDescent="0.15">
      <c r="C76" s="2146" t="s">
        <v>149</v>
      </c>
      <c r="D76" s="246" t="s">
        <v>319</v>
      </c>
      <c r="E76" s="240">
        <f>IF(SUM(E4,E10,E16,E22,E28,E34,E40,E46,E52,E58,E64,E70)=0,"",SUM(E4,E10,E16,E22,E28,E34,E40,E46,E52,E58,E64,E70))</f>
        <v>35716438</v>
      </c>
      <c r="F76" s="220">
        <f t="shared" ref="F76:P76" si="29">IF(SUM(F4,F10,F16,F22,F28,F34,F40,F46,F52,F58,F64,F70)=0,"",SUM(F4,F10,F16,F22,F28,F34,F40,F46,F52,F58,F64,F70))</f>
        <v>40229538</v>
      </c>
      <c r="G76" s="220">
        <f t="shared" si="29"/>
        <v>40485068</v>
      </c>
      <c r="H76" s="220">
        <f t="shared" si="29"/>
        <v>37859966</v>
      </c>
      <c r="I76" s="220">
        <f t="shared" si="29"/>
        <v>37402989</v>
      </c>
      <c r="J76" s="220">
        <f t="shared" si="29"/>
        <v>36277719</v>
      </c>
      <c r="K76" s="220">
        <f t="shared" si="29"/>
        <v>38249866</v>
      </c>
      <c r="L76" s="220">
        <f t="shared" si="29"/>
        <v>38632844</v>
      </c>
      <c r="M76" s="220" t="str">
        <f t="shared" si="29"/>
        <v/>
      </c>
      <c r="N76" s="220" t="str">
        <f t="shared" si="29"/>
        <v/>
      </c>
      <c r="O76" s="220" t="str">
        <f t="shared" si="29"/>
        <v/>
      </c>
      <c r="P76" s="221" t="str">
        <f t="shared" si="29"/>
        <v/>
      </c>
      <c r="Q76" s="240">
        <f>SUM(E76:P76)</f>
        <v>304854428</v>
      </c>
      <c r="R76" s="221">
        <f>AVERAGE(E76:P76)</f>
        <v>38106803.5</v>
      </c>
    </row>
    <row r="77" spans="1:18" ht="18" customHeight="1" x14ac:dyDescent="0.15">
      <c r="C77" s="2147"/>
      <c r="D77" s="247" t="s">
        <v>318</v>
      </c>
      <c r="E77" s="241">
        <f>IF(E$76="","",SUM(E5,E11,E17,E23,E29,E35,E41,E47,E53,E59,E65,E71))</f>
        <v>38861453</v>
      </c>
      <c r="F77" s="222">
        <f t="shared" ref="F77:P77" si="30">IF(F$76="","",SUM(F5,F11,F17,F23,F29,F35,F41,F47,F53,F59,F65,F71))</f>
        <v>43418516</v>
      </c>
      <c r="G77" s="222">
        <f t="shared" si="30"/>
        <v>43599004</v>
      </c>
      <c r="H77" s="222">
        <f t="shared" si="30"/>
        <v>41009524</v>
      </c>
      <c r="I77" s="222">
        <f t="shared" si="30"/>
        <v>40807567</v>
      </c>
      <c r="J77" s="222">
        <f t="shared" si="30"/>
        <v>39435253</v>
      </c>
      <c r="K77" s="222">
        <f t="shared" si="30"/>
        <v>41341270</v>
      </c>
      <c r="L77" s="222">
        <f t="shared" si="30"/>
        <v>41864718</v>
      </c>
      <c r="M77" s="222" t="str">
        <f t="shared" si="30"/>
        <v/>
      </c>
      <c r="N77" s="222" t="str">
        <f t="shared" si="30"/>
        <v/>
      </c>
      <c r="O77" s="222" t="str">
        <f t="shared" si="30"/>
        <v/>
      </c>
      <c r="P77" s="223" t="str">
        <f t="shared" si="30"/>
        <v/>
      </c>
      <c r="Q77" s="241">
        <f>SUM(E77:P77)</f>
        <v>330337305</v>
      </c>
      <c r="R77" s="223">
        <f>AVERAGE(E77:P77)</f>
        <v>41292163.125</v>
      </c>
    </row>
    <row r="78" spans="1:18" ht="18" customHeight="1" x14ac:dyDescent="0.15">
      <c r="C78" s="2147"/>
      <c r="D78" s="248" t="s">
        <v>327</v>
      </c>
      <c r="E78" s="242">
        <f t="shared" ref="E78:P79" si="31">IF(E$76="","",SUM(E6,E12,E18,E24,E30,E36,E42,E48,E54,E60,E66,E72))</f>
        <v>-1339962</v>
      </c>
      <c r="F78" s="236">
        <f t="shared" si="31"/>
        <v>-2196724</v>
      </c>
      <c r="G78" s="236">
        <f t="shared" si="31"/>
        <v>-1334151</v>
      </c>
      <c r="H78" s="236">
        <f t="shared" si="31"/>
        <v>-724986</v>
      </c>
      <c r="I78" s="236">
        <f t="shared" si="31"/>
        <v>-865290</v>
      </c>
      <c r="J78" s="236">
        <f t="shared" si="31"/>
        <v>-744803</v>
      </c>
      <c r="K78" s="236">
        <f t="shared" si="31"/>
        <v>-1438577</v>
      </c>
      <c r="L78" s="236">
        <f t="shared" si="31"/>
        <v>0</v>
      </c>
      <c r="M78" s="236" t="str">
        <f t="shared" si="31"/>
        <v/>
      </c>
      <c r="N78" s="236" t="str">
        <f t="shared" si="31"/>
        <v/>
      </c>
      <c r="O78" s="236" t="str">
        <f t="shared" si="31"/>
        <v/>
      </c>
      <c r="P78" s="236" t="str">
        <f t="shared" si="31"/>
        <v/>
      </c>
      <c r="Q78" s="242">
        <f>SUM(E78:P78)</f>
        <v>-8644493</v>
      </c>
      <c r="R78" s="237">
        <f>IFERROR(AVERAGE(E78:P78),0)</f>
        <v>-1080561.625</v>
      </c>
    </row>
    <row r="79" spans="1:18" ht="18" customHeight="1" x14ac:dyDescent="0.15">
      <c r="C79" s="2147"/>
      <c r="D79" s="247" t="s">
        <v>328</v>
      </c>
      <c r="E79" s="241">
        <f t="shared" si="31"/>
        <v>34376476</v>
      </c>
      <c r="F79" s="222">
        <f t="shared" si="31"/>
        <v>38032814</v>
      </c>
      <c r="G79" s="222">
        <f t="shared" si="31"/>
        <v>39150917</v>
      </c>
      <c r="H79" s="222">
        <f t="shared" si="31"/>
        <v>37134980</v>
      </c>
      <c r="I79" s="222">
        <f t="shared" si="31"/>
        <v>36537699</v>
      </c>
      <c r="J79" s="222">
        <f t="shared" si="31"/>
        <v>35532916</v>
      </c>
      <c r="K79" s="222">
        <f t="shared" si="31"/>
        <v>36811289</v>
      </c>
      <c r="L79" s="222">
        <f t="shared" si="31"/>
        <v>38632844</v>
      </c>
      <c r="M79" s="222" t="str">
        <f t="shared" si="31"/>
        <v/>
      </c>
      <c r="N79" s="222" t="str">
        <f t="shared" si="31"/>
        <v/>
      </c>
      <c r="O79" s="222" t="str">
        <f t="shared" si="31"/>
        <v/>
      </c>
      <c r="P79" s="222" t="str">
        <f t="shared" si="31"/>
        <v/>
      </c>
      <c r="Q79" s="241">
        <f>SUM(E79:P79)</f>
        <v>296209935</v>
      </c>
      <c r="R79" s="223">
        <f>AVERAGE(E79:P79)</f>
        <v>37026241.875</v>
      </c>
    </row>
    <row r="80" spans="1:18" s="219" customFormat="1" ht="18" customHeight="1" x14ac:dyDescent="0.15">
      <c r="C80" s="2147"/>
      <c r="D80" s="249" t="s">
        <v>317</v>
      </c>
      <c r="E80" s="243">
        <f>IFERROR(E78/E76*-1,"")</f>
        <v>3.7516675095092072E-2</v>
      </c>
      <c r="F80" s="238">
        <f t="shared" ref="F80:P80" si="32">IFERROR(F78/F76*-1,"")</f>
        <v>5.4604753353120782E-2</v>
      </c>
      <c r="G80" s="238">
        <f t="shared" si="32"/>
        <v>3.2954149910282969E-2</v>
      </c>
      <c r="H80" s="238">
        <f t="shared" si="32"/>
        <v>1.9149145564473037E-2</v>
      </c>
      <c r="I80" s="238">
        <f t="shared" si="32"/>
        <v>2.3134247372582979E-2</v>
      </c>
      <c r="J80" s="238">
        <f t="shared" si="32"/>
        <v>2.0530590691217383E-2</v>
      </c>
      <c r="K80" s="238">
        <f t="shared" si="32"/>
        <v>3.7609987967016666E-2</v>
      </c>
      <c r="L80" s="238">
        <f t="shared" si="32"/>
        <v>0</v>
      </c>
      <c r="M80" s="238" t="str">
        <f t="shared" si="32"/>
        <v/>
      </c>
      <c r="N80" s="238" t="str">
        <f t="shared" si="32"/>
        <v/>
      </c>
      <c r="O80" s="238" t="str">
        <f t="shared" si="32"/>
        <v/>
      </c>
      <c r="P80" s="239" t="str">
        <f t="shared" si="32"/>
        <v/>
      </c>
      <c r="Q80" s="243">
        <f>Q78/Q76*-1</f>
        <v>2.8356133964372005E-2</v>
      </c>
      <c r="R80" s="239">
        <f>AVERAGE(E80:P80)</f>
        <v>2.8187443744223238E-2</v>
      </c>
    </row>
    <row r="81" spans="3:18" ht="18" customHeight="1" thickBot="1" x14ac:dyDescent="0.2">
      <c r="C81" s="2148"/>
      <c r="D81" s="250" t="s">
        <v>316</v>
      </c>
      <c r="E81" s="244">
        <f>IF(E$76="","",SUM(E9,E15,E21,E27,E33,E39,E45,E51,E57,E63,E69,E75))</f>
        <v>37521491</v>
      </c>
      <c r="F81" s="224">
        <f t="shared" ref="F81:P81" si="33">IF(F$76="","",SUM(F9,F15,F21,F27,F33,F39,F45,F51,F57,F63,F69,F75))</f>
        <v>41221792</v>
      </c>
      <c r="G81" s="224">
        <f t="shared" si="33"/>
        <v>42264853</v>
      </c>
      <c r="H81" s="224">
        <f t="shared" si="33"/>
        <v>40284538</v>
      </c>
      <c r="I81" s="224">
        <f t="shared" si="33"/>
        <v>39982277</v>
      </c>
      <c r="J81" s="224">
        <f t="shared" si="33"/>
        <v>38690450</v>
      </c>
      <c r="K81" s="224">
        <f t="shared" si="33"/>
        <v>39902693</v>
      </c>
      <c r="L81" s="224">
        <f t="shared" si="33"/>
        <v>41864718</v>
      </c>
      <c r="M81" s="224" t="str">
        <f t="shared" si="33"/>
        <v/>
      </c>
      <c r="N81" s="224" t="str">
        <f t="shared" si="33"/>
        <v/>
      </c>
      <c r="O81" s="224" t="str">
        <f t="shared" si="33"/>
        <v/>
      </c>
      <c r="P81" s="224" t="str">
        <f t="shared" si="33"/>
        <v/>
      </c>
      <c r="Q81" s="244">
        <f>Q77-Q78</f>
        <v>338981798</v>
      </c>
      <c r="R81" s="225">
        <f>AVERAGE(E81:P81)</f>
        <v>40216601.5</v>
      </c>
    </row>
  </sheetData>
  <mergeCells count="14">
    <mergeCell ref="C1:E1"/>
    <mergeCell ref="C4:C9"/>
    <mergeCell ref="C10:C15"/>
    <mergeCell ref="C16:C21"/>
    <mergeCell ref="C34:C39"/>
    <mergeCell ref="C22:C27"/>
    <mergeCell ref="C28:C33"/>
    <mergeCell ref="C76:C81"/>
    <mergeCell ref="C40:C45"/>
    <mergeCell ref="C46:C51"/>
    <mergeCell ref="C52:C57"/>
    <mergeCell ref="C58:C63"/>
    <mergeCell ref="C70:C75"/>
    <mergeCell ref="C64:C69"/>
  </mergeCells>
  <phoneticPr fontId="40"/>
  <pageMargins left="0.23622047244094491" right="0.23622047244094491" top="0.35433070866141736" bottom="0.35433070866141736" header="0.11811023622047245" footer="0.11811023622047245"/>
  <pageSetup paperSize="8" scale="70" orientation="portrait" r:id="rId1"/>
  <headerFooter>
    <oddHeader>&amp;R&amp;12&amp;A</oddHeader>
    <oddFooter>&amp;L介護サービス友乃家&amp;C&amp;P/&amp;N&amp;R&amp;12&amp;F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A194"/>
  <sheetViews>
    <sheetView topLeftCell="C1" zoomScale="80" zoomScaleNormal="80" workbookViewId="0">
      <pane xSplit="3" ySplit="2" topLeftCell="F72" activePane="bottomRight" state="frozen"/>
      <selection activeCell="I184" sqref="I184"/>
      <selection pane="topRight" activeCell="I184" sqref="I184"/>
      <selection pane="bottomLeft" activeCell="I184" sqref="I184"/>
      <selection pane="bottomRight" activeCell="F150" sqref="F150"/>
    </sheetView>
  </sheetViews>
  <sheetFormatPr defaultColWidth="10" defaultRowHeight="13.5" outlineLevelRow="1" x14ac:dyDescent="0.15"/>
  <cols>
    <col min="1" max="2" width="10" style="350" hidden="1" customWidth="1"/>
    <col min="3" max="3" width="14.625" style="350" customWidth="1"/>
    <col min="4" max="17" width="13" style="350" customWidth="1"/>
    <col min="18" max="18" width="3.625" style="350" customWidth="1"/>
    <col min="19" max="19" width="13" style="350" customWidth="1"/>
    <col min="20" max="20" width="9.625" style="350" customWidth="1"/>
    <col min="21" max="21" width="12.75" style="350" customWidth="1"/>
    <col min="22" max="22" width="3.625" style="350" customWidth="1"/>
    <col min="23" max="23" width="13" style="350" customWidth="1"/>
    <col min="24" max="24" width="9.625" style="350" customWidth="1"/>
    <col min="25" max="25" width="4.625" style="350" hidden="1" customWidth="1"/>
    <col min="26" max="26" width="9.375" style="350" hidden="1" customWidth="1"/>
    <col min="27" max="16384" width="10" style="350"/>
  </cols>
  <sheetData>
    <row r="1" spans="1:27" ht="36.75" customHeight="1" thickBot="1" x14ac:dyDescent="0.2">
      <c r="C1" s="2180">
        <f>F2</f>
        <v>42979</v>
      </c>
      <c r="D1" s="2180"/>
      <c r="E1" s="2181"/>
      <c r="F1" s="351" t="s">
        <v>439</v>
      </c>
      <c r="G1" s="451">
        <v>43313</v>
      </c>
      <c r="H1" s="350" t="s">
        <v>440</v>
      </c>
      <c r="I1" s="352"/>
      <c r="J1" s="350" t="s">
        <v>441</v>
      </c>
      <c r="M1" s="746"/>
    </row>
    <row r="2" spans="1:27" ht="33" customHeight="1" thickBot="1" x14ac:dyDescent="0.2">
      <c r="C2" s="353" t="s">
        <v>33</v>
      </c>
      <c r="D2" s="354" t="s">
        <v>442</v>
      </c>
      <c r="E2" s="355" t="s">
        <v>145</v>
      </c>
      <c r="F2" s="356">
        <v>42979</v>
      </c>
      <c r="G2" s="357">
        <f>EDATE(F2,1)</f>
        <v>43009</v>
      </c>
      <c r="H2" s="358">
        <f t="shared" ref="H2:Q2" si="0">EDATE(G2,1)</f>
        <v>43040</v>
      </c>
      <c r="I2" s="357">
        <f t="shared" si="0"/>
        <v>43070</v>
      </c>
      <c r="J2" s="358">
        <f t="shared" si="0"/>
        <v>43101</v>
      </c>
      <c r="K2" s="357">
        <f t="shared" si="0"/>
        <v>43132</v>
      </c>
      <c r="L2" s="358">
        <f t="shared" si="0"/>
        <v>43160</v>
      </c>
      <c r="M2" s="357">
        <f t="shared" si="0"/>
        <v>43191</v>
      </c>
      <c r="N2" s="358">
        <f t="shared" si="0"/>
        <v>43221</v>
      </c>
      <c r="O2" s="357">
        <f t="shared" si="0"/>
        <v>43252</v>
      </c>
      <c r="P2" s="358">
        <f t="shared" si="0"/>
        <v>43282</v>
      </c>
      <c r="Q2" s="359">
        <f t="shared" si="0"/>
        <v>43313</v>
      </c>
      <c r="R2" s="2176" t="s">
        <v>270</v>
      </c>
      <c r="S2" s="2177"/>
      <c r="T2" s="1270" t="s">
        <v>272</v>
      </c>
      <c r="U2" s="1430" t="s">
        <v>183</v>
      </c>
      <c r="V2" s="2178" t="s">
        <v>271</v>
      </c>
      <c r="W2" s="2179"/>
      <c r="X2" s="1271" t="s">
        <v>273</v>
      </c>
    </row>
    <row r="3" spans="1:27" ht="14.1" customHeight="1" x14ac:dyDescent="0.15">
      <c r="B3" s="350" t="s">
        <v>26</v>
      </c>
      <c r="C3" s="2166" t="s">
        <v>438</v>
      </c>
      <c r="D3" s="2160" t="s">
        <v>443</v>
      </c>
      <c r="E3" s="360" t="s">
        <v>26</v>
      </c>
      <c r="F3" s="361">
        <v>75000</v>
      </c>
      <c r="G3" s="362">
        <v>75000</v>
      </c>
      <c r="H3" s="362">
        <v>75000</v>
      </c>
      <c r="I3" s="362">
        <v>75000</v>
      </c>
      <c r="J3" s="362">
        <v>75000</v>
      </c>
      <c r="K3" s="362">
        <v>75000</v>
      </c>
      <c r="L3" s="362">
        <v>75000</v>
      </c>
      <c r="M3" s="362">
        <v>75000</v>
      </c>
      <c r="N3" s="362">
        <v>75000</v>
      </c>
      <c r="O3" s="362">
        <v>75000</v>
      </c>
      <c r="P3" s="362">
        <v>75000</v>
      </c>
      <c r="Q3" s="363">
        <v>75000</v>
      </c>
      <c r="R3" s="1144"/>
      <c r="S3" s="1020">
        <f t="shared" ref="S3:S9" ca="1" si="1">SUM(OFFSET(F3,0,0,1,IF(ISERROR(MATCH(DATE(YEAR($G$1),MONTH($G$1),1),$F$2:$Q$2,0)),0,MATCH(DATE(YEAR($G$1),MONTH($G$1),1),$F$2:$Q$2,0))))</f>
        <v>900000</v>
      </c>
      <c r="T3" s="1431"/>
      <c r="U3" s="364">
        <f ca="1">IF(ISERROR(S3/(DATEDIF(F$2,G$1,"M")+1)),0,S3/(DATEDIF(F$2,G$1,"M")+1))</f>
        <v>75000</v>
      </c>
      <c r="V3" s="1001"/>
      <c r="W3" s="1001">
        <f t="shared" ref="W3:W8" si="2">SUM(F3:Q3)</f>
        <v>900000</v>
      </c>
      <c r="X3" s="1442"/>
    </row>
    <row r="4" spans="1:27" ht="14.1" customHeight="1" x14ac:dyDescent="0.15">
      <c r="B4" s="350" t="s">
        <v>15</v>
      </c>
      <c r="C4" s="2167"/>
      <c r="D4" s="2161"/>
      <c r="E4" s="366" t="s">
        <v>15</v>
      </c>
      <c r="F4" s="367">
        <v>3610000</v>
      </c>
      <c r="G4" s="368">
        <v>3910000</v>
      </c>
      <c r="H4" s="368">
        <v>3910000</v>
      </c>
      <c r="I4" s="368">
        <v>5710000</v>
      </c>
      <c r="J4" s="368">
        <v>3910000</v>
      </c>
      <c r="K4" s="368">
        <v>3910000</v>
      </c>
      <c r="L4" s="368">
        <v>3910000</v>
      </c>
      <c r="M4" s="368">
        <v>3910000</v>
      </c>
      <c r="N4" s="368">
        <v>3910000</v>
      </c>
      <c r="O4" s="368">
        <v>5660000</v>
      </c>
      <c r="P4" s="368">
        <v>3910000</v>
      </c>
      <c r="Q4" s="369">
        <v>3910000</v>
      </c>
      <c r="R4" s="1145"/>
      <c r="S4" s="1021">
        <f t="shared" ca="1" si="1"/>
        <v>50170000</v>
      </c>
      <c r="T4" s="1432"/>
      <c r="U4" s="370">
        <f t="shared" ref="U4:U86" ca="1" si="3">IF(ISERROR(S4/(DATEDIF(F$2,G$1,"M")+1)),0,S4/(DATEDIF(F$2,G$1,"M")+1))</f>
        <v>4180833.3333333335</v>
      </c>
      <c r="V4" s="1000"/>
      <c r="W4" s="1000">
        <f t="shared" si="2"/>
        <v>50170000</v>
      </c>
      <c r="X4" s="1443"/>
    </row>
    <row r="5" spans="1:27" ht="14.1" customHeight="1" x14ac:dyDescent="0.15">
      <c r="B5" s="350" t="s">
        <v>447</v>
      </c>
      <c r="C5" s="2167"/>
      <c r="D5" s="2161"/>
      <c r="E5" s="406" t="s">
        <v>447</v>
      </c>
      <c r="F5" s="367">
        <v>0</v>
      </c>
      <c r="G5" s="368">
        <v>0</v>
      </c>
      <c r="H5" s="368">
        <v>50000</v>
      </c>
      <c r="I5" s="368">
        <v>0</v>
      </c>
      <c r="J5" s="368">
        <v>0</v>
      </c>
      <c r="K5" s="368">
        <v>0</v>
      </c>
      <c r="L5" s="368">
        <v>300000</v>
      </c>
      <c r="M5" s="368">
        <v>0</v>
      </c>
      <c r="N5" s="368">
        <v>0</v>
      </c>
      <c r="O5" s="368">
        <v>0</v>
      </c>
      <c r="P5" s="368">
        <v>300000</v>
      </c>
      <c r="Q5" s="369">
        <v>0</v>
      </c>
      <c r="R5" s="1145"/>
      <c r="S5" s="1021">
        <f t="shared" ca="1" si="1"/>
        <v>650000</v>
      </c>
      <c r="T5" s="1432"/>
      <c r="U5" s="370">
        <f t="shared" ca="1" si="3"/>
        <v>54166.666666666664</v>
      </c>
      <c r="V5" s="1000"/>
      <c r="W5" s="1000">
        <f t="shared" si="2"/>
        <v>650000</v>
      </c>
      <c r="X5" s="1443"/>
      <c r="AA5" s="2155"/>
    </row>
    <row r="6" spans="1:27" ht="14.1" customHeight="1" x14ac:dyDescent="0.15">
      <c r="B6" s="413" t="s">
        <v>1235</v>
      </c>
      <c r="C6" s="2167"/>
      <c r="D6" s="2161"/>
      <c r="E6" s="406" t="s">
        <v>35</v>
      </c>
      <c r="F6" s="367">
        <v>1520000</v>
      </c>
      <c r="G6" s="368">
        <v>1520000</v>
      </c>
      <c r="H6" s="368">
        <v>1570000</v>
      </c>
      <c r="I6" s="368">
        <v>1520000</v>
      </c>
      <c r="J6" s="368">
        <v>1520000</v>
      </c>
      <c r="K6" s="368">
        <v>1520000</v>
      </c>
      <c r="L6" s="368">
        <v>1820000</v>
      </c>
      <c r="M6" s="368">
        <v>1520000</v>
      </c>
      <c r="N6" s="368">
        <v>1660000</v>
      </c>
      <c r="O6" s="368">
        <v>1520000</v>
      </c>
      <c r="P6" s="368">
        <v>1820000</v>
      </c>
      <c r="Q6" s="369">
        <v>1520000</v>
      </c>
      <c r="R6" s="1145"/>
      <c r="S6" s="1021">
        <f t="shared" ca="1" si="1"/>
        <v>19030000</v>
      </c>
      <c r="T6" s="1432"/>
      <c r="U6" s="370">
        <f t="shared" ca="1" si="3"/>
        <v>1585833.3333333333</v>
      </c>
      <c r="V6" s="1000"/>
      <c r="W6" s="1000">
        <f t="shared" si="2"/>
        <v>19030000</v>
      </c>
      <c r="X6" s="1443"/>
      <c r="AA6" s="2156"/>
    </row>
    <row r="7" spans="1:27" ht="14.1" customHeight="1" x14ac:dyDescent="0.15">
      <c r="B7" s="350" t="s">
        <v>482</v>
      </c>
      <c r="C7" s="2167"/>
      <c r="D7" s="2161"/>
      <c r="E7" s="406" t="s">
        <v>482</v>
      </c>
      <c r="F7" s="367">
        <v>200000</v>
      </c>
      <c r="G7" s="368">
        <v>200000</v>
      </c>
      <c r="H7" s="368">
        <v>200000</v>
      </c>
      <c r="I7" s="368">
        <v>200000</v>
      </c>
      <c r="J7" s="368">
        <v>200000</v>
      </c>
      <c r="K7" s="368">
        <v>200000</v>
      </c>
      <c r="L7" s="368">
        <v>200000</v>
      </c>
      <c r="M7" s="368">
        <v>200000</v>
      </c>
      <c r="N7" s="368">
        <v>200000</v>
      </c>
      <c r="O7" s="368">
        <v>200000</v>
      </c>
      <c r="P7" s="368">
        <v>200000</v>
      </c>
      <c r="Q7" s="369">
        <v>200000</v>
      </c>
      <c r="R7" s="1145"/>
      <c r="S7" s="1021">
        <f t="shared" ca="1" si="1"/>
        <v>2400000</v>
      </c>
      <c r="T7" s="1432"/>
      <c r="U7" s="370">
        <f t="shared" ca="1" si="3"/>
        <v>200000</v>
      </c>
      <c r="V7" s="1000"/>
      <c r="W7" s="1000">
        <f t="shared" si="2"/>
        <v>2400000</v>
      </c>
      <c r="X7" s="1444"/>
      <c r="AA7" s="2156"/>
    </row>
    <row r="8" spans="1:27" ht="14.1" customHeight="1" thickBot="1" x14ac:dyDescent="0.2">
      <c r="B8" s="350" t="s">
        <v>32</v>
      </c>
      <c r="C8" s="2167"/>
      <c r="D8" s="2162"/>
      <c r="E8" s="372" t="s">
        <v>32</v>
      </c>
      <c r="F8" s="373">
        <f>F3-(F4+F6+F7)</f>
        <v>-5255000</v>
      </c>
      <c r="G8" s="374">
        <f t="shared" ref="G8:Q8" si="4">G3-(G4+G6+G7)</f>
        <v>-5555000</v>
      </c>
      <c r="H8" s="374">
        <f t="shared" si="4"/>
        <v>-5605000</v>
      </c>
      <c r="I8" s="374">
        <f t="shared" si="4"/>
        <v>-7355000</v>
      </c>
      <c r="J8" s="374">
        <f t="shared" si="4"/>
        <v>-5555000</v>
      </c>
      <c r="K8" s="374">
        <f t="shared" si="4"/>
        <v>-5555000</v>
      </c>
      <c r="L8" s="374">
        <f t="shared" si="4"/>
        <v>-5855000</v>
      </c>
      <c r="M8" s="374">
        <f t="shared" si="4"/>
        <v>-5555000</v>
      </c>
      <c r="N8" s="374">
        <f t="shared" si="4"/>
        <v>-5695000</v>
      </c>
      <c r="O8" s="374">
        <f t="shared" si="4"/>
        <v>-7305000</v>
      </c>
      <c r="P8" s="374">
        <f t="shared" si="4"/>
        <v>-5855000</v>
      </c>
      <c r="Q8" s="375">
        <f t="shared" si="4"/>
        <v>-5555000</v>
      </c>
      <c r="R8" s="1143"/>
      <c r="S8" s="1022">
        <f t="shared" ca="1" si="1"/>
        <v>-70700000</v>
      </c>
      <c r="T8" s="1433"/>
      <c r="U8" s="374">
        <f t="shared" ca="1" si="3"/>
        <v>-5891666.666666667</v>
      </c>
      <c r="V8" s="1002"/>
      <c r="W8" s="1002">
        <f t="shared" si="2"/>
        <v>-70700000</v>
      </c>
      <c r="X8" s="1445"/>
      <c r="AA8" s="2156"/>
    </row>
    <row r="9" spans="1:27" ht="14.1" customHeight="1" x14ac:dyDescent="0.15">
      <c r="A9" s="413" t="s">
        <v>793</v>
      </c>
      <c r="B9" s="350" t="s">
        <v>26</v>
      </c>
      <c r="C9" s="2167"/>
      <c r="D9" s="2163" t="s">
        <v>444</v>
      </c>
      <c r="E9" s="376" t="s">
        <v>26</v>
      </c>
      <c r="F9" s="377">
        <f>IFERROR(GETPIVOTDATA("合計 / " &amp; $B9,【ピボット】事業所収支!$A$3,"年月",F$2,"事業所",$A9),0)</f>
        <v>0</v>
      </c>
      <c r="G9" s="378">
        <f>IFERROR(GETPIVOTDATA("合計 / " &amp; $B9,【ピボット】事業所収支!$A$3,"年月",G$2,"事業所",$A9),0)</f>
        <v>140400</v>
      </c>
      <c r="H9" s="378">
        <f>IFERROR(GETPIVOTDATA("合計 / " &amp; $B9,【ピボット】事業所収支!$A$3,"年月",H$2,"事業所",$A9),0)</f>
        <v>0</v>
      </c>
      <c r="I9" s="378">
        <f>IFERROR(GETPIVOTDATA("合計 / " &amp; $B9,【ピボット】事業所収支!$A$3,"年月",I$2,"事業所",$A9),0)</f>
        <v>0</v>
      </c>
      <c r="J9" s="378">
        <f>IFERROR(GETPIVOTDATA("合計 / " &amp; $B9,【ピボット】事業所収支!$A$3,"年月",J$2,"事業所",$A9),0)</f>
        <v>0</v>
      </c>
      <c r="K9" s="378">
        <f>IFERROR(GETPIVOTDATA("合計 / " &amp; $B9,【ピボット】事業所収支!$A$3,"年月",K$2,"事業所",$A9),0)</f>
        <v>0</v>
      </c>
      <c r="L9" s="378">
        <f>IFERROR(GETPIVOTDATA("合計 / " &amp; $B9,【ピボット】事業所収支!$A$3,"年月",L$2,"事業所",$A9),0)</f>
        <v>0</v>
      </c>
      <c r="M9" s="378">
        <f>IFERROR(GETPIVOTDATA("合計 / " &amp; $B9,【ピボット】事業所収支!$A$3,"年月",M$2,"事業所",$A9),0)</f>
        <v>0</v>
      </c>
      <c r="N9" s="378">
        <f>IFERROR(GETPIVOTDATA("合計 / " &amp; $B9,【ピボット】事業所収支!$A$3,"年月",N$2,"事業所",$A9),0)</f>
        <v>0</v>
      </c>
      <c r="O9" s="378">
        <f>IFERROR(GETPIVOTDATA("合計 / " &amp; $B9,【ピボット】事業所収支!$A$3,"年月",O$2,"事業所",$A9),0)</f>
        <v>0</v>
      </c>
      <c r="P9" s="378">
        <f>IFERROR(GETPIVOTDATA("合計 / " &amp; $B9,【ピボット】事業所収支!$A$3,"年月",P$2,"事業所",$A9),0)</f>
        <v>0</v>
      </c>
      <c r="Q9" s="379">
        <f>IFERROR(GETPIVOTDATA("合計 / " &amp; $B9,【ピボット】事業所収支!$A$3,"年月",Q$2,"事業所",$A9),0)</f>
        <v>0</v>
      </c>
      <c r="R9" s="1055">
        <f ca="1">IF(T9&gt;=1,1,IF(T9&lt;0.9,-1,0))</f>
        <v>-1</v>
      </c>
      <c r="S9" s="1023">
        <f t="shared" ca="1" si="1"/>
        <v>140400</v>
      </c>
      <c r="T9" s="1434">
        <f ca="1">IF(S3&lt;0,ROUND((S9-S3)/ABS(S3),3),IF(S3=0,0,ROUND(S9/S3,3)))</f>
        <v>0.156</v>
      </c>
      <c r="U9" s="378">
        <f t="shared" ca="1" si="3"/>
        <v>11700</v>
      </c>
      <c r="V9" s="1372">
        <f ca="1">IF(X9&gt;=1,1,IF(X9&lt;0.9,-1,0))</f>
        <v>-1</v>
      </c>
      <c r="W9" s="1003">
        <f ca="1">S9+(12-IF(ISERROR(MATCH(DATE(YEAR($G$1),MONTH($G$1),1),$F$2:$Q$2,0)),0,MATCH(DATE(YEAR($G$1),MONTH($G$1),1),$F$2:$Q$2,0)))*U9</f>
        <v>140400</v>
      </c>
      <c r="X9" s="1446">
        <f ca="1">IF(W3&lt;0,ROUND((W9-W3)/ABS(W3),3),IF(W3=0,0,ROUND(W9/W3,3)))</f>
        <v>0.156</v>
      </c>
      <c r="Y9" s="999">
        <v>0.1</v>
      </c>
      <c r="AA9" s="2156"/>
    </row>
    <row r="10" spans="1:27" ht="14.1" customHeight="1" x14ac:dyDescent="0.15">
      <c r="A10" s="413" t="s">
        <v>793</v>
      </c>
      <c r="B10" s="350" t="s">
        <v>15</v>
      </c>
      <c r="C10" s="2167"/>
      <c r="D10" s="2164"/>
      <c r="E10" s="380" t="s">
        <v>15</v>
      </c>
      <c r="F10" s="381">
        <f>IFERROR(GETPIVOTDATA("合計 / " &amp; $B10,【ピボット】事業所収支!$A$3,"年月",F$2,"事業所",$A10),0)</f>
        <v>3361765</v>
      </c>
      <c r="G10" s="382">
        <f>IFERROR(GETPIVOTDATA("合計 / " &amp; $B10,【ピボット】事業所収支!$A$3,"年月",G$2,"事業所",$A10),0)</f>
        <v>3416511</v>
      </c>
      <c r="H10" s="382">
        <f>IFERROR(GETPIVOTDATA("合計 / " &amp; $B10,【ピボット】事業所収支!$A$3,"年月",H$2,"事業所",$A10),0)</f>
        <v>4465097</v>
      </c>
      <c r="I10" s="382">
        <f>IFERROR(GETPIVOTDATA("合計 / " &amp; $B10,【ピボット】事業所収支!$A$3,"年月",I$2,"事業所",$A10),0)</f>
        <v>5487649.7577564418</v>
      </c>
      <c r="J10" s="382">
        <f>IFERROR(GETPIVOTDATA("合計 / " &amp; $B10,【ピボット】事業所収支!$A$3,"年月",J$2,"事業所",$A10),0)</f>
        <v>4509811</v>
      </c>
      <c r="K10" s="382">
        <f>IFERROR(GETPIVOTDATA("合計 / " &amp; $B10,【ピボット】事業所収支!$A$3,"年月",K$2,"事業所",$A10),0)</f>
        <v>3654892</v>
      </c>
      <c r="L10" s="382">
        <f>IFERROR(GETPIVOTDATA("合計 / " &amp; $B10,【ピボット】事業所収支!$A$3,"年月",L$2,"事業所",$A10),0)</f>
        <v>3762282</v>
      </c>
      <c r="M10" s="382">
        <f>IFERROR(GETPIVOTDATA("合計 / " &amp; $B10,【ピボット】事業所収支!$A$3,"年月",M$2,"事業所",$A10),0)</f>
        <v>3755392</v>
      </c>
      <c r="N10" s="382">
        <f>IFERROR(GETPIVOTDATA("合計 / " &amp; $B10,【ピボット】事業所収支!$A$3,"年月",N$2,"事業所",$A10),0)</f>
        <v>3762490</v>
      </c>
      <c r="O10" s="382">
        <f>IFERROR(GETPIVOTDATA("合計 / " &amp; $B10,【ピボット】事業所収支!$A$3,"年月",O$2,"事業所",$A10),0)</f>
        <v>4982819</v>
      </c>
      <c r="P10" s="382">
        <f>IFERROR(GETPIVOTDATA("合計 / " &amp; $B10,【ピボット】事業所収支!$A$3,"年月",P$2,"事業所",$A10),0)</f>
        <v>4691807</v>
      </c>
      <c r="Q10" s="383">
        <f>IFERROR(GETPIVOTDATA("合計 / " &amp; $B10,【ピボット】事業所収支!$A$3,"年月",Q$2,"事業所",$A10),0)</f>
        <v>4057264</v>
      </c>
      <c r="R10" s="1056">
        <f ca="1">IF(T10&lt;=1,1,IF(T10&gt;1.1,-1,0))</f>
        <v>1</v>
      </c>
      <c r="S10" s="1024">
        <f t="shared" ref="S10:S151" ca="1" si="5">SUM(OFFSET(F10,0,0,1,IF(ISERROR(MATCH(DATE(YEAR($G$1),MONTH($G$1),1),$F$2:$Q$2,0)),0,MATCH(DATE(YEAR($G$1),MONTH($G$1),1),$F$2:$Q$2,0))))</f>
        <v>49907779.757756442</v>
      </c>
      <c r="T10" s="1435">
        <f ca="1">IF(S4&lt;0,ROUND((S10-S4)/ABS(S4),3),IF(S4=0,0,ROUND(S10/S4,3)))</f>
        <v>0.995</v>
      </c>
      <c r="U10" s="382">
        <f t="shared" ca="1" si="3"/>
        <v>4158981.6464797035</v>
      </c>
      <c r="V10" s="1373">
        <f ca="1">IF(X10&lt;=1,1,IF(X10&gt;1.1,-1,0))</f>
        <v>1</v>
      </c>
      <c r="W10" s="1004">
        <f ca="1">S10+(12-IF(ISERROR(MATCH(DATE(YEAR($G$1),MONTH($G$1),1),$F$2:$Q$2,0)),0,MATCH(DATE(YEAR($G$1),MONTH($G$1),1),$F$2:$Q$2,0)))*U10</f>
        <v>49907779.757756442</v>
      </c>
      <c r="X10" s="1447">
        <f ca="1">IF(W4&lt;0,ROUND((W10-W4)/ABS(W4),3),IF(W4=0,0,ROUND(W10/W4,3)))</f>
        <v>0.995</v>
      </c>
      <c r="Y10" s="999">
        <v>0.1</v>
      </c>
      <c r="AA10" s="2156"/>
    </row>
    <row r="11" spans="1:27" ht="14.1" customHeight="1" x14ac:dyDescent="0.15">
      <c r="A11" s="413" t="s">
        <v>793</v>
      </c>
      <c r="B11" s="350" t="s">
        <v>448</v>
      </c>
      <c r="C11" s="2167"/>
      <c r="D11" s="2164"/>
      <c r="E11" s="407" t="s">
        <v>448</v>
      </c>
      <c r="F11" s="381">
        <f>IFERROR(GETPIVOTDATA("合計 / " &amp; $B11,【ピボット】事業所収支!$A$3,"年月",F$2,"事業所",$A11),0)</f>
        <v>0</v>
      </c>
      <c r="G11" s="382">
        <f>IFERROR(GETPIVOTDATA("合計 / " &amp; $B11,【ピボット】事業所収支!$A$3,"年月",G$2,"事業所",$A11),0)</f>
        <v>0</v>
      </c>
      <c r="H11" s="382">
        <f>IFERROR(GETPIVOTDATA("合計 / " &amp; $B11,【ピボット】事業所収支!$A$3,"年月",H$2,"事業所",$A11),0)</f>
        <v>519480</v>
      </c>
      <c r="I11" s="382">
        <f>IFERROR(GETPIVOTDATA("合計 / " &amp; $B11,【ピボット】事業所収支!$A$3,"年月",I$2,"事業所",$A11),0)</f>
        <v>0</v>
      </c>
      <c r="J11" s="382">
        <f>IFERROR(GETPIVOTDATA("合計 / " &amp; $B11,【ピボット】事業所収支!$A$3,"年月",J$2,"事業所",$A11),0)</f>
        <v>81000</v>
      </c>
      <c r="K11" s="382">
        <f>IFERROR(GETPIVOTDATA("合計 / " &amp; $B11,【ピボット】事業所収支!$A$3,"年月",K$2,"事業所",$A11),0)</f>
        <v>0</v>
      </c>
      <c r="L11" s="382">
        <f>IFERROR(GETPIVOTDATA("合計 / " &amp; $B11,【ピボット】事業所収支!$A$3,"年月",L$2,"事業所",$A11),0)</f>
        <v>0</v>
      </c>
      <c r="M11" s="382">
        <f>IFERROR(GETPIVOTDATA("合計 / " &amp; $B11,【ピボット】事業所収支!$A$3,"年月",M$2,"事業所",$A11),0)</f>
        <v>359640</v>
      </c>
      <c r="N11" s="382">
        <f>IFERROR(GETPIVOTDATA("合計 / " &amp; $B11,【ピボット】事業所収支!$A$3,"年月",N$2,"事業所",$A11),0)</f>
        <v>216000</v>
      </c>
      <c r="O11" s="382">
        <f>IFERROR(GETPIVOTDATA("合計 / " &amp; $B11,【ピボット】事業所収支!$A$3,"年月",O$2,"事業所",$A11),0)</f>
        <v>734400</v>
      </c>
      <c r="P11" s="382">
        <f>IFERROR(GETPIVOTDATA("合計 / " &amp; $B11,【ピボット】事業所収支!$A$3,"年月",P$2,"事業所",$A11),0)</f>
        <v>66960</v>
      </c>
      <c r="Q11" s="383">
        <f>IFERROR(GETPIVOTDATA("合計 / " &amp; $B11,【ピボット】事業所収支!$A$3,"年月",Q$2,"事業所",$A11),0)</f>
        <v>359640</v>
      </c>
      <c r="R11" s="1056">
        <f ca="1">IF(T11&lt;=1,1,IF(T11&gt;1.1,-1,0))</f>
        <v>-1</v>
      </c>
      <c r="S11" s="1024">
        <f t="shared" ca="1" si="5"/>
        <v>2337120</v>
      </c>
      <c r="T11" s="1435">
        <f ca="1">IF(S5&lt;0,ROUND((S11-S5)/ABS(S5),3),IF(S5=0,0,ROUND(S11/S5,3)))</f>
        <v>3.5960000000000001</v>
      </c>
      <c r="U11" s="382">
        <f t="shared" ca="1" si="3"/>
        <v>194760</v>
      </c>
      <c r="V11" s="1373">
        <f ca="1">IF(X11&lt;=1,1,IF(X11&gt;1.1,-1,0))</f>
        <v>-1</v>
      </c>
      <c r="W11" s="1004">
        <f ca="1">S11+(12-IF(ISERROR(MATCH(DATE(YEAR($G$1),MONTH($G$1),1),$F$2:$Q$2,0)),0,MATCH(DATE(YEAR($G$1),MONTH($G$1),1),$F$2:$Q$2,0)))*U11</f>
        <v>2337120</v>
      </c>
      <c r="X11" s="1447">
        <f ca="1">IF(W5&lt;0,ROUND((W11-W5)/ABS(W5),3),IF(W5=0,0,ROUND(W11/W5,3)))</f>
        <v>3.5960000000000001</v>
      </c>
      <c r="Y11" s="999">
        <v>0.1</v>
      </c>
      <c r="AA11" s="2156"/>
    </row>
    <row r="12" spans="1:27" ht="14.1" customHeight="1" x14ac:dyDescent="0.15">
      <c r="A12" s="413" t="s">
        <v>793</v>
      </c>
      <c r="B12" s="413" t="s">
        <v>1236</v>
      </c>
      <c r="C12" s="2167"/>
      <c r="D12" s="2164"/>
      <c r="E12" s="407" t="s">
        <v>35</v>
      </c>
      <c r="F12" s="381">
        <f>IFERROR(GETPIVOTDATA("合計 / " &amp; $B12,【ピボット】事業所収支!$A$3,"年月",F$2,"事業所",$A12),0)</f>
        <v>1655232</v>
      </c>
      <c r="G12" s="382">
        <f>IFERROR(GETPIVOTDATA("合計 / " &amp; $B12,【ピボット】事業所収支!$A$3,"年月",G$2,"事業所",$A12),0)</f>
        <v>1563805</v>
      </c>
      <c r="H12" s="382">
        <f>IFERROR(GETPIVOTDATA("合計 / " &amp; $B12,【ピボット】事業所収支!$A$3,"年月",H$2,"事業所",$A12),0)</f>
        <v>2425654</v>
      </c>
      <c r="I12" s="382">
        <f>IFERROR(GETPIVOTDATA("合計 / " &amp; $B12,【ピボット】事業所収支!$A$3,"年月",I$2,"事業所",$A12),0)</f>
        <v>2104595</v>
      </c>
      <c r="J12" s="382">
        <f>IFERROR(GETPIVOTDATA("合計 / " &amp; $B12,【ピボット】事業所収支!$A$3,"年月",J$2,"事業所",$A12),0)</f>
        <v>2318665</v>
      </c>
      <c r="K12" s="382">
        <f>IFERROR(GETPIVOTDATA("合計 / " &amp; $B12,【ピボット】事業所収支!$A$3,"年月",K$2,"事業所",$A12),0)</f>
        <v>1654867</v>
      </c>
      <c r="L12" s="382">
        <f>IFERROR(GETPIVOTDATA("合計 / " &amp; $B12,【ピボット】事業所収支!$A$3,"年月",L$2,"事業所",$A12),0)</f>
        <v>2685780</v>
      </c>
      <c r="M12" s="382">
        <f>IFERROR(GETPIVOTDATA("合計 / " &amp; $B12,【ピボット】事業所収支!$A$3,"年月",M$2,"事業所",$A12),0)</f>
        <v>3392629</v>
      </c>
      <c r="N12" s="382">
        <f>IFERROR(GETPIVOTDATA("合計 / " &amp; $B12,【ピボット】事業所収支!$A$3,"年月",N$2,"事業所",$A12),0)</f>
        <v>2776985</v>
      </c>
      <c r="O12" s="382">
        <f>IFERROR(GETPIVOTDATA("合計 / " &amp; $B12,【ピボット】事業所収支!$A$3,"年月",O$2,"事業所",$A12),0)</f>
        <v>4225191</v>
      </c>
      <c r="P12" s="382">
        <f>IFERROR(GETPIVOTDATA("合計 / " &amp; $B12,【ピボット】事業所収支!$A$3,"年月",P$2,"事業所",$A12),0)</f>
        <v>2631277</v>
      </c>
      <c r="Q12" s="383">
        <f>IFERROR(GETPIVOTDATA("合計 / " &amp; $B12,【ピボット】事業所収支!$A$3,"年月",Q$2,"事業所",$A12),0)</f>
        <v>3953352</v>
      </c>
      <c r="R12" s="1056">
        <f ca="1">IF(T12&lt;=1,1,IF(T12&gt;1.1,-1,0))</f>
        <v>-1</v>
      </c>
      <c r="S12" s="1024">
        <f t="shared" ca="1" si="5"/>
        <v>31388032</v>
      </c>
      <c r="T12" s="1435">
        <f ca="1">IF(S6&lt;0,ROUND((S12-S6)/ABS(S6),3),IF(S6=0,0,ROUND(S12/S6,3)))</f>
        <v>1.649</v>
      </c>
      <c r="U12" s="382">
        <f t="shared" ca="1" si="3"/>
        <v>2615669.3333333335</v>
      </c>
      <c r="V12" s="1373">
        <f ca="1">IF(X12&lt;=1,1,IF(X12&gt;1.1,-1,0))</f>
        <v>-1</v>
      </c>
      <c r="W12" s="1004">
        <f ca="1">S12+(12-IF(ISERROR(MATCH(DATE(YEAR($G$1),MONTH($G$1),1),$F$2:$Q$2,0)),0,MATCH(DATE(YEAR($G$1),MONTH($G$1),1),$F$2:$Q$2,0)))*U12</f>
        <v>31388032</v>
      </c>
      <c r="X12" s="1447">
        <f ca="1">IF(W6&lt;0,ROUND((W12-W6)/ABS(W6),3),IF(W6=0,0,ROUND(W12/W6,3)))</f>
        <v>1.649</v>
      </c>
      <c r="Y12" s="999">
        <v>0.1</v>
      </c>
      <c r="AA12" s="2156"/>
    </row>
    <row r="13" spans="1:27" ht="14.1" customHeight="1" thickBot="1" x14ac:dyDescent="0.2">
      <c r="A13" s="413" t="s">
        <v>793</v>
      </c>
      <c r="B13" s="350" t="s">
        <v>32</v>
      </c>
      <c r="C13" s="2168"/>
      <c r="D13" s="2165"/>
      <c r="E13" s="384" t="s">
        <v>32</v>
      </c>
      <c r="F13" s="385">
        <f>F9-(F10+F12)</f>
        <v>-5016997</v>
      </c>
      <c r="G13" s="386">
        <f t="shared" ref="G13:Q13" si="6">G9-(G10+G12)</f>
        <v>-4839916</v>
      </c>
      <c r="H13" s="386">
        <f t="shared" si="6"/>
        <v>-6890751</v>
      </c>
      <c r="I13" s="386">
        <f t="shared" si="6"/>
        <v>-7592244.7577564418</v>
      </c>
      <c r="J13" s="386">
        <f t="shared" si="6"/>
        <v>-6828476</v>
      </c>
      <c r="K13" s="386">
        <f t="shared" si="6"/>
        <v>-5309759</v>
      </c>
      <c r="L13" s="386">
        <f t="shared" si="6"/>
        <v>-6448062</v>
      </c>
      <c r="M13" s="386">
        <f t="shared" si="6"/>
        <v>-7148021</v>
      </c>
      <c r="N13" s="386">
        <f t="shared" si="6"/>
        <v>-6539475</v>
      </c>
      <c r="O13" s="386">
        <f t="shared" si="6"/>
        <v>-9208010</v>
      </c>
      <c r="P13" s="386">
        <f t="shared" si="6"/>
        <v>-7323084</v>
      </c>
      <c r="Q13" s="387">
        <f t="shared" si="6"/>
        <v>-8010616</v>
      </c>
      <c r="R13" s="1057">
        <f ca="1">IF(T13&gt;=0,1,IF(T13&lt;-0.1,-1,0))</f>
        <v>-1</v>
      </c>
      <c r="S13" s="1025">
        <f t="shared" ca="1" si="5"/>
        <v>-81155411.757756442</v>
      </c>
      <c r="T13" s="1436">
        <f ca="1">IF(S8=0,1-(S10+S12)/S9,IF(S8=S13,0,ROUND((S13-S8)/ABS(S8),3)))</f>
        <v>-0.14799999999999999</v>
      </c>
      <c r="U13" s="386">
        <f t="shared" ca="1" si="3"/>
        <v>-6762950.9798130365</v>
      </c>
      <c r="V13" s="1374">
        <f ca="1">IF(X13&gt;=0,1,IF(X13&lt;-0.1,-1,0))</f>
        <v>-1</v>
      </c>
      <c r="W13" s="1005">
        <f ca="1">S13+(12-IF(ISERROR(MATCH(DATE(YEAR($G$1),MONTH($G$1),1),$F$2:$Q$2,0)),0,MATCH(DATE(YEAR($G$1),MONTH($G$1),1),$F$2:$Q$2,0)))*U13</f>
        <v>-81155411.757756442</v>
      </c>
      <c r="X13" s="1448">
        <f ca="1">IF(W8=0,1-(W10+W12)/W9,IF(W8=W13,0,ROUND((W13-W8)/ABS(W8),3)))</f>
        <v>-0.14799999999999999</v>
      </c>
      <c r="Y13" s="999">
        <v>0.1</v>
      </c>
      <c r="AA13" s="2156"/>
    </row>
    <row r="14" spans="1:27" ht="14.1" customHeight="1" x14ac:dyDescent="0.15">
      <c r="B14" s="350" t="s">
        <v>26</v>
      </c>
      <c r="C14" s="2166" t="s">
        <v>34</v>
      </c>
      <c r="D14" s="2160" t="s">
        <v>443</v>
      </c>
      <c r="E14" s="360" t="s">
        <v>26</v>
      </c>
      <c r="F14" s="361">
        <v>10000000</v>
      </c>
      <c r="G14" s="362">
        <v>10000000</v>
      </c>
      <c r="H14" s="362">
        <v>10000000</v>
      </c>
      <c r="I14" s="362">
        <v>10000000</v>
      </c>
      <c r="J14" s="362">
        <v>10000000</v>
      </c>
      <c r="K14" s="362">
        <v>10000000</v>
      </c>
      <c r="L14" s="362">
        <v>10500000</v>
      </c>
      <c r="M14" s="362">
        <v>10500000</v>
      </c>
      <c r="N14" s="362">
        <v>10500000</v>
      </c>
      <c r="O14" s="362">
        <v>10500000</v>
      </c>
      <c r="P14" s="362">
        <v>10500000</v>
      </c>
      <c r="Q14" s="363">
        <v>10500000</v>
      </c>
      <c r="R14" s="1144"/>
      <c r="S14" s="1020">
        <f t="shared" ca="1" si="5"/>
        <v>123000000</v>
      </c>
      <c r="T14" s="1431"/>
      <c r="U14" s="364">
        <f t="shared" ca="1" si="3"/>
        <v>10250000</v>
      </c>
      <c r="V14" s="1001"/>
      <c r="W14" s="1001">
        <f>SUM(F14:Q14)</f>
        <v>123000000</v>
      </c>
      <c r="X14" s="1442"/>
      <c r="AA14" s="2156"/>
    </row>
    <row r="15" spans="1:27" ht="14.1" customHeight="1" x14ac:dyDescent="0.15">
      <c r="B15" s="350" t="s">
        <v>15</v>
      </c>
      <c r="C15" s="2167"/>
      <c r="D15" s="2161"/>
      <c r="E15" s="366" t="s">
        <v>15</v>
      </c>
      <c r="F15" s="367">
        <v>6700000</v>
      </c>
      <c r="G15" s="368">
        <v>6700000</v>
      </c>
      <c r="H15" s="368">
        <v>6700000</v>
      </c>
      <c r="I15" s="368">
        <v>10150000</v>
      </c>
      <c r="J15" s="368">
        <v>6450000</v>
      </c>
      <c r="K15" s="368">
        <v>6450000</v>
      </c>
      <c r="L15" s="368">
        <v>6650000</v>
      </c>
      <c r="M15" s="368">
        <v>6650000</v>
      </c>
      <c r="N15" s="368">
        <v>6650000</v>
      </c>
      <c r="O15" s="368">
        <v>9950000</v>
      </c>
      <c r="P15" s="368">
        <v>6650000</v>
      </c>
      <c r="Q15" s="369">
        <v>6650000</v>
      </c>
      <c r="R15" s="1145"/>
      <c r="S15" s="1021">
        <f t="shared" ca="1" si="5"/>
        <v>86350000</v>
      </c>
      <c r="T15" s="1432"/>
      <c r="U15" s="370">
        <f t="shared" ca="1" si="3"/>
        <v>7195833.333333333</v>
      </c>
      <c r="V15" s="1000"/>
      <c r="W15" s="1000">
        <f>SUM(F15:Q15)</f>
        <v>86350000</v>
      </c>
      <c r="X15" s="1443"/>
      <c r="AA15" s="2156"/>
    </row>
    <row r="16" spans="1:27" ht="14.1" customHeight="1" x14ac:dyDescent="0.15">
      <c r="B16" s="350" t="s">
        <v>447</v>
      </c>
      <c r="C16" s="2167"/>
      <c r="D16" s="2161"/>
      <c r="E16" s="406" t="s">
        <v>447</v>
      </c>
      <c r="F16" s="367">
        <v>100000</v>
      </c>
      <c r="G16" s="368">
        <v>50000</v>
      </c>
      <c r="H16" s="368">
        <v>50000</v>
      </c>
      <c r="I16" s="368">
        <v>50000</v>
      </c>
      <c r="J16" s="368">
        <v>50000</v>
      </c>
      <c r="K16" s="368">
        <v>50000</v>
      </c>
      <c r="L16" s="368">
        <v>50000</v>
      </c>
      <c r="M16" s="368">
        <v>100000</v>
      </c>
      <c r="N16" s="368">
        <v>50000</v>
      </c>
      <c r="O16" s="368">
        <v>50000</v>
      </c>
      <c r="P16" s="368">
        <v>50000</v>
      </c>
      <c r="Q16" s="369">
        <v>50000</v>
      </c>
      <c r="R16" s="1145"/>
      <c r="S16" s="1021">
        <f t="shared" ca="1" si="5"/>
        <v>700000</v>
      </c>
      <c r="T16" s="1432"/>
      <c r="U16" s="370">
        <f t="shared" ca="1" si="3"/>
        <v>58333.333333333336</v>
      </c>
      <c r="V16" s="1000"/>
      <c r="W16" s="1000">
        <f>SUM(F16:Q16)</f>
        <v>700000</v>
      </c>
      <c r="X16" s="1443"/>
      <c r="AA16" s="2156"/>
    </row>
    <row r="17" spans="1:27" ht="14.1" customHeight="1" x14ac:dyDescent="0.15">
      <c r="B17" s="413" t="s">
        <v>1230</v>
      </c>
      <c r="C17" s="2167"/>
      <c r="D17" s="2161"/>
      <c r="E17" s="366" t="s">
        <v>35</v>
      </c>
      <c r="F17" s="367">
        <v>700000</v>
      </c>
      <c r="G17" s="368">
        <v>700000</v>
      </c>
      <c r="H17" s="368">
        <v>750000</v>
      </c>
      <c r="I17" s="368">
        <v>650000</v>
      </c>
      <c r="J17" s="368">
        <v>700000</v>
      </c>
      <c r="K17" s="368">
        <v>700000</v>
      </c>
      <c r="L17" s="368">
        <v>720000</v>
      </c>
      <c r="M17" s="368">
        <v>720000</v>
      </c>
      <c r="N17" s="368">
        <v>720000</v>
      </c>
      <c r="O17" s="368">
        <v>720000</v>
      </c>
      <c r="P17" s="368">
        <v>650000</v>
      </c>
      <c r="Q17" s="369">
        <v>720000</v>
      </c>
      <c r="R17" s="1145"/>
      <c r="S17" s="1021">
        <f t="shared" ca="1" si="5"/>
        <v>8450000</v>
      </c>
      <c r="T17" s="1432"/>
      <c r="U17" s="370">
        <f t="shared" ca="1" si="3"/>
        <v>704166.66666666663</v>
      </c>
      <c r="V17" s="1000"/>
      <c r="W17" s="1000">
        <f>SUM(F17:Q17)</f>
        <v>8450000</v>
      </c>
      <c r="X17" s="1443"/>
      <c r="AA17" s="2156"/>
    </row>
    <row r="18" spans="1:27" ht="14.1" customHeight="1" thickBot="1" x14ac:dyDescent="0.2">
      <c r="B18" s="350" t="s">
        <v>32</v>
      </c>
      <c r="C18" s="2167"/>
      <c r="D18" s="2162"/>
      <c r="E18" s="372" t="s">
        <v>32</v>
      </c>
      <c r="F18" s="373">
        <f t="shared" ref="F18:Q18" si="7">F14-(F15+F17)</f>
        <v>2600000</v>
      </c>
      <c r="G18" s="374">
        <f t="shared" si="7"/>
        <v>2600000</v>
      </c>
      <c r="H18" s="374">
        <f t="shared" si="7"/>
        <v>2550000</v>
      </c>
      <c r="I18" s="374">
        <f t="shared" si="7"/>
        <v>-800000</v>
      </c>
      <c r="J18" s="374">
        <f t="shared" si="7"/>
        <v>2850000</v>
      </c>
      <c r="K18" s="374">
        <f t="shared" si="7"/>
        <v>2850000</v>
      </c>
      <c r="L18" s="374">
        <f t="shared" si="7"/>
        <v>3130000</v>
      </c>
      <c r="M18" s="374">
        <f t="shared" si="7"/>
        <v>3130000</v>
      </c>
      <c r="N18" s="374">
        <f t="shared" si="7"/>
        <v>3130000</v>
      </c>
      <c r="O18" s="374">
        <f t="shared" si="7"/>
        <v>-170000</v>
      </c>
      <c r="P18" s="374">
        <f t="shared" si="7"/>
        <v>3200000</v>
      </c>
      <c r="Q18" s="375">
        <f t="shared" si="7"/>
        <v>3130000</v>
      </c>
      <c r="R18" s="1143"/>
      <c r="S18" s="1022">
        <f t="shared" ca="1" si="5"/>
        <v>28200000</v>
      </c>
      <c r="T18" s="1433"/>
      <c r="U18" s="374">
        <f t="shared" ca="1" si="3"/>
        <v>2350000</v>
      </c>
      <c r="V18" s="1002"/>
      <c r="W18" s="1002">
        <f>SUM(F18:Q18)</f>
        <v>28200000</v>
      </c>
      <c r="X18" s="1445"/>
      <c r="AA18" s="2156"/>
    </row>
    <row r="19" spans="1:27" ht="14.1" customHeight="1" x14ac:dyDescent="0.15">
      <c r="A19" s="413" t="s">
        <v>794</v>
      </c>
      <c r="B19" s="350" t="s">
        <v>26</v>
      </c>
      <c r="C19" s="2167"/>
      <c r="D19" s="2163" t="s">
        <v>444</v>
      </c>
      <c r="E19" s="376" t="s">
        <v>26</v>
      </c>
      <c r="F19" s="377">
        <f>IFERROR(GETPIVOTDATA("合計 / " &amp; $B19,【ピボット】事業所収支!$A$3,"年月",F$2,"事業所",$A19),0)</f>
        <v>10291903</v>
      </c>
      <c r="G19" s="378">
        <f>IFERROR(GETPIVOTDATA("合計 / " &amp; $B19,【ピボット】事業所収支!$A$3,"年月",G$2,"事業所",$A19),0)</f>
        <v>10634528</v>
      </c>
      <c r="H19" s="378">
        <f>IFERROR(GETPIVOTDATA("合計 / " &amp; $B19,【ピボット】事業所収支!$A$3,"年月",H$2,"事業所",$A19),0)</f>
        <v>9718481</v>
      </c>
      <c r="I19" s="378">
        <f>IFERROR(GETPIVOTDATA("合計 / " &amp; $B19,【ピボット】事業所収支!$A$3,"年月",I$2,"事業所",$A19),0)</f>
        <v>10007332</v>
      </c>
      <c r="J19" s="378">
        <f>IFERROR(GETPIVOTDATA("合計 / " &amp; $B19,【ピボット】事業所収支!$A$3,"年月",J$2,"事業所",$A19),0)</f>
        <v>10050857</v>
      </c>
      <c r="K19" s="378">
        <f>IFERROR(GETPIVOTDATA("合計 / " &amp; $B19,【ピボット】事業所収支!$A$3,"年月",K$2,"事業所",$A19),0)</f>
        <v>9647827</v>
      </c>
      <c r="L19" s="378">
        <f>IFERROR(GETPIVOTDATA("合計 / " &amp; $B19,【ピボット】事業所収支!$A$3,"年月",L$2,"事業所",$A19),0)</f>
        <v>10237581</v>
      </c>
      <c r="M19" s="378">
        <f>IFERROR(GETPIVOTDATA("合計 / " &amp; $B19,【ピボット】事業所収支!$A$3,"年月",M$2,"事業所",$A19),0)</f>
        <v>10301194</v>
      </c>
      <c r="N19" s="378">
        <f>IFERROR(GETPIVOTDATA("合計 / " &amp; $B19,【ピボット】事業所収支!$A$3,"年月",N$2,"事業所",$A19),0)</f>
        <v>10772827</v>
      </c>
      <c r="O19" s="378">
        <f>IFERROR(GETPIVOTDATA("合計 / " &amp; $B19,【ピボット】事業所収支!$A$3,"年月",O$2,"事業所",$A19),0)</f>
        <v>9835106</v>
      </c>
      <c r="P19" s="378">
        <f>IFERROR(GETPIVOTDATA("合計 / " &amp; $B19,【ピボット】事業所収支!$A$3,"年月",P$2,"事業所",$A19),0)</f>
        <v>11042771</v>
      </c>
      <c r="Q19" s="379">
        <f>IFERROR(GETPIVOTDATA("合計 / " &amp; $B19,【ピボット】事業所収支!$A$3,"年月",Q$2,"事業所",$A19),0)</f>
        <v>9842755</v>
      </c>
      <c r="R19" s="1055">
        <f ca="1">IF(T19&gt;=1,1,IF(T19&lt;0.9,-1,0))</f>
        <v>0</v>
      </c>
      <c r="S19" s="1023">
        <f t="shared" ca="1" si="5"/>
        <v>122383162</v>
      </c>
      <c r="T19" s="1434">
        <f ca="1">IF(S14&lt;0,ROUND((S19-S14)/ABS(S14),3),IF(S14=0,0,ROUND(S19/S14,3)))</f>
        <v>0.995</v>
      </c>
      <c r="U19" s="378">
        <f t="shared" ca="1" si="3"/>
        <v>10198596.833333334</v>
      </c>
      <c r="V19" s="1372">
        <f ca="1">IF(X19&gt;=1,1,IF(X19&lt;0.9,-1,0))</f>
        <v>0</v>
      </c>
      <c r="W19" s="1003">
        <f ca="1">S19+(12-IF(ISERROR(MATCH(DATE(YEAR($G$1),MONTH($G$1),1),$F$2:$Q$2,0)),0,MATCH(DATE(YEAR($G$1),MONTH($G$1),1),$F$2:$Q$2,0)))*U19</f>
        <v>122383162</v>
      </c>
      <c r="X19" s="1446">
        <f ca="1">IF(W14&lt;0,ROUND((W19-W14)/ABS(W14),3),IF(W14=0,0,ROUND(W19/W14,3)))</f>
        <v>0.995</v>
      </c>
      <c r="Y19" s="999">
        <v>0.1</v>
      </c>
      <c r="AA19" s="2156"/>
    </row>
    <row r="20" spans="1:27" ht="14.1" customHeight="1" x14ac:dyDescent="0.15">
      <c r="A20" s="413" t="s">
        <v>794</v>
      </c>
      <c r="B20" s="350" t="s">
        <v>15</v>
      </c>
      <c r="C20" s="2167"/>
      <c r="D20" s="2164"/>
      <c r="E20" s="380" t="s">
        <v>15</v>
      </c>
      <c r="F20" s="381">
        <f>IFERROR(GETPIVOTDATA("合計 / " &amp; $B20,【ピボット】事業所収支!$A$3,"年月",F$2,"事業所",$A20),0)</f>
        <v>5686858</v>
      </c>
      <c r="G20" s="382">
        <f>IFERROR(GETPIVOTDATA("合計 / " &amp; $B20,【ピボット】事業所収支!$A$3,"年月",G$2,"事業所",$A20),0)</f>
        <v>5926745</v>
      </c>
      <c r="H20" s="382">
        <f>IFERROR(GETPIVOTDATA("合計 / " &amp; $B20,【ピボット】事業所収支!$A$3,"年月",H$2,"事業所",$A20),0)</f>
        <v>5874921</v>
      </c>
      <c r="I20" s="382">
        <f>IFERROR(GETPIVOTDATA("合計 / " &amp; $B20,【ピボット】事業所収支!$A$3,"年月",I$2,"事業所",$A20),0)</f>
        <v>9246413.5809065793</v>
      </c>
      <c r="J20" s="382">
        <f>IFERROR(GETPIVOTDATA("合計 / " &amp; $B20,【ピボット】事業所収支!$A$3,"年月",J$2,"事業所",$A20),0)</f>
        <v>6117998</v>
      </c>
      <c r="K20" s="382">
        <f>IFERROR(GETPIVOTDATA("合計 / " &amp; $B20,【ピボット】事業所収支!$A$3,"年月",K$2,"事業所",$A20),0)</f>
        <v>5099734</v>
      </c>
      <c r="L20" s="382">
        <f>IFERROR(GETPIVOTDATA("合計 / " &amp; $B20,【ピボット】事業所収支!$A$3,"年月",L$2,"事業所",$A20),0)</f>
        <v>5529722</v>
      </c>
      <c r="M20" s="382">
        <f>IFERROR(GETPIVOTDATA("合計 / " &amp; $B20,【ピボット】事業所収支!$A$3,"年月",M$2,"事業所",$A20),0)</f>
        <v>5610054</v>
      </c>
      <c r="N20" s="382">
        <f>IFERROR(GETPIVOTDATA("合計 / " &amp; $B20,【ピボット】事業所収支!$A$3,"年月",N$2,"事業所",$A20),0)</f>
        <v>5597651</v>
      </c>
      <c r="O20" s="382">
        <f>IFERROR(GETPIVOTDATA("合計 / " &amp; $B20,【ピボット】事業所収支!$A$3,"年月",O$2,"事業所",$A20),0)</f>
        <v>8343946</v>
      </c>
      <c r="P20" s="382">
        <f>IFERROR(GETPIVOTDATA("合計 / " &amp; $B20,【ピボット】事業所収支!$A$3,"年月",P$2,"事業所",$A20),0)</f>
        <v>6323797</v>
      </c>
      <c r="Q20" s="383">
        <f>IFERROR(GETPIVOTDATA("合計 / " &amp; $B20,【ピボット】事業所収支!$A$3,"年月",Q$2,"事業所",$A20),0)</f>
        <v>6012816</v>
      </c>
      <c r="R20" s="1056">
        <f ca="1">IF(T20&lt;=1,1,IF(T20&gt;1.1,-1,0))</f>
        <v>1</v>
      </c>
      <c r="S20" s="1024">
        <f t="shared" ca="1" si="5"/>
        <v>75370655.58090657</v>
      </c>
      <c r="T20" s="1435">
        <f ca="1">IF(S15&lt;0,ROUND((S20-S15)/ABS(S15),3),IF(S15=0,0,ROUND(S20/S15,3)))</f>
        <v>0.873</v>
      </c>
      <c r="U20" s="382">
        <f t="shared" ca="1" si="3"/>
        <v>6280887.9650755478</v>
      </c>
      <c r="V20" s="1373">
        <f ca="1">IF(X20&lt;=1,1,IF(X20&gt;1.1,-1,0))</f>
        <v>1</v>
      </c>
      <c r="W20" s="1004">
        <f ca="1">S20+(12-IF(ISERROR(MATCH(DATE(YEAR($G$1),MONTH($G$1),1),$F$2:$Q$2,0)),0,MATCH(DATE(YEAR($G$1),MONTH($G$1),1),$F$2:$Q$2,0)))*U20</f>
        <v>75370655.58090657</v>
      </c>
      <c r="X20" s="1447">
        <f ca="1">IF(W15&lt;0,ROUND((W20-W15)/ABS(W15),3),IF(W15=0,0,ROUND(W20/W15,3)))</f>
        <v>0.873</v>
      </c>
      <c r="Y20" s="999">
        <v>0.1</v>
      </c>
      <c r="AA20" s="2156"/>
    </row>
    <row r="21" spans="1:27" ht="14.1" customHeight="1" x14ac:dyDescent="0.15">
      <c r="A21" s="413" t="s">
        <v>794</v>
      </c>
      <c r="B21" s="350" t="s">
        <v>448</v>
      </c>
      <c r="C21" s="2167"/>
      <c r="D21" s="2164"/>
      <c r="E21" s="407" t="s">
        <v>448</v>
      </c>
      <c r="F21" s="381">
        <f>IFERROR(GETPIVOTDATA("合計 / " &amp; $B21,【ピボット】事業所収支!$A$3,"年月",F$2,"事業所",$A21),0)</f>
        <v>50090</v>
      </c>
      <c r="G21" s="382">
        <f>IFERROR(GETPIVOTDATA("合計 / " &amp; $B21,【ピボット】事業所収支!$A$3,"年月",G$2,"事業所",$A21),0)</f>
        <v>7621</v>
      </c>
      <c r="H21" s="382">
        <f>IFERROR(GETPIVOTDATA("合計 / " &amp; $B21,【ピボット】事業所収支!$A$3,"年月",H$2,"事業所",$A21),0)</f>
        <v>98400</v>
      </c>
      <c r="I21" s="382">
        <f>IFERROR(GETPIVOTDATA("合計 / " &amp; $B21,【ピボット】事業所収支!$A$3,"年月",I$2,"事業所",$A21),0)</f>
        <v>48600</v>
      </c>
      <c r="J21" s="382">
        <f>IFERROR(GETPIVOTDATA("合計 / " &amp; $B21,【ピボット】事業所収支!$A$3,"年月",J$2,"事業所",$A21),0)</f>
        <v>25920</v>
      </c>
      <c r="K21" s="382">
        <f>IFERROR(GETPIVOTDATA("合計 / " &amp; $B21,【ピボット】事業所収支!$A$3,"年月",K$2,"事業所",$A21),0)</f>
        <v>97200</v>
      </c>
      <c r="L21" s="382">
        <f>IFERROR(GETPIVOTDATA("合計 / " &amp; $B21,【ピボット】事業所収支!$A$3,"年月",L$2,"事業所",$A21),0)</f>
        <v>48600</v>
      </c>
      <c r="M21" s="382">
        <f>IFERROR(GETPIVOTDATA("合計 / " &amp; $B21,【ピボット】事業所収支!$A$3,"年月",M$2,"事業所",$A21),0)</f>
        <v>48600</v>
      </c>
      <c r="N21" s="382">
        <f>IFERROR(GETPIVOTDATA("合計 / " &amp; $B21,【ピボット】事業所収支!$A$3,"年月",N$2,"事業所",$A21),0)</f>
        <v>194400</v>
      </c>
      <c r="O21" s="382">
        <f>IFERROR(GETPIVOTDATA("合計 / " &amp; $B21,【ピボット】事業所収支!$A$3,"年月",O$2,"事業所",$A21),0)</f>
        <v>0</v>
      </c>
      <c r="P21" s="382">
        <f>IFERROR(GETPIVOTDATA("合計 / " &amp; $B21,【ピボット】事業所収支!$A$3,"年月",P$2,"事業所",$A21),0)</f>
        <v>148500</v>
      </c>
      <c r="Q21" s="383">
        <f>IFERROR(GETPIVOTDATA("合計 / " &amp; $B21,【ピボット】事業所収支!$A$3,"年月",Q$2,"事業所",$A21),0)</f>
        <v>97200</v>
      </c>
      <c r="R21" s="1056">
        <f ca="1">IF(T21&lt;=1,1,IF(T21&gt;1.1,-1,0))</f>
        <v>-1</v>
      </c>
      <c r="S21" s="1024">
        <f ca="1">SUM(OFFSET(F21,0,0,1,IF(ISERROR(MATCH(DATE(YEAR($G$1),MONTH($G$1),1),$F$2:$Q$2,0)),0,MATCH(DATE(YEAR($G$1),MONTH($G$1),1),$F$2:$Q$2,0))))</f>
        <v>865131</v>
      </c>
      <c r="T21" s="1435">
        <f ca="1">IF(S16&lt;0,ROUND((S21-S16)/ABS(S16),3),IF(S16=0,0,ROUND(S21/S16,3)))</f>
        <v>1.236</v>
      </c>
      <c r="U21" s="382">
        <f t="shared" ca="1" si="3"/>
        <v>72094.25</v>
      </c>
      <c r="V21" s="1373">
        <f ca="1">IF(X21&lt;=1,1,IF(X21&gt;1.1,-1,0))</f>
        <v>-1</v>
      </c>
      <c r="W21" s="1004">
        <f ca="1">S21+(12-IF(ISERROR(MATCH(DATE(YEAR($G$1),MONTH($G$1),1),$F$2:$Q$2,0)),0,MATCH(DATE(YEAR($G$1),MONTH($G$1),1),$F$2:$Q$2,0)))*U21</f>
        <v>865131</v>
      </c>
      <c r="X21" s="1447">
        <f ca="1">IF(W16&lt;0,ROUND((W21-W16)/ABS(W16),3),IF(W16=0,0,ROUND(W21/W16,3)))</f>
        <v>1.236</v>
      </c>
      <c r="Y21" s="999">
        <v>0.1</v>
      </c>
      <c r="AA21" s="2156"/>
    </row>
    <row r="22" spans="1:27" ht="14.1" customHeight="1" x14ac:dyDescent="0.15">
      <c r="A22" s="413" t="s">
        <v>794</v>
      </c>
      <c r="B22" s="413" t="s">
        <v>1230</v>
      </c>
      <c r="C22" s="2167"/>
      <c r="D22" s="2164"/>
      <c r="E22" s="380" t="s">
        <v>35</v>
      </c>
      <c r="F22" s="381">
        <f>IFERROR(GETPIVOTDATA("合計 / " &amp; $B22,【ピボット】事業所収支!$A$3,"年月",F$2,"事業所",$A22),0)</f>
        <v>693471</v>
      </c>
      <c r="G22" s="382">
        <f>IFERROR(GETPIVOTDATA("合計 / " &amp; $B22,【ピボット】事業所収支!$A$3,"年月",G$2,"事業所",$A22),0)</f>
        <v>731238</v>
      </c>
      <c r="H22" s="382">
        <f>IFERROR(GETPIVOTDATA("合計 / " &amp; $B22,【ピボット】事業所収支!$A$3,"年月",H$2,"事業所",$A22),0)</f>
        <v>718518</v>
      </c>
      <c r="I22" s="382">
        <f>IFERROR(GETPIVOTDATA("合計 / " &amp; $B22,【ピボット】事業所収支!$A$3,"年月",I$2,"事業所",$A22),0)</f>
        <v>1226343</v>
      </c>
      <c r="J22" s="382">
        <f>IFERROR(GETPIVOTDATA("合計 / " &amp; $B22,【ピボット】事業所収支!$A$3,"年月",J$2,"事業所",$A22),0)</f>
        <v>748654</v>
      </c>
      <c r="K22" s="382">
        <f>IFERROR(GETPIVOTDATA("合計 / " &amp; $B22,【ピボット】事業所収支!$A$3,"年月",K$2,"事業所",$A22),0)</f>
        <v>865331</v>
      </c>
      <c r="L22" s="382">
        <f>IFERROR(GETPIVOTDATA("合計 / " &amp; $B22,【ピボット】事業所収支!$A$3,"年月",L$2,"事業所",$A22),0)</f>
        <v>1009607</v>
      </c>
      <c r="M22" s="382">
        <f>IFERROR(GETPIVOTDATA("合計 / " &amp; $B22,【ピボット】事業所収支!$A$3,"年月",M$2,"事業所",$A22),0)</f>
        <v>923174</v>
      </c>
      <c r="N22" s="382">
        <f>IFERROR(GETPIVOTDATA("合計 / " &amp; $B22,【ピボット】事業所収支!$A$3,"年月",N$2,"事業所",$A22),0)</f>
        <v>1100663</v>
      </c>
      <c r="O22" s="382">
        <f>IFERROR(GETPIVOTDATA("合計 / " &amp; $B22,【ピボット】事業所収支!$A$3,"年月",O$2,"事業所",$A22),0)</f>
        <v>816030</v>
      </c>
      <c r="P22" s="382">
        <f>IFERROR(GETPIVOTDATA("合計 / " &amp; $B22,【ピボット】事業所収支!$A$3,"年月",P$2,"事業所",$A22),0)</f>
        <v>1023675</v>
      </c>
      <c r="Q22" s="383">
        <f>IFERROR(GETPIVOTDATA("合計 / " &amp; $B22,【ピボット】事業所収支!$A$3,"年月",Q$2,"事業所",$A22),0)</f>
        <v>1058189</v>
      </c>
      <c r="R22" s="1056">
        <f ca="1">IF(T22&lt;=1,1,IF(T22&gt;1.1,-1,0))</f>
        <v>-1</v>
      </c>
      <c r="S22" s="1024">
        <f t="shared" ca="1" si="5"/>
        <v>10914893</v>
      </c>
      <c r="T22" s="1435">
        <f ca="1">IF(S17&lt;0,ROUND((S22-S17)/ABS(S17),3),IF(S17=0,0,ROUND(S22/S17,3)))</f>
        <v>1.292</v>
      </c>
      <c r="U22" s="382">
        <f t="shared" ca="1" si="3"/>
        <v>909574.41666666663</v>
      </c>
      <c r="V22" s="1373">
        <f ca="1">IF(X22&lt;=1,1,IF(X22&gt;1.1,-1,0))</f>
        <v>-1</v>
      </c>
      <c r="W22" s="1004">
        <f ca="1">S22+(12-IF(ISERROR(MATCH(DATE(YEAR($G$1),MONTH($G$1),1),$F$2:$Q$2,0)),0,MATCH(DATE(YEAR($G$1),MONTH($G$1),1),$F$2:$Q$2,0)))*U22</f>
        <v>10914893</v>
      </c>
      <c r="X22" s="1447">
        <f ca="1">IF(W17&lt;0,ROUND((W22-W17)/ABS(W17),3),IF(W17=0,0,ROUND(W22/W17,3)))</f>
        <v>1.292</v>
      </c>
      <c r="Y22" s="999">
        <v>0.1</v>
      </c>
      <c r="AA22" s="2156"/>
    </row>
    <row r="23" spans="1:27" ht="14.1" customHeight="1" thickBot="1" x14ac:dyDescent="0.2">
      <c r="A23" s="413" t="s">
        <v>794</v>
      </c>
      <c r="B23" s="350" t="s">
        <v>32</v>
      </c>
      <c r="C23" s="2168"/>
      <c r="D23" s="2165"/>
      <c r="E23" s="384" t="s">
        <v>32</v>
      </c>
      <c r="F23" s="385">
        <f>F19-(F20+F22)</f>
        <v>3911574</v>
      </c>
      <c r="G23" s="386">
        <f t="shared" ref="G23:Q23" si="8">G19-(G20+G22)</f>
        <v>3976545</v>
      </c>
      <c r="H23" s="386">
        <f t="shared" si="8"/>
        <v>3125042</v>
      </c>
      <c r="I23" s="386">
        <f>I19-(I20+I22)</f>
        <v>-465424.58090657927</v>
      </c>
      <c r="J23" s="386">
        <f>J19-(J20+J22)</f>
        <v>3184205</v>
      </c>
      <c r="K23" s="386">
        <f t="shared" si="8"/>
        <v>3682762</v>
      </c>
      <c r="L23" s="386">
        <f t="shared" si="8"/>
        <v>3698252</v>
      </c>
      <c r="M23" s="386">
        <f t="shared" si="8"/>
        <v>3767966</v>
      </c>
      <c r="N23" s="386">
        <f t="shared" si="8"/>
        <v>4074513</v>
      </c>
      <c r="O23" s="386">
        <f t="shared" si="8"/>
        <v>675130</v>
      </c>
      <c r="P23" s="386">
        <f t="shared" si="8"/>
        <v>3695299</v>
      </c>
      <c r="Q23" s="387">
        <f t="shared" si="8"/>
        <v>2771750</v>
      </c>
      <c r="R23" s="1057">
        <f ca="1">IF(T23&gt;=0,1,IF(T23&lt;-0.1,-1,0))</f>
        <v>1</v>
      </c>
      <c r="S23" s="1025">
        <f t="shared" ca="1" si="5"/>
        <v>36097613.419093423</v>
      </c>
      <c r="T23" s="1436">
        <f ca="1">IF(S18=0,1-(S20+S22)/S19,IF(S18=S23,0,ROUND((S23-S18)/ABS(S18),3)))</f>
        <v>0.28000000000000003</v>
      </c>
      <c r="U23" s="386">
        <f t="shared" ca="1" si="3"/>
        <v>3008134.4515911187</v>
      </c>
      <c r="V23" s="1374">
        <f ca="1">IF(X23&gt;=0,1,IF(X23&lt;-0.1,-1,0))</f>
        <v>1</v>
      </c>
      <c r="W23" s="1005">
        <f ca="1">S23+(12-IF(ISERROR(MATCH(DATE(YEAR($G$1),MONTH($G$1),1),$F$2:$Q$2,0)),0,MATCH(DATE(YEAR($G$1),MONTH($G$1),1),$F$2:$Q$2,0)))*U23</f>
        <v>36097613.419093423</v>
      </c>
      <c r="X23" s="1448">
        <f ca="1">IF(W18=0,1-(W20+W22)/W19,IF(W18=W23,0,ROUND((W23-W18)/ABS(W18),3)))</f>
        <v>0.28000000000000003</v>
      </c>
      <c r="Y23" s="999">
        <v>0.1</v>
      </c>
      <c r="AA23" s="2156"/>
    </row>
    <row r="24" spans="1:27" ht="14.1" customHeight="1" x14ac:dyDescent="0.15">
      <c r="B24" s="350" t="s">
        <v>26</v>
      </c>
      <c r="C24" s="2166" t="s">
        <v>37</v>
      </c>
      <c r="D24" s="2160" t="s">
        <v>443</v>
      </c>
      <c r="E24" s="360" t="s">
        <v>26</v>
      </c>
      <c r="F24" s="361">
        <v>6000000</v>
      </c>
      <c r="G24" s="362">
        <v>6100000</v>
      </c>
      <c r="H24" s="362">
        <v>6100000</v>
      </c>
      <c r="I24" s="362">
        <v>6000000</v>
      </c>
      <c r="J24" s="362">
        <v>6100000</v>
      </c>
      <c r="K24" s="362">
        <v>6100000</v>
      </c>
      <c r="L24" s="362">
        <v>6200000</v>
      </c>
      <c r="M24" s="362">
        <v>6300000</v>
      </c>
      <c r="N24" s="362">
        <v>6300000</v>
      </c>
      <c r="O24" s="362">
        <v>6300000</v>
      </c>
      <c r="P24" s="362">
        <v>6400000</v>
      </c>
      <c r="Q24" s="363">
        <v>6300000</v>
      </c>
      <c r="R24" s="1385"/>
      <c r="S24" s="1020">
        <f t="shared" ca="1" si="5"/>
        <v>74200000</v>
      </c>
      <c r="T24" s="1431"/>
      <c r="U24" s="364">
        <f t="shared" ca="1" si="3"/>
        <v>6183333.333333333</v>
      </c>
      <c r="V24" s="1375"/>
      <c r="W24" s="1001">
        <f>SUM(F24:Q24)</f>
        <v>74200000</v>
      </c>
      <c r="X24" s="1442"/>
    </row>
    <row r="25" spans="1:27" ht="14.1" customHeight="1" x14ac:dyDescent="0.15">
      <c r="B25" s="350" t="s">
        <v>15</v>
      </c>
      <c r="C25" s="2167"/>
      <c r="D25" s="2161"/>
      <c r="E25" s="366" t="s">
        <v>15</v>
      </c>
      <c r="F25" s="367">
        <v>3300000</v>
      </c>
      <c r="G25" s="368">
        <v>3400000</v>
      </c>
      <c r="H25" s="368">
        <v>3300000</v>
      </c>
      <c r="I25" s="368">
        <v>8000000</v>
      </c>
      <c r="J25" s="368">
        <v>3300000</v>
      </c>
      <c r="K25" s="368">
        <v>3300000</v>
      </c>
      <c r="L25" s="368">
        <v>3300000</v>
      </c>
      <c r="M25" s="368">
        <v>3400000</v>
      </c>
      <c r="N25" s="368">
        <v>3400000</v>
      </c>
      <c r="O25" s="368">
        <v>8000000</v>
      </c>
      <c r="P25" s="368">
        <v>3400000</v>
      </c>
      <c r="Q25" s="369">
        <v>3400000</v>
      </c>
      <c r="R25" s="1386"/>
      <c r="S25" s="1021">
        <f t="shared" ca="1" si="5"/>
        <v>49500000</v>
      </c>
      <c r="T25" s="1432"/>
      <c r="U25" s="370">
        <f t="shared" ca="1" si="3"/>
        <v>4125000</v>
      </c>
      <c r="V25" s="1376"/>
      <c r="W25" s="1000">
        <f>SUM(F25:Q25)</f>
        <v>49500000</v>
      </c>
      <c r="X25" s="1443"/>
    </row>
    <row r="26" spans="1:27" ht="14.1" customHeight="1" x14ac:dyDescent="0.15">
      <c r="B26" s="350" t="s">
        <v>447</v>
      </c>
      <c r="C26" s="2167"/>
      <c r="D26" s="2161"/>
      <c r="E26" s="406" t="s">
        <v>447</v>
      </c>
      <c r="F26" s="367">
        <v>50000</v>
      </c>
      <c r="G26" s="368">
        <v>50000</v>
      </c>
      <c r="H26" s="368">
        <v>100000</v>
      </c>
      <c r="I26" s="368">
        <v>50000</v>
      </c>
      <c r="J26" s="368">
        <v>50000</v>
      </c>
      <c r="K26" s="368">
        <v>50000</v>
      </c>
      <c r="L26" s="368">
        <v>100000</v>
      </c>
      <c r="M26" s="368">
        <v>50000</v>
      </c>
      <c r="N26" s="368">
        <v>50000</v>
      </c>
      <c r="O26" s="368">
        <v>50000</v>
      </c>
      <c r="P26" s="368">
        <v>100000</v>
      </c>
      <c r="Q26" s="369">
        <v>50000</v>
      </c>
      <c r="R26" s="1386"/>
      <c r="S26" s="1021">
        <f t="shared" ca="1" si="5"/>
        <v>750000</v>
      </c>
      <c r="T26" s="1432"/>
      <c r="U26" s="370">
        <f t="shared" ca="1" si="3"/>
        <v>62500</v>
      </c>
      <c r="V26" s="1376"/>
      <c r="W26" s="1000">
        <f>SUM(F26:Q26)</f>
        <v>750000</v>
      </c>
      <c r="X26" s="1443"/>
    </row>
    <row r="27" spans="1:27" ht="14.1" customHeight="1" x14ac:dyDescent="0.15">
      <c r="B27" s="413" t="s">
        <v>1230</v>
      </c>
      <c r="C27" s="2167"/>
      <c r="D27" s="2161"/>
      <c r="E27" s="366" t="s">
        <v>35</v>
      </c>
      <c r="F27" s="367">
        <v>900000</v>
      </c>
      <c r="G27" s="368">
        <v>900000</v>
      </c>
      <c r="H27" s="368">
        <v>900000</v>
      </c>
      <c r="I27" s="368">
        <v>900000</v>
      </c>
      <c r="J27" s="368">
        <v>900000</v>
      </c>
      <c r="K27" s="368">
        <v>900000</v>
      </c>
      <c r="L27" s="368">
        <v>900000</v>
      </c>
      <c r="M27" s="368">
        <v>900000</v>
      </c>
      <c r="N27" s="368">
        <v>900000</v>
      </c>
      <c r="O27" s="368">
        <v>900000</v>
      </c>
      <c r="P27" s="368">
        <v>900000</v>
      </c>
      <c r="Q27" s="369">
        <v>900000</v>
      </c>
      <c r="R27" s="1386"/>
      <c r="S27" s="1021">
        <f t="shared" ca="1" si="5"/>
        <v>10800000</v>
      </c>
      <c r="T27" s="1432"/>
      <c r="U27" s="370">
        <f t="shared" ca="1" si="3"/>
        <v>900000</v>
      </c>
      <c r="V27" s="1376"/>
      <c r="W27" s="1000">
        <f>SUM(F27:Q27)</f>
        <v>10800000</v>
      </c>
      <c r="X27" s="1443"/>
    </row>
    <row r="28" spans="1:27" ht="14.1" customHeight="1" thickBot="1" x14ac:dyDescent="0.2">
      <c r="B28" s="350" t="s">
        <v>32</v>
      </c>
      <c r="C28" s="2167"/>
      <c r="D28" s="2162"/>
      <c r="E28" s="372" t="s">
        <v>32</v>
      </c>
      <c r="F28" s="373">
        <f t="shared" ref="F28:Q28" si="9">F24-(F25+F27)</f>
        <v>1800000</v>
      </c>
      <c r="G28" s="374">
        <f t="shared" si="9"/>
        <v>1800000</v>
      </c>
      <c r="H28" s="374">
        <f t="shared" si="9"/>
        <v>1900000</v>
      </c>
      <c r="I28" s="374">
        <f t="shared" si="9"/>
        <v>-2900000</v>
      </c>
      <c r="J28" s="374">
        <f t="shared" si="9"/>
        <v>1900000</v>
      </c>
      <c r="K28" s="374">
        <f t="shared" si="9"/>
        <v>1900000</v>
      </c>
      <c r="L28" s="374">
        <f t="shared" si="9"/>
        <v>2000000</v>
      </c>
      <c r="M28" s="374">
        <f t="shared" si="9"/>
        <v>2000000</v>
      </c>
      <c r="N28" s="374">
        <f t="shared" si="9"/>
        <v>2000000</v>
      </c>
      <c r="O28" s="374">
        <f t="shared" si="9"/>
        <v>-2600000</v>
      </c>
      <c r="P28" s="374">
        <f t="shared" si="9"/>
        <v>2100000</v>
      </c>
      <c r="Q28" s="375">
        <f t="shared" si="9"/>
        <v>2000000</v>
      </c>
      <c r="R28" s="1387"/>
      <c r="S28" s="1022">
        <f t="shared" ca="1" si="5"/>
        <v>13900000</v>
      </c>
      <c r="T28" s="1433"/>
      <c r="U28" s="374">
        <f t="shared" ca="1" si="3"/>
        <v>1158333.3333333333</v>
      </c>
      <c r="V28" s="1377"/>
      <c r="W28" s="1002">
        <f>SUM(F28:Q28)</f>
        <v>13900000</v>
      </c>
      <c r="X28" s="1445"/>
    </row>
    <row r="29" spans="1:27" ht="14.1" customHeight="1" x14ac:dyDescent="0.15">
      <c r="A29" s="413" t="s">
        <v>795</v>
      </c>
      <c r="B29" s="350" t="s">
        <v>26</v>
      </c>
      <c r="C29" s="2167"/>
      <c r="D29" s="2163" t="s">
        <v>444</v>
      </c>
      <c r="E29" s="376" t="s">
        <v>26</v>
      </c>
      <c r="F29" s="377">
        <f>IFERROR(GETPIVOTDATA("合計 / " &amp; $B29,【ピボット】事業所収支!$A$3,"年月",F$2,"事業所",$A29),0)</f>
        <v>6023613</v>
      </c>
      <c r="G29" s="378">
        <f>IFERROR(GETPIVOTDATA("合計 / " &amp; $B29,【ピボット】事業所収支!$A$3,"年月",G$2,"事業所",$A29),0)</f>
        <v>6290993</v>
      </c>
      <c r="H29" s="378">
        <f>IFERROR(GETPIVOTDATA("合計 / " &amp; $B29,【ピボット】事業所収支!$A$3,"年月",H$2,"事業所",$A29),0)</f>
        <v>5954408</v>
      </c>
      <c r="I29" s="378">
        <f>IFERROR(GETPIVOTDATA("合計 / " &amp; $B29,【ピボット】事業所収支!$A$3,"年月",I$2,"事業所",$A29),0)</f>
        <v>5963920</v>
      </c>
      <c r="J29" s="378">
        <f>IFERROR(GETPIVOTDATA("合計 / " &amp; $B29,【ピボット】事業所収支!$A$3,"年月",J$2,"事業所",$A29),0)</f>
        <v>5489569</v>
      </c>
      <c r="K29" s="378">
        <f>IFERROR(GETPIVOTDATA("合計 / " &amp; $B29,【ピボット】事業所収支!$A$3,"年月",K$2,"事業所",$A29),0)</f>
        <v>5383737</v>
      </c>
      <c r="L29" s="378">
        <f>IFERROR(GETPIVOTDATA("合計 / " &amp; $B29,【ピボット】事業所収支!$A$3,"年月",L$2,"事業所",$A29),0)</f>
        <v>5385437</v>
      </c>
      <c r="M29" s="378">
        <f>IFERROR(GETPIVOTDATA("合計 / " &amp; $B29,【ピボット】事業所収支!$A$3,"年月",M$2,"事業所",$A29),0)</f>
        <v>7729590</v>
      </c>
      <c r="N29" s="378">
        <f>IFERROR(GETPIVOTDATA("合計 / " &amp; $B29,【ピボット】事業所収支!$A$3,"年月",N$2,"事業所",$A29),0)</f>
        <v>6731026</v>
      </c>
      <c r="O29" s="378">
        <f>IFERROR(GETPIVOTDATA("合計 / " &amp; $B29,【ピボット】事業所収支!$A$3,"年月",O$2,"事業所",$A29),0)</f>
        <v>6530234</v>
      </c>
      <c r="P29" s="378">
        <f>IFERROR(GETPIVOTDATA("合計 / " &amp; $B29,【ピボット】事業所収支!$A$3,"年月",P$2,"事業所",$A29),0)</f>
        <v>6075758</v>
      </c>
      <c r="Q29" s="379">
        <f>IFERROR(GETPIVOTDATA("合計 / " &amp; $B29,【ピボット】事業所収支!$A$3,"年月",Q$2,"事業所",$A29),0)</f>
        <v>6170804</v>
      </c>
      <c r="R29" s="1056">
        <f ca="1">IF(T29&gt;=1,1,IF(T29&lt;0.9,-1,0))</f>
        <v>0</v>
      </c>
      <c r="S29" s="1023">
        <f t="shared" ca="1" si="5"/>
        <v>73729089</v>
      </c>
      <c r="T29" s="1434">
        <f ca="1">IF(S24&lt;0,ROUND((S29-S24)/ABS(S24),3),IF(S24=0,0,ROUND(S29/S24,3)))</f>
        <v>0.99399999999999999</v>
      </c>
      <c r="U29" s="378">
        <f t="shared" ca="1" si="3"/>
        <v>6144090.75</v>
      </c>
      <c r="V29" s="1373">
        <f ca="1">IF(X29&gt;=1,1,IF(X29&lt;0.9,-1,0))</f>
        <v>0</v>
      </c>
      <c r="W29" s="1003">
        <f ca="1">S29+(12-IF(ISERROR(MATCH(DATE(YEAR($G$1),MONTH($G$1),1),$F$2:$Q$2,0)),0,MATCH(DATE(YEAR($G$1),MONTH($G$1),1),$F$2:$Q$2,0)))*U29</f>
        <v>73729089</v>
      </c>
      <c r="X29" s="1446">
        <f ca="1">IF(W24&lt;0,ROUND((W29-W24)/ABS(W24),3),IF(W24=0,0,ROUND(W29/W24,3)))</f>
        <v>0.99399999999999999</v>
      </c>
      <c r="Y29" s="999">
        <v>0.1</v>
      </c>
    </row>
    <row r="30" spans="1:27" ht="14.1" customHeight="1" x14ac:dyDescent="0.15">
      <c r="A30" s="413" t="s">
        <v>795</v>
      </c>
      <c r="B30" s="350" t="s">
        <v>15</v>
      </c>
      <c r="C30" s="2167"/>
      <c r="D30" s="2164"/>
      <c r="E30" s="380" t="s">
        <v>15</v>
      </c>
      <c r="F30" s="381">
        <f>IFERROR(GETPIVOTDATA("合計 / " &amp; $B30,【ピボット】事業所収支!$A$3,"年月",F$2,"事業所",$A30),0)</f>
        <v>3526461</v>
      </c>
      <c r="G30" s="382">
        <f>IFERROR(GETPIVOTDATA("合計 / " &amp; $B30,【ピボット】事業所収支!$A$3,"年月",G$2,"事業所",$A30),0)</f>
        <v>3995529</v>
      </c>
      <c r="H30" s="382">
        <f>IFERROR(GETPIVOTDATA("合計 / " &amp; $B30,【ピボット】事業所収支!$A$3,"年月",H$2,"事業所",$A30),0)</f>
        <v>3856901</v>
      </c>
      <c r="I30" s="382">
        <f>IFERROR(GETPIVOTDATA("合計 / " &amp; $B30,【ピボット】事業所収支!$A$3,"年月",I$2,"事業所",$A30),0)</f>
        <v>6896121.9664213415</v>
      </c>
      <c r="J30" s="382">
        <f>IFERROR(GETPIVOTDATA("合計 / " &amp; $B30,【ピボット】事業所収支!$A$3,"年月",J$2,"事業所",$A30),0)</f>
        <v>4873990</v>
      </c>
      <c r="K30" s="382">
        <f>IFERROR(GETPIVOTDATA("合計 / " &amp; $B30,【ピボット】事業所収支!$A$3,"年月",K$2,"事業所",$A30),0)</f>
        <v>4190881</v>
      </c>
      <c r="L30" s="382">
        <f>IFERROR(GETPIVOTDATA("合計 / " &amp; $B30,【ピボット】事業所収支!$A$3,"年月",L$2,"事業所",$A30),0)</f>
        <v>4189364</v>
      </c>
      <c r="M30" s="382">
        <f>IFERROR(GETPIVOTDATA("合計 / " &amp; $B30,【ピボット】事業所収支!$A$3,"年月",M$2,"事業所",$A30),0)</f>
        <v>4150320</v>
      </c>
      <c r="N30" s="382">
        <f>IFERROR(GETPIVOTDATA("合計 / " &amp; $B30,【ピボット】事業所収支!$A$3,"年月",N$2,"事業所",$A30),0)</f>
        <v>3950891</v>
      </c>
      <c r="O30" s="382">
        <f>IFERROR(GETPIVOTDATA("合計 / " &amp; $B30,【ピボット】事業所収支!$A$3,"年月",O$2,"事業所",$A30),0)</f>
        <v>4746420</v>
      </c>
      <c r="P30" s="382">
        <f>IFERROR(GETPIVOTDATA("合計 / " &amp; $B30,【ピボット】事業所収支!$A$3,"年月",P$2,"事業所",$A30),0)</f>
        <v>4651239</v>
      </c>
      <c r="Q30" s="383">
        <f>IFERROR(GETPIVOTDATA("合計 / " &amp; $B30,【ピボット】事業所収支!$A$3,"年月",Q$2,"事業所",$A30),0)</f>
        <v>4848520</v>
      </c>
      <c r="R30" s="1056">
        <f ca="1">IF(T30&lt;=1,1,IF(T30&gt;1.1,-1,0))</f>
        <v>0</v>
      </c>
      <c r="S30" s="1024">
        <f t="shared" ca="1" si="5"/>
        <v>53876637.966421343</v>
      </c>
      <c r="T30" s="1435">
        <f ca="1">IF(S25&lt;0,ROUND((S30-S25)/ABS(S25),3),IF(S25=0,0,ROUND(S30/S25,3)))</f>
        <v>1.0880000000000001</v>
      </c>
      <c r="U30" s="382">
        <f t="shared" ca="1" si="3"/>
        <v>4489719.8305351119</v>
      </c>
      <c r="V30" s="1373">
        <f ca="1">IF(X30&lt;=1,1,IF(X30&gt;1.1,-1,0))</f>
        <v>0</v>
      </c>
      <c r="W30" s="1004">
        <f ca="1">S30+(12-IF(ISERROR(MATCH(DATE(YEAR($G$1),MONTH($G$1),1),$F$2:$Q$2,0)),0,MATCH(DATE(YEAR($G$1),MONTH($G$1),1),$F$2:$Q$2,0)))*U30</f>
        <v>53876637.966421343</v>
      </c>
      <c r="X30" s="1447">
        <f ca="1">IF(W25&lt;0,ROUND((W30-W25)/ABS(W25),3),IF(W25=0,0,ROUND(W30/W25,3)))</f>
        <v>1.0880000000000001</v>
      </c>
      <c r="Y30" s="999">
        <v>0.1</v>
      </c>
    </row>
    <row r="31" spans="1:27" ht="14.1" customHeight="1" x14ac:dyDescent="0.15">
      <c r="A31" s="413" t="s">
        <v>795</v>
      </c>
      <c r="B31" s="350" t="s">
        <v>448</v>
      </c>
      <c r="C31" s="2167"/>
      <c r="D31" s="2164"/>
      <c r="E31" s="407" t="s">
        <v>448</v>
      </c>
      <c r="F31" s="381">
        <f>IFERROR(GETPIVOTDATA("合計 / " &amp; $B31,【ピボット】事業所収支!$A$3,"年月",F$2,"事業所",$A31),0)</f>
        <v>48600</v>
      </c>
      <c r="G31" s="382">
        <f>IFERROR(GETPIVOTDATA("合計 / " &amp; $B31,【ピボット】事業所収支!$A$3,"年月",G$2,"事業所",$A31),0)</f>
        <v>47952</v>
      </c>
      <c r="H31" s="382">
        <f>IFERROR(GETPIVOTDATA("合計 / " &amp; $B31,【ピボット】事業所収支!$A$3,"年月",H$2,"事業所",$A31),0)</f>
        <v>48600</v>
      </c>
      <c r="I31" s="382">
        <f>IFERROR(GETPIVOTDATA("合計 / " &amp; $B31,【ピボット】事業所収支!$A$3,"年月",I$2,"事業所",$A31),0)</f>
        <v>47952</v>
      </c>
      <c r="J31" s="382">
        <f>IFERROR(GETPIVOTDATA("合計 / " &amp; $B31,【ピボット】事業所収支!$A$3,"年月",J$2,"事業所",$A31),0)</f>
        <v>47952</v>
      </c>
      <c r="K31" s="382">
        <f>IFERROR(GETPIVOTDATA("合計 / " &amp; $B31,【ピボット】事業所収支!$A$3,"年月",K$2,"事業所",$A31),0)</f>
        <v>47952</v>
      </c>
      <c r="L31" s="382">
        <f>IFERROR(GETPIVOTDATA("合計 / " &amp; $B31,【ピボット】事業所収支!$A$3,"年月",L$2,"事業所",$A31),0)</f>
        <v>112752</v>
      </c>
      <c r="M31" s="382">
        <f>IFERROR(GETPIVOTDATA("合計 / " &amp; $B31,【ピボット】事業所収支!$A$3,"年月",M$2,"事業所",$A31),0)</f>
        <v>81000</v>
      </c>
      <c r="N31" s="382">
        <f>IFERROR(GETPIVOTDATA("合計 / " &amp; $B31,【ピボット】事業所収支!$A$3,"年月",N$2,"事業所",$A31),0)</f>
        <v>1000</v>
      </c>
      <c r="O31" s="382">
        <f>IFERROR(GETPIVOTDATA("合計 / " &amp; $B31,【ピボット】事業所収支!$A$3,"年月",O$2,"事業所",$A31),0)</f>
        <v>0</v>
      </c>
      <c r="P31" s="382">
        <f>IFERROR(GETPIVOTDATA("合計 / " &amp; $B31,【ピボット】事業所収支!$A$3,"年月",P$2,"事業所",$A31),0)</f>
        <v>51840</v>
      </c>
      <c r="Q31" s="383">
        <f>IFERROR(GETPIVOTDATA("合計 / " &amp; $B31,【ピボット】事業所収支!$A$3,"年月",Q$2,"事業所",$A31),0)</f>
        <v>0</v>
      </c>
      <c r="R31" s="1056">
        <f ca="1">IF(T31&lt;=1,1,IF(T31&gt;1.1,-1,0))</f>
        <v>1</v>
      </c>
      <c r="S31" s="1024">
        <f t="shared" ca="1" si="5"/>
        <v>535600</v>
      </c>
      <c r="T31" s="1435">
        <f ca="1">IF(S26&lt;0,ROUND((S31-S26)/ABS(S26),3),IF(S26=0,0,ROUND(S31/S26,3)))</f>
        <v>0.71399999999999997</v>
      </c>
      <c r="U31" s="382">
        <f t="shared" ca="1" si="3"/>
        <v>44633.333333333336</v>
      </c>
      <c r="V31" s="1373">
        <f ca="1">IF(X31&lt;=1,1,IF(X31&gt;1.1,-1,0))</f>
        <v>1</v>
      </c>
      <c r="W31" s="1004">
        <f ca="1">S31+(12-IF(ISERROR(MATCH(DATE(YEAR($G$1),MONTH($G$1),1),$F$2:$Q$2,0)),0,MATCH(DATE(YEAR($G$1),MONTH($G$1),1),$F$2:$Q$2,0)))*U31</f>
        <v>535600</v>
      </c>
      <c r="X31" s="1447">
        <f ca="1">IF(W26&lt;0,ROUND((W31-W26)/ABS(W26),3),IF(W26=0,0,ROUND(W31/W26,3)))</f>
        <v>0.71399999999999997</v>
      </c>
      <c r="Y31" s="999">
        <v>0.1</v>
      </c>
    </row>
    <row r="32" spans="1:27" ht="14.1" customHeight="1" x14ac:dyDescent="0.15">
      <c r="A32" s="413" t="s">
        <v>795</v>
      </c>
      <c r="B32" s="413" t="s">
        <v>1235</v>
      </c>
      <c r="C32" s="2167"/>
      <c r="D32" s="2164"/>
      <c r="E32" s="380" t="s">
        <v>35</v>
      </c>
      <c r="F32" s="381">
        <f>IFERROR(GETPIVOTDATA("合計 / " &amp; $B32,【ピボット】事業所収支!$A$3,"年月",F$2,"事業所",$A32),0)</f>
        <v>942537</v>
      </c>
      <c r="G32" s="382">
        <f>IFERROR(GETPIVOTDATA("合計 / " &amp; $B32,【ピボット】事業所収支!$A$3,"年月",G$2,"事業所",$A32),0)</f>
        <v>879489</v>
      </c>
      <c r="H32" s="382">
        <f>IFERROR(GETPIVOTDATA("合計 / " &amp; $B32,【ピボット】事業所収支!$A$3,"年月",H$2,"事業所",$A32),0)</f>
        <v>1009541</v>
      </c>
      <c r="I32" s="382">
        <f>IFERROR(GETPIVOTDATA("合計 / " &amp; $B32,【ピボット】事業所収支!$A$3,"年月",I$2,"事業所",$A32),0)</f>
        <v>894494</v>
      </c>
      <c r="J32" s="382">
        <f>IFERROR(GETPIVOTDATA("合計 / " &amp; $B32,【ピボット】事業所収支!$A$3,"年月",J$2,"事業所",$A32),0)</f>
        <v>973495</v>
      </c>
      <c r="K32" s="382">
        <f>IFERROR(GETPIVOTDATA("合計 / " &amp; $B32,【ピボット】事業所収支!$A$3,"年月",K$2,"事業所",$A32),0)</f>
        <v>981443</v>
      </c>
      <c r="L32" s="382">
        <f>IFERROR(GETPIVOTDATA("合計 / " &amp; $B32,【ピボット】事業所収支!$A$3,"年月",L$2,"事業所",$A32),0)</f>
        <v>1138983</v>
      </c>
      <c r="M32" s="382">
        <f>IFERROR(GETPIVOTDATA("合計 / " &amp; $B32,【ピボット】事業所収支!$A$3,"年月",M$2,"事業所",$A32),0)</f>
        <v>1027364</v>
      </c>
      <c r="N32" s="382">
        <f>IFERROR(GETPIVOTDATA("合計 / " &amp; $B32,【ピボット】事業所収支!$A$3,"年月",N$2,"事業所",$A32),0)</f>
        <v>1004094</v>
      </c>
      <c r="O32" s="382">
        <f>IFERROR(GETPIVOTDATA("合計 / " &amp; $B32,【ピボット】事業所収支!$A$3,"年月",O$2,"事業所",$A32),0)</f>
        <v>1000461</v>
      </c>
      <c r="P32" s="382">
        <f>IFERROR(GETPIVOTDATA("合計 / " &amp; $B32,【ピボット】事業所収支!$A$3,"年月",P$2,"事業所",$A32),0)</f>
        <v>1024705</v>
      </c>
      <c r="Q32" s="383">
        <f>IFERROR(GETPIVOTDATA("合計 / " &amp; $B32,【ピボット】事業所収支!$A$3,"年月",Q$2,"事業所",$A32),0)</f>
        <v>972141</v>
      </c>
      <c r="R32" s="1056">
        <f ca="1">IF(T32&lt;=1,1,IF(T32&gt;1.1,-1,0))</f>
        <v>0</v>
      </c>
      <c r="S32" s="1024">
        <f t="shared" ca="1" si="5"/>
        <v>11848747</v>
      </c>
      <c r="T32" s="1435">
        <f ca="1">IF(S27&lt;0,ROUND((S32-S27)/ABS(S27),3),IF(S27=0,0,ROUND(S32/S27,3)))</f>
        <v>1.097</v>
      </c>
      <c r="U32" s="382">
        <f t="shared" ca="1" si="3"/>
        <v>987395.58333333337</v>
      </c>
      <c r="V32" s="1373">
        <f ca="1">IF(X32&lt;=1,1,IF(X32&gt;1.1,-1,0))</f>
        <v>0</v>
      </c>
      <c r="W32" s="1004">
        <f ca="1">S32+(12-IF(ISERROR(MATCH(DATE(YEAR($G$1),MONTH($G$1),1),$F$2:$Q$2,0)),0,MATCH(DATE(YEAR($G$1),MONTH($G$1),1),$F$2:$Q$2,0)))*U32</f>
        <v>11848747</v>
      </c>
      <c r="X32" s="1447">
        <f ca="1">IF(W27&lt;0,ROUND((W32-W27)/ABS(W27),3),IF(W27=0,0,ROUND(W32/W27,3)))</f>
        <v>1.097</v>
      </c>
      <c r="Y32" s="999">
        <v>0.1</v>
      </c>
    </row>
    <row r="33" spans="1:25" ht="14.1" customHeight="1" thickBot="1" x14ac:dyDescent="0.2">
      <c r="A33" s="413" t="s">
        <v>795</v>
      </c>
      <c r="B33" s="350" t="s">
        <v>32</v>
      </c>
      <c r="C33" s="2168"/>
      <c r="D33" s="2165"/>
      <c r="E33" s="384" t="s">
        <v>32</v>
      </c>
      <c r="F33" s="385">
        <f t="shared" ref="F33:Q33" si="10">F29-(F30+F32)</f>
        <v>1554615</v>
      </c>
      <c r="G33" s="386">
        <f t="shared" si="10"/>
        <v>1415975</v>
      </c>
      <c r="H33" s="386">
        <f t="shared" si="10"/>
        <v>1087966</v>
      </c>
      <c r="I33" s="386">
        <f t="shared" si="10"/>
        <v>-1826695.9664213415</v>
      </c>
      <c r="J33" s="386">
        <f t="shared" si="10"/>
        <v>-357916</v>
      </c>
      <c r="K33" s="386">
        <f t="shared" si="10"/>
        <v>211413</v>
      </c>
      <c r="L33" s="386">
        <f t="shared" si="10"/>
        <v>57090</v>
      </c>
      <c r="M33" s="386">
        <f t="shared" si="10"/>
        <v>2551906</v>
      </c>
      <c r="N33" s="386">
        <f t="shared" si="10"/>
        <v>1776041</v>
      </c>
      <c r="O33" s="386">
        <f t="shared" si="10"/>
        <v>783353</v>
      </c>
      <c r="P33" s="386">
        <f t="shared" si="10"/>
        <v>399814</v>
      </c>
      <c r="Q33" s="387">
        <f t="shared" si="10"/>
        <v>350143</v>
      </c>
      <c r="R33" s="1056">
        <f ca="1">IF(T33&gt;=0,1,IF(T33&lt;-0.1,-1,0))</f>
        <v>-1</v>
      </c>
      <c r="S33" s="1025">
        <f t="shared" ca="1" si="5"/>
        <v>8003704.0335786585</v>
      </c>
      <c r="T33" s="1436">
        <f ca="1">IF(S28=0,1-(S30+S32)/S29,IF(S28=S33,0,ROUND((S33-S28)/ABS(S28),3)))</f>
        <v>-0.42399999999999999</v>
      </c>
      <c r="U33" s="386">
        <f t="shared" ca="1" si="3"/>
        <v>666975.33613155491</v>
      </c>
      <c r="V33" s="1373">
        <f ca="1">IF(X33&gt;=0,1,IF(X33&lt;-0.1,-1,0))</f>
        <v>-1</v>
      </c>
      <c r="W33" s="1005">
        <f ca="1">S33+(12-IF(ISERROR(MATCH(DATE(YEAR($G$1),MONTH($G$1),1),$F$2:$Q$2,0)),0,MATCH(DATE(YEAR($G$1),MONTH($G$1),1),$F$2:$Q$2,0)))*U33</f>
        <v>8003704.0335786585</v>
      </c>
      <c r="X33" s="1448">
        <f ca="1">IF(W28=0,1-(W30+W32)/W29,IF(W28=W33,0,ROUND((W33-W28)/ABS(W28),3)))</f>
        <v>-0.42399999999999999</v>
      </c>
      <c r="Y33" s="999">
        <v>0.1</v>
      </c>
    </row>
    <row r="34" spans="1:25" ht="14.1" customHeight="1" x14ac:dyDescent="0.15">
      <c r="B34" s="350" t="s">
        <v>26</v>
      </c>
      <c r="C34" s="2166" t="s">
        <v>66</v>
      </c>
      <c r="D34" s="2160" t="s">
        <v>443</v>
      </c>
      <c r="E34" s="360" t="s">
        <v>26</v>
      </c>
      <c r="F34" s="361">
        <v>6000000</v>
      </c>
      <c r="G34" s="362">
        <v>6200000</v>
      </c>
      <c r="H34" s="362">
        <v>6300000</v>
      </c>
      <c r="I34" s="362">
        <v>6500000</v>
      </c>
      <c r="J34" s="362">
        <v>6500000</v>
      </c>
      <c r="K34" s="362">
        <v>6500000</v>
      </c>
      <c r="L34" s="362">
        <v>6700000</v>
      </c>
      <c r="M34" s="362">
        <v>6800000</v>
      </c>
      <c r="N34" s="362">
        <v>6800000</v>
      </c>
      <c r="O34" s="362">
        <v>6900000</v>
      </c>
      <c r="P34" s="362">
        <v>7000000</v>
      </c>
      <c r="Q34" s="363">
        <v>7000000</v>
      </c>
      <c r="R34" s="1385"/>
      <c r="S34" s="1020">
        <f t="shared" ca="1" si="5"/>
        <v>79200000</v>
      </c>
      <c r="T34" s="1431"/>
      <c r="U34" s="364">
        <f t="shared" ca="1" si="3"/>
        <v>6600000</v>
      </c>
      <c r="V34" s="1375"/>
      <c r="W34" s="1001">
        <f>SUM(F34:Q34)</f>
        <v>79200000</v>
      </c>
      <c r="X34" s="1442"/>
    </row>
    <row r="35" spans="1:25" ht="14.1" customHeight="1" x14ac:dyDescent="0.15">
      <c r="B35" s="350" t="s">
        <v>15</v>
      </c>
      <c r="C35" s="2167"/>
      <c r="D35" s="2161"/>
      <c r="E35" s="366" t="s">
        <v>15</v>
      </c>
      <c r="F35" s="367">
        <v>3800000</v>
      </c>
      <c r="G35" s="368">
        <v>4000000</v>
      </c>
      <c r="H35" s="368">
        <v>4000000</v>
      </c>
      <c r="I35" s="368">
        <v>6500000</v>
      </c>
      <c r="J35" s="368">
        <v>4000000</v>
      </c>
      <c r="K35" s="368">
        <v>4200000</v>
      </c>
      <c r="L35" s="368">
        <v>4200000</v>
      </c>
      <c r="M35" s="368">
        <v>4200000</v>
      </c>
      <c r="N35" s="368">
        <v>4200000</v>
      </c>
      <c r="O35" s="368">
        <v>7000000</v>
      </c>
      <c r="P35" s="368">
        <v>4200000</v>
      </c>
      <c r="Q35" s="369">
        <v>4200000</v>
      </c>
      <c r="R35" s="1386"/>
      <c r="S35" s="1021">
        <f t="shared" ca="1" si="5"/>
        <v>54500000</v>
      </c>
      <c r="T35" s="1432"/>
      <c r="U35" s="370">
        <f t="shared" ca="1" si="3"/>
        <v>4541666.666666667</v>
      </c>
      <c r="V35" s="1376"/>
      <c r="W35" s="1000">
        <f>SUM(F35:Q35)</f>
        <v>54500000</v>
      </c>
      <c r="X35" s="1443"/>
    </row>
    <row r="36" spans="1:25" ht="14.1" customHeight="1" x14ac:dyDescent="0.15">
      <c r="B36" s="350" t="s">
        <v>447</v>
      </c>
      <c r="C36" s="2167"/>
      <c r="D36" s="2161"/>
      <c r="E36" s="406" t="s">
        <v>447</v>
      </c>
      <c r="F36" s="367">
        <v>150000</v>
      </c>
      <c r="G36" s="368">
        <v>50000</v>
      </c>
      <c r="H36" s="368">
        <v>50000</v>
      </c>
      <c r="I36" s="368">
        <v>100000</v>
      </c>
      <c r="J36" s="368">
        <v>500000</v>
      </c>
      <c r="K36" s="368">
        <v>50000</v>
      </c>
      <c r="L36" s="368">
        <v>100000</v>
      </c>
      <c r="M36" s="368">
        <v>50000</v>
      </c>
      <c r="N36" s="368">
        <v>50000</v>
      </c>
      <c r="O36" s="368">
        <v>50000</v>
      </c>
      <c r="P36" s="368">
        <v>50000</v>
      </c>
      <c r="Q36" s="369">
        <v>50000</v>
      </c>
      <c r="R36" s="1386"/>
      <c r="S36" s="1021">
        <f t="shared" ca="1" si="5"/>
        <v>1250000</v>
      </c>
      <c r="T36" s="1432"/>
      <c r="U36" s="370">
        <f t="shared" ca="1" si="3"/>
        <v>104166.66666666667</v>
      </c>
      <c r="V36" s="1376"/>
      <c r="W36" s="1000">
        <f>SUM(F36:Q36)</f>
        <v>1250000</v>
      </c>
      <c r="X36" s="1443"/>
    </row>
    <row r="37" spans="1:25" ht="14.1" customHeight="1" x14ac:dyDescent="0.15">
      <c r="B37" s="413" t="s">
        <v>1230</v>
      </c>
      <c r="C37" s="2167"/>
      <c r="D37" s="2161"/>
      <c r="E37" s="366" t="s">
        <v>35</v>
      </c>
      <c r="F37" s="367">
        <v>900000</v>
      </c>
      <c r="G37" s="368">
        <v>800000</v>
      </c>
      <c r="H37" s="368">
        <v>800000</v>
      </c>
      <c r="I37" s="368">
        <v>850000</v>
      </c>
      <c r="J37" s="368">
        <v>800000</v>
      </c>
      <c r="K37" s="368">
        <v>800000</v>
      </c>
      <c r="L37" s="368">
        <v>850000</v>
      </c>
      <c r="M37" s="368">
        <v>800000</v>
      </c>
      <c r="N37" s="368">
        <v>800000</v>
      </c>
      <c r="O37" s="368">
        <v>800000</v>
      </c>
      <c r="P37" s="368">
        <v>800000</v>
      </c>
      <c r="Q37" s="369">
        <v>800000</v>
      </c>
      <c r="R37" s="1386"/>
      <c r="S37" s="1021">
        <f t="shared" ca="1" si="5"/>
        <v>9800000</v>
      </c>
      <c r="T37" s="1432"/>
      <c r="U37" s="370">
        <f t="shared" ca="1" si="3"/>
        <v>816666.66666666663</v>
      </c>
      <c r="V37" s="1376"/>
      <c r="W37" s="1000">
        <f>SUM(F37:Q37)</f>
        <v>9800000</v>
      </c>
      <c r="X37" s="1443"/>
    </row>
    <row r="38" spans="1:25" ht="14.1" customHeight="1" thickBot="1" x14ac:dyDescent="0.2">
      <c r="B38" s="350" t="s">
        <v>32</v>
      </c>
      <c r="C38" s="2167"/>
      <c r="D38" s="2162"/>
      <c r="E38" s="372" t="s">
        <v>32</v>
      </c>
      <c r="F38" s="373">
        <f t="shared" ref="F38:Q38" si="11">F34-(F35+F37)</f>
        <v>1300000</v>
      </c>
      <c r="G38" s="374">
        <f t="shared" si="11"/>
        <v>1400000</v>
      </c>
      <c r="H38" s="374">
        <f t="shared" si="11"/>
        <v>1500000</v>
      </c>
      <c r="I38" s="374">
        <f t="shared" si="11"/>
        <v>-850000</v>
      </c>
      <c r="J38" s="374">
        <f t="shared" si="11"/>
        <v>1700000</v>
      </c>
      <c r="K38" s="374">
        <f t="shared" si="11"/>
        <v>1500000</v>
      </c>
      <c r="L38" s="374">
        <f t="shared" si="11"/>
        <v>1650000</v>
      </c>
      <c r="M38" s="374">
        <f t="shared" si="11"/>
        <v>1800000</v>
      </c>
      <c r="N38" s="374">
        <f t="shared" si="11"/>
        <v>1800000</v>
      </c>
      <c r="O38" s="374">
        <f t="shared" si="11"/>
        <v>-900000</v>
      </c>
      <c r="P38" s="374">
        <f t="shared" si="11"/>
        <v>2000000</v>
      </c>
      <c r="Q38" s="375">
        <f t="shared" si="11"/>
        <v>2000000</v>
      </c>
      <c r="R38" s="1387"/>
      <c r="S38" s="1022">
        <f t="shared" ca="1" si="5"/>
        <v>14900000</v>
      </c>
      <c r="T38" s="1433"/>
      <c r="U38" s="374">
        <f t="shared" ca="1" si="3"/>
        <v>1241666.6666666667</v>
      </c>
      <c r="V38" s="1377"/>
      <c r="W38" s="1002">
        <f>SUM(F38:Q38)</f>
        <v>14900000</v>
      </c>
      <c r="X38" s="1445"/>
    </row>
    <row r="39" spans="1:25" ht="14.1" customHeight="1" x14ac:dyDescent="0.15">
      <c r="A39" s="413" t="s">
        <v>796</v>
      </c>
      <c r="B39" s="350" t="s">
        <v>26</v>
      </c>
      <c r="C39" s="2167"/>
      <c r="D39" s="2163" t="s">
        <v>444</v>
      </c>
      <c r="E39" s="376" t="s">
        <v>26</v>
      </c>
      <c r="F39" s="377">
        <f>IFERROR(GETPIVOTDATA("合計 / " &amp; $B39,【ピボット】事業所収支!$A$3,"年月",F$2,"事業所",$A39),0)</f>
        <v>5817896</v>
      </c>
      <c r="G39" s="378">
        <f>IFERROR(GETPIVOTDATA("合計 / " &amp; $B39,【ピボット】事業所収支!$A$3,"年月",G$2,"事業所",$A39),0)</f>
        <v>5787410</v>
      </c>
      <c r="H39" s="378">
        <f>IFERROR(GETPIVOTDATA("合計 / " &amp; $B39,【ピボット】事業所収支!$A$3,"年月",H$2,"事業所",$A39),0)</f>
        <v>5899891</v>
      </c>
      <c r="I39" s="378">
        <f>IFERROR(GETPIVOTDATA("合計 / " &amp; $B39,【ピボット】事業所収支!$A$3,"年月",I$2,"事業所",$A39),0)</f>
        <v>5629984</v>
      </c>
      <c r="J39" s="378">
        <f>IFERROR(GETPIVOTDATA("合計 / " &amp; $B39,【ピボット】事業所収支!$A$3,"年月",J$2,"事業所",$A39),0)</f>
        <v>6168362</v>
      </c>
      <c r="K39" s="378">
        <f>IFERROR(GETPIVOTDATA("合計 / " &amp; $B39,【ピボット】事業所収支!$A$3,"年月",K$2,"事業所",$A39),0)</f>
        <v>5709957</v>
      </c>
      <c r="L39" s="378">
        <f>IFERROR(GETPIVOTDATA("合計 / " &amp; $B39,【ピボット】事業所収支!$A$3,"年月",L$2,"事業所",$A39),0)</f>
        <v>5793244</v>
      </c>
      <c r="M39" s="378">
        <f>IFERROR(GETPIVOTDATA("合計 / " &amp; $B39,【ピボット】事業所収支!$A$3,"年月",M$2,"事業所",$A39),0)</f>
        <v>6587828</v>
      </c>
      <c r="N39" s="378">
        <f>IFERROR(GETPIVOTDATA("合計 / " &amp; $B39,【ピボット】事業所収支!$A$3,"年月",N$2,"事業所",$A39),0)</f>
        <v>6479560</v>
      </c>
      <c r="O39" s="378">
        <f>IFERROR(GETPIVOTDATA("合計 / " &amp; $B39,【ピボット】事業所収支!$A$3,"年月",O$2,"事業所",$A39),0)</f>
        <v>6806472</v>
      </c>
      <c r="P39" s="378">
        <f>IFERROR(GETPIVOTDATA("合計 / " &amp; $B39,【ピボット】事業所収支!$A$3,"年月",P$2,"事業所",$A39),0)</f>
        <v>6915528</v>
      </c>
      <c r="Q39" s="379">
        <f>IFERROR(GETPIVOTDATA("合計 / " &amp; $B39,【ピボット】事業所収支!$A$3,"年月",Q$2,"事業所",$A39),0)</f>
        <v>7519354</v>
      </c>
      <c r="R39" s="1056">
        <f ca="1">IF(T39&gt;=1,1,IF(T39&lt;0.9,-1,0))</f>
        <v>0</v>
      </c>
      <c r="S39" s="1023">
        <f t="shared" ca="1" si="5"/>
        <v>75115486</v>
      </c>
      <c r="T39" s="1434">
        <f ca="1">IF(S34&lt;0,ROUND((S39-S34)/ABS(S34),3),IF(S34=0,0,ROUND(S39/S34,3)))</f>
        <v>0.94799999999999995</v>
      </c>
      <c r="U39" s="378">
        <f t="shared" ca="1" si="3"/>
        <v>6259623.833333333</v>
      </c>
      <c r="V39" s="1373">
        <f ca="1">IF(X39&gt;=1,1,IF(X39&lt;0.9,-1,0))</f>
        <v>0</v>
      </c>
      <c r="W39" s="1003">
        <f ca="1">S39+(12-IF(ISERROR(MATCH(DATE(YEAR($G$1),MONTH($G$1),1),$F$2:$Q$2,0)),0,MATCH(DATE(YEAR($G$1),MONTH($G$1),1),$F$2:$Q$2,0)))*U39</f>
        <v>75115486</v>
      </c>
      <c r="X39" s="1446">
        <f ca="1">IF(W34&lt;0,ROUND((W39-W34)/ABS(W34),3),IF(W34=0,0,ROUND(W39/W34,3)))</f>
        <v>0.94799999999999995</v>
      </c>
      <c r="Y39" s="999">
        <v>0.1</v>
      </c>
    </row>
    <row r="40" spans="1:25" ht="14.1" customHeight="1" x14ac:dyDescent="0.15">
      <c r="A40" s="413" t="s">
        <v>796</v>
      </c>
      <c r="B40" s="350" t="s">
        <v>15</v>
      </c>
      <c r="C40" s="2167"/>
      <c r="D40" s="2164"/>
      <c r="E40" s="380" t="s">
        <v>15</v>
      </c>
      <c r="F40" s="381">
        <f>IFERROR(GETPIVOTDATA("合計 / " &amp; $B40,【ピボット】事業所収支!$A$3,"年月",F$2,"事業所",$A40),0)</f>
        <v>3371743</v>
      </c>
      <c r="G40" s="382">
        <f>IFERROR(GETPIVOTDATA("合計 / " &amp; $B40,【ピボット】事業所収支!$A$3,"年月",G$2,"事業所",$A40),0)</f>
        <v>3465713</v>
      </c>
      <c r="H40" s="382">
        <f>IFERROR(GETPIVOTDATA("合計 / " &amp; $B40,【ピボット】事業所収支!$A$3,"年月",H$2,"事業所",$A40),0)</f>
        <v>3520452</v>
      </c>
      <c r="I40" s="382">
        <f>IFERROR(GETPIVOTDATA("合計 / " &amp; $B40,【ピボット】事業所収支!$A$3,"年月",I$2,"事業所",$A40),0)</f>
        <v>6051985.9444993129</v>
      </c>
      <c r="J40" s="382">
        <f>IFERROR(GETPIVOTDATA("合計 / " &amp; $B40,【ピボット】事業所収支!$A$3,"年月",J$2,"事業所",$A40),0)</f>
        <v>4209055</v>
      </c>
      <c r="K40" s="382">
        <f>IFERROR(GETPIVOTDATA("合計 / " &amp; $B40,【ピボット】事業所収支!$A$3,"年月",K$2,"事業所",$A40),0)</f>
        <v>3969445</v>
      </c>
      <c r="L40" s="382">
        <f>IFERROR(GETPIVOTDATA("合計 / " &amp; $B40,【ピボット】事業所収支!$A$3,"年月",L$2,"事業所",$A40),0)</f>
        <v>3828677</v>
      </c>
      <c r="M40" s="382">
        <f>IFERROR(GETPIVOTDATA("合計 / " &amp; $B40,【ピボット】事業所収支!$A$3,"年月",M$2,"事業所",$A40),0)</f>
        <v>3878385</v>
      </c>
      <c r="N40" s="382">
        <f>IFERROR(GETPIVOTDATA("合計 / " &amp; $B40,【ピボット】事業所収支!$A$3,"年月",N$2,"事業所",$A40),0)</f>
        <v>3840302</v>
      </c>
      <c r="O40" s="382">
        <f>IFERROR(GETPIVOTDATA("合計 / " &amp; $B40,【ピボット】事業所収支!$A$3,"年月",O$2,"事業所",$A40),0)</f>
        <v>5731123</v>
      </c>
      <c r="P40" s="382">
        <f>IFERROR(GETPIVOTDATA("合計 / " &amp; $B40,【ピボット】事業所収支!$A$3,"年月",P$2,"事業所",$A40),0)</f>
        <v>4502052</v>
      </c>
      <c r="Q40" s="383">
        <f>IFERROR(GETPIVOTDATA("合計 / " &amp; $B40,【ピボット】事業所収支!$A$3,"年月",Q$2,"事業所",$A40),0)</f>
        <v>4507594</v>
      </c>
      <c r="R40" s="1056">
        <f ca="1">IF(T40&lt;=1,1,IF(T40&gt;1.1,-1,0))</f>
        <v>1</v>
      </c>
      <c r="S40" s="1024">
        <f t="shared" ca="1" si="5"/>
        <v>50876526.944499314</v>
      </c>
      <c r="T40" s="1435">
        <f ca="1">IF(S35&lt;0,ROUND((S40-S35)/ABS(S35),3),IF(S35=0,0,ROUND(S40/S35,3)))</f>
        <v>0.93400000000000005</v>
      </c>
      <c r="U40" s="382">
        <f t="shared" ca="1" si="3"/>
        <v>4239710.5787082762</v>
      </c>
      <c r="V40" s="1373">
        <f ca="1">IF(X40&lt;=1,1,IF(X40&gt;1.1,-1,0))</f>
        <v>1</v>
      </c>
      <c r="W40" s="1004">
        <f ca="1">S40+(12-IF(ISERROR(MATCH(DATE(YEAR($G$1),MONTH($G$1),1),$F$2:$Q$2,0)),0,MATCH(DATE(YEAR($G$1),MONTH($G$1),1),$F$2:$Q$2,0)))*U40</f>
        <v>50876526.944499314</v>
      </c>
      <c r="X40" s="1447">
        <f ca="1">IF(W35&lt;0,ROUND((W40-W35)/ABS(W35),3),IF(W35=0,0,ROUND(W40/W35,3)))</f>
        <v>0.93400000000000005</v>
      </c>
      <c r="Y40" s="999">
        <v>0.1</v>
      </c>
    </row>
    <row r="41" spans="1:25" ht="14.1" customHeight="1" x14ac:dyDescent="0.15">
      <c r="A41" s="413" t="s">
        <v>796</v>
      </c>
      <c r="B41" s="350" t="s">
        <v>448</v>
      </c>
      <c r="C41" s="2167"/>
      <c r="D41" s="2164"/>
      <c r="E41" s="407" t="s">
        <v>448</v>
      </c>
      <c r="F41" s="381">
        <f>IFERROR(GETPIVOTDATA("合計 / " &amp; $B41,【ピボット】事業所収支!$A$3,"年月",F$2,"事業所",$A41),0)</f>
        <v>155670</v>
      </c>
      <c r="G41" s="382">
        <f>IFERROR(GETPIVOTDATA("合計 / " &amp; $B41,【ピボット】事業所収支!$A$3,"年月",G$2,"事業所",$A41),0)</f>
        <v>123696</v>
      </c>
      <c r="H41" s="382">
        <f>IFERROR(GETPIVOTDATA("合計 / " &amp; $B41,【ピボット】事業所収支!$A$3,"年月",H$2,"事業所",$A41),0)</f>
        <v>105300</v>
      </c>
      <c r="I41" s="382">
        <f>IFERROR(GETPIVOTDATA("合計 / " &amp; $B41,【ピボット】事業所収支!$A$3,"年月",I$2,"事業所",$A41),0)</f>
        <v>32400</v>
      </c>
      <c r="J41" s="382">
        <f>IFERROR(GETPIVOTDATA("合計 / " &amp; $B41,【ピボット】事業所収支!$A$3,"年月",J$2,"事業所",$A41),0)</f>
        <v>51840</v>
      </c>
      <c r="K41" s="382">
        <f>IFERROR(GETPIVOTDATA("合計 / " &amp; $B41,【ピボット】事業所収支!$A$3,"年月",K$2,"事業所",$A41),0)</f>
        <v>0</v>
      </c>
      <c r="L41" s="382">
        <f>IFERROR(GETPIVOTDATA("合計 / " &amp; $B41,【ピボット】事業所収支!$A$3,"年月",L$2,"事業所",$A41),0)</f>
        <v>51840</v>
      </c>
      <c r="M41" s="382">
        <f>IFERROR(GETPIVOTDATA("合計 / " &amp; $B41,【ピボット】事業所収支!$A$3,"年月",M$2,"事業所",$A41),0)</f>
        <v>51840</v>
      </c>
      <c r="N41" s="382">
        <f>IFERROR(GETPIVOTDATA("合計 / " &amp; $B41,【ピボット】事業所収支!$A$3,"年月",N$2,"事業所",$A41),0)</f>
        <v>0</v>
      </c>
      <c r="O41" s="382">
        <f>IFERROR(GETPIVOTDATA("合計 / " &amp; $B41,【ピボット】事業所収支!$A$3,"年月",O$2,"事業所",$A41),0)</f>
        <v>149040</v>
      </c>
      <c r="P41" s="382">
        <f>IFERROR(GETPIVOTDATA("合計 / " &amp; $B41,【ピボット】事業所収支!$A$3,"年月",P$2,"事業所",$A41),0)</f>
        <v>0</v>
      </c>
      <c r="Q41" s="383">
        <f>IFERROR(GETPIVOTDATA("合計 / " &amp; $B41,【ピボット】事業所収支!$A$3,"年月",Q$2,"事業所",$A41),0)</f>
        <v>211140</v>
      </c>
      <c r="R41" s="1056">
        <f ca="1">IF(T41&lt;=1,1,IF(T41&gt;1.1,-1,0))</f>
        <v>1</v>
      </c>
      <c r="S41" s="1024">
        <f ca="1">SUM(OFFSET(F41,0,0,1,IF(ISERROR(MATCH(DATE(YEAR($G$1),MONTH($G$1),1),$F$2:$Q$2,0)),0,MATCH(DATE(YEAR($G$1),MONTH($G$1),1),$F$2:$Q$2,0))))</f>
        <v>932766</v>
      </c>
      <c r="T41" s="1435">
        <f ca="1">IF(S36&lt;0,ROUND((S41-S36)/ABS(S36),3),IF(S36=0,0,ROUND(S41/S36,3)))</f>
        <v>0.746</v>
      </c>
      <c r="U41" s="382">
        <f t="shared" ca="1" si="3"/>
        <v>77730.5</v>
      </c>
      <c r="V41" s="1373">
        <f ca="1">IF(X41&lt;=1,1,IF(X41&gt;1.1,-1,0))</f>
        <v>1</v>
      </c>
      <c r="W41" s="1004">
        <f ca="1">S41+(12-IF(ISERROR(MATCH(DATE(YEAR($G$1),MONTH($G$1),1),$F$2:$Q$2,0)),0,MATCH(DATE(YEAR($G$1),MONTH($G$1),1),$F$2:$Q$2,0)))*U41</f>
        <v>932766</v>
      </c>
      <c r="X41" s="1447">
        <f ca="1">IF(W36&lt;0,ROUND((W41-W36)/ABS(W36),3),IF(W36=0,0,ROUND(W41/W36,3)))</f>
        <v>0.746</v>
      </c>
      <c r="Y41" s="999">
        <v>0.1</v>
      </c>
    </row>
    <row r="42" spans="1:25" ht="14.1" customHeight="1" x14ac:dyDescent="0.15">
      <c r="A42" s="413" t="s">
        <v>796</v>
      </c>
      <c r="B42" s="413" t="s">
        <v>1230</v>
      </c>
      <c r="C42" s="2167"/>
      <c r="D42" s="2164"/>
      <c r="E42" s="380" t="s">
        <v>35</v>
      </c>
      <c r="F42" s="381">
        <f>IFERROR(GETPIVOTDATA("合計 / " &amp; $B42,【ピボット】事業所収支!$A$3,"年月",F$2,"事業所",$A42),0)</f>
        <v>744536</v>
      </c>
      <c r="G42" s="382">
        <f>IFERROR(GETPIVOTDATA("合計 / " &amp; $B42,【ピボット】事業所収支!$A$3,"年月",G$2,"事業所",$A42),0)</f>
        <v>902306</v>
      </c>
      <c r="H42" s="382">
        <f>IFERROR(GETPIVOTDATA("合計 / " &amp; $B42,【ピボット】事業所収支!$A$3,"年月",H$2,"事業所",$A42),0)</f>
        <v>829374</v>
      </c>
      <c r="I42" s="382">
        <f>IFERROR(GETPIVOTDATA("合計 / " &amp; $B42,【ピボット】事業所収支!$A$3,"年月",I$2,"事業所",$A42),0)</f>
        <v>997975</v>
      </c>
      <c r="J42" s="382">
        <f>IFERROR(GETPIVOTDATA("合計 / " &amp; $B42,【ピボット】事業所収支!$A$3,"年月",J$2,"事業所",$A42),0)</f>
        <v>927618</v>
      </c>
      <c r="K42" s="382">
        <f>IFERROR(GETPIVOTDATA("合計 / " &amp; $B42,【ピボット】事業所収支!$A$3,"年月",K$2,"事業所",$A42),0)</f>
        <v>785358</v>
      </c>
      <c r="L42" s="382">
        <f>IFERROR(GETPIVOTDATA("合計 / " &amp; $B42,【ピボット】事業所収支!$A$3,"年月",L$2,"事業所",$A42),0)</f>
        <v>859073</v>
      </c>
      <c r="M42" s="382">
        <f>IFERROR(GETPIVOTDATA("合計 / " &amp; $B42,【ピボット】事業所収支!$A$3,"年月",M$2,"事業所",$A42),0)</f>
        <v>777798</v>
      </c>
      <c r="N42" s="382">
        <f>IFERROR(GETPIVOTDATA("合計 / " &amp; $B42,【ピボット】事業所収支!$A$3,"年月",N$2,"事業所",$A42),0)</f>
        <v>870485</v>
      </c>
      <c r="O42" s="382">
        <f>IFERROR(GETPIVOTDATA("合計 / " &amp; $B42,【ピボット】事業所収支!$A$3,"年月",O$2,"事業所",$A42),0)</f>
        <v>946985</v>
      </c>
      <c r="P42" s="382">
        <f>IFERROR(GETPIVOTDATA("合計 / " &amp; $B42,【ピボット】事業所収支!$A$3,"年月",P$2,"事業所",$A42),0)</f>
        <v>817228</v>
      </c>
      <c r="Q42" s="383">
        <f>IFERROR(GETPIVOTDATA("合計 / " &amp; $B42,【ピボット】事業所収支!$A$3,"年月",Q$2,"事業所",$A42),0)</f>
        <v>1126297</v>
      </c>
      <c r="R42" s="1056">
        <f ca="1">IF(T42&lt;=1,1,IF(T42&gt;1.1,-1,0))</f>
        <v>0</v>
      </c>
      <c r="S42" s="1024">
        <f t="shared" ca="1" si="5"/>
        <v>10585033</v>
      </c>
      <c r="T42" s="1435">
        <f ca="1">IF(S37&lt;0,ROUND((S42-S37)/ABS(S37),3),IF(S37=0,0,ROUND(S42/S37,3)))</f>
        <v>1.08</v>
      </c>
      <c r="U42" s="382">
        <f t="shared" ca="1" si="3"/>
        <v>882086.08333333337</v>
      </c>
      <c r="V42" s="1373">
        <f ca="1">IF(X42&lt;=1,1,IF(X42&gt;1.1,-1,0))</f>
        <v>0</v>
      </c>
      <c r="W42" s="1004">
        <f ca="1">S42+(12-IF(ISERROR(MATCH(DATE(YEAR($G$1),MONTH($G$1),1),$F$2:$Q$2,0)),0,MATCH(DATE(YEAR($G$1),MONTH($G$1),1),$F$2:$Q$2,0)))*U42</f>
        <v>10585033</v>
      </c>
      <c r="X42" s="1447">
        <f ca="1">IF(W37&lt;0,ROUND((W42-W37)/ABS(W37),3),IF(W37=0,0,ROUND(W42/W37,3)))</f>
        <v>1.08</v>
      </c>
      <c r="Y42" s="999">
        <v>0.1</v>
      </c>
    </row>
    <row r="43" spans="1:25" ht="14.1" customHeight="1" thickBot="1" x14ac:dyDescent="0.2">
      <c r="A43" s="413" t="s">
        <v>796</v>
      </c>
      <c r="B43" s="350" t="s">
        <v>32</v>
      </c>
      <c r="C43" s="2168"/>
      <c r="D43" s="2165"/>
      <c r="E43" s="384" t="s">
        <v>32</v>
      </c>
      <c r="F43" s="385">
        <f t="shared" ref="F43:Q43" si="12">F39-(F40+F42)</f>
        <v>1701617</v>
      </c>
      <c r="G43" s="386">
        <f t="shared" si="12"/>
        <v>1419391</v>
      </c>
      <c r="H43" s="386">
        <f t="shared" si="12"/>
        <v>1550065</v>
      </c>
      <c r="I43" s="386">
        <f t="shared" si="12"/>
        <v>-1419976.9444993129</v>
      </c>
      <c r="J43" s="386">
        <f t="shared" si="12"/>
        <v>1031689</v>
      </c>
      <c r="K43" s="386">
        <f t="shared" si="12"/>
        <v>955154</v>
      </c>
      <c r="L43" s="386">
        <f t="shared" si="12"/>
        <v>1105494</v>
      </c>
      <c r="M43" s="386">
        <f t="shared" si="12"/>
        <v>1931645</v>
      </c>
      <c r="N43" s="386">
        <f t="shared" si="12"/>
        <v>1768773</v>
      </c>
      <c r="O43" s="386">
        <f t="shared" si="12"/>
        <v>128364</v>
      </c>
      <c r="P43" s="386">
        <f t="shared" si="12"/>
        <v>1596248</v>
      </c>
      <c r="Q43" s="387">
        <f t="shared" si="12"/>
        <v>1885463</v>
      </c>
      <c r="R43" s="1056">
        <f ca="1">IF(T43&gt;=0,1,IF(T43&lt;-0.1,-1,0))</f>
        <v>0</v>
      </c>
      <c r="S43" s="1025">
        <f t="shared" ca="1" si="5"/>
        <v>13653926.055500686</v>
      </c>
      <c r="T43" s="1436">
        <f ca="1">IF(S38=0,1-(S40+S42)/S39,IF(S38=S43,0,ROUND((S43-S38)/ABS(S38),3)))</f>
        <v>-8.4000000000000005E-2</v>
      </c>
      <c r="U43" s="386">
        <f t="shared" ca="1" si="3"/>
        <v>1137827.1712917238</v>
      </c>
      <c r="V43" s="1373">
        <f ca="1">IF(X43&gt;=0,1,IF(X43&lt;-0.1,-1,0))</f>
        <v>0</v>
      </c>
      <c r="W43" s="1005">
        <f ca="1">S43+(12-IF(ISERROR(MATCH(DATE(YEAR($G$1),MONTH($G$1),1),$F$2:$Q$2,0)),0,MATCH(DATE(YEAR($G$1),MONTH($G$1),1),$F$2:$Q$2,0)))*U43</f>
        <v>13653926.055500686</v>
      </c>
      <c r="X43" s="1448">
        <f ca="1">IF(W38=0,1-(W40+W42)/W39,IF(W38=W43,0,ROUND((W43-W38)/ABS(W38),3)))</f>
        <v>-8.4000000000000005E-2</v>
      </c>
      <c r="Y43" s="999">
        <v>0.1</v>
      </c>
    </row>
    <row r="44" spans="1:25" ht="14.1" customHeight="1" x14ac:dyDescent="0.15">
      <c r="B44" s="350" t="s">
        <v>26</v>
      </c>
      <c r="C44" s="2166" t="s">
        <v>967</v>
      </c>
      <c r="D44" s="2160" t="s">
        <v>443</v>
      </c>
      <c r="E44" s="360" t="s">
        <v>26</v>
      </c>
      <c r="F44" s="361">
        <v>0</v>
      </c>
      <c r="G44" s="362">
        <v>0</v>
      </c>
      <c r="H44" s="362">
        <v>0</v>
      </c>
      <c r="I44" s="362">
        <v>0</v>
      </c>
      <c r="J44" s="362">
        <v>0</v>
      </c>
      <c r="K44" s="362">
        <v>0</v>
      </c>
      <c r="L44" s="362">
        <v>0</v>
      </c>
      <c r="M44" s="362">
        <v>0</v>
      </c>
      <c r="N44" s="362">
        <v>0</v>
      </c>
      <c r="O44" s="362">
        <v>180000</v>
      </c>
      <c r="P44" s="362">
        <v>390000</v>
      </c>
      <c r="Q44" s="363">
        <v>525000</v>
      </c>
      <c r="R44" s="1385"/>
      <c r="S44" s="1020">
        <f t="shared" ref="S44:S53" ca="1" si="13">SUM(OFFSET(F44,0,0,1,IF(ISERROR(MATCH(DATE(YEAR($G$1),MONTH($G$1),1),$F$2:$Q$2,0)),0,MATCH(DATE(YEAR($G$1),MONTH($G$1),1),$F$2:$Q$2,0))))</f>
        <v>1095000</v>
      </c>
      <c r="T44" s="1431"/>
      <c r="U44" s="364">
        <f t="shared" ref="U44:U53" ca="1" si="14">IF(ISERROR(S44/(DATEDIF(F$2,G$1,"M")+1)),0,S44/(DATEDIF(F$2,G$1,"M")+1))</f>
        <v>91250</v>
      </c>
      <c r="V44" s="1375"/>
      <c r="W44" s="1001">
        <f>SUM(F44:Q44)</f>
        <v>1095000</v>
      </c>
      <c r="X44" s="1442"/>
    </row>
    <row r="45" spans="1:25" ht="14.1" customHeight="1" x14ac:dyDescent="0.15">
      <c r="B45" s="350" t="s">
        <v>15</v>
      </c>
      <c r="C45" s="2167"/>
      <c r="D45" s="2161"/>
      <c r="E45" s="366" t="s">
        <v>15</v>
      </c>
      <c r="F45" s="367">
        <v>0</v>
      </c>
      <c r="G45" s="368">
        <v>0</v>
      </c>
      <c r="H45" s="368">
        <v>0</v>
      </c>
      <c r="I45" s="368">
        <v>0</v>
      </c>
      <c r="J45" s="368">
        <v>0</v>
      </c>
      <c r="K45" s="368">
        <v>0</v>
      </c>
      <c r="L45" s="368">
        <v>0</v>
      </c>
      <c r="M45" s="368">
        <v>0</v>
      </c>
      <c r="N45" s="368">
        <v>0</v>
      </c>
      <c r="O45" s="368">
        <v>761000</v>
      </c>
      <c r="P45" s="368">
        <v>791000</v>
      </c>
      <c r="Q45" s="369">
        <v>821000</v>
      </c>
      <c r="R45" s="1386"/>
      <c r="S45" s="1021">
        <f t="shared" ca="1" si="13"/>
        <v>2373000</v>
      </c>
      <c r="T45" s="1432"/>
      <c r="U45" s="370">
        <f t="shared" ca="1" si="14"/>
        <v>197750</v>
      </c>
      <c r="V45" s="1376"/>
      <c r="W45" s="1000">
        <f>SUM(F45:Q45)</f>
        <v>2373000</v>
      </c>
      <c r="X45" s="1443"/>
    </row>
    <row r="46" spans="1:25" ht="14.1" customHeight="1" x14ac:dyDescent="0.15">
      <c r="B46" s="350" t="s">
        <v>447</v>
      </c>
      <c r="C46" s="2167"/>
      <c r="D46" s="2161"/>
      <c r="E46" s="406" t="s">
        <v>447</v>
      </c>
      <c r="F46" s="367">
        <v>0</v>
      </c>
      <c r="G46" s="368">
        <v>0</v>
      </c>
      <c r="H46" s="368">
        <v>0</v>
      </c>
      <c r="I46" s="368">
        <v>0</v>
      </c>
      <c r="J46" s="368">
        <v>0</v>
      </c>
      <c r="K46" s="368">
        <v>0</v>
      </c>
      <c r="L46" s="368">
        <v>0</v>
      </c>
      <c r="M46" s="368">
        <v>0</v>
      </c>
      <c r="N46" s="368">
        <v>0</v>
      </c>
      <c r="O46" s="368">
        <v>60000</v>
      </c>
      <c r="P46" s="368">
        <v>0</v>
      </c>
      <c r="Q46" s="369">
        <v>60000</v>
      </c>
      <c r="R46" s="1386"/>
      <c r="S46" s="1021">
        <f t="shared" ca="1" si="13"/>
        <v>120000</v>
      </c>
      <c r="T46" s="1432"/>
      <c r="U46" s="370">
        <f t="shared" ca="1" si="14"/>
        <v>10000</v>
      </c>
      <c r="V46" s="1376"/>
      <c r="W46" s="1000">
        <f>SUM(F46:Q46)</f>
        <v>120000</v>
      </c>
      <c r="X46" s="1443"/>
    </row>
    <row r="47" spans="1:25" ht="14.1" customHeight="1" x14ac:dyDescent="0.15">
      <c r="B47" s="413" t="s">
        <v>1230</v>
      </c>
      <c r="C47" s="2167"/>
      <c r="D47" s="2161"/>
      <c r="E47" s="366" t="s">
        <v>35</v>
      </c>
      <c r="F47" s="367">
        <v>0</v>
      </c>
      <c r="G47" s="368">
        <v>0</v>
      </c>
      <c r="H47" s="368">
        <v>0</v>
      </c>
      <c r="I47" s="368">
        <v>0</v>
      </c>
      <c r="J47" s="368">
        <v>0</v>
      </c>
      <c r="K47" s="368">
        <v>0</v>
      </c>
      <c r="L47" s="368">
        <v>0</v>
      </c>
      <c r="M47" s="368">
        <v>0</v>
      </c>
      <c r="N47" s="368">
        <v>0</v>
      </c>
      <c r="O47" s="368">
        <v>1253593</v>
      </c>
      <c r="P47" s="368">
        <v>1226593</v>
      </c>
      <c r="Q47" s="369">
        <v>1319593</v>
      </c>
      <c r="R47" s="1386"/>
      <c r="S47" s="1021">
        <f t="shared" ca="1" si="13"/>
        <v>3799779</v>
      </c>
      <c r="T47" s="1432"/>
      <c r="U47" s="370">
        <f t="shared" ca="1" si="14"/>
        <v>316648.25</v>
      </c>
      <c r="V47" s="1376"/>
      <c r="W47" s="1000">
        <f>SUM(F47:Q47)</f>
        <v>3799779</v>
      </c>
      <c r="X47" s="1443"/>
    </row>
    <row r="48" spans="1:25" ht="14.1" customHeight="1" thickBot="1" x14ac:dyDescent="0.2">
      <c r="B48" s="350" t="s">
        <v>32</v>
      </c>
      <c r="C48" s="2167"/>
      <c r="D48" s="2162"/>
      <c r="E48" s="372" t="s">
        <v>32</v>
      </c>
      <c r="F48" s="373">
        <f t="shared" ref="F48:Q48" si="15">F44-(F45+F47)</f>
        <v>0</v>
      </c>
      <c r="G48" s="374">
        <f t="shared" si="15"/>
        <v>0</v>
      </c>
      <c r="H48" s="374">
        <f t="shared" si="15"/>
        <v>0</v>
      </c>
      <c r="I48" s="374">
        <f t="shared" si="15"/>
        <v>0</v>
      </c>
      <c r="J48" s="374">
        <f t="shared" si="15"/>
        <v>0</v>
      </c>
      <c r="K48" s="374">
        <f t="shared" si="15"/>
        <v>0</v>
      </c>
      <c r="L48" s="374">
        <f t="shared" si="15"/>
        <v>0</v>
      </c>
      <c r="M48" s="374">
        <f t="shared" si="15"/>
        <v>0</v>
      </c>
      <c r="N48" s="374">
        <f t="shared" si="15"/>
        <v>0</v>
      </c>
      <c r="O48" s="374">
        <f t="shared" si="15"/>
        <v>-1834593</v>
      </c>
      <c r="P48" s="374">
        <f t="shared" si="15"/>
        <v>-1627593</v>
      </c>
      <c r="Q48" s="375">
        <f t="shared" si="15"/>
        <v>-1615593</v>
      </c>
      <c r="R48" s="1387"/>
      <c r="S48" s="1022">
        <f t="shared" ca="1" si="13"/>
        <v>-5077779</v>
      </c>
      <c r="T48" s="1433"/>
      <c r="U48" s="374">
        <f t="shared" ca="1" si="14"/>
        <v>-423148.25</v>
      </c>
      <c r="V48" s="1377"/>
      <c r="W48" s="1002">
        <f>SUM(F48:Q48)</f>
        <v>-5077779</v>
      </c>
      <c r="X48" s="1445"/>
    </row>
    <row r="49" spans="1:26" ht="14.1" customHeight="1" x14ac:dyDescent="0.15">
      <c r="A49" s="413" t="s">
        <v>984</v>
      </c>
      <c r="B49" s="350" t="s">
        <v>26</v>
      </c>
      <c r="C49" s="2167"/>
      <c r="D49" s="2163" t="s">
        <v>444</v>
      </c>
      <c r="E49" s="376" t="s">
        <v>26</v>
      </c>
      <c r="F49" s="377">
        <f>IFERROR(GETPIVOTDATA("合計 / " &amp; $B49,【ピボット】事業所収支!$A$3,"年月",F$2,"事業所",$A49),0)</f>
        <v>0</v>
      </c>
      <c r="G49" s="378">
        <f>IFERROR(GETPIVOTDATA("合計 / " &amp; $B49,【ピボット】事業所収支!$A$3,"年月",G$2,"事業所",$A49),0)</f>
        <v>0</v>
      </c>
      <c r="H49" s="378">
        <f>IFERROR(GETPIVOTDATA("合計 / " &amp; $B49,【ピボット】事業所収支!$A$3,"年月",H$2,"事業所",$A49),0)</f>
        <v>0</v>
      </c>
      <c r="I49" s="378">
        <f>IFERROR(GETPIVOTDATA("合計 / " &amp; $B49,【ピボット】事業所収支!$A$3,"年月",I$2,"事業所",$A49),0)</f>
        <v>0</v>
      </c>
      <c r="J49" s="378">
        <f>IFERROR(GETPIVOTDATA("合計 / " &amp; $B49,【ピボット】事業所収支!$A$3,"年月",J$2,"事業所",$A49),0)</f>
        <v>0</v>
      </c>
      <c r="K49" s="378">
        <f>IFERROR(GETPIVOTDATA("合計 / " &amp; $B49,【ピボット】事業所収支!$A$3,"年月",K$2,"事業所",$A49),0)</f>
        <v>0</v>
      </c>
      <c r="L49" s="378">
        <f>IFERROR(GETPIVOTDATA("合計 / " &amp; $B49,【ピボット】事業所収支!$A$3,"年月",L$2,"事業所",$A49),0)</f>
        <v>0</v>
      </c>
      <c r="M49" s="378">
        <f>IFERROR(GETPIVOTDATA("合計 / " &amp; $B49,【ピボット】事業所収支!$A$3,"年月",M$2,"事業所",$A49),0)</f>
        <v>0</v>
      </c>
      <c r="N49" s="378">
        <f>IFERROR(GETPIVOTDATA("合計 / " &amp; $B49,【ピボット】事業所収支!$A$3,"年月",N$2,"事業所",$A49),0)</f>
        <v>0</v>
      </c>
      <c r="O49" s="378">
        <f>IFERROR(GETPIVOTDATA("合計 / " &amp; $B49,【ピボット】事業所収支!$A$3,"年月",O$2,"事業所",$A49),0)</f>
        <v>100885</v>
      </c>
      <c r="P49" s="378">
        <f>IFERROR(GETPIVOTDATA("合計 / " &amp; $B49,【ピボット】事業所収支!$A$3,"年月",P$2,"事業所",$A49),0)</f>
        <v>663080</v>
      </c>
      <c r="Q49" s="379">
        <f>IFERROR(GETPIVOTDATA("合計 / " &amp; $B49,【ピボット】事業所収支!$A$3,"年月",Q$2,"事業所",$A49),0)</f>
        <v>624826</v>
      </c>
      <c r="R49" s="1056">
        <f ca="1">IF(T49&gt;=1,1,IF(T49&lt;0.9,-1,0))</f>
        <v>1</v>
      </c>
      <c r="S49" s="1023">
        <f t="shared" ca="1" si="13"/>
        <v>1388791</v>
      </c>
      <c r="T49" s="1434">
        <f ca="1">IF(S44&lt;0,ROUND((S49-S44)/ABS(S44),3),IF(S44=0,0,ROUND(S49/S44,3)))</f>
        <v>1.268</v>
      </c>
      <c r="U49" s="378">
        <f t="shared" ca="1" si="14"/>
        <v>115732.58333333333</v>
      </c>
      <c r="V49" s="1373">
        <f ca="1">IF(X49&gt;=1,1,IF(X49&lt;0.9,-1,0))</f>
        <v>1</v>
      </c>
      <c r="W49" s="1003">
        <f ca="1">S49+(12-IF(ISERROR(MATCH(DATE(YEAR($G$1),MONTH($G$1),1),$F$2:$Q$2,0)),0,MATCH(DATE(YEAR($G$1),MONTH($G$1),1),$F$2:$Q$2,0)))*U49</f>
        <v>1388791</v>
      </c>
      <c r="X49" s="1446">
        <f ca="1">IF(W44&lt;0,ROUND((W49-W44)/ABS(W44),3),IF(W44=0,0,ROUND(W49/W44,3)))</f>
        <v>1.268</v>
      </c>
      <c r="Y49" s="999">
        <v>0.1</v>
      </c>
    </row>
    <row r="50" spans="1:26" ht="14.1" customHeight="1" x14ac:dyDescent="0.15">
      <c r="A50" s="413" t="s">
        <v>984</v>
      </c>
      <c r="B50" s="350" t="s">
        <v>15</v>
      </c>
      <c r="C50" s="2167"/>
      <c r="D50" s="2164"/>
      <c r="E50" s="380" t="s">
        <v>15</v>
      </c>
      <c r="F50" s="381">
        <f>IFERROR(GETPIVOTDATA("合計 / " &amp; $B50,【ピボット】事業所収支!$A$3,"年月",F$2,"事業所",$A50),0)</f>
        <v>0</v>
      </c>
      <c r="G50" s="382">
        <f>IFERROR(GETPIVOTDATA("合計 / " &amp; $B50,【ピボット】事業所収支!$A$3,"年月",G$2,"事業所",$A50),0)</f>
        <v>0</v>
      </c>
      <c r="H50" s="382">
        <f>IFERROR(GETPIVOTDATA("合計 / " &amp; $B50,【ピボット】事業所収支!$A$3,"年月",H$2,"事業所",$A50),0)</f>
        <v>0</v>
      </c>
      <c r="I50" s="382">
        <f>IFERROR(GETPIVOTDATA("合計 / " &amp; $B50,【ピボット】事業所収支!$A$3,"年月",I$2,"事業所",$A50),0)</f>
        <v>0</v>
      </c>
      <c r="J50" s="382">
        <f>IFERROR(GETPIVOTDATA("合計 / " &amp; $B50,【ピボット】事業所収支!$A$3,"年月",J$2,"事業所",$A50),0)</f>
        <v>0</v>
      </c>
      <c r="K50" s="382">
        <f>IFERROR(GETPIVOTDATA("合計 / " &amp; $B50,【ピボット】事業所収支!$A$3,"年月",K$2,"事業所",$A50),0)</f>
        <v>0</v>
      </c>
      <c r="L50" s="382">
        <f>IFERROR(GETPIVOTDATA("合計 / " &amp; $B50,【ピボット】事業所収支!$A$3,"年月",L$2,"事業所",$A50),0)</f>
        <v>0</v>
      </c>
      <c r="M50" s="382">
        <f>IFERROR(GETPIVOTDATA("合計 / " &amp; $B50,【ピボット】事業所収支!$A$3,"年月",M$2,"事業所",$A50),0)</f>
        <v>0</v>
      </c>
      <c r="N50" s="382">
        <f>IFERROR(GETPIVOTDATA("合計 / " &amp; $B50,【ピボット】事業所収支!$A$3,"年月",N$2,"事業所",$A50),0)</f>
        <v>394863</v>
      </c>
      <c r="O50" s="382">
        <f>IFERROR(GETPIVOTDATA("合計 / " &amp; $B50,【ピボット】事業所収支!$A$3,"年月",O$2,"事業所",$A50),0)</f>
        <v>845708</v>
      </c>
      <c r="P50" s="382">
        <f>IFERROR(GETPIVOTDATA("合計 / " &amp; $B50,【ピボット】事業所収支!$A$3,"年月",P$2,"事業所",$A50),0)</f>
        <v>534698</v>
      </c>
      <c r="Q50" s="383">
        <f>IFERROR(GETPIVOTDATA("合計 / " &amp; $B50,【ピボット】事業所収支!$A$3,"年月",Q$2,"事業所",$A50),0)</f>
        <v>636291</v>
      </c>
      <c r="R50" s="1056">
        <f ca="1">IF(T50&lt;=1,1,IF(T50&gt;1.1,-1,0))</f>
        <v>0</v>
      </c>
      <c r="S50" s="1024">
        <f t="shared" ca="1" si="13"/>
        <v>2411560</v>
      </c>
      <c r="T50" s="1435">
        <f ca="1">IF(S45&lt;0,ROUND((S50-S45)/ABS(S45),3),IF(S45=0,0,ROUND(S50/S45,3)))</f>
        <v>1.016</v>
      </c>
      <c r="U50" s="382">
        <f t="shared" ca="1" si="14"/>
        <v>200963.33333333334</v>
      </c>
      <c r="V50" s="1373">
        <f ca="1">IF(X50&lt;=1,1,IF(X50&gt;1.1,-1,0))</f>
        <v>0</v>
      </c>
      <c r="W50" s="1004">
        <f ca="1">S50+(12-IF(ISERROR(MATCH(DATE(YEAR($G$1),MONTH($G$1),1),$F$2:$Q$2,0)),0,MATCH(DATE(YEAR($G$1),MONTH($G$1),1),$F$2:$Q$2,0)))*U50</f>
        <v>2411560</v>
      </c>
      <c r="X50" s="1447">
        <f ca="1">IF(W45&lt;0,ROUND((W50-W45)/ABS(W45),3),IF(W45=0,0,ROUND(W50/W45,3)))</f>
        <v>1.016</v>
      </c>
      <c r="Y50" s="999">
        <v>0.1</v>
      </c>
    </row>
    <row r="51" spans="1:26" ht="14.1" customHeight="1" x14ac:dyDescent="0.15">
      <c r="A51" s="413" t="s">
        <v>984</v>
      </c>
      <c r="B51" s="350" t="s">
        <v>448</v>
      </c>
      <c r="C51" s="2167"/>
      <c r="D51" s="2164"/>
      <c r="E51" s="407" t="s">
        <v>448</v>
      </c>
      <c r="F51" s="381">
        <f>IFERROR(GETPIVOTDATA("合計 / " &amp; $B51,【ピボット】事業所収支!$A$3,"年月",F$2,"事業所",$A51),0)</f>
        <v>0</v>
      </c>
      <c r="G51" s="382">
        <f>IFERROR(GETPIVOTDATA("合計 / " &amp; $B51,【ピボット】事業所収支!$A$3,"年月",G$2,"事業所",$A51),0)</f>
        <v>0</v>
      </c>
      <c r="H51" s="382">
        <f>IFERROR(GETPIVOTDATA("合計 / " &amp; $B51,【ピボット】事業所収支!$A$3,"年月",H$2,"事業所",$A51),0)</f>
        <v>0</v>
      </c>
      <c r="I51" s="382">
        <f>IFERROR(GETPIVOTDATA("合計 / " &amp; $B51,【ピボット】事業所収支!$A$3,"年月",I$2,"事業所",$A51),0)</f>
        <v>0</v>
      </c>
      <c r="J51" s="382">
        <f>IFERROR(GETPIVOTDATA("合計 / " &amp; $B51,【ピボット】事業所収支!$A$3,"年月",J$2,"事業所",$A51),0)</f>
        <v>0</v>
      </c>
      <c r="K51" s="382">
        <f>IFERROR(GETPIVOTDATA("合計 / " &amp; $B51,【ピボット】事業所収支!$A$3,"年月",K$2,"事業所",$A51),0)</f>
        <v>0</v>
      </c>
      <c r="L51" s="382">
        <f>IFERROR(GETPIVOTDATA("合計 / " &amp; $B51,【ピボット】事業所収支!$A$3,"年月",L$2,"事業所",$A51),0)</f>
        <v>0</v>
      </c>
      <c r="M51" s="382">
        <f>IFERROR(GETPIVOTDATA("合計 / " &amp; $B51,【ピボット】事業所収支!$A$3,"年月",M$2,"事業所",$A51),0)</f>
        <v>0</v>
      </c>
      <c r="N51" s="382">
        <f>IFERROR(GETPIVOTDATA("合計 / " &amp; $B51,【ピボット】事業所収支!$A$3,"年月",N$2,"事業所",$A51),0)</f>
        <v>129600</v>
      </c>
      <c r="O51" s="382">
        <f>IFERROR(GETPIVOTDATA("合計 / " &amp; $B51,【ピボット】事業所収支!$A$3,"年月",O$2,"事業所",$A51),0)</f>
        <v>196560</v>
      </c>
      <c r="P51" s="382">
        <f>IFERROR(GETPIVOTDATA("合計 / " &amp; $B51,【ピボット】事業所収支!$A$3,"年月",P$2,"事業所",$A51),0)</f>
        <v>226800</v>
      </c>
      <c r="Q51" s="383">
        <f>IFERROR(GETPIVOTDATA("合計 / " &amp; $B51,【ピボット】事業所収支!$A$3,"年月",Q$2,"事業所",$A51),0)</f>
        <v>184680</v>
      </c>
      <c r="R51" s="1056">
        <f ca="1">IF(T51&lt;=1,1,IF(T51&gt;1.1,-1,0))</f>
        <v>-1</v>
      </c>
      <c r="S51" s="1024">
        <f t="shared" ca="1" si="13"/>
        <v>737640</v>
      </c>
      <c r="T51" s="1435">
        <f ca="1">IF(S46&lt;0,ROUND((S51-S46)/ABS(S46),3),IF(S46=0,0,ROUND(S51/S46,3)))</f>
        <v>6.1470000000000002</v>
      </c>
      <c r="U51" s="382">
        <f t="shared" ca="1" si="14"/>
        <v>61470</v>
      </c>
      <c r="V51" s="1373">
        <f ca="1">IF(X51&lt;=1,1,IF(X51&gt;1.1,-1,0))</f>
        <v>-1</v>
      </c>
      <c r="W51" s="1004">
        <f ca="1">S51+(12-IF(ISERROR(MATCH(DATE(YEAR($G$1),MONTH($G$1),1),$F$2:$Q$2,0)),0,MATCH(DATE(YEAR($G$1),MONTH($G$1),1),$F$2:$Q$2,0)))*U51</f>
        <v>737640</v>
      </c>
      <c r="X51" s="1447">
        <f ca="1">IF(W46&lt;0,ROUND((W51-W46)/ABS(W46),3),IF(W46=0,0,ROUND(W51/W46,3)))</f>
        <v>6.1470000000000002</v>
      </c>
      <c r="Y51" s="999">
        <v>0.1</v>
      </c>
    </row>
    <row r="52" spans="1:26" ht="14.1" customHeight="1" x14ac:dyDescent="0.15">
      <c r="A52" s="413" t="s">
        <v>984</v>
      </c>
      <c r="B52" s="413" t="s">
        <v>1230</v>
      </c>
      <c r="C52" s="2167"/>
      <c r="D52" s="2164"/>
      <c r="E52" s="380" t="s">
        <v>35</v>
      </c>
      <c r="F52" s="381">
        <f>IFERROR(GETPIVOTDATA("合計 / " &amp; $B52,【ピボット】事業所収支!$A$3,"年月",F$2,"事業所",$A52),0)</f>
        <v>0</v>
      </c>
      <c r="G52" s="382">
        <f>IFERROR(GETPIVOTDATA("合計 / " &amp; $B52,【ピボット】事業所収支!$A$3,"年月",G$2,"事業所",$A52),0)</f>
        <v>0</v>
      </c>
      <c r="H52" s="382">
        <f>IFERROR(GETPIVOTDATA("合計 / " &amp; $B52,【ピボット】事業所収支!$A$3,"年月",H$2,"事業所",$A52),0)</f>
        <v>0</v>
      </c>
      <c r="I52" s="382">
        <f>IFERROR(GETPIVOTDATA("合計 / " &amp; $B52,【ピボット】事業所収支!$A$3,"年月",I$2,"事業所",$A52),0)</f>
        <v>0</v>
      </c>
      <c r="J52" s="382">
        <f>IFERROR(GETPIVOTDATA("合計 / " &amp; $B52,【ピボット】事業所収支!$A$3,"年月",J$2,"事業所",$A52),0)</f>
        <v>0</v>
      </c>
      <c r="K52" s="382">
        <f>IFERROR(GETPIVOTDATA("合計 / " &amp; $B52,【ピボット】事業所収支!$A$3,"年月",K$2,"事業所",$A52),0)</f>
        <v>0</v>
      </c>
      <c r="L52" s="382">
        <f>IFERROR(GETPIVOTDATA("合計 / " &amp; $B52,【ピボット】事業所収支!$A$3,"年月",L$2,"事業所",$A52),0)</f>
        <v>793800</v>
      </c>
      <c r="M52" s="382">
        <f>IFERROR(GETPIVOTDATA("合計 / " &amp; $B52,【ピボット】事業所収支!$A$3,"年月",M$2,"事業所",$A52),0)</f>
        <v>741095</v>
      </c>
      <c r="N52" s="382">
        <f>IFERROR(GETPIVOTDATA("合計 / " &amp; $B52,【ピボット】事業所収支!$A$3,"年月",N$2,"事業所",$A52),0)</f>
        <v>690320</v>
      </c>
      <c r="O52" s="382">
        <f>IFERROR(GETPIVOTDATA("合計 / " &amp; $B52,【ピボット】事業所収支!$A$3,"年月",O$2,"事業所",$A52),0)</f>
        <v>759192</v>
      </c>
      <c r="P52" s="382">
        <f>IFERROR(GETPIVOTDATA("合計 / " &amp; $B52,【ピボット】事業所収支!$A$3,"年月",P$2,"事業所",$A52),0)</f>
        <v>713868</v>
      </c>
      <c r="Q52" s="383">
        <f>IFERROR(GETPIVOTDATA("合計 / " &amp; $B52,【ピボット】事業所収支!$A$3,"年月",Q$2,"事業所",$A52),0)</f>
        <v>683798</v>
      </c>
      <c r="R52" s="1056">
        <f ca="1">IF(T52&lt;=1,1,IF(T52&gt;1.1,-1,0))</f>
        <v>-1</v>
      </c>
      <c r="S52" s="1024">
        <f t="shared" ca="1" si="13"/>
        <v>4382073</v>
      </c>
      <c r="T52" s="1435">
        <f ca="1">IF(S47&lt;0,ROUND((S52-S47)/ABS(S47),3),IF(S47=0,0,ROUND(S52/S47,3)))</f>
        <v>1.153</v>
      </c>
      <c r="U52" s="382">
        <f t="shared" ca="1" si="14"/>
        <v>365172.75</v>
      </c>
      <c r="V52" s="1373">
        <f ca="1">IF(X52&lt;=1,1,IF(X52&gt;1.1,-1,0))</f>
        <v>-1</v>
      </c>
      <c r="W52" s="1004">
        <f ca="1">S52+(12-IF(ISERROR(MATCH(DATE(YEAR($G$1),MONTH($G$1),1),$F$2:$Q$2,0)),0,MATCH(DATE(YEAR($G$1),MONTH($G$1),1),$F$2:$Q$2,0)))*U52</f>
        <v>4382073</v>
      </c>
      <c r="X52" s="1447">
        <f ca="1">IF(W47&lt;0,ROUND((W52-W47)/ABS(W47),3),IF(W47=0,0,ROUND(W52/W47,3)))</f>
        <v>1.153</v>
      </c>
      <c r="Y52" s="999">
        <v>0.1</v>
      </c>
    </row>
    <row r="53" spans="1:26" ht="14.1" customHeight="1" thickBot="1" x14ac:dyDescent="0.2">
      <c r="A53" s="413" t="s">
        <v>984</v>
      </c>
      <c r="B53" s="350" t="s">
        <v>32</v>
      </c>
      <c r="C53" s="2168"/>
      <c r="D53" s="2165"/>
      <c r="E53" s="384" t="s">
        <v>32</v>
      </c>
      <c r="F53" s="385">
        <f t="shared" ref="F53:Q53" si="16">F49-(F50+F52)</f>
        <v>0</v>
      </c>
      <c r="G53" s="386">
        <f t="shared" si="16"/>
        <v>0</v>
      </c>
      <c r="H53" s="386">
        <f t="shared" si="16"/>
        <v>0</v>
      </c>
      <c r="I53" s="386">
        <f t="shared" si="16"/>
        <v>0</v>
      </c>
      <c r="J53" s="386">
        <f t="shared" si="16"/>
        <v>0</v>
      </c>
      <c r="K53" s="386">
        <f t="shared" si="16"/>
        <v>0</v>
      </c>
      <c r="L53" s="386">
        <f t="shared" si="16"/>
        <v>-793800</v>
      </c>
      <c r="M53" s="386">
        <f t="shared" si="16"/>
        <v>-741095</v>
      </c>
      <c r="N53" s="386">
        <f t="shared" si="16"/>
        <v>-1085183</v>
      </c>
      <c r="O53" s="386">
        <f t="shared" si="16"/>
        <v>-1504015</v>
      </c>
      <c r="P53" s="386">
        <f t="shared" si="16"/>
        <v>-585486</v>
      </c>
      <c r="Q53" s="387">
        <f t="shared" si="16"/>
        <v>-695263</v>
      </c>
      <c r="R53" s="1056">
        <f ca="1">IF(T53&gt;=0,1,IF(T53&lt;-0.1,-1,0))</f>
        <v>0</v>
      </c>
      <c r="S53" s="1025">
        <f t="shared" ca="1" si="13"/>
        <v>-5404842</v>
      </c>
      <c r="T53" s="1436">
        <f ca="1">IF(S48=0,1-(S50+S52)/S49,IF(S48=S53,0,ROUND((S53-S48)/ABS(S48),3)))</f>
        <v>-6.4000000000000001E-2</v>
      </c>
      <c r="U53" s="386">
        <f t="shared" ca="1" si="14"/>
        <v>-450403.5</v>
      </c>
      <c r="V53" s="1373">
        <f ca="1">IF(X53&gt;=0,1,IF(X53&lt;-0.1,-1,0))</f>
        <v>0</v>
      </c>
      <c r="W53" s="1005">
        <f ca="1">S53+(12-IF(ISERROR(MATCH(DATE(YEAR($G$1),MONTH($G$1),1),$F$2:$Q$2,0)),0,MATCH(DATE(YEAR($G$1),MONTH($G$1),1),$F$2:$Q$2,0)))*U53</f>
        <v>-5404842</v>
      </c>
      <c r="X53" s="1448">
        <f ca="1">IF(W48=0,1-(W50+W52)/W49,IF(W48=W53,0,ROUND((W53-W48)/ABS(W48),3)))</f>
        <v>-6.4000000000000001E-2</v>
      </c>
      <c r="Y53" s="999">
        <v>0.1</v>
      </c>
      <c r="Z53" s="413" t="s">
        <v>1166</v>
      </c>
    </row>
    <row r="54" spans="1:26" ht="14.1" customHeight="1" x14ac:dyDescent="0.15">
      <c r="B54" s="350" t="s">
        <v>26</v>
      </c>
      <c r="C54" s="2166" t="s">
        <v>1212</v>
      </c>
      <c r="D54" s="2160" t="s">
        <v>443</v>
      </c>
      <c r="E54" s="360" t="s">
        <v>26</v>
      </c>
      <c r="F54" s="361">
        <v>0</v>
      </c>
      <c r="G54" s="362">
        <v>0</v>
      </c>
      <c r="H54" s="362">
        <v>0</v>
      </c>
      <c r="I54" s="362">
        <v>0</v>
      </c>
      <c r="J54" s="362">
        <v>0</v>
      </c>
      <c r="K54" s="362">
        <v>0</v>
      </c>
      <c r="L54" s="362">
        <v>0</v>
      </c>
      <c r="M54" s="362">
        <v>0</v>
      </c>
      <c r="N54" s="362">
        <v>0</v>
      </c>
      <c r="O54" s="362">
        <v>0</v>
      </c>
      <c r="P54" s="362">
        <v>0</v>
      </c>
      <c r="Q54" s="363">
        <v>0</v>
      </c>
      <c r="R54" s="1385"/>
      <c r="S54" s="1020">
        <f t="shared" ref="S54:S63" ca="1" si="17">SUM(OFFSET(F54,0,0,1,IF(ISERROR(MATCH(DATE(YEAR($G$1),MONTH($G$1),1),$F$2:$Q$2,0)),0,MATCH(DATE(YEAR($G$1),MONTH($G$1),1),$F$2:$Q$2,0))))</f>
        <v>0</v>
      </c>
      <c r="T54" s="1431"/>
      <c r="U54" s="364">
        <f t="shared" ref="U54:U63" ca="1" si="18">IF(ISERROR(S54/(DATEDIF(F$2,G$1,"M")+1)),0,S54/(DATEDIF(F$2,G$1,"M")+1))</f>
        <v>0</v>
      </c>
      <c r="V54" s="1375"/>
      <c r="W54" s="1001">
        <f>SUM(F54:Q54)</f>
        <v>0</v>
      </c>
      <c r="X54" s="1442"/>
    </row>
    <row r="55" spans="1:26" ht="14.1" customHeight="1" x14ac:dyDescent="0.15">
      <c r="B55" s="350" t="s">
        <v>15</v>
      </c>
      <c r="C55" s="2167"/>
      <c r="D55" s="2161"/>
      <c r="E55" s="366" t="s">
        <v>15</v>
      </c>
      <c r="F55" s="367">
        <v>0</v>
      </c>
      <c r="G55" s="368">
        <v>0</v>
      </c>
      <c r="H55" s="368">
        <v>0</v>
      </c>
      <c r="I55" s="368">
        <v>0</v>
      </c>
      <c r="J55" s="368">
        <v>0</v>
      </c>
      <c r="K55" s="368">
        <v>0</v>
      </c>
      <c r="L55" s="368">
        <v>0</v>
      </c>
      <c r="M55" s="368">
        <v>0</v>
      </c>
      <c r="N55" s="368">
        <v>0</v>
      </c>
      <c r="O55" s="368">
        <v>0</v>
      </c>
      <c r="P55" s="368">
        <v>400000</v>
      </c>
      <c r="Q55" s="369">
        <v>400000</v>
      </c>
      <c r="R55" s="1386"/>
      <c r="S55" s="1021">
        <f t="shared" ca="1" si="17"/>
        <v>800000</v>
      </c>
      <c r="T55" s="1432"/>
      <c r="U55" s="370">
        <f t="shared" ca="1" si="18"/>
        <v>66666.666666666672</v>
      </c>
      <c r="V55" s="1376"/>
      <c r="W55" s="1000">
        <f>SUM(F55:Q55)</f>
        <v>800000</v>
      </c>
      <c r="X55" s="1443"/>
    </row>
    <row r="56" spans="1:26" ht="14.1" customHeight="1" x14ac:dyDescent="0.15">
      <c r="B56" s="350" t="s">
        <v>447</v>
      </c>
      <c r="C56" s="2167"/>
      <c r="D56" s="2161"/>
      <c r="E56" s="406" t="s">
        <v>447</v>
      </c>
      <c r="F56" s="367">
        <v>0</v>
      </c>
      <c r="G56" s="368">
        <v>0</v>
      </c>
      <c r="H56" s="368">
        <v>0</v>
      </c>
      <c r="I56" s="368">
        <v>0</v>
      </c>
      <c r="J56" s="368">
        <v>0</v>
      </c>
      <c r="K56" s="368">
        <v>0</v>
      </c>
      <c r="L56" s="368">
        <v>0</v>
      </c>
      <c r="M56" s="368">
        <v>0</v>
      </c>
      <c r="N56" s="368">
        <v>0</v>
      </c>
      <c r="O56" s="368">
        <v>0</v>
      </c>
      <c r="P56" s="368">
        <v>0</v>
      </c>
      <c r="Q56" s="369">
        <v>246000</v>
      </c>
      <c r="R56" s="1386"/>
      <c r="S56" s="1021">
        <f t="shared" ca="1" si="17"/>
        <v>246000</v>
      </c>
      <c r="T56" s="1432"/>
      <c r="U56" s="370">
        <f t="shared" ca="1" si="18"/>
        <v>20500</v>
      </c>
      <c r="V56" s="1376"/>
      <c r="W56" s="1000">
        <f>SUM(F56:Q56)</f>
        <v>246000</v>
      </c>
      <c r="X56" s="1443"/>
    </row>
    <row r="57" spans="1:26" ht="14.1" customHeight="1" x14ac:dyDescent="0.15">
      <c r="B57" s="413" t="s">
        <v>1230</v>
      </c>
      <c r="C57" s="2167"/>
      <c r="D57" s="2161"/>
      <c r="E57" s="366" t="s">
        <v>35</v>
      </c>
      <c r="F57" s="367">
        <v>0</v>
      </c>
      <c r="G57" s="368">
        <v>0</v>
      </c>
      <c r="H57" s="368">
        <v>0</v>
      </c>
      <c r="I57" s="368">
        <v>0</v>
      </c>
      <c r="J57" s="368">
        <v>0</v>
      </c>
      <c r="K57" s="368">
        <v>0</v>
      </c>
      <c r="L57" s="368">
        <v>0</v>
      </c>
      <c r="M57" s="368">
        <v>0</v>
      </c>
      <c r="N57" s="368">
        <v>0</v>
      </c>
      <c r="O57" s="368">
        <v>0</v>
      </c>
      <c r="P57" s="368">
        <v>420000</v>
      </c>
      <c r="Q57" s="369">
        <v>2960000</v>
      </c>
      <c r="R57" s="1386"/>
      <c r="S57" s="1021">
        <f t="shared" ca="1" si="17"/>
        <v>3380000</v>
      </c>
      <c r="T57" s="1432"/>
      <c r="U57" s="370">
        <f t="shared" ca="1" si="18"/>
        <v>281666.66666666669</v>
      </c>
      <c r="V57" s="1376"/>
      <c r="W57" s="1000">
        <f>SUM(F57:Q57)</f>
        <v>3380000</v>
      </c>
      <c r="X57" s="1443"/>
    </row>
    <row r="58" spans="1:26" ht="14.1" customHeight="1" thickBot="1" x14ac:dyDescent="0.2">
      <c r="B58" s="350" t="s">
        <v>32</v>
      </c>
      <c r="C58" s="2167"/>
      <c r="D58" s="2162"/>
      <c r="E58" s="372" t="s">
        <v>32</v>
      </c>
      <c r="F58" s="373">
        <f t="shared" ref="F58:Q58" si="19">F54-(F55+F57)</f>
        <v>0</v>
      </c>
      <c r="G58" s="374">
        <f t="shared" si="19"/>
        <v>0</v>
      </c>
      <c r="H58" s="374">
        <f t="shared" si="19"/>
        <v>0</v>
      </c>
      <c r="I58" s="374">
        <f t="shared" si="19"/>
        <v>0</v>
      </c>
      <c r="J58" s="374">
        <f t="shared" si="19"/>
        <v>0</v>
      </c>
      <c r="K58" s="374">
        <f t="shared" si="19"/>
        <v>0</v>
      </c>
      <c r="L58" s="374">
        <f t="shared" si="19"/>
        <v>0</v>
      </c>
      <c r="M58" s="374">
        <f t="shared" si="19"/>
        <v>0</v>
      </c>
      <c r="N58" s="374">
        <f t="shared" si="19"/>
        <v>0</v>
      </c>
      <c r="O58" s="374">
        <f t="shared" si="19"/>
        <v>0</v>
      </c>
      <c r="P58" s="374">
        <f t="shared" si="19"/>
        <v>-820000</v>
      </c>
      <c r="Q58" s="375">
        <f t="shared" si="19"/>
        <v>-3360000</v>
      </c>
      <c r="R58" s="1387"/>
      <c r="S58" s="1022">
        <f t="shared" ca="1" si="17"/>
        <v>-4180000</v>
      </c>
      <c r="T58" s="1433"/>
      <c r="U58" s="374">
        <f t="shared" ca="1" si="18"/>
        <v>-348333.33333333331</v>
      </c>
      <c r="V58" s="1377"/>
      <c r="W58" s="1002">
        <f>SUM(F58:Q58)</f>
        <v>-4180000</v>
      </c>
      <c r="X58" s="1445"/>
    </row>
    <row r="59" spans="1:26" ht="14.1" customHeight="1" x14ac:dyDescent="0.15">
      <c r="A59" s="413" t="s">
        <v>1212</v>
      </c>
      <c r="B59" s="350" t="s">
        <v>26</v>
      </c>
      <c r="C59" s="2167"/>
      <c r="D59" s="2163" t="s">
        <v>444</v>
      </c>
      <c r="E59" s="376" t="s">
        <v>26</v>
      </c>
      <c r="F59" s="377">
        <f>IFERROR(GETPIVOTDATA("合計 / " &amp; $B59,【ピボット】事業所収支!$A$3,"年月",F$2,"事業所",$A59),0)</f>
        <v>0</v>
      </c>
      <c r="G59" s="378">
        <f>IFERROR(GETPIVOTDATA("合計 / " &amp; $B59,【ピボット】事業所収支!$A$3,"年月",G$2,"事業所",$A59),0)</f>
        <v>0</v>
      </c>
      <c r="H59" s="378">
        <f>IFERROR(GETPIVOTDATA("合計 / " &amp; $B59,【ピボット】事業所収支!$A$3,"年月",H$2,"事業所",$A59),0)</f>
        <v>0</v>
      </c>
      <c r="I59" s="378">
        <f>IFERROR(GETPIVOTDATA("合計 / " &amp; $B59,【ピボット】事業所収支!$A$3,"年月",I$2,"事業所",$A59),0)</f>
        <v>0</v>
      </c>
      <c r="J59" s="378">
        <f>IFERROR(GETPIVOTDATA("合計 / " &amp; $B59,【ピボット】事業所収支!$A$3,"年月",J$2,"事業所",$A59),0)</f>
        <v>0</v>
      </c>
      <c r="K59" s="378">
        <f>IFERROR(GETPIVOTDATA("合計 / " &amp; $B59,【ピボット】事業所収支!$A$3,"年月",K$2,"事業所",$A59),0)</f>
        <v>0</v>
      </c>
      <c r="L59" s="378">
        <f>IFERROR(GETPIVOTDATA("合計 / " &amp; $B59,【ピボット】事業所収支!$A$3,"年月",L$2,"事業所",$A59),0)</f>
        <v>0</v>
      </c>
      <c r="M59" s="378">
        <f>IFERROR(GETPIVOTDATA("合計 / " &amp; $B59,【ピボット】事業所収支!$A$3,"年月",M$2,"事業所",$A59),0)</f>
        <v>0</v>
      </c>
      <c r="N59" s="378">
        <f>IFERROR(GETPIVOTDATA("合計 / " &amp; $B59,【ピボット】事業所収支!$A$3,"年月",N$2,"事業所",$A59),0)</f>
        <v>0</v>
      </c>
      <c r="O59" s="378">
        <f>IFERROR(GETPIVOTDATA("合計 / " &amp; $B59,【ピボット】事業所収支!$A$3,"年月",O$2,"事業所",$A59),0)</f>
        <v>0</v>
      </c>
      <c r="P59" s="378">
        <f>IFERROR(GETPIVOTDATA("合計 / " &amp; $B59,【ピボット】事業所収支!$A$3,"年月",P$2,"事業所",$A59),0)</f>
        <v>0</v>
      </c>
      <c r="Q59" s="379">
        <f>IFERROR(GETPIVOTDATA("合計 / " &amp; $B59,【ピボット】事業所収支!$A$3,"年月",Q$2,"事業所",$A59),0)</f>
        <v>0</v>
      </c>
      <c r="R59" s="1056">
        <f ca="1">IF(T59&gt;=1,1,IF(T59&lt;0.9,-1,0))</f>
        <v>-1</v>
      </c>
      <c r="S59" s="1023">
        <f t="shared" ca="1" si="17"/>
        <v>0</v>
      </c>
      <c r="T59" s="1434">
        <f ca="1">IF(S54&lt;0,ROUND((S59-S54)/ABS(S54),3),IF(S54=0,0,ROUND(S59/S54,3)))</f>
        <v>0</v>
      </c>
      <c r="U59" s="378">
        <f t="shared" ca="1" si="18"/>
        <v>0</v>
      </c>
      <c r="V59" s="1373">
        <f>IF(X59&gt;=1,1,IF(X59&lt;0.9,-1,0))</f>
        <v>-1</v>
      </c>
      <c r="W59" s="1003">
        <f ca="1">S59+(12-IF(ISERROR(MATCH(DATE(YEAR($G$1),MONTH($G$1),1),$F$2:$Q$2,0)),0,MATCH(DATE(YEAR($G$1),MONTH($G$1),1),$F$2:$Q$2,0)))*U59</f>
        <v>0</v>
      </c>
      <c r="X59" s="1446">
        <f>IF(W54&lt;0,ROUND((W59-W54)/ABS(W54),3),IF(W54=0,0,ROUND(W59/W54,3)))</f>
        <v>0</v>
      </c>
      <c r="Y59" s="999">
        <v>0.1</v>
      </c>
    </row>
    <row r="60" spans="1:26" ht="14.1" customHeight="1" x14ac:dyDescent="0.15">
      <c r="A60" s="413" t="s">
        <v>1216</v>
      </c>
      <c r="B60" s="350" t="s">
        <v>15</v>
      </c>
      <c r="C60" s="2167"/>
      <c r="D60" s="2164"/>
      <c r="E60" s="380" t="s">
        <v>15</v>
      </c>
      <c r="F60" s="381">
        <f>IFERROR(GETPIVOTDATA("合計 / " &amp; $B60,【ピボット】事業所収支!$A$3,"年月",F$2,"事業所",$A60),0)</f>
        <v>0</v>
      </c>
      <c r="G60" s="382">
        <f>IFERROR(GETPIVOTDATA("合計 / " &amp; $B60,【ピボット】事業所収支!$A$3,"年月",G$2,"事業所",$A60),0)</f>
        <v>0</v>
      </c>
      <c r="H60" s="382">
        <f>IFERROR(GETPIVOTDATA("合計 / " &amp; $B60,【ピボット】事業所収支!$A$3,"年月",H$2,"事業所",$A60),0)</f>
        <v>0</v>
      </c>
      <c r="I60" s="382">
        <f>IFERROR(GETPIVOTDATA("合計 / " &amp; $B60,【ピボット】事業所収支!$A$3,"年月",I$2,"事業所",$A60),0)</f>
        <v>0</v>
      </c>
      <c r="J60" s="382">
        <f>IFERROR(GETPIVOTDATA("合計 / " &amp; $B60,【ピボット】事業所収支!$A$3,"年月",J$2,"事業所",$A60),0)</f>
        <v>0</v>
      </c>
      <c r="K60" s="382">
        <f>IFERROR(GETPIVOTDATA("合計 / " &amp; $B60,【ピボット】事業所収支!$A$3,"年月",K$2,"事業所",$A60),0)</f>
        <v>0</v>
      </c>
      <c r="L60" s="382">
        <f>IFERROR(GETPIVOTDATA("合計 / " &amp; $B60,【ピボット】事業所収支!$A$3,"年月",L$2,"事業所",$A60),0)</f>
        <v>0</v>
      </c>
      <c r="M60" s="382">
        <f>IFERROR(GETPIVOTDATA("合計 / " &amp; $B60,【ピボット】事業所収支!$A$3,"年月",M$2,"事業所",$A60),0)</f>
        <v>0</v>
      </c>
      <c r="N60" s="382">
        <f>IFERROR(GETPIVOTDATA("合計 / " &amp; $B60,【ピボット】事業所収支!$A$3,"年月",N$2,"事業所",$A60),0)</f>
        <v>0</v>
      </c>
      <c r="O60" s="382">
        <f>IFERROR(GETPIVOTDATA("合計 / " &amp; $B60,【ピボット】事業所収支!$A$3,"年月",O$2,"事業所",$A60),0)</f>
        <v>0</v>
      </c>
      <c r="P60" s="382">
        <f>IFERROR(GETPIVOTDATA("合計 / " &amp; $B60,【ピボット】事業所収支!$A$3,"年月",P$2,"事業所",$A60),0)</f>
        <v>0</v>
      </c>
      <c r="Q60" s="383">
        <f>IFERROR(GETPIVOTDATA("合計 / " &amp; $B60,【ピボット】事業所収支!$A$3,"年月",Q$2,"事業所",$A60),0)</f>
        <v>0</v>
      </c>
      <c r="R60" s="1056">
        <f ca="1">IF(T60&lt;=1,1,IF(T60&gt;1.1,-1,0))</f>
        <v>1</v>
      </c>
      <c r="S60" s="1024">
        <f t="shared" ca="1" si="17"/>
        <v>0</v>
      </c>
      <c r="T60" s="1435">
        <f ca="1">IF(S55&lt;0,ROUND((S60-S55)/ABS(S55),3),IF(S55=0,0,ROUND(S60/S55,3)))</f>
        <v>0</v>
      </c>
      <c r="U60" s="382">
        <f t="shared" ca="1" si="18"/>
        <v>0</v>
      </c>
      <c r="V60" s="1373">
        <f ca="1">IF(X60&lt;=1,1,IF(X60&gt;1.1,-1,0))</f>
        <v>1</v>
      </c>
      <c r="W60" s="1004">
        <f ca="1">S60+(12-IF(ISERROR(MATCH(DATE(YEAR($G$1),MONTH($G$1),1),$F$2:$Q$2,0)),0,MATCH(DATE(YEAR($G$1),MONTH($G$1),1),$F$2:$Q$2,0)))*U60</f>
        <v>0</v>
      </c>
      <c r="X60" s="1447">
        <f ca="1">IF(W55&lt;0,ROUND((W60-W55)/ABS(W55),3),IF(W55=0,0,ROUND(W60/W55,3)))</f>
        <v>0</v>
      </c>
      <c r="Y60" s="999">
        <v>0.1</v>
      </c>
    </row>
    <row r="61" spans="1:26" ht="14.1" customHeight="1" x14ac:dyDescent="0.15">
      <c r="A61" s="413" t="s">
        <v>1212</v>
      </c>
      <c r="B61" s="350" t="s">
        <v>448</v>
      </c>
      <c r="C61" s="2167"/>
      <c r="D61" s="2164"/>
      <c r="E61" s="407" t="s">
        <v>448</v>
      </c>
      <c r="F61" s="381">
        <f>IFERROR(GETPIVOTDATA("合計 / " &amp; $B61,【ピボット】事業所収支!$A$3,"年月",F$2,"事業所",$A61),0)</f>
        <v>0</v>
      </c>
      <c r="G61" s="382">
        <f>IFERROR(GETPIVOTDATA("合計 / " &amp; $B61,【ピボット】事業所収支!$A$3,"年月",G$2,"事業所",$A61),0)</f>
        <v>0</v>
      </c>
      <c r="H61" s="382">
        <f>IFERROR(GETPIVOTDATA("合計 / " &amp; $B61,【ピボット】事業所収支!$A$3,"年月",H$2,"事業所",$A61),0)</f>
        <v>0</v>
      </c>
      <c r="I61" s="382">
        <f>IFERROR(GETPIVOTDATA("合計 / " &amp; $B61,【ピボット】事業所収支!$A$3,"年月",I$2,"事業所",$A61),0)</f>
        <v>0</v>
      </c>
      <c r="J61" s="382">
        <f>IFERROR(GETPIVOTDATA("合計 / " &amp; $B61,【ピボット】事業所収支!$A$3,"年月",J$2,"事業所",$A61),0)</f>
        <v>0</v>
      </c>
      <c r="K61" s="382">
        <f>IFERROR(GETPIVOTDATA("合計 / " &amp; $B61,【ピボット】事業所収支!$A$3,"年月",K$2,"事業所",$A61),0)</f>
        <v>0</v>
      </c>
      <c r="L61" s="382">
        <f>IFERROR(GETPIVOTDATA("合計 / " &amp; $B61,【ピボット】事業所収支!$A$3,"年月",L$2,"事業所",$A61),0)</f>
        <v>0</v>
      </c>
      <c r="M61" s="382">
        <f>IFERROR(GETPIVOTDATA("合計 / " &amp; $B61,【ピボット】事業所収支!$A$3,"年月",M$2,"事業所",$A61),0)</f>
        <v>0</v>
      </c>
      <c r="N61" s="382">
        <f>IFERROR(GETPIVOTDATA("合計 / " &amp; $B61,【ピボット】事業所収支!$A$3,"年月",N$2,"事業所",$A61),0)</f>
        <v>0</v>
      </c>
      <c r="O61" s="382">
        <f>IFERROR(GETPIVOTDATA("合計 / " &amp; $B61,【ピボット】事業所収支!$A$3,"年月",O$2,"事業所",$A61),0)</f>
        <v>0</v>
      </c>
      <c r="P61" s="382">
        <f>IFERROR(GETPIVOTDATA("合計 / " &amp; $B61,【ピボット】事業所収支!$A$3,"年月",P$2,"事業所",$A61),0)</f>
        <v>0</v>
      </c>
      <c r="Q61" s="383">
        <f>IFERROR(GETPIVOTDATA("合計 / " &amp; $B61,【ピボット】事業所収支!$A$3,"年月",Q$2,"事業所",$A61),0)</f>
        <v>246240</v>
      </c>
      <c r="R61" s="1056">
        <f ca="1">IF(T61&lt;=1,1,IF(T61&gt;1.1,-1,0))</f>
        <v>0</v>
      </c>
      <c r="S61" s="1024">
        <f t="shared" ca="1" si="17"/>
        <v>246240</v>
      </c>
      <c r="T61" s="1435">
        <f ca="1">IF(S56&lt;0,ROUND((S61-S56)/ABS(S56),3),IF(S56=0,0,ROUND(S61/S56,3)))</f>
        <v>1.0009999999999999</v>
      </c>
      <c r="U61" s="382">
        <f t="shared" ca="1" si="18"/>
        <v>20520</v>
      </c>
      <c r="V61" s="1373">
        <f ca="1">IF(X61&lt;=1,1,IF(X61&gt;1.1,-1,0))</f>
        <v>0</v>
      </c>
      <c r="W61" s="1004">
        <f ca="1">S61+(12-IF(ISERROR(MATCH(DATE(YEAR($G$1),MONTH($G$1),1),$F$2:$Q$2,0)),0,MATCH(DATE(YEAR($G$1),MONTH($G$1),1),$F$2:$Q$2,0)))*U61</f>
        <v>246240</v>
      </c>
      <c r="X61" s="1447">
        <f ca="1">IF(W56&lt;0,ROUND((W61-W56)/ABS(W56),3),IF(W56=0,0,ROUND(W61/W56,3)))</f>
        <v>1.0009999999999999</v>
      </c>
      <c r="Y61" s="999">
        <v>0.1</v>
      </c>
    </row>
    <row r="62" spans="1:26" ht="14.1" customHeight="1" x14ac:dyDescent="0.15">
      <c r="A62" s="413" t="s">
        <v>1212</v>
      </c>
      <c r="B62" s="413" t="s">
        <v>1230</v>
      </c>
      <c r="C62" s="2167"/>
      <c r="D62" s="2164"/>
      <c r="E62" s="380" t="s">
        <v>35</v>
      </c>
      <c r="F62" s="381">
        <f>IFERROR(GETPIVOTDATA("合計 / " &amp; $B62,【ピボット】事業所収支!$A$3,"年月",F$2,"事業所",$A62),0)</f>
        <v>0</v>
      </c>
      <c r="G62" s="382">
        <f>IFERROR(GETPIVOTDATA("合計 / " &amp; $B62,【ピボット】事業所収支!$A$3,"年月",G$2,"事業所",$A62),0)</f>
        <v>0</v>
      </c>
      <c r="H62" s="382">
        <f>IFERROR(GETPIVOTDATA("合計 / " &amp; $B62,【ピボット】事業所収支!$A$3,"年月",H$2,"事業所",$A62),0)</f>
        <v>0</v>
      </c>
      <c r="I62" s="382">
        <f>IFERROR(GETPIVOTDATA("合計 / " &amp; $B62,【ピボット】事業所収支!$A$3,"年月",I$2,"事業所",$A62),0)</f>
        <v>0</v>
      </c>
      <c r="J62" s="382">
        <f>IFERROR(GETPIVOTDATA("合計 / " &amp; $B62,【ピボット】事業所収支!$A$3,"年月",J$2,"事業所",$A62),0)</f>
        <v>0</v>
      </c>
      <c r="K62" s="382">
        <f>IFERROR(GETPIVOTDATA("合計 / " &amp; $B62,【ピボット】事業所収支!$A$3,"年月",K$2,"事業所",$A62),0)</f>
        <v>0</v>
      </c>
      <c r="L62" s="382">
        <f>IFERROR(GETPIVOTDATA("合計 / " &amp; $B62,【ピボット】事業所収支!$A$3,"年月",L$2,"事業所",$A62),0)</f>
        <v>0</v>
      </c>
      <c r="M62" s="382">
        <f>IFERROR(GETPIVOTDATA("合計 / " &amp; $B62,【ピボット】事業所収支!$A$3,"年月",M$2,"事業所",$A62),0)</f>
        <v>0</v>
      </c>
      <c r="N62" s="382">
        <f>IFERROR(GETPIVOTDATA("合計 / " &amp; $B62,【ピボット】事業所収支!$A$3,"年月",N$2,"事業所",$A62),0)</f>
        <v>0</v>
      </c>
      <c r="O62" s="382">
        <f>IFERROR(GETPIVOTDATA("合計 / " &amp; $B62,【ピボット】事業所収支!$A$3,"年月",O$2,"事業所",$A62),0)</f>
        <v>0</v>
      </c>
      <c r="P62" s="382">
        <f>IFERROR(GETPIVOTDATA("合計 / " &amp; $B62,【ピボット】事業所収支!$A$3,"年月",P$2,"事業所",$A62),0)</f>
        <v>835563</v>
      </c>
      <c r="Q62" s="383">
        <f>IFERROR(GETPIVOTDATA("合計 / " &amp; $B62,【ピボット】事業所収支!$A$3,"年月",Q$2,"事業所",$A62),0)</f>
        <v>752125</v>
      </c>
      <c r="R62" s="1056">
        <f ca="1">IF(T62&lt;=1,1,IF(T62&gt;1.1,-1,0))</f>
        <v>1</v>
      </c>
      <c r="S62" s="1024">
        <f t="shared" ca="1" si="17"/>
        <v>1587688</v>
      </c>
      <c r="T62" s="1435">
        <f ca="1">IF(S57&lt;0,ROUND((S62-S57)/ABS(S57),3),IF(S57=0,0,ROUND(S62/S57,3)))</f>
        <v>0.47</v>
      </c>
      <c r="U62" s="382">
        <f t="shared" ca="1" si="18"/>
        <v>132307.33333333334</v>
      </c>
      <c r="V62" s="1373">
        <f ca="1">IF(X62&lt;=1,1,IF(X62&gt;1.1,-1,0))</f>
        <v>1</v>
      </c>
      <c r="W62" s="1004">
        <f ca="1">S62+(12-IF(ISERROR(MATCH(DATE(YEAR($G$1),MONTH($G$1),1),$F$2:$Q$2,0)),0,MATCH(DATE(YEAR($G$1),MONTH($G$1),1),$F$2:$Q$2,0)))*U62</f>
        <v>1587688</v>
      </c>
      <c r="X62" s="1447">
        <f ca="1">IF(W57&lt;0,ROUND((W62-W57)/ABS(W57),3),IF(W57=0,0,ROUND(W62/W57,3)))</f>
        <v>0.47</v>
      </c>
      <c r="Y62" s="999">
        <v>0.1</v>
      </c>
    </row>
    <row r="63" spans="1:26" ht="14.1" customHeight="1" thickBot="1" x14ac:dyDescent="0.2">
      <c r="A63" s="413" t="s">
        <v>1212</v>
      </c>
      <c r="B63" s="350" t="s">
        <v>32</v>
      </c>
      <c r="C63" s="2168"/>
      <c r="D63" s="2165"/>
      <c r="E63" s="384" t="s">
        <v>32</v>
      </c>
      <c r="F63" s="385">
        <f t="shared" ref="F63:Q63" si="20">F59-(F60+F62)</f>
        <v>0</v>
      </c>
      <c r="G63" s="386">
        <f t="shared" si="20"/>
        <v>0</v>
      </c>
      <c r="H63" s="386">
        <f t="shared" si="20"/>
        <v>0</v>
      </c>
      <c r="I63" s="386">
        <f t="shared" si="20"/>
        <v>0</v>
      </c>
      <c r="J63" s="386">
        <f t="shared" si="20"/>
        <v>0</v>
      </c>
      <c r="K63" s="386">
        <f t="shared" si="20"/>
        <v>0</v>
      </c>
      <c r="L63" s="386">
        <f t="shared" si="20"/>
        <v>0</v>
      </c>
      <c r="M63" s="386">
        <f t="shared" si="20"/>
        <v>0</v>
      </c>
      <c r="N63" s="386">
        <f t="shared" si="20"/>
        <v>0</v>
      </c>
      <c r="O63" s="386">
        <f t="shared" si="20"/>
        <v>0</v>
      </c>
      <c r="P63" s="386">
        <f t="shared" si="20"/>
        <v>-835563</v>
      </c>
      <c r="Q63" s="387">
        <f t="shared" si="20"/>
        <v>-752125</v>
      </c>
      <c r="R63" s="1056">
        <f ca="1">IF(T63&gt;=0,1,IF(T63&lt;-0.1,-1,0))</f>
        <v>1</v>
      </c>
      <c r="S63" s="1025">
        <f t="shared" ca="1" si="17"/>
        <v>-1587688</v>
      </c>
      <c r="T63" s="1436">
        <f ca="1">IF(S58=0,1-(S60+S62)/S59,IF(S58=S63,0,ROUND((S63-S58)/ABS(S58),3)))</f>
        <v>0.62</v>
      </c>
      <c r="U63" s="386">
        <f t="shared" ca="1" si="18"/>
        <v>-132307.33333333334</v>
      </c>
      <c r="V63" s="1373">
        <f ca="1">IF(X63&gt;=0,1,IF(X63&lt;-0.1,-1,0))</f>
        <v>1</v>
      </c>
      <c r="W63" s="1005">
        <f ca="1">S63+(12-IF(ISERROR(MATCH(DATE(YEAR($G$1),MONTH($G$1),1),$F$2:$Q$2,0)),0,MATCH(DATE(YEAR($G$1),MONTH($G$1),1),$F$2:$Q$2,0)))*U63</f>
        <v>-1587688</v>
      </c>
      <c r="X63" s="1448">
        <f ca="1">IF(W58=0,1-(W60+W62)/W59,IF(W58=W63,0,ROUND((W63-W58)/ABS(W58),3)))</f>
        <v>0.62</v>
      </c>
      <c r="Y63" s="999">
        <v>0.1</v>
      </c>
      <c r="Z63" s="413" t="s">
        <v>1166</v>
      </c>
    </row>
    <row r="64" spans="1:26" ht="14.1" customHeight="1" x14ac:dyDescent="0.15">
      <c r="B64" s="350" t="s">
        <v>26</v>
      </c>
      <c r="C64" s="2166" t="s">
        <v>358</v>
      </c>
      <c r="D64" s="2160" t="s">
        <v>443</v>
      </c>
      <c r="E64" s="360" t="s">
        <v>26</v>
      </c>
      <c r="F64" s="361">
        <v>3700000</v>
      </c>
      <c r="G64" s="362">
        <v>3800000</v>
      </c>
      <c r="H64" s="362">
        <v>3900000</v>
      </c>
      <c r="I64" s="362">
        <v>4000000</v>
      </c>
      <c r="J64" s="362">
        <v>4100000</v>
      </c>
      <c r="K64" s="362">
        <v>4200000</v>
      </c>
      <c r="L64" s="362">
        <v>4300000</v>
      </c>
      <c r="M64" s="362">
        <v>4400000</v>
      </c>
      <c r="N64" s="362">
        <v>4500000</v>
      </c>
      <c r="O64" s="362">
        <v>4600000</v>
      </c>
      <c r="P64" s="362">
        <v>4700000</v>
      </c>
      <c r="Q64" s="363">
        <v>4800000</v>
      </c>
      <c r="R64" s="1385"/>
      <c r="S64" s="1020">
        <f t="shared" ca="1" si="5"/>
        <v>51000000</v>
      </c>
      <c r="T64" s="1431"/>
      <c r="U64" s="364">
        <f t="shared" ca="1" si="3"/>
        <v>4250000</v>
      </c>
      <c r="V64" s="1375"/>
      <c r="W64" s="1001">
        <f>SUM(F64:Q64)</f>
        <v>51000000</v>
      </c>
      <c r="X64" s="1442"/>
    </row>
    <row r="65" spans="1:25" ht="14.1" customHeight="1" x14ac:dyDescent="0.15">
      <c r="B65" s="350" t="s">
        <v>15</v>
      </c>
      <c r="C65" s="2167"/>
      <c r="D65" s="2161"/>
      <c r="E65" s="366" t="s">
        <v>15</v>
      </c>
      <c r="F65" s="367">
        <v>1850000</v>
      </c>
      <c r="G65" s="368">
        <v>1900000</v>
      </c>
      <c r="H65" s="368">
        <v>1950000</v>
      </c>
      <c r="I65" s="368">
        <v>3650000</v>
      </c>
      <c r="J65" s="368">
        <v>2050000</v>
      </c>
      <c r="K65" s="368">
        <v>2300000</v>
      </c>
      <c r="L65" s="368">
        <v>2350000</v>
      </c>
      <c r="M65" s="368">
        <v>2400000</v>
      </c>
      <c r="N65" s="368">
        <v>2450000</v>
      </c>
      <c r="O65" s="368">
        <v>3000000</v>
      </c>
      <c r="P65" s="368">
        <v>2550000</v>
      </c>
      <c r="Q65" s="369">
        <v>2600000</v>
      </c>
      <c r="R65" s="1386"/>
      <c r="S65" s="1021">
        <f t="shared" ca="1" si="5"/>
        <v>29050000</v>
      </c>
      <c r="T65" s="1432"/>
      <c r="U65" s="370">
        <f t="shared" ca="1" si="3"/>
        <v>2420833.3333333335</v>
      </c>
      <c r="V65" s="1376"/>
      <c r="W65" s="1000">
        <f>SUM(F65:Q65)</f>
        <v>29050000</v>
      </c>
      <c r="X65" s="1443"/>
    </row>
    <row r="66" spans="1:25" ht="14.1" customHeight="1" x14ac:dyDescent="0.15">
      <c r="B66" s="350" t="s">
        <v>447</v>
      </c>
      <c r="C66" s="2167"/>
      <c r="D66" s="2161"/>
      <c r="E66" s="406" t="s">
        <v>447</v>
      </c>
      <c r="F66" s="367">
        <v>50000</v>
      </c>
      <c r="G66" s="368">
        <v>50000</v>
      </c>
      <c r="H66" s="368">
        <v>50000</v>
      </c>
      <c r="I66" s="368">
        <v>50000</v>
      </c>
      <c r="J66" s="368">
        <v>50000</v>
      </c>
      <c r="K66" s="368">
        <v>50000</v>
      </c>
      <c r="L66" s="368">
        <v>50000</v>
      </c>
      <c r="M66" s="368">
        <v>50000</v>
      </c>
      <c r="N66" s="368">
        <v>50000</v>
      </c>
      <c r="O66" s="368">
        <v>50000</v>
      </c>
      <c r="P66" s="368">
        <v>50000</v>
      </c>
      <c r="Q66" s="369">
        <v>50000</v>
      </c>
      <c r="R66" s="1386"/>
      <c r="S66" s="1021">
        <f t="shared" ca="1" si="5"/>
        <v>600000</v>
      </c>
      <c r="T66" s="1432"/>
      <c r="U66" s="370">
        <f t="shared" ca="1" si="3"/>
        <v>50000</v>
      </c>
      <c r="V66" s="1376"/>
      <c r="W66" s="1000">
        <f>SUM(F66:Q66)</f>
        <v>600000</v>
      </c>
      <c r="X66" s="1443"/>
    </row>
    <row r="67" spans="1:25" ht="14.1" customHeight="1" x14ac:dyDescent="0.15">
      <c r="B67" s="413" t="s">
        <v>1230</v>
      </c>
      <c r="C67" s="2167"/>
      <c r="D67" s="2161"/>
      <c r="E67" s="366" t="s">
        <v>35</v>
      </c>
      <c r="F67" s="367">
        <v>1100000</v>
      </c>
      <c r="G67" s="368">
        <v>1150000</v>
      </c>
      <c r="H67" s="368">
        <v>1170000</v>
      </c>
      <c r="I67" s="368">
        <v>1200000</v>
      </c>
      <c r="J67" s="368">
        <v>1230000</v>
      </c>
      <c r="K67" s="368">
        <v>1260000</v>
      </c>
      <c r="L67" s="368">
        <v>1290000</v>
      </c>
      <c r="M67" s="368">
        <v>1320000</v>
      </c>
      <c r="N67" s="368">
        <v>1350000</v>
      </c>
      <c r="O67" s="368">
        <v>1380000</v>
      </c>
      <c r="P67" s="368">
        <v>1410000</v>
      </c>
      <c r="Q67" s="369">
        <v>1440000</v>
      </c>
      <c r="R67" s="1386"/>
      <c r="S67" s="1021">
        <f t="shared" ca="1" si="5"/>
        <v>15300000</v>
      </c>
      <c r="T67" s="1432"/>
      <c r="U67" s="370">
        <f t="shared" ca="1" si="3"/>
        <v>1275000</v>
      </c>
      <c r="V67" s="1376"/>
      <c r="W67" s="1000">
        <f>SUM(F67:Q67)</f>
        <v>15300000</v>
      </c>
      <c r="X67" s="1443"/>
    </row>
    <row r="68" spans="1:25" ht="14.1" customHeight="1" thickBot="1" x14ac:dyDescent="0.2">
      <c r="B68" s="350" t="s">
        <v>32</v>
      </c>
      <c r="C68" s="2167"/>
      <c r="D68" s="2162"/>
      <c r="E68" s="372" t="s">
        <v>32</v>
      </c>
      <c r="F68" s="373">
        <f t="shared" ref="F68:Q68" si="21">F64-(F65+F67)</f>
        <v>750000</v>
      </c>
      <c r="G68" s="374">
        <f t="shared" si="21"/>
        <v>750000</v>
      </c>
      <c r="H68" s="374">
        <f t="shared" si="21"/>
        <v>780000</v>
      </c>
      <c r="I68" s="374">
        <f t="shared" si="21"/>
        <v>-850000</v>
      </c>
      <c r="J68" s="374">
        <f t="shared" si="21"/>
        <v>820000</v>
      </c>
      <c r="K68" s="374">
        <f t="shared" si="21"/>
        <v>640000</v>
      </c>
      <c r="L68" s="374">
        <f t="shared" si="21"/>
        <v>660000</v>
      </c>
      <c r="M68" s="374">
        <f t="shared" si="21"/>
        <v>680000</v>
      </c>
      <c r="N68" s="374">
        <f t="shared" si="21"/>
        <v>700000</v>
      </c>
      <c r="O68" s="374">
        <f t="shared" si="21"/>
        <v>220000</v>
      </c>
      <c r="P68" s="374">
        <f t="shared" si="21"/>
        <v>740000</v>
      </c>
      <c r="Q68" s="375">
        <f t="shared" si="21"/>
        <v>760000</v>
      </c>
      <c r="R68" s="1387"/>
      <c r="S68" s="1022">
        <f t="shared" ca="1" si="5"/>
        <v>6650000</v>
      </c>
      <c r="T68" s="1433"/>
      <c r="U68" s="374">
        <f t="shared" ca="1" si="3"/>
        <v>554166.66666666663</v>
      </c>
      <c r="V68" s="1377"/>
      <c r="W68" s="1002">
        <f>SUM(F68:Q68)</f>
        <v>6650000</v>
      </c>
      <c r="X68" s="1445"/>
    </row>
    <row r="69" spans="1:25" ht="14.1" customHeight="1" x14ac:dyDescent="0.15">
      <c r="A69" s="413" t="s">
        <v>797</v>
      </c>
      <c r="B69" s="350" t="s">
        <v>26</v>
      </c>
      <c r="C69" s="2167"/>
      <c r="D69" s="2163" t="s">
        <v>444</v>
      </c>
      <c r="E69" s="376" t="s">
        <v>26</v>
      </c>
      <c r="F69" s="377">
        <f>IFERROR(GETPIVOTDATA("合計 / " &amp; $B69,【ピボット】事業所収支!$A$3,"年月",F$2,"事業所",$A69),0)</f>
        <v>3130698</v>
      </c>
      <c r="G69" s="378">
        <f>IFERROR(GETPIVOTDATA("合計 / " &amp; $B69,【ピボット】事業所収支!$A$3,"年月",G$2,"事業所",$A69),0)</f>
        <v>3270391</v>
      </c>
      <c r="H69" s="378">
        <f>IFERROR(GETPIVOTDATA("合計 / " &amp; $B69,【ピボット】事業所収支!$A$3,"年月",H$2,"事業所",$A69),0)</f>
        <v>3507733</v>
      </c>
      <c r="I69" s="378">
        <f>IFERROR(GETPIVOTDATA("合計 / " &amp; $B69,【ピボット】事業所収支!$A$3,"年月",I$2,"事業所",$A69),0)</f>
        <v>3292348</v>
      </c>
      <c r="J69" s="378">
        <f>IFERROR(GETPIVOTDATA("合計 / " &amp; $B69,【ピボット】事業所収支!$A$3,"年月",J$2,"事業所",$A69),0)</f>
        <v>3313516</v>
      </c>
      <c r="K69" s="378">
        <f>IFERROR(GETPIVOTDATA("合計 / " &amp; $B69,【ピボット】事業所収支!$A$3,"年月",K$2,"事業所",$A69),0)</f>
        <v>3497339</v>
      </c>
      <c r="L69" s="378">
        <f>IFERROR(GETPIVOTDATA("合計 / " &amp; $B69,【ピボット】事業所収支!$A$3,"年月",L$2,"事業所",$A69),0)</f>
        <v>3458623</v>
      </c>
      <c r="M69" s="378">
        <f>IFERROR(GETPIVOTDATA("合計 / " &amp; $B69,【ピボット】事業所収支!$A$3,"年月",M$2,"事業所",$A69),0)</f>
        <v>4706520</v>
      </c>
      <c r="N69" s="378">
        <f>IFERROR(GETPIVOTDATA("合計 / " &amp; $B69,【ピボット】事業所収支!$A$3,"年月",N$2,"事業所",$A69),0)</f>
        <v>4419633</v>
      </c>
      <c r="O69" s="378">
        <f>IFERROR(GETPIVOTDATA("合計 / " &amp; $B69,【ピボット】事業所収支!$A$3,"年月",O$2,"事業所",$A69),0)</f>
        <v>4146272</v>
      </c>
      <c r="P69" s="378">
        <f>IFERROR(GETPIVOTDATA("合計 / " &amp; $B69,【ピボット】事業所収支!$A$3,"年月",P$2,"事業所",$A69),0)</f>
        <v>4468494</v>
      </c>
      <c r="Q69" s="379">
        <f>IFERROR(GETPIVOTDATA("合計 / " &amp; $B69,【ピボット】事業所収支!$A$3,"年月",Q$2,"事業所",$A69),0)</f>
        <v>4494230</v>
      </c>
      <c r="R69" s="1056">
        <f ca="1">IF(T69&gt;=1,1,IF(T69&lt;0.9,-1,0))</f>
        <v>-1</v>
      </c>
      <c r="S69" s="1023">
        <f t="shared" ca="1" si="5"/>
        <v>45705797</v>
      </c>
      <c r="T69" s="1434">
        <f ca="1">IF(S64&lt;0,ROUND((S69-S64)/ABS(S64),3),IF(S64=0,0,ROUND(S69/S64,3)))</f>
        <v>0.89600000000000002</v>
      </c>
      <c r="U69" s="378">
        <f t="shared" ca="1" si="3"/>
        <v>3808816.4166666665</v>
      </c>
      <c r="V69" s="1373">
        <f ca="1">IF(X69&gt;=1,1,IF(X69&lt;0.9,-1,0))</f>
        <v>-1</v>
      </c>
      <c r="W69" s="1003">
        <f ca="1">S69+(12-IF(ISERROR(MATCH(DATE(YEAR($G$1),MONTH($G$1),1),$F$2:$Q$2,0)),0,MATCH(DATE(YEAR($G$1),MONTH($G$1),1),$F$2:$Q$2,0)))*U69</f>
        <v>45705797</v>
      </c>
      <c r="X69" s="1446">
        <f ca="1">IF(W64&lt;0,ROUND((W69-W64)/ABS(W64),3),IF(W64=0,0,ROUND(W69/W64,3)))</f>
        <v>0.89600000000000002</v>
      </c>
      <c r="Y69" s="999">
        <v>0.1</v>
      </c>
    </row>
    <row r="70" spans="1:25" ht="14.1" customHeight="1" x14ac:dyDescent="0.15">
      <c r="A70" s="413" t="s">
        <v>797</v>
      </c>
      <c r="B70" s="350" t="s">
        <v>15</v>
      </c>
      <c r="C70" s="2167"/>
      <c r="D70" s="2164"/>
      <c r="E70" s="380" t="s">
        <v>15</v>
      </c>
      <c r="F70" s="381">
        <f>IFERROR(GETPIVOTDATA("合計 / " &amp; $B70,【ピボット】事業所収支!$A$3,"年月",F$2,"事業所",$A70),0)</f>
        <v>1814610</v>
      </c>
      <c r="G70" s="382">
        <f>IFERROR(GETPIVOTDATA("合計 / " &amp; $B70,【ピボット】事業所収支!$A$3,"年月",G$2,"事業所",$A70),0)</f>
        <v>1917384</v>
      </c>
      <c r="H70" s="382">
        <f>IFERROR(GETPIVOTDATA("合計 / " &amp; $B70,【ピボット】事業所収支!$A$3,"年月",H$2,"事業所",$A70),0)</f>
        <v>1620791</v>
      </c>
      <c r="I70" s="382">
        <f>IFERROR(GETPIVOTDATA("合計 / " &amp; $B70,【ピボット】事業所収支!$A$3,"年月",I$2,"事業所",$A70),0)</f>
        <v>2221300.6135975425</v>
      </c>
      <c r="J70" s="382">
        <f>IFERROR(GETPIVOTDATA("合計 / " &amp; $B70,【ピボット】事業所収支!$A$3,"年月",J$2,"事業所",$A70),0)</f>
        <v>2142318</v>
      </c>
      <c r="K70" s="382">
        <f>IFERROR(GETPIVOTDATA("合計 / " &amp; $B70,【ピボット】事業所収支!$A$3,"年月",K$2,"事業所",$A70),0)</f>
        <v>2272159</v>
      </c>
      <c r="L70" s="382">
        <f>IFERROR(GETPIVOTDATA("合計 / " &amp; $B70,【ピボット】事業所収支!$A$3,"年月",L$2,"事業所",$A70),0)</f>
        <v>2458758</v>
      </c>
      <c r="M70" s="382">
        <f>IFERROR(GETPIVOTDATA("合計 / " &amp; $B70,【ピボット】事業所収支!$A$3,"年月",M$2,"事業所",$A70),0)</f>
        <v>2574150</v>
      </c>
      <c r="N70" s="382">
        <f>IFERROR(GETPIVOTDATA("合計 / " &amp; $B70,【ピボット】事業所収支!$A$3,"年月",N$2,"事業所",$A70),0)</f>
        <v>2522266</v>
      </c>
      <c r="O70" s="382">
        <f>IFERROR(GETPIVOTDATA("合計 / " &amp; $B70,【ピボット】事業所収支!$A$3,"年月",O$2,"事業所",$A70),0)</f>
        <v>2675261</v>
      </c>
      <c r="P70" s="382">
        <f>IFERROR(GETPIVOTDATA("合計 / " &amp; $B70,【ピボット】事業所収支!$A$3,"年月",P$2,"事業所",$A70),0)</f>
        <v>2695210</v>
      </c>
      <c r="Q70" s="383">
        <f>IFERROR(GETPIVOTDATA("合計 / " &amp; $B70,【ピボット】事業所収支!$A$3,"年月",Q$2,"事業所",$A70),0)</f>
        <v>2472573</v>
      </c>
      <c r="R70" s="1056">
        <f ca="1">IF(T70&lt;=1,1,IF(T70&gt;1.1,-1,0))</f>
        <v>1</v>
      </c>
      <c r="S70" s="1024">
        <f t="shared" ca="1" si="5"/>
        <v>27386780.613597542</v>
      </c>
      <c r="T70" s="1435">
        <f ca="1">IF(S65&lt;0,ROUND((S70-S65)/ABS(S65),3),IF(S65=0,0,ROUND(S70/S65,3)))</f>
        <v>0.94299999999999995</v>
      </c>
      <c r="U70" s="382">
        <f t="shared" ca="1" si="3"/>
        <v>2282231.7177997953</v>
      </c>
      <c r="V70" s="1373">
        <f ca="1">IF(X70&lt;=1,1,IF(X70&gt;1.1,-1,0))</f>
        <v>1</v>
      </c>
      <c r="W70" s="1004">
        <f ca="1">S70+(12-IF(ISERROR(MATCH(DATE(YEAR($G$1),MONTH($G$1),1),$F$2:$Q$2,0)),0,MATCH(DATE(YEAR($G$1),MONTH($G$1),1),$F$2:$Q$2,0)))*U70</f>
        <v>27386780.613597542</v>
      </c>
      <c r="X70" s="1447">
        <f ca="1">IF(W65&lt;0,ROUND((W70-W65)/ABS(W65),3),IF(W65=0,0,ROUND(W70/W65,3)))</f>
        <v>0.94299999999999995</v>
      </c>
      <c r="Y70" s="999">
        <v>0.1</v>
      </c>
    </row>
    <row r="71" spans="1:25" ht="14.1" customHeight="1" x14ac:dyDescent="0.15">
      <c r="A71" s="413" t="s">
        <v>797</v>
      </c>
      <c r="B71" s="350" t="s">
        <v>448</v>
      </c>
      <c r="C71" s="2167"/>
      <c r="D71" s="2164"/>
      <c r="E71" s="407" t="s">
        <v>448</v>
      </c>
      <c r="F71" s="381">
        <f>IFERROR(GETPIVOTDATA("合計 / " &amp; $B71,【ピボット】事業所収支!$A$3,"年月",F$2,"事業所",$A71),0)</f>
        <v>54000</v>
      </c>
      <c r="G71" s="382">
        <f>IFERROR(GETPIVOTDATA("合計 / " &amp; $B71,【ピボット】事業所収支!$A$3,"年月",G$2,"事業所",$A71),0)</f>
        <v>50988</v>
      </c>
      <c r="H71" s="382">
        <f>IFERROR(GETPIVOTDATA("合計 / " &amp; $B71,【ピボット】事業所収支!$A$3,"年月",H$2,"事業所",$A71),0)</f>
        <v>1200</v>
      </c>
      <c r="I71" s="382">
        <f>IFERROR(GETPIVOTDATA("合計 / " &amp; $B71,【ピボット】事業所収支!$A$3,"年月",I$2,"事業所",$A71),0)</f>
        <v>46440</v>
      </c>
      <c r="J71" s="382">
        <f>IFERROR(GETPIVOTDATA("合計 / " &amp; $B71,【ピボット】事業所収支!$A$3,"年月",J$2,"事業所",$A71),0)</f>
        <v>0</v>
      </c>
      <c r="K71" s="382">
        <f>IFERROR(GETPIVOTDATA("合計 / " &amp; $B71,【ピボット】事業所収支!$A$3,"年月",K$2,"事業所",$A71),0)</f>
        <v>113400</v>
      </c>
      <c r="L71" s="382">
        <f>IFERROR(GETPIVOTDATA("合計 / " &amp; $B71,【ピボット】事業所収支!$A$3,"年月",L$2,"事業所",$A71),0)</f>
        <v>0</v>
      </c>
      <c r="M71" s="382">
        <f>IFERROR(GETPIVOTDATA("合計 / " &amp; $B71,【ピボット】事業所収支!$A$3,"年月",M$2,"事業所",$A71),0)</f>
        <v>0</v>
      </c>
      <c r="N71" s="382">
        <f>IFERROR(GETPIVOTDATA("合計 / " &amp; $B71,【ピボット】事業所収支!$A$3,"年月",N$2,"事業所",$A71),0)</f>
        <v>243000</v>
      </c>
      <c r="O71" s="382">
        <f>IFERROR(GETPIVOTDATA("合計 / " &amp; $B71,【ピボット】事業所収支!$A$3,"年月",O$2,"事業所",$A71),0)</f>
        <v>0</v>
      </c>
      <c r="P71" s="382">
        <f>IFERROR(GETPIVOTDATA("合計 / " &amp; $B71,【ピボット】事業所収支!$A$3,"年月",P$2,"事業所",$A71),0)</f>
        <v>0</v>
      </c>
      <c r="Q71" s="383">
        <f>IFERROR(GETPIVOTDATA("合計 / " &amp; $B71,【ピボット】事業所収支!$A$3,"年月",Q$2,"事業所",$A71),0)</f>
        <v>129600</v>
      </c>
      <c r="R71" s="1056">
        <f ca="1">IF(T71&lt;=1,1,IF(T71&gt;1.1,-1,0))</f>
        <v>0</v>
      </c>
      <c r="S71" s="1024">
        <f t="shared" ca="1" si="5"/>
        <v>638628</v>
      </c>
      <c r="T71" s="1435">
        <f ca="1">IF(S66&lt;0,ROUND((S71-S66)/ABS(S66),3),IF(S66=0,0,ROUND(S71/S66,3)))</f>
        <v>1.0640000000000001</v>
      </c>
      <c r="U71" s="382">
        <f t="shared" ca="1" si="3"/>
        <v>53219</v>
      </c>
      <c r="V71" s="1373">
        <f ca="1">IF(X71&lt;=1,1,IF(X71&gt;1.1,-1,0))</f>
        <v>0</v>
      </c>
      <c r="W71" s="1004">
        <f ca="1">S71+(12-IF(ISERROR(MATCH(DATE(YEAR($G$1),MONTH($G$1),1),$F$2:$Q$2,0)),0,MATCH(DATE(YEAR($G$1),MONTH($G$1),1),$F$2:$Q$2,0)))*U71</f>
        <v>638628</v>
      </c>
      <c r="X71" s="1447">
        <f ca="1">IF(W66&lt;0,ROUND((W71-W66)/ABS(W66),3),IF(W66=0,0,ROUND(W71/W66,3)))</f>
        <v>1.0640000000000001</v>
      </c>
      <c r="Y71" s="999">
        <v>0.1</v>
      </c>
    </row>
    <row r="72" spans="1:25" ht="14.1" customHeight="1" x14ac:dyDescent="0.15">
      <c r="A72" s="413" t="s">
        <v>797</v>
      </c>
      <c r="B72" s="413" t="s">
        <v>1235</v>
      </c>
      <c r="C72" s="2167"/>
      <c r="D72" s="2164"/>
      <c r="E72" s="380" t="s">
        <v>35</v>
      </c>
      <c r="F72" s="381">
        <f>IFERROR(GETPIVOTDATA("合計 / " &amp; $B72,【ピボット】事業所収支!$A$3,"年月",F$2,"事業所",$A72),0)</f>
        <v>824423</v>
      </c>
      <c r="G72" s="382">
        <f>IFERROR(GETPIVOTDATA("合計 / " &amp; $B72,【ピボット】事業所収支!$A$3,"年月",G$2,"事業所",$A72),0)</f>
        <v>966398</v>
      </c>
      <c r="H72" s="382">
        <f>IFERROR(GETPIVOTDATA("合計 / " &amp; $B72,【ピボット】事業所収支!$A$3,"年月",H$2,"事業所",$A72),0)</f>
        <v>859233</v>
      </c>
      <c r="I72" s="382">
        <f>IFERROR(GETPIVOTDATA("合計 / " &amp; $B72,【ピボット】事業所収支!$A$3,"年月",I$2,"事業所",$A72),0)</f>
        <v>1042803</v>
      </c>
      <c r="J72" s="382">
        <f>IFERROR(GETPIVOTDATA("合計 / " &amp; $B72,【ピボット】事業所収支!$A$3,"年月",J$2,"事業所",$A72),0)</f>
        <v>1015011</v>
      </c>
      <c r="K72" s="382">
        <f>IFERROR(GETPIVOTDATA("合計 / " &amp; $B72,【ピボット】事業所収支!$A$3,"年月",K$2,"事業所",$A72),0)</f>
        <v>1024904</v>
      </c>
      <c r="L72" s="382">
        <f>IFERROR(GETPIVOTDATA("合計 / " &amp; $B72,【ピボット】事業所収支!$A$3,"年月",L$2,"事業所",$A72),0)</f>
        <v>969911</v>
      </c>
      <c r="M72" s="382">
        <f>IFERROR(GETPIVOTDATA("合計 / " &amp; $B72,【ピボット】事業所収支!$A$3,"年月",M$2,"事業所",$A72),0)</f>
        <v>821057</v>
      </c>
      <c r="N72" s="382">
        <f>IFERROR(GETPIVOTDATA("合計 / " &amp; $B72,【ピボット】事業所収支!$A$3,"年月",N$2,"事業所",$A72),0)</f>
        <v>1282778</v>
      </c>
      <c r="O72" s="382">
        <f>IFERROR(GETPIVOTDATA("合計 / " &amp; $B72,【ピボット】事業所収支!$A$3,"年月",O$2,"事業所",$A72),0)</f>
        <v>1171971</v>
      </c>
      <c r="P72" s="382">
        <f>IFERROR(GETPIVOTDATA("合計 / " &amp; $B72,【ピボット】事業所収支!$A$3,"年月",P$2,"事業所",$A72),0)</f>
        <v>1095648</v>
      </c>
      <c r="Q72" s="383">
        <f>IFERROR(GETPIVOTDATA("合計 / " &amp; $B72,【ピボット】事業所収支!$A$3,"年月",Q$2,"事業所",$A72),0)</f>
        <v>1218671</v>
      </c>
      <c r="R72" s="1056">
        <f ca="1">IF(T72&lt;=1,1,IF(T72&gt;1.1,-1,0))</f>
        <v>1</v>
      </c>
      <c r="S72" s="1024">
        <f t="shared" ca="1" si="5"/>
        <v>12292808</v>
      </c>
      <c r="T72" s="1435">
        <f ca="1">IF(S67&lt;0,ROUND((S72-S67)/ABS(S67),3),IF(S67=0,0,ROUND(S72/S67,3)))</f>
        <v>0.80300000000000005</v>
      </c>
      <c r="U72" s="382">
        <f t="shared" ca="1" si="3"/>
        <v>1024400.6666666666</v>
      </c>
      <c r="V72" s="1373">
        <f ca="1">IF(X72&lt;=1,1,IF(X72&gt;1.1,-1,0))</f>
        <v>1</v>
      </c>
      <c r="W72" s="1004">
        <f ca="1">S72+(12-IF(ISERROR(MATCH(DATE(YEAR($G$1),MONTH($G$1),1),$F$2:$Q$2,0)),0,MATCH(DATE(YEAR($G$1),MONTH($G$1),1),$F$2:$Q$2,0)))*U72</f>
        <v>12292808</v>
      </c>
      <c r="X72" s="1447">
        <f ca="1">IF(W67&lt;0,ROUND((W72-W67)/ABS(W67),3),IF(W67=0,0,ROUND(W72/W67,3)))</f>
        <v>0.80300000000000005</v>
      </c>
      <c r="Y72" s="999">
        <v>0.1</v>
      </c>
    </row>
    <row r="73" spans="1:25" ht="14.1" customHeight="1" thickBot="1" x14ac:dyDescent="0.2">
      <c r="A73" s="413" t="s">
        <v>797</v>
      </c>
      <c r="B73" s="350" t="s">
        <v>32</v>
      </c>
      <c r="C73" s="2168"/>
      <c r="D73" s="2165"/>
      <c r="E73" s="384" t="s">
        <v>32</v>
      </c>
      <c r="F73" s="385">
        <f t="shared" ref="F73:Q73" si="22">F69-(F70+F72)</f>
        <v>491665</v>
      </c>
      <c r="G73" s="386">
        <f t="shared" si="22"/>
        <v>386609</v>
      </c>
      <c r="H73" s="386">
        <f t="shared" si="22"/>
        <v>1027709</v>
      </c>
      <c r="I73" s="386">
        <f t="shared" si="22"/>
        <v>28244.386402457487</v>
      </c>
      <c r="J73" s="386">
        <f t="shared" si="22"/>
        <v>156187</v>
      </c>
      <c r="K73" s="386">
        <f t="shared" si="22"/>
        <v>200276</v>
      </c>
      <c r="L73" s="386">
        <f t="shared" si="22"/>
        <v>29954</v>
      </c>
      <c r="M73" s="386">
        <f t="shared" si="22"/>
        <v>1311313</v>
      </c>
      <c r="N73" s="386">
        <f t="shared" si="22"/>
        <v>614589</v>
      </c>
      <c r="O73" s="386">
        <f t="shared" si="22"/>
        <v>299040</v>
      </c>
      <c r="P73" s="386">
        <f t="shared" si="22"/>
        <v>677636</v>
      </c>
      <c r="Q73" s="387">
        <f t="shared" si="22"/>
        <v>802986</v>
      </c>
      <c r="R73" s="1056">
        <f ca="1">IF(T73&gt;=0,1,IF(T73&lt;-0.1,-1,0))</f>
        <v>0</v>
      </c>
      <c r="S73" s="1025">
        <f t="shared" ca="1" si="5"/>
        <v>6026208.386402458</v>
      </c>
      <c r="T73" s="1436">
        <f ca="1">IF(S68=0,1-(S70+S72)/S69,IF(S68=S73,0,ROUND((S73-S68)/ABS(S68),3)))</f>
        <v>-9.4E-2</v>
      </c>
      <c r="U73" s="386">
        <f t="shared" ca="1" si="3"/>
        <v>502184.03220020485</v>
      </c>
      <c r="V73" s="1373">
        <f ca="1">IF(X73&gt;=0,1,IF(X73&lt;-0.1,-1,0))</f>
        <v>0</v>
      </c>
      <c r="W73" s="1005">
        <f ca="1">S73+(12-IF(ISERROR(MATCH(DATE(YEAR($G$1),MONTH($G$1),1),$F$2:$Q$2,0)),0,MATCH(DATE(YEAR($G$1),MONTH($G$1),1),$F$2:$Q$2,0)))*U73</f>
        <v>6026208.386402458</v>
      </c>
      <c r="X73" s="1448">
        <f ca="1">IF(W68=0,1-(W70+W72)/W69,IF(W68=W73,0,ROUND((W73-W68)/ABS(W68),3)))</f>
        <v>-9.4E-2</v>
      </c>
      <c r="Y73" s="999">
        <v>0.1</v>
      </c>
    </row>
    <row r="74" spans="1:25" ht="14.1" customHeight="1" x14ac:dyDescent="0.15">
      <c r="B74" s="350" t="s">
        <v>26</v>
      </c>
      <c r="C74" s="2166" t="s">
        <v>446</v>
      </c>
      <c r="D74" s="2160" t="s">
        <v>443</v>
      </c>
      <c r="E74" s="360" t="s">
        <v>26</v>
      </c>
      <c r="F74" s="361">
        <v>3200000</v>
      </c>
      <c r="G74" s="362">
        <v>3200000</v>
      </c>
      <c r="H74" s="362">
        <v>3200000</v>
      </c>
      <c r="I74" s="362">
        <v>3200000</v>
      </c>
      <c r="J74" s="362">
        <v>3200000</v>
      </c>
      <c r="K74" s="362">
        <v>3200000</v>
      </c>
      <c r="L74" s="362">
        <v>3200000</v>
      </c>
      <c r="M74" s="362">
        <v>3200000</v>
      </c>
      <c r="N74" s="362">
        <v>3200000</v>
      </c>
      <c r="O74" s="362">
        <v>3200000</v>
      </c>
      <c r="P74" s="362">
        <v>3200000</v>
      </c>
      <c r="Q74" s="363">
        <v>3200000</v>
      </c>
      <c r="R74" s="1385"/>
      <c r="S74" s="1020">
        <f t="shared" ca="1" si="5"/>
        <v>38400000</v>
      </c>
      <c r="T74" s="1431"/>
      <c r="U74" s="364">
        <f t="shared" ca="1" si="3"/>
        <v>3200000</v>
      </c>
      <c r="V74" s="1375"/>
      <c r="W74" s="1001">
        <f>SUM(F74:Q74)</f>
        <v>38400000</v>
      </c>
      <c r="X74" s="1442"/>
    </row>
    <row r="75" spans="1:25" ht="14.1" customHeight="1" x14ac:dyDescent="0.15">
      <c r="B75" s="350" t="s">
        <v>15</v>
      </c>
      <c r="C75" s="2167"/>
      <c r="D75" s="2161"/>
      <c r="E75" s="366" t="s">
        <v>15</v>
      </c>
      <c r="F75" s="367">
        <v>1700000</v>
      </c>
      <c r="G75" s="368">
        <v>1700000</v>
      </c>
      <c r="H75" s="368">
        <v>1700000</v>
      </c>
      <c r="I75" s="368">
        <v>2200000</v>
      </c>
      <c r="J75" s="368">
        <v>1700000</v>
      </c>
      <c r="K75" s="368">
        <v>1650000</v>
      </c>
      <c r="L75" s="368">
        <v>1650000</v>
      </c>
      <c r="M75" s="368">
        <v>1650000</v>
      </c>
      <c r="N75" s="368">
        <v>1650000</v>
      </c>
      <c r="O75" s="368">
        <v>2000000</v>
      </c>
      <c r="P75" s="368">
        <v>1650000</v>
      </c>
      <c r="Q75" s="369">
        <v>1650000</v>
      </c>
      <c r="R75" s="1386"/>
      <c r="S75" s="1021">
        <f t="shared" ca="1" si="5"/>
        <v>20900000</v>
      </c>
      <c r="T75" s="1432"/>
      <c r="U75" s="370">
        <f t="shared" ca="1" si="3"/>
        <v>1741666.6666666667</v>
      </c>
      <c r="V75" s="1376"/>
      <c r="W75" s="1000">
        <f>SUM(F75:Q75)</f>
        <v>20900000</v>
      </c>
      <c r="X75" s="1443"/>
    </row>
    <row r="76" spans="1:25" ht="14.1" customHeight="1" x14ac:dyDescent="0.15">
      <c r="B76" s="350" t="s">
        <v>447</v>
      </c>
      <c r="C76" s="2167"/>
      <c r="D76" s="2161"/>
      <c r="E76" s="406" t="s">
        <v>447</v>
      </c>
      <c r="F76" s="367">
        <v>0</v>
      </c>
      <c r="G76" s="368">
        <v>0</v>
      </c>
      <c r="H76" s="368">
        <v>0</v>
      </c>
      <c r="I76" s="368">
        <v>0</v>
      </c>
      <c r="J76" s="368">
        <v>50000</v>
      </c>
      <c r="K76" s="368">
        <v>0</v>
      </c>
      <c r="L76" s="368">
        <v>0</v>
      </c>
      <c r="M76" s="368">
        <v>50000</v>
      </c>
      <c r="N76" s="368">
        <v>0</v>
      </c>
      <c r="O76" s="368">
        <v>0</v>
      </c>
      <c r="P76" s="368">
        <v>50000</v>
      </c>
      <c r="Q76" s="369">
        <v>0</v>
      </c>
      <c r="R76" s="1386"/>
      <c r="S76" s="1021">
        <f t="shared" ca="1" si="5"/>
        <v>150000</v>
      </c>
      <c r="T76" s="1432"/>
      <c r="U76" s="370">
        <f t="shared" ca="1" si="3"/>
        <v>12500</v>
      </c>
      <c r="V76" s="1376"/>
      <c r="W76" s="1000">
        <f>SUM(F76:Q76)</f>
        <v>150000</v>
      </c>
      <c r="X76" s="1443"/>
    </row>
    <row r="77" spans="1:25" ht="14.1" customHeight="1" x14ac:dyDescent="0.15">
      <c r="B77" s="413" t="s">
        <v>1235</v>
      </c>
      <c r="C77" s="2167"/>
      <c r="D77" s="2161"/>
      <c r="E77" s="366" t="s">
        <v>35</v>
      </c>
      <c r="F77" s="367">
        <v>350000</v>
      </c>
      <c r="G77" s="368">
        <v>350000</v>
      </c>
      <c r="H77" s="368">
        <v>350000</v>
      </c>
      <c r="I77" s="368">
        <v>350000</v>
      </c>
      <c r="J77" s="368">
        <v>350000</v>
      </c>
      <c r="K77" s="368">
        <v>350000</v>
      </c>
      <c r="L77" s="368">
        <v>350000</v>
      </c>
      <c r="M77" s="368">
        <v>350000</v>
      </c>
      <c r="N77" s="368">
        <v>350000</v>
      </c>
      <c r="O77" s="368">
        <v>350000</v>
      </c>
      <c r="P77" s="368">
        <v>350000</v>
      </c>
      <c r="Q77" s="369">
        <v>350000</v>
      </c>
      <c r="R77" s="1386"/>
      <c r="S77" s="1021">
        <f t="shared" ca="1" si="5"/>
        <v>4200000</v>
      </c>
      <c r="T77" s="1432"/>
      <c r="U77" s="370">
        <f t="shared" ca="1" si="3"/>
        <v>350000</v>
      </c>
      <c r="V77" s="1376"/>
      <c r="W77" s="1000">
        <f>SUM(F77:Q77)</f>
        <v>4200000</v>
      </c>
      <c r="X77" s="1443"/>
    </row>
    <row r="78" spans="1:25" ht="14.1" customHeight="1" thickBot="1" x14ac:dyDescent="0.2">
      <c r="B78" s="350" t="s">
        <v>32</v>
      </c>
      <c r="C78" s="2167"/>
      <c r="D78" s="2162"/>
      <c r="E78" s="372" t="s">
        <v>32</v>
      </c>
      <c r="F78" s="373">
        <f t="shared" ref="F78:Q78" si="23">F74-(F75+F77)</f>
        <v>1150000</v>
      </c>
      <c r="G78" s="374">
        <f t="shared" si="23"/>
        <v>1150000</v>
      </c>
      <c r="H78" s="374">
        <f t="shared" si="23"/>
        <v>1150000</v>
      </c>
      <c r="I78" s="374">
        <f t="shared" si="23"/>
        <v>650000</v>
      </c>
      <c r="J78" s="374">
        <f t="shared" si="23"/>
        <v>1150000</v>
      </c>
      <c r="K78" s="374">
        <f t="shared" si="23"/>
        <v>1200000</v>
      </c>
      <c r="L78" s="374">
        <f t="shared" si="23"/>
        <v>1200000</v>
      </c>
      <c r="M78" s="374">
        <f t="shared" si="23"/>
        <v>1200000</v>
      </c>
      <c r="N78" s="374">
        <f t="shared" si="23"/>
        <v>1200000</v>
      </c>
      <c r="O78" s="374">
        <f t="shared" si="23"/>
        <v>850000</v>
      </c>
      <c r="P78" s="374">
        <f t="shared" si="23"/>
        <v>1200000</v>
      </c>
      <c r="Q78" s="375">
        <f t="shared" si="23"/>
        <v>1200000</v>
      </c>
      <c r="R78" s="1387"/>
      <c r="S78" s="1022">
        <f t="shared" ca="1" si="5"/>
        <v>13300000</v>
      </c>
      <c r="T78" s="1433"/>
      <c r="U78" s="374">
        <f t="shared" ca="1" si="3"/>
        <v>1108333.3333333333</v>
      </c>
      <c r="V78" s="1377"/>
      <c r="W78" s="1002">
        <f>SUM(F78:Q78)</f>
        <v>13300000</v>
      </c>
      <c r="X78" s="1445"/>
    </row>
    <row r="79" spans="1:25" ht="14.1" customHeight="1" x14ac:dyDescent="0.15">
      <c r="A79" s="413" t="s">
        <v>798</v>
      </c>
      <c r="B79" s="350" t="s">
        <v>26</v>
      </c>
      <c r="C79" s="2167"/>
      <c r="D79" s="2163" t="s">
        <v>444</v>
      </c>
      <c r="E79" s="376" t="s">
        <v>26</v>
      </c>
      <c r="F79" s="377">
        <f>IFERROR(GETPIVOTDATA("合計 / " &amp; $B79,【ピボット】事業所収支!$A$3,"年月",F$2,"事業所",$A79),0)</f>
        <v>3081346</v>
      </c>
      <c r="G79" s="378">
        <f>IFERROR(GETPIVOTDATA("合計 / " &amp; $B79,【ピボット】事業所収支!$A$3,"年月",G$2,"事業所",$A79),0)</f>
        <v>2989139</v>
      </c>
      <c r="H79" s="378">
        <f>IFERROR(GETPIVOTDATA("合計 / " &amp; $B79,【ピボット】事業所収支!$A$3,"年月",H$2,"事業所",$A79),0)</f>
        <v>2574677</v>
      </c>
      <c r="I79" s="378">
        <f>IFERROR(GETPIVOTDATA("合計 / " &amp; $B79,【ピボット】事業所収支!$A$3,"年月",I$2,"事業所",$A79),0)</f>
        <v>2853536</v>
      </c>
      <c r="J79" s="378">
        <f>IFERROR(GETPIVOTDATA("合計 / " &amp; $B79,【ピボット】事業所収支!$A$3,"年月",J$2,"事業所",$A79),0)</f>
        <v>2617181</v>
      </c>
      <c r="K79" s="378">
        <f>IFERROR(GETPIVOTDATA("合計 / " &amp; $B79,【ピボット】事業所収支!$A$3,"年月",K$2,"事業所",$A79),0)</f>
        <v>3057960</v>
      </c>
      <c r="L79" s="378">
        <f>IFERROR(GETPIVOTDATA("合計 / " &amp; $B79,【ピボット】事業所収支!$A$3,"年月",L$2,"事業所",$A79),0)</f>
        <v>3056897</v>
      </c>
      <c r="M79" s="378">
        <f>IFERROR(GETPIVOTDATA("合計 / " &amp; $B79,【ピボット】事業所収支!$A$3,"年月",M$2,"事業所",$A79),0)</f>
        <v>3183714</v>
      </c>
      <c r="N79" s="378">
        <f>IFERROR(GETPIVOTDATA("合計 / " &amp; $B79,【ピボット】事業所収支!$A$3,"年月",N$2,"事業所",$A79),0)</f>
        <v>3021707</v>
      </c>
      <c r="O79" s="378">
        <f>IFERROR(GETPIVOTDATA("合計 / " &amp; $B79,【ピボット】事業所収支!$A$3,"年月",O$2,"事業所",$A79),0)</f>
        <v>2692178</v>
      </c>
      <c r="P79" s="378">
        <f>IFERROR(GETPIVOTDATA("合計 / " &amp; $B79,【ピボット】事業所収支!$A$3,"年月",P$2,"事業所",$A79),0)</f>
        <v>2546587</v>
      </c>
      <c r="Q79" s="379">
        <f>IFERROR(GETPIVOTDATA("合計 / " &amp; $B79,【ピボット】事業所収支!$A$3,"年月",Q$2,"事業所",$A79),0)</f>
        <v>2351469</v>
      </c>
      <c r="R79" s="1056">
        <f ca="1">IF(T79&gt;=1,1,IF(T79&lt;0.9,-1,0))</f>
        <v>-1</v>
      </c>
      <c r="S79" s="1023">
        <f t="shared" ca="1" si="5"/>
        <v>34026391</v>
      </c>
      <c r="T79" s="1434">
        <f ca="1">IF(S74&lt;0,ROUND((S79-S74)/ABS(S74),3),IF(S74=0,0,ROUND(S79/S74,3)))</f>
        <v>0.88600000000000001</v>
      </c>
      <c r="U79" s="378">
        <f t="shared" ca="1" si="3"/>
        <v>2835532.5833333335</v>
      </c>
      <c r="V79" s="1373">
        <f ca="1">IF(X79&gt;=1,1,IF(X79&lt;0.9,-1,0))</f>
        <v>-1</v>
      </c>
      <c r="W79" s="1003">
        <f ca="1">S79+(12-IF(ISERROR(MATCH(DATE(YEAR($G$1),MONTH($G$1),1),$F$2:$Q$2,0)),0,MATCH(DATE(YEAR($G$1),MONTH($G$1),1),$F$2:$Q$2,0)))*U79</f>
        <v>34026391</v>
      </c>
      <c r="X79" s="1446">
        <f ca="1">IF(W74&lt;0,ROUND((W79-W74)/ABS(W74),3),IF(W74=0,0,ROUND(W79/W74,3)))</f>
        <v>0.88600000000000001</v>
      </c>
      <c r="Y79" s="999">
        <v>0.1</v>
      </c>
    </row>
    <row r="80" spans="1:25" ht="14.1" customHeight="1" x14ac:dyDescent="0.15">
      <c r="A80" s="413" t="s">
        <v>798</v>
      </c>
      <c r="B80" s="350" t="s">
        <v>15</v>
      </c>
      <c r="C80" s="2167"/>
      <c r="D80" s="2164"/>
      <c r="E80" s="380" t="s">
        <v>15</v>
      </c>
      <c r="F80" s="381">
        <f>IFERROR(GETPIVOTDATA("合計 / " &amp; $B80,【ピボット】事業所収支!$A$3,"年月",F$2,"事業所",$A80),0)</f>
        <v>1657682</v>
      </c>
      <c r="G80" s="382">
        <f>IFERROR(GETPIVOTDATA("合計 / " &amp; $B80,【ピボット】事業所収支!$A$3,"年月",G$2,"事業所",$A80),0)</f>
        <v>1844386</v>
      </c>
      <c r="H80" s="382">
        <f>IFERROR(GETPIVOTDATA("合計 / " &amp; $B80,【ピボット】事業所収支!$A$3,"年月",H$2,"事業所",$A80),0)</f>
        <v>1778292</v>
      </c>
      <c r="I80" s="382">
        <f>IFERROR(GETPIVOTDATA("合計 / " &amp; $B80,【ピボット】事業所収支!$A$3,"年月",I$2,"事業所",$A80),0)</f>
        <v>2331206.8134925622</v>
      </c>
      <c r="J80" s="382">
        <f>IFERROR(GETPIVOTDATA("合計 / " &amp; $B80,【ピボット】事業所収支!$A$3,"年月",J$2,"事業所",$A80),0)</f>
        <v>2142868</v>
      </c>
      <c r="K80" s="382">
        <f>IFERROR(GETPIVOTDATA("合計 / " &amp; $B80,【ピボット】事業所収支!$A$3,"年月",K$2,"事業所",$A80),0)</f>
        <v>1544400</v>
      </c>
      <c r="L80" s="382">
        <f>IFERROR(GETPIVOTDATA("合計 / " &amp; $B80,【ピボット】事業所収支!$A$3,"年月",L$2,"事業所",$A80),0)</f>
        <v>1713633</v>
      </c>
      <c r="M80" s="382">
        <f>IFERROR(GETPIVOTDATA("合計 / " &amp; $B80,【ピボット】事業所収支!$A$3,"年月",M$2,"事業所",$A80),0)</f>
        <v>1717258</v>
      </c>
      <c r="N80" s="382">
        <f>IFERROR(GETPIVOTDATA("合計 / " &amp; $B80,【ピボット】事業所収支!$A$3,"年月",N$2,"事業所",$A80),0)</f>
        <v>1591339</v>
      </c>
      <c r="O80" s="382">
        <f>IFERROR(GETPIVOTDATA("合計 / " &amp; $B80,【ピボット】事業所収支!$A$3,"年月",O$2,"事業所",$A80),0)</f>
        <v>2098226</v>
      </c>
      <c r="P80" s="382">
        <f>IFERROR(GETPIVOTDATA("合計 / " &amp; $B80,【ピボット】事業所収支!$A$3,"年月",P$2,"事業所",$A80),0)</f>
        <v>2002252</v>
      </c>
      <c r="Q80" s="383">
        <f>IFERROR(GETPIVOTDATA("合計 / " &amp; $B80,【ピボット】事業所収支!$A$3,"年月",Q$2,"事業所",$A80),0)</f>
        <v>1812806</v>
      </c>
      <c r="R80" s="1056">
        <f ca="1">IF(T80&lt;=1,1,IF(T80&gt;1.1,-1,0))</f>
        <v>0</v>
      </c>
      <c r="S80" s="1024">
        <f t="shared" ca="1" si="5"/>
        <v>22234348.813492563</v>
      </c>
      <c r="T80" s="1435">
        <f ca="1">IF(S75&lt;0,ROUND((S80-S75)/ABS(S75),3),IF(S75=0,0,ROUND(S80/S75,3)))</f>
        <v>1.0640000000000001</v>
      </c>
      <c r="U80" s="382">
        <f t="shared" ca="1" si="3"/>
        <v>1852862.4011243803</v>
      </c>
      <c r="V80" s="1373">
        <f ca="1">IF(X80&lt;=1,1,IF(X80&gt;1.1,-1,0))</f>
        <v>0</v>
      </c>
      <c r="W80" s="1004">
        <f ca="1">S80+(12-IF(ISERROR(MATCH(DATE(YEAR($G$1),MONTH($G$1),1),$F$2:$Q$2,0)),0,MATCH(DATE(YEAR($G$1),MONTH($G$1),1),$F$2:$Q$2,0)))*U80</f>
        <v>22234348.813492563</v>
      </c>
      <c r="X80" s="1447">
        <f ca="1">IF(W75&lt;0,ROUND((W80-W75)/ABS(W75),3),IF(W75=0,0,ROUND(W80/W75,3)))</f>
        <v>1.0640000000000001</v>
      </c>
      <c r="Y80" s="999">
        <v>0.1</v>
      </c>
    </row>
    <row r="81" spans="1:25" ht="14.1" customHeight="1" x14ac:dyDescent="0.15">
      <c r="A81" s="413" t="s">
        <v>798</v>
      </c>
      <c r="B81" s="350" t="s">
        <v>448</v>
      </c>
      <c r="C81" s="2167"/>
      <c r="D81" s="2164"/>
      <c r="E81" s="407" t="s">
        <v>448</v>
      </c>
      <c r="F81" s="381">
        <f>IFERROR(GETPIVOTDATA("合計 / " &amp; $B81,【ピボット】事業所収支!$A$3,"年月",F$2,"事業所",$A81),0)</f>
        <v>102384</v>
      </c>
      <c r="G81" s="382">
        <f>IFERROR(GETPIVOTDATA("合計 / " &amp; $B81,【ピボット】事業所収支!$A$3,"年月",G$2,"事業所",$A81),0)</f>
        <v>0</v>
      </c>
      <c r="H81" s="382">
        <f>IFERROR(GETPIVOTDATA("合計 / " &amp; $B81,【ピボット】事業所収支!$A$3,"年月",H$2,"事業所",$A81),0)</f>
        <v>0</v>
      </c>
      <c r="I81" s="382">
        <f>IFERROR(GETPIVOTDATA("合計 / " &amp; $B81,【ピボット】事業所収支!$A$3,"年月",I$2,"事業所",$A81),0)</f>
        <v>0</v>
      </c>
      <c r="J81" s="382">
        <f>IFERROR(GETPIVOTDATA("合計 / " &amp; $B81,【ピボット】事業所収支!$A$3,"年月",J$2,"事業所",$A81),0)</f>
        <v>0</v>
      </c>
      <c r="K81" s="382">
        <f>IFERROR(GETPIVOTDATA("合計 / " &amp; $B81,【ピボット】事業所収支!$A$3,"年月",K$2,"事業所",$A81),0)</f>
        <v>24300</v>
      </c>
      <c r="L81" s="382">
        <f>IFERROR(GETPIVOTDATA("合計 / " &amp; $B81,【ピボット】事業所収支!$A$3,"年月",L$2,"事業所",$A81),0)</f>
        <v>0</v>
      </c>
      <c r="M81" s="382">
        <f>IFERROR(GETPIVOTDATA("合計 / " &amp; $B81,【ピボット】事業所収支!$A$3,"年月",M$2,"事業所",$A81),0)</f>
        <v>32400</v>
      </c>
      <c r="N81" s="382">
        <f>IFERROR(GETPIVOTDATA("合計 / " &amp; $B81,【ピボット】事業所収支!$A$3,"年月",N$2,"事業所",$A81),0)</f>
        <v>32400</v>
      </c>
      <c r="O81" s="382">
        <f>IFERROR(GETPIVOTDATA("合計 / " &amp; $B81,【ピボット】事業所収支!$A$3,"年月",O$2,"事業所",$A81),0)</f>
        <v>10171</v>
      </c>
      <c r="P81" s="382">
        <f>IFERROR(GETPIVOTDATA("合計 / " &amp; $B81,【ピボット】事業所収支!$A$3,"年月",P$2,"事業所",$A81),0)</f>
        <v>32400</v>
      </c>
      <c r="Q81" s="383">
        <f>IFERROR(GETPIVOTDATA("合計 / " &amp; $B81,【ピボット】事業所収支!$A$3,"年月",Q$2,"事業所",$A81),0)</f>
        <v>0</v>
      </c>
      <c r="R81" s="1056">
        <f ca="1">IF(T81&lt;=1,1,IF(T81&gt;1.1,-1,0))</f>
        <v>-1</v>
      </c>
      <c r="S81" s="1024">
        <f ca="1">SUM(OFFSET(F81,0,0,1,IF(ISERROR(MATCH(DATE(YEAR($G$1),MONTH($G$1),1),$F$2:$Q$2,0)),0,MATCH(DATE(YEAR($G$1),MONTH($G$1),1),$F$2:$Q$2,0))))</f>
        <v>234055</v>
      </c>
      <c r="T81" s="1435">
        <f ca="1">IF(S76&lt;0,ROUND((S81-S76)/ABS(S76),3),IF(S76=0,0,ROUND(S81/S76,3)))</f>
        <v>1.56</v>
      </c>
      <c r="U81" s="382">
        <f t="shared" ca="1" si="3"/>
        <v>19504.583333333332</v>
      </c>
      <c r="V81" s="1373">
        <f ca="1">IF(X81&lt;=1,1,IF(X81&gt;1.1,-1,0))</f>
        <v>-1</v>
      </c>
      <c r="W81" s="1004">
        <f ca="1">S81+(12-IF(ISERROR(MATCH(DATE(YEAR($G$1),MONTH($G$1),1),$F$2:$Q$2,0)),0,MATCH(DATE(YEAR($G$1),MONTH($G$1),1),$F$2:$Q$2,0)))*U81</f>
        <v>234055</v>
      </c>
      <c r="X81" s="1447">
        <f ca="1">IF(W76&lt;0,ROUND((W81-W76)/ABS(W76),3),IF(W76=0,0,ROUND(W81/W76,3)))</f>
        <v>1.56</v>
      </c>
      <c r="Y81" s="999">
        <v>0.1</v>
      </c>
    </row>
    <row r="82" spans="1:25" ht="14.1" customHeight="1" x14ac:dyDescent="0.15">
      <c r="A82" s="413" t="s">
        <v>798</v>
      </c>
      <c r="B82" s="413" t="s">
        <v>1235</v>
      </c>
      <c r="C82" s="2167"/>
      <c r="D82" s="2164"/>
      <c r="E82" s="380" t="s">
        <v>35</v>
      </c>
      <c r="F82" s="381">
        <f>IFERROR(GETPIVOTDATA("合計 / " &amp; $B82,【ピボット】事業所収支!$A$3,"年月",F$2,"事業所",$A82),0)</f>
        <v>521873</v>
      </c>
      <c r="G82" s="382">
        <f>IFERROR(GETPIVOTDATA("合計 / " &amp; $B82,【ピボット】事業所収支!$A$3,"年月",G$2,"事業所",$A82),0)</f>
        <v>346984</v>
      </c>
      <c r="H82" s="382">
        <f>IFERROR(GETPIVOTDATA("合計 / " &amp; $B82,【ピボット】事業所収支!$A$3,"年月",H$2,"事業所",$A82),0)</f>
        <v>604342</v>
      </c>
      <c r="I82" s="382">
        <f>IFERROR(GETPIVOTDATA("合計 / " &amp; $B82,【ピボット】事業所収支!$A$3,"年月",I$2,"事業所",$A82),0)</f>
        <v>582653</v>
      </c>
      <c r="J82" s="382">
        <f>IFERROR(GETPIVOTDATA("合計 / " &amp; $B82,【ピボット】事業所収支!$A$3,"年月",J$2,"事業所",$A82),0)</f>
        <v>573594</v>
      </c>
      <c r="K82" s="382">
        <f>IFERROR(GETPIVOTDATA("合計 / " &amp; $B82,【ピボット】事業所収支!$A$3,"年月",K$2,"事業所",$A82),0)</f>
        <v>616591</v>
      </c>
      <c r="L82" s="382">
        <f>IFERROR(GETPIVOTDATA("合計 / " &amp; $B82,【ピボット】事業所収支!$A$3,"年月",L$2,"事業所",$A82),0)</f>
        <v>684050</v>
      </c>
      <c r="M82" s="382">
        <f>IFERROR(GETPIVOTDATA("合計 / " &amp; $B82,【ピボット】事業所収支!$A$3,"年月",M$2,"事業所",$A82),0)</f>
        <v>706946</v>
      </c>
      <c r="N82" s="382">
        <f>IFERROR(GETPIVOTDATA("合計 / " &amp; $B82,【ピボット】事業所収支!$A$3,"年月",N$2,"事業所",$A82),0)</f>
        <v>727124</v>
      </c>
      <c r="O82" s="382">
        <f>IFERROR(GETPIVOTDATA("合計 / " &amp; $B82,【ピボット】事業所収支!$A$3,"年月",O$2,"事業所",$A82),0)</f>
        <v>683680</v>
      </c>
      <c r="P82" s="382">
        <f>IFERROR(GETPIVOTDATA("合計 / " &amp; $B82,【ピボット】事業所収支!$A$3,"年月",P$2,"事業所",$A82),0)</f>
        <v>678728</v>
      </c>
      <c r="Q82" s="383">
        <f>IFERROR(GETPIVOTDATA("合計 / " &amp; $B82,【ピボット】事業所収支!$A$3,"年月",Q$2,"事業所",$A82),0)</f>
        <v>942554</v>
      </c>
      <c r="R82" s="1056">
        <f ca="1">IF(T82&lt;=1,1,IF(T82&gt;1.1,-1,0))</f>
        <v>-1</v>
      </c>
      <c r="S82" s="1024">
        <f t="shared" ca="1" si="5"/>
        <v>7669119</v>
      </c>
      <c r="T82" s="1435">
        <f ca="1">IF(S77&lt;0,ROUND((S82-S77)/ABS(S77),3),IF(S77=0,0,ROUND(S82/S77,3)))</f>
        <v>1.8260000000000001</v>
      </c>
      <c r="U82" s="382">
        <f t="shared" ca="1" si="3"/>
        <v>639093.25</v>
      </c>
      <c r="V82" s="1373">
        <f ca="1">IF(X82&lt;=1,1,IF(X82&gt;1.1,-1,0))</f>
        <v>-1</v>
      </c>
      <c r="W82" s="1004">
        <f ca="1">S82+(12-IF(ISERROR(MATCH(DATE(YEAR($G$1),MONTH($G$1),1),$F$2:$Q$2,0)),0,MATCH(DATE(YEAR($G$1),MONTH($G$1),1),$F$2:$Q$2,0)))*U82</f>
        <v>7669119</v>
      </c>
      <c r="X82" s="1447">
        <f ca="1">IF(W77&lt;0,ROUND((W82-W77)/ABS(W77),3),IF(W77=0,0,ROUND(W82/W77,3)))</f>
        <v>1.8260000000000001</v>
      </c>
      <c r="Y82" s="999">
        <v>0.1</v>
      </c>
    </row>
    <row r="83" spans="1:25" ht="14.1" customHeight="1" thickBot="1" x14ac:dyDescent="0.2">
      <c r="A83" s="413" t="s">
        <v>798</v>
      </c>
      <c r="B83" s="350" t="s">
        <v>32</v>
      </c>
      <c r="C83" s="2168"/>
      <c r="D83" s="2165"/>
      <c r="E83" s="384" t="s">
        <v>32</v>
      </c>
      <c r="F83" s="385">
        <f t="shared" ref="F83:Q83" si="24">F79-(F80+F82)</f>
        <v>901791</v>
      </c>
      <c r="G83" s="386">
        <f t="shared" si="24"/>
        <v>797769</v>
      </c>
      <c r="H83" s="386">
        <f t="shared" si="24"/>
        <v>192043</v>
      </c>
      <c r="I83" s="386">
        <f t="shared" si="24"/>
        <v>-60323.813492562156</v>
      </c>
      <c r="J83" s="386">
        <f t="shared" si="24"/>
        <v>-99281</v>
      </c>
      <c r="K83" s="386">
        <f t="shared" si="24"/>
        <v>896969</v>
      </c>
      <c r="L83" s="386">
        <f t="shared" si="24"/>
        <v>659214</v>
      </c>
      <c r="M83" s="386">
        <f t="shared" si="24"/>
        <v>759510</v>
      </c>
      <c r="N83" s="386">
        <f t="shared" si="24"/>
        <v>703244</v>
      </c>
      <c r="O83" s="386">
        <f t="shared" si="24"/>
        <v>-89728</v>
      </c>
      <c r="P83" s="386">
        <f t="shared" si="24"/>
        <v>-134393</v>
      </c>
      <c r="Q83" s="387">
        <f t="shared" si="24"/>
        <v>-403891</v>
      </c>
      <c r="R83" s="1056">
        <f ca="1">IF(T83&gt;=0,1,IF(T83&lt;-0.1,-1,0))</f>
        <v>-1</v>
      </c>
      <c r="S83" s="1025">
        <f t="shared" ca="1" si="5"/>
        <v>4122923.1865074374</v>
      </c>
      <c r="T83" s="1436">
        <f ca="1">IF(S78=0,1-(S80+S82)/S79,IF(S78=S83,0,ROUND((S83-S78)/ABS(S78),3)))</f>
        <v>-0.69</v>
      </c>
      <c r="U83" s="386">
        <f t="shared" ca="1" si="3"/>
        <v>343576.93220895313</v>
      </c>
      <c r="V83" s="1373">
        <f ca="1">IF(X83&gt;=0,1,IF(X83&lt;-0.1,-1,0))</f>
        <v>-1</v>
      </c>
      <c r="W83" s="1005">
        <f ca="1">S83+(12-IF(ISERROR(MATCH(DATE(YEAR($G$1),MONTH($G$1),1),$F$2:$Q$2,0)),0,MATCH(DATE(YEAR($G$1),MONTH($G$1),1),$F$2:$Q$2,0)))*U83</f>
        <v>4122923.1865074374</v>
      </c>
      <c r="X83" s="1448">
        <f ca="1">IF(W78=0,1-(W80+W82)/W79,IF(W78=W83,0,ROUND((W83-W78)/ABS(W78),3)))</f>
        <v>-0.69</v>
      </c>
      <c r="Y83" s="999">
        <v>0.1</v>
      </c>
    </row>
    <row r="84" spans="1:25" ht="14.1" hidden="1" customHeight="1" outlineLevel="1" x14ac:dyDescent="0.15">
      <c r="B84" s="350" t="s">
        <v>26</v>
      </c>
      <c r="C84" s="2183" t="s">
        <v>119</v>
      </c>
      <c r="D84" s="2160" t="s">
        <v>443</v>
      </c>
      <c r="E84" s="360" t="s">
        <v>26</v>
      </c>
      <c r="F84" s="361">
        <v>998000</v>
      </c>
      <c r="G84" s="362">
        <v>998000</v>
      </c>
      <c r="H84" s="362">
        <v>998000</v>
      </c>
      <c r="I84" s="362">
        <v>998000</v>
      </c>
      <c r="J84" s="362">
        <v>998000</v>
      </c>
      <c r="K84" s="362">
        <v>998000</v>
      </c>
      <c r="L84" s="362">
        <v>998000</v>
      </c>
      <c r="M84" s="362">
        <v>998000</v>
      </c>
      <c r="N84" s="362">
        <v>998000</v>
      </c>
      <c r="O84" s="362">
        <v>998000</v>
      </c>
      <c r="P84" s="362">
        <v>998000</v>
      </c>
      <c r="Q84" s="363">
        <v>998000</v>
      </c>
      <c r="R84" s="1385"/>
      <c r="S84" s="1020">
        <f t="shared" ca="1" si="5"/>
        <v>11976000</v>
      </c>
      <c r="T84" s="1431"/>
      <c r="U84" s="364">
        <f t="shared" ca="1" si="3"/>
        <v>998000</v>
      </c>
      <c r="V84" s="1375"/>
      <c r="W84" s="1001">
        <f>SUM(F84:Q84)</f>
        <v>11976000</v>
      </c>
      <c r="X84" s="1442"/>
    </row>
    <row r="85" spans="1:25" ht="14.1" hidden="1" customHeight="1" outlineLevel="1" x14ac:dyDescent="0.15">
      <c r="B85" s="350" t="s">
        <v>15</v>
      </c>
      <c r="C85" s="2184"/>
      <c r="D85" s="2161"/>
      <c r="E85" s="366" t="s">
        <v>15</v>
      </c>
      <c r="F85" s="367">
        <v>460000</v>
      </c>
      <c r="G85" s="368">
        <v>460000</v>
      </c>
      <c r="H85" s="368">
        <v>460000</v>
      </c>
      <c r="I85" s="368">
        <v>500000</v>
      </c>
      <c r="J85" s="368">
        <v>460000</v>
      </c>
      <c r="K85" s="368">
        <v>460000</v>
      </c>
      <c r="L85" s="368">
        <v>460000</v>
      </c>
      <c r="M85" s="368">
        <v>460000</v>
      </c>
      <c r="N85" s="368">
        <v>460000</v>
      </c>
      <c r="O85" s="368">
        <v>500000</v>
      </c>
      <c r="P85" s="368">
        <v>460000</v>
      </c>
      <c r="Q85" s="369">
        <v>460000</v>
      </c>
      <c r="R85" s="1386"/>
      <c r="S85" s="1021">
        <f ca="1">SUM(OFFSET(F85,0,0,1,IF(ISERROR(MATCH(DATE(YEAR($G$1),MONTH($G$1),1),$F$2:$Q$2,0)),0,MATCH(DATE(YEAR($G$1),MONTH($G$1),1),$F$2:$Q$2,0))))</f>
        <v>5600000</v>
      </c>
      <c r="T85" s="1432"/>
      <c r="U85" s="370">
        <f t="shared" ca="1" si="3"/>
        <v>466666.66666666669</v>
      </c>
      <c r="V85" s="1376"/>
      <c r="W85" s="1000">
        <f>SUM(F85:Q85)</f>
        <v>5600000</v>
      </c>
      <c r="X85" s="1443"/>
    </row>
    <row r="86" spans="1:25" ht="14.1" hidden="1" customHeight="1" outlineLevel="1" x14ac:dyDescent="0.15">
      <c r="B86" s="350" t="s">
        <v>447</v>
      </c>
      <c r="C86" s="2184"/>
      <c r="D86" s="2161"/>
      <c r="E86" s="406" t="s">
        <v>447</v>
      </c>
      <c r="F86" s="367">
        <v>50000</v>
      </c>
      <c r="G86" s="368">
        <v>0</v>
      </c>
      <c r="H86" s="368">
        <v>0</v>
      </c>
      <c r="I86" s="368">
        <v>0</v>
      </c>
      <c r="J86" s="368">
        <v>0</v>
      </c>
      <c r="K86" s="368">
        <v>0</v>
      </c>
      <c r="L86" s="368">
        <v>50000</v>
      </c>
      <c r="M86" s="368">
        <v>0</v>
      </c>
      <c r="N86" s="368">
        <v>0</v>
      </c>
      <c r="O86" s="368">
        <v>0</v>
      </c>
      <c r="P86" s="368">
        <v>0</v>
      </c>
      <c r="Q86" s="369">
        <v>0</v>
      </c>
      <c r="R86" s="1386"/>
      <c r="S86" s="1021">
        <f t="shared" ca="1" si="5"/>
        <v>100000</v>
      </c>
      <c r="T86" s="1432"/>
      <c r="U86" s="370">
        <f t="shared" ca="1" si="3"/>
        <v>8333.3333333333339</v>
      </c>
      <c r="V86" s="1376"/>
      <c r="W86" s="1000">
        <f>SUM(F86:Q86)</f>
        <v>100000</v>
      </c>
      <c r="X86" s="1443"/>
    </row>
    <row r="87" spans="1:25" ht="14.1" hidden="1" customHeight="1" outlineLevel="1" x14ac:dyDescent="0.15">
      <c r="B87" s="413" t="s">
        <v>1230</v>
      </c>
      <c r="C87" s="2184"/>
      <c r="D87" s="2161"/>
      <c r="E87" s="366" t="s">
        <v>35</v>
      </c>
      <c r="F87" s="367">
        <v>150000</v>
      </c>
      <c r="G87" s="368">
        <v>150000</v>
      </c>
      <c r="H87" s="368">
        <v>150000</v>
      </c>
      <c r="I87" s="368">
        <v>150000</v>
      </c>
      <c r="J87" s="368">
        <v>150000</v>
      </c>
      <c r="K87" s="368">
        <v>150000</v>
      </c>
      <c r="L87" s="368">
        <v>150000</v>
      </c>
      <c r="M87" s="368">
        <v>150000</v>
      </c>
      <c r="N87" s="368">
        <v>150000</v>
      </c>
      <c r="O87" s="368">
        <v>150000</v>
      </c>
      <c r="P87" s="368">
        <v>150000</v>
      </c>
      <c r="Q87" s="369">
        <v>150000</v>
      </c>
      <c r="R87" s="1386"/>
      <c r="S87" s="1021">
        <f t="shared" ca="1" si="5"/>
        <v>1800000</v>
      </c>
      <c r="T87" s="1432"/>
      <c r="U87" s="370">
        <f t="shared" ref="U87:U152" ca="1" si="25">IF(ISERROR(S87/(DATEDIF(F$2,G$1,"M")+1)),0,S87/(DATEDIF(F$2,G$1,"M")+1))</f>
        <v>150000</v>
      </c>
      <c r="V87" s="1376"/>
      <c r="W87" s="1000">
        <f>SUM(F87:Q87)</f>
        <v>1800000</v>
      </c>
      <c r="X87" s="1443"/>
    </row>
    <row r="88" spans="1:25" ht="14.1" hidden="1" customHeight="1" outlineLevel="1" thickBot="1" x14ac:dyDescent="0.2">
      <c r="B88" s="350" t="s">
        <v>32</v>
      </c>
      <c r="C88" s="2184"/>
      <c r="D88" s="2162"/>
      <c r="E88" s="372" t="s">
        <v>32</v>
      </c>
      <c r="F88" s="373">
        <f t="shared" ref="F88:Q88" si="26">F84-(F85+F87)</f>
        <v>388000</v>
      </c>
      <c r="G88" s="374">
        <f t="shared" si="26"/>
        <v>388000</v>
      </c>
      <c r="H88" s="374">
        <f t="shared" si="26"/>
        <v>388000</v>
      </c>
      <c r="I88" s="374">
        <f t="shared" si="26"/>
        <v>348000</v>
      </c>
      <c r="J88" s="374">
        <f t="shared" si="26"/>
        <v>388000</v>
      </c>
      <c r="K88" s="374">
        <f t="shared" si="26"/>
        <v>388000</v>
      </c>
      <c r="L88" s="374">
        <f t="shared" si="26"/>
        <v>388000</v>
      </c>
      <c r="M88" s="374">
        <f t="shared" si="26"/>
        <v>388000</v>
      </c>
      <c r="N88" s="374">
        <f t="shared" si="26"/>
        <v>388000</v>
      </c>
      <c r="O88" s="374">
        <f t="shared" si="26"/>
        <v>348000</v>
      </c>
      <c r="P88" s="374">
        <f t="shared" si="26"/>
        <v>388000</v>
      </c>
      <c r="Q88" s="375">
        <f t="shared" si="26"/>
        <v>388000</v>
      </c>
      <c r="R88" s="1387"/>
      <c r="S88" s="1022">
        <f t="shared" ca="1" si="5"/>
        <v>4576000</v>
      </c>
      <c r="T88" s="1433"/>
      <c r="U88" s="374">
        <f t="shared" ca="1" si="25"/>
        <v>381333.33333333331</v>
      </c>
      <c r="V88" s="1377"/>
      <c r="W88" s="1002">
        <f>SUM(F88:Q88)</f>
        <v>4576000</v>
      </c>
      <c r="X88" s="1445"/>
    </row>
    <row r="89" spans="1:25" ht="14.1" hidden="1" customHeight="1" outlineLevel="1" x14ac:dyDescent="0.15">
      <c r="A89" s="413" t="s">
        <v>799</v>
      </c>
      <c r="B89" s="350" t="s">
        <v>26</v>
      </c>
      <c r="C89" s="2184"/>
      <c r="D89" s="2163" t="s">
        <v>444</v>
      </c>
      <c r="E89" s="376" t="s">
        <v>26</v>
      </c>
      <c r="F89" s="377">
        <f>IFERROR(GETPIVOTDATA("合計 / " &amp; $B89,【ピボット】事業所収支!$A$3,"年月",F$2,"事業所",$A89),0)</f>
        <v>1236162</v>
      </c>
      <c r="G89" s="378">
        <f>IFERROR(GETPIVOTDATA("合計 / " &amp; $B89,【ピボット】事業所収支!$A$3,"年月",G$2,"事業所",$A89),0)</f>
        <v>1051496</v>
      </c>
      <c r="H89" s="378">
        <f>IFERROR(GETPIVOTDATA("合計 / " &amp; $B89,【ピボット】事業所収支!$A$3,"年月",H$2,"事業所",$A89),0)</f>
        <v>1225409</v>
      </c>
      <c r="I89" s="378">
        <f>IFERROR(GETPIVOTDATA("合計 / " &amp; $B89,【ピボット】事業所収支!$A$3,"年月",I$2,"事業所",$A89),0)</f>
        <v>1036248</v>
      </c>
      <c r="J89" s="378">
        <f>IFERROR(GETPIVOTDATA("合計 / " &amp; $B89,【ピボット】事業所収支!$A$3,"年月",J$2,"事業所",$A89),0)</f>
        <v>809040</v>
      </c>
      <c r="K89" s="378">
        <f>IFERROR(GETPIVOTDATA("合計 / " &amp; $B89,【ピボット】事業所収支!$A$3,"年月",K$2,"事業所",$A89),0)</f>
        <v>741413</v>
      </c>
      <c r="L89" s="378">
        <f>IFERROR(GETPIVOTDATA("合計 / " &amp; $B89,【ピボット】事業所収支!$A$3,"年月",L$2,"事業所",$A89),0)</f>
        <v>820390</v>
      </c>
      <c r="M89" s="378">
        <f>IFERROR(GETPIVOTDATA("合計 / " &amp; $B89,【ピボット】事業所収支!$A$3,"年月",M$2,"事業所",$A89),0)</f>
        <v>859760</v>
      </c>
      <c r="N89" s="378">
        <f>IFERROR(GETPIVOTDATA("合計 / " &amp; $B89,【ピボット】事業所収支!$A$3,"年月",N$2,"事業所",$A89),0)</f>
        <v>1366814</v>
      </c>
      <c r="O89" s="378">
        <f>IFERROR(GETPIVOTDATA("合計 / " &amp; $B89,【ピボット】事業所収支!$A$3,"年月",O$2,"事業所",$A89),0)</f>
        <v>548955</v>
      </c>
      <c r="P89" s="378">
        <f>IFERROR(GETPIVOTDATA("合計 / " &amp; $B89,【ピボット】事業所収支!$A$3,"年月",P$2,"事業所",$A89),0)</f>
        <v>1159974</v>
      </c>
      <c r="Q89" s="379">
        <f>IFERROR(GETPIVOTDATA("合計 / " &amp; $B89,【ピボット】事業所収支!$A$3,"年月",Q$2,"事業所",$A89),0)</f>
        <v>870546</v>
      </c>
      <c r="R89" s="1056">
        <f ca="1">IF(T89&gt;=1,1,IF(T89&lt;0.9,-1,0))</f>
        <v>0</v>
      </c>
      <c r="S89" s="1023">
        <f t="shared" ca="1" si="5"/>
        <v>11726207</v>
      </c>
      <c r="T89" s="1434">
        <f ca="1">IF(S84&lt;0,ROUND((S89-S84)/ABS(S84),3),IF(S84=0,0,ROUND(S89/S84,3)))</f>
        <v>0.97899999999999998</v>
      </c>
      <c r="U89" s="378">
        <f t="shared" ca="1" si="25"/>
        <v>977183.91666666663</v>
      </c>
      <c r="V89" s="1373">
        <f ca="1">IF(X89&gt;=1,1,IF(X89&lt;0.9,-1,0))</f>
        <v>0</v>
      </c>
      <c r="W89" s="1003">
        <f ca="1">S89+(12-IF(ISERROR(MATCH(DATE(YEAR($G$1),MONTH($G$1),1),$F$2:$Q$2,0)),0,MATCH(DATE(YEAR($G$1),MONTH($G$1),1),$F$2:$Q$2,0)))*U89</f>
        <v>11726207</v>
      </c>
      <c r="X89" s="1446">
        <f ca="1">IF(W84&lt;0,ROUND((W89-W84)/ABS(W84),3),IF(W84=0,0,ROUND(W89/W84,3)))</f>
        <v>0.97899999999999998</v>
      </c>
      <c r="Y89" s="999">
        <v>0.1</v>
      </c>
    </row>
    <row r="90" spans="1:25" ht="14.1" hidden="1" customHeight="1" outlineLevel="1" x14ac:dyDescent="0.15">
      <c r="A90" s="413" t="s">
        <v>799</v>
      </c>
      <c r="B90" s="350" t="s">
        <v>15</v>
      </c>
      <c r="C90" s="2184"/>
      <c r="D90" s="2164"/>
      <c r="E90" s="380" t="s">
        <v>15</v>
      </c>
      <c r="F90" s="381">
        <f>IFERROR(GETPIVOTDATA("合計 / " &amp; $B90,【ピボット】事業所収支!$A$3,"年月",F$2,"事業所",$A90),0)</f>
        <v>406108</v>
      </c>
      <c r="G90" s="382">
        <f>IFERROR(GETPIVOTDATA("合計 / " &amp; $B90,【ピボット】事業所収支!$A$3,"年月",G$2,"事業所",$A90),0)</f>
        <v>437577</v>
      </c>
      <c r="H90" s="382">
        <f>IFERROR(GETPIVOTDATA("合計 / " &amp; $B90,【ピボット】事業所収支!$A$3,"年月",H$2,"事業所",$A90),0)</f>
        <v>418059</v>
      </c>
      <c r="I90" s="382">
        <f>IFERROR(GETPIVOTDATA("合計 / " &amp; $B90,【ピボット】事業所収支!$A$3,"年月",I$2,"事業所",$A90),0)</f>
        <v>418446.0655371336</v>
      </c>
      <c r="J90" s="382">
        <f>IFERROR(GETPIVOTDATA("合計 / " &amp; $B90,【ピボット】事業所収支!$A$3,"年月",J$2,"事業所",$A90),0)</f>
        <v>441121</v>
      </c>
      <c r="K90" s="382">
        <f>IFERROR(GETPIVOTDATA("合計 / " &amp; $B90,【ピボット】事業所収支!$A$3,"年月",K$2,"事業所",$A90),0)</f>
        <v>327190</v>
      </c>
      <c r="L90" s="382">
        <f>IFERROR(GETPIVOTDATA("合計 / " &amp; $B90,【ピボット】事業所収支!$A$3,"年月",L$2,"事業所",$A90),0)</f>
        <v>366028</v>
      </c>
      <c r="M90" s="382">
        <f>IFERROR(GETPIVOTDATA("合計 / " &amp; $B90,【ピボット】事業所収支!$A$3,"年月",M$2,"事業所",$A90),0)</f>
        <v>348293</v>
      </c>
      <c r="N90" s="382">
        <f>IFERROR(GETPIVOTDATA("合計 / " &amp; $B90,【ピボット】事業所収支!$A$3,"年月",N$2,"事業所",$A90),0)</f>
        <v>360441</v>
      </c>
      <c r="O90" s="382">
        <f>IFERROR(GETPIVOTDATA("合計 / " &amp; $B90,【ピボット】事業所収支!$A$3,"年月",O$2,"事業所",$A90),0)</f>
        <v>358841</v>
      </c>
      <c r="P90" s="382">
        <f>IFERROR(GETPIVOTDATA("合計 / " &amp; $B90,【ピボット】事業所収支!$A$3,"年月",P$2,"事業所",$A90),0)</f>
        <v>394951</v>
      </c>
      <c r="Q90" s="383">
        <f>IFERROR(GETPIVOTDATA("合計 / " &amp; $B90,【ピボット】事業所収支!$A$3,"年月",Q$2,"事業所",$A90),0)</f>
        <v>341359</v>
      </c>
      <c r="R90" s="1056">
        <f ca="1">IF(T90&lt;=1,1,IF(T90&gt;1.1,-1,0))</f>
        <v>1</v>
      </c>
      <c r="S90" s="1024">
        <f t="shared" ca="1" si="5"/>
        <v>4618414.0655371342</v>
      </c>
      <c r="T90" s="1435">
        <f ca="1">IF(S85&lt;0,ROUND((S90-S85)/ABS(S85),3),IF(S85=0,0,ROUND(S90/S85,3)))</f>
        <v>0.82499999999999996</v>
      </c>
      <c r="U90" s="382">
        <f t="shared" ca="1" si="25"/>
        <v>384867.83879476116</v>
      </c>
      <c r="V90" s="1373">
        <f ca="1">IF(X90&lt;=1,1,IF(X90&gt;1.1,-1,0))</f>
        <v>1</v>
      </c>
      <c r="W90" s="1004">
        <f ca="1">S90+(12-IF(ISERROR(MATCH(DATE(YEAR($G$1),MONTH($G$1),1),$F$2:$Q$2,0)),0,MATCH(DATE(YEAR($G$1),MONTH($G$1),1),$F$2:$Q$2,0)))*U90</f>
        <v>4618414.0655371342</v>
      </c>
      <c r="X90" s="1447">
        <f ca="1">IF(W85&lt;0,ROUND((W90-W85)/ABS(W85),3),IF(W85=0,0,ROUND(W90/W85,3)))</f>
        <v>0.82499999999999996</v>
      </c>
      <c r="Y90" s="999">
        <v>0.1</v>
      </c>
    </row>
    <row r="91" spans="1:25" ht="14.1" hidden="1" customHeight="1" outlineLevel="1" x14ac:dyDescent="0.15">
      <c r="A91" s="413" t="s">
        <v>799</v>
      </c>
      <c r="B91" s="350" t="s">
        <v>448</v>
      </c>
      <c r="C91" s="2184"/>
      <c r="D91" s="2164"/>
      <c r="E91" s="407" t="s">
        <v>448</v>
      </c>
      <c r="F91" s="381">
        <f>IFERROR(GETPIVOTDATA("合計 / " &amp; $B91,【ピボット】事業所収支!$A$3,"年月",F$2,"事業所",$A91),0)</f>
        <v>12420</v>
      </c>
      <c r="G91" s="382">
        <f>IFERROR(GETPIVOTDATA("合計 / " &amp; $B91,【ピボット】事業所収支!$A$3,"年月",G$2,"事業所",$A91),0)</f>
        <v>0</v>
      </c>
      <c r="H91" s="382">
        <f>IFERROR(GETPIVOTDATA("合計 / " &amp; $B91,【ピボット】事業所収支!$A$3,"年月",H$2,"事業所",$A91),0)</f>
        <v>0</v>
      </c>
      <c r="I91" s="382">
        <f>IFERROR(GETPIVOTDATA("合計 / " &amp; $B91,【ピボット】事業所収支!$A$3,"年月",I$2,"事業所",$A91),0)</f>
        <v>0</v>
      </c>
      <c r="J91" s="382">
        <f>IFERROR(GETPIVOTDATA("合計 / " &amp; $B91,【ピボット】事業所収支!$A$3,"年月",J$2,"事業所",$A91),0)</f>
        <v>0</v>
      </c>
      <c r="K91" s="382">
        <f>IFERROR(GETPIVOTDATA("合計 / " &amp; $B91,【ピボット】事業所収支!$A$3,"年月",K$2,"事業所",$A91),0)</f>
        <v>0</v>
      </c>
      <c r="L91" s="382">
        <f>IFERROR(GETPIVOTDATA("合計 / " &amp; $B91,【ピボット】事業所収支!$A$3,"年月",L$2,"事業所",$A91),0)</f>
        <v>32400</v>
      </c>
      <c r="M91" s="382">
        <f>IFERROR(GETPIVOTDATA("合計 / " &amp; $B91,【ピボット】事業所収支!$A$3,"年月",M$2,"事業所",$A91),0)</f>
        <v>0</v>
      </c>
      <c r="N91" s="382">
        <f>IFERROR(GETPIVOTDATA("合計 / " &amp; $B91,【ピボット】事業所収支!$A$3,"年月",N$2,"事業所",$A91),0)</f>
        <v>0</v>
      </c>
      <c r="O91" s="382">
        <f>IFERROR(GETPIVOTDATA("合計 / " &amp; $B91,【ピボット】事業所収支!$A$3,"年月",O$2,"事業所",$A91),0)</f>
        <v>0</v>
      </c>
      <c r="P91" s="382">
        <f>IFERROR(GETPIVOTDATA("合計 / " &amp; $B91,【ピボット】事業所収支!$A$3,"年月",P$2,"事業所",$A91),0)</f>
        <v>0</v>
      </c>
      <c r="Q91" s="383">
        <f>IFERROR(GETPIVOTDATA("合計 / " &amp; $B91,【ピボット】事業所収支!$A$3,"年月",Q$2,"事業所",$A91),0)</f>
        <v>0</v>
      </c>
      <c r="R91" s="1056">
        <f ca="1">IF(T91&lt;=1,1,IF(T91&gt;1.1,-1,0))</f>
        <v>1</v>
      </c>
      <c r="S91" s="1024">
        <f t="shared" ca="1" si="5"/>
        <v>44820</v>
      </c>
      <c r="T91" s="1435">
        <f ca="1">IF(S86&lt;0,ROUND((S91-S86)/ABS(S86),3),IF(S86=0,0,ROUND(S91/S86,3)))</f>
        <v>0.44800000000000001</v>
      </c>
      <c r="U91" s="382">
        <f t="shared" ca="1" si="25"/>
        <v>3735</v>
      </c>
      <c r="V91" s="1373">
        <f ca="1">IF(X91&lt;=1,1,IF(X91&gt;1.1,-1,0))</f>
        <v>1</v>
      </c>
      <c r="W91" s="1004">
        <f ca="1">S91+(12-IF(ISERROR(MATCH(DATE(YEAR($G$1),MONTH($G$1),1),$F$2:$Q$2,0)),0,MATCH(DATE(YEAR($G$1),MONTH($G$1),1),$F$2:$Q$2,0)))*U91</f>
        <v>44820</v>
      </c>
      <c r="X91" s="1447">
        <f ca="1">IF(W86&lt;0,ROUND((W91-W86)/ABS(W86),3),IF(W86=0,0,ROUND(W91/W86,3)))</f>
        <v>0.44800000000000001</v>
      </c>
      <c r="Y91" s="999">
        <v>0.1</v>
      </c>
    </row>
    <row r="92" spans="1:25" ht="14.1" hidden="1" customHeight="1" outlineLevel="1" x14ac:dyDescent="0.15">
      <c r="A92" s="413" t="s">
        <v>799</v>
      </c>
      <c r="B92" s="413" t="s">
        <v>1235</v>
      </c>
      <c r="C92" s="2184"/>
      <c r="D92" s="2164"/>
      <c r="E92" s="380" t="s">
        <v>35</v>
      </c>
      <c r="F92" s="381">
        <f>IFERROR(GETPIVOTDATA("合計 / " &amp; $B92,【ピボット】事業所収支!$A$3,"年月",F$2,"事業所",$A92),0)</f>
        <v>124140</v>
      </c>
      <c r="G92" s="382">
        <f>IFERROR(GETPIVOTDATA("合計 / " &amp; $B92,【ピボット】事業所収支!$A$3,"年月",G$2,"事業所",$A92),0)</f>
        <v>127801</v>
      </c>
      <c r="H92" s="382">
        <f>IFERROR(GETPIVOTDATA("合計 / " &amp; $B92,【ピボット】事業所収支!$A$3,"年月",H$2,"事業所",$A92),0)</f>
        <v>155938</v>
      </c>
      <c r="I92" s="382">
        <f>IFERROR(GETPIVOTDATA("合計 / " &amp; $B92,【ピボット】事業所収支!$A$3,"年月",I$2,"事業所",$A92),0)</f>
        <v>154535</v>
      </c>
      <c r="J92" s="382">
        <f>IFERROR(GETPIVOTDATA("合計 / " &amp; $B92,【ピボット】事業所収支!$A$3,"年月",J$2,"事業所",$A92),0)</f>
        <v>134184</v>
      </c>
      <c r="K92" s="382">
        <f>IFERROR(GETPIVOTDATA("合計 / " &amp; $B92,【ピボット】事業所収支!$A$3,"年月",K$2,"事業所",$A92),0)</f>
        <v>126910</v>
      </c>
      <c r="L92" s="382">
        <f>IFERROR(GETPIVOTDATA("合計 / " &amp; $B92,【ピボット】事業所収支!$A$3,"年月",L$2,"事業所",$A92),0)</f>
        <v>167880</v>
      </c>
      <c r="M92" s="382">
        <f>IFERROR(GETPIVOTDATA("合計 / " &amp; $B92,【ピボット】事業所収支!$A$3,"年月",M$2,"事業所",$A92),0)</f>
        <v>129954</v>
      </c>
      <c r="N92" s="382">
        <f>IFERROR(GETPIVOTDATA("合計 / " &amp; $B92,【ピボット】事業所収支!$A$3,"年月",N$2,"事業所",$A92),0)</f>
        <v>129795</v>
      </c>
      <c r="O92" s="382">
        <f>IFERROR(GETPIVOTDATA("合計 / " &amp; $B92,【ピボット】事業所収支!$A$3,"年月",O$2,"事業所",$A92),0)</f>
        <v>173077</v>
      </c>
      <c r="P92" s="382">
        <f>IFERROR(GETPIVOTDATA("合計 / " &amp; $B92,【ピボット】事業所収支!$A$3,"年月",P$2,"事業所",$A92),0)</f>
        <v>127926</v>
      </c>
      <c r="Q92" s="383">
        <f>IFERROR(GETPIVOTDATA("合計 / " &amp; $B92,【ピボット】事業所収支!$A$3,"年月",Q$2,"事業所",$A92),0)</f>
        <v>125559</v>
      </c>
      <c r="R92" s="1056">
        <f ca="1">IF(T92&lt;=1,1,IF(T92&gt;1.1,-1,0))</f>
        <v>1</v>
      </c>
      <c r="S92" s="1024">
        <f t="shared" ca="1" si="5"/>
        <v>1677699</v>
      </c>
      <c r="T92" s="1435">
        <f ca="1">IF(S87&lt;0,ROUND((S92-S87)/ABS(S87),3),IF(S87=0,0,ROUND(S92/S87,3)))</f>
        <v>0.93200000000000005</v>
      </c>
      <c r="U92" s="382">
        <f t="shared" ca="1" si="25"/>
        <v>139808.25</v>
      </c>
      <c r="V92" s="1373">
        <f ca="1">IF(X92&lt;=1,1,IF(X92&gt;1.1,-1,0))</f>
        <v>1</v>
      </c>
      <c r="W92" s="1004">
        <f ca="1">S92+(12-IF(ISERROR(MATCH(DATE(YEAR($G$1),MONTH($G$1),1),$F$2:$Q$2,0)),0,MATCH(DATE(YEAR($G$1),MONTH($G$1),1),$F$2:$Q$2,0)))*U92</f>
        <v>1677699</v>
      </c>
      <c r="X92" s="1447">
        <f ca="1">IF(W87&lt;0,ROUND((W92-W87)/ABS(W87),3),IF(W87=0,0,ROUND(W92/W87,3)))</f>
        <v>0.93200000000000005</v>
      </c>
      <c r="Y92" s="999">
        <v>0.1</v>
      </c>
    </row>
    <row r="93" spans="1:25" ht="14.1" hidden="1" customHeight="1" outlineLevel="1" thickBot="1" x14ac:dyDescent="0.2">
      <c r="A93" s="413" t="s">
        <v>799</v>
      </c>
      <c r="B93" s="350" t="s">
        <v>32</v>
      </c>
      <c r="C93" s="2185"/>
      <c r="D93" s="2165"/>
      <c r="E93" s="384" t="s">
        <v>32</v>
      </c>
      <c r="F93" s="385">
        <f t="shared" ref="F93:Q93" si="27">F89-(F90+F92)</f>
        <v>705914</v>
      </c>
      <c r="G93" s="386">
        <f t="shared" si="27"/>
        <v>486118</v>
      </c>
      <c r="H93" s="386">
        <f t="shared" si="27"/>
        <v>651412</v>
      </c>
      <c r="I93" s="386">
        <f t="shared" si="27"/>
        <v>463266.9344628664</v>
      </c>
      <c r="J93" s="386">
        <f t="shared" si="27"/>
        <v>233735</v>
      </c>
      <c r="K93" s="386">
        <f t="shared" si="27"/>
        <v>287313</v>
      </c>
      <c r="L93" s="386">
        <f t="shared" si="27"/>
        <v>286482</v>
      </c>
      <c r="M93" s="386">
        <f t="shared" si="27"/>
        <v>381513</v>
      </c>
      <c r="N93" s="386">
        <f t="shared" si="27"/>
        <v>876578</v>
      </c>
      <c r="O93" s="386">
        <f t="shared" si="27"/>
        <v>17037</v>
      </c>
      <c r="P93" s="386">
        <f t="shared" si="27"/>
        <v>637097</v>
      </c>
      <c r="Q93" s="387">
        <f t="shared" si="27"/>
        <v>403628</v>
      </c>
      <c r="R93" s="1056">
        <f ca="1">IF(T93&gt;=0,1,IF(T93&lt;-0.1,-1,0))</f>
        <v>1</v>
      </c>
      <c r="S93" s="1025">
        <f t="shared" ca="1" si="5"/>
        <v>5430093.9344628658</v>
      </c>
      <c r="T93" s="1436">
        <f ca="1">IF(S88=0,1-(S90+S92)/S89,IF(S88=S93,0,ROUND((S93-S88)/ABS(S88),3)))</f>
        <v>0.187</v>
      </c>
      <c r="U93" s="386">
        <f t="shared" ca="1" si="25"/>
        <v>452507.82787190547</v>
      </c>
      <c r="V93" s="1373">
        <f ca="1">IF(X93&gt;=0,1,IF(X93&lt;-0.1,-1,0))</f>
        <v>1</v>
      </c>
      <c r="W93" s="1005">
        <f ca="1">S93+(12-IF(ISERROR(MATCH(DATE(YEAR($G$1),MONTH($G$1),1),$F$2:$Q$2,0)),0,MATCH(DATE(YEAR($G$1),MONTH($G$1),1),$F$2:$Q$2,0)))*U93</f>
        <v>5430093.9344628658</v>
      </c>
      <c r="X93" s="1448">
        <f ca="1">IF(W88=0,1-(W90+W92)/W89,IF(W88=W93,0,ROUND((W93-W88)/ABS(W88),3)))</f>
        <v>0.187</v>
      </c>
      <c r="Y93" s="999">
        <v>0.1</v>
      </c>
    </row>
    <row r="94" spans="1:25" ht="14.1" hidden="1" customHeight="1" outlineLevel="1" x14ac:dyDescent="0.15">
      <c r="B94" s="350" t="s">
        <v>26</v>
      </c>
      <c r="C94" s="2169" t="s">
        <v>189</v>
      </c>
      <c r="D94" s="2160" t="s">
        <v>443</v>
      </c>
      <c r="E94" s="360" t="s">
        <v>26</v>
      </c>
      <c r="F94" s="361">
        <v>1068000</v>
      </c>
      <c r="G94" s="362">
        <v>1068000</v>
      </c>
      <c r="H94" s="362">
        <v>1068000</v>
      </c>
      <c r="I94" s="362">
        <v>1068000</v>
      </c>
      <c r="J94" s="362">
        <v>1068000</v>
      </c>
      <c r="K94" s="362">
        <v>1068000</v>
      </c>
      <c r="L94" s="362">
        <v>1068000</v>
      </c>
      <c r="M94" s="362">
        <v>1068000</v>
      </c>
      <c r="N94" s="362">
        <v>1068000</v>
      </c>
      <c r="O94" s="362">
        <v>1068000</v>
      </c>
      <c r="P94" s="362">
        <v>1068000</v>
      </c>
      <c r="Q94" s="363">
        <v>1068000</v>
      </c>
      <c r="R94" s="1385"/>
      <c r="S94" s="1020">
        <f t="shared" ca="1" si="5"/>
        <v>12816000</v>
      </c>
      <c r="T94" s="1431"/>
      <c r="U94" s="364">
        <f t="shared" ca="1" si="25"/>
        <v>1068000</v>
      </c>
      <c r="V94" s="1375"/>
      <c r="W94" s="1001">
        <f>SUM(F94:Q94)</f>
        <v>12816000</v>
      </c>
      <c r="X94" s="1442"/>
    </row>
    <row r="95" spans="1:25" ht="14.1" hidden="1" customHeight="1" outlineLevel="1" x14ac:dyDescent="0.15">
      <c r="B95" s="350" t="s">
        <v>15</v>
      </c>
      <c r="C95" s="2170"/>
      <c r="D95" s="2161"/>
      <c r="E95" s="366" t="s">
        <v>15</v>
      </c>
      <c r="F95" s="367">
        <v>350000</v>
      </c>
      <c r="G95" s="368">
        <v>350000</v>
      </c>
      <c r="H95" s="368">
        <v>350000</v>
      </c>
      <c r="I95" s="368">
        <v>400000</v>
      </c>
      <c r="J95" s="368">
        <v>350000</v>
      </c>
      <c r="K95" s="368">
        <v>350000</v>
      </c>
      <c r="L95" s="368">
        <v>350000</v>
      </c>
      <c r="M95" s="368">
        <v>350000</v>
      </c>
      <c r="N95" s="368">
        <v>350000</v>
      </c>
      <c r="O95" s="368">
        <v>400000</v>
      </c>
      <c r="P95" s="368">
        <v>350000</v>
      </c>
      <c r="Q95" s="369">
        <v>350000</v>
      </c>
      <c r="R95" s="1386"/>
      <c r="S95" s="1021">
        <f t="shared" ca="1" si="5"/>
        <v>4300000</v>
      </c>
      <c r="T95" s="1432"/>
      <c r="U95" s="370">
        <f t="shared" ca="1" si="25"/>
        <v>358333.33333333331</v>
      </c>
      <c r="V95" s="1376"/>
      <c r="W95" s="1000">
        <f>SUM(F95:Q95)</f>
        <v>4300000</v>
      </c>
      <c r="X95" s="1443"/>
    </row>
    <row r="96" spans="1:25" ht="14.1" hidden="1" customHeight="1" outlineLevel="1" x14ac:dyDescent="0.15">
      <c r="B96" s="350" t="s">
        <v>447</v>
      </c>
      <c r="C96" s="2170"/>
      <c r="D96" s="2161"/>
      <c r="E96" s="406" t="s">
        <v>447</v>
      </c>
      <c r="F96" s="367">
        <v>50000</v>
      </c>
      <c r="G96" s="368">
        <v>0</v>
      </c>
      <c r="H96" s="368">
        <v>0</v>
      </c>
      <c r="I96" s="368">
        <v>0</v>
      </c>
      <c r="J96" s="368">
        <v>0</v>
      </c>
      <c r="K96" s="368">
        <v>0</v>
      </c>
      <c r="L96" s="368">
        <v>50000</v>
      </c>
      <c r="M96" s="368">
        <v>0</v>
      </c>
      <c r="N96" s="368">
        <v>0</v>
      </c>
      <c r="O96" s="368">
        <v>0</v>
      </c>
      <c r="P96" s="368">
        <v>0</v>
      </c>
      <c r="Q96" s="369">
        <v>0</v>
      </c>
      <c r="R96" s="1386"/>
      <c r="S96" s="1021">
        <f t="shared" ca="1" si="5"/>
        <v>100000</v>
      </c>
      <c r="T96" s="1432"/>
      <c r="U96" s="370">
        <f t="shared" ca="1" si="25"/>
        <v>8333.3333333333339</v>
      </c>
      <c r="V96" s="1376"/>
      <c r="W96" s="1000">
        <f>SUM(F96:Q96)</f>
        <v>100000</v>
      </c>
      <c r="X96" s="1443"/>
    </row>
    <row r="97" spans="1:26" ht="14.1" hidden="1" customHeight="1" outlineLevel="1" x14ac:dyDescent="0.15">
      <c r="B97" s="413" t="s">
        <v>1230</v>
      </c>
      <c r="C97" s="2170"/>
      <c r="D97" s="2161"/>
      <c r="E97" s="366" t="s">
        <v>35</v>
      </c>
      <c r="F97" s="367">
        <v>250000</v>
      </c>
      <c r="G97" s="368">
        <v>250000</v>
      </c>
      <c r="H97" s="368">
        <v>250000</v>
      </c>
      <c r="I97" s="368">
        <v>250000</v>
      </c>
      <c r="J97" s="368">
        <v>250000</v>
      </c>
      <c r="K97" s="368">
        <v>250000</v>
      </c>
      <c r="L97" s="368">
        <v>250000</v>
      </c>
      <c r="M97" s="368">
        <v>250000</v>
      </c>
      <c r="N97" s="368">
        <v>250000</v>
      </c>
      <c r="O97" s="368">
        <v>250000</v>
      </c>
      <c r="P97" s="368">
        <v>250000</v>
      </c>
      <c r="Q97" s="369">
        <v>250000</v>
      </c>
      <c r="R97" s="1386"/>
      <c r="S97" s="1021">
        <f t="shared" ca="1" si="5"/>
        <v>3000000</v>
      </c>
      <c r="T97" s="1432"/>
      <c r="U97" s="370">
        <f t="shared" ca="1" si="25"/>
        <v>250000</v>
      </c>
      <c r="V97" s="1376"/>
      <c r="W97" s="1000">
        <f>SUM(F97:Q97)</f>
        <v>3000000</v>
      </c>
      <c r="X97" s="1443"/>
    </row>
    <row r="98" spans="1:26" ht="14.1" hidden="1" customHeight="1" outlineLevel="1" thickBot="1" x14ac:dyDescent="0.2">
      <c r="B98" s="350" t="s">
        <v>32</v>
      </c>
      <c r="C98" s="2170"/>
      <c r="D98" s="2162"/>
      <c r="E98" s="372" t="s">
        <v>32</v>
      </c>
      <c r="F98" s="373">
        <f t="shared" ref="F98:Q98" si="28">F94-(F95+F97)</f>
        <v>468000</v>
      </c>
      <c r="G98" s="374">
        <f t="shared" si="28"/>
        <v>468000</v>
      </c>
      <c r="H98" s="374">
        <f t="shared" si="28"/>
        <v>468000</v>
      </c>
      <c r="I98" s="374">
        <f t="shared" si="28"/>
        <v>418000</v>
      </c>
      <c r="J98" s="374">
        <f t="shared" si="28"/>
        <v>468000</v>
      </c>
      <c r="K98" s="374">
        <f t="shared" si="28"/>
        <v>468000</v>
      </c>
      <c r="L98" s="374">
        <f t="shared" si="28"/>
        <v>468000</v>
      </c>
      <c r="M98" s="374">
        <f t="shared" si="28"/>
        <v>468000</v>
      </c>
      <c r="N98" s="374">
        <f t="shared" si="28"/>
        <v>468000</v>
      </c>
      <c r="O98" s="374">
        <f t="shared" si="28"/>
        <v>418000</v>
      </c>
      <c r="P98" s="374">
        <f t="shared" si="28"/>
        <v>468000</v>
      </c>
      <c r="Q98" s="375">
        <f t="shared" si="28"/>
        <v>468000</v>
      </c>
      <c r="R98" s="1387"/>
      <c r="S98" s="1022">
        <f t="shared" ca="1" si="5"/>
        <v>5516000</v>
      </c>
      <c r="T98" s="1433"/>
      <c r="U98" s="374">
        <f t="shared" ca="1" si="25"/>
        <v>459666.66666666669</v>
      </c>
      <c r="V98" s="1377"/>
      <c r="W98" s="1002">
        <f>SUM(F98:Q98)</f>
        <v>5516000</v>
      </c>
      <c r="X98" s="1445"/>
    </row>
    <row r="99" spans="1:26" ht="14.1" hidden="1" customHeight="1" outlineLevel="1" x14ac:dyDescent="0.15">
      <c r="A99" s="413" t="s">
        <v>800</v>
      </c>
      <c r="B99" s="350" t="s">
        <v>26</v>
      </c>
      <c r="C99" s="2170"/>
      <c r="D99" s="2163" t="s">
        <v>444</v>
      </c>
      <c r="E99" s="376" t="s">
        <v>26</v>
      </c>
      <c r="F99" s="377">
        <f>IFERROR(GETPIVOTDATA("合計 / " &amp; $B99,【ピボット】事業所収支!$A$3,"年月",F$2,"事業所",$A99),0)</f>
        <v>1015378</v>
      </c>
      <c r="G99" s="378">
        <f>IFERROR(GETPIVOTDATA("合計 / " &amp; $B99,【ピボット】事業所収支!$A$3,"年月",G$2,"事業所",$A99),0)</f>
        <v>1061492</v>
      </c>
      <c r="H99" s="378">
        <f>IFERROR(GETPIVOTDATA("合計 / " &amp; $B99,【ピボット】事業所収支!$A$3,"年月",H$2,"事業所",$A99),0)</f>
        <v>1000792</v>
      </c>
      <c r="I99" s="378">
        <f>IFERROR(GETPIVOTDATA("合計 / " &amp; $B99,【ピボット】事業所収支!$A$3,"年月",I$2,"事業所",$A99),0)</f>
        <v>1061492</v>
      </c>
      <c r="J99" s="378">
        <f>IFERROR(GETPIVOTDATA("合計 / " &amp; $B99,【ピボット】事業所収支!$A$3,"年月",J$2,"事業所",$A99),0)</f>
        <v>1016092</v>
      </c>
      <c r="K99" s="378">
        <f>IFERROR(GETPIVOTDATA("合計 / " &amp; $B99,【ピボット】事業所収支!$A$3,"年月",K$2,"事業所",$A99),0)</f>
        <v>939922</v>
      </c>
      <c r="L99" s="378">
        <f>IFERROR(GETPIVOTDATA("合計 / " &amp; $B99,【ピボット】事業所収支!$A$3,"年月",L$2,"事業所",$A99),0)</f>
        <v>1205836</v>
      </c>
      <c r="M99" s="378">
        <f>IFERROR(GETPIVOTDATA("合計 / " &amp; $B99,【ピボット】事業所収支!$A$3,"年月",M$2,"事業所",$A99),0)</f>
        <v>1038460</v>
      </c>
      <c r="N99" s="378">
        <f>IFERROR(GETPIVOTDATA("合計 / " &amp; $B99,【ピボット】事業所収支!$A$3,"年月",N$2,"事業所",$A99),0)</f>
        <v>1150795</v>
      </c>
      <c r="O99" s="378">
        <f>IFERROR(GETPIVOTDATA("合計 / " &amp; $B99,【ピボット】事業所収支!$A$3,"年月",O$2,"事業所",$A99),0)</f>
        <v>1054056</v>
      </c>
      <c r="P99" s="378">
        <f>IFERROR(GETPIVOTDATA("合計 / " &amp; $B99,【ピボット】事業所収支!$A$3,"年月",P$2,"事業所",$A99),0)</f>
        <v>1085268</v>
      </c>
      <c r="Q99" s="379">
        <f>IFERROR(GETPIVOTDATA("合計 / " &amp; $B99,【ピボット】事業所収支!$A$3,"年月",Q$2,"事業所",$A99),0)</f>
        <v>923999</v>
      </c>
      <c r="R99" s="1056">
        <f ca="1">IF(T99&gt;=1,1,IF(T99&lt;0.9,-1,0))</f>
        <v>0</v>
      </c>
      <c r="S99" s="1023">
        <f t="shared" ca="1" si="5"/>
        <v>12553582</v>
      </c>
      <c r="T99" s="1434">
        <f ca="1">IF(S94&lt;0,ROUND((S99-S94)/ABS(S94),3),IF(S94=0,0,ROUND(S99/S94,3)))</f>
        <v>0.98</v>
      </c>
      <c r="U99" s="378">
        <f t="shared" ca="1" si="25"/>
        <v>1046131.8333333334</v>
      </c>
      <c r="V99" s="1373">
        <f ca="1">IF(X99&gt;=1,1,IF(X99&lt;0.9,-1,0))</f>
        <v>0</v>
      </c>
      <c r="W99" s="1003">
        <f ca="1">S99+(12-IF(ISERROR(MATCH(DATE(YEAR($G$1),MONTH($G$1),1),$F$2:$Q$2,0)),0,MATCH(DATE(YEAR($G$1),MONTH($G$1),1),$F$2:$Q$2,0)))*U99</f>
        <v>12553582</v>
      </c>
      <c r="X99" s="1446">
        <f ca="1">IF(W94&lt;0,ROUND((W99-W94)/ABS(W94),3),IF(W94=0,0,ROUND(W99/W94,3)))</f>
        <v>0.98</v>
      </c>
      <c r="Y99" s="999">
        <v>0.1</v>
      </c>
    </row>
    <row r="100" spans="1:26" ht="14.1" hidden="1" customHeight="1" outlineLevel="1" x14ac:dyDescent="0.15">
      <c r="A100" s="413" t="s">
        <v>800</v>
      </c>
      <c r="B100" s="350" t="s">
        <v>15</v>
      </c>
      <c r="C100" s="2170"/>
      <c r="D100" s="2164"/>
      <c r="E100" s="380" t="s">
        <v>15</v>
      </c>
      <c r="F100" s="381">
        <f>IFERROR(GETPIVOTDATA("合計 / " &amp; $B100,【ピボット】事業所収支!$A$3,"年月",F$2,"事業所",$A100),0)</f>
        <v>352925</v>
      </c>
      <c r="G100" s="382">
        <f>IFERROR(GETPIVOTDATA("合計 / " &amp; $B100,【ピボット】事業所収支!$A$3,"年月",G$2,"事業所",$A100),0)</f>
        <v>360225</v>
      </c>
      <c r="H100" s="382">
        <f>IFERROR(GETPIVOTDATA("合計 / " &amp; $B100,【ピボット】事業所収支!$A$3,"年月",H$2,"事業所",$A100),0)</f>
        <v>332700</v>
      </c>
      <c r="I100" s="382">
        <f>IFERROR(GETPIVOTDATA("合計 / " &amp; $B100,【ピボット】事業所収支!$A$3,"年月",I$2,"事業所",$A100),0)</f>
        <v>366550</v>
      </c>
      <c r="J100" s="382">
        <f>IFERROR(GETPIVOTDATA("合計 / " &amp; $B100,【ピボット】事業所収支!$A$3,"年月",J$2,"事業所",$A100),0)</f>
        <v>285100</v>
      </c>
      <c r="K100" s="382">
        <f>IFERROR(GETPIVOTDATA("合計 / " &amp; $B100,【ピボット】事業所収支!$A$3,"年月",K$2,"事業所",$A100),0)</f>
        <v>254875</v>
      </c>
      <c r="L100" s="382">
        <f>IFERROR(GETPIVOTDATA("合計 / " &amp; $B100,【ピボット】事業所収支!$A$3,"年月",L$2,"事業所",$A100),0)</f>
        <v>301575</v>
      </c>
      <c r="M100" s="382">
        <f>IFERROR(GETPIVOTDATA("合計 / " &amp; $B100,【ピボット】事業所収支!$A$3,"年月",M$2,"事業所",$A100),0)</f>
        <v>285775</v>
      </c>
      <c r="N100" s="382">
        <f>IFERROR(GETPIVOTDATA("合計 / " &amp; $B100,【ピボット】事業所収支!$A$3,"年月",N$2,"事業所",$A100),0)</f>
        <v>303275</v>
      </c>
      <c r="O100" s="382">
        <f>IFERROR(GETPIVOTDATA("合計 / " &amp; $B100,【ピボット】事業所収支!$A$3,"年月",O$2,"事業所",$A100),0)</f>
        <v>299100</v>
      </c>
      <c r="P100" s="382">
        <f>IFERROR(GETPIVOTDATA("合計 / " &amp; $B100,【ピボット】事業所収支!$A$3,"年月",P$2,"事業所",$A100),0)</f>
        <v>302725</v>
      </c>
      <c r="Q100" s="383">
        <f>IFERROR(GETPIVOTDATA("合計 / " &amp; $B100,【ピボット】事業所収支!$A$3,"年月",Q$2,"事業所",$A100),0)</f>
        <v>307500</v>
      </c>
      <c r="R100" s="1056">
        <f ca="1">IF(T100&lt;=1,1,IF(T100&gt;1.1,-1,0))</f>
        <v>1</v>
      </c>
      <c r="S100" s="1024">
        <f t="shared" ca="1" si="5"/>
        <v>3752325</v>
      </c>
      <c r="T100" s="1435">
        <f ca="1">IF(S95&lt;0,ROUND((S100-S95)/ABS(S95),3),IF(S95=0,0,ROUND(S100/S95,3)))</f>
        <v>0.873</v>
      </c>
      <c r="U100" s="382">
        <f t="shared" ca="1" si="25"/>
        <v>312693.75</v>
      </c>
      <c r="V100" s="1373">
        <f ca="1">IF(X100&lt;=1,1,IF(X100&gt;1.1,-1,0))</f>
        <v>1</v>
      </c>
      <c r="W100" s="1004">
        <f ca="1">S100+(12-IF(ISERROR(MATCH(DATE(YEAR($G$1),MONTH($G$1),1),$F$2:$Q$2,0)),0,MATCH(DATE(YEAR($G$1),MONTH($G$1),1),$F$2:$Q$2,0)))*U100</f>
        <v>3752325</v>
      </c>
      <c r="X100" s="1447">
        <f ca="1">IF(W95&lt;0,ROUND((W100-W95)/ABS(W95),3),IF(W95=0,0,ROUND(W100/W95,3)))</f>
        <v>0.873</v>
      </c>
      <c r="Y100" s="999">
        <v>0.1</v>
      </c>
    </row>
    <row r="101" spans="1:26" ht="14.1" hidden="1" customHeight="1" outlineLevel="1" x14ac:dyDescent="0.15">
      <c r="A101" s="413" t="s">
        <v>800</v>
      </c>
      <c r="B101" s="350" t="s">
        <v>448</v>
      </c>
      <c r="C101" s="2170"/>
      <c r="D101" s="2164"/>
      <c r="E101" s="407" t="s">
        <v>448</v>
      </c>
      <c r="F101" s="381">
        <f>IFERROR(GETPIVOTDATA("合計 / " &amp; $B101,【ピボット】事業所収支!$A$3,"年月",F$2,"事業所",$A101),0)</f>
        <v>12420</v>
      </c>
      <c r="G101" s="382">
        <f>IFERROR(GETPIVOTDATA("合計 / " &amp; $B101,【ピボット】事業所収支!$A$3,"年月",G$2,"事業所",$A101),0)</f>
        <v>0</v>
      </c>
      <c r="H101" s="382">
        <f>IFERROR(GETPIVOTDATA("合計 / " &amp; $B101,【ピボット】事業所収支!$A$3,"年月",H$2,"事業所",$A101),0)</f>
        <v>0</v>
      </c>
      <c r="I101" s="382">
        <f>IFERROR(GETPIVOTDATA("合計 / " &amp; $B101,【ピボット】事業所収支!$A$3,"年月",I$2,"事業所",$A101),0)</f>
        <v>0</v>
      </c>
      <c r="J101" s="382">
        <f>IFERROR(GETPIVOTDATA("合計 / " &amp; $B101,【ピボット】事業所収支!$A$3,"年月",J$2,"事業所",$A101),0)</f>
        <v>0</v>
      </c>
      <c r="K101" s="382">
        <f>IFERROR(GETPIVOTDATA("合計 / " &amp; $B101,【ピボット】事業所収支!$A$3,"年月",K$2,"事業所",$A101),0)</f>
        <v>0</v>
      </c>
      <c r="L101" s="382">
        <f>IFERROR(GETPIVOTDATA("合計 / " &amp; $B101,【ピボット】事業所収支!$A$3,"年月",L$2,"事業所",$A101),0)</f>
        <v>17280</v>
      </c>
      <c r="M101" s="382">
        <f>IFERROR(GETPIVOTDATA("合計 / " &amp; $B101,【ピボット】事業所収支!$A$3,"年月",M$2,"事業所",$A101),0)</f>
        <v>0</v>
      </c>
      <c r="N101" s="382">
        <f>IFERROR(GETPIVOTDATA("合計 / " &amp; $B101,【ピボット】事業所収支!$A$3,"年月",N$2,"事業所",$A101),0)</f>
        <v>0</v>
      </c>
      <c r="O101" s="382">
        <f>IFERROR(GETPIVOTDATA("合計 / " &amp; $B101,【ピボット】事業所収支!$A$3,"年月",O$2,"事業所",$A101),0)</f>
        <v>0</v>
      </c>
      <c r="P101" s="382">
        <f>IFERROR(GETPIVOTDATA("合計 / " &amp; $B101,【ピボット】事業所収支!$A$3,"年月",P$2,"事業所",$A101),0)</f>
        <v>0</v>
      </c>
      <c r="Q101" s="383">
        <f>IFERROR(GETPIVOTDATA("合計 / " &amp; $B101,【ピボット】事業所収支!$A$3,"年月",Q$2,"事業所",$A101),0)</f>
        <v>0</v>
      </c>
      <c r="R101" s="1056">
        <f ca="1">IF(T101&lt;=1,1,IF(T101&gt;1.1,-1,0))</f>
        <v>1</v>
      </c>
      <c r="S101" s="1024">
        <f ca="1">SUM(OFFSET(F101,0,0,1,IF(ISERROR(MATCH(DATE(YEAR($G$1),MONTH($G$1),1),$F$2:$Q$2,0)),0,MATCH(DATE(YEAR($G$1),MONTH($G$1),1),$F$2:$Q$2,0))))</f>
        <v>29700</v>
      </c>
      <c r="T101" s="1435">
        <f ca="1">IF(S96&lt;0,ROUND((S101-S96)/ABS(S96),3),IF(S96=0,0,ROUND(S101/S96,3)))</f>
        <v>0.29699999999999999</v>
      </c>
      <c r="U101" s="382">
        <f t="shared" ca="1" si="25"/>
        <v>2475</v>
      </c>
      <c r="V101" s="1373">
        <f ca="1">IF(X101&lt;=1,1,IF(X101&gt;1.1,-1,0))</f>
        <v>1</v>
      </c>
      <c r="W101" s="1004">
        <f ca="1">S101+(12-IF(ISERROR(MATCH(DATE(YEAR($G$1),MONTH($G$1),1),$F$2:$Q$2,0)),0,MATCH(DATE(YEAR($G$1),MONTH($G$1),1),$F$2:$Q$2,0)))*U101</f>
        <v>29700</v>
      </c>
      <c r="X101" s="1447">
        <f ca="1">IF(W96&lt;0,ROUND((W101-W96)/ABS(W96),3),IF(W96=0,0,ROUND(W101/W96,3)))</f>
        <v>0.29699999999999999</v>
      </c>
      <c r="Y101" s="999">
        <v>0.1</v>
      </c>
    </row>
    <row r="102" spans="1:26" ht="14.1" hidden="1" customHeight="1" outlineLevel="1" x14ac:dyDescent="0.15">
      <c r="A102" s="413" t="s">
        <v>800</v>
      </c>
      <c r="B102" s="413" t="s">
        <v>1235</v>
      </c>
      <c r="C102" s="2170"/>
      <c r="D102" s="2164"/>
      <c r="E102" s="380" t="s">
        <v>35</v>
      </c>
      <c r="F102" s="381">
        <f>IFERROR(GETPIVOTDATA("合計 / " &amp; $B102,【ピボット】事業所収支!$A$3,"年月",F$2,"事業所",$A102),0)</f>
        <v>265479</v>
      </c>
      <c r="G102" s="382">
        <f>IFERROR(GETPIVOTDATA("合計 / " &amp; $B102,【ピボット】事業所収支!$A$3,"年月",G$2,"事業所",$A102),0)</f>
        <v>183340</v>
      </c>
      <c r="H102" s="382">
        <f>IFERROR(GETPIVOTDATA("合計 / " &amp; $B102,【ピボット】事業所収支!$A$3,"年月",H$2,"事業所",$A102),0)</f>
        <v>233991</v>
      </c>
      <c r="I102" s="382">
        <f>IFERROR(GETPIVOTDATA("合計 / " &amp; $B102,【ピボット】事業所収支!$A$3,"年月",I$2,"事業所",$A102),0)</f>
        <v>175504</v>
      </c>
      <c r="J102" s="382">
        <f>IFERROR(GETPIVOTDATA("合計 / " &amp; $B102,【ピボット】事業所収支!$A$3,"年月",J$2,"事業所",$A102),0)</f>
        <v>179603</v>
      </c>
      <c r="K102" s="382">
        <f>IFERROR(GETPIVOTDATA("合計 / " &amp; $B102,【ピボット】事業所収支!$A$3,"年月",K$2,"事業所",$A102),0)</f>
        <v>178705</v>
      </c>
      <c r="L102" s="382">
        <f>IFERROR(GETPIVOTDATA("合計 / " &amp; $B102,【ピボット】事業所収支!$A$3,"年月",L$2,"事業所",$A102),0)</f>
        <v>322423</v>
      </c>
      <c r="M102" s="382">
        <f>IFERROR(GETPIVOTDATA("合計 / " &amp; $B102,【ピボット】事業所収支!$A$3,"年月",M$2,"事業所",$A102),0)</f>
        <v>182111</v>
      </c>
      <c r="N102" s="382">
        <f>IFERROR(GETPIVOTDATA("合計 / " &amp; $B102,【ピボット】事業所収支!$A$3,"年月",N$2,"事業所",$A102),0)</f>
        <v>184675</v>
      </c>
      <c r="O102" s="382">
        <f>IFERROR(GETPIVOTDATA("合計 / " &amp; $B102,【ピボット】事業所収支!$A$3,"年月",O$2,"事業所",$A102),0)</f>
        <v>176539</v>
      </c>
      <c r="P102" s="382">
        <f>IFERROR(GETPIVOTDATA("合計 / " &amp; $B102,【ピボット】事業所収支!$A$3,"年月",P$2,"事業所",$A102),0)</f>
        <v>173186</v>
      </c>
      <c r="Q102" s="383">
        <f>IFERROR(GETPIVOTDATA("合計 / " &amp; $B102,【ピボット】事業所収支!$A$3,"年月",Q$2,"事業所",$A102),0)</f>
        <v>155590</v>
      </c>
      <c r="R102" s="1056">
        <f ca="1">IF(T102&lt;=1,1,IF(T102&gt;1.1,-1,0))</f>
        <v>1</v>
      </c>
      <c r="S102" s="1024">
        <f t="shared" ca="1" si="5"/>
        <v>2411146</v>
      </c>
      <c r="T102" s="1435">
        <f ca="1">IF(S97&lt;0,ROUND((S102-S97)/ABS(S97),3),IF(S97=0,0,ROUND(S102/S97,3)))</f>
        <v>0.80400000000000005</v>
      </c>
      <c r="U102" s="382">
        <f t="shared" ca="1" si="25"/>
        <v>200928.83333333334</v>
      </c>
      <c r="V102" s="1373">
        <f ca="1">IF(X102&lt;=1,1,IF(X102&gt;1.1,-1,0))</f>
        <v>1</v>
      </c>
      <c r="W102" s="1004">
        <f ca="1">S102+(12-IF(ISERROR(MATCH(DATE(YEAR($G$1),MONTH($G$1),1),$F$2:$Q$2,0)),0,MATCH(DATE(YEAR($G$1),MONTH($G$1),1),$F$2:$Q$2,0)))*U102</f>
        <v>2411146</v>
      </c>
      <c r="X102" s="1447">
        <f ca="1">IF(W97&lt;0,ROUND((W102-W97)/ABS(W97),3),IF(W97=0,0,ROUND(W102/W97,3)))</f>
        <v>0.80400000000000005</v>
      </c>
      <c r="Y102" s="999">
        <v>0.1</v>
      </c>
    </row>
    <row r="103" spans="1:26" ht="14.1" hidden="1" customHeight="1" outlineLevel="1" thickBot="1" x14ac:dyDescent="0.2">
      <c r="A103" s="413" t="s">
        <v>800</v>
      </c>
      <c r="B103" s="350" t="s">
        <v>32</v>
      </c>
      <c r="C103" s="2171"/>
      <c r="D103" s="2165"/>
      <c r="E103" s="384" t="s">
        <v>32</v>
      </c>
      <c r="F103" s="385">
        <f t="shared" ref="F103:Q103" si="29">F99-(F100+F102)</f>
        <v>396974</v>
      </c>
      <c r="G103" s="386">
        <f t="shared" si="29"/>
        <v>517927</v>
      </c>
      <c r="H103" s="386">
        <f t="shared" si="29"/>
        <v>434101</v>
      </c>
      <c r="I103" s="386">
        <f t="shared" si="29"/>
        <v>519438</v>
      </c>
      <c r="J103" s="386">
        <f t="shared" si="29"/>
        <v>551389</v>
      </c>
      <c r="K103" s="386">
        <f t="shared" si="29"/>
        <v>506342</v>
      </c>
      <c r="L103" s="386">
        <f t="shared" si="29"/>
        <v>581838</v>
      </c>
      <c r="M103" s="386">
        <f t="shared" si="29"/>
        <v>570574</v>
      </c>
      <c r="N103" s="386">
        <f t="shared" si="29"/>
        <v>662845</v>
      </c>
      <c r="O103" s="386">
        <f t="shared" si="29"/>
        <v>578417</v>
      </c>
      <c r="P103" s="386">
        <f t="shared" si="29"/>
        <v>609357</v>
      </c>
      <c r="Q103" s="387">
        <f t="shared" si="29"/>
        <v>460909</v>
      </c>
      <c r="R103" s="1056">
        <f ca="1">IF(T103&gt;=0,1,IF(T103&lt;-0.1,-1,0))</f>
        <v>1</v>
      </c>
      <c r="S103" s="1025">
        <f t="shared" ca="1" si="5"/>
        <v>6390111</v>
      </c>
      <c r="T103" s="1436">
        <f ca="1">IF(S98=0,1-(S100+S102)/S99,IF(S98=S103,0,ROUND((S103-S98)/ABS(S98),3)))</f>
        <v>0.158</v>
      </c>
      <c r="U103" s="386">
        <f t="shared" ca="1" si="25"/>
        <v>532509.25</v>
      </c>
      <c r="V103" s="1373">
        <f ca="1">IF(X103&gt;=0,1,IF(X103&lt;-0.1,-1,0))</f>
        <v>1</v>
      </c>
      <c r="W103" s="1005">
        <f ca="1">S103+(12-IF(ISERROR(MATCH(DATE(YEAR($G$1),MONTH($G$1),1),$F$2:$Q$2,0)),0,MATCH(DATE(YEAR($G$1),MONTH($G$1),1),$F$2:$Q$2,0)))*U103</f>
        <v>6390111</v>
      </c>
      <c r="X103" s="1448">
        <f ca="1">IF(W98=0,1-(W100+W102)/W99,IF(W98=W103,0,ROUND((W103-W98)/ABS(W98),3)))</f>
        <v>0.158</v>
      </c>
      <c r="Y103" s="999">
        <v>0.1</v>
      </c>
    </row>
    <row r="104" spans="1:26" ht="14.1" hidden="1" customHeight="1" outlineLevel="1" x14ac:dyDescent="0.15">
      <c r="B104" s="350" t="s">
        <v>26</v>
      </c>
      <c r="C104" s="2169" t="s">
        <v>329</v>
      </c>
      <c r="D104" s="2160" t="s">
        <v>443</v>
      </c>
      <c r="E104" s="360" t="s">
        <v>26</v>
      </c>
      <c r="F104" s="361">
        <v>2600000</v>
      </c>
      <c r="G104" s="362">
        <v>2650000</v>
      </c>
      <c r="H104" s="362">
        <v>2650000</v>
      </c>
      <c r="I104" s="362">
        <v>2650000</v>
      </c>
      <c r="J104" s="362">
        <v>2650000</v>
      </c>
      <c r="K104" s="362">
        <v>2650000</v>
      </c>
      <c r="L104" s="362">
        <v>2650000</v>
      </c>
      <c r="M104" s="362">
        <v>2650000</v>
      </c>
      <c r="N104" s="362">
        <v>2650000</v>
      </c>
      <c r="O104" s="362">
        <v>2650000</v>
      </c>
      <c r="P104" s="362">
        <v>2650000</v>
      </c>
      <c r="Q104" s="363">
        <v>2650000</v>
      </c>
      <c r="R104" s="1385"/>
      <c r="S104" s="1020">
        <f t="shared" ref="S104:S113" ca="1" si="30">SUM(OFFSET(F104,0,0,1,IF(ISERROR(MATCH(DATE(YEAR($G$1),MONTH($G$1),1),$F$2:$Q$2,0)),0,MATCH(DATE(YEAR($G$1),MONTH($G$1),1),$F$2:$Q$2,0))))</f>
        <v>31750000</v>
      </c>
      <c r="T104" s="1431"/>
      <c r="U104" s="364">
        <f t="shared" ca="1" si="25"/>
        <v>2645833.3333333335</v>
      </c>
      <c r="V104" s="1375"/>
      <c r="W104" s="1001">
        <f>SUM(F104:Q104)</f>
        <v>31750000</v>
      </c>
      <c r="X104" s="1442"/>
    </row>
    <row r="105" spans="1:26" ht="14.1" hidden="1" customHeight="1" outlineLevel="1" x14ac:dyDescent="0.15">
      <c r="B105" s="350" t="s">
        <v>15</v>
      </c>
      <c r="C105" s="2170"/>
      <c r="D105" s="2161"/>
      <c r="E105" s="366" t="s">
        <v>15</v>
      </c>
      <c r="F105" s="367">
        <v>850000</v>
      </c>
      <c r="G105" s="368">
        <v>850000</v>
      </c>
      <c r="H105" s="368">
        <v>850000</v>
      </c>
      <c r="I105" s="368">
        <v>950000</v>
      </c>
      <c r="J105" s="368">
        <v>850000</v>
      </c>
      <c r="K105" s="368">
        <v>850000</v>
      </c>
      <c r="L105" s="368">
        <v>850000</v>
      </c>
      <c r="M105" s="368">
        <v>850000</v>
      </c>
      <c r="N105" s="368">
        <v>850000</v>
      </c>
      <c r="O105" s="368">
        <v>950000</v>
      </c>
      <c r="P105" s="368">
        <v>850000</v>
      </c>
      <c r="Q105" s="369">
        <v>850000</v>
      </c>
      <c r="R105" s="1386"/>
      <c r="S105" s="1021">
        <f t="shared" ca="1" si="30"/>
        <v>10400000</v>
      </c>
      <c r="T105" s="1432"/>
      <c r="U105" s="370">
        <f t="shared" ca="1" si="25"/>
        <v>866666.66666666663</v>
      </c>
      <c r="V105" s="1376"/>
      <c r="W105" s="1000">
        <f>SUM(F105:Q105)</f>
        <v>10400000</v>
      </c>
      <c r="X105" s="1443"/>
    </row>
    <row r="106" spans="1:26" ht="14.1" hidden="1" customHeight="1" outlineLevel="1" x14ac:dyDescent="0.15">
      <c r="B106" s="350" t="s">
        <v>447</v>
      </c>
      <c r="C106" s="2170"/>
      <c r="D106" s="2161"/>
      <c r="E106" s="406" t="s">
        <v>447</v>
      </c>
      <c r="F106" s="367">
        <v>50000</v>
      </c>
      <c r="G106" s="368">
        <v>0</v>
      </c>
      <c r="H106" s="368">
        <v>0</v>
      </c>
      <c r="I106" s="368">
        <v>0</v>
      </c>
      <c r="J106" s="368">
        <v>0</v>
      </c>
      <c r="K106" s="368">
        <v>0</v>
      </c>
      <c r="L106" s="368">
        <v>50000</v>
      </c>
      <c r="M106" s="368">
        <v>0</v>
      </c>
      <c r="N106" s="368">
        <v>0</v>
      </c>
      <c r="O106" s="368">
        <v>0</v>
      </c>
      <c r="P106" s="368">
        <v>0</v>
      </c>
      <c r="Q106" s="369">
        <v>0</v>
      </c>
      <c r="R106" s="1386"/>
      <c r="S106" s="1021">
        <f ca="1">SUM(OFFSET(F106,0,0,1,IF(ISERROR(MATCH(DATE(YEAR($G$1),MONTH($G$1),1),$F$2:$Q$2,0)),0,MATCH(DATE(YEAR($G$1),MONTH($G$1),1),$F$2:$Q$2,0))))</f>
        <v>100000</v>
      </c>
      <c r="T106" s="1432"/>
      <c r="U106" s="370">
        <f t="shared" ca="1" si="25"/>
        <v>8333.3333333333339</v>
      </c>
      <c r="V106" s="1376"/>
      <c r="W106" s="1000">
        <f>SUM(F106:Q106)</f>
        <v>100000</v>
      </c>
      <c r="X106" s="1443"/>
    </row>
    <row r="107" spans="1:26" ht="14.1" hidden="1" customHeight="1" outlineLevel="1" x14ac:dyDescent="0.15">
      <c r="B107" s="413" t="s">
        <v>1230</v>
      </c>
      <c r="C107" s="2170"/>
      <c r="D107" s="2161"/>
      <c r="E107" s="366" t="s">
        <v>35</v>
      </c>
      <c r="F107" s="367">
        <v>500000</v>
      </c>
      <c r="G107" s="368">
        <v>575400</v>
      </c>
      <c r="H107" s="368">
        <v>571800</v>
      </c>
      <c r="I107" s="368">
        <v>571800</v>
      </c>
      <c r="J107" s="368">
        <v>571800</v>
      </c>
      <c r="K107" s="368">
        <v>571800</v>
      </c>
      <c r="L107" s="368">
        <v>571800</v>
      </c>
      <c r="M107" s="368">
        <v>571800</v>
      </c>
      <c r="N107" s="368">
        <v>611300</v>
      </c>
      <c r="O107" s="368">
        <v>571800</v>
      </c>
      <c r="P107" s="368">
        <v>571800</v>
      </c>
      <c r="Q107" s="369">
        <v>571800</v>
      </c>
      <c r="R107" s="1386"/>
      <c r="S107" s="1021">
        <f t="shared" ca="1" si="30"/>
        <v>6832900</v>
      </c>
      <c r="T107" s="1432"/>
      <c r="U107" s="370">
        <f t="shared" ca="1" si="25"/>
        <v>569408.33333333337</v>
      </c>
      <c r="V107" s="1376"/>
      <c r="W107" s="1000">
        <f>SUM(F107:Q107)</f>
        <v>6832900</v>
      </c>
      <c r="X107" s="1443"/>
    </row>
    <row r="108" spans="1:26" ht="14.1" hidden="1" customHeight="1" outlineLevel="1" thickBot="1" x14ac:dyDescent="0.2">
      <c r="B108" s="350" t="s">
        <v>32</v>
      </c>
      <c r="C108" s="2170"/>
      <c r="D108" s="2162"/>
      <c r="E108" s="372" t="s">
        <v>32</v>
      </c>
      <c r="F108" s="373">
        <f t="shared" ref="F108:Q108" si="31">F104-(F105+F107)</f>
        <v>1250000</v>
      </c>
      <c r="G108" s="374">
        <f t="shared" si="31"/>
        <v>1224600</v>
      </c>
      <c r="H108" s="374">
        <f t="shared" si="31"/>
        <v>1228200</v>
      </c>
      <c r="I108" s="374">
        <f t="shared" si="31"/>
        <v>1128200</v>
      </c>
      <c r="J108" s="374">
        <f t="shared" si="31"/>
        <v>1228200</v>
      </c>
      <c r="K108" s="374">
        <f t="shared" si="31"/>
        <v>1228200</v>
      </c>
      <c r="L108" s="374">
        <f t="shared" si="31"/>
        <v>1228200</v>
      </c>
      <c r="M108" s="374">
        <f t="shared" si="31"/>
        <v>1228200</v>
      </c>
      <c r="N108" s="374">
        <f t="shared" si="31"/>
        <v>1188700</v>
      </c>
      <c r="O108" s="374">
        <f t="shared" si="31"/>
        <v>1128200</v>
      </c>
      <c r="P108" s="374">
        <f t="shared" si="31"/>
        <v>1228200</v>
      </c>
      <c r="Q108" s="375">
        <f t="shared" si="31"/>
        <v>1228200</v>
      </c>
      <c r="R108" s="1387"/>
      <c r="S108" s="1022">
        <f t="shared" ca="1" si="30"/>
        <v>14517100</v>
      </c>
      <c r="T108" s="1433"/>
      <c r="U108" s="374">
        <f t="shared" ca="1" si="25"/>
        <v>1209758.3333333333</v>
      </c>
      <c r="V108" s="1377"/>
      <c r="W108" s="1002">
        <f>SUM(F108:Q108)</f>
        <v>14517100</v>
      </c>
      <c r="X108" s="1445"/>
    </row>
    <row r="109" spans="1:26" ht="14.1" hidden="1" customHeight="1" outlineLevel="1" x14ac:dyDescent="0.15">
      <c r="A109" s="413" t="s">
        <v>801</v>
      </c>
      <c r="B109" s="350" t="s">
        <v>26</v>
      </c>
      <c r="C109" s="2170"/>
      <c r="D109" s="2163" t="s">
        <v>444</v>
      </c>
      <c r="E109" s="376" t="s">
        <v>26</v>
      </c>
      <c r="F109" s="377">
        <f>IFERROR(GETPIVOTDATA("合計 / " &amp; $B109,【ピボット】事業所収支!$A$3,"年月",F$2,"事業所",$A109),0)</f>
        <v>2133548</v>
      </c>
      <c r="G109" s="378">
        <f>IFERROR(GETPIVOTDATA("合計 / " &amp; $B109,【ピボット】事業所収支!$A$3,"年月",G$2,"事業所",$A109),0)</f>
        <v>3275498</v>
      </c>
      <c r="H109" s="378">
        <f>IFERROR(GETPIVOTDATA("合計 / " &amp; $B109,【ピボット】事業所収支!$A$3,"年月",H$2,"事業所",$A109),0)</f>
        <v>2705860</v>
      </c>
      <c r="I109" s="378">
        <f>IFERROR(GETPIVOTDATA("合計 / " &amp; $B109,【ピボット】事業所収支!$A$3,"年月",I$2,"事業所",$A109),0)</f>
        <v>2748469</v>
      </c>
      <c r="J109" s="378">
        <f>IFERROR(GETPIVOTDATA("合計 / " &amp; $B109,【ピボット】事業所収支!$A$3,"年月",J$2,"事業所",$A109),0)</f>
        <v>2696635</v>
      </c>
      <c r="K109" s="378">
        <f>IFERROR(GETPIVOTDATA("合計 / " &amp; $B109,【ピボット】事業所収支!$A$3,"年月",K$2,"事業所",$A109),0)</f>
        <v>2570319</v>
      </c>
      <c r="L109" s="378">
        <f>IFERROR(GETPIVOTDATA("合計 / " &amp; $B109,【ピボット】事業所収支!$A$3,"年月",L$2,"事業所",$A109),0)</f>
        <v>2819531</v>
      </c>
      <c r="M109" s="378">
        <f>IFERROR(GETPIVOTDATA("合計 / " &amp; $B109,【ピボット】事業所収支!$A$3,"年月",M$2,"事業所",$A109),0)</f>
        <v>2754232</v>
      </c>
      <c r="N109" s="378">
        <f>IFERROR(GETPIVOTDATA("合計 / " &amp; $B109,【ピボット】事業所収支!$A$3,"年月",N$2,"事業所",$A109),0)</f>
        <v>3771025</v>
      </c>
      <c r="O109" s="378">
        <f>IFERROR(GETPIVOTDATA("合計 / " &amp; $B109,【ピボット】事業所収支!$A$3,"年月",O$2,"事業所",$A109),0)</f>
        <v>2469018</v>
      </c>
      <c r="P109" s="378">
        <f>IFERROR(GETPIVOTDATA("合計 / " &amp; $B109,【ピボット】事業所収支!$A$3,"年月",P$2,"事業所",$A109),0)</f>
        <v>2977988</v>
      </c>
      <c r="Q109" s="379">
        <f>IFERROR(GETPIVOTDATA("合計 / " &amp; $B109,【ピボット】事業所収支!$A$3,"年月",Q$2,"事業所",$A109),0)</f>
        <v>2468275</v>
      </c>
      <c r="R109" s="1056">
        <f ca="1">IF(T109&gt;=1,1,IF(T109&lt;0.9,-1,0))</f>
        <v>1</v>
      </c>
      <c r="S109" s="1023">
        <f t="shared" ca="1" si="30"/>
        <v>33390398</v>
      </c>
      <c r="T109" s="1434">
        <f ca="1">IF(S104&lt;0,ROUND((S109-S104)/ABS(S104),3),IF(S104=0,0,ROUND(S109/S104,3)))</f>
        <v>1.052</v>
      </c>
      <c r="U109" s="378">
        <f t="shared" ca="1" si="25"/>
        <v>2782533.1666666665</v>
      </c>
      <c r="V109" s="1373">
        <f ca="1">IF(X109&gt;=1,1,IF(X109&lt;0.9,-1,0))</f>
        <v>1</v>
      </c>
      <c r="W109" s="1003">
        <f ca="1">S109+(12-IF(ISERROR(MATCH(DATE(YEAR($G$1),MONTH($G$1),1),$F$2:$Q$2,0)),0,MATCH(DATE(YEAR($G$1),MONTH($G$1),1),$F$2:$Q$2,0)))*U109</f>
        <v>33390398</v>
      </c>
      <c r="X109" s="1446">
        <f ca="1">IF(W104&lt;0,ROUND((W109-W104)/ABS(W104),3),IF(W104=0,0,ROUND(W109/W104,3)))</f>
        <v>1.052</v>
      </c>
      <c r="Y109" s="999">
        <v>0.1</v>
      </c>
    </row>
    <row r="110" spans="1:26" ht="14.1" hidden="1" customHeight="1" outlineLevel="1" x14ac:dyDescent="0.15">
      <c r="A110" s="413" t="s">
        <v>801</v>
      </c>
      <c r="B110" s="350" t="s">
        <v>15</v>
      </c>
      <c r="C110" s="2170"/>
      <c r="D110" s="2164"/>
      <c r="E110" s="380" t="s">
        <v>15</v>
      </c>
      <c r="F110" s="381">
        <f>IFERROR(GETPIVOTDATA("合計 / " &amp; $B110,【ピボット】事業所収支!$A$3,"年月",F$2,"事業所",$A110),0)</f>
        <v>708477</v>
      </c>
      <c r="G110" s="382">
        <f>IFERROR(GETPIVOTDATA("合計 / " &amp; $B110,【ピボット】事業所収支!$A$3,"年月",G$2,"事業所",$A110),0)</f>
        <v>673024</v>
      </c>
      <c r="H110" s="382">
        <f>IFERROR(GETPIVOTDATA("合計 / " &amp; $B110,【ピボット】事業所収支!$A$3,"年月",H$2,"事業所",$A110),0)</f>
        <v>710550</v>
      </c>
      <c r="I110" s="382">
        <f>IFERROR(GETPIVOTDATA("合計 / " &amp; $B110,【ピボット】事業所収支!$A$3,"年月",I$2,"事業所",$A110),0)</f>
        <v>680588.27100330812</v>
      </c>
      <c r="J110" s="382">
        <f>IFERROR(GETPIVOTDATA("合計 / " &amp; $B110,【ピボット】事業所収支!$A$3,"年月",J$2,"事業所",$A110),0)</f>
        <v>807871</v>
      </c>
      <c r="K110" s="382">
        <f>IFERROR(GETPIVOTDATA("合計 / " &amp; $B110,【ピボット】事業所収支!$A$3,"年月",K$2,"事業所",$A110),0)</f>
        <v>637625</v>
      </c>
      <c r="L110" s="382">
        <f>IFERROR(GETPIVOTDATA("合計 / " &amp; $B110,【ピボット】事業所収支!$A$3,"年月",L$2,"事業所",$A110),0)</f>
        <v>716957</v>
      </c>
      <c r="M110" s="382">
        <f>IFERROR(GETPIVOTDATA("合計 / " &amp; $B110,【ピボット】事業所収支!$A$3,"年月",M$2,"事業所",$A110),0)</f>
        <v>661124</v>
      </c>
      <c r="N110" s="382">
        <f>IFERROR(GETPIVOTDATA("合計 / " &amp; $B110,【ピボット】事業所収支!$A$3,"年月",N$2,"事業所",$A110),0)</f>
        <v>667563</v>
      </c>
      <c r="O110" s="382">
        <f>IFERROR(GETPIVOTDATA("合計 / " &amp; $B110,【ピボット】事業所収支!$A$3,"年月",O$2,"事業所",$A110),0)</f>
        <v>660185</v>
      </c>
      <c r="P110" s="382">
        <f>IFERROR(GETPIVOTDATA("合計 / " &amp; $B110,【ピボット】事業所収支!$A$3,"年月",P$2,"事業所",$A110),0)</f>
        <v>677214</v>
      </c>
      <c r="Q110" s="383">
        <f>IFERROR(GETPIVOTDATA("合計 / " &amp; $B110,【ピボット】事業所収支!$A$3,"年月",Q$2,"事業所",$A110),0)</f>
        <v>695777</v>
      </c>
      <c r="R110" s="1056">
        <f ca="1">IF(T110&lt;=1,1,IF(T110&gt;1.1,-1,0))</f>
        <v>1</v>
      </c>
      <c r="S110" s="1024">
        <f t="shared" ca="1" si="30"/>
        <v>8296955.2710033078</v>
      </c>
      <c r="T110" s="1435">
        <f ca="1">IF(S105&lt;0,ROUND((S110-S105)/ABS(S105),3),IF(S105=0,0,ROUND(S110/S105,3)))</f>
        <v>0.79800000000000004</v>
      </c>
      <c r="U110" s="382">
        <f t="shared" ca="1" si="25"/>
        <v>691412.93925027561</v>
      </c>
      <c r="V110" s="1373">
        <f ca="1">IF(X110&lt;=1,1,IF(X110&gt;1.1,-1,0))</f>
        <v>1</v>
      </c>
      <c r="W110" s="1004">
        <f ca="1">S110+(12-IF(ISERROR(MATCH(DATE(YEAR($G$1),MONTH($G$1),1),$F$2:$Q$2,0)),0,MATCH(DATE(YEAR($G$1),MONTH($G$1),1),$F$2:$Q$2,0)))*U110</f>
        <v>8296955.2710033078</v>
      </c>
      <c r="X110" s="1447">
        <f ca="1">IF(W105&lt;0,ROUND((W110-W105)/ABS(W105),3),IF(W105=0,0,ROUND(W110/W105,3)))</f>
        <v>0.79800000000000004</v>
      </c>
      <c r="Y110" s="999">
        <v>0.1</v>
      </c>
    </row>
    <row r="111" spans="1:26" ht="14.1" hidden="1" customHeight="1" outlineLevel="1" x14ac:dyDescent="0.15">
      <c r="A111" s="413" t="s">
        <v>801</v>
      </c>
      <c r="B111" s="350" t="s">
        <v>448</v>
      </c>
      <c r="C111" s="2170"/>
      <c r="D111" s="2164"/>
      <c r="E111" s="407" t="s">
        <v>448</v>
      </c>
      <c r="F111" s="381">
        <f>IFERROR(GETPIVOTDATA("合計 / " &amp; $B111,【ピボット】事業所収支!$A$3,"年月",F$2,"事業所",$A111),0)</f>
        <v>35100</v>
      </c>
      <c r="G111" s="382">
        <f>IFERROR(GETPIVOTDATA("合計 / " &amp; $B111,【ピボット】事業所収支!$A$3,"年月",G$2,"事業所",$A111),0)</f>
        <v>0</v>
      </c>
      <c r="H111" s="382">
        <f>IFERROR(GETPIVOTDATA("合計 / " &amp; $B111,【ピボット】事業所収支!$A$3,"年月",H$2,"事業所",$A111),0)</f>
        <v>0</v>
      </c>
      <c r="I111" s="382">
        <f>IFERROR(GETPIVOTDATA("合計 / " &amp; $B111,【ピボット】事業所収支!$A$3,"年月",I$2,"事業所",$A111),0)</f>
        <v>0</v>
      </c>
      <c r="J111" s="382">
        <f>IFERROR(GETPIVOTDATA("合計 / " &amp; $B111,【ピボット】事業所収支!$A$3,"年月",J$2,"事業所",$A111),0)</f>
        <v>0</v>
      </c>
      <c r="K111" s="382">
        <f>IFERROR(GETPIVOTDATA("合計 / " &amp; $B111,【ピボット】事業所収支!$A$3,"年月",K$2,"事業所",$A111),0)</f>
        <v>0</v>
      </c>
      <c r="L111" s="382">
        <f>IFERROR(GETPIVOTDATA("合計 / " &amp; $B111,【ピボット】事業所収支!$A$3,"年月",L$2,"事業所",$A111),0)</f>
        <v>17280</v>
      </c>
      <c r="M111" s="382">
        <f>IFERROR(GETPIVOTDATA("合計 / " &amp; $B111,【ピボット】事業所収支!$A$3,"年月",M$2,"事業所",$A111),0)</f>
        <v>0</v>
      </c>
      <c r="N111" s="382">
        <f>IFERROR(GETPIVOTDATA("合計 / " &amp; $B111,【ピボット】事業所収支!$A$3,"年月",N$2,"事業所",$A111),0)</f>
        <v>0</v>
      </c>
      <c r="O111" s="382">
        <f>IFERROR(GETPIVOTDATA("合計 / " &amp; $B111,【ピボット】事業所収支!$A$3,"年月",O$2,"事業所",$A111),0)</f>
        <v>0</v>
      </c>
      <c r="P111" s="382">
        <f>IFERROR(GETPIVOTDATA("合計 / " &amp; $B111,【ピボット】事業所収支!$A$3,"年月",P$2,"事業所",$A111),0)</f>
        <v>0</v>
      </c>
      <c r="Q111" s="383">
        <f>IFERROR(GETPIVOTDATA("合計 / " &amp; $B111,【ピボット】事業所収支!$A$3,"年月",Q$2,"事業所",$A111),0)</f>
        <v>0</v>
      </c>
      <c r="R111" s="1056">
        <f ca="1">IF(T111&lt;=1,1,IF(T111&gt;1.1,-1,0))</f>
        <v>1</v>
      </c>
      <c r="S111" s="1024">
        <f t="shared" ca="1" si="30"/>
        <v>52380</v>
      </c>
      <c r="T111" s="1435">
        <f ca="1">IF(S106&lt;0,ROUND((S111-S106)/ABS(S106),3),IF(S106=0,0,ROUND(S111/S106,3)))</f>
        <v>0.52400000000000002</v>
      </c>
      <c r="U111" s="382">
        <f t="shared" ca="1" si="25"/>
        <v>4365</v>
      </c>
      <c r="V111" s="1373">
        <f ca="1">IF(X111&lt;=1,1,IF(X111&gt;1.1,-1,0))</f>
        <v>1</v>
      </c>
      <c r="W111" s="1004">
        <f ca="1">S111+(12-IF(ISERROR(MATCH(DATE(YEAR($G$1),MONTH($G$1),1),$F$2:$Q$2,0)),0,MATCH(DATE(YEAR($G$1),MONTH($G$1),1),$F$2:$Q$2,0)))*U111</f>
        <v>52380</v>
      </c>
      <c r="X111" s="1447">
        <f ca="1">IF(W106&lt;0,ROUND((W111-W106)/ABS(W106),3),IF(W106=0,0,ROUND(W111/W106,3)))</f>
        <v>0.52400000000000002</v>
      </c>
      <c r="Y111" s="999">
        <v>0.1</v>
      </c>
    </row>
    <row r="112" spans="1:26" ht="14.1" hidden="1" customHeight="1" outlineLevel="1" x14ac:dyDescent="0.15">
      <c r="A112" s="413" t="s">
        <v>801</v>
      </c>
      <c r="B112" s="413" t="s">
        <v>1235</v>
      </c>
      <c r="C112" s="2170"/>
      <c r="D112" s="2164"/>
      <c r="E112" s="380" t="s">
        <v>35</v>
      </c>
      <c r="F112" s="381">
        <f>IFERROR(GETPIVOTDATA("合計 / " &amp; $B112,【ピボット】事業所収支!$A$3,"年月",F$2,"事業所",$A112),0)</f>
        <v>542900</v>
      </c>
      <c r="G112" s="382">
        <f>IFERROR(GETPIVOTDATA("合計 / " &amp; $B112,【ピボット】事業所収支!$A$3,"年月",G$2,"事業所",$A112),0)</f>
        <v>624881</v>
      </c>
      <c r="H112" s="382">
        <f>IFERROR(GETPIVOTDATA("合計 / " &amp; $B112,【ピボット】事業所収支!$A$3,"年月",H$2,"事業所",$A112),0)</f>
        <v>688081</v>
      </c>
      <c r="I112" s="382">
        <f>IFERROR(GETPIVOTDATA("合計 / " &amp; $B112,【ピボット】事業所収支!$A$3,"年月",I$2,"事業所",$A112),0)</f>
        <v>606874</v>
      </c>
      <c r="J112" s="382">
        <f>IFERROR(GETPIVOTDATA("合計 / " &amp; $B112,【ピボット】事業所収支!$A$3,"年月",J$2,"事業所",$A112),0)</f>
        <v>769409</v>
      </c>
      <c r="K112" s="382">
        <f>IFERROR(GETPIVOTDATA("合計 / " &amp; $B112,【ピボット】事業所収支!$A$3,"年月",K$2,"事業所",$A112),0)</f>
        <v>616496</v>
      </c>
      <c r="L112" s="382">
        <f>IFERROR(GETPIVOTDATA("合計 / " &amp; $B112,【ピボット】事業所収支!$A$3,"年月",L$2,"事業所",$A112),0)</f>
        <v>632985</v>
      </c>
      <c r="M112" s="382">
        <f>IFERROR(GETPIVOTDATA("合計 / " &amp; $B112,【ピボット】事業所収支!$A$3,"年月",M$2,"事業所",$A112),0)</f>
        <v>658790</v>
      </c>
      <c r="N112" s="382">
        <f>IFERROR(GETPIVOTDATA("合計 / " &amp; $B112,【ピボット】事業所収支!$A$3,"年月",N$2,"事業所",$A112),0)</f>
        <v>773088</v>
      </c>
      <c r="O112" s="382">
        <f>IFERROR(GETPIVOTDATA("合計 / " &amp; $B112,【ピボット】事業所収支!$A$3,"年月",O$2,"事業所",$A112),0)</f>
        <v>589882</v>
      </c>
      <c r="P112" s="382">
        <f>IFERROR(GETPIVOTDATA("合計 / " &amp; $B112,【ピボット】事業所収支!$A$3,"年月",P$2,"事業所",$A112),0)</f>
        <v>720815</v>
      </c>
      <c r="Q112" s="383">
        <f>IFERROR(GETPIVOTDATA("合計 / " &amp; $B112,【ピボット】事業所収支!$A$3,"年月",Q$2,"事業所",$A112),0)</f>
        <v>501785</v>
      </c>
      <c r="R112" s="1056">
        <f ca="1">IF(T112&lt;=1,1,IF(T112&gt;1.1,-1,0))</f>
        <v>-1</v>
      </c>
      <c r="S112" s="1024">
        <f t="shared" ca="1" si="30"/>
        <v>7725986</v>
      </c>
      <c r="T112" s="1435">
        <f ca="1">IF(S107&lt;0,ROUND((S112-S107)/ABS(S107),3),IF(S107=0,0,ROUND(S112/S107,3)))</f>
        <v>1.131</v>
      </c>
      <c r="U112" s="382">
        <f t="shared" ca="1" si="25"/>
        <v>643832.16666666663</v>
      </c>
      <c r="V112" s="1373">
        <f ca="1">IF(X112&lt;=1,1,IF(X112&gt;1.1,-1,0))</f>
        <v>-1</v>
      </c>
      <c r="W112" s="1004">
        <f ca="1">S112+(12-IF(ISERROR(MATCH(DATE(YEAR($G$1),MONTH($G$1),1),$F$2:$Q$2,0)),0,MATCH(DATE(YEAR($G$1),MONTH($G$1),1),$F$2:$Q$2,0)))*U112</f>
        <v>7725986</v>
      </c>
      <c r="X112" s="1447">
        <f ca="1">IF(W107&lt;0,ROUND((W112-W107)/ABS(W107),3),IF(W107=0,0,ROUND(W112/W107,3)))</f>
        <v>1.131</v>
      </c>
      <c r="Y112" s="999">
        <v>0.1</v>
      </c>
      <c r="Z112" s="413"/>
    </row>
    <row r="113" spans="1:26" ht="14.1" hidden="1" customHeight="1" outlineLevel="1" thickBot="1" x14ac:dyDescent="0.2">
      <c r="A113" s="413" t="s">
        <v>801</v>
      </c>
      <c r="B113" s="350" t="s">
        <v>32</v>
      </c>
      <c r="C113" s="2171"/>
      <c r="D113" s="2165"/>
      <c r="E113" s="384" t="s">
        <v>32</v>
      </c>
      <c r="F113" s="385">
        <f t="shared" ref="F113:Q113" si="32">F109-(F110+F112)</f>
        <v>882171</v>
      </c>
      <c r="G113" s="386">
        <f t="shared" si="32"/>
        <v>1977593</v>
      </c>
      <c r="H113" s="386">
        <f t="shared" si="32"/>
        <v>1307229</v>
      </c>
      <c r="I113" s="386">
        <f t="shared" si="32"/>
        <v>1461006.7289966918</v>
      </c>
      <c r="J113" s="386">
        <f>J109-(J110+J112)</f>
        <v>1119355</v>
      </c>
      <c r="K113" s="386">
        <f t="shared" si="32"/>
        <v>1316198</v>
      </c>
      <c r="L113" s="386">
        <f t="shared" si="32"/>
        <v>1469589</v>
      </c>
      <c r="M113" s="386">
        <f t="shared" si="32"/>
        <v>1434318</v>
      </c>
      <c r="N113" s="386">
        <f t="shared" si="32"/>
        <v>2330374</v>
      </c>
      <c r="O113" s="386">
        <f t="shared" si="32"/>
        <v>1218951</v>
      </c>
      <c r="P113" s="386">
        <f t="shared" si="32"/>
        <v>1579959</v>
      </c>
      <c r="Q113" s="387">
        <f t="shared" si="32"/>
        <v>1270713</v>
      </c>
      <c r="R113" s="1056">
        <f ca="1">IF(T113&gt;=0,1,IF(T113&lt;-0.1,-1,0))</f>
        <v>1</v>
      </c>
      <c r="S113" s="1025">
        <f t="shared" ca="1" si="30"/>
        <v>17367456.728996694</v>
      </c>
      <c r="T113" s="1436">
        <f ca="1">IF(S108=0,1-(S110+S112)/S109,IF(S108=S113,0,ROUND((S113-S108)/ABS(S108),3)))</f>
        <v>0.19600000000000001</v>
      </c>
      <c r="U113" s="386">
        <f t="shared" ca="1" si="25"/>
        <v>1447288.0607497245</v>
      </c>
      <c r="V113" s="1373">
        <f ca="1">IF(X113&gt;=0,1,IF(X113&lt;-0.1,-1,0))</f>
        <v>1</v>
      </c>
      <c r="W113" s="1005">
        <f ca="1">S113+(12-IF(ISERROR(MATCH(DATE(YEAR($G$1),MONTH($G$1),1),$F$2:$Q$2,0)),0,MATCH(DATE(YEAR($G$1),MONTH($G$1),1),$F$2:$Q$2,0)))*U113</f>
        <v>17367456.728996694</v>
      </c>
      <c r="X113" s="1448">
        <f ca="1">IF(W108=0,1-(W110+W112)/W109,IF(W108=W113,0,ROUND((W113-W108)/ABS(W108),3)))</f>
        <v>0.19600000000000001</v>
      </c>
      <c r="Y113" s="999">
        <v>0.1</v>
      </c>
      <c r="Z113" s="413"/>
    </row>
    <row r="114" spans="1:26" ht="14.1" customHeight="1" collapsed="1" x14ac:dyDescent="0.15">
      <c r="B114" s="350" t="s">
        <v>26</v>
      </c>
      <c r="C114" s="2157" t="s">
        <v>1193</v>
      </c>
      <c r="D114" s="2160" t="s">
        <v>443</v>
      </c>
      <c r="E114" s="360" t="s">
        <v>26</v>
      </c>
      <c r="F114" s="361">
        <f>F84+F94+F104</f>
        <v>4666000</v>
      </c>
      <c r="G114" s="362">
        <f t="shared" ref="G114:Q114" si="33">G84+G94+G104</f>
        <v>4716000</v>
      </c>
      <c r="H114" s="362">
        <f t="shared" si="33"/>
        <v>4716000</v>
      </c>
      <c r="I114" s="362">
        <f t="shared" si="33"/>
        <v>4716000</v>
      </c>
      <c r="J114" s="362">
        <f t="shared" si="33"/>
        <v>4716000</v>
      </c>
      <c r="K114" s="362">
        <f t="shared" si="33"/>
        <v>4716000</v>
      </c>
      <c r="L114" s="362">
        <f t="shared" si="33"/>
        <v>4716000</v>
      </c>
      <c r="M114" s="362">
        <f t="shared" si="33"/>
        <v>4716000</v>
      </c>
      <c r="N114" s="362">
        <f t="shared" si="33"/>
        <v>4716000</v>
      </c>
      <c r="O114" s="362">
        <f t="shared" si="33"/>
        <v>4716000</v>
      </c>
      <c r="P114" s="362">
        <f t="shared" si="33"/>
        <v>4716000</v>
      </c>
      <c r="Q114" s="363">
        <f t="shared" si="33"/>
        <v>4716000</v>
      </c>
      <c r="R114" s="1385"/>
      <c r="S114" s="1020">
        <f ca="1">SUM(OFFSET(F114,0,0,1,IF(ISERROR(MATCH(DATE(YEAR($G$1),MONTH($G$1),1),$F$2:$Q$2,0)),0,MATCH(DATE(YEAR($G$1),MONTH($G$1),1),$F$2:$Q$2,0))))</f>
        <v>56542000</v>
      </c>
      <c r="T114" s="1431"/>
      <c r="U114" s="364">
        <f t="shared" ref="U114:U123" ca="1" si="34">IF(ISERROR(S114/(DATEDIF(F$2,G$1,"M")+1)),0,S114/(DATEDIF(F$2,G$1,"M")+1))</f>
        <v>4711833.333333333</v>
      </c>
      <c r="V114" s="1375"/>
      <c r="W114" s="1001">
        <f>SUM(F114:Q114)</f>
        <v>56542000</v>
      </c>
      <c r="X114" s="1442"/>
    </row>
    <row r="115" spans="1:26" ht="14.1" customHeight="1" x14ac:dyDescent="0.15">
      <c r="B115" s="350" t="s">
        <v>15</v>
      </c>
      <c r="C115" s="2158"/>
      <c r="D115" s="2161"/>
      <c r="E115" s="366" t="s">
        <v>15</v>
      </c>
      <c r="F115" s="367">
        <f t="shared" ref="F115:Q117" si="35">F85+F95+F105</f>
        <v>1660000</v>
      </c>
      <c r="G115" s="368">
        <f t="shared" si="35"/>
        <v>1660000</v>
      </c>
      <c r="H115" s="368">
        <f t="shared" si="35"/>
        <v>1660000</v>
      </c>
      <c r="I115" s="368">
        <f t="shared" si="35"/>
        <v>1850000</v>
      </c>
      <c r="J115" s="368">
        <f t="shared" si="35"/>
        <v>1660000</v>
      </c>
      <c r="K115" s="368">
        <f t="shared" si="35"/>
        <v>1660000</v>
      </c>
      <c r="L115" s="368">
        <f t="shared" si="35"/>
        <v>1660000</v>
      </c>
      <c r="M115" s="368">
        <f t="shared" si="35"/>
        <v>1660000</v>
      </c>
      <c r="N115" s="368">
        <f t="shared" si="35"/>
        <v>1660000</v>
      </c>
      <c r="O115" s="368">
        <f t="shared" si="35"/>
        <v>1850000</v>
      </c>
      <c r="P115" s="368">
        <f t="shared" si="35"/>
        <v>1660000</v>
      </c>
      <c r="Q115" s="369">
        <f t="shared" si="35"/>
        <v>1660000</v>
      </c>
      <c r="R115" s="1386"/>
      <c r="S115" s="1021">
        <f ca="1">SUM(OFFSET(F115,0,0,1,IF(ISERROR(MATCH(DATE(YEAR($G$1),MONTH($G$1),1),$F$2:$Q$2,0)),0,MATCH(DATE(YEAR($G$1),MONTH($G$1),1),$F$2:$Q$2,0))))</f>
        <v>20300000</v>
      </c>
      <c r="T115" s="1432"/>
      <c r="U115" s="370">
        <f t="shared" ca="1" si="34"/>
        <v>1691666.6666666667</v>
      </c>
      <c r="V115" s="1376"/>
      <c r="W115" s="1000">
        <f>SUM(F115:Q115)</f>
        <v>20300000</v>
      </c>
      <c r="X115" s="1443"/>
    </row>
    <row r="116" spans="1:26" ht="14.1" customHeight="1" x14ac:dyDescent="0.15">
      <c r="B116" s="350" t="s">
        <v>447</v>
      </c>
      <c r="C116" s="2158"/>
      <c r="D116" s="2161"/>
      <c r="E116" s="406" t="s">
        <v>447</v>
      </c>
      <c r="F116" s="367">
        <f t="shared" si="35"/>
        <v>150000</v>
      </c>
      <c r="G116" s="368">
        <f t="shared" si="35"/>
        <v>0</v>
      </c>
      <c r="H116" s="368">
        <f t="shared" si="35"/>
        <v>0</v>
      </c>
      <c r="I116" s="368">
        <f t="shared" si="35"/>
        <v>0</v>
      </c>
      <c r="J116" s="368">
        <f t="shared" si="35"/>
        <v>0</v>
      </c>
      <c r="K116" s="368">
        <f t="shared" si="35"/>
        <v>0</v>
      </c>
      <c r="L116" s="368">
        <f t="shared" si="35"/>
        <v>150000</v>
      </c>
      <c r="M116" s="368">
        <f t="shared" si="35"/>
        <v>0</v>
      </c>
      <c r="N116" s="368">
        <f t="shared" si="35"/>
        <v>0</v>
      </c>
      <c r="O116" s="368">
        <f t="shared" si="35"/>
        <v>0</v>
      </c>
      <c r="P116" s="368">
        <f t="shared" si="35"/>
        <v>0</v>
      </c>
      <c r="Q116" s="369">
        <f t="shared" si="35"/>
        <v>0</v>
      </c>
      <c r="R116" s="1386"/>
      <c r="S116" s="1021">
        <f ca="1">SUM(OFFSET(F116,0,0,1,IF(ISERROR(MATCH(DATE(YEAR($G$1),MONTH($G$1),1),$F$2:$Q$2,0)),0,MATCH(DATE(YEAR($G$1),MONTH($G$1),1),$F$2:$Q$2,0))))</f>
        <v>300000</v>
      </c>
      <c r="T116" s="1432"/>
      <c r="U116" s="370">
        <f t="shared" ca="1" si="34"/>
        <v>25000</v>
      </c>
      <c r="V116" s="1376"/>
      <c r="W116" s="1000">
        <f>SUM(F116:Q116)</f>
        <v>300000</v>
      </c>
      <c r="X116" s="1443"/>
    </row>
    <row r="117" spans="1:26" ht="14.1" customHeight="1" x14ac:dyDescent="0.15">
      <c r="B117" s="413" t="s">
        <v>1235</v>
      </c>
      <c r="C117" s="2158"/>
      <c r="D117" s="2161"/>
      <c r="E117" s="366" t="s">
        <v>35</v>
      </c>
      <c r="F117" s="367">
        <f t="shared" si="35"/>
        <v>900000</v>
      </c>
      <c r="G117" s="368">
        <f t="shared" si="35"/>
        <v>975400</v>
      </c>
      <c r="H117" s="368">
        <f t="shared" si="35"/>
        <v>971800</v>
      </c>
      <c r="I117" s="368">
        <f t="shared" si="35"/>
        <v>971800</v>
      </c>
      <c r="J117" s="368">
        <f t="shared" si="35"/>
        <v>971800</v>
      </c>
      <c r="K117" s="368">
        <f t="shared" si="35"/>
        <v>971800</v>
      </c>
      <c r="L117" s="368">
        <f t="shared" si="35"/>
        <v>971800</v>
      </c>
      <c r="M117" s="368">
        <f t="shared" si="35"/>
        <v>971800</v>
      </c>
      <c r="N117" s="368">
        <f t="shared" si="35"/>
        <v>1011300</v>
      </c>
      <c r="O117" s="368">
        <f t="shared" si="35"/>
        <v>971800</v>
      </c>
      <c r="P117" s="368">
        <f t="shared" si="35"/>
        <v>971800</v>
      </c>
      <c r="Q117" s="369">
        <f t="shared" si="35"/>
        <v>971800</v>
      </c>
      <c r="R117" s="1386"/>
      <c r="S117" s="1021">
        <f t="shared" ref="S117:S123" ca="1" si="36">SUM(OFFSET(F117,0,0,1,IF(ISERROR(MATCH(DATE(YEAR($G$1),MONTH($G$1),1),$F$2:$Q$2,0)),0,MATCH(DATE(YEAR($G$1),MONTH($G$1),1),$F$2:$Q$2,0))))</f>
        <v>11632900</v>
      </c>
      <c r="T117" s="1432"/>
      <c r="U117" s="370">
        <f t="shared" ca="1" si="34"/>
        <v>969408.33333333337</v>
      </c>
      <c r="V117" s="1376"/>
      <c r="W117" s="1000">
        <f>SUM(F117:Q117)</f>
        <v>11632900</v>
      </c>
      <c r="X117" s="1443"/>
    </row>
    <row r="118" spans="1:26" ht="14.1" customHeight="1" thickBot="1" x14ac:dyDescent="0.2">
      <c r="B118" s="350" t="s">
        <v>32</v>
      </c>
      <c r="C118" s="2158"/>
      <c r="D118" s="2162"/>
      <c r="E118" s="372" t="s">
        <v>32</v>
      </c>
      <c r="F118" s="373">
        <f>F114-(F115+F117)</f>
        <v>2106000</v>
      </c>
      <c r="G118" s="374">
        <f t="shared" ref="G118:Q118" si="37">G114-(G115+G117)</f>
        <v>2080600</v>
      </c>
      <c r="H118" s="374">
        <f t="shared" si="37"/>
        <v>2084200</v>
      </c>
      <c r="I118" s="374">
        <f t="shared" si="37"/>
        <v>1894200</v>
      </c>
      <c r="J118" s="374">
        <f t="shared" si="37"/>
        <v>2084200</v>
      </c>
      <c r="K118" s="374">
        <f t="shared" si="37"/>
        <v>2084200</v>
      </c>
      <c r="L118" s="374">
        <f t="shared" si="37"/>
        <v>2084200</v>
      </c>
      <c r="M118" s="374">
        <f t="shared" si="37"/>
        <v>2084200</v>
      </c>
      <c r="N118" s="374">
        <f t="shared" si="37"/>
        <v>2044700</v>
      </c>
      <c r="O118" s="374">
        <f t="shared" si="37"/>
        <v>1894200</v>
      </c>
      <c r="P118" s="374">
        <f t="shared" si="37"/>
        <v>2084200</v>
      </c>
      <c r="Q118" s="375">
        <f t="shared" si="37"/>
        <v>2084200</v>
      </c>
      <c r="R118" s="1387"/>
      <c r="S118" s="1022">
        <f t="shared" ca="1" si="36"/>
        <v>24609100</v>
      </c>
      <c r="T118" s="1433"/>
      <c r="U118" s="374">
        <f t="shared" ca="1" si="34"/>
        <v>2050758.3333333333</v>
      </c>
      <c r="V118" s="1377"/>
      <c r="W118" s="1002">
        <f>SUM(F118:Q118)</f>
        <v>24609100</v>
      </c>
      <c r="X118" s="1445"/>
    </row>
    <row r="119" spans="1:26" ht="14.1" customHeight="1" x14ac:dyDescent="0.15">
      <c r="A119" s="413"/>
      <c r="B119" s="350" t="s">
        <v>26</v>
      </c>
      <c r="C119" s="2158"/>
      <c r="D119" s="2163" t="s">
        <v>444</v>
      </c>
      <c r="E119" s="376" t="s">
        <v>26</v>
      </c>
      <c r="F119" s="377">
        <f>F89+F99+F109</f>
        <v>4385088</v>
      </c>
      <c r="G119" s="378">
        <f t="shared" ref="G119:Q119" si="38">G89+G99+G109</f>
        <v>5388486</v>
      </c>
      <c r="H119" s="378">
        <f t="shared" si="38"/>
        <v>4932061</v>
      </c>
      <c r="I119" s="378">
        <f t="shared" si="38"/>
        <v>4846209</v>
      </c>
      <c r="J119" s="378">
        <f t="shared" si="38"/>
        <v>4521767</v>
      </c>
      <c r="K119" s="378">
        <f t="shared" si="38"/>
        <v>4251654</v>
      </c>
      <c r="L119" s="378">
        <f t="shared" si="38"/>
        <v>4845757</v>
      </c>
      <c r="M119" s="378">
        <f t="shared" si="38"/>
        <v>4652452</v>
      </c>
      <c r="N119" s="378">
        <f t="shared" si="38"/>
        <v>6288634</v>
      </c>
      <c r="O119" s="378">
        <f t="shared" si="38"/>
        <v>4072029</v>
      </c>
      <c r="P119" s="378">
        <f t="shared" si="38"/>
        <v>5223230</v>
      </c>
      <c r="Q119" s="379">
        <f t="shared" si="38"/>
        <v>4262820</v>
      </c>
      <c r="R119" s="1056">
        <f ca="1">IF(T119&gt;=1,1,IF(T119&lt;0.9,-1,0))</f>
        <v>1</v>
      </c>
      <c r="S119" s="1023">
        <f t="shared" ca="1" si="36"/>
        <v>57670187</v>
      </c>
      <c r="T119" s="1434">
        <f ca="1">IF(S114&lt;0,ROUND((S119-S114)/ABS(S114),3),IF(S114=0,0,ROUND(S119/S114,3)))</f>
        <v>1.02</v>
      </c>
      <c r="U119" s="378">
        <f t="shared" ca="1" si="34"/>
        <v>4805848.916666667</v>
      </c>
      <c r="V119" s="1373">
        <f ca="1">IF(X119&gt;=1,1,IF(X119&lt;0.9,-1,0))</f>
        <v>1</v>
      </c>
      <c r="W119" s="1003">
        <f ca="1">S119+(12-IF(ISERROR(MATCH(DATE(YEAR($G$1),MONTH($G$1),1),$F$2:$Q$2,0)),0,MATCH(DATE(YEAR($G$1),MONTH($G$1),1),$F$2:$Q$2,0)))*U119</f>
        <v>57670187</v>
      </c>
      <c r="X119" s="1446">
        <f ca="1">IF(W114&lt;0,ROUND((W119-W114)/ABS(W114),3),IF(W114=0,0,ROUND(W119/W114,3)))</f>
        <v>1.02</v>
      </c>
      <c r="Y119" s="999">
        <v>0.1</v>
      </c>
    </row>
    <row r="120" spans="1:26" ht="14.1" customHeight="1" x14ac:dyDescent="0.15">
      <c r="A120" s="413"/>
      <c r="B120" s="350" t="s">
        <v>15</v>
      </c>
      <c r="C120" s="2158"/>
      <c r="D120" s="2164"/>
      <c r="E120" s="380" t="s">
        <v>15</v>
      </c>
      <c r="F120" s="381">
        <f t="shared" ref="F120:Q122" si="39">F90+F100+F110</f>
        <v>1467510</v>
      </c>
      <c r="G120" s="382">
        <f t="shared" si="39"/>
        <v>1470826</v>
      </c>
      <c r="H120" s="382">
        <f t="shared" si="39"/>
        <v>1461309</v>
      </c>
      <c r="I120" s="382">
        <f t="shared" si="39"/>
        <v>1465584.3365404417</v>
      </c>
      <c r="J120" s="382">
        <f t="shared" si="39"/>
        <v>1534092</v>
      </c>
      <c r="K120" s="382">
        <f t="shared" si="39"/>
        <v>1219690</v>
      </c>
      <c r="L120" s="382">
        <f t="shared" si="39"/>
        <v>1384560</v>
      </c>
      <c r="M120" s="382">
        <f t="shared" si="39"/>
        <v>1295192</v>
      </c>
      <c r="N120" s="382">
        <f t="shared" si="39"/>
        <v>1331279</v>
      </c>
      <c r="O120" s="382">
        <f t="shared" si="39"/>
        <v>1318126</v>
      </c>
      <c r="P120" s="382">
        <f t="shared" si="39"/>
        <v>1374890</v>
      </c>
      <c r="Q120" s="383">
        <f t="shared" si="39"/>
        <v>1344636</v>
      </c>
      <c r="R120" s="1056">
        <f ca="1">IF(T120&lt;=1,1,IF(T120&gt;1.1,-1,0))</f>
        <v>1</v>
      </c>
      <c r="S120" s="1024">
        <f t="shared" ca="1" si="36"/>
        <v>16667694.336540442</v>
      </c>
      <c r="T120" s="1435">
        <f ca="1">IF(S115&lt;0,ROUND((S120-S115)/ABS(S115),3),IF(S115=0,0,ROUND(S120/S115,3)))</f>
        <v>0.82099999999999995</v>
      </c>
      <c r="U120" s="382">
        <f t="shared" ca="1" si="34"/>
        <v>1388974.5280450368</v>
      </c>
      <c r="V120" s="1373">
        <f ca="1">IF(X120&lt;=1,1,IF(X120&gt;1.1,-1,0))</f>
        <v>1</v>
      </c>
      <c r="W120" s="1004">
        <f ca="1">S120+(12-IF(ISERROR(MATCH(DATE(YEAR($G$1),MONTH($G$1),1),$F$2:$Q$2,0)),0,MATCH(DATE(YEAR($G$1),MONTH($G$1),1),$F$2:$Q$2,0)))*U120</f>
        <v>16667694.336540442</v>
      </c>
      <c r="X120" s="1447">
        <f ca="1">IF(W115&lt;0,ROUND((W120-W115)/ABS(W115),3),IF(W115=0,0,ROUND(W120/W115,3)))</f>
        <v>0.82099999999999995</v>
      </c>
      <c r="Y120" s="999">
        <v>0.1</v>
      </c>
    </row>
    <row r="121" spans="1:26" ht="14.1" customHeight="1" x14ac:dyDescent="0.15">
      <c r="A121" s="413"/>
      <c r="B121" s="350" t="s">
        <v>448</v>
      </c>
      <c r="C121" s="2158"/>
      <c r="D121" s="2164"/>
      <c r="E121" s="407" t="s">
        <v>448</v>
      </c>
      <c r="F121" s="381">
        <f t="shared" si="39"/>
        <v>59940</v>
      </c>
      <c r="G121" s="382">
        <f t="shared" si="39"/>
        <v>0</v>
      </c>
      <c r="H121" s="382">
        <f t="shared" si="39"/>
        <v>0</v>
      </c>
      <c r="I121" s="382">
        <f t="shared" si="39"/>
        <v>0</v>
      </c>
      <c r="J121" s="382">
        <f t="shared" si="39"/>
        <v>0</v>
      </c>
      <c r="K121" s="382">
        <f t="shared" si="39"/>
        <v>0</v>
      </c>
      <c r="L121" s="382">
        <f t="shared" si="39"/>
        <v>66960</v>
      </c>
      <c r="M121" s="382">
        <f t="shared" si="39"/>
        <v>0</v>
      </c>
      <c r="N121" s="382">
        <f t="shared" si="39"/>
        <v>0</v>
      </c>
      <c r="O121" s="382">
        <f t="shared" si="39"/>
        <v>0</v>
      </c>
      <c r="P121" s="382">
        <f t="shared" si="39"/>
        <v>0</v>
      </c>
      <c r="Q121" s="383">
        <f t="shared" si="39"/>
        <v>0</v>
      </c>
      <c r="R121" s="1056">
        <f ca="1">IF(T121&lt;=1,1,IF(T121&gt;1.1,-1,0))</f>
        <v>1</v>
      </c>
      <c r="S121" s="1024">
        <f t="shared" ca="1" si="36"/>
        <v>126900</v>
      </c>
      <c r="T121" s="1435">
        <f ca="1">IF(S116&lt;0,ROUND((S121-S116)/ABS(S116),3),IF(S116=0,0,ROUND(S121/S116,3)))</f>
        <v>0.42299999999999999</v>
      </c>
      <c r="U121" s="382">
        <f t="shared" ca="1" si="34"/>
        <v>10575</v>
      </c>
      <c r="V121" s="1373">
        <f ca="1">IF(X121&lt;=1,1,IF(X121&gt;1.1,-1,0))</f>
        <v>1</v>
      </c>
      <c r="W121" s="1004">
        <f ca="1">S121+(12-IF(ISERROR(MATCH(DATE(YEAR($G$1),MONTH($G$1),1),$F$2:$Q$2,0)),0,MATCH(DATE(YEAR($G$1),MONTH($G$1),1),$F$2:$Q$2,0)))*U121</f>
        <v>126900</v>
      </c>
      <c r="X121" s="1447">
        <f ca="1">IF(W116&lt;0,ROUND((W121-W116)/ABS(W116),3),IF(W116=0,0,ROUND(W121/W116,3)))</f>
        <v>0.42299999999999999</v>
      </c>
      <c r="Y121" s="999">
        <v>0.1</v>
      </c>
    </row>
    <row r="122" spans="1:26" ht="14.1" customHeight="1" x14ac:dyDescent="0.15">
      <c r="A122" s="413"/>
      <c r="B122" s="413" t="s">
        <v>1235</v>
      </c>
      <c r="C122" s="2158"/>
      <c r="D122" s="2164"/>
      <c r="E122" s="380" t="s">
        <v>35</v>
      </c>
      <c r="F122" s="381">
        <f t="shared" si="39"/>
        <v>932519</v>
      </c>
      <c r="G122" s="382">
        <f t="shared" si="39"/>
        <v>936022</v>
      </c>
      <c r="H122" s="382">
        <f t="shared" si="39"/>
        <v>1078010</v>
      </c>
      <c r="I122" s="382">
        <f t="shared" si="39"/>
        <v>936913</v>
      </c>
      <c r="J122" s="382">
        <f t="shared" si="39"/>
        <v>1083196</v>
      </c>
      <c r="K122" s="382">
        <f t="shared" si="39"/>
        <v>922111</v>
      </c>
      <c r="L122" s="382">
        <f t="shared" si="39"/>
        <v>1123288</v>
      </c>
      <c r="M122" s="382">
        <f t="shared" si="39"/>
        <v>970855</v>
      </c>
      <c r="N122" s="382">
        <f t="shared" si="39"/>
        <v>1087558</v>
      </c>
      <c r="O122" s="382">
        <f t="shared" si="39"/>
        <v>939498</v>
      </c>
      <c r="P122" s="382">
        <f t="shared" si="39"/>
        <v>1021927</v>
      </c>
      <c r="Q122" s="383">
        <f t="shared" si="39"/>
        <v>782934</v>
      </c>
      <c r="R122" s="1056">
        <f ca="1">IF(T122&lt;=1,1,IF(T122&gt;1.1,-1,0))</f>
        <v>0</v>
      </c>
      <c r="S122" s="1024">
        <f t="shared" ca="1" si="36"/>
        <v>11814831</v>
      </c>
      <c r="T122" s="1435">
        <f ca="1">IF(S117&lt;0,ROUND((S122-S117)/ABS(S117),3),IF(S117=0,0,ROUND(S122/S117,3)))</f>
        <v>1.016</v>
      </c>
      <c r="U122" s="382">
        <f t="shared" ca="1" si="34"/>
        <v>984569.25</v>
      </c>
      <c r="V122" s="1373">
        <f ca="1">IF(X122&lt;=1,1,IF(X122&gt;1.1,-1,0))</f>
        <v>0</v>
      </c>
      <c r="W122" s="1004">
        <f ca="1">S122+(12-IF(ISERROR(MATCH(DATE(YEAR($G$1),MONTH($G$1),1),$F$2:$Q$2,0)),0,MATCH(DATE(YEAR($G$1),MONTH($G$1),1),$F$2:$Q$2,0)))*U122</f>
        <v>11814831</v>
      </c>
      <c r="X122" s="1447">
        <f ca="1">IF(W117&lt;0,ROUND((W122-W117)/ABS(W117),3),IF(W117=0,0,ROUND(W122/W117,3)))</f>
        <v>1.016</v>
      </c>
      <c r="Y122" s="999">
        <v>0.1</v>
      </c>
      <c r="Z122" s="413"/>
    </row>
    <row r="123" spans="1:26" ht="14.1" customHeight="1" thickBot="1" x14ac:dyDescent="0.2">
      <c r="A123" s="413"/>
      <c r="B123" s="350" t="s">
        <v>32</v>
      </c>
      <c r="C123" s="2159"/>
      <c r="D123" s="2165"/>
      <c r="E123" s="384" t="s">
        <v>32</v>
      </c>
      <c r="F123" s="385">
        <f>F119-(F120+F122)</f>
        <v>1985059</v>
      </c>
      <c r="G123" s="386">
        <f t="shared" ref="G123:Q123" si="40">G119-(G120+G122)</f>
        <v>2981638</v>
      </c>
      <c r="H123" s="386">
        <f t="shared" si="40"/>
        <v>2392742</v>
      </c>
      <c r="I123" s="386">
        <f t="shared" si="40"/>
        <v>2443711.663459558</v>
      </c>
      <c r="J123" s="386">
        <f t="shared" si="40"/>
        <v>1904479</v>
      </c>
      <c r="K123" s="386">
        <f t="shared" si="40"/>
        <v>2109853</v>
      </c>
      <c r="L123" s="386">
        <f t="shared" si="40"/>
        <v>2337909</v>
      </c>
      <c r="M123" s="386">
        <f t="shared" si="40"/>
        <v>2386405</v>
      </c>
      <c r="N123" s="386">
        <f t="shared" si="40"/>
        <v>3869797</v>
      </c>
      <c r="O123" s="386">
        <f t="shared" si="40"/>
        <v>1814405</v>
      </c>
      <c r="P123" s="386">
        <f t="shared" si="40"/>
        <v>2826413</v>
      </c>
      <c r="Q123" s="387">
        <f t="shared" si="40"/>
        <v>2135250</v>
      </c>
      <c r="R123" s="1056">
        <f ca="1">IF(T123&gt;=0,1,IF(T123&lt;-0.1,-1,0))</f>
        <v>1</v>
      </c>
      <c r="S123" s="1025">
        <f t="shared" ca="1" si="36"/>
        <v>29187661.663459558</v>
      </c>
      <c r="T123" s="1436">
        <f ca="1">IF(S118=0,1-(S120+S122)/S119,IF(S118=S123,0,ROUND((S123-S118)/ABS(S118),3)))</f>
        <v>0.186</v>
      </c>
      <c r="U123" s="386">
        <f t="shared" ca="1" si="34"/>
        <v>2432305.1386216297</v>
      </c>
      <c r="V123" s="1373">
        <f ca="1">IF(X123&gt;=0,1,IF(X123&lt;-0.1,-1,0))</f>
        <v>1</v>
      </c>
      <c r="W123" s="1005">
        <f ca="1">S123+(12-IF(ISERROR(MATCH(DATE(YEAR($G$1),MONTH($G$1),1),$F$2:$Q$2,0)),0,MATCH(DATE(YEAR($G$1),MONTH($G$1),1),$F$2:$Q$2,0)))*U123</f>
        <v>29187661.663459558</v>
      </c>
      <c r="X123" s="1448">
        <f ca="1">IF(W118=0,1-(W120+W122)/W119,IF(W118=W123,0,ROUND((W123-W118)/ABS(W118),3)))</f>
        <v>0.186</v>
      </c>
      <c r="Y123" s="999">
        <v>0.1</v>
      </c>
      <c r="Z123" s="413"/>
    </row>
    <row r="124" spans="1:26" ht="14.1" customHeight="1" x14ac:dyDescent="0.15">
      <c r="B124" s="350" t="s">
        <v>26</v>
      </c>
      <c r="C124" s="2157" t="s">
        <v>336</v>
      </c>
      <c r="D124" s="2160" t="s">
        <v>443</v>
      </c>
      <c r="E124" s="360" t="s">
        <v>26</v>
      </c>
      <c r="F124" s="361">
        <v>3500000</v>
      </c>
      <c r="G124" s="362">
        <v>3650000</v>
      </c>
      <c r="H124" s="362">
        <v>3700000</v>
      </c>
      <c r="I124" s="362">
        <v>3600000</v>
      </c>
      <c r="J124" s="362">
        <v>2020000</v>
      </c>
      <c r="K124" s="362">
        <v>1930000</v>
      </c>
      <c r="L124" s="362">
        <v>2030000</v>
      </c>
      <c r="M124" s="362">
        <v>2230000</v>
      </c>
      <c r="N124" s="362">
        <v>2230000</v>
      </c>
      <c r="O124" s="362">
        <v>2230000</v>
      </c>
      <c r="P124" s="362">
        <v>2230000</v>
      </c>
      <c r="Q124" s="363">
        <v>2230000</v>
      </c>
      <c r="R124" s="1385"/>
      <c r="S124" s="1020">
        <f t="shared" ref="S124:S133" ca="1" si="41">SUM(OFFSET(F124,0,0,1,IF(ISERROR(MATCH(DATE(YEAR($G$1),MONTH($G$1),1),$F$2:$Q$2,0)),0,MATCH(DATE(YEAR($G$1),MONTH($G$1),1),$F$2:$Q$2,0))))</f>
        <v>31580000</v>
      </c>
      <c r="T124" s="1431"/>
      <c r="U124" s="364">
        <f t="shared" ca="1" si="25"/>
        <v>2631666.6666666665</v>
      </c>
      <c r="V124" s="1375"/>
      <c r="W124" s="1001">
        <f>SUM(F124:Q124)</f>
        <v>31580000</v>
      </c>
      <c r="X124" s="1442"/>
      <c r="Z124" s="413"/>
    </row>
    <row r="125" spans="1:26" ht="14.1" customHeight="1" x14ac:dyDescent="0.15">
      <c r="B125" s="350" t="s">
        <v>15</v>
      </c>
      <c r="C125" s="2158"/>
      <c r="D125" s="2161"/>
      <c r="E125" s="366" t="s">
        <v>15</v>
      </c>
      <c r="F125" s="367">
        <v>1827000</v>
      </c>
      <c r="G125" s="368">
        <v>1900000</v>
      </c>
      <c r="H125" s="368">
        <v>1925000</v>
      </c>
      <c r="I125" s="368">
        <v>1887000</v>
      </c>
      <c r="J125" s="368">
        <v>1870000</v>
      </c>
      <c r="K125" s="368">
        <v>1620000</v>
      </c>
      <c r="L125" s="368">
        <v>1450000</v>
      </c>
      <c r="M125" s="368">
        <v>1160000</v>
      </c>
      <c r="N125" s="368">
        <v>1160000</v>
      </c>
      <c r="O125" s="368">
        <v>1160000</v>
      </c>
      <c r="P125" s="368">
        <v>1160000</v>
      </c>
      <c r="Q125" s="369">
        <v>1160000</v>
      </c>
      <c r="R125" s="1386"/>
      <c r="S125" s="1021">
        <f t="shared" ca="1" si="41"/>
        <v>18279000</v>
      </c>
      <c r="T125" s="1432"/>
      <c r="U125" s="370">
        <f t="shared" ca="1" si="25"/>
        <v>1523250</v>
      </c>
      <c r="V125" s="1376"/>
      <c r="W125" s="1000">
        <f>SUM(F125:Q125)</f>
        <v>18279000</v>
      </c>
      <c r="X125" s="1443"/>
      <c r="Z125" s="413"/>
    </row>
    <row r="126" spans="1:26" ht="14.1" customHeight="1" x14ac:dyDescent="0.15">
      <c r="B126" s="350" t="s">
        <v>447</v>
      </c>
      <c r="C126" s="2158"/>
      <c r="D126" s="2161"/>
      <c r="E126" s="406" t="s">
        <v>447</v>
      </c>
      <c r="F126" s="367">
        <v>0</v>
      </c>
      <c r="G126" s="368">
        <v>0</v>
      </c>
      <c r="H126" s="368">
        <v>30000</v>
      </c>
      <c r="I126" s="368">
        <v>0</v>
      </c>
      <c r="J126" s="368">
        <v>25000</v>
      </c>
      <c r="K126" s="368">
        <v>0</v>
      </c>
      <c r="L126" s="368">
        <v>0</v>
      </c>
      <c r="M126" s="368">
        <v>25000</v>
      </c>
      <c r="N126" s="368">
        <v>0</v>
      </c>
      <c r="O126" s="368">
        <v>0</v>
      </c>
      <c r="P126" s="368">
        <v>25000</v>
      </c>
      <c r="Q126" s="369">
        <v>0</v>
      </c>
      <c r="R126" s="1386"/>
      <c r="S126" s="1021">
        <f ca="1">SUM(OFFSET(F126,0,0,1,IF(ISERROR(MATCH(DATE(YEAR($G$1),MONTH($G$1),1),$F$2:$Q$2,0)),0,MATCH(DATE(YEAR($G$1),MONTH($G$1),1),$F$2:$Q$2,0))))</f>
        <v>105000</v>
      </c>
      <c r="T126" s="1432"/>
      <c r="U126" s="370">
        <f t="shared" ca="1" si="25"/>
        <v>8750</v>
      </c>
      <c r="V126" s="1376"/>
      <c r="W126" s="1000">
        <f>SUM(F126:Q126)</f>
        <v>105000</v>
      </c>
      <c r="X126" s="1443"/>
    </row>
    <row r="127" spans="1:26" ht="14.1" customHeight="1" x14ac:dyDescent="0.15">
      <c r="B127" s="413" t="s">
        <v>1235</v>
      </c>
      <c r="C127" s="2158"/>
      <c r="D127" s="2161"/>
      <c r="E127" s="406" t="s">
        <v>35</v>
      </c>
      <c r="F127" s="367">
        <v>900000</v>
      </c>
      <c r="G127" s="368">
        <v>830000</v>
      </c>
      <c r="H127" s="368">
        <v>860000</v>
      </c>
      <c r="I127" s="368">
        <v>830000</v>
      </c>
      <c r="J127" s="368">
        <v>2600000</v>
      </c>
      <c r="K127" s="368">
        <v>820000</v>
      </c>
      <c r="L127" s="368">
        <v>750000</v>
      </c>
      <c r="M127" s="368">
        <v>750000</v>
      </c>
      <c r="N127" s="368">
        <v>750000</v>
      </c>
      <c r="O127" s="368">
        <v>750000</v>
      </c>
      <c r="P127" s="368">
        <v>750000</v>
      </c>
      <c r="Q127" s="369">
        <v>750000</v>
      </c>
      <c r="R127" s="1386"/>
      <c r="S127" s="1021">
        <f t="shared" ca="1" si="41"/>
        <v>11340000</v>
      </c>
      <c r="T127" s="1432"/>
      <c r="U127" s="370">
        <f t="shared" ca="1" si="25"/>
        <v>945000</v>
      </c>
      <c r="V127" s="1376"/>
      <c r="W127" s="1000">
        <f>SUM(F127:Q127)</f>
        <v>11340000</v>
      </c>
      <c r="X127" s="1443"/>
    </row>
    <row r="128" spans="1:26" ht="14.1" customHeight="1" thickBot="1" x14ac:dyDescent="0.2">
      <c r="B128" s="350" t="s">
        <v>32</v>
      </c>
      <c r="C128" s="2158"/>
      <c r="D128" s="2162"/>
      <c r="E128" s="372" t="s">
        <v>32</v>
      </c>
      <c r="F128" s="373">
        <f t="shared" ref="F128:Q128" si="42">F124-(F125+F127+F143)</f>
        <v>693000</v>
      </c>
      <c r="G128" s="374">
        <f t="shared" si="42"/>
        <v>840000</v>
      </c>
      <c r="H128" s="374">
        <f t="shared" si="42"/>
        <v>835000</v>
      </c>
      <c r="I128" s="374">
        <f t="shared" si="42"/>
        <v>803000</v>
      </c>
      <c r="J128" s="374">
        <f t="shared" si="42"/>
        <v>-2510000</v>
      </c>
      <c r="K128" s="374">
        <f t="shared" si="42"/>
        <v>-570000</v>
      </c>
      <c r="L128" s="374">
        <f t="shared" si="42"/>
        <v>-230000</v>
      </c>
      <c r="M128" s="374">
        <f t="shared" si="42"/>
        <v>260000</v>
      </c>
      <c r="N128" s="374">
        <f t="shared" si="42"/>
        <v>260000</v>
      </c>
      <c r="O128" s="374">
        <f t="shared" si="42"/>
        <v>260000</v>
      </c>
      <c r="P128" s="374">
        <f t="shared" si="42"/>
        <v>260000</v>
      </c>
      <c r="Q128" s="375">
        <f t="shared" si="42"/>
        <v>260000</v>
      </c>
      <c r="R128" s="1387"/>
      <c r="S128" s="1022">
        <f t="shared" ca="1" si="41"/>
        <v>1161000</v>
      </c>
      <c r="T128" s="1433"/>
      <c r="U128" s="374">
        <f t="shared" ca="1" si="25"/>
        <v>96750</v>
      </c>
      <c r="V128" s="1377"/>
      <c r="W128" s="1002">
        <f>SUM(F128:Q128)</f>
        <v>1161000</v>
      </c>
      <c r="X128" s="1445"/>
    </row>
    <row r="129" spans="1:25" ht="14.1" customHeight="1" x14ac:dyDescent="0.15">
      <c r="A129" s="413" t="s">
        <v>802</v>
      </c>
      <c r="B129" s="350" t="s">
        <v>26</v>
      </c>
      <c r="C129" s="2158"/>
      <c r="D129" s="2163" t="s">
        <v>444</v>
      </c>
      <c r="E129" s="376" t="s">
        <v>26</v>
      </c>
      <c r="F129" s="377">
        <f>IFERROR(GETPIVOTDATA("合計 / " &amp; $B129,【ピボット】事業所収支!$A$3,"年月",F$2,"事業所",$A129),0)</f>
        <v>3185656</v>
      </c>
      <c r="G129" s="378">
        <f>IFERROR(GETPIVOTDATA("合計 / " &amp; $B129,【ピボット】事業所収支!$A$3,"年月",G$2,"事業所",$A129),0)</f>
        <v>3195164</v>
      </c>
      <c r="H129" s="378">
        <f>IFERROR(GETPIVOTDATA("合計 / " &amp; $B129,【ピボット】事業所収支!$A$3,"年月",H$2,"事業所",$A129),0)</f>
        <v>3133826</v>
      </c>
      <c r="I129" s="378">
        <f>IFERROR(GETPIVOTDATA("合計 / " &amp; $B129,【ピボット】事業所収支!$A$3,"年月",I$2,"事業所",$A129),0)</f>
        <v>3119675</v>
      </c>
      <c r="J129" s="378">
        <f>IFERROR(GETPIVOTDATA("合計 / " &amp; $B129,【ピボット】事業所収支!$A$3,"年月",J$2,"事業所",$A129),0)</f>
        <v>2345767</v>
      </c>
      <c r="K129" s="378">
        <f>IFERROR(GETPIVOTDATA("合計 / " &amp; $B129,【ピボット】事業所収支!$A$3,"年月",K$2,"事業所",$A129),0)</f>
        <v>2169663</v>
      </c>
      <c r="L129" s="378">
        <f>IFERROR(GETPIVOTDATA("合計 / " &amp; $B129,【ピボット】事業所収支!$A$3,"年月",L$2,"事業所",$A129),0)</f>
        <v>2256558</v>
      </c>
      <c r="M129" s="378">
        <f>IFERROR(GETPIVOTDATA("合計 / " &amp; $B129,【ピボット】事業所収支!$A$3,"年月",M$2,"事業所",$A129),0)</f>
        <v>1960949</v>
      </c>
      <c r="N129" s="378">
        <f>IFERROR(GETPIVOTDATA("合計 / " &amp; $B129,【ピボット】事業所収支!$A$3,"年月",N$2,"事業所",$A129),0)</f>
        <v>1955643</v>
      </c>
      <c r="O129" s="378">
        <f>IFERROR(GETPIVOTDATA("合計 / " &amp; $B129,【ピボット】事業所収支!$A$3,"年月",O$2,"事業所",$A129),0)</f>
        <v>1889542</v>
      </c>
      <c r="P129" s="378">
        <f>IFERROR(GETPIVOTDATA("合計 / " &amp; $B129,【ピボット】事業所収支!$A$3,"年月",P$2,"事業所",$A129),0)</f>
        <v>1614388</v>
      </c>
      <c r="Q129" s="379">
        <f>IFERROR(GETPIVOTDATA("合計 / " &amp; $B129,【ピボット】事業所収支!$A$3,"年月",Q$2,"事業所",$A129),0)</f>
        <v>1444523</v>
      </c>
      <c r="R129" s="1056">
        <f ca="1">IF(T129&gt;=1,1,IF(T129&lt;0.9,-1,0))</f>
        <v>-1</v>
      </c>
      <c r="S129" s="1023">
        <f t="shared" ca="1" si="41"/>
        <v>28271354</v>
      </c>
      <c r="T129" s="1434">
        <f ca="1">IF(S124&lt;0,ROUND((S129-S124)/ABS(S124),3),IF(S124=0,0,ROUND(S129/S124,3)))</f>
        <v>0.89500000000000002</v>
      </c>
      <c r="U129" s="378">
        <f t="shared" ca="1" si="25"/>
        <v>2355946.1666666665</v>
      </c>
      <c r="V129" s="1373">
        <f ca="1">IF(X129&gt;=1,1,IF(X129&lt;0.9,-1,0))</f>
        <v>-1</v>
      </c>
      <c r="W129" s="1003">
        <f ca="1">S129+(12-IF(ISERROR(MATCH(DATE(YEAR($G$1),MONTH($G$1),1),$F$2:$Q$2,0)),0,MATCH(DATE(YEAR($G$1),MONTH($G$1),1),$F$2:$Q$2,0)))*U129</f>
        <v>28271354</v>
      </c>
      <c r="X129" s="1446">
        <f ca="1">IF(W124&lt;0,ROUND((W129-W124)/ABS(W124),3),IF(W124=0,0,ROUND(W129/W124,3)))</f>
        <v>0.89500000000000002</v>
      </c>
      <c r="Y129" s="999">
        <v>0.1</v>
      </c>
    </row>
    <row r="130" spans="1:25" ht="14.1" customHeight="1" x14ac:dyDescent="0.15">
      <c r="A130" s="413" t="s">
        <v>802</v>
      </c>
      <c r="B130" s="350" t="s">
        <v>15</v>
      </c>
      <c r="C130" s="2158"/>
      <c r="D130" s="2164"/>
      <c r="E130" s="380" t="s">
        <v>15</v>
      </c>
      <c r="F130" s="381">
        <f>IFERROR(GETPIVOTDATA("合計 / " &amp; $B130,【ピボット】事業所収支!$A$3,"年月",F$2,"事業所",$A130),0)</f>
        <v>1716632</v>
      </c>
      <c r="G130" s="382">
        <f>IFERROR(GETPIVOTDATA("合計 / " &amp; $B130,【ピボット】事業所収支!$A$3,"年月",G$2,"事業所",$A130),0)</f>
        <v>1706006</v>
      </c>
      <c r="H130" s="382">
        <f>IFERROR(GETPIVOTDATA("合計 / " &amp; $B130,【ピボット】事業所収支!$A$3,"年月",H$2,"事業所",$A130),0)</f>
        <v>1694389</v>
      </c>
      <c r="I130" s="382">
        <f>IFERROR(GETPIVOTDATA("合計 / " &amp; $B130,【ピボット】事業所収支!$A$3,"年月",I$2,"事業所",$A130),0)</f>
        <v>1862425.9867857778</v>
      </c>
      <c r="J130" s="382">
        <f>IFERROR(GETPIVOTDATA("合計 / " &amp; $B130,【ピボット】事業所収支!$A$3,"年月",J$2,"事業所",$A130),0)</f>
        <v>2505733</v>
      </c>
      <c r="K130" s="382">
        <f>IFERROR(GETPIVOTDATA("合計 / " &amp; $B130,【ピボット】事業所収支!$A$3,"年月",K$2,"事業所",$A130),0)</f>
        <v>1313909</v>
      </c>
      <c r="L130" s="382">
        <f>IFERROR(GETPIVOTDATA("合計 / " &amp; $B130,【ピボット】事業所収支!$A$3,"年月",L$2,"事業所",$A130),0)</f>
        <v>1420588</v>
      </c>
      <c r="M130" s="382">
        <f>IFERROR(GETPIVOTDATA("合計 / " &amp; $B130,【ピボット】事業所収支!$A$3,"年月",M$2,"事業所",$A130),0)</f>
        <v>1231638</v>
      </c>
      <c r="N130" s="382">
        <f>IFERROR(GETPIVOTDATA("合計 / " &amp; $B130,【ピボット】事業所収支!$A$3,"年月",N$2,"事業所",$A130),0)</f>
        <v>916985</v>
      </c>
      <c r="O130" s="382">
        <f>IFERROR(GETPIVOTDATA("合計 / " &amp; $B130,【ピボット】事業所収支!$A$3,"年月",O$2,"事業所",$A130),0)</f>
        <v>955534</v>
      </c>
      <c r="P130" s="382">
        <f>IFERROR(GETPIVOTDATA("合計 / " &amp; $B130,【ピボット】事業所収支!$A$3,"年月",P$2,"事業所",$A130),0)</f>
        <v>829847</v>
      </c>
      <c r="Q130" s="383">
        <f>IFERROR(GETPIVOTDATA("合計 / " &amp; $B130,【ピボット】事業所収支!$A$3,"年月",Q$2,"事業所",$A130),0)</f>
        <v>827963</v>
      </c>
      <c r="R130" s="1056">
        <f ca="1">IF(T130&lt;=1,1,IF(T130&gt;1.1,-1,0))</f>
        <v>1</v>
      </c>
      <c r="S130" s="1024">
        <f t="shared" ca="1" si="41"/>
        <v>16981649.986785777</v>
      </c>
      <c r="T130" s="1435">
        <f ca="1">IF(S125&lt;0,ROUND((S130-S125)/ABS(S125),3),IF(S125=0,0,ROUND(S130/S125,3)))</f>
        <v>0.92900000000000005</v>
      </c>
      <c r="U130" s="382">
        <f t="shared" ca="1" si="25"/>
        <v>1415137.4988988147</v>
      </c>
      <c r="V130" s="1373">
        <f ca="1">IF(X130&lt;=1,1,IF(X130&gt;1.1,-1,0))</f>
        <v>1</v>
      </c>
      <c r="W130" s="1004">
        <f ca="1">S130+(12-IF(ISERROR(MATCH(DATE(YEAR($G$1),MONTH($G$1),1),$F$2:$Q$2,0)),0,MATCH(DATE(YEAR($G$1),MONTH($G$1),1),$F$2:$Q$2,0)))*U130</f>
        <v>16981649.986785777</v>
      </c>
      <c r="X130" s="1447">
        <f ca="1">IF(W125&lt;0,ROUND((W130-W125)/ABS(W125),3),IF(W125=0,0,ROUND(W130/W125,3)))</f>
        <v>0.92900000000000005</v>
      </c>
      <c r="Y130" s="999">
        <v>0.1</v>
      </c>
    </row>
    <row r="131" spans="1:25" ht="14.1" customHeight="1" x14ac:dyDescent="0.15">
      <c r="A131" s="413" t="s">
        <v>802</v>
      </c>
      <c r="B131" s="350" t="s">
        <v>448</v>
      </c>
      <c r="C131" s="2158"/>
      <c r="D131" s="2164"/>
      <c r="E131" s="407" t="s">
        <v>448</v>
      </c>
      <c r="F131" s="381">
        <f>IFERROR(GETPIVOTDATA("合計 / " &amp; $B131,【ピボット】事業所収支!$A$3,"年月",F$2,"事業所",$A131),0)</f>
        <v>24300</v>
      </c>
      <c r="G131" s="382">
        <f>IFERROR(GETPIVOTDATA("合計 / " &amp; $B131,【ピボット】事業所収支!$A$3,"年月",G$2,"事業所",$A131),0)</f>
        <v>0</v>
      </c>
      <c r="H131" s="382">
        <f>IFERROR(GETPIVOTDATA("合計 / " &amp; $B131,【ピボット】事業所収支!$A$3,"年月",H$2,"事業所",$A131),0)</f>
        <v>25500</v>
      </c>
      <c r="I131" s="382">
        <f>IFERROR(GETPIVOTDATA("合計 / " &amp; $B131,【ピボット】事業所収支!$A$3,"年月",I$2,"事業所",$A131),0)</f>
        <v>24300</v>
      </c>
      <c r="J131" s="382">
        <f>IFERROR(GETPIVOTDATA("合計 / " &amp; $B131,【ピボット】事業所収支!$A$3,"年月",J$2,"事業所",$A131),0)</f>
        <v>25920</v>
      </c>
      <c r="K131" s="382">
        <f>IFERROR(GETPIVOTDATA("合計 / " &amp; $B131,【ピボット】事業所収支!$A$3,"年月",K$2,"事業所",$A131),0)</f>
        <v>72900</v>
      </c>
      <c r="L131" s="382">
        <f>IFERROR(GETPIVOTDATA("合計 / " &amp; $B131,【ピボット】事業所収支!$A$3,"年月",L$2,"事業所",$A131),0)</f>
        <v>17280</v>
      </c>
      <c r="M131" s="382">
        <f>IFERROR(GETPIVOTDATA("合計 / " &amp; $B131,【ピボット】事業所収支!$A$3,"年月",M$2,"事業所",$A131),0)</f>
        <v>48600</v>
      </c>
      <c r="N131" s="382">
        <f>IFERROR(GETPIVOTDATA("合計 / " &amp; $B131,【ピボット】事業所収支!$A$3,"年月",N$2,"事業所",$A131),0)</f>
        <v>0</v>
      </c>
      <c r="O131" s="382">
        <f>IFERROR(GETPIVOTDATA("合計 / " &amp; $B131,【ピボット】事業所収支!$A$3,"年月",O$2,"事業所",$A131),0)</f>
        <v>0</v>
      </c>
      <c r="P131" s="382">
        <f>IFERROR(GETPIVOTDATA("合計 / " &amp; $B131,【ピボット】事業所収支!$A$3,"年月",P$2,"事業所",$A131),0)</f>
        <v>0</v>
      </c>
      <c r="Q131" s="383">
        <f>IFERROR(GETPIVOTDATA("合計 / " &amp; $B131,【ピボット】事業所収支!$A$3,"年月",Q$2,"事業所",$A131),0)</f>
        <v>0</v>
      </c>
      <c r="R131" s="1056">
        <f ca="1">IF(T131&lt;=1,1,IF(T131&gt;1.1,-1,0))</f>
        <v>-1</v>
      </c>
      <c r="S131" s="1024">
        <f t="shared" ca="1" si="41"/>
        <v>238800</v>
      </c>
      <c r="T131" s="1435">
        <f ca="1">IF(S126&lt;0,ROUND((S131-S126)/ABS(S126),3),IF(S126=0,0,ROUND(S131/S126,3)))</f>
        <v>2.274</v>
      </c>
      <c r="U131" s="382">
        <f t="shared" ca="1" si="25"/>
        <v>19900</v>
      </c>
      <c r="V131" s="1373">
        <f ca="1">IF(X131&lt;=1,1,IF(X131&gt;1.1,-1,0))</f>
        <v>-1</v>
      </c>
      <c r="W131" s="1004">
        <f ca="1">S131+(12-IF(ISERROR(MATCH(DATE(YEAR($G$1),MONTH($G$1),1),$F$2:$Q$2,0)),0,MATCH(DATE(YEAR($G$1),MONTH($G$1),1),$F$2:$Q$2,0)))*U131</f>
        <v>238800</v>
      </c>
      <c r="X131" s="1447">
        <f ca="1">IF(W126&lt;0,ROUND((W131-W126)/ABS(W126),3),IF(W126=0,0,ROUND(W131/W126,3)))</f>
        <v>2.274</v>
      </c>
      <c r="Y131" s="999">
        <v>0.1</v>
      </c>
    </row>
    <row r="132" spans="1:25" ht="14.1" customHeight="1" x14ac:dyDescent="0.15">
      <c r="A132" s="413" t="s">
        <v>802</v>
      </c>
      <c r="B132" s="413" t="s">
        <v>1235</v>
      </c>
      <c r="C132" s="2158"/>
      <c r="D132" s="2164"/>
      <c r="E132" s="380" t="s">
        <v>35</v>
      </c>
      <c r="F132" s="381">
        <f>IFERROR(GETPIVOTDATA("合計 / " &amp; $B132,【ピボット】事業所収支!$A$3,"年月",F$2,"事業所",$A132),0)</f>
        <v>979802</v>
      </c>
      <c r="G132" s="382">
        <f>IFERROR(GETPIVOTDATA("合計 / " &amp; $B132,【ピボット】事業所収支!$A$3,"年月",G$2,"事業所",$A132),0)</f>
        <v>980412</v>
      </c>
      <c r="H132" s="382">
        <f>IFERROR(GETPIVOTDATA("合計 / " &amp; $B132,【ピボット】事業所収支!$A$3,"年月",H$2,"事業所",$A132),0)</f>
        <v>882358</v>
      </c>
      <c r="I132" s="382">
        <f>IFERROR(GETPIVOTDATA("合計 / " &amp; $B132,【ピボット】事業所収支!$A$3,"年月",I$2,"事業所",$A132),0)</f>
        <v>1022330</v>
      </c>
      <c r="J132" s="382">
        <f>IFERROR(GETPIVOTDATA("合計 / " &amp; $B132,【ピボット】事業所収支!$A$3,"年月",J$2,"事業所",$A132),0)</f>
        <v>1003296</v>
      </c>
      <c r="K132" s="382">
        <f>IFERROR(GETPIVOTDATA("合計 / " &amp; $B132,【ピボット】事業所収支!$A$3,"年月",K$2,"事業所",$A132),0)</f>
        <v>1081985</v>
      </c>
      <c r="L132" s="382">
        <f>IFERROR(GETPIVOTDATA("合計 / " &amp; $B132,【ピボット】事業所収支!$A$3,"年月",L$2,"事業所",$A132),0)</f>
        <v>799757</v>
      </c>
      <c r="M132" s="382">
        <f>IFERROR(GETPIVOTDATA("合計 / " &amp; $B132,【ピボット】事業所収支!$A$3,"年月",M$2,"事業所",$A132),0)</f>
        <v>870969</v>
      </c>
      <c r="N132" s="382">
        <f>IFERROR(GETPIVOTDATA("合計 / " &amp; $B132,【ピボット】事業所収支!$A$3,"年月",N$2,"事業所",$A132),0)</f>
        <v>675648</v>
      </c>
      <c r="O132" s="382">
        <f>IFERROR(GETPIVOTDATA("合計 / " &amp; $B132,【ピボット】事業所収支!$A$3,"年月",O$2,"事業所",$A132),0)</f>
        <v>709959</v>
      </c>
      <c r="P132" s="382">
        <f>IFERROR(GETPIVOTDATA("合計 / " &amp; $B132,【ピボット】事業所収支!$A$3,"年月",P$2,"事業所",$A132),0)</f>
        <v>698763</v>
      </c>
      <c r="Q132" s="383">
        <f>IFERROR(GETPIVOTDATA("合計 / " &amp; $B132,【ピボット】事業所収支!$A$3,"年月",Q$2,"事業所",$A132),0)</f>
        <v>539944</v>
      </c>
      <c r="R132" s="1056">
        <f ca="1">IF(T132&lt;=1,1,IF(T132&gt;1.1,-1,0))</f>
        <v>1</v>
      </c>
      <c r="S132" s="1024">
        <f t="shared" ca="1" si="41"/>
        <v>10245223</v>
      </c>
      <c r="T132" s="1435">
        <f ca="1">IF(S127&lt;0,ROUND((S132-S127)/ABS(S127),3),IF(S127=0,0,ROUND(S132/S127,3)))</f>
        <v>0.90300000000000002</v>
      </c>
      <c r="U132" s="382">
        <f t="shared" ca="1" si="25"/>
        <v>853768.58333333337</v>
      </c>
      <c r="V132" s="1373">
        <f ca="1">IF(X132&lt;=1,1,IF(X132&gt;1.1,-1,0))</f>
        <v>1</v>
      </c>
      <c r="W132" s="1004">
        <f ca="1">S132+(12-IF(ISERROR(MATCH(DATE(YEAR($G$1),MONTH($G$1),1),$F$2:$Q$2,0)),0,MATCH(DATE(YEAR($G$1),MONTH($G$1),1),$F$2:$Q$2,0)))*U132</f>
        <v>10245223</v>
      </c>
      <c r="X132" s="1447">
        <f ca="1">IF(W127&lt;0,ROUND((W132-W127)/ABS(W127),3),IF(W127=0,0,ROUND(W132/W127,3)))</f>
        <v>0.90300000000000002</v>
      </c>
      <c r="Y132" s="999">
        <v>0.1</v>
      </c>
    </row>
    <row r="133" spans="1:25" ht="14.1" customHeight="1" thickBot="1" x14ac:dyDescent="0.2">
      <c r="A133" s="413" t="s">
        <v>802</v>
      </c>
      <c r="B133" s="413" t="s">
        <v>32</v>
      </c>
      <c r="C133" s="2159"/>
      <c r="D133" s="2165"/>
      <c r="E133" s="384" t="s">
        <v>32</v>
      </c>
      <c r="F133" s="385">
        <f t="shared" ref="F133:P133" si="43">F129-(F130+F132)</f>
        <v>489222</v>
      </c>
      <c r="G133" s="386">
        <f t="shared" si="43"/>
        <v>508746</v>
      </c>
      <c r="H133" s="386">
        <f t="shared" si="43"/>
        <v>557079</v>
      </c>
      <c r="I133" s="386">
        <f t="shared" si="43"/>
        <v>234919.01321422216</v>
      </c>
      <c r="J133" s="386">
        <f t="shared" si="43"/>
        <v>-1163262</v>
      </c>
      <c r="K133" s="386">
        <f t="shared" si="43"/>
        <v>-226231</v>
      </c>
      <c r="L133" s="386">
        <f t="shared" si="43"/>
        <v>36213</v>
      </c>
      <c r="M133" s="386">
        <f t="shared" si="43"/>
        <v>-141658</v>
      </c>
      <c r="N133" s="386">
        <f t="shared" si="43"/>
        <v>363010</v>
      </c>
      <c r="O133" s="386">
        <f t="shared" si="43"/>
        <v>224049</v>
      </c>
      <c r="P133" s="386">
        <f t="shared" si="43"/>
        <v>85778</v>
      </c>
      <c r="Q133" s="387">
        <f>Q129-(Q130+Q132)</f>
        <v>76616</v>
      </c>
      <c r="R133" s="1056">
        <f ca="1">IF(T133&gt;=0,1,IF(T133&lt;-0.1,-1,0))</f>
        <v>0</v>
      </c>
      <c r="S133" s="1025">
        <f t="shared" ca="1" si="41"/>
        <v>1044481.0132142222</v>
      </c>
      <c r="T133" s="1436">
        <f ca="1">IF(S128=0,1-(S130+S132)/S129,IF(S128=S133,0,ROUND((S133-S128)/ABS(S128),3)))</f>
        <v>-0.1</v>
      </c>
      <c r="U133" s="386">
        <f t="shared" ca="1" si="25"/>
        <v>87040.084434518518</v>
      </c>
      <c r="V133" s="1373">
        <f ca="1">IF(X133&gt;=0,1,IF(X133&lt;-0.1,-1,0))</f>
        <v>0</v>
      </c>
      <c r="W133" s="1005">
        <f ca="1">S133+(12-IF(ISERROR(MATCH(DATE(YEAR($G$1),MONTH($G$1),1),$F$2:$Q$2,0)),0,MATCH(DATE(YEAR($G$1),MONTH($G$1),1),$F$2:$Q$2,0)))*U133</f>
        <v>1044481.0132142222</v>
      </c>
      <c r="X133" s="1448">
        <f ca="1">IF(W128=0,1-(W130+W132)/W129,IF(W128=W133,0,ROUND((W133-W128)/ABS(W128),3)))</f>
        <v>-0.1</v>
      </c>
      <c r="Y133" s="999">
        <v>0.1</v>
      </c>
    </row>
    <row r="134" spans="1:25" ht="14.1" customHeight="1" x14ac:dyDescent="0.15">
      <c r="C134" s="2166" t="s">
        <v>19</v>
      </c>
      <c r="D134" s="2160" t="s">
        <v>443</v>
      </c>
      <c r="E134" s="360" t="s">
        <v>26</v>
      </c>
      <c r="F134" s="388">
        <f>F3+F14+F24+F34+F44+F54+F64+F74+F84+F94+F104+F124</f>
        <v>37141000</v>
      </c>
      <c r="G134" s="364">
        <f t="shared" ref="G134:Q134" si="44">G3+G14+G24+G34+G44+G54+G64+G74+G84+G94+G104+G124</f>
        <v>37741000</v>
      </c>
      <c r="H134" s="364">
        <f t="shared" si="44"/>
        <v>37991000</v>
      </c>
      <c r="I134" s="364">
        <f t="shared" si="44"/>
        <v>38091000</v>
      </c>
      <c r="J134" s="364">
        <f t="shared" si="44"/>
        <v>36711000</v>
      </c>
      <c r="K134" s="364">
        <f t="shared" si="44"/>
        <v>36721000</v>
      </c>
      <c r="L134" s="364">
        <f t="shared" si="44"/>
        <v>37721000</v>
      </c>
      <c r="M134" s="364">
        <f t="shared" si="44"/>
        <v>38221000</v>
      </c>
      <c r="N134" s="364">
        <f t="shared" si="44"/>
        <v>38321000</v>
      </c>
      <c r="O134" s="364">
        <f t="shared" si="44"/>
        <v>38701000</v>
      </c>
      <c r="P134" s="364">
        <f t="shared" si="44"/>
        <v>39211000</v>
      </c>
      <c r="Q134" s="365">
        <f t="shared" si="44"/>
        <v>39346000</v>
      </c>
      <c r="R134" s="1385"/>
      <c r="S134" s="1020">
        <f t="shared" ca="1" si="5"/>
        <v>455917000</v>
      </c>
      <c r="T134" s="1431"/>
      <c r="U134" s="364">
        <f t="shared" ca="1" si="25"/>
        <v>37993083.333333336</v>
      </c>
      <c r="V134" s="1375"/>
      <c r="W134" s="1001">
        <f>SUM(F134:Q134)</f>
        <v>455917000</v>
      </c>
      <c r="X134" s="1449"/>
    </row>
    <row r="135" spans="1:25" ht="14.1" customHeight="1" x14ac:dyDescent="0.15">
      <c r="C135" s="2167"/>
      <c r="D135" s="2161"/>
      <c r="E135" s="366" t="s">
        <v>15</v>
      </c>
      <c r="F135" s="389">
        <f>F4+F15+F25+F35+F45+F55+F65+F75+F85+F95+F105+F125</f>
        <v>24447000</v>
      </c>
      <c r="G135" s="370">
        <f t="shared" ref="G135:Q135" si="45">G4+G15+G25+G35+G45+G55+G65+G75+G85+G95+G105+G125</f>
        <v>25170000</v>
      </c>
      <c r="H135" s="370">
        <f t="shared" si="45"/>
        <v>25145000</v>
      </c>
      <c r="I135" s="370">
        <f t="shared" si="45"/>
        <v>39947000</v>
      </c>
      <c r="J135" s="370">
        <f t="shared" si="45"/>
        <v>24940000</v>
      </c>
      <c r="K135" s="370">
        <f t="shared" si="45"/>
        <v>25090000</v>
      </c>
      <c r="L135" s="370">
        <f t="shared" si="45"/>
        <v>25170000</v>
      </c>
      <c r="M135" s="370">
        <f t="shared" si="45"/>
        <v>25030000</v>
      </c>
      <c r="N135" s="370">
        <f t="shared" si="45"/>
        <v>25080000</v>
      </c>
      <c r="O135" s="370">
        <f t="shared" si="45"/>
        <v>39381000</v>
      </c>
      <c r="P135" s="370">
        <f t="shared" si="45"/>
        <v>26371000</v>
      </c>
      <c r="Q135" s="371">
        <f t="shared" si="45"/>
        <v>26451000</v>
      </c>
      <c r="R135" s="1386"/>
      <c r="S135" s="1021">
        <f t="shared" ca="1" si="5"/>
        <v>332222000</v>
      </c>
      <c r="T135" s="1432"/>
      <c r="U135" s="370">
        <f t="shared" ca="1" si="25"/>
        <v>27685166.666666668</v>
      </c>
      <c r="V135" s="1376"/>
      <c r="W135" s="1000">
        <f t="shared" ref="W135:W142" si="46">SUM(F135:Q135)</f>
        <v>332222000</v>
      </c>
      <c r="X135" s="1443"/>
    </row>
    <row r="136" spans="1:25" ht="14.1" customHeight="1" x14ac:dyDescent="0.15">
      <c r="C136" s="2167"/>
      <c r="D136" s="2161"/>
      <c r="E136" s="406" t="s">
        <v>447</v>
      </c>
      <c r="F136" s="389">
        <f>F5+F16+F26+F36+F46+F56+F66+F76+F86+F96+F106+F126</f>
        <v>500000</v>
      </c>
      <c r="G136" s="370">
        <f t="shared" ref="G136:Q136" si="47">G5+G16+G26+G36+G46+G56+G66+G76+G86+G96+G106+G126</f>
        <v>200000</v>
      </c>
      <c r="H136" s="370">
        <f t="shared" si="47"/>
        <v>330000</v>
      </c>
      <c r="I136" s="370">
        <f t="shared" si="47"/>
        <v>250000</v>
      </c>
      <c r="J136" s="370">
        <f t="shared" si="47"/>
        <v>725000</v>
      </c>
      <c r="K136" s="370">
        <f t="shared" si="47"/>
        <v>200000</v>
      </c>
      <c r="L136" s="370">
        <f t="shared" si="47"/>
        <v>750000</v>
      </c>
      <c r="M136" s="370">
        <f t="shared" si="47"/>
        <v>325000</v>
      </c>
      <c r="N136" s="370">
        <f t="shared" si="47"/>
        <v>200000</v>
      </c>
      <c r="O136" s="370">
        <f t="shared" si="47"/>
        <v>260000</v>
      </c>
      <c r="P136" s="370">
        <f t="shared" si="47"/>
        <v>625000</v>
      </c>
      <c r="Q136" s="371">
        <f t="shared" si="47"/>
        <v>506000</v>
      </c>
      <c r="R136" s="1386"/>
      <c r="S136" s="1021">
        <f t="shared" ca="1" si="5"/>
        <v>4871000</v>
      </c>
      <c r="T136" s="1432"/>
      <c r="U136" s="370">
        <f t="shared" ca="1" si="25"/>
        <v>405916.66666666669</v>
      </c>
      <c r="V136" s="1376"/>
      <c r="W136" s="1000">
        <f>SUM(F136:Q136)</f>
        <v>4871000</v>
      </c>
      <c r="X136" s="1443"/>
    </row>
    <row r="137" spans="1:25" ht="14.1" customHeight="1" x14ac:dyDescent="0.15">
      <c r="C137" s="2167"/>
      <c r="D137" s="2161"/>
      <c r="E137" s="366" t="s">
        <v>35</v>
      </c>
      <c r="F137" s="389">
        <f>F6+F17+F27+F37+F47+F57+F67+F77+F87+F97+F107+F127</f>
        <v>7270000</v>
      </c>
      <c r="G137" s="370">
        <f t="shared" ref="G137:Q137" si="48">G6+G17+G27+G37+G47+G57+G67+G77+G87+G97+G107+G127</f>
        <v>7225400</v>
      </c>
      <c r="H137" s="370">
        <f t="shared" si="48"/>
        <v>7371800</v>
      </c>
      <c r="I137" s="370">
        <f t="shared" si="48"/>
        <v>7271800</v>
      </c>
      <c r="J137" s="370">
        <f t="shared" si="48"/>
        <v>9071800</v>
      </c>
      <c r="K137" s="370">
        <f t="shared" si="48"/>
        <v>7321800</v>
      </c>
      <c r="L137" s="370">
        <f t="shared" si="48"/>
        <v>7651800</v>
      </c>
      <c r="M137" s="370">
        <f t="shared" si="48"/>
        <v>7331800</v>
      </c>
      <c r="N137" s="370">
        <f t="shared" si="48"/>
        <v>7541300</v>
      </c>
      <c r="O137" s="370">
        <f t="shared" si="48"/>
        <v>8645393</v>
      </c>
      <c r="P137" s="370">
        <f t="shared" si="48"/>
        <v>9298393</v>
      </c>
      <c r="Q137" s="371">
        <f t="shared" si="48"/>
        <v>11731393</v>
      </c>
      <c r="R137" s="1386"/>
      <c r="S137" s="1021">
        <f t="shared" ca="1" si="5"/>
        <v>97732679</v>
      </c>
      <c r="T137" s="1432"/>
      <c r="U137" s="370">
        <f t="shared" ca="1" si="25"/>
        <v>8144389.916666667</v>
      </c>
      <c r="V137" s="1376"/>
      <c r="W137" s="1000">
        <f>SUM(F137:Q137)</f>
        <v>97732679</v>
      </c>
      <c r="X137" s="1443"/>
    </row>
    <row r="138" spans="1:25" ht="14.1" customHeight="1" x14ac:dyDescent="0.15">
      <c r="C138" s="2167"/>
      <c r="D138" s="2161"/>
      <c r="E138" s="406" t="s">
        <v>482</v>
      </c>
      <c r="F138" s="389">
        <f>F7</f>
        <v>200000</v>
      </c>
      <c r="G138" s="370">
        <f t="shared" ref="G138:Q138" si="49">G7</f>
        <v>200000</v>
      </c>
      <c r="H138" s="370">
        <f t="shared" si="49"/>
        <v>200000</v>
      </c>
      <c r="I138" s="370">
        <f t="shared" si="49"/>
        <v>200000</v>
      </c>
      <c r="J138" s="370">
        <f t="shared" si="49"/>
        <v>200000</v>
      </c>
      <c r="K138" s="370">
        <f t="shared" si="49"/>
        <v>200000</v>
      </c>
      <c r="L138" s="370">
        <f t="shared" si="49"/>
        <v>200000</v>
      </c>
      <c r="M138" s="370">
        <f t="shared" si="49"/>
        <v>200000</v>
      </c>
      <c r="N138" s="370">
        <f t="shared" si="49"/>
        <v>200000</v>
      </c>
      <c r="O138" s="370">
        <f t="shared" si="49"/>
        <v>200000</v>
      </c>
      <c r="P138" s="370">
        <f t="shared" si="49"/>
        <v>200000</v>
      </c>
      <c r="Q138" s="371">
        <f t="shared" si="49"/>
        <v>200000</v>
      </c>
      <c r="R138" s="1386"/>
      <c r="S138" s="1021">
        <f t="shared" ca="1" si="5"/>
        <v>2400000</v>
      </c>
      <c r="T138" s="1432"/>
      <c r="U138" s="370">
        <f t="shared" ca="1" si="25"/>
        <v>200000</v>
      </c>
      <c r="V138" s="1376"/>
      <c r="W138" s="1000">
        <f>SUM(F138:Q138)</f>
        <v>2400000</v>
      </c>
      <c r="X138" s="1443"/>
    </row>
    <row r="139" spans="1:25" ht="14.1" customHeight="1" x14ac:dyDescent="0.15">
      <c r="C139" s="2167"/>
      <c r="D139" s="2161"/>
      <c r="E139" s="366" t="s">
        <v>45</v>
      </c>
      <c r="F139" s="389">
        <f>F134-F135-F137-F138</f>
        <v>5224000</v>
      </c>
      <c r="G139" s="370">
        <f t="shared" ref="G139:Q139" si="50">G134-G135-G137-G138</f>
        <v>5145600</v>
      </c>
      <c r="H139" s="370">
        <f t="shared" si="50"/>
        <v>5274200</v>
      </c>
      <c r="I139" s="370">
        <f t="shared" si="50"/>
        <v>-9327800</v>
      </c>
      <c r="J139" s="370">
        <f t="shared" si="50"/>
        <v>2499200</v>
      </c>
      <c r="K139" s="370">
        <f t="shared" si="50"/>
        <v>4109200</v>
      </c>
      <c r="L139" s="370">
        <f t="shared" si="50"/>
        <v>4699200</v>
      </c>
      <c r="M139" s="370">
        <f t="shared" si="50"/>
        <v>5659200</v>
      </c>
      <c r="N139" s="370">
        <f t="shared" si="50"/>
        <v>5499700</v>
      </c>
      <c r="O139" s="370">
        <f t="shared" si="50"/>
        <v>-9525393</v>
      </c>
      <c r="P139" s="370">
        <f t="shared" si="50"/>
        <v>3341607</v>
      </c>
      <c r="Q139" s="371">
        <f t="shared" si="50"/>
        <v>963607</v>
      </c>
      <c r="R139" s="1386"/>
      <c r="S139" s="1021">
        <f t="shared" ca="1" si="5"/>
        <v>23562321</v>
      </c>
      <c r="T139" s="1432"/>
      <c r="U139" s="370">
        <f t="shared" ca="1" si="25"/>
        <v>1963526.75</v>
      </c>
      <c r="V139" s="1376"/>
      <c r="W139" s="1000">
        <f>SUM(F139:Q139)</f>
        <v>23562321</v>
      </c>
      <c r="X139" s="1443"/>
    </row>
    <row r="140" spans="1:25" ht="14.1" customHeight="1" x14ac:dyDescent="0.15">
      <c r="C140" s="2167"/>
      <c r="D140" s="2161"/>
      <c r="E140" s="366" t="s">
        <v>46</v>
      </c>
      <c r="F140" s="367">
        <v>120000</v>
      </c>
      <c r="G140" s="368">
        <v>120000</v>
      </c>
      <c r="H140" s="368">
        <v>120000</v>
      </c>
      <c r="I140" s="368">
        <v>120000</v>
      </c>
      <c r="J140" s="368">
        <v>120000</v>
      </c>
      <c r="K140" s="368">
        <v>120000</v>
      </c>
      <c r="L140" s="368">
        <v>120000</v>
      </c>
      <c r="M140" s="368">
        <f>120000+61000</f>
        <v>181000</v>
      </c>
      <c r="N140" s="368">
        <f>120000+61000</f>
        <v>181000</v>
      </c>
      <c r="O140" s="368">
        <f>120000+61000</f>
        <v>181000</v>
      </c>
      <c r="P140" s="368">
        <f>120000+61000</f>
        <v>181000</v>
      </c>
      <c r="Q140" s="369">
        <f>120000+61000</f>
        <v>181000</v>
      </c>
      <c r="R140" s="1386"/>
      <c r="S140" s="1021">
        <f t="shared" ca="1" si="5"/>
        <v>1745000</v>
      </c>
      <c r="T140" s="1432"/>
      <c r="U140" s="370">
        <f t="shared" ca="1" si="25"/>
        <v>145416.66666666666</v>
      </c>
      <c r="V140" s="1376"/>
      <c r="W140" s="1000">
        <f t="shared" si="46"/>
        <v>1745000</v>
      </c>
      <c r="X140" s="1443"/>
    </row>
    <row r="141" spans="1:25" ht="14.1" customHeight="1" x14ac:dyDescent="0.15">
      <c r="C141" s="2167"/>
      <c r="D141" s="2161"/>
      <c r="E141" s="366" t="s">
        <v>47</v>
      </c>
      <c r="F141" s="367">
        <v>262718</v>
      </c>
      <c r="G141" s="368">
        <v>497938</v>
      </c>
      <c r="H141" s="368">
        <v>398466</v>
      </c>
      <c r="I141" s="368">
        <v>353206</v>
      </c>
      <c r="J141" s="368">
        <v>490477</v>
      </c>
      <c r="K141" s="368">
        <v>375068</v>
      </c>
      <c r="L141" s="368">
        <v>386869</v>
      </c>
      <c r="M141" s="368">
        <v>1728970</v>
      </c>
      <c r="N141" s="368">
        <v>523134</v>
      </c>
      <c r="O141" s="368">
        <v>507754</v>
      </c>
      <c r="P141" s="368">
        <v>518343</v>
      </c>
      <c r="Q141" s="369">
        <f>518343+12500</f>
        <v>530843</v>
      </c>
      <c r="R141" s="1386"/>
      <c r="S141" s="1021">
        <f t="shared" ca="1" si="5"/>
        <v>6573786</v>
      </c>
      <c r="T141" s="1432"/>
      <c r="U141" s="370">
        <f t="shared" ca="1" si="25"/>
        <v>547815.5</v>
      </c>
      <c r="V141" s="1376"/>
      <c r="W141" s="1000">
        <f t="shared" si="46"/>
        <v>6573786</v>
      </c>
      <c r="X141" s="1443"/>
    </row>
    <row r="142" spans="1:25" ht="14.1" customHeight="1" thickBot="1" x14ac:dyDescent="0.2">
      <c r="C142" s="2167"/>
      <c r="D142" s="2161"/>
      <c r="E142" s="372" t="s">
        <v>445</v>
      </c>
      <c r="F142" s="373">
        <f>F139+F140-F141</f>
        <v>5081282</v>
      </c>
      <c r="G142" s="374">
        <f t="shared" ref="G142:Q142" si="51">G139+G140-G141</f>
        <v>4767662</v>
      </c>
      <c r="H142" s="374">
        <f t="shared" si="51"/>
        <v>4995734</v>
      </c>
      <c r="I142" s="374">
        <f t="shared" si="51"/>
        <v>-9561006</v>
      </c>
      <c r="J142" s="374">
        <f>J139+J140-J141</f>
        <v>2128723</v>
      </c>
      <c r="K142" s="374">
        <f t="shared" si="51"/>
        <v>3854132</v>
      </c>
      <c r="L142" s="374">
        <f t="shared" si="51"/>
        <v>4432331</v>
      </c>
      <c r="M142" s="374">
        <f t="shared" si="51"/>
        <v>4111230</v>
      </c>
      <c r="N142" s="374">
        <f t="shared" si="51"/>
        <v>5157566</v>
      </c>
      <c r="O142" s="374">
        <f t="shared" si="51"/>
        <v>-9852147</v>
      </c>
      <c r="P142" s="374">
        <f t="shared" si="51"/>
        <v>3004264</v>
      </c>
      <c r="Q142" s="375">
        <f t="shared" si="51"/>
        <v>613764</v>
      </c>
      <c r="R142" s="1387"/>
      <c r="S142" s="1022">
        <f t="shared" ca="1" si="5"/>
        <v>18733535</v>
      </c>
      <c r="T142" s="1433"/>
      <c r="U142" s="374">
        <f t="shared" ca="1" si="25"/>
        <v>1561127.9166666667</v>
      </c>
      <c r="V142" s="1377"/>
      <c r="W142" s="1002">
        <f t="shared" si="46"/>
        <v>18733535</v>
      </c>
      <c r="X142" s="1445"/>
    </row>
    <row r="143" spans="1:25" ht="14.1" customHeight="1" thickBot="1" x14ac:dyDescent="0.2">
      <c r="B143" s="413"/>
      <c r="C143" s="2167"/>
      <c r="D143" s="2162"/>
      <c r="E143" s="406" t="s">
        <v>500</v>
      </c>
      <c r="F143" s="810">
        <v>80000</v>
      </c>
      <c r="G143" s="811">
        <v>80000</v>
      </c>
      <c r="H143" s="811">
        <v>80000</v>
      </c>
      <c r="I143" s="811">
        <v>80000</v>
      </c>
      <c r="J143" s="811">
        <v>60000</v>
      </c>
      <c r="K143" s="811">
        <v>60000</v>
      </c>
      <c r="L143" s="811">
        <v>60000</v>
      </c>
      <c r="M143" s="811">
        <v>60000</v>
      </c>
      <c r="N143" s="811">
        <v>60000</v>
      </c>
      <c r="O143" s="811">
        <v>60000</v>
      </c>
      <c r="P143" s="811">
        <v>60000</v>
      </c>
      <c r="Q143" s="812">
        <v>60000</v>
      </c>
      <c r="R143" s="1388"/>
      <c r="S143" s="1021">
        <f ca="1">SUM(OFFSET(F143,0,0,1,IF(ISERROR(MATCH(DATE(YEAR($G$1),MONTH($G$1),1),$F$2:$Q$2,0)),0,MATCH(DATE(YEAR($G$1),MONTH($G$1),1),$F$2:$Q$2,0))))</f>
        <v>800000</v>
      </c>
      <c r="T143" s="1432"/>
      <c r="U143" s="370">
        <f ca="1">IF(ISERROR(S143/(DATEDIF(F$2,G$1,"M")+1)),0,S143/(DATEDIF(F$2,G$1,"M")+1))</f>
        <v>66666.666666666672</v>
      </c>
      <c r="V143" s="1378"/>
      <c r="W143" s="1000">
        <f>SUM(F143:Q143)</f>
        <v>800000</v>
      </c>
      <c r="X143" s="1443"/>
    </row>
    <row r="144" spans="1:25" ht="14.1" customHeight="1" x14ac:dyDescent="0.15">
      <c r="C144" s="2167"/>
      <c r="D144" s="2163" t="s">
        <v>444</v>
      </c>
      <c r="E144" s="376" t="s">
        <v>26</v>
      </c>
      <c r="F144" s="377">
        <f>IF(F9="",0,F9)+
IF(F19="",0,F19)+
IF(F29="",0,F29)+
IF(F39="",0,F39)+
IF(F49="",0,F49)+
IF(F59="",0,F59)+
IF(F69="",0,F69)+
IF(F79="",0,F79)+
IF(F89="",0,F89)+
IF(F99="",0,F99)+
IF(F109="",0,F109)+
IF(F129="",0,F129)</f>
        <v>35916200</v>
      </c>
      <c r="G144" s="378">
        <f t="shared" ref="G144:Q144" si="52">IF(G9="",0,G9)+
IF(G19="",0,G19)+
IF(G29="",0,G29)+
IF(G39="",0,G39)+
IF(G49="",0,G49)+
IF(G59="",0,G59)+
IF(G69="",0,G69)+
IF(G79="",0,G79)+
IF(G89="",0,G89)+
IF(G99="",0,G99)+
IF(G109="",0,G109)+
IF(G129="",0,G129)</f>
        <v>37696511</v>
      </c>
      <c r="H144" s="378">
        <f t="shared" si="52"/>
        <v>35721077</v>
      </c>
      <c r="I144" s="378">
        <f t="shared" si="52"/>
        <v>35713004</v>
      </c>
      <c r="J144" s="378">
        <f t="shared" si="52"/>
        <v>34507019</v>
      </c>
      <c r="K144" s="378">
        <f t="shared" si="52"/>
        <v>33718137</v>
      </c>
      <c r="L144" s="378">
        <f t="shared" si="52"/>
        <v>35034097</v>
      </c>
      <c r="M144" s="378">
        <f t="shared" si="52"/>
        <v>39122247</v>
      </c>
      <c r="N144" s="378">
        <f t="shared" si="52"/>
        <v>39669030</v>
      </c>
      <c r="O144" s="378">
        <f t="shared" si="52"/>
        <v>36072718</v>
      </c>
      <c r="P144" s="378">
        <f t="shared" si="52"/>
        <v>38549836</v>
      </c>
      <c r="Q144" s="379">
        <f t="shared" si="52"/>
        <v>36710781</v>
      </c>
      <c r="R144" s="1055">
        <f ca="1">IF(T144&gt;=1,1,IF(T144&lt;0.9,-1,0))</f>
        <v>0</v>
      </c>
      <c r="S144" s="1023">
        <f t="shared" ca="1" si="5"/>
        <v>438430657</v>
      </c>
      <c r="T144" s="1434">
        <f ca="1">IF(S134&lt;0,ROUND((S144-S134)/ABS(S134),3),IF(S134=0,0,ROUND(S144/S134,3)))</f>
        <v>0.96199999999999997</v>
      </c>
      <c r="U144" s="378">
        <f t="shared" ca="1" si="25"/>
        <v>36535888.083333336</v>
      </c>
      <c r="V144" s="1372">
        <f ca="1">IF(X144&gt;=1,1,IF(X144&lt;0.9,-1,0))</f>
        <v>0</v>
      </c>
      <c r="W144" s="1003">
        <f t="shared" ref="W144:W152" ca="1" si="53">S144+(12-IF(ISERROR(MATCH(DATE(YEAR($G$1),MONTH($G$1),1),$F$2:$Q$2,0)),0,MATCH(DATE(YEAR($G$1),MONTH($G$1),1),$F$2:$Q$2,0)))*U144</f>
        <v>438430657</v>
      </c>
      <c r="X144" s="1446">
        <f ca="1">IF(W134&lt;0,ROUND((W144-W134)/ABS(W134),3),IF(W134=0,0,ROUND(W144/W134,3)))</f>
        <v>0.96199999999999997</v>
      </c>
      <c r="Y144" s="999">
        <v>0.1</v>
      </c>
    </row>
    <row r="145" spans="1:25" ht="14.1" customHeight="1" x14ac:dyDescent="0.15">
      <c r="C145" s="2167"/>
      <c r="D145" s="2164"/>
      <c r="E145" s="380" t="s">
        <v>15</v>
      </c>
      <c r="F145" s="381">
        <f>IF(F10="",0,F10)+
IF(F20="",0,F20)+
IF(F30="",0,F30)+
IF(F40="",0,F40)+
IF(F50="",0,F50)+
IF(F60="",0,F60)+
IF(F70="",0,F70)+
IF(F80="",0,F80)+
IF(F90="",0,F90)+
IF(F100="",0,F100)+
IF(F110="",0,F110)+
IF(F130="",0,F130)</f>
        <v>22603261</v>
      </c>
      <c r="G145" s="382">
        <f t="shared" ref="G145:Q145" si="54">IF(G10="",0,G10)+
IF(G20="",0,G20)+
IF(G30="",0,G30)+
IF(G40="",0,G40)+
IF(G50="",0,G50)+
IF(G60="",0,G60)+
IF(G70="",0,G70)+
IF(G80="",0,G80)+
IF(G90="",0,G90)+
IF(G100="",0,G100)+
IF(G110="",0,G110)+
IF(G130="",0,G130)</f>
        <v>23743100</v>
      </c>
      <c r="H145" s="382">
        <f t="shared" si="54"/>
        <v>24272152</v>
      </c>
      <c r="I145" s="382">
        <f t="shared" si="54"/>
        <v>35562689</v>
      </c>
      <c r="J145" s="382">
        <f t="shared" si="54"/>
        <v>28035865</v>
      </c>
      <c r="K145" s="382">
        <f t="shared" si="54"/>
        <v>23265110</v>
      </c>
      <c r="L145" s="382">
        <f t="shared" si="54"/>
        <v>24287584</v>
      </c>
      <c r="M145" s="382">
        <f t="shared" si="54"/>
        <v>24212389</v>
      </c>
      <c r="N145" s="382">
        <f t="shared" si="54"/>
        <v>23908066</v>
      </c>
      <c r="O145" s="382">
        <f t="shared" si="54"/>
        <v>31697163</v>
      </c>
      <c r="P145" s="382">
        <f t="shared" si="54"/>
        <v>27605792</v>
      </c>
      <c r="Q145" s="383">
        <f t="shared" si="54"/>
        <v>26520463</v>
      </c>
      <c r="R145" s="1056">
        <f ca="1">IF(T145&lt;=1,1,IF(T145&gt;1.1,-1,0))</f>
        <v>1</v>
      </c>
      <c r="S145" s="1024">
        <f t="shared" ca="1" si="5"/>
        <v>315713634</v>
      </c>
      <c r="T145" s="1435">
        <f ca="1">IF(S135&lt;0,ROUND((S145-S135)/ABS(S135),3),IF(S135=0,0,ROUND(S145/S135,3)))</f>
        <v>0.95</v>
      </c>
      <c r="U145" s="382">
        <f t="shared" ca="1" si="25"/>
        <v>26309469.5</v>
      </c>
      <c r="V145" s="1373">
        <f ca="1">IF(X145&lt;=1,1,IF(X145&gt;1.1,-1,0))</f>
        <v>1</v>
      </c>
      <c r="W145" s="1004">
        <f t="shared" ca="1" si="53"/>
        <v>315713634</v>
      </c>
      <c r="X145" s="1447">
        <f ca="1">IF(W135&lt;0,ROUND((W145-W135)/ABS(W135),3),IF(W135=0,0,ROUND(W145/W135,3)))</f>
        <v>0.95</v>
      </c>
      <c r="Y145" s="999">
        <v>0.1</v>
      </c>
    </row>
    <row r="146" spans="1:25" ht="14.1" customHeight="1" x14ac:dyDescent="0.15">
      <c r="C146" s="2167"/>
      <c r="D146" s="2164"/>
      <c r="E146" s="407" t="s">
        <v>448</v>
      </c>
      <c r="F146" s="381">
        <f>IF(F11="",0,F11)+
IF(F21="",0,F21)+
IF(F31="",0,F31)+
IF(F41="",0,F41)+
IF(F51="",0,F51)+
IF(F61="",0,F61)+
IF(F71="",0,F71)+
IF(F81="",0,F81)+
IF(F91="",0,F91)+
IF(F101="",0,F101)+
IF(F111="",0,F111)+
IF(F131="",0,F131)</f>
        <v>494984</v>
      </c>
      <c r="G146" s="382">
        <f t="shared" ref="G146:Q146" si="55">IF(G11="",0,G11)+
IF(G21="",0,G21)+
IF(G31="",0,G31)+
IF(G41="",0,G41)+
IF(G51="",0,G51)+
IF(G61="",0,G61)+
IF(G71="",0,G71)+
IF(G81="",0,G81)+
IF(G91="",0,G91)+
IF(G101="",0,G101)+
IF(G111="",0,G111)+
IF(G131="",0,G131)</f>
        <v>230257</v>
      </c>
      <c r="H146" s="382">
        <f t="shared" si="55"/>
        <v>798480</v>
      </c>
      <c r="I146" s="382">
        <f t="shared" si="55"/>
        <v>199692</v>
      </c>
      <c r="J146" s="382">
        <f t="shared" si="55"/>
        <v>232632</v>
      </c>
      <c r="K146" s="382">
        <f t="shared" si="55"/>
        <v>355752</v>
      </c>
      <c r="L146" s="382">
        <f t="shared" si="55"/>
        <v>297432</v>
      </c>
      <c r="M146" s="382">
        <f t="shared" si="55"/>
        <v>622080</v>
      </c>
      <c r="N146" s="382">
        <f t="shared" si="55"/>
        <v>816400</v>
      </c>
      <c r="O146" s="382">
        <f t="shared" si="55"/>
        <v>1090171</v>
      </c>
      <c r="P146" s="382">
        <f t="shared" si="55"/>
        <v>526500</v>
      </c>
      <c r="Q146" s="383">
        <f t="shared" si="55"/>
        <v>1228500</v>
      </c>
      <c r="R146" s="1056">
        <f ca="1">IF(T146&lt;=1,1,IF(T146&gt;1.1,-1,0))</f>
        <v>-1</v>
      </c>
      <c r="S146" s="1024">
        <f ca="1">SUM(OFFSET(F146,0,0,1,IF(ISERROR(MATCH(DATE(YEAR($G$1),MONTH($G$1),1),$F$2:$Q$2,0)),0,MATCH(DATE(YEAR($G$1),MONTH($G$1),1),$F$2:$Q$2,0))))</f>
        <v>6892880</v>
      </c>
      <c r="T146" s="1435">
        <f ca="1">IF(S136&lt;0,ROUND((S146-S136)/ABS(S136),3),IF(S136=0,0,ROUND(S146/S136,3)))</f>
        <v>1.415</v>
      </c>
      <c r="U146" s="382">
        <f t="shared" ca="1" si="25"/>
        <v>574406.66666666663</v>
      </c>
      <c r="V146" s="1373">
        <f ca="1">IF(X146&lt;=1,1,IF(X146&gt;1.1,-1,0))</f>
        <v>-1</v>
      </c>
      <c r="W146" s="1004">
        <f ca="1">S146+(12-IF(ISERROR(MATCH(DATE(YEAR($G$1),MONTH($G$1),1),$F$2:$Q$2,0)),0,MATCH(DATE(YEAR($G$1),MONTH($G$1),1),$F$2:$Q$2,0)))*U146</f>
        <v>6892880</v>
      </c>
      <c r="X146" s="1447">
        <f ca="1">IF(W136&lt;0,ROUND((W146-W136)/ABS(W136),3),IF(W136=0,0,ROUND(W146/W136,3)))</f>
        <v>1.415</v>
      </c>
      <c r="Y146" s="999">
        <v>0.1</v>
      </c>
    </row>
    <row r="147" spans="1:25" ht="14.1" customHeight="1" x14ac:dyDescent="0.15">
      <c r="C147" s="2167"/>
      <c r="D147" s="2164"/>
      <c r="E147" s="380" t="s">
        <v>35</v>
      </c>
      <c r="F147" s="381">
        <f>IF(F12="",0,F12)+
IF(F22="",0,F22)+
IF(F32="",0,F32)+
IF(F42="",0,F42)+
IF(F52="",0,F52)+
IF(F62="",0,F62)+
IF(F72="",0,F72)+
IF(F82="",0,F82)+
IF(F92="",0,F92)+
IF(F102="",0,F102)+
IF(F112="",0,F112)+
IF(F132="",0,F132)</f>
        <v>7294393</v>
      </c>
      <c r="G147" s="382">
        <f t="shared" ref="G147:Q147" si="56">IF(G12="",0,G12)+
IF(G22="",0,G22)+
IF(G32="",0,G32)+
IF(G42="",0,G42)+
IF(G52="",0,G52)+
IF(G62="",0,G62)+
IF(G72="",0,G72)+
IF(G82="",0,G82)+
IF(G92="",0,G92)+
IF(G102="",0,G102)+
IF(G112="",0,G112)+
IF(G132="",0,G132)</f>
        <v>7306654</v>
      </c>
      <c r="H147" s="382">
        <f t="shared" si="56"/>
        <v>8407030</v>
      </c>
      <c r="I147" s="382">
        <f t="shared" si="56"/>
        <v>8808106</v>
      </c>
      <c r="J147" s="382">
        <f t="shared" si="56"/>
        <v>8643529</v>
      </c>
      <c r="K147" s="382">
        <f t="shared" si="56"/>
        <v>7932590</v>
      </c>
      <c r="L147" s="382">
        <f t="shared" si="56"/>
        <v>10064249</v>
      </c>
      <c r="M147" s="382">
        <f t="shared" si="56"/>
        <v>10231887</v>
      </c>
      <c r="N147" s="382">
        <f t="shared" si="56"/>
        <v>10215655</v>
      </c>
      <c r="O147" s="382">
        <f t="shared" si="56"/>
        <v>11252967</v>
      </c>
      <c r="P147" s="382">
        <f t="shared" si="56"/>
        <v>10541382</v>
      </c>
      <c r="Q147" s="383">
        <f t="shared" si="56"/>
        <v>12030005</v>
      </c>
      <c r="R147" s="1056">
        <f ca="1">IF(T147&lt;=1,1,IF(T147&gt;1.1,-1,0))</f>
        <v>-1</v>
      </c>
      <c r="S147" s="1024">
        <f ca="1">SUM(OFFSET(F147,0,0,1,IF(ISERROR(MATCH(DATE(YEAR($G$1),MONTH($G$1),1),$F$2:$Q$2,0)),0,MATCH(DATE(YEAR($G$1),MONTH($G$1),1),$F$2:$Q$2,0))))</f>
        <v>112728447</v>
      </c>
      <c r="T147" s="1435">
        <f ca="1">IF(S137&lt;0,ROUND((S147-S137)/ABS(S137),3),IF(S137=0,0,ROUND(S147/S137,3)))</f>
        <v>1.153</v>
      </c>
      <c r="U147" s="382">
        <f t="shared" ca="1" si="25"/>
        <v>9394037.25</v>
      </c>
      <c r="V147" s="1373">
        <f ca="1">IF(X147&lt;=1,1,IF(X147&gt;1.1,-1,0))</f>
        <v>-1</v>
      </c>
      <c r="W147" s="1004">
        <f ca="1">S147+(12-IF(ISERROR(MATCH(DATE(YEAR($G$1),MONTH($G$1),1),$F$2:$Q$2,0)),0,MATCH(DATE(YEAR($G$1),MONTH($G$1),1),$F$2:$Q$2,0)))*U147</f>
        <v>112728447</v>
      </c>
      <c r="X147" s="1447">
        <f ca="1">IF(W137&lt;0,ROUND((W147-W137)/ABS(W137),3),IF(W137=0,0,ROUND(W147/W137,3)))</f>
        <v>1.153</v>
      </c>
      <c r="Y147" s="999">
        <v>0.1</v>
      </c>
    </row>
    <row r="148" spans="1:25" ht="14.1" customHeight="1" x14ac:dyDescent="0.15">
      <c r="C148" s="2167"/>
      <c r="D148" s="2164"/>
      <c r="E148" s="997" t="s">
        <v>1140</v>
      </c>
      <c r="F148" s="381">
        <f>IFERROR(GETPIVOTDATA("合計 / 期末調整",【ピボット】事業所収支!$A$3,"年月",F2),0)</f>
        <v>163183</v>
      </c>
      <c r="G148" s="382">
        <f>IFERROR(GETPIVOTDATA("合計 / 期末調整",【ピボット】事業所収支!$A$3,"年月",G2),0)</f>
        <v>0</v>
      </c>
      <c r="H148" s="382">
        <f>IFERROR(GETPIVOTDATA("合計 / 期末調整",【ピボット】事業所収支!$A$3,"年月",H2),0)</f>
        <v>0</v>
      </c>
      <c r="I148" s="382">
        <f>IFERROR(GETPIVOTDATA("合計 / 期末調整",【ピボット】事業所収支!$A$3,"年月",I2),0)</f>
        <v>0</v>
      </c>
      <c r="J148" s="382">
        <f>IFERROR(GETPIVOTDATA("合計 / 期末調整",【ピボット】事業所収支!$A$3,"年月",J2),0)</f>
        <v>0</v>
      </c>
      <c r="K148" s="382">
        <f>IFERROR(GETPIVOTDATA("合計 / 期末調整",【ピボット】事業所収支!$A$3,"年月",K2),0)</f>
        <v>0</v>
      </c>
      <c r="L148" s="382">
        <f>IFERROR(GETPIVOTDATA("合計 / 期末調整",【ピボット】事業所収支!$A$3,"年月",L2),0)</f>
        <v>0</v>
      </c>
      <c r="M148" s="382">
        <f>IFERROR(GETPIVOTDATA("合計 / 期末調整",【ピボット】事業所収支!$A$3,"年月",M2),0)</f>
        <v>0</v>
      </c>
      <c r="N148" s="382">
        <f>IFERROR(GETPIVOTDATA("合計 / 期末調整",【ピボット】事業所収支!$A$3,"年月",N2),0)</f>
        <v>0</v>
      </c>
      <c r="O148" s="382">
        <f>IFERROR(GETPIVOTDATA("合計 / 期末調整",【ピボット】事業所収支!$A$3,"年月",O2),0)</f>
        <v>0</v>
      </c>
      <c r="P148" s="382">
        <f>IFERROR(GETPIVOTDATA("合計 / 期末調整",【ピボット】事業所収支!$A$3,"年月",P2),0)</f>
        <v>0</v>
      </c>
      <c r="Q148" s="383">
        <f>IFERROR(GETPIVOTDATA("合計 / 期末調整",【ピボット】事業所収支!$A$3,"年月",Q2),0)</f>
        <v>732150</v>
      </c>
      <c r="R148" s="1367"/>
      <c r="S148" s="1024">
        <f ca="1">SUM(OFFSET(F148,0,0,1,IF(ISERROR(MATCH(DATE(YEAR($G$1),MONTH($G$1),1),$F$2:$Q$2,0)),0,MATCH(DATE(YEAR($G$1),MONTH($G$1),1),$F$2:$Q$2,0))))</f>
        <v>895333</v>
      </c>
      <c r="T148" s="1432"/>
      <c r="U148" s="382">
        <f ca="1">IF(ISERROR(S148/(DATEDIF(F$2,G$1,"M")+1)),0,S148/(DATEDIF(F$2,G$1,"M")+1))</f>
        <v>74611.083333333328</v>
      </c>
      <c r="V148" s="1379"/>
      <c r="W148" s="1004">
        <f ca="1">S148+(12-IF(ISERROR(MATCH(DATE(YEAR($G$1),MONTH($G$1),1),$F$2:$Q$2,0)),0,MATCH(DATE(YEAR($G$1),MONTH($G$1),1),$F$2:$Q$2,0)))*U148</f>
        <v>895333</v>
      </c>
      <c r="X148" s="1443"/>
      <c r="Y148" s="999">
        <v>0.1</v>
      </c>
    </row>
    <row r="149" spans="1:25" ht="14.1" customHeight="1" x14ac:dyDescent="0.15">
      <c r="C149" s="2167"/>
      <c r="D149" s="2164"/>
      <c r="E149" s="390" t="s">
        <v>45</v>
      </c>
      <c r="F149" s="391">
        <f>F144-F145-F147+F148</f>
        <v>6181729</v>
      </c>
      <c r="G149" s="392">
        <f t="shared" ref="G149:Q149" si="57">G144-G145-G147+G148</f>
        <v>6646757</v>
      </c>
      <c r="H149" s="392">
        <f t="shared" si="57"/>
        <v>3041895</v>
      </c>
      <c r="I149" s="392">
        <f t="shared" si="57"/>
        <v>-8657791</v>
      </c>
      <c r="J149" s="392">
        <f t="shared" si="57"/>
        <v>-2172375</v>
      </c>
      <c r="K149" s="392">
        <f t="shared" si="57"/>
        <v>2520437</v>
      </c>
      <c r="L149" s="392">
        <f t="shared" si="57"/>
        <v>682264</v>
      </c>
      <c r="M149" s="392">
        <f t="shared" si="57"/>
        <v>4677971</v>
      </c>
      <c r="N149" s="392">
        <f t="shared" si="57"/>
        <v>5545309</v>
      </c>
      <c r="O149" s="392">
        <f t="shared" si="57"/>
        <v>-6877412</v>
      </c>
      <c r="P149" s="392">
        <f t="shared" si="57"/>
        <v>402662</v>
      </c>
      <c r="Q149" s="393">
        <f t="shared" si="57"/>
        <v>-1107537</v>
      </c>
      <c r="R149" s="1059">
        <f ca="1">IF(T149&gt;=0,1,IF(T149&lt;-0.1,-1,0))</f>
        <v>-1</v>
      </c>
      <c r="S149" s="1024">
        <f ca="1">SUM(OFFSET(F149,0,0,1,IF(ISERROR(MATCH(DATE(YEAR($G$1),MONTH($G$1),1),$F$2:$Q$2,0)),0,MATCH(DATE(YEAR($G$1),MONTH($G$1),1),$F$2:$Q$2,0))))</f>
        <v>10883909</v>
      </c>
      <c r="T149" s="1437">
        <f ca="1">IF(S139=0,1-(S145+S147)/(S144+S148),IF(S139=S149,0,ROUND((S149-S139)/ABS(S139),3)))</f>
        <v>-0.53800000000000003</v>
      </c>
      <c r="U149" s="382">
        <f ca="1">IF(ISERROR(S149/(DATEDIF(F$2,G$1,"M")+1)),0,S149/(DATEDIF(F$2,G$1,"M")+1))</f>
        <v>906992.41666666663</v>
      </c>
      <c r="V149" s="1380">
        <f ca="1">IF(X149&gt;=0,1,IF(X149&lt;-0.1,-1,0))</f>
        <v>-1</v>
      </c>
      <c r="W149" s="1004">
        <f ca="1">S149+(12-IF(ISERROR(MATCH(DATE(YEAR($G$1),MONTH($G$1),1),$F$2:$Q$2,0)),0,MATCH(DATE(YEAR($G$1),MONTH($G$1),1),$F$2:$Q$2,0)))*U149</f>
        <v>10883909</v>
      </c>
      <c r="X149" s="1447">
        <f ca="1">IF(W139=0,1-(W145+W147)/(W144+W148),IF(W139=W149,0,ROUND((W149-W139)/ABS(W139),3)))</f>
        <v>-0.53800000000000003</v>
      </c>
      <c r="Y149" s="999">
        <v>0.1</v>
      </c>
    </row>
    <row r="150" spans="1:25" ht="14.1" customHeight="1" x14ac:dyDescent="0.15">
      <c r="C150" s="2167"/>
      <c r="D150" s="2164"/>
      <c r="E150" s="394" t="s">
        <v>46</v>
      </c>
      <c r="F150" s="395">
        <f>IFERROR(GETPIVOTDATA("合計 / " &amp; $E150,【ピボット】事業所収支!$A$3,"年月",F$2),0)</f>
        <v>13417</v>
      </c>
      <c r="G150" s="396">
        <f>IFERROR(GETPIVOTDATA("合計 / " &amp; $E150,【ピボット】事業所収支!$A$3,"年月",G$2),0)</f>
        <v>113702</v>
      </c>
      <c r="H150" s="396">
        <f>IFERROR(GETPIVOTDATA("合計 / " &amp; $E150,【ピボット】事業所収支!$A$3,"年月",H$2),0)</f>
        <v>162234</v>
      </c>
      <c r="I150" s="396">
        <f>IFERROR(GETPIVOTDATA("合計 / " &amp; $E150,【ピボット】事業所収支!$A$3,"年月",I$2),0)</f>
        <v>210977</v>
      </c>
      <c r="J150" s="396">
        <f>IFERROR(GETPIVOTDATA("合計 / " &amp; $E150,【ピボット】事業所収支!$A$3,"年月",J$2),0)</f>
        <v>111637</v>
      </c>
      <c r="K150" s="396">
        <f>IFERROR(GETPIVOTDATA("合計 / " &amp; $E150,【ピボット】事業所収支!$A$3,"年月",K$2),0)</f>
        <v>12196</v>
      </c>
      <c r="L150" s="396">
        <f>IFERROR(GETPIVOTDATA("合計 / " &amp; $E150,【ピボット】事業所収支!$A$3,"年月",L$2),0)</f>
        <v>235621</v>
      </c>
      <c r="M150" s="396">
        <f>IFERROR(GETPIVOTDATA("合計 / " &amp; $E150,【ピボット】事業所収支!$A$3,"年月",M$2),0)</f>
        <v>240455</v>
      </c>
      <c r="N150" s="396">
        <f>IFERROR(GETPIVOTDATA("合計 / " &amp; $E150,【ピボット】事業所収支!$A$3,"年月",N$2),0)</f>
        <v>131692</v>
      </c>
      <c r="O150" s="396">
        <f>IFERROR(GETPIVOTDATA("合計 / " &amp; $E150,【ピボット】事業所収支!$A$3,"年月",O$2),0)</f>
        <v>138866</v>
      </c>
      <c r="P150" s="396">
        <f>IFERROR(GETPIVOTDATA("合計 / " &amp; $E150,【ピボット】事業所収支!$A$3,"年月",P$2),0)</f>
        <v>135812</v>
      </c>
      <c r="Q150" s="397">
        <f>IFERROR(GETPIVOTDATA("合計 / " &amp; $E150,【ピボット】事業所収支!$A$3,"年月",Q$2),0)</f>
        <v>170257</v>
      </c>
      <c r="R150" s="1369">
        <f ca="1">IF(T150&gt;=1,1,IF(T150&lt;0.9,-1,0))</f>
        <v>0</v>
      </c>
      <c r="S150" s="1026">
        <f t="shared" ca="1" si="5"/>
        <v>1676866</v>
      </c>
      <c r="T150" s="1438">
        <f ca="1">IF(S140&lt;0,ROUND((S150-S140)/ABS(S140),3),IF(S140=0,0,ROUND(S150/S140,3)))</f>
        <v>0.96099999999999997</v>
      </c>
      <c r="U150" s="396">
        <f t="shared" ca="1" si="25"/>
        <v>139738.83333333334</v>
      </c>
      <c r="V150" s="1381">
        <f ca="1">IF(X150&gt;=1,1,IF(X150&lt;0.9,-1,0))</f>
        <v>0</v>
      </c>
      <c r="W150" s="1006">
        <f ca="1">S150+(12-IF(ISERROR(MATCH(DATE(YEAR($G$1),MONTH($G$1),1),$F$2:$Q$2,0)),0,MATCH(DATE(YEAR($G$1),MONTH($G$1),1),$F$2:$Q$2,0)))*U150</f>
        <v>1676866</v>
      </c>
      <c r="X150" s="1450">
        <f ca="1">IF(W140&lt;0,ROUND((W150-W140)/ABS(W140),3),IF(W140=0,0,ROUND(W150/W140,3)))</f>
        <v>0.96099999999999997</v>
      </c>
      <c r="Y150" s="999">
        <v>0.1</v>
      </c>
    </row>
    <row r="151" spans="1:25" ht="14.1" customHeight="1" x14ac:dyDescent="0.15">
      <c r="C151" s="2167"/>
      <c r="D151" s="2164"/>
      <c r="E151" s="398" t="s">
        <v>47</v>
      </c>
      <c r="F151" s="399">
        <f>IFERROR(GETPIVOTDATA("合計 / " &amp; $E151,【ピボット】事業所収支!$A$3,"年月",F$2),0)</f>
        <v>262718</v>
      </c>
      <c r="G151" s="400">
        <f>IFERROR(GETPIVOTDATA("合計 / " &amp; $E151,【ピボット】事業所収支!$A$3,"年月",G$2),0)</f>
        <v>497938</v>
      </c>
      <c r="H151" s="400">
        <f>IFERROR(GETPIVOTDATA("合計 / " &amp; $E151,【ピボット】事業所収支!$A$3,"年月",H$2),0)</f>
        <v>398466</v>
      </c>
      <c r="I151" s="400">
        <f>IFERROR(GETPIVOTDATA("合計 / " &amp; $E151,【ピボット】事業所収支!$A$3,"年月",I$2),0)</f>
        <v>353206</v>
      </c>
      <c r="J151" s="400">
        <f>IFERROR(GETPIVOTDATA("合計 / " &amp; $E151,【ピボット】事業所収支!$A$3,"年月",J$2),0)</f>
        <v>490477</v>
      </c>
      <c r="K151" s="400">
        <f>IFERROR(GETPIVOTDATA("合計 / " &amp; $E151,【ピボット】事業所収支!$A$3,"年月",K$2),0)</f>
        <v>375068</v>
      </c>
      <c r="L151" s="400">
        <f>IFERROR(GETPIVOTDATA("合計 / " &amp; $E151,【ピボット】事業所収支!$A$3,"年月",L$2),0)</f>
        <v>386869</v>
      </c>
      <c r="M151" s="400">
        <f>IFERROR(GETPIVOTDATA("合計 / " &amp; $E151,【ピボット】事業所収支!$A$3,"年月",M$2),0)</f>
        <v>1728970</v>
      </c>
      <c r="N151" s="400">
        <f>IFERROR(GETPIVOTDATA("合計 / " &amp; $E151,【ピボット】事業所収支!$A$3,"年月",N$2),0)</f>
        <v>523134</v>
      </c>
      <c r="O151" s="400">
        <f>IFERROR(GETPIVOTDATA("合計 / " &amp; $E151,【ピボット】事業所収支!$A$3,"年月",O$2),0)</f>
        <v>507754</v>
      </c>
      <c r="P151" s="400">
        <f>IFERROR(GETPIVOTDATA("合計 / " &amp; $E151,【ピボット】事業所収支!$A$3,"年月",P$2),0)</f>
        <v>677872</v>
      </c>
      <c r="Q151" s="401">
        <f>IFERROR(GETPIVOTDATA("合計 / " &amp; $E151,【ピボット】事業所収支!$A$3,"年月",Q$2),0)</f>
        <v>1148727</v>
      </c>
      <c r="R151" s="1370">
        <f ca="1">IF(T151&lt;=1,1,IF(T151&gt;1.1,-1,0))</f>
        <v>-1</v>
      </c>
      <c r="S151" s="1027">
        <f t="shared" ca="1" si="5"/>
        <v>7351199</v>
      </c>
      <c r="T151" s="1439">
        <f ca="1">IF(S141&lt;0,ROUND((S151-S141)/ABS(S141),3),IF(S141=0,0,ROUND(S151/S141,3)))</f>
        <v>1.1180000000000001</v>
      </c>
      <c r="U151" s="400">
        <f t="shared" ca="1" si="25"/>
        <v>612599.91666666663</v>
      </c>
      <c r="V151" s="1382">
        <f ca="1">IF(X151&lt;=1,1,IF(X151&gt;1.1,-1,0))</f>
        <v>-1</v>
      </c>
      <c r="W151" s="1007">
        <f t="shared" ca="1" si="53"/>
        <v>7351199</v>
      </c>
      <c r="X151" s="1451">
        <f ca="1">IF(W141&lt;0,ROUND((W151-W141)/ABS(W141),3),IF(W141=0,0,ROUND(W151/W141,3)))</f>
        <v>1.1180000000000001</v>
      </c>
      <c r="Y151" s="999">
        <v>0.1</v>
      </c>
    </row>
    <row r="152" spans="1:25" ht="14.1" customHeight="1" thickBot="1" x14ac:dyDescent="0.2">
      <c r="C152" s="2167"/>
      <c r="D152" s="2164"/>
      <c r="E152" s="384" t="s">
        <v>445</v>
      </c>
      <c r="F152" s="385">
        <f>IFERROR(SUM(F149,F150,-F151),0)</f>
        <v>5932428</v>
      </c>
      <c r="G152" s="386">
        <f t="shared" ref="G152:Q152" si="58">IFERROR(SUM(G149,G150,-G151),0)</f>
        <v>6262521</v>
      </c>
      <c r="H152" s="386">
        <f t="shared" si="58"/>
        <v>2805663</v>
      </c>
      <c r="I152" s="386">
        <f t="shared" si="58"/>
        <v>-8800020</v>
      </c>
      <c r="J152" s="386">
        <f t="shared" si="58"/>
        <v>-2551215</v>
      </c>
      <c r="K152" s="386">
        <f t="shared" si="58"/>
        <v>2157565</v>
      </c>
      <c r="L152" s="386">
        <f t="shared" si="58"/>
        <v>531016</v>
      </c>
      <c r="M152" s="386">
        <f t="shared" si="58"/>
        <v>3189456</v>
      </c>
      <c r="N152" s="386">
        <f t="shared" si="58"/>
        <v>5153867</v>
      </c>
      <c r="O152" s="386">
        <f t="shared" si="58"/>
        <v>-7246300</v>
      </c>
      <c r="P152" s="386">
        <f t="shared" si="58"/>
        <v>-139398</v>
      </c>
      <c r="Q152" s="387">
        <f t="shared" si="58"/>
        <v>-2086007</v>
      </c>
      <c r="R152" s="1368">
        <f ca="1">IF(T152&gt;=0,1,IF(T152&lt;-0.1,-1,0))</f>
        <v>-1</v>
      </c>
      <c r="S152" s="1025">
        <f ca="1">SUM(OFFSET(F152,0,0,1,IF(ISERROR(MATCH(DATE(YEAR($G$1),MONTH($G$1),1),$F$2:$Q$2,0)),0,MATCH(DATE(YEAR($G$1),MONTH($G$1),1),$F$2:$Q$2,0))))</f>
        <v>5209576</v>
      </c>
      <c r="T152" s="1440">
        <f ca="1">IF(S142=0,1-(S145+S147)/(S144+S148),IF(S142=S152,0,ROUND((S152-S142)/ABS(S142),3)))</f>
        <v>-0.72199999999999998</v>
      </c>
      <c r="U152" s="386">
        <f t="shared" ca="1" si="25"/>
        <v>434131.33333333331</v>
      </c>
      <c r="V152" s="1383">
        <f ca="1">IF(X152&gt;=0,1,IF(X152&lt;-0.1,-1,0))</f>
        <v>-1</v>
      </c>
      <c r="W152" s="1008">
        <f t="shared" ca="1" si="53"/>
        <v>5209576</v>
      </c>
      <c r="X152" s="1448">
        <f ca="1">IF(W142=0,1-(W145+W147)/(W144+W148),IF(W142=W152,0,ROUND((W152-W142)/ABS(W142),3)))</f>
        <v>-0.72199999999999998</v>
      </c>
      <c r="Y152" s="999">
        <v>0.1</v>
      </c>
    </row>
    <row r="153" spans="1:25" ht="14.1" customHeight="1" thickBot="1" x14ac:dyDescent="0.2">
      <c r="A153" s="413" t="s">
        <v>802</v>
      </c>
      <c r="B153" s="413" t="s">
        <v>500</v>
      </c>
      <c r="C153" s="2168"/>
      <c r="D153" s="2165"/>
      <c r="E153" s="585" t="s">
        <v>500</v>
      </c>
      <c r="F153" s="807">
        <f>IFERROR(GETPIVOTDATA("合計 / " &amp; $B153,【ピボット】事業所収支!$A$3,"年月",F$2,"事業所",$A153),0)</f>
        <v>73432</v>
      </c>
      <c r="G153" s="808">
        <f>IFERROR(GETPIVOTDATA("合計 / " &amp; $B153,【ピボット】事業所収支!$A$3,"年月",G$2,"事業所",$A153),0)</f>
        <v>77730</v>
      </c>
      <c r="H153" s="808">
        <f>IFERROR(GETPIVOTDATA("合計 / " &amp; $B153,【ピボット】事業所収支!$A$3,"年月",H$2,"事業所",$A153),0)</f>
        <v>78013</v>
      </c>
      <c r="I153" s="808">
        <f>IFERROR(GETPIVOTDATA("合計 / " &amp; $B153,【ピボット】事業所収支!$A$3,"年月",I$2,"事業所",$A153),0)</f>
        <v>77744</v>
      </c>
      <c r="J153" s="808">
        <f>IFERROR(GETPIVOTDATA("合計 / " &amp; $B153,【ピボット】事業所収支!$A$3,"年月",J$2,"事業所",$A153),0)</f>
        <v>59544</v>
      </c>
      <c r="K153" s="808">
        <f>IFERROR(GETPIVOTDATA("合計 / " &amp; $B153,【ピボット】事業所収支!$A$3,"年月",K$2,"事業所",$A153),0)</f>
        <v>58427</v>
      </c>
      <c r="L153" s="808">
        <f>IFERROR(GETPIVOTDATA("合計 / " &amp; $B153,【ピボット】事業所収支!$A$3,"年月",L$2,"事業所",$A153),0)</f>
        <v>61905</v>
      </c>
      <c r="M153" s="808">
        <f>IFERROR(GETPIVOTDATA("合計 / " &amp; $B153,【ピボット】事業所収支!$A$3,"年月",M$2,"事業所",$A153),0)</f>
        <v>45399</v>
      </c>
      <c r="N153" s="808">
        <f>IFERROR(GETPIVOTDATA("合計 / " &amp; $B153,【ピボット】事業所収支!$A$3,"年月",N$2,"事業所",$A153),0)</f>
        <v>46251</v>
      </c>
      <c r="O153" s="808">
        <f>IFERROR(GETPIVOTDATA("合計 / " &amp; $B153,【ピボット】事業所収支!$A$3,"年月",O$2,"事業所",$A153),0)</f>
        <v>42763</v>
      </c>
      <c r="P153" s="808">
        <f>IFERROR(GETPIVOTDATA("合計 / " &amp; $B153,【ピボット】事業所収支!$A$3,"年月",P$2,"事業所",$A153),0)</f>
        <v>37757</v>
      </c>
      <c r="Q153" s="809">
        <f>IFERROR(GETPIVOTDATA("合計 / " &amp; $B153,【ピボット】事業所収支!$A$3,"年月",Q$2,"事業所",$A153),0)</f>
        <v>40332</v>
      </c>
      <c r="R153" s="1060">
        <f ca="1">IF(T153&lt;=1,1,IF(T153&gt;1.1,-1,0))</f>
        <v>1</v>
      </c>
      <c r="S153" s="1028">
        <f ca="1">SUM(OFFSET(F153,0,0,1,IF(ISERROR(MATCH(DATE(YEAR($G$1),MONTH($G$1),1),$F$2:$Q$2,0)),0,MATCH(DATE(YEAR($G$1),MONTH($G$1),1),$F$2:$Q$2,0))))</f>
        <v>699297</v>
      </c>
      <c r="T153" s="1441">
        <f ca="1">IF(S143&lt;0,ROUND((S153-S143)/ABS(S143),3),IF(S143=0,0,ROUND(S153/S143,3)))</f>
        <v>0.874</v>
      </c>
      <c r="U153" s="808">
        <f ca="1">IF(ISERROR(S153/(DATEDIF(F$2,G$1,"M")+1)),0,S153/(DATEDIF(F$2,G$1,"M")+1))</f>
        <v>58274.75</v>
      </c>
      <c r="V153" s="1384">
        <f ca="1">IF(X153&lt;=1,1,IF(X153&gt;1.1,-1,0))</f>
        <v>1</v>
      </c>
      <c r="W153" s="1009">
        <f ca="1">S153+(12-IF(ISERROR(MATCH(DATE(YEAR($G$1),MONTH($G$1),1),$F$2:$Q$2,0)),0,MATCH(DATE(YEAR($G$1),MONTH($G$1),1),$F$2:$Q$2,0)))*U153</f>
        <v>699297</v>
      </c>
      <c r="X153" s="1452">
        <f ca="1">IF(W143&lt;0,ROUND((W153-W143)/ABS(W143),3),IF(W143=0,0,ROUND(W153/W143,3)))</f>
        <v>0.874</v>
      </c>
      <c r="Y153" s="999">
        <v>0.1</v>
      </c>
    </row>
    <row r="154" spans="1:25" x14ac:dyDescent="0.15">
      <c r="F154" s="677"/>
      <c r="O154" s="677"/>
    </row>
    <row r="155" spans="1:25" ht="15" thickBot="1" x14ac:dyDescent="0.2">
      <c r="C155"/>
      <c r="D155" s="331" t="s">
        <v>392</v>
      </c>
      <c r="E155" s="331"/>
      <c r="F155" s="331"/>
      <c r="G155" s="331"/>
      <c r="H155" s="331"/>
      <c r="I155"/>
      <c r="J155"/>
      <c r="K155"/>
      <c r="L155"/>
      <c r="M155"/>
      <c r="N155"/>
      <c r="O155" s="402"/>
    </row>
    <row r="156" spans="1:25" ht="14.45" customHeight="1" thickBot="1" x14ac:dyDescent="0.2">
      <c r="C156"/>
      <c r="D156" s="443" t="s">
        <v>476</v>
      </c>
      <c r="E156" s="444" t="s">
        <v>480</v>
      </c>
      <c r="F156" s="1010" t="s">
        <v>1005</v>
      </c>
      <c r="G156" s="1017" t="s">
        <v>101</v>
      </c>
      <c r="H156" s="1018" t="s">
        <v>58</v>
      </c>
      <c r="I156" s="1243" t="s">
        <v>59</v>
      </c>
      <c r="J156" s="1019" t="s">
        <v>22</v>
      </c>
      <c r="K156" s="1015" t="s">
        <v>23</v>
      </c>
      <c r="L156" s="1250" t="s">
        <v>481</v>
      </c>
      <c r="M156" s="403"/>
      <c r="Q156" s="402"/>
      <c r="R156" s="402"/>
      <c r="S156" s="402"/>
      <c r="T156" s="402"/>
      <c r="U156" s="402"/>
    </row>
    <row r="157" spans="1:25" ht="14.45" customHeight="1" x14ac:dyDescent="0.15">
      <c r="C157"/>
      <c r="D157" s="2172" t="s">
        <v>477</v>
      </c>
      <c r="E157" s="445" t="s">
        <v>405</v>
      </c>
      <c r="F157" s="1011">
        <f>'事業所損益管理(H29.9～H30.8)収支計画表(査定)'!L17</f>
        <v>1030000</v>
      </c>
      <c r="G157" s="1016">
        <f>'事業所損益管理(H29.9～H30.8)収支計画表(査定)'!M17</f>
        <v>-2270000</v>
      </c>
      <c r="H157" s="1016">
        <f>'事業所損益管理(H29.9～H30.8)収支計画表(査定)'!N17</f>
        <v>1100000</v>
      </c>
      <c r="I157" s="1259">
        <f>'事業所損益管理(H29.9～H30.8)収支計画表(査定)'!O17</f>
        <v>1030000</v>
      </c>
      <c r="J157" s="1259">
        <f>'☆事業所損益管理(H30.9～H31.8)(計画)'!F15</f>
        <v>2150000</v>
      </c>
      <c r="K157" s="1460">
        <f>'☆事業所損益管理(H30.9～H31.8)(計画)'!G15</f>
        <v>2050000</v>
      </c>
      <c r="L157" s="1255">
        <f t="array" ref="L157">SUM(IF(ISNUMBER(F$158:K$158),F157:K157))</f>
        <v>5090000</v>
      </c>
      <c r="M157" s="405"/>
      <c r="Q157" s="436"/>
      <c r="R157" s="2182" t="s">
        <v>1151</v>
      </c>
      <c r="S157" s="2182"/>
      <c r="T157" s="2182"/>
    </row>
    <row r="158" spans="1:25" ht="14.45" customHeight="1" x14ac:dyDescent="0.15">
      <c r="C158"/>
      <c r="D158" s="2174"/>
      <c r="E158" s="438" t="s">
        <v>406</v>
      </c>
      <c r="F158" s="1012">
        <f>IF('事業所損益管理(H29.9～H30.8)収支計画表(査定)'!L23=0,"",'事業所損益管理(H29.9～H30.8)収支計画表(査定)'!L23)</f>
        <v>2274513</v>
      </c>
      <c r="G158" s="440">
        <f>IF('事業所損益管理(H29.9～H30.8)収支計画表(査定)'!M23=0,"",'事業所損益管理(H29.9～H30.8)収支計画表(査定)'!M23)</f>
        <v>-1124870</v>
      </c>
      <c r="H158" s="440">
        <f>IF('事業所損益管理(H29.9～H30.8)収支計画表(査定)'!N23=0,"",'事業所損益管理(H29.9～H30.8)収支計画表(査定)'!N23)</f>
        <v>1595299</v>
      </c>
      <c r="I158" s="1260">
        <f>IF('事業所損益管理(H29.9～H30.8)収支計画表(査定)'!O23=0,"",'事業所損益管理(H29.9～H30.8)収支計画表(査定)'!O23)</f>
        <v>671750</v>
      </c>
      <c r="J158" s="1260">
        <f>IF('事業所損益管理(H30.9～H31.8)_査定'!F10=0,"",'事業所損益管理(H30.9～H31.8)_査定'!F10)</f>
        <v>2580715</v>
      </c>
      <c r="K158" s="1461">
        <f>IF('事業所損益管理(H30.9～H31.8)_査定'!G10=0,"",'事業所損益管理(H30.9～H31.8)_査定'!G10)</f>
        <v>1706189</v>
      </c>
      <c r="L158" s="1256">
        <f t="array" ref="L158">SUM(IF(ISNUMBER(F$158:K$158),F158:K158))</f>
        <v>7703596</v>
      </c>
      <c r="M158" s="405"/>
      <c r="Q158" s="405"/>
      <c r="R158" s="2182"/>
      <c r="S158" s="2182"/>
      <c r="T158" s="2182"/>
      <c r="W158" s="352"/>
    </row>
    <row r="159" spans="1:25" ht="14.45" customHeight="1" x14ac:dyDescent="0.15">
      <c r="C159"/>
      <c r="D159" s="2174" t="s">
        <v>478</v>
      </c>
      <c r="E159" s="437" t="s">
        <v>405</v>
      </c>
      <c r="F159" s="1013">
        <f>'事業所損益管理(H29.9～H30.8)収支計画表(査定)'!L29</f>
        <v>1400000</v>
      </c>
      <c r="G159" s="441">
        <f>'事業所損益管理(H29.9～H30.8)収支計画表(査定)'!M29</f>
        <v>-3200000</v>
      </c>
      <c r="H159" s="441">
        <f>'事業所損益管理(H29.9～H30.8)収支計画表(査定)'!N29</f>
        <v>1500000</v>
      </c>
      <c r="I159" s="1261">
        <f>'事業所損益管理(H29.9～H30.8)収支計画表(査定)'!O29</f>
        <v>1400000</v>
      </c>
      <c r="J159" s="1261">
        <f>'☆事業所損益管理(H30.9～H31.8)(計画)'!F22</f>
        <v>1200000</v>
      </c>
      <c r="K159" s="1462">
        <f>'☆事業所損益管理(H30.9～H31.8)(計画)'!G22</f>
        <v>1400000</v>
      </c>
      <c r="L159" s="1257">
        <f t="array" ref="L159">SUM(IF(ISNUMBER(F$158:K$158),F159:K159))</f>
        <v>3700000</v>
      </c>
      <c r="M159" s="405"/>
      <c r="Q159" s="405"/>
      <c r="R159" s="1063" t="s">
        <v>1324</v>
      </c>
      <c r="S159" s="405"/>
    </row>
    <row r="160" spans="1:25" x14ac:dyDescent="0.15">
      <c r="C160"/>
      <c r="D160" s="2174"/>
      <c r="E160" s="438" t="s">
        <v>406</v>
      </c>
      <c r="F160" s="1012">
        <f>IF('事業所損益管理(H29.9～H30.8)収支計画表(査定)'!L35=0,"",'事業所損益管理(H29.9～H30.8)収支計画表(査定)'!L35)</f>
        <v>1176041</v>
      </c>
      <c r="G160" s="440">
        <f>IF('事業所損益管理(H29.9～H30.8)収支計画表(査定)'!M35=0,"",'事業所損益管理(H29.9～H30.8)収支計画表(査定)'!M35)</f>
        <v>183353</v>
      </c>
      <c r="H160" s="440">
        <f>IF('事業所損益管理(H29.9～H30.8)収支計画表(査定)'!N35=0,"",'事業所損益管理(H29.9～H30.8)収支計画表(査定)'!N35)</f>
        <v>-200186</v>
      </c>
      <c r="I160" s="1260">
        <f>IF('事業所損益管理(H29.9～H30.8)収支計画表(査定)'!O35=0,"",'事業所損益管理(H29.9～H30.8)収支計画表(査定)'!O35)</f>
        <v>-249857</v>
      </c>
      <c r="J160" s="1260">
        <f>IF('事業所損益管理(H30.9～H31.8)_査定'!F18=0,"",'事業所損益管理(H30.9～H31.8)_査定'!F18)</f>
        <v>45622</v>
      </c>
      <c r="K160" s="1461">
        <f>IF('事業所損益管理(H30.9～H31.8)_査定'!G18=0,"",'事業所損益管理(H30.9～H31.8)_査定'!G18)</f>
        <v>1563247</v>
      </c>
      <c r="L160" s="1256">
        <f t="array" ref="L160">SUM(IF(ISNUMBER(F$158:K$158),F160:K160))</f>
        <v>2518220</v>
      </c>
      <c r="M160" s="405"/>
      <c r="Q160" s="405"/>
      <c r="R160" s="1064">
        <v>1</v>
      </c>
      <c r="S160" s="1065" t="s">
        <v>1154</v>
      </c>
      <c r="T160" s="413" t="s">
        <v>1159</v>
      </c>
    </row>
    <row r="161" spans="3:23" ht="14.45" customHeight="1" x14ac:dyDescent="0.15">
      <c r="C161"/>
      <c r="D161" s="2174" t="s">
        <v>479</v>
      </c>
      <c r="E161" s="437" t="s">
        <v>405</v>
      </c>
      <c r="F161" s="1013">
        <f>'事業所損益管理(H29.9～H30.8)収支計画表(査定)'!L41</f>
        <v>1200000</v>
      </c>
      <c r="G161" s="441">
        <f>'事業所損益管理(H29.9～H30.8)収支計画表(査定)'!M41</f>
        <v>-1500000</v>
      </c>
      <c r="H161" s="441">
        <f>'事業所損益管理(H29.9～H30.8)収支計画表(査定)'!N41</f>
        <v>1400000</v>
      </c>
      <c r="I161" s="1261">
        <f>'事業所損益管理(H29.9～H30.8)収支計画表(査定)'!O41</f>
        <v>1400000</v>
      </c>
      <c r="J161" s="1261">
        <f>'☆事業所損益管理(H30.9～H31.8)(計画)'!F29</f>
        <v>1400000</v>
      </c>
      <c r="K161" s="1462">
        <f>'☆事業所損益管理(H30.9～H31.8)(計画)'!G29</f>
        <v>1650000</v>
      </c>
      <c r="L161" s="1257">
        <f t="array" ref="L161">SUM(IF(ISNUMBER(F$158:K$158),F161:K161))</f>
        <v>5550000</v>
      </c>
      <c r="M161" s="405"/>
      <c r="Q161" s="405"/>
      <c r="R161" s="1064">
        <v>0</v>
      </c>
      <c r="S161" s="1065" t="s">
        <v>1155</v>
      </c>
      <c r="T161" s="413" t="s">
        <v>1163</v>
      </c>
    </row>
    <row r="162" spans="3:23" ht="14.45" customHeight="1" x14ac:dyDescent="0.15">
      <c r="C162"/>
      <c r="D162" s="2174"/>
      <c r="E162" s="438" t="s">
        <v>406</v>
      </c>
      <c r="F162" s="1012">
        <f>IF('事業所損益管理(H29.9～H30.8)収支計画表(査定)'!L47=0,"",'事業所損益管理(H29.9～H30.8)収支計画表(査定)'!L47)</f>
        <v>1168773</v>
      </c>
      <c r="G162" s="440">
        <f>IF('事業所損益管理(H29.9～H30.8)収支計画表(査定)'!M47=0,"",'事業所損益管理(H29.9～H30.8)収支計画表(査定)'!M47)</f>
        <v>-471636</v>
      </c>
      <c r="H162" s="440">
        <f>IF('事業所損益管理(H29.9～H30.8)収支計画表(査定)'!N47=0,"",'事業所損益管理(H29.9～H30.8)収支計画表(査定)'!N47)</f>
        <v>996248</v>
      </c>
      <c r="I162" s="1260">
        <f>IF('事業所損益管理(H29.9～H30.8)収支計画表(査定)'!O47=0,"",'事業所損益管理(H29.9～H30.8)収支計画表(査定)'!O47)</f>
        <v>1285463</v>
      </c>
      <c r="J162" s="1260">
        <f>IF('事業所損益管理(H30.9～H31.8)_査定'!F26=0,"",'事業所損益管理(H30.9～H31.8)_査定'!F26)</f>
        <v>1075213</v>
      </c>
      <c r="K162" s="1461">
        <f>IF('事業所損益管理(H30.9～H31.8)_査定'!G26=0,"",'事業所損益管理(H30.9～H31.8)_査定'!G26)</f>
        <v>775245</v>
      </c>
      <c r="L162" s="1256">
        <f t="array" ref="L162">SUM(IF(ISNUMBER(F$158:K$158),F162:K162))</f>
        <v>4829306</v>
      </c>
      <c r="M162" s="405"/>
      <c r="Q162" s="405"/>
      <c r="R162" s="1064">
        <v>-1</v>
      </c>
      <c r="S162" s="1063" t="s">
        <v>1156</v>
      </c>
      <c r="T162" s="413" t="s">
        <v>1160</v>
      </c>
    </row>
    <row r="163" spans="3:23" ht="14.45" customHeight="1" x14ac:dyDescent="0.15">
      <c r="C163"/>
      <c r="D163" s="2174" t="s">
        <v>1284</v>
      </c>
      <c r="E163" s="437" t="s">
        <v>405</v>
      </c>
      <c r="F163" s="1013">
        <f>'事業所損益管理(H29.9～H30.8)収支計画表(査定)'!L53</f>
        <v>0</v>
      </c>
      <c r="G163" s="441">
        <f>'事業所損益管理(H29.9～H30.8)収支計画表(査定)'!M53</f>
        <v>-2434593</v>
      </c>
      <c r="H163" s="441">
        <f>'事業所損益管理(H29.9～H30.8)収支計画表(査定)'!N53</f>
        <v>-2227593</v>
      </c>
      <c r="I163" s="1261">
        <f>'事業所損益管理(H29.9～H30.8)収支計画表(査定)'!O53</f>
        <v>-2215593</v>
      </c>
      <c r="J163" s="1261">
        <f>'☆事業所損益管理(H30.9～H31.8)(計画)'!F36</f>
        <v>-550000</v>
      </c>
      <c r="K163" s="1462">
        <f>'☆事業所損益管理(H30.9～H31.8)(計画)'!G36</f>
        <v>-500000</v>
      </c>
      <c r="L163" s="1257">
        <f t="array" ref="L163">SUM(IF(ISNUMBER(F$158:K$158),F163:K163))</f>
        <v>-7927779</v>
      </c>
      <c r="M163" s="405"/>
      <c r="Q163" s="405"/>
      <c r="R163" s="405"/>
      <c r="S163" s="405"/>
    </row>
    <row r="164" spans="3:23" ht="14.45" customHeight="1" x14ac:dyDescent="0.15">
      <c r="C164"/>
      <c r="D164" s="2174"/>
      <c r="E164" s="438" t="s">
        <v>406</v>
      </c>
      <c r="F164" s="1012">
        <f>IF('事業所損益管理(H29.9～H30.8)収支計画表(査定)'!L59=0,"",'事業所損益管理(H29.9～H30.8)収支計画表(査定)'!L59)</f>
        <v>-1085183</v>
      </c>
      <c r="G164" s="440">
        <f>IF('事業所損益管理(H29.9～H30.8)収支計画表(査定)'!M59=0,"",'事業所損益管理(H29.9～H30.8)収支計画表(査定)'!M59)</f>
        <v>-2104015</v>
      </c>
      <c r="H164" s="440">
        <f>IF('事業所損益管理(H29.9～H30.8)収支計画表(査定)'!N59=0,"",'事業所損益管理(H29.9～H30.8)収支計画表(査定)'!N59)</f>
        <v>-1185486</v>
      </c>
      <c r="I164" s="1260">
        <f>IF('事業所損益管理(H29.9～H30.8)収支計画表(査定)'!O59=0,"",'事業所損益管理(H29.9～H30.8)収支計画表(査定)'!O59)</f>
        <v>-1295263</v>
      </c>
      <c r="J164" s="1260">
        <f>IF('事業所損益管理(H30.9～H31.8)_査定'!F34=0,"",'事業所損益管理(H30.9～H31.8)_査定'!F34)</f>
        <v>-1104728</v>
      </c>
      <c r="K164" s="1461">
        <f>IF('事業所損益管理(H30.9～H31.8)_査定'!G34=0,"",'事業所損益管理(H30.9～H31.8)_査定'!G34)</f>
        <v>-409642</v>
      </c>
      <c r="L164" s="1256">
        <f t="array" ref="L164">SUM(IF(ISNUMBER(F$158:K$158),F164:K164))</f>
        <v>-7184317</v>
      </c>
      <c r="M164" s="405"/>
      <c r="Q164" s="405"/>
      <c r="R164" s="1063" t="s">
        <v>1153</v>
      </c>
    </row>
    <row r="165" spans="3:23" ht="14.45" customHeight="1" x14ac:dyDescent="0.15">
      <c r="C165"/>
      <c r="D165" s="2174" t="s">
        <v>1317</v>
      </c>
      <c r="E165" s="437" t="s">
        <v>405</v>
      </c>
      <c r="F165" s="1013"/>
      <c r="G165" s="441"/>
      <c r="H165" s="441"/>
      <c r="I165" s="1261"/>
      <c r="J165" s="1261">
        <f>'☆事業所損益管理(H30.9～H31.8)(計画)'!F43</f>
        <v>-1160000</v>
      </c>
      <c r="K165" s="1462">
        <f>'☆事業所損益管理(H30.9～H31.8)(計画)'!G43</f>
        <v>-1110000</v>
      </c>
      <c r="L165" s="1257">
        <f t="array" ref="L165">SUM(IF(ISNUMBER(F$158:K$158),F165:K165))</f>
        <v>-2270000</v>
      </c>
      <c r="M165" s="405"/>
      <c r="Q165" s="405"/>
      <c r="R165" s="1064">
        <v>1</v>
      </c>
      <c r="S165" s="1065" t="s">
        <v>1157</v>
      </c>
      <c r="T165" s="413" t="s">
        <v>1161</v>
      </c>
    </row>
    <row r="166" spans="3:23" ht="14.45" customHeight="1" x14ac:dyDescent="0.15">
      <c r="C166"/>
      <c r="D166" s="2174"/>
      <c r="E166" s="438" t="s">
        <v>406</v>
      </c>
      <c r="F166" s="1012"/>
      <c r="G166" s="440"/>
      <c r="H166" s="440"/>
      <c r="I166" s="1260"/>
      <c r="J166" s="1260">
        <f>IF('事業所損益管理(H30.9～H31.8)_査定'!F42=0,"",'事業所損益管理(H30.9～H31.8)_査定'!F42)</f>
        <v>-796793</v>
      </c>
      <c r="K166" s="1461">
        <f>IF('事業所損益管理(H30.9～H31.8)_査定'!G42=0,"",'事業所損益管理(H30.9～H31.8)_査定'!G42)</f>
        <v>-1504072</v>
      </c>
      <c r="L166" s="1256">
        <f t="array" ref="L166">SUM(IF(ISNUMBER(F$158:K$158),F166:K166))</f>
        <v>-2300865</v>
      </c>
      <c r="M166" s="405"/>
      <c r="Q166" s="405"/>
      <c r="R166" s="1064">
        <v>0</v>
      </c>
      <c r="S166" s="1065" t="s">
        <v>1158</v>
      </c>
      <c r="T166" s="413" t="s">
        <v>1162</v>
      </c>
    </row>
    <row r="167" spans="3:23" x14ac:dyDescent="0.15">
      <c r="C167"/>
      <c r="D167" s="2174" t="s">
        <v>358</v>
      </c>
      <c r="E167" s="437" t="s">
        <v>405</v>
      </c>
      <c r="F167" s="1013">
        <f>'事業所損益管理(H29.9～H30.8)収支計画表(査定)'!L77</f>
        <v>200000</v>
      </c>
      <c r="G167" s="441">
        <f>'事業所損益管理(H29.9～H30.8)収支計画表(査定)'!M77</f>
        <v>-280000</v>
      </c>
      <c r="H167" s="441">
        <f>'事業所損益管理(H29.9～H30.8)収支計画表(査定)'!N77</f>
        <v>240000</v>
      </c>
      <c r="I167" s="1261">
        <f>'事業所損益管理(H29.9～H30.8)収支計画表(査定)'!O77</f>
        <v>260000</v>
      </c>
      <c r="J167" s="1261">
        <f>'☆事業所損益管理(H30.9～H31.8)(計画)'!F50</f>
        <v>350000</v>
      </c>
      <c r="K167" s="1462">
        <f>'☆事業所損益管理(H30.9～H31.8)(計画)'!G50</f>
        <v>350000</v>
      </c>
      <c r="L167" s="1257">
        <f t="array" ref="L167">SUM(IF(ISNUMBER(F$158:K$158),F167:K167))</f>
        <v>1120000</v>
      </c>
      <c r="M167" s="405"/>
      <c r="Q167" s="405"/>
      <c r="R167" s="1064">
        <v>-1</v>
      </c>
      <c r="S167" s="1063" t="s">
        <v>1158</v>
      </c>
      <c r="T167" s="413" t="s">
        <v>1164</v>
      </c>
      <c r="U167" s="405"/>
      <c r="V167" s="405"/>
      <c r="W167" s="405"/>
    </row>
    <row r="168" spans="3:23" x14ac:dyDescent="0.15">
      <c r="C168"/>
      <c r="D168" s="2174"/>
      <c r="E168" s="438" t="s">
        <v>406</v>
      </c>
      <c r="F168" s="1012">
        <f>IF('事業所損益管理(H29.9～H30.8)収支計画表(査定)'!L83=0,"",'事業所損益管理(H29.9～H30.8)収支計画表(査定)'!L83)</f>
        <v>114589</v>
      </c>
      <c r="G168" s="440">
        <f>IF('事業所損益管理(H29.9～H30.8)収支計画表(査定)'!M83=0,"",'事業所損益管理(H29.9～H30.8)収支計画表(査定)'!M83)</f>
        <v>-200960</v>
      </c>
      <c r="H168" s="440">
        <f>IF('事業所損益管理(H29.9～H30.8)収支計画表(査定)'!N83=0,"",'事業所損益管理(H29.9～H30.8)収支計画表(査定)'!N83)</f>
        <v>177636</v>
      </c>
      <c r="I168" s="1260">
        <f>IF('事業所損益管理(H29.9～H30.8)収支計画表(査定)'!O83=0,"",'事業所損益管理(H29.9～H30.8)収支計画表(査定)'!O83)</f>
        <v>302986</v>
      </c>
      <c r="J168" s="1260">
        <f>IF('事業所損益管理(H30.9～H31.8)_査定'!F50=0,"",'事業所損益管理(H30.9～H31.8)_査定'!F50)</f>
        <v>477581</v>
      </c>
      <c r="K168" s="1461">
        <f>IF('事業所損益管理(H30.9～H31.8)_査定'!G50=0,"",'事業所損益管理(H30.9～H31.8)_査定'!G50)</f>
        <v>648364</v>
      </c>
      <c r="L168" s="1256">
        <f t="array" ref="L168">SUM(IF(ISNUMBER(F$158:K$158),F168:K168))</f>
        <v>1520196</v>
      </c>
      <c r="M168" s="405"/>
      <c r="Q168" s="405"/>
      <c r="R168" s="1081"/>
      <c r="S168" s="1081"/>
      <c r="T168" s="1081"/>
      <c r="U168" s="1081"/>
      <c r="V168" s="405"/>
      <c r="W168" s="405"/>
    </row>
    <row r="169" spans="3:23" x14ac:dyDescent="0.15">
      <c r="C169"/>
      <c r="D169" s="2174" t="s">
        <v>359</v>
      </c>
      <c r="E169" s="437" t="s">
        <v>405</v>
      </c>
      <c r="F169" s="1013">
        <f>'事業所損益管理(H29.9～H30.8)収支計画表(査定)'!L89</f>
        <v>300000</v>
      </c>
      <c r="G169" s="441">
        <f>'事業所損益管理(H29.9～H30.8)収支計画表(査定)'!M89</f>
        <v>-50000</v>
      </c>
      <c r="H169" s="441">
        <f>'事業所損益管理(H29.9～H30.8)収支計画表(査定)'!N89</f>
        <v>300000</v>
      </c>
      <c r="I169" s="1261">
        <f>'事業所損益管理(H29.9～H30.8)収支計画表(査定)'!O89</f>
        <v>300000</v>
      </c>
      <c r="J169" s="1261">
        <f>'☆事業所損益管理(H30.9～H31.8)(計画)'!F57</f>
        <v>-150000</v>
      </c>
      <c r="K169" s="1462">
        <f>'☆事業所損益管理(H30.9～H31.8)(計画)'!G57</f>
        <v>-150000</v>
      </c>
      <c r="L169" s="1257">
        <f t="array" ref="L169">SUM(IF(ISNUMBER(F$158:K$158),F169:K169))</f>
        <v>550000</v>
      </c>
      <c r="M169" s="405"/>
      <c r="R169" s="1063" t="s">
        <v>1325</v>
      </c>
      <c r="S169" s="405"/>
      <c r="U169" s="1081"/>
    </row>
    <row r="170" spans="3:23" x14ac:dyDescent="0.15">
      <c r="C170"/>
      <c r="D170" s="2174"/>
      <c r="E170" s="438" t="s">
        <v>406</v>
      </c>
      <c r="F170" s="1012">
        <f>IF('事業所損益管理(H29.9～H30.8)収支計画表(査定)'!L95=0,"",'事業所損益管理(H29.9～H30.8)収支計画表(査定)'!L95)</f>
        <v>-196756</v>
      </c>
      <c r="G170" s="440">
        <f>IF('事業所損益管理(H29.9～H30.8)収支計画表(査定)'!M95=0,"",'事業所損益管理(H29.9～H30.8)収支計画表(査定)'!M95)</f>
        <v>-989728</v>
      </c>
      <c r="H170" s="440">
        <f>IF('事業所損益管理(H29.9～H30.8)収支計画表(査定)'!N95=0,"",'事業所損益管理(H29.9～H30.8)収支計画表(査定)'!N95)</f>
        <v>-1034393</v>
      </c>
      <c r="I170" s="1260">
        <f>IF('事業所損益管理(H29.9～H30.8)収支計画表(査定)'!O95=0,"",'事業所損益管理(H29.9～H30.8)収支計画表(査定)'!O95)</f>
        <v>-1303891</v>
      </c>
      <c r="J170" s="1260">
        <f>IF('事業所損益管理(H30.9～H31.8)_査定'!F58=0,"",'事業所損益管理(H30.9～H31.8)_査定'!F302)</f>
        <v>0</v>
      </c>
      <c r="K170" s="1461">
        <f>IF('事業所損益管理(H30.9～H31.8)_査定'!G58=0,"",'事業所損益管理(H30.9～H31.8)_査定'!G302)</f>
        <v>0</v>
      </c>
      <c r="L170" s="1256">
        <f t="array" ref="L170">SUM(IF(ISNUMBER(F$158:K$158),F170:K170))</f>
        <v>-3524768</v>
      </c>
      <c r="M170" s="405"/>
      <c r="R170" s="1064">
        <v>1</v>
      </c>
      <c r="S170" s="1065" t="s">
        <v>1326</v>
      </c>
      <c r="T170" s="413" t="s">
        <v>1159</v>
      </c>
      <c r="U170" s="1081"/>
    </row>
    <row r="171" spans="3:23" ht="13.5" customHeight="1" outlineLevel="1" x14ac:dyDescent="0.15">
      <c r="C171"/>
      <c r="D171" s="2175" t="s">
        <v>119</v>
      </c>
      <c r="E171" s="437" t="s">
        <v>405</v>
      </c>
      <c r="F171" s="1013">
        <f>'事業所損益管理(H29.9～H30.8)収支計画表(査定)'!L101</f>
        <v>-12000</v>
      </c>
      <c r="G171" s="441">
        <f>'事業所損益管理(H29.9～H30.8)収支計画表(査定)'!M101</f>
        <v>-52000</v>
      </c>
      <c r="H171" s="441">
        <f>'事業所損益管理(H29.9～H30.8)収支計画表(査定)'!N101</f>
        <v>-12000</v>
      </c>
      <c r="I171" s="1261">
        <f>'事業所損益管理(H29.9～H30.8)収支計画表(査定)'!O101</f>
        <v>-12000</v>
      </c>
      <c r="J171" s="1261">
        <f>'☆事業所損益管理(H30.9～H31.8)(計画)'!F64</f>
        <v>-70000</v>
      </c>
      <c r="K171" s="1462">
        <f>'☆事業所損益管理(H30.9～H31.8)(計画)'!G64</f>
        <v>-70000</v>
      </c>
      <c r="L171" s="1257">
        <f t="array" ref="L171">SUM(IF(ISNUMBER(F$158:K$158),F171:K171))</f>
        <v>-228000</v>
      </c>
      <c r="M171" s="405"/>
      <c r="R171" s="1081"/>
      <c r="S171" s="1081"/>
      <c r="T171" s="1081"/>
      <c r="U171" s="1081"/>
    </row>
    <row r="172" spans="3:23" ht="13.5" customHeight="1" outlineLevel="1" x14ac:dyDescent="0.15">
      <c r="C172"/>
      <c r="D172" s="2175"/>
      <c r="E172" s="438" t="s">
        <v>406</v>
      </c>
      <c r="F172" s="1012">
        <f>IF('事業所損益管理(H29.9～H30.8)収支計画表(査定)'!L107=0,"",'事業所損益管理(H29.9～H30.8)収支計画表(査定)'!L107)</f>
        <v>476578</v>
      </c>
      <c r="G172" s="440">
        <f>IF('事業所損益管理(H29.9～H30.8)収支計画表(査定)'!M107=0,"",'事業所損益管理(H29.9～H30.8)収支計画表(査定)'!M107)</f>
        <v>-382963</v>
      </c>
      <c r="H172" s="440">
        <f>IF('事業所損益管理(H29.9～H30.8)収支計画表(査定)'!N107=0,"",'事業所損益管理(H29.9～H30.8)収支計画表(査定)'!N107)</f>
        <v>237097</v>
      </c>
      <c r="I172" s="1260">
        <f>IF('事業所損益管理(H29.9～H30.8)収支計画表(査定)'!O107=0,"",'事業所損益管理(H29.9～H30.8)収支計画表(査定)'!O107)</f>
        <v>3628</v>
      </c>
      <c r="J172" s="1260">
        <f>IF('事業所損益管理(H30.9～H31.8)_査定'!F66=0,"",'事業所損益管理(H30.9～H31.8)_査定'!F66)</f>
        <v>-28180</v>
      </c>
      <c r="K172" s="1461">
        <f>IF('事業所損益管理(H30.9～H31.8)_査定'!G66=0,"",'事業所損益管理(H30.9～H31.8)_査定'!G66)</f>
        <v>143356</v>
      </c>
      <c r="L172" s="1256">
        <f t="array" ref="L172">SUM(IF(ISNUMBER(F$158:K$158),F172:K172))</f>
        <v>449516</v>
      </c>
      <c r="M172" s="405"/>
      <c r="R172" s="1081"/>
      <c r="S172" s="1081"/>
      <c r="T172" s="1081"/>
      <c r="U172" s="1081"/>
    </row>
    <row r="173" spans="3:23" ht="13.5" customHeight="1" outlineLevel="1" x14ac:dyDescent="0.15">
      <c r="C173"/>
      <c r="D173" s="2175" t="s">
        <v>360</v>
      </c>
      <c r="E173" s="437" t="s">
        <v>405</v>
      </c>
      <c r="F173" s="1013">
        <f>'事業所損益管理(H29.9～H30.8)収支計画表(査定)'!L113</f>
        <v>68000</v>
      </c>
      <c r="G173" s="441">
        <f>'事業所損益管理(H29.9～H30.8)収支計画表(査定)'!M113</f>
        <v>18000</v>
      </c>
      <c r="H173" s="441">
        <f>'事業所損益管理(H29.9～H30.8)収支計画表(査定)'!N113</f>
        <v>68000</v>
      </c>
      <c r="I173" s="1261">
        <f>'事業所損益管理(H29.9～H30.8)収支計画表(査定)'!O113</f>
        <v>68000</v>
      </c>
      <c r="J173" s="1261">
        <f>'☆事業所損益管理(H30.9～H31.8)(計画)'!F71</f>
        <v>80000</v>
      </c>
      <c r="K173" s="1462">
        <f>'☆事業所損益管理(H30.9～H31.8)(計画)'!G71</f>
        <v>80000</v>
      </c>
      <c r="L173" s="1257">
        <f t="array" ref="L173">SUM(IF(ISNUMBER(F$158:K$158),F173:K173))</f>
        <v>382000</v>
      </c>
      <c r="M173" s="405"/>
      <c r="R173" s="1081"/>
      <c r="S173" s="1081"/>
      <c r="T173" s="1081"/>
      <c r="U173" s="1081"/>
    </row>
    <row r="174" spans="3:23" ht="14.25" customHeight="1" outlineLevel="1" x14ac:dyDescent="0.15">
      <c r="C174"/>
      <c r="D174" s="2175"/>
      <c r="E174" s="438" t="s">
        <v>406</v>
      </c>
      <c r="F174" s="1012">
        <f>IF('事業所損益管理(H29.9～H30.8)収支計画表(査定)'!L119=0,"",'事業所損益管理(H29.9～H30.8)収支計画表(査定)'!L119)</f>
        <v>262845</v>
      </c>
      <c r="G174" s="440">
        <f>IF('事業所損益管理(H29.9～H30.8)収支計画表(査定)'!M119=0,"",'事業所損益管理(H29.9～H30.8)収支計画表(査定)'!M119)</f>
        <v>178417</v>
      </c>
      <c r="H174" s="440">
        <f>IF('事業所損益管理(H29.9～H30.8)収支計画表(査定)'!N119=0,"",'事業所損益管理(H29.9～H30.8)収支計画表(査定)'!N119)</f>
        <v>209357</v>
      </c>
      <c r="I174" s="1260">
        <f>IF('事業所損益管理(H29.9～H30.8)収支計画表(査定)'!O119=0,"",'事業所損益管理(H29.9～H30.8)収支計画表(査定)'!O119)</f>
        <v>60909</v>
      </c>
      <c r="J174" s="1260">
        <f>IF('事業所損益管理(H30.9～H31.8)_査定'!F74=0,"",'事業所損益管理(H30.9～H31.8)_査定'!F74)</f>
        <v>204150</v>
      </c>
      <c r="K174" s="1461">
        <f>IF('事業所損益管理(H30.9～H31.8)_査定'!G74=0,"",'事業所損益管理(H30.9～H31.8)_査定'!G74)</f>
        <v>179596</v>
      </c>
      <c r="L174" s="1256">
        <f t="array" ref="L174">SUM(IF(ISNUMBER(F$158:K$158),F174:K174))</f>
        <v>1095274</v>
      </c>
      <c r="M174" s="405"/>
      <c r="R174" s="1081"/>
      <c r="S174" s="1081"/>
      <c r="T174" s="1081"/>
      <c r="U174" s="1081"/>
    </row>
    <row r="175" spans="3:23" ht="14.25" customHeight="1" outlineLevel="1" x14ac:dyDescent="0.15">
      <c r="C175"/>
      <c r="D175" s="2175" t="s">
        <v>398</v>
      </c>
      <c r="E175" s="437" t="s">
        <v>405</v>
      </c>
      <c r="F175" s="1013">
        <f>'事業所損益管理(H29.9～H30.8)収支計画表(査定)'!L125</f>
        <v>-11300</v>
      </c>
      <c r="G175" s="441">
        <f>'事業所損益管理(H29.9～H30.8)収支計画表(査定)'!M125</f>
        <v>-71800</v>
      </c>
      <c r="H175" s="441">
        <f>'事業所損益管理(H29.9～H30.8)収支計画表(査定)'!N125</f>
        <v>28200</v>
      </c>
      <c r="I175" s="1261">
        <f>'事業所損益管理(H29.9～H30.8)収支計画表(査定)'!O125</f>
        <v>28200</v>
      </c>
      <c r="J175" s="1261">
        <f>'☆事業所損益管理(H30.9～H31.8)(計画)'!F78</f>
        <v>150000</v>
      </c>
      <c r="K175" s="1462">
        <f>'☆事業所損益管理(H30.9～H31.8)(計画)'!G78</f>
        <v>150000</v>
      </c>
      <c r="L175" s="1257">
        <f t="array" ref="L175">SUM(IF(ISNUMBER(F$158:K$158),F175:K175))</f>
        <v>273300</v>
      </c>
      <c r="M175" s="405"/>
      <c r="R175" s="1081"/>
      <c r="S175" s="1081"/>
      <c r="T175" s="1081"/>
      <c r="U175" s="1081"/>
    </row>
    <row r="176" spans="3:23" ht="13.5" customHeight="1" outlineLevel="1" x14ac:dyDescent="0.15">
      <c r="C176"/>
      <c r="D176" s="2175"/>
      <c r="E176" s="438" t="s">
        <v>406</v>
      </c>
      <c r="F176" s="1012">
        <f>IF('事業所損益管理(H29.9～H30.8)収支計画表(査定)'!L131=0,"",'事業所損益管理(H29.9～H30.8)収支計画表(査定)'!L131)</f>
        <v>1130374</v>
      </c>
      <c r="G176" s="440">
        <f>IF('事業所損益管理(H29.9～H30.8)収支計画表(査定)'!M131=0,"",'事業所損益管理(H29.9～H30.8)収支計画表(査定)'!M131)</f>
        <v>18951</v>
      </c>
      <c r="H176" s="440">
        <f>IF('事業所損益管理(H29.9～H30.8)収支計画表(査定)'!N131=0,"",'事業所損益管理(H29.9～H30.8)収支計画表(査定)'!N131)</f>
        <v>379959</v>
      </c>
      <c r="I176" s="1260">
        <f>IF('事業所損益管理(H29.9～H30.8)収支計画表(査定)'!O131=0,"",'事業所損益管理(H29.9～H30.8)収支計画表(査定)'!O131)</f>
        <v>70713</v>
      </c>
      <c r="J176" s="1260">
        <f>IF('事業所損益管理(H30.9～H31.8)_査定'!F82=0,"",'事業所損益管理(H30.9～H31.8)_査定'!F82)</f>
        <v>86611</v>
      </c>
      <c r="K176" s="1461">
        <f>IF('事業所損益管理(H30.9～H31.8)_査定'!G82=0,"",'事業所損益管理(H30.9～H31.8)_査定'!G82)</f>
        <v>-254281</v>
      </c>
      <c r="L176" s="1256">
        <f t="array" ref="L176">SUM(IF(ISNUMBER(F$158:K$158),F176:K176))</f>
        <v>1432327</v>
      </c>
      <c r="M176" s="405"/>
      <c r="R176" s="1081"/>
      <c r="S176" s="1081"/>
      <c r="T176" s="1081"/>
      <c r="U176" s="1081"/>
    </row>
    <row r="177" spans="3:21" ht="13.5" customHeight="1" x14ac:dyDescent="0.15">
      <c r="C177"/>
      <c r="D177" s="2174" t="s">
        <v>1193</v>
      </c>
      <c r="E177" s="437" t="s">
        <v>405</v>
      </c>
      <c r="F177" s="1013">
        <f t="shared" ref="F177:K177" si="59">SUM(F171,F173,F175)</f>
        <v>44700</v>
      </c>
      <c r="G177" s="441">
        <f t="shared" si="59"/>
        <v>-105800</v>
      </c>
      <c r="H177" s="441">
        <f t="shared" si="59"/>
        <v>84200</v>
      </c>
      <c r="I177" s="1261">
        <f t="shared" si="59"/>
        <v>84200</v>
      </c>
      <c r="J177" s="1261">
        <f t="shared" si="59"/>
        <v>160000</v>
      </c>
      <c r="K177" s="1462">
        <f t="shared" si="59"/>
        <v>160000</v>
      </c>
      <c r="L177" s="1257">
        <f t="array" ref="L177">SUM(IF(ISNUMBER(F$158:K$158),F177:K177))</f>
        <v>427300</v>
      </c>
      <c r="M177" s="405"/>
      <c r="R177" s="1081"/>
      <c r="S177" s="1081"/>
      <c r="T177" s="413" t="s">
        <v>1328</v>
      </c>
      <c r="U177" s="1081"/>
    </row>
    <row r="178" spans="3:21" ht="13.5" customHeight="1" x14ac:dyDescent="0.15">
      <c r="C178"/>
      <c r="D178" s="2174"/>
      <c r="E178" s="438" t="s">
        <v>406</v>
      </c>
      <c r="F178" s="1012">
        <f>IF(SUM(F172,F174,F176)=0,"",SUM(F172,F174,F176))</f>
        <v>1869797</v>
      </c>
      <c r="G178" s="440">
        <f>IF(SUM(G172,G174,G176)=0,"",SUM(G172,G174,G176))</f>
        <v>-185595</v>
      </c>
      <c r="H178" s="440">
        <f>IF(SUM(H172,H174,H176)=0,"",SUM(H172,H174,H176))</f>
        <v>826413</v>
      </c>
      <c r="I178" s="1260">
        <f>IF(SUM(I172,I174,I176)=0,"",SUM(I172,I174,I176))</f>
        <v>135250</v>
      </c>
      <c r="J178" s="1260">
        <f>SUM(J172,J174,J176)</f>
        <v>262581</v>
      </c>
      <c r="K178" s="1461">
        <f>SUM(K172,K174,K176)</f>
        <v>68671</v>
      </c>
      <c r="L178" s="1256">
        <f t="array" ref="L178">SUM(IF(ISNUMBER(F$158:K$158),F178:K178))</f>
        <v>2977117</v>
      </c>
      <c r="M178" s="405"/>
      <c r="R178" s="1064">
        <v>0</v>
      </c>
      <c r="S178" s="1065" t="s">
        <v>1327</v>
      </c>
      <c r="T178" s="413" t="s">
        <v>1163</v>
      </c>
      <c r="U178" s="1081"/>
    </row>
    <row r="179" spans="3:21" ht="13.5" customHeight="1" x14ac:dyDescent="0.15">
      <c r="C179"/>
      <c r="D179" s="2174" t="s">
        <v>362</v>
      </c>
      <c r="E179" s="437" t="s">
        <v>405</v>
      </c>
      <c r="F179" s="1013">
        <f>'事業所損益管理(H29.9～H30.8)収支計画表(査定)'!L149</f>
        <v>20000</v>
      </c>
      <c r="G179" s="441">
        <f>'事業所損益管理(H29.9～H30.8)収支計画表(査定)'!M149</f>
        <v>20000</v>
      </c>
      <c r="H179" s="441">
        <f>'事業所損益管理(H29.9～H30.8)収支計画表(査定)'!N149</f>
        <v>320000</v>
      </c>
      <c r="I179" s="1261">
        <f>'事業所損益管理(H29.9～H30.8)収支計画表(査定)'!O149</f>
        <v>320000</v>
      </c>
      <c r="J179" s="1261">
        <f>'☆事業所損益管理(H30.9～H31.8)(計画)'!F99</f>
        <v>0</v>
      </c>
      <c r="K179" s="1462">
        <f>'☆事業所損益管理(H30.9～H31.8)(計画)'!G99</f>
        <v>0</v>
      </c>
      <c r="L179" s="1257">
        <f t="array" ref="L179">SUM(IF(ISNUMBER(F$158:K$158),F179:K179))</f>
        <v>680000</v>
      </c>
      <c r="M179" s="405"/>
      <c r="R179" s="1081"/>
      <c r="S179" s="1081"/>
      <c r="T179" s="413" t="s">
        <v>1329</v>
      </c>
      <c r="U179" s="1081"/>
    </row>
    <row r="180" spans="3:21" ht="13.5" customHeight="1" thickBot="1" x14ac:dyDescent="0.2">
      <c r="C180"/>
      <c r="D180" s="2173"/>
      <c r="E180" s="439" t="s">
        <v>406</v>
      </c>
      <c r="F180" s="1014">
        <f>IF('事業所損益管理(H29.9～H30.8)収支計画表(査定)'!L155=0,"",'事業所損益管理(H29.9～H30.8)収支計画表(査定)'!L155)</f>
        <v>63010</v>
      </c>
      <c r="G180" s="442">
        <f>IF('事業所損益管理(H29.9～H30.8)収支計画表(査定)'!M155=0,"",'事業所損益管理(H29.9～H30.8)収支計画表(査定)'!M155)</f>
        <v>-75951</v>
      </c>
      <c r="H180" s="442">
        <f>IF('事業所損益管理(H29.9～H30.8)収支計画表(査定)'!N155=0,"",'事業所損益管理(H29.9～H30.8)収支計画表(査定)'!N155)</f>
        <v>85778</v>
      </c>
      <c r="I180" s="442">
        <f>IF('事業所損益管理(H29.9～H30.8)収支計画表(査定)'!O155=0,"",'事業所損益管理(H29.9～H30.8)収支計画表(査定)'!O155)</f>
        <v>76616</v>
      </c>
      <c r="J180" s="1409">
        <f>IF('事業所損益管理(H30.9～H31.8)_査定'!F106=0,"",'事業所損益管理(H30.9～H31.8)_査定'!F106)</f>
        <v>-96829</v>
      </c>
      <c r="K180" s="1409" t="str">
        <f>IF('事業所損益管理(H30.9～H31.8)_査定'!G106=0,"",'事業所損益管理(H30.9～H31.8)_査定'!G106)</f>
        <v/>
      </c>
      <c r="L180" s="1258">
        <f t="array" ref="L180">SUM(IF(ISNUMBER(F$158:K$158),F180:K180))</f>
        <v>52624</v>
      </c>
      <c r="M180" s="405"/>
      <c r="R180" s="1064">
        <v>-1</v>
      </c>
      <c r="S180" s="1063" t="s">
        <v>1327</v>
      </c>
      <c r="T180" s="413" t="s">
        <v>1160</v>
      </c>
      <c r="U180" s="1081"/>
    </row>
    <row r="181" spans="3:21" ht="13.5" customHeight="1" x14ac:dyDescent="0.15">
      <c r="C181"/>
      <c r="J181" s="2172" t="s">
        <v>56</v>
      </c>
      <c r="K181" s="1463" t="s">
        <v>405</v>
      </c>
      <c r="L181" s="1465">
        <f>SUM(L157,L159,L161,L163,L165,L167,L169,L171,L173,L175,L179)</f>
        <v>6919521</v>
      </c>
      <c r="R181" s="1081"/>
      <c r="S181" s="1081"/>
      <c r="T181" s="413" t="s">
        <v>1330</v>
      </c>
      <c r="U181" s="1081"/>
    </row>
    <row r="182" spans="3:21" ht="13.5" customHeight="1" thickBot="1" x14ac:dyDescent="0.2">
      <c r="C182"/>
      <c r="J182" s="2173"/>
      <c r="K182" s="1464" t="s">
        <v>406</v>
      </c>
      <c r="L182" s="1258">
        <f>SUM(L158,L160,L162,L164,L166,L168,L170,L172,L174,L176,L180)</f>
        <v>6591109</v>
      </c>
    </row>
    <row r="183" spans="3:21" ht="13.5" customHeight="1" x14ac:dyDescent="0.15">
      <c r="C183"/>
    </row>
    <row r="184" spans="3:21" ht="13.5" customHeight="1" x14ac:dyDescent="0.15">
      <c r="C184"/>
      <c r="I184" s="413"/>
    </row>
    <row r="185" spans="3:21" ht="13.5" customHeight="1" x14ac:dyDescent="0.15">
      <c r="C185"/>
    </row>
    <row r="186" spans="3:21" ht="13.5" customHeight="1" x14ac:dyDescent="0.15">
      <c r="C186"/>
    </row>
    <row r="187" spans="3:21" ht="13.5" customHeight="1" x14ac:dyDescent="0.15"/>
    <row r="188" spans="3:21" ht="13.5" customHeight="1" x14ac:dyDescent="0.15"/>
    <row r="189" spans="3:21" ht="13.5" customHeight="1" x14ac:dyDescent="0.15"/>
    <row r="190" spans="3:21" ht="13.5" customHeight="1" x14ac:dyDescent="0.15"/>
    <row r="191" spans="3:21" ht="13.5" customHeight="1" x14ac:dyDescent="0.15"/>
    <row r="192" spans="3:21" ht="14.25" customHeight="1" x14ac:dyDescent="0.15"/>
    <row r="193" ht="14.25" customHeight="1" x14ac:dyDescent="0.15"/>
    <row r="194" ht="13.5" customHeight="1" x14ac:dyDescent="0.15"/>
  </sheetData>
  <mergeCells count="60">
    <mergeCell ref="D165:D166"/>
    <mergeCell ref="D177:D178"/>
    <mergeCell ref="R2:S2"/>
    <mergeCell ref="V2:W2"/>
    <mergeCell ref="C1:E1"/>
    <mergeCell ref="R157:T158"/>
    <mergeCell ref="D163:D164"/>
    <mergeCell ref="C74:C83"/>
    <mergeCell ref="D74:D78"/>
    <mergeCell ref="D79:D83"/>
    <mergeCell ref="D54:D58"/>
    <mergeCell ref="D59:D63"/>
    <mergeCell ref="D161:D162"/>
    <mergeCell ref="C84:C93"/>
    <mergeCell ref="D84:D88"/>
    <mergeCell ref="D157:D158"/>
    <mergeCell ref="D179:D180"/>
    <mergeCell ref="D167:D168"/>
    <mergeCell ref="D169:D170"/>
    <mergeCell ref="D171:D172"/>
    <mergeCell ref="D173:D174"/>
    <mergeCell ref="D175:D176"/>
    <mergeCell ref="D144:D153"/>
    <mergeCell ref="D99:D103"/>
    <mergeCell ref="C104:C113"/>
    <mergeCell ref="D104:D108"/>
    <mergeCell ref="C134:C153"/>
    <mergeCell ref="D114:D118"/>
    <mergeCell ref="D29:D33"/>
    <mergeCell ref="C94:C103"/>
    <mergeCell ref="D94:D98"/>
    <mergeCell ref="J181:J182"/>
    <mergeCell ref="C3:C13"/>
    <mergeCell ref="D3:D8"/>
    <mergeCell ref="D9:D13"/>
    <mergeCell ref="C14:C23"/>
    <mergeCell ref="D14:D18"/>
    <mergeCell ref="D19:D23"/>
    <mergeCell ref="D159:D160"/>
    <mergeCell ref="C34:C43"/>
    <mergeCell ref="D109:D113"/>
    <mergeCell ref="D119:D123"/>
    <mergeCell ref="D89:D93"/>
    <mergeCell ref="D134:D143"/>
    <mergeCell ref="AA5:AA23"/>
    <mergeCell ref="C124:C133"/>
    <mergeCell ref="D124:D128"/>
    <mergeCell ref="D129:D133"/>
    <mergeCell ref="D34:D38"/>
    <mergeCell ref="D39:D43"/>
    <mergeCell ref="C64:C73"/>
    <mergeCell ref="D64:D68"/>
    <mergeCell ref="D69:D73"/>
    <mergeCell ref="C44:C53"/>
    <mergeCell ref="D44:D48"/>
    <mergeCell ref="D49:D53"/>
    <mergeCell ref="C54:C63"/>
    <mergeCell ref="C24:C33"/>
    <mergeCell ref="C114:C123"/>
    <mergeCell ref="D24:D28"/>
  </mergeCells>
  <phoneticPr fontId="38"/>
  <conditionalFormatting sqref="F19:Q23 F9:Q13 F29:Q33 F39:Q43 F69:Q73 F79:Q83 F89:Q93 F99:Q103 F109:Q113 F129:Q133 F144:Q153">
    <cfRule type="expression" dxfId="86" priority="61">
      <formula>AND(F9=0,F$144=0)</formula>
    </cfRule>
  </conditionalFormatting>
  <conditionalFormatting sqref="F49:Q53">
    <cfRule type="expression" dxfId="85" priority="60">
      <formula>AND(F49=0,F$144=0)</formula>
    </cfRule>
  </conditionalFormatting>
  <conditionalFormatting sqref="R9:R13">
    <cfRule type="iconSet" priority="49">
      <iconSet showValue="0">
        <cfvo type="percent" val="0"/>
        <cfvo type="num" val="-1" gte="0"/>
        <cfvo type="num" val="1"/>
      </iconSet>
    </cfRule>
  </conditionalFormatting>
  <conditionalFormatting sqref="R29:R30 R33">
    <cfRule type="iconSet" priority="47">
      <iconSet showValue="0">
        <cfvo type="percent" val="0"/>
        <cfvo type="num" val="-1" gte="0"/>
        <cfvo type="num" val="1"/>
      </iconSet>
    </cfRule>
  </conditionalFormatting>
  <conditionalFormatting sqref="R69:R70 R49:R50 R39:R40 R43 R53 R73">
    <cfRule type="iconSet" priority="46">
      <iconSet showValue="0">
        <cfvo type="percent" val="0"/>
        <cfvo type="num" val="-1" gte="0"/>
        <cfvo type="num" val="1"/>
      </iconSet>
    </cfRule>
  </conditionalFormatting>
  <conditionalFormatting sqref="R129:R130 R109:R110 R99:R100 R79:R80 R83 R93 R103 R113 R133 R89:R90">
    <cfRule type="iconSet" priority="45">
      <iconSet showValue="0">
        <cfvo type="percent" val="0"/>
        <cfvo type="num" val="-1" gte="0"/>
        <cfvo type="num" val="1"/>
      </iconSet>
    </cfRule>
  </conditionalFormatting>
  <conditionalFormatting sqref="R31:R32">
    <cfRule type="iconSet" priority="43">
      <iconSet showValue="0">
        <cfvo type="percent" val="0"/>
        <cfvo type="num" val="-1" gte="0"/>
        <cfvo type="num" val="1"/>
      </iconSet>
    </cfRule>
  </conditionalFormatting>
  <conditionalFormatting sqref="R41:R42">
    <cfRule type="iconSet" priority="42">
      <iconSet showValue="0">
        <cfvo type="percent" val="0"/>
        <cfvo type="num" val="-1" gte="0"/>
        <cfvo type="num" val="1"/>
      </iconSet>
    </cfRule>
  </conditionalFormatting>
  <conditionalFormatting sqref="R131:R132 R111:R112 R101:R102 R91:R92 R81:R82 R71:R72 R51:R52">
    <cfRule type="iconSet" priority="41">
      <iconSet showValue="0">
        <cfvo type="percent" val="0"/>
        <cfvo type="num" val="-1" gte="0"/>
        <cfvo type="num" val="1"/>
      </iconSet>
    </cfRule>
  </conditionalFormatting>
  <conditionalFormatting sqref="F59:Q63">
    <cfRule type="expression" dxfId="84" priority="40">
      <formula>AND(F59=0,F$144=0)</formula>
    </cfRule>
  </conditionalFormatting>
  <conditionalFormatting sqref="R59:R60 R63">
    <cfRule type="iconSet" priority="37">
      <iconSet showValue="0">
        <cfvo type="percent" val="0"/>
        <cfvo type="num" val="-1" gte="0"/>
        <cfvo type="num" val="1"/>
      </iconSet>
    </cfRule>
  </conditionalFormatting>
  <conditionalFormatting sqref="R61:R62">
    <cfRule type="iconSet" priority="36">
      <iconSet showValue="0">
        <cfvo type="percent" val="0"/>
        <cfvo type="num" val="-1" gte="0"/>
        <cfvo type="num" val="1"/>
      </iconSet>
    </cfRule>
  </conditionalFormatting>
  <conditionalFormatting sqref="F119:Q123">
    <cfRule type="expression" dxfId="83" priority="35">
      <formula>AND(F119=0,F$144=0)</formula>
    </cfRule>
  </conditionalFormatting>
  <conditionalFormatting sqref="R119:R120 R123">
    <cfRule type="iconSet" priority="32">
      <iconSet showValue="0">
        <cfvo type="percent" val="0"/>
        <cfvo type="num" val="-1" gte="0"/>
        <cfvo type="num" val="1"/>
      </iconSet>
    </cfRule>
  </conditionalFormatting>
  <conditionalFormatting sqref="R121:R122">
    <cfRule type="iconSet" priority="31">
      <iconSet showValue="0">
        <cfvo type="percent" val="0"/>
        <cfvo type="num" val="-1" gte="0"/>
        <cfvo type="num" val="1"/>
      </iconSet>
    </cfRule>
  </conditionalFormatting>
  <conditionalFormatting sqref="R19:R23">
    <cfRule type="iconSet" priority="28">
      <iconSet showValue="0">
        <cfvo type="percent" val="0"/>
        <cfvo type="num" val="-1" gte="0"/>
        <cfvo type="num" val="1"/>
      </iconSet>
    </cfRule>
  </conditionalFormatting>
  <conditionalFormatting sqref="R144:R145">
    <cfRule type="iconSet" priority="27">
      <iconSet showValue="0">
        <cfvo type="percent" val="0"/>
        <cfvo type="num" val="-1" gte="0"/>
        <cfvo type="num" val="1"/>
      </iconSet>
    </cfRule>
  </conditionalFormatting>
  <conditionalFormatting sqref="R146:R147">
    <cfRule type="iconSet" priority="26">
      <iconSet showValue="0">
        <cfvo type="percent" val="0"/>
        <cfvo type="num" val="-1" gte="0"/>
        <cfvo type="num" val="1"/>
      </iconSet>
    </cfRule>
  </conditionalFormatting>
  <conditionalFormatting sqref="R149">
    <cfRule type="iconSet" priority="25">
      <iconSet showValue="0">
        <cfvo type="percent" val="0"/>
        <cfvo type="num" val="-1" gte="0"/>
        <cfvo type="num" val="1"/>
      </iconSet>
    </cfRule>
  </conditionalFormatting>
  <conditionalFormatting sqref="R150:R151">
    <cfRule type="iconSet" priority="24">
      <iconSet showValue="0">
        <cfvo type="percent" val="0"/>
        <cfvo type="num" val="-1" gte="0"/>
        <cfvo type="num" val="1"/>
      </iconSet>
    </cfRule>
  </conditionalFormatting>
  <conditionalFormatting sqref="R152">
    <cfRule type="iconSet" priority="23">
      <iconSet showValue="0">
        <cfvo type="percent" val="0"/>
        <cfvo type="num" val="-1" gte="0"/>
        <cfvo type="num" val="1"/>
      </iconSet>
    </cfRule>
  </conditionalFormatting>
  <conditionalFormatting sqref="R153">
    <cfRule type="iconSet" priority="22">
      <iconSet showValue="0">
        <cfvo type="percent" val="0"/>
        <cfvo type="num" val="-1" gte="0"/>
        <cfvo type="num" val="1"/>
      </iconSet>
    </cfRule>
  </conditionalFormatting>
  <conditionalFormatting sqref="V9:V13">
    <cfRule type="iconSet" priority="21">
      <iconSet showValue="0">
        <cfvo type="percent" val="0"/>
        <cfvo type="num" val="-1" gte="0"/>
        <cfvo type="num" val="1"/>
      </iconSet>
    </cfRule>
  </conditionalFormatting>
  <conditionalFormatting sqref="V29:V30 V33">
    <cfRule type="iconSet" priority="20">
      <iconSet showValue="0">
        <cfvo type="percent" val="0"/>
        <cfvo type="num" val="-1" gte="0"/>
        <cfvo type="num" val="1"/>
      </iconSet>
    </cfRule>
  </conditionalFormatting>
  <conditionalFormatting sqref="V69:V70 V49:V50 V39:V40 V43 V53 V73">
    <cfRule type="iconSet" priority="19">
      <iconSet showValue="0">
        <cfvo type="percent" val="0"/>
        <cfvo type="num" val="-1" gte="0"/>
        <cfvo type="num" val="1"/>
      </iconSet>
    </cfRule>
  </conditionalFormatting>
  <conditionalFormatting sqref="V129:V130 V109:V110 V99:V100 V79:V80 V83 V93 V103 V113 V133 V89:V90">
    <cfRule type="iconSet" priority="18">
      <iconSet showValue="0">
        <cfvo type="percent" val="0"/>
        <cfvo type="num" val="-1" gte="0"/>
        <cfvo type="num" val="1"/>
      </iconSet>
    </cfRule>
  </conditionalFormatting>
  <conditionalFormatting sqref="V31:V32">
    <cfRule type="iconSet" priority="17">
      <iconSet showValue="0">
        <cfvo type="percent" val="0"/>
        <cfvo type="num" val="-1" gte="0"/>
        <cfvo type="num" val="1"/>
      </iconSet>
    </cfRule>
  </conditionalFormatting>
  <conditionalFormatting sqref="V41:V42">
    <cfRule type="iconSet" priority="16">
      <iconSet showValue="0">
        <cfvo type="percent" val="0"/>
        <cfvo type="num" val="-1" gte="0"/>
        <cfvo type="num" val="1"/>
      </iconSet>
    </cfRule>
  </conditionalFormatting>
  <conditionalFormatting sqref="V131:V132 V111:V112 V101:V102 V91:V92 V81:V82 V71:V72 V51:V52">
    <cfRule type="iconSet" priority="15">
      <iconSet showValue="0">
        <cfvo type="percent" val="0"/>
        <cfvo type="num" val="-1" gte="0"/>
        <cfvo type="num" val="1"/>
      </iconSet>
    </cfRule>
  </conditionalFormatting>
  <conditionalFormatting sqref="V59:V60 V63">
    <cfRule type="iconSet" priority="14">
      <iconSet showValue="0">
        <cfvo type="percent" val="0"/>
        <cfvo type="num" val="-1" gte="0"/>
        <cfvo type="num" val="1"/>
      </iconSet>
    </cfRule>
  </conditionalFormatting>
  <conditionalFormatting sqref="V61:V62">
    <cfRule type="iconSet" priority="13">
      <iconSet showValue="0">
        <cfvo type="percent" val="0"/>
        <cfvo type="num" val="-1" gte="0"/>
        <cfvo type="num" val="1"/>
      </iconSet>
    </cfRule>
  </conditionalFormatting>
  <conditionalFormatting sqref="V119:V120 V123">
    <cfRule type="iconSet" priority="12">
      <iconSet showValue="0">
        <cfvo type="percent" val="0"/>
        <cfvo type="num" val="-1" gte="0"/>
        <cfvo type="num" val="1"/>
      </iconSet>
    </cfRule>
  </conditionalFormatting>
  <conditionalFormatting sqref="V121:V122">
    <cfRule type="iconSet" priority="11">
      <iconSet showValue="0">
        <cfvo type="percent" val="0"/>
        <cfvo type="num" val="-1" gte="0"/>
        <cfvo type="num" val="1"/>
      </iconSet>
    </cfRule>
  </conditionalFormatting>
  <conditionalFormatting sqref="V19:V23">
    <cfRule type="iconSet" priority="10">
      <iconSet showValue="0">
        <cfvo type="percent" val="0"/>
        <cfvo type="num" val="-1" gte="0"/>
        <cfvo type="num" val="1"/>
      </iconSet>
    </cfRule>
  </conditionalFormatting>
  <conditionalFormatting sqref="V144:V145">
    <cfRule type="iconSet" priority="9">
      <iconSet showValue="0">
        <cfvo type="percent" val="0"/>
        <cfvo type="num" val="-1" gte="0"/>
        <cfvo type="num" val="1"/>
      </iconSet>
    </cfRule>
  </conditionalFormatting>
  <conditionalFormatting sqref="V146:V147">
    <cfRule type="iconSet" priority="8">
      <iconSet showValue="0">
        <cfvo type="percent" val="0"/>
        <cfvo type="num" val="-1" gte="0"/>
        <cfvo type="num" val="1"/>
      </iconSet>
    </cfRule>
  </conditionalFormatting>
  <conditionalFormatting sqref="V149">
    <cfRule type="iconSet" priority="7">
      <iconSet showValue="0">
        <cfvo type="percent" val="0"/>
        <cfvo type="num" val="-1" gte="0"/>
        <cfvo type="num" val="1"/>
      </iconSet>
    </cfRule>
  </conditionalFormatting>
  <conditionalFormatting sqref="V150:V151">
    <cfRule type="iconSet" priority="6">
      <iconSet showValue="0">
        <cfvo type="percent" val="0"/>
        <cfvo type="num" val="-1" gte="0"/>
        <cfvo type="num" val="1"/>
      </iconSet>
    </cfRule>
  </conditionalFormatting>
  <conditionalFormatting sqref="V152">
    <cfRule type="iconSet" priority="5">
      <iconSet showValue="0">
        <cfvo type="percent" val="0"/>
        <cfvo type="num" val="-1" gte="0"/>
        <cfvo type="num" val="1"/>
      </iconSet>
    </cfRule>
  </conditionalFormatting>
  <conditionalFormatting sqref="V153">
    <cfRule type="iconSet" priority="4">
      <iconSet showValue="0">
        <cfvo type="percent" val="0"/>
        <cfvo type="num" val="-1" gte="0"/>
        <cfvo type="num" val="1"/>
      </iconSet>
    </cfRule>
  </conditionalFormatting>
  <conditionalFormatting sqref="R160:R162">
    <cfRule type="iconSet" priority="2">
      <iconSet showValue="0">
        <cfvo type="percent" val="0"/>
        <cfvo type="num" val="-1" gte="0"/>
        <cfvo type="num" val="1"/>
      </iconSet>
    </cfRule>
  </conditionalFormatting>
  <conditionalFormatting sqref="R165:R167">
    <cfRule type="iconSet" priority="1">
      <iconSet showValue="0">
        <cfvo type="percent" val="0"/>
        <cfvo type="num" val="-1" gte="0"/>
        <cfvo type="num" val="1"/>
      </iconSet>
    </cfRule>
  </conditionalFormatting>
  <conditionalFormatting sqref="R178 R180 R170">
    <cfRule type="iconSet" priority="3">
      <iconSet showValue="0">
        <cfvo type="percent" val="0"/>
        <cfvo type="num" val="-1" gte="0"/>
        <cfvo type="num" val="1"/>
      </iconSet>
    </cfRule>
  </conditionalFormatting>
  <pageMargins left="0.31496062992125984" right="0.31496062992125984" top="0.55118110236220474" bottom="0.35433070866141736" header="0.31496062992125984" footer="0.31496062992125984"/>
  <pageSetup paperSize="8" scale="54" orientation="portrait" r:id="rId1"/>
  <headerFooter>
    <oddHeader>&amp;L&amp;A&amp;R&amp;D</oddHeader>
    <oddFooter>&amp;L【社外秘】&amp;C&amp;P/&amp;N&amp;R&amp;F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Y203"/>
  <sheetViews>
    <sheetView zoomScale="80" zoomScaleNormal="80" workbookViewId="0">
      <pane xSplit="3" ySplit="11" topLeftCell="D168" activePane="bottomRight" state="frozen"/>
      <selection activeCell="I184" sqref="I184"/>
      <selection pane="topRight" activeCell="I184" sqref="I184"/>
      <selection pane="bottomLeft" activeCell="I184" sqref="I184"/>
      <selection pane="bottomRight" activeCell="O24" sqref="O24"/>
    </sheetView>
  </sheetViews>
  <sheetFormatPr defaultColWidth="10" defaultRowHeight="13.5" outlineLevelRow="1" x14ac:dyDescent="0.15"/>
  <cols>
    <col min="1" max="2" width="14.625" style="350" customWidth="1"/>
    <col min="3" max="3" width="15.375" style="350" customWidth="1"/>
    <col min="4" max="15" width="13" style="350" customWidth="1"/>
    <col min="16" max="16" width="3.625" style="350" customWidth="1"/>
    <col min="17" max="17" width="13" style="350" customWidth="1"/>
    <col min="18" max="18" width="9.625" style="350" customWidth="1"/>
    <col min="19" max="19" width="13" style="350" customWidth="1"/>
    <col min="20" max="20" width="3.625" style="350" customWidth="1"/>
    <col min="21" max="21" width="13" style="350" customWidth="1"/>
    <col min="22" max="22" width="9.625" style="350" customWidth="1"/>
    <col min="23" max="23" width="4.625" style="350" hidden="1" customWidth="1"/>
    <col min="24" max="24" width="9.375" style="350" bestFit="1" customWidth="1"/>
    <col min="25" max="16384" width="10" style="350"/>
  </cols>
  <sheetData>
    <row r="1" spans="1:25" ht="36.75" customHeight="1" thickBot="1" x14ac:dyDescent="0.2">
      <c r="A1" s="2191">
        <f>D2</f>
        <v>42979</v>
      </c>
      <c r="B1" s="2191"/>
      <c r="C1" s="2192"/>
      <c r="D1" s="495" t="s">
        <v>439</v>
      </c>
      <c r="E1" s="451">
        <f>'事業所損益管理(H29.9～H30.8)収支計画表'!G1</f>
        <v>43313</v>
      </c>
      <c r="F1" s="540" t="s">
        <v>440</v>
      </c>
      <c r="G1" s="496"/>
      <c r="H1" s="540" t="s">
        <v>441</v>
      </c>
      <c r="I1" s="494"/>
      <c r="J1" s="494"/>
      <c r="K1" s="494"/>
      <c r="L1" s="494"/>
      <c r="M1" s="494"/>
      <c r="N1" s="494"/>
      <c r="O1" s="494"/>
      <c r="P1" s="494"/>
      <c r="Q1" s="494"/>
    </row>
    <row r="2" spans="1:25" ht="33" customHeight="1" thickBot="1" x14ac:dyDescent="0.2">
      <c r="A2" s="353" t="s">
        <v>33</v>
      </c>
      <c r="B2" s="354" t="s">
        <v>442</v>
      </c>
      <c r="C2" s="497" t="s">
        <v>145</v>
      </c>
      <c r="D2" s="498">
        <f>'事業所損益管理(H29.9～H30.8)収支計画表'!F2</f>
        <v>42979</v>
      </c>
      <c r="E2" s="499">
        <f>EDATE(D2,1)</f>
        <v>43009</v>
      </c>
      <c r="F2" s="500">
        <f t="shared" ref="F2:O2" si="0">EDATE(E2,1)</f>
        <v>43040</v>
      </c>
      <c r="G2" s="499">
        <f t="shared" si="0"/>
        <v>43070</v>
      </c>
      <c r="H2" s="500">
        <f t="shared" si="0"/>
        <v>43101</v>
      </c>
      <c r="I2" s="499">
        <f t="shared" si="0"/>
        <v>43132</v>
      </c>
      <c r="J2" s="500">
        <f t="shared" si="0"/>
        <v>43160</v>
      </c>
      <c r="K2" s="499">
        <f t="shared" si="0"/>
        <v>43191</v>
      </c>
      <c r="L2" s="500">
        <f t="shared" si="0"/>
        <v>43221</v>
      </c>
      <c r="M2" s="499">
        <f t="shared" si="0"/>
        <v>43252</v>
      </c>
      <c r="N2" s="500">
        <f t="shared" si="0"/>
        <v>43282</v>
      </c>
      <c r="O2" s="501">
        <f t="shared" si="0"/>
        <v>43313</v>
      </c>
      <c r="P2" s="2194" t="s">
        <v>270</v>
      </c>
      <c r="Q2" s="2195"/>
      <c r="R2" s="1270" t="s">
        <v>272</v>
      </c>
      <c r="S2" s="1430" t="s">
        <v>183</v>
      </c>
      <c r="T2" s="2178" t="s">
        <v>271</v>
      </c>
      <c r="U2" s="2179"/>
      <c r="V2" s="1271" t="s">
        <v>273</v>
      </c>
    </row>
    <row r="3" spans="1:25" ht="14.1" hidden="1" customHeight="1" outlineLevel="1" thickBot="1" x14ac:dyDescent="0.2">
      <c r="A3" s="2190" t="s">
        <v>438</v>
      </c>
      <c r="B3" s="2188" t="s">
        <v>443</v>
      </c>
      <c r="C3" s="502" t="s">
        <v>26</v>
      </c>
      <c r="D3" s="503">
        <f>'事業所損益管理(H29.9～H30.8)収支計画表'!F3</f>
        <v>75000</v>
      </c>
      <c r="E3" s="504">
        <f>'事業所損益管理(H29.9～H30.8)収支計画表'!G3</f>
        <v>75000</v>
      </c>
      <c r="F3" s="504">
        <f>'事業所損益管理(H29.9～H30.8)収支計画表'!H3</f>
        <v>75000</v>
      </c>
      <c r="G3" s="504">
        <f>'事業所損益管理(H29.9～H30.8)収支計画表'!I3</f>
        <v>75000</v>
      </c>
      <c r="H3" s="504">
        <f>'事業所損益管理(H29.9～H30.8)収支計画表'!J3</f>
        <v>75000</v>
      </c>
      <c r="I3" s="504">
        <f>'事業所損益管理(H29.9～H30.8)収支計画表'!K3</f>
        <v>75000</v>
      </c>
      <c r="J3" s="504">
        <f>'事業所損益管理(H29.9～H30.8)収支計画表'!L3</f>
        <v>75000</v>
      </c>
      <c r="K3" s="504">
        <f>'事業所損益管理(H29.9～H30.8)収支計画表'!M3</f>
        <v>75000</v>
      </c>
      <c r="L3" s="504">
        <f>'事業所損益管理(H29.9～H30.8)収支計画表'!N3</f>
        <v>75000</v>
      </c>
      <c r="M3" s="504">
        <f>'事業所損益管理(H29.9～H30.8)収支計画表'!O3</f>
        <v>75000</v>
      </c>
      <c r="N3" s="504">
        <f>'事業所損益管理(H29.9～H30.8)収支計画表'!P3</f>
        <v>75000</v>
      </c>
      <c r="O3" s="505">
        <f>'事業所損益管理(H29.9～H30.8)収支計画表'!Q3</f>
        <v>75000</v>
      </c>
      <c r="P3" s="1049"/>
      <c r="Q3" s="1039">
        <f t="shared" ref="Q3:Q8" ca="1" si="1">SUM(OFFSET(D3,0,0,1,IF(ISERROR(MATCH(DATE(YEAR($E$1),MONTH($E$1),1),$D$2:$O$2,0)),0,MATCH(DATE(YEAR($E$1),MONTH($E$1),1),$D$2:$O$2,0))))</f>
        <v>900000</v>
      </c>
      <c r="R3" s="1338"/>
      <c r="S3" s="506">
        <f ca="1">IF(ISERROR(Q3/(DATEDIF(D$2,E$1,"M")+1)),0,Q3/(DATEDIF(D$2,E$1,"M")+1))</f>
        <v>75000</v>
      </c>
      <c r="T3" s="1035"/>
      <c r="U3" s="1035">
        <f>SUM(D3:O3)</f>
        <v>900000</v>
      </c>
      <c r="V3" s="1352"/>
    </row>
    <row r="4" spans="1:25" ht="14.1" hidden="1" customHeight="1" outlineLevel="1" thickBot="1" x14ac:dyDescent="0.2">
      <c r="A4" s="2190"/>
      <c r="B4" s="2188"/>
      <c r="C4" s="508" t="s">
        <v>15</v>
      </c>
      <c r="D4" s="509">
        <f>'事業所損益管理(H29.9～H30.8)収支計画表'!F4</f>
        <v>3610000</v>
      </c>
      <c r="E4" s="510">
        <f>'事業所損益管理(H29.9～H30.8)収支計画表'!G4</f>
        <v>3910000</v>
      </c>
      <c r="F4" s="510">
        <f>'事業所損益管理(H29.9～H30.8)収支計画表'!H4</f>
        <v>3910000</v>
      </c>
      <c r="G4" s="510">
        <f>'事業所損益管理(H29.9～H30.8)収支計画表'!I4</f>
        <v>5710000</v>
      </c>
      <c r="H4" s="510">
        <f>'事業所損益管理(H29.9～H30.8)収支計画表'!J4</f>
        <v>3910000</v>
      </c>
      <c r="I4" s="510">
        <f>'事業所損益管理(H29.9～H30.8)収支計画表'!K4</f>
        <v>3910000</v>
      </c>
      <c r="J4" s="510">
        <f>'事業所損益管理(H29.9～H30.8)収支計画表'!L4</f>
        <v>3910000</v>
      </c>
      <c r="K4" s="510">
        <f>'事業所損益管理(H29.9～H30.8)収支計画表'!M4</f>
        <v>3910000</v>
      </c>
      <c r="L4" s="510">
        <f>'事業所損益管理(H29.9～H30.8)収支計画表'!N4</f>
        <v>3910000</v>
      </c>
      <c r="M4" s="510">
        <f>'事業所損益管理(H29.9～H30.8)収支計画表'!O4</f>
        <v>5660000</v>
      </c>
      <c r="N4" s="510">
        <f>'事業所損益管理(H29.9～H30.8)収支計画表'!P4</f>
        <v>3910000</v>
      </c>
      <c r="O4" s="511">
        <f>'事業所損益管理(H29.9～H30.8)収支計画表'!Q4</f>
        <v>3910000</v>
      </c>
      <c r="P4" s="1050"/>
      <c r="Q4" s="1040">
        <f ca="1">SUM(OFFSET(D4,0,0,1,IF(ISERROR(MATCH(DATE(YEAR($E$1),MONTH($E$1),1),$D$2:$O$2,0)),0,MATCH(DATE(YEAR($E$1),MONTH($E$1),1),$D$2:$O$2,0))))</f>
        <v>50170000</v>
      </c>
      <c r="R4" s="1339"/>
      <c r="S4" s="512">
        <f t="shared" ref="S4:S90" ca="1" si="2">IF(ISERROR(Q4/(DATEDIF(D$2,E$1,"M")+1)),0,Q4/(DATEDIF(D$2,E$1,"M")+1))</f>
        <v>4180833.3333333335</v>
      </c>
      <c r="T4" s="1036"/>
      <c r="U4" s="1036">
        <f>SUM(D4:O4)</f>
        <v>50170000</v>
      </c>
      <c r="V4" s="1353"/>
    </row>
    <row r="5" spans="1:25" ht="14.1" hidden="1" customHeight="1" outlineLevel="1" thickBot="1" x14ac:dyDescent="0.2">
      <c r="A5" s="2190"/>
      <c r="B5" s="2188"/>
      <c r="C5" s="508" t="s">
        <v>35</v>
      </c>
      <c r="D5" s="509">
        <f>'事業所損益管理(H29.9～H30.8)収支計画表'!F6</f>
        <v>1520000</v>
      </c>
      <c r="E5" s="510">
        <f>'事業所損益管理(H29.9～H30.8)収支計画表'!G6</f>
        <v>1520000</v>
      </c>
      <c r="F5" s="510">
        <f>'事業所損益管理(H29.9～H30.8)収支計画表'!H6</f>
        <v>1570000</v>
      </c>
      <c r="G5" s="510">
        <f>'事業所損益管理(H29.9～H30.8)収支計画表'!I6</f>
        <v>1520000</v>
      </c>
      <c r="H5" s="510">
        <f>'事業所損益管理(H29.9～H30.8)収支計画表'!J6</f>
        <v>1520000</v>
      </c>
      <c r="I5" s="510">
        <f>'事業所損益管理(H29.9～H30.8)収支計画表'!K6</f>
        <v>1520000</v>
      </c>
      <c r="J5" s="510">
        <f>'事業所損益管理(H29.9～H30.8)収支計画表'!L6</f>
        <v>1820000</v>
      </c>
      <c r="K5" s="510">
        <f>'事業所損益管理(H29.9～H30.8)収支計画表'!M6</f>
        <v>1520000</v>
      </c>
      <c r="L5" s="510">
        <f>'事業所損益管理(H29.9～H30.8)収支計画表'!N6</f>
        <v>1660000</v>
      </c>
      <c r="M5" s="510">
        <f>'事業所損益管理(H29.9～H30.8)収支計画表'!O6</f>
        <v>1520000</v>
      </c>
      <c r="N5" s="510">
        <f>'事業所損益管理(H29.9～H30.8)収支計画表'!P6</f>
        <v>1820000</v>
      </c>
      <c r="O5" s="511">
        <f>'事業所損益管理(H29.9～H30.8)収支計画表'!Q6</f>
        <v>1520000</v>
      </c>
      <c r="P5" s="1050"/>
      <c r="Q5" s="1040">
        <f t="shared" ca="1" si="1"/>
        <v>19030000</v>
      </c>
      <c r="R5" s="1339"/>
      <c r="S5" s="512">
        <f t="shared" ca="1" si="2"/>
        <v>1585833.3333333333</v>
      </c>
      <c r="T5" s="1036"/>
      <c r="U5" s="1036">
        <f>SUM(D5:O5)</f>
        <v>19030000</v>
      </c>
      <c r="V5" s="1353"/>
    </row>
    <row r="6" spans="1:25" ht="14.1" hidden="1" customHeight="1" outlineLevel="1" thickBot="1" x14ac:dyDescent="0.2">
      <c r="A6" s="2190"/>
      <c r="B6" s="2188"/>
      <c r="C6" s="514" t="s">
        <v>483</v>
      </c>
      <c r="D6" s="509">
        <f>'事業所損益管理(H29.9～H30.8)収支計画表'!F7</f>
        <v>200000</v>
      </c>
      <c r="E6" s="510">
        <f>'事業所損益管理(H29.9～H30.8)収支計画表'!G7</f>
        <v>200000</v>
      </c>
      <c r="F6" s="510">
        <f>'事業所損益管理(H29.9～H30.8)収支計画表'!H7</f>
        <v>200000</v>
      </c>
      <c r="G6" s="510">
        <f>'事業所損益管理(H29.9～H30.8)収支計画表'!I7</f>
        <v>200000</v>
      </c>
      <c r="H6" s="510">
        <f>'事業所損益管理(H29.9～H30.8)収支計画表'!J7</f>
        <v>200000</v>
      </c>
      <c r="I6" s="510">
        <f>'事業所損益管理(H29.9～H30.8)収支計画表'!K7</f>
        <v>200000</v>
      </c>
      <c r="J6" s="510">
        <f>'事業所損益管理(H29.9～H30.8)収支計画表'!L7</f>
        <v>200000</v>
      </c>
      <c r="K6" s="510">
        <f>'事業所損益管理(H29.9～H30.8)収支計画表'!M7</f>
        <v>200000</v>
      </c>
      <c r="L6" s="510">
        <f>'事業所損益管理(H29.9～H30.8)収支計画表'!N7</f>
        <v>200000</v>
      </c>
      <c r="M6" s="510">
        <f>'事業所損益管理(H29.9～H30.8)収支計画表'!O7</f>
        <v>200000</v>
      </c>
      <c r="N6" s="510">
        <f>'事業所損益管理(H29.9～H30.8)収支計画表'!P7</f>
        <v>200000</v>
      </c>
      <c r="O6" s="511">
        <f>'事業所損益管理(H29.9～H30.8)収支計画表'!Q7</f>
        <v>200000</v>
      </c>
      <c r="P6" s="1050"/>
      <c r="Q6" s="1040">
        <f ca="1">SUM(OFFSET(D6,0,0,1,IF(ISERROR(MATCH(DATE(YEAR($E$1),MONTH($E$1),1),$D$2:$O$2,0)),0,MATCH(DATE(YEAR($E$1),MONTH($E$1),1),$D$2:$O$2,0))))</f>
        <v>2400000</v>
      </c>
      <c r="R6" s="1339"/>
      <c r="S6" s="512">
        <f t="shared" ca="1" si="2"/>
        <v>200000</v>
      </c>
      <c r="T6" s="1036"/>
      <c r="U6" s="1036">
        <f>SUM(D6:O6)</f>
        <v>2400000</v>
      </c>
      <c r="V6" s="1353"/>
      <c r="Y6" s="413" t="s">
        <v>1150</v>
      </c>
    </row>
    <row r="7" spans="1:25" ht="14.1" hidden="1" customHeight="1" outlineLevel="1" thickBot="1" x14ac:dyDescent="0.2">
      <c r="A7" s="2190"/>
      <c r="B7" s="2188"/>
      <c r="C7" s="514" t="s">
        <v>484</v>
      </c>
      <c r="D7" s="509">
        <f>SUM(D4:D6)</f>
        <v>5330000</v>
      </c>
      <c r="E7" s="510">
        <f t="shared" ref="E7:O7" si="3">SUM(E4:E6)</f>
        <v>5630000</v>
      </c>
      <c r="F7" s="510">
        <f t="shared" si="3"/>
        <v>5680000</v>
      </c>
      <c r="G7" s="510">
        <f t="shared" si="3"/>
        <v>7430000</v>
      </c>
      <c r="H7" s="510">
        <f t="shared" si="3"/>
        <v>5630000</v>
      </c>
      <c r="I7" s="510">
        <f t="shared" si="3"/>
        <v>5630000</v>
      </c>
      <c r="J7" s="510">
        <f t="shared" si="3"/>
        <v>5930000</v>
      </c>
      <c r="K7" s="510">
        <f t="shared" si="3"/>
        <v>5630000</v>
      </c>
      <c r="L7" s="510">
        <f t="shared" si="3"/>
        <v>5770000</v>
      </c>
      <c r="M7" s="510">
        <f t="shared" si="3"/>
        <v>7380000</v>
      </c>
      <c r="N7" s="510">
        <f t="shared" si="3"/>
        <v>5930000</v>
      </c>
      <c r="O7" s="511">
        <f t="shared" si="3"/>
        <v>5630000</v>
      </c>
      <c r="P7" s="1050"/>
      <c r="Q7" s="1040">
        <f t="shared" ca="1" si="1"/>
        <v>71600000</v>
      </c>
      <c r="R7" s="1339"/>
      <c r="S7" s="512">
        <f t="shared" ca="1" si="2"/>
        <v>5966666.666666667</v>
      </c>
      <c r="T7" s="1036"/>
      <c r="U7" s="1036">
        <f>SUM(D7:O7)</f>
        <v>71600000</v>
      </c>
      <c r="V7" s="1353"/>
    </row>
    <row r="8" spans="1:25" ht="14.1" hidden="1" customHeight="1" outlineLevel="1" thickBot="1" x14ac:dyDescent="0.2">
      <c r="A8" s="2190"/>
      <c r="B8" s="2164" t="s">
        <v>444</v>
      </c>
      <c r="C8" s="515" t="s">
        <v>26</v>
      </c>
      <c r="D8" s="516">
        <f>'事業所損益管理(H29.9～H30.8)収支計画表'!F9</f>
        <v>0</v>
      </c>
      <c r="E8" s="517">
        <f>'事業所損益管理(H29.9～H30.8)収支計画表'!G9</f>
        <v>140400</v>
      </c>
      <c r="F8" s="517">
        <f>'事業所損益管理(H29.9～H30.8)収支計画表'!H9</f>
        <v>0</v>
      </c>
      <c r="G8" s="517">
        <f>'事業所損益管理(H29.9～H30.8)収支計画表'!I9</f>
        <v>0</v>
      </c>
      <c r="H8" s="517">
        <f>'事業所損益管理(H29.9～H30.8)収支計画表'!J9</f>
        <v>0</v>
      </c>
      <c r="I8" s="517">
        <f>'事業所損益管理(H29.9～H30.8)収支計画表'!K9</f>
        <v>0</v>
      </c>
      <c r="J8" s="517">
        <f>'事業所損益管理(H29.9～H30.8)収支計画表'!L9</f>
        <v>0</v>
      </c>
      <c r="K8" s="517">
        <f>'事業所損益管理(H29.9～H30.8)収支計画表'!M9</f>
        <v>0</v>
      </c>
      <c r="L8" s="517">
        <f>'事業所損益管理(H29.9～H30.8)収支計画表'!N9</f>
        <v>0</v>
      </c>
      <c r="M8" s="517">
        <f>'事業所損益管理(H29.9～H30.8)収支計画表'!O9</f>
        <v>0</v>
      </c>
      <c r="N8" s="517">
        <f>'事業所損益管理(H29.9～H30.8)収支計画表'!P9</f>
        <v>0</v>
      </c>
      <c r="O8" s="518">
        <f>'事業所損益管理(H29.9～H30.8)収支計画表'!Q9</f>
        <v>0</v>
      </c>
      <c r="P8" s="1055">
        <f ca="1">IF(R8&gt;=1,1,IF(R8&lt;0.9,-1,0))</f>
        <v>-1</v>
      </c>
      <c r="Q8" s="1041">
        <f t="shared" ca="1" si="1"/>
        <v>140400</v>
      </c>
      <c r="R8" s="1341">
        <f ca="1">IF(Q3&lt;0,ROUND((Q8-Q3)/ABS(Q3),3),IF(Q3=0,0,ROUND(Q8/Q3,3)))</f>
        <v>0.156</v>
      </c>
      <c r="S8" s="517">
        <f t="shared" ca="1" si="2"/>
        <v>11700</v>
      </c>
      <c r="T8" s="1372">
        <f ca="1">IF(V8&gt;=1,1,IF(V8&lt;0.9,-1,0))</f>
        <v>-1</v>
      </c>
      <c r="U8" s="1030">
        <f ca="1">Q8+(12-IF(ISERROR(MATCH(DATE(YEAR($E$1),MONTH($E$1),1),$D$2:$O$2,0)),0,MATCH(DATE(YEAR($E$1),MONTH($E$1),1),$D$2:$O$2,0)))*S8</f>
        <v>140400</v>
      </c>
      <c r="V8" s="1356">
        <f ca="1">IF(U3&lt;0,ROUND((U8-U3)/ABS(U3),3),IF(U3=0,0,ROUND(U8/U3,3)))</f>
        <v>0.156</v>
      </c>
      <c r="W8" s="999">
        <v>0.1</v>
      </c>
    </row>
    <row r="9" spans="1:25" ht="14.1" hidden="1" customHeight="1" outlineLevel="1" thickBot="1" x14ac:dyDescent="0.2">
      <c r="A9" s="2190"/>
      <c r="B9" s="2164"/>
      <c r="C9" s="519" t="s">
        <v>15</v>
      </c>
      <c r="D9" s="520">
        <f>'事業所損益管理(H29.9～H30.8)収支計画表'!F10</f>
        <v>3361765</v>
      </c>
      <c r="E9" s="521">
        <f>'事業所損益管理(H29.9～H30.8)収支計画表'!G10</f>
        <v>3416511</v>
      </c>
      <c r="F9" s="521">
        <f>'事業所損益管理(H29.9～H30.8)収支計画表'!H10</f>
        <v>4465097</v>
      </c>
      <c r="G9" s="521">
        <f>'事業所損益管理(H29.9～H30.8)収支計画表'!I10</f>
        <v>5487649.7577564418</v>
      </c>
      <c r="H9" s="521">
        <f>'事業所損益管理(H29.9～H30.8)収支計画表'!J10</f>
        <v>4509811</v>
      </c>
      <c r="I9" s="521">
        <f>'事業所損益管理(H29.9～H30.8)収支計画表'!K10</f>
        <v>3654892</v>
      </c>
      <c r="J9" s="521">
        <f>'事業所損益管理(H29.9～H30.8)収支計画表'!L10</f>
        <v>3762282</v>
      </c>
      <c r="K9" s="521">
        <f>'事業所損益管理(H29.9～H30.8)収支計画表'!M10</f>
        <v>3755392</v>
      </c>
      <c r="L9" s="521">
        <f>'事業所損益管理(H29.9～H30.8)収支計画表'!N10</f>
        <v>3762490</v>
      </c>
      <c r="M9" s="521">
        <f>'事業所損益管理(H29.9～H30.8)収支計画表'!O10</f>
        <v>4982819</v>
      </c>
      <c r="N9" s="521">
        <f>'事業所損益管理(H29.9～H30.8)収支計画表'!P10</f>
        <v>4691807</v>
      </c>
      <c r="O9" s="522">
        <f>'事業所損益管理(H29.9～H30.8)収支計画表'!Q10</f>
        <v>4057264</v>
      </c>
      <c r="P9" s="1056">
        <f ca="1">IF(R9&lt;=1,1,IF(R9&gt;1.1,-1,0))</f>
        <v>1</v>
      </c>
      <c r="Q9" s="1042">
        <f t="shared" ref="Q9:Q164" ca="1" si="4">SUM(OFFSET(D9,0,0,1,IF(ISERROR(MATCH(DATE(YEAR($E$1),MONTH($E$1),1),$D$2:$O$2,0)),0,MATCH(DATE(YEAR($E$1),MONTH($E$1),1),$D$2:$O$2,0))))</f>
        <v>49907779.757756442</v>
      </c>
      <c r="R9" s="1342">
        <f ca="1">IF(Q4&lt;0,ROUND((Q9-Q4)/ABS(Q4),3),IF(Q4=0,0,ROUND(Q9/Q4,3)))</f>
        <v>0.995</v>
      </c>
      <c r="S9" s="521">
        <f t="shared" ca="1" si="2"/>
        <v>4158981.6464797035</v>
      </c>
      <c r="T9" s="1373">
        <f ca="1">IF(V9&lt;=1,1,IF(V9&gt;1.1,-1,0))</f>
        <v>1</v>
      </c>
      <c r="U9" s="1031">
        <f ca="1">Q9+(12-IF(ISERROR(MATCH(DATE(YEAR($E$1),MONTH($E$1),1),$D$2:$O$2,0)),0,MATCH(DATE(YEAR($E$1),MONTH($E$1),1),$D$2:$O$2,0)))*S9</f>
        <v>49907779.757756442</v>
      </c>
      <c r="V9" s="1357">
        <f ca="1">IF(U4&lt;0,ROUND((U9-U4)/ABS(U4),3),IF(U4=0,0,ROUND(U9/U4,3)))</f>
        <v>0.995</v>
      </c>
      <c r="W9" s="999">
        <v>0.1</v>
      </c>
    </row>
    <row r="10" spans="1:25" ht="14.1" hidden="1" customHeight="1" outlineLevel="1" thickBot="1" x14ac:dyDescent="0.2">
      <c r="A10" s="2190"/>
      <c r="B10" s="2164"/>
      <c r="C10" s="519" t="s">
        <v>35</v>
      </c>
      <c r="D10" s="520">
        <f>'事業所損益管理(H29.9～H30.8)収支計画表'!F12</f>
        <v>1655232</v>
      </c>
      <c r="E10" s="521">
        <f>'事業所損益管理(H29.9～H30.8)収支計画表'!G12</f>
        <v>1563805</v>
      </c>
      <c r="F10" s="521">
        <f>'事業所損益管理(H29.9～H30.8)収支計画表'!H12</f>
        <v>2425654</v>
      </c>
      <c r="G10" s="521">
        <f>'事業所損益管理(H29.9～H30.8)収支計画表'!I12</f>
        <v>2104595</v>
      </c>
      <c r="H10" s="521">
        <f>'事業所損益管理(H29.9～H30.8)収支計画表'!J12</f>
        <v>2318665</v>
      </c>
      <c r="I10" s="521">
        <f>'事業所損益管理(H29.9～H30.8)収支計画表'!K12</f>
        <v>1654867</v>
      </c>
      <c r="J10" s="521">
        <f>'事業所損益管理(H29.9～H30.8)収支計画表'!L12</f>
        <v>2685780</v>
      </c>
      <c r="K10" s="521">
        <f>'事業所損益管理(H29.9～H30.8)収支計画表'!M12</f>
        <v>3392629</v>
      </c>
      <c r="L10" s="521">
        <f>'事業所損益管理(H29.9～H30.8)収支計画表'!N12</f>
        <v>2776985</v>
      </c>
      <c r="M10" s="521">
        <f>'事業所損益管理(H29.9～H30.8)収支計画表'!O12</f>
        <v>4225191</v>
      </c>
      <c r="N10" s="521">
        <f>'事業所損益管理(H29.9～H30.8)収支計画表'!P12</f>
        <v>2631277</v>
      </c>
      <c r="O10" s="522">
        <f>'事業所損益管理(H29.9～H30.8)収支計画表'!Q12</f>
        <v>3953352</v>
      </c>
      <c r="P10" s="1056">
        <f ca="1">IF(R10&lt;=1,1,IF(R10&gt;1.1,-1,0))</f>
        <v>-1</v>
      </c>
      <c r="Q10" s="1042">
        <f t="shared" ca="1" si="4"/>
        <v>31388032</v>
      </c>
      <c r="R10" s="1342">
        <f ca="1">IF(Q5&lt;0,ROUND((Q10-Q5)/ABS(Q5),3),IF(Q5=0,0,ROUND(Q10/Q5,3)))</f>
        <v>1.649</v>
      </c>
      <c r="S10" s="521">
        <f t="shared" ca="1" si="2"/>
        <v>2615669.3333333335</v>
      </c>
      <c r="T10" s="1373">
        <f ca="1">IF(V10&lt;=1,1,IF(V10&gt;1.1,-1,0))</f>
        <v>-1</v>
      </c>
      <c r="U10" s="1031">
        <f ca="1">Q10+(12-IF(ISERROR(MATCH(DATE(YEAR($E$1),MONTH($E$1),1),$D$2:$O$2,0)),0,MATCH(DATE(YEAR($E$1),MONTH($E$1),1),$D$2:$O$2,0)))*S10</f>
        <v>31388032</v>
      </c>
      <c r="V10" s="1357">
        <f ca="1">IF(U5&lt;0,ROUND((U10-U5)/ABS(U5),3),IF(U5=0,0,ROUND(U10/U5,3)))</f>
        <v>1.649</v>
      </c>
      <c r="W10" s="999">
        <v>0.1</v>
      </c>
    </row>
    <row r="11" spans="1:25" ht="14.1" hidden="1" customHeight="1" outlineLevel="1" thickBot="1" x14ac:dyDescent="0.2">
      <c r="A11" s="2190"/>
      <c r="B11" s="2164"/>
      <c r="C11" s="450" t="s">
        <v>1010</v>
      </c>
      <c r="D11" s="520">
        <f t="shared" ref="D11:O11" si="5">SUM(D9:D10)</f>
        <v>5016997</v>
      </c>
      <c r="E11" s="521">
        <f t="shared" si="5"/>
        <v>4980316</v>
      </c>
      <c r="F11" s="521">
        <f t="shared" si="5"/>
        <v>6890751</v>
      </c>
      <c r="G11" s="521">
        <f t="shared" si="5"/>
        <v>7592244.7577564418</v>
      </c>
      <c r="H11" s="521">
        <f t="shared" si="5"/>
        <v>6828476</v>
      </c>
      <c r="I11" s="521">
        <f t="shared" si="5"/>
        <v>5309759</v>
      </c>
      <c r="J11" s="521">
        <f t="shared" si="5"/>
        <v>6448062</v>
      </c>
      <c r="K11" s="521">
        <f t="shared" si="5"/>
        <v>7148021</v>
      </c>
      <c r="L11" s="521">
        <f t="shared" si="5"/>
        <v>6539475</v>
      </c>
      <c r="M11" s="521">
        <f t="shared" si="5"/>
        <v>9208010</v>
      </c>
      <c r="N11" s="521">
        <f t="shared" si="5"/>
        <v>7323084</v>
      </c>
      <c r="O11" s="522">
        <f t="shared" si="5"/>
        <v>8010616</v>
      </c>
      <c r="P11" s="1057">
        <f ca="1">IF(R11&lt;=1,1,IF(R11&gt;1.1,-1,0))</f>
        <v>-1</v>
      </c>
      <c r="Q11" s="1042">
        <f t="shared" ca="1" si="4"/>
        <v>81295811.757756442</v>
      </c>
      <c r="R11" s="1342">
        <f ca="1">IF(Q7&lt;0,ROUND((Q11-Q7)/ABS(Q7),3),IF(Q7=0,0,ROUND(Q11/Q7,3)))</f>
        <v>1.135</v>
      </c>
      <c r="S11" s="521">
        <f t="shared" ca="1" si="2"/>
        <v>6774650.9798130365</v>
      </c>
      <c r="T11" s="1374">
        <f ca="1">IF(V11&lt;=1,1,IF(V11&gt;1.1,-1,0))</f>
        <v>-1</v>
      </c>
      <c r="U11" s="1031">
        <f ca="1">Q11+(12-IF(ISERROR(MATCH(DATE(YEAR($E$1),MONTH($E$1),1),$D$2:$O$2,0)),0,MATCH(DATE(YEAR($E$1),MONTH($E$1),1),$D$2:$O$2,0)))*S11</f>
        <v>81295811.757756442</v>
      </c>
      <c r="V11" s="1357">
        <f ca="1">IF(U7&lt;0,ROUND((U11-U7)/ABS(U7),3),IF(U7=0,0,ROUND(U11/U7,3)))</f>
        <v>1.135</v>
      </c>
      <c r="W11" s="999">
        <v>0.1</v>
      </c>
    </row>
    <row r="12" spans="1:25" ht="14.1" customHeight="1" collapsed="1" thickBot="1" x14ac:dyDescent="0.2">
      <c r="A12" s="2190" t="s">
        <v>34</v>
      </c>
      <c r="B12" s="2188" t="s">
        <v>443</v>
      </c>
      <c r="C12" s="502" t="s">
        <v>26</v>
      </c>
      <c r="D12" s="503">
        <f>'事業所損益管理(H29.9～H30.8)収支計画表'!F14</f>
        <v>10000000</v>
      </c>
      <c r="E12" s="504">
        <f>'事業所損益管理(H29.9～H30.8)収支計画表'!G14</f>
        <v>10000000</v>
      </c>
      <c r="F12" s="504">
        <f>'事業所損益管理(H29.9～H30.8)収支計画表'!H14</f>
        <v>10000000</v>
      </c>
      <c r="G12" s="504">
        <f>'事業所損益管理(H29.9～H30.8)収支計画表'!I14</f>
        <v>10000000</v>
      </c>
      <c r="H12" s="504">
        <f>'事業所損益管理(H29.9～H30.8)収支計画表'!J14</f>
        <v>10000000</v>
      </c>
      <c r="I12" s="504">
        <f>'事業所損益管理(H29.9～H30.8)収支計画表'!K14</f>
        <v>10000000</v>
      </c>
      <c r="J12" s="504">
        <f>'事業所損益管理(H29.9～H30.8)収支計画表'!L14</f>
        <v>10500000</v>
      </c>
      <c r="K12" s="504">
        <f>'事業所損益管理(H29.9～H30.8)収支計画表'!M14</f>
        <v>10500000</v>
      </c>
      <c r="L12" s="504">
        <f>'事業所損益管理(H29.9～H30.8)収支計画表'!N14</f>
        <v>10500000</v>
      </c>
      <c r="M12" s="504">
        <f>'事業所損益管理(H29.9～H30.8)収支計画表'!O14</f>
        <v>10500000</v>
      </c>
      <c r="N12" s="504">
        <f>'事業所損益管理(H29.9～H30.8)収支計画表'!P14</f>
        <v>10500000</v>
      </c>
      <c r="O12" s="505">
        <f>'事業所損益管理(H29.9～H30.8)収支計画表'!Q14</f>
        <v>10500000</v>
      </c>
      <c r="P12" s="1049"/>
      <c r="Q12" s="1039">
        <f t="shared" ca="1" si="4"/>
        <v>123000000</v>
      </c>
      <c r="R12" s="1338"/>
      <c r="S12" s="506">
        <f t="shared" ca="1" si="2"/>
        <v>10250000</v>
      </c>
      <c r="T12" s="1035"/>
      <c r="U12" s="1035">
        <f t="shared" ref="U12:U17" si="6">SUM(D12:O12)</f>
        <v>123000000</v>
      </c>
      <c r="V12" s="1352"/>
    </row>
    <row r="13" spans="1:25" ht="14.1" customHeight="1" thickBot="1" x14ac:dyDescent="0.2">
      <c r="A13" s="2190"/>
      <c r="B13" s="2188"/>
      <c r="C13" s="508" t="s">
        <v>15</v>
      </c>
      <c r="D13" s="509">
        <f>'事業所損益管理(H29.9～H30.8)収支計画表'!F15</f>
        <v>6700000</v>
      </c>
      <c r="E13" s="510">
        <f>'事業所損益管理(H29.9～H30.8)収支計画表'!G15</f>
        <v>6700000</v>
      </c>
      <c r="F13" s="510">
        <f>'事業所損益管理(H29.9～H30.8)収支計画表'!H15</f>
        <v>6700000</v>
      </c>
      <c r="G13" s="510">
        <f>'事業所損益管理(H29.9～H30.8)収支計画表'!I15</f>
        <v>10150000</v>
      </c>
      <c r="H13" s="510">
        <f>'事業所損益管理(H29.9～H30.8)収支計画表'!J15</f>
        <v>6450000</v>
      </c>
      <c r="I13" s="510">
        <f>'事業所損益管理(H29.9～H30.8)収支計画表'!K15</f>
        <v>6450000</v>
      </c>
      <c r="J13" s="510">
        <f>'事業所損益管理(H29.9～H30.8)収支計画表'!L15</f>
        <v>6650000</v>
      </c>
      <c r="K13" s="510">
        <f>'事業所損益管理(H29.9～H30.8)収支計画表'!M15</f>
        <v>6650000</v>
      </c>
      <c r="L13" s="510">
        <f>'事業所損益管理(H29.9～H30.8)収支計画表'!N15</f>
        <v>6650000</v>
      </c>
      <c r="M13" s="510">
        <f>'事業所損益管理(H29.9～H30.8)収支計画表'!O15</f>
        <v>9950000</v>
      </c>
      <c r="N13" s="510">
        <f>'事業所損益管理(H29.9～H30.8)収支計画表'!P15</f>
        <v>6650000</v>
      </c>
      <c r="O13" s="511">
        <f>'事業所損益管理(H29.9～H30.8)収支計画表'!Q15</f>
        <v>6650000</v>
      </c>
      <c r="P13" s="1050"/>
      <c r="Q13" s="1040">
        <f t="shared" ca="1" si="4"/>
        <v>86350000</v>
      </c>
      <c r="R13" s="1339"/>
      <c r="S13" s="512">
        <f t="shared" ca="1" si="2"/>
        <v>7195833.333333333</v>
      </c>
      <c r="T13" s="1036"/>
      <c r="U13" s="1036">
        <f t="shared" si="6"/>
        <v>86350000</v>
      </c>
      <c r="V13" s="1353"/>
    </row>
    <row r="14" spans="1:25" ht="14.1" customHeight="1" thickBot="1" x14ac:dyDescent="0.2">
      <c r="A14" s="2190"/>
      <c r="B14" s="2188"/>
      <c r="C14" s="514" t="s">
        <v>447</v>
      </c>
      <c r="D14" s="509">
        <f>'事業所損益管理(H29.9～H30.8)収支計画表'!F16</f>
        <v>100000</v>
      </c>
      <c r="E14" s="510">
        <f>'事業所損益管理(H29.9～H30.8)収支計画表'!G16</f>
        <v>50000</v>
      </c>
      <c r="F14" s="510">
        <f>'事業所損益管理(H29.9～H30.8)収支計画表'!H16</f>
        <v>50000</v>
      </c>
      <c r="G14" s="510">
        <f>'事業所損益管理(H29.9～H30.8)収支計画表'!I16</f>
        <v>50000</v>
      </c>
      <c r="H14" s="510">
        <f>'事業所損益管理(H29.9～H30.8)収支計画表'!J16</f>
        <v>50000</v>
      </c>
      <c r="I14" s="510">
        <f>'事業所損益管理(H29.9～H30.8)収支計画表'!K16</f>
        <v>50000</v>
      </c>
      <c r="J14" s="510">
        <f>'事業所損益管理(H29.9～H30.8)収支計画表'!L16</f>
        <v>50000</v>
      </c>
      <c r="K14" s="510">
        <f>'事業所損益管理(H29.9～H30.8)収支計画表'!M16</f>
        <v>100000</v>
      </c>
      <c r="L14" s="510">
        <f>'事業所損益管理(H29.9～H30.8)収支計画表'!N16</f>
        <v>50000</v>
      </c>
      <c r="M14" s="510">
        <f>'事業所損益管理(H29.9～H30.8)収支計画表'!O16</f>
        <v>50000</v>
      </c>
      <c r="N14" s="510">
        <f>'事業所損益管理(H29.9～H30.8)収支計画表'!P16</f>
        <v>50000</v>
      </c>
      <c r="O14" s="511">
        <f>'事業所損益管理(H29.9～H30.8)収支計画表'!Q16</f>
        <v>50000</v>
      </c>
      <c r="P14" s="1050"/>
      <c r="Q14" s="1040">
        <f t="shared" ca="1" si="4"/>
        <v>700000</v>
      </c>
      <c r="R14" s="1339"/>
      <c r="S14" s="512">
        <f t="shared" ca="1" si="2"/>
        <v>58333.333333333336</v>
      </c>
      <c r="T14" s="1036"/>
      <c r="U14" s="1036">
        <f t="shared" si="6"/>
        <v>700000</v>
      </c>
      <c r="V14" s="1353"/>
    </row>
    <row r="15" spans="1:25" ht="14.1" customHeight="1" thickBot="1" x14ac:dyDescent="0.2">
      <c r="A15" s="2190"/>
      <c r="B15" s="2188"/>
      <c r="C15" s="508" t="s">
        <v>35</v>
      </c>
      <c r="D15" s="509">
        <f>'事業所損益管理(H29.9～H30.8)収支計画表'!F17</f>
        <v>700000</v>
      </c>
      <c r="E15" s="510">
        <f>'事業所損益管理(H29.9～H30.8)収支計画表'!G17</f>
        <v>700000</v>
      </c>
      <c r="F15" s="510">
        <f>'事業所損益管理(H29.9～H30.8)収支計画表'!H17</f>
        <v>750000</v>
      </c>
      <c r="G15" s="510">
        <f>'事業所損益管理(H29.9～H30.8)収支計画表'!I17</f>
        <v>650000</v>
      </c>
      <c r="H15" s="510">
        <f>'事業所損益管理(H29.9～H30.8)収支計画表'!J17</f>
        <v>700000</v>
      </c>
      <c r="I15" s="510">
        <f>'事業所損益管理(H29.9～H30.8)収支計画表'!K17</f>
        <v>700000</v>
      </c>
      <c r="J15" s="510">
        <f>'事業所損益管理(H29.9～H30.8)収支計画表'!L17</f>
        <v>720000</v>
      </c>
      <c r="K15" s="510">
        <f>'事業所損益管理(H29.9～H30.8)収支計画表'!M17</f>
        <v>720000</v>
      </c>
      <c r="L15" s="510">
        <f>'事業所損益管理(H29.9～H30.8)収支計画表'!N17</f>
        <v>720000</v>
      </c>
      <c r="M15" s="510">
        <f>'事業所損益管理(H29.9～H30.8)収支計画表'!O17</f>
        <v>720000</v>
      </c>
      <c r="N15" s="510">
        <f>'事業所損益管理(H29.9～H30.8)収支計画表'!P17</f>
        <v>650000</v>
      </c>
      <c r="O15" s="511">
        <f>'事業所損益管理(H29.9～H30.8)収支計画表'!Q17</f>
        <v>720000</v>
      </c>
      <c r="P15" s="1050"/>
      <c r="Q15" s="1040">
        <f t="shared" ca="1" si="4"/>
        <v>8450000</v>
      </c>
      <c r="R15" s="1339"/>
      <c r="S15" s="512">
        <f t="shared" ca="1" si="2"/>
        <v>704166.66666666663</v>
      </c>
      <c r="T15" s="1036"/>
      <c r="U15" s="1036">
        <f t="shared" si="6"/>
        <v>8450000</v>
      </c>
      <c r="V15" s="1353"/>
    </row>
    <row r="16" spans="1:25" ht="14.1" customHeight="1" thickBot="1" x14ac:dyDescent="0.2">
      <c r="A16" s="2190"/>
      <c r="B16" s="2188"/>
      <c r="C16" s="523" t="s">
        <v>494</v>
      </c>
      <c r="D16" s="524">
        <v>1800000</v>
      </c>
      <c r="E16" s="525">
        <v>1800000</v>
      </c>
      <c r="F16" s="525">
        <v>1800000</v>
      </c>
      <c r="G16" s="525">
        <v>1800000</v>
      </c>
      <c r="H16" s="525">
        <v>1800000</v>
      </c>
      <c r="I16" s="525">
        <v>1800000</v>
      </c>
      <c r="J16" s="525">
        <v>1800000</v>
      </c>
      <c r="K16" s="525">
        <v>1800000</v>
      </c>
      <c r="L16" s="525">
        <v>1800000</v>
      </c>
      <c r="M16" s="525">
        <v>1800000</v>
      </c>
      <c r="N16" s="525">
        <v>2100000</v>
      </c>
      <c r="O16" s="526">
        <v>2100000</v>
      </c>
      <c r="P16" s="1051"/>
      <c r="Q16" s="1043">
        <f t="shared" ca="1" si="4"/>
        <v>22200000</v>
      </c>
      <c r="R16" s="1339"/>
      <c r="S16" s="527">
        <f t="shared" ca="1" si="2"/>
        <v>1850000</v>
      </c>
      <c r="T16" s="1033"/>
      <c r="U16" s="1033">
        <f t="shared" si="6"/>
        <v>22200000</v>
      </c>
      <c r="V16" s="1353"/>
    </row>
    <row r="17" spans="1:25" ht="14.1" customHeight="1" thickBot="1" x14ac:dyDescent="0.2">
      <c r="A17" s="2190"/>
      <c r="B17" s="2188"/>
      <c r="C17" s="529" t="s">
        <v>32</v>
      </c>
      <c r="D17" s="530">
        <v>800000</v>
      </c>
      <c r="E17" s="531">
        <v>800000</v>
      </c>
      <c r="F17" s="531">
        <v>750000</v>
      </c>
      <c r="G17" s="531">
        <v>-2600000</v>
      </c>
      <c r="H17" s="531">
        <v>750000</v>
      </c>
      <c r="I17" s="531">
        <v>750000</v>
      </c>
      <c r="J17" s="531">
        <v>1030000</v>
      </c>
      <c r="K17" s="531">
        <v>1030000</v>
      </c>
      <c r="L17" s="531">
        <v>1030000</v>
      </c>
      <c r="M17" s="531">
        <v>-2270000</v>
      </c>
      <c r="N17" s="531">
        <v>1100000</v>
      </c>
      <c r="O17" s="532">
        <v>1030000</v>
      </c>
      <c r="P17" s="1052"/>
      <c r="Q17" s="1044">
        <f ca="1">SUM(OFFSET(D17,0,0,1,IF(ISERROR(MATCH(DATE(YEAR($E$1),MONTH($E$1),1),$D$2:$O$2,0)),0,MATCH(DATE(YEAR($E$1),MONTH($E$1),1),$D$2:$O$2,0))))</f>
        <v>4200000</v>
      </c>
      <c r="R17" s="1340"/>
      <c r="S17" s="531">
        <f t="shared" ca="1" si="2"/>
        <v>350000</v>
      </c>
      <c r="T17" s="1032"/>
      <c r="U17" s="1032">
        <f t="shared" si="6"/>
        <v>4200000</v>
      </c>
      <c r="V17" s="1355"/>
      <c r="Y17" s="2155" t="s">
        <v>1165</v>
      </c>
    </row>
    <row r="18" spans="1:25" ht="14.1" customHeight="1" thickBot="1" x14ac:dyDescent="0.2">
      <c r="A18" s="2190"/>
      <c r="B18" s="2164" t="s">
        <v>444</v>
      </c>
      <c r="C18" s="515" t="s">
        <v>26</v>
      </c>
      <c r="D18" s="516">
        <f>'事業所損益管理(H29.9～H30.8)収支計画表'!F19</f>
        <v>10291903</v>
      </c>
      <c r="E18" s="517">
        <f>'事業所損益管理(H29.9～H30.8)収支計画表'!G19</f>
        <v>10634528</v>
      </c>
      <c r="F18" s="517">
        <f>'事業所損益管理(H29.9～H30.8)収支計画表'!H19</f>
        <v>9718481</v>
      </c>
      <c r="G18" s="517">
        <f>'事業所損益管理(H29.9～H30.8)収支計画表'!I19</f>
        <v>10007332</v>
      </c>
      <c r="H18" s="517">
        <f>'事業所損益管理(H29.9～H30.8)収支計画表'!J19</f>
        <v>10050857</v>
      </c>
      <c r="I18" s="517">
        <f>'事業所損益管理(H29.9～H30.8)収支計画表'!K19</f>
        <v>9647827</v>
      </c>
      <c r="J18" s="517">
        <f>'事業所損益管理(H29.9～H30.8)収支計画表'!L19</f>
        <v>10237581</v>
      </c>
      <c r="K18" s="517">
        <f>'事業所損益管理(H29.9～H30.8)収支計画表'!M19</f>
        <v>10301194</v>
      </c>
      <c r="L18" s="517">
        <f>'事業所損益管理(H29.9～H30.8)収支計画表'!N19</f>
        <v>10772827</v>
      </c>
      <c r="M18" s="517">
        <f>'事業所損益管理(H29.9～H30.8)収支計画表'!O19</f>
        <v>9835106</v>
      </c>
      <c r="N18" s="517">
        <f>'事業所損益管理(H29.9～H30.8)収支計画表'!P19</f>
        <v>11042771</v>
      </c>
      <c r="O18" s="518">
        <f>'事業所損益管理(H29.9～H30.8)収支計画表'!Q19</f>
        <v>9842755</v>
      </c>
      <c r="P18" s="1055">
        <f ca="1">IF(R18&gt;=1,1,IF(R18&lt;0.9,-1,0))</f>
        <v>0</v>
      </c>
      <c r="Q18" s="1041">
        <f t="shared" ca="1" si="4"/>
        <v>122383162</v>
      </c>
      <c r="R18" s="1341">
        <f ca="1">IF(Q12&lt;0,ROUND((Q18-Q12)/ABS(Q12),3),IF(Q12=0,0,ROUND(Q18/Q12,3)))</f>
        <v>0.995</v>
      </c>
      <c r="S18" s="517">
        <f t="shared" ca="1" si="2"/>
        <v>10198596.833333334</v>
      </c>
      <c r="T18" s="1372">
        <f ca="1">IF(V18&gt;=1,1,IF(V18&lt;0.9,-1,0))</f>
        <v>0</v>
      </c>
      <c r="U18" s="1030">
        <f t="shared" ref="U18:U23" ca="1" si="7">Q18+(12-IF(ISERROR(MATCH(DATE(YEAR($E$1),MONTH($E$1),1),$D$2:$O$2,0)),0,MATCH(DATE(YEAR($E$1),MONTH($E$1),1),$D$2:$O$2,0)))*S18</f>
        <v>122383162</v>
      </c>
      <c r="V18" s="1356">
        <f ca="1">IF(U12&lt;0,ROUND((U18-U12)/ABS(U12),3),IF(U12=0,0,ROUND(U18/U12,3)))</f>
        <v>0.995</v>
      </c>
      <c r="W18" s="999">
        <v>0.1</v>
      </c>
      <c r="Y18" s="2156"/>
    </row>
    <row r="19" spans="1:25" ht="14.1" customHeight="1" thickBot="1" x14ac:dyDescent="0.2">
      <c r="A19" s="2190"/>
      <c r="B19" s="2164"/>
      <c r="C19" s="519" t="s">
        <v>15</v>
      </c>
      <c r="D19" s="520">
        <f>'事業所損益管理(H29.9～H30.8)収支計画表'!F20</f>
        <v>5686858</v>
      </c>
      <c r="E19" s="521">
        <f>'事業所損益管理(H29.9～H30.8)収支計画表'!G20</f>
        <v>5926745</v>
      </c>
      <c r="F19" s="521">
        <f>'事業所損益管理(H29.9～H30.8)収支計画表'!H20</f>
        <v>5874921</v>
      </c>
      <c r="G19" s="521">
        <f>'事業所損益管理(H29.9～H30.8)収支計画表'!I20</f>
        <v>9246413.5809065793</v>
      </c>
      <c r="H19" s="521">
        <f>'事業所損益管理(H29.9～H30.8)収支計画表'!J20</f>
        <v>6117998</v>
      </c>
      <c r="I19" s="521">
        <f>'事業所損益管理(H29.9～H30.8)収支計画表'!K20</f>
        <v>5099734</v>
      </c>
      <c r="J19" s="521">
        <f>'事業所損益管理(H29.9～H30.8)収支計画表'!L20</f>
        <v>5529722</v>
      </c>
      <c r="K19" s="521">
        <f>'事業所損益管理(H29.9～H30.8)収支計画表'!M20</f>
        <v>5610054</v>
      </c>
      <c r="L19" s="521">
        <f>'事業所損益管理(H29.9～H30.8)収支計画表'!N20</f>
        <v>5597651</v>
      </c>
      <c r="M19" s="521">
        <f>'事業所損益管理(H29.9～H30.8)収支計画表'!O20</f>
        <v>8343946</v>
      </c>
      <c r="N19" s="521">
        <f>'事業所損益管理(H29.9～H30.8)収支計画表'!P20</f>
        <v>6323797</v>
      </c>
      <c r="O19" s="522">
        <f>'事業所損益管理(H29.9～H30.8)収支計画表'!Q20</f>
        <v>6012816</v>
      </c>
      <c r="P19" s="1056">
        <f ca="1">IF(R19&lt;=1,1,IF(R19&gt;1.1,-1,0))</f>
        <v>1</v>
      </c>
      <c r="Q19" s="1042">
        <f t="shared" ca="1" si="4"/>
        <v>75370655.58090657</v>
      </c>
      <c r="R19" s="1342">
        <f ca="1">IF(Q13&lt;0,ROUND((Q19-Q13)/ABS(Q13),3),IF(Q13=0,0,ROUND(Q19/Q13,3)))</f>
        <v>0.873</v>
      </c>
      <c r="S19" s="521">
        <f t="shared" ca="1" si="2"/>
        <v>6280887.9650755478</v>
      </c>
      <c r="T19" s="1373">
        <f ca="1">IF(V19&lt;=1,1,IF(V19&gt;1.1,-1,0))</f>
        <v>1</v>
      </c>
      <c r="U19" s="1031">
        <f t="shared" ca="1" si="7"/>
        <v>75370655.58090657</v>
      </c>
      <c r="V19" s="1357">
        <f ca="1">IF(U13&lt;0,ROUND((U19-U13)/ABS(U13),3),IF(U13=0,0,ROUND(U19/U13,3)))</f>
        <v>0.873</v>
      </c>
      <c r="W19" s="999">
        <v>0.1</v>
      </c>
      <c r="Y19" s="2156"/>
    </row>
    <row r="20" spans="1:25" ht="14.1" customHeight="1" thickBot="1" x14ac:dyDescent="0.2">
      <c r="A20" s="2190"/>
      <c r="B20" s="2164"/>
      <c r="C20" s="450" t="s">
        <v>448</v>
      </c>
      <c r="D20" s="520">
        <f>'事業所損益管理(H29.9～H30.8)収支計画表'!F21</f>
        <v>50090</v>
      </c>
      <c r="E20" s="521">
        <f>'事業所損益管理(H29.9～H30.8)収支計画表'!G21</f>
        <v>7621</v>
      </c>
      <c r="F20" s="521">
        <f>'事業所損益管理(H29.9～H30.8)収支計画表'!H21</f>
        <v>98400</v>
      </c>
      <c r="G20" s="521">
        <f>'事業所損益管理(H29.9～H30.8)収支計画表'!I21</f>
        <v>48600</v>
      </c>
      <c r="H20" s="521">
        <f>'事業所損益管理(H29.9～H30.8)収支計画表'!J21</f>
        <v>25920</v>
      </c>
      <c r="I20" s="521">
        <f>'事業所損益管理(H29.9～H30.8)収支計画表'!K21</f>
        <v>97200</v>
      </c>
      <c r="J20" s="521">
        <f>'事業所損益管理(H29.9～H30.8)収支計画表'!L21</f>
        <v>48600</v>
      </c>
      <c r="K20" s="521">
        <f>'事業所損益管理(H29.9～H30.8)収支計画表'!M21</f>
        <v>48600</v>
      </c>
      <c r="L20" s="521">
        <f>'事業所損益管理(H29.9～H30.8)収支計画表'!N21</f>
        <v>194400</v>
      </c>
      <c r="M20" s="521">
        <f>'事業所損益管理(H29.9～H30.8)収支計画表'!O21</f>
        <v>0</v>
      </c>
      <c r="N20" s="521">
        <f>'事業所損益管理(H29.9～H30.8)収支計画表'!P21</f>
        <v>148500</v>
      </c>
      <c r="O20" s="522">
        <f>'事業所損益管理(H29.9～H30.8)収支計画表'!Q21</f>
        <v>97200</v>
      </c>
      <c r="P20" s="1056">
        <f ca="1">IF(R20&lt;=1,1,IF(R20&gt;1.1,-1,0))</f>
        <v>-1</v>
      </c>
      <c r="Q20" s="1042">
        <f ca="1">SUM(OFFSET(D20,0,0,1,IF(ISERROR(MATCH(DATE(YEAR($E$1),MONTH($E$1),1),$D$2:$O$2,0)),0,MATCH(DATE(YEAR($E$1),MONTH($E$1),1),$D$2:$O$2,0))))</f>
        <v>865131</v>
      </c>
      <c r="R20" s="1342">
        <f ca="1">IF(Q14&lt;0,ROUND((Q20-Q14)/ABS(Q14),3),IF(Q14=0,0,ROUND(Q20/Q14,3)))</f>
        <v>1.236</v>
      </c>
      <c r="S20" s="521">
        <f t="shared" ca="1" si="2"/>
        <v>72094.25</v>
      </c>
      <c r="T20" s="1373">
        <f ca="1">IF(V20&lt;=1,1,IF(V20&gt;1.1,-1,0))</f>
        <v>-1</v>
      </c>
      <c r="U20" s="1031">
        <f t="shared" ca="1" si="7"/>
        <v>865131</v>
      </c>
      <c r="V20" s="1357">
        <f ca="1">IF(U14&lt;0,ROUND((U20-U14)/ABS(U14),3),IF(U14=0,0,ROUND(U20/U14,3)))</f>
        <v>1.236</v>
      </c>
      <c r="W20" s="999">
        <v>0.1</v>
      </c>
      <c r="Y20" s="2156"/>
    </row>
    <row r="21" spans="1:25" ht="14.1" customHeight="1" thickBot="1" x14ac:dyDescent="0.2">
      <c r="A21" s="2190"/>
      <c r="B21" s="2164"/>
      <c r="C21" s="519" t="s">
        <v>35</v>
      </c>
      <c r="D21" s="520">
        <f>'事業所損益管理(H29.9～H30.8)収支計画表'!F22</f>
        <v>693471</v>
      </c>
      <c r="E21" s="521">
        <f>'事業所損益管理(H29.9～H30.8)収支計画表'!G22</f>
        <v>731238</v>
      </c>
      <c r="F21" s="521">
        <f>'事業所損益管理(H29.9～H30.8)収支計画表'!H22</f>
        <v>718518</v>
      </c>
      <c r="G21" s="521">
        <f>'事業所損益管理(H29.9～H30.8)収支計画表'!I22</f>
        <v>1226343</v>
      </c>
      <c r="H21" s="521">
        <f>'事業所損益管理(H29.9～H30.8)収支計画表'!J22</f>
        <v>748654</v>
      </c>
      <c r="I21" s="521">
        <f>'事業所損益管理(H29.9～H30.8)収支計画表'!K22</f>
        <v>865331</v>
      </c>
      <c r="J21" s="521">
        <f>'事業所損益管理(H29.9～H30.8)収支計画表'!L22</f>
        <v>1009607</v>
      </c>
      <c r="K21" s="521">
        <f>'事業所損益管理(H29.9～H30.8)収支計画表'!M22</f>
        <v>923174</v>
      </c>
      <c r="L21" s="521">
        <f>'事業所損益管理(H29.9～H30.8)収支計画表'!N22</f>
        <v>1100663</v>
      </c>
      <c r="M21" s="521">
        <f>'事業所損益管理(H29.9～H30.8)収支計画表'!O22</f>
        <v>816030</v>
      </c>
      <c r="N21" s="521">
        <f>'事業所損益管理(H29.9～H30.8)収支計画表'!P22</f>
        <v>1023675</v>
      </c>
      <c r="O21" s="522">
        <f>'事業所損益管理(H29.9～H30.8)収支計画表'!Q22</f>
        <v>1058189</v>
      </c>
      <c r="P21" s="1056">
        <f ca="1">IF(R21&lt;=1,1,IF(R21&gt;1.1,-1,0))</f>
        <v>-1</v>
      </c>
      <c r="Q21" s="1042">
        <f t="shared" ca="1" si="4"/>
        <v>10914893</v>
      </c>
      <c r="R21" s="1342">
        <f ca="1">IF(Q15&lt;0,ROUND((Q21-Q15)/ABS(Q15),3),IF(Q15=0,0,ROUND(Q21/Q15,3)))</f>
        <v>1.292</v>
      </c>
      <c r="S21" s="521">
        <f t="shared" ca="1" si="2"/>
        <v>909574.41666666663</v>
      </c>
      <c r="T21" s="1373">
        <f ca="1">IF(V21&lt;=1,1,IF(V21&gt;1.1,-1,0))</f>
        <v>-1</v>
      </c>
      <c r="U21" s="1031">
        <f t="shared" ca="1" si="7"/>
        <v>10914893</v>
      </c>
      <c r="V21" s="1357">
        <f ca="1">IF(U15&lt;0,ROUND((U21-U15)/ABS(U15),3),IF(U15=0,0,ROUND(U21/U15,3)))</f>
        <v>1.292</v>
      </c>
      <c r="W21" s="999">
        <v>0.1</v>
      </c>
      <c r="Y21" s="2156"/>
    </row>
    <row r="22" spans="1:25" ht="14.1" customHeight="1" thickBot="1" x14ac:dyDescent="0.2">
      <c r="A22" s="2190"/>
      <c r="B22" s="2164"/>
      <c r="C22" s="523" t="s">
        <v>495</v>
      </c>
      <c r="D22" s="533">
        <f>IF(D19=0,0,D16)</f>
        <v>1800000</v>
      </c>
      <c r="E22" s="527">
        <f t="shared" ref="E22:O22" si="8">IF(E19=0,0,E16)</f>
        <v>1800000</v>
      </c>
      <c r="F22" s="527">
        <f t="shared" si="8"/>
        <v>1800000</v>
      </c>
      <c r="G22" s="527">
        <f t="shared" si="8"/>
        <v>1800000</v>
      </c>
      <c r="H22" s="527">
        <f t="shared" si="8"/>
        <v>1800000</v>
      </c>
      <c r="I22" s="527">
        <f t="shared" si="8"/>
        <v>1800000</v>
      </c>
      <c r="J22" s="527">
        <f t="shared" si="8"/>
        <v>1800000</v>
      </c>
      <c r="K22" s="527">
        <f t="shared" si="8"/>
        <v>1800000</v>
      </c>
      <c r="L22" s="527">
        <f t="shared" si="8"/>
        <v>1800000</v>
      </c>
      <c r="M22" s="527">
        <f t="shared" si="8"/>
        <v>1800000</v>
      </c>
      <c r="N22" s="527">
        <f t="shared" si="8"/>
        <v>2100000</v>
      </c>
      <c r="O22" s="528">
        <f t="shared" si="8"/>
        <v>2100000</v>
      </c>
      <c r="P22" s="1058"/>
      <c r="Q22" s="1043">
        <f ca="1">SUM(OFFSET(D22,0,0,1,IF(ISERROR(MATCH(DATE(YEAR($E$1),MONTH($E$1),1),$D$2:$O$2,0)),0,MATCH(DATE(YEAR($E$1),MONTH($E$1),1),$D$2:$O$2,0))))</f>
        <v>22200000</v>
      </c>
      <c r="R22" s="1339"/>
      <c r="S22" s="527">
        <f t="shared" ca="1" si="2"/>
        <v>1850000</v>
      </c>
      <c r="T22" s="1429"/>
      <c r="U22" s="1033">
        <f t="shared" ca="1" si="7"/>
        <v>22200000</v>
      </c>
      <c r="V22" s="1353"/>
      <c r="W22" s="999">
        <v>0.1</v>
      </c>
      <c r="Y22" s="2156"/>
    </row>
    <row r="23" spans="1:25" ht="14.1" customHeight="1" thickBot="1" x14ac:dyDescent="0.2">
      <c r="A23" s="2190"/>
      <c r="B23" s="2189"/>
      <c r="C23" s="534" t="s">
        <v>32</v>
      </c>
      <c r="D23" s="535">
        <f>D18-(D19+D21+D22)</f>
        <v>2111574</v>
      </c>
      <c r="E23" s="536">
        <f t="shared" ref="E23:N23" si="9">E18-(E19+E21+E22)</f>
        <v>2176545</v>
      </c>
      <c r="F23" s="536">
        <f t="shared" si="9"/>
        <v>1325042</v>
      </c>
      <c r="G23" s="536">
        <f t="shared" si="9"/>
        <v>-2265424.5809065793</v>
      </c>
      <c r="H23" s="536">
        <f t="shared" si="9"/>
        <v>1384205</v>
      </c>
      <c r="I23" s="536">
        <f t="shared" si="9"/>
        <v>1882762</v>
      </c>
      <c r="J23" s="536">
        <f t="shared" si="9"/>
        <v>1898252</v>
      </c>
      <c r="K23" s="536">
        <f t="shared" si="9"/>
        <v>1967966</v>
      </c>
      <c r="L23" s="536">
        <f t="shared" si="9"/>
        <v>2274513</v>
      </c>
      <c r="M23" s="536">
        <f t="shared" si="9"/>
        <v>-1124870</v>
      </c>
      <c r="N23" s="536">
        <f t="shared" si="9"/>
        <v>1595299</v>
      </c>
      <c r="O23" s="537">
        <f>O18-(O19+O21+O22)</f>
        <v>671750</v>
      </c>
      <c r="P23" s="1057">
        <f ca="1">IF(R23&gt;=0,1,IF(R23&lt;-0.1,-1,0))</f>
        <v>1</v>
      </c>
      <c r="Q23" s="1045">
        <f t="shared" ca="1" si="4"/>
        <v>13897613.419093421</v>
      </c>
      <c r="R23" s="1343">
        <f ca="1">IF(Q17=0,1-(Q19+Q21+Q22)/Q18,IF(Q17=Q23,0,ROUND((Q23-Q17)/ABS(Q17),3)))</f>
        <v>2.3090000000000002</v>
      </c>
      <c r="S23" s="536">
        <f t="shared" ca="1" si="2"/>
        <v>1158134.4515911185</v>
      </c>
      <c r="T23" s="1374">
        <f ca="1">IF(V23&gt;=0,1,IF(V23&lt;-0.1,-1,0))</f>
        <v>1</v>
      </c>
      <c r="U23" s="1034">
        <f t="shared" ca="1" si="7"/>
        <v>13897613.419093421</v>
      </c>
      <c r="V23" s="1358">
        <f ca="1">IF(U17=0,1-(U19+U21+U22)/U18,IF(U17=U23,0,ROUND((U23-U17)/ABS(U17),3)))</f>
        <v>2.3090000000000002</v>
      </c>
      <c r="W23" s="999">
        <v>0.1</v>
      </c>
      <c r="Y23" s="2156"/>
    </row>
    <row r="24" spans="1:25" ht="14.1" customHeight="1" thickBot="1" x14ac:dyDescent="0.2">
      <c r="A24" s="2190" t="s">
        <v>37</v>
      </c>
      <c r="B24" s="2188" t="s">
        <v>443</v>
      </c>
      <c r="C24" s="502" t="s">
        <v>26</v>
      </c>
      <c r="D24" s="503">
        <f>'事業所損益管理(H29.9～H30.8)収支計画表'!F24</f>
        <v>6000000</v>
      </c>
      <c r="E24" s="504">
        <f>'事業所損益管理(H29.9～H30.8)収支計画表'!G24</f>
        <v>6100000</v>
      </c>
      <c r="F24" s="504">
        <f>'事業所損益管理(H29.9～H30.8)収支計画表'!H24</f>
        <v>6100000</v>
      </c>
      <c r="G24" s="504">
        <f>'事業所損益管理(H29.9～H30.8)収支計画表'!I24</f>
        <v>6000000</v>
      </c>
      <c r="H24" s="504">
        <f>'事業所損益管理(H29.9～H30.8)収支計画表'!J24</f>
        <v>6100000</v>
      </c>
      <c r="I24" s="504">
        <f>'事業所損益管理(H29.9～H30.8)収支計画表'!K24</f>
        <v>6100000</v>
      </c>
      <c r="J24" s="504">
        <f>'事業所損益管理(H29.9～H30.8)収支計画表'!L24</f>
        <v>6200000</v>
      </c>
      <c r="K24" s="504">
        <f>'事業所損益管理(H29.9～H30.8)収支計画表'!M24</f>
        <v>6300000</v>
      </c>
      <c r="L24" s="504">
        <f>'事業所損益管理(H29.9～H30.8)収支計画表'!N24</f>
        <v>6300000</v>
      </c>
      <c r="M24" s="504">
        <f>'事業所損益管理(H29.9～H30.8)収支計画表'!O24</f>
        <v>6300000</v>
      </c>
      <c r="N24" s="504">
        <f>'事業所損益管理(H29.9～H30.8)収支計画表'!P24</f>
        <v>6400000</v>
      </c>
      <c r="O24" s="505">
        <f>'事業所損益管理(H29.9～H30.8)収支計画表'!Q24</f>
        <v>6300000</v>
      </c>
      <c r="P24" s="1049"/>
      <c r="Q24" s="1039">
        <f t="shared" ca="1" si="4"/>
        <v>74200000</v>
      </c>
      <c r="R24" s="1338"/>
      <c r="S24" s="506">
        <f t="shared" ca="1" si="2"/>
        <v>6183333.333333333</v>
      </c>
      <c r="T24" s="1035"/>
      <c r="U24" s="1035">
        <f t="shared" ref="U24:U29" si="10">SUM(D24:O24)</f>
        <v>74200000</v>
      </c>
      <c r="V24" s="1352"/>
      <c r="Y24" s="2156"/>
    </row>
    <row r="25" spans="1:25" ht="14.1" customHeight="1" thickBot="1" x14ac:dyDescent="0.2">
      <c r="A25" s="2190"/>
      <c r="B25" s="2188"/>
      <c r="C25" s="508" t="s">
        <v>15</v>
      </c>
      <c r="D25" s="509">
        <f>'事業所損益管理(H29.9～H30.8)収支計画表'!F25</f>
        <v>3300000</v>
      </c>
      <c r="E25" s="510">
        <f>'事業所損益管理(H29.9～H30.8)収支計画表'!G25</f>
        <v>3400000</v>
      </c>
      <c r="F25" s="510">
        <f>'事業所損益管理(H29.9～H30.8)収支計画表'!H25</f>
        <v>3300000</v>
      </c>
      <c r="G25" s="510">
        <f>'事業所損益管理(H29.9～H30.8)収支計画表'!I25</f>
        <v>8000000</v>
      </c>
      <c r="H25" s="510">
        <f>'事業所損益管理(H29.9～H30.8)収支計画表'!J25</f>
        <v>3300000</v>
      </c>
      <c r="I25" s="510">
        <f>'事業所損益管理(H29.9～H30.8)収支計画表'!K25</f>
        <v>3300000</v>
      </c>
      <c r="J25" s="510">
        <f>'事業所損益管理(H29.9～H30.8)収支計画表'!L25</f>
        <v>3300000</v>
      </c>
      <c r="K25" s="510">
        <f>'事業所損益管理(H29.9～H30.8)収支計画表'!M25</f>
        <v>3400000</v>
      </c>
      <c r="L25" s="510">
        <f>'事業所損益管理(H29.9～H30.8)収支計画表'!N25</f>
        <v>3400000</v>
      </c>
      <c r="M25" s="510">
        <f>'事業所損益管理(H29.9～H30.8)収支計画表'!O25</f>
        <v>8000000</v>
      </c>
      <c r="N25" s="510">
        <f>'事業所損益管理(H29.9～H30.8)収支計画表'!P25</f>
        <v>3400000</v>
      </c>
      <c r="O25" s="511">
        <f>'事業所損益管理(H29.9～H30.8)収支計画表'!Q25</f>
        <v>3400000</v>
      </c>
      <c r="P25" s="1050"/>
      <c r="Q25" s="1040">
        <f t="shared" ca="1" si="4"/>
        <v>49500000</v>
      </c>
      <c r="R25" s="1339"/>
      <c r="S25" s="512">
        <f t="shared" ca="1" si="2"/>
        <v>4125000</v>
      </c>
      <c r="T25" s="1036"/>
      <c r="U25" s="1036">
        <f t="shared" si="10"/>
        <v>49500000</v>
      </c>
      <c r="V25" s="1353"/>
      <c r="Y25" s="2156"/>
    </row>
    <row r="26" spans="1:25" ht="14.1" customHeight="1" thickBot="1" x14ac:dyDescent="0.2">
      <c r="A26" s="2190"/>
      <c r="B26" s="2188"/>
      <c r="C26" s="514" t="s">
        <v>447</v>
      </c>
      <c r="D26" s="509">
        <f>'事業所損益管理(H29.9～H30.8)収支計画表'!F26</f>
        <v>50000</v>
      </c>
      <c r="E26" s="510">
        <f>'事業所損益管理(H29.9～H30.8)収支計画表'!G26</f>
        <v>50000</v>
      </c>
      <c r="F26" s="510">
        <f>'事業所損益管理(H29.9～H30.8)収支計画表'!H26</f>
        <v>100000</v>
      </c>
      <c r="G26" s="510">
        <f>'事業所損益管理(H29.9～H30.8)収支計画表'!I26</f>
        <v>50000</v>
      </c>
      <c r="H26" s="510">
        <f>'事業所損益管理(H29.9～H30.8)収支計画表'!J26</f>
        <v>50000</v>
      </c>
      <c r="I26" s="510">
        <f>'事業所損益管理(H29.9～H30.8)収支計画表'!K26</f>
        <v>50000</v>
      </c>
      <c r="J26" s="510">
        <f>'事業所損益管理(H29.9～H30.8)収支計画表'!L26</f>
        <v>100000</v>
      </c>
      <c r="K26" s="510">
        <f>'事業所損益管理(H29.9～H30.8)収支計画表'!M26</f>
        <v>50000</v>
      </c>
      <c r="L26" s="510">
        <f>'事業所損益管理(H29.9～H30.8)収支計画表'!N26</f>
        <v>50000</v>
      </c>
      <c r="M26" s="510">
        <f>'事業所損益管理(H29.9～H30.8)収支計画表'!O26</f>
        <v>50000</v>
      </c>
      <c r="N26" s="510">
        <f>'事業所損益管理(H29.9～H30.8)収支計画表'!P26</f>
        <v>100000</v>
      </c>
      <c r="O26" s="511">
        <f>'事業所損益管理(H29.9～H30.8)収支計画表'!Q26</f>
        <v>50000</v>
      </c>
      <c r="P26" s="1050"/>
      <c r="Q26" s="1040">
        <f t="shared" ca="1" si="4"/>
        <v>750000</v>
      </c>
      <c r="R26" s="1339"/>
      <c r="S26" s="512">
        <f t="shared" ca="1" si="2"/>
        <v>62500</v>
      </c>
      <c r="T26" s="1036"/>
      <c r="U26" s="1036">
        <f t="shared" si="10"/>
        <v>750000</v>
      </c>
      <c r="V26" s="1353"/>
      <c r="Y26" s="2156"/>
    </row>
    <row r="27" spans="1:25" ht="14.1" customHeight="1" thickBot="1" x14ac:dyDescent="0.2">
      <c r="A27" s="2190"/>
      <c r="B27" s="2188"/>
      <c r="C27" s="508" t="s">
        <v>35</v>
      </c>
      <c r="D27" s="509">
        <f>'事業所損益管理(H29.9～H30.8)収支計画表'!F27</f>
        <v>900000</v>
      </c>
      <c r="E27" s="510">
        <f>'事業所損益管理(H29.9～H30.8)収支計画表'!G27</f>
        <v>900000</v>
      </c>
      <c r="F27" s="510">
        <f>'事業所損益管理(H29.9～H30.8)収支計画表'!H27</f>
        <v>900000</v>
      </c>
      <c r="G27" s="510">
        <f>'事業所損益管理(H29.9～H30.8)収支計画表'!I27</f>
        <v>900000</v>
      </c>
      <c r="H27" s="510">
        <f>'事業所損益管理(H29.9～H30.8)収支計画表'!J27</f>
        <v>900000</v>
      </c>
      <c r="I27" s="510">
        <f>'事業所損益管理(H29.9～H30.8)収支計画表'!K27</f>
        <v>900000</v>
      </c>
      <c r="J27" s="510">
        <f>'事業所損益管理(H29.9～H30.8)収支計画表'!L27</f>
        <v>900000</v>
      </c>
      <c r="K27" s="510">
        <f>'事業所損益管理(H29.9～H30.8)収支計画表'!M27</f>
        <v>900000</v>
      </c>
      <c r="L27" s="510">
        <f>'事業所損益管理(H29.9～H30.8)収支計画表'!N27</f>
        <v>900000</v>
      </c>
      <c r="M27" s="510">
        <f>'事業所損益管理(H29.9～H30.8)収支計画表'!O27</f>
        <v>900000</v>
      </c>
      <c r="N27" s="510">
        <f>'事業所損益管理(H29.9～H30.8)収支計画表'!P27</f>
        <v>900000</v>
      </c>
      <c r="O27" s="511">
        <f>'事業所損益管理(H29.9～H30.8)収支計画表'!Q27</f>
        <v>900000</v>
      </c>
      <c r="P27" s="1050"/>
      <c r="Q27" s="1040">
        <f t="shared" ca="1" si="4"/>
        <v>10800000</v>
      </c>
      <c r="R27" s="1339"/>
      <c r="S27" s="512">
        <f t="shared" ca="1" si="2"/>
        <v>900000</v>
      </c>
      <c r="T27" s="1036"/>
      <c r="U27" s="1036">
        <f t="shared" si="10"/>
        <v>10800000</v>
      </c>
      <c r="V27" s="1353"/>
      <c r="Y27" s="2156"/>
    </row>
    <row r="28" spans="1:25" ht="14.1" customHeight="1" thickBot="1" x14ac:dyDescent="0.2">
      <c r="A28" s="2190"/>
      <c r="B28" s="2188"/>
      <c r="C28" s="523" t="s">
        <v>495</v>
      </c>
      <c r="D28" s="524">
        <v>600000</v>
      </c>
      <c r="E28" s="525">
        <v>600000</v>
      </c>
      <c r="F28" s="525">
        <v>600000</v>
      </c>
      <c r="G28" s="525">
        <v>600000</v>
      </c>
      <c r="H28" s="525">
        <v>600000</v>
      </c>
      <c r="I28" s="525">
        <v>600000</v>
      </c>
      <c r="J28" s="525">
        <v>600000</v>
      </c>
      <c r="K28" s="525">
        <v>600000</v>
      </c>
      <c r="L28" s="525">
        <v>600000</v>
      </c>
      <c r="M28" s="525">
        <v>600000</v>
      </c>
      <c r="N28" s="525">
        <v>600000</v>
      </c>
      <c r="O28" s="526">
        <v>600000</v>
      </c>
      <c r="P28" s="1051"/>
      <c r="Q28" s="1043">
        <f ca="1">SUM(OFFSET(D28,0,0,1,IF(ISERROR(MATCH(DATE(YEAR($E$1),MONTH($E$1),1),$D$2:$O$2,0)),0,MATCH(DATE(YEAR($E$1),MONTH($E$1),1),$D$2:$O$2,0))))</f>
        <v>7200000</v>
      </c>
      <c r="R28" s="1339"/>
      <c r="S28" s="527">
        <f t="shared" ca="1" si="2"/>
        <v>600000</v>
      </c>
      <c r="T28" s="1033"/>
      <c r="U28" s="1033">
        <f t="shared" si="10"/>
        <v>7200000</v>
      </c>
      <c r="V28" s="1353"/>
      <c r="Y28" s="2156"/>
    </row>
    <row r="29" spans="1:25" ht="14.1" customHeight="1" thickBot="1" x14ac:dyDescent="0.2">
      <c r="A29" s="2190"/>
      <c r="B29" s="2188"/>
      <c r="C29" s="529" t="s">
        <v>32</v>
      </c>
      <c r="D29" s="530">
        <f t="shared" ref="D29:O29" si="11">D24-(D25+D27+D28)</f>
        <v>1200000</v>
      </c>
      <c r="E29" s="531">
        <f t="shared" si="11"/>
        <v>1200000</v>
      </c>
      <c r="F29" s="531">
        <f t="shared" si="11"/>
        <v>1300000</v>
      </c>
      <c r="G29" s="531">
        <f t="shared" si="11"/>
        <v>-3500000</v>
      </c>
      <c r="H29" s="531">
        <f t="shared" si="11"/>
        <v>1300000</v>
      </c>
      <c r="I29" s="531">
        <f t="shared" si="11"/>
        <v>1300000</v>
      </c>
      <c r="J29" s="531">
        <f t="shared" si="11"/>
        <v>1400000</v>
      </c>
      <c r="K29" s="531">
        <f t="shared" si="11"/>
        <v>1400000</v>
      </c>
      <c r="L29" s="531">
        <f t="shared" si="11"/>
        <v>1400000</v>
      </c>
      <c r="M29" s="531">
        <f t="shared" si="11"/>
        <v>-3200000</v>
      </c>
      <c r="N29" s="531">
        <f t="shared" si="11"/>
        <v>1500000</v>
      </c>
      <c r="O29" s="532">
        <f t="shared" si="11"/>
        <v>1400000</v>
      </c>
      <c r="P29" s="1052"/>
      <c r="Q29" s="1044">
        <f t="shared" ca="1" si="4"/>
        <v>6700000</v>
      </c>
      <c r="R29" s="1340"/>
      <c r="S29" s="531">
        <f t="shared" ca="1" si="2"/>
        <v>558333.33333333337</v>
      </c>
      <c r="T29" s="1032"/>
      <c r="U29" s="1032">
        <f t="shared" si="10"/>
        <v>6700000</v>
      </c>
      <c r="V29" s="1355"/>
      <c r="Y29" s="2156"/>
    </row>
    <row r="30" spans="1:25" ht="14.1" customHeight="1" thickBot="1" x14ac:dyDescent="0.2">
      <c r="A30" s="2190"/>
      <c r="B30" s="2164" t="s">
        <v>444</v>
      </c>
      <c r="C30" s="515" t="s">
        <v>26</v>
      </c>
      <c r="D30" s="516">
        <f>'事業所損益管理(H29.9～H30.8)収支計画表'!F29</f>
        <v>6023613</v>
      </c>
      <c r="E30" s="517">
        <f>'事業所損益管理(H29.9～H30.8)収支計画表'!G29</f>
        <v>6290993</v>
      </c>
      <c r="F30" s="517">
        <f>'事業所損益管理(H29.9～H30.8)収支計画表'!H29</f>
        <v>5954408</v>
      </c>
      <c r="G30" s="517">
        <f>'事業所損益管理(H29.9～H30.8)収支計画表'!I29</f>
        <v>5963920</v>
      </c>
      <c r="H30" s="517">
        <f>'事業所損益管理(H29.9～H30.8)収支計画表'!J29</f>
        <v>5489569</v>
      </c>
      <c r="I30" s="517">
        <f>'事業所損益管理(H29.9～H30.8)収支計画表'!K29</f>
        <v>5383737</v>
      </c>
      <c r="J30" s="517">
        <f>'事業所損益管理(H29.9～H30.8)収支計画表'!L29</f>
        <v>5385437</v>
      </c>
      <c r="K30" s="517">
        <f>'事業所損益管理(H29.9～H30.8)収支計画表'!M29</f>
        <v>7729590</v>
      </c>
      <c r="L30" s="517">
        <f>'事業所損益管理(H29.9～H30.8)収支計画表'!N29</f>
        <v>6731026</v>
      </c>
      <c r="M30" s="517">
        <f>'事業所損益管理(H29.9～H30.8)収支計画表'!O29</f>
        <v>6530234</v>
      </c>
      <c r="N30" s="517">
        <f>'事業所損益管理(H29.9～H30.8)収支計画表'!P29</f>
        <v>6075758</v>
      </c>
      <c r="O30" s="518">
        <f>'事業所損益管理(H29.9～H30.8)収支計画表'!Q29</f>
        <v>6170804</v>
      </c>
      <c r="P30" s="1055">
        <f ca="1">IF(R30&gt;=1,1,IF(R30&lt;0.9,-1,0))</f>
        <v>0</v>
      </c>
      <c r="Q30" s="1041">
        <f t="shared" ca="1" si="4"/>
        <v>73729089</v>
      </c>
      <c r="R30" s="1341">
        <f ca="1">IF(Q24&lt;0,ROUND((Q30-Q24)/ABS(Q24),3),IF(Q24=0,0,ROUND(Q30/Q24,3)))</f>
        <v>0.99399999999999999</v>
      </c>
      <c r="S30" s="517">
        <f t="shared" ca="1" si="2"/>
        <v>6144090.75</v>
      </c>
      <c r="T30" s="1372">
        <f ca="1">IF(V30&gt;=1,1,IF(V30&lt;0.9,-1,0))</f>
        <v>0</v>
      </c>
      <c r="U30" s="1030">
        <f t="shared" ref="U30:U35" ca="1" si="12">Q30+(12-IF(ISERROR(MATCH(DATE(YEAR($E$1),MONTH($E$1),1),$D$2:$O$2,0)),0,MATCH(DATE(YEAR($E$1),MONTH($E$1),1),$D$2:$O$2,0)))*S30</f>
        <v>73729089</v>
      </c>
      <c r="V30" s="1356">
        <f ca="1">IF(U24&lt;0,ROUND((U30-U24)/ABS(U24),3),IF(U24=0,0,ROUND(U30/U24,3)))</f>
        <v>0.99399999999999999</v>
      </c>
      <c r="W30" s="999">
        <v>0.1</v>
      </c>
      <c r="Y30" s="2156"/>
    </row>
    <row r="31" spans="1:25" ht="14.1" customHeight="1" thickBot="1" x14ac:dyDescent="0.2">
      <c r="A31" s="2190"/>
      <c r="B31" s="2164"/>
      <c r="C31" s="519" t="s">
        <v>15</v>
      </c>
      <c r="D31" s="520">
        <f>'事業所損益管理(H29.9～H30.8)収支計画表'!F30</f>
        <v>3526461</v>
      </c>
      <c r="E31" s="521">
        <f>'事業所損益管理(H29.9～H30.8)収支計画表'!G30</f>
        <v>3995529</v>
      </c>
      <c r="F31" s="521">
        <f>'事業所損益管理(H29.9～H30.8)収支計画表'!H30</f>
        <v>3856901</v>
      </c>
      <c r="G31" s="521">
        <f>'事業所損益管理(H29.9～H30.8)収支計画表'!I30</f>
        <v>6896121.9664213415</v>
      </c>
      <c r="H31" s="521">
        <f>'事業所損益管理(H29.9～H30.8)収支計画表'!J30</f>
        <v>4873990</v>
      </c>
      <c r="I31" s="521">
        <f>'事業所損益管理(H29.9～H30.8)収支計画表'!K30</f>
        <v>4190881</v>
      </c>
      <c r="J31" s="521">
        <f>'事業所損益管理(H29.9～H30.8)収支計画表'!L30</f>
        <v>4189364</v>
      </c>
      <c r="K31" s="521">
        <f>'事業所損益管理(H29.9～H30.8)収支計画表'!M30</f>
        <v>4150320</v>
      </c>
      <c r="L31" s="521">
        <f>'事業所損益管理(H29.9～H30.8)収支計画表'!N30</f>
        <v>3950891</v>
      </c>
      <c r="M31" s="521">
        <f>'事業所損益管理(H29.9～H30.8)収支計画表'!O30</f>
        <v>4746420</v>
      </c>
      <c r="N31" s="521">
        <f>'事業所損益管理(H29.9～H30.8)収支計画表'!P30</f>
        <v>4651239</v>
      </c>
      <c r="O31" s="522">
        <f>'事業所損益管理(H29.9～H30.8)収支計画表'!Q30</f>
        <v>4848520</v>
      </c>
      <c r="P31" s="1056">
        <f ca="1">IF(R31&lt;=1,1,IF(R31&gt;1.1,-1,0))</f>
        <v>0</v>
      </c>
      <c r="Q31" s="1042">
        <f t="shared" ca="1" si="4"/>
        <v>53876637.966421343</v>
      </c>
      <c r="R31" s="1342">
        <f ca="1">IF(Q25&lt;0,ROUND((Q31-Q25)/ABS(Q25),3),IF(Q25=0,0,ROUND(Q31/Q25,3)))</f>
        <v>1.0880000000000001</v>
      </c>
      <c r="S31" s="521">
        <f t="shared" ca="1" si="2"/>
        <v>4489719.8305351119</v>
      </c>
      <c r="T31" s="1373">
        <f ca="1">IF(V31&lt;=1,1,IF(V31&gt;1.1,-1,0))</f>
        <v>0</v>
      </c>
      <c r="U31" s="1031">
        <f t="shared" ca="1" si="12"/>
        <v>53876637.966421343</v>
      </c>
      <c r="V31" s="1357">
        <f ca="1">IF(U25&lt;0,ROUND((U31-U25)/ABS(U25),3),IF(U25=0,0,ROUND(U31/U25,3)))</f>
        <v>1.0880000000000001</v>
      </c>
      <c r="W31" s="999">
        <v>0.1</v>
      </c>
      <c r="Y31" s="2156"/>
    </row>
    <row r="32" spans="1:25" ht="14.1" customHeight="1" thickBot="1" x14ac:dyDescent="0.2">
      <c r="A32" s="2190"/>
      <c r="B32" s="2164"/>
      <c r="C32" s="450" t="s">
        <v>448</v>
      </c>
      <c r="D32" s="520">
        <f>'事業所損益管理(H29.9～H30.8)収支計画表'!F31</f>
        <v>48600</v>
      </c>
      <c r="E32" s="521">
        <f>'事業所損益管理(H29.9～H30.8)収支計画表'!G31</f>
        <v>47952</v>
      </c>
      <c r="F32" s="521">
        <f>'事業所損益管理(H29.9～H30.8)収支計画表'!H31</f>
        <v>48600</v>
      </c>
      <c r="G32" s="521">
        <f>'事業所損益管理(H29.9～H30.8)収支計画表'!I31</f>
        <v>47952</v>
      </c>
      <c r="H32" s="521">
        <f>'事業所損益管理(H29.9～H30.8)収支計画表'!J31</f>
        <v>47952</v>
      </c>
      <c r="I32" s="521">
        <f>'事業所損益管理(H29.9～H30.8)収支計画表'!K31</f>
        <v>47952</v>
      </c>
      <c r="J32" s="521">
        <f>'事業所損益管理(H29.9～H30.8)収支計画表'!L31</f>
        <v>112752</v>
      </c>
      <c r="K32" s="521">
        <f>'事業所損益管理(H29.9～H30.8)収支計画表'!M31</f>
        <v>81000</v>
      </c>
      <c r="L32" s="521">
        <f>'事業所損益管理(H29.9～H30.8)収支計画表'!N31</f>
        <v>1000</v>
      </c>
      <c r="M32" s="521">
        <f>'事業所損益管理(H29.9～H30.8)収支計画表'!O31</f>
        <v>0</v>
      </c>
      <c r="N32" s="521">
        <f>'事業所損益管理(H29.9～H30.8)収支計画表'!P31</f>
        <v>51840</v>
      </c>
      <c r="O32" s="522">
        <f>'事業所損益管理(H29.9～H30.8)収支計画表'!Q31</f>
        <v>0</v>
      </c>
      <c r="P32" s="1056">
        <f ca="1">IF(R32&lt;=1,1,IF(R32&gt;1.1,-1,0))</f>
        <v>1</v>
      </c>
      <c r="Q32" s="1042">
        <f t="shared" ca="1" si="4"/>
        <v>535600</v>
      </c>
      <c r="R32" s="1342">
        <f ca="1">IF(Q26&lt;0,ROUND((Q32-Q26)/ABS(Q26),3),IF(Q26=0,0,ROUND(Q32/Q26,3)))</f>
        <v>0.71399999999999997</v>
      </c>
      <c r="S32" s="521">
        <f t="shared" ca="1" si="2"/>
        <v>44633.333333333336</v>
      </c>
      <c r="T32" s="1373">
        <f ca="1">IF(V32&lt;=1,1,IF(V32&gt;1.1,-1,0))</f>
        <v>1</v>
      </c>
      <c r="U32" s="1031">
        <f t="shared" ca="1" si="12"/>
        <v>535600</v>
      </c>
      <c r="V32" s="1357">
        <f ca="1">IF(U26&lt;0,ROUND((U32-U26)/ABS(U26),3),IF(U26=0,0,ROUND(U32/U26,3)))</f>
        <v>0.71399999999999997</v>
      </c>
      <c r="W32" s="999">
        <v>0.1</v>
      </c>
      <c r="Y32" s="2156"/>
    </row>
    <row r="33" spans="1:25" ht="14.1" customHeight="1" thickBot="1" x14ac:dyDescent="0.2">
      <c r="A33" s="2190"/>
      <c r="B33" s="2164"/>
      <c r="C33" s="519" t="s">
        <v>35</v>
      </c>
      <c r="D33" s="520">
        <f>'事業所損益管理(H29.9～H30.8)収支計画表'!F32</f>
        <v>942537</v>
      </c>
      <c r="E33" s="521">
        <f>'事業所損益管理(H29.9～H30.8)収支計画表'!G32</f>
        <v>879489</v>
      </c>
      <c r="F33" s="521">
        <f>'事業所損益管理(H29.9～H30.8)収支計画表'!H32</f>
        <v>1009541</v>
      </c>
      <c r="G33" s="521">
        <f>'事業所損益管理(H29.9～H30.8)収支計画表'!I32</f>
        <v>894494</v>
      </c>
      <c r="H33" s="521">
        <f>'事業所損益管理(H29.9～H30.8)収支計画表'!J32</f>
        <v>973495</v>
      </c>
      <c r="I33" s="521">
        <f>'事業所損益管理(H29.9～H30.8)収支計画表'!K32</f>
        <v>981443</v>
      </c>
      <c r="J33" s="521">
        <f>'事業所損益管理(H29.9～H30.8)収支計画表'!L32</f>
        <v>1138983</v>
      </c>
      <c r="K33" s="521">
        <f>'事業所損益管理(H29.9～H30.8)収支計画表'!M32</f>
        <v>1027364</v>
      </c>
      <c r="L33" s="521">
        <f>'事業所損益管理(H29.9～H30.8)収支計画表'!N32</f>
        <v>1004094</v>
      </c>
      <c r="M33" s="521">
        <f>'事業所損益管理(H29.9～H30.8)収支計画表'!O32</f>
        <v>1000461</v>
      </c>
      <c r="N33" s="521">
        <f>'事業所損益管理(H29.9～H30.8)収支計画表'!P32</f>
        <v>1024705</v>
      </c>
      <c r="O33" s="522">
        <f>'事業所損益管理(H29.9～H30.8)収支計画表'!Q32</f>
        <v>972141</v>
      </c>
      <c r="P33" s="1056">
        <f ca="1">IF(R33&lt;=1,1,IF(R33&gt;1.1,-1,0))</f>
        <v>0</v>
      </c>
      <c r="Q33" s="1042">
        <f t="shared" ca="1" si="4"/>
        <v>11848747</v>
      </c>
      <c r="R33" s="1342">
        <f ca="1">IF(Q27&lt;0,ROUND((Q33-Q27)/ABS(Q27),3),IF(Q27=0,0,ROUND(Q33/Q27,3)))</f>
        <v>1.097</v>
      </c>
      <c r="S33" s="521">
        <f t="shared" ca="1" si="2"/>
        <v>987395.58333333337</v>
      </c>
      <c r="T33" s="1373">
        <f ca="1">IF(V33&lt;=1,1,IF(V33&gt;1.1,-1,0))</f>
        <v>0</v>
      </c>
      <c r="U33" s="1031">
        <f t="shared" ca="1" si="12"/>
        <v>11848747</v>
      </c>
      <c r="V33" s="1357">
        <f ca="1">IF(U27&lt;0,ROUND((U33-U27)/ABS(U27),3),IF(U27=0,0,ROUND(U33/U27,3)))</f>
        <v>1.097</v>
      </c>
      <c r="W33" s="999">
        <v>0.1</v>
      </c>
      <c r="Y33" s="2156"/>
    </row>
    <row r="34" spans="1:25" ht="14.1" customHeight="1" thickBot="1" x14ac:dyDescent="0.2">
      <c r="A34" s="2190"/>
      <c r="B34" s="2164"/>
      <c r="C34" s="523" t="s">
        <v>495</v>
      </c>
      <c r="D34" s="533">
        <f>IF(D31=0,0,D28)</f>
        <v>600000</v>
      </c>
      <c r="E34" s="527">
        <f t="shared" ref="E34:O34" si="13">IF(E31=0,0,E28)</f>
        <v>600000</v>
      </c>
      <c r="F34" s="527">
        <f t="shared" si="13"/>
        <v>600000</v>
      </c>
      <c r="G34" s="527">
        <f t="shared" si="13"/>
        <v>600000</v>
      </c>
      <c r="H34" s="527">
        <f t="shared" si="13"/>
        <v>600000</v>
      </c>
      <c r="I34" s="527">
        <f t="shared" si="13"/>
        <v>600000</v>
      </c>
      <c r="J34" s="527">
        <f t="shared" si="13"/>
        <v>600000</v>
      </c>
      <c r="K34" s="527">
        <f t="shared" si="13"/>
        <v>600000</v>
      </c>
      <c r="L34" s="527">
        <f t="shared" si="13"/>
        <v>600000</v>
      </c>
      <c r="M34" s="527">
        <f t="shared" si="13"/>
        <v>600000</v>
      </c>
      <c r="N34" s="527">
        <f t="shared" si="13"/>
        <v>600000</v>
      </c>
      <c r="O34" s="528">
        <f t="shared" si="13"/>
        <v>600000</v>
      </c>
      <c r="P34" s="1058"/>
      <c r="Q34" s="1043">
        <f t="shared" ca="1" si="4"/>
        <v>7200000</v>
      </c>
      <c r="R34" s="1339"/>
      <c r="S34" s="527">
        <f t="shared" ca="1" si="2"/>
        <v>600000</v>
      </c>
      <c r="T34" s="1429"/>
      <c r="U34" s="1033">
        <f t="shared" ca="1" si="12"/>
        <v>7200000</v>
      </c>
      <c r="V34" s="1353"/>
      <c r="W34" s="999">
        <v>0.1</v>
      </c>
      <c r="Y34" s="2156"/>
    </row>
    <row r="35" spans="1:25" ht="14.1" customHeight="1" thickBot="1" x14ac:dyDescent="0.2">
      <c r="A35" s="2190"/>
      <c r="B35" s="2189"/>
      <c r="C35" s="534" t="s">
        <v>32</v>
      </c>
      <c r="D35" s="535">
        <f t="shared" ref="D35:O35" si="14">D30-(D31+D33+D34)</f>
        <v>954615</v>
      </c>
      <c r="E35" s="536">
        <f t="shared" si="14"/>
        <v>815975</v>
      </c>
      <c r="F35" s="536">
        <f t="shared" si="14"/>
        <v>487966</v>
      </c>
      <c r="G35" s="536">
        <f t="shared" si="14"/>
        <v>-2426695.9664213415</v>
      </c>
      <c r="H35" s="536">
        <f t="shared" si="14"/>
        <v>-957916</v>
      </c>
      <c r="I35" s="536">
        <f t="shared" si="14"/>
        <v>-388587</v>
      </c>
      <c r="J35" s="536">
        <f t="shared" si="14"/>
        <v>-542910</v>
      </c>
      <c r="K35" s="536">
        <f t="shared" si="14"/>
        <v>1951906</v>
      </c>
      <c r="L35" s="536">
        <f t="shared" si="14"/>
        <v>1176041</v>
      </c>
      <c r="M35" s="536">
        <f t="shared" si="14"/>
        <v>183353</v>
      </c>
      <c r="N35" s="536">
        <f t="shared" si="14"/>
        <v>-200186</v>
      </c>
      <c r="O35" s="537">
        <f t="shared" si="14"/>
        <v>-249857</v>
      </c>
      <c r="P35" s="1057">
        <f ca="1">IF(R35&gt;=0,1,IF(R35&lt;-0.1,-1,0))</f>
        <v>-1</v>
      </c>
      <c r="Q35" s="1045">
        <f t="shared" ca="1" si="4"/>
        <v>803704.03357865848</v>
      </c>
      <c r="R35" s="1343">
        <f ca="1">IF(Q29=0,1-(Q31+Q33+Q34)/Q30,IF(Q29=Q35,0,ROUND((Q35-Q29)/ABS(Q29),3)))</f>
        <v>-0.88</v>
      </c>
      <c r="S35" s="536">
        <f t="shared" ca="1" si="2"/>
        <v>66975.336131554868</v>
      </c>
      <c r="T35" s="1374">
        <f ca="1">IF(V35&gt;=0,1,IF(V35&lt;-0.1,-1,0))</f>
        <v>-1</v>
      </c>
      <c r="U35" s="1034">
        <f t="shared" ca="1" si="12"/>
        <v>803704.03357865848</v>
      </c>
      <c r="V35" s="1358">
        <f ca="1">IF(U29=0,1-(U31+U33+U34)/U30,IF(U29=U35,0,ROUND((U35-U29)/ABS(U29),3)))</f>
        <v>-0.88</v>
      </c>
      <c r="W35" s="999">
        <v>0.1</v>
      </c>
      <c r="Y35" s="2156"/>
    </row>
    <row r="36" spans="1:25" ht="14.1" customHeight="1" thickBot="1" x14ac:dyDescent="0.2">
      <c r="A36" s="2190" t="s">
        <v>66</v>
      </c>
      <c r="B36" s="2188" t="s">
        <v>443</v>
      </c>
      <c r="C36" s="502" t="s">
        <v>26</v>
      </c>
      <c r="D36" s="503">
        <f>'事業所損益管理(H29.9～H30.8)収支計画表'!F34</f>
        <v>6000000</v>
      </c>
      <c r="E36" s="504">
        <f>'事業所損益管理(H29.9～H30.8)収支計画表'!G34</f>
        <v>6200000</v>
      </c>
      <c r="F36" s="504">
        <f>'事業所損益管理(H29.9～H30.8)収支計画表'!H34</f>
        <v>6300000</v>
      </c>
      <c r="G36" s="504">
        <f>'事業所損益管理(H29.9～H30.8)収支計画表'!I34</f>
        <v>6500000</v>
      </c>
      <c r="H36" s="504">
        <f>'事業所損益管理(H29.9～H30.8)収支計画表'!J34</f>
        <v>6500000</v>
      </c>
      <c r="I36" s="504">
        <f>'事業所損益管理(H29.9～H30.8)収支計画表'!K34</f>
        <v>6500000</v>
      </c>
      <c r="J36" s="504">
        <f>'事業所損益管理(H29.9～H30.8)収支計画表'!L34</f>
        <v>6700000</v>
      </c>
      <c r="K36" s="504">
        <f>'事業所損益管理(H29.9～H30.8)収支計画表'!M34</f>
        <v>6800000</v>
      </c>
      <c r="L36" s="504">
        <f>'事業所損益管理(H29.9～H30.8)収支計画表'!N34</f>
        <v>6800000</v>
      </c>
      <c r="M36" s="504">
        <f>'事業所損益管理(H29.9～H30.8)収支計画表'!O34</f>
        <v>6900000</v>
      </c>
      <c r="N36" s="504">
        <f>'事業所損益管理(H29.9～H30.8)収支計画表'!P34</f>
        <v>7000000</v>
      </c>
      <c r="O36" s="505">
        <f>'事業所損益管理(H29.9～H30.8)収支計画表'!Q34</f>
        <v>7000000</v>
      </c>
      <c r="P36" s="1049"/>
      <c r="Q36" s="1039">
        <f t="shared" ca="1" si="4"/>
        <v>79200000</v>
      </c>
      <c r="R36" s="1338"/>
      <c r="S36" s="506">
        <f t="shared" ca="1" si="2"/>
        <v>6600000</v>
      </c>
      <c r="T36" s="1035"/>
      <c r="U36" s="1035">
        <f t="shared" ref="U36:U41" si="15">SUM(D36:O36)</f>
        <v>79200000</v>
      </c>
      <c r="V36" s="1352"/>
    </row>
    <row r="37" spans="1:25" ht="14.1" customHeight="1" thickBot="1" x14ac:dyDescent="0.2">
      <c r="A37" s="2190"/>
      <c r="B37" s="2188"/>
      <c r="C37" s="508" t="s">
        <v>15</v>
      </c>
      <c r="D37" s="509">
        <f>'事業所損益管理(H29.9～H30.8)収支計画表'!F35</f>
        <v>3800000</v>
      </c>
      <c r="E37" s="510">
        <f>'事業所損益管理(H29.9～H30.8)収支計画表'!G35</f>
        <v>4000000</v>
      </c>
      <c r="F37" s="510">
        <f>'事業所損益管理(H29.9～H30.8)収支計画表'!H35</f>
        <v>4000000</v>
      </c>
      <c r="G37" s="510">
        <f>'事業所損益管理(H29.9～H30.8)収支計画表'!I35</f>
        <v>6500000</v>
      </c>
      <c r="H37" s="510">
        <f>'事業所損益管理(H29.9～H30.8)収支計画表'!J35</f>
        <v>4000000</v>
      </c>
      <c r="I37" s="510">
        <f>'事業所損益管理(H29.9～H30.8)収支計画表'!K35</f>
        <v>4200000</v>
      </c>
      <c r="J37" s="510">
        <f>'事業所損益管理(H29.9～H30.8)収支計画表'!L35</f>
        <v>4200000</v>
      </c>
      <c r="K37" s="510">
        <f>'事業所損益管理(H29.9～H30.8)収支計画表'!M35</f>
        <v>4200000</v>
      </c>
      <c r="L37" s="510">
        <f>'事業所損益管理(H29.9～H30.8)収支計画表'!N35</f>
        <v>4200000</v>
      </c>
      <c r="M37" s="510">
        <f>'事業所損益管理(H29.9～H30.8)収支計画表'!O35</f>
        <v>7000000</v>
      </c>
      <c r="N37" s="510">
        <f>'事業所損益管理(H29.9～H30.8)収支計画表'!P35</f>
        <v>4200000</v>
      </c>
      <c r="O37" s="511">
        <f>'事業所損益管理(H29.9～H30.8)収支計画表'!Q35</f>
        <v>4200000</v>
      </c>
      <c r="P37" s="1050"/>
      <c r="Q37" s="1040">
        <f t="shared" ca="1" si="4"/>
        <v>54500000</v>
      </c>
      <c r="R37" s="1339"/>
      <c r="S37" s="512">
        <f t="shared" ca="1" si="2"/>
        <v>4541666.666666667</v>
      </c>
      <c r="T37" s="1036"/>
      <c r="U37" s="1036">
        <f t="shared" si="15"/>
        <v>54500000</v>
      </c>
      <c r="V37" s="1353"/>
    </row>
    <row r="38" spans="1:25" ht="14.1" customHeight="1" thickBot="1" x14ac:dyDescent="0.2">
      <c r="A38" s="2190"/>
      <c r="B38" s="2188"/>
      <c r="C38" s="514" t="s">
        <v>447</v>
      </c>
      <c r="D38" s="509">
        <f>'事業所損益管理(H29.9～H30.8)収支計画表'!F36</f>
        <v>150000</v>
      </c>
      <c r="E38" s="510">
        <f>'事業所損益管理(H29.9～H30.8)収支計画表'!G36</f>
        <v>50000</v>
      </c>
      <c r="F38" s="510">
        <f>'事業所損益管理(H29.9～H30.8)収支計画表'!H36</f>
        <v>50000</v>
      </c>
      <c r="G38" s="510">
        <f>'事業所損益管理(H29.9～H30.8)収支計画表'!I36</f>
        <v>100000</v>
      </c>
      <c r="H38" s="510">
        <f>'事業所損益管理(H29.9～H30.8)収支計画表'!J36</f>
        <v>500000</v>
      </c>
      <c r="I38" s="510">
        <f>'事業所損益管理(H29.9～H30.8)収支計画表'!K36</f>
        <v>50000</v>
      </c>
      <c r="J38" s="510">
        <f>'事業所損益管理(H29.9～H30.8)収支計画表'!L36</f>
        <v>100000</v>
      </c>
      <c r="K38" s="510">
        <f>'事業所損益管理(H29.9～H30.8)収支計画表'!M36</f>
        <v>50000</v>
      </c>
      <c r="L38" s="510">
        <f>'事業所損益管理(H29.9～H30.8)収支計画表'!N36</f>
        <v>50000</v>
      </c>
      <c r="M38" s="510">
        <f>'事業所損益管理(H29.9～H30.8)収支計画表'!O36</f>
        <v>50000</v>
      </c>
      <c r="N38" s="510">
        <f>'事業所損益管理(H29.9～H30.8)収支計画表'!P36</f>
        <v>50000</v>
      </c>
      <c r="O38" s="511">
        <f>'事業所損益管理(H29.9～H30.8)収支計画表'!Q36</f>
        <v>50000</v>
      </c>
      <c r="P38" s="1050"/>
      <c r="Q38" s="1040">
        <f t="shared" ca="1" si="4"/>
        <v>1250000</v>
      </c>
      <c r="R38" s="1339"/>
      <c r="S38" s="512">
        <f t="shared" ca="1" si="2"/>
        <v>104166.66666666667</v>
      </c>
      <c r="T38" s="1036"/>
      <c r="U38" s="1036">
        <f t="shared" si="15"/>
        <v>1250000</v>
      </c>
      <c r="V38" s="1353"/>
    </row>
    <row r="39" spans="1:25" ht="14.1" customHeight="1" thickBot="1" x14ac:dyDescent="0.2">
      <c r="A39" s="2190"/>
      <c r="B39" s="2188"/>
      <c r="C39" s="508" t="s">
        <v>35</v>
      </c>
      <c r="D39" s="509">
        <f>'事業所損益管理(H29.9～H30.8)収支計画表'!F37</f>
        <v>900000</v>
      </c>
      <c r="E39" s="510">
        <f>'事業所損益管理(H29.9～H30.8)収支計画表'!G37</f>
        <v>800000</v>
      </c>
      <c r="F39" s="510">
        <f>'事業所損益管理(H29.9～H30.8)収支計画表'!H37</f>
        <v>800000</v>
      </c>
      <c r="G39" s="510">
        <f>'事業所損益管理(H29.9～H30.8)収支計画表'!I37</f>
        <v>850000</v>
      </c>
      <c r="H39" s="510">
        <f>'事業所損益管理(H29.9～H30.8)収支計画表'!J37</f>
        <v>800000</v>
      </c>
      <c r="I39" s="510">
        <f>'事業所損益管理(H29.9～H30.8)収支計画表'!K37</f>
        <v>800000</v>
      </c>
      <c r="J39" s="510">
        <f>'事業所損益管理(H29.9～H30.8)収支計画表'!L37</f>
        <v>850000</v>
      </c>
      <c r="K39" s="510">
        <f>'事業所損益管理(H29.9～H30.8)収支計画表'!M37</f>
        <v>800000</v>
      </c>
      <c r="L39" s="510">
        <f>'事業所損益管理(H29.9～H30.8)収支計画表'!N37</f>
        <v>800000</v>
      </c>
      <c r="M39" s="510">
        <f>'事業所損益管理(H29.9～H30.8)収支計画表'!O37</f>
        <v>800000</v>
      </c>
      <c r="N39" s="510">
        <f>'事業所損益管理(H29.9～H30.8)収支計画表'!P37</f>
        <v>800000</v>
      </c>
      <c r="O39" s="511">
        <f>'事業所損益管理(H29.9～H30.8)収支計画表'!Q37</f>
        <v>800000</v>
      </c>
      <c r="P39" s="1050"/>
      <c r="Q39" s="1040">
        <f t="shared" ca="1" si="4"/>
        <v>9800000</v>
      </c>
      <c r="R39" s="1339"/>
      <c r="S39" s="512">
        <f t="shared" ca="1" si="2"/>
        <v>816666.66666666663</v>
      </c>
      <c r="T39" s="1036"/>
      <c r="U39" s="1036">
        <f t="shared" si="15"/>
        <v>9800000</v>
      </c>
      <c r="V39" s="1353"/>
    </row>
    <row r="40" spans="1:25" ht="14.1" customHeight="1" thickBot="1" x14ac:dyDescent="0.2">
      <c r="A40" s="2190"/>
      <c r="B40" s="2188"/>
      <c r="C40" s="523" t="s">
        <v>496</v>
      </c>
      <c r="D40" s="524">
        <v>600000</v>
      </c>
      <c r="E40" s="525">
        <v>600000</v>
      </c>
      <c r="F40" s="525">
        <v>600000</v>
      </c>
      <c r="G40" s="525">
        <v>600000</v>
      </c>
      <c r="H40" s="525">
        <v>600000</v>
      </c>
      <c r="I40" s="525">
        <v>600000</v>
      </c>
      <c r="J40" s="525">
        <v>600000</v>
      </c>
      <c r="K40" s="525">
        <v>600000</v>
      </c>
      <c r="L40" s="525">
        <v>600000</v>
      </c>
      <c r="M40" s="525">
        <v>600000</v>
      </c>
      <c r="N40" s="525">
        <v>600000</v>
      </c>
      <c r="O40" s="526">
        <v>600000</v>
      </c>
      <c r="P40" s="1051"/>
      <c r="Q40" s="1043">
        <f t="shared" ca="1" si="4"/>
        <v>7200000</v>
      </c>
      <c r="R40" s="1339"/>
      <c r="S40" s="527">
        <f t="shared" ca="1" si="2"/>
        <v>600000</v>
      </c>
      <c r="T40" s="1033"/>
      <c r="U40" s="1033">
        <f t="shared" si="15"/>
        <v>7200000</v>
      </c>
      <c r="V40" s="1353"/>
    </row>
    <row r="41" spans="1:25" ht="14.1" customHeight="1" thickBot="1" x14ac:dyDescent="0.2">
      <c r="A41" s="2190"/>
      <c r="B41" s="2188"/>
      <c r="C41" s="529" t="s">
        <v>32</v>
      </c>
      <c r="D41" s="530">
        <f t="shared" ref="D41:O41" si="16">D36-(D37+D39+D40)</f>
        <v>700000</v>
      </c>
      <c r="E41" s="531">
        <f t="shared" si="16"/>
        <v>800000</v>
      </c>
      <c r="F41" s="531">
        <f t="shared" si="16"/>
        <v>900000</v>
      </c>
      <c r="G41" s="531">
        <f t="shared" si="16"/>
        <v>-1450000</v>
      </c>
      <c r="H41" s="531">
        <f t="shared" si="16"/>
        <v>1100000</v>
      </c>
      <c r="I41" s="531">
        <f t="shared" si="16"/>
        <v>900000</v>
      </c>
      <c r="J41" s="531">
        <f t="shared" si="16"/>
        <v>1050000</v>
      </c>
      <c r="K41" s="531">
        <f t="shared" si="16"/>
        <v>1200000</v>
      </c>
      <c r="L41" s="531">
        <f t="shared" si="16"/>
        <v>1200000</v>
      </c>
      <c r="M41" s="531">
        <f t="shared" si="16"/>
        <v>-1500000</v>
      </c>
      <c r="N41" s="531">
        <f t="shared" si="16"/>
        <v>1400000</v>
      </c>
      <c r="O41" s="532">
        <f t="shared" si="16"/>
        <v>1400000</v>
      </c>
      <c r="P41" s="1052"/>
      <c r="Q41" s="1044">
        <f t="shared" ca="1" si="4"/>
        <v>7700000</v>
      </c>
      <c r="R41" s="1340"/>
      <c r="S41" s="531">
        <f t="shared" ca="1" si="2"/>
        <v>641666.66666666663</v>
      </c>
      <c r="T41" s="1032"/>
      <c r="U41" s="1032">
        <f t="shared" si="15"/>
        <v>7700000</v>
      </c>
      <c r="V41" s="1355"/>
    </row>
    <row r="42" spans="1:25" ht="14.1" customHeight="1" thickBot="1" x14ac:dyDescent="0.2">
      <c r="A42" s="2190"/>
      <c r="B42" s="2164" t="s">
        <v>444</v>
      </c>
      <c r="C42" s="515" t="s">
        <v>26</v>
      </c>
      <c r="D42" s="516">
        <f>'事業所損益管理(H29.9～H30.8)収支計画表'!F39</f>
        <v>5817896</v>
      </c>
      <c r="E42" s="517">
        <f>'事業所損益管理(H29.9～H30.8)収支計画表'!G39</f>
        <v>5787410</v>
      </c>
      <c r="F42" s="517">
        <f>'事業所損益管理(H29.9～H30.8)収支計画表'!H39</f>
        <v>5899891</v>
      </c>
      <c r="G42" s="517">
        <f>'事業所損益管理(H29.9～H30.8)収支計画表'!I39</f>
        <v>5629984</v>
      </c>
      <c r="H42" s="517">
        <f>'事業所損益管理(H29.9～H30.8)収支計画表'!J39</f>
        <v>6168362</v>
      </c>
      <c r="I42" s="517">
        <f>'事業所損益管理(H29.9～H30.8)収支計画表'!K39</f>
        <v>5709957</v>
      </c>
      <c r="J42" s="517">
        <f>'事業所損益管理(H29.9～H30.8)収支計画表'!L39</f>
        <v>5793244</v>
      </c>
      <c r="K42" s="517">
        <f>'事業所損益管理(H29.9～H30.8)収支計画表'!M39</f>
        <v>6587828</v>
      </c>
      <c r="L42" s="517">
        <f>'事業所損益管理(H29.9～H30.8)収支計画表'!N39</f>
        <v>6479560</v>
      </c>
      <c r="M42" s="517">
        <f>'事業所損益管理(H29.9～H30.8)収支計画表'!O39</f>
        <v>6806472</v>
      </c>
      <c r="N42" s="517">
        <f>'事業所損益管理(H29.9～H30.8)収支計画表'!P39</f>
        <v>6915528</v>
      </c>
      <c r="O42" s="518">
        <f>'事業所損益管理(H29.9～H30.8)収支計画表'!Q39</f>
        <v>7519354</v>
      </c>
      <c r="P42" s="1055">
        <f ca="1">IF(R42&gt;=1,1,IF(R42&lt;0.9,-1,0))</f>
        <v>0</v>
      </c>
      <c r="Q42" s="1041">
        <f t="shared" ca="1" si="4"/>
        <v>75115486</v>
      </c>
      <c r="R42" s="1341">
        <f ca="1">IF(Q36&lt;0,ROUND((Q42-Q36)/ABS(Q36),3),IF(Q36=0,0,ROUND(Q42/Q36,3)))</f>
        <v>0.94799999999999995</v>
      </c>
      <c r="S42" s="517">
        <f t="shared" ca="1" si="2"/>
        <v>6259623.833333333</v>
      </c>
      <c r="T42" s="1372">
        <f ca="1">IF(V42&gt;=1,1,IF(V42&lt;0.9,-1,0))</f>
        <v>0</v>
      </c>
      <c r="U42" s="1030">
        <f t="shared" ref="U42:U47" ca="1" si="17">Q42+(12-IF(ISERROR(MATCH(DATE(YEAR($E$1),MONTH($E$1),1),$D$2:$O$2,0)),0,MATCH(DATE(YEAR($E$1),MONTH($E$1),1),$D$2:$O$2,0)))*S42</f>
        <v>75115486</v>
      </c>
      <c r="V42" s="1356">
        <f ca="1">IF(U36&lt;0,ROUND((U42-U36)/ABS(U36),3),IF(U36=0,0,ROUND(U42/U36,3)))</f>
        <v>0.94799999999999995</v>
      </c>
      <c r="W42" s="999">
        <v>0.1</v>
      </c>
    </row>
    <row r="43" spans="1:25" ht="14.1" customHeight="1" thickBot="1" x14ac:dyDescent="0.2">
      <c r="A43" s="2190"/>
      <c r="B43" s="2164"/>
      <c r="C43" s="519" t="s">
        <v>15</v>
      </c>
      <c r="D43" s="520">
        <f>'事業所損益管理(H29.9～H30.8)収支計画表'!F40</f>
        <v>3371743</v>
      </c>
      <c r="E43" s="521">
        <f>'事業所損益管理(H29.9～H30.8)収支計画表'!G40</f>
        <v>3465713</v>
      </c>
      <c r="F43" s="521">
        <f>'事業所損益管理(H29.9～H30.8)収支計画表'!H40</f>
        <v>3520452</v>
      </c>
      <c r="G43" s="521">
        <f>'事業所損益管理(H29.9～H30.8)収支計画表'!I40</f>
        <v>6051985.9444993129</v>
      </c>
      <c r="H43" s="521">
        <f>'事業所損益管理(H29.9～H30.8)収支計画表'!J40</f>
        <v>4209055</v>
      </c>
      <c r="I43" s="521">
        <f>'事業所損益管理(H29.9～H30.8)収支計画表'!K40</f>
        <v>3969445</v>
      </c>
      <c r="J43" s="521">
        <f>'事業所損益管理(H29.9～H30.8)収支計画表'!L40</f>
        <v>3828677</v>
      </c>
      <c r="K43" s="521">
        <f>'事業所損益管理(H29.9～H30.8)収支計画表'!M40</f>
        <v>3878385</v>
      </c>
      <c r="L43" s="521">
        <f>'事業所損益管理(H29.9～H30.8)収支計画表'!N40</f>
        <v>3840302</v>
      </c>
      <c r="M43" s="521">
        <f>'事業所損益管理(H29.9～H30.8)収支計画表'!O40</f>
        <v>5731123</v>
      </c>
      <c r="N43" s="521">
        <f>'事業所損益管理(H29.9～H30.8)収支計画表'!P40</f>
        <v>4502052</v>
      </c>
      <c r="O43" s="522">
        <f>'事業所損益管理(H29.9～H30.8)収支計画表'!Q40</f>
        <v>4507594</v>
      </c>
      <c r="P43" s="1056">
        <f ca="1">IF(R43&lt;=1,1,IF(R43&gt;1.1,-1,0))</f>
        <v>1</v>
      </c>
      <c r="Q43" s="1042">
        <f t="shared" ca="1" si="4"/>
        <v>50876526.944499314</v>
      </c>
      <c r="R43" s="1342">
        <f ca="1">IF(Q37&lt;0,ROUND((Q43-Q37)/ABS(Q37),3),IF(Q37=0,0,ROUND(Q43/Q37,3)))</f>
        <v>0.93400000000000005</v>
      </c>
      <c r="S43" s="521">
        <f t="shared" ca="1" si="2"/>
        <v>4239710.5787082762</v>
      </c>
      <c r="T43" s="1373">
        <f ca="1">IF(V43&lt;=1,1,IF(V43&gt;1.1,-1,0))</f>
        <v>1</v>
      </c>
      <c r="U43" s="1031">
        <f t="shared" ca="1" si="17"/>
        <v>50876526.944499314</v>
      </c>
      <c r="V43" s="1357">
        <f ca="1">IF(U37&lt;0,ROUND((U43-U37)/ABS(U37),3),IF(U37=0,0,ROUND(U43/U37,3)))</f>
        <v>0.93400000000000005</v>
      </c>
      <c r="W43" s="999">
        <v>0.1</v>
      </c>
    </row>
    <row r="44" spans="1:25" ht="14.1" customHeight="1" thickBot="1" x14ac:dyDescent="0.2">
      <c r="A44" s="2190"/>
      <c r="B44" s="2164"/>
      <c r="C44" s="450" t="s">
        <v>448</v>
      </c>
      <c r="D44" s="520">
        <f>'事業所損益管理(H29.9～H30.8)収支計画表'!F41</f>
        <v>155670</v>
      </c>
      <c r="E44" s="521">
        <f>'事業所損益管理(H29.9～H30.8)収支計画表'!G41</f>
        <v>123696</v>
      </c>
      <c r="F44" s="521">
        <f>'事業所損益管理(H29.9～H30.8)収支計画表'!H41</f>
        <v>105300</v>
      </c>
      <c r="G44" s="521">
        <f>'事業所損益管理(H29.9～H30.8)収支計画表'!I41</f>
        <v>32400</v>
      </c>
      <c r="H44" s="521">
        <f>'事業所損益管理(H29.9～H30.8)収支計画表'!J41</f>
        <v>51840</v>
      </c>
      <c r="I44" s="521">
        <f>'事業所損益管理(H29.9～H30.8)収支計画表'!K41</f>
        <v>0</v>
      </c>
      <c r="J44" s="521">
        <f>'事業所損益管理(H29.9～H30.8)収支計画表'!L41</f>
        <v>51840</v>
      </c>
      <c r="K44" s="521">
        <f>'事業所損益管理(H29.9～H30.8)収支計画表'!M41</f>
        <v>51840</v>
      </c>
      <c r="L44" s="521">
        <f>'事業所損益管理(H29.9～H30.8)収支計画表'!N41</f>
        <v>0</v>
      </c>
      <c r="M44" s="521">
        <f>'事業所損益管理(H29.9～H30.8)収支計画表'!O41</f>
        <v>149040</v>
      </c>
      <c r="N44" s="521">
        <f>'事業所損益管理(H29.9～H30.8)収支計画表'!P41</f>
        <v>0</v>
      </c>
      <c r="O44" s="522">
        <f>'事業所損益管理(H29.9～H30.8)収支計画表'!Q41</f>
        <v>211140</v>
      </c>
      <c r="P44" s="1056">
        <f ca="1">IF(R44&lt;=1,1,IF(R44&gt;1.1,-1,0))</f>
        <v>1</v>
      </c>
      <c r="Q44" s="1042">
        <f ca="1">SUM(OFFSET(D44,0,0,1,IF(ISERROR(MATCH(DATE(YEAR($E$1),MONTH($E$1),1),$D$2:$O$2,0)),0,MATCH(DATE(YEAR($E$1),MONTH($E$1),1),$D$2:$O$2,0))))</f>
        <v>932766</v>
      </c>
      <c r="R44" s="1342">
        <f ca="1">IF(Q38&lt;0,ROUND((Q44-Q38)/ABS(Q38),3),IF(Q38=0,0,ROUND(Q44/Q38,3)))</f>
        <v>0.746</v>
      </c>
      <c r="S44" s="521">
        <f t="shared" ca="1" si="2"/>
        <v>77730.5</v>
      </c>
      <c r="T44" s="1373">
        <f ca="1">IF(V44&lt;=1,1,IF(V44&gt;1.1,-1,0))</f>
        <v>1</v>
      </c>
      <c r="U44" s="1031">
        <f t="shared" ca="1" si="17"/>
        <v>932766</v>
      </c>
      <c r="V44" s="1357">
        <f ca="1">IF(U38&lt;0,ROUND((U44-U38)/ABS(U38),3),IF(U38=0,0,ROUND(U44/U38,3)))</f>
        <v>0.746</v>
      </c>
      <c r="W44" s="999">
        <v>0.1</v>
      </c>
    </row>
    <row r="45" spans="1:25" ht="14.1" customHeight="1" thickBot="1" x14ac:dyDescent="0.2">
      <c r="A45" s="2190"/>
      <c r="B45" s="2164"/>
      <c r="C45" s="519" t="s">
        <v>35</v>
      </c>
      <c r="D45" s="520">
        <f>'事業所損益管理(H29.9～H30.8)収支計画表'!F42</f>
        <v>744536</v>
      </c>
      <c r="E45" s="521">
        <f>'事業所損益管理(H29.9～H30.8)収支計画表'!G42</f>
        <v>902306</v>
      </c>
      <c r="F45" s="521">
        <f>'事業所損益管理(H29.9～H30.8)収支計画表'!H42</f>
        <v>829374</v>
      </c>
      <c r="G45" s="521">
        <f>'事業所損益管理(H29.9～H30.8)収支計画表'!I42</f>
        <v>997975</v>
      </c>
      <c r="H45" s="521">
        <f>'事業所損益管理(H29.9～H30.8)収支計画表'!J42</f>
        <v>927618</v>
      </c>
      <c r="I45" s="521">
        <f>'事業所損益管理(H29.9～H30.8)収支計画表'!K42</f>
        <v>785358</v>
      </c>
      <c r="J45" s="521">
        <f>'事業所損益管理(H29.9～H30.8)収支計画表'!L42</f>
        <v>859073</v>
      </c>
      <c r="K45" s="521">
        <f>'事業所損益管理(H29.9～H30.8)収支計画表'!M42</f>
        <v>777798</v>
      </c>
      <c r="L45" s="521">
        <f>'事業所損益管理(H29.9～H30.8)収支計画表'!N42</f>
        <v>870485</v>
      </c>
      <c r="M45" s="521">
        <f>'事業所損益管理(H29.9～H30.8)収支計画表'!O42</f>
        <v>946985</v>
      </c>
      <c r="N45" s="521">
        <f>'事業所損益管理(H29.9～H30.8)収支計画表'!P42</f>
        <v>817228</v>
      </c>
      <c r="O45" s="522">
        <f>'事業所損益管理(H29.9～H30.8)収支計画表'!Q42</f>
        <v>1126297</v>
      </c>
      <c r="P45" s="1056">
        <f ca="1">IF(R45&lt;=1,1,IF(R45&gt;1.1,-1,0))</f>
        <v>0</v>
      </c>
      <c r="Q45" s="1042">
        <f t="shared" ca="1" si="4"/>
        <v>10585033</v>
      </c>
      <c r="R45" s="1342">
        <f ca="1">IF(Q39&lt;0,ROUND((Q45-Q39)/ABS(Q39),3),IF(Q39=0,0,ROUND(Q45/Q39,3)))</f>
        <v>1.08</v>
      </c>
      <c r="S45" s="521">
        <f t="shared" ca="1" si="2"/>
        <v>882086.08333333337</v>
      </c>
      <c r="T45" s="1373">
        <f ca="1">IF(V45&lt;=1,1,IF(V45&gt;1.1,-1,0))</f>
        <v>0</v>
      </c>
      <c r="U45" s="1031">
        <f t="shared" ca="1" si="17"/>
        <v>10585033</v>
      </c>
      <c r="V45" s="1357">
        <f ca="1">IF(U39&lt;0,ROUND((U45-U39)/ABS(U39),3),IF(U39=0,0,ROUND(U45/U39,3)))</f>
        <v>1.08</v>
      </c>
      <c r="W45" s="999">
        <v>0.1</v>
      </c>
    </row>
    <row r="46" spans="1:25" ht="14.1" customHeight="1" thickBot="1" x14ac:dyDescent="0.2">
      <c r="A46" s="2190"/>
      <c r="B46" s="2164"/>
      <c r="C46" s="523" t="s">
        <v>496</v>
      </c>
      <c r="D46" s="533">
        <f>IF(D43=0,0,D40)</f>
        <v>600000</v>
      </c>
      <c r="E46" s="527">
        <f t="shared" ref="E46:O46" si="18">IF(E43=0,0,E40)</f>
        <v>600000</v>
      </c>
      <c r="F46" s="527">
        <f t="shared" si="18"/>
        <v>600000</v>
      </c>
      <c r="G46" s="527">
        <f t="shared" si="18"/>
        <v>600000</v>
      </c>
      <c r="H46" s="527">
        <f t="shared" si="18"/>
        <v>600000</v>
      </c>
      <c r="I46" s="527">
        <f t="shared" si="18"/>
        <v>600000</v>
      </c>
      <c r="J46" s="527">
        <f t="shared" si="18"/>
        <v>600000</v>
      </c>
      <c r="K46" s="527">
        <f t="shared" si="18"/>
        <v>600000</v>
      </c>
      <c r="L46" s="527">
        <f t="shared" si="18"/>
        <v>600000</v>
      </c>
      <c r="M46" s="527">
        <f t="shared" si="18"/>
        <v>600000</v>
      </c>
      <c r="N46" s="527">
        <f t="shared" si="18"/>
        <v>600000</v>
      </c>
      <c r="O46" s="528">
        <f t="shared" si="18"/>
        <v>600000</v>
      </c>
      <c r="P46" s="1058"/>
      <c r="Q46" s="1043">
        <f ca="1">SUM(OFFSET(D46,0,0,1,IF(ISERROR(MATCH(DATE(YEAR($E$1),MONTH($E$1),1),$D$2:$O$2,0)),0,MATCH(DATE(YEAR($E$1),MONTH($E$1),1),$D$2:$O$2,0))))</f>
        <v>7200000</v>
      </c>
      <c r="R46" s="1339"/>
      <c r="S46" s="527">
        <f t="shared" ca="1" si="2"/>
        <v>600000</v>
      </c>
      <c r="T46" s="1429"/>
      <c r="U46" s="1033">
        <f t="shared" ca="1" si="17"/>
        <v>7200000</v>
      </c>
      <c r="V46" s="1353"/>
      <c r="W46" s="999">
        <v>0.1</v>
      </c>
    </row>
    <row r="47" spans="1:25" ht="14.1" customHeight="1" thickBot="1" x14ac:dyDescent="0.2">
      <c r="A47" s="2190"/>
      <c r="B47" s="2189"/>
      <c r="C47" s="534" t="s">
        <v>32</v>
      </c>
      <c r="D47" s="535">
        <f t="shared" ref="D47:O47" si="19">D42-(D43+D45+D46)</f>
        <v>1101617</v>
      </c>
      <c r="E47" s="536">
        <f t="shared" si="19"/>
        <v>819391</v>
      </c>
      <c r="F47" s="536">
        <f t="shared" si="19"/>
        <v>950065</v>
      </c>
      <c r="G47" s="536">
        <f t="shared" si="19"/>
        <v>-2019976.9444993129</v>
      </c>
      <c r="H47" s="536">
        <f t="shared" si="19"/>
        <v>431689</v>
      </c>
      <c r="I47" s="536">
        <f t="shared" si="19"/>
        <v>355154</v>
      </c>
      <c r="J47" s="536">
        <f t="shared" si="19"/>
        <v>505494</v>
      </c>
      <c r="K47" s="536">
        <f t="shared" si="19"/>
        <v>1331645</v>
      </c>
      <c r="L47" s="536">
        <f t="shared" si="19"/>
        <v>1168773</v>
      </c>
      <c r="M47" s="536">
        <f t="shared" si="19"/>
        <v>-471636</v>
      </c>
      <c r="N47" s="536">
        <f t="shared" si="19"/>
        <v>996248</v>
      </c>
      <c r="O47" s="537">
        <f t="shared" si="19"/>
        <v>1285463</v>
      </c>
      <c r="P47" s="1057">
        <f ca="1">IF(R47&gt;=0,1,IF(R47&lt;-0.1,-1,0))</f>
        <v>-1</v>
      </c>
      <c r="Q47" s="1045">
        <f t="shared" ca="1" si="4"/>
        <v>6453926.0555006871</v>
      </c>
      <c r="R47" s="1343">
        <f ca="1">IF(Q41=0,1-(Q43+Q45+Q46)/Q42,IF(Q41=Q47,0,ROUND((Q47-Q41)/ABS(Q41),3)))</f>
        <v>-0.16200000000000001</v>
      </c>
      <c r="S47" s="536">
        <f t="shared" ca="1" si="2"/>
        <v>537827.17129172396</v>
      </c>
      <c r="T47" s="1374">
        <f ca="1">IF(V47&gt;=0,1,IF(V47&lt;-0.1,-1,0))</f>
        <v>-1</v>
      </c>
      <c r="U47" s="1034">
        <f t="shared" ca="1" si="17"/>
        <v>6453926.0555006871</v>
      </c>
      <c r="V47" s="1358">
        <f ca="1">IF(U41=0,1-(U43+U45+U46)/U42,IF(U41=U47,0,ROUND((U47-U41)/ABS(U41),3)))</f>
        <v>-0.16200000000000001</v>
      </c>
      <c r="W47" s="999">
        <v>0.1</v>
      </c>
    </row>
    <row r="48" spans="1:25" ht="14.1" customHeight="1" thickBot="1" x14ac:dyDescent="0.2">
      <c r="A48" s="2190" t="s">
        <v>985</v>
      </c>
      <c r="B48" s="2188" t="s">
        <v>443</v>
      </c>
      <c r="C48" s="502" t="s">
        <v>26</v>
      </c>
      <c r="D48" s="503">
        <f>'事業所損益管理(H29.9～H30.8)収支計画表'!F44</f>
        <v>0</v>
      </c>
      <c r="E48" s="504">
        <f>'事業所損益管理(H29.9～H30.8)収支計画表'!G44</f>
        <v>0</v>
      </c>
      <c r="F48" s="504">
        <f>'事業所損益管理(H29.9～H30.8)収支計画表'!H44</f>
        <v>0</v>
      </c>
      <c r="G48" s="504">
        <f>'事業所損益管理(H29.9～H30.8)収支計画表'!I44</f>
        <v>0</v>
      </c>
      <c r="H48" s="504">
        <f>'事業所損益管理(H29.9～H30.8)収支計画表'!J44</f>
        <v>0</v>
      </c>
      <c r="I48" s="504">
        <f>'事業所損益管理(H29.9～H30.8)収支計画表'!K44</f>
        <v>0</v>
      </c>
      <c r="J48" s="504">
        <f>'事業所損益管理(H29.9～H30.8)収支計画表'!L44</f>
        <v>0</v>
      </c>
      <c r="K48" s="504">
        <f>'事業所損益管理(H29.9～H30.8)収支計画表'!M44</f>
        <v>0</v>
      </c>
      <c r="L48" s="504">
        <f>'事業所損益管理(H29.9～H30.8)収支計画表'!N44</f>
        <v>0</v>
      </c>
      <c r="M48" s="504">
        <f>'事業所損益管理(H29.9～H30.8)収支計画表'!O44</f>
        <v>180000</v>
      </c>
      <c r="N48" s="504">
        <f>'事業所損益管理(H29.9～H30.8)収支計画表'!P44</f>
        <v>390000</v>
      </c>
      <c r="O48" s="505">
        <f>'事業所損益管理(H29.9～H30.8)収支計画表'!Q44</f>
        <v>525000</v>
      </c>
      <c r="P48" s="1049"/>
      <c r="Q48" s="1039">
        <f t="shared" ref="Q48:Q55" ca="1" si="20">SUM(OFFSET(D48,0,0,1,IF(ISERROR(MATCH(DATE(YEAR($E$1),MONTH($E$1),1),$D$2:$O$2,0)),0,MATCH(DATE(YEAR($E$1),MONTH($E$1),1),$D$2:$O$2,0))))</f>
        <v>1095000</v>
      </c>
      <c r="R48" s="1338"/>
      <c r="S48" s="506">
        <f t="shared" ref="S48:S59" ca="1" si="21">IF(ISERROR(Q48/(DATEDIF(D$2,E$1,"M")+1)),0,Q48/(DATEDIF(D$2,E$1,"M")+1))</f>
        <v>91250</v>
      </c>
      <c r="T48" s="1035"/>
      <c r="U48" s="1035">
        <f t="shared" ref="U48:U53" si="22">SUM(D48:O48)</f>
        <v>1095000</v>
      </c>
      <c r="V48" s="1352"/>
    </row>
    <row r="49" spans="1:24" ht="14.1" customHeight="1" thickBot="1" x14ac:dyDescent="0.2">
      <c r="A49" s="2190"/>
      <c r="B49" s="2188"/>
      <c r="C49" s="508" t="s">
        <v>15</v>
      </c>
      <c r="D49" s="509">
        <f>'事業所損益管理(H29.9～H30.8)収支計画表'!F45</f>
        <v>0</v>
      </c>
      <c r="E49" s="510">
        <f>'事業所損益管理(H29.9～H30.8)収支計画表'!G45</f>
        <v>0</v>
      </c>
      <c r="F49" s="510">
        <f>'事業所損益管理(H29.9～H30.8)収支計画表'!H45</f>
        <v>0</v>
      </c>
      <c r="G49" s="510">
        <f>'事業所損益管理(H29.9～H30.8)収支計画表'!I45</f>
        <v>0</v>
      </c>
      <c r="H49" s="510">
        <f>'事業所損益管理(H29.9～H30.8)収支計画表'!J45</f>
        <v>0</v>
      </c>
      <c r="I49" s="510">
        <f>'事業所損益管理(H29.9～H30.8)収支計画表'!K45</f>
        <v>0</v>
      </c>
      <c r="J49" s="510">
        <f>'事業所損益管理(H29.9～H30.8)収支計画表'!L45</f>
        <v>0</v>
      </c>
      <c r="K49" s="510">
        <f>'事業所損益管理(H29.9～H30.8)収支計画表'!M45</f>
        <v>0</v>
      </c>
      <c r="L49" s="510">
        <f>'事業所損益管理(H29.9～H30.8)収支計画表'!N45</f>
        <v>0</v>
      </c>
      <c r="M49" s="510">
        <f>'事業所損益管理(H29.9～H30.8)収支計画表'!O45</f>
        <v>761000</v>
      </c>
      <c r="N49" s="510">
        <f>'事業所損益管理(H29.9～H30.8)収支計画表'!P45</f>
        <v>791000</v>
      </c>
      <c r="O49" s="511">
        <f>'事業所損益管理(H29.9～H30.8)収支計画表'!Q45</f>
        <v>821000</v>
      </c>
      <c r="P49" s="1050"/>
      <c r="Q49" s="1040">
        <f t="shared" ca="1" si="20"/>
        <v>2373000</v>
      </c>
      <c r="R49" s="1339"/>
      <c r="S49" s="512">
        <f t="shared" ca="1" si="21"/>
        <v>197750</v>
      </c>
      <c r="T49" s="1036"/>
      <c r="U49" s="1036">
        <f t="shared" si="22"/>
        <v>2373000</v>
      </c>
      <c r="V49" s="1353"/>
    </row>
    <row r="50" spans="1:24" ht="14.1" customHeight="1" thickBot="1" x14ac:dyDescent="0.2">
      <c r="A50" s="2190"/>
      <c r="B50" s="2188"/>
      <c r="C50" s="514" t="s">
        <v>447</v>
      </c>
      <c r="D50" s="509">
        <f>'事業所損益管理(H29.9～H30.8)収支計画表'!F46</f>
        <v>0</v>
      </c>
      <c r="E50" s="510">
        <f>'事業所損益管理(H29.9～H30.8)収支計画表'!G46</f>
        <v>0</v>
      </c>
      <c r="F50" s="510">
        <f>'事業所損益管理(H29.9～H30.8)収支計画表'!H46</f>
        <v>0</v>
      </c>
      <c r="G50" s="510">
        <f>'事業所損益管理(H29.9～H30.8)収支計画表'!I46</f>
        <v>0</v>
      </c>
      <c r="H50" s="510">
        <f>'事業所損益管理(H29.9～H30.8)収支計画表'!J46</f>
        <v>0</v>
      </c>
      <c r="I50" s="510">
        <f>'事業所損益管理(H29.9～H30.8)収支計画表'!K46</f>
        <v>0</v>
      </c>
      <c r="J50" s="510">
        <f>'事業所損益管理(H29.9～H30.8)収支計画表'!L46</f>
        <v>0</v>
      </c>
      <c r="K50" s="510">
        <f>'事業所損益管理(H29.9～H30.8)収支計画表'!M46</f>
        <v>0</v>
      </c>
      <c r="L50" s="510">
        <f>'事業所損益管理(H29.9～H30.8)収支計画表'!N46</f>
        <v>0</v>
      </c>
      <c r="M50" s="510">
        <f>'事業所損益管理(H29.9～H30.8)収支計画表'!O46</f>
        <v>60000</v>
      </c>
      <c r="N50" s="510">
        <f>'事業所損益管理(H29.9～H30.8)収支計画表'!P46</f>
        <v>0</v>
      </c>
      <c r="O50" s="511">
        <f>'事業所損益管理(H29.9～H30.8)収支計画表'!Q46</f>
        <v>60000</v>
      </c>
      <c r="P50" s="1050"/>
      <c r="Q50" s="1040">
        <f t="shared" ca="1" si="20"/>
        <v>120000</v>
      </c>
      <c r="R50" s="1339"/>
      <c r="S50" s="512">
        <f t="shared" ca="1" si="21"/>
        <v>10000</v>
      </c>
      <c r="T50" s="1036"/>
      <c r="U50" s="1036">
        <f t="shared" si="22"/>
        <v>120000</v>
      </c>
      <c r="V50" s="1353"/>
    </row>
    <row r="51" spans="1:24" ht="14.1" customHeight="1" thickBot="1" x14ac:dyDescent="0.2">
      <c r="A51" s="2190"/>
      <c r="B51" s="2188"/>
      <c r="C51" s="508" t="s">
        <v>35</v>
      </c>
      <c r="D51" s="509">
        <f>'事業所損益管理(H29.9～H30.8)収支計画表'!F47</f>
        <v>0</v>
      </c>
      <c r="E51" s="510">
        <f>'事業所損益管理(H29.9～H30.8)収支計画表'!G47</f>
        <v>0</v>
      </c>
      <c r="F51" s="510">
        <f>'事業所損益管理(H29.9～H30.8)収支計画表'!H47</f>
        <v>0</v>
      </c>
      <c r="G51" s="510">
        <f>'事業所損益管理(H29.9～H30.8)収支計画表'!I47</f>
        <v>0</v>
      </c>
      <c r="H51" s="510">
        <f>'事業所損益管理(H29.9～H30.8)収支計画表'!J47</f>
        <v>0</v>
      </c>
      <c r="I51" s="510">
        <f>'事業所損益管理(H29.9～H30.8)収支計画表'!K47</f>
        <v>0</v>
      </c>
      <c r="J51" s="510">
        <f>'事業所損益管理(H29.9～H30.8)収支計画表'!L47</f>
        <v>0</v>
      </c>
      <c r="K51" s="510">
        <f>'事業所損益管理(H29.9～H30.8)収支計画表'!M47</f>
        <v>0</v>
      </c>
      <c r="L51" s="510">
        <f>'事業所損益管理(H29.9～H30.8)収支計画表'!N47</f>
        <v>0</v>
      </c>
      <c r="M51" s="510">
        <f>'事業所損益管理(H29.9～H30.8)収支計画表'!O47</f>
        <v>1253593</v>
      </c>
      <c r="N51" s="510">
        <f>'事業所損益管理(H29.9～H30.8)収支計画表'!P47</f>
        <v>1226593</v>
      </c>
      <c r="O51" s="511">
        <f>'事業所損益管理(H29.9～H30.8)収支計画表'!Q47</f>
        <v>1319593</v>
      </c>
      <c r="P51" s="1050"/>
      <c r="Q51" s="1040">
        <f t="shared" ca="1" si="20"/>
        <v>3799779</v>
      </c>
      <c r="R51" s="1339"/>
      <c r="S51" s="512">
        <f t="shared" ca="1" si="21"/>
        <v>316648.25</v>
      </c>
      <c r="T51" s="1036"/>
      <c r="U51" s="1036">
        <f t="shared" si="22"/>
        <v>3799779</v>
      </c>
      <c r="V51" s="1353"/>
    </row>
    <row r="52" spans="1:24" ht="14.1" customHeight="1" thickBot="1" x14ac:dyDescent="0.2">
      <c r="A52" s="2190"/>
      <c r="B52" s="2188"/>
      <c r="C52" s="523" t="s">
        <v>496</v>
      </c>
      <c r="D52" s="524">
        <f>'事業所損益管理(H29.9～H30.8)収支計画表'!F48</f>
        <v>0</v>
      </c>
      <c r="E52" s="525">
        <f>'事業所損益管理(H29.9～H30.8)収支計画表'!G48</f>
        <v>0</v>
      </c>
      <c r="F52" s="525">
        <f>'事業所損益管理(H29.9～H30.8)収支計画表'!H48</f>
        <v>0</v>
      </c>
      <c r="G52" s="525">
        <f>'事業所損益管理(H29.9～H30.8)収支計画表'!I48</f>
        <v>0</v>
      </c>
      <c r="H52" s="525">
        <f>'事業所損益管理(H29.9～H30.8)収支計画表'!J48</f>
        <v>0</v>
      </c>
      <c r="I52" s="525">
        <f>'事業所損益管理(H29.9～H30.8)収支計画表'!K48</f>
        <v>0</v>
      </c>
      <c r="J52" s="525">
        <f>'事業所損益管理(H29.9～H30.8)収支計画表'!L48</f>
        <v>0</v>
      </c>
      <c r="K52" s="525">
        <f>'事業所損益管理(H29.9～H30.8)収支計画表'!M48</f>
        <v>0</v>
      </c>
      <c r="L52" s="525">
        <f>'事業所損益管理(H29.9～H30.8)収支計画表'!N48</f>
        <v>0</v>
      </c>
      <c r="M52" s="525">
        <v>600000</v>
      </c>
      <c r="N52" s="525">
        <v>600000</v>
      </c>
      <c r="O52" s="526">
        <v>600000</v>
      </c>
      <c r="P52" s="1051"/>
      <c r="Q52" s="1043">
        <f t="shared" ca="1" si="20"/>
        <v>1800000</v>
      </c>
      <c r="R52" s="1339"/>
      <c r="S52" s="527">
        <f t="shared" ca="1" si="21"/>
        <v>150000</v>
      </c>
      <c r="T52" s="1033"/>
      <c r="U52" s="1033">
        <f t="shared" si="22"/>
        <v>1800000</v>
      </c>
      <c r="V52" s="1353"/>
    </row>
    <row r="53" spans="1:24" ht="14.1" customHeight="1" thickBot="1" x14ac:dyDescent="0.2">
      <c r="A53" s="2190"/>
      <c r="B53" s="2188"/>
      <c r="C53" s="529" t="s">
        <v>32</v>
      </c>
      <c r="D53" s="530">
        <f>D48-(D49+D51+D52)</f>
        <v>0</v>
      </c>
      <c r="E53" s="531">
        <f t="shared" ref="E53:O53" si="23">E48-(E49+E51+E52)</f>
        <v>0</v>
      </c>
      <c r="F53" s="531">
        <f t="shared" si="23"/>
        <v>0</v>
      </c>
      <c r="G53" s="531">
        <f t="shared" si="23"/>
        <v>0</v>
      </c>
      <c r="H53" s="531">
        <f t="shared" si="23"/>
        <v>0</v>
      </c>
      <c r="I53" s="531">
        <f t="shared" si="23"/>
        <v>0</v>
      </c>
      <c r="J53" s="531">
        <f t="shared" si="23"/>
        <v>0</v>
      </c>
      <c r="K53" s="531">
        <f t="shared" si="23"/>
        <v>0</v>
      </c>
      <c r="L53" s="531">
        <f t="shared" si="23"/>
        <v>0</v>
      </c>
      <c r="M53" s="531">
        <f t="shared" si="23"/>
        <v>-2434593</v>
      </c>
      <c r="N53" s="531">
        <f t="shared" si="23"/>
        <v>-2227593</v>
      </c>
      <c r="O53" s="532">
        <f t="shared" si="23"/>
        <v>-2215593</v>
      </c>
      <c r="P53" s="1052"/>
      <c r="Q53" s="1044">
        <f t="shared" ca="1" si="20"/>
        <v>-6877779</v>
      </c>
      <c r="R53" s="1340"/>
      <c r="S53" s="531">
        <f t="shared" ca="1" si="21"/>
        <v>-573148.25</v>
      </c>
      <c r="T53" s="1032"/>
      <c r="U53" s="1032">
        <f t="shared" si="22"/>
        <v>-6877779</v>
      </c>
      <c r="V53" s="1355"/>
    </row>
    <row r="54" spans="1:24" ht="14.1" customHeight="1" thickBot="1" x14ac:dyDescent="0.2">
      <c r="A54" s="2190"/>
      <c r="B54" s="2164" t="s">
        <v>444</v>
      </c>
      <c r="C54" s="515" t="s">
        <v>26</v>
      </c>
      <c r="D54" s="516">
        <f>'事業所損益管理(H29.9～H30.8)収支計画表'!F49</f>
        <v>0</v>
      </c>
      <c r="E54" s="517">
        <f>'事業所損益管理(H29.9～H30.8)収支計画表'!G49</f>
        <v>0</v>
      </c>
      <c r="F54" s="517">
        <f>'事業所損益管理(H29.9～H30.8)収支計画表'!H49</f>
        <v>0</v>
      </c>
      <c r="G54" s="517">
        <f>'事業所損益管理(H29.9～H30.8)収支計画表'!I49</f>
        <v>0</v>
      </c>
      <c r="H54" s="517">
        <f>'事業所損益管理(H29.9～H30.8)収支計画表'!J49</f>
        <v>0</v>
      </c>
      <c r="I54" s="517">
        <f>'事業所損益管理(H29.9～H30.8)収支計画表'!K49</f>
        <v>0</v>
      </c>
      <c r="J54" s="517">
        <f>'事業所損益管理(H29.9～H30.8)収支計画表'!L49</f>
        <v>0</v>
      </c>
      <c r="K54" s="517">
        <f>'事業所損益管理(H29.9～H30.8)収支計画表'!M49</f>
        <v>0</v>
      </c>
      <c r="L54" s="517">
        <f>'事業所損益管理(H29.9～H30.8)収支計画表'!N49</f>
        <v>0</v>
      </c>
      <c r="M54" s="517">
        <f>'事業所損益管理(H29.9～H30.8)収支計画表'!O49</f>
        <v>100885</v>
      </c>
      <c r="N54" s="517">
        <f>'事業所損益管理(H29.9～H30.8)収支計画表'!P49</f>
        <v>663080</v>
      </c>
      <c r="O54" s="518">
        <f>'事業所損益管理(H29.9～H30.8)収支計画表'!Q49</f>
        <v>624826</v>
      </c>
      <c r="P54" s="1055">
        <f ca="1">IF(R54&gt;=1,1,IF(R54&lt;0.9,-1,0))</f>
        <v>1</v>
      </c>
      <c r="Q54" s="1041">
        <f t="shared" ca="1" si="20"/>
        <v>1388791</v>
      </c>
      <c r="R54" s="1341">
        <f ca="1">IF(Q48&lt;0,ROUND((Q54-Q48)/ABS(Q48),3),IF(Q48=0,0,ROUND(Q54/Q48,3)))</f>
        <v>1.268</v>
      </c>
      <c r="S54" s="517">
        <f t="shared" ca="1" si="21"/>
        <v>115732.58333333333</v>
      </c>
      <c r="T54" s="1372">
        <f ca="1">IF(V54&gt;=1,1,IF(V54&lt;0.9,-1,0))</f>
        <v>1</v>
      </c>
      <c r="U54" s="1030">
        <f t="shared" ref="U54:U59" ca="1" si="24">Q54+(12-IF(ISERROR(MATCH(DATE(YEAR($E$1),MONTH($E$1),1),$D$2:$O$2,0)),0,MATCH(DATE(YEAR($E$1),MONTH($E$1),1),$D$2:$O$2,0)))*S54</f>
        <v>1388791</v>
      </c>
      <c r="V54" s="1356">
        <f ca="1">IF(U48&lt;0,ROUND((U54-U48)/ABS(U48),3),IF(U48=0,0,ROUND(U54/U48,3)))</f>
        <v>1.268</v>
      </c>
      <c r="W54" s="999">
        <v>0.1</v>
      </c>
    </row>
    <row r="55" spans="1:24" ht="14.1" customHeight="1" thickBot="1" x14ac:dyDescent="0.2">
      <c r="A55" s="2190"/>
      <c r="B55" s="2164"/>
      <c r="C55" s="519" t="s">
        <v>15</v>
      </c>
      <c r="D55" s="520">
        <f>'事業所損益管理(H29.9～H30.8)収支計画表'!F50</f>
        <v>0</v>
      </c>
      <c r="E55" s="521">
        <f>'事業所損益管理(H29.9～H30.8)収支計画表'!G50</f>
        <v>0</v>
      </c>
      <c r="F55" s="521">
        <f>'事業所損益管理(H29.9～H30.8)収支計画表'!H50</f>
        <v>0</v>
      </c>
      <c r="G55" s="521">
        <f>'事業所損益管理(H29.9～H30.8)収支計画表'!I50</f>
        <v>0</v>
      </c>
      <c r="H55" s="521">
        <f>'事業所損益管理(H29.9～H30.8)収支計画表'!J50</f>
        <v>0</v>
      </c>
      <c r="I55" s="521">
        <f>'事業所損益管理(H29.9～H30.8)収支計画表'!K50</f>
        <v>0</v>
      </c>
      <c r="J55" s="521">
        <f>'事業所損益管理(H29.9～H30.8)収支計画表'!L50</f>
        <v>0</v>
      </c>
      <c r="K55" s="521">
        <f>'事業所損益管理(H29.9～H30.8)収支計画表'!M50</f>
        <v>0</v>
      </c>
      <c r="L55" s="521">
        <f>'事業所損益管理(H29.9～H30.8)収支計画表'!N50</f>
        <v>394863</v>
      </c>
      <c r="M55" s="521">
        <f>'事業所損益管理(H29.9～H30.8)収支計画表'!O50</f>
        <v>845708</v>
      </c>
      <c r="N55" s="521">
        <f>'事業所損益管理(H29.9～H30.8)収支計画表'!P50</f>
        <v>534698</v>
      </c>
      <c r="O55" s="522">
        <f>'事業所損益管理(H29.9～H30.8)収支計画表'!Q50</f>
        <v>636291</v>
      </c>
      <c r="P55" s="1056">
        <f ca="1">IF(R55&lt;=1,1,IF(R55&gt;1.1,-1,0))</f>
        <v>0</v>
      </c>
      <c r="Q55" s="1042">
        <f t="shared" ca="1" si="20"/>
        <v>2411560</v>
      </c>
      <c r="R55" s="1342">
        <f ca="1">IF(Q49&lt;0,ROUND((Q55-Q49)/ABS(Q49),3),IF(Q49=0,0,ROUND(Q55/Q49,3)))</f>
        <v>1.016</v>
      </c>
      <c r="S55" s="521">
        <f t="shared" ca="1" si="21"/>
        <v>200963.33333333334</v>
      </c>
      <c r="T55" s="1373">
        <f ca="1">IF(V55&lt;=1,1,IF(V55&gt;1.1,-1,0))</f>
        <v>0</v>
      </c>
      <c r="U55" s="1031">
        <f t="shared" ca="1" si="24"/>
        <v>2411560</v>
      </c>
      <c r="V55" s="1357">
        <f ca="1">IF(U49&lt;0,ROUND((U55-U49)/ABS(U49),3),IF(U49=0,0,ROUND(U55/U49,3)))</f>
        <v>1.016</v>
      </c>
      <c r="W55" s="999">
        <v>0.1</v>
      </c>
    </row>
    <row r="56" spans="1:24" ht="14.1" customHeight="1" thickBot="1" x14ac:dyDescent="0.2">
      <c r="A56" s="2190"/>
      <c r="B56" s="2164"/>
      <c r="C56" s="450" t="s">
        <v>448</v>
      </c>
      <c r="D56" s="520">
        <f>'事業所損益管理(H29.9～H30.8)収支計画表'!F51</f>
        <v>0</v>
      </c>
      <c r="E56" s="521">
        <f>'事業所損益管理(H29.9～H30.8)収支計画表'!G51</f>
        <v>0</v>
      </c>
      <c r="F56" s="521">
        <f>'事業所損益管理(H29.9～H30.8)収支計画表'!H51</f>
        <v>0</v>
      </c>
      <c r="G56" s="521">
        <f>'事業所損益管理(H29.9～H30.8)収支計画表'!I51</f>
        <v>0</v>
      </c>
      <c r="H56" s="521">
        <f>'事業所損益管理(H29.9～H30.8)収支計画表'!J51</f>
        <v>0</v>
      </c>
      <c r="I56" s="521">
        <f>'事業所損益管理(H29.9～H30.8)収支計画表'!K51</f>
        <v>0</v>
      </c>
      <c r="J56" s="521">
        <f>'事業所損益管理(H29.9～H30.8)収支計画表'!L51</f>
        <v>0</v>
      </c>
      <c r="K56" s="521">
        <f>'事業所損益管理(H29.9～H30.8)収支計画表'!M51</f>
        <v>0</v>
      </c>
      <c r="L56" s="521">
        <f>'事業所損益管理(H29.9～H30.8)収支計画表'!N51</f>
        <v>129600</v>
      </c>
      <c r="M56" s="521">
        <f>'事業所損益管理(H29.9～H30.8)収支計画表'!O51</f>
        <v>196560</v>
      </c>
      <c r="N56" s="521">
        <f>'事業所損益管理(H29.9～H30.8)収支計画表'!P51</f>
        <v>226800</v>
      </c>
      <c r="O56" s="522">
        <f>'事業所損益管理(H29.9～H30.8)収支計画表'!Q51</f>
        <v>184680</v>
      </c>
      <c r="P56" s="1056">
        <f ca="1">IF(R56&lt;=1,1,IF(R56&gt;1.1,-1,0))</f>
        <v>-1</v>
      </c>
      <c r="Q56" s="1042">
        <f ca="1">SUM(OFFSET(D56,0,0,1,IF(ISERROR(MATCH(DATE(YEAR($E$1),MONTH($E$1),1),$D$2:$O$2,0)),0,MATCH(DATE(YEAR($E$1),MONTH($E$1),1),$D$2:$O$2,0))))</f>
        <v>737640</v>
      </c>
      <c r="R56" s="1342">
        <f ca="1">IF(Q50&lt;0,ROUND((Q56-Q50)/ABS(Q50),3),IF(Q50=0,0,ROUND(Q56/Q50,3)))</f>
        <v>6.1470000000000002</v>
      </c>
      <c r="S56" s="521">
        <f t="shared" ca="1" si="21"/>
        <v>61470</v>
      </c>
      <c r="T56" s="1373">
        <f ca="1">IF(V56&lt;=1,1,IF(V56&gt;1.1,-1,0))</f>
        <v>-1</v>
      </c>
      <c r="U56" s="1031">
        <f t="shared" ca="1" si="24"/>
        <v>737640</v>
      </c>
      <c r="V56" s="1357">
        <f ca="1">IF(U50&lt;0,ROUND((U56-U50)/ABS(U50),3),IF(U50=0,0,ROUND(U56/U50,3)))</f>
        <v>6.1470000000000002</v>
      </c>
      <c r="W56" s="999">
        <v>0.1</v>
      </c>
    </row>
    <row r="57" spans="1:24" ht="14.1" customHeight="1" thickBot="1" x14ac:dyDescent="0.2">
      <c r="A57" s="2190"/>
      <c r="B57" s="2164"/>
      <c r="C57" s="519" t="s">
        <v>35</v>
      </c>
      <c r="D57" s="520">
        <f>'事業所損益管理(H29.9～H30.8)収支計画表'!F52</f>
        <v>0</v>
      </c>
      <c r="E57" s="521">
        <f>'事業所損益管理(H29.9～H30.8)収支計画表'!G52</f>
        <v>0</v>
      </c>
      <c r="F57" s="521">
        <f>'事業所損益管理(H29.9～H30.8)収支計画表'!H52</f>
        <v>0</v>
      </c>
      <c r="G57" s="521">
        <f>'事業所損益管理(H29.9～H30.8)収支計画表'!I52</f>
        <v>0</v>
      </c>
      <c r="H57" s="521">
        <f>'事業所損益管理(H29.9～H30.8)収支計画表'!J52</f>
        <v>0</v>
      </c>
      <c r="I57" s="521">
        <f>'事業所損益管理(H29.9～H30.8)収支計画表'!K52</f>
        <v>0</v>
      </c>
      <c r="J57" s="521">
        <f>'事業所損益管理(H29.9～H30.8)収支計画表'!L52</f>
        <v>793800</v>
      </c>
      <c r="K57" s="521">
        <f>'事業所損益管理(H29.9～H30.8)収支計画表'!M52</f>
        <v>741095</v>
      </c>
      <c r="L57" s="521">
        <f>'事業所損益管理(H29.9～H30.8)収支計画表'!N52</f>
        <v>690320</v>
      </c>
      <c r="M57" s="521">
        <f>'事業所損益管理(H29.9～H30.8)収支計画表'!O52</f>
        <v>759192</v>
      </c>
      <c r="N57" s="521">
        <f>'事業所損益管理(H29.9～H30.8)収支計画表'!P52</f>
        <v>713868</v>
      </c>
      <c r="O57" s="522">
        <f>'事業所損益管理(H29.9～H30.8)収支計画表'!Q52</f>
        <v>683798</v>
      </c>
      <c r="P57" s="1056">
        <f ca="1">IF(R57&lt;=1,1,IF(R57&gt;1.1,-1,0))</f>
        <v>-1</v>
      </c>
      <c r="Q57" s="1042">
        <f ca="1">SUM(OFFSET(D57,0,0,1,IF(ISERROR(MATCH(DATE(YEAR($E$1),MONTH($E$1),1),$D$2:$O$2,0)),0,MATCH(DATE(YEAR($E$1),MONTH($E$1),1),$D$2:$O$2,0))))</f>
        <v>4382073</v>
      </c>
      <c r="R57" s="1342">
        <f ca="1">IF(Q51&lt;0,ROUND((Q57-Q51)/ABS(Q51),3),IF(Q51=0,0,ROUND(Q57/Q51,3)))</f>
        <v>1.153</v>
      </c>
      <c r="S57" s="521">
        <f t="shared" ca="1" si="21"/>
        <v>365172.75</v>
      </c>
      <c r="T57" s="1373">
        <f ca="1">IF(V57&lt;=1,1,IF(V57&gt;1.1,-1,0))</f>
        <v>-1</v>
      </c>
      <c r="U57" s="1031">
        <f t="shared" ca="1" si="24"/>
        <v>4382073</v>
      </c>
      <c r="V57" s="1357">
        <f ca="1">IF(U51&lt;0,ROUND((U57-U51)/ABS(U51),3),IF(U51=0,0,ROUND(U57/U51,3)))</f>
        <v>1.153</v>
      </c>
      <c r="W57" s="999">
        <v>0.1</v>
      </c>
    </row>
    <row r="58" spans="1:24" ht="14.1" customHeight="1" thickBot="1" x14ac:dyDescent="0.2">
      <c r="A58" s="2190"/>
      <c r="B58" s="2164"/>
      <c r="C58" s="523" t="s">
        <v>496</v>
      </c>
      <c r="D58" s="533">
        <f>IF(D55=0,0,D52)</f>
        <v>0</v>
      </c>
      <c r="E58" s="527">
        <f t="shared" ref="E58:O58" si="25">IF(E55=0,0,E52)</f>
        <v>0</v>
      </c>
      <c r="F58" s="527">
        <f t="shared" si="25"/>
        <v>0</v>
      </c>
      <c r="G58" s="527">
        <f t="shared" si="25"/>
        <v>0</v>
      </c>
      <c r="H58" s="527">
        <f t="shared" si="25"/>
        <v>0</v>
      </c>
      <c r="I58" s="527">
        <f t="shared" si="25"/>
        <v>0</v>
      </c>
      <c r="J58" s="527">
        <f t="shared" si="25"/>
        <v>0</v>
      </c>
      <c r="K58" s="527">
        <f t="shared" si="25"/>
        <v>0</v>
      </c>
      <c r="L58" s="527">
        <f t="shared" si="25"/>
        <v>0</v>
      </c>
      <c r="M58" s="527">
        <f t="shared" si="25"/>
        <v>600000</v>
      </c>
      <c r="N58" s="527">
        <f t="shared" si="25"/>
        <v>600000</v>
      </c>
      <c r="O58" s="528">
        <f t="shared" si="25"/>
        <v>600000</v>
      </c>
      <c r="P58" s="1058"/>
      <c r="Q58" s="1043">
        <f ca="1">SUM(OFFSET(D58,0,0,1,IF(ISERROR(MATCH(DATE(YEAR($E$1),MONTH($E$1),1),$D$2:$O$2,0)),0,MATCH(DATE(YEAR($E$1),MONTH($E$1),1),$D$2:$O$2,0))))</f>
        <v>1800000</v>
      </c>
      <c r="R58" s="1339"/>
      <c r="S58" s="527">
        <f t="shared" ca="1" si="21"/>
        <v>150000</v>
      </c>
      <c r="T58" s="1429"/>
      <c r="U58" s="1033">
        <f t="shared" ca="1" si="24"/>
        <v>1800000</v>
      </c>
      <c r="V58" s="1353"/>
      <c r="W58" s="999">
        <v>0.1</v>
      </c>
    </row>
    <row r="59" spans="1:24" ht="14.1" customHeight="1" thickBot="1" x14ac:dyDescent="0.2">
      <c r="A59" s="2190"/>
      <c r="B59" s="2189"/>
      <c r="C59" s="534" t="s">
        <v>32</v>
      </c>
      <c r="D59" s="535">
        <f t="shared" ref="D59:O59" si="26">D54-(D55+D57+D58)</f>
        <v>0</v>
      </c>
      <c r="E59" s="536">
        <f t="shared" si="26"/>
        <v>0</v>
      </c>
      <c r="F59" s="536">
        <f t="shared" si="26"/>
        <v>0</v>
      </c>
      <c r="G59" s="536">
        <f t="shared" si="26"/>
        <v>0</v>
      </c>
      <c r="H59" s="536">
        <f t="shared" si="26"/>
        <v>0</v>
      </c>
      <c r="I59" s="536">
        <f t="shared" si="26"/>
        <v>0</v>
      </c>
      <c r="J59" s="536">
        <f t="shared" si="26"/>
        <v>-793800</v>
      </c>
      <c r="K59" s="536">
        <f t="shared" si="26"/>
        <v>-741095</v>
      </c>
      <c r="L59" s="536">
        <f t="shared" si="26"/>
        <v>-1085183</v>
      </c>
      <c r="M59" s="536">
        <f t="shared" si="26"/>
        <v>-2104015</v>
      </c>
      <c r="N59" s="536">
        <f t="shared" si="26"/>
        <v>-1185486</v>
      </c>
      <c r="O59" s="537">
        <f t="shared" si="26"/>
        <v>-1295263</v>
      </c>
      <c r="P59" s="1057">
        <f ca="1">IF(R59&gt;=0,1,IF(R59&lt;-0.1,-1,0))</f>
        <v>0</v>
      </c>
      <c r="Q59" s="1045">
        <f t="shared" ref="Q59:Q67" ca="1" si="27">SUM(OFFSET(D59,0,0,1,IF(ISERROR(MATCH(DATE(YEAR($E$1),MONTH($E$1),1),$D$2:$O$2,0)),0,MATCH(DATE(YEAR($E$1),MONTH($E$1),1),$D$2:$O$2,0))))</f>
        <v>-7204842</v>
      </c>
      <c r="R59" s="1343">
        <f ca="1">IF(Q53=0,1-(Q55+Q57+Q58)/Q54,IF(Q53=Q59,0,ROUND((Q59-Q53)/ABS(Q53),3)))</f>
        <v>-4.8000000000000001E-2</v>
      </c>
      <c r="S59" s="536">
        <f t="shared" ca="1" si="21"/>
        <v>-600403.5</v>
      </c>
      <c r="T59" s="1374">
        <f ca="1">IF(V59&gt;=0,1,IF(V59&lt;-0.1,-1,0))</f>
        <v>0</v>
      </c>
      <c r="U59" s="1034">
        <f t="shared" ca="1" si="24"/>
        <v>-7204842</v>
      </c>
      <c r="V59" s="1358">
        <f ca="1">IF(U53=0,1-(U55+U57+U58)/U54,IF(U53=U59,0,ROUND((U59-U53)/ABS(U53),3)))</f>
        <v>-4.8000000000000001E-2</v>
      </c>
      <c r="W59" s="999">
        <v>0.1</v>
      </c>
      <c r="X59" s="413" t="s">
        <v>1167</v>
      </c>
    </row>
    <row r="60" spans="1:24" ht="14.1" customHeight="1" thickBot="1" x14ac:dyDescent="0.2">
      <c r="A60" s="2190" t="s">
        <v>1213</v>
      </c>
      <c r="B60" s="2188" t="s">
        <v>443</v>
      </c>
      <c r="C60" s="502" t="s">
        <v>26</v>
      </c>
      <c r="D60" s="503">
        <f>'事業所損益管理(H29.9～H30.8)収支計画表'!F54</f>
        <v>0</v>
      </c>
      <c r="E60" s="504">
        <f>'事業所損益管理(H29.9～H30.8)収支計画表'!G54</f>
        <v>0</v>
      </c>
      <c r="F60" s="504">
        <f>'事業所損益管理(H29.9～H30.8)収支計画表'!H54</f>
        <v>0</v>
      </c>
      <c r="G60" s="504">
        <f>'事業所損益管理(H29.9～H30.8)収支計画表'!I54</f>
        <v>0</v>
      </c>
      <c r="H60" s="504">
        <f>'事業所損益管理(H29.9～H30.8)収支計画表'!J54</f>
        <v>0</v>
      </c>
      <c r="I60" s="504">
        <f>'事業所損益管理(H29.9～H30.8)収支計画表'!K54</f>
        <v>0</v>
      </c>
      <c r="J60" s="504">
        <f>'事業所損益管理(H29.9～H30.8)収支計画表'!L54</f>
        <v>0</v>
      </c>
      <c r="K60" s="504">
        <f>'事業所損益管理(H29.9～H30.8)収支計画表'!M54</f>
        <v>0</v>
      </c>
      <c r="L60" s="504">
        <f>'事業所損益管理(H29.9～H30.8)収支計画表'!N54</f>
        <v>0</v>
      </c>
      <c r="M60" s="504">
        <f>'事業所損益管理(H29.9～H30.8)収支計画表'!O54</f>
        <v>0</v>
      </c>
      <c r="N60" s="504">
        <f>'事業所損益管理(H29.9～H30.8)収支計画表'!P54</f>
        <v>0</v>
      </c>
      <c r="O60" s="505">
        <f>'事業所損益管理(H29.9～H30.8)収支計画表'!Q54</f>
        <v>0</v>
      </c>
      <c r="P60" s="1049"/>
      <c r="Q60" s="1039">
        <f t="shared" ca="1" si="27"/>
        <v>0</v>
      </c>
      <c r="R60" s="1338"/>
      <c r="S60" s="506">
        <f t="shared" ref="S60:S71" ca="1" si="28">IF(ISERROR(Q60/(DATEDIF(D$2,E$1,"M")+1)),0,Q60/(DATEDIF(D$2,E$1,"M")+1))</f>
        <v>0</v>
      </c>
      <c r="T60" s="1035"/>
      <c r="U60" s="1035">
        <f t="shared" ref="U60:U65" si="29">SUM(D60:O60)</f>
        <v>0</v>
      </c>
      <c r="V60" s="1352"/>
    </row>
    <row r="61" spans="1:24" ht="14.1" customHeight="1" thickBot="1" x14ac:dyDescent="0.2">
      <c r="A61" s="2190"/>
      <c r="B61" s="2188"/>
      <c r="C61" s="508" t="s">
        <v>15</v>
      </c>
      <c r="D61" s="509">
        <f>'事業所損益管理(H29.9～H30.8)収支計画表'!F55</f>
        <v>0</v>
      </c>
      <c r="E61" s="510">
        <f>'事業所損益管理(H29.9～H30.8)収支計画表'!G55</f>
        <v>0</v>
      </c>
      <c r="F61" s="510">
        <f>'事業所損益管理(H29.9～H30.8)収支計画表'!H55</f>
        <v>0</v>
      </c>
      <c r="G61" s="510">
        <f>'事業所損益管理(H29.9～H30.8)収支計画表'!I55</f>
        <v>0</v>
      </c>
      <c r="H61" s="510">
        <f>'事業所損益管理(H29.9～H30.8)収支計画表'!J55</f>
        <v>0</v>
      </c>
      <c r="I61" s="510">
        <f>'事業所損益管理(H29.9～H30.8)収支計画表'!K55</f>
        <v>0</v>
      </c>
      <c r="J61" s="510">
        <f>'事業所損益管理(H29.9～H30.8)収支計画表'!L55</f>
        <v>0</v>
      </c>
      <c r="K61" s="510">
        <f>'事業所損益管理(H29.9～H30.8)収支計画表'!M55</f>
        <v>0</v>
      </c>
      <c r="L61" s="510">
        <f>'事業所損益管理(H29.9～H30.8)収支計画表'!N55</f>
        <v>0</v>
      </c>
      <c r="M61" s="510">
        <f>'事業所損益管理(H29.9～H30.8)収支計画表'!O55</f>
        <v>0</v>
      </c>
      <c r="N61" s="510">
        <f>'事業所損益管理(H29.9～H30.8)収支計画表'!P55</f>
        <v>400000</v>
      </c>
      <c r="O61" s="511">
        <f>'事業所損益管理(H29.9～H30.8)収支計画表'!Q55</f>
        <v>400000</v>
      </c>
      <c r="P61" s="1050"/>
      <c r="Q61" s="1040">
        <f t="shared" ca="1" si="27"/>
        <v>800000</v>
      </c>
      <c r="R61" s="1339"/>
      <c r="S61" s="512">
        <f t="shared" ca="1" si="28"/>
        <v>66666.666666666672</v>
      </c>
      <c r="T61" s="1036"/>
      <c r="U61" s="1036">
        <f t="shared" si="29"/>
        <v>800000</v>
      </c>
      <c r="V61" s="1353"/>
    </row>
    <row r="62" spans="1:24" ht="14.1" customHeight="1" thickBot="1" x14ac:dyDescent="0.2">
      <c r="A62" s="2190"/>
      <c r="B62" s="2188"/>
      <c r="C62" s="514" t="s">
        <v>447</v>
      </c>
      <c r="D62" s="509">
        <f>'事業所損益管理(H29.9～H30.8)収支計画表'!F56</f>
        <v>0</v>
      </c>
      <c r="E62" s="510">
        <f>'事業所損益管理(H29.9～H30.8)収支計画表'!G56</f>
        <v>0</v>
      </c>
      <c r="F62" s="510">
        <f>'事業所損益管理(H29.9～H30.8)収支計画表'!H56</f>
        <v>0</v>
      </c>
      <c r="G62" s="510">
        <f>'事業所損益管理(H29.9～H30.8)収支計画表'!I56</f>
        <v>0</v>
      </c>
      <c r="H62" s="510">
        <f>'事業所損益管理(H29.9～H30.8)収支計画表'!J56</f>
        <v>0</v>
      </c>
      <c r="I62" s="510">
        <f>'事業所損益管理(H29.9～H30.8)収支計画表'!K56</f>
        <v>0</v>
      </c>
      <c r="J62" s="510">
        <f>'事業所損益管理(H29.9～H30.8)収支計画表'!L56</f>
        <v>0</v>
      </c>
      <c r="K62" s="510">
        <f>'事業所損益管理(H29.9～H30.8)収支計画表'!M56</f>
        <v>0</v>
      </c>
      <c r="L62" s="510">
        <f>'事業所損益管理(H29.9～H30.8)収支計画表'!N56</f>
        <v>0</v>
      </c>
      <c r="M62" s="510">
        <f>'事業所損益管理(H29.9～H30.8)収支計画表'!O56</f>
        <v>0</v>
      </c>
      <c r="N62" s="510">
        <f>'事業所損益管理(H29.9～H30.8)収支計画表'!P56</f>
        <v>0</v>
      </c>
      <c r="O62" s="511">
        <f>'事業所損益管理(H29.9～H30.8)収支計画表'!Q56</f>
        <v>246000</v>
      </c>
      <c r="P62" s="1050"/>
      <c r="Q62" s="1040">
        <f t="shared" ca="1" si="27"/>
        <v>246000</v>
      </c>
      <c r="R62" s="1339"/>
      <c r="S62" s="512">
        <f t="shared" ca="1" si="28"/>
        <v>20500</v>
      </c>
      <c r="T62" s="1036"/>
      <c r="U62" s="1036">
        <f t="shared" si="29"/>
        <v>246000</v>
      </c>
      <c r="V62" s="1353"/>
    </row>
    <row r="63" spans="1:24" ht="14.1" customHeight="1" thickBot="1" x14ac:dyDescent="0.2">
      <c r="A63" s="2190"/>
      <c r="B63" s="2188"/>
      <c r="C63" s="508" t="s">
        <v>35</v>
      </c>
      <c r="D63" s="509">
        <f>'事業所損益管理(H29.9～H30.8)収支計画表'!F57</f>
        <v>0</v>
      </c>
      <c r="E63" s="510">
        <f>'事業所損益管理(H29.9～H30.8)収支計画表'!G57</f>
        <v>0</v>
      </c>
      <c r="F63" s="510">
        <f>'事業所損益管理(H29.9～H30.8)収支計画表'!H57</f>
        <v>0</v>
      </c>
      <c r="G63" s="510">
        <f>'事業所損益管理(H29.9～H30.8)収支計画表'!I57</f>
        <v>0</v>
      </c>
      <c r="H63" s="510">
        <f>'事業所損益管理(H29.9～H30.8)収支計画表'!J57</f>
        <v>0</v>
      </c>
      <c r="I63" s="510">
        <f>'事業所損益管理(H29.9～H30.8)収支計画表'!K57</f>
        <v>0</v>
      </c>
      <c r="J63" s="510">
        <f>'事業所損益管理(H29.9～H30.8)収支計画表'!L57</f>
        <v>0</v>
      </c>
      <c r="K63" s="510">
        <f>'事業所損益管理(H29.9～H30.8)収支計画表'!M57</f>
        <v>0</v>
      </c>
      <c r="L63" s="510">
        <f>'事業所損益管理(H29.9～H30.8)収支計画表'!N57</f>
        <v>0</v>
      </c>
      <c r="M63" s="510">
        <f>'事業所損益管理(H29.9～H30.8)収支計画表'!O57</f>
        <v>0</v>
      </c>
      <c r="N63" s="510">
        <f>'事業所損益管理(H29.9～H30.8)収支計画表'!P57</f>
        <v>420000</v>
      </c>
      <c r="O63" s="511">
        <f>'事業所損益管理(H29.9～H30.8)収支計画表'!Q57</f>
        <v>2960000</v>
      </c>
      <c r="P63" s="1050"/>
      <c r="Q63" s="1040">
        <f t="shared" ca="1" si="27"/>
        <v>3380000</v>
      </c>
      <c r="R63" s="1339"/>
      <c r="S63" s="512">
        <f t="shared" ca="1" si="28"/>
        <v>281666.66666666669</v>
      </c>
      <c r="T63" s="1036"/>
      <c r="U63" s="1036">
        <f t="shared" si="29"/>
        <v>3380000</v>
      </c>
      <c r="V63" s="1353"/>
    </row>
    <row r="64" spans="1:24" ht="14.1" customHeight="1" thickBot="1" x14ac:dyDescent="0.2">
      <c r="A64" s="2190"/>
      <c r="B64" s="2188"/>
      <c r="C64" s="523" t="s">
        <v>496</v>
      </c>
      <c r="D64" s="524">
        <f>'事業所損益管理(H29.9～H30.8)収支計画表'!F60</f>
        <v>0</v>
      </c>
      <c r="E64" s="525">
        <f>'事業所損益管理(H29.9～H30.8)収支計画表'!G60</f>
        <v>0</v>
      </c>
      <c r="F64" s="525">
        <f>'事業所損益管理(H29.9～H30.8)収支計画表'!H60</f>
        <v>0</v>
      </c>
      <c r="G64" s="525">
        <f>'事業所損益管理(H29.9～H30.8)収支計画表'!I60</f>
        <v>0</v>
      </c>
      <c r="H64" s="525">
        <f>'事業所損益管理(H29.9～H30.8)収支計画表'!J60</f>
        <v>0</v>
      </c>
      <c r="I64" s="525">
        <f>'事業所損益管理(H29.9～H30.8)収支計画表'!K60</f>
        <v>0</v>
      </c>
      <c r="J64" s="525">
        <f>'事業所損益管理(H29.9～H30.8)収支計画表'!L60</f>
        <v>0</v>
      </c>
      <c r="K64" s="525">
        <f>'事業所損益管理(H29.9～H30.8)収支計画表'!M60</f>
        <v>0</v>
      </c>
      <c r="L64" s="525">
        <f>'事業所損益管理(H29.9～H30.8)収支計画表'!N60</f>
        <v>0</v>
      </c>
      <c r="M64" s="525">
        <v>0</v>
      </c>
      <c r="N64" s="525">
        <v>0</v>
      </c>
      <c r="O64" s="526">
        <v>0</v>
      </c>
      <c r="P64" s="1051"/>
      <c r="Q64" s="1043">
        <f t="shared" ca="1" si="27"/>
        <v>0</v>
      </c>
      <c r="R64" s="1339"/>
      <c r="S64" s="527">
        <f t="shared" ca="1" si="28"/>
        <v>0</v>
      </c>
      <c r="T64" s="1033"/>
      <c r="U64" s="1033">
        <f t="shared" si="29"/>
        <v>0</v>
      </c>
      <c r="V64" s="1353"/>
    </row>
    <row r="65" spans="1:24" ht="14.1" customHeight="1" thickBot="1" x14ac:dyDescent="0.2">
      <c r="A65" s="2190"/>
      <c r="B65" s="2188"/>
      <c r="C65" s="529" t="s">
        <v>32</v>
      </c>
      <c r="D65" s="530">
        <f>D60-(D61+D63+D64)</f>
        <v>0</v>
      </c>
      <c r="E65" s="531">
        <f t="shared" ref="E65:O65" si="30">E60-(E61+E63+E64)</f>
        <v>0</v>
      </c>
      <c r="F65" s="531">
        <f t="shared" si="30"/>
        <v>0</v>
      </c>
      <c r="G65" s="531">
        <f t="shared" si="30"/>
        <v>0</v>
      </c>
      <c r="H65" s="531">
        <f t="shared" si="30"/>
        <v>0</v>
      </c>
      <c r="I65" s="531">
        <f t="shared" si="30"/>
        <v>0</v>
      </c>
      <c r="J65" s="531">
        <f t="shared" si="30"/>
        <v>0</v>
      </c>
      <c r="K65" s="531">
        <f t="shared" si="30"/>
        <v>0</v>
      </c>
      <c r="L65" s="531">
        <f t="shared" si="30"/>
        <v>0</v>
      </c>
      <c r="M65" s="531">
        <f t="shared" si="30"/>
        <v>0</v>
      </c>
      <c r="N65" s="531">
        <f t="shared" si="30"/>
        <v>-820000</v>
      </c>
      <c r="O65" s="532">
        <f t="shared" si="30"/>
        <v>-3360000</v>
      </c>
      <c r="P65" s="1052"/>
      <c r="Q65" s="1044">
        <f t="shared" ca="1" si="27"/>
        <v>-4180000</v>
      </c>
      <c r="R65" s="1340"/>
      <c r="S65" s="531">
        <f t="shared" ca="1" si="28"/>
        <v>-348333.33333333331</v>
      </c>
      <c r="T65" s="1032"/>
      <c r="U65" s="1032">
        <f t="shared" si="29"/>
        <v>-4180000</v>
      </c>
      <c r="V65" s="1355"/>
    </row>
    <row r="66" spans="1:24" ht="14.1" customHeight="1" thickBot="1" x14ac:dyDescent="0.2">
      <c r="A66" s="2190"/>
      <c r="B66" s="2164" t="s">
        <v>444</v>
      </c>
      <c r="C66" s="515" t="s">
        <v>26</v>
      </c>
      <c r="D66" s="516">
        <f>'事業所損益管理(H29.9～H30.8)収支計画表'!F59</f>
        <v>0</v>
      </c>
      <c r="E66" s="517">
        <f>'事業所損益管理(H29.9～H30.8)収支計画表'!G59</f>
        <v>0</v>
      </c>
      <c r="F66" s="517">
        <f>'事業所損益管理(H29.9～H30.8)収支計画表'!H59</f>
        <v>0</v>
      </c>
      <c r="G66" s="517">
        <f>'事業所損益管理(H29.9～H30.8)収支計画表'!I59</f>
        <v>0</v>
      </c>
      <c r="H66" s="517">
        <f>'事業所損益管理(H29.9～H30.8)収支計画表'!J59</f>
        <v>0</v>
      </c>
      <c r="I66" s="517">
        <f>'事業所損益管理(H29.9～H30.8)収支計画表'!K59</f>
        <v>0</v>
      </c>
      <c r="J66" s="517">
        <f>'事業所損益管理(H29.9～H30.8)収支計画表'!L59</f>
        <v>0</v>
      </c>
      <c r="K66" s="517">
        <f>'事業所損益管理(H29.9～H30.8)収支計画表'!M59</f>
        <v>0</v>
      </c>
      <c r="L66" s="517">
        <f>'事業所損益管理(H29.9～H30.8)収支計画表'!N59</f>
        <v>0</v>
      </c>
      <c r="M66" s="517">
        <f>'事業所損益管理(H29.9～H30.8)収支計画表'!O59</f>
        <v>0</v>
      </c>
      <c r="N66" s="517">
        <f>'事業所損益管理(H29.9～H30.8)収支計画表'!P59</f>
        <v>0</v>
      </c>
      <c r="O66" s="518">
        <f>'事業所損益管理(H29.9～H30.8)収支計画表'!Q59</f>
        <v>0</v>
      </c>
      <c r="P66" s="1055">
        <f ca="1">IF(R66&gt;=1,1,IF(R66&lt;0.9,-1,0))</f>
        <v>-1</v>
      </c>
      <c r="Q66" s="1041">
        <f t="shared" ca="1" si="27"/>
        <v>0</v>
      </c>
      <c r="R66" s="1341">
        <f ca="1">IF(Q60&lt;0,ROUND((Q66-Q60)/ABS(Q60),3),IF(Q60=0,0,ROUND(Q66/Q60,3)))</f>
        <v>0</v>
      </c>
      <c r="S66" s="517">
        <f t="shared" ca="1" si="28"/>
        <v>0</v>
      </c>
      <c r="T66" s="1372">
        <f>IF(V66&gt;=1,1,IF(V66&lt;0.9,-1,0))</f>
        <v>-1</v>
      </c>
      <c r="U66" s="1030">
        <f t="shared" ref="U66:U71" ca="1" si="31">Q66+(12-IF(ISERROR(MATCH(DATE(YEAR($E$1),MONTH($E$1),1),$D$2:$O$2,0)),0,MATCH(DATE(YEAR($E$1),MONTH($E$1),1),$D$2:$O$2,0)))*S66</f>
        <v>0</v>
      </c>
      <c r="V66" s="1356">
        <f>IF(U60&lt;0,ROUND((U66-U60)/ABS(U60),3),IF(U60=0,0,ROUND(U66/U60,3)))</f>
        <v>0</v>
      </c>
      <c r="W66" s="999">
        <v>0.1</v>
      </c>
    </row>
    <row r="67" spans="1:24" ht="14.1" customHeight="1" thickBot="1" x14ac:dyDescent="0.2">
      <c r="A67" s="2190"/>
      <c r="B67" s="2164"/>
      <c r="C67" s="519" t="s">
        <v>15</v>
      </c>
      <c r="D67" s="520">
        <f>'事業所損益管理(H29.9～H30.8)収支計画表'!F60</f>
        <v>0</v>
      </c>
      <c r="E67" s="521">
        <f>'事業所損益管理(H29.9～H30.8)収支計画表'!G60</f>
        <v>0</v>
      </c>
      <c r="F67" s="521">
        <f>'事業所損益管理(H29.9～H30.8)収支計画表'!H60</f>
        <v>0</v>
      </c>
      <c r="G67" s="521">
        <f>'事業所損益管理(H29.9～H30.8)収支計画表'!I60</f>
        <v>0</v>
      </c>
      <c r="H67" s="521">
        <f>'事業所損益管理(H29.9～H30.8)収支計画表'!J60</f>
        <v>0</v>
      </c>
      <c r="I67" s="521">
        <f>'事業所損益管理(H29.9～H30.8)収支計画表'!K60</f>
        <v>0</v>
      </c>
      <c r="J67" s="521">
        <f>'事業所損益管理(H29.9～H30.8)収支計画表'!L60</f>
        <v>0</v>
      </c>
      <c r="K67" s="521">
        <f>'事業所損益管理(H29.9～H30.8)収支計画表'!M60</f>
        <v>0</v>
      </c>
      <c r="L67" s="521">
        <f>'事業所損益管理(H29.9～H30.8)収支計画表'!N60</f>
        <v>0</v>
      </c>
      <c r="M67" s="521">
        <f>'事業所損益管理(H29.9～H30.8)収支計画表'!O60</f>
        <v>0</v>
      </c>
      <c r="N67" s="521">
        <f>'事業所損益管理(H29.9～H30.8)収支計画表'!P60</f>
        <v>0</v>
      </c>
      <c r="O67" s="522">
        <f>'事業所損益管理(H29.9～H30.8)収支計画表'!Q60</f>
        <v>0</v>
      </c>
      <c r="P67" s="1056">
        <f ca="1">IF(R67&lt;=1,1,IF(R67&gt;1.1,-1,0))</f>
        <v>1</v>
      </c>
      <c r="Q67" s="1042">
        <f t="shared" ca="1" si="27"/>
        <v>0</v>
      </c>
      <c r="R67" s="1342">
        <f ca="1">IF(Q61&lt;0,ROUND((Q67-Q61)/ABS(Q61),3),IF(Q61=0,0,ROUND(Q67/Q61,3)))</f>
        <v>0</v>
      </c>
      <c r="S67" s="521">
        <f t="shared" ca="1" si="28"/>
        <v>0</v>
      </c>
      <c r="T67" s="1373">
        <f ca="1">IF(V67&lt;=1,1,IF(V67&gt;1.1,-1,0))</f>
        <v>1</v>
      </c>
      <c r="U67" s="1031">
        <f t="shared" ca="1" si="31"/>
        <v>0</v>
      </c>
      <c r="V67" s="1357">
        <f ca="1">IF(U61&lt;0,ROUND((U67-U61)/ABS(U61),3),IF(U61=0,0,ROUND(U67/U61,3)))</f>
        <v>0</v>
      </c>
      <c r="W67" s="999">
        <v>0.1</v>
      </c>
    </row>
    <row r="68" spans="1:24" ht="14.1" customHeight="1" thickBot="1" x14ac:dyDescent="0.2">
      <c r="A68" s="2190"/>
      <c r="B68" s="2164"/>
      <c r="C68" s="450" t="s">
        <v>448</v>
      </c>
      <c r="D68" s="520">
        <f>'事業所損益管理(H29.9～H30.8)収支計画表'!F61</f>
        <v>0</v>
      </c>
      <c r="E68" s="521">
        <f>'事業所損益管理(H29.9～H30.8)収支計画表'!G61</f>
        <v>0</v>
      </c>
      <c r="F68" s="521">
        <f>'事業所損益管理(H29.9～H30.8)収支計画表'!H61</f>
        <v>0</v>
      </c>
      <c r="G68" s="521">
        <f>'事業所損益管理(H29.9～H30.8)収支計画表'!I61</f>
        <v>0</v>
      </c>
      <c r="H68" s="521">
        <f>'事業所損益管理(H29.9～H30.8)収支計画表'!J61</f>
        <v>0</v>
      </c>
      <c r="I68" s="521">
        <f>'事業所損益管理(H29.9～H30.8)収支計画表'!K61</f>
        <v>0</v>
      </c>
      <c r="J68" s="521">
        <f>'事業所損益管理(H29.9～H30.8)収支計画表'!L61</f>
        <v>0</v>
      </c>
      <c r="K68" s="521">
        <f>'事業所損益管理(H29.9～H30.8)収支計画表'!M61</f>
        <v>0</v>
      </c>
      <c r="L68" s="521">
        <f>'事業所損益管理(H29.9～H30.8)収支計画表'!N61</f>
        <v>0</v>
      </c>
      <c r="M68" s="521">
        <f>'事業所損益管理(H29.9～H30.8)収支計画表'!O61</f>
        <v>0</v>
      </c>
      <c r="N68" s="521">
        <f>'事業所損益管理(H29.9～H30.8)収支計画表'!P61</f>
        <v>0</v>
      </c>
      <c r="O68" s="522">
        <f>'事業所損益管理(H29.9～H30.8)収支計画表'!Q61</f>
        <v>246240</v>
      </c>
      <c r="P68" s="1056">
        <f ca="1">IF(R68&lt;=1,1,IF(R68&gt;1.1,-1,0))</f>
        <v>0</v>
      </c>
      <c r="Q68" s="1042">
        <f ca="1">SUM(OFFSET(D68,0,0,1,IF(ISERROR(MATCH(DATE(YEAR($E$1),MONTH($E$1),1),$D$2:$O$2,0)),0,MATCH(DATE(YEAR($E$1),MONTH($E$1),1),$D$2:$O$2,0))))</f>
        <v>246240</v>
      </c>
      <c r="R68" s="1342">
        <f ca="1">IF(Q62&lt;0,ROUND((Q68-Q62)/ABS(Q62),3),IF(Q62=0,0,ROUND(Q68/Q62,3)))</f>
        <v>1.0009999999999999</v>
      </c>
      <c r="S68" s="521">
        <f t="shared" ca="1" si="28"/>
        <v>20520</v>
      </c>
      <c r="T68" s="1373">
        <f ca="1">IF(V68&lt;=1,1,IF(V68&gt;1.1,-1,0))</f>
        <v>0</v>
      </c>
      <c r="U68" s="1031">
        <f t="shared" ca="1" si="31"/>
        <v>246240</v>
      </c>
      <c r="V68" s="1357">
        <f ca="1">IF(U62&lt;0,ROUND((U68-U62)/ABS(U62),3),IF(U62=0,0,ROUND(U68/U62,3)))</f>
        <v>1.0009999999999999</v>
      </c>
      <c r="W68" s="999">
        <v>0.1</v>
      </c>
    </row>
    <row r="69" spans="1:24" ht="14.1" customHeight="1" thickBot="1" x14ac:dyDescent="0.2">
      <c r="A69" s="2190"/>
      <c r="B69" s="2164"/>
      <c r="C69" s="519" t="s">
        <v>35</v>
      </c>
      <c r="D69" s="520">
        <f>'事業所損益管理(H29.9～H30.8)収支計画表'!F62</f>
        <v>0</v>
      </c>
      <c r="E69" s="521">
        <f>'事業所損益管理(H29.9～H30.8)収支計画表'!G62</f>
        <v>0</v>
      </c>
      <c r="F69" s="521">
        <f>'事業所損益管理(H29.9～H30.8)収支計画表'!H62</f>
        <v>0</v>
      </c>
      <c r="G69" s="521">
        <f>'事業所損益管理(H29.9～H30.8)収支計画表'!I62</f>
        <v>0</v>
      </c>
      <c r="H69" s="521">
        <f>'事業所損益管理(H29.9～H30.8)収支計画表'!J62</f>
        <v>0</v>
      </c>
      <c r="I69" s="521">
        <f>'事業所損益管理(H29.9～H30.8)収支計画表'!K62</f>
        <v>0</v>
      </c>
      <c r="J69" s="521">
        <f>'事業所損益管理(H29.9～H30.8)収支計画表'!L62</f>
        <v>0</v>
      </c>
      <c r="K69" s="521">
        <f>'事業所損益管理(H29.9～H30.8)収支計画表'!M62</f>
        <v>0</v>
      </c>
      <c r="L69" s="521">
        <f>'事業所損益管理(H29.9～H30.8)収支計画表'!N62</f>
        <v>0</v>
      </c>
      <c r="M69" s="521">
        <f>'事業所損益管理(H29.9～H30.8)収支計画表'!O62</f>
        <v>0</v>
      </c>
      <c r="N69" s="521">
        <f>'事業所損益管理(H29.9～H30.8)収支計画表'!P62</f>
        <v>835563</v>
      </c>
      <c r="O69" s="522">
        <f>'事業所損益管理(H29.9～H30.8)収支計画表'!Q62</f>
        <v>752125</v>
      </c>
      <c r="P69" s="1056">
        <f ca="1">IF(R69&lt;=1,1,IF(R69&gt;1.1,-1,0))</f>
        <v>1</v>
      </c>
      <c r="Q69" s="1042">
        <f ca="1">SUM(OFFSET(D69,0,0,1,IF(ISERROR(MATCH(DATE(YEAR($E$1),MONTH($E$1),1),$D$2:$O$2,0)),0,MATCH(DATE(YEAR($E$1),MONTH($E$1),1),$D$2:$O$2,0))))</f>
        <v>1587688</v>
      </c>
      <c r="R69" s="1342">
        <f ca="1">IF(Q63&lt;0,ROUND((Q69-Q63)/ABS(Q63),3),IF(Q63=0,0,ROUND(Q69/Q63,3)))</f>
        <v>0.47</v>
      </c>
      <c r="S69" s="521">
        <f t="shared" ca="1" si="28"/>
        <v>132307.33333333334</v>
      </c>
      <c r="T69" s="1373">
        <f ca="1">IF(V69&lt;=1,1,IF(V69&gt;1.1,-1,0))</f>
        <v>1</v>
      </c>
      <c r="U69" s="1031">
        <f t="shared" ca="1" si="31"/>
        <v>1587688</v>
      </c>
      <c r="V69" s="1357">
        <f ca="1">IF(U63&lt;0,ROUND((U69-U63)/ABS(U63),3),IF(U63=0,0,ROUND(U69/U63,3)))</f>
        <v>0.47</v>
      </c>
      <c r="W69" s="999">
        <v>0.1</v>
      </c>
    </row>
    <row r="70" spans="1:24" ht="14.1" customHeight="1" thickBot="1" x14ac:dyDescent="0.2">
      <c r="A70" s="2190"/>
      <c r="B70" s="2164"/>
      <c r="C70" s="523" t="s">
        <v>496</v>
      </c>
      <c r="D70" s="533">
        <f>IF(D67=0,0,D64)</f>
        <v>0</v>
      </c>
      <c r="E70" s="527">
        <f t="shared" ref="E70:O70" si="32">IF(E67=0,0,E64)</f>
        <v>0</v>
      </c>
      <c r="F70" s="527">
        <f t="shared" si="32"/>
        <v>0</v>
      </c>
      <c r="G70" s="527">
        <f t="shared" si="32"/>
        <v>0</v>
      </c>
      <c r="H70" s="527">
        <f t="shared" si="32"/>
        <v>0</v>
      </c>
      <c r="I70" s="527">
        <f t="shared" si="32"/>
        <v>0</v>
      </c>
      <c r="J70" s="527">
        <f t="shared" si="32"/>
        <v>0</v>
      </c>
      <c r="K70" s="527">
        <f t="shared" si="32"/>
        <v>0</v>
      </c>
      <c r="L70" s="527">
        <f t="shared" si="32"/>
        <v>0</v>
      </c>
      <c r="M70" s="527">
        <f t="shared" si="32"/>
        <v>0</v>
      </c>
      <c r="N70" s="527">
        <f t="shared" si="32"/>
        <v>0</v>
      </c>
      <c r="O70" s="528">
        <f t="shared" si="32"/>
        <v>0</v>
      </c>
      <c r="P70" s="1058"/>
      <c r="Q70" s="1043">
        <f ca="1">SUM(OFFSET(D70,0,0,1,IF(ISERROR(MATCH(DATE(YEAR($E$1),MONTH($E$1),1),$D$2:$O$2,0)),0,MATCH(DATE(YEAR($E$1),MONTH($E$1),1),$D$2:$O$2,0))))</f>
        <v>0</v>
      </c>
      <c r="R70" s="1339"/>
      <c r="S70" s="527">
        <f t="shared" ca="1" si="28"/>
        <v>0</v>
      </c>
      <c r="T70" s="1429"/>
      <c r="U70" s="1033">
        <f t="shared" ca="1" si="31"/>
        <v>0</v>
      </c>
      <c r="V70" s="1353"/>
      <c r="W70" s="999">
        <v>0.1</v>
      </c>
    </row>
    <row r="71" spans="1:24" ht="14.1" customHeight="1" thickBot="1" x14ac:dyDescent="0.2">
      <c r="A71" s="2190"/>
      <c r="B71" s="2189"/>
      <c r="C71" s="534" t="s">
        <v>32</v>
      </c>
      <c r="D71" s="535">
        <f t="shared" ref="D71:O71" si="33">D66-(D67+D69+D70)</f>
        <v>0</v>
      </c>
      <c r="E71" s="536">
        <f t="shared" si="33"/>
        <v>0</v>
      </c>
      <c r="F71" s="536">
        <f t="shared" si="33"/>
        <v>0</v>
      </c>
      <c r="G71" s="536">
        <f t="shared" si="33"/>
        <v>0</v>
      </c>
      <c r="H71" s="536">
        <f t="shared" si="33"/>
        <v>0</v>
      </c>
      <c r="I71" s="536">
        <f t="shared" si="33"/>
        <v>0</v>
      </c>
      <c r="J71" s="536">
        <f t="shared" si="33"/>
        <v>0</v>
      </c>
      <c r="K71" s="536">
        <f t="shared" si="33"/>
        <v>0</v>
      </c>
      <c r="L71" s="536">
        <f t="shared" si="33"/>
        <v>0</v>
      </c>
      <c r="M71" s="536">
        <f t="shared" si="33"/>
        <v>0</v>
      </c>
      <c r="N71" s="536">
        <f t="shared" si="33"/>
        <v>-835563</v>
      </c>
      <c r="O71" s="537">
        <f t="shared" si="33"/>
        <v>-752125</v>
      </c>
      <c r="P71" s="1057">
        <f ca="1">IF(R71&gt;=0,1,IF(R71&lt;-0.1,-1,0))</f>
        <v>1</v>
      </c>
      <c r="Q71" s="1045">
        <f ca="1">SUM(OFFSET(D71,0,0,1,IF(ISERROR(MATCH(DATE(YEAR($E$1),MONTH($E$1),1),$D$2:$O$2,0)),0,MATCH(DATE(YEAR($E$1),MONTH($E$1),1),$D$2:$O$2,0))))</f>
        <v>-1587688</v>
      </c>
      <c r="R71" s="1343">
        <f ca="1">IF(Q65=0,1-(Q67+Q69+Q70)/Q66,IF(Q65=Q71,0,ROUND((Q71-Q65)/ABS(Q65),3)))</f>
        <v>0.62</v>
      </c>
      <c r="S71" s="536">
        <f t="shared" ca="1" si="28"/>
        <v>-132307.33333333334</v>
      </c>
      <c r="T71" s="1374">
        <f ca="1">IF(V71&gt;=0,1,IF(V71&lt;-0.1,-1,0))</f>
        <v>1</v>
      </c>
      <c r="U71" s="1034">
        <f t="shared" ca="1" si="31"/>
        <v>-1587688</v>
      </c>
      <c r="V71" s="1358">
        <f ca="1">IF(U65=0,1-(U67+U69+U70)/U66,IF(U65=U71,0,ROUND((U71-U65)/ABS(U65),3)))</f>
        <v>0.62</v>
      </c>
      <c r="W71" s="999">
        <v>0.1</v>
      </c>
      <c r="X71" s="413" t="s">
        <v>1166</v>
      </c>
    </row>
    <row r="72" spans="1:24" ht="14.1" customHeight="1" thickBot="1" x14ac:dyDescent="0.2">
      <c r="A72" s="2190" t="s">
        <v>358</v>
      </c>
      <c r="B72" s="2188" t="s">
        <v>443</v>
      </c>
      <c r="C72" s="502" t="s">
        <v>26</v>
      </c>
      <c r="D72" s="503">
        <f>'事業所損益管理(H29.9～H30.8)収支計画表'!F64</f>
        <v>3700000</v>
      </c>
      <c r="E72" s="504">
        <f>'事業所損益管理(H29.9～H30.8)収支計画表'!G64</f>
        <v>3800000</v>
      </c>
      <c r="F72" s="504">
        <f>'事業所損益管理(H29.9～H30.8)収支計画表'!H64</f>
        <v>3900000</v>
      </c>
      <c r="G72" s="504">
        <f>'事業所損益管理(H29.9～H30.8)収支計画表'!I64</f>
        <v>4000000</v>
      </c>
      <c r="H72" s="504">
        <f>'事業所損益管理(H29.9～H30.8)収支計画表'!J64</f>
        <v>4100000</v>
      </c>
      <c r="I72" s="504">
        <f>'事業所損益管理(H29.9～H30.8)収支計画表'!K64</f>
        <v>4200000</v>
      </c>
      <c r="J72" s="504">
        <f>'事業所損益管理(H29.9～H30.8)収支計画表'!L64</f>
        <v>4300000</v>
      </c>
      <c r="K72" s="504">
        <f>'事業所損益管理(H29.9～H30.8)収支計画表'!M64</f>
        <v>4400000</v>
      </c>
      <c r="L72" s="504">
        <f>'事業所損益管理(H29.9～H30.8)収支計画表'!N64</f>
        <v>4500000</v>
      </c>
      <c r="M72" s="504">
        <f>'事業所損益管理(H29.9～H30.8)収支計画表'!O64</f>
        <v>4600000</v>
      </c>
      <c r="N72" s="504">
        <f>'事業所損益管理(H29.9～H30.8)収支計画表'!P64</f>
        <v>4700000</v>
      </c>
      <c r="O72" s="505">
        <f>'事業所損益管理(H29.9～H30.8)収支計画表'!Q64</f>
        <v>4800000</v>
      </c>
      <c r="P72" s="1049"/>
      <c r="Q72" s="1039">
        <f t="shared" ca="1" si="4"/>
        <v>51000000</v>
      </c>
      <c r="R72" s="1338"/>
      <c r="S72" s="506">
        <f t="shared" ca="1" si="2"/>
        <v>4250000</v>
      </c>
      <c r="T72" s="1035"/>
      <c r="U72" s="1035">
        <f t="shared" ref="U72:U77" si="34">SUM(D72:O72)</f>
        <v>51000000</v>
      </c>
      <c r="V72" s="1352"/>
    </row>
    <row r="73" spans="1:24" ht="14.1" customHeight="1" thickBot="1" x14ac:dyDescent="0.2">
      <c r="A73" s="2190"/>
      <c r="B73" s="2188"/>
      <c r="C73" s="508" t="s">
        <v>15</v>
      </c>
      <c r="D73" s="509">
        <f>'事業所損益管理(H29.9～H30.8)収支計画表'!F65</f>
        <v>1850000</v>
      </c>
      <c r="E73" s="510">
        <f>'事業所損益管理(H29.9～H30.8)収支計画表'!G65</f>
        <v>1900000</v>
      </c>
      <c r="F73" s="510">
        <f>'事業所損益管理(H29.9～H30.8)収支計画表'!H65</f>
        <v>1950000</v>
      </c>
      <c r="G73" s="510">
        <f>'事業所損益管理(H29.9～H30.8)収支計画表'!I65</f>
        <v>3650000</v>
      </c>
      <c r="H73" s="510">
        <f>'事業所損益管理(H29.9～H30.8)収支計画表'!J65</f>
        <v>2050000</v>
      </c>
      <c r="I73" s="510">
        <f>'事業所損益管理(H29.9～H30.8)収支計画表'!K65</f>
        <v>2300000</v>
      </c>
      <c r="J73" s="510">
        <f>'事業所損益管理(H29.9～H30.8)収支計画表'!L65</f>
        <v>2350000</v>
      </c>
      <c r="K73" s="510">
        <f>'事業所損益管理(H29.9～H30.8)収支計画表'!M65</f>
        <v>2400000</v>
      </c>
      <c r="L73" s="510">
        <f>'事業所損益管理(H29.9～H30.8)収支計画表'!N65</f>
        <v>2450000</v>
      </c>
      <c r="M73" s="510">
        <f>'事業所損益管理(H29.9～H30.8)収支計画表'!O65</f>
        <v>3000000</v>
      </c>
      <c r="N73" s="510">
        <f>'事業所損益管理(H29.9～H30.8)収支計画表'!P65</f>
        <v>2550000</v>
      </c>
      <c r="O73" s="511">
        <f>'事業所損益管理(H29.9～H30.8)収支計画表'!Q65</f>
        <v>2600000</v>
      </c>
      <c r="P73" s="1050"/>
      <c r="Q73" s="1040">
        <f t="shared" ca="1" si="4"/>
        <v>29050000</v>
      </c>
      <c r="R73" s="1339"/>
      <c r="S73" s="512">
        <f t="shared" ca="1" si="2"/>
        <v>2420833.3333333335</v>
      </c>
      <c r="T73" s="1036"/>
      <c r="U73" s="1036">
        <f t="shared" si="34"/>
        <v>29050000</v>
      </c>
      <c r="V73" s="1353"/>
    </row>
    <row r="74" spans="1:24" ht="14.1" customHeight="1" thickBot="1" x14ac:dyDescent="0.2">
      <c r="A74" s="2190"/>
      <c r="B74" s="2188"/>
      <c r="C74" s="514" t="s">
        <v>447</v>
      </c>
      <c r="D74" s="509">
        <f>'事業所損益管理(H29.9～H30.8)収支計画表'!F66</f>
        <v>50000</v>
      </c>
      <c r="E74" s="510">
        <f>'事業所損益管理(H29.9～H30.8)収支計画表'!G66</f>
        <v>50000</v>
      </c>
      <c r="F74" s="510">
        <f>'事業所損益管理(H29.9～H30.8)収支計画表'!H66</f>
        <v>50000</v>
      </c>
      <c r="G74" s="510">
        <f>'事業所損益管理(H29.9～H30.8)収支計画表'!I66</f>
        <v>50000</v>
      </c>
      <c r="H74" s="510">
        <f>'事業所損益管理(H29.9～H30.8)収支計画表'!J66</f>
        <v>50000</v>
      </c>
      <c r="I74" s="510">
        <f>'事業所損益管理(H29.9～H30.8)収支計画表'!K66</f>
        <v>50000</v>
      </c>
      <c r="J74" s="510">
        <f>'事業所損益管理(H29.9～H30.8)収支計画表'!L66</f>
        <v>50000</v>
      </c>
      <c r="K74" s="510">
        <f>'事業所損益管理(H29.9～H30.8)収支計画表'!M66</f>
        <v>50000</v>
      </c>
      <c r="L74" s="510">
        <f>'事業所損益管理(H29.9～H30.8)収支計画表'!N66</f>
        <v>50000</v>
      </c>
      <c r="M74" s="510">
        <f>'事業所損益管理(H29.9～H30.8)収支計画表'!O66</f>
        <v>50000</v>
      </c>
      <c r="N74" s="510">
        <f>'事業所損益管理(H29.9～H30.8)収支計画表'!P66</f>
        <v>50000</v>
      </c>
      <c r="O74" s="511">
        <f>'事業所損益管理(H29.9～H30.8)収支計画表'!Q66</f>
        <v>50000</v>
      </c>
      <c r="P74" s="1050"/>
      <c r="Q74" s="1040">
        <f t="shared" ca="1" si="4"/>
        <v>600000</v>
      </c>
      <c r="R74" s="1339"/>
      <c r="S74" s="512">
        <f t="shared" ca="1" si="2"/>
        <v>50000</v>
      </c>
      <c r="T74" s="1036"/>
      <c r="U74" s="1036">
        <f t="shared" si="34"/>
        <v>600000</v>
      </c>
      <c r="V74" s="1353"/>
    </row>
    <row r="75" spans="1:24" ht="14.1" customHeight="1" thickBot="1" x14ac:dyDescent="0.2">
      <c r="A75" s="2190"/>
      <c r="B75" s="2188"/>
      <c r="C75" s="508" t="s">
        <v>35</v>
      </c>
      <c r="D75" s="509">
        <f>'事業所損益管理(H29.9～H30.8)収支計画表'!F67</f>
        <v>1100000</v>
      </c>
      <c r="E75" s="510">
        <f>'事業所損益管理(H29.9～H30.8)収支計画表'!G67</f>
        <v>1150000</v>
      </c>
      <c r="F75" s="510">
        <f>'事業所損益管理(H29.9～H30.8)収支計画表'!H67</f>
        <v>1170000</v>
      </c>
      <c r="G75" s="510">
        <f>'事業所損益管理(H29.9～H30.8)収支計画表'!I67</f>
        <v>1200000</v>
      </c>
      <c r="H75" s="510">
        <f>'事業所損益管理(H29.9～H30.8)収支計画表'!J67</f>
        <v>1230000</v>
      </c>
      <c r="I75" s="510">
        <f>'事業所損益管理(H29.9～H30.8)収支計画表'!K67</f>
        <v>1260000</v>
      </c>
      <c r="J75" s="510">
        <f>'事業所損益管理(H29.9～H30.8)収支計画表'!L67</f>
        <v>1290000</v>
      </c>
      <c r="K75" s="510">
        <f>'事業所損益管理(H29.9～H30.8)収支計画表'!M67</f>
        <v>1320000</v>
      </c>
      <c r="L75" s="510">
        <f>'事業所損益管理(H29.9～H30.8)収支計画表'!N67</f>
        <v>1350000</v>
      </c>
      <c r="M75" s="510">
        <f>'事業所損益管理(H29.9～H30.8)収支計画表'!O67</f>
        <v>1380000</v>
      </c>
      <c r="N75" s="510">
        <f>'事業所損益管理(H29.9～H30.8)収支計画表'!P67</f>
        <v>1410000</v>
      </c>
      <c r="O75" s="511">
        <f>'事業所損益管理(H29.9～H30.8)収支計画表'!Q67</f>
        <v>1440000</v>
      </c>
      <c r="P75" s="1050"/>
      <c r="Q75" s="1040">
        <f t="shared" ca="1" si="4"/>
        <v>15300000</v>
      </c>
      <c r="R75" s="1339"/>
      <c r="S75" s="512">
        <f t="shared" ca="1" si="2"/>
        <v>1275000</v>
      </c>
      <c r="T75" s="1036"/>
      <c r="U75" s="1036">
        <f t="shared" si="34"/>
        <v>15300000</v>
      </c>
      <c r="V75" s="1353"/>
    </row>
    <row r="76" spans="1:24" ht="14.1" customHeight="1" thickBot="1" x14ac:dyDescent="0.2">
      <c r="A76" s="2190"/>
      <c r="B76" s="2188"/>
      <c r="C76" s="523" t="s">
        <v>496</v>
      </c>
      <c r="D76" s="524">
        <v>500000</v>
      </c>
      <c r="E76" s="525">
        <v>500000</v>
      </c>
      <c r="F76" s="525">
        <v>500000</v>
      </c>
      <c r="G76" s="525">
        <v>500000</v>
      </c>
      <c r="H76" s="525">
        <v>500000</v>
      </c>
      <c r="I76" s="525">
        <v>500000</v>
      </c>
      <c r="J76" s="525">
        <v>500000</v>
      </c>
      <c r="K76" s="525">
        <v>500000</v>
      </c>
      <c r="L76" s="525">
        <v>500000</v>
      </c>
      <c r="M76" s="525">
        <v>500000</v>
      </c>
      <c r="N76" s="525">
        <v>500000</v>
      </c>
      <c r="O76" s="526">
        <v>500000</v>
      </c>
      <c r="P76" s="1051"/>
      <c r="Q76" s="1043">
        <f ca="1">SUM(OFFSET(D76,0,0,1,IF(ISERROR(MATCH(DATE(YEAR($E$1),MONTH($E$1),1),$D$2:$O$2,0)),0,MATCH(DATE(YEAR($E$1),MONTH($E$1),1),$D$2:$O$2,0))))</f>
        <v>6000000</v>
      </c>
      <c r="R76" s="1339"/>
      <c r="S76" s="527">
        <f t="shared" ca="1" si="2"/>
        <v>500000</v>
      </c>
      <c r="T76" s="1033"/>
      <c r="U76" s="1033">
        <f t="shared" si="34"/>
        <v>6000000</v>
      </c>
      <c r="V76" s="1353"/>
    </row>
    <row r="77" spans="1:24" ht="14.1" customHeight="1" thickBot="1" x14ac:dyDescent="0.2">
      <c r="A77" s="2190"/>
      <c r="B77" s="2188"/>
      <c r="C77" s="529" t="s">
        <v>32</v>
      </c>
      <c r="D77" s="530">
        <f t="shared" ref="D77:O77" si="35">D72-(D73+D75+D76)</f>
        <v>250000</v>
      </c>
      <c r="E77" s="531">
        <f t="shared" si="35"/>
        <v>250000</v>
      </c>
      <c r="F77" s="531">
        <f t="shared" si="35"/>
        <v>280000</v>
      </c>
      <c r="G77" s="531">
        <f t="shared" si="35"/>
        <v>-1350000</v>
      </c>
      <c r="H77" s="531">
        <f t="shared" si="35"/>
        <v>320000</v>
      </c>
      <c r="I77" s="531">
        <f t="shared" si="35"/>
        <v>140000</v>
      </c>
      <c r="J77" s="531">
        <f t="shared" si="35"/>
        <v>160000</v>
      </c>
      <c r="K77" s="531">
        <f t="shared" si="35"/>
        <v>180000</v>
      </c>
      <c r="L77" s="531">
        <f t="shared" si="35"/>
        <v>200000</v>
      </c>
      <c r="M77" s="531">
        <f t="shared" si="35"/>
        <v>-280000</v>
      </c>
      <c r="N77" s="531">
        <f t="shared" si="35"/>
        <v>240000</v>
      </c>
      <c r="O77" s="532">
        <f t="shared" si="35"/>
        <v>260000</v>
      </c>
      <c r="P77" s="1052"/>
      <c r="Q77" s="1044">
        <f t="shared" ca="1" si="4"/>
        <v>650000</v>
      </c>
      <c r="R77" s="1340"/>
      <c r="S77" s="531">
        <f t="shared" ca="1" si="2"/>
        <v>54166.666666666664</v>
      </c>
      <c r="T77" s="1032"/>
      <c r="U77" s="1032">
        <f t="shared" si="34"/>
        <v>650000</v>
      </c>
      <c r="V77" s="1355"/>
    </row>
    <row r="78" spans="1:24" ht="14.1" customHeight="1" thickBot="1" x14ac:dyDescent="0.2">
      <c r="A78" s="2190"/>
      <c r="B78" s="2164" t="s">
        <v>444</v>
      </c>
      <c r="C78" s="515" t="s">
        <v>26</v>
      </c>
      <c r="D78" s="516">
        <f>'事業所損益管理(H29.9～H30.8)収支計画表'!F69</f>
        <v>3130698</v>
      </c>
      <c r="E78" s="517">
        <f>'事業所損益管理(H29.9～H30.8)収支計画表'!G69</f>
        <v>3270391</v>
      </c>
      <c r="F78" s="517">
        <f>'事業所損益管理(H29.9～H30.8)収支計画表'!H69</f>
        <v>3507733</v>
      </c>
      <c r="G78" s="517">
        <f>'事業所損益管理(H29.9～H30.8)収支計画表'!I69</f>
        <v>3292348</v>
      </c>
      <c r="H78" s="517">
        <f>'事業所損益管理(H29.9～H30.8)収支計画表'!J69</f>
        <v>3313516</v>
      </c>
      <c r="I78" s="517">
        <f>'事業所損益管理(H29.9～H30.8)収支計画表'!K69</f>
        <v>3497339</v>
      </c>
      <c r="J78" s="517">
        <f>'事業所損益管理(H29.9～H30.8)収支計画表'!L69</f>
        <v>3458623</v>
      </c>
      <c r="K78" s="517">
        <f>'事業所損益管理(H29.9～H30.8)収支計画表'!M69</f>
        <v>4706520</v>
      </c>
      <c r="L78" s="517">
        <f>'事業所損益管理(H29.9～H30.8)収支計画表'!N69</f>
        <v>4419633</v>
      </c>
      <c r="M78" s="517">
        <f>'事業所損益管理(H29.9～H30.8)収支計画表'!O69</f>
        <v>4146272</v>
      </c>
      <c r="N78" s="517">
        <f>'事業所損益管理(H29.9～H30.8)収支計画表'!P69</f>
        <v>4468494</v>
      </c>
      <c r="O78" s="518">
        <f>'事業所損益管理(H29.9～H30.8)収支計画表'!Q69</f>
        <v>4494230</v>
      </c>
      <c r="P78" s="1055">
        <f ca="1">IF(R78&gt;=1,1,IF(R78&lt;0.9,-1,0))</f>
        <v>-1</v>
      </c>
      <c r="Q78" s="1041">
        <f t="shared" ca="1" si="4"/>
        <v>45705797</v>
      </c>
      <c r="R78" s="1341">
        <f ca="1">IF(Q72&lt;0,ROUND((Q78-Q72)/ABS(Q72),3),IF(Q72=0,0,ROUND(Q78/Q72,3)))</f>
        <v>0.89600000000000002</v>
      </c>
      <c r="S78" s="517">
        <f t="shared" ca="1" si="2"/>
        <v>3808816.4166666665</v>
      </c>
      <c r="T78" s="1372">
        <f ca="1">IF(V78&gt;=1,1,IF(V78&lt;0.9,-1,0))</f>
        <v>-1</v>
      </c>
      <c r="U78" s="1030">
        <f t="shared" ref="U78:U83" ca="1" si="36">Q78+(12-IF(ISERROR(MATCH(DATE(YEAR($E$1),MONTH($E$1),1),$D$2:$O$2,0)),0,MATCH(DATE(YEAR($E$1),MONTH($E$1),1),$D$2:$O$2,0)))*S78</f>
        <v>45705797</v>
      </c>
      <c r="V78" s="1356">
        <f ca="1">IF(U72&lt;0,ROUND((U78-U72)/ABS(U72),3),IF(U72=0,0,ROUND(U78/U72,3)))</f>
        <v>0.89600000000000002</v>
      </c>
      <c r="W78" s="999">
        <v>0.1</v>
      </c>
    </row>
    <row r="79" spans="1:24" ht="14.1" customHeight="1" thickBot="1" x14ac:dyDescent="0.2">
      <c r="A79" s="2190"/>
      <c r="B79" s="2164"/>
      <c r="C79" s="519" t="s">
        <v>15</v>
      </c>
      <c r="D79" s="520">
        <f>'事業所損益管理(H29.9～H30.8)収支計画表'!F70</f>
        <v>1814610</v>
      </c>
      <c r="E79" s="521">
        <f>'事業所損益管理(H29.9～H30.8)収支計画表'!G70</f>
        <v>1917384</v>
      </c>
      <c r="F79" s="521">
        <f>'事業所損益管理(H29.9～H30.8)収支計画表'!H70</f>
        <v>1620791</v>
      </c>
      <c r="G79" s="521">
        <f>'事業所損益管理(H29.9～H30.8)収支計画表'!I70</f>
        <v>2221300.6135975425</v>
      </c>
      <c r="H79" s="521">
        <f>'事業所損益管理(H29.9～H30.8)収支計画表'!J70</f>
        <v>2142318</v>
      </c>
      <c r="I79" s="521">
        <f>'事業所損益管理(H29.9～H30.8)収支計画表'!K70</f>
        <v>2272159</v>
      </c>
      <c r="J79" s="521">
        <f>'事業所損益管理(H29.9～H30.8)収支計画表'!L70</f>
        <v>2458758</v>
      </c>
      <c r="K79" s="521">
        <f>'事業所損益管理(H29.9～H30.8)収支計画表'!M70</f>
        <v>2574150</v>
      </c>
      <c r="L79" s="521">
        <f>'事業所損益管理(H29.9～H30.8)収支計画表'!N70</f>
        <v>2522266</v>
      </c>
      <c r="M79" s="521">
        <f>'事業所損益管理(H29.9～H30.8)収支計画表'!O70</f>
        <v>2675261</v>
      </c>
      <c r="N79" s="521">
        <f>'事業所損益管理(H29.9～H30.8)収支計画表'!P70</f>
        <v>2695210</v>
      </c>
      <c r="O79" s="522">
        <f>'事業所損益管理(H29.9～H30.8)収支計画表'!Q70</f>
        <v>2472573</v>
      </c>
      <c r="P79" s="1056">
        <f ca="1">IF(R79&lt;=1,1,IF(R79&gt;1.1,-1,0))</f>
        <v>1</v>
      </c>
      <c r="Q79" s="1042">
        <f t="shared" ca="1" si="4"/>
        <v>27386780.613597542</v>
      </c>
      <c r="R79" s="1342">
        <f ca="1">IF(Q73&lt;0,ROUND((Q79-Q73)/ABS(Q73),3),IF(Q73=0,0,ROUND(Q79/Q73,3)))</f>
        <v>0.94299999999999995</v>
      </c>
      <c r="S79" s="521">
        <f t="shared" ca="1" si="2"/>
        <v>2282231.7177997953</v>
      </c>
      <c r="T79" s="1373">
        <f ca="1">IF(V79&lt;=1,1,IF(V79&gt;1.1,-1,0))</f>
        <v>1</v>
      </c>
      <c r="U79" s="1031">
        <f t="shared" ca="1" si="36"/>
        <v>27386780.613597542</v>
      </c>
      <c r="V79" s="1357">
        <f ca="1">IF(U73&lt;0,ROUND((U79-U73)/ABS(U73),3),IF(U73=0,0,ROUND(U79/U73,3)))</f>
        <v>0.94299999999999995</v>
      </c>
      <c r="W79" s="999">
        <v>0.1</v>
      </c>
    </row>
    <row r="80" spans="1:24" ht="14.1" customHeight="1" thickBot="1" x14ac:dyDescent="0.2">
      <c r="A80" s="2190"/>
      <c r="B80" s="2164"/>
      <c r="C80" s="450" t="s">
        <v>448</v>
      </c>
      <c r="D80" s="520">
        <f>'事業所損益管理(H29.9～H30.8)収支計画表'!F71</f>
        <v>54000</v>
      </c>
      <c r="E80" s="521">
        <f>'事業所損益管理(H29.9～H30.8)収支計画表'!G71</f>
        <v>50988</v>
      </c>
      <c r="F80" s="521">
        <f>'事業所損益管理(H29.9～H30.8)収支計画表'!H71</f>
        <v>1200</v>
      </c>
      <c r="G80" s="521">
        <f>'事業所損益管理(H29.9～H30.8)収支計画表'!I71</f>
        <v>46440</v>
      </c>
      <c r="H80" s="521">
        <f>'事業所損益管理(H29.9～H30.8)収支計画表'!J71</f>
        <v>0</v>
      </c>
      <c r="I80" s="521">
        <f>'事業所損益管理(H29.9～H30.8)収支計画表'!K71</f>
        <v>113400</v>
      </c>
      <c r="J80" s="521">
        <f>'事業所損益管理(H29.9～H30.8)収支計画表'!L71</f>
        <v>0</v>
      </c>
      <c r="K80" s="521">
        <f>'事業所損益管理(H29.9～H30.8)収支計画表'!M71</f>
        <v>0</v>
      </c>
      <c r="L80" s="521">
        <f>'事業所損益管理(H29.9～H30.8)収支計画表'!N71</f>
        <v>243000</v>
      </c>
      <c r="M80" s="521">
        <f>'事業所損益管理(H29.9～H30.8)収支計画表'!O71</f>
        <v>0</v>
      </c>
      <c r="N80" s="521">
        <f>'事業所損益管理(H29.9～H30.8)収支計画表'!P71</f>
        <v>0</v>
      </c>
      <c r="O80" s="522">
        <f>'事業所損益管理(H29.9～H30.8)収支計画表'!Q71</f>
        <v>129600</v>
      </c>
      <c r="P80" s="1056">
        <f ca="1">IF(R80&lt;=1,1,IF(R80&gt;1.1,-1,0))</f>
        <v>0</v>
      </c>
      <c r="Q80" s="1042">
        <f t="shared" ca="1" si="4"/>
        <v>638628</v>
      </c>
      <c r="R80" s="1342">
        <f ca="1">IF(Q74&lt;0,ROUND((Q80-Q74)/ABS(Q74),3),IF(Q74=0,0,ROUND(Q80/Q74,3)))</f>
        <v>1.0640000000000001</v>
      </c>
      <c r="S80" s="521">
        <f t="shared" ca="1" si="2"/>
        <v>53219</v>
      </c>
      <c r="T80" s="1373">
        <f ca="1">IF(V80&lt;=1,1,IF(V80&gt;1.1,-1,0))</f>
        <v>0</v>
      </c>
      <c r="U80" s="1031">
        <f t="shared" ca="1" si="36"/>
        <v>638628</v>
      </c>
      <c r="V80" s="1357">
        <f ca="1">IF(U74&lt;0,ROUND((U80-U74)/ABS(U74),3),IF(U74=0,0,ROUND(U80/U74,3)))</f>
        <v>1.0640000000000001</v>
      </c>
      <c r="W80" s="999">
        <v>0.1</v>
      </c>
    </row>
    <row r="81" spans="1:23" ht="14.1" customHeight="1" thickBot="1" x14ac:dyDescent="0.2">
      <c r="A81" s="2190"/>
      <c r="B81" s="2164"/>
      <c r="C81" s="519" t="s">
        <v>35</v>
      </c>
      <c r="D81" s="520">
        <f>'事業所損益管理(H29.9～H30.8)収支計画表'!F72</f>
        <v>824423</v>
      </c>
      <c r="E81" s="521">
        <f>'事業所損益管理(H29.9～H30.8)収支計画表'!G72</f>
        <v>966398</v>
      </c>
      <c r="F81" s="521">
        <f>'事業所損益管理(H29.9～H30.8)収支計画表'!H72</f>
        <v>859233</v>
      </c>
      <c r="G81" s="521">
        <f>'事業所損益管理(H29.9～H30.8)収支計画表'!I72</f>
        <v>1042803</v>
      </c>
      <c r="H81" s="521">
        <f>'事業所損益管理(H29.9～H30.8)収支計画表'!J72</f>
        <v>1015011</v>
      </c>
      <c r="I81" s="521">
        <f>'事業所損益管理(H29.9～H30.8)収支計画表'!K72</f>
        <v>1024904</v>
      </c>
      <c r="J81" s="521">
        <f>'事業所損益管理(H29.9～H30.8)収支計画表'!L72</f>
        <v>969911</v>
      </c>
      <c r="K81" s="521">
        <f>'事業所損益管理(H29.9～H30.8)収支計画表'!M72</f>
        <v>821057</v>
      </c>
      <c r="L81" s="521">
        <f>'事業所損益管理(H29.9～H30.8)収支計画表'!N72</f>
        <v>1282778</v>
      </c>
      <c r="M81" s="521">
        <f>'事業所損益管理(H29.9～H30.8)収支計画表'!O72</f>
        <v>1171971</v>
      </c>
      <c r="N81" s="521">
        <f>'事業所損益管理(H29.9～H30.8)収支計画表'!P72</f>
        <v>1095648</v>
      </c>
      <c r="O81" s="522">
        <f>'事業所損益管理(H29.9～H30.8)収支計画表'!Q72</f>
        <v>1218671</v>
      </c>
      <c r="P81" s="1056">
        <f ca="1">IF(R81&lt;=1,1,IF(R81&gt;1.1,-1,0))</f>
        <v>1</v>
      </c>
      <c r="Q81" s="1042">
        <f t="shared" ca="1" si="4"/>
        <v>12292808</v>
      </c>
      <c r="R81" s="1342">
        <f ca="1">IF(Q75&lt;0,ROUND((Q81-Q75)/ABS(Q75),3),IF(Q75=0,0,ROUND(Q81/Q75,3)))</f>
        <v>0.80300000000000005</v>
      </c>
      <c r="S81" s="521">
        <f t="shared" ca="1" si="2"/>
        <v>1024400.6666666666</v>
      </c>
      <c r="T81" s="1373">
        <f ca="1">IF(V81&lt;=1,1,IF(V81&gt;1.1,-1,0))</f>
        <v>1</v>
      </c>
      <c r="U81" s="1031">
        <f t="shared" ca="1" si="36"/>
        <v>12292808</v>
      </c>
      <c r="V81" s="1357">
        <f ca="1">IF(U75&lt;0,ROUND((U81-U75)/ABS(U75),3),IF(U75=0,0,ROUND(U81/U75,3)))</f>
        <v>0.80300000000000005</v>
      </c>
      <c r="W81" s="999">
        <v>0.1</v>
      </c>
    </row>
    <row r="82" spans="1:23" ht="14.1" customHeight="1" thickBot="1" x14ac:dyDescent="0.2">
      <c r="A82" s="2190"/>
      <c r="B82" s="2164"/>
      <c r="C82" s="523" t="s">
        <v>496</v>
      </c>
      <c r="D82" s="533">
        <f>IF(D79=0,0,D76)</f>
        <v>500000</v>
      </c>
      <c r="E82" s="527">
        <f t="shared" ref="E82:O82" si="37">IF(E79=0,0,E76)</f>
        <v>500000</v>
      </c>
      <c r="F82" s="527">
        <f t="shared" si="37"/>
        <v>500000</v>
      </c>
      <c r="G82" s="527">
        <f t="shared" si="37"/>
        <v>500000</v>
      </c>
      <c r="H82" s="527">
        <f t="shared" si="37"/>
        <v>500000</v>
      </c>
      <c r="I82" s="527">
        <f t="shared" si="37"/>
        <v>500000</v>
      </c>
      <c r="J82" s="527">
        <f t="shared" si="37"/>
        <v>500000</v>
      </c>
      <c r="K82" s="527">
        <f t="shared" si="37"/>
        <v>500000</v>
      </c>
      <c r="L82" s="527">
        <f t="shared" si="37"/>
        <v>500000</v>
      </c>
      <c r="M82" s="527">
        <f t="shared" si="37"/>
        <v>500000</v>
      </c>
      <c r="N82" s="527">
        <f t="shared" si="37"/>
        <v>500000</v>
      </c>
      <c r="O82" s="528">
        <f t="shared" si="37"/>
        <v>500000</v>
      </c>
      <c r="P82" s="1058"/>
      <c r="Q82" s="1043">
        <f t="shared" ca="1" si="4"/>
        <v>6000000</v>
      </c>
      <c r="R82" s="1339"/>
      <c r="S82" s="527">
        <f t="shared" ca="1" si="2"/>
        <v>500000</v>
      </c>
      <c r="T82" s="1429"/>
      <c r="U82" s="1033">
        <f t="shared" ca="1" si="36"/>
        <v>6000000</v>
      </c>
      <c r="V82" s="1353"/>
      <c r="W82" s="999">
        <v>0.1</v>
      </c>
    </row>
    <row r="83" spans="1:23" ht="14.1" customHeight="1" thickBot="1" x14ac:dyDescent="0.2">
      <c r="A83" s="2190"/>
      <c r="B83" s="2189"/>
      <c r="C83" s="534" t="s">
        <v>32</v>
      </c>
      <c r="D83" s="535">
        <f t="shared" ref="D83:O83" si="38">D78-(D79+D81+D82)</f>
        <v>-8335</v>
      </c>
      <c r="E83" s="536">
        <f t="shared" si="38"/>
        <v>-113391</v>
      </c>
      <c r="F83" s="536">
        <f t="shared" si="38"/>
        <v>527709</v>
      </c>
      <c r="G83" s="536">
        <f t="shared" si="38"/>
        <v>-471755.61359754251</v>
      </c>
      <c r="H83" s="536">
        <f t="shared" si="38"/>
        <v>-343813</v>
      </c>
      <c r="I83" s="536">
        <f t="shared" si="38"/>
        <v>-299724</v>
      </c>
      <c r="J83" s="536">
        <f t="shared" si="38"/>
        <v>-470046</v>
      </c>
      <c r="K83" s="536">
        <f t="shared" si="38"/>
        <v>811313</v>
      </c>
      <c r="L83" s="536">
        <f t="shared" si="38"/>
        <v>114589</v>
      </c>
      <c r="M83" s="536">
        <f t="shared" si="38"/>
        <v>-200960</v>
      </c>
      <c r="N83" s="536">
        <f t="shared" si="38"/>
        <v>177636</v>
      </c>
      <c r="O83" s="537">
        <f t="shared" si="38"/>
        <v>302986</v>
      </c>
      <c r="P83" s="1057">
        <f ca="1">IF(R83&gt;=0,1,IF(R83&lt;-0.1,-1,0))</f>
        <v>-1</v>
      </c>
      <c r="Q83" s="1045">
        <f t="shared" ca="1" si="4"/>
        <v>26208.386402457487</v>
      </c>
      <c r="R83" s="1343">
        <f ca="1">IF(Q77=0,1-(Q79+Q81+Q82)/Q78,IF(Q77=Q83,0,ROUND((Q83-Q77)/ABS(Q77),3)))</f>
        <v>-0.96</v>
      </c>
      <c r="S83" s="536">
        <f t="shared" ca="1" si="2"/>
        <v>2184.0322002047906</v>
      </c>
      <c r="T83" s="1374">
        <f ca="1">IF(V83&gt;=0,1,IF(V83&lt;-0.1,-1,0))</f>
        <v>-1</v>
      </c>
      <c r="U83" s="1034">
        <f t="shared" ca="1" si="36"/>
        <v>26208.386402457487</v>
      </c>
      <c r="V83" s="1358">
        <f ca="1">IF(U77=0,1-(U79+U81+U82)/U78,IF(U77=U83,0,ROUND((U83-U77)/ABS(U77),3)))</f>
        <v>-0.96</v>
      </c>
      <c r="W83" s="999">
        <v>0.1</v>
      </c>
    </row>
    <row r="84" spans="1:23" ht="14.1" customHeight="1" thickBot="1" x14ac:dyDescent="0.2">
      <c r="A84" s="2190" t="s">
        <v>446</v>
      </c>
      <c r="B84" s="2188" t="s">
        <v>443</v>
      </c>
      <c r="C84" s="502" t="s">
        <v>26</v>
      </c>
      <c r="D84" s="503">
        <f>'事業所損益管理(H29.9～H30.8)収支計画表'!F74</f>
        <v>3200000</v>
      </c>
      <c r="E84" s="504">
        <f>'事業所損益管理(H29.9～H30.8)収支計画表'!G74</f>
        <v>3200000</v>
      </c>
      <c r="F84" s="504">
        <f>'事業所損益管理(H29.9～H30.8)収支計画表'!H74</f>
        <v>3200000</v>
      </c>
      <c r="G84" s="504">
        <f>'事業所損益管理(H29.9～H30.8)収支計画表'!I74</f>
        <v>3200000</v>
      </c>
      <c r="H84" s="504">
        <f>'事業所損益管理(H29.9～H30.8)収支計画表'!J74</f>
        <v>3200000</v>
      </c>
      <c r="I84" s="504">
        <f>'事業所損益管理(H29.9～H30.8)収支計画表'!K74</f>
        <v>3200000</v>
      </c>
      <c r="J84" s="504">
        <f>'事業所損益管理(H29.9～H30.8)収支計画表'!L74</f>
        <v>3200000</v>
      </c>
      <c r="K84" s="504">
        <f>'事業所損益管理(H29.9～H30.8)収支計画表'!M74</f>
        <v>3200000</v>
      </c>
      <c r="L84" s="504">
        <f>'事業所損益管理(H29.9～H30.8)収支計画表'!N74</f>
        <v>3200000</v>
      </c>
      <c r="M84" s="504">
        <f>'事業所損益管理(H29.9～H30.8)収支計画表'!O74</f>
        <v>3200000</v>
      </c>
      <c r="N84" s="504">
        <f>'事業所損益管理(H29.9～H30.8)収支計画表'!P74</f>
        <v>3200000</v>
      </c>
      <c r="O84" s="505">
        <f>'事業所損益管理(H29.9～H30.8)収支計画表'!Q74</f>
        <v>3200000</v>
      </c>
      <c r="P84" s="1049"/>
      <c r="Q84" s="1039">
        <f t="shared" ca="1" si="4"/>
        <v>38400000</v>
      </c>
      <c r="R84" s="1338"/>
      <c r="S84" s="506">
        <f t="shared" ca="1" si="2"/>
        <v>3200000</v>
      </c>
      <c r="T84" s="1035"/>
      <c r="U84" s="1035">
        <f t="shared" ref="U84:U89" si="39">SUM(D84:O84)</f>
        <v>38400000</v>
      </c>
      <c r="V84" s="1352"/>
    </row>
    <row r="85" spans="1:23" ht="14.1" customHeight="1" thickBot="1" x14ac:dyDescent="0.2">
      <c r="A85" s="2190"/>
      <c r="B85" s="2188"/>
      <c r="C85" s="508" t="s">
        <v>15</v>
      </c>
      <c r="D85" s="509">
        <f>'事業所損益管理(H29.9～H30.8)収支計画表'!F75</f>
        <v>1700000</v>
      </c>
      <c r="E85" s="510">
        <f>'事業所損益管理(H29.9～H30.8)収支計画表'!G75</f>
        <v>1700000</v>
      </c>
      <c r="F85" s="510">
        <f>'事業所損益管理(H29.9～H30.8)収支計画表'!H75</f>
        <v>1700000</v>
      </c>
      <c r="G85" s="510">
        <f>'事業所損益管理(H29.9～H30.8)収支計画表'!I75</f>
        <v>2200000</v>
      </c>
      <c r="H85" s="510">
        <f>'事業所損益管理(H29.9～H30.8)収支計画表'!J75</f>
        <v>1700000</v>
      </c>
      <c r="I85" s="510">
        <f>'事業所損益管理(H29.9～H30.8)収支計画表'!K75</f>
        <v>1650000</v>
      </c>
      <c r="J85" s="510">
        <f>'事業所損益管理(H29.9～H30.8)収支計画表'!L75</f>
        <v>1650000</v>
      </c>
      <c r="K85" s="510">
        <f>'事業所損益管理(H29.9～H30.8)収支計画表'!M75</f>
        <v>1650000</v>
      </c>
      <c r="L85" s="510">
        <f>'事業所損益管理(H29.9～H30.8)収支計画表'!N75</f>
        <v>1650000</v>
      </c>
      <c r="M85" s="510">
        <f>'事業所損益管理(H29.9～H30.8)収支計画表'!O75</f>
        <v>2000000</v>
      </c>
      <c r="N85" s="510">
        <f>'事業所損益管理(H29.9～H30.8)収支計画表'!P75</f>
        <v>1650000</v>
      </c>
      <c r="O85" s="511">
        <f>'事業所損益管理(H29.9～H30.8)収支計画表'!Q75</f>
        <v>1650000</v>
      </c>
      <c r="P85" s="1050"/>
      <c r="Q85" s="1040">
        <f t="shared" ca="1" si="4"/>
        <v>20900000</v>
      </c>
      <c r="R85" s="1339"/>
      <c r="S85" s="512">
        <f t="shared" ca="1" si="2"/>
        <v>1741666.6666666667</v>
      </c>
      <c r="T85" s="1036"/>
      <c r="U85" s="1036">
        <f t="shared" si="39"/>
        <v>20900000</v>
      </c>
      <c r="V85" s="1353"/>
    </row>
    <row r="86" spans="1:23" ht="14.1" customHeight="1" thickBot="1" x14ac:dyDescent="0.2">
      <c r="A86" s="2190"/>
      <c r="B86" s="2188"/>
      <c r="C86" s="514" t="s">
        <v>447</v>
      </c>
      <c r="D86" s="509">
        <f>'事業所損益管理(H29.9～H30.8)収支計画表'!F76</f>
        <v>0</v>
      </c>
      <c r="E86" s="510">
        <f>'事業所損益管理(H29.9～H30.8)収支計画表'!G76</f>
        <v>0</v>
      </c>
      <c r="F86" s="510">
        <f>'事業所損益管理(H29.9～H30.8)収支計画表'!H76</f>
        <v>0</v>
      </c>
      <c r="G86" s="510">
        <f>'事業所損益管理(H29.9～H30.8)収支計画表'!I76</f>
        <v>0</v>
      </c>
      <c r="H86" s="510">
        <f>'事業所損益管理(H29.9～H30.8)収支計画表'!J76</f>
        <v>50000</v>
      </c>
      <c r="I86" s="510">
        <f>'事業所損益管理(H29.9～H30.8)収支計画表'!K76</f>
        <v>0</v>
      </c>
      <c r="J86" s="510">
        <f>'事業所損益管理(H29.9～H30.8)収支計画表'!L76</f>
        <v>0</v>
      </c>
      <c r="K86" s="510">
        <f>'事業所損益管理(H29.9～H30.8)収支計画表'!M76</f>
        <v>50000</v>
      </c>
      <c r="L86" s="510">
        <f>'事業所損益管理(H29.9～H30.8)収支計画表'!N76</f>
        <v>0</v>
      </c>
      <c r="M86" s="510">
        <f>'事業所損益管理(H29.9～H30.8)収支計画表'!O76</f>
        <v>0</v>
      </c>
      <c r="N86" s="510">
        <f>'事業所損益管理(H29.9～H30.8)収支計画表'!P76</f>
        <v>50000</v>
      </c>
      <c r="O86" s="511">
        <f>'事業所損益管理(H29.9～H30.8)収支計画表'!Q76</f>
        <v>0</v>
      </c>
      <c r="P86" s="1050"/>
      <c r="Q86" s="1040">
        <f t="shared" ca="1" si="4"/>
        <v>150000</v>
      </c>
      <c r="R86" s="1339"/>
      <c r="S86" s="512">
        <f t="shared" ca="1" si="2"/>
        <v>12500</v>
      </c>
      <c r="T86" s="1036"/>
      <c r="U86" s="1036">
        <f t="shared" si="39"/>
        <v>150000</v>
      </c>
      <c r="V86" s="1353"/>
    </row>
    <row r="87" spans="1:23" ht="14.1" customHeight="1" thickBot="1" x14ac:dyDescent="0.2">
      <c r="A87" s="2190"/>
      <c r="B87" s="2188"/>
      <c r="C87" s="508" t="s">
        <v>35</v>
      </c>
      <c r="D87" s="509">
        <f>'事業所損益管理(H29.9～H30.8)収支計画表'!F77</f>
        <v>350000</v>
      </c>
      <c r="E87" s="510">
        <f>'事業所損益管理(H29.9～H30.8)収支計画表'!G77</f>
        <v>350000</v>
      </c>
      <c r="F87" s="510">
        <f>'事業所損益管理(H29.9～H30.8)収支計画表'!H77</f>
        <v>350000</v>
      </c>
      <c r="G87" s="510">
        <f>'事業所損益管理(H29.9～H30.8)収支計画表'!I77</f>
        <v>350000</v>
      </c>
      <c r="H87" s="510">
        <f>'事業所損益管理(H29.9～H30.8)収支計画表'!J77</f>
        <v>350000</v>
      </c>
      <c r="I87" s="510">
        <f>'事業所損益管理(H29.9～H30.8)収支計画表'!K77</f>
        <v>350000</v>
      </c>
      <c r="J87" s="510">
        <f>'事業所損益管理(H29.9～H30.8)収支計画表'!L77</f>
        <v>350000</v>
      </c>
      <c r="K87" s="510">
        <f>'事業所損益管理(H29.9～H30.8)収支計画表'!M77</f>
        <v>350000</v>
      </c>
      <c r="L87" s="510">
        <f>'事業所損益管理(H29.9～H30.8)収支計画表'!N77</f>
        <v>350000</v>
      </c>
      <c r="M87" s="510">
        <f>'事業所損益管理(H29.9～H30.8)収支計画表'!O77</f>
        <v>350000</v>
      </c>
      <c r="N87" s="510">
        <f>'事業所損益管理(H29.9～H30.8)収支計画表'!P77</f>
        <v>350000</v>
      </c>
      <c r="O87" s="511">
        <f>'事業所損益管理(H29.9～H30.8)収支計画表'!Q77</f>
        <v>350000</v>
      </c>
      <c r="P87" s="1050"/>
      <c r="Q87" s="1040">
        <f t="shared" ca="1" si="4"/>
        <v>4200000</v>
      </c>
      <c r="R87" s="1339"/>
      <c r="S87" s="512">
        <f t="shared" ca="1" si="2"/>
        <v>350000</v>
      </c>
      <c r="T87" s="1036"/>
      <c r="U87" s="1036">
        <f t="shared" si="39"/>
        <v>4200000</v>
      </c>
      <c r="V87" s="1353"/>
    </row>
    <row r="88" spans="1:23" ht="14.1" customHeight="1" thickBot="1" x14ac:dyDescent="0.2">
      <c r="A88" s="2190"/>
      <c r="B88" s="2188"/>
      <c r="C88" s="523" t="s">
        <v>495</v>
      </c>
      <c r="D88" s="524">
        <v>900000</v>
      </c>
      <c r="E88" s="525">
        <v>900000</v>
      </c>
      <c r="F88" s="525">
        <v>900000</v>
      </c>
      <c r="G88" s="525">
        <v>900000</v>
      </c>
      <c r="H88" s="525">
        <v>900000</v>
      </c>
      <c r="I88" s="525">
        <v>900000</v>
      </c>
      <c r="J88" s="525">
        <v>900000</v>
      </c>
      <c r="K88" s="525">
        <v>900000</v>
      </c>
      <c r="L88" s="525">
        <v>900000</v>
      </c>
      <c r="M88" s="525">
        <v>900000</v>
      </c>
      <c r="N88" s="525">
        <v>900000</v>
      </c>
      <c r="O88" s="526">
        <v>900000</v>
      </c>
      <c r="P88" s="1051"/>
      <c r="Q88" s="1043">
        <f t="shared" ca="1" si="4"/>
        <v>10800000</v>
      </c>
      <c r="R88" s="1339"/>
      <c r="S88" s="527">
        <f t="shared" ca="1" si="2"/>
        <v>900000</v>
      </c>
      <c r="T88" s="1033"/>
      <c r="U88" s="1033">
        <f t="shared" si="39"/>
        <v>10800000</v>
      </c>
      <c r="V88" s="1353"/>
    </row>
    <row r="89" spans="1:23" ht="14.1" customHeight="1" thickBot="1" x14ac:dyDescent="0.2">
      <c r="A89" s="2190"/>
      <c r="B89" s="2188"/>
      <c r="C89" s="529" t="s">
        <v>32</v>
      </c>
      <c r="D89" s="530">
        <f t="shared" ref="D89:O89" si="40">D84-(D85+D87+D88)</f>
        <v>250000</v>
      </c>
      <c r="E89" s="531">
        <f t="shared" si="40"/>
        <v>250000</v>
      </c>
      <c r="F89" s="531">
        <f t="shared" si="40"/>
        <v>250000</v>
      </c>
      <c r="G89" s="531">
        <f t="shared" si="40"/>
        <v>-250000</v>
      </c>
      <c r="H89" s="531">
        <f t="shared" si="40"/>
        <v>250000</v>
      </c>
      <c r="I89" s="531">
        <f t="shared" si="40"/>
        <v>300000</v>
      </c>
      <c r="J89" s="531">
        <f t="shared" si="40"/>
        <v>300000</v>
      </c>
      <c r="K89" s="531">
        <f t="shared" si="40"/>
        <v>300000</v>
      </c>
      <c r="L89" s="531">
        <f t="shared" si="40"/>
        <v>300000</v>
      </c>
      <c r="M89" s="531">
        <f t="shared" si="40"/>
        <v>-50000</v>
      </c>
      <c r="N89" s="531">
        <f t="shared" si="40"/>
        <v>300000</v>
      </c>
      <c r="O89" s="532">
        <f t="shared" si="40"/>
        <v>300000</v>
      </c>
      <c r="P89" s="1052"/>
      <c r="Q89" s="1044">
        <f t="shared" ca="1" si="4"/>
        <v>2500000</v>
      </c>
      <c r="R89" s="1340"/>
      <c r="S89" s="531">
        <f t="shared" ca="1" si="2"/>
        <v>208333.33333333334</v>
      </c>
      <c r="T89" s="1032"/>
      <c r="U89" s="1032">
        <f t="shared" si="39"/>
        <v>2500000</v>
      </c>
      <c r="V89" s="1355"/>
    </row>
    <row r="90" spans="1:23" ht="14.1" customHeight="1" thickBot="1" x14ac:dyDescent="0.2">
      <c r="A90" s="2190"/>
      <c r="B90" s="2164" t="s">
        <v>444</v>
      </c>
      <c r="C90" s="515" t="s">
        <v>26</v>
      </c>
      <c r="D90" s="516">
        <f>'事業所損益管理(H29.9～H30.8)収支計画表'!F79</f>
        <v>3081346</v>
      </c>
      <c r="E90" s="517">
        <f>'事業所損益管理(H29.9～H30.8)収支計画表'!G79</f>
        <v>2989139</v>
      </c>
      <c r="F90" s="517">
        <f>'事業所損益管理(H29.9～H30.8)収支計画表'!H79</f>
        <v>2574677</v>
      </c>
      <c r="G90" s="517">
        <f>'事業所損益管理(H29.9～H30.8)収支計画表'!I79</f>
        <v>2853536</v>
      </c>
      <c r="H90" s="517">
        <f>'事業所損益管理(H29.9～H30.8)収支計画表'!J79</f>
        <v>2617181</v>
      </c>
      <c r="I90" s="517">
        <f>'事業所損益管理(H29.9～H30.8)収支計画表'!K79</f>
        <v>3057960</v>
      </c>
      <c r="J90" s="517">
        <f>'事業所損益管理(H29.9～H30.8)収支計画表'!L79</f>
        <v>3056897</v>
      </c>
      <c r="K90" s="517">
        <f>'事業所損益管理(H29.9～H30.8)収支計画表'!M79</f>
        <v>3183714</v>
      </c>
      <c r="L90" s="517">
        <f>'事業所損益管理(H29.9～H30.8)収支計画表'!N79</f>
        <v>3021707</v>
      </c>
      <c r="M90" s="517">
        <f>'事業所損益管理(H29.9～H30.8)収支計画表'!O79</f>
        <v>2692178</v>
      </c>
      <c r="N90" s="517">
        <f>'事業所損益管理(H29.9～H30.8)収支計画表'!P79</f>
        <v>2546587</v>
      </c>
      <c r="O90" s="518">
        <f>'事業所損益管理(H29.9～H30.8)収支計画表'!Q79</f>
        <v>2351469</v>
      </c>
      <c r="P90" s="1055">
        <f ca="1">IF(R90&gt;=1,1,IF(R90&lt;0.9,-1,0))</f>
        <v>-1</v>
      </c>
      <c r="Q90" s="1041">
        <f t="shared" ca="1" si="4"/>
        <v>34026391</v>
      </c>
      <c r="R90" s="1341">
        <f ca="1">IF(Q84&lt;0,ROUND((Q90-Q84)/ABS(Q84),3),IF(Q84=0,0,ROUND(Q90/Q84,3)))</f>
        <v>0.88600000000000001</v>
      </c>
      <c r="S90" s="517">
        <f t="shared" ca="1" si="2"/>
        <v>2835532.5833333335</v>
      </c>
      <c r="T90" s="1372">
        <f ca="1">IF(V90&gt;=1,1,IF(V90&lt;0.9,-1,0))</f>
        <v>-1</v>
      </c>
      <c r="U90" s="1030">
        <f t="shared" ref="U90:U95" ca="1" si="41">Q90+(12-IF(ISERROR(MATCH(DATE(YEAR($E$1),MONTH($E$1),1),$D$2:$O$2,0)),0,MATCH(DATE(YEAR($E$1),MONTH($E$1),1),$D$2:$O$2,0)))*S90</f>
        <v>34026391</v>
      </c>
      <c r="V90" s="1356">
        <f ca="1">IF(U84&lt;0,ROUND((U90-U84)/ABS(U84),3),IF(U84=0,0,ROUND(U90/U84,3)))</f>
        <v>0.88600000000000001</v>
      </c>
      <c r="W90" s="999">
        <v>0.1</v>
      </c>
    </row>
    <row r="91" spans="1:23" ht="14.1" customHeight="1" thickBot="1" x14ac:dyDescent="0.2">
      <c r="A91" s="2190"/>
      <c r="B91" s="2164"/>
      <c r="C91" s="519" t="s">
        <v>15</v>
      </c>
      <c r="D91" s="520">
        <f>'事業所損益管理(H29.9～H30.8)収支計画表'!F80</f>
        <v>1657682</v>
      </c>
      <c r="E91" s="521">
        <f>'事業所損益管理(H29.9～H30.8)収支計画表'!G80</f>
        <v>1844386</v>
      </c>
      <c r="F91" s="521">
        <f>'事業所損益管理(H29.9～H30.8)収支計画表'!H80</f>
        <v>1778292</v>
      </c>
      <c r="G91" s="521">
        <f>'事業所損益管理(H29.9～H30.8)収支計画表'!I80</f>
        <v>2331206.8134925622</v>
      </c>
      <c r="H91" s="521">
        <f>'事業所損益管理(H29.9～H30.8)収支計画表'!J80</f>
        <v>2142868</v>
      </c>
      <c r="I91" s="521">
        <f>'事業所損益管理(H29.9～H30.8)収支計画表'!K80</f>
        <v>1544400</v>
      </c>
      <c r="J91" s="521">
        <f>'事業所損益管理(H29.9～H30.8)収支計画表'!L80</f>
        <v>1713633</v>
      </c>
      <c r="K91" s="521">
        <f>'事業所損益管理(H29.9～H30.8)収支計画表'!M80</f>
        <v>1717258</v>
      </c>
      <c r="L91" s="521">
        <f>'事業所損益管理(H29.9～H30.8)収支計画表'!N80</f>
        <v>1591339</v>
      </c>
      <c r="M91" s="521">
        <f>'事業所損益管理(H29.9～H30.8)収支計画表'!O80</f>
        <v>2098226</v>
      </c>
      <c r="N91" s="521">
        <f>'事業所損益管理(H29.9～H30.8)収支計画表'!P80</f>
        <v>2002252</v>
      </c>
      <c r="O91" s="522">
        <f>'事業所損益管理(H29.9～H30.8)収支計画表'!Q80</f>
        <v>1812806</v>
      </c>
      <c r="P91" s="1056">
        <f ca="1">IF(R91&lt;=1,1,IF(R91&gt;1.1,-1,0))</f>
        <v>0</v>
      </c>
      <c r="Q91" s="1042">
        <f t="shared" ca="1" si="4"/>
        <v>22234348.813492563</v>
      </c>
      <c r="R91" s="1342">
        <f ca="1">IF(Q85&lt;0,ROUND((Q91-Q85)/ABS(Q85),3),IF(Q85=0,0,ROUND(Q91/Q85,3)))</f>
        <v>1.0640000000000001</v>
      </c>
      <c r="S91" s="521">
        <f t="shared" ref="S91:S164" ca="1" si="42">IF(ISERROR(Q91/(DATEDIF(D$2,E$1,"M")+1)),0,Q91/(DATEDIF(D$2,E$1,"M")+1))</f>
        <v>1852862.4011243803</v>
      </c>
      <c r="T91" s="1373">
        <f ca="1">IF(V91&lt;=1,1,IF(V91&gt;1.1,-1,0))</f>
        <v>0</v>
      </c>
      <c r="U91" s="1031">
        <f t="shared" ca="1" si="41"/>
        <v>22234348.813492563</v>
      </c>
      <c r="V91" s="1357">
        <f ca="1">IF(U85&lt;0,ROUND((U91-U85)/ABS(U85),3),IF(U85=0,0,ROUND(U91/U85,3)))</f>
        <v>1.0640000000000001</v>
      </c>
      <c r="W91" s="999">
        <v>0.1</v>
      </c>
    </row>
    <row r="92" spans="1:23" ht="14.1" customHeight="1" thickBot="1" x14ac:dyDescent="0.2">
      <c r="A92" s="2190"/>
      <c r="B92" s="2164"/>
      <c r="C92" s="450" t="s">
        <v>448</v>
      </c>
      <c r="D92" s="520">
        <f>'事業所損益管理(H29.9～H30.8)収支計画表'!F81</f>
        <v>102384</v>
      </c>
      <c r="E92" s="521">
        <f>'事業所損益管理(H29.9～H30.8)収支計画表'!G81</f>
        <v>0</v>
      </c>
      <c r="F92" s="521">
        <f>'事業所損益管理(H29.9～H30.8)収支計画表'!H81</f>
        <v>0</v>
      </c>
      <c r="G92" s="521">
        <f>'事業所損益管理(H29.9～H30.8)収支計画表'!I81</f>
        <v>0</v>
      </c>
      <c r="H92" s="521">
        <f>'事業所損益管理(H29.9～H30.8)収支計画表'!J81</f>
        <v>0</v>
      </c>
      <c r="I92" s="521">
        <f>'事業所損益管理(H29.9～H30.8)収支計画表'!K81</f>
        <v>24300</v>
      </c>
      <c r="J92" s="521">
        <f>'事業所損益管理(H29.9～H30.8)収支計画表'!L81</f>
        <v>0</v>
      </c>
      <c r="K92" s="521">
        <f>'事業所損益管理(H29.9～H30.8)収支計画表'!M81</f>
        <v>32400</v>
      </c>
      <c r="L92" s="521">
        <f>'事業所損益管理(H29.9～H30.8)収支計画表'!N81</f>
        <v>32400</v>
      </c>
      <c r="M92" s="521">
        <f>'事業所損益管理(H29.9～H30.8)収支計画表'!O81</f>
        <v>10171</v>
      </c>
      <c r="N92" s="521">
        <f>'事業所損益管理(H29.9～H30.8)収支計画表'!P81</f>
        <v>32400</v>
      </c>
      <c r="O92" s="522">
        <f>'事業所損益管理(H29.9～H30.8)収支計画表'!Q81</f>
        <v>0</v>
      </c>
      <c r="P92" s="1056">
        <f ca="1">IF(R92&lt;=1,1,IF(R92&gt;1.1,-1,0))</f>
        <v>-1</v>
      </c>
      <c r="Q92" s="1042">
        <f ca="1">SUM(OFFSET(D92,0,0,1,IF(ISERROR(MATCH(DATE(YEAR($E$1),MONTH($E$1),1),$D$2:$O$2,0)),0,MATCH(DATE(YEAR($E$1),MONTH($E$1),1),$D$2:$O$2,0))))</f>
        <v>234055</v>
      </c>
      <c r="R92" s="1342">
        <f ca="1">IF(Q86&lt;0,ROUND((Q92-Q86)/ABS(Q86),3),IF(Q86=0,0,ROUND(Q92/Q86,3)))</f>
        <v>1.56</v>
      </c>
      <c r="S92" s="521">
        <f t="shared" ca="1" si="42"/>
        <v>19504.583333333332</v>
      </c>
      <c r="T92" s="1373">
        <f ca="1">IF(V92&lt;=1,1,IF(V92&gt;1.1,-1,0))</f>
        <v>-1</v>
      </c>
      <c r="U92" s="1031">
        <f t="shared" ca="1" si="41"/>
        <v>234055</v>
      </c>
      <c r="V92" s="1357">
        <f ca="1">IF(U86&lt;0,ROUND((U92-U86)/ABS(U86),3),IF(U86=0,0,ROUND(U92/U86,3)))</f>
        <v>1.56</v>
      </c>
      <c r="W92" s="999">
        <v>0.1</v>
      </c>
    </row>
    <row r="93" spans="1:23" ht="14.1" customHeight="1" thickBot="1" x14ac:dyDescent="0.2">
      <c r="A93" s="2190"/>
      <c r="B93" s="2164"/>
      <c r="C93" s="519" t="s">
        <v>35</v>
      </c>
      <c r="D93" s="520">
        <f>'事業所損益管理(H29.9～H30.8)収支計画表'!F82</f>
        <v>521873</v>
      </c>
      <c r="E93" s="521">
        <f>'事業所損益管理(H29.9～H30.8)収支計画表'!G82</f>
        <v>346984</v>
      </c>
      <c r="F93" s="521">
        <f>'事業所損益管理(H29.9～H30.8)収支計画表'!H82</f>
        <v>604342</v>
      </c>
      <c r="G93" s="521">
        <f>'事業所損益管理(H29.9～H30.8)収支計画表'!I82</f>
        <v>582653</v>
      </c>
      <c r="H93" s="521">
        <f>'事業所損益管理(H29.9～H30.8)収支計画表'!J82</f>
        <v>573594</v>
      </c>
      <c r="I93" s="521">
        <f>'事業所損益管理(H29.9～H30.8)収支計画表'!K82</f>
        <v>616591</v>
      </c>
      <c r="J93" s="521">
        <f>'事業所損益管理(H29.9～H30.8)収支計画表'!L82</f>
        <v>684050</v>
      </c>
      <c r="K93" s="521">
        <f>'事業所損益管理(H29.9～H30.8)収支計画表'!M82</f>
        <v>706946</v>
      </c>
      <c r="L93" s="521">
        <f>'事業所損益管理(H29.9～H30.8)収支計画表'!N82</f>
        <v>727124</v>
      </c>
      <c r="M93" s="521">
        <f>'事業所損益管理(H29.9～H30.8)収支計画表'!O82</f>
        <v>683680</v>
      </c>
      <c r="N93" s="521">
        <f>'事業所損益管理(H29.9～H30.8)収支計画表'!P82</f>
        <v>678728</v>
      </c>
      <c r="O93" s="522">
        <f>'事業所損益管理(H29.9～H30.8)収支計画表'!Q82</f>
        <v>942554</v>
      </c>
      <c r="P93" s="1056">
        <f ca="1">IF(R93&lt;=1,1,IF(R93&gt;1.1,-1,0))</f>
        <v>-1</v>
      </c>
      <c r="Q93" s="1042">
        <f t="shared" ca="1" si="4"/>
        <v>7669119</v>
      </c>
      <c r="R93" s="1342">
        <f ca="1">IF(Q87&lt;0,ROUND((Q93-Q87)/ABS(Q87),3),IF(Q87=0,0,ROUND(Q93/Q87,3)))</f>
        <v>1.8260000000000001</v>
      </c>
      <c r="S93" s="521">
        <f t="shared" ca="1" si="42"/>
        <v>639093.25</v>
      </c>
      <c r="T93" s="1373">
        <f ca="1">IF(V93&lt;=1,1,IF(V93&gt;1.1,-1,0))</f>
        <v>-1</v>
      </c>
      <c r="U93" s="1031">
        <f t="shared" ca="1" si="41"/>
        <v>7669119</v>
      </c>
      <c r="V93" s="1357">
        <f ca="1">IF(U87&lt;0,ROUND((U93-U87)/ABS(U87),3),IF(U87=0,0,ROUND(U93/U87,3)))</f>
        <v>1.8260000000000001</v>
      </c>
      <c r="W93" s="999">
        <v>0.1</v>
      </c>
    </row>
    <row r="94" spans="1:23" ht="14.1" customHeight="1" thickBot="1" x14ac:dyDescent="0.2">
      <c r="A94" s="2190"/>
      <c r="B94" s="2164"/>
      <c r="C94" s="523" t="s">
        <v>495</v>
      </c>
      <c r="D94" s="533">
        <f>IF(D91=0,0,D88)</f>
        <v>900000</v>
      </c>
      <c r="E94" s="527">
        <f t="shared" ref="E94:O94" si="43">IF(E91=0,0,E88)</f>
        <v>900000</v>
      </c>
      <c r="F94" s="527">
        <f t="shared" si="43"/>
        <v>900000</v>
      </c>
      <c r="G94" s="527">
        <f t="shared" si="43"/>
        <v>900000</v>
      </c>
      <c r="H94" s="527">
        <f t="shared" si="43"/>
        <v>900000</v>
      </c>
      <c r="I94" s="527">
        <f t="shared" si="43"/>
        <v>900000</v>
      </c>
      <c r="J94" s="527">
        <f t="shared" si="43"/>
        <v>900000</v>
      </c>
      <c r="K94" s="527">
        <f t="shared" si="43"/>
        <v>900000</v>
      </c>
      <c r="L94" s="527">
        <f t="shared" si="43"/>
        <v>900000</v>
      </c>
      <c r="M94" s="527">
        <f t="shared" si="43"/>
        <v>900000</v>
      </c>
      <c r="N94" s="527">
        <f t="shared" si="43"/>
        <v>900000</v>
      </c>
      <c r="O94" s="528">
        <f t="shared" si="43"/>
        <v>900000</v>
      </c>
      <c r="P94" s="1058"/>
      <c r="Q94" s="1043">
        <f ca="1">SUM(OFFSET(D94,0,0,1,IF(ISERROR(MATCH(DATE(YEAR($E$1),MONTH($E$1),1),$D$2:$O$2,0)),0,MATCH(DATE(YEAR($E$1),MONTH($E$1),1),$D$2:$O$2,0))))</f>
        <v>10800000</v>
      </c>
      <c r="R94" s="1339"/>
      <c r="S94" s="527">
        <f t="shared" ca="1" si="42"/>
        <v>900000</v>
      </c>
      <c r="T94" s="1429"/>
      <c r="U94" s="1033">
        <f t="shared" ca="1" si="41"/>
        <v>10800000</v>
      </c>
      <c r="V94" s="1353"/>
      <c r="W94" s="999">
        <v>0.1</v>
      </c>
    </row>
    <row r="95" spans="1:23" ht="14.1" customHeight="1" thickBot="1" x14ac:dyDescent="0.2">
      <c r="A95" s="2190"/>
      <c r="B95" s="2189"/>
      <c r="C95" s="534" t="s">
        <v>32</v>
      </c>
      <c r="D95" s="535">
        <f t="shared" ref="D95:O95" si="44">D90-(D91+D93+D94)</f>
        <v>1791</v>
      </c>
      <c r="E95" s="536">
        <f t="shared" si="44"/>
        <v>-102231</v>
      </c>
      <c r="F95" s="536">
        <f t="shared" si="44"/>
        <v>-707957</v>
      </c>
      <c r="G95" s="536">
        <f t="shared" si="44"/>
        <v>-960323.81349256216</v>
      </c>
      <c r="H95" s="536">
        <f t="shared" si="44"/>
        <v>-999281</v>
      </c>
      <c r="I95" s="536">
        <f t="shared" si="44"/>
        <v>-3031</v>
      </c>
      <c r="J95" s="536">
        <f t="shared" si="44"/>
        <v>-240786</v>
      </c>
      <c r="K95" s="536">
        <f t="shared" si="44"/>
        <v>-140490</v>
      </c>
      <c r="L95" s="536">
        <f t="shared" si="44"/>
        <v>-196756</v>
      </c>
      <c r="M95" s="536">
        <f t="shared" si="44"/>
        <v>-989728</v>
      </c>
      <c r="N95" s="536">
        <f t="shared" si="44"/>
        <v>-1034393</v>
      </c>
      <c r="O95" s="537">
        <f t="shared" si="44"/>
        <v>-1303891</v>
      </c>
      <c r="P95" s="1057">
        <f ca="1">IF(R95&gt;=0,1,IF(R95&lt;-0.1,-1,0))</f>
        <v>-1</v>
      </c>
      <c r="Q95" s="1045">
        <f t="shared" ca="1" si="4"/>
        <v>-6677076.8134925626</v>
      </c>
      <c r="R95" s="1343">
        <f ca="1">IF(Q89=0,1-(Q91+Q93+Q94)/Q90,IF(Q89=Q95,0,ROUND((Q95-Q89)/ABS(Q89),3)))</f>
        <v>-3.6709999999999998</v>
      </c>
      <c r="S95" s="536">
        <f t="shared" ca="1" si="42"/>
        <v>-556423.06779104692</v>
      </c>
      <c r="T95" s="1374">
        <f ca="1">IF(V95&gt;=0,1,IF(V95&lt;-0.1,-1,0))</f>
        <v>-1</v>
      </c>
      <c r="U95" s="1034">
        <f t="shared" ca="1" si="41"/>
        <v>-6677076.8134925626</v>
      </c>
      <c r="V95" s="1358">
        <f ca="1">IF(U89=0,1-(U91+U93+U94)/U90,IF(U89=U95,0,ROUND((U95-U89)/ABS(U89),3)))</f>
        <v>-3.6709999999999998</v>
      </c>
      <c r="W95" s="999">
        <v>0.1</v>
      </c>
    </row>
    <row r="96" spans="1:23" ht="14.1" hidden="1" customHeight="1" outlineLevel="1" thickBot="1" x14ac:dyDescent="0.2">
      <c r="A96" s="2187" t="s">
        <v>119</v>
      </c>
      <c r="B96" s="2188" t="s">
        <v>443</v>
      </c>
      <c r="C96" s="502" t="s">
        <v>26</v>
      </c>
      <c r="D96" s="503">
        <f>'事業所損益管理(H29.9～H30.8)収支計画表'!F84</f>
        <v>998000</v>
      </c>
      <c r="E96" s="504">
        <f>'事業所損益管理(H29.9～H30.8)収支計画表'!G84</f>
        <v>998000</v>
      </c>
      <c r="F96" s="504">
        <f>'事業所損益管理(H29.9～H30.8)収支計画表'!H84</f>
        <v>998000</v>
      </c>
      <c r="G96" s="504">
        <f>'事業所損益管理(H29.9～H30.8)収支計画表'!I84</f>
        <v>998000</v>
      </c>
      <c r="H96" s="504">
        <f>'事業所損益管理(H29.9～H30.8)収支計画表'!J84</f>
        <v>998000</v>
      </c>
      <c r="I96" s="504">
        <f>'事業所損益管理(H29.9～H30.8)収支計画表'!K84</f>
        <v>998000</v>
      </c>
      <c r="J96" s="504">
        <f>'事業所損益管理(H29.9～H30.8)収支計画表'!L84</f>
        <v>998000</v>
      </c>
      <c r="K96" s="504">
        <f>'事業所損益管理(H29.9～H30.8)収支計画表'!M84</f>
        <v>998000</v>
      </c>
      <c r="L96" s="504">
        <f>'事業所損益管理(H29.9～H30.8)収支計画表'!N84</f>
        <v>998000</v>
      </c>
      <c r="M96" s="504">
        <f>'事業所損益管理(H29.9～H30.8)収支計画表'!O84</f>
        <v>998000</v>
      </c>
      <c r="N96" s="504">
        <f>'事業所損益管理(H29.9～H30.8)収支計画表'!P84</f>
        <v>998000</v>
      </c>
      <c r="O96" s="505">
        <f>'事業所損益管理(H29.9～H30.8)収支計画表'!Q84</f>
        <v>998000</v>
      </c>
      <c r="P96" s="1049"/>
      <c r="Q96" s="1039">
        <f t="shared" ca="1" si="4"/>
        <v>11976000</v>
      </c>
      <c r="R96" s="1338"/>
      <c r="S96" s="506">
        <f t="shared" ca="1" si="42"/>
        <v>998000</v>
      </c>
      <c r="T96" s="1035"/>
      <c r="U96" s="1035">
        <f t="shared" ref="U96:U101" si="45">SUM(D96:O96)</f>
        <v>11976000</v>
      </c>
      <c r="V96" s="1352"/>
    </row>
    <row r="97" spans="1:23" ht="14.1" hidden="1" customHeight="1" outlineLevel="1" thickBot="1" x14ac:dyDescent="0.2">
      <c r="A97" s="2187"/>
      <c r="B97" s="2188"/>
      <c r="C97" s="508" t="s">
        <v>15</v>
      </c>
      <c r="D97" s="509">
        <f>'事業所損益管理(H29.9～H30.8)収支計画表'!F85</f>
        <v>460000</v>
      </c>
      <c r="E97" s="510">
        <f>'事業所損益管理(H29.9～H30.8)収支計画表'!G85</f>
        <v>460000</v>
      </c>
      <c r="F97" s="510">
        <f>'事業所損益管理(H29.9～H30.8)収支計画表'!H85</f>
        <v>460000</v>
      </c>
      <c r="G97" s="510">
        <f>'事業所損益管理(H29.9～H30.8)収支計画表'!I85</f>
        <v>500000</v>
      </c>
      <c r="H97" s="510">
        <f>'事業所損益管理(H29.9～H30.8)収支計画表'!J85</f>
        <v>460000</v>
      </c>
      <c r="I97" s="510">
        <f>'事業所損益管理(H29.9～H30.8)収支計画表'!K85</f>
        <v>460000</v>
      </c>
      <c r="J97" s="510">
        <f>'事業所損益管理(H29.9～H30.8)収支計画表'!L85</f>
        <v>460000</v>
      </c>
      <c r="K97" s="510">
        <f>'事業所損益管理(H29.9～H30.8)収支計画表'!M85</f>
        <v>460000</v>
      </c>
      <c r="L97" s="510">
        <f>'事業所損益管理(H29.9～H30.8)収支計画表'!N85</f>
        <v>460000</v>
      </c>
      <c r="M97" s="510">
        <f>'事業所損益管理(H29.9～H30.8)収支計画表'!O85</f>
        <v>500000</v>
      </c>
      <c r="N97" s="510">
        <f>'事業所損益管理(H29.9～H30.8)収支計画表'!P85</f>
        <v>460000</v>
      </c>
      <c r="O97" s="511">
        <f>'事業所損益管理(H29.9～H30.8)収支計画表'!Q85</f>
        <v>460000</v>
      </c>
      <c r="P97" s="1050"/>
      <c r="Q97" s="1040">
        <f ca="1">SUM(OFFSET(D97,0,0,1,IF(ISERROR(MATCH(DATE(YEAR($E$1),MONTH($E$1),1),$D$2:$O$2,0)),0,MATCH(DATE(YEAR($E$1),MONTH($E$1),1),$D$2:$O$2,0))))</f>
        <v>5600000</v>
      </c>
      <c r="R97" s="1339"/>
      <c r="S97" s="512">
        <f t="shared" ca="1" si="42"/>
        <v>466666.66666666669</v>
      </c>
      <c r="T97" s="1036"/>
      <c r="U97" s="1036">
        <f t="shared" si="45"/>
        <v>5600000</v>
      </c>
      <c r="V97" s="1353"/>
    </row>
    <row r="98" spans="1:23" ht="14.1" hidden="1" customHeight="1" outlineLevel="1" thickBot="1" x14ac:dyDescent="0.2">
      <c r="A98" s="2187"/>
      <c r="B98" s="2188"/>
      <c r="C98" s="514" t="s">
        <v>447</v>
      </c>
      <c r="D98" s="509">
        <f>'事業所損益管理(H29.9～H30.8)収支計画表'!F86</f>
        <v>50000</v>
      </c>
      <c r="E98" s="510">
        <f>'事業所損益管理(H29.9～H30.8)収支計画表'!G86</f>
        <v>0</v>
      </c>
      <c r="F98" s="510">
        <f>'事業所損益管理(H29.9～H30.8)収支計画表'!H86</f>
        <v>0</v>
      </c>
      <c r="G98" s="510">
        <f>'事業所損益管理(H29.9～H30.8)収支計画表'!I86</f>
        <v>0</v>
      </c>
      <c r="H98" s="510">
        <f>'事業所損益管理(H29.9～H30.8)収支計画表'!J86</f>
        <v>0</v>
      </c>
      <c r="I98" s="510">
        <f>'事業所損益管理(H29.9～H30.8)収支計画表'!K86</f>
        <v>0</v>
      </c>
      <c r="J98" s="510">
        <f>'事業所損益管理(H29.9～H30.8)収支計画表'!L86</f>
        <v>50000</v>
      </c>
      <c r="K98" s="510">
        <f>'事業所損益管理(H29.9～H30.8)収支計画表'!M86</f>
        <v>0</v>
      </c>
      <c r="L98" s="510">
        <f>'事業所損益管理(H29.9～H30.8)収支計画表'!N86</f>
        <v>0</v>
      </c>
      <c r="M98" s="510">
        <f>'事業所損益管理(H29.9～H30.8)収支計画表'!O86</f>
        <v>0</v>
      </c>
      <c r="N98" s="510">
        <f>'事業所損益管理(H29.9～H30.8)収支計画表'!P86</f>
        <v>0</v>
      </c>
      <c r="O98" s="511">
        <f>'事業所損益管理(H29.9～H30.8)収支計画表'!Q86</f>
        <v>0</v>
      </c>
      <c r="P98" s="1050"/>
      <c r="Q98" s="1040">
        <f t="shared" ca="1" si="4"/>
        <v>100000</v>
      </c>
      <c r="R98" s="1339"/>
      <c r="S98" s="512">
        <f t="shared" ca="1" si="42"/>
        <v>8333.3333333333339</v>
      </c>
      <c r="T98" s="1036"/>
      <c r="U98" s="1036">
        <f t="shared" si="45"/>
        <v>100000</v>
      </c>
      <c r="V98" s="1353"/>
    </row>
    <row r="99" spans="1:23" ht="14.1" hidden="1" customHeight="1" outlineLevel="1" thickBot="1" x14ac:dyDescent="0.2">
      <c r="A99" s="2187"/>
      <c r="B99" s="2188"/>
      <c r="C99" s="508" t="s">
        <v>35</v>
      </c>
      <c r="D99" s="509">
        <f>'事業所損益管理(H29.9～H30.8)収支計画表'!F87</f>
        <v>150000</v>
      </c>
      <c r="E99" s="510">
        <f>'事業所損益管理(H29.9～H30.8)収支計画表'!G87</f>
        <v>150000</v>
      </c>
      <c r="F99" s="510">
        <f>'事業所損益管理(H29.9～H30.8)収支計画表'!H87</f>
        <v>150000</v>
      </c>
      <c r="G99" s="510">
        <f>'事業所損益管理(H29.9～H30.8)収支計画表'!I87</f>
        <v>150000</v>
      </c>
      <c r="H99" s="510">
        <f>'事業所損益管理(H29.9～H30.8)収支計画表'!J87</f>
        <v>150000</v>
      </c>
      <c r="I99" s="510">
        <f>'事業所損益管理(H29.9～H30.8)収支計画表'!K87</f>
        <v>150000</v>
      </c>
      <c r="J99" s="510">
        <f>'事業所損益管理(H29.9～H30.8)収支計画表'!L87</f>
        <v>150000</v>
      </c>
      <c r="K99" s="510">
        <f>'事業所損益管理(H29.9～H30.8)収支計画表'!M87</f>
        <v>150000</v>
      </c>
      <c r="L99" s="510">
        <f>'事業所損益管理(H29.9～H30.8)収支計画表'!N87</f>
        <v>150000</v>
      </c>
      <c r="M99" s="510">
        <f>'事業所損益管理(H29.9～H30.8)収支計画表'!O87</f>
        <v>150000</v>
      </c>
      <c r="N99" s="510">
        <f>'事業所損益管理(H29.9～H30.8)収支計画表'!P87</f>
        <v>150000</v>
      </c>
      <c r="O99" s="511">
        <f>'事業所損益管理(H29.9～H30.8)収支計画表'!Q87</f>
        <v>150000</v>
      </c>
      <c r="P99" s="1050"/>
      <c r="Q99" s="1040">
        <f t="shared" ca="1" si="4"/>
        <v>1800000</v>
      </c>
      <c r="R99" s="1339"/>
      <c r="S99" s="512">
        <f t="shared" ca="1" si="42"/>
        <v>150000</v>
      </c>
      <c r="T99" s="1036"/>
      <c r="U99" s="1036">
        <f t="shared" si="45"/>
        <v>1800000</v>
      </c>
      <c r="V99" s="1353"/>
    </row>
    <row r="100" spans="1:23" ht="14.1" hidden="1" customHeight="1" outlineLevel="1" thickBot="1" x14ac:dyDescent="0.2">
      <c r="A100" s="2187"/>
      <c r="B100" s="2188"/>
      <c r="C100" s="523" t="s">
        <v>495</v>
      </c>
      <c r="D100" s="524">
        <v>400000</v>
      </c>
      <c r="E100" s="525">
        <v>400000</v>
      </c>
      <c r="F100" s="525">
        <v>400000</v>
      </c>
      <c r="G100" s="525">
        <v>400000</v>
      </c>
      <c r="H100" s="525">
        <v>400000</v>
      </c>
      <c r="I100" s="525">
        <v>400000</v>
      </c>
      <c r="J100" s="525">
        <v>400000</v>
      </c>
      <c r="K100" s="525">
        <v>400000</v>
      </c>
      <c r="L100" s="525">
        <v>400000</v>
      </c>
      <c r="M100" s="525">
        <v>400000</v>
      </c>
      <c r="N100" s="525">
        <v>400000</v>
      </c>
      <c r="O100" s="526">
        <v>400000</v>
      </c>
      <c r="P100" s="1051"/>
      <c r="Q100" s="1043">
        <f ca="1">SUM(OFFSET(D100,0,0,1,IF(ISERROR(MATCH(DATE(YEAR($E$1),MONTH($E$1),1),$D$2:$O$2,0)),0,MATCH(DATE(YEAR($E$1),MONTH($E$1),1),$D$2:$O$2,0))))</f>
        <v>4800000</v>
      </c>
      <c r="R100" s="1339"/>
      <c r="S100" s="527">
        <f t="shared" ca="1" si="42"/>
        <v>400000</v>
      </c>
      <c r="T100" s="1033"/>
      <c r="U100" s="1033">
        <f t="shared" si="45"/>
        <v>4800000</v>
      </c>
      <c r="V100" s="1353"/>
    </row>
    <row r="101" spans="1:23" ht="14.1" hidden="1" customHeight="1" outlineLevel="1" thickBot="1" x14ac:dyDescent="0.2">
      <c r="A101" s="2187"/>
      <c r="B101" s="2188"/>
      <c r="C101" s="529" t="s">
        <v>32</v>
      </c>
      <c r="D101" s="530">
        <f t="shared" ref="D101:O101" si="46">D96-(D97+D99+D100)</f>
        <v>-12000</v>
      </c>
      <c r="E101" s="531">
        <f t="shared" si="46"/>
        <v>-12000</v>
      </c>
      <c r="F101" s="531">
        <f t="shared" si="46"/>
        <v>-12000</v>
      </c>
      <c r="G101" s="531">
        <f t="shared" si="46"/>
        <v>-52000</v>
      </c>
      <c r="H101" s="531">
        <f t="shared" si="46"/>
        <v>-12000</v>
      </c>
      <c r="I101" s="531">
        <f t="shared" si="46"/>
        <v>-12000</v>
      </c>
      <c r="J101" s="531">
        <f t="shared" si="46"/>
        <v>-12000</v>
      </c>
      <c r="K101" s="531">
        <f t="shared" si="46"/>
        <v>-12000</v>
      </c>
      <c r="L101" s="531">
        <f t="shared" si="46"/>
        <v>-12000</v>
      </c>
      <c r="M101" s="531">
        <f t="shared" si="46"/>
        <v>-52000</v>
      </c>
      <c r="N101" s="531">
        <f t="shared" si="46"/>
        <v>-12000</v>
      </c>
      <c r="O101" s="532">
        <f t="shared" si="46"/>
        <v>-12000</v>
      </c>
      <c r="P101" s="1052"/>
      <c r="Q101" s="1044">
        <f t="shared" ca="1" si="4"/>
        <v>-224000</v>
      </c>
      <c r="R101" s="1340"/>
      <c r="S101" s="531">
        <f t="shared" ca="1" si="42"/>
        <v>-18666.666666666668</v>
      </c>
      <c r="T101" s="1032"/>
      <c r="U101" s="1032">
        <f t="shared" si="45"/>
        <v>-224000</v>
      </c>
      <c r="V101" s="1355"/>
    </row>
    <row r="102" spans="1:23" ht="14.1" hidden="1" customHeight="1" outlineLevel="1" thickBot="1" x14ac:dyDescent="0.2">
      <c r="A102" s="2187"/>
      <c r="B102" s="2164" t="s">
        <v>444</v>
      </c>
      <c r="C102" s="515" t="s">
        <v>26</v>
      </c>
      <c r="D102" s="516">
        <f>'事業所損益管理(H29.9～H30.8)収支計画表'!F89</f>
        <v>1236162</v>
      </c>
      <c r="E102" s="517">
        <f>'事業所損益管理(H29.9～H30.8)収支計画表'!G89</f>
        <v>1051496</v>
      </c>
      <c r="F102" s="517">
        <f>'事業所損益管理(H29.9～H30.8)収支計画表'!H89</f>
        <v>1225409</v>
      </c>
      <c r="G102" s="517">
        <f>'事業所損益管理(H29.9～H30.8)収支計画表'!I89</f>
        <v>1036248</v>
      </c>
      <c r="H102" s="517">
        <f>'事業所損益管理(H29.9～H30.8)収支計画表'!J89</f>
        <v>809040</v>
      </c>
      <c r="I102" s="517">
        <f>'事業所損益管理(H29.9～H30.8)収支計画表'!K89</f>
        <v>741413</v>
      </c>
      <c r="J102" s="517">
        <f>'事業所損益管理(H29.9～H30.8)収支計画表'!L89</f>
        <v>820390</v>
      </c>
      <c r="K102" s="517">
        <f>'事業所損益管理(H29.9～H30.8)収支計画表'!M89</f>
        <v>859760</v>
      </c>
      <c r="L102" s="517">
        <f>'事業所損益管理(H29.9～H30.8)収支計画表'!N89</f>
        <v>1366814</v>
      </c>
      <c r="M102" s="517">
        <f>'事業所損益管理(H29.9～H30.8)収支計画表'!O89</f>
        <v>548955</v>
      </c>
      <c r="N102" s="517">
        <f>'事業所損益管理(H29.9～H30.8)収支計画表'!P89</f>
        <v>1159974</v>
      </c>
      <c r="O102" s="518">
        <f>'事業所損益管理(H29.9～H30.8)収支計画表'!Q89</f>
        <v>870546</v>
      </c>
      <c r="P102" s="1055">
        <f ca="1">IF(R102&gt;=1,1,IF(R102&lt;0.9,-1,0))</f>
        <v>0</v>
      </c>
      <c r="Q102" s="1041">
        <f t="shared" ca="1" si="4"/>
        <v>11726207</v>
      </c>
      <c r="R102" s="1341">
        <f ca="1">IF(Q96&lt;0,ROUND((Q102-Q96)/ABS(Q96),3),IF(Q96=0,0,ROUND(Q102/Q96,3)))</f>
        <v>0.97899999999999998</v>
      </c>
      <c r="S102" s="517">
        <f t="shared" ca="1" si="42"/>
        <v>977183.91666666663</v>
      </c>
      <c r="T102" s="1372">
        <f ca="1">IF(V102&gt;=1,1,IF(V102&lt;0.9,-1,0))</f>
        <v>0</v>
      </c>
      <c r="U102" s="1030">
        <f t="shared" ref="U102:U107" ca="1" si="47">Q102+(12-IF(ISERROR(MATCH(DATE(YEAR($E$1),MONTH($E$1),1),$D$2:$O$2,0)),0,MATCH(DATE(YEAR($E$1),MONTH($E$1),1),$D$2:$O$2,0)))*S102</f>
        <v>11726207</v>
      </c>
      <c r="V102" s="1356">
        <f ca="1">IF(U96&lt;0,ROUND((U102-U96)/ABS(U96),3),IF(U96=0,0,ROUND(U102/U96,3)))</f>
        <v>0.97899999999999998</v>
      </c>
      <c r="W102" s="999">
        <v>0.1</v>
      </c>
    </row>
    <row r="103" spans="1:23" ht="14.1" hidden="1" customHeight="1" outlineLevel="1" thickBot="1" x14ac:dyDescent="0.2">
      <c r="A103" s="2187"/>
      <c r="B103" s="2164"/>
      <c r="C103" s="519" t="s">
        <v>15</v>
      </c>
      <c r="D103" s="520">
        <f>'事業所損益管理(H29.9～H30.8)収支計画表'!F90</f>
        <v>406108</v>
      </c>
      <c r="E103" s="521">
        <f>'事業所損益管理(H29.9～H30.8)収支計画表'!G90</f>
        <v>437577</v>
      </c>
      <c r="F103" s="521">
        <f>'事業所損益管理(H29.9～H30.8)収支計画表'!H90</f>
        <v>418059</v>
      </c>
      <c r="G103" s="521">
        <f>'事業所損益管理(H29.9～H30.8)収支計画表'!I90</f>
        <v>418446.0655371336</v>
      </c>
      <c r="H103" s="521">
        <f>'事業所損益管理(H29.9～H30.8)収支計画表'!J90</f>
        <v>441121</v>
      </c>
      <c r="I103" s="521">
        <f>'事業所損益管理(H29.9～H30.8)収支計画表'!K90</f>
        <v>327190</v>
      </c>
      <c r="J103" s="521">
        <f>'事業所損益管理(H29.9～H30.8)収支計画表'!L90</f>
        <v>366028</v>
      </c>
      <c r="K103" s="521">
        <f>'事業所損益管理(H29.9～H30.8)収支計画表'!M90</f>
        <v>348293</v>
      </c>
      <c r="L103" s="521">
        <f>'事業所損益管理(H29.9～H30.8)収支計画表'!N90</f>
        <v>360441</v>
      </c>
      <c r="M103" s="521">
        <f>'事業所損益管理(H29.9～H30.8)収支計画表'!O90</f>
        <v>358841</v>
      </c>
      <c r="N103" s="521">
        <f>'事業所損益管理(H29.9～H30.8)収支計画表'!P90</f>
        <v>394951</v>
      </c>
      <c r="O103" s="522">
        <f>'事業所損益管理(H29.9～H30.8)収支計画表'!Q90</f>
        <v>341359</v>
      </c>
      <c r="P103" s="1056">
        <f ca="1">IF(R103&lt;=1,1,IF(R103&gt;1.1,-1,0))</f>
        <v>1</v>
      </c>
      <c r="Q103" s="1042">
        <f t="shared" ca="1" si="4"/>
        <v>4618414.0655371342</v>
      </c>
      <c r="R103" s="1342">
        <f ca="1">IF(Q97&lt;0,ROUND((Q103-Q97)/ABS(Q97),3),IF(Q97=0,0,ROUND(Q103/Q97,3)))</f>
        <v>0.82499999999999996</v>
      </c>
      <c r="S103" s="521">
        <f t="shared" ca="1" si="42"/>
        <v>384867.83879476116</v>
      </c>
      <c r="T103" s="1373">
        <f ca="1">IF(V103&lt;=1,1,IF(V103&gt;1.1,-1,0))</f>
        <v>1</v>
      </c>
      <c r="U103" s="1031">
        <f t="shared" ca="1" si="47"/>
        <v>4618414.0655371342</v>
      </c>
      <c r="V103" s="1357">
        <f ca="1">IF(U97&lt;0,ROUND((U103-U97)/ABS(U97),3),IF(U97=0,0,ROUND(U103/U97,3)))</f>
        <v>0.82499999999999996</v>
      </c>
      <c r="W103" s="999">
        <v>0.1</v>
      </c>
    </row>
    <row r="104" spans="1:23" ht="14.1" hidden="1" customHeight="1" outlineLevel="1" thickBot="1" x14ac:dyDescent="0.2">
      <c r="A104" s="2187"/>
      <c r="B104" s="2164"/>
      <c r="C104" s="450" t="s">
        <v>448</v>
      </c>
      <c r="D104" s="520">
        <f>'事業所損益管理(H29.9～H30.8)収支計画表'!F91</f>
        <v>12420</v>
      </c>
      <c r="E104" s="521">
        <f>'事業所損益管理(H29.9～H30.8)収支計画表'!G91</f>
        <v>0</v>
      </c>
      <c r="F104" s="521">
        <f>'事業所損益管理(H29.9～H30.8)収支計画表'!H91</f>
        <v>0</v>
      </c>
      <c r="G104" s="521">
        <f>'事業所損益管理(H29.9～H30.8)収支計画表'!I91</f>
        <v>0</v>
      </c>
      <c r="H104" s="521">
        <f>'事業所損益管理(H29.9～H30.8)収支計画表'!J91</f>
        <v>0</v>
      </c>
      <c r="I104" s="521">
        <f>'事業所損益管理(H29.9～H30.8)収支計画表'!K91</f>
        <v>0</v>
      </c>
      <c r="J104" s="521">
        <f>'事業所損益管理(H29.9～H30.8)収支計画表'!L91</f>
        <v>32400</v>
      </c>
      <c r="K104" s="521">
        <f>'事業所損益管理(H29.9～H30.8)収支計画表'!M91</f>
        <v>0</v>
      </c>
      <c r="L104" s="521">
        <f>'事業所損益管理(H29.9～H30.8)収支計画表'!N91</f>
        <v>0</v>
      </c>
      <c r="M104" s="521">
        <f>'事業所損益管理(H29.9～H30.8)収支計画表'!O91</f>
        <v>0</v>
      </c>
      <c r="N104" s="521">
        <f>'事業所損益管理(H29.9～H30.8)収支計画表'!P91</f>
        <v>0</v>
      </c>
      <c r="O104" s="522">
        <f>'事業所損益管理(H29.9～H30.8)収支計画表'!Q91</f>
        <v>0</v>
      </c>
      <c r="P104" s="1056">
        <f ca="1">IF(R104&lt;=1,1,IF(R104&gt;1.1,-1,0))</f>
        <v>1</v>
      </c>
      <c r="Q104" s="1042">
        <f t="shared" ca="1" si="4"/>
        <v>44820</v>
      </c>
      <c r="R104" s="1342">
        <f ca="1">IF(Q98&lt;0,ROUND((Q104-Q98)/ABS(Q98),3),IF(Q98=0,0,ROUND(Q104/Q98,3)))</f>
        <v>0.44800000000000001</v>
      </c>
      <c r="S104" s="521">
        <f t="shared" ca="1" si="42"/>
        <v>3735</v>
      </c>
      <c r="T104" s="1373">
        <f ca="1">IF(V104&lt;=1,1,IF(V104&gt;1.1,-1,0))</f>
        <v>1</v>
      </c>
      <c r="U104" s="1031">
        <f t="shared" ca="1" si="47"/>
        <v>44820</v>
      </c>
      <c r="V104" s="1357">
        <f ca="1">IF(U98&lt;0,ROUND((U104-U98)/ABS(U98),3),IF(U98=0,0,ROUND(U104/U98,3)))</f>
        <v>0.44800000000000001</v>
      </c>
      <c r="W104" s="999">
        <v>0.1</v>
      </c>
    </row>
    <row r="105" spans="1:23" ht="14.1" hidden="1" customHeight="1" outlineLevel="1" thickBot="1" x14ac:dyDescent="0.2">
      <c r="A105" s="2187"/>
      <c r="B105" s="2164"/>
      <c r="C105" s="519" t="s">
        <v>35</v>
      </c>
      <c r="D105" s="520">
        <f>'事業所損益管理(H29.9～H30.8)収支計画表'!F92</f>
        <v>124140</v>
      </c>
      <c r="E105" s="521">
        <f>'事業所損益管理(H29.9～H30.8)収支計画表'!G92</f>
        <v>127801</v>
      </c>
      <c r="F105" s="521">
        <f>'事業所損益管理(H29.9～H30.8)収支計画表'!H92</f>
        <v>155938</v>
      </c>
      <c r="G105" s="521">
        <f>'事業所損益管理(H29.9～H30.8)収支計画表'!I92</f>
        <v>154535</v>
      </c>
      <c r="H105" s="521">
        <f>'事業所損益管理(H29.9～H30.8)収支計画表'!J92</f>
        <v>134184</v>
      </c>
      <c r="I105" s="521">
        <f>'事業所損益管理(H29.9～H30.8)収支計画表'!K92</f>
        <v>126910</v>
      </c>
      <c r="J105" s="521">
        <f>'事業所損益管理(H29.9～H30.8)収支計画表'!L92</f>
        <v>167880</v>
      </c>
      <c r="K105" s="521">
        <f>'事業所損益管理(H29.9～H30.8)収支計画表'!M92</f>
        <v>129954</v>
      </c>
      <c r="L105" s="521">
        <f>'事業所損益管理(H29.9～H30.8)収支計画表'!N92</f>
        <v>129795</v>
      </c>
      <c r="M105" s="521">
        <f>'事業所損益管理(H29.9～H30.8)収支計画表'!O92</f>
        <v>173077</v>
      </c>
      <c r="N105" s="521">
        <f>'事業所損益管理(H29.9～H30.8)収支計画表'!P92</f>
        <v>127926</v>
      </c>
      <c r="O105" s="522">
        <f>'事業所損益管理(H29.9～H30.8)収支計画表'!Q92</f>
        <v>125559</v>
      </c>
      <c r="P105" s="1056">
        <f ca="1">IF(R105&lt;=1,1,IF(R105&gt;1.1,-1,0))</f>
        <v>1</v>
      </c>
      <c r="Q105" s="1042">
        <f t="shared" ca="1" si="4"/>
        <v>1677699</v>
      </c>
      <c r="R105" s="1342">
        <f ca="1">IF(Q99&lt;0,ROUND((Q105-Q99)/ABS(Q99),3),IF(Q99=0,0,ROUND(Q105/Q99,3)))</f>
        <v>0.93200000000000005</v>
      </c>
      <c r="S105" s="521">
        <f t="shared" ca="1" si="42"/>
        <v>139808.25</v>
      </c>
      <c r="T105" s="1373">
        <f ca="1">IF(V105&lt;=1,1,IF(V105&gt;1.1,-1,0))</f>
        <v>1</v>
      </c>
      <c r="U105" s="1031">
        <f t="shared" ca="1" si="47"/>
        <v>1677699</v>
      </c>
      <c r="V105" s="1357">
        <f ca="1">IF(U99&lt;0,ROUND((U105-U99)/ABS(U99),3),IF(U99=0,0,ROUND(U105/U99,3)))</f>
        <v>0.93200000000000005</v>
      </c>
      <c r="W105" s="999">
        <v>0.1</v>
      </c>
    </row>
    <row r="106" spans="1:23" ht="14.1" hidden="1" customHeight="1" outlineLevel="1" thickBot="1" x14ac:dyDescent="0.2">
      <c r="A106" s="2187"/>
      <c r="B106" s="2164"/>
      <c r="C106" s="523" t="s">
        <v>495</v>
      </c>
      <c r="D106" s="533">
        <f>IF(D103=0,0,D100)</f>
        <v>400000</v>
      </c>
      <c r="E106" s="527">
        <f t="shared" ref="E106:O106" si="48">IF(E103=0,0,E100)</f>
        <v>400000</v>
      </c>
      <c r="F106" s="527">
        <f t="shared" si="48"/>
        <v>400000</v>
      </c>
      <c r="G106" s="527">
        <f t="shared" si="48"/>
        <v>400000</v>
      </c>
      <c r="H106" s="527">
        <f t="shared" si="48"/>
        <v>400000</v>
      </c>
      <c r="I106" s="527">
        <f t="shared" si="48"/>
        <v>400000</v>
      </c>
      <c r="J106" s="527">
        <f t="shared" si="48"/>
        <v>400000</v>
      </c>
      <c r="K106" s="527">
        <f t="shared" si="48"/>
        <v>400000</v>
      </c>
      <c r="L106" s="527">
        <f t="shared" si="48"/>
        <v>400000</v>
      </c>
      <c r="M106" s="527">
        <f t="shared" si="48"/>
        <v>400000</v>
      </c>
      <c r="N106" s="527">
        <f t="shared" si="48"/>
        <v>400000</v>
      </c>
      <c r="O106" s="528">
        <f t="shared" si="48"/>
        <v>400000</v>
      </c>
      <c r="P106" s="1058"/>
      <c r="Q106" s="1043">
        <f t="shared" ca="1" si="4"/>
        <v>4800000</v>
      </c>
      <c r="R106" s="1339"/>
      <c r="S106" s="527">
        <f t="shared" ca="1" si="42"/>
        <v>400000</v>
      </c>
      <c r="T106" s="1429"/>
      <c r="U106" s="1033">
        <f t="shared" ca="1" si="47"/>
        <v>4800000</v>
      </c>
      <c r="V106" s="1353"/>
      <c r="W106" s="999">
        <v>0.1</v>
      </c>
    </row>
    <row r="107" spans="1:23" ht="14.1" hidden="1" customHeight="1" outlineLevel="1" thickBot="1" x14ac:dyDescent="0.2">
      <c r="A107" s="2187"/>
      <c r="B107" s="2189"/>
      <c r="C107" s="534" t="s">
        <v>32</v>
      </c>
      <c r="D107" s="535">
        <f t="shared" ref="D107:O107" si="49">D102-(D103+D105+D106)</f>
        <v>305914</v>
      </c>
      <c r="E107" s="536">
        <f t="shared" si="49"/>
        <v>86118</v>
      </c>
      <c r="F107" s="536">
        <f t="shared" si="49"/>
        <v>251412</v>
      </c>
      <c r="G107" s="536">
        <f t="shared" si="49"/>
        <v>63266.934462866397</v>
      </c>
      <c r="H107" s="536">
        <f t="shared" si="49"/>
        <v>-166265</v>
      </c>
      <c r="I107" s="536">
        <f t="shared" si="49"/>
        <v>-112687</v>
      </c>
      <c r="J107" s="536">
        <f t="shared" si="49"/>
        <v>-113518</v>
      </c>
      <c r="K107" s="536">
        <f t="shared" si="49"/>
        <v>-18487</v>
      </c>
      <c r="L107" s="536">
        <f t="shared" si="49"/>
        <v>476578</v>
      </c>
      <c r="M107" s="536">
        <f t="shared" si="49"/>
        <v>-382963</v>
      </c>
      <c r="N107" s="536">
        <f t="shared" si="49"/>
        <v>237097</v>
      </c>
      <c r="O107" s="537">
        <f t="shared" si="49"/>
        <v>3628</v>
      </c>
      <c r="P107" s="1057">
        <f ca="1">IF(R107&gt;=0,1,IF(R107&lt;-0.1,-1,0))</f>
        <v>1</v>
      </c>
      <c r="Q107" s="1045">
        <f t="shared" ca="1" si="4"/>
        <v>630093.9344628664</v>
      </c>
      <c r="R107" s="1343">
        <f ca="1">IF(Q101=0,1-(Q103+Q105+Q106)/Q102,IF(Q101=Q107,0,ROUND((Q107-Q101)/ABS(Q101),3)))</f>
        <v>3.8130000000000002</v>
      </c>
      <c r="S107" s="536">
        <f t="shared" ca="1" si="42"/>
        <v>52507.827871905531</v>
      </c>
      <c r="T107" s="1374">
        <f ca="1">IF(V107&gt;=0,1,IF(V107&lt;-0.1,-1,0))</f>
        <v>1</v>
      </c>
      <c r="U107" s="1034">
        <f t="shared" ca="1" si="47"/>
        <v>630093.9344628664</v>
      </c>
      <c r="V107" s="1358">
        <f ca="1">IF(U101=0,1-(U103+U105+U106)/U102,IF(U101=U107,0,ROUND((U107-U101)/ABS(U101),3)))</f>
        <v>3.8130000000000002</v>
      </c>
      <c r="W107" s="999">
        <v>0.1</v>
      </c>
    </row>
    <row r="108" spans="1:23" ht="14.1" hidden="1" customHeight="1" outlineLevel="1" thickBot="1" x14ac:dyDescent="0.2">
      <c r="A108" s="2186" t="s">
        <v>189</v>
      </c>
      <c r="B108" s="2188" t="s">
        <v>443</v>
      </c>
      <c r="C108" s="502" t="s">
        <v>26</v>
      </c>
      <c r="D108" s="503">
        <f>'事業所損益管理(H29.9～H30.8)収支計画表'!F94</f>
        <v>1068000</v>
      </c>
      <c r="E108" s="504">
        <f>'事業所損益管理(H29.9～H30.8)収支計画表'!G94</f>
        <v>1068000</v>
      </c>
      <c r="F108" s="504">
        <f>'事業所損益管理(H29.9～H30.8)収支計画表'!H94</f>
        <v>1068000</v>
      </c>
      <c r="G108" s="504">
        <f>'事業所損益管理(H29.9～H30.8)収支計画表'!I94</f>
        <v>1068000</v>
      </c>
      <c r="H108" s="504">
        <f>'事業所損益管理(H29.9～H30.8)収支計画表'!J94</f>
        <v>1068000</v>
      </c>
      <c r="I108" s="504">
        <f>'事業所損益管理(H29.9～H30.8)収支計画表'!K94</f>
        <v>1068000</v>
      </c>
      <c r="J108" s="504">
        <f>'事業所損益管理(H29.9～H30.8)収支計画表'!L94</f>
        <v>1068000</v>
      </c>
      <c r="K108" s="504">
        <f>'事業所損益管理(H29.9～H30.8)収支計画表'!M94</f>
        <v>1068000</v>
      </c>
      <c r="L108" s="504">
        <f>'事業所損益管理(H29.9～H30.8)収支計画表'!N94</f>
        <v>1068000</v>
      </c>
      <c r="M108" s="504">
        <f>'事業所損益管理(H29.9～H30.8)収支計画表'!O94</f>
        <v>1068000</v>
      </c>
      <c r="N108" s="504">
        <f>'事業所損益管理(H29.9～H30.8)収支計画表'!P94</f>
        <v>1068000</v>
      </c>
      <c r="O108" s="505">
        <f>'事業所損益管理(H29.9～H30.8)収支計画表'!Q94</f>
        <v>1068000</v>
      </c>
      <c r="P108" s="1049"/>
      <c r="Q108" s="1039">
        <f t="shared" ca="1" si="4"/>
        <v>12816000</v>
      </c>
      <c r="R108" s="1338"/>
      <c r="S108" s="506">
        <f t="shared" ca="1" si="42"/>
        <v>1068000</v>
      </c>
      <c r="T108" s="1035"/>
      <c r="U108" s="1035">
        <f t="shared" ref="U108:U113" si="50">SUM(D108:O108)</f>
        <v>12816000</v>
      </c>
      <c r="V108" s="1352"/>
    </row>
    <row r="109" spans="1:23" ht="14.1" hidden="1" customHeight="1" outlineLevel="1" thickBot="1" x14ac:dyDescent="0.2">
      <c r="A109" s="2187"/>
      <c r="B109" s="2188"/>
      <c r="C109" s="508" t="s">
        <v>15</v>
      </c>
      <c r="D109" s="509">
        <f>'事業所損益管理(H29.9～H30.8)収支計画表'!F95</f>
        <v>350000</v>
      </c>
      <c r="E109" s="510">
        <f>'事業所損益管理(H29.9～H30.8)収支計画表'!G95</f>
        <v>350000</v>
      </c>
      <c r="F109" s="510">
        <f>'事業所損益管理(H29.9～H30.8)収支計画表'!H95</f>
        <v>350000</v>
      </c>
      <c r="G109" s="510">
        <f>'事業所損益管理(H29.9～H30.8)収支計画表'!I95</f>
        <v>400000</v>
      </c>
      <c r="H109" s="510">
        <f>'事業所損益管理(H29.9～H30.8)収支計画表'!J95</f>
        <v>350000</v>
      </c>
      <c r="I109" s="510">
        <f>'事業所損益管理(H29.9～H30.8)収支計画表'!K95</f>
        <v>350000</v>
      </c>
      <c r="J109" s="510">
        <f>'事業所損益管理(H29.9～H30.8)収支計画表'!L95</f>
        <v>350000</v>
      </c>
      <c r="K109" s="510">
        <f>'事業所損益管理(H29.9～H30.8)収支計画表'!M95</f>
        <v>350000</v>
      </c>
      <c r="L109" s="510">
        <f>'事業所損益管理(H29.9～H30.8)収支計画表'!N95</f>
        <v>350000</v>
      </c>
      <c r="M109" s="510">
        <f>'事業所損益管理(H29.9～H30.8)収支計画表'!O95</f>
        <v>400000</v>
      </c>
      <c r="N109" s="510">
        <f>'事業所損益管理(H29.9～H30.8)収支計画表'!P95</f>
        <v>350000</v>
      </c>
      <c r="O109" s="511">
        <f>'事業所損益管理(H29.9～H30.8)収支計画表'!Q95</f>
        <v>350000</v>
      </c>
      <c r="P109" s="1050"/>
      <c r="Q109" s="1040">
        <f t="shared" ca="1" si="4"/>
        <v>4300000</v>
      </c>
      <c r="R109" s="1339"/>
      <c r="S109" s="512">
        <f t="shared" ca="1" si="42"/>
        <v>358333.33333333331</v>
      </c>
      <c r="T109" s="1036"/>
      <c r="U109" s="1036">
        <f t="shared" si="50"/>
        <v>4300000</v>
      </c>
      <c r="V109" s="1353"/>
    </row>
    <row r="110" spans="1:23" ht="14.1" hidden="1" customHeight="1" outlineLevel="1" thickBot="1" x14ac:dyDescent="0.2">
      <c r="A110" s="2187"/>
      <c r="B110" s="2188"/>
      <c r="C110" s="514" t="s">
        <v>447</v>
      </c>
      <c r="D110" s="509">
        <f>'事業所損益管理(H29.9～H30.8)収支計画表'!F96</f>
        <v>50000</v>
      </c>
      <c r="E110" s="510">
        <f>'事業所損益管理(H29.9～H30.8)収支計画表'!G96</f>
        <v>0</v>
      </c>
      <c r="F110" s="510">
        <f>'事業所損益管理(H29.9～H30.8)収支計画表'!H96</f>
        <v>0</v>
      </c>
      <c r="G110" s="510">
        <f>'事業所損益管理(H29.9～H30.8)収支計画表'!I96</f>
        <v>0</v>
      </c>
      <c r="H110" s="510">
        <f>'事業所損益管理(H29.9～H30.8)収支計画表'!J96</f>
        <v>0</v>
      </c>
      <c r="I110" s="510">
        <f>'事業所損益管理(H29.9～H30.8)収支計画表'!K96</f>
        <v>0</v>
      </c>
      <c r="J110" s="510">
        <f>'事業所損益管理(H29.9～H30.8)収支計画表'!L96</f>
        <v>50000</v>
      </c>
      <c r="K110" s="510">
        <f>'事業所損益管理(H29.9～H30.8)収支計画表'!M96</f>
        <v>0</v>
      </c>
      <c r="L110" s="510">
        <f>'事業所損益管理(H29.9～H30.8)収支計画表'!N96</f>
        <v>0</v>
      </c>
      <c r="M110" s="510">
        <f>'事業所損益管理(H29.9～H30.8)収支計画表'!O96</f>
        <v>0</v>
      </c>
      <c r="N110" s="510">
        <f>'事業所損益管理(H29.9～H30.8)収支計画表'!P96</f>
        <v>0</v>
      </c>
      <c r="O110" s="511">
        <f>'事業所損益管理(H29.9～H30.8)収支計画表'!Q96</f>
        <v>0</v>
      </c>
      <c r="P110" s="1050"/>
      <c r="Q110" s="1040">
        <f t="shared" ca="1" si="4"/>
        <v>100000</v>
      </c>
      <c r="R110" s="1339"/>
      <c r="S110" s="512">
        <f t="shared" ca="1" si="42"/>
        <v>8333.3333333333339</v>
      </c>
      <c r="T110" s="1036"/>
      <c r="U110" s="1036">
        <f t="shared" si="50"/>
        <v>100000</v>
      </c>
      <c r="V110" s="1353"/>
    </row>
    <row r="111" spans="1:23" ht="14.1" hidden="1" customHeight="1" outlineLevel="1" thickBot="1" x14ac:dyDescent="0.2">
      <c r="A111" s="2187"/>
      <c r="B111" s="2188"/>
      <c r="C111" s="508" t="s">
        <v>35</v>
      </c>
      <c r="D111" s="509">
        <f>'事業所損益管理(H29.9～H30.8)収支計画表'!F97</f>
        <v>250000</v>
      </c>
      <c r="E111" s="510">
        <f>'事業所損益管理(H29.9～H30.8)収支計画表'!G97</f>
        <v>250000</v>
      </c>
      <c r="F111" s="510">
        <f>'事業所損益管理(H29.9～H30.8)収支計画表'!H97</f>
        <v>250000</v>
      </c>
      <c r="G111" s="510">
        <f>'事業所損益管理(H29.9～H30.8)収支計画表'!I97</f>
        <v>250000</v>
      </c>
      <c r="H111" s="510">
        <f>'事業所損益管理(H29.9～H30.8)収支計画表'!J97</f>
        <v>250000</v>
      </c>
      <c r="I111" s="510">
        <f>'事業所損益管理(H29.9～H30.8)収支計画表'!K97</f>
        <v>250000</v>
      </c>
      <c r="J111" s="510">
        <f>'事業所損益管理(H29.9～H30.8)収支計画表'!L97</f>
        <v>250000</v>
      </c>
      <c r="K111" s="510">
        <f>'事業所損益管理(H29.9～H30.8)収支計画表'!M97</f>
        <v>250000</v>
      </c>
      <c r="L111" s="510">
        <f>'事業所損益管理(H29.9～H30.8)収支計画表'!N97</f>
        <v>250000</v>
      </c>
      <c r="M111" s="510">
        <f>'事業所損益管理(H29.9～H30.8)収支計画表'!O97</f>
        <v>250000</v>
      </c>
      <c r="N111" s="510">
        <f>'事業所損益管理(H29.9～H30.8)収支計画表'!P97</f>
        <v>250000</v>
      </c>
      <c r="O111" s="511">
        <f>'事業所損益管理(H29.9～H30.8)収支計画表'!Q97</f>
        <v>250000</v>
      </c>
      <c r="P111" s="1050"/>
      <c r="Q111" s="1040">
        <f t="shared" ca="1" si="4"/>
        <v>3000000</v>
      </c>
      <c r="R111" s="1339"/>
      <c r="S111" s="512">
        <f t="shared" ca="1" si="42"/>
        <v>250000</v>
      </c>
      <c r="T111" s="1036"/>
      <c r="U111" s="1036">
        <f t="shared" si="50"/>
        <v>3000000</v>
      </c>
      <c r="V111" s="1353"/>
    </row>
    <row r="112" spans="1:23" ht="14.1" hidden="1" customHeight="1" outlineLevel="1" thickBot="1" x14ac:dyDescent="0.2">
      <c r="A112" s="2187"/>
      <c r="B112" s="2188"/>
      <c r="C112" s="523" t="s">
        <v>495</v>
      </c>
      <c r="D112" s="524">
        <v>400000</v>
      </c>
      <c r="E112" s="525">
        <v>400000</v>
      </c>
      <c r="F112" s="525">
        <v>400000</v>
      </c>
      <c r="G112" s="525">
        <v>400000</v>
      </c>
      <c r="H112" s="525">
        <v>400000</v>
      </c>
      <c r="I112" s="525">
        <v>400000</v>
      </c>
      <c r="J112" s="525">
        <v>400000</v>
      </c>
      <c r="K112" s="525">
        <v>400000</v>
      </c>
      <c r="L112" s="525">
        <v>400000</v>
      </c>
      <c r="M112" s="525">
        <v>400000</v>
      </c>
      <c r="N112" s="525">
        <v>400000</v>
      </c>
      <c r="O112" s="526">
        <v>400000</v>
      </c>
      <c r="P112" s="1051"/>
      <c r="Q112" s="1043">
        <f t="shared" ca="1" si="4"/>
        <v>4800000</v>
      </c>
      <c r="R112" s="1339"/>
      <c r="S112" s="527">
        <f t="shared" ca="1" si="42"/>
        <v>400000</v>
      </c>
      <c r="T112" s="1033"/>
      <c r="U112" s="1033">
        <f t="shared" si="50"/>
        <v>4800000</v>
      </c>
      <c r="V112" s="1353"/>
    </row>
    <row r="113" spans="1:23" ht="14.1" hidden="1" customHeight="1" outlineLevel="1" thickBot="1" x14ac:dyDescent="0.2">
      <c r="A113" s="2187"/>
      <c r="B113" s="2188"/>
      <c r="C113" s="529" t="s">
        <v>32</v>
      </c>
      <c r="D113" s="530">
        <f t="shared" ref="D113:O113" si="51">D108-(D109+D111+D112)</f>
        <v>68000</v>
      </c>
      <c r="E113" s="531">
        <f t="shared" si="51"/>
        <v>68000</v>
      </c>
      <c r="F113" s="531">
        <f t="shared" si="51"/>
        <v>68000</v>
      </c>
      <c r="G113" s="531">
        <f t="shared" si="51"/>
        <v>18000</v>
      </c>
      <c r="H113" s="531">
        <f t="shared" si="51"/>
        <v>68000</v>
      </c>
      <c r="I113" s="531">
        <f t="shared" si="51"/>
        <v>68000</v>
      </c>
      <c r="J113" s="531">
        <f t="shared" si="51"/>
        <v>68000</v>
      </c>
      <c r="K113" s="531">
        <f t="shared" si="51"/>
        <v>68000</v>
      </c>
      <c r="L113" s="531">
        <f t="shared" si="51"/>
        <v>68000</v>
      </c>
      <c r="M113" s="531">
        <f t="shared" si="51"/>
        <v>18000</v>
      </c>
      <c r="N113" s="531">
        <f t="shared" si="51"/>
        <v>68000</v>
      </c>
      <c r="O113" s="532">
        <f t="shared" si="51"/>
        <v>68000</v>
      </c>
      <c r="P113" s="1052"/>
      <c r="Q113" s="1044">
        <f t="shared" ca="1" si="4"/>
        <v>716000</v>
      </c>
      <c r="R113" s="1340"/>
      <c r="S113" s="531">
        <f t="shared" ca="1" si="42"/>
        <v>59666.666666666664</v>
      </c>
      <c r="T113" s="1032"/>
      <c r="U113" s="1032">
        <f t="shared" si="50"/>
        <v>716000</v>
      </c>
      <c r="V113" s="1355"/>
    </row>
    <row r="114" spans="1:23" ht="14.1" hidden="1" customHeight="1" outlineLevel="1" thickBot="1" x14ac:dyDescent="0.2">
      <c r="A114" s="2187"/>
      <c r="B114" s="2164" t="s">
        <v>444</v>
      </c>
      <c r="C114" s="515" t="s">
        <v>26</v>
      </c>
      <c r="D114" s="516">
        <f>'事業所損益管理(H29.9～H30.8)収支計画表'!F99</f>
        <v>1015378</v>
      </c>
      <c r="E114" s="517">
        <f>'事業所損益管理(H29.9～H30.8)収支計画表'!G99</f>
        <v>1061492</v>
      </c>
      <c r="F114" s="517">
        <f>'事業所損益管理(H29.9～H30.8)収支計画表'!H99</f>
        <v>1000792</v>
      </c>
      <c r="G114" s="517">
        <f>'事業所損益管理(H29.9～H30.8)収支計画表'!I99</f>
        <v>1061492</v>
      </c>
      <c r="H114" s="517">
        <f>'事業所損益管理(H29.9～H30.8)収支計画表'!J99</f>
        <v>1016092</v>
      </c>
      <c r="I114" s="517">
        <f>'事業所損益管理(H29.9～H30.8)収支計画表'!K99</f>
        <v>939922</v>
      </c>
      <c r="J114" s="517">
        <f>'事業所損益管理(H29.9～H30.8)収支計画表'!L99</f>
        <v>1205836</v>
      </c>
      <c r="K114" s="517">
        <f>'事業所損益管理(H29.9～H30.8)収支計画表'!M99</f>
        <v>1038460</v>
      </c>
      <c r="L114" s="517">
        <f>'事業所損益管理(H29.9～H30.8)収支計画表'!N99</f>
        <v>1150795</v>
      </c>
      <c r="M114" s="517">
        <f>'事業所損益管理(H29.9～H30.8)収支計画表'!O99</f>
        <v>1054056</v>
      </c>
      <c r="N114" s="517">
        <f>'事業所損益管理(H29.9～H30.8)収支計画表'!P99</f>
        <v>1085268</v>
      </c>
      <c r="O114" s="518">
        <f>'事業所損益管理(H29.9～H30.8)収支計画表'!Q99</f>
        <v>923999</v>
      </c>
      <c r="P114" s="1055">
        <f ca="1">IF(R114&gt;=1,1,IF(R114&lt;0.9,-1,0))</f>
        <v>0</v>
      </c>
      <c r="Q114" s="1041">
        <f t="shared" ca="1" si="4"/>
        <v>12553582</v>
      </c>
      <c r="R114" s="1341">
        <f ca="1">IF(Q108&lt;0,ROUND((Q114-Q108)/ABS(Q108),3),IF(Q108=0,0,ROUND(Q114/Q108,3)))</f>
        <v>0.98</v>
      </c>
      <c r="S114" s="517">
        <f t="shared" ca="1" si="42"/>
        <v>1046131.8333333334</v>
      </c>
      <c r="T114" s="1372">
        <f ca="1">IF(V114&gt;=1,1,IF(V114&lt;0.9,-1,0))</f>
        <v>0</v>
      </c>
      <c r="U114" s="1030">
        <f t="shared" ref="U114:U119" ca="1" si="52">Q114+(12-IF(ISERROR(MATCH(DATE(YEAR($E$1),MONTH($E$1),1),$D$2:$O$2,0)),0,MATCH(DATE(YEAR($E$1),MONTH($E$1),1),$D$2:$O$2,0)))*S114</f>
        <v>12553582</v>
      </c>
      <c r="V114" s="1356">
        <f ca="1">IF(U108&lt;0,ROUND((U114-U108)/ABS(U108),3),IF(U108=0,0,ROUND(U114/U108,3)))</f>
        <v>0.98</v>
      </c>
      <c r="W114" s="999">
        <v>0.1</v>
      </c>
    </row>
    <row r="115" spans="1:23" ht="14.1" hidden="1" customHeight="1" outlineLevel="1" thickBot="1" x14ac:dyDescent="0.2">
      <c r="A115" s="2187"/>
      <c r="B115" s="2164"/>
      <c r="C115" s="519" t="s">
        <v>15</v>
      </c>
      <c r="D115" s="520">
        <f>'事業所損益管理(H29.9～H30.8)収支計画表'!F100</f>
        <v>352925</v>
      </c>
      <c r="E115" s="521">
        <f>'事業所損益管理(H29.9～H30.8)収支計画表'!G100</f>
        <v>360225</v>
      </c>
      <c r="F115" s="521">
        <f>'事業所損益管理(H29.9～H30.8)収支計画表'!H100</f>
        <v>332700</v>
      </c>
      <c r="G115" s="521">
        <f>'事業所損益管理(H29.9～H30.8)収支計画表'!I100</f>
        <v>366550</v>
      </c>
      <c r="H115" s="521">
        <f>'事業所損益管理(H29.9～H30.8)収支計画表'!J100</f>
        <v>285100</v>
      </c>
      <c r="I115" s="521">
        <f>'事業所損益管理(H29.9～H30.8)収支計画表'!K100</f>
        <v>254875</v>
      </c>
      <c r="J115" s="521">
        <f>'事業所損益管理(H29.9～H30.8)収支計画表'!L100</f>
        <v>301575</v>
      </c>
      <c r="K115" s="521">
        <f>'事業所損益管理(H29.9～H30.8)収支計画表'!M100</f>
        <v>285775</v>
      </c>
      <c r="L115" s="521">
        <f>'事業所損益管理(H29.9～H30.8)収支計画表'!N100</f>
        <v>303275</v>
      </c>
      <c r="M115" s="521">
        <f>'事業所損益管理(H29.9～H30.8)収支計画表'!O100</f>
        <v>299100</v>
      </c>
      <c r="N115" s="521">
        <f>'事業所損益管理(H29.9～H30.8)収支計画表'!P100</f>
        <v>302725</v>
      </c>
      <c r="O115" s="522">
        <f>'事業所損益管理(H29.9～H30.8)収支計画表'!Q100</f>
        <v>307500</v>
      </c>
      <c r="P115" s="1056">
        <f ca="1">IF(R115&lt;=1,1,IF(R115&gt;1.1,-1,0))</f>
        <v>1</v>
      </c>
      <c r="Q115" s="1042">
        <f t="shared" ca="1" si="4"/>
        <v>3752325</v>
      </c>
      <c r="R115" s="1342">
        <f ca="1">IF(Q109&lt;0,ROUND((Q115-Q109)/ABS(Q109),3),IF(Q109=0,0,ROUND(Q115/Q109,3)))</f>
        <v>0.873</v>
      </c>
      <c r="S115" s="521">
        <f t="shared" ca="1" si="42"/>
        <v>312693.75</v>
      </c>
      <c r="T115" s="1373">
        <f ca="1">IF(V115&lt;=1,1,IF(V115&gt;1.1,-1,0))</f>
        <v>1</v>
      </c>
      <c r="U115" s="1031">
        <f t="shared" ca="1" si="52"/>
        <v>3752325</v>
      </c>
      <c r="V115" s="1357">
        <f ca="1">IF(U109&lt;0,ROUND((U115-U109)/ABS(U109),3),IF(U109=0,0,ROUND(U115/U109,3)))</f>
        <v>0.873</v>
      </c>
      <c r="W115" s="999">
        <v>0.1</v>
      </c>
    </row>
    <row r="116" spans="1:23" ht="14.1" hidden="1" customHeight="1" outlineLevel="1" thickBot="1" x14ac:dyDescent="0.2">
      <c r="A116" s="2187"/>
      <c r="B116" s="2164"/>
      <c r="C116" s="450" t="s">
        <v>448</v>
      </c>
      <c r="D116" s="520">
        <f>'事業所損益管理(H29.9～H30.8)収支計画表'!F101</f>
        <v>12420</v>
      </c>
      <c r="E116" s="521">
        <f>'事業所損益管理(H29.9～H30.8)収支計画表'!G101</f>
        <v>0</v>
      </c>
      <c r="F116" s="521">
        <f>'事業所損益管理(H29.9～H30.8)収支計画表'!H101</f>
        <v>0</v>
      </c>
      <c r="G116" s="521">
        <f>'事業所損益管理(H29.9～H30.8)収支計画表'!I101</f>
        <v>0</v>
      </c>
      <c r="H116" s="521">
        <f>'事業所損益管理(H29.9～H30.8)収支計画表'!J101</f>
        <v>0</v>
      </c>
      <c r="I116" s="521">
        <f>'事業所損益管理(H29.9～H30.8)収支計画表'!K101</f>
        <v>0</v>
      </c>
      <c r="J116" s="521">
        <f>'事業所損益管理(H29.9～H30.8)収支計画表'!L101</f>
        <v>17280</v>
      </c>
      <c r="K116" s="521">
        <f>'事業所損益管理(H29.9～H30.8)収支計画表'!M101</f>
        <v>0</v>
      </c>
      <c r="L116" s="521">
        <f>'事業所損益管理(H29.9～H30.8)収支計画表'!N101</f>
        <v>0</v>
      </c>
      <c r="M116" s="521">
        <f>'事業所損益管理(H29.9～H30.8)収支計画表'!O101</f>
        <v>0</v>
      </c>
      <c r="N116" s="521">
        <f>'事業所損益管理(H29.9～H30.8)収支計画表'!P101</f>
        <v>0</v>
      </c>
      <c r="O116" s="522">
        <f>'事業所損益管理(H29.9～H30.8)収支計画表'!Q101</f>
        <v>0</v>
      </c>
      <c r="P116" s="1056">
        <f ca="1">IF(R116&lt;=1,1,IF(R116&gt;1.1,-1,0))</f>
        <v>1</v>
      </c>
      <c r="Q116" s="1042">
        <f ca="1">SUM(OFFSET(D116,0,0,1,IF(ISERROR(MATCH(DATE(YEAR($E$1),MONTH($E$1),1),$D$2:$O$2,0)),0,MATCH(DATE(YEAR($E$1),MONTH($E$1),1),$D$2:$O$2,0))))</f>
        <v>29700</v>
      </c>
      <c r="R116" s="1342">
        <f ca="1">IF(Q110&lt;0,ROUND((Q116-Q110)/ABS(Q110),3),IF(Q110=0,0,ROUND(Q116/Q110,3)))</f>
        <v>0.29699999999999999</v>
      </c>
      <c r="S116" s="521">
        <f t="shared" ca="1" si="42"/>
        <v>2475</v>
      </c>
      <c r="T116" s="1373">
        <f ca="1">IF(V116&lt;=1,1,IF(V116&gt;1.1,-1,0))</f>
        <v>1</v>
      </c>
      <c r="U116" s="1031">
        <f t="shared" ca="1" si="52"/>
        <v>29700</v>
      </c>
      <c r="V116" s="1357">
        <f ca="1">IF(U110&lt;0,ROUND((U116-U110)/ABS(U110),3),IF(U110=0,0,ROUND(U116/U110,3)))</f>
        <v>0.29699999999999999</v>
      </c>
      <c r="W116" s="999">
        <v>0.1</v>
      </c>
    </row>
    <row r="117" spans="1:23" ht="14.1" hidden="1" customHeight="1" outlineLevel="1" thickBot="1" x14ac:dyDescent="0.2">
      <c r="A117" s="2187"/>
      <c r="B117" s="2164"/>
      <c r="C117" s="519" t="s">
        <v>35</v>
      </c>
      <c r="D117" s="520">
        <f>'事業所損益管理(H29.9～H30.8)収支計画表'!F102</f>
        <v>265479</v>
      </c>
      <c r="E117" s="521">
        <f>'事業所損益管理(H29.9～H30.8)収支計画表'!G102</f>
        <v>183340</v>
      </c>
      <c r="F117" s="521">
        <f>'事業所損益管理(H29.9～H30.8)収支計画表'!H102</f>
        <v>233991</v>
      </c>
      <c r="G117" s="521">
        <f>'事業所損益管理(H29.9～H30.8)収支計画表'!I102</f>
        <v>175504</v>
      </c>
      <c r="H117" s="521">
        <f>'事業所損益管理(H29.9～H30.8)収支計画表'!J102</f>
        <v>179603</v>
      </c>
      <c r="I117" s="521">
        <f>'事業所損益管理(H29.9～H30.8)収支計画表'!K102</f>
        <v>178705</v>
      </c>
      <c r="J117" s="521">
        <f>'事業所損益管理(H29.9～H30.8)収支計画表'!L102</f>
        <v>322423</v>
      </c>
      <c r="K117" s="521">
        <f>'事業所損益管理(H29.9～H30.8)収支計画表'!M102</f>
        <v>182111</v>
      </c>
      <c r="L117" s="521">
        <f>'事業所損益管理(H29.9～H30.8)収支計画表'!N102</f>
        <v>184675</v>
      </c>
      <c r="M117" s="521">
        <f>'事業所損益管理(H29.9～H30.8)収支計画表'!O102</f>
        <v>176539</v>
      </c>
      <c r="N117" s="521">
        <f>'事業所損益管理(H29.9～H30.8)収支計画表'!P102</f>
        <v>173186</v>
      </c>
      <c r="O117" s="522">
        <f>'事業所損益管理(H29.9～H30.8)収支計画表'!Q102</f>
        <v>155590</v>
      </c>
      <c r="P117" s="1056">
        <f ca="1">IF(R117&lt;=1,1,IF(R117&gt;1.1,-1,0))</f>
        <v>1</v>
      </c>
      <c r="Q117" s="1042">
        <f t="shared" ca="1" si="4"/>
        <v>2411146</v>
      </c>
      <c r="R117" s="1342">
        <f ca="1">IF(Q111&lt;0,ROUND((Q117-Q111)/ABS(Q111),3),IF(Q111=0,0,ROUND(Q117/Q111,3)))</f>
        <v>0.80400000000000005</v>
      </c>
      <c r="S117" s="521">
        <f t="shared" ca="1" si="42"/>
        <v>200928.83333333334</v>
      </c>
      <c r="T117" s="1373">
        <f ca="1">IF(V117&lt;=1,1,IF(V117&gt;1.1,-1,0))</f>
        <v>1</v>
      </c>
      <c r="U117" s="1031">
        <f t="shared" ca="1" si="52"/>
        <v>2411146</v>
      </c>
      <c r="V117" s="1357">
        <f ca="1">IF(U111&lt;0,ROUND((U117-U111)/ABS(U111),3),IF(U111=0,0,ROUND(U117/U111,3)))</f>
        <v>0.80400000000000005</v>
      </c>
      <c r="W117" s="999">
        <v>0.1</v>
      </c>
    </row>
    <row r="118" spans="1:23" ht="14.1" hidden="1" customHeight="1" outlineLevel="1" thickBot="1" x14ac:dyDescent="0.2">
      <c r="A118" s="2187"/>
      <c r="B118" s="2164"/>
      <c r="C118" s="523" t="s">
        <v>495</v>
      </c>
      <c r="D118" s="533">
        <f>IF(D115=0,0,D112)</f>
        <v>400000</v>
      </c>
      <c r="E118" s="527">
        <f>IF(E115=0,0,E112)</f>
        <v>400000</v>
      </c>
      <c r="F118" s="527">
        <f t="shared" ref="F118:O118" si="53">IF(F115=0,0,F112)</f>
        <v>400000</v>
      </c>
      <c r="G118" s="527">
        <f t="shared" si="53"/>
        <v>400000</v>
      </c>
      <c r="H118" s="527">
        <f t="shared" si="53"/>
        <v>400000</v>
      </c>
      <c r="I118" s="527">
        <f t="shared" si="53"/>
        <v>400000</v>
      </c>
      <c r="J118" s="527">
        <f t="shared" si="53"/>
        <v>400000</v>
      </c>
      <c r="K118" s="527">
        <f t="shared" si="53"/>
        <v>400000</v>
      </c>
      <c r="L118" s="527">
        <f t="shared" si="53"/>
        <v>400000</v>
      </c>
      <c r="M118" s="527">
        <f t="shared" si="53"/>
        <v>400000</v>
      </c>
      <c r="N118" s="527">
        <f t="shared" si="53"/>
        <v>400000</v>
      </c>
      <c r="O118" s="528">
        <f t="shared" si="53"/>
        <v>400000</v>
      </c>
      <c r="P118" s="1058"/>
      <c r="Q118" s="1043">
        <f ca="1">SUM(OFFSET(D118,0,0,1,IF(ISERROR(MATCH(DATE(YEAR($E$1),MONTH($E$1),1),$D$2:$O$2,0)),0,MATCH(DATE(YEAR($E$1),MONTH($E$1),1),$D$2:$O$2,0))))</f>
        <v>4800000</v>
      </c>
      <c r="R118" s="1339"/>
      <c r="S118" s="527">
        <f t="shared" ca="1" si="42"/>
        <v>400000</v>
      </c>
      <c r="T118" s="1429"/>
      <c r="U118" s="1033">
        <f t="shared" ca="1" si="52"/>
        <v>4800000</v>
      </c>
      <c r="V118" s="1353"/>
      <c r="W118" s="999">
        <v>0.1</v>
      </c>
    </row>
    <row r="119" spans="1:23" ht="14.1" hidden="1" customHeight="1" outlineLevel="1" thickBot="1" x14ac:dyDescent="0.2">
      <c r="A119" s="2187"/>
      <c r="B119" s="2189"/>
      <c r="C119" s="534" t="s">
        <v>32</v>
      </c>
      <c r="D119" s="535">
        <f t="shared" ref="D119:O119" si="54">D114-(D115+D117+D118)</f>
        <v>-3026</v>
      </c>
      <c r="E119" s="536">
        <f t="shared" si="54"/>
        <v>117927</v>
      </c>
      <c r="F119" s="536">
        <f t="shared" si="54"/>
        <v>34101</v>
      </c>
      <c r="G119" s="536">
        <f t="shared" si="54"/>
        <v>119438</v>
      </c>
      <c r="H119" s="536">
        <f t="shared" si="54"/>
        <v>151389</v>
      </c>
      <c r="I119" s="536">
        <f t="shared" si="54"/>
        <v>106342</v>
      </c>
      <c r="J119" s="536">
        <f t="shared" si="54"/>
        <v>181838</v>
      </c>
      <c r="K119" s="536">
        <f t="shared" si="54"/>
        <v>170574</v>
      </c>
      <c r="L119" s="536">
        <f t="shared" si="54"/>
        <v>262845</v>
      </c>
      <c r="M119" s="536">
        <f t="shared" si="54"/>
        <v>178417</v>
      </c>
      <c r="N119" s="536">
        <f t="shared" si="54"/>
        <v>209357</v>
      </c>
      <c r="O119" s="537">
        <f t="shared" si="54"/>
        <v>60909</v>
      </c>
      <c r="P119" s="1057">
        <f ca="1">IF(R119&gt;=0,1,IF(R119&lt;-0.1,-1,0))</f>
        <v>1</v>
      </c>
      <c r="Q119" s="1045">
        <f t="shared" ca="1" si="4"/>
        <v>1590111</v>
      </c>
      <c r="R119" s="1343">
        <f ca="1">IF(Q113=0,1-(Q115+Q117+Q118)/Q114,IF(Q113=Q119,0,ROUND((Q119-Q113)/ABS(Q113),3)))</f>
        <v>1.2210000000000001</v>
      </c>
      <c r="S119" s="536">
        <f t="shared" ca="1" si="42"/>
        <v>132509.25</v>
      </c>
      <c r="T119" s="1374">
        <f ca="1">IF(V119&gt;=0,1,IF(V119&lt;-0.1,-1,0))</f>
        <v>1</v>
      </c>
      <c r="U119" s="1034">
        <f t="shared" ca="1" si="52"/>
        <v>1590111</v>
      </c>
      <c r="V119" s="1358">
        <f ca="1">IF(U113=0,1-(U115+U117+U118)/U114,IF(U113=U119,0,ROUND((U119-U113)/ABS(U113),3)))</f>
        <v>1.2210000000000001</v>
      </c>
      <c r="W119" s="999">
        <v>0.1</v>
      </c>
    </row>
    <row r="120" spans="1:23" ht="14.1" hidden="1" customHeight="1" outlineLevel="1" thickBot="1" x14ac:dyDescent="0.2">
      <c r="A120" s="2186" t="s">
        <v>329</v>
      </c>
      <c r="B120" s="2188" t="s">
        <v>443</v>
      </c>
      <c r="C120" s="502" t="s">
        <v>26</v>
      </c>
      <c r="D120" s="503">
        <f>'事業所損益管理(H29.9～H30.8)収支計画表'!F104</f>
        <v>2600000</v>
      </c>
      <c r="E120" s="504">
        <f>'事業所損益管理(H29.9～H30.8)収支計画表'!G104</f>
        <v>2650000</v>
      </c>
      <c r="F120" s="504">
        <f>'事業所損益管理(H29.9～H30.8)収支計画表'!H104</f>
        <v>2650000</v>
      </c>
      <c r="G120" s="504">
        <f>'事業所損益管理(H29.9～H30.8)収支計画表'!I104</f>
        <v>2650000</v>
      </c>
      <c r="H120" s="504">
        <f>'事業所損益管理(H29.9～H30.8)収支計画表'!J104</f>
        <v>2650000</v>
      </c>
      <c r="I120" s="504">
        <f>'事業所損益管理(H29.9～H30.8)収支計画表'!K104</f>
        <v>2650000</v>
      </c>
      <c r="J120" s="504">
        <f>'事業所損益管理(H29.9～H30.8)収支計画表'!L104</f>
        <v>2650000</v>
      </c>
      <c r="K120" s="504">
        <f>'事業所損益管理(H29.9～H30.8)収支計画表'!M104</f>
        <v>2650000</v>
      </c>
      <c r="L120" s="504">
        <f>'事業所損益管理(H29.9～H30.8)収支計画表'!N104</f>
        <v>2650000</v>
      </c>
      <c r="M120" s="504">
        <f>'事業所損益管理(H29.9～H30.8)収支計画表'!O104</f>
        <v>2650000</v>
      </c>
      <c r="N120" s="504">
        <f>'事業所損益管理(H29.9～H30.8)収支計画表'!P104</f>
        <v>2650000</v>
      </c>
      <c r="O120" s="505">
        <f>'事業所損益管理(H29.9～H30.8)収支計画表'!Q104</f>
        <v>2650000</v>
      </c>
      <c r="P120" s="1049"/>
      <c r="Q120" s="1039">
        <f t="shared" ca="1" si="4"/>
        <v>31750000</v>
      </c>
      <c r="R120" s="1338"/>
      <c r="S120" s="506">
        <f t="shared" ca="1" si="42"/>
        <v>2645833.3333333335</v>
      </c>
      <c r="T120" s="1035"/>
      <c r="U120" s="1035">
        <f t="shared" ref="U120:U125" si="55">SUM(D120:O120)</f>
        <v>31750000</v>
      </c>
      <c r="V120" s="1352"/>
    </row>
    <row r="121" spans="1:23" ht="14.1" hidden="1" customHeight="1" outlineLevel="1" thickBot="1" x14ac:dyDescent="0.2">
      <c r="A121" s="2187"/>
      <c r="B121" s="2188"/>
      <c r="C121" s="508" t="s">
        <v>15</v>
      </c>
      <c r="D121" s="509">
        <f>'事業所損益管理(H29.9～H30.8)収支計画表'!F105</f>
        <v>850000</v>
      </c>
      <c r="E121" s="510">
        <f>'事業所損益管理(H29.9～H30.8)収支計画表'!G105</f>
        <v>850000</v>
      </c>
      <c r="F121" s="510">
        <f>'事業所損益管理(H29.9～H30.8)収支計画表'!H105</f>
        <v>850000</v>
      </c>
      <c r="G121" s="510">
        <f>'事業所損益管理(H29.9～H30.8)収支計画表'!I105</f>
        <v>950000</v>
      </c>
      <c r="H121" s="510">
        <f>'事業所損益管理(H29.9～H30.8)収支計画表'!J105</f>
        <v>850000</v>
      </c>
      <c r="I121" s="510">
        <f>'事業所損益管理(H29.9～H30.8)収支計画表'!K105</f>
        <v>850000</v>
      </c>
      <c r="J121" s="510">
        <f>'事業所損益管理(H29.9～H30.8)収支計画表'!L105</f>
        <v>850000</v>
      </c>
      <c r="K121" s="510">
        <f>'事業所損益管理(H29.9～H30.8)収支計画表'!M105</f>
        <v>850000</v>
      </c>
      <c r="L121" s="510">
        <f>'事業所損益管理(H29.9～H30.8)収支計画表'!N105</f>
        <v>850000</v>
      </c>
      <c r="M121" s="510">
        <f>'事業所損益管理(H29.9～H30.8)収支計画表'!O105</f>
        <v>950000</v>
      </c>
      <c r="N121" s="510">
        <f>'事業所損益管理(H29.9～H30.8)収支計画表'!P105</f>
        <v>850000</v>
      </c>
      <c r="O121" s="511">
        <f>'事業所損益管理(H29.9～H30.8)収支計画表'!Q105</f>
        <v>850000</v>
      </c>
      <c r="P121" s="1050"/>
      <c r="Q121" s="1040">
        <f t="shared" ca="1" si="4"/>
        <v>10400000</v>
      </c>
      <c r="R121" s="1339"/>
      <c r="S121" s="512">
        <f t="shared" ca="1" si="42"/>
        <v>866666.66666666663</v>
      </c>
      <c r="T121" s="1036"/>
      <c r="U121" s="1036">
        <f t="shared" si="55"/>
        <v>10400000</v>
      </c>
      <c r="V121" s="1353"/>
    </row>
    <row r="122" spans="1:23" ht="14.1" hidden="1" customHeight="1" outlineLevel="1" thickBot="1" x14ac:dyDescent="0.2">
      <c r="A122" s="2187"/>
      <c r="B122" s="2188"/>
      <c r="C122" s="514" t="s">
        <v>447</v>
      </c>
      <c r="D122" s="509">
        <f>'事業所損益管理(H29.9～H30.8)収支計画表'!F106</f>
        <v>50000</v>
      </c>
      <c r="E122" s="510">
        <f>'事業所損益管理(H29.9～H30.8)収支計画表'!G106</f>
        <v>0</v>
      </c>
      <c r="F122" s="510">
        <f>'事業所損益管理(H29.9～H30.8)収支計画表'!H106</f>
        <v>0</v>
      </c>
      <c r="G122" s="510">
        <f>'事業所損益管理(H29.9～H30.8)収支計画表'!I106</f>
        <v>0</v>
      </c>
      <c r="H122" s="510">
        <f>'事業所損益管理(H29.9～H30.8)収支計画表'!J106</f>
        <v>0</v>
      </c>
      <c r="I122" s="510">
        <f>'事業所損益管理(H29.9～H30.8)収支計画表'!K106</f>
        <v>0</v>
      </c>
      <c r="J122" s="510">
        <f>'事業所損益管理(H29.9～H30.8)収支計画表'!L106</f>
        <v>50000</v>
      </c>
      <c r="K122" s="510">
        <f>'事業所損益管理(H29.9～H30.8)収支計画表'!M106</f>
        <v>0</v>
      </c>
      <c r="L122" s="510">
        <f>'事業所損益管理(H29.9～H30.8)収支計画表'!N106</f>
        <v>0</v>
      </c>
      <c r="M122" s="510">
        <f>'事業所損益管理(H29.9～H30.8)収支計画表'!O106</f>
        <v>0</v>
      </c>
      <c r="N122" s="510">
        <f>'事業所損益管理(H29.9～H30.8)収支計画表'!P106</f>
        <v>0</v>
      </c>
      <c r="O122" s="511">
        <f>'事業所損益管理(H29.9～H30.8)収支計画表'!Q106</f>
        <v>0</v>
      </c>
      <c r="P122" s="1050"/>
      <c r="Q122" s="1040">
        <f ca="1">SUM(OFFSET(D122,0,0,1,IF(ISERROR(MATCH(DATE(YEAR($E$1),MONTH($E$1),1),$D$2:$O$2,0)),0,MATCH(DATE(YEAR($E$1),MONTH($E$1),1),$D$2:$O$2,0))))</f>
        <v>100000</v>
      </c>
      <c r="R122" s="1339"/>
      <c r="S122" s="512">
        <f t="shared" ca="1" si="42"/>
        <v>8333.3333333333339</v>
      </c>
      <c r="T122" s="1036"/>
      <c r="U122" s="1036">
        <f t="shared" si="55"/>
        <v>100000</v>
      </c>
      <c r="V122" s="1353"/>
    </row>
    <row r="123" spans="1:23" ht="14.1" hidden="1" customHeight="1" outlineLevel="1" thickBot="1" x14ac:dyDescent="0.2">
      <c r="A123" s="2187"/>
      <c r="B123" s="2188"/>
      <c r="C123" s="508" t="s">
        <v>35</v>
      </c>
      <c r="D123" s="509">
        <f>'事業所損益管理(H29.9～H30.8)収支計画表'!F107</f>
        <v>500000</v>
      </c>
      <c r="E123" s="510">
        <f>'事業所損益管理(H29.9～H30.8)収支計画表'!G107</f>
        <v>575400</v>
      </c>
      <c r="F123" s="510">
        <f>'事業所損益管理(H29.9～H30.8)収支計画表'!H107</f>
        <v>571800</v>
      </c>
      <c r="G123" s="510">
        <f>'事業所損益管理(H29.9～H30.8)収支計画表'!I107</f>
        <v>571800</v>
      </c>
      <c r="H123" s="510">
        <f>'事業所損益管理(H29.9～H30.8)収支計画表'!J107</f>
        <v>571800</v>
      </c>
      <c r="I123" s="510">
        <f>'事業所損益管理(H29.9～H30.8)収支計画表'!K107</f>
        <v>571800</v>
      </c>
      <c r="J123" s="510">
        <f>'事業所損益管理(H29.9～H30.8)収支計画表'!L107</f>
        <v>571800</v>
      </c>
      <c r="K123" s="510">
        <f>'事業所損益管理(H29.9～H30.8)収支計画表'!M107</f>
        <v>571800</v>
      </c>
      <c r="L123" s="510">
        <f>'事業所損益管理(H29.9～H30.8)収支計画表'!N107</f>
        <v>611300</v>
      </c>
      <c r="M123" s="510">
        <f>'事業所損益管理(H29.9～H30.8)収支計画表'!O107</f>
        <v>571800</v>
      </c>
      <c r="N123" s="510">
        <f>'事業所損益管理(H29.9～H30.8)収支計画表'!P107</f>
        <v>571800</v>
      </c>
      <c r="O123" s="511">
        <f>'事業所損益管理(H29.9～H30.8)収支計画表'!Q107</f>
        <v>571800</v>
      </c>
      <c r="P123" s="1050"/>
      <c r="Q123" s="1040">
        <f t="shared" ca="1" si="4"/>
        <v>6832900</v>
      </c>
      <c r="R123" s="1339"/>
      <c r="S123" s="512">
        <f t="shared" ca="1" si="42"/>
        <v>569408.33333333337</v>
      </c>
      <c r="T123" s="1036"/>
      <c r="U123" s="1036">
        <f t="shared" si="55"/>
        <v>6832900</v>
      </c>
      <c r="V123" s="1353"/>
    </row>
    <row r="124" spans="1:23" ht="14.1" hidden="1" customHeight="1" outlineLevel="1" thickBot="1" x14ac:dyDescent="0.2">
      <c r="A124" s="2187"/>
      <c r="B124" s="2188"/>
      <c r="C124" s="523" t="s">
        <v>495</v>
      </c>
      <c r="D124" s="524">
        <v>1200000</v>
      </c>
      <c r="E124" s="525">
        <v>1200000</v>
      </c>
      <c r="F124" s="525">
        <v>1200000</v>
      </c>
      <c r="G124" s="525">
        <v>1200000</v>
      </c>
      <c r="H124" s="525">
        <v>1200000</v>
      </c>
      <c r="I124" s="525">
        <v>1200000</v>
      </c>
      <c r="J124" s="525">
        <v>1200000</v>
      </c>
      <c r="K124" s="525">
        <v>1200000</v>
      </c>
      <c r="L124" s="525">
        <v>1200000</v>
      </c>
      <c r="M124" s="525">
        <v>1200000</v>
      </c>
      <c r="N124" s="525">
        <v>1200000</v>
      </c>
      <c r="O124" s="526">
        <v>1200000</v>
      </c>
      <c r="P124" s="1051"/>
      <c r="Q124" s="1043">
        <f ca="1">SUM(OFFSET(D124,0,0,1,IF(ISERROR(MATCH(DATE(YEAR($E$1),MONTH($E$1),1),$D$2:$O$2,0)),0,MATCH(DATE(YEAR($E$1),MONTH($E$1),1),$D$2:$O$2,0))))</f>
        <v>14400000</v>
      </c>
      <c r="R124" s="1339"/>
      <c r="S124" s="527">
        <f t="shared" ca="1" si="42"/>
        <v>1200000</v>
      </c>
      <c r="T124" s="1033"/>
      <c r="U124" s="1033">
        <f t="shared" si="55"/>
        <v>14400000</v>
      </c>
      <c r="V124" s="1353"/>
    </row>
    <row r="125" spans="1:23" ht="14.1" hidden="1" customHeight="1" outlineLevel="1" thickBot="1" x14ac:dyDescent="0.2">
      <c r="A125" s="2187"/>
      <c r="B125" s="2188"/>
      <c r="C125" s="529" t="s">
        <v>32</v>
      </c>
      <c r="D125" s="530">
        <f t="shared" ref="D125:O125" si="56">D120-(D121+D123+D124)</f>
        <v>50000</v>
      </c>
      <c r="E125" s="531">
        <f t="shared" si="56"/>
        <v>24600</v>
      </c>
      <c r="F125" s="531">
        <f t="shared" si="56"/>
        <v>28200</v>
      </c>
      <c r="G125" s="531">
        <f t="shared" si="56"/>
        <v>-71800</v>
      </c>
      <c r="H125" s="531">
        <f t="shared" si="56"/>
        <v>28200</v>
      </c>
      <c r="I125" s="531">
        <f t="shared" si="56"/>
        <v>28200</v>
      </c>
      <c r="J125" s="531">
        <f t="shared" si="56"/>
        <v>28200</v>
      </c>
      <c r="K125" s="531">
        <f t="shared" si="56"/>
        <v>28200</v>
      </c>
      <c r="L125" s="531">
        <f t="shared" si="56"/>
        <v>-11300</v>
      </c>
      <c r="M125" s="531">
        <f t="shared" si="56"/>
        <v>-71800</v>
      </c>
      <c r="N125" s="531">
        <f t="shared" si="56"/>
        <v>28200</v>
      </c>
      <c r="O125" s="532">
        <f t="shared" si="56"/>
        <v>28200</v>
      </c>
      <c r="P125" s="1052"/>
      <c r="Q125" s="1044">
        <f t="shared" ca="1" si="4"/>
        <v>117100</v>
      </c>
      <c r="R125" s="1340"/>
      <c r="S125" s="531">
        <f t="shared" ca="1" si="42"/>
        <v>9758.3333333333339</v>
      </c>
      <c r="T125" s="1032"/>
      <c r="U125" s="1032">
        <f t="shared" si="55"/>
        <v>117100</v>
      </c>
      <c r="V125" s="1355"/>
    </row>
    <row r="126" spans="1:23" ht="14.1" hidden="1" customHeight="1" outlineLevel="1" thickBot="1" x14ac:dyDescent="0.2">
      <c r="A126" s="2187"/>
      <c r="B126" s="2164" t="s">
        <v>444</v>
      </c>
      <c r="C126" s="515" t="s">
        <v>26</v>
      </c>
      <c r="D126" s="516">
        <f>'事業所損益管理(H29.9～H30.8)収支計画表'!F109</f>
        <v>2133548</v>
      </c>
      <c r="E126" s="517">
        <f>'事業所損益管理(H29.9～H30.8)収支計画表'!G109</f>
        <v>3275498</v>
      </c>
      <c r="F126" s="517">
        <f>'事業所損益管理(H29.9～H30.8)収支計画表'!H109</f>
        <v>2705860</v>
      </c>
      <c r="G126" s="517">
        <f>'事業所損益管理(H29.9～H30.8)収支計画表'!I109</f>
        <v>2748469</v>
      </c>
      <c r="H126" s="517">
        <f>'事業所損益管理(H29.9～H30.8)収支計画表'!J109</f>
        <v>2696635</v>
      </c>
      <c r="I126" s="517">
        <f>'事業所損益管理(H29.9～H30.8)収支計画表'!K109</f>
        <v>2570319</v>
      </c>
      <c r="J126" s="517">
        <f>'事業所損益管理(H29.9～H30.8)収支計画表'!L109</f>
        <v>2819531</v>
      </c>
      <c r="K126" s="517">
        <f>'事業所損益管理(H29.9～H30.8)収支計画表'!M109</f>
        <v>2754232</v>
      </c>
      <c r="L126" s="517">
        <f>'事業所損益管理(H29.9～H30.8)収支計画表'!N109</f>
        <v>3771025</v>
      </c>
      <c r="M126" s="517">
        <f>'事業所損益管理(H29.9～H30.8)収支計画表'!O109</f>
        <v>2469018</v>
      </c>
      <c r="N126" s="517">
        <f>'事業所損益管理(H29.9～H30.8)収支計画表'!P109</f>
        <v>2977988</v>
      </c>
      <c r="O126" s="518">
        <f>'事業所損益管理(H29.9～H30.8)収支計画表'!Q109</f>
        <v>2468275</v>
      </c>
      <c r="P126" s="1055">
        <f ca="1">IF(R126&gt;=1,1,IF(R126&lt;0.9,-1,0))</f>
        <v>1</v>
      </c>
      <c r="Q126" s="1041">
        <f t="shared" ca="1" si="4"/>
        <v>33390398</v>
      </c>
      <c r="R126" s="1341">
        <f ca="1">IF(Q120&lt;0,ROUND((Q126-Q120)/ABS(Q120),3),IF(Q120=0,0,ROUND(Q126/Q120,3)))</f>
        <v>1.052</v>
      </c>
      <c r="S126" s="517">
        <f t="shared" ca="1" si="42"/>
        <v>2782533.1666666665</v>
      </c>
      <c r="T126" s="1372">
        <f ca="1">IF(V126&gt;=1,1,IF(V126&lt;0.9,-1,0))</f>
        <v>1</v>
      </c>
      <c r="U126" s="1030">
        <f t="shared" ref="U126:U131" ca="1" si="57">Q126+(12-IF(ISERROR(MATCH(DATE(YEAR($E$1),MONTH($E$1),1),$D$2:$O$2,0)),0,MATCH(DATE(YEAR($E$1),MONTH($E$1),1),$D$2:$O$2,0)))*S126</f>
        <v>33390398</v>
      </c>
      <c r="V126" s="1356">
        <f ca="1">IF(U120&lt;0,ROUND((U126-U120)/ABS(U120),3),IF(U120=0,0,ROUND(U126/U120,3)))</f>
        <v>1.052</v>
      </c>
      <c r="W126" s="999">
        <v>0.1</v>
      </c>
    </row>
    <row r="127" spans="1:23" ht="14.1" hidden="1" customHeight="1" outlineLevel="1" thickBot="1" x14ac:dyDescent="0.2">
      <c r="A127" s="2187"/>
      <c r="B127" s="2164"/>
      <c r="C127" s="519" t="s">
        <v>15</v>
      </c>
      <c r="D127" s="520">
        <f>'事業所損益管理(H29.9～H30.8)収支計画表'!F110</f>
        <v>708477</v>
      </c>
      <c r="E127" s="521">
        <f>'事業所損益管理(H29.9～H30.8)収支計画表'!G110</f>
        <v>673024</v>
      </c>
      <c r="F127" s="521">
        <f>'事業所損益管理(H29.9～H30.8)収支計画表'!H110</f>
        <v>710550</v>
      </c>
      <c r="G127" s="521">
        <f>'事業所損益管理(H29.9～H30.8)収支計画表'!I110</f>
        <v>680588.27100330812</v>
      </c>
      <c r="H127" s="521">
        <f>'事業所損益管理(H29.9～H30.8)収支計画表'!J110</f>
        <v>807871</v>
      </c>
      <c r="I127" s="521">
        <f>'事業所損益管理(H29.9～H30.8)収支計画表'!K110</f>
        <v>637625</v>
      </c>
      <c r="J127" s="521">
        <f>'事業所損益管理(H29.9～H30.8)収支計画表'!L110</f>
        <v>716957</v>
      </c>
      <c r="K127" s="521">
        <f>'事業所損益管理(H29.9～H30.8)収支計画表'!M110</f>
        <v>661124</v>
      </c>
      <c r="L127" s="521">
        <f>'事業所損益管理(H29.9～H30.8)収支計画表'!N110</f>
        <v>667563</v>
      </c>
      <c r="M127" s="521">
        <f>'事業所損益管理(H29.9～H30.8)収支計画表'!O110</f>
        <v>660185</v>
      </c>
      <c r="N127" s="521">
        <f>'事業所損益管理(H29.9～H30.8)収支計画表'!P110</f>
        <v>677214</v>
      </c>
      <c r="O127" s="522">
        <f>'事業所損益管理(H29.9～H30.8)収支計画表'!Q110</f>
        <v>695777</v>
      </c>
      <c r="P127" s="1056">
        <f ca="1">IF(R127&lt;=1,1,IF(R127&gt;1.1,-1,0))</f>
        <v>1</v>
      </c>
      <c r="Q127" s="1042">
        <f t="shared" ca="1" si="4"/>
        <v>8296955.2710033078</v>
      </c>
      <c r="R127" s="1342">
        <f ca="1">IF(Q121&lt;0,ROUND((Q127-Q121)/ABS(Q121),3),IF(Q121=0,0,ROUND(Q127/Q121,3)))</f>
        <v>0.79800000000000004</v>
      </c>
      <c r="S127" s="521">
        <f t="shared" ca="1" si="42"/>
        <v>691412.93925027561</v>
      </c>
      <c r="T127" s="1373">
        <f ca="1">IF(V127&lt;=1,1,IF(V127&gt;1.1,-1,0))</f>
        <v>1</v>
      </c>
      <c r="U127" s="1031">
        <f t="shared" ca="1" si="57"/>
        <v>8296955.2710033078</v>
      </c>
      <c r="V127" s="1357">
        <f ca="1">IF(U121&lt;0,ROUND((U127-U121)/ABS(U121),3),IF(U121=0,0,ROUND(U127/U121,3)))</f>
        <v>0.79800000000000004</v>
      </c>
      <c r="W127" s="999">
        <v>0.1</v>
      </c>
    </row>
    <row r="128" spans="1:23" ht="14.1" hidden="1" customHeight="1" outlineLevel="1" thickBot="1" x14ac:dyDescent="0.2">
      <c r="A128" s="2187"/>
      <c r="B128" s="2164"/>
      <c r="C128" s="450" t="s">
        <v>448</v>
      </c>
      <c r="D128" s="520">
        <f>'事業所損益管理(H29.9～H30.8)収支計画表'!F111</f>
        <v>35100</v>
      </c>
      <c r="E128" s="521">
        <f>'事業所損益管理(H29.9～H30.8)収支計画表'!G111</f>
        <v>0</v>
      </c>
      <c r="F128" s="521">
        <f>'事業所損益管理(H29.9～H30.8)収支計画表'!H111</f>
        <v>0</v>
      </c>
      <c r="G128" s="521">
        <f>'事業所損益管理(H29.9～H30.8)収支計画表'!I111</f>
        <v>0</v>
      </c>
      <c r="H128" s="521">
        <f>'事業所損益管理(H29.9～H30.8)収支計画表'!J111</f>
        <v>0</v>
      </c>
      <c r="I128" s="521">
        <f>'事業所損益管理(H29.9～H30.8)収支計画表'!K111</f>
        <v>0</v>
      </c>
      <c r="J128" s="521">
        <f>'事業所損益管理(H29.9～H30.8)収支計画表'!L111</f>
        <v>17280</v>
      </c>
      <c r="K128" s="521">
        <f>'事業所損益管理(H29.9～H30.8)収支計画表'!M111</f>
        <v>0</v>
      </c>
      <c r="L128" s="521">
        <f>'事業所損益管理(H29.9～H30.8)収支計画表'!N111</f>
        <v>0</v>
      </c>
      <c r="M128" s="521">
        <f>'事業所損益管理(H29.9～H30.8)収支計画表'!O111</f>
        <v>0</v>
      </c>
      <c r="N128" s="521">
        <f>'事業所損益管理(H29.9～H30.8)収支計画表'!P111</f>
        <v>0</v>
      </c>
      <c r="O128" s="522">
        <f>'事業所損益管理(H29.9～H30.8)収支計画表'!Q111</f>
        <v>0</v>
      </c>
      <c r="P128" s="1056">
        <f ca="1">IF(R128&lt;=1,1,IF(R128&gt;1.1,-1,0))</f>
        <v>1</v>
      </c>
      <c r="Q128" s="1042">
        <f t="shared" ca="1" si="4"/>
        <v>52380</v>
      </c>
      <c r="R128" s="1342">
        <f ca="1">IF(Q122&lt;0,ROUND((Q128-Q122)/ABS(Q122),3),IF(Q122=0,0,ROUND(Q128/Q122,3)))</f>
        <v>0.52400000000000002</v>
      </c>
      <c r="S128" s="521">
        <f t="shared" ca="1" si="42"/>
        <v>4365</v>
      </c>
      <c r="T128" s="1373">
        <f ca="1">IF(V128&lt;=1,1,IF(V128&gt;1.1,-1,0))</f>
        <v>1</v>
      </c>
      <c r="U128" s="1031">
        <f t="shared" ca="1" si="57"/>
        <v>52380</v>
      </c>
      <c r="V128" s="1357">
        <f ca="1">IF(U122&lt;0,ROUND((U128-U122)/ABS(U122),3),IF(U122=0,0,ROUND(U128/U122,3)))</f>
        <v>0.52400000000000002</v>
      </c>
      <c r="W128" s="999">
        <v>0.1</v>
      </c>
    </row>
    <row r="129" spans="1:23" ht="14.1" hidden="1" customHeight="1" outlineLevel="1" thickBot="1" x14ac:dyDescent="0.2">
      <c r="A129" s="2187"/>
      <c r="B129" s="2164"/>
      <c r="C129" s="519" t="s">
        <v>35</v>
      </c>
      <c r="D129" s="520">
        <f>'事業所損益管理(H29.9～H30.8)収支計画表'!F112</f>
        <v>542900</v>
      </c>
      <c r="E129" s="521">
        <f>'事業所損益管理(H29.9～H30.8)収支計画表'!G112</f>
        <v>624881</v>
      </c>
      <c r="F129" s="521">
        <f>'事業所損益管理(H29.9～H30.8)収支計画表'!H112</f>
        <v>688081</v>
      </c>
      <c r="G129" s="521">
        <f>'事業所損益管理(H29.9～H30.8)収支計画表'!I112</f>
        <v>606874</v>
      </c>
      <c r="H129" s="521">
        <f>'事業所損益管理(H29.9～H30.8)収支計画表'!J112</f>
        <v>769409</v>
      </c>
      <c r="I129" s="521">
        <f>'事業所損益管理(H29.9～H30.8)収支計画表'!K112</f>
        <v>616496</v>
      </c>
      <c r="J129" s="521">
        <f>'事業所損益管理(H29.9～H30.8)収支計画表'!L112</f>
        <v>632985</v>
      </c>
      <c r="K129" s="521">
        <f>'事業所損益管理(H29.9～H30.8)収支計画表'!M112</f>
        <v>658790</v>
      </c>
      <c r="L129" s="521">
        <f>'事業所損益管理(H29.9～H30.8)収支計画表'!N112</f>
        <v>773088</v>
      </c>
      <c r="M129" s="521">
        <f>'事業所損益管理(H29.9～H30.8)収支計画表'!O112</f>
        <v>589882</v>
      </c>
      <c r="N129" s="521">
        <f>'事業所損益管理(H29.9～H30.8)収支計画表'!P112</f>
        <v>720815</v>
      </c>
      <c r="O129" s="522">
        <f>'事業所損益管理(H29.9～H30.8)収支計画表'!Q112</f>
        <v>501785</v>
      </c>
      <c r="P129" s="1056">
        <f ca="1">IF(R129&lt;=1,1,IF(R129&gt;1.1,-1,0))</f>
        <v>-1</v>
      </c>
      <c r="Q129" s="1042">
        <f t="shared" ca="1" si="4"/>
        <v>7725986</v>
      </c>
      <c r="R129" s="1342">
        <f ca="1">IF(Q123&lt;0,ROUND((Q129-Q123)/ABS(Q123),3),IF(Q123=0,0,ROUND(Q129/Q123,3)))</f>
        <v>1.131</v>
      </c>
      <c r="S129" s="521">
        <f t="shared" ca="1" si="42"/>
        <v>643832.16666666663</v>
      </c>
      <c r="T129" s="1373">
        <f ca="1">IF(V129&lt;=1,1,IF(V129&gt;1.1,-1,0))</f>
        <v>-1</v>
      </c>
      <c r="U129" s="1031">
        <f t="shared" ca="1" si="57"/>
        <v>7725986</v>
      </c>
      <c r="V129" s="1357">
        <f ca="1">IF(U123&lt;0,ROUND((U129-U123)/ABS(U123),3),IF(U123=0,0,ROUND(U129/U123,3)))</f>
        <v>1.131</v>
      </c>
      <c r="W129" s="999">
        <v>0.1</v>
      </c>
    </row>
    <row r="130" spans="1:23" ht="14.1" hidden="1" customHeight="1" outlineLevel="1" thickBot="1" x14ac:dyDescent="0.2">
      <c r="A130" s="2187"/>
      <c r="B130" s="2164"/>
      <c r="C130" s="523" t="s">
        <v>495</v>
      </c>
      <c r="D130" s="533">
        <f>IF(D127=0,0,D124)</f>
        <v>1200000</v>
      </c>
      <c r="E130" s="527">
        <f t="shared" ref="E130:O130" si="58">IF(E127=0,0,E124)</f>
        <v>1200000</v>
      </c>
      <c r="F130" s="527">
        <f t="shared" si="58"/>
        <v>1200000</v>
      </c>
      <c r="G130" s="527">
        <f t="shared" si="58"/>
        <v>1200000</v>
      </c>
      <c r="H130" s="527">
        <f t="shared" si="58"/>
        <v>1200000</v>
      </c>
      <c r="I130" s="527">
        <f t="shared" si="58"/>
        <v>1200000</v>
      </c>
      <c r="J130" s="527">
        <f t="shared" si="58"/>
        <v>1200000</v>
      </c>
      <c r="K130" s="527">
        <f t="shared" si="58"/>
        <v>1200000</v>
      </c>
      <c r="L130" s="527">
        <f t="shared" si="58"/>
        <v>1200000</v>
      </c>
      <c r="M130" s="527">
        <f t="shared" si="58"/>
        <v>1200000</v>
      </c>
      <c r="N130" s="527">
        <f t="shared" si="58"/>
        <v>1200000</v>
      </c>
      <c r="O130" s="528">
        <f t="shared" si="58"/>
        <v>1200000</v>
      </c>
      <c r="P130" s="1058"/>
      <c r="Q130" s="1043">
        <f t="shared" ca="1" si="4"/>
        <v>14400000</v>
      </c>
      <c r="R130" s="1339"/>
      <c r="S130" s="527">
        <f t="shared" ca="1" si="42"/>
        <v>1200000</v>
      </c>
      <c r="T130" s="1429"/>
      <c r="U130" s="1033">
        <f t="shared" ca="1" si="57"/>
        <v>14400000</v>
      </c>
      <c r="V130" s="1353"/>
      <c r="W130" s="999">
        <v>0.1</v>
      </c>
    </row>
    <row r="131" spans="1:23" ht="14.1" hidden="1" customHeight="1" outlineLevel="1" thickBot="1" x14ac:dyDescent="0.2">
      <c r="A131" s="2187"/>
      <c r="B131" s="2189"/>
      <c r="C131" s="534" t="s">
        <v>32</v>
      </c>
      <c r="D131" s="535">
        <f>D126-(D127+D129+D130)</f>
        <v>-317829</v>
      </c>
      <c r="E131" s="536">
        <f t="shared" ref="E131:O131" si="59">E126-(E127+E129+E130)</f>
        <v>777593</v>
      </c>
      <c r="F131" s="536">
        <f t="shared" si="59"/>
        <v>107229</v>
      </c>
      <c r="G131" s="536">
        <f t="shared" si="59"/>
        <v>261006.72899669176</v>
      </c>
      <c r="H131" s="536">
        <f t="shared" si="59"/>
        <v>-80645</v>
      </c>
      <c r="I131" s="536">
        <f t="shared" si="59"/>
        <v>116198</v>
      </c>
      <c r="J131" s="536">
        <f t="shared" si="59"/>
        <v>269589</v>
      </c>
      <c r="K131" s="536">
        <f t="shared" si="59"/>
        <v>234318</v>
      </c>
      <c r="L131" s="536">
        <f t="shared" si="59"/>
        <v>1130374</v>
      </c>
      <c r="M131" s="536">
        <f t="shared" si="59"/>
        <v>18951</v>
      </c>
      <c r="N131" s="536">
        <f t="shared" si="59"/>
        <v>379959</v>
      </c>
      <c r="O131" s="537">
        <f t="shared" si="59"/>
        <v>70713</v>
      </c>
      <c r="P131" s="1057">
        <f ca="1">IF(R131&gt;=0,1,IF(R131&lt;-0.1,-1,0))</f>
        <v>1</v>
      </c>
      <c r="Q131" s="1045">
        <f t="shared" ca="1" si="4"/>
        <v>2967456.7289966918</v>
      </c>
      <c r="R131" s="1343">
        <f ca="1">IF(Q125=0,1-(Q127+Q129+Q130)/Q126,IF(Q125=Q131,0,ROUND((Q131-Q125)/ABS(Q125),3)))</f>
        <v>24.341000000000001</v>
      </c>
      <c r="S131" s="536">
        <f t="shared" ca="1" si="42"/>
        <v>247288.0607497243</v>
      </c>
      <c r="T131" s="1374">
        <f ca="1">IF(V131&gt;=0,1,IF(V131&lt;-0.1,-1,0))</f>
        <v>1</v>
      </c>
      <c r="U131" s="1034">
        <f t="shared" ca="1" si="57"/>
        <v>2967456.7289966918</v>
      </c>
      <c r="V131" s="1358">
        <f ca="1">IF(U125=0,1-(U127+U129+U130)/U126,IF(U125=U131,0,ROUND((U131-U125)/ABS(U125),3)))</f>
        <v>24.341000000000001</v>
      </c>
      <c r="W131" s="999">
        <v>0.1</v>
      </c>
    </row>
    <row r="132" spans="1:23" ht="14.1" customHeight="1" collapsed="1" thickBot="1" x14ac:dyDescent="0.2">
      <c r="A132" s="2193" t="s">
        <v>1193</v>
      </c>
      <c r="B132" s="2188" t="s">
        <v>443</v>
      </c>
      <c r="C132" s="502" t="s">
        <v>26</v>
      </c>
      <c r="D132" s="503">
        <f>D96+D108+D120</f>
        <v>4666000</v>
      </c>
      <c r="E132" s="504">
        <f t="shared" ref="E132:O132" si="60">E96+E108+E120</f>
        <v>4716000</v>
      </c>
      <c r="F132" s="504">
        <f t="shared" si="60"/>
        <v>4716000</v>
      </c>
      <c r="G132" s="504">
        <f t="shared" si="60"/>
        <v>4716000</v>
      </c>
      <c r="H132" s="504">
        <f t="shared" si="60"/>
        <v>4716000</v>
      </c>
      <c r="I132" s="504">
        <f t="shared" si="60"/>
        <v>4716000</v>
      </c>
      <c r="J132" s="504">
        <f t="shared" si="60"/>
        <v>4716000</v>
      </c>
      <c r="K132" s="504">
        <f t="shared" si="60"/>
        <v>4716000</v>
      </c>
      <c r="L132" s="504">
        <f t="shared" si="60"/>
        <v>4716000</v>
      </c>
      <c r="M132" s="504">
        <f t="shared" si="60"/>
        <v>4716000</v>
      </c>
      <c r="N132" s="504">
        <f t="shared" si="60"/>
        <v>4716000</v>
      </c>
      <c r="O132" s="505">
        <f t="shared" si="60"/>
        <v>4716000</v>
      </c>
      <c r="P132" s="1049"/>
      <c r="Q132" s="1039">
        <f ca="1">SUM(OFFSET(D132,0,0,1,IF(ISERROR(MATCH(DATE(YEAR($E$1),MONTH($E$1),1),$D$2:$O$2,0)),0,MATCH(DATE(YEAR($E$1),MONTH($E$1),1),$D$2:$O$2,0))))</f>
        <v>56542000</v>
      </c>
      <c r="R132" s="1338"/>
      <c r="S132" s="506">
        <f t="shared" ref="S132:S143" ca="1" si="61">IF(ISERROR(Q132/(DATEDIF(D$2,E$1,"M")+1)),0,Q132/(DATEDIF(D$2,E$1,"M")+1))</f>
        <v>4711833.333333333</v>
      </c>
      <c r="T132" s="1035"/>
      <c r="U132" s="1035">
        <f t="shared" ref="U132:U137" si="62">SUM(D132:O132)</f>
        <v>56542000</v>
      </c>
      <c r="V132" s="1352"/>
    </row>
    <row r="133" spans="1:23" ht="14.1" customHeight="1" thickBot="1" x14ac:dyDescent="0.2">
      <c r="A133" s="2190"/>
      <c r="B133" s="2188"/>
      <c r="C133" s="508" t="s">
        <v>15</v>
      </c>
      <c r="D133" s="509">
        <f t="shared" ref="D133:O136" si="63">D97+D109+D121</f>
        <v>1660000</v>
      </c>
      <c r="E133" s="510">
        <f t="shared" si="63"/>
        <v>1660000</v>
      </c>
      <c r="F133" s="510">
        <f t="shared" si="63"/>
        <v>1660000</v>
      </c>
      <c r="G133" s="510">
        <f t="shared" si="63"/>
        <v>1850000</v>
      </c>
      <c r="H133" s="510">
        <f t="shared" si="63"/>
        <v>1660000</v>
      </c>
      <c r="I133" s="510">
        <f t="shared" si="63"/>
        <v>1660000</v>
      </c>
      <c r="J133" s="510">
        <f t="shared" si="63"/>
        <v>1660000</v>
      </c>
      <c r="K133" s="510">
        <f t="shared" si="63"/>
        <v>1660000</v>
      </c>
      <c r="L133" s="510">
        <f t="shared" si="63"/>
        <v>1660000</v>
      </c>
      <c r="M133" s="510">
        <f t="shared" si="63"/>
        <v>1850000</v>
      </c>
      <c r="N133" s="510">
        <f t="shared" si="63"/>
        <v>1660000</v>
      </c>
      <c r="O133" s="511">
        <f t="shared" si="63"/>
        <v>1660000</v>
      </c>
      <c r="P133" s="1050"/>
      <c r="Q133" s="1040">
        <f ca="1">SUM(OFFSET(D133,0,0,1,IF(ISERROR(MATCH(DATE(YEAR($E$1),MONTH($E$1),1),$D$2:$O$2,0)),0,MATCH(DATE(YEAR($E$1),MONTH($E$1),1),$D$2:$O$2,0))))</f>
        <v>20300000</v>
      </c>
      <c r="R133" s="1339"/>
      <c r="S133" s="512">
        <f t="shared" ca="1" si="61"/>
        <v>1691666.6666666667</v>
      </c>
      <c r="T133" s="1036"/>
      <c r="U133" s="1036">
        <f t="shared" si="62"/>
        <v>20300000</v>
      </c>
      <c r="V133" s="1353"/>
    </row>
    <row r="134" spans="1:23" ht="14.1" customHeight="1" thickBot="1" x14ac:dyDescent="0.2">
      <c r="A134" s="2190"/>
      <c r="B134" s="2188"/>
      <c r="C134" s="514" t="s">
        <v>447</v>
      </c>
      <c r="D134" s="509">
        <f t="shared" si="63"/>
        <v>150000</v>
      </c>
      <c r="E134" s="510">
        <f t="shared" si="63"/>
        <v>0</v>
      </c>
      <c r="F134" s="510">
        <f t="shared" si="63"/>
        <v>0</v>
      </c>
      <c r="G134" s="510">
        <f t="shared" si="63"/>
        <v>0</v>
      </c>
      <c r="H134" s="510">
        <f t="shared" si="63"/>
        <v>0</v>
      </c>
      <c r="I134" s="510">
        <f t="shared" si="63"/>
        <v>0</v>
      </c>
      <c r="J134" s="510">
        <f t="shared" si="63"/>
        <v>150000</v>
      </c>
      <c r="K134" s="510">
        <f t="shared" si="63"/>
        <v>0</v>
      </c>
      <c r="L134" s="510">
        <f t="shared" si="63"/>
        <v>0</v>
      </c>
      <c r="M134" s="510">
        <f t="shared" si="63"/>
        <v>0</v>
      </c>
      <c r="N134" s="510">
        <f t="shared" si="63"/>
        <v>0</v>
      </c>
      <c r="O134" s="511">
        <f t="shared" si="63"/>
        <v>0</v>
      </c>
      <c r="P134" s="1050"/>
      <c r="Q134" s="1040">
        <f ca="1">SUM(OFFSET(D134,0,0,1,IF(ISERROR(MATCH(DATE(YEAR($E$1),MONTH($E$1),1),$D$2:$O$2,0)),0,MATCH(DATE(YEAR($E$1),MONTH($E$1),1),$D$2:$O$2,0))))</f>
        <v>300000</v>
      </c>
      <c r="R134" s="1339"/>
      <c r="S134" s="512">
        <f t="shared" ca="1" si="61"/>
        <v>25000</v>
      </c>
      <c r="T134" s="1036"/>
      <c r="U134" s="1036">
        <f t="shared" si="62"/>
        <v>300000</v>
      </c>
      <c r="V134" s="1353"/>
    </row>
    <row r="135" spans="1:23" ht="14.1" customHeight="1" thickBot="1" x14ac:dyDescent="0.2">
      <c r="A135" s="2190"/>
      <c r="B135" s="2188"/>
      <c r="C135" s="508" t="s">
        <v>35</v>
      </c>
      <c r="D135" s="509">
        <f t="shared" si="63"/>
        <v>900000</v>
      </c>
      <c r="E135" s="510">
        <f t="shared" si="63"/>
        <v>975400</v>
      </c>
      <c r="F135" s="510">
        <f t="shared" si="63"/>
        <v>971800</v>
      </c>
      <c r="G135" s="510">
        <f t="shared" si="63"/>
        <v>971800</v>
      </c>
      <c r="H135" s="510">
        <f t="shared" si="63"/>
        <v>971800</v>
      </c>
      <c r="I135" s="510">
        <f t="shared" si="63"/>
        <v>971800</v>
      </c>
      <c r="J135" s="510">
        <f t="shared" si="63"/>
        <v>971800</v>
      </c>
      <c r="K135" s="510">
        <f t="shared" si="63"/>
        <v>971800</v>
      </c>
      <c r="L135" s="510">
        <f t="shared" si="63"/>
        <v>1011300</v>
      </c>
      <c r="M135" s="510">
        <f t="shared" si="63"/>
        <v>971800</v>
      </c>
      <c r="N135" s="510">
        <f t="shared" si="63"/>
        <v>971800</v>
      </c>
      <c r="O135" s="511">
        <f t="shared" si="63"/>
        <v>971800</v>
      </c>
      <c r="P135" s="1050"/>
      <c r="Q135" s="1040">
        <f ca="1">SUM(OFFSET(D135,0,0,1,IF(ISERROR(MATCH(DATE(YEAR($E$1),MONTH($E$1),1),$D$2:$O$2,0)),0,MATCH(DATE(YEAR($E$1),MONTH($E$1),1),$D$2:$O$2,0))))</f>
        <v>11632900</v>
      </c>
      <c r="R135" s="1339"/>
      <c r="S135" s="512">
        <f t="shared" ca="1" si="61"/>
        <v>969408.33333333337</v>
      </c>
      <c r="T135" s="1036"/>
      <c r="U135" s="1036">
        <f t="shared" si="62"/>
        <v>11632900</v>
      </c>
      <c r="V135" s="1353"/>
    </row>
    <row r="136" spans="1:23" ht="14.1" customHeight="1" thickBot="1" x14ac:dyDescent="0.2">
      <c r="A136" s="2190"/>
      <c r="B136" s="2188"/>
      <c r="C136" s="523" t="s">
        <v>494</v>
      </c>
      <c r="D136" s="524">
        <f t="shared" si="63"/>
        <v>2000000</v>
      </c>
      <c r="E136" s="525">
        <f t="shared" si="63"/>
        <v>2000000</v>
      </c>
      <c r="F136" s="525">
        <f t="shared" si="63"/>
        <v>2000000</v>
      </c>
      <c r="G136" s="525">
        <f t="shared" si="63"/>
        <v>2000000</v>
      </c>
      <c r="H136" s="525">
        <f t="shared" si="63"/>
        <v>2000000</v>
      </c>
      <c r="I136" s="525">
        <f t="shared" si="63"/>
        <v>2000000</v>
      </c>
      <c r="J136" s="525">
        <f t="shared" si="63"/>
        <v>2000000</v>
      </c>
      <c r="K136" s="525">
        <f t="shared" si="63"/>
        <v>2000000</v>
      </c>
      <c r="L136" s="525">
        <f t="shared" si="63"/>
        <v>2000000</v>
      </c>
      <c r="M136" s="525">
        <f t="shared" si="63"/>
        <v>2000000</v>
      </c>
      <c r="N136" s="525">
        <f t="shared" si="63"/>
        <v>2000000</v>
      </c>
      <c r="O136" s="526">
        <f t="shared" si="63"/>
        <v>2000000</v>
      </c>
      <c r="P136" s="1051"/>
      <c r="Q136" s="1043">
        <f ca="1">SUM(OFFSET(D136,0,0,1,IF(ISERROR(MATCH(DATE(YEAR($E$1),MONTH($E$1),1),$D$2:$O$2,0)),0,MATCH(DATE(YEAR($E$1),MONTH($E$1),1),$D$2:$O$2,0))))</f>
        <v>24000000</v>
      </c>
      <c r="R136" s="1339"/>
      <c r="S136" s="527">
        <f t="shared" ca="1" si="61"/>
        <v>2000000</v>
      </c>
      <c r="T136" s="1033"/>
      <c r="U136" s="1033">
        <f t="shared" si="62"/>
        <v>24000000</v>
      </c>
      <c r="V136" s="1353"/>
    </row>
    <row r="137" spans="1:23" ht="14.1" customHeight="1" thickBot="1" x14ac:dyDescent="0.2">
      <c r="A137" s="2190"/>
      <c r="B137" s="2188"/>
      <c r="C137" s="529" t="s">
        <v>32</v>
      </c>
      <c r="D137" s="530">
        <f>D132-(D133+D135+D136)</f>
        <v>106000</v>
      </c>
      <c r="E137" s="531">
        <f t="shared" ref="E137:O137" si="64">E132-(E133+E135+E136)</f>
        <v>80600</v>
      </c>
      <c r="F137" s="531">
        <f t="shared" si="64"/>
        <v>84200</v>
      </c>
      <c r="G137" s="531">
        <f t="shared" si="64"/>
        <v>-105800</v>
      </c>
      <c r="H137" s="531">
        <f t="shared" si="64"/>
        <v>84200</v>
      </c>
      <c r="I137" s="531">
        <f t="shared" si="64"/>
        <v>84200</v>
      </c>
      <c r="J137" s="531">
        <f t="shared" si="64"/>
        <v>84200</v>
      </c>
      <c r="K137" s="531">
        <f t="shared" si="64"/>
        <v>84200</v>
      </c>
      <c r="L137" s="531">
        <f t="shared" si="64"/>
        <v>44700</v>
      </c>
      <c r="M137" s="531">
        <f t="shared" si="64"/>
        <v>-105800</v>
      </c>
      <c r="N137" s="531">
        <f t="shared" si="64"/>
        <v>84200</v>
      </c>
      <c r="O137" s="532">
        <f t="shared" si="64"/>
        <v>84200</v>
      </c>
      <c r="P137" s="1052"/>
      <c r="Q137" s="1044">
        <f t="shared" ref="Q137:Q143" ca="1" si="65">SUM(OFFSET(D137,0,0,1,IF(ISERROR(MATCH(DATE(YEAR($E$1),MONTH($E$1),1),$D$2:$O$2,0)),0,MATCH(DATE(YEAR($E$1),MONTH($E$1),1),$D$2:$O$2,0))))</f>
        <v>609100</v>
      </c>
      <c r="R137" s="1340"/>
      <c r="S137" s="531">
        <f t="shared" ca="1" si="61"/>
        <v>50758.333333333336</v>
      </c>
      <c r="T137" s="1032"/>
      <c r="U137" s="1032">
        <f t="shared" si="62"/>
        <v>609100</v>
      </c>
      <c r="V137" s="1355"/>
    </row>
    <row r="138" spans="1:23" ht="14.1" customHeight="1" thickBot="1" x14ac:dyDescent="0.2">
      <c r="A138" s="2190"/>
      <c r="B138" s="2164" t="s">
        <v>444</v>
      </c>
      <c r="C138" s="515" t="s">
        <v>26</v>
      </c>
      <c r="D138" s="516">
        <f>D102+D114+D126</f>
        <v>4385088</v>
      </c>
      <c r="E138" s="517">
        <f t="shared" ref="E138:O138" si="66">E102+E114+E126</f>
        <v>5388486</v>
      </c>
      <c r="F138" s="517">
        <f t="shared" si="66"/>
        <v>4932061</v>
      </c>
      <c r="G138" s="517">
        <f t="shared" si="66"/>
        <v>4846209</v>
      </c>
      <c r="H138" s="517">
        <f t="shared" si="66"/>
        <v>4521767</v>
      </c>
      <c r="I138" s="517">
        <f t="shared" si="66"/>
        <v>4251654</v>
      </c>
      <c r="J138" s="517">
        <f t="shared" si="66"/>
        <v>4845757</v>
      </c>
      <c r="K138" s="517">
        <f t="shared" si="66"/>
        <v>4652452</v>
      </c>
      <c r="L138" s="517">
        <f t="shared" si="66"/>
        <v>6288634</v>
      </c>
      <c r="M138" s="517">
        <f t="shared" si="66"/>
        <v>4072029</v>
      </c>
      <c r="N138" s="517">
        <f t="shared" si="66"/>
        <v>5223230</v>
      </c>
      <c r="O138" s="518">
        <f t="shared" si="66"/>
        <v>4262820</v>
      </c>
      <c r="P138" s="1055">
        <f ca="1">IF(R138&gt;=1,1,IF(R138&lt;0.9,-1,0))</f>
        <v>1</v>
      </c>
      <c r="Q138" s="1041">
        <f t="shared" ca="1" si="65"/>
        <v>57670187</v>
      </c>
      <c r="R138" s="1341">
        <f ca="1">IF(Q132&lt;0,ROUND((Q138-Q132)/ABS(Q132),3),IF(Q132=0,0,ROUND(Q138/Q132,3)))</f>
        <v>1.02</v>
      </c>
      <c r="S138" s="517">
        <f t="shared" ca="1" si="61"/>
        <v>4805848.916666667</v>
      </c>
      <c r="T138" s="1372">
        <f ca="1">IF(V138&gt;=1,1,IF(V138&lt;0.9,-1,0))</f>
        <v>1</v>
      </c>
      <c r="U138" s="1030">
        <f t="shared" ref="U138:U143" ca="1" si="67">Q138+(12-IF(ISERROR(MATCH(DATE(YEAR($E$1),MONTH($E$1),1),$D$2:$O$2,0)),0,MATCH(DATE(YEAR($E$1),MONTH($E$1),1),$D$2:$O$2,0)))*S138</f>
        <v>57670187</v>
      </c>
      <c r="V138" s="1356">
        <f ca="1">IF(U132&lt;0,ROUND((U138-U132)/ABS(U132),3),IF(U132=0,0,ROUND(U138/U132,3)))</f>
        <v>1.02</v>
      </c>
      <c r="W138" s="999">
        <v>0.1</v>
      </c>
    </row>
    <row r="139" spans="1:23" ht="14.1" customHeight="1" thickBot="1" x14ac:dyDescent="0.2">
      <c r="A139" s="2190"/>
      <c r="B139" s="2164"/>
      <c r="C139" s="519" t="s">
        <v>15</v>
      </c>
      <c r="D139" s="520">
        <f t="shared" ref="D139:O142" si="68">D103+D115+D127</f>
        <v>1467510</v>
      </c>
      <c r="E139" s="521">
        <f t="shared" si="68"/>
        <v>1470826</v>
      </c>
      <c r="F139" s="521">
        <f t="shared" si="68"/>
        <v>1461309</v>
      </c>
      <c r="G139" s="521">
        <f t="shared" si="68"/>
        <v>1465584.3365404417</v>
      </c>
      <c r="H139" s="521">
        <f t="shared" si="68"/>
        <v>1534092</v>
      </c>
      <c r="I139" s="521">
        <f t="shared" si="68"/>
        <v>1219690</v>
      </c>
      <c r="J139" s="521">
        <f t="shared" si="68"/>
        <v>1384560</v>
      </c>
      <c r="K139" s="521">
        <f t="shared" si="68"/>
        <v>1295192</v>
      </c>
      <c r="L139" s="521">
        <f t="shared" si="68"/>
        <v>1331279</v>
      </c>
      <c r="M139" s="521">
        <f t="shared" si="68"/>
        <v>1318126</v>
      </c>
      <c r="N139" s="521">
        <f t="shared" si="68"/>
        <v>1374890</v>
      </c>
      <c r="O139" s="522">
        <f t="shared" si="68"/>
        <v>1344636</v>
      </c>
      <c r="P139" s="1056">
        <f ca="1">IF(R139&lt;=1,1,IF(R139&gt;1.1,-1,0))</f>
        <v>1</v>
      </c>
      <c r="Q139" s="1042">
        <f t="shared" ca="1" si="65"/>
        <v>16667694.336540442</v>
      </c>
      <c r="R139" s="1342">
        <f ca="1">IF(Q133&lt;0,ROUND((Q139-Q133)/ABS(Q133),3),IF(Q133=0,0,ROUND(Q139/Q133,3)))</f>
        <v>0.82099999999999995</v>
      </c>
      <c r="S139" s="521">
        <f t="shared" ca="1" si="61"/>
        <v>1388974.5280450368</v>
      </c>
      <c r="T139" s="1373">
        <f ca="1">IF(V139&lt;=1,1,IF(V139&gt;1.1,-1,0))</f>
        <v>1</v>
      </c>
      <c r="U139" s="1031">
        <f t="shared" ca="1" si="67"/>
        <v>16667694.336540442</v>
      </c>
      <c r="V139" s="1357">
        <f ca="1">IF(U133&lt;0,ROUND((U139-U133)/ABS(U133),3),IF(U133=0,0,ROUND(U139/U133,3)))</f>
        <v>0.82099999999999995</v>
      </c>
      <c r="W139" s="999">
        <v>0.1</v>
      </c>
    </row>
    <row r="140" spans="1:23" ht="14.1" customHeight="1" thickBot="1" x14ac:dyDescent="0.2">
      <c r="A140" s="2190"/>
      <c r="B140" s="2164"/>
      <c r="C140" s="450" t="s">
        <v>448</v>
      </c>
      <c r="D140" s="520">
        <f t="shared" si="68"/>
        <v>59940</v>
      </c>
      <c r="E140" s="521">
        <f t="shared" si="68"/>
        <v>0</v>
      </c>
      <c r="F140" s="521">
        <f t="shared" si="68"/>
        <v>0</v>
      </c>
      <c r="G140" s="521">
        <f t="shared" si="68"/>
        <v>0</v>
      </c>
      <c r="H140" s="521">
        <f t="shared" si="68"/>
        <v>0</v>
      </c>
      <c r="I140" s="521">
        <f t="shared" si="68"/>
        <v>0</v>
      </c>
      <c r="J140" s="521">
        <f t="shared" si="68"/>
        <v>66960</v>
      </c>
      <c r="K140" s="521">
        <f t="shared" si="68"/>
        <v>0</v>
      </c>
      <c r="L140" s="521">
        <f t="shared" si="68"/>
        <v>0</v>
      </c>
      <c r="M140" s="521">
        <f t="shared" si="68"/>
        <v>0</v>
      </c>
      <c r="N140" s="521">
        <f t="shared" si="68"/>
        <v>0</v>
      </c>
      <c r="O140" s="522">
        <f t="shared" si="68"/>
        <v>0</v>
      </c>
      <c r="P140" s="1056">
        <f ca="1">IF(R140&lt;=1,1,IF(R140&gt;1.1,-1,0))</f>
        <v>1</v>
      </c>
      <c r="Q140" s="1042">
        <f t="shared" ca="1" si="65"/>
        <v>126900</v>
      </c>
      <c r="R140" s="1342">
        <f ca="1">IF(Q134&lt;0,ROUND((Q140-Q134)/ABS(Q134),3),IF(Q134=0,0,ROUND(Q140/Q134,3)))</f>
        <v>0.42299999999999999</v>
      </c>
      <c r="S140" s="521">
        <f t="shared" ca="1" si="61"/>
        <v>10575</v>
      </c>
      <c r="T140" s="1373">
        <f ca="1">IF(V140&lt;=1,1,IF(V140&gt;1.1,-1,0))</f>
        <v>1</v>
      </c>
      <c r="U140" s="1031">
        <f t="shared" ca="1" si="67"/>
        <v>126900</v>
      </c>
      <c r="V140" s="1357">
        <f ca="1">IF(U134&lt;0,ROUND((U140-U134)/ABS(U134),3),IF(U134=0,0,ROUND(U140/U134,3)))</f>
        <v>0.42299999999999999</v>
      </c>
      <c r="W140" s="999">
        <v>0.1</v>
      </c>
    </row>
    <row r="141" spans="1:23" ht="14.1" customHeight="1" thickBot="1" x14ac:dyDescent="0.2">
      <c r="A141" s="2190"/>
      <c r="B141" s="2164"/>
      <c r="C141" s="519" t="s">
        <v>35</v>
      </c>
      <c r="D141" s="520">
        <f t="shared" si="68"/>
        <v>932519</v>
      </c>
      <c r="E141" s="521">
        <f t="shared" si="68"/>
        <v>936022</v>
      </c>
      <c r="F141" s="521">
        <f t="shared" si="68"/>
        <v>1078010</v>
      </c>
      <c r="G141" s="521">
        <f t="shared" si="68"/>
        <v>936913</v>
      </c>
      <c r="H141" s="521">
        <f t="shared" si="68"/>
        <v>1083196</v>
      </c>
      <c r="I141" s="521">
        <f t="shared" si="68"/>
        <v>922111</v>
      </c>
      <c r="J141" s="521">
        <f t="shared" si="68"/>
        <v>1123288</v>
      </c>
      <c r="K141" s="521">
        <f t="shared" si="68"/>
        <v>970855</v>
      </c>
      <c r="L141" s="521">
        <f t="shared" si="68"/>
        <v>1087558</v>
      </c>
      <c r="M141" s="521">
        <f t="shared" si="68"/>
        <v>939498</v>
      </c>
      <c r="N141" s="521">
        <f t="shared" si="68"/>
        <v>1021927</v>
      </c>
      <c r="O141" s="522">
        <f t="shared" si="68"/>
        <v>782934</v>
      </c>
      <c r="P141" s="1056">
        <f ca="1">IF(R141&lt;=1,1,IF(R141&gt;1.1,-1,0))</f>
        <v>0</v>
      </c>
      <c r="Q141" s="1042">
        <f t="shared" ca="1" si="65"/>
        <v>11814831</v>
      </c>
      <c r="R141" s="1342">
        <f ca="1">IF(Q135&lt;0,ROUND((Q141-Q135)/ABS(Q135),3),IF(Q135=0,0,ROUND(Q141/Q135,3)))</f>
        <v>1.016</v>
      </c>
      <c r="S141" s="521">
        <f t="shared" ca="1" si="61"/>
        <v>984569.25</v>
      </c>
      <c r="T141" s="1373">
        <f ca="1">IF(V141&lt;=1,1,IF(V141&gt;1.1,-1,0))</f>
        <v>0</v>
      </c>
      <c r="U141" s="1031">
        <f t="shared" ca="1" si="67"/>
        <v>11814831</v>
      </c>
      <c r="V141" s="1357">
        <f ca="1">IF(U135&lt;0,ROUND((U141-U135)/ABS(U135),3),IF(U135=0,0,ROUND(U141/U135,3)))</f>
        <v>1.016</v>
      </c>
      <c r="W141" s="999">
        <v>0.1</v>
      </c>
    </row>
    <row r="142" spans="1:23" ht="14.1" customHeight="1" thickBot="1" x14ac:dyDescent="0.2">
      <c r="A142" s="2190"/>
      <c r="B142" s="2164"/>
      <c r="C142" s="523" t="s">
        <v>494</v>
      </c>
      <c r="D142" s="533">
        <f t="shared" si="68"/>
        <v>2000000</v>
      </c>
      <c r="E142" s="527">
        <f t="shared" si="68"/>
        <v>2000000</v>
      </c>
      <c r="F142" s="527">
        <f t="shared" si="68"/>
        <v>2000000</v>
      </c>
      <c r="G142" s="527">
        <f t="shared" si="68"/>
        <v>2000000</v>
      </c>
      <c r="H142" s="527">
        <f t="shared" si="68"/>
        <v>2000000</v>
      </c>
      <c r="I142" s="527">
        <f t="shared" si="68"/>
        <v>2000000</v>
      </c>
      <c r="J142" s="527">
        <f t="shared" si="68"/>
        <v>2000000</v>
      </c>
      <c r="K142" s="527">
        <f t="shared" si="68"/>
        <v>2000000</v>
      </c>
      <c r="L142" s="527">
        <f t="shared" si="68"/>
        <v>2000000</v>
      </c>
      <c r="M142" s="527">
        <f t="shared" si="68"/>
        <v>2000000</v>
      </c>
      <c r="N142" s="527">
        <f t="shared" si="68"/>
        <v>2000000</v>
      </c>
      <c r="O142" s="528">
        <f t="shared" si="68"/>
        <v>2000000</v>
      </c>
      <c r="P142" s="1058"/>
      <c r="Q142" s="1043">
        <f t="shared" ca="1" si="65"/>
        <v>24000000</v>
      </c>
      <c r="R142" s="1339"/>
      <c r="S142" s="527">
        <f t="shared" ca="1" si="61"/>
        <v>2000000</v>
      </c>
      <c r="T142" s="1429"/>
      <c r="U142" s="1033">
        <f t="shared" ca="1" si="67"/>
        <v>24000000</v>
      </c>
      <c r="V142" s="1353"/>
      <c r="W142" s="999">
        <v>0.1</v>
      </c>
    </row>
    <row r="143" spans="1:23" ht="14.1" customHeight="1" thickBot="1" x14ac:dyDescent="0.2">
      <c r="A143" s="2190"/>
      <c r="B143" s="2189"/>
      <c r="C143" s="534" t="s">
        <v>32</v>
      </c>
      <c r="D143" s="535">
        <f>D138-(D139+D141+D142)</f>
        <v>-14941</v>
      </c>
      <c r="E143" s="536">
        <f t="shared" ref="E143:O143" si="69">E138-(E139+E141+E142)</f>
        <v>981638</v>
      </c>
      <c r="F143" s="536">
        <f t="shared" si="69"/>
        <v>392742</v>
      </c>
      <c r="G143" s="536">
        <f t="shared" si="69"/>
        <v>443711.66345955804</v>
      </c>
      <c r="H143" s="536">
        <f t="shared" si="69"/>
        <v>-95521</v>
      </c>
      <c r="I143" s="536">
        <f t="shared" si="69"/>
        <v>109853</v>
      </c>
      <c r="J143" s="536">
        <f t="shared" si="69"/>
        <v>337909</v>
      </c>
      <c r="K143" s="536">
        <f t="shared" si="69"/>
        <v>386405</v>
      </c>
      <c r="L143" s="536">
        <f t="shared" si="69"/>
        <v>1869797</v>
      </c>
      <c r="M143" s="536">
        <f t="shared" si="69"/>
        <v>-185595</v>
      </c>
      <c r="N143" s="536">
        <f t="shared" si="69"/>
        <v>826413</v>
      </c>
      <c r="O143" s="537">
        <f t="shared" si="69"/>
        <v>135250</v>
      </c>
      <c r="P143" s="1057">
        <f ca="1">IF(R143&gt;=0,1,IF(R143&lt;-0.1,-1,0))</f>
        <v>1</v>
      </c>
      <c r="Q143" s="1045">
        <f t="shared" ca="1" si="65"/>
        <v>5187661.663459558</v>
      </c>
      <c r="R143" s="1343">
        <f ca="1">IF(Q137=0,1-(Q139+Q141+Q142)/Q138,IF(Q137=Q143,0,ROUND((Q143-Q137)/ABS(Q137),3)))</f>
        <v>7.5170000000000003</v>
      </c>
      <c r="S143" s="536">
        <f t="shared" ca="1" si="61"/>
        <v>432305.13862162986</v>
      </c>
      <c r="T143" s="1374">
        <f ca="1">IF(V143&gt;=0,1,IF(V143&lt;-0.1,-1,0))</f>
        <v>1</v>
      </c>
      <c r="U143" s="1034">
        <f t="shared" ca="1" si="67"/>
        <v>5187661.663459558</v>
      </c>
      <c r="V143" s="1358">
        <f ca="1">IF(U137=0,1-(U139+U141+U142)/U138,IF(U137=U143,0,ROUND((U143-U137)/ABS(U137),3)))</f>
        <v>7.5170000000000003</v>
      </c>
      <c r="W143" s="999">
        <v>0.1</v>
      </c>
    </row>
    <row r="144" spans="1:23" ht="14.1" customHeight="1" thickBot="1" x14ac:dyDescent="0.2">
      <c r="A144" s="2157" t="s">
        <v>336</v>
      </c>
      <c r="B144" s="2188" t="s">
        <v>443</v>
      </c>
      <c r="C144" s="502" t="s">
        <v>26</v>
      </c>
      <c r="D144" s="503">
        <f>'事業所損益管理(H29.9～H30.8)収支計画表'!F124</f>
        <v>3500000</v>
      </c>
      <c r="E144" s="504">
        <f>'事業所損益管理(H29.9～H30.8)収支計画表'!G124</f>
        <v>3650000</v>
      </c>
      <c r="F144" s="504">
        <f>'事業所損益管理(H29.9～H30.8)収支計画表'!H124</f>
        <v>3700000</v>
      </c>
      <c r="G144" s="504">
        <f>'事業所損益管理(H29.9～H30.8)収支計画表'!I124</f>
        <v>3600000</v>
      </c>
      <c r="H144" s="504">
        <f>'事業所損益管理(H29.9～H30.8)収支計画表'!J124</f>
        <v>2020000</v>
      </c>
      <c r="I144" s="504">
        <f>'事業所損益管理(H29.9～H30.8)収支計画表'!K124</f>
        <v>1930000</v>
      </c>
      <c r="J144" s="504">
        <f>'事業所損益管理(H29.9～H30.8)収支計画表'!L124</f>
        <v>2030000</v>
      </c>
      <c r="K144" s="504">
        <f>'事業所損益管理(H29.9～H30.8)収支計画表'!M124</f>
        <v>2230000</v>
      </c>
      <c r="L144" s="504">
        <f>'事業所損益管理(H29.9～H30.8)収支計画表'!N124</f>
        <v>2230000</v>
      </c>
      <c r="M144" s="504">
        <f>'事業所損益管理(H29.9～H30.8)収支計画表'!O124</f>
        <v>2230000</v>
      </c>
      <c r="N144" s="504">
        <f>'事業所損益管理(H29.9～H30.8)収支計画表'!P124</f>
        <v>2230000</v>
      </c>
      <c r="O144" s="505">
        <f>'事業所損益管理(H29.9～H30.8)収支計画表'!Q124</f>
        <v>2230000</v>
      </c>
      <c r="P144" s="1049"/>
      <c r="Q144" s="1039">
        <f t="shared" ca="1" si="4"/>
        <v>31580000</v>
      </c>
      <c r="R144" s="1338"/>
      <c r="S144" s="506">
        <f t="shared" ca="1" si="42"/>
        <v>2631666.6666666665</v>
      </c>
      <c r="T144" s="1035"/>
      <c r="U144" s="1035">
        <f t="shared" ref="U144:U149" si="70">SUM(D144:O144)</f>
        <v>31580000</v>
      </c>
      <c r="V144" s="1352"/>
    </row>
    <row r="145" spans="1:23" ht="14.1" customHeight="1" thickBot="1" x14ac:dyDescent="0.2">
      <c r="A145" s="2158"/>
      <c r="B145" s="2188"/>
      <c r="C145" s="508" t="s">
        <v>15</v>
      </c>
      <c r="D145" s="509">
        <f>'事業所損益管理(H29.9～H30.8)収支計画表'!F125</f>
        <v>1827000</v>
      </c>
      <c r="E145" s="510">
        <f>'事業所損益管理(H29.9～H30.8)収支計画表'!G125</f>
        <v>1900000</v>
      </c>
      <c r="F145" s="510">
        <f>'事業所損益管理(H29.9～H30.8)収支計画表'!H125</f>
        <v>1925000</v>
      </c>
      <c r="G145" s="510">
        <f>'事業所損益管理(H29.9～H30.8)収支計画表'!I125</f>
        <v>1887000</v>
      </c>
      <c r="H145" s="510">
        <f>'事業所損益管理(H29.9～H30.8)収支計画表'!J125</f>
        <v>1870000</v>
      </c>
      <c r="I145" s="510">
        <f>'事業所損益管理(H29.9～H30.8)収支計画表'!K125</f>
        <v>1620000</v>
      </c>
      <c r="J145" s="510">
        <f>'事業所損益管理(H29.9～H30.8)収支計画表'!L125</f>
        <v>1450000</v>
      </c>
      <c r="K145" s="510">
        <f>'事業所損益管理(H29.9～H30.8)収支計画表'!M125</f>
        <v>1160000</v>
      </c>
      <c r="L145" s="510">
        <f>'事業所損益管理(H29.9～H30.8)収支計画表'!N125</f>
        <v>1160000</v>
      </c>
      <c r="M145" s="510">
        <f>'事業所損益管理(H29.9～H30.8)収支計画表'!O125</f>
        <v>1160000</v>
      </c>
      <c r="N145" s="510">
        <f>'事業所損益管理(H29.9～H30.8)収支計画表'!P125</f>
        <v>1160000</v>
      </c>
      <c r="O145" s="511">
        <f>'事業所損益管理(H29.9～H30.8)収支計画表'!Q125</f>
        <v>1160000</v>
      </c>
      <c r="P145" s="1050"/>
      <c r="Q145" s="1040">
        <f t="shared" ca="1" si="4"/>
        <v>18279000</v>
      </c>
      <c r="R145" s="1339"/>
      <c r="S145" s="512">
        <f t="shared" ca="1" si="42"/>
        <v>1523250</v>
      </c>
      <c r="T145" s="1036"/>
      <c r="U145" s="1036">
        <f t="shared" si="70"/>
        <v>18279000</v>
      </c>
      <c r="V145" s="1353"/>
    </row>
    <row r="146" spans="1:23" ht="14.1" customHeight="1" thickBot="1" x14ac:dyDescent="0.2">
      <c r="A146" s="2158"/>
      <c r="B146" s="2188"/>
      <c r="C146" s="514" t="s">
        <v>447</v>
      </c>
      <c r="D146" s="509">
        <f>'事業所損益管理(H29.9～H30.8)収支計画表'!F126</f>
        <v>0</v>
      </c>
      <c r="E146" s="510">
        <f>'事業所損益管理(H29.9～H30.8)収支計画表'!G126</f>
        <v>0</v>
      </c>
      <c r="F146" s="510">
        <f>'事業所損益管理(H29.9～H30.8)収支計画表'!H126</f>
        <v>30000</v>
      </c>
      <c r="G146" s="510">
        <f>'事業所損益管理(H29.9～H30.8)収支計画表'!I126</f>
        <v>0</v>
      </c>
      <c r="H146" s="510">
        <f>'事業所損益管理(H29.9～H30.8)収支計画表'!J126</f>
        <v>25000</v>
      </c>
      <c r="I146" s="510">
        <f>'事業所損益管理(H29.9～H30.8)収支計画表'!K126</f>
        <v>0</v>
      </c>
      <c r="J146" s="510">
        <f>'事業所損益管理(H29.9～H30.8)収支計画表'!L126</f>
        <v>0</v>
      </c>
      <c r="K146" s="510">
        <f>'事業所損益管理(H29.9～H30.8)収支計画表'!M126</f>
        <v>25000</v>
      </c>
      <c r="L146" s="510">
        <f>'事業所損益管理(H29.9～H30.8)収支計画表'!N126</f>
        <v>0</v>
      </c>
      <c r="M146" s="510">
        <f>'事業所損益管理(H29.9～H30.8)収支計画表'!O126</f>
        <v>0</v>
      </c>
      <c r="N146" s="510">
        <f>'事業所損益管理(H29.9～H30.8)収支計画表'!P126</f>
        <v>25000</v>
      </c>
      <c r="O146" s="511">
        <f>'事業所損益管理(H29.9～H30.8)収支計画表'!Q126</f>
        <v>0</v>
      </c>
      <c r="P146" s="1050"/>
      <c r="Q146" s="1040">
        <f ca="1">SUM(OFFSET(D146,0,0,1,IF(ISERROR(MATCH(DATE(YEAR($E$1),MONTH($E$1),1),$D$2:$O$2,0)),0,MATCH(DATE(YEAR($E$1),MONTH($E$1),1),$D$2:$O$2,0))))</f>
        <v>105000</v>
      </c>
      <c r="R146" s="1339"/>
      <c r="S146" s="512">
        <f t="shared" ca="1" si="42"/>
        <v>8750</v>
      </c>
      <c r="T146" s="1036"/>
      <c r="U146" s="1036">
        <f t="shared" si="70"/>
        <v>105000</v>
      </c>
      <c r="V146" s="1353"/>
    </row>
    <row r="147" spans="1:23" ht="14.1" customHeight="1" thickBot="1" x14ac:dyDescent="0.2">
      <c r="A147" s="2158"/>
      <c r="B147" s="2188"/>
      <c r="C147" s="508" t="s">
        <v>35</v>
      </c>
      <c r="D147" s="509">
        <f>'事業所損益管理(H29.9～H30.8)収支計画表'!F127</f>
        <v>900000</v>
      </c>
      <c r="E147" s="510">
        <f>'事業所損益管理(H29.9～H30.8)収支計画表'!G127</f>
        <v>830000</v>
      </c>
      <c r="F147" s="510">
        <f>'事業所損益管理(H29.9～H30.8)収支計画表'!H127</f>
        <v>860000</v>
      </c>
      <c r="G147" s="510">
        <f>'事業所損益管理(H29.9～H30.8)収支計画表'!I127</f>
        <v>830000</v>
      </c>
      <c r="H147" s="510">
        <f>'事業所損益管理(H29.9～H30.8)収支計画表'!J127</f>
        <v>2600000</v>
      </c>
      <c r="I147" s="510">
        <f>'事業所損益管理(H29.9～H30.8)収支計画表'!K127</f>
        <v>820000</v>
      </c>
      <c r="J147" s="510">
        <f>'事業所損益管理(H29.9～H30.8)収支計画表'!L127</f>
        <v>750000</v>
      </c>
      <c r="K147" s="510">
        <f>'事業所損益管理(H29.9～H30.8)収支計画表'!M127</f>
        <v>750000</v>
      </c>
      <c r="L147" s="510">
        <f>'事業所損益管理(H29.9～H30.8)収支計画表'!N127</f>
        <v>750000</v>
      </c>
      <c r="M147" s="510">
        <f>'事業所損益管理(H29.9～H30.8)収支計画表'!O127</f>
        <v>750000</v>
      </c>
      <c r="N147" s="510">
        <f>'事業所損益管理(H29.9～H30.8)収支計画表'!P127</f>
        <v>750000</v>
      </c>
      <c r="O147" s="511">
        <f>'事業所損益管理(H29.9～H30.8)収支計画表'!Q127</f>
        <v>750000</v>
      </c>
      <c r="P147" s="1050"/>
      <c r="Q147" s="1040">
        <f ca="1">SUM(OFFSET(D147,0,0,1,IF(ISERROR(MATCH(DATE(YEAR($E$1),MONTH($E$1),1),$D$2:$O$2,0)),0,MATCH(DATE(YEAR($E$1),MONTH($E$1),1),$D$2:$O$2,0))))</f>
        <v>11340000</v>
      </c>
      <c r="R147" s="1339"/>
      <c r="S147" s="512">
        <f t="shared" ca="1" si="42"/>
        <v>945000</v>
      </c>
      <c r="T147" s="1036"/>
      <c r="U147" s="1036">
        <f>SUM(D147:O147)</f>
        <v>11340000</v>
      </c>
      <c r="V147" s="1353"/>
    </row>
    <row r="148" spans="1:23" ht="14.1" customHeight="1" thickBot="1" x14ac:dyDescent="0.2">
      <c r="A148" s="2158"/>
      <c r="B148" s="2188"/>
      <c r="C148" s="523" t="s">
        <v>495</v>
      </c>
      <c r="D148" s="524">
        <v>600000</v>
      </c>
      <c r="E148" s="525">
        <v>600000</v>
      </c>
      <c r="F148" s="525">
        <v>600000</v>
      </c>
      <c r="G148" s="525">
        <v>600000</v>
      </c>
      <c r="H148" s="525">
        <v>300000</v>
      </c>
      <c r="I148" s="525">
        <v>300000</v>
      </c>
      <c r="J148" s="525">
        <v>300000</v>
      </c>
      <c r="K148" s="525">
        <v>300000</v>
      </c>
      <c r="L148" s="525">
        <v>300000</v>
      </c>
      <c r="M148" s="525">
        <v>300000</v>
      </c>
      <c r="N148" s="525">
        <v>0</v>
      </c>
      <c r="O148" s="526">
        <v>0</v>
      </c>
      <c r="P148" s="1051"/>
      <c r="Q148" s="1043">
        <f t="shared" ca="1" si="4"/>
        <v>4200000</v>
      </c>
      <c r="R148" s="1339"/>
      <c r="S148" s="527">
        <f t="shared" ca="1" si="42"/>
        <v>350000</v>
      </c>
      <c r="T148" s="1033"/>
      <c r="U148" s="1033">
        <f t="shared" si="70"/>
        <v>4200000</v>
      </c>
      <c r="V148" s="1353"/>
    </row>
    <row r="149" spans="1:23" ht="14.1" customHeight="1" thickBot="1" x14ac:dyDescent="0.2">
      <c r="A149" s="2158"/>
      <c r="B149" s="2188"/>
      <c r="C149" s="529" t="s">
        <v>32</v>
      </c>
      <c r="D149" s="530">
        <f>D144-(D145+D147+D148)</f>
        <v>173000</v>
      </c>
      <c r="E149" s="531">
        <f t="shared" ref="E149:O149" si="71">E144-(E145+E147+E148)</f>
        <v>320000</v>
      </c>
      <c r="F149" s="531">
        <f t="shared" si="71"/>
        <v>315000</v>
      </c>
      <c r="G149" s="531">
        <f t="shared" si="71"/>
        <v>283000</v>
      </c>
      <c r="H149" s="531">
        <f t="shared" si="71"/>
        <v>-2750000</v>
      </c>
      <c r="I149" s="531">
        <f t="shared" si="71"/>
        <v>-810000</v>
      </c>
      <c r="J149" s="531">
        <f t="shared" si="71"/>
        <v>-470000</v>
      </c>
      <c r="K149" s="531">
        <f t="shared" si="71"/>
        <v>20000</v>
      </c>
      <c r="L149" s="531">
        <f t="shared" si="71"/>
        <v>20000</v>
      </c>
      <c r="M149" s="531">
        <f t="shared" si="71"/>
        <v>20000</v>
      </c>
      <c r="N149" s="531">
        <f t="shared" si="71"/>
        <v>320000</v>
      </c>
      <c r="O149" s="532">
        <f t="shared" si="71"/>
        <v>320000</v>
      </c>
      <c r="P149" s="1052"/>
      <c r="Q149" s="1044">
        <f t="shared" ca="1" si="4"/>
        <v>-2239000</v>
      </c>
      <c r="R149" s="1340"/>
      <c r="S149" s="531">
        <f t="shared" ca="1" si="42"/>
        <v>-186583.33333333334</v>
      </c>
      <c r="T149" s="1032"/>
      <c r="U149" s="1032">
        <f t="shared" si="70"/>
        <v>-2239000</v>
      </c>
      <c r="V149" s="1355"/>
    </row>
    <row r="150" spans="1:23" ht="14.1" customHeight="1" x14ac:dyDescent="0.15">
      <c r="A150" s="2158"/>
      <c r="B150" s="2164" t="s">
        <v>444</v>
      </c>
      <c r="C150" s="515" t="s">
        <v>26</v>
      </c>
      <c r="D150" s="516">
        <f>'事業所損益管理(H29.9～H30.8)収支計画表'!F129</f>
        <v>3185656</v>
      </c>
      <c r="E150" s="517">
        <f>'事業所損益管理(H29.9～H30.8)収支計画表'!G129</f>
        <v>3195164</v>
      </c>
      <c r="F150" s="517">
        <f>'事業所損益管理(H29.9～H30.8)収支計画表'!H129</f>
        <v>3133826</v>
      </c>
      <c r="G150" s="517">
        <f>'事業所損益管理(H29.9～H30.8)収支計画表'!I129</f>
        <v>3119675</v>
      </c>
      <c r="H150" s="517">
        <f>'事業所損益管理(H29.9～H30.8)収支計画表'!J129</f>
        <v>2345767</v>
      </c>
      <c r="I150" s="517">
        <f>'事業所損益管理(H29.9～H30.8)収支計画表'!K129</f>
        <v>2169663</v>
      </c>
      <c r="J150" s="517">
        <f>'事業所損益管理(H29.9～H30.8)収支計画表'!L129</f>
        <v>2256558</v>
      </c>
      <c r="K150" s="517">
        <f>'事業所損益管理(H29.9～H30.8)収支計画表'!M129</f>
        <v>1960949</v>
      </c>
      <c r="L150" s="517">
        <f>'事業所損益管理(H29.9～H30.8)収支計画表'!N129</f>
        <v>1955643</v>
      </c>
      <c r="M150" s="517">
        <f>'事業所損益管理(H29.9～H30.8)収支計画表'!O129</f>
        <v>1889542</v>
      </c>
      <c r="N150" s="517">
        <f>'事業所損益管理(H29.9～H30.8)収支計画表'!P129</f>
        <v>1614388</v>
      </c>
      <c r="O150" s="518">
        <f>'事業所損益管理(H29.9～H30.8)収支計画表'!Q129</f>
        <v>1444523</v>
      </c>
      <c r="P150" s="1055">
        <f ca="1">IF(R150&gt;=1,1,IF(R150&lt;0.9,-1,0))</f>
        <v>-1</v>
      </c>
      <c r="Q150" s="1041">
        <f t="shared" ca="1" si="4"/>
        <v>28271354</v>
      </c>
      <c r="R150" s="1341">
        <f ca="1">IF(Q144&lt;0,ROUND((Q150-Q144)/ABS(Q144),3),IF(Q144=0,0,ROUND(Q150/Q144,3)))</f>
        <v>0.89500000000000002</v>
      </c>
      <c r="S150" s="517">
        <f t="shared" ca="1" si="42"/>
        <v>2355946.1666666665</v>
      </c>
      <c r="T150" s="1372">
        <f ca="1">IF(V150&gt;=1,1,IF(V150&lt;0.9,-1,0))</f>
        <v>-1</v>
      </c>
      <c r="U150" s="1030">
        <f t="shared" ref="U150:U155" ca="1" si="72">Q150+(12-IF(ISERROR(MATCH(DATE(YEAR($E$1),MONTH($E$1),1),$D$2:$O$2,0)),0,MATCH(DATE(YEAR($E$1),MONTH($E$1),1),$D$2:$O$2,0)))*S150</f>
        <v>28271354</v>
      </c>
      <c r="V150" s="1356">
        <f ca="1">IF(U144&lt;0,ROUND((U150-U144)/ABS(U144),3),IF(U144=0,0,ROUND(U150/U144,3)))</f>
        <v>0.89500000000000002</v>
      </c>
      <c r="W150" s="999">
        <v>0.1</v>
      </c>
    </row>
    <row r="151" spans="1:23" ht="14.1" customHeight="1" x14ac:dyDescent="0.15">
      <c r="A151" s="2158"/>
      <c r="B151" s="2164"/>
      <c r="C151" s="519" t="s">
        <v>15</v>
      </c>
      <c r="D151" s="520">
        <f>'事業所損益管理(H29.9～H30.8)収支計画表'!F130</f>
        <v>1716632</v>
      </c>
      <c r="E151" s="521">
        <f>'事業所損益管理(H29.9～H30.8)収支計画表'!G130</f>
        <v>1706006</v>
      </c>
      <c r="F151" s="521">
        <f>'事業所損益管理(H29.9～H30.8)収支計画表'!H130</f>
        <v>1694389</v>
      </c>
      <c r="G151" s="521">
        <f>'事業所損益管理(H29.9～H30.8)収支計画表'!I130</f>
        <v>1862425.9867857778</v>
      </c>
      <c r="H151" s="521">
        <f>'事業所損益管理(H29.9～H30.8)収支計画表'!J130</f>
        <v>2505733</v>
      </c>
      <c r="I151" s="521">
        <f>'事業所損益管理(H29.9～H30.8)収支計画表'!K130</f>
        <v>1313909</v>
      </c>
      <c r="J151" s="521">
        <f>'事業所損益管理(H29.9～H30.8)収支計画表'!L130</f>
        <v>1420588</v>
      </c>
      <c r="K151" s="521">
        <f>'事業所損益管理(H29.9～H30.8)収支計画表'!M130</f>
        <v>1231638</v>
      </c>
      <c r="L151" s="521">
        <f>'事業所損益管理(H29.9～H30.8)収支計画表'!N130</f>
        <v>916985</v>
      </c>
      <c r="M151" s="521">
        <f>'事業所損益管理(H29.9～H30.8)収支計画表'!O130</f>
        <v>955534</v>
      </c>
      <c r="N151" s="521">
        <f>'事業所損益管理(H29.9～H30.8)収支計画表'!P130</f>
        <v>829847</v>
      </c>
      <c r="O151" s="522">
        <f>'事業所損益管理(H29.9～H30.8)収支計画表'!Q130</f>
        <v>827963</v>
      </c>
      <c r="P151" s="1056">
        <f ca="1">IF(R151&lt;=1,1,IF(R151&gt;1.1,-1,0))</f>
        <v>1</v>
      </c>
      <c r="Q151" s="1042">
        <f t="shared" ca="1" si="4"/>
        <v>16981649.986785777</v>
      </c>
      <c r="R151" s="1342">
        <f ca="1">IF(Q145&lt;0,ROUND((Q151-Q145)/ABS(Q145),3),IF(Q145=0,0,ROUND(Q151/Q145,3)))</f>
        <v>0.92900000000000005</v>
      </c>
      <c r="S151" s="521">
        <f t="shared" ca="1" si="42"/>
        <v>1415137.4988988147</v>
      </c>
      <c r="T151" s="1373">
        <f ca="1">IF(V151&lt;=1,1,IF(V151&gt;1.1,-1,0))</f>
        <v>1</v>
      </c>
      <c r="U151" s="1031">
        <f t="shared" ca="1" si="72"/>
        <v>16981649.986785777</v>
      </c>
      <c r="V151" s="1357">
        <f ca="1">IF(U145&lt;0,ROUND((U151-U145)/ABS(U145),3),IF(U145=0,0,ROUND(U151/U145,3)))</f>
        <v>0.92900000000000005</v>
      </c>
      <c r="W151" s="999">
        <v>0.1</v>
      </c>
    </row>
    <row r="152" spans="1:23" ht="14.1" customHeight="1" x14ac:dyDescent="0.15">
      <c r="A152" s="2158"/>
      <c r="B152" s="2164"/>
      <c r="C152" s="450" t="s">
        <v>448</v>
      </c>
      <c r="D152" s="520">
        <f>'事業所損益管理(H29.9～H30.8)収支計画表'!F131</f>
        <v>24300</v>
      </c>
      <c r="E152" s="521">
        <f>'事業所損益管理(H29.9～H30.8)収支計画表'!G131</f>
        <v>0</v>
      </c>
      <c r="F152" s="521">
        <f>'事業所損益管理(H29.9～H30.8)収支計画表'!H131</f>
        <v>25500</v>
      </c>
      <c r="G152" s="521">
        <f>'事業所損益管理(H29.9～H30.8)収支計画表'!I131</f>
        <v>24300</v>
      </c>
      <c r="H152" s="521">
        <f>'事業所損益管理(H29.9～H30.8)収支計画表'!J131</f>
        <v>25920</v>
      </c>
      <c r="I152" s="521">
        <f>'事業所損益管理(H29.9～H30.8)収支計画表'!K131</f>
        <v>72900</v>
      </c>
      <c r="J152" s="521">
        <f>'事業所損益管理(H29.9～H30.8)収支計画表'!L131</f>
        <v>17280</v>
      </c>
      <c r="K152" s="521">
        <f>'事業所損益管理(H29.9～H30.8)収支計画表'!M131</f>
        <v>48600</v>
      </c>
      <c r="L152" s="521">
        <f>'事業所損益管理(H29.9～H30.8)収支計画表'!N131</f>
        <v>0</v>
      </c>
      <c r="M152" s="521">
        <f>'事業所損益管理(H29.9～H30.8)収支計画表'!O131</f>
        <v>0</v>
      </c>
      <c r="N152" s="521">
        <f>'事業所損益管理(H29.9～H30.8)収支計画表'!P131</f>
        <v>0</v>
      </c>
      <c r="O152" s="522">
        <f>'事業所損益管理(H29.9～H30.8)収支計画表'!Q131</f>
        <v>0</v>
      </c>
      <c r="P152" s="1056">
        <f ca="1">IF(R152&lt;=1,1,IF(R152&gt;1.1,-1,0))</f>
        <v>-1</v>
      </c>
      <c r="Q152" s="1042">
        <f t="shared" ca="1" si="4"/>
        <v>238800</v>
      </c>
      <c r="R152" s="1342">
        <f ca="1">IF(Q146&lt;0,ROUND((Q152-Q146)/ABS(Q146),3),IF(Q146=0,0,ROUND(Q152/Q146,3)))</f>
        <v>2.274</v>
      </c>
      <c r="S152" s="521">
        <f t="shared" ca="1" si="42"/>
        <v>19900</v>
      </c>
      <c r="T152" s="1373">
        <f ca="1">IF(V152&lt;=1,1,IF(V152&gt;1.1,-1,0))</f>
        <v>-1</v>
      </c>
      <c r="U152" s="1031">
        <f t="shared" ca="1" si="72"/>
        <v>238800</v>
      </c>
      <c r="V152" s="1357">
        <f ca="1">IF(U146&lt;0,ROUND((U152-U146)/ABS(U146),3),IF(U146=0,0,ROUND(U152/U146,3)))</f>
        <v>2.274</v>
      </c>
      <c r="W152" s="999">
        <v>0.1</v>
      </c>
    </row>
    <row r="153" spans="1:23" ht="14.1" customHeight="1" x14ac:dyDescent="0.15">
      <c r="A153" s="2158"/>
      <c r="B153" s="2164"/>
      <c r="C153" s="519" t="s">
        <v>35</v>
      </c>
      <c r="D153" s="520">
        <f>'事業所損益管理(H29.9～H30.8)収支計画表'!F132</f>
        <v>979802</v>
      </c>
      <c r="E153" s="521">
        <f>'事業所損益管理(H29.9～H30.8)収支計画表'!G132</f>
        <v>980412</v>
      </c>
      <c r="F153" s="521">
        <f>'事業所損益管理(H29.9～H30.8)収支計画表'!H132</f>
        <v>882358</v>
      </c>
      <c r="G153" s="521">
        <f>'事業所損益管理(H29.9～H30.8)収支計画表'!I132</f>
        <v>1022330</v>
      </c>
      <c r="H153" s="521">
        <f>'事業所損益管理(H29.9～H30.8)収支計画表'!J132</f>
        <v>1003296</v>
      </c>
      <c r="I153" s="521">
        <f>'事業所損益管理(H29.9～H30.8)収支計画表'!K132</f>
        <v>1081985</v>
      </c>
      <c r="J153" s="521">
        <f>'事業所損益管理(H29.9～H30.8)収支計画表'!L132</f>
        <v>799757</v>
      </c>
      <c r="K153" s="521">
        <f>'事業所損益管理(H29.9～H30.8)収支計画表'!M132</f>
        <v>870969</v>
      </c>
      <c r="L153" s="521">
        <f>'事業所損益管理(H29.9～H30.8)収支計画表'!N132</f>
        <v>675648</v>
      </c>
      <c r="M153" s="521">
        <f>'事業所損益管理(H29.9～H30.8)収支計画表'!O132</f>
        <v>709959</v>
      </c>
      <c r="N153" s="521">
        <f>'事業所損益管理(H29.9～H30.8)収支計画表'!P132</f>
        <v>698763</v>
      </c>
      <c r="O153" s="522">
        <f>'事業所損益管理(H29.9～H30.8)収支計画表'!Q132</f>
        <v>539944</v>
      </c>
      <c r="P153" s="1056">
        <f ca="1">IF(R153&lt;=1,1,IF(R153&gt;1.1,-1,0))</f>
        <v>1</v>
      </c>
      <c r="Q153" s="1042">
        <f t="shared" ca="1" si="4"/>
        <v>10245223</v>
      </c>
      <c r="R153" s="1342">
        <f ca="1">IF(Q147&lt;0,ROUND((Q153-Q147)/ABS(Q147),3),IF(Q147=0,0,ROUND(Q153/Q147,3)))</f>
        <v>0.90300000000000002</v>
      </c>
      <c r="S153" s="521">
        <f t="shared" ca="1" si="42"/>
        <v>853768.58333333337</v>
      </c>
      <c r="T153" s="1373">
        <f ca="1">IF(V153&lt;=1,1,IF(V153&gt;1.1,-1,0))</f>
        <v>1</v>
      </c>
      <c r="U153" s="1031">
        <f t="shared" ca="1" si="72"/>
        <v>10245223</v>
      </c>
      <c r="V153" s="1357">
        <f ca="1">IF(U147&lt;0,ROUND((U153-U147)/ABS(U147),3),IF(U147=0,0,ROUND(U153/U147,3)))</f>
        <v>0.90300000000000002</v>
      </c>
      <c r="W153" s="999">
        <v>0.1</v>
      </c>
    </row>
    <row r="154" spans="1:23" ht="14.1" customHeight="1" x14ac:dyDescent="0.15">
      <c r="A154" s="2158"/>
      <c r="B154" s="2164"/>
      <c r="C154" s="523" t="s">
        <v>495</v>
      </c>
      <c r="D154" s="533">
        <f t="shared" ref="D154:O154" si="73">IF(D151=0,0,D148)</f>
        <v>600000</v>
      </c>
      <c r="E154" s="527">
        <f t="shared" si="73"/>
        <v>600000</v>
      </c>
      <c r="F154" s="527">
        <f t="shared" si="73"/>
        <v>600000</v>
      </c>
      <c r="G154" s="527">
        <f t="shared" si="73"/>
        <v>600000</v>
      </c>
      <c r="H154" s="527">
        <f t="shared" si="73"/>
        <v>300000</v>
      </c>
      <c r="I154" s="527">
        <f t="shared" si="73"/>
        <v>300000</v>
      </c>
      <c r="J154" s="527">
        <f t="shared" si="73"/>
        <v>300000</v>
      </c>
      <c r="K154" s="527">
        <f t="shared" si="73"/>
        <v>300000</v>
      </c>
      <c r="L154" s="527">
        <f t="shared" si="73"/>
        <v>300000</v>
      </c>
      <c r="M154" s="527">
        <f t="shared" si="73"/>
        <v>300000</v>
      </c>
      <c r="N154" s="527">
        <f t="shared" si="73"/>
        <v>0</v>
      </c>
      <c r="O154" s="528">
        <f t="shared" si="73"/>
        <v>0</v>
      </c>
      <c r="P154" s="1058"/>
      <c r="Q154" s="1043">
        <f t="shared" ca="1" si="4"/>
        <v>4200000</v>
      </c>
      <c r="R154" s="1339"/>
      <c r="S154" s="527">
        <f t="shared" ca="1" si="42"/>
        <v>350000</v>
      </c>
      <c r="T154" s="1429"/>
      <c r="U154" s="1033">
        <f t="shared" ca="1" si="72"/>
        <v>4200000</v>
      </c>
      <c r="V154" s="1454"/>
      <c r="W154" s="999">
        <v>0.1</v>
      </c>
    </row>
    <row r="155" spans="1:23" ht="14.1" customHeight="1" thickBot="1" x14ac:dyDescent="0.2">
      <c r="A155" s="2159"/>
      <c r="B155" s="2189"/>
      <c r="C155" s="534" t="s">
        <v>32</v>
      </c>
      <c r="D155" s="535">
        <f t="shared" ref="D155:N155" si="74">D150-(D151+D153+D154)</f>
        <v>-110778</v>
      </c>
      <c r="E155" s="536">
        <f t="shared" si="74"/>
        <v>-91254</v>
      </c>
      <c r="F155" s="536">
        <f t="shared" si="74"/>
        <v>-42921</v>
      </c>
      <c r="G155" s="536">
        <f t="shared" si="74"/>
        <v>-365080.98678577784</v>
      </c>
      <c r="H155" s="536">
        <f t="shared" si="74"/>
        <v>-1463262</v>
      </c>
      <c r="I155" s="536">
        <f t="shared" si="74"/>
        <v>-526231</v>
      </c>
      <c r="J155" s="536">
        <f t="shared" si="74"/>
        <v>-263787</v>
      </c>
      <c r="K155" s="536">
        <f t="shared" si="74"/>
        <v>-441658</v>
      </c>
      <c r="L155" s="536">
        <f t="shared" si="74"/>
        <v>63010</v>
      </c>
      <c r="M155" s="536">
        <f t="shared" si="74"/>
        <v>-75951</v>
      </c>
      <c r="N155" s="536">
        <f t="shared" si="74"/>
        <v>85778</v>
      </c>
      <c r="O155" s="537">
        <f>O150-(O151+O153+O154)</f>
        <v>76616</v>
      </c>
      <c r="P155" s="1057">
        <f ca="1">IF(R155&gt;=0,1,IF(R155&lt;-0.1,-1,0))</f>
        <v>-1</v>
      </c>
      <c r="Q155" s="1045">
        <f t="shared" ca="1" si="4"/>
        <v>-3155518.9867857778</v>
      </c>
      <c r="R155" s="1343">
        <f ca="1">IF(Q149=0,1-(Q151+Q153+Q154)/Q150,IF(Q149=Q155,0,ROUND((Q155-Q149)/ABS(Q149),3)))</f>
        <v>-0.40899999999999997</v>
      </c>
      <c r="S155" s="536">
        <f t="shared" ca="1" si="42"/>
        <v>-262959.91556548147</v>
      </c>
      <c r="T155" s="1374">
        <f ca="1">IF(V155&gt;=0,1,IF(V155&lt;-0.1,-1,0))</f>
        <v>-1</v>
      </c>
      <c r="U155" s="1034">
        <f t="shared" ca="1" si="72"/>
        <v>-3155518.9867857778</v>
      </c>
      <c r="V155" s="1358">
        <f ca="1">IF(U149=0,1-(U151+U153+U154)/U150,IF(U149=U155,0,ROUND((U155-U149)/ABS(U149),3)))</f>
        <v>-0.40899999999999997</v>
      </c>
      <c r="W155" s="999">
        <v>0.1</v>
      </c>
    </row>
    <row r="156" spans="1:23" ht="14.1" customHeight="1" x14ac:dyDescent="0.15">
      <c r="A156" s="2166" t="s">
        <v>19</v>
      </c>
      <c r="B156" s="2160" t="s">
        <v>443</v>
      </c>
      <c r="C156" s="502" t="s">
        <v>26</v>
      </c>
      <c r="D156" s="538">
        <f>D3+D12+D24+D36+D48+D60+D72+D84+D96+D108+D120+D144</f>
        <v>37141000</v>
      </c>
      <c r="E156" s="506">
        <f t="shared" ref="E156:O156" si="75">E3+E12+E24+E36+E48+E60+E72+E84+E96+E108+E120+E144</f>
        <v>37741000</v>
      </c>
      <c r="F156" s="506">
        <f t="shared" si="75"/>
        <v>37991000</v>
      </c>
      <c r="G156" s="506">
        <f t="shared" si="75"/>
        <v>38091000</v>
      </c>
      <c r="H156" s="506">
        <f t="shared" si="75"/>
        <v>36711000</v>
      </c>
      <c r="I156" s="506">
        <f t="shared" si="75"/>
        <v>36721000</v>
      </c>
      <c r="J156" s="506">
        <f t="shared" si="75"/>
        <v>37721000</v>
      </c>
      <c r="K156" s="506">
        <f t="shared" si="75"/>
        <v>38221000</v>
      </c>
      <c r="L156" s="506">
        <f t="shared" si="75"/>
        <v>38321000</v>
      </c>
      <c r="M156" s="506">
        <f t="shared" si="75"/>
        <v>38701000</v>
      </c>
      <c r="N156" s="506">
        <f t="shared" si="75"/>
        <v>39211000</v>
      </c>
      <c r="O156" s="507">
        <f t="shared" si="75"/>
        <v>39346000</v>
      </c>
      <c r="P156" s="1049"/>
      <c r="Q156" s="1039">
        <f t="shared" ca="1" si="4"/>
        <v>455917000</v>
      </c>
      <c r="R156" s="1338"/>
      <c r="S156" s="506">
        <f t="shared" ca="1" si="42"/>
        <v>37993083.333333336</v>
      </c>
      <c r="T156" s="1035"/>
      <c r="U156" s="1035">
        <f t="shared" ref="U156:U161" si="76">SUM(D156:O156)</f>
        <v>455917000</v>
      </c>
      <c r="V156" s="1359"/>
    </row>
    <row r="157" spans="1:23" ht="14.1" customHeight="1" x14ac:dyDescent="0.15">
      <c r="A157" s="2167"/>
      <c r="B157" s="2161"/>
      <c r="C157" s="508" t="s">
        <v>15</v>
      </c>
      <c r="D157" s="539">
        <f>D13+D25+D37+D49+D61+D73+D85+D97+D109+D121+D145</f>
        <v>20837000</v>
      </c>
      <c r="E157" s="512">
        <f t="shared" ref="E157:O157" si="77">E13+E25+E37+E49+E61+E73+E85+E97+E109+E121+E145</f>
        <v>21260000</v>
      </c>
      <c r="F157" s="512">
        <f t="shared" si="77"/>
        <v>21235000</v>
      </c>
      <c r="G157" s="512">
        <f t="shared" si="77"/>
        <v>34237000</v>
      </c>
      <c r="H157" s="512">
        <f t="shared" si="77"/>
        <v>21030000</v>
      </c>
      <c r="I157" s="512">
        <f t="shared" si="77"/>
        <v>21180000</v>
      </c>
      <c r="J157" s="512">
        <f t="shared" si="77"/>
        <v>21260000</v>
      </c>
      <c r="K157" s="512">
        <f t="shared" si="77"/>
        <v>21120000</v>
      </c>
      <c r="L157" s="512">
        <f t="shared" si="77"/>
        <v>21170000</v>
      </c>
      <c r="M157" s="512">
        <f t="shared" si="77"/>
        <v>33721000</v>
      </c>
      <c r="N157" s="512">
        <f t="shared" si="77"/>
        <v>22461000</v>
      </c>
      <c r="O157" s="513">
        <f t="shared" si="77"/>
        <v>22541000</v>
      </c>
      <c r="P157" s="1050"/>
      <c r="Q157" s="1040">
        <f t="shared" ca="1" si="4"/>
        <v>282052000</v>
      </c>
      <c r="R157" s="1339"/>
      <c r="S157" s="512">
        <f t="shared" ca="1" si="42"/>
        <v>23504333.333333332</v>
      </c>
      <c r="T157" s="1036"/>
      <c r="U157" s="1036">
        <f t="shared" si="76"/>
        <v>282052000</v>
      </c>
      <c r="V157" s="1353"/>
    </row>
    <row r="158" spans="1:23" ht="14.1" customHeight="1" x14ac:dyDescent="0.15">
      <c r="A158" s="2167"/>
      <c r="B158" s="2161"/>
      <c r="C158" s="514" t="s">
        <v>447</v>
      </c>
      <c r="D158" s="539">
        <f>D14+D26+D38+D50+D62+D74+D86+D98+D110+D122+D146</f>
        <v>500000</v>
      </c>
      <c r="E158" s="512">
        <f t="shared" ref="E158:O158" si="78">E14+E26+E38+E50+E62+E74+E86+E98+E110+E122+E146</f>
        <v>200000</v>
      </c>
      <c r="F158" s="512">
        <f t="shared" si="78"/>
        <v>280000</v>
      </c>
      <c r="G158" s="512">
        <f t="shared" si="78"/>
        <v>250000</v>
      </c>
      <c r="H158" s="512">
        <f t="shared" si="78"/>
        <v>725000</v>
      </c>
      <c r="I158" s="512">
        <f t="shared" si="78"/>
        <v>200000</v>
      </c>
      <c r="J158" s="512">
        <f t="shared" si="78"/>
        <v>450000</v>
      </c>
      <c r="K158" s="512">
        <f t="shared" si="78"/>
        <v>325000</v>
      </c>
      <c r="L158" s="512">
        <f t="shared" si="78"/>
        <v>200000</v>
      </c>
      <c r="M158" s="512">
        <f t="shared" si="78"/>
        <v>260000</v>
      </c>
      <c r="N158" s="512">
        <f t="shared" si="78"/>
        <v>325000</v>
      </c>
      <c r="O158" s="513">
        <f t="shared" si="78"/>
        <v>506000</v>
      </c>
      <c r="P158" s="1050"/>
      <c r="Q158" s="1040">
        <f t="shared" ca="1" si="4"/>
        <v>4221000</v>
      </c>
      <c r="R158" s="1339"/>
      <c r="S158" s="512">
        <f t="shared" ca="1" si="42"/>
        <v>351750</v>
      </c>
      <c r="T158" s="1036"/>
      <c r="U158" s="1036">
        <f t="shared" si="76"/>
        <v>4221000</v>
      </c>
      <c r="V158" s="1353"/>
    </row>
    <row r="159" spans="1:23" ht="14.1" customHeight="1" x14ac:dyDescent="0.15">
      <c r="A159" s="2167"/>
      <c r="B159" s="2161"/>
      <c r="C159" s="508" t="s">
        <v>35</v>
      </c>
      <c r="D159" s="539">
        <f>D15+D27+D39+D51+D63+D75+D87+D99+D111+D123+D147</f>
        <v>5750000</v>
      </c>
      <c r="E159" s="512">
        <f t="shared" ref="E159:O159" si="79">E15+E27+E39+E51+E63+E75+E87+E99+E111+E123+E147</f>
        <v>5705400</v>
      </c>
      <c r="F159" s="512">
        <f t="shared" si="79"/>
        <v>5801800</v>
      </c>
      <c r="G159" s="512">
        <f t="shared" si="79"/>
        <v>5751800</v>
      </c>
      <c r="H159" s="512">
        <f t="shared" si="79"/>
        <v>7551800</v>
      </c>
      <c r="I159" s="512">
        <f t="shared" si="79"/>
        <v>5801800</v>
      </c>
      <c r="J159" s="512">
        <f t="shared" si="79"/>
        <v>5831800</v>
      </c>
      <c r="K159" s="512">
        <f t="shared" si="79"/>
        <v>5811800</v>
      </c>
      <c r="L159" s="512">
        <f t="shared" si="79"/>
        <v>5881300</v>
      </c>
      <c r="M159" s="512">
        <f t="shared" si="79"/>
        <v>7125393</v>
      </c>
      <c r="N159" s="512">
        <f t="shared" si="79"/>
        <v>7478393</v>
      </c>
      <c r="O159" s="513">
        <f t="shared" si="79"/>
        <v>10211393</v>
      </c>
      <c r="P159" s="1050"/>
      <c r="Q159" s="1040">
        <f t="shared" ca="1" si="4"/>
        <v>78702679</v>
      </c>
      <c r="R159" s="1339"/>
      <c r="S159" s="512">
        <f t="shared" ca="1" si="42"/>
        <v>6558556.583333333</v>
      </c>
      <c r="T159" s="1036"/>
      <c r="U159" s="1036">
        <f t="shared" si="76"/>
        <v>78702679</v>
      </c>
      <c r="V159" s="1353"/>
    </row>
    <row r="160" spans="1:23" ht="14.1" customHeight="1" x14ac:dyDescent="0.15">
      <c r="A160" s="2167"/>
      <c r="B160" s="2161"/>
      <c r="C160" s="523" t="s">
        <v>495</v>
      </c>
      <c r="D160" s="524">
        <f>D16+D28+D40+D52+D64+D76+D88+D100+D112+D124+D148</f>
        <v>7000000</v>
      </c>
      <c r="E160" s="525">
        <f t="shared" ref="E160:O160" si="80">E16+E28+E40+E52+E64+E76+E88+E100+E112+E124+E148</f>
        <v>7000000</v>
      </c>
      <c r="F160" s="525">
        <f t="shared" si="80"/>
        <v>7000000</v>
      </c>
      <c r="G160" s="525">
        <f t="shared" si="80"/>
        <v>7000000</v>
      </c>
      <c r="H160" s="525">
        <f t="shared" si="80"/>
        <v>6700000</v>
      </c>
      <c r="I160" s="525">
        <f t="shared" si="80"/>
        <v>6700000</v>
      </c>
      <c r="J160" s="525">
        <f t="shared" si="80"/>
        <v>6700000</v>
      </c>
      <c r="K160" s="525">
        <f t="shared" si="80"/>
        <v>6700000</v>
      </c>
      <c r="L160" s="525">
        <f t="shared" si="80"/>
        <v>6700000</v>
      </c>
      <c r="M160" s="525">
        <f t="shared" si="80"/>
        <v>7300000</v>
      </c>
      <c r="N160" s="525">
        <f t="shared" si="80"/>
        <v>7300000</v>
      </c>
      <c r="O160" s="526">
        <f t="shared" si="80"/>
        <v>7300000</v>
      </c>
      <c r="P160" s="1051"/>
      <c r="Q160" s="1043">
        <f t="shared" ca="1" si="4"/>
        <v>83400000</v>
      </c>
      <c r="R160" s="1339"/>
      <c r="S160" s="527">
        <f t="shared" ca="1" si="42"/>
        <v>6950000</v>
      </c>
      <c r="T160" s="1033"/>
      <c r="U160" s="1033">
        <f t="shared" si="76"/>
        <v>83400000</v>
      </c>
      <c r="V160" s="1353"/>
    </row>
    <row r="161" spans="1:23" ht="14.1" customHeight="1" thickBot="1" x14ac:dyDescent="0.2">
      <c r="A161" s="2167"/>
      <c r="B161" s="2161"/>
      <c r="C161" s="813" t="s">
        <v>505</v>
      </c>
      <c r="D161" s="814">
        <f>D156-(D157+D159+D160)</f>
        <v>3554000</v>
      </c>
      <c r="E161" s="815">
        <f t="shared" ref="E161:O161" si="81">E156-(E157+E159+E160)</f>
        <v>3775600</v>
      </c>
      <c r="F161" s="815">
        <f t="shared" si="81"/>
        <v>3954200</v>
      </c>
      <c r="G161" s="815">
        <f t="shared" si="81"/>
        <v>-8897800</v>
      </c>
      <c r="H161" s="815">
        <f t="shared" si="81"/>
        <v>1429200</v>
      </c>
      <c r="I161" s="815">
        <f t="shared" si="81"/>
        <v>3039200</v>
      </c>
      <c r="J161" s="815">
        <f t="shared" si="81"/>
        <v>3929200</v>
      </c>
      <c r="K161" s="815">
        <f t="shared" si="81"/>
        <v>4589200</v>
      </c>
      <c r="L161" s="815">
        <f t="shared" si="81"/>
        <v>4569700</v>
      </c>
      <c r="M161" s="815">
        <f t="shared" si="81"/>
        <v>-9445393</v>
      </c>
      <c r="N161" s="815">
        <f t="shared" si="81"/>
        <v>1971607</v>
      </c>
      <c r="O161" s="816">
        <f t="shared" si="81"/>
        <v>-706393</v>
      </c>
      <c r="P161" s="1053"/>
      <c r="Q161" s="1046">
        <f t="shared" ca="1" si="4"/>
        <v>11762321</v>
      </c>
      <c r="R161" s="1345"/>
      <c r="S161" s="815">
        <f t="shared" ca="1" si="42"/>
        <v>980193.41666666663</v>
      </c>
      <c r="T161" s="1037"/>
      <c r="U161" s="1037">
        <f t="shared" si="76"/>
        <v>11762321</v>
      </c>
      <c r="V161" s="1361"/>
    </row>
    <row r="162" spans="1:23" ht="14.1" customHeight="1" thickBot="1" x14ac:dyDescent="0.2">
      <c r="A162" s="2167"/>
      <c r="B162" s="2162"/>
      <c r="C162" s="817" t="s">
        <v>500</v>
      </c>
      <c r="D162" s="819">
        <v>80000</v>
      </c>
      <c r="E162" s="820">
        <v>80000</v>
      </c>
      <c r="F162" s="820">
        <v>80000</v>
      </c>
      <c r="G162" s="820">
        <v>80000</v>
      </c>
      <c r="H162" s="820">
        <v>60000</v>
      </c>
      <c r="I162" s="820">
        <v>60000</v>
      </c>
      <c r="J162" s="820">
        <v>60000</v>
      </c>
      <c r="K162" s="820">
        <v>60000</v>
      </c>
      <c r="L162" s="820">
        <v>60000</v>
      </c>
      <c r="M162" s="820">
        <v>60000</v>
      </c>
      <c r="N162" s="820">
        <v>60000</v>
      </c>
      <c r="O162" s="821">
        <v>60000</v>
      </c>
      <c r="P162" s="1054"/>
      <c r="Q162" s="1047">
        <f t="shared" ca="1" si="4"/>
        <v>800000</v>
      </c>
      <c r="R162" s="1453"/>
      <c r="S162" s="818">
        <f ca="1">IF(ISERROR(Q162/(DATEDIF(D$2,E$1,"M")+1)),0,Q162/(DATEDIF(D$2,E$1,"M")+1))</f>
        <v>66666.666666666672</v>
      </c>
      <c r="T162" s="1062"/>
      <c r="U162" s="1062">
        <f>SUM(D162:O162)</f>
        <v>800000</v>
      </c>
      <c r="V162" s="1455"/>
    </row>
    <row r="163" spans="1:23" ht="14.1" customHeight="1" x14ac:dyDescent="0.15">
      <c r="A163" s="2167"/>
      <c r="B163" s="2163" t="s">
        <v>444</v>
      </c>
      <c r="C163" s="515" t="s">
        <v>26</v>
      </c>
      <c r="D163" s="516">
        <f>IF(D8="",0,D8)+
IF(D18="",0,D18)+
IF(D30="",0,D30)+
IF(D42="",0,D42)+
IF(D54="",0,D54)+
IF(D66="",0,D66)+
IF(D78="",0,D78)+
IF(D90="",0,D90)+
IF(D102="",0,D102)+
IF(D114="",0,D114)+
IF(D126="",0,D126)+
IF(D150="",0,D150)</f>
        <v>35916200</v>
      </c>
      <c r="E163" s="517">
        <f t="shared" ref="E163:O163" si="82">IF(E8="",0,E8)+
IF(E18="",0,E18)+
IF(E30="",0,E30)+
IF(E42="",0,E42)+
IF(E54="",0,E54)+
IF(E66="",0,E66)+
IF(E78="",0,E78)+
IF(E90="",0,E90)+
IF(E102="",0,E102)+
IF(E114="",0,E114)+
IF(E126="",0,E126)+
IF(E150="",0,E150)</f>
        <v>37696511</v>
      </c>
      <c r="F163" s="517">
        <f t="shared" si="82"/>
        <v>35721077</v>
      </c>
      <c r="G163" s="517">
        <f t="shared" si="82"/>
        <v>35713004</v>
      </c>
      <c r="H163" s="517">
        <f t="shared" si="82"/>
        <v>34507019</v>
      </c>
      <c r="I163" s="517">
        <f t="shared" si="82"/>
        <v>33718137</v>
      </c>
      <c r="J163" s="517">
        <f t="shared" si="82"/>
        <v>35034097</v>
      </c>
      <c r="K163" s="517">
        <f t="shared" si="82"/>
        <v>39122247</v>
      </c>
      <c r="L163" s="517">
        <f t="shared" si="82"/>
        <v>39669030</v>
      </c>
      <c r="M163" s="517">
        <f t="shared" si="82"/>
        <v>36072718</v>
      </c>
      <c r="N163" s="517">
        <f t="shared" si="82"/>
        <v>38549836</v>
      </c>
      <c r="O163" s="518">
        <f t="shared" si="82"/>
        <v>36710781</v>
      </c>
      <c r="P163" s="1056">
        <f ca="1">IF(R163&gt;=1,1,IF(R163&lt;0.9,-1,0))</f>
        <v>0</v>
      </c>
      <c r="Q163" s="1041">
        <f t="shared" ca="1" si="4"/>
        <v>438430657</v>
      </c>
      <c r="R163" s="1341">
        <f ca="1">IF(Q156&lt;0,ROUND((Q163-Q156)/ABS(Q156),3),IF(Q156=0,0,ROUND(Q163/Q156,3)))</f>
        <v>0.96199999999999997</v>
      </c>
      <c r="S163" s="517">
        <f t="shared" ca="1" si="42"/>
        <v>36535888.083333336</v>
      </c>
      <c r="T163" s="1373">
        <f ca="1">IF(V163&gt;=1,1,IF(V163&lt;0.9,-1,0))</f>
        <v>0</v>
      </c>
      <c r="U163" s="1030">
        <f t="shared" ref="U163:U169" ca="1" si="83">Q163+(12-IF(ISERROR(MATCH(DATE(YEAR($E$1),MONTH($E$1),1),$D$2:$O$2,0)),0,MATCH(DATE(YEAR($E$1),MONTH($E$1),1),$D$2:$O$2,0)))*S163</f>
        <v>438430657</v>
      </c>
      <c r="V163" s="1356">
        <f ca="1">IF(U156&lt;0,ROUND((U163-U156)/ABS(U156),3),IF(U156=0,0,ROUND(U163/U156,3)))</f>
        <v>0.96199999999999997</v>
      </c>
      <c r="W163" s="999">
        <v>0.1</v>
      </c>
    </row>
    <row r="164" spans="1:23" ht="14.1" customHeight="1" x14ac:dyDescent="0.15">
      <c r="A164" s="2167"/>
      <c r="B164" s="2164"/>
      <c r="C164" s="519" t="s">
        <v>15</v>
      </c>
      <c r="D164" s="520">
        <f>IF(D19="",0,D19)+
IF(D31="",0,D31)+
IF(D43="",0,D43)+
IF(D55="",0,D55)+
IF(D67="",0,D67)+
IF(D79="",0,D79)+
IF(D91="",0,D91)+
IF(D103="",0,D103)+
IF(D115="",0,D115)+
IF(D127="",0,D127)+
IF(D151="",0,D151)</f>
        <v>19241496</v>
      </c>
      <c r="E164" s="521">
        <f t="shared" ref="E164:O164" si="84">IF(E19="",0,E19)+
IF(E31="",0,E31)+
IF(E43="",0,E43)+
IF(E55="",0,E55)+
IF(E67="",0,E67)+
IF(E79="",0,E79)+
IF(E91="",0,E91)+
IF(E103="",0,E103)+
IF(E115="",0,E115)+
IF(E127="",0,E127)+
IF(E151="",0,E151)</f>
        <v>20326589</v>
      </c>
      <c r="F164" s="521">
        <f t="shared" si="84"/>
        <v>19807055</v>
      </c>
      <c r="G164" s="521">
        <f t="shared" si="84"/>
        <v>30075039.242243558</v>
      </c>
      <c r="H164" s="521">
        <f t="shared" si="84"/>
        <v>23526054</v>
      </c>
      <c r="I164" s="521">
        <f t="shared" si="84"/>
        <v>19610218</v>
      </c>
      <c r="J164" s="521">
        <f t="shared" si="84"/>
        <v>20525302</v>
      </c>
      <c r="K164" s="521">
        <f t="shared" si="84"/>
        <v>20456997</v>
      </c>
      <c r="L164" s="521">
        <f t="shared" si="84"/>
        <v>20145576</v>
      </c>
      <c r="M164" s="521">
        <f t="shared" si="84"/>
        <v>26714344</v>
      </c>
      <c r="N164" s="521">
        <f t="shared" si="84"/>
        <v>22913985</v>
      </c>
      <c r="O164" s="522">
        <f t="shared" si="84"/>
        <v>22463199</v>
      </c>
      <c r="P164" s="1056">
        <f ca="1">IF(R164&lt;=1,1,IF(R164&gt;1.1,-1,0))</f>
        <v>1</v>
      </c>
      <c r="Q164" s="1042">
        <f t="shared" ca="1" si="4"/>
        <v>265805854.24224356</v>
      </c>
      <c r="R164" s="1342">
        <f ca="1">IF(Q157&lt;0,ROUND((Q164-Q157)/ABS(Q157),3),IF(Q157=0,0,ROUND(Q164/Q157,3)))</f>
        <v>0.94199999999999995</v>
      </c>
      <c r="S164" s="521">
        <f t="shared" ca="1" si="42"/>
        <v>22150487.853520297</v>
      </c>
      <c r="T164" s="1373">
        <f ca="1">IF(V164&lt;=1,1,IF(V164&gt;1.1,-1,0))</f>
        <v>1</v>
      </c>
      <c r="U164" s="1031">
        <f t="shared" ca="1" si="83"/>
        <v>265805854.24224356</v>
      </c>
      <c r="V164" s="1357">
        <f ca="1">IF(U157&lt;0,ROUND((U164-U157)/ABS(U157),3),IF(U157=0,0,ROUND(U164/U157,3)))</f>
        <v>0.94199999999999995</v>
      </c>
      <c r="W164" s="999">
        <v>0.1</v>
      </c>
    </row>
    <row r="165" spans="1:23" ht="14.1" customHeight="1" x14ac:dyDescent="0.15">
      <c r="A165" s="2167"/>
      <c r="B165" s="2164"/>
      <c r="C165" s="450" t="s">
        <v>448</v>
      </c>
      <c r="D165" s="520">
        <f>IF(D20="",0,D20)+
IF(D32="",0,D32)+
IF(D44="",0,D44)+
IF(D56="",0,D56)+
IF(D68="",0,D68)+
IF(D80="",0,D80)+
IF(D92="",0,D92)+
IF(D104="",0,D104)+
IF(D116="",0,D116)+
IF(D128="",0,D128)+
IF(D152="",0,D152)</f>
        <v>494984</v>
      </c>
      <c r="E165" s="521">
        <f t="shared" ref="E165:O165" si="85">IF(E20="",0,E20)+
IF(E32="",0,E32)+
IF(E44="",0,E44)+
IF(E56="",0,E56)+
IF(E68="",0,E68)+
IF(E80="",0,E80)+
IF(E92="",0,E92)+
IF(E104="",0,E104)+
IF(E116="",0,E116)+
IF(E128="",0,E128)+
IF(E152="",0,E152)</f>
        <v>230257</v>
      </c>
      <c r="F165" s="521">
        <f t="shared" si="85"/>
        <v>279000</v>
      </c>
      <c r="G165" s="521">
        <f t="shared" si="85"/>
        <v>199692</v>
      </c>
      <c r="H165" s="521">
        <f t="shared" si="85"/>
        <v>151632</v>
      </c>
      <c r="I165" s="521">
        <f t="shared" si="85"/>
        <v>355752</v>
      </c>
      <c r="J165" s="521">
        <f t="shared" si="85"/>
        <v>297432</v>
      </c>
      <c r="K165" s="521">
        <f t="shared" si="85"/>
        <v>262440</v>
      </c>
      <c r="L165" s="521">
        <f t="shared" si="85"/>
        <v>600400</v>
      </c>
      <c r="M165" s="521">
        <f t="shared" si="85"/>
        <v>355771</v>
      </c>
      <c r="N165" s="521">
        <f t="shared" si="85"/>
        <v>459540</v>
      </c>
      <c r="O165" s="522">
        <f t="shared" si="85"/>
        <v>868860</v>
      </c>
      <c r="P165" s="1056">
        <f ca="1">IF(R165&lt;=1,1,IF(R165&gt;1.1,-1,0))</f>
        <v>0</v>
      </c>
      <c r="Q165" s="1042">
        <f t="shared" ref="Q165:Q170" ca="1" si="86">SUM(OFFSET(D165,0,0,1,IF(ISERROR(MATCH(DATE(YEAR($E$1),MONTH($E$1),1),$D$2:$O$2,0)),0,MATCH(DATE(YEAR($E$1),MONTH($E$1),1),$D$2:$O$2,0))))</f>
        <v>4555760</v>
      </c>
      <c r="R165" s="1342">
        <f ca="1">IF(Q158&lt;0,ROUND((Q165-Q158)/ABS(Q158),3),IF(Q158=0,0,ROUND(Q165/Q158,3)))</f>
        <v>1.079</v>
      </c>
      <c r="S165" s="521">
        <f t="shared" ref="S165:S170" ca="1" si="87">IF(ISERROR(Q165/(DATEDIF(D$2,E$1,"M")+1)),0,Q165/(DATEDIF(D$2,E$1,"M")+1))</f>
        <v>379646.66666666669</v>
      </c>
      <c r="T165" s="1373">
        <f ca="1">IF(V165&lt;=1,1,IF(V165&gt;1.1,-1,0))</f>
        <v>0</v>
      </c>
      <c r="U165" s="1031">
        <f t="shared" ca="1" si="83"/>
        <v>4555760</v>
      </c>
      <c r="V165" s="1357">
        <f ca="1">IF(U158&lt;0,ROUND((U165-U158)/ABS(U158),3),IF(U158=0,0,ROUND(U165/U158,3)))</f>
        <v>1.079</v>
      </c>
      <c r="W165" s="999">
        <v>0.1</v>
      </c>
    </row>
    <row r="166" spans="1:23" ht="14.1" customHeight="1" x14ac:dyDescent="0.15">
      <c r="A166" s="2167"/>
      <c r="B166" s="2164"/>
      <c r="C166" s="519" t="s">
        <v>35</v>
      </c>
      <c r="D166" s="520">
        <f>IF(D21="",0,D21)+
IF(D33="",0,D33)+
IF(D45="",0,D45)+
IF(D57="",0,D57)+
IF(D69="",0,D69)+
IF(D81="",0,D81)+
IF(D93="",0,D93)+
IF(D105="",0,D105)+
IF(D117="",0,D117)+
IF(D129="",0,D129)+
IF(D153="",0,D153)</f>
        <v>5639161</v>
      </c>
      <c r="E166" s="521">
        <f t="shared" ref="E166:O166" si="88">IF(E21="",0,E21)+
IF(E33="",0,E33)+
IF(E45="",0,E45)+
IF(E57="",0,E57)+
IF(E69="",0,E69)+
IF(E81="",0,E81)+
IF(E93="",0,E93)+
IF(E105="",0,E105)+
IF(E117="",0,E117)+
IF(E129="",0,E129)+
IF(E153="",0,E153)</f>
        <v>5742849</v>
      </c>
      <c r="F166" s="521">
        <f t="shared" si="88"/>
        <v>5981376</v>
      </c>
      <c r="G166" s="521">
        <f t="shared" si="88"/>
        <v>6703511</v>
      </c>
      <c r="H166" s="521">
        <f t="shared" si="88"/>
        <v>6324864</v>
      </c>
      <c r="I166" s="521">
        <f t="shared" si="88"/>
        <v>6277723</v>
      </c>
      <c r="J166" s="521">
        <f t="shared" si="88"/>
        <v>7378469</v>
      </c>
      <c r="K166" s="521">
        <f t="shared" si="88"/>
        <v>6839258</v>
      </c>
      <c r="L166" s="521">
        <f t="shared" si="88"/>
        <v>7438670</v>
      </c>
      <c r="M166" s="521">
        <f t="shared" si="88"/>
        <v>7027776</v>
      </c>
      <c r="N166" s="521">
        <f t="shared" si="88"/>
        <v>7910105</v>
      </c>
      <c r="O166" s="522">
        <f t="shared" si="88"/>
        <v>8076653</v>
      </c>
      <c r="P166" s="1056">
        <f ca="1">IF(R166&lt;=1,1,IF(R166&gt;1.1,-1,0))</f>
        <v>0</v>
      </c>
      <c r="Q166" s="1042">
        <f t="shared" ca="1" si="86"/>
        <v>81340415</v>
      </c>
      <c r="R166" s="1342">
        <f ca="1">IF(Q159&lt;0,ROUND((Q166-Q159)/ABS(Q159),3),IF(Q159=0,0,ROUND(Q166/Q159,3)))</f>
        <v>1.034</v>
      </c>
      <c r="S166" s="521">
        <f t="shared" ca="1" si="87"/>
        <v>6778367.916666667</v>
      </c>
      <c r="T166" s="1373">
        <f ca="1">IF(V166&lt;=1,1,IF(V166&gt;1.1,-1,0))</f>
        <v>0</v>
      </c>
      <c r="U166" s="1031">
        <f ca="1">Q166+(12-IF(ISERROR(MATCH(DATE(YEAR($E$1),MONTH($E$1),1),$D$2:$O$2,0)),0,MATCH(DATE(YEAR($E$1),MONTH($E$1),1),$D$2:$O$2,0)))*S166</f>
        <v>81340415</v>
      </c>
      <c r="V166" s="1357">
        <f ca="1">IF(U159&lt;0,ROUND((U166-U159)/ABS(U159),3),IF(U159=0,0,ROUND(U166/U159,3)))</f>
        <v>1.034</v>
      </c>
      <c r="W166" s="999">
        <v>0.1</v>
      </c>
    </row>
    <row r="167" spans="1:23" ht="14.1" customHeight="1" x14ac:dyDescent="0.15">
      <c r="A167" s="2167"/>
      <c r="B167" s="2164"/>
      <c r="C167" s="450" t="s">
        <v>1141</v>
      </c>
      <c r="D167" s="520">
        <f>'事業所損益管理(H29.9～H30.8)収支計画表'!F148</f>
        <v>163183</v>
      </c>
      <c r="E167" s="521">
        <f>'事業所損益管理(H29.9～H30.8)収支計画表'!G148</f>
        <v>0</v>
      </c>
      <c r="F167" s="521">
        <f>'事業所損益管理(H29.9～H30.8)収支計画表'!H148</f>
        <v>0</v>
      </c>
      <c r="G167" s="521">
        <f>'事業所損益管理(H29.9～H30.8)収支計画表'!I148</f>
        <v>0</v>
      </c>
      <c r="H167" s="521">
        <f>'事業所損益管理(H29.9～H30.8)収支計画表'!J148</f>
        <v>0</v>
      </c>
      <c r="I167" s="521">
        <f>'事業所損益管理(H29.9～H30.8)収支計画表'!K148</f>
        <v>0</v>
      </c>
      <c r="J167" s="521">
        <f>'事業所損益管理(H29.9～H30.8)収支計画表'!L148</f>
        <v>0</v>
      </c>
      <c r="K167" s="521">
        <f>'事業所損益管理(H29.9～H30.8)収支計画表'!M148</f>
        <v>0</v>
      </c>
      <c r="L167" s="521">
        <f>'事業所損益管理(H29.9～H30.8)収支計画表'!N148</f>
        <v>0</v>
      </c>
      <c r="M167" s="521">
        <f>'事業所損益管理(H29.9～H30.8)収支計画表'!O148</f>
        <v>0</v>
      </c>
      <c r="N167" s="521">
        <f>'事業所損益管理(H29.9～H30.8)収支計画表'!P148</f>
        <v>0</v>
      </c>
      <c r="O167" s="522">
        <f>'事業所損益管理(H29.9～H30.8)収支計画表'!Q148</f>
        <v>732150</v>
      </c>
      <c r="P167" s="1056"/>
      <c r="Q167" s="1042">
        <f t="shared" ca="1" si="86"/>
        <v>895333</v>
      </c>
      <c r="R167" s="1339"/>
      <c r="S167" s="521">
        <f t="shared" ca="1" si="87"/>
        <v>74611.083333333328</v>
      </c>
      <c r="T167" s="1373"/>
      <c r="U167" s="1031">
        <f ca="1">Q167+(12-IF(ISERROR(MATCH(DATE(YEAR($E$1),MONTH($E$1),1),$D$2:$O$2,0)),0,MATCH(DATE(YEAR($E$1),MONTH($E$1),1),$D$2:$O$2,0)))*S167</f>
        <v>895333</v>
      </c>
      <c r="V167" s="1353"/>
      <c r="W167" s="999">
        <v>0.1</v>
      </c>
    </row>
    <row r="168" spans="1:23" ht="14.1" customHeight="1" x14ac:dyDescent="0.15">
      <c r="A168" s="2167"/>
      <c r="B168" s="2164"/>
      <c r="C168" s="523" t="s">
        <v>496</v>
      </c>
      <c r="D168" s="524">
        <f>IF(D22="",0,D22)+
IF(D34="",0,D34)+
IF(D46="",0,D46)+
IF(D58="",0,D58)+
IF(D70="",0,D70)+
IF(D82="",0,D82)+
IF(D94="",0,D94)+
IF(D106="",0,D106)+
IF(D118="",0,D118)+
IF(D130="",0,D130)+
IF(D154="",0,D154)</f>
        <v>7000000</v>
      </c>
      <c r="E168" s="525">
        <f t="shared" ref="E168:O168" si="89">IF(E22="",0,E22)+
IF(E34="",0,E34)+
IF(E46="",0,E46)+
IF(E58="",0,E58)+
IF(E70="",0,E70)+
IF(E82="",0,E82)+
IF(E94="",0,E94)+
IF(E106="",0,E106)+
IF(E118="",0,E118)+
IF(E130="",0,E130)+
IF(E154="",0,E154)</f>
        <v>7000000</v>
      </c>
      <c r="F168" s="525">
        <f t="shared" si="89"/>
        <v>7000000</v>
      </c>
      <c r="G168" s="525">
        <f t="shared" si="89"/>
        <v>7000000</v>
      </c>
      <c r="H168" s="525">
        <f t="shared" si="89"/>
        <v>6700000</v>
      </c>
      <c r="I168" s="525">
        <f t="shared" si="89"/>
        <v>6700000</v>
      </c>
      <c r="J168" s="525">
        <f t="shared" si="89"/>
        <v>6700000</v>
      </c>
      <c r="K168" s="525">
        <f t="shared" si="89"/>
        <v>6700000</v>
      </c>
      <c r="L168" s="525">
        <f t="shared" si="89"/>
        <v>6700000</v>
      </c>
      <c r="M168" s="525">
        <f t="shared" si="89"/>
        <v>7300000</v>
      </c>
      <c r="N168" s="525">
        <f t="shared" si="89"/>
        <v>7300000</v>
      </c>
      <c r="O168" s="526">
        <f t="shared" si="89"/>
        <v>7300000</v>
      </c>
      <c r="P168" s="1058"/>
      <c r="Q168" s="1043">
        <f t="shared" ca="1" si="86"/>
        <v>83400000</v>
      </c>
      <c r="R168" s="1339"/>
      <c r="S168" s="527">
        <f t="shared" ca="1" si="87"/>
        <v>6950000</v>
      </c>
      <c r="T168" s="1429"/>
      <c r="U168" s="1033">
        <f t="shared" ca="1" si="83"/>
        <v>83400000</v>
      </c>
      <c r="V168" s="1454"/>
      <c r="W168" s="999">
        <v>0.1</v>
      </c>
    </row>
    <row r="169" spans="1:23" ht="14.1" customHeight="1" thickBot="1" x14ac:dyDescent="0.2">
      <c r="A169" s="2167"/>
      <c r="B169" s="2164"/>
      <c r="C169" s="585" t="s">
        <v>505</v>
      </c>
      <c r="D169" s="586">
        <f>D163-(D164+D166+D168)+D167</f>
        <v>4198726</v>
      </c>
      <c r="E169" s="587">
        <f t="shared" ref="E169:O169" si="90">E163-(E164+E166+E168)+E167</f>
        <v>4627073</v>
      </c>
      <c r="F169" s="587">
        <f t="shared" si="90"/>
        <v>2932646</v>
      </c>
      <c r="G169" s="587">
        <f t="shared" si="90"/>
        <v>-8065546.2422435582</v>
      </c>
      <c r="H169" s="587">
        <f t="shared" si="90"/>
        <v>-2043899</v>
      </c>
      <c r="I169" s="587">
        <f t="shared" si="90"/>
        <v>1130196</v>
      </c>
      <c r="J169" s="587">
        <f t="shared" si="90"/>
        <v>430326</v>
      </c>
      <c r="K169" s="587">
        <f t="shared" si="90"/>
        <v>5125992</v>
      </c>
      <c r="L169" s="587">
        <f t="shared" si="90"/>
        <v>5384784</v>
      </c>
      <c r="M169" s="587">
        <f t="shared" si="90"/>
        <v>-4969402</v>
      </c>
      <c r="N169" s="587">
        <f t="shared" si="90"/>
        <v>425746</v>
      </c>
      <c r="O169" s="588">
        <f t="shared" si="90"/>
        <v>-396921</v>
      </c>
      <c r="P169" s="1059">
        <f ca="1">IF(R169&gt;=0,1,IF(R169&lt;-0.1,-1,0))</f>
        <v>-1</v>
      </c>
      <c r="Q169" s="1048">
        <f t="shared" ca="1" si="86"/>
        <v>8779720.7577564418</v>
      </c>
      <c r="R169" s="1343">
        <f ca="1">IF(Q161=0,1-(Q164+Q166+Q168)/(Q163+Q167),IF(Q161=Q169,0,ROUND((Q169-Q161)/ABS(Q161),3)))</f>
        <v>-0.254</v>
      </c>
      <c r="S169" s="587">
        <f t="shared" ca="1" si="87"/>
        <v>731643.39647970349</v>
      </c>
      <c r="T169" s="1380">
        <f ca="1">IF(V169&gt;=0,1,IF(V169&lt;-0.1,-1,0))</f>
        <v>-1</v>
      </c>
      <c r="U169" s="1038">
        <f t="shared" ca="1" si="83"/>
        <v>8779720.7577564418</v>
      </c>
      <c r="V169" s="1366">
        <f ca="1">IF(U161=0,1-(U164+U166+U168)/(U163+U167),IF(U161=U169,0,ROUND((U169-U161)/ABS(U161),3)))</f>
        <v>-0.254</v>
      </c>
      <c r="W169" s="999">
        <v>0.1</v>
      </c>
    </row>
    <row r="170" spans="1:23" ht="14.1" customHeight="1" thickBot="1" x14ac:dyDescent="0.2">
      <c r="A170" s="2168"/>
      <c r="B170" s="2165"/>
      <c r="C170" s="585" t="s">
        <v>500</v>
      </c>
      <c r="D170" s="586">
        <f>'事業所損益管理(H29.9～H30.8)収支計画表'!F153</f>
        <v>73432</v>
      </c>
      <c r="E170" s="587">
        <f>'事業所損益管理(H29.9～H30.8)収支計画表'!G153</f>
        <v>77730</v>
      </c>
      <c r="F170" s="587">
        <f>'事業所損益管理(H29.9～H30.8)収支計画表'!H153</f>
        <v>78013</v>
      </c>
      <c r="G170" s="587">
        <f>'事業所損益管理(H29.9～H30.8)収支計画表'!I153</f>
        <v>77744</v>
      </c>
      <c r="H170" s="587">
        <f>'事業所損益管理(H29.9～H30.8)収支計画表'!J153</f>
        <v>59544</v>
      </c>
      <c r="I170" s="587">
        <f>'事業所損益管理(H29.9～H30.8)収支計画表'!K153</f>
        <v>58427</v>
      </c>
      <c r="J170" s="587">
        <f>'事業所損益管理(H29.9～H30.8)収支計画表'!L153</f>
        <v>61905</v>
      </c>
      <c r="K170" s="587">
        <f>'事業所損益管理(H29.9～H30.8)収支計画表'!M153</f>
        <v>45399</v>
      </c>
      <c r="L170" s="587">
        <f>'事業所損益管理(H29.9～H30.8)収支計画表'!N153</f>
        <v>46251</v>
      </c>
      <c r="M170" s="587">
        <f>'事業所損益管理(H29.9～H30.8)収支計画表'!O153</f>
        <v>42763</v>
      </c>
      <c r="N170" s="587">
        <f>'事業所損益管理(H29.9～H30.8)収支計画表'!P153</f>
        <v>37757</v>
      </c>
      <c r="O170" s="588">
        <f>'事業所損益管理(H29.9～H30.8)収支計画表'!Q153</f>
        <v>40332</v>
      </c>
      <c r="P170" s="1060">
        <f ca="1">IF(R170&lt;=1,1,IF(R170&gt;1.1,-1,0))</f>
        <v>1</v>
      </c>
      <c r="Q170" s="1048">
        <f t="shared" ca="1" si="86"/>
        <v>699297</v>
      </c>
      <c r="R170" s="1351">
        <f ca="1">IF(Q162&lt;0,ROUND((Q170-Q162)/ABS(Q162),3),IF(Q162=0,0,ROUND(Q170/Q162,3)))</f>
        <v>0.874</v>
      </c>
      <c r="S170" s="587">
        <f t="shared" ca="1" si="87"/>
        <v>58274.75</v>
      </c>
      <c r="T170" s="1384">
        <f ca="1">IF(V170&lt;=1,1,IF(V170&gt;1.1,-1,0))</f>
        <v>1</v>
      </c>
      <c r="U170" s="1038">
        <f ca="1">Q170+(12-IF(ISERROR(MATCH(DATE(YEAR($E$1),MONTH($E$1),1),$D$2:$O$2,0)),0,MATCH(DATE(YEAR($E$1),MONTH($E$1),1),$D$2:$O$2,0)))*S170</f>
        <v>699297</v>
      </c>
      <c r="V170" s="1366">
        <f ca="1">IF(U162&lt;0,ROUND((U170-U162)/ABS(U162),3),IF(U162=0,0,ROUND(U170/U162,3)))</f>
        <v>0.874</v>
      </c>
      <c r="W170" s="999">
        <v>0.1</v>
      </c>
    </row>
    <row r="172" spans="1:23" x14ac:dyDescent="0.15">
      <c r="L172" s="402"/>
      <c r="M172" s="402"/>
      <c r="N172" s="402"/>
      <c r="O172" s="402"/>
      <c r="P172" s="402"/>
      <c r="Q172" s="402"/>
      <c r="R172" s="402"/>
      <c r="S172" s="402"/>
      <c r="V172" s="402"/>
    </row>
    <row r="173" spans="1:23" ht="14.45" customHeight="1" x14ac:dyDescent="0.15">
      <c r="L173" s="436"/>
      <c r="M173" s="436"/>
      <c r="N173" s="436"/>
      <c r="O173" s="436"/>
      <c r="P173" s="2182" t="s">
        <v>1151</v>
      </c>
      <c r="Q173" s="2182"/>
      <c r="R173" s="2182"/>
      <c r="V173" s="436"/>
    </row>
    <row r="174" spans="1:23" ht="14.45" customHeight="1" x14ac:dyDescent="0.15">
      <c r="L174" s="416"/>
      <c r="M174" s="404"/>
      <c r="N174" s="405"/>
      <c r="O174" s="405"/>
      <c r="P174" s="2182"/>
      <c r="Q174" s="2182"/>
      <c r="R174" s="2182"/>
      <c r="U174" s="352"/>
      <c r="V174" s="405"/>
    </row>
    <row r="175" spans="1:23" ht="14.45" customHeight="1" x14ac:dyDescent="0.15">
      <c r="I175" s="413"/>
      <c r="L175" s="416"/>
      <c r="M175" s="404"/>
      <c r="N175" s="405"/>
      <c r="O175" s="405"/>
      <c r="P175" s="1063" t="s">
        <v>1324</v>
      </c>
      <c r="Q175" s="405"/>
      <c r="V175" s="405"/>
    </row>
    <row r="176" spans="1:23" ht="14.45" customHeight="1" x14ac:dyDescent="0.15">
      <c r="L176" s="436"/>
      <c r="M176" s="404"/>
      <c r="N176" s="405"/>
      <c r="O176" s="405"/>
      <c r="P176" s="1064">
        <v>1</v>
      </c>
      <c r="Q176" s="1065" t="s">
        <v>1154</v>
      </c>
      <c r="R176" s="413" t="s">
        <v>1159</v>
      </c>
      <c r="V176" s="405"/>
    </row>
    <row r="177" spans="12:22" x14ac:dyDescent="0.15">
      <c r="L177" s="436"/>
      <c r="M177" s="404"/>
      <c r="N177" s="405"/>
      <c r="O177" s="405"/>
      <c r="P177" s="1064">
        <v>0</v>
      </c>
      <c r="Q177" s="1065" t="s">
        <v>1155</v>
      </c>
      <c r="R177" s="413" t="s">
        <v>1163</v>
      </c>
      <c r="V177" s="405"/>
    </row>
    <row r="178" spans="12:22" ht="14.45" customHeight="1" x14ac:dyDescent="0.15">
      <c r="L178" s="436"/>
      <c r="M178" s="404"/>
      <c r="N178" s="405"/>
      <c r="O178" s="405"/>
      <c r="P178" s="1064">
        <v>-1</v>
      </c>
      <c r="Q178" s="1063" t="s">
        <v>1156</v>
      </c>
      <c r="R178" s="413" t="s">
        <v>1160</v>
      </c>
      <c r="V178" s="405"/>
    </row>
    <row r="179" spans="12:22" ht="14.45" customHeight="1" x14ac:dyDescent="0.15">
      <c r="L179" s="416"/>
      <c r="M179" s="404"/>
      <c r="N179" s="405"/>
      <c r="O179" s="405"/>
      <c r="P179" s="405"/>
      <c r="Q179" s="405"/>
      <c r="V179" s="405"/>
    </row>
    <row r="180" spans="12:22" ht="14.45" customHeight="1" x14ac:dyDescent="0.15">
      <c r="L180" s="416"/>
      <c r="M180" s="404"/>
      <c r="N180" s="405"/>
      <c r="O180" s="405"/>
      <c r="P180" s="1063" t="s">
        <v>1153</v>
      </c>
      <c r="V180" s="405"/>
    </row>
    <row r="181" spans="12:22" ht="14.45" customHeight="1" x14ac:dyDescent="0.15">
      <c r="L181" s="436"/>
      <c r="M181" s="404"/>
      <c r="N181" s="405"/>
      <c r="O181" s="405"/>
      <c r="P181" s="1064">
        <v>1</v>
      </c>
      <c r="Q181" s="1065" t="s">
        <v>1157</v>
      </c>
      <c r="R181" s="413" t="s">
        <v>1161</v>
      </c>
      <c r="V181" s="405"/>
    </row>
    <row r="182" spans="12:22" x14ac:dyDescent="0.15">
      <c r="L182" s="416"/>
      <c r="M182" s="404"/>
      <c r="N182" s="405"/>
      <c r="O182" s="405"/>
      <c r="P182" s="1064">
        <v>0</v>
      </c>
      <c r="Q182" s="1065" t="s">
        <v>1158</v>
      </c>
      <c r="R182" s="413" t="s">
        <v>1162</v>
      </c>
      <c r="V182" s="405"/>
    </row>
    <row r="183" spans="12:22" x14ac:dyDescent="0.15">
      <c r="L183" s="416"/>
      <c r="M183" s="404"/>
      <c r="N183" s="405"/>
      <c r="O183" s="405"/>
      <c r="P183" s="1064">
        <v>-1</v>
      </c>
      <c r="Q183" s="1063" t="s">
        <v>1158</v>
      </c>
      <c r="R183" s="413" t="s">
        <v>1164</v>
      </c>
      <c r="S183" s="405"/>
      <c r="T183" s="405"/>
      <c r="U183" s="405"/>
      <c r="V183" s="405"/>
    </row>
    <row r="184" spans="12:22" x14ac:dyDescent="0.15">
      <c r="L184" s="416"/>
      <c r="M184" s="404"/>
      <c r="N184" s="405"/>
      <c r="O184" s="405"/>
      <c r="P184" s="1081"/>
      <c r="Q184" s="1081"/>
      <c r="R184" s="1081"/>
      <c r="S184" s="1081"/>
      <c r="T184" s="405"/>
      <c r="U184" s="405"/>
      <c r="V184" s="405"/>
    </row>
    <row r="185" spans="12:22" x14ac:dyDescent="0.15">
      <c r="P185" s="1063" t="s">
        <v>1325</v>
      </c>
      <c r="Q185" s="405"/>
      <c r="S185" s="1081"/>
    </row>
    <row r="186" spans="12:22" x14ac:dyDescent="0.15">
      <c r="P186" s="1064">
        <v>1</v>
      </c>
      <c r="Q186" s="1065" t="s">
        <v>1326</v>
      </c>
      <c r="R186" s="413" t="s">
        <v>1159</v>
      </c>
      <c r="S186" s="1081"/>
    </row>
    <row r="187" spans="12:22" x14ac:dyDescent="0.15">
      <c r="P187" s="1081"/>
      <c r="Q187" s="1081"/>
      <c r="R187" s="413" t="s">
        <v>1328</v>
      </c>
      <c r="S187" s="1081"/>
    </row>
    <row r="188" spans="12:22" ht="13.5" customHeight="1" x14ac:dyDescent="0.15">
      <c r="P188" s="1064">
        <v>0</v>
      </c>
      <c r="Q188" s="1065" t="s">
        <v>1327</v>
      </c>
      <c r="R188" s="413" t="s">
        <v>1163</v>
      </c>
      <c r="S188" s="1081"/>
      <c r="T188" s="1029"/>
    </row>
    <row r="189" spans="12:22" ht="14.25" customHeight="1" x14ac:dyDescent="0.15">
      <c r="P189" s="1081"/>
      <c r="Q189" s="1081"/>
      <c r="R189" s="413" t="s">
        <v>1329</v>
      </c>
      <c r="S189" s="1081"/>
      <c r="T189" s="1061"/>
    </row>
    <row r="190" spans="12:22" ht="14.25" customHeight="1" x14ac:dyDescent="0.15">
      <c r="P190" s="1064">
        <v>-1</v>
      </c>
      <c r="Q190" s="1063" t="s">
        <v>1327</v>
      </c>
      <c r="R190" s="413" t="s">
        <v>1160</v>
      </c>
      <c r="S190" s="1081"/>
    </row>
    <row r="191" spans="12:22" ht="13.5" customHeight="1" x14ac:dyDescent="0.15">
      <c r="P191" s="1081"/>
      <c r="Q191" s="1081"/>
      <c r="R191" s="413" t="s">
        <v>1330</v>
      </c>
      <c r="S191" s="1081"/>
    </row>
    <row r="192" spans="12:22" ht="13.5" customHeight="1" x14ac:dyDescent="0.15"/>
    <row r="193" ht="13.5" customHeight="1" x14ac:dyDescent="0.15"/>
    <row r="194" ht="13.5" customHeight="1" x14ac:dyDescent="0.15"/>
    <row r="195" ht="13.5" customHeight="1" x14ac:dyDescent="0.15"/>
    <row r="196" ht="13.5" customHeight="1" x14ac:dyDescent="0.15"/>
    <row r="197" ht="13.5" customHeight="1" x14ac:dyDescent="0.15"/>
    <row r="198" ht="13.5" customHeight="1" x14ac:dyDescent="0.15"/>
    <row r="199" ht="13.5" customHeight="1" x14ac:dyDescent="0.15"/>
    <row r="200" ht="13.5" customHeight="1" x14ac:dyDescent="0.15"/>
    <row r="201" ht="14.25" customHeight="1" x14ac:dyDescent="0.15"/>
    <row r="202" ht="14.25" customHeight="1" x14ac:dyDescent="0.15"/>
    <row r="203" ht="13.5" customHeight="1" x14ac:dyDescent="0.15"/>
  </sheetData>
  <mergeCells count="47">
    <mergeCell ref="P2:Q2"/>
    <mergeCell ref="T2:U2"/>
    <mergeCell ref="A108:A119"/>
    <mergeCell ref="A48:A59"/>
    <mergeCell ref="B48:B53"/>
    <mergeCell ref="B54:B59"/>
    <mergeCell ref="B108:B113"/>
    <mergeCell ref="B114:B119"/>
    <mergeCell ref="B78:B83"/>
    <mergeCell ref="A84:A95"/>
    <mergeCell ref="A96:A107"/>
    <mergeCell ref="B96:B101"/>
    <mergeCell ref="B66:B71"/>
    <mergeCell ref="B102:B107"/>
    <mergeCell ref="A12:A23"/>
    <mergeCell ref="B12:B17"/>
    <mergeCell ref="A1:C1"/>
    <mergeCell ref="A3:A11"/>
    <mergeCell ref="B3:B7"/>
    <mergeCell ref="B8:B11"/>
    <mergeCell ref="A132:A143"/>
    <mergeCell ref="B132:B137"/>
    <mergeCell ref="B138:B143"/>
    <mergeCell ref="B18:B23"/>
    <mergeCell ref="B84:B89"/>
    <mergeCell ref="B90:B95"/>
    <mergeCell ref="A24:A35"/>
    <mergeCell ref="B24:B29"/>
    <mergeCell ref="B30:B35"/>
    <mergeCell ref="A36:A47"/>
    <mergeCell ref="B36:B41"/>
    <mergeCell ref="B42:B47"/>
    <mergeCell ref="A156:A170"/>
    <mergeCell ref="B156:B162"/>
    <mergeCell ref="B163:B170"/>
    <mergeCell ref="P173:R174"/>
    <mergeCell ref="A72:A83"/>
    <mergeCell ref="B72:B77"/>
    <mergeCell ref="Y17:Y35"/>
    <mergeCell ref="A120:A131"/>
    <mergeCell ref="B120:B125"/>
    <mergeCell ref="B126:B131"/>
    <mergeCell ref="A144:A155"/>
    <mergeCell ref="B144:B149"/>
    <mergeCell ref="B150:B155"/>
    <mergeCell ref="A60:A71"/>
    <mergeCell ref="B60:B65"/>
  </mergeCells>
  <phoneticPr fontId="40"/>
  <conditionalFormatting sqref="D18:O23 D8:O11 D30:O35 D42:O47 D78:O83 D90:O95 D102:O107 D114:O119 D126:O131 D150:O155 D163:O170">
    <cfRule type="expression" dxfId="82" priority="89">
      <formula>AND(D8=0,D$163=0)</formula>
    </cfRule>
  </conditionalFormatting>
  <conditionalFormatting sqref="D54:O59">
    <cfRule type="expression" dxfId="81" priority="88">
      <formula>AND(D54=0,D$163=0)</formula>
    </cfRule>
  </conditionalFormatting>
  <conditionalFormatting sqref="P23">
    <cfRule type="iconSet" priority="87">
      <iconSet showValue="0">
        <cfvo type="percent" val="0"/>
        <cfvo type="num" val="-1" gte="0"/>
        <cfvo type="num" val="1"/>
      </iconSet>
    </cfRule>
  </conditionalFormatting>
  <conditionalFormatting sqref="P8:P11">
    <cfRule type="iconSet" priority="86">
      <iconSet showValue="0">
        <cfvo type="percent" val="0"/>
        <cfvo type="num" val="-1" gte="0"/>
        <cfvo type="num" val="1"/>
      </iconSet>
    </cfRule>
  </conditionalFormatting>
  <conditionalFormatting sqref="P18:P22">
    <cfRule type="iconSet" priority="85">
      <iconSet showValue="0">
        <cfvo type="percent" val="0"/>
        <cfvo type="num" val="-1" gte="0"/>
        <cfvo type="num" val="1"/>
      </iconSet>
    </cfRule>
  </conditionalFormatting>
  <conditionalFormatting sqref="P44:P47">
    <cfRule type="iconSet" priority="82">
      <iconSet showValue="0">
        <cfvo type="percent" val="0"/>
        <cfvo type="num" val="-1" gte="0"/>
        <cfvo type="num" val="1"/>
      </iconSet>
    </cfRule>
  </conditionalFormatting>
  <conditionalFormatting sqref="P42:P43">
    <cfRule type="iconSet" priority="81">
      <iconSet showValue="0">
        <cfvo type="percent" val="0"/>
        <cfvo type="num" val="-1" gte="0"/>
        <cfvo type="num" val="1"/>
      </iconSet>
    </cfRule>
  </conditionalFormatting>
  <conditionalFormatting sqref="P56:P59">
    <cfRule type="iconSet" priority="80">
      <iconSet showValue="0">
        <cfvo type="percent" val="0"/>
        <cfvo type="num" val="-1" gte="0"/>
        <cfvo type="num" val="1"/>
      </iconSet>
    </cfRule>
  </conditionalFormatting>
  <conditionalFormatting sqref="P54:P55">
    <cfRule type="iconSet" priority="79">
      <iconSet showValue="0">
        <cfvo type="percent" val="0"/>
        <cfvo type="num" val="-1" gte="0"/>
        <cfvo type="num" val="1"/>
      </iconSet>
    </cfRule>
  </conditionalFormatting>
  <conditionalFormatting sqref="P80:P83">
    <cfRule type="iconSet" priority="78">
      <iconSet showValue="0">
        <cfvo type="percent" val="0"/>
        <cfvo type="num" val="-1" gte="0"/>
        <cfvo type="num" val="1"/>
      </iconSet>
    </cfRule>
  </conditionalFormatting>
  <conditionalFormatting sqref="P78:P79">
    <cfRule type="iconSet" priority="77">
      <iconSet showValue="0">
        <cfvo type="percent" val="0"/>
        <cfvo type="num" val="-1" gte="0"/>
        <cfvo type="num" val="1"/>
      </iconSet>
    </cfRule>
  </conditionalFormatting>
  <conditionalFormatting sqref="P92:P95">
    <cfRule type="iconSet" priority="76">
      <iconSet showValue="0">
        <cfvo type="percent" val="0"/>
        <cfvo type="num" val="-1" gte="0"/>
        <cfvo type="num" val="1"/>
      </iconSet>
    </cfRule>
  </conditionalFormatting>
  <conditionalFormatting sqref="P90:P91">
    <cfRule type="iconSet" priority="75">
      <iconSet showValue="0">
        <cfvo type="percent" val="0"/>
        <cfvo type="num" val="-1" gte="0"/>
        <cfvo type="num" val="1"/>
      </iconSet>
    </cfRule>
  </conditionalFormatting>
  <conditionalFormatting sqref="P104:P107">
    <cfRule type="iconSet" priority="74">
      <iconSet showValue="0">
        <cfvo type="percent" val="0"/>
        <cfvo type="num" val="-1" gte="0"/>
        <cfvo type="num" val="1"/>
      </iconSet>
    </cfRule>
  </conditionalFormatting>
  <conditionalFormatting sqref="P102:P103">
    <cfRule type="iconSet" priority="73">
      <iconSet showValue="0">
        <cfvo type="percent" val="0"/>
        <cfvo type="num" val="-1" gte="0"/>
        <cfvo type="num" val="1"/>
      </iconSet>
    </cfRule>
  </conditionalFormatting>
  <conditionalFormatting sqref="P116:P119">
    <cfRule type="iconSet" priority="72">
      <iconSet showValue="0">
        <cfvo type="percent" val="0"/>
        <cfvo type="num" val="-1" gte="0"/>
        <cfvo type="num" val="1"/>
      </iconSet>
    </cfRule>
  </conditionalFormatting>
  <conditionalFormatting sqref="P114:P115">
    <cfRule type="iconSet" priority="71">
      <iconSet showValue="0">
        <cfvo type="percent" val="0"/>
        <cfvo type="num" val="-1" gte="0"/>
        <cfvo type="num" val="1"/>
      </iconSet>
    </cfRule>
  </conditionalFormatting>
  <conditionalFormatting sqref="P128:P131">
    <cfRule type="iconSet" priority="70">
      <iconSet showValue="0">
        <cfvo type="percent" val="0"/>
        <cfvo type="num" val="-1" gte="0"/>
        <cfvo type="num" val="1"/>
      </iconSet>
    </cfRule>
  </conditionalFormatting>
  <conditionalFormatting sqref="P126:P127">
    <cfRule type="iconSet" priority="69">
      <iconSet showValue="0">
        <cfvo type="percent" val="0"/>
        <cfvo type="num" val="-1" gte="0"/>
        <cfvo type="num" val="1"/>
      </iconSet>
    </cfRule>
  </conditionalFormatting>
  <conditionalFormatting sqref="P152:P155">
    <cfRule type="iconSet" priority="68">
      <iconSet showValue="0">
        <cfvo type="percent" val="0"/>
        <cfvo type="num" val="-1" gte="0"/>
        <cfvo type="num" val="1"/>
      </iconSet>
    </cfRule>
  </conditionalFormatting>
  <conditionalFormatting sqref="P150:P151">
    <cfRule type="iconSet" priority="67">
      <iconSet showValue="0">
        <cfvo type="percent" val="0"/>
        <cfvo type="num" val="-1" gte="0"/>
        <cfvo type="num" val="1"/>
      </iconSet>
    </cfRule>
  </conditionalFormatting>
  <conditionalFormatting sqref="P163 P167:P170">
    <cfRule type="iconSet" priority="66">
      <iconSet showValue="0">
        <cfvo type="percent" val="0"/>
        <cfvo type="num" val="-1" gte="0"/>
        <cfvo type="num" val="1"/>
      </iconSet>
    </cfRule>
  </conditionalFormatting>
  <conditionalFormatting sqref="P164:P166">
    <cfRule type="iconSet" priority="42">
      <iconSet showValue="0">
        <cfvo type="percent" val="0"/>
        <cfvo type="num" val="-1" gte="0"/>
        <cfvo type="num" val="1"/>
      </iconSet>
    </cfRule>
  </conditionalFormatting>
  <conditionalFormatting sqref="T23">
    <cfRule type="iconSet" priority="41">
      <iconSet showValue="0">
        <cfvo type="percent" val="0"/>
        <cfvo type="num" val="-1" gte="0"/>
        <cfvo type="num" val="1"/>
      </iconSet>
    </cfRule>
  </conditionalFormatting>
  <conditionalFormatting sqref="T8:T11">
    <cfRule type="iconSet" priority="40">
      <iconSet showValue="0">
        <cfvo type="percent" val="0"/>
        <cfvo type="num" val="-1" gte="0"/>
        <cfvo type="num" val="1"/>
      </iconSet>
    </cfRule>
  </conditionalFormatting>
  <conditionalFormatting sqref="T18:T22">
    <cfRule type="iconSet" priority="39">
      <iconSet showValue="0">
        <cfvo type="percent" val="0"/>
        <cfvo type="num" val="-1" gte="0"/>
        <cfvo type="num" val="1"/>
      </iconSet>
    </cfRule>
  </conditionalFormatting>
  <conditionalFormatting sqref="T35">
    <cfRule type="iconSet" priority="38">
      <iconSet showValue="0">
        <cfvo type="percent" val="0"/>
        <cfvo type="num" val="-1" gte="0"/>
        <cfvo type="num" val="1"/>
      </iconSet>
    </cfRule>
  </conditionalFormatting>
  <conditionalFormatting sqref="T30">
    <cfRule type="iconSet" priority="37">
      <iconSet showValue="0">
        <cfvo type="percent" val="0"/>
        <cfvo type="num" val="-1" gte="0"/>
        <cfvo type="num" val="1"/>
      </iconSet>
    </cfRule>
  </conditionalFormatting>
  <conditionalFormatting sqref="T44:T47">
    <cfRule type="iconSet" priority="36">
      <iconSet showValue="0">
        <cfvo type="percent" val="0"/>
        <cfvo type="num" val="-1" gte="0"/>
        <cfvo type="num" val="1"/>
      </iconSet>
    </cfRule>
  </conditionalFormatting>
  <conditionalFormatting sqref="T42:T43">
    <cfRule type="iconSet" priority="35">
      <iconSet showValue="0">
        <cfvo type="percent" val="0"/>
        <cfvo type="num" val="-1" gte="0"/>
        <cfvo type="num" val="1"/>
      </iconSet>
    </cfRule>
  </conditionalFormatting>
  <conditionalFormatting sqref="T56:T59">
    <cfRule type="iconSet" priority="34">
      <iconSet showValue="0">
        <cfvo type="percent" val="0"/>
        <cfvo type="num" val="-1" gte="0"/>
        <cfvo type="num" val="1"/>
      </iconSet>
    </cfRule>
  </conditionalFormatting>
  <conditionalFormatting sqref="T54:T55">
    <cfRule type="iconSet" priority="33">
      <iconSet showValue="0">
        <cfvo type="percent" val="0"/>
        <cfvo type="num" val="-1" gte="0"/>
        <cfvo type="num" val="1"/>
      </iconSet>
    </cfRule>
  </conditionalFormatting>
  <conditionalFormatting sqref="T80:T83">
    <cfRule type="iconSet" priority="32">
      <iconSet showValue="0">
        <cfvo type="percent" val="0"/>
        <cfvo type="num" val="-1" gte="0"/>
        <cfvo type="num" val="1"/>
      </iconSet>
    </cfRule>
  </conditionalFormatting>
  <conditionalFormatting sqref="T78:T79">
    <cfRule type="iconSet" priority="31">
      <iconSet showValue="0">
        <cfvo type="percent" val="0"/>
        <cfvo type="num" val="-1" gte="0"/>
        <cfvo type="num" val="1"/>
      </iconSet>
    </cfRule>
  </conditionalFormatting>
  <conditionalFormatting sqref="T92:T95">
    <cfRule type="iconSet" priority="30">
      <iconSet showValue="0">
        <cfvo type="percent" val="0"/>
        <cfvo type="num" val="-1" gte="0"/>
        <cfvo type="num" val="1"/>
      </iconSet>
    </cfRule>
  </conditionalFormatting>
  <conditionalFormatting sqref="T90:T91">
    <cfRule type="iconSet" priority="29">
      <iconSet showValue="0">
        <cfvo type="percent" val="0"/>
        <cfvo type="num" val="-1" gte="0"/>
        <cfvo type="num" val="1"/>
      </iconSet>
    </cfRule>
  </conditionalFormatting>
  <conditionalFormatting sqref="T104:T107">
    <cfRule type="iconSet" priority="28">
      <iconSet showValue="0">
        <cfvo type="percent" val="0"/>
        <cfvo type="num" val="-1" gte="0"/>
        <cfvo type="num" val="1"/>
      </iconSet>
    </cfRule>
  </conditionalFormatting>
  <conditionalFormatting sqref="T102:T103">
    <cfRule type="iconSet" priority="27">
      <iconSet showValue="0">
        <cfvo type="percent" val="0"/>
        <cfvo type="num" val="-1" gte="0"/>
        <cfvo type="num" val="1"/>
      </iconSet>
    </cfRule>
  </conditionalFormatting>
  <conditionalFormatting sqref="T116:T119">
    <cfRule type="iconSet" priority="26">
      <iconSet showValue="0">
        <cfvo type="percent" val="0"/>
        <cfvo type="num" val="-1" gte="0"/>
        <cfvo type="num" val="1"/>
      </iconSet>
    </cfRule>
  </conditionalFormatting>
  <conditionalFormatting sqref="T114:T115">
    <cfRule type="iconSet" priority="25">
      <iconSet showValue="0">
        <cfvo type="percent" val="0"/>
        <cfvo type="num" val="-1" gte="0"/>
        <cfvo type="num" val="1"/>
      </iconSet>
    </cfRule>
  </conditionalFormatting>
  <conditionalFormatting sqref="T128:T131">
    <cfRule type="iconSet" priority="24">
      <iconSet showValue="0">
        <cfvo type="percent" val="0"/>
        <cfvo type="num" val="-1" gte="0"/>
        <cfvo type="num" val="1"/>
      </iconSet>
    </cfRule>
  </conditionalFormatting>
  <conditionalFormatting sqref="T126:T127">
    <cfRule type="iconSet" priority="23">
      <iconSet showValue="0">
        <cfvo type="percent" val="0"/>
        <cfvo type="num" val="-1" gte="0"/>
        <cfvo type="num" val="1"/>
      </iconSet>
    </cfRule>
  </conditionalFormatting>
  <conditionalFormatting sqref="T152:T155">
    <cfRule type="iconSet" priority="22">
      <iconSet showValue="0">
        <cfvo type="percent" val="0"/>
        <cfvo type="num" val="-1" gte="0"/>
        <cfvo type="num" val="1"/>
      </iconSet>
    </cfRule>
  </conditionalFormatting>
  <conditionalFormatting sqref="T150:T151">
    <cfRule type="iconSet" priority="21">
      <iconSet showValue="0">
        <cfvo type="percent" val="0"/>
        <cfvo type="num" val="-1" gte="0"/>
        <cfvo type="num" val="1"/>
      </iconSet>
    </cfRule>
  </conditionalFormatting>
  <conditionalFormatting sqref="T163 T167:T170">
    <cfRule type="iconSet" priority="20">
      <iconSet showValue="0">
        <cfvo type="percent" val="0"/>
        <cfvo type="num" val="-1" gte="0"/>
        <cfvo type="num" val="1"/>
      </iconSet>
    </cfRule>
  </conditionalFormatting>
  <conditionalFormatting sqref="T31:T34">
    <cfRule type="iconSet" priority="19">
      <iconSet showValue="0">
        <cfvo type="percent" val="0"/>
        <cfvo type="num" val="-1" gte="0"/>
        <cfvo type="num" val="1"/>
      </iconSet>
    </cfRule>
  </conditionalFormatting>
  <conditionalFormatting sqref="T164:T166">
    <cfRule type="iconSet" priority="18">
      <iconSet showValue="0">
        <cfvo type="percent" val="0"/>
        <cfvo type="num" val="-1" gte="0"/>
        <cfvo type="num" val="1"/>
      </iconSet>
    </cfRule>
  </conditionalFormatting>
  <conditionalFormatting sqref="D66:O71">
    <cfRule type="expression" dxfId="80" priority="15">
      <formula>AND(D66=0,D$163=0)</formula>
    </cfRule>
  </conditionalFormatting>
  <conditionalFormatting sqref="P68:P71">
    <cfRule type="iconSet" priority="14">
      <iconSet showValue="0">
        <cfvo type="percent" val="0"/>
        <cfvo type="num" val="-1" gte="0"/>
        <cfvo type="num" val="1"/>
      </iconSet>
    </cfRule>
  </conditionalFormatting>
  <conditionalFormatting sqref="P66:P67">
    <cfRule type="iconSet" priority="13">
      <iconSet showValue="0">
        <cfvo type="percent" val="0"/>
        <cfvo type="num" val="-1" gte="0"/>
        <cfvo type="num" val="1"/>
      </iconSet>
    </cfRule>
  </conditionalFormatting>
  <conditionalFormatting sqref="T68:T71">
    <cfRule type="iconSet" priority="12">
      <iconSet showValue="0">
        <cfvo type="percent" val="0"/>
        <cfvo type="num" val="-1" gte="0"/>
        <cfvo type="num" val="1"/>
      </iconSet>
    </cfRule>
  </conditionalFormatting>
  <conditionalFormatting sqref="T66:T67">
    <cfRule type="iconSet" priority="11">
      <iconSet showValue="0">
        <cfvo type="percent" val="0"/>
        <cfvo type="num" val="-1" gte="0"/>
        <cfvo type="num" val="1"/>
      </iconSet>
    </cfRule>
  </conditionalFormatting>
  <conditionalFormatting sqref="D138:O143">
    <cfRule type="expression" dxfId="79" priority="10">
      <formula>AND(D138=0,D$163=0)</formula>
    </cfRule>
  </conditionalFormatting>
  <conditionalFormatting sqref="P140:P143">
    <cfRule type="iconSet" priority="9">
      <iconSet showValue="0">
        <cfvo type="percent" val="0"/>
        <cfvo type="num" val="-1" gte="0"/>
        <cfvo type="num" val="1"/>
      </iconSet>
    </cfRule>
  </conditionalFormatting>
  <conditionalFormatting sqref="P138:P139">
    <cfRule type="iconSet" priority="8">
      <iconSet showValue="0">
        <cfvo type="percent" val="0"/>
        <cfvo type="num" val="-1" gte="0"/>
        <cfvo type="num" val="1"/>
      </iconSet>
    </cfRule>
  </conditionalFormatting>
  <conditionalFormatting sqref="T140:T143">
    <cfRule type="iconSet" priority="7">
      <iconSet showValue="0">
        <cfvo type="percent" val="0"/>
        <cfvo type="num" val="-1" gte="0"/>
        <cfvo type="num" val="1"/>
      </iconSet>
    </cfRule>
  </conditionalFormatting>
  <conditionalFormatting sqref="T138:T139">
    <cfRule type="iconSet" priority="6">
      <iconSet showValue="0">
        <cfvo type="percent" val="0"/>
        <cfvo type="num" val="-1" gte="0"/>
        <cfvo type="num" val="1"/>
      </iconSet>
    </cfRule>
  </conditionalFormatting>
  <conditionalFormatting sqref="P35">
    <cfRule type="iconSet" priority="5">
      <iconSet showValue="0">
        <cfvo type="percent" val="0"/>
        <cfvo type="num" val="-1" gte="0"/>
        <cfvo type="num" val="1"/>
      </iconSet>
    </cfRule>
  </conditionalFormatting>
  <conditionalFormatting sqref="P30:P34">
    <cfRule type="iconSet" priority="4">
      <iconSet showValue="0">
        <cfvo type="percent" val="0"/>
        <cfvo type="num" val="-1" gte="0"/>
        <cfvo type="num" val="1"/>
      </iconSet>
    </cfRule>
  </conditionalFormatting>
  <conditionalFormatting sqref="P176:P178">
    <cfRule type="iconSet" priority="2">
      <iconSet showValue="0">
        <cfvo type="percent" val="0"/>
        <cfvo type="num" val="-1" gte="0"/>
        <cfvo type="num" val="1"/>
      </iconSet>
    </cfRule>
  </conditionalFormatting>
  <conditionalFormatting sqref="P181:P183">
    <cfRule type="iconSet" priority="1">
      <iconSet showValue="0">
        <cfvo type="percent" val="0"/>
        <cfvo type="num" val="-1" gte="0"/>
        <cfvo type="num" val="1"/>
      </iconSet>
    </cfRule>
  </conditionalFormatting>
  <conditionalFormatting sqref="P188 P190 P186">
    <cfRule type="iconSet" priority="3">
      <iconSet showValue="0">
        <cfvo type="percent" val="0"/>
        <cfvo type="num" val="-1" gte="0"/>
        <cfvo type="num" val="1"/>
      </iconSet>
    </cfRule>
  </conditionalFormatting>
  <pageMargins left="0.31496062992125984" right="0.31496062992125984" top="0.55118110236220474" bottom="0.35433070866141736" header="0.31496062992125984" footer="0.31496062992125984"/>
  <pageSetup paperSize="8" scale="53" orientation="portrait" r:id="rId1"/>
  <headerFooter>
    <oddHeader>&amp;L&amp;A&amp;R&amp;D</oddHeader>
    <oddFooter>&amp;L【社外秘】&amp;C&amp;P/&amp;N&amp;R&amp;F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9FFCC"/>
    <pageSetUpPr fitToPage="1"/>
  </sheetPr>
  <dimension ref="A1:Y174"/>
  <sheetViews>
    <sheetView zoomScale="80" zoomScaleNormal="80" workbookViewId="0">
      <pane xSplit="5" ySplit="2" topLeftCell="F63" activePane="bottomRight" state="frozen"/>
      <selection activeCell="C1" sqref="C1"/>
      <selection pane="topRight" activeCell="F1" sqref="F1"/>
      <selection pane="bottomLeft" activeCell="C3" sqref="C3"/>
      <selection pane="bottomRight" activeCell="A85" sqref="A85:XFD85"/>
    </sheetView>
  </sheetViews>
  <sheetFormatPr defaultColWidth="10" defaultRowHeight="13.5" outlineLevelRow="1" x14ac:dyDescent="0.15"/>
  <cols>
    <col min="1" max="2" width="10" style="1081" hidden="1" customWidth="1"/>
    <col min="3" max="3" width="11.625" style="1081" customWidth="1"/>
    <col min="4" max="17" width="13.25" style="1081" customWidth="1"/>
    <col min="18" max="18" width="3.625" style="1081" customWidth="1"/>
    <col min="19" max="19" width="13.25" style="1081" customWidth="1"/>
    <col min="20" max="20" width="9.625" style="1081" customWidth="1"/>
    <col min="21" max="21" width="13.25" style="1081" customWidth="1"/>
    <col min="22" max="22" width="3.625" style="1081" customWidth="1"/>
    <col min="23" max="23" width="13.25" style="1081" customWidth="1"/>
    <col min="24" max="24" width="9.625" style="1081" customWidth="1"/>
    <col min="25" max="25" width="4.625" style="1272" hidden="1" customWidth="1"/>
    <col min="26" max="16384" width="10" style="1081"/>
  </cols>
  <sheetData>
    <row r="1" spans="1:24" ht="36.75" customHeight="1" thickBot="1" x14ac:dyDescent="0.2">
      <c r="C1" s="2180">
        <f>F2</f>
        <v>43344</v>
      </c>
      <c r="D1" s="2180"/>
      <c r="E1" s="2181"/>
      <c r="F1" s="351" t="s">
        <v>439</v>
      </c>
      <c r="G1" s="451">
        <f>推移!AA2</f>
        <v>43556</v>
      </c>
      <c r="H1" s="1081" t="s">
        <v>440</v>
      </c>
      <c r="I1" s="1120"/>
      <c r="J1" s="1081" t="s">
        <v>441</v>
      </c>
      <c r="M1" s="1119"/>
    </row>
    <row r="2" spans="1:24" ht="33" customHeight="1" thickBot="1" x14ac:dyDescent="0.2">
      <c r="C2" s="1118" t="s">
        <v>33</v>
      </c>
      <c r="D2" s="1117" t="s">
        <v>442</v>
      </c>
      <c r="E2" s="1116" t="s">
        <v>145</v>
      </c>
      <c r="F2" s="1115">
        <v>43344</v>
      </c>
      <c r="G2" s="1114">
        <f t="shared" ref="G2:Q2" si="0">EDATE(F2,1)</f>
        <v>43374</v>
      </c>
      <c r="H2" s="1113">
        <f t="shared" si="0"/>
        <v>43405</v>
      </c>
      <c r="I2" s="1114">
        <f t="shared" si="0"/>
        <v>43435</v>
      </c>
      <c r="J2" s="1113">
        <f t="shared" si="0"/>
        <v>43466</v>
      </c>
      <c r="K2" s="1114">
        <f t="shared" si="0"/>
        <v>43497</v>
      </c>
      <c r="L2" s="1113">
        <f t="shared" si="0"/>
        <v>43525</v>
      </c>
      <c r="M2" s="1114">
        <f t="shared" si="0"/>
        <v>43556</v>
      </c>
      <c r="N2" s="1113">
        <f t="shared" si="0"/>
        <v>43586</v>
      </c>
      <c r="O2" s="1114">
        <f t="shared" si="0"/>
        <v>43617</v>
      </c>
      <c r="P2" s="1113">
        <f t="shared" si="0"/>
        <v>43647</v>
      </c>
      <c r="Q2" s="1112">
        <f t="shared" si="0"/>
        <v>43678</v>
      </c>
      <c r="R2" s="1142"/>
      <c r="S2" s="1141" t="s">
        <v>270</v>
      </c>
      <c r="T2" s="1270" t="s">
        <v>272</v>
      </c>
      <c r="U2" s="1110" t="s">
        <v>183</v>
      </c>
      <c r="V2" s="1389"/>
      <c r="W2" s="1111" t="s">
        <v>271</v>
      </c>
      <c r="X2" s="1271" t="s">
        <v>273</v>
      </c>
    </row>
    <row r="3" spans="1:24" ht="14.1" customHeight="1" x14ac:dyDescent="0.15">
      <c r="A3" s="413" t="s">
        <v>1423</v>
      </c>
      <c r="B3" s="1081" t="s">
        <v>26</v>
      </c>
      <c r="C3" s="2157" t="s">
        <v>489</v>
      </c>
      <c r="D3" s="2196" t="s">
        <v>443</v>
      </c>
      <c r="E3" s="360" t="s">
        <v>26</v>
      </c>
      <c r="F3" s="503">
        <v>0</v>
      </c>
      <c r="G3" s="504">
        <v>0</v>
      </c>
      <c r="H3" s="504">
        <v>0</v>
      </c>
      <c r="I3" s="504">
        <v>0</v>
      </c>
      <c r="J3" s="504">
        <v>0</v>
      </c>
      <c r="K3" s="504">
        <v>0</v>
      </c>
      <c r="L3" s="504">
        <v>0</v>
      </c>
      <c r="M3" s="504">
        <v>0</v>
      </c>
      <c r="N3" s="504">
        <v>0</v>
      </c>
      <c r="O3" s="504">
        <v>0</v>
      </c>
      <c r="P3" s="504">
        <v>0</v>
      </c>
      <c r="Q3" s="505">
        <v>0</v>
      </c>
      <c r="R3" s="1295"/>
      <c r="S3" s="1039">
        <f t="shared" ref="S3:S13" ca="1" si="1">SUM(OFFSET(F3,0,0,1,IF(ISERROR(MATCH(DATE(YEAR($G$1),MONTH($G$1),1),$F$2:$Q$2,0)),0,MATCH(DATE(YEAR($G$1),MONTH($G$1),1),$F$2:$Q$2,0))))</f>
        <v>0</v>
      </c>
      <c r="T3" s="1338"/>
      <c r="U3" s="506">
        <f t="shared" ref="U3:U23" ca="1" si="2">IF(ISERROR(S3/(DATEDIF(F$2,G$1,"M")+1)),0,S3/(DATEDIF(F$2,G$1,"M")+1))</f>
        <v>0</v>
      </c>
      <c r="V3" s="1390"/>
      <c r="W3" s="1035">
        <f t="shared" ref="W3:W8" si="3">SUM(F3:Q3)</f>
        <v>0</v>
      </c>
      <c r="X3" s="1352"/>
    </row>
    <row r="4" spans="1:24" ht="14.1" customHeight="1" x14ac:dyDescent="0.15">
      <c r="A4" s="413" t="s">
        <v>1423</v>
      </c>
      <c r="B4" s="1081" t="s">
        <v>15</v>
      </c>
      <c r="C4" s="2158"/>
      <c r="D4" s="2197"/>
      <c r="E4" s="1108" t="s">
        <v>15</v>
      </c>
      <c r="F4" s="509">
        <v>4134000</v>
      </c>
      <c r="G4" s="510">
        <v>4293000</v>
      </c>
      <c r="H4" s="510">
        <v>5538000</v>
      </c>
      <c r="I4" s="510">
        <v>10199000</v>
      </c>
      <c r="J4" s="510">
        <v>5624000</v>
      </c>
      <c r="K4" s="510">
        <v>5624000</v>
      </c>
      <c r="L4" s="510">
        <v>5624000</v>
      </c>
      <c r="M4" s="510">
        <v>5753000</v>
      </c>
      <c r="N4" s="510">
        <v>5753000</v>
      </c>
      <c r="O4" s="510">
        <v>7454000</v>
      </c>
      <c r="P4" s="510">
        <v>5753000</v>
      </c>
      <c r="Q4" s="511">
        <v>5753000</v>
      </c>
      <c r="R4" s="1296"/>
      <c r="S4" s="1040">
        <f t="shared" ca="1" si="1"/>
        <v>46789000</v>
      </c>
      <c r="T4" s="1339"/>
      <c r="U4" s="512">
        <f t="shared" ca="1" si="2"/>
        <v>5848625</v>
      </c>
      <c r="V4" s="1391"/>
      <c r="W4" s="1036">
        <f t="shared" si="3"/>
        <v>71502000</v>
      </c>
      <c r="X4" s="1353"/>
    </row>
    <row r="5" spans="1:24" ht="14.1" customHeight="1" x14ac:dyDescent="0.15">
      <c r="A5" s="413" t="s">
        <v>1423</v>
      </c>
      <c r="B5" s="1081" t="s">
        <v>447</v>
      </c>
      <c r="C5" s="2158"/>
      <c r="D5" s="2197"/>
      <c r="E5" s="1108" t="s">
        <v>447</v>
      </c>
      <c r="F5" s="509">
        <v>0</v>
      </c>
      <c r="G5" s="510">
        <v>0</v>
      </c>
      <c r="H5" s="510">
        <v>350000</v>
      </c>
      <c r="I5" s="510">
        <v>0</v>
      </c>
      <c r="J5" s="510">
        <v>0</v>
      </c>
      <c r="K5" s="510">
        <v>0</v>
      </c>
      <c r="L5" s="510">
        <v>350000</v>
      </c>
      <c r="M5" s="510">
        <v>0</v>
      </c>
      <c r="N5" s="510">
        <v>0</v>
      </c>
      <c r="O5" s="510">
        <v>350000</v>
      </c>
      <c r="P5" s="510">
        <v>0</v>
      </c>
      <c r="Q5" s="511">
        <v>0</v>
      </c>
      <c r="R5" s="1296"/>
      <c r="S5" s="1040">
        <f t="shared" ca="1" si="1"/>
        <v>700000</v>
      </c>
      <c r="T5" s="1339"/>
      <c r="U5" s="512">
        <f t="shared" ca="1" si="2"/>
        <v>87500</v>
      </c>
      <c r="V5" s="1391"/>
      <c r="W5" s="1036">
        <f t="shared" si="3"/>
        <v>1050000</v>
      </c>
      <c r="X5" s="1353"/>
    </row>
    <row r="6" spans="1:24" ht="14.1" customHeight="1" x14ac:dyDescent="0.15">
      <c r="A6" s="413" t="s">
        <v>1423</v>
      </c>
      <c r="B6" s="1081" t="s">
        <v>1230</v>
      </c>
      <c r="C6" s="2158"/>
      <c r="D6" s="2197"/>
      <c r="E6" s="1108" t="s">
        <v>35</v>
      </c>
      <c r="F6" s="509">
        <v>4495000</v>
      </c>
      <c r="G6" s="510">
        <v>3299000</v>
      </c>
      <c r="H6" s="510">
        <v>2468000</v>
      </c>
      <c r="I6" s="510">
        <v>2468000</v>
      </c>
      <c r="J6" s="510">
        <v>2468000</v>
      </c>
      <c r="K6" s="510">
        <v>2468000</v>
      </c>
      <c r="L6" s="510">
        <v>2468000</v>
      </c>
      <c r="M6" s="510">
        <v>2468000</v>
      </c>
      <c r="N6" s="510">
        <v>3573000</v>
      </c>
      <c r="O6" s="510">
        <v>3848000</v>
      </c>
      <c r="P6" s="510">
        <v>2468000</v>
      </c>
      <c r="Q6" s="511">
        <v>2468000</v>
      </c>
      <c r="R6" s="1296"/>
      <c r="S6" s="1040">
        <f t="shared" ca="1" si="1"/>
        <v>22602000</v>
      </c>
      <c r="T6" s="1339"/>
      <c r="U6" s="512">
        <f t="shared" ca="1" si="2"/>
        <v>2825250</v>
      </c>
      <c r="V6" s="1391"/>
      <c r="W6" s="1036">
        <f t="shared" si="3"/>
        <v>34959000</v>
      </c>
      <c r="X6" s="1353"/>
    </row>
    <row r="7" spans="1:24" ht="14.1" customHeight="1" x14ac:dyDescent="0.15">
      <c r="A7" s="413" t="s">
        <v>1423</v>
      </c>
      <c r="B7" s="1081" t="s">
        <v>482</v>
      </c>
      <c r="C7" s="2158"/>
      <c r="D7" s="2197"/>
      <c r="E7" s="1108" t="s">
        <v>482</v>
      </c>
      <c r="F7" s="509">
        <v>200000</v>
      </c>
      <c r="G7" s="510">
        <v>200000</v>
      </c>
      <c r="H7" s="510">
        <v>200000</v>
      </c>
      <c r="I7" s="510">
        <v>200000</v>
      </c>
      <c r="J7" s="510">
        <v>200000</v>
      </c>
      <c r="K7" s="510">
        <v>200000</v>
      </c>
      <c r="L7" s="510">
        <v>200000</v>
      </c>
      <c r="M7" s="510">
        <v>200000</v>
      </c>
      <c r="N7" s="510">
        <v>200000</v>
      </c>
      <c r="O7" s="510">
        <v>200000</v>
      </c>
      <c r="P7" s="510">
        <v>200000</v>
      </c>
      <c r="Q7" s="511">
        <v>200000</v>
      </c>
      <c r="R7" s="1296"/>
      <c r="S7" s="1040">
        <f t="shared" ca="1" si="1"/>
        <v>1600000</v>
      </c>
      <c r="T7" s="1339"/>
      <c r="U7" s="512">
        <f t="shared" ca="1" si="2"/>
        <v>200000</v>
      </c>
      <c r="V7" s="1391"/>
      <c r="W7" s="1036">
        <f t="shared" si="3"/>
        <v>2400000</v>
      </c>
      <c r="X7" s="1354"/>
    </row>
    <row r="8" spans="1:24" ht="14.1" customHeight="1" thickBot="1" x14ac:dyDescent="0.2">
      <c r="A8" s="413" t="s">
        <v>1423</v>
      </c>
      <c r="B8" s="1081" t="s">
        <v>32</v>
      </c>
      <c r="C8" s="2158"/>
      <c r="D8" s="2197"/>
      <c r="E8" s="1791" t="s">
        <v>32</v>
      </c>
      <c r="F8" s="1792">
        <f t="shared" ref="F8:Q8" si="4">F3-(F4+F6+F7)</f>
        <v>-8829000</v>
      </c>
      <c r="G8" s="1124">
        <f t="shared" si="4"/>
        <v>-7792000</v>
      </c>
      <c r="H8" s="1124">
        <f t="shared" si="4"/>
        <v>-8206000</v>
      </c>
      <c r="I8" s="1124">
        <f t="shared" si="4"/>
        <v>-12867000</v>
      </c>
      <c r="J8" s="1124">
        <f t="shared" si="4"/>
        <v>-8292000</v>
      </c>
      <c r="K8" s="1124">
        <f t="shared" si="4"/>
        <v>-8292000</v>
      </c>
      <c r="L8" s="1124">
        <f t="shared" si="4"/>
        <v>-8292000</v>
      </c>
      <c r="M8" s="1124">
        <f t="shared" si="4"/>
        <v>-8421000</v>
      </c>
      <c r="N8" s="1124">
        <f t="shared" si="4"/>
        <v>-9526000</v>
      </c>
      <c r="O8" s="1124">
        <f t="shared" si="4"/>
        <v>-11502000</v>
      </c>
      <c r="P8" s="1124">
        <f t="shared" si="4"/>
        <v>-8421000</v>
      </c>
      <c r="Q8" s="1793">
        <f t="shared" si="4"/>
        <v>-8421000</v>
      </c>
      <c r="R8" s="1268"/>
      <c r="S8" s="1266">
        <f t="shared" ca="1" si="1"/>
        <v>-70991000</v>
      </c>
      <c r="T8" s="1794"/>
      <c r="U8" s="1124">
        <f t="shared" ca="1" si="2"/>
        <v>-8873875</v>
      </c>
      <c r="V8" s="1269"/>
      <c r="W8" s="1269">
        <f t="shared" si="3"/>
        <v>-108861000</v>
      </c>
      <c r="X8" s="1354"/>
    </row>
    <row r="9" spans="1:24" ht="14.1" customHeight="1" x14ac:dyDescent="0.15">
      <c r="A9" s="413" t="s">
        <v>378</v>
      </c>
      <c r="B9" s="1081" t="s">
        <v>26</v>
      </c>
      <c r="C9" s="2166" t="s">
        <v>34</v>
      </c>
      <c r="D9" s="2196" t="s">
        <v>443</v>
      </c>
      <c r="E9" s="360" t="s">
        <v>26</v>
      </c>
      <c r="F9" s="503">
        <v>10700000</v>
      </c>
      <c r="G9" s="504">
        <v>11000000</v>
      </c>
      <c r="H9" s="504">
        <v>11000000</v>
      </c>
      <c r="I9" s="504">
        <v>12000000</v>
      </c>
      <c r="J9" s="504">
        <v>12000000</v>
      </c>
      <c r="K9" s="504">
        <v>12000000</v>
      </c>
      <c r="L9" s="504">
        <v>12000000</v>
      </c>
      <c r="M9" s="504">
        <v>12500000</v>
      </c>
      <c r="N9" s="504">
        <v>12500000</v>
      </c>
      <c r="O9" s="504">
        <v>12700000</v>
      </c>
      <c r="P9" s="504">
        <v>13000000</v>
      </c>
      <c r="Q9" s="1804">
        <v>13000000</v>
      </c>
      <c r="R9" s="1805"/>
      <c r="S9" s="1806">
        <f t="shared" ca="1" si="1"/>
        <v>93200000</v>
      </c>
      <c r="T9" s="1807"/>
      <c r="U9" s="1808">
        <f t="shared" ca="1" si="2"/>
        <v>11650000</v>
      </c>
      <c r="V9" s="1809"/>
      <c r="W9" s="1810">
        <f t="shared" ref="W9:W40" si="5">SUM(F9:Q9)</f>
        <v>144400000</v>
      </c>
      <c r="X9" s="1352"/>
    </row>
    <row r="10" spans="1:24" ht="14.1" customHeight="1" x14ac:dyDescent="0.15">
      <c r="A10" s="413" t="s">
        <v>378</v>
      </c>
      <c r="B10" s="1081" t="s">
        <v>15</v>
      </c>
      <c r="C10" s="2167"/>
      <c r="D10" s="2197"/>
      <c r="E10" s="1108" t="s">
        <v>15</v>
      </c>
      <c r="F10" s="509">
        <v>5700000</v>
      </c>
      <c r="G10" s="510">
        <v>5900000</v>
      </c>
      <c r="H10" s="510">
        <v>6100000</v>
      </c>
      <c r="I10" s="510">
        <v>10400000</v>
      </c>
      <c r="J10" s="510">
        <v>7200000</v>
      </c>
      <c r="K10" s="510">
        <v>7200000</v>
      </c>
      <c r="L10" s="510">
        <v>7200000</v>
      </c>
      <c r="M10" s="510">
        <v>7500000</v>
      </c>
      <c r="N10" s="510">
        <v>7500000</v>
      </c>
      <c r="O10" s="510">
        <v>11400000</v>
      </c>
      <c r="P10" s="510">
        <v>8000000</v>
      </c>
      <c r="Q10" s="511">
        <v>8000000</v>
      </c>
      <c r="R10" s="1296"/>
      <c r="S10" s="1040">
        <f t="shared" ca="1" si="1"/>
        <v>57200000</v>
      </c>
      <c r="T10" s="1339"/>
      <c r="U10" s="512">
        <f t="shared" ca="1" si="2"/>
        <v>7150000</v>
      </c>
      <c r="V10" s="1391"/>
      <c r="W10" s="1036">
        <f t="shared" si="5"/>
        <v>92100000</v>
      </c>
      <c r="X10" s="1353"/>
    </row>
    <row r="11" spans="1:24" ht="14.1" customHeight="1" x14ac:dyDescent="0.15">
      <c r="A11" s="413" t="s">
        <v>378</v>
      </c>
      <c r="B11" s="1081" t="s">
        <v>447</v>
      </c>
      <c r="C11" s="2167"/>
      <c r="D11" s="2197"/>
      <c r="E11" s="1108" t="s">
        <v>447</v>
      </c>
      <c r="F11" s="509">
        <v>75000</v>
      </c>
      <c r="G11" s="510">
        <v>50000</v>
      </c>
      <c r="H11" s="510"/>
      <c r="I11" s="510">
        <v>50000</v>
      </c>
      <c r="J11" s="510">
        <v>50000</v>
      </c>
      <c r="K11" s="510">
        <v>50000</v>
      </c>
      <c r="L11" s="510">
        <v>100000</v>
      </c>
      <c r="M11" s="510">
        <v>50000</v>
      </c>
      <c r="N11" s="510">
        <v>50000</v>
      </c>
      <c r="O11" s="510">
        <v>50000</v>
      </c>
      <c r="P11" s="510">
        <v>50000</v>
      </c>
      <c r="Q11" s="1798">
        <v>50000</v>
      </c>
      <c r="R11" s="1296"/>
      <c r="S11" s="1040">
        <f t="shared" ca="1" si="1"/>
        <v>425000</v>
      </c>
      <c r="T11" s="1339"/>
      <c r="U11" s="512">
        <f t="shared" ca="1" si="2"/>
        <v>53125</v>
      </c>
      <c r="V11" s="1391"/>
      <c r="W11" s="1036">
        <f t="shared" si="5"/>
        <v>625000</v>
      </c>
      <c r="X11" s="1353"/>
    </row>
    <row r="12" spans="1:24" ht="14.1" customHeight="1" x14ac:dyDescent="0.15">
      <c r="A12" s="413" t="s">
        <v>378</v>
      </c>
      <c r="B12" s="1081" t="s">
        <v>1230</v>
      </c>
      <c r="C12" s="2167"/>
      <c r="D12" s="2197"/>
      <c r="E12" s="1108" t="s">
        <v>35</v>
      </c>
      <c r="F12" s="509">
        <v>750000</v>
      </c>
      <c r="G12" s="510">
        <v>950000</v>
      </c>
      <c r="H12" s="510">
        <v>950000</v>
      </c>
      <c r="I12" s="510">
        <v>1400000</v>
      </c>
      <c r="J12" s="510">
        <v>1400000</v>
      </c>
      <c r="K12" s="510">
        <v>1400000</v>
      </c>
      <c r="L12" s="510">
        <v>1400000</v>
      </c>
      <c r="M12" s="510">
        <v>1400000</v>
      </c>
      <c r="N12" s="510">
        <v>1400000</v>
      </c>
      <c r="O12" s="510">
        <v>1400000</v>
      </c>
      <c r="P12" s="510">
        <v>1400000</v>
      </c>
      <c r="Q12" s="1798">
        <v>1400000</v>
      </c>
      <c r="R12" s="1296"/>
      <c r="S12" s="1040">
        <f t="shared" ca="1" si="1"/>
        <v>9650000</v>
      </c>
      <c r="T12" s="1339"/>
      <c r="U12" s="512">
        <f t="shared" ca="1" si="2"/>
        <v>1206250</v>
      </c>
      <c r="V12" s="1391"/>
      <c r="W12" s="1036">
        <f t="shared" si="5"/>
        <v>15250000</v>
      </c>
      <c r="X12" s="1353"/>
    </row>
    <row r="13" spans="1:24" ht="14.1" customHeight="1" x14ac:dyDescent="0.15">
      <c r="A13" s="413" t="s">
        <v>378</v>
      </c>
      <c r="B13" s="1081" t="s">
        <v>32</v>
      </c>
      <c r="C13" s="2167"/>
      <c r="D13" s="2197"/>
      <c r="E13" s="1108" t="s">
        <v>32</v>
      </c>
      <c r="F13" s="539">
        <f>F9-(F10+F12)</f>
        <v>4250000</v>
      </c>
      <c r="G13" s="512">
        <f>G9-(G10+G12)</f>
        <v>4150000</v>
      </c>
      <c r="H13" s="512">
        <f>H9-(H10+H12)</f>
        <v>3950000</v>
      </c>
      <c r="I13" s="512">
        <f t="shared" ref="I13:Q13" si="6">I9-(I10+I12)</f>
        <v>200000</v>
      </c>
      <c r="J13" s="512">
        <f t="shared" si="6"/>
        <v>3400000</v>
      </c>
      <c r="K13" s="512">
        <f t="shared" si="6"/>
        <v>3400000</v>
      </c>
      <c r="L13" s="512">
        <f t="shared" si="6"/>
        <v>3400000</v>
      </c>
      <c r="M13" s="512">
        <f t="shared" si="6"/>
        <v>3600000</v>
      </c>
      <c r="N13" s="512">
        <f t="shared" si="6"/>
        <v>3600000</v>
      </c>
      <c r="O13" s="512">
        <f t="shared" si="6"/>
        <v>-100000</v>
      </c>
      <c r="P13" s="512">
        <f t="shared" si="6"/>
        <v>3600000</v>
      </c>
      <c r="Q13" s="1395">
        <f t="shared" si="6"/>
        <v>3600000</v>
      </c>
      <c r="R13" s="1050"/>
      <c r="S13" s="1040">
        <f t="shared" ca="1" si="1"/>
        <v>26350000</v>
      </c>
      <c r="T13" s="1339"/>
      <c r="U13" s="512">
        <f t="shared" ca="1" si="2"/>
        <v>3293750</v>
      </c>
      <c r="V13" s="1036"/>
      <c r="W13" s="1036">
        <f t="shared" si="5"/>
        <v>37050000</v>
      </c>
      <c r="X13" s="1353"/>
    </row>
    <row r="14" spans="1:24" s="1121" customFormat="1" ht="14.1" customHeight="1" x14ac:dyDescent="0.15">
      <c r="C14" s="2167"/>
      <c r="D14" s="2197"/>
      <c r="E14" s="1795" t="s">
        <v>1197</v>
      </c>
      <c r="F14" s="1796">
        <v>2100000</v>
      </c>
      <c r="G14" s="1797">
        <v>2100000</v>
      </c>
      <c r="H14" s="1797">
        <v>2100000</v>
      </c>
      <c r="I14" s="1797">
        <v>2100000</v>
      </c>
      <c r="J14" s="1797">
        <v>2100000</v>
      </c>
      <c r="K14" s="1797">
        <v>2100000</v>
      </c>
      <c r="L14" s="1797">
        <v>2100000</v>
      </c>
      <c r="M14" s="1797">
        <v>2100000</v>
      </c>
      <c r="N14" s="1797">
        <v>2100000</v>
      </c>
      <c r="O14" s="1797">
        <v>2100000</v>
      </c>
      <c r="P14" s="1797">
        <v>2100000</v>
      </c>
      <c r="Q14" s="1127">
        <v>2100000</v>
      </c>
      <c r="R14" s="1051"/>
      <c r="S14" s="1043">
        <f t="shared" ref="S14:S45" ca="1" si="7">SUM(OFFSET(F14,0,0,1,IF(ISERROR(MATCH(DATE(YEAR($G$1),MONTH($G$1),1),$F$2:$Q$2,0)),0,MATCH(DATE(YEAR($G$1),MONTH($G$1),1),$F$2:$Q$2,0))))</f>
        <v>16800000</v>
      </c>
      <c r="T14" s="1456"/>
      <c r="U14" s="527">
        <f t="shared" ca="1" si="2"/>
        <v>2100000</v>
      </c>
      <c r="V14" s="1033"/>
      <c r="W14" s="1033">
        <f t="shared" si="5"/>
        <v>25200000</v>
      </c>
      <c r="X14" s="1458"/>
    </row>
    <row r="15" spans="1:24" s="1121" customFormat="1" ht="14.1" customHeight="1" thickBot="1" x14ac:dyDescent="0.2">
      <c r="C15" s="2168"/>
      <c r="D15" s="2198"/>
      <c r="E15" s="1129" t="s">
        <v>1196</v>
      </c>
      <c r="F15" s="530">
        <f>F13-F14</f>
        <v>2150000</v>
      </c>
      <c r="G15" s="531">
        <f>G13-G14</f>
        <v>2050000</v>
      </c>
      <c r="H15" s="531">
        <f>H13-H14</f>
        <v>1850000</v>
      </c>
      <c r="I15" s="531">
        <f t="shared" ref="I15:Q15" si="8">I13-I14</f>
        <v>-1900000</v>
      </c>
      <c r="J15" s="531">
        <f t="shared" si="8"/>
        <v>1300000</v>
      </c>
      <c r="K15" s="531">
        <f t="shared" si="8"/>
        <v>1300000</v>
      </c>
      <c r="L15" s="531">
        <f t="shared" si="8"/>
        <v>1300000</v>
      </c>
      <c r="M15" s="531">
        <f t="shared" si="8"/>
        <v>1500000</v>
      </c>
      <c r="N15" s="531">
        <f t="shared" si="8"/>
        <v>1500000</v>
      </c>
      <c r="O15" s="531">
        <f t="shared" si="8"/>
        <v>-2200000</v>
      </c>
      <c r="P15" s="531">
        <f t="shared" si="8"/>
        <v>1500000</v>
      </c>
      <c r="Q15" s="1799">
        <f t="shared" si="8"/>
        <v>1500000</v>
      </c>
      <c r="R15" s="1800"/>
      <c r="S15" s="1801">
        <f t="shared" ca="1" si="7"/>
        <v>9550000</v>
      </c>
      <c r="T15" s="1457"/>
      <c r="U15" s="1802">
        <f t="shared" ca="1" si="2"/>
        <v>1193750</v>
      </c>
      <c r="V15" s="1803"/>
      <c r="W15" s="1803">
        <f t="shared" si="5"/>
        <v>11850000</v>
      </c>
      <c r="X15" s="1459"/>
    </row>
    <row r="16" spans="1:24" ht="14.1" customHeight="1" x14ac:dyDescent="0.15">
      <c r="A16" s="413" t="s">
        <v>379</v>
      </c>
      <c r="B16" s="1081" t="s">
        <v>26</v>
      </c>
      <c r="C16" s="2166" t="s">
        <v>37</v>
      </c>
      <c r="D16" s="2196" t="s">
        <v>443</v>
      </c>
      <c r="E16" s="360" t="s">
        <v>26</v>
      </c>
      <c r="F16" s="503">
        <v>7000000</v>
      </c>
      <c r="G16" s="504">
        <v>7200000</v>
      </c>
      <c r="H16" s="504">
        <v>7200000</v>
      </c>
      <c r="I16" s="504">
        <v>6850000</v>
      </c>
      <c r="J16" s="504">
        <v>6850000</v>
      </c>
      <c r="K16" s="504">
        <v>6850000</v>
      </c>
      <c r="L16" s="504">
        <v>6900000</v>
      </c>
      <c r="M16" s="504">
        <v>7000000</v>
      </c>
      <c r="N16" s="504">
        <v>7000000</v>
      </c>
      <c r="O16" s="504">
        <v>7000000</v>
      </c>
      <c r="P16" s="504">
        <v>6900000</v>
      </c>
      <c r="Q16" s="1804">
        <v>6900000</v>
      </c>
      <c r="R16" s="1805"/>
      <c r="S16" s="1806">
        <f t="shared" ca="1" si="7"/>
        <v>55850000</v>
      </c>
      <c r="T16" s="1807"/>
      <c r="U16" s="1808">
        <f t="shared" ca="1" si="2"/>
        <v>6981250</v>
      </c>
      <c r="V16" s="1809"/>
      <c r="W16" s="1810">
        <f t="shared" si="5"/>
        <v>83650000</v>
      </c>
      <c r="X16" s="1352"/>
    </row>
    <row r="17" spans="1:24" ht="14.1" customHeight="1" x14ac:dyDescent="0.15">
      <c r="A17" s="413" t="s">
        <v>379</v>
      </c>
      <c r="B17" s="1081" t="s">
        <v>15</v>
      </c>
      <c r="C17" s="2167"/>
      <c r="D17" s="2197"/>
      <c r="E17" s="1108" t="s">
        <v>15</v>
      </c>
      <c r="F17" s="509">
        <v>4200000</v>
      </c>
      <c r="G17" s="510">
        <v>4200000</v>
      </c>
      <c r="H17" s="510">
        <v>4300000</v>
      </c>
      <c r="I17" s="510">
        <v>7900000</v>
      </c>
      <c r="J17" s="510">
        <v>3900000</v>
      </c>
      <c r="K17" s="510">
        <v>4100000</v>
      </c>
      <c r="L17" s="510">
        <v>4100000</v>
      </c>
      <c r="M17" s="510">
        <v>4200000</v>
      </c>
      <c r="N17" s="510">
        <v>4200000</v>
      </c>
      <c r="O17" s="510">
        <v>8400000</v>
      </c>
      <c r="P17" s="510">
        <v>4200000</v>
      </c>
      <c r="Q17" s="511">
        <v>4200000</v>
      </c>
      <c r="R17" s="1296"/>
      <c r="S17" s="1040">
        <f t="shared" ca="1" si="7"/>
        <v>36900000</v>
      </c>
      <c r="T17" s="1339"/>
      <c r="U17" s="512">
        <f t="shared" ca="1" si="2"/>
        <v>4612500</v>
      </c>
      <c r="V17" s="1391"/>
      <c r="W17" s="1036">
        <f t="shared" si="5"/>
        <v>57900000</v>
      </c>
      <c r="X17" s="1353"/>
    </row>
    <row r="18" spans="1:24" ht="14.1" customHeight="1" x14ac:dyDescent="0.15">
      <c r="A18" s="413" t="s">
        <v>379</v>
      </c>
      <c r="B18" s="1081" t="s">
        <v>447</v>
      </c>
      <c r="C18" s="2167"/>
      <c r="D18" s="2197"/>
      <c r="E18" s="1108" t="s">
        <v>447</v>
      </c>
      <c r="F18" s="509">
        <v>50000</v>
      </c>
      <c r="G18" s="510">
        <v>50000</v>
      </c>
      <c r="H18" s="510">
        <v>50000</v>
      </c>
      <c r="I18" s="510">
        <v>100000</v>
      </c>
      <c r="J18" s="510">
        <v>100000</v>
      </c>
      <c r="K18" s="510">
        <v>100000</v>
      </c>
      <c r="L18" s="510">
        <v>100000</v>
      </c>
      <c r="M18" s="510">
        <v>50000</v>
      </c>
      <c r="N18" s="510">
        <v>50000</v>
      </c>
      <c r="O18" s="510">
        <v>50000</v>
      </c>
      <c r="P18" s="510">
        <v>50000</v>
      </c>
      <c r="Q18" s="1798">
        <v>50000</v>
      </c>
      <c r="R18" s="1296"/>
      <c r="S18" s="1040">
        <f t="shared" ca="1" si="7"/>
        <v>600000</v>
      </c>
      <c r="T18" s="1339"/>
      <c r="U18" s="512">
        <f t="shared" ca="1" si="2"/>
        <v>75000</v>
      </c>
      <c r="V18" s="1391"/>
      <c r="W18" s="1036">
        <f t="shared" si="5"/>
        <v>800000</v>
      </c>
      <c r="X18" s="1353"/>
    </row>
    <row r="19" spans="1:24" ht="14.1" customHeight="1" x14ac:dyDescent="0.15">
      <c r="A19" s="413" t="s">
        <v>379</v>
      </c>
      <c r="B19" s="1081" t="s">
        <v>1230</v>
      </c>
      <c r="C19" s="2167"/>
      <c r="D19" s="2197"/>
      <c r="E19" s="1108" t="s">
        <v>35</v>
      </c>
      <c r="F19" s="509">
        <v>1000000</v>
      </c>
      <c r="G19" s="510">
        <v>1000000</v>
      </c>
      <c r="H19" s="510">
        <v>1000000</v>
      </c>
      <c r="I19" s="510">
        <v>1000000</v>
      </c>
      <c r="J19" s="510">
        <v>1000000</v>
      </c>
      <c r="K19" s="510">
        <v>1000000</v>
      </c>
      <c r="L19" s="510">
        <v>1000000</v>
      </c>
      <c r="M19" s="510">
        <v>1000000</v>
      </c>
      <c r="N19" s="510">
        <v>1000000</v>
      </c>
      <c r="O19" s="510">
        <v>1000000</v>
      </c>
      <c r="P19" s="510">
        <v>1000000</v>
      </c>
      <c r="Q19" s="1798">
        <v>1000000</v>
      </c>
      <c r="R19" s="1296"/>
      <c r="S19" s="1040">
        <f t="shared" ca="1" si="7"/>
        <v>8000000</v>
      </c>
      <c r="T19" s="1339"/>
      <c r="U19" s="512">
        <f t="shared" ca="1" si="2"/>
        <v>1000000</v>
      </c>
      <c r="V19" s="1391"/>
      <c r="W19" s="1036">
        <f t="shared" si="5"/>
        <v>12000000</v>
      </c>
      <c r="X19" s="1353"/>
    </row>
    <row r="20" spans="1:24" ht="14.1" customHeight="1" x14ac:dyDescent="0.15">
      <c r="A20" s="413" t="s">
        <v>379</v>
      </c>
      <c r="B20" s="1081" t="s">
        <v>32</v>
      </c>
      <c r="C20" s="2167"/>
      <c r="D20" s="2197"/>
      <c r="E20" s="1108" t="s">
        <v>32</v>
      </c>
      <c r="F20" s="539">
        <f>F16-(F17+F19)</f>
        <v>1800000</v>
      </c>
      <c r="G20" s="512">
        <f>G16-(G17+G19)</f>
        <v>2000000</v>
      </c>
      <c r="H20" s="512">
        <f>H16-(H17+H19)</f>
        <v>1900000</v>
      </c>
      <c r="I20" s="512">
        <f t="shared" ref="I20:Q20" si="9">I16-(I17+I19)</f>
        <v>-2050000</v>
      </c>
      <c r="J20" s="512">
        <f t="shared" si="9"/>
        <v>1950000</v>
      </c>
      <c r="K20" s="512">
        <f t="shared" si="9"/>
        <v>1750000</v>
      </c>
      <c r="L20" s="512">
        <f t="shared" si="9"/>
        <v>1800000</v>
      </c>
      <c r="M20" s="512">
        <f t="shared" si="9"/>
        <v>1800000</v>
      </c>
      <c r="N20" s="512">
        <f t="shared" si="9"/>
        <v>1800000</v>
      </c>
      <c r="O20" s="512">
        <f t="shared" si="9"/>
        <v>-2400000</v>
      </c>
      <c r="P20" s="512">
        <f t="shared" si="9"/>
        <v>1700000</v>
      </c>
      <c r="Q20" s="1395">
        <f t="shared" si="9"/>
        <v>1700000</v>
      </c>
      <c r="R20" s="1050"/>
      <c r="S20" s="1040">
        <f t="shared" ca="1" si="7"/>
        <v>10950000</v>
      </c>
      <c r="T20" s="1339"/>
      <c r="U20" s="512">
        <f t="shared" ca="1" si="2"/>
        <v>1368750</v>
      </c>
      <c r="V20" s="1036"/>
      <c r="W20" s="1036">
        <f t="shared" si="5"/>
        <v>13750000</v>
      </c>
      <c r="X20" s="1353"/>
    </row>
    <row r="21" spans="1:24" s="1121" customFormat="1" ht="14.1" customHeight="1" x14ac:dyDescent="0.15">
      <c r="C21" s="2167"/>
      <c r="D21" s="2197"/>
      <c r="E21" s="1795" t="s">
        <v>1197</v>
      </c>
      <c r="F21" s="1796">
        <v>600000</v>
      </c>
      <c r="G21" s="1797">
        <v>600000</v>
      </c>
      <c r="H21" s="1797">
        <v>600000</v>
      </c>
      <c r="I21" s="1797">
        <v>600000</v>
      </c>
      <c r="J21" s="1797">
        <v>600000</v>
      </c>
      <c r="K21" s="1797">
        <v>600000</v>
      </c>
      <c r="L21" s="1797">
        <v>600000</v>
      </c>
      <c r="M21" s="1797">
        <v>600000</v>
      </c>
      <c r="N21" s="1797">
        <v>600000</v>
      </c>
      <c r="O21" s="1797">
        <v>600000</v>
      </c>
      <c r="P21" s="1797">
        <v>600000</v>
      </c>
      <c r="Q21" s="1127">
        <v>600000</v>
      </c>
      <c r="R21" s="1051"/>
      <c r="S21" s="1043">
        <f t="shared" ca="1" si="7"/>
        <v>4800000</v>
      </c>
      <c r="T21" s="1456"/>
      <c r="U21" s="527">
        <f t="shared" ca="1" si="2"/>
        <v>600000</v>
      </c>
      <c r="V21" s="1033"/>
      <c r="W21" s="1033">
        <f t="shared" si="5"/>
        <v>7200000</v>
      </c>
      <c r="X21" s="1458"/>
    </row>
    <row r="22" spans="1:24" s="1121" customFormat="1" ht="14.1" customHeight="1" thickBot="1" x14ac:dyDescent="0.2">
      <c r="C22" s="2168"/>
      <c r="D22" s="2198"/>
      <c r="E22" s="1129" t="s">
        <v>1425</v>
      </c>
      <c r="F22" s="530">
        <f>F20-F21</f>
        <v>1200000</v>
      </c>
      <c r="G22" s="531">
        <f>G20-G21</f>
        <v>1400000</v>
      </c>
      <c r="H22" s="531">
        <f>H20-H21</f>
        <v>1300000</v>
      </c>
      <c r="I22" s="531">
        <f t="shared" ref="I22:Q22" si="10">I20-I21</f>
        <v>-2650000</v>
      </c>
      <c r="J22" s="531">
        <f t="shared" si="10"/>
        <v>1350000</v>
      </c>
      <c r="K22" s="531">
        <f t="shared" si="10"/>
        <v>1150000</v>
      </c>
      <c r="L22" s="531">
        <f t="shared" si="10"/>
        <v>1200000</v>
      </c>
      <c r="M22" s="531">
        <f t="shared" si="10"/>
        <v>1200000</v>
      </c>
      <c r="N22" s="531">
        <f t="shared" si="10"/>
        <v>1200000</v>
      </c>
      <c r="O22" s="531">
        <f t="shared" si="10"/>
        <v>-3000000</v>
      </c>
      <c r="P22" s="531">
        <f t="shared" si="10"/>
        <v>1100000</v>
      </c>
      <c r="Q22" s="1799">
        <f t="shared" si="10"/>
        <v>1100000</v>
      </c>
      <c r="R22" s="1800"/>
      <c r="S22" s="1801">
        <f t="shared" ca="1" si="7"/>
        <v>6150000</v>
      </c>
      <c r="T22" s="1457"/>
      <c r="U22" s="1802">
        <f t="shared" ca="1" si="2"/>
        <v>768750</v>
      </c>
      <c r="V22" s="1803"/>
      <c r="W22" s="1803">
        <f t="shared" si="5"/>
        <v>6550000</v>
      </c>
      <c r="X22" s="1459"/>
    </row>
    <row r="23" spans="1:24" ht="14.1" customHeight="1" x14ac:dyDescent="0.15">
      <c r="A23" s="413" t="s">
        <v>380</v>
      </c>
      <c r="B23" s="1081" t="s">
        <v>26</v>
      </c>
      <c r="C23" s="2166" t="s">
        <v>66</v>
      </c>
      <c r="D23" s="2196" t="s">
        <v>443</v>
      </c>
      <c r="E23" s="360" t="s">
        <v>26</v>
      </c>
      <c r="F23" s="503">
        <v>7000000</v>
      </c>
      <c r="G23" s="504">
        <v>7200000</v>
      </c>
      <c r="H23" s="504">
        <v>7000000</v>
      </c>
      <c r="I23" s="504">
        <v>7200000</v>
      </c>
      <c r="J23" s="504">
        <v>7200000</v>
      </c>
      <c r="K23" s="504">
        <v>7300000</v>
      </c>
      <c r="L23" s="504">
        <v>7400000</v>
      </c>
      <c r="M23" s="504">
        <v>7500000</v>
      </c>
      <c r="N23" s="504">
        <v>7600000</v>
      </c>
      <c r="O23" s="504">
        <v>7700000</v>
      </c>
      <c r="P23" s="504">
        <v>7900000</v>
      </c>
      <c r="Q23" s="1804">
        <v>8000000</v>
      </c>
      <c r="R23" s="1805"/>
      <c r="S23" s="1806">
        <f t="shared" ca="1" si="7"/>
        <v>57800000</v>
      </c>
      <c r="T23" s="1807"/>
      <c r="U23" s="1808">
        <f t="shared" ca="1" si="2"/>
        <v>7225000</v>
      </c>
      <c r="V23" s="1809"/>
      <c r="W23" s="1810">
        <f t="shared" si="5"/>
        <v>89000000</v>
      </c>
      <c r="X23" s="1352"/>
    </row>
    <row r="24" spans="1:24" ht="14.1" customHeight="1" x14ac:dyDescent="0.15">
      <c r="A24" s="413" t="s">
        <v>380</v>
      </c>
      <c r="B24" s="1081" t="s">
        <v>15</v>
      </c>
      <c r="C24" s="2167"/>
      <c r="D24" s="2197"/>
      <c r="E24" s="1108" t="s">
        <v>15</v>
      </c>
      <c r="F24" s="509">
        <v>4100000</v>
      </c>
      <c r="G24" s="510">
        <v>4100000</v>
      </c>
      <c r="H24" s="510">
        <v>4100000</v>
      </c>
      <c r="I24" s="510">
        <v>8500000</v>
      </c>
      <c r="J24" s="510">
        <v>4300000</v>
      </c>
      <c r="K24" s="510">
        <v>4300000</v>
      </c>
      <c r="L24" s="510">
        <v>4400000</v>
      </c>
      <c r="M24" s="510">
        <v>4600000</v>
      </c>
      <c r="N24" s="510">
        <v>4600000</v>
      </c>
      <c r="O24" s="510">
        <v>9600000</v>
      </c>
      <c r="P24" s="510">
        <v>4600000</v>
      </c>
      <c r="Q24" s="511">
        <v>4500000</v>
      </c>
      <c r="R24" s="1296"/>
      <c r="S24" s="1040">
        <f t="shared" ca="1" si="7"/>
        <v>38400000</v>
      </c>
      <c r="T24" s="1339"/>
      <c r="U24" s="512">
        <f t="shared" ref="U24:U46" ca="1" si="11">IF(ISERROR(S24/(DATEDIF(F$2,G$1,"M")+1)),0,S24/(DATEDIF(F$2,G$1,"M")+1))</f>
        <v>4800000</v>
      </c>
      <c r="V24" s="1391"/>
      <c r="W24" s="1036">
        <f t="shared" si="5"/>
        <v>61700000</v>
      </c>
      <c r="X24" s="1353"/>
    </row>
    <row r="25" spans="1:24" ht="14.1" customHeight="1" x14ac:dyDescent="0.15">
      <c r="A25" s="413" t="s">
        <v>380</v>
      </c>
      <c r="B25" s="1081" t="s">
        <v>447</v>
      </c>
      <c r="C25" s="2167"/>
      <c r="D25" s="2197"/>
      <c r="E25" s="1108" t="s">
        <v>447</v>
      </c>
      <c r="F25" s="509">
        <v>80000</v>
      </c>
      <c r="G25" s="510">
        <v>40000</v>
      </c>
      <c r="H25" s="510">
        <v>80000</v>
      </c>
      <c r="I25" s="510">
        <v>0</v>
      </c>
      <c r="J25" s="510">
        <v>100000</v>
      </c>
      <c r="K25" s="510">
        <v>0</v>
      </c>
      <c r="L25" s="510">
        <v>50000</v>
      </c>
      <c r="M25" s="510">
        <v>0</v>
      </c>
      <c r="N25" s="510">
        <v>100000</v>
      </c>
      <c r="O25" s="510">
        <v>0</v>
      </c>
      <c r="P25" s="510">
        <v>0</v>
      </c>
      <c r="Q25" s="1798">
        <v>50000</v>
      </c>
      <c r="R25" s="1296"/>
      <c r="S25" s="1040">
        <f t="shared" ca="1" si="7"/>
        <v>350000</v>
      </c>
      <c r="T25" s="1339"/>
      <c r="U25" s="512">
        <f t="shared" ca="1" si="11"/>
        <v>43750</v>
      </c>
      <c r="V25" s="1391"/>
      <c r="W25" s="1036">
        <f t="shared" si="5"/>
        <v>500000</v>
      </c>
      <c r="X25" s="1353"/>
    </row>
    <row r="26" spans="1:24" ht="14.1" customHeight="1" x14ac:dyDescent="0.15">
      <c r="A26" s="413" t="s">
        <v>380</v>
      </c>
      <c r="B26" s="1081" t="s">
        <v>1230</v>
      </c>
      <c r="C26" s="2167"/>
      <c r="D26" s="2197"/>
      <c r="E26" s="1108" t="s">
        <v>35</v>
      </c>
      <c r="F26" s="509">
        <v>900000</v>
      </c>
      <c r="G26" s="510">
        <v>850000</v>
      </c>
      <c r="H26" s="510">
        <v>900000</v>
      </c>
      <c r="I26" s="510">
        <v>850000</v>
      </c>
      <c r="J26" s="510">
        <v>900000</v>
      </c>
      <c r="K26" s="510">
        <v>800000</v>
      </c>
      <c r="L26" s="510">
        <v>850000</v>
      </c>
      <c r="M26" s="510">
        <v>800000</v>
      </c>
      <c r="N26" s="510">
        <v>850000</v>
      </c>
      <c r="O26" s="510">
        <v>800000</v>
      </c>
      <c r="P26" s="510">
        <v>850000</v>
      </c>
      <c r="Q26" s="1798">
        <v>850000</v>
      </c>
      <c r="R26" s="1296"/>
      <c r="S26" s="1040">
        <f t="shared" ca="1" si="7"/>
        <v>6850000</v>
      </c>
      <c r="T26" s="1339"/>
      <c r="U26" s="512">
        <f t="shared" ca="1" si="11"/>
        <v>856250</v>
      </c>
      <c r="V26" s="1391"/>
      <c r="W26" s="1036">
        <f t="shared" si="5"/>
        <v>10200000</v>
      </c>
      <c r="X26" s="1353"/>
    </row>
    <row r="27" spans="1:24" ht="14.1" customHeight="1" x14ac:dyDescent="0.15">
      <c r="A27" s="413" t="s">
        <v>380</v>
      </c>
      <c r="B27" s="1081" t="s">
        <v>32</v>
      </c>
      <c r="C27" s="2167"/>
      <c r="D27" s="2197"/>
      <c r="E27" s="1108" t="s">
        <v>32</v>
      </c>
      <c r="F27" s="539">
        <f>F23-(F24+F26)</f>
        <v>2000000</v>
      </c>
      <c r="G27" s="512">
        <f>G23-(G24+G26)</f>
        <v>2250000</v>
      </c>
      <c r="H27" s="512">
        <f>H23-(H24+H26)</f>
        <v>2000000</v>
      </c>
      <c r="I27" s="512">
        <f t="shared" ref="I27:Q27" si="12">I23-(I24+I26)</f>
        <v>-2150000</v>
      </c>
      <c r="J27" s="512">
        <f t="shared" si="12"/>
        <v>2000000</v>
      </c>
      <c r="K27" s="512">
        <f t="shared" si="12"/>
        <v>2200000</v>
      </c>
      <c r="L27" s="512">
        <f t="shared" si="12"/>
        <v>2150000</v>
      </c>
      <c r="M27" s="512">
        <f t="shared" si="12"/>
        <v>2100000</v>
      </c>
      <c r="N27" s="512">
        <f t="shared" si="12"/>
        <v>2150000</v>
      </c>
      <c r="O27" s="512">
        <f t="shared" si="12"/>
        <v>-2700000</v>
      </c>
      <c r="P27" s="512">
        <f t="shared" si="12"/>
        <v>2450000</v>
      </c>
      <c r="Q27" s="1395">
        <f t="shared" si="12"/>
        <v>2650000</v>
      </c>
      <c r="R27" s="1050"/>
      <c r="S27" s="1040">
        <f t="shared" ca="1" si="7"/>
        <v>12550000</v>
      </c>
      <c r="T27" s="1339"/>
      <c r="U27" s="512">
        <f t="shared" ca="1" si="11"/>
        <v>1568750</v>
      </c>
      <c r="V27" s="1036"/>
      <c r="W27" s="1036">
        <f t="shared" si="5"/>
        <v>17100000</v>
      </c>
      <c r="X27" s="1353"/>
    </row>
    <row r="28" spans="1:24" s="1121" customFormat="1" ht="14.1" customHeight="1" x14ac:dyDescent="0.15">
      <c r="C28" s="2167"/>
      <c r="D28" s="2197"/>
      <c r="E28" s="1795" t="s">
        <v>1197</v>
      </c>
      <c r="F28" s="1796">
        <v>600000</v>
      </c>
      <c r="G28" s="1797">
        <v>600000</v>
      </c>
      <c r="H28" s="1797">
        <v>600000</v>
      </c>
      <c r="I28" s="1797">
        <v>600000</v>
      </c>
      <c r="J28" s="1797">
        <v>600000</v>
      </c>
      <c r="K28" s="1797">
        <v>600000</v>
      </c>
      <c r="L28" s="1797">
        <v>600000</v>
      </c>
      <c r="M28" s="1797">
        <v>600000</v>
      </c>
      <c r="N28" s="1797">
        <v>600000</v>
      </c>
      <c r="O28" s="1797">
        <v>600000</v>
      </c>
      <c r="P28" s="1797">
        <v>600000</v>
      </c>
      <c r="Q28" s="1127">
        <v>600000</v>
      </c>
      <c r="R28" s="1051"/>
      <c r="S28" s="1043">
        <f t="shared" ca="1" si="7"/>
        <v>4800000</v>
      </c>
      <c r="T28" s="1456"/>
      <c r="U28" s="527">
        <f t="shared" ca="1" si="11"/>
        <v>600000</v>
      </c>
      <c r="V28" s="1033"/>
      <c r="W28" s="1033">
        <f t="shared" si="5"/>
        <v>7200000</v>
      </c>
      <c r="X28" s="1458"/>
    </row>
    <row r="29" spans="1:24" s="1121" customFormat="1" ht="14.1" customHeight="1" thickBot="1" x14ac:dyDescent="0.2">
      <c r="C29" s="2168"/>
      <c r="D29" s="2198"/>
      <c r="E29" s="1129" t="s">
        <v>1426</v>
      </c>
      <c r="F29" s="530">
        <f>F27-F28</f>
        <v>1400000</v>
      </c>
      <c r="G29" s="531">
        <f>G27-G28</f>
        <v>1650000</v>
      </c>
      <c r="H29" s="531">
        <f>H27-H28</f>
        <v>1400000</v>
      </c>
      <c r="I29" s="531">
        <f t="shared" ref="I29:Q29" si="13">I27-I28</f>
        <v>-2750000</v>
      </c>
      <c r="J29" s="531">
        <f t="shared" si="13"/>
        <v>1400000</v>
      </c>
      <c r="K29" s="531">
        <f t="shared" si="13"/>
        <v>1600000</v>
      </c>
      <c r="L29" s="531">
        <f t="shared" si="13"/>
        <v>1550000</v>
      </c>
      <c r="M29" s="531">
        <f t="shared" si="13"/>
        <v>1500000</v>
      </c>
      <c r="N29" s="531">
        <f t="shared" si="13"/>
        <v>1550000</v>
      </c>
      <c r="O29" s="531">
        <f t="shared" si="13"/>
        <v>-3300000</v>
      </c>
      <c r="P29" s="531">
        <f t="shared" si="13"/>
        <v>1850000</v>
      </c>
      <c r="Q29" s="1799">
        <f t="shared" si="13"/>
        <v>2050000</v>
      </c>
      <c r="R29" s="1800"/>
      <c r="S29" s="1801">
        <f t="shared" ca="1" si="7"/>
        <v>7750000</v>
      </c>
      <c r="T29" s="1457"/>
      <c r="U29" s="1802">
        <f t="shared" ca="1" si="11"/>
        <v>968750</v>
      </c>
      <c r="V29" s="1803"/>
      <c r="W29" s="1803">
        <f t="shared" si="5"/>
        <v>9900000</v>
      </c>
      <c r="X29" s="1459"/>
    </row>
    <row r="30" spans="1:24" ht="13.5" customHeight="1" x14ac:dyDescent="0.15">
      <c r="A30" s="413" t="s">
        <v>986</v>
      </c>
      <c r="B30" s="1081" t="s">
        <v>26</v>
      </c>
      <c r="C30" s="2166" t="s">
        <v>967</v>
      </c>
      <c r="D30" s="2196" t="s">
        <v>443</v>
      </c>
      <c r="E30" s="360" t="s">
        <v>26</v>
      </c>
      <c r="F30" s="503">
        <v>1000000</v>
      </c>
      <c r="G30" s="504">
        <v>1200000</v>
      </c>
      <c r="H30" s="504">
        <v>1400000</v>
      </c>
      <c r="I30" s="504">
        <v>1000000</v>
      </c>
      <c r="J30" s="504">
        <v>1400000</v>
      </c>
      <c r="K30" s="504">
        <v>800000</v>
      </c>
      <c r="L30" s="504"/>
      <c r="M30" s="504"/>
      <c r="N30" s="504"/>
      <c r="O30" s="504"/>
      <c r="P30" s="504"/>
      <c r="Q30" s="1804"/>
      <c r="R30" s="1805"/>
      <c r="S30" s="1806">
        <f t="shared" ca="1" si="7"/>
        <v>6800000</v>
      </c>
      <c r="T30" s="1807"/>
      <c r="U30" s="1808">
        <f t="shared" ca="1" si="11"/>
        <v>850000</v>
      </c>
      <c r="V30" s="1809"/>
      <c r="W30" s="1810">
        <f t="shared" si="5"/>
        <v>6800000</v>
      </c>
      <c r="X30" s="1352"/>
    </row>
    <row r="31" spans="1:24" ht="14.1" customHeight="1" x14ac:dyDescent="0.15">
      <c r="A31" s="413" t="s">
        <v>986</v>
      </c>
      <c r="B31" s="1081" t="s">
        <v>15</v>
      </c>
      <c r="C31" s="2167"/>
      <c r="D31" s="2197"/>
      <c r="E31" s="1108" t="s">
        <v>15</v>
      </c>
      <c r="F31" s="509">
        <v>550000</v>
      </c>
      <c r="G31" s="510">
        <v>700000</v>
      </c>
      <c r="H31" s="510">
        <v>850000</v>
      </c>
      <c r="I31" s="510">
        <v>1050000</v>
      </c>
      <c r="J31" s="510">
        <v>850000</v>
      </c>
      <c r="K31" s="510">
        <v>550000</v>
      </c>
      <c r="L31" s="510"/>
      <c r="M31" s="510"/>
      <c r="N31" s="510"/>
      <c r="O31" s="510"/>
      <c r="P31" s="510"/>
      <c r="Q31" s="511"/>
      <c r="R31" s="1296"/>
      <c r="S31" s="1040">
        <f t="shared" ca="1" si="7"/>
        <v>4550000</v>
      </c>
      <c r="T31" s="1339"/>
      <c r="U31" s="512">
        <f t="shared" ca="1" si="11"/>
        <v>568750</v>
      </c>
      <c r="V31" s="1391"/>
      <c r="W31" s="1036">
        <f t="shared" si="5"/>
        <v>4550000</v>
      </c>
      <c r="X31" s="1353"/>
    </row>
    <row r="32" spans="1:24" ht="14.1" customHeight="1" x14ac:dyDescent="0.15">
      <c r="A32" s="413" t="s">
        <v>986</v>
      </c>
      <c r="B32" s="1081" t="s">
        <v>447</v>
      </c>
      <c r="C32" s="2167"/>
      <c r="D32" s="2197"/>
      <c r="E32" s="1108" t="s">
        <v>447</v>
      </c>
      <c r="F32" s="509">
        <v>60000</v>
      </c>
      <c r="G32" s="510">
        <v>60000</v>
      </c>
      <c r="H32" s="510">
        <v>60000</v>
      </c>
      <c r="I32" s="510">
        <v>50000</v>
      </c>
      <c r="J32" s="510">
        <v>0</v>
      </c>
      <c r="K32" s="510">
        <v>0</v>
      </c>
      <c r="L32" s="510"/>
      <c r="M32" s="510"/>
      <c r="N32" s="510"/>
      <c r="O32" s="510"/>
      <c r="P32" s="510"/>
      <c r="Q32" s="1798"/>
      <c r="R32" s="1296"/>
      <c r="S32" s="1040">
        <f t="shared" ca="1" si="7"/>
        <v>230000</v>
      </c>
      <c r="T32" s="1339"/>
      <c r="U32" s="512">
        <f t="shared" ca="1" si="11"/>
        <v>28750</v>
      </c>
      <c r="V32" s="1391"/>
      <c r="W32" s="1036">
        <f t="shared" si="5"/>
        <v>230000</v>
      </c>
      <c r="X32" s="1353"/>
    </row>
    <row r="33" spans="1:24" ht="14.1" customHeight="1" x14ac:dyDescent="0.15">
      <c r="A33" s="413" t="s">
        <v>986</v>
      </c>
      <c r="B33" s="1081" t="s">
        <v>1230</v>
      </c>
      <c r="C33" s="2167"/>
      <c r="D33" s="2197"/>
      <c r="E33" s="1108" t="s">
        <v>35</v>
      </c>
      <c r="F33" s="509">
        <v>400000</v>
      </c>
      <c r="G33" s="510">
        <v>400000</v>
      </c>
      <c r="H33" s="510">
        <v>400000</v>
      </c>
      <c r="I33" s="510">
        <v>556000</v>
      </c>
      <c r="J33" s="510">
        <v>556000</v>
      </c>
      <c r="K33" s="510">
        <v>553000</v>
      </c>
      <c r="L33" s="510">
        <v>250000</v>
      </c>
      <c r="M33" s="510">
        <v>250000</v>
      </c>
      <c r="N33" s="510">
        <v>250000</v>
      </c>
      <c r="O33" s="510">
        <v>250000</v>
      </c>
      <c r="P33" s="510">
        <f>250000+900000</f>
        <v>1150000</v>
      </c>
      <c r="Q33" s="1798">
        <v>50000</v>
      </c>
      <c r="R33" s="1296"/>
      <c r="S33" s="1040">
        <f t="shared" ca="1" si="7"/>
        <v>3365000</v>
      </c>
      <c r="T33" s="1339"/>
      <c r="U33" s="512">
        <f t="shared" ca="1" si="11"/>
        <v>420625</v>
      </c>
      <c r="V33" s="1391"/>
      <c r="W33" s="1036">
        <f t="shared" si="5"/>
        <v>5065000</v>
      </c>
      <c r="X33" s="1353"/>
    </row>
    <row r="34" spans="1:24" ht="14.1" customHeight="1" x14ac:dyDescent="0.15">
      <c r="A34" s="413" t="s">
        <v>986</v>
      </c>
      <c r="B34" s="1081" t="s">
        <v>32</v>
      </c>
      <c r="C34" s="2167"/>
      <c r="D34" s="2197"/>
      <c r="E34" s="1108" t="s">
        <v>32</v>
      </c>
      <c r="F34" s="539">
        <f>F30-(F31+F33)</f>
        <v>50000</v>
      </c>
      <c r="G34" s="512">
        <f>G30-(G31+G33)</f>
        <v>100000</v>
      </c>
      <c r="H34" s="512">
        <f>H30-(H31+H33)</f>
        <v>150000</v>
      </c>
      <c r="I34" s="512">
        <f t="shared" ref="I34:Q34" si="14">I30-(I31+I33)</f>
        <v>-606000</v>
      </c>
      <c r="J34" s="512">
        <f t="shared" si="14"/>
        <v>-6000</v>
      </c>
      <c r="K34" s="512">
        <f t="shared" si="14"/>
        <v>-303000</v>
      </c>
      <c r="L34" s="512">
        <f t="shared" si="14"/>
        <v>-250000</v>
      </c>
      <c r="M34" s="512">
        <f t="shared" si="14"/>
        <v>-250000</v>
      </c>
      <c r="N34" s="512">
        <f t="shared" si="14"/>
        <v>-250000</v>
      </c>
      <c r="O34" s="512">
        <f t="shared" si="14"/>
        <v>-250000</v>
      </c>
      <c r="P34" s="512">
        <f t="shared" si="14"/>
        <v>-1150000</v>
      </c>
      <c r="Q34" s="1395">
        <f t="shared" si="14"/>
        <v>-50000</v>
      </c>
      <c r="R34" s="1050"/>
      <c r="S34" s="1040">
        <f t="shared" ca="1" si="7"/>
        <v>-1115000</v>
      </c>
      <c r="T34" s="1339"/>
      <c r="U34" s="512">
        <f t="shared" ca="1" si="11"/>
        <v>-139375</v>
      </c>
      <c r="V34" s="1036"/>
      <c r="W34" s="1036">
        <f t="shared" si="5"/>
        <v>-2815000</v>
      </c>
      <c r="X34" s="1353"/>
    </row>
    <row r="35" spans="1:24" s="1122" customFormat="1" ht="14.1" customHeight="1" x14ac:dyDescent="0.15">
      <c r="C35" s="2167"/>
      <c r="D35" s="2197"/>
      <c r="E35" s="1795" t="s">
        <v>1197</v>
      </c>
      <c r="F35" s="1796">
        <v>600000</v>
      </c>
      <c r="G35" s="1797">
        <v>600000</v>
      </c>
      <c r="H35" s="1797">
        <v>600000</v>
      </c>
      <c r="I35" s="1797">
        <v>600000</v>
      </c>
      <c r="J35" s="1797">
        <v>600000</v>
      </c>
      <c r="K35" s="1797">
        <v>600000</v>
      </c>
      <c r="L35" s="1797">
        <v>600000</v>
      </c>
      <c r="M35" s="1797">
        <v>600000</v>
      </c>
      <c r="N35" s="1797">
        <v>600000</v>
      </c>
      <c r="O35" s="1797">
        <v>600000</v>
      </c>
      <c r="P35" s="1797">
        <v>600000</v>
      </c>
      <c r="Q35" s="1127">
        <v>600000</v>
      </c>
      <c r="R35" s="1051"/>
      <c r="S35" s="1043">
        <f t="shared" ca="1" si="7"/>
        <v>4800000</v>
      </c>
      <c r="T35" s="1456"/>
      <c r="U35" s="527">
        <f t="shared" ca="1" si="11"/>
        <v>600000</v>
      </c>
      <c r="V35" s="1033"/>
      <c r="W35" s="1033">
        <f t="shared" si="5"/>
        <v>7200000</v>
      </c>
      <c r="X35" s="1458"/>
    </row>
    <row r="36" spans="1:24" s="1122" customFormat="1" ht="14.1" customHeight="1" thickBot="1" x14ac:dyDescent="0.2">
      <c r="C36" s="2168"/>
      <c r="D36" s="2198"/>
      <c r="E36" s="1129" t="s">
        <v>1427</v>
      </c>
      <c r="F36" s="530">
        <f>F34-F35</f>
        <v>-550000</v>
      </c>
      <c r="G36" s="531">
        <f>G34-G35</f>
        <v>-500000</v>
      </c>
      <c r="H36" s="531">
        <f>H34-H35</f>
        <v>-450000</v>
      </c>
      <c r="I36" s="531">
        <f t="shared" ref="I36:Q36" si="15">I34-I35</f>
        <v>-1206000</v>
      </c>
      <c r="J36" s="531">
        <f t="shared" si="15"/>
        <v>-606000</v>
      </c>
      <c r="K36" s="531">
        <f t="shared" si="15"/>
        <v>-903000</v>
      </c>
      <c r="L36" s="531">
        <f t="shared" si="15"/>
        <v>-850000</v>
      </c>
      <c r="M36" s="531">
        <f t="shared" si="15"/>
        <v>-850000</v>
      </c>
      <c r="N36" s="531">
        <f t="shared" si="15"/>
        <v>-850000</v>
      </c>
      <c r="O36" s="531">
        <f t="shared" si="15"/>
        <v>-850000</v>
      </c>
      <c r="P36" s="531">
        <f t="shared" si="15"/>
        <v>-1750000</v>
      </c>
      <c r="Q36" s="1799">
        <f t="shared" si="15"/>
        <v>-650000</v>
      </c>
      <c r="R36" s="1800"/>
      <c r="S36" s="1801">
        <f t="shared" ca="1" si="7"/>
        <v>-5915000</v>
      </c>
      <c r="T36" s="1457"/>
      <c r="U36" s="1802">
        <f t="shared" ca="1" si="11"/>
        <v>-739375</v>
      </c>
      <c r="V36" s="1803"/>
      <c r="W36" s="1803">
        <f t="shared" si="5"/>
        <v>-10015000</v>
      </c>
      <c r="X36" s="1459"/>
    </row>
    <row r="37" spans="1:24" ht="13.5" customHeight="1" x14ac:dyDescent="0.15">
      <c r="A37" s="413" t="s">
        <v>1199</v>
      </c>
      <c r="B37" s="1081" t="s">
        <v>26</v>
      </c>
      <c r="C37" s="2166" t="s">
        <v>1143</v>
      </c>
      <c r="D37" s="2196" t="s">
        <v>443</v>
      </c>
      <c r="E37" s="360" t="s">
        <v>26</v>
      </c>
      <c r="F37" s="503">
        <v>0</v>
      </c>
      <c r="G37" s="504">
        <v>420000</v>
      </c>
      <c r="H37" s="504">
        <v>730000</v>
      </c>
      <c r="I37" s="504">
        <v>700000</v>
      </c>
      <c r="J37" s="504">
        <v>850000</v>
      </c>
      <c r="K37" s="504">
        <v>1150000</v>
      </c>
      <c r="L37" s="504">
        <v>1350000</v>
      </c>
      <c r="M37" s="504">
        <v>1650000</v>
      </c>
      <c r="N37" s="504">
        <v>1900000</v>
      </c>
      <c r="O37" s="504">
        <v>2150000</v>
      </c>
      <c r="P37" s="504">
        <v>2400000</v>
      </c>
      <c r="Q37" s="1804">
        <v>2550000</v>
      </c>
      <c r="R37" s="1805"/>
      <c r="S37" s="1806">
        <f t="shared" ca="1" si="7"/>
        <v>6850000</v>
      </c>
      <c r="T37" s="1807"/>
      <c r="U37" s="1808">
        <f t="shared" ca="1" si="11"/>
        <v>856250</v>
      </c>
      <c r="V37" s="1809"/>
      <c r="W37" s="1810">
        <f t="shared" si="5"/>
        <v>15850000</v>
      </c>
      <c r="X37" s="1352"/>
    </row>
    <row r="38" spans="1:24" ht="14.1" customHeight="1" x14ac:dyDescent="0.15">
      <c r="A38" s="413" t="s">
        <v>1199</v>
      </c>
      <c r="B38" s="1081" t="s">
        <v>15</v>
      </c>
      <c r="C38" s="2167"/>
      <c r="D38" s="2197"/>
      <c r="E38" s="1108" t="s">
        <v>15</v>
      </c>
      <c r="F38" s="509">
        <v>400000</v>
      </c>
      <c r="G38" s="510">
        <v>400000</v>
      </c>
      <c r="H38" s="510">
        <v>763000</v>
      </c>
      <c r="I38" s="510">
        <v>1020000</v>
      </c>
      <c r="J38" s="510">
        <v>640000</v>
      </c>
      <c r="K38" s="510">
        <v>680000</v>
      </c>
      <c r="L38" s="510">
        <f>920000+350000</f>
        <v>1270000</v>
      </c>
      <c r="M38" s="510">
        <f>1170000+350000</f>
        <v>1520000</v>
      </c>
      <c r="N38" s="510">
        <f>1210000+350000</f>
        <v>1560000</v>
      </c>
      <c r="O38" s="510">
        <f>1200000+350000</f>
        <v>1550000</v>
      </c>
      <c r="P38" s="510">
        <f>1450000+350000</f>
        <v>1800000</v>
      </c>
      <c r="Q38" s="511">
        <f>1490000+350000</f>
        <v>1840000</v>
      </c>
      <c r="R38" s="1296"/>
      <c r="S38" s="1040">
        <f t="shared" ca="1" si="7"/>
        <v>6693000</v>
      </c>
      <c r="T38" s="1339"/>
      <c r="U38" s="512">
        <f t="shared" ca="1" si="11"/>
        <v>836625</v>
      </c>
      <c r="V38" s="1391"/>
      <c r="W38" s="1036">
        <f t="shared" si="5"/>
        <v>13443000</v>
      </c>
      <c r="X38" s="1353"/>
    </row>
    <row r="39" spans="1:24" ht="14.1" customHeight="1" x14ac:dyDescent="0.15">
      <c r="A39" s="413" t="s">
        <v>1199</v>
      </c>
      <c r="B39" s="1081" t="s">
        <v>447</v>
      </c>
      <c r="C39" s="2167"/>
      <c r="D39" s="2197"/>
      <c r="E39" s="1108" t="s">
        <v>447</v>
      </c>
      <c r="F39" s="509">
        <v>311040</v>
      </c>
      <c r="G39" s="510">
        <v>123120</v>
      </c>
      <c r="H39" s="510">
        <v>81000</v>
      </c>
      <c r="I39" s="510">
        <v>0</v>
      </c>
      <c r="J39" s="510">
        <v>35000</v>
      </c>
      <c r="K39" s="510">
        <v>81000</v>
      </c>
      <c r="L39" s="510">
        <v>81000</v>
      </c>
      <c r="M39" s="510">
        <v>0</v>
      </c>
      <c r="N39" s="510">
        <v>0</v>
      </c>
      <c r="O39" s="510">
        <v>0</v>
      </c>
      <c r="P39" s="510">
        <v>0</v>
      </c>
      <c r="Q39" s="1798">
        <v>0</v>
      </c>
      <c r="R39" s="1296"/>
      <c r="S39" s="1040">
        <f t="shared" ca="1" si="7"/>
        <v>712160</v>
      </c>
      <c r="T39" s="1339"/>
      <c r="U39" s="512">
        <f t="shared" ca="1" si="11"/>
        <v>89020</v>
      </c>
      <c r="V39" s="1391"/>
      <c r="W39" s="1036">
        <f t="shared" si="5"/>
        <v>712160</v>
      </c>
      <c r="X39" s="1353"/>
    </row>
    <row r="40" spans="1:24" ht="14.1" customHeight="1" x14ac:dyDescent="0.15">
      <c r="A40" s="413" t="s">
        <v>1199</v>
      </c>
      <c r="B40" s="1081" t="s">
        <v>1230</v>
      </c>
      <c r="C40" s="2167"/>
      <c r="D40" s="2197"/>
      <c r="E40" s="1108" t="s">
        <v>35</v>
      </c>
      <c r="F40" s="509">
        <v>760000</v>
      </c>
      <c r="G40" s="510">
        <v>530000</v>
      </c>
      <c r="H40" s="510">
        <v>500000</v>
      </c>
      <c r="I40" s="510">
        <v>550000</v>
      </c>
      <c r="J40" s="510">
        <v>550000</v>
      </c>
      <c r="K40" s="510">
        <v>550000</v>
      </c>
      <c r="L40" s="510">
        <v>550000</v>
      </c>
      <c r="M40" s="510">
        <v>550000</v>
      </c>
      <c r="N40" s="510">
        <v>550000</v>
      </c>
      <c r="O40" s="510">
        <v>550000</v>
      </c>
      <c r="P40" s="510">
        <v>550000</v>
      </c>
      <c r="Q40" s="1798">
        <v>550000</v>
      </c>
      <c r="R40" s="1296"/>
      <c r="S40" s="1040">
        <f t="shared" ca="1" si="7"/>
        <v>4540000</v>
      </c>
      <c r="T40" s="1339"/>
      <c r="U40" s="512">
        <f t="shared" ca="1" si="11"/>
        <v>567500</v>
      </c>
      <c r="V40" s="1391"/>
      <c r="W40" s="1036">
        <f t="shared" si="5"/>
        <v>6740000</v>
      </c>
      <c r="X40" s="1353"/>
    </row>
    <row r="41" spans="1:24" ht="14.1" customHeight="1" x14ac:dyDescent="0.15">
      <c r="A41" s="413" t="s">
        <v>1199</v>
      </c>
      <c r="B41" s="1081" t="s">
        <v>32</v>
      </c>
      <c r="C41" s="2167"/>
      <c r="D41" s="2197"/>
      <c r="E41" s="1108" t="s">
        <v>32</v>
      </c>
      <c r="F41" s="539">
        <f>F37-(F38+F40)</f>
        <v>-1160000</v>
      </c>
      <c r="G41" s="512">
        <f>G37-(G38+G40)</f>
        <v>-510000</v>
      </c>
      <c r="H41" s="512">
        <f>H37-(H38+H40)</f>
        <v>-533000</v>
      </c>
      <c r="I41" s="512">
        <f t="shared" ref="I41:Q41" si="16">I37-(I38+I40)</f>
        <v>-870000</v>
      </c>
      <c r="J41" s="512">
        <f t="shared" si="16"/>
        <v>-340000</v>
      </c>
      <c r="K41" s="512">
        <f t="shared" si="16"/>
        <v>-80000</v>
      </c>
      <c r="L41" s="512">
        <f t="shared" si="16"/>
        <v>-470000</v>
      </c>
      <c r="M41" s="512">
        <f t="shared" si="16"/>
        <v>-420000</v>
      </c>
      <c r="N41" s="512">
        <f t="shared" si="16"/>
        <v>-210000</v>
      </c>
      <c r="O41" s="512">
        <f t="shared" si="16"/>
        <v>50000</v>
      </c>
      <c r="P41" s="512">
        <f t="shared" si="16"/>
        <v>50000</v>
      </c>
      <c r="Q41" s="1395">
        <f t="shared" si="16"/>
        <v>160000</v>
      </c>
      <c r="R41" s="1050"/>
      <c r="S41" s="1040">
        <f t="shared" ca="1" si="7"/>
        <v>-4383000</v>
      </c>
      <c r="T41" s="1339"/>
      <c r="U41" s="512">
        <f t="shared" ca="1" si="11"/>
        <v>-547875</v>
      </c>
      <c r="V41" s="1036"/>
      <c r="W41" s="1036">
        <f t="shared" ref="W41:W72" si="17">SUM(F41:Q41)</f>
        <v>-4333000</v>
      </c>
      <c r="X41" s="1353"/>
    </row>
    <row r="42" spans="1:24" s="1122" customFormat="1" ht="14.1" customHeight="1" x14ac:dyDescent="0.15">
      <c r="C42" s="2167"/>
      <c r="D42" s="2197"/>
      <c r="E42" s="1795" t="s">
        <v>1197</v>
      </c>
      <c r="F42" s="1796">
        <v>0</v>
      </c>
      <c r="G42" s="1797">
        <v>600000</v>
      </c>
      <c r="H42" s="1797">
        <v>600000</v>
      </c>
      <c r="I42" s="1797">
        <v>600000</v>
      </c>
      <c r="J42" s="1797">
        <v>600000</v>
      </c>
      <c r="K42" s="1797">
        <v>600000</v>
      </c>
      <c r="L42" s="1797">
        <v>600000</v>
      </c>
      <c r="M42" s="1797">
        <v>600000</v>
      </c>
      <c r="N42" s="1797">
        <v>600000</v>
      </c>
      <c r="O42" s="1797">
        <v>600000</v>
      </c>
      <c r="P42" s="1797">
        <v>600000</v>
      </c>
      <c r="Q42" s="1127">
        <v>600000</v>
      </c>
      <c r="R42" s="1051"/>
      <c r="S42" s="1043">
        <f t="shared" ca="1" si="7"/>
        <v>4200000</v>
      </c>
      <c r="T42" s="1456"/>
      <c r="U42" s="527">
        <f t="shared" ca="1" si="11"/>
        <v>525000</v>
      </c>
      <c r="V42" s="1033"/>
      <c r="W42" s="1033">
        <f t="shared" si="17"/>
        <v>6600000</v>
      </c>
      <c r="X42" s="1458"/>
    </row>
    <row r="43" spans="1:24" s="1122" customFormat="1" ht="14.1" customHeight="1" thickBot="1" x14ac:dyDescent="0.2">
      <c r="C43" s="2168"/>
      <c r="D43" s="2198"/>
      <c r="E43" s="1129" t="s">
        <v>1428</v>
      </c>
      <c r="F43" s="530">
        <f>F41-F42</f>
        <v>-1160000</v>
      </c>
      <c r="G43" s="531">
        <f>G41-G42</f>
        <v>-1110000</v>
      </c>
      <c r="H43" s="531">
        <f>H41-H42</f>
        <v>-1133000</v>
      </c>
      <c r="I43" s="531">
        <f t="shared" ref="I43:Q43" si="18">I41-I42</f>
        <v>-1470000</v>
      </c>
      <c r="J43" s="531">
        <f t="shared" si="18"/>
        <v>-940000</v>
      </c>
      <c r="K43" s="531">
        <f t="shared" si="18"/>
        <v>-680000</v>
      </c>
      <c r="L43" s="531">
        <f t="shared" si="18"/>
        <v>-1070000</v>
      </c>
      <c r="M43" s="531">
        <f t="shared" si="18"/>
        <v>-1020000</v>
      </c>
      <c r="N43" s="531">
        <f t="shared" si="18"/>
        <v>-810000</v>
      </c>
      <c r="O43" s="531">
        <f t="shared" si="18"/>
        <v>-550000</v>
      </c>
      <c r="P43" s="531">
        <f t="shared" si="18"/>
        <v>-550000</v>
      </c>
      <c r="Q43" s="1799">
        <f t="shared" si="18"/>
        <v>-440000</v>
      </c>
      <c r="R43" s="1800"/>
      <c r="S43" s="1801">
        <f t="shared" ca="1" si="7"/>
        <v>-8583000</v>
      </c>
      <c r="T43" s="1457"/>
      <c r="U43" s="1802">
        <f t="shared" ca="1" si="11"/>
        <v>-1072875</v>
      </c>
      <c r="V43" s="1803"/>
      <c r="W43" s="1803">
        <f t="shared" si="17"/>
        <v>-10933000</v>
      </c>
      <c r="X43" s="1459"/>
    </row>
    <row r="44" spans="1:24" ht="14.1" customHeight="1" x14ac:dyDescent="0.15">
      <c r="A44" s="413" t="s">
        <v>676</v>
      </c>
      <c r="B44" s="1081" t="s">
        <v>26</v>
      </c>
      <c r="C44" s="2166" t="s">
        <v>358</v>
      </c>
      <c r="D44" s="2196" t="s">
        <v>443</v>
      </c>
      <c r="E44" s="360" t="s">
        <v>26</v>
      </c>
      <c r="F44" s="503">
        <v>4700000</v>
      </c>
      <c r="G44" s="504">
        <v>4700000</v>
      </c>
      <c r="H44" s="504">
        <v>4800000</v>
      </c>
      <c r="I44" s="504">
        <v>4450000</v>
      </c>
      <c r="J44" s="504">
        <v>4200000</v>
      </c>
      <c r="K44" s="504">
        <v>4200000</v>
      </c>
      <c r="L44" s="504">
        <v>4500000</v>
      </c>
      <c r="M44" s="504">
        <v>4500000</v>
      </c>
      <c r="N44" s="504">
        <v>4550000</v>
      </c>
      <c r="O44" s="504">
        <v>4600000</v>
      </c>
      <c r="P44" s="504">
        <v>4600000</v>
      </c>
      <c r="Q44" s="1804">
        <v>4700000</v>
      </c>
      <c r="R44" s="1805"/>
      <c r="S44" s="1806">
        <f t="shared" ca="1" si="7"/>
        <v>36050000</v>
      </c>
      <c r="T44" s="1807"/>
      <c r="U44" s="1808">
        <f t="shared" ca="1" si="11"/>
        <v>4506250</v>
      </c>
      <c r="V44" s="1809"/>
      <c r="W44" s="1810">
        <f t="shared" si="17"/>
        <v>54500000</v>
      </c>
      <c r="X44" s="1352"/>
    </row>
    <row r="45" spans="1:24" ht="14.1" customHeight="1" x14ac:dyDescent="0.15">
      <c r="A45" s="413" t="s">
        <v>676</v>
      </c>
      <c r="B45" s="1081" t="s">
        <v>15</v>
      </c>
      <c r="C45" s="2167"/>
      <c r="D45" s="2197"/>
      <c r="E45" s="1108" t="s">
        <v>15</v>
      </c>
      <c r="F45" s="509">
        <v>2800000</v>
      </c>
      <c r="G45" s="510">
        <v>2850000</v>
      </c>
      <c r="H45" s="510">
        <v>2850000</v>
      </c>
      <c r="I45" s="510">
        <v>3600000</v>
      </c>
      <c r="J45" s="510">
        <v>2400000</v>
      </c>
      <c r="K45" s="510">
        <v>2400000</v>
      </c>
      <c r="L45" s="510">
        <v>2400000</v>
      </c>
      <c r="M45" s="510">
        <v>2400000</v>
      </c>
      <c r="N45" s="510">
        <v>2400000</v>
      </c>
      <c r="O45" s="510">
        <v>4200000</v>
      </c>
      <c r="P45" s="510">
        <v>2400000</v>
      </c>
      <c r="Q45" s="511">
        <v>2400000</v>
      </c>
      <c r="R45" s="1296"/>
      <c r="S45" s="1040">
        <f t="shared" ca="1" si="7"/>
        <v>21700000</v>
      </c>
      <c r="T45" s="1339"/>
      <c r="U45" s="512">
        <f t="shared" ca="1" si="11"/>
        <v>2712500</v>
      </c>
      <c r="V45" s="1391"/>
      <c r="W45" s="1036">
        <f t="shared" si="17"/>
        <v>33100000</v>
      </c>
      <c r="X45" s="1353"/>
    </row>
    <row r="46" spans="1:24" ht="14.1" customHeight="1" x14ac:dyDescent="0.15">
      <c r="A46" s="413" t="s">
        <v>676</v>
      </c>
      <c r="B46" s="1081" t="s">
        <v>447</v>
      </c>
      <c r="C46" s="2167"/>
      <c r="D46" s="2197"/>
      <c r="E46" s="1108" t="s">
        <v>447</v>
      </c>
      <c r="F46" s="509">
        <v>50000</v>
      </c>
      <c r="G46" s="510">
        <v>0</v>
      </c>
      <c r="H46" s="510">
        <v>0</v>
      </c>
      <c r="I46" s="510">
        <v>50000</v>
      </c>
      <c r="J46" s="510">
        <v>0</v>
      </c>
      <c r="K46" s="510">
        <v>0</v>
      </c>
      <c r="L46" s="510">
        <v>0</v>
      </c>
      <c r="M46" s="510">
        <v>0</v>
      </c>
      <c r="N46" s="510">
        <v>0</v>
      </c>
      <c r="O46" s="510">
        <v>50000</v>
      </c>
      <c r="P46" s="510">
        <v>0</v>
      </c>
      <c r="Q46" s="1798">
        <v>0</v>
      </c>
      <c r="R46" s="1296"/>
      <c r="S46" s="1040">
        <f t="shared" ref="S46:S77" ca="1" si="19">SUM(OFFSET(F46,0,0,1,IF(ISERROR(MATCH(DATE(YEAR($G$1),MONTH($G$1),1),$F$2:$Q$2,0)),0,MATCH(DATE(YEAR($G$1),MONTH($G$1),1),$F$2:$Q$2,0))))</f>
        <v>100000</v>
      </c>
      <c r="T46" s="1339"/>
      <c r="U46" s="512">
        <f t="shared" ca="1" si="11"/>
        <v>12500</v>
      </c>
      <c r="V46" s="1391"/>
      <c r="W46" s="1036">
        <f t="shared" si="17"/>
        <v>150000</v>
      </c>
      <c r="X46" s="1353"/>
    </row>
    <row r="47" spans="1:24" ht="14.1" customHeight="1" x14ac:dyDescent="0.15">
      <c r="A47" s="413" t="s">
        <v>676</v>
      </c>
      <c r="B47" s="1081" t="s">
        <v>1230</v>
      </c>
      <c r="C47" s="2167"/>
      <c r="D47" s="2197"/>
      <c r="E47" s="1108" t="s">
        <v>35</v>
      </c>
      <c r="F47" s="509">
        <v>1050000</v>
      </c>
      <c r="G47" s="510">
        <v>1000000</v>
      </c>
      <c r="H47" s="510">
        <v>1000000</v>
      </c>
      <c r="I47" s="510">
        <v>1150000</v>
      </c>
      <c r="J47" s="510">
        <v>1100000</v>
      </c>
      <c r="K47" s="510">
        <v>1100000</v>
      </c>
      <c r="L47" s="510">
        <v>1100000</v>
      </c>
      <c r="M47" s="510">
        <v>1100000</v>
      </c>
      <c r="N47" s="510">
        <v>1100000</v>
      </c>
      <c r="O47" s="510">
        <v>1150000</v>
      </c>
      <c r="P47" s="510">
        <v>1100000</v>
      </c>
      <c r="Q47" s="1798">
        <v>1100000</v>
      </c>
      <c r="R47" s="1296"/>
      <c r="S47" s="1040">
        <f t="shared" ca="1" si="19"/>
        <v>8600000</v>
      </c>
      <c r="T47" s="1339"/>
      <c r="U47" s="512">
        <f t="shared" ref="U47:U71" ca="1" si="20">IF(ISERROR(S47/(DATEDIF(F$2,G$1,"M")+1)),0,S47/(DATEDIF(F$2,G$1,"M")+1))</f>
        <v>1075000</v>
      </c>
      <c r="V47" s="1391"/>
      <c r="W47" s="1036">
        <f t="shared" si="17"/>
        <v>13050000</v>
      </c>
      <c r="X47" s="1353"/>
    </row>
    <row r="48" spans="1:24" ht="14.1" customHeight="1" x14ac:dyDescent="0.15">
      <c r="A48" s="413" t="s">
        <v>676</v>
      </c>
      <c r="B48" s="1081" t="s">
        <v>32</v>
      </c>
      <c r="C48" s="2167"/>
      <c r="D48" s="2197"/>
      <c r="E48" s="1108" t="s">
        <v>32</v>
      </c>
      <c r="F48" s="539">
        <f>F44-(F45+F47)</f>
        <v>850000</v>
      </c>
      <c r="G48" s="512">
        <f>G44-(G45+G47)</f>
        <v>850000</v>
      </c>
      <c r="H48" s="512">
        <f>H44-(H45+H47)</f>
        <v>950000</v>
      </c>
      <c r="I48" s="512">
        <f t="shared" ref="I48:Q48" si="21">I44-(I45+I47)</f>
        <v>-300000</v>
      </c>
      <c r="J48" s="512">
        <f t="shared" si="21"/>
        <v>700000</v>
      </c>
      <c r="K48" s="512">
        <f t="shared" si="21"/>
        <v>700000</v>
      </c>
      <c r="L48" s="512">
        <f t="shared" si="21"/>
        <v>1000000</v>
      </c>
      <c r="M48" s="512">
        <f t="shared" si="21"/>
        <v>1000000</v>
      </c>
      <c r="N48" s="512">
        <f t="shared" si="21"/>
        <v>1050000</v>
      </c>
      <c r="O48" s="512">
        <f t="shared" si="21"/>
        <v>-750000</v>
      </c>
      <c r="P48" s="512">
        <f t="shared" si="21"/>
        <v>1100000</v>
      </c>
      <c r="Q48" s="1395">
        <f t="shared" si="21"/>
        <v>1200000</v>
      </c>
      <c r="R48" s="1050"/>
      <c r="S48" s="1040">
        <f t="shared" ca="1" si="19"/>
        <v>5750000</v>
      </c>
      <c r="T48" s="1339"/>
      <c r="U48" s="512">
        <f t="shared" ca="1" si="20"/>
        <v>718750</v>
      </c>
      <c r="V48" s="1036"/>
      <c r="W48" s="1036">
        <f t="shared" si="17"/>
        <v>8350000</v>
      </c>
      <c r="X48" s="1353"/>
    </row>
    <row r="49" spans="1:24" s="1122" customFormat="1" ht="14.1" customHeight="1" x14ac:dyDescent="0.15">
      <c r="C49" s="2167"/>
      <c r="D49" s="2197"/>
      <c r="E49" s="1795" t="s">
        <v>1197</v>
      </c>
      <c r="F49" s="1796">
        <v>500000</v>
      </c>
      <c r="G49" s="1797">
        <v>500000</v>
      </c>
      <c r="H49" s="1797">
        <v>500000</v>
      </c>
      <c r="I49" s="1797">
        <v>500000</v>
      </c>
      <c r="J49" s="1797">
        <v>500000</v>
      </c>
      <c r="K49" s="1797">
        <v>500000</v>
      </c>
      <c r="L49" s="1797">
        <v>500000</v>
      </c>
      <c r="M49" s="1797">
        <v>500000</v>
      </c>
      <c r="N49" s="1797">
        <v>500000</v>
      </c>
      <c r="O49" s="1797">
        <v>500000</v>
      </c>
      <c r="P49" s="1797">
        <v>500000</v>
      </c>
      <c r="Q49" s="1127">
        <v>500000</v>
      </c>
      <c r="R49" s="1051"/>
      <c r="S49" s="1043">
        <f t="shared" ca="1" si="19"/>
        <v>4000000</v>
      </c>
      <c r="T49" s="1456"/>
      <c r="U49" s="527">
        <f t="shared" ca="1" si="20"/>
        <v>500000</v>
      </c>
      <c r="V49" s="1033"/>
      <c r="W49" s="1033">
        <f t="shared" si="17"/>
        <v>6000000</v>
      </c>
      <c r="X49" s="1458"/>
    </row>
    <row r="50" spans="1:24" s="1122" customFormat="1" ht="14.1" customHeight="1" thickBot="1" x14ac:dyDescent="0.2">
      <c r="C50" s="2168"/>
      <c r="D50" s="2198"/>
      <c r="E50" s="1129" t="s">
        <v>1426</v>
      </c>
      <c r="F50" s="530">
        <f>F48-F49</f>
        <v>350000</v>
      </c>
      <c r="G50" s="531">
        <f>G48-G49</f>
        <v>350000</v>
      </c>
      <c r="H50" s="531">
        <f>H48-H49</f>
        <v>450000</v>
      </c>
      <c r="I50" s="531">
        <f t="shared" ref="I50:Q50" si="22">I48-I49</f>
        <v>-800000</v>
      </c>
      <c r="J50" s="531">
        <f t="shared" si="22"/>
        <v>200000</v>
      </c>
      <c r="K50" s="531">
        <f t="shared" si="22"/>
        <v>200000</v>
      </c>
      <c r="L50" s="531">
        <f t="shared" si="22"/>
        <v>500000</v>
      </c>
      <c r="M50" s="531">
        <f t="shared" si="22"/>
        <v>500000</v>
      </c>
      <c r="N50" s="531">
        <f t="shared" si="22"/>
        <v>550000</v>
      </c>
      <c r="O50" s="531">
        <f t="shared" si="22"/>
        <v>-1250000</v>
      </c>
      <c r="P50" s="531">
        <f t="shared" si="22"/>
        <v>600000</v>
      </c>
      <c r="Q50" s="1799">
        <f t="shared" si="22"/>
        <v>700000</v>
      </c>
      <c r="R50" s="1800"/>
      <c r="S50" s="1801">
        <f t="shared" ca="1" si="19"/>
        <v>1750000</v>
      </c>
      <c r="T50" s="1457"/>
      <c r="U50" s="1802">
        <f t="shared" ca="1" si="20"/>
        <v>218750</v>
      </c>
      <c r="V50" s="1803"/>
      <c r="W50" s="1803">
        <f t="shared" si="17"/>
        <v>2350000</v>
      </c>
      <c r="X50" s="1459"/>
    </row>
    <row r="51" spans="1:24" ht="14.1" customHeight="1" x14ac:dyDescent="0.15">
      <c r="A51" s="413" t="s">
        <v>381</v>
      </c>
      <c r="B51" s="1081" t="s">
        <v>26</v>
      </c>
      <c r="C51" s="2166" t="s">
        <v>446</v>
      </c>
      <c r="D51" s="2196" t="s">
        <v>443</v>
      </c>
      <c r="E51" s="360" t="s">
        <v>26</v>
      </c>
      <c r="F51" s="503">
        <v>2900000</v>
      </c>
      <c r="G51" s="504">
        <v>2900000</v>
      </c>
      <c r="H51" s="504">
        <v>2900000</v>
      </c>
      <c r="I51" s="504">
        <v>2750000</v>
      </c>
      <c r="J51" s="504">
        <v>3150000</v>
      </c>
      <c r="K51" s="504">
        <v>3150000</v>
      </c>
      <c r="L51" s="504">
        <v>2850000</v>
      </c>
      <c r="M51" s="504">
        <v>2850000</v>
      </c>
      <c r="N51" s="504">
        <v>3000000</v>
      </c>
      <c r="O51" s="504">
        <v>3000000</v>
      </c>
      <c r="P51" s="504">
        <v>3000000</v>
      </c>
      <c r="Q51" s="1804">
        <v>3000000</v>
      </c>
      <c r="R51" s="1805"/>
      <c r="S51" s="1806">
        <f t="shared" ca="1" si="19"/>
        <v>23450000</v>
      </c>
      <c r="T51" s="1807"/>
      <c r="U51" s="1808">
        <f t="shared" ca="1" si="20"/>
        <v>2931250</v>
      </c>
      <c r="V51" s="1809"/>
      <c r="W51" s="1810">
        <f t="shared" si="17"/>
        <v>35450000</v>
      </c>
      <c r="X51" s="1352"/>
    </row>
    <row r="52" spans="1:24" ht="14.1" customHeight="1" x14ac:dyDescent="0.15">
      <c r="A52" s="413" t="s">
        <v>381</v>
      </c>
      <c r="B52" s="1081" t="s">
        <v>15</v>
      </c>
      <c r="C52" s="2167"/>
      <c r="D52" s="2197"/>
      <c r="E52" s="1108" t="s">
        <v>15</v>
      </c>
      <c r="F52" s="509">
        <v>1500000</v>
      </c>
      <c r="G52" s="510">
        <v>1500000</v>
      </c>
      <c r="H52" s="510">
        <v>1500000</v>
      </c>
      <c r="I52" s="510">
        <f>1350000+350000</f>
        <v>1700000</v>
      </c>
      <c r="J52" s="510">
        <v>1350000</v>
      </c>
      <c r="K52" s="510">
        <v>1350000</v>
      </c>
      <c r="L52" s="510">
        <v>1350000</v>
      </c>
      <c r="M52" s="510">
        <v>1350000</v>
      </c>
      <c r="N52" s="510">
        <v>1350000</v>
      </c>
      <c r="O52" s="510">
        <v>1950000</v>
      </c>
      <c r="P52" s="510">
        <v>1350000</v>
      </c>
      <c r="Q52" s="511">
        <v>1350000</v>
      </c>
      <c r="R52" s="1296"/>
      <c r="S52" s="1040">
        <f t="shared" ca="1" si="19"/>
        <v>11600000</v>
      </c>
      <c r="T52" s="1339"/>
      <c r="U52" s="512">
        <f t="shared" ca="1" si="20"/>
        <v>1450000</v>
      </c>
      <c r="V52" s="1391"/>
      <c r="W52" s="1036">
        <f t="shared" si="17"/>
        <v>17600000</v>
      </c>
      <c r="X52" s="1353"/>
    </row>
    <row r="53" spans="1:24" ht="14.1" customHeight="1" x14ac:dyDescent="0.15">
      <c r="A53" s="413" t="s">
        <v>381</v>
      </c>
      <c r="B53" s="1081" t="s">
        <v>447</v>
      </c>
      <c r="C53" s="2167"/>
      <c r="D53" s="2197"/>
      <c r="E53" s="1108" t="s">
        <v>447</v>
      </c>
      <c r="F53" s="509">
        <v>30000</v>
      </c>
      <c r="G53" s="510">
        <v>30000</v>
      </c>
      <c r="H53" s="510">
        <v>30000</v>
      </c>
      <c r="I53" s="510">
        <v>0</v>
      </c>
      <c r="J53" s="510">
        <v>0</v>
      </c>
      <c r="K53" s="510">
        <v>0</v>
      </c>
      <c r="L53" s="510">
        <v>0</v>
      </c>
      <c r="M53" s="510">
        <v>0</v>
      </c>
      <c r="N53" s="510">
        <v>0</v>
      </c>
      <c r="O53" s="510">
        <v>0</v>
      </c>
      <c r="P53" s="510">
        <v>0</v>
      </c>
      <c r="Q53" s="1798">
        <v>0</v>
      </c>
      <c r="R53" s="1296"/>
      <c r="S53" s="1040">
        <f t="shared" ca="1" si="19"/>
        <v>90000</v>
      </c>
      <c r="T53" s="1339"/>
      <c r="U53" s="512">
        <f t="shared" ca="1" si="20"/>
        <v>11250</v>
      </c>
      <c r="V53" s="1391"/>
      <c r="W53" s="1036">
        <f t="shared" si="17"/>
        <v>90000</v>
      </c>
      <c r="X53" s="1353"/>
    </row>
    <row r="54" spans="1:24" ht="14.1" customHeight="1" x14ac:dyDescent="0.15">
      <c r="A54" s="413" t="s">
        <v>381</v>
      </c>
      <c r="B54" s="1081" t="s">
        <v>1235</v>
      </c>
      <c r="C54" s="2167"/>
      <c r="D54" s="2197"/>
      <c r="E54" s="1108" t="s">
        <v>35</v>
      </c>
      <c r="F54" s="509">
        <v>650000</v>
      </c>
      <c r="G54" s="510">
        <v>650000</v>
      </c>
      <c r="H54" s="510">
        <v>650000</v>
      </c>
      <c r="I54" s="510">
        <v>600000</v>
      </c>
      <c r="J54" s="510">
        <v>600000</v>
      </c>
      <c r="K54" s="510">
        <v>600000</v>
      </c>
      <c r="L54" s="510">
        <v>600000</v>
      </c>
      <c r="M54" s="510">
        <v>600000</v>
      </c>
      <c r="N54" s="510">
        <v>600000</v>
      </c>
      <c r="O54" s="510">
        <v>600000</v>
      </c>
      <c r="P54" s="510">
        <v>600000</v>
      </c>
      <c r="Q54" s="1798">
        <v>600000</v>
      </c>
      <c r="R54" s="1296"/>
      <c r="S54" s="1040">
        <f t="shared" ca="1" si="19"/>
        <v>4950000</v>
      </c>
      <c r="T54" s="1339"/>
      <c r="U54" s="512">
        <f t="shared" ca="1" si="20"/>
        <v>618750</v>
      </c>
      <c r="V54" s="1391"/>
      <c r="W54" s="1036">
        <f t="shared" si="17"/>
        <v>7350000</v>
      </c>
      <c r="X54" s="1353"/>
    </row>
    <row r="55" spans="1:24" ht="14.1" customHeight="1" x14ac:dyDescent="0.15">
      <c r="A55" s="413" t="s">
        <v>381</v>
      </c>
      <c r="B55" s="1081" t="s">
        <v>32</v>
      </c>
      <c r="C55" s="2167"/>
      <c r="D55" s="2197"/>
      <c r="E55" s="1108" t="s">
        <v>32</v>
      </c>
      <c r="F55" s="539">
        <f>F51-(F52+F54)</f>
        <v>750000</v>
      </c>
      <c r="G55" s="512">
        <f>G51-(G52+G54)</f>
        <v>750000</v>
      </c>
      <c r="H55" s="512">
        <f>H51-(H52+H54)</f>
        <v>750000</v>
      </c>
      <c r="I55" s="512">
        <f t="shared" ref="I55:Q55" si="23">I51-(I52+I54)</f>
        <v>450000</v>
      </c>
      <c r="J55" s="512">
        <f t="shared" si="23"/>
        <v>1200000</v>
      </c>
      <c r="K55" s="512">
        <f t="shared" si="23"/>
        <v>1200000</v>
      </c>
      <c r="L55" s="512">
        <f t="shared" si="23"/>
        <v>900000</v>
      </c>
      <c r="M55" s="512">
        <f t="shared" si="23"/>
        <v>900000</v>
      </c>
      <c r="N55" s="512">
        <f t="shared" si="23"/>
        <v>1050000</v>
      </c>
      <c r="O55" s="512">
        <f t="shared" si="23"/>
        <v>450000</v>
      </c>
      <c r="P55" s="512">
        <f t="shared" si="23"/>
        <v>1050000</v>
      </c>
      <c r="Q55" s="1395">
        <f t="shared" si="23"/>
        <v>1050000</v>
      </c>
      <c r="R55" s="1050"/>
      <c r="S55" s="1040">
        <f t="shared" ca="1" si="19"/>
        <v>6900000</v>
      </c>
      <c r="T55" s="1339"/>
      <c r="U55" s="512">
        <f t="shared" ca="1" si="20"/>
        <v>862500</v>
      </c>
      <c r="V55" s="1036"/>
      <c r="W55" s="1036">
        <f t="shared" si="17"/>
        <v>10500000</v>
      </c>
      <c r="X55" s="1353"/>
    </row>
    <row r="56" spans="1:24" s="1122" customFormat="1" ht="14.1" customHeight="1" x14ac:dyDescent="0.15">
      <c r="C56" s="2167"/>
      <c r="D56" s="2197"/>
      <c r="E56" s="1795" t="s">
        <v>1197</v>
      </c>
      <c r="F56" s="1796">
        <v>900000</v>
      </c>
      <c r="G56" s="1797">
        <v>900000</v>
      </c>
      <c r="H56" s="1797">
        <v>900000</v>
      </c>
      <c r="I56" s="1797">
        <v>900000</v>
      </c>
      <c r="J56" s="1797">
        <v>900000</v>
      </c>
      <c r="K56" s="1797">
        <v>900000</v>
      </c>
      <c r="L56" s="1797">
        <v>900000</v>
      </c>
      <c r="M56" s="1797">
        <v>900000</v>
      </c>
      <c r="N56" s="1797">
        <v>900000</v>
      </c>
      <c r="O56" s="1797">
        <v>900000</v>
      </c>
      <c r="P56" s="1797">
        <v>900000</v>
      </c>
      <c r="Q56" s="1127">
        <v>900000</v>
      </c>
      <c r="R56" s="1051"/>
      <c r="S56" s="1043">
        <f t="shared" ca="1" si="19"/>
        <v>7200000</v>
      </c>
      <c r="T56" s="1456"/>
      <c r="U56" s="527">
        <f t="shared" ca="1" si="20"/>
        <v>900000</v>
      </c>
      <c r="V56" s="1033"/>
      <c r="W56" s="1033">
        <f t="shared" si="17"/>
        <v>10800000</v>
      </c>
      <c r="X56" s="1458"/>
    </row>
    <row r="57" spans="1:24" s="1122" customFormat="1" ht="14.1" customHeight="1" thickBot="1" x14ac:dyDescent="0.2">
      <c r="C57" s="2168"/>
      <c r="D57" s="2198"/>
      <c r="E57" s="1129" t="s">
        <v>1427</v>
      </c>
      <c r="F57" s="530">
        <f>F55-F56</f>
        <v>-150000</v>
      </c>
      <c r="G57" s="531">
        <f>G55-G56</f>
        <v>-150000</v>
      </c>
      <c r="H57" s="531">
        <f>H55-H56</f>
        <v>-150000</v>
      </c>
      <c r="I57" s="531">
        <f t="shared" ref="I57:Q57" si="24">I55-I56</f>
        <v>-450000</v>
      </c>
      <c r="J57" s="531">
        <f t="shared" si="24"/>
        <v>300000</v>
      </c>
      <c r="K57" s="531">
        <f t="shared" si="24"/>
        <v>300000</v>
      </c>
      <c r="L57" s="531">
        <f t="shared" si="24"/>
        <v>0</v>
      </c>
      <c r="M57" s="531">
        <f t="shared" si="24"/>
        <v>0</v>
      </c>
      <c r="N57" s="531">
        <f t="shared" si="24"/>
        <v>150000</v>
      </c>
      <c r="O57" s="531">
        <f t="shared" si="24"/>
        <v>-450000</v>
      </c>
      <c r="P57" s="531">
        <f t="shared" si="24"/>
        <v>150000</v>
      </c>
      <c r="Q57" s="1799">
        <f t="shared" si="24"/>
        <v>150000</v>
      </c>
      <c r="R57" s="1800"/>
      <c r="S57" s="1801">
        <f t="shared" ca="1" si="19"/>
        <v>-300000</v>
      </c>
      <c r="T57" s="1457"/>
      <c r="U57" s="1802">
        <f t="shared" ca="1" si="20"/>
        <v>-37500</v>
      </c>
      <c r="V57" s="1803"/>
      <c r="W57" s="1803">
        <f t="shared" si="17"/>
        <v>-300000</v>
      </c>
      <c r="X57" s="1459"/>
    </row>
    <row r="58" spans="1:24" ht="14.1" customHeight="1" x14ac:dyDescent="0.15">
      <c r="A58" s="413" t="s">
        <v>473</v>
      </c>
      <c r="B58" s="1081" t="s">
        <v>26</v>
      </c>
      <c r="C58" s="2166" t="s">
        <v>119</v>
      </c>
      <c r="D58" s="2196" t="s">
        <v>443</v>
      </c>
      <c r="E58" s="360" t="s">
        <v>26</v>
      </c>
      <c r="F58" s="503">
        <v>820000</v>
      </c>
      <c r="G58" s="504">
        <v>820000</v>
      </c>
      <c r="H58" s="504">
        <v>820000</v>
      </c>
      <c r="I58" s="504">
        <v>1000000</v>
      </c>
      <c r="J58" s="504">
        <v>1000000</v>
      </c>
      <c r="K58" s="504">
        <v>1000000</v>
      </c>
      <c r="L58" s="504">
        <v>1000000</v>
      </c>
      <c r="M58" s="504">
        <v>1000000</v>
      </c>
      <c r="N58" s="504">
        <v>1300000</v>
      </c>
      <c r="O58" s="504">
        <v>1000000</v>
      </c>
      <c r="P58" s="504">
        <v>1000000</v>
      </c>
      <c r="Q58" s="1804">
        <v>1000000</v>
      </c>
      <c r="R58" s="1805"/>
      <c r="S58" s="1806">
        <f t="shared" ca="1" si="19"/>
        <v>7460000</v>
      </c>
      <c r="T58" s="1807"/>
      <c r="U58" s="1808">
        <f t="shared" ca="1" si="20"/>
        <v>932500</v>
      </c>
      <c r="V58" s="1809"/>
      <c r="W58" s="1810">
        <f t="shared" si="17"/>
        <v>11760000</v>
      </c>
      <c r="X58" s="1352"/>
    </row>
    <row r="59" spans="1:24" ht="14.1" customHeight="1" x14ac:dyDescent="0.15">
      <c r="A59" s="413" t="s">
        <v>473</v>
      </c>
      <c r="B59" s="1081" t="s">
        <v>15</v>
      </c>
      <c r="C59" s="2167"/>
      <c r="D59" s="2197"/>
      <c r="E59" s="1108" t="s">
        <v>15</v>
      </c>
      <c r="F59" s="509">
        <v>360000</v>
      </c>
      <c r="G59" s="510">
        <v>360000</v>
      </c>
      <c r="H59" s="510">
        <v>360000</v>
      </c>
      <c r="I59" s="510">
        <v>360000</v>
      </c>
      <c r="J59" s="510">
        <v>360000</v>
      </c>
      <c r="K59" s="510">
        <v>360000</v>
      </c>
      <c r="L59" s="510">
        <v>360000</v>
      </c>
      <c r="M59" s="510">
        <v>360000</v>
      </c>
      <c r="N59" s="510">
        <v>360000</v>
      </c>
      <c r="O59" s="510">
        <v>360000</v>
      </c>
      <c r="P59" s="510">
        <v>360000</v>
      </c>
      <c r="Q59" s="511">
        <v>360000</v>
      </c>
      <c r="R59" s="1296"/>
      <c r="S59" s="1040">
        <f t="shared" ca="1" si="19"/>
        <v>2880000</v>
      </c>
      <c r="T59" s="1339"/>
      <c r="U59" s="512">
        <f t="shared" ca="1" si="20"/>
        <v>360000</v>
      </c>
      <c r="V59" s="1391"/>
      <c r="W59" s="1036">
        <f t="shared" si="17"/>
        <v>4320000</v>
      </c>
      <c r="X59" s="1353"/>
    </row>
    <row r="60" spans="1:24" ht="14.1" customHeight="1" x14ac:dyDescent="0.15">
      <c r="A60" s="413" t="s">
        <v>473</v>
      </c>
      <c r="B60" s="1081" t="s">
        <v>447</v>
      </c>
      <c r="C60" s="2167"/>
      <c r="D60" s="2197"/>
      <c r="E60" s="1108" t="s">
        <v>447</v>
      </c>
      <c r="F60" s="509">
        <v>30000</v>
      </c>
      <c r="G60" s="510">
        <v>0</v>
      </c>
      <c r="H60" s="510">
        <v>0</v>
      </c>
      <c r="I60" s="510">
        <v>0</v>
      </c>
      <c r="J60" s="510">
        <v>30000</v>
      </c>
      <c r="K60" s="510">
        <v>0</v>
      </c>
      <c r="L60" s="510">
        <v>0</v>
      </c>
      <c r="M60" s="510">
        <v>0</v>
      </c>
      <c r="N60" s="510">
        <v>0</v>
      </c>
      <c r="O60" s="510">
        <v>0</v>
      </c>
      <c r="P60" s="510">
        <v>0</v>
      </c>
      <c r="Q60" s="1798">
        <v>0</v>
      </c>
      <c r="R60" s="1296"/>
      <c r="S60" s="1040">
        <f t="shared" ca="1" si="19"/>
        <v>60000</v>
      </c>
      <c r="T60" s="1339"/>
      <c r="U60" s="512">
        <f t="shared" ca="1" si="20"/>
        <v>7500</v>
      </c>
      <c r="V60" s="1391"/>
      <c r="W60" s="1036">
        <f t="shared" si="17"/>
        <v>60000</v>
      </c>
      <c r="X60" s="1353"/>
    </row>
    <row r="61" spans="1:24" ht="14.1" customHeight="1" x14ac:dyDescent="0.15">
      <c r="A61" s="413" t="s">
        <v>473</v>
      </c>
      <c r="B61" s="1081" t="s">
        <v>1230</v>
      </c>
      <c r="C61" s="2167"/>
      <c r="D61" s="2197"/>
      <c r="E61" s="1108" t="s">
        <v>35</v>
      </c>
      <c r="F61" s="509">
        <v>130000</v>
      </c>
      <c r="G61" s="510">
        <v>130000</v>
      </c>
      <c r="H61" s="510">
        <v>130000</v>
      </c>
      <c r="I61" s="510">
        <v>130000</v>
      </c>
      <c r="J61" s="510">
        <v>130000</v>
      </c>
      <c r="K61" s="510">
        <v>130000</v>
      </c>
      <c r="L61" s="510">
        <v>130000</v>
      </c>
      <c r="M61" s="510">
        <v>130000</v>
      </c>
      <c r="N61" s="510">
        <v>130000</v>
      </c>
      <c r="O61" s="510">
        <v>130000</v>
      </c>
      <c r="P61" s="510">
        <v>130000</v>
      </c>
      <c r="Q61" s="1798">
        <v>130000</v>
      </c>
      <c r="R61" s="1296"/>
      <c r="S61" s="1040">
        <f t="shared" ca="1" si="19"/>
        <v>1040000</v>
      </c>
      <c r="T61" s="1339"/>
      <c r="U61" s="512">
        <f t="shared" ca="1" si="20"/>
        <v>130000</v>
      </c>
      <c r="V61" s="1391"/>
      <c r="W61" s="1036">
        <f t="shared" si="17"/>
        <v>1560000</v>
      </c>
      <c r="X61" s="1353"/>
    </row>
    <row r="62" spans="1:24" ht="14.1" customHeight="1" x14ac:dyDescent="0.15">
      <c r="A62" s="413" t="s">
        <v>473</v>
      </c>
      <c r="B62" s="1081" t="s">
        <v>32</v>
      </c>
      <c r="C62" s="2167"/>
      <c r="D62" s="2197"/>
      <c r="E62" s="1108" t="s">
        <v>32</v>
      </c>
      <c r="F62" s="539">
        <f>F58-(F59+F61)</f>
        <v>330000</v>
      </c>
      <c r="G62" s="512">
        <f>G58-(G59+G61)</f>
        <v>330000</v>
      </c>
      <c r="H62" s="512">
        <f>H58-(H59+H61)</f>
        <v>330000</v>
      </c>
      <c r="I62" s="512">
        <f t="shared" ref="I62:Q62" si="25">I58-(I59+I61)</f>
        <v>510000</v>
      </c>
      <c r="J62" s="512">
        <f t="shared" si="25"/>
        <v>510000</v>
      </c>
      <c r="K62" s="512">
        <f t="shared" si="25"/>
        <v>510000</v>
      </c>
      <c r="L62" s="512">
        <f t="shared" si="25"/>
        <v>510000</v>
      </c>
      <c r="M62" s="512">
        <f t="shared" si="25"/>
        <v>510000</v>
      </c>
      <c r="N62" s="512">
        <f t="shared" si="25"/>
        <v>810000</v>
      </c>
      <c r="O62" s="512">
        <f t="shared" si="25"/>
        <v>510000</v>
      </c>
      <c r="P62" s="512">
        <f t="shared" si="25"/>
        <v>510000</v>
      </c>
      <c r="Q62" s="1395">
        <f t="shared" si="25"/>
        <v>510000</v>
      </c>
      <c r="R62" s="1050"/>
      <c r="S62" s="1040">
        <f t="shared" ca="1" si="19"/>
        <v>3540000</v>
      </c>
      <c r="T62" s="1339"/>
      <c r="U62" s="512">
        <f t="shared" ca="1" si="20"/>
        <v>442500</v>
      </c>
      <c r="V62" s="1036"/>
      <c r="W62" s="1036">
        <f t="shared" si="17"/>
        <v>5880000</v>
      </c>
      <c r="X62" s="1353"/>
    </row>
    <row r="63" spans="1:24" s="1122" customFormat="1" ht="14.1" customHeight="1" x14ac:dyDescent="0.15">
      <c r="C63" s="2167"/>
      <c r="D63" s="2197"/>
      <c r="E63" s="1795" t="s">
        <v>1197</v>
      </c>
      <c r="F63" s="1796">
        <v>400000</v>
      </c>
      <c r="G63" s="1797">
        <v>400000</v>
      </c>
      <c r="H63" s="1797">
        <v>400000</v>
      </c>
      <c r="I63" s="1797">
        <v>400000</v>
      </c>
      <c r="J63" s="1797">
        <v>400000</v>
      </c>
      <c r="K63" s="1797">
        <v>400000</v>
      </c>
      <c r="L63" s="1797">
        <v>400000</v>
      </c>
      <c r="M63" s="1797">
        <v>400000</v>
      </c>
      <c r="N63" s="1797">
        <v>400000</v>
      </c>
      <c r="O63" s="1797">
        <v>400000</v>
      </c>
      <c r="P63" s="1797">
        <v>400000</v>
      </c>
      <c r="Q63" s="1127">
        <v>400000</v>
      </c>
      <c r="R63" s="1051"/>
      <c r="S63" s="1043">
        <f t="shared" ca="1" si="19"/>
        <v>3200000</v>
      </c>
      <c r="T63" s="1456"/>
      <c r="U63" s="527">
        <f t="shared" ca="1" si="20"/>
        <v>400000</v>
      </c>
      <c r="V63" s="1033"/>
      <c r="W63" s="1033">
        <f t="shared" si="17"/>
        <v>4800000</v>
      </c>
      <c r="X63" s="1458"/>
    </row>
    <row r="64" spans="1:24" s="1122" customFormat="1" ht="14.1" customHeight="1" thickBot="1" x14ac:dyDescent="0.2">
      <c r="C64" s="2168"/>
      <c r="D64" s="2198"/>
      <c r="E64" s="1129" t="s">
        <v>1427</v>
      </c>
      <c r="F64" s="530">
        <f>F62-F63</f>
        <v>-70000</v>
      </c>
      <c r="G64" s="531">
        <f>G62-G63</f>
        <v>-70000</v>
      </c>
      <c r="H64" s="531">
        <f>H62-H63</f>
        <v>-70000</v>
      </c>
      <c r="I64" s="531">
        <f t="shared" ref="I64:Q64" si="26">I62-I63</f>
        <v>110000</v>
      </c>
      <c r="J64" s="531">
        <f t="shared" si="26"/>
        <v>110000</v>
      </c>
      <c r="K64" s="531">
        <f t="shared" si="26"/>
        <v>110000</v>
      </c>
      <c r="L64" s="531">
        <f t="shared" si="26"/>
        <v>110000</v>
      </c>
      <c r="M64" s="531">
        <f t="shared" si="26"/>
        <v>110000</v>
      </c>
      <c r="N64" s="531">
        <f t="shared" si="26"/>
        <v>410000</v>
      </c>
      <c r="O64" s="531">
        <f t="shared" si="26"/>
        <v>110000</v>
      </c>
      <c r="P64" s="531">
        <f t="shared" si="26"/>
        <v>110000</v>
      </c>
      <c r="Q64" s="1799">
        <f t="shared" si="26"/>
        <v>110000</v>
      </c>
      <c r="R64" s="1800"/>
      <c r="S64" s="1801">
        <f t="shared" ca="1" si="19"/>
        <v>340000</v>
      </c>
      <c r="T64" s="1457"/>
      <c r="U64" s="1802">
        <f t="shared" ca="1" si="20"/>
        <v>42500</v>
      </c>
      <c r="V64" s="1803"/>
      <c r="W64" s="1803">
        <f t="shared" si="17"/>
        <v>1080000</v>
      </c>
      <c r="X64" s="1459"/>
    </row>
    <row r="65" spans="1:24" ht="14.1" customHeight="1" x14ac:dyDescent="0.15">
      <c r="A65" s="413" t="s">
        <v>474</v>
      </c>
      <c r="B65" s="1081" t="s">
        <v>26</v>
      </c>
      <c r="C65" s="2166" t="s">
        <v>189</v>
      </c>
      <c r="D65" s="2196" t="s">
        <v>443</v>
      </c>
      <c r="E65" s="360" t="s">
        <v>26</v>
      </c>
      <c r="F65" s="503">
        <v>1000000</v>
      </c>
      <c r="G65" s="504">
        <v>1000000</v>
      </c>
      <c r="H65" s="504">
        <v>1000000</v>
      </c>
      <c r="I65" s="504">
        <v>1000000</v>
      </c>
      <c r="J65" s="504">
        <v>1000000</v>
      </c>
      <c r="K65" s="504">
        <v>1000000</v>
      </c>
      <c r="L65" s="504">
        <v>1000000</v>
      </c>
      <c r="M65" s="504">
        <v>1000000</v>
      </c>
      <c r="N65" s="504">
        <v>1350000</v>
      </c>
      <c r="O65" s="504">
        <v>1000000</v>
      </c>
      <c r="P65" s="504">
        <v>1000000</v>
      </c>
      <c r="Q65" s="1804">
        <v>1000000</v>
      </c>
      <c r="R65" s="1805"/>
      <c r="S65" s="1806">
        <f t="shared" ca="1" si="19"/>
        <v>8000000</v>
      </c>
      <c r="T65" s="1807"/>
      <c r="U65" s="1808">
        <f t="shared" ca="1" si="20"/>
        <v>1000000</v>
      </c>
      <c r="V65" s="1809"/>
      <c r="W65" s="1810">
        <f t="shared" si="17"/>
        <v>12350000</v>
      </c>
      <c r="X65" s="1352"/>
    </row>
    <row r="66" spans="1:24" ht="14.1" customHeight="1" x14ac:dyDescent="0.15">
      <c r="A66" s="413" t="s">
        <v>474</v>
      </c>
      <c r="B66" s="1081" t="s">
        <v>15</v>
      </c>
      <c r="C66" s="2167"/>
      <c r="D66" s="2197"/>
      <c r="E66" s="1108" t="s">
        <v>15</v>
      </c>
      <c r="F66" s="509">
        <v>320000</v>
      </c>
      <c r="G66" s="510">
        <v>320000</v>
      </c>
      <c r="H66" s="510">
        <v>320000</v>
      </c>
      <c r="I66" s="510">
        <v>250000</v>
      </c>
      <c r="J66" s="510">
        <v>250000</v>
      </c>
      <c r="K66" s="510">
        <v>250000</v>
      </c>
      <c r="L66" s="510">
        <v>250000</v>
      </c>
      <c r="M66" s="510">
        <v>250000</v>
      </c>
      <c r="N66" s="510">
        <v>250000</v>
      </c>
      <c r="O66" s="510">
        <v>250000</v>
      </c>
      <c r="P66" s="510">
        <v>250000</v>
      </c>
      <c r="Q66" s="511">
        <v>250000</v>
      </c>
      <c r="R66" s="1296"/>
      <c r="S66" s="1040">
        <f t="shared" ca="1" si="19"/>
        <v>2210000</v>
      </c>
      <c r="T66" s="1339"/>
      <c r="U66" s="512">
        <f t="shared" ca="1" si="20"/>
        <v>276250</v>
      </c>
      <c r="V66" s="1391"/>
      <c r="W66" s="1036">
        <f t="shared" si="17"/>
        <v>3210000</v>
      </c>
      <c r="X66" s="1353"/>
    </row>
    <row r="67" spans="1:24" ht="14.1" customHeight="1" x14ac:dyDescent="0.15">
      <c r="A67" s="413" t="s">
        <v>474</v>
      </c>
      <c r="B67" s="1081" t="s">
        <v>447</v>
      </c>
      <c r="C67" s="2167"/>
      <c r="D67" s="2197"/>
      <c r="E67" s="1108" t="s">
        <v>447</v>
      </c>
      <c r="F67" s="509">
        <v>30000</v>
      </c>
      <c r="G67" s="510">
        <v>0</v>
      </c>
      <c r="H67" s="510">
        <v>0</v>
      </c>
      <c r="I67" s="510">
        <v>0</v>
      </c>
      <c r="J67" s="510">
        <v>30000</v>
      </c>
      <c r="K67" s="510">
        <v>0</v>
      </c>
      <c r="L67" s="510">
        <v>0</v>
      </c>
      <c r="M67" s="510">
        <v>0</v>
      </c>
      <c r="N67" s="510">
        <v>0</v>
      </c>
      <c r="O67" s="510">
        <v>0</v>
      </c>
      <c r="P67" s="510">
        <v>0</v>
      </c>
      <c r="Q67" s="1798">
        <v>0</v>
      </c>
      <c r="R67" s="1296"/>
      <c r="S67" s="1040">
        <f t="shared" ca="1" si="19"/>
        <v>60000</v>
      </c>
      <c r="T67" s="1339"/>
      <c r="U67" s="512">
        <f t="shared" ca="1" si="20"/>
        <v>7500</v>
      </c>
      <c r="V67" s="1391"/>
      <c r="W67" s="1036">
        <f t="shared" si="17"/>
        <v>60000</v>
      </c>
      <c r="X67" s="1353"/>
    </row>
    <row r="68" spans="1:24" ht="14.1" customHeight="1" x14ac:dyDescent="0.15">
      <c r="A68" s="413" t="s">
        <v>474</v>
      </c>
      <c r="B68" s="1081" t="s">
        <v>1230</v>
      </c>
      <c r="C68" s="2167"/>
      <c r="D68" s="2197"/>
      <c r="E68" s="1108" t="s">
        <v>35</v>
      </c>
      <c r="F68" s="509">
        <v>200000</v>
      </c>
      <c r="G68" s="510">
        <v>200000</v>
      </c>
      <c r="H68" s="510">
        <v>200000</v>
      </c>
      <c r="I68" s="510">
        <v>200000</v>
      </c>
      <c r="J68" s="510">
        <v>200000</v>
      </c>
      <c r="K68" s="510">
        <v>200000</v>
      </c>
      <c r="L68" s="510">
        <v>200000</v>
      </c>
      <c r="M68" s="510">
        <v>200000</v>
      </c>
      <c r="N68" s="510">
        <v>200000</v>
      </c>
      <c r="O68" s="510">
        <v>200000</v>
      </c>
      <c r="P68" s="510">
        <v>200000</v>
      </c>
      <c r="Q68" s="1798">
        <v>200000</v>
      </c>
      <c r="R68" s="1296"/>
      <c r="S68" s="1040">
        <f t="shared" ca="1" si="19"/>
        <v>1600000</v>
      </c>
      <c r="T68" s="1339"/>
      <c r="U68" s="512">
        <f t="shared" ca="1" si="20"/>
        <v>200000</v>
      </c>
      <c r="V68" s="1391"/>
      <c r="W68" s="1036">
        <f t="shared" si="17"/>
        <v>2400000</v>
      </c>
      <c r="X68" s="1353"/>
    </row>
    <row r="69" spans="1:24" ht="14.1" customHeight="1" x14ac:dyDescent="0.15">
      <c r="A69" s="413" t="s">
        <v>474</v>
      </c>
      <c r="B69" s="1081" t="s">
        <v>32</v>
      </c>
      <c r="C69" s="2167"/>
      <c r="D69" s="2197"/>
      <c r="E69" s="1108" t="s">
        <v>32</v>
      </c>
      <c r="F69" s="539">
        <f>F65-(F66+F68)</f>
        <v>480000</v>
      </c>
      <c r="G69" s="512">
        <f>G65-(G66+G68)</f>
        <v>480000</v>
      </c>
      <c r="H69" s="512">
        <f>H65-(H66+H68)</f>
        <v>480000</v>
      </c>
      <c r="I69" s="512">
        <f t="shared" ref="I69:Q69" si="27">I65-(I66+I68)</f>
        <v>550000</v>
      </c>
      <c r="J69" s="512">
        <f t="shared" si="27"/>
        <v>550000</v>
      </c>
      <c r="K69" s="512">
        <f t="shared" si="27"/>
        <v>550000</v>
      </c>
      <c r="L69" s="512">
        <f t="shared" si="27"/>
        <v>550000</v>
      </c>
      <c r="M69" s="512">
        <f t="shared" si="27"/>
        <v>550000</v>
      </c>
      <c r="N69" s="512">
        <f t="shared" si="27"/>
        <v>900000</v>
      </c>
      <c r="O69" s="512">
        <f t="shared" si="27"/>
        <v>550000</v>
      </c>
      <c r="P69" s="512">
        <f t="shared" si="27"/>
        <v>550000</v>
      </c>
      <c r="Q69" s="1395">
        <f t="shared" si="27"/>
        <v>550000</v>
      </c>
      <c r="R69" s="1050"/>
      <c r="S69" s="1040">
        <f t="shared" ca="1" si="19"/>
        <v>4190000</v>
      </c>
      <c r="T69" s="1339"/>
      <c r="U69" s="512">
        <f t="shared" ca="1" si="20"/>
        <v>523750</v>
      </c>
      <c r="V69" s="1036"/>
      <c r="W69" s="1036">
        <f t="shared" si="17"/>
        <v>6740000</v>
      </c>
      <c r="X69" s="1353"/>
    </row>
    <row r="70" spans="1:24" s="1122" customFormat="1" ht="14.1" customHeight="1" x14ac:dyDescent="0.15">
      <c r="C70" s="2167"/>
      <c r="D70" s="2197"/>
      <c r="E70" s="1795" t="s">
        <v>1197</v>
      </c>
      <c r="F70" s="1796">
        <v>400000</v>
      </c>
      <c r="G70" s="1797">
        <v>400000</v>
      </c>
      <c r="H70" s="1797">
        <v>400000</v>
      </c>
      <c r="I70" s="1797">
        <v>400000</v>
      </c>
      <c r="J70" s="1797">
        <v>400000</v>
      </c>
      <c r="K70" s="1797">
        <v>400000</v>
      </c>
      <c r="L70" s="1797">
        <v>400000</v>
      </c>
      <c r="M70" s="1797">
        <v>400000</v>
      </c>
      <c r="N70" s="1797">
        <v>400000</v>
      </c>
      <c r="O70" s="1797">
        <v>400000</v>
      </c>
      <c r="P70" s="1797">
        <v>400000</v>
      </c>
      <c r="Q70" s="1127">
        <v>400000</v>
      </c>
      <c r="R70" s="1051"/>
      <c r="S70" s="1043">
        <f t="shared" ca="1" si="19"/>
        <v>3200000</v>
      </c>
      <c r="T70" s="1456"/>
      <c r="U70" s="527">
        <f t="shared" ca="1" si="20"/>
        <v>400000</v>
      </c>
      <c r="V70" s="1033"/>
      <c r="W70" s="1033">
        <f t="shared" si="17"/>
        <v>4800000</v>
      </c>
      <c r="X70" s="1458"/>
    </row>
    <row r="71" spans="1:24" s="1122" customFormat="1" ht="14.1" customHeight="1" thickBot="1" x14ac:dyDescent="0.2">
      <c r="C71" s="2168"/>
      <c r="D71" s="2198"/>
      <c r="E71" s="1129" t="s">
        <v>1427</v>
      </c>
      <c r="F71" s="530">
        <f>F69-F70</f>
        <v>80000</v>
      </c>
      <c r="G71" s="531">
        <f>G69-G70</f>
        <v>80000</v>
      </c>
      <c r="H71" s="531">
        <f>H69-H70</f>
        <v>80000</v>
      </c>
      <c r="I71" s="531">
        <f t="shared" ref="I71:Q71" si="28">I69-I70</f>
        <v>150000</v>
      </c>
      <c r="J71" s="531">
        <f t="shared" si="28"/>
        <v>150000</v>
      </c>
      <c r="K71" s="531">
        <f t="shared" si="28"/>
        <v>150000</v>
      </c>
      <c r="L71" s="531">
        <f t="shared" si="28"/>
        <v>150000</v>
      </c>
      <c r="M71" s="531">
        <f t="shared" si="28"/>
        <v>150000</v>
      </c>
      <c r="N71" s="531">
        <f t="shared" si="28"/>
        <v>500000</v>
      </c>
      <c r="O71" s="531">
        <f t="shared" si="28"/>
        <v>150000</v>
      </c>
      <c r="P71" s="531">
        <f t="shared" si="28"/>
        <v>150000</v>
      </c>
      <c r="Q71" s="1799">
        <f t="shared" si="28"/>
        <v>150000</v>
      </c>
      <c r="R71" s="1800"/>
      <c r="S71" s="1801">
        <f t="shared" ca="1" si="19"/>
        <v>990000</v>
      </c>
      <c r="T71" s="1457"/>
      <c r="U71" s="1802">
        <f t="shared" ca="1" si="20"/>
        <v>123750</v>
      </c>
      <c r="V71" s="1803"/>
      <c r="W71" s="1803">
        <f t="shared" si="17"/>
        <v>1940000</v>
      </c>
      <c r="X71" s="1459"/>
    </row>
    <row r="72" spans="1:24" ht="14.1" customHeight="1" x14ac:dyDescent="0.15">
      <c r="A72" s="413" t="s">
        <v>384</v>
      </c>
      <c r="B72" s="1081" t="s">
        <v>26</v>
      </c>
      <c r="C72" s="2166" t="s">
        <v>329</v>
      </c>
      <c r="D72" s="2196" t="s">
        <v>443</v>
      </c>
      <c r="E72" s="360" t="s">
        <v>26</v>
      </c>
      <c r="F72" s="503">
        <v>2700000</v>
      </c>
      <c r="G72" s="504">
        <v>2700000</v>
      </c>
      <c r="H72" s="504">
        <v>2700000</v>
      </c>
      <c r="I72" s="504">
        <v>2700000</v>
      </c>
      <c r="J72" s="504">
        <v>2700000</v>
      </c>
      <c r="K72" s="504">
        <v>2700000</v>
      </c>
      <c r="L72" s="504">
        <v>2700000</v>
      </c>
      <c r="M72" s="504">
        <v>2700000</v>
      </c>
      <c r="N72" s="504">
        <v>3910000</v>
      </c>
      <c r="O72" s="504">
        <v>2700000</v>
      </c>
      <c r="P72" s="504">
        <v>2700000</v>
      </c>
      <c r="Q72" s="1804">
        <v>2700000</v>
      </c>
      <c r="R72" s="1805"/>
      <c r="S72" s="1806">
        <f t="shared" ca="1" si="19"/>
        <v>21600000</v>
      </c>
      <c r="T72" s="1807"/>
      <c r="U72" s="1808">
        <f t="shared" ref="U72:U100" ca="1" si="29">IF(ISERROR(S72/(DATEDIF(F$2,G$1,"M")+1)),0,S72/(DATEDIF(F$2,G$1,"M")+1))</f>
        <v>2700000</v>
      </c>
      <c r="V72" s="1809"/>
      <c r="W72" s="1810">
        <f t="shared" si="17"/>
        <v>33610000</v>
      </c>
      <c r="X72" s="1352"/>
    </row>
    <row r="73" spans="1:24" ht="14.1" customHeight="1" x14ac:dyDescent="0.15">
      <c r="A73" s="413" t="s">
        <v>384</v>
      </c>
      <c r="B73" s="1081" t="s">
        <v>15</v>
      </c>
      <c r="C73" s="2167"/>
      <c r="D73" s="2197"/>
      <c r="E73" s="1108" t="s">
        <v>15</v>
      </c>
      <c r="F73" s="509">
        <v>700000</v>
      </c>
      <c r="G73" s="510">
        <v>700000</v>
      </c>
      <c r="H73" s="510">
        <v>700000</v>
      </c>
      <c r="I73" s="510">
        <f>900000+100000</f>
        <v>1000000</v>
      </c>
      <c r="J73" s="510">
        <v>900000</v>
      </c>
      <c r="K73" s="510">
        <v>900000</v>
      </c>
      <c r="L73" s="510">
        <v>900000</v>
      </c>
      <c r="M73" s="510">
        <v>900000</v>
      </c>
      <c r="N73" s="510">
        <v>900000</v>
      </c>
      <c r="O73" s="510">
        <f>900000+600000</f>
        <v>1500000</v>
      </c>
      <c r="P73" s="510">
        <v>900000</v>
      </c>
      <c r="Q73" s="511">
        <v>900000</v>
      </c>
      <c r="R73" s="1296"/>
      <c r="S73" s="1040">
        <f t="shared" ca="1" si="19"/>
        <v>6700000</v>
      </c>
      <c r="T73" s="1339"/>
      <c r="U73" s="512">
        <f t="shared" ca="1" si="29"/>
        <v>837500</v>
      </c>
      <c r="V73" s="1391"/>
      <c r="W73" s="1036">
        <f t="shared" ref="W73:W99" si="30">SUM(F73:Q73)</f>
        <v>10900000</v>
      </c>
      <c r="X73" s="1353"/>
    </row>
    <row r="74" spans="1:24" ht="14.1" customHeight="1" x14ac:dyDescent="0.15">
      <c r="A74" s="413" t="s">
        <v>384</v>
      </c>
      <c r="B74" s="1081" t="s">
        <v>447</v>
      </c>
      <c r="C74" s="2167"/>
      <c r="D74" s="2197"/>
      <c r="E74" s="1108" t="s">
        <v>447</v>
      </c>
      <c r="F74" s="509">
        <v>30000</v>
      </c>
      <c r="G74" s="510">
        <v>0</v>
      </c>
      <c r="H74" s="510">
        <v>0</v>
      </c>
      <c r="I74" s="510">
        <v>0</v>
      </c>
      <c r="J74" s="510">
        <v>30000</v>
      </c>
      <c r="K74" s="510">
        <v>0</v>
      </c>
      <c r="L74" s="510">
        <v>0</v>
      </c>
      <c r="M74" s="510">
        <v>0</v>
      </c>
      <c r="N74" s="510">
        <v>0</v>
      </c>
      <c r="O74" s="510">
        <v>0</v>
      </c>
      <c r="P74" s="510">
        <v>0</v>
      </c>
      <c r="Q74" s="1798">
        <v>0</v>
      </c>
      <c r="R74" s="1296"/>
      <c r="S74" s="1040">
        <f t="shared" ca="1" si="19"/>
        <v>60000</v>
      </c>
      <c r="T74" s="1339"/>
      <c r="U74" s="512">
        <f t="shared" ca="1" si="29"/>
        <v>7500</v>
      </c>
      <c r="V74" s="1391"/>
      <c r="W74" s="1036">
        <f t="shared" si="30"/>
        <v>60000</v>
      </c>
      <c r="X74" s="1353"/>
    </row>
    <row r="75" spans="1:24" ht="14.1" customHeight="1" x14ac:dyDescent="0.15">
      <c r="A75" s="413" t="s">
        <v>384</v>
      </c>
      <c r="B75" s="1081" t="s">
        <v>1230</v>
      </c>
      <c r="C75" s="2167"/>
      <c r="D75" s="2197"/>
      <c r="E75" s="1108" t="s">
        <v>35</v>
      </c>
      <c r="F75" s="509">
        <v>650000</v>
      </c>
      <c r="G75" s="510">
        <v>650000</v>
      </c>
      <c r="H75" s="510">
        <v>650000</v>
      </c>
      <c r="I75" s="510">
        <v>650000</v>
      </c>
      <c r="J75" s="510">
        <v>650000</v>
      </c>
      <c r="K75" s="510">
        <v>650000</v>
      </c>
      <c r="L75" s="510">
        <v>650000</v>
      </c>
      <c r="M75" s="510">
        <v>650000</v>
      </c>
      <c r="N75" s="510">
        <v>650000</v>
      </c>
      <c r="O75" s="510">
        <v>650000</v>
      </c>
      <c r="P75" s="510">
        <v>650000</v>
      </c>
      <c r="Q75" s="1798">
        <v>650000</v>
      </c>
      <c r="R75" s="1296"/>
      <c r="S75" s="1040">
        <f t="shared" ca="1" si="19"/>
        <v>5200000</v>
      </c>
      <c r="T75" s="1339"/>
      <c r="U75" s="512">
        <f t="shared" ca="1" si="29"/>
        <v>650000</v>
      </c>
      <c r="V75" s="1391"/>
      <c r="W75" s="1036">
        <f t="shared" si="30"/>
        <v>7800000</v>
      </c>
      <c r="X75" s="1353"/>
    </row>
    <row r="76" spans="1:24" ht="14.1" customHeight="1" x14ac:dyDescent="0.15">
      <c r="A76" s="413" t="s">
        <v>384</v>
      </c>
      <c r="B76" s="1081" t="s">
        <v>32</v>
      </c>
      <c r="C76" s="2167"/>
      <c r="D76" s="2197"/>
      <c r="E76" s="1108" t="s">
        <v>32</v>
      </c>
      <c r="F76" s="539">
        <f>F72-(F73+F75)</f>
        <v>1350000</v>
      </c>
      <c r="G76" s="512">
        <f>G72-(G73+G75)</f>
        <v>1350000</v>
      </c>
      <c r="H76" s="512">
        <f>H72-(H73+H75)</f>
        <v>1350000</v>
      </c>
      <c r="I76" s="512">
        <f t="shared" ref="I76:Q76" si="31">I72-(I73+I75)</f>
        <v>1050000</v>
      </c>
      <c r="J76" s="512">
        <f t="shared" si="31"/>
        <v>1150000</v>
      </c>
      <c r="K76" s="512">
        <f t="shared" si="31"/>
        <v>1150000</v>
      </c>
      <c r="L76" s="512">
        <f t="shared" si="31"/>
        <v>1150000</v>
      </c>
      <c r="M76" s="512">
        <f t="shared" si="31"/>
        <v>1150000</v>
      </c>
      <c r="N76" s="512">
        <f t="shared" si="31"/>
        <v>2360000</v>
      </c>
      <c r="O76" s="512">
        <f t="shared" si="31"/>
        <v>550000</v>
      </c>
      <c r="P76" s="512">
        <f t="shared" si="31"/>
        <v>1150000</v>
      </c>
      <c r="Q76" s="1395">
        <f t="shared" si="31"/>
        <v>1150000</v>
      </c>
      <c r="R76" s="1050"/>
      <c r="S76" s="1040">
        <f t="shared" ca="1" si="19"/>
        <v>9700000</v>
      </c>
      <c r="T76" s="1339"/>
      <c r="U76" s="512">
        <f t="shared" ca="1" si="29"/>
        <v>1212500</v>
      </c>
      <c r="V76" s="1036"/>
      <c r="W76" s="1036">
        <f t="shared" si="30"/>
        <v>14910000</v>
      </c>
      <c r="X76" s="1353"/>
    </row>
    <row r="77" spans="1:24" s="1122" customFormat="1" ht="14.1" customHeight="1" x14ac:dyDescent="0.15">
      <c r="C77" s="2167"/>
      <c r="D77" s="2197"/>
      <c r="E77" s="1795" t="s">
        <v>1197</v>
      </c>
      <c r="F77" s="1796">
        <v>1200000</v>
      </c>
      <c r="G77" s="1797">
        <v>1200000</v>
      </c>
      <c r="H77" s="1797">
        <v>1200000</v>
      </c>
      <c r="I77" s="1797">
        <v>1200000</v>
      </c>
      <c r="J77" s="1797">
        <v>1200000</v>
      </c>
      <c r="K77" s="1797">
        <v>1200000</v>
      </c>
      <c r="L77" s="1797">
        <v>1200000</v>
      </c>
      <c r="M77" s="1797">
        <v>1200000</v>
      </c>
      <c r="N77" s="1797">
        <v>1200000</v>
      </c>
      <c r="O77" s="1797">
        <v>1200000</v>
      </c>
      <c r="P77" s="1797">
        <v>1200000</v>
      </c>
      <c r="Q77" s="1127">
        <v>1200000</v>
      </c>
      <c r="R77" s="1051"/>
      <c r="S77" s="1043">
        <f t="shared" ca="1" si="19"/>
        <v>9600000</v>
      </c>
      <c r="T77" s="1456"/>
      <c r="U77" s="527">
        <f t="shared" ca="1" si="29"/>
        <v>1200000</v>
      </c>
      <c r="V77" s="1033"/>
      <c r="W77" s="1033">
        <f t="shared" si="30"/>
        <v>14400000</v>
      </c>
      <c r="X77" s="1458"/>
    </row>
    <row r="78" spans="1:24" s="1122" customFormat="1" ht="14.1" customHeight="1" thickBot="1" x14ac:dyDescent="0.2">
      <c r="C78" s="2168"/>
      <c r="D78" s="2198"/>
      <c r="E78" s="1129" t="s">
        <v>1425</v>
      </c>
      <c r="F78" s="530">
        <f>F76-F77</f>
        <v>150000</v>
      </c>
      <c r="G78" s="531">
        <f>G76-G77</f>
        <v>150000</v>
      </c>
      <c r="H78" s="531">
        <f>H76-H77</f>
        <v>150000</v>
      </c>
      <c r="I78" s="531">
        <f t="shared" ref="I78:Q78" si="32">I76-I77</f>
        <v>-150000</v>
      </c>
      <c r="J78" s="531">
        <f t="shared" si="32"/>
        <v>-50000</v>
      </c>
      <c r="K78" s="531">
        <f t="shared" si="32"/>
        <v>-50000</v>
      </c>
      <c r="L78" s="531">
        <f t="shared" si="32"/>
        <v>-50000</v>
      </c>
      <c r="M78" s="531">
        <f t="shared" si="32"/>
        <v>-50000</v>
      </c>
      <c r="N78" s="531">
        <f t="shared" si="32"/>
        <v>1160000</v>
      </c>
      <c r="O78" s="531">
        <f t="shared" si="32"/>
        <v>-650000</v>
      </c>
      <c r="P78" s="531">
        <f t="shared" si="32"/>
        <v>-50000</v>
      </c>
      <c r="Q78" s="1799">
        <f t="shared" si="32"/>
        <v>-50000</v>
      </c>
      <c r="R78" s="1800"/>
      <c r="S78" s="1801">
        <f t="shared" ref="S78:S99" ca="1" si="33">SUM(OFFSET(F78,0,0,1,IF(ISERROR(MATCH(DATE(YEAR($G$1),MONTH($G$1),1),$F$2:$Q$2,0)),0,MATCH(DATE(YEAR($G$1),MONTH($G$1),1),$F$2:$Q$2,0))))</f>
        <v>100000</v>
      </c>
      <c r="T78" s="1457"/>
      <c r="U78" s="1802">
        <f t="shared" ca="1" si="29"/>
        <v>12500</v>
      </c>
      <c r="V78" s="1803"/>
      <c r="W78" s="1803">
        <f t="shared" si="30"/>
        <v>510000</v>
      </c>
      <c r="X78" s="1459"/>
    </row>
    <row r="79" spans="1:24" ht="14.1" customHeight="1" x14ac:dyDescent="0.15">
      <c r="A79" s="413" t="s">
        <v>1384</v>
      </c>
      <c r="B79" s="1081" t="s">
        <v>26</v>
      </c>
      <c r="C79" s="2166" t="s">
        <v>1394</v>
      </c>
      <c r="D79" s="2196" t="s">
        <v>443</v>
      </c>
      <c r="E79" s="360" t="s">
        <v>26</v>
      </c>
      <c r="F79" s="503">
        <v>0</v>
      </c>
      <c r="G79" s="504">
        <v>0</v>
      </c>
      <c r="H79" s="504">
        <v>0</v>
      </c>
      <c r="I79" s="504">
        <v>0</v>
      </c>
      <c r="J79" s="504">
        <v>0</v>
      </c>
      <c r="K79" s="504">
        <v>2150000</v>
      </c>
      <c r="L79" s="504">
        <v>2150000</v>
      </c>
      <c r="M79" s="504">
        <v>2150000</v>
      </c>
      <c r="N79" s="504">
        <v>2150000</v>
      </c>
      <c r="O79" s="504">
        <v>2150000</v>
      </c>
      <c r="P79" s="504">
        <v>2150000</v>
      </c>
      <c r="Q79" s="1804">
        <v>2150000</v>
      </c>
      <c r="R79" s="1805"/>
      <c r="S79" s="1806">
        <f t="shared" ca="1" si="33"/>
        <v>6450000</v>
      </c>
      <c r="T79" s="1807"/>
      <c r="U79" s="1808">
        <f t="shared" ref="U79:U85" ca="1" si="34">IF(ISERROR(S79/(DATEDIF(F$2,G$1,"M")+1)),0,S79/(DATEDIF(F$2,G$1,"M")+1))</f>
        <v>806250</v>
      </c>
      <c r="V79" s="1809"/>
      <c r="W79" s="1810">
        <f t="shared" si="30"/>
        <v>15050000</v>
      </c>
      <c r="X79" s="1352"/>
    </row>
    <row r="80" spans="1:24" ht="14.1" customHeight="1" x14ac:dyDescent="0.15">
      <c r="A80" s="413" t="s">
        <v>1384</v>
      </c>
      <c r="B80" s="1081" t="s">
        <v>15</v>
      </c>
      <c r="C80" s="2167"/>
      <c r="D80" s="2197"/>
      <c r="E80" s="1108" t="s">
        <v>15</v>
      </c>
      <c r="F80" s="509">
        <v>0</v>
      </c>
      <c r="G80" s="510">
        <v>0</v>
      </c>
      <c r="H80" s="510">
        <v>0</v>
      </c>
      <c r="I80" s="510">
        <v>0</v>
      </c>
      <c r="J80" s="510">
        <v>0</v>
      </c>
      <c r="K80" s="510">
        <v>500000</v>
      </c>
      <c r="L80" s="510">
        <v>500000</v>
      </c>
      <c r="M80" s="510">
        <v>500000</v>
      </c>
      <c r="N80" s="510">
        <v>500000</v>
      </c>
      <c r="O80" s="510">
        <v>500000</v>
      </c>
      <c r="P80" s="510">
        <v>500000</v>
      </c>
      <c r="Q80" s="511">
        <v>500000</v>
      </c>
      <c r="R80" s="1296"/>
      <c r="S80" s="1040">
        <f t="shared" ca="1" si="33"/>
        <v>1500000</v>
      </c>
      <c r="T80" s="1339"/>
      <c r="U80" s="512">
        <f t="shared" ca="1" si="34"/>
        <v>187500</v>
      </c>
      <c r="V80" s="1391"/>
      <c r="W80" s="1036">
        <f t="shared" si="30"/>
        <v>3500000</v>
      </c>
      <c r="X80" s="1353"/>
    </row>
    <row r="81" spans="1:24" ht="14.1" customHeight="1" x14ac:dyDescent="0.15">
      <c r="A81" s="413" t="s">
        <v>1384</v>
      </c>
      <c r="B81" s="1081" t="s">
        <v>447</v>
      </c>
      <c r="C81" s="2167"/>
      <c r="D81" s="2197"/>
      <c r="E81" s="1108" t="s">
        <v>447</v>
      </c>
      <c r="F81" s="509">
        <v>0</v>
      </c>
      <c r="G81" s="510">
        <v>0</v>
      </c>
      <c r="H81" s="510">
        <v>0</v>
      </c>
      <c r="I81" s="510">
        <v>0</v>
      </c>
      <c r="J81" s="510">
        <v>150000</v>
      </c>
      <c r="K81" s="510">
        <v>50000</v>
      </c>
      <c r="L81" s="510">
        <v>0</v>
      </c>
      <c r="M81" s="510">
        <v>50000</v>
      </c>
      <c r="N81" s="510">
        <v>0</v>
      </c>
      <c r="O81" s="510">
        <v>0</v>
      </c>
      <c r="P81" s="510">
        <v>30000</v>
      </c>
      <c r="Q81" s="1798">
        <v>0</v>
      </c>
      <c r="R81" s="1296"/>
      <c r="S81" s="1040">
        <f t="shared" ca="1" si="33"/>
        <v>250000</v>
      </c>
      <c r="T81" s="1339"/>
      <c r="U81" s="512">
        <f t="shared" ca="1" si="34"/>
        <v>31250</v>
      </c>
      <c r="V81" s="1391"/>
      <c r="W81" s="1036">
        <f t="shared" si="30"/>
        <v>280000</v>
      </c>
      <c r="X81" s="1353"/>
    </row>
    <row r="82" spans="1:24" ht="14.1" customHeight="1" x14ac:dyDescent="0.15">
      <c r="A82" s="413" t="s">
        <v>1384</v>
      </c>
      <c r="B82" s="1081" t="s">
        <v>1230</v>
      </c>
      <c r="C82" s="2167"/>
      <c r="D82" s="2197"/>
      <c r="E82" s="1108" t="s">
        <v>35</v>
      </c>
      <c r="F82" s="509">
        <v>0</v>
      </c>
      <c r="G82" s="510">
        <v>0</v>
      </c>
      <c r="H82" s="510">
        <v>350000</v>
      </c>
      <c r="I82" s="510">
        <v>17000</v>
      </c>
      <c r="J82" s="510">
        <v>667000</v>
      </c>
      <c r="K82" s="510">
        <v>567000</v>
      </c>
      <c r="L82" s="510">
        <v>517000</v>
      </c>
      <c r="M82" s="510">
        <v>567000</v>
      </c>
      <c r="N82" s="510">
        <v>517000</v>
      </c>
      <c r="O82" s="510">
        <v>517000</v>
      </c>
      <c r="P82" s="510">
        <v>547000</v>
      </c>
      <c r="Q82" s="1798">
        <v>517000</v>
      </c>
      <c r="R82" s="1296"/>
      <c r="S82" s="1040">
        <f t="shared" ca="1" si="33"/>
        <v>2685000</v>
      </c>
      <c r="T82" s="1339"/>
      <c r="U82" s="512">
        <f t="shared" ca="1" si="34"/>
        <v>335625</v>
      </c>
      <c r="V82" s="1391"/>
      <c r="W82" s="1036">
        <f t="shared" si="30"/>
        <v>4783000</v>
      </c>
      <c r="X82" s="1353"/>
    </row>
    <row r="83" spans="1:24" ht="14.1" customHeight="1" x14ac:dyDescent="0.15">
      <c r="A83" s="413" t="s">
        <v>1384</v>
      </c>
      <c r="B83" s="1081" t="s">
        <v>32</v>
      </c>
      <c r="C83" s="2167"/>
      <c r="D83" s="2197"/>
      <c r="E83" s="1108" t="s">
        <v>32</v>
      </c>
      <c r="F83" s="539">
        <f>F79-(F80+F82)</f>
        <v>0</v>
      </c>
      <c r="G83" s="512">
        <f>G79-(G80+G82)</f>
        <v>0</v>
      </c>
      <c r="H83" s="512">
        <f>H79-(H80+H82)</f>
        <v>-350000</v>
      </c>
      <c r="I83" s="512">
        <f t="shared" ref="I83:Q83" si="35">I79-(I80+I82)</f>
        <v>-17000</v>
      </c>
      <c r="J83" s="512">
        <f t="shared" si="35"/>
        <v>-667000</v>
      </c>
      <c r="K83" s="512">
        <f t="shared" si="35"/>
        <v>1083000</v>
      </c>
      <c r="L83" s="512">
        <f t="shared" si="35"/>
        <v>1133000</v>
      </c>
      <c r="M83" s="512">
        <f t="shared" si="35"/>
        <v>1083000</v>
      </c>
      <c r="N83" s="512">
        <f t="shared" si="35"/>
        <v>1133000</v>
      </c>
      <c r="O83" s="512">
        <f t="shared" si="35"/>
        <v>1133000</v>
      </c>
      <c r="P83" s="512">
        <f t="shared" si="35"/>
        <v>1103000</v>
      </c>
      <c r="Q83" s="1395">
        <f t="shared" si="35"/>
        <v>1133000</v>
      </c>
      <c r="R83" s="1050"/>
      <c r="S83" s="1040">
        <f t="shared" ca="1" si="33"/>
        <v>2265000</v>
      </c>
      <c r="T83" s="1339"/>
      <c r="U83" s="512">
        <f t="shared" ca="1" si="34"/>
        <v>283125</v>
      </c>
      <c r="V83" s="1036"/>
      <c r="W83" s="1036">
        <f t="shared" si="30"/>
        <v>6767000</v>
      </c>
      <c r="X83" s="1353"/>
    </row>
    <row r="84" spans="1:24" s="1122" customFormat="1" ht="14.1" customHeight="1" x14ac:dyDescent="0.15">
      <c r="C84" s="2167"/>
      <c r="D84" s="2197"/>
      <c r="E84" s="1795" t="s">
        <v>1197</v>
      </c>
      <c r="F84" s="1796">
        <v>0</v>
      </c>
      <c r="G84" s="1797">
        <v>0</v>
      </c>
      <c r="H84" s="1797">
        <v>0</v>
      </c>
      <c r="I84" s="1797">
        <v>0</v>
      </c>
      <c r="J84" s="1797">
        <v>0</v>
      </c>
      <c r="K84" s="1797">
        <v>900000</v>
      </c>
      <c r="L84" s="1797">
        <v>900000</v>
      </c>
      <c r="M84" s="1797">
        <v>900000</v>
      </c>
      <c r="N84" s="1797">
        <v>900000</v>
      </c>
      <c r="O84" s="1797">
        <v>900000</v>
      </c>
      <c r="P84" s="1797">
        <v>900000</v>
      </c>
      <c r="Q84" s="1127">
        <v>900000</v>
      </c>
      <c r="R84" s="1051"/>
      <c r="S84" s="1043">
        <f t="shared" ca="1" si="33"/>
        <v>2700000</v>
      </c>
      <c r="T84" s="1456"/>
      <c r="U84" s="527">
        <f t="shared" ca="1" si="34"/>
        <v>337500</v>
      </c>
      <c r="V84" s="1033"/>
      <c r="W84" s="1033">
        <f t="shared" si="30"/>
        <v>6300000</v>
      </c>
      <c r="X84" s="1458"/>
    </row>
    <row r="85" spans="1:24" s="1122" customFormat="1" ht="14.1" customHeight="1" thickBot="1" x14ac:dyDescent="0.2">
      <c r="C85" s="2168"/>
      <c r="D85" s="2198"/>
      <c r="E85" s="1129" t="s">
        <v>1426</v>
      </c>
      <c r="F85" s="530">
        <f>F83-F84</f>
        <v>0</v>
      </c>
      <c r="G85" s="531">
        <f>G83-G84</f>
        <v>0</v>
      </c>
      <c r="H85" s="531">
        <f>H83-H84</f>
        <v>-350000</v>
      </c>
      <c r="I85" s="531">
        <f t="shared" ref="I85:Q85" si="36">I83-I84</f>
        <v>-17000</v>
      </c>
      <c r="J85" s="531">
        <f t="shared" si="36"/>
        <v>-667000</v>
      </c>
      <c r="K85" s="531">
        <f t="shared" si="36"/>
        <v>183000</v>
      </c>
      <c r="L85" s="531">
        <f t="shared" si="36"/>
        <v>233000</v>
      </c>
      <c r="M85" s="531">
        <f t="shared" si="36"/>
        <v>183000</v>
      </c>
      <c r="N85" s="531">
        <f t="shared" si="36"/>
        <v>233000</v>
      </c>
      <c r="O85" s="531">
        <f t="shared" si="36"/>
        <v>233000</v>
      </c>
      <c r="P85" s="531">
        <f t="shared" si="36"/>
        <v>203000</v>
      </c>
      <c r="Q85" s="1799">
        <f t="shared" si="36"/>
        <v>233000</v>
      </c>
      <c r="R85" s="1800"/>
      <c r="S85" s="1801">
        <f t="shared" ca="1" si="33"/>
        <v>-435000</v>
      </c>
      <c r="T85" s="1457"/>
      <c r="U85" s="1802">
        <f t="shared" ca="1" si="34"/>
        <v>-54375</v>
      </c>
      <c r="V85" s="1803"/>
      <c r="W85" s="1803">
        <f t="shared" si="30"/>
        <v>467000</v>
      </c>
      <c r="X85" s="1459"/>
    </row>
    <row r="86" spans="1:24" ht="14.1" customHeight="1" x14ac:dyDescent="0.15">
      <c r="A86" s="413" t="s">
        <v>1424</v>
      </c>
      <c r="B86" s="1081" t="s">
        <v>26</v>
      </c>
      <c r="C86" s="2166" t="s">
        <v>1294</v>
      </c>
      <c r="D86" s="2196" t="s">
        <v>443</v>
      </c>
      <c r="E86" s="360" t="s">
        <v>26</v>
      </c>
      <c r="F86" s="503">
        <v>0</v>
      </c>
      <c r="G86" s="504">
        <v>0</v>
      </c>
      <c r="H86" s="504">
        <v>0</v>
      </c>
      <c r="I86" s="504">
        <v>0</v>
      </c>
      <c r="J86" s="504">
        <v>0</v>
      </c>
      <c r="K86" s="504">
        <v>0</v>
      </c>
      <c r="L86" s="504">
        <v>0</v>
      </c>
      <c r="M86" s="504">
        <v>0</v>
      </c>
      <c r="N86" s="504">
        <v>0</v>
      </c>
      <c r="O86" s="504">
        <v>2700000</v>
      </c>
      <c r="P86" s="504">
        <v>2700000</v>
      </c>
      <c r="Q86" s="1804">
        <v>2700000</v>
      </c>
      <c r="R86" s="1805"/>
      <c r="S86" s="1806">
        <f t="shared" ca="1" si="33"/>
        <v>0</v>
      </c>
      <c r="T86" s="1807"/>
      <c r="U86" s="1808">
        <f t="shared" ref="U86:U92" ca="1" si="37">IF(ISERROR(S86/(DATEDIF(F$2,G$1,"M")+1)),0,S86/(DATEDIF(F$2,G$1,"M")+1))</f>
        <v>0</v>
      </c>
      <c r="V86" s="1809"/>
      <c r="W86" s="1810">
        <f t="shared" si="30"/>
        <v>8100000</v>
      </c>
      <c r="X86" s="1352"/>
    </row>
    <row r="87" spans="1:24" ht="14.1" customHeight="1" x14ac:dyDescent="0.15">
      <c r="A87" s="413" t="s">
        <v>1424</v>
      </c>
      <c r="B87" s="1081" t="s">
        <v>15</v>
      </c>
      <c r="C87" s="2167"/>
      <c r="D87" s="2197"/>
      <c r="E87" s="1108" t="s">
        <v>15</v>
      </c>
      <c r="F87" s="509">
        <v>0</v>
      </c>
      <c r="G87" s="510">
        <v>0</v>
      </c>
      <c r="H87" s="510">
        <v>0</v>
      </c>
      <c r="I87" s="510">
        <v>0</v>
      </c>
      <c r="J87" s="510">
        <v>0</v>
      </c>
      <c r="K87" s="510">
        <v>0</v>
      </c>
      <c r="L87" s="510">
        <v>0</v>
      </c>
      <c r="M87" s="510">
        <v>0</v>
      </c>
      <c r="N87" s="510">
        <v>0</v>
      </c>
      <c r="O87" s="510">
        <v>500000</v>
      </c>
      <c r="P87" s="510">
        <v>500000</v>
      </c>
      <c r="Q87" s="511">
        <v>500000</v>
      </c>
      <c r="R87" s="1296"/>
      <c r="S87" s="1040">
        <f t="shared" ca="1" si="33"/>
        <v>0</v>
      </c>
      <c r="T87" s="1339"/>
      <c r="U87" s="512">
        <f t="shared" ca="1" si="37"/>
        <v>0</v>
      </c>
      <c r="V87" s="1391"/>
      <c r="W87" s="1036">
        <f t="shared" si="30"/>
        <v>1500000</v>
      </c>
      <c r="X87" s="1353"/>
    </row>
    <row r="88" spans="1:24" ht="14.1" customHeight="1" x14ac:dyDescent="0.15">
      <c r="A88" s="413" t="s">
        <v>1424</v>
      </c>
      <c r="B88" s="1081" t="s">
        <v>447</v>
      </c>
      <c r="C88" s="2167"/>
      <c r="D88" s="2197"/>
      <c r="E88" s="1108" t="s">
        <v>447</v>
      </c>
      <c r="F88" s="509">
        <v>0</v>
      </c>
      <c r="G88" s="510">
        <v>0</v>
      </c>
      <c r="H88" s="510">
        <v>0</v>
      </c>
      <c r="I88" s="510">
        <v>0</v>
      </c>
      <c r="J88" s="510">
        <v>0</v>
      </c>
      <c r="K88" s="510">
        <v>0</v>
      </c>
      <c r="L88" s="510">
        <v>0</v>
      </c>
      <c r="M88" s="510">
        <v>150000</v>
      </c>
      <c r="N88" s="510">
        <v>30000</v>
      </c>
      <c r="O88" s="510">
        <v>0</v>
      </c>
      <c r="P88" s="510">
        <v>30000</v>
      </c>
      <c r="Q88" s="1798">
        <v>0</v>
      </c>
      <c r="R88" s="1296"/>
      <c r="S88" s="1040">
        <f t="shared" ca="1" si="33"/>
        <v>150000</v>
      </c>
      <c r="T88" s="1339"/>
      <c r="U88" s="512">
        <f t="shared" ca="1" si="37"/>
        <v>18750</v>
      </c>
      <c r="V88" s="1391"/>
      <c r="W88" s="1036">
        <f t="shared" si="30"/>
        <v>210000</v>
      </c>
      <c r="X88" s="1353"/>
    </row>
    <row r="89" spans="1:24" ht="14.1" customHeight="1" x14ac:dyDescent="0.15">
      <c r="A89" s="413" t="s">
        <v>1424</v>
      </c>
      <c r="B89" s="1081" t="s">
        <v>1230</v>
      </c>
      <c r="C89" s="2167"/>
      <c r="D89" s="2197"/>
      <c r="E89" s="1108" t="s">
        <v>35</v>
      </c>
      <c r="F89" s="509">
        <v>250000</v>
      </c>
      <c r="G89" s="510">
        <v>250000</v>
      </c>
      <c r="H89" s="510">
        <v>1191000</v>
      </c>
      <c r="I89" s="510">
        <v>0</v>
      </c>
      <c r="J89" s="510">
        <v>1161000</v>
      </c>
      <c r="K89" s="510">
        <v>253000</v>
      </c>
      <c r="L89" s="510">
        <v>694000</v>
      </c>
      <c r="M89" s="510">
        <v>3403000</v>
      </c>
      <c r="N89" s="510">
        <v>283000</v>
      </c>
      <c r="O89" s="510">
        <v>947000</v>
      </c>
      <c r="P89" s="510">
        <v>802000</v>
      </c>
      <c r="Q89" s="1798">
        <v>813000</v>
      </c>
      <c r="R89" s="1296"/>
      <c r="S89" s="1040">
        <f t="shared" ca="1" si="33"/>
        <v>7202000</v>
      </c>
      <c r="T89" s="1339"/>
      <c r="U89" s="512">
        <f t="shared" ca="1" si="37"/>
        <v>900250</v>
      </c>
      <c r="V89" s="1391"/>
      <c r="W89" s="1036">
        <f t="shared" si="30"/>
        <v>10047000</v>
      </c>
      <c r="X89" s="1353"/>
    </row>
    <row r="90" spans="1:24" ht="14.1" customHeight="1" x14ac:dyDescent="0.15">
      <c r="A90" s="413" t="s">
        <v>1424</v>
      </c>
      <c r="B90" s="1081" t="s">
        <v>32</v>
      </c>
      <c r="C90" s="2167"/>
      <c r="D90" s="2197"/>
      <c r="E90" s="1108" t="s">
        <v>32</v>
      </c>
      <c r="F90" s="539">
        <f>F86-(F87+F89)</f>
        <v>-250000</v>
      </c>
      <c r="G90" s="512">
        <f>G86-(G87+G89)</f>
        <v>-250000</v>
      </c>
      <c r="H90" s="512">
        <f>H86-(H87+H89)</f>
        <v>-1191000</v>
      </c>
      <c r="I90" s="512">
        <f t="shared" ref="I90:Q90" si="38">I86-(I87+I89)</f>
        <v>0</v>
      </c>
      <c r="J90" s="512">
        <f t="shared" si="38"/>
        <v>-1161000</v>
      </c>
      <c r="K90" s="512">
        <f t="shared" si="38"/>
        <v>-253000</v>
      </c>
      <c r="L90" s="512">
        <f t="shared" si="38"/>
        <v>-694000</v>
      </c>
      <c r="M90" s="512">
        <f t="shared" si="38"/>
        <v>-3403000</v>
      </c>
      <c r="N90" s="512">
        <f t="shared" si="38"/>
        <v>-283000</v>
      </c>
      <c r="O90" s="512">
        <f t="shared" si="38"/>
        <v>1253000</v>
      </c>
      <c r="P90" s="512">
        <f t="shared" si="38"/>
        <v>1398000</v>
      </c>
      <c r="Q90" s="1395">
        <f t="shared" si="38"/>
        <v>1387000</v>
      </c>
      <c r="R90" s="1050"/>
      <c r="S90" s="1040">
        <f t="shared" ca="1" si="33"/>
        <v>-7202000</v>
      </c>
      <c r="T90" s="1339"/>
      <c r="U90" s="512">
        <f t="shared" ca="1" si="37"/>
        <v>-900250</v>
      </c>
      <c r="V90" s="1036"/>
      <c r="W90" s="1036">
        <f t="shared" si="30"/>
        <v>-3447000</v>
      </c>
      <c r="X90" s="1353"/>
    </row>
    <row r="91" spans="1:24" s="1122" customFormat="1" ht="14.1" customHeight="1" x14ac:dyDescent="0.15">
      <c r="C91" s="2167"/>
      <c r="D91" s="2197"/>
      <c r="E91" s="1795" t="s">
        <v>1197</v>
      </c>
      <c r="F91" s="1796">
        <v>0</v>
      </c>
      <c r="G91" s="1797">
        <v>0</v>
      </c>
      <c r="H91" s="1797">
        <v>0</v>
      </c>
      <c r="I91" s="1797">
        <v>0</v>
      </c>
      <c r="J91" s="1797">
        <v>0</v>
      </c>
      <c r="K91" s="1797">
        <v>0</v>
      </c>
      <c r="L91" s="1797">
        <v>0</v>
      </c>
      <c r="M91" s="1797">
        <v>0</v>
      </c>
      <c r="N91" s="1797">
        <v>0</v>
      </c>
      <c r="O91" s="1797">
        <v>1200000</v>
      </c>
      <c r="P91" s="1797">
        <v>1200000</v>
      </c>
      <c r="Q91" s="1127">
        <v>1200000</v>
      </c>
      <c r="R91" s="1051"/>
      <c r="S91" s="1043">
        <f t="shared" ca="1" si="33"/>
        <v>0</v>
      </c>
      <c r="T91" s="1456"/>
      <c r="U91" s="527">
        <f t="shared" ca="1" si="37"/>
        <v>0</v>
      </c>
      <c r="V91" s="1033"/>
      <c r="W91" s="1033">
        <f t="shared" si="30"/>
        <v>3600000</v>
      </c>
      <c r="X91" s="1458"/>
    </row>
    <row r="92" spans="1:24" s="1122" customFormat="1" ht="14.1" customHeight="1" thickBot="1" x14ac:dyDescent="0.2">
      <c r="C92" s="2168"/>
      <c r="D92" s="2198"/>
      <c r="E92" s="1129" t="s">
        <v>1427</v>
      </c>
      <c r="F92" s="530">
        <f>F90-F91</f>
        <v>-250000</v>
      </c>
      <c r="G92" s="531">
        <f>G90-G91</f>
        <v>-250000</v>
      </c>
      <c r="H92" s="531">
        <f>H90-H91</f>
        <v>-1191000</v>
      </c>
      <c r="I92" s="531">
        <f t="shared" ref="I92:Q92" si="39">I90-I91</f>
        <v>0</v>
      </c>
      <c r="J92" s="531">
        <f t="shared" si="39"/>
        <v>-1161000</v>
      </c>
      <c r="K92" s="531">
        <f t="shared" si="39"/>
        <v>-253000</v>
      </c>
      <c r="L92" s="531">
        <f t="shared" si="39"/>
        <v>-694000</v>
      </c>
      <c r="M92" s="531">
        <f t="shared" si="39"/>
        <v>-3403000</v>
      </c>
      <c r="N92" s="531">
        <f t="shared" si="39"/>
        <v>-283000</v>
      </c>
      <c r="O92" s="531">
        <f t="shared" si="39"/>
        <v>53000</v>
      </c>
      <c r="P92" s="531">
        <f t="shared" si="39"/>
        <v>198000</v>
      </c>
      <c r="Q92" s="1799">
        <f t="shared" si="39"/>
        <v>187000</v>
      </c>
      <c r="R92" s="1800"/>
      <c r="S92" s="1801">
        <f t="shared" ca="1" si="33"/>
        <v>-7202000</v>
      </c>
      <c r="T92" s="1457"/>
      <c r="U92" s="1802">
        <f t="shared" ca="1" si="37"/>
        <v>-900250</v>
      </c>
      <c r="V92" s="1803"/>
      <c r="W92" s="1803">
        <f t="shared" si="30"/>
        <v>-7047000</v>
      </c>
      <c r="X92" s="1459"/>
    </row>
    <row r="93" spans="1:24" ht="14.1" customHeight="1" x14ac:dyDescent="0.15">
      <c r="A93" s="413" t="s">
        <v>1446</v>
      </c>
      <c r="B93" s="1081" t="s">
        <v>26</v>
      </c>
      <c r="C93" s="2157" t="s">
        <v>337</v>
      </c>
      <c r="D93" s="2196" t="s">
        <v>443</v>
      </c>
      <c r="E93" s="360" t="s">
        <v>26</v>
      </c>
      <c r="F93" s="503">
        <v>800000</v>
      </c>
      <c r="G93" s="504"/>
      <c r="H93" s="504"/>
      <c r="I93" s="504"/>
      <c r="J93" s="504"/>
      <c r="K93" s="504"/>
      <c r="L93" s="504"/>
      <c r="M93" s="504"/>
      <c r="N93" s="504"/>
      <c r="O93" s="504"/>
      <c r="P93" s="504"/>
      <c r="Q93" s="1804"/>
      <c r="R93" s="1805"/>
      <c r="S93" s="1806">
        <f t="shared" ca="1" si="33"/>
        <v>800000</v>
      </c>
      <c r="T93" s="1807"/>
      <c r="U93" s="1808">
        <f t="shared" ca="1" si="29"/>
        <v>100000</v>
      </c>
      <c r="V93" s="1809"/>
      <c r="W93" s="1810">
        <f t="shared" si="30"/>
        <v>800000</v>
      </c>
      <c r="X93" s="1352"/>
    </row>
    <row r="94" spans="1:24" ht="14.1" customHeight="1" x14ac:dyDescent="0.15">
      <c r="A94" s="413" t="s">
        <v>1446</v>
      </c>
      <c r="B94" s="1081" t="s">
        <v>15</v>
      </c>
      <c r="C94" s="2158"/>
      <c r="D94" s="2197"/>
      <c r="E94" s="1108" t="s">
        <v>15</v>
      </c>
      <c r="F94" s="509">
        <v>400000</v>
      </c>
      <c r="G94" s="510"/>
      <c r="H94" s="510"/>
      <c r="I94" s="510"/>
      <c r="J94" s="510"/>
      <c r="K94" s="510"/>
      <c r="L94" s="510"/>
      <c r="M94" s="510"/>
      <c r="N94" s="510"/>
      <c r="O94" s="510"/>
      <c r="P94" s="510"/>
      <c r="Q94" s="511"/>
      <c r="R94" s="1296"/>
      <c r="S94" s="1040">
        <f t="shared" ca="1" si="33"/>
        <v>400000</v>
      </c>
      <c r="T94" s="1339"/>
      <c r="U94" s="512">
        <f t="shared" ca="1" si="29"/>
        <v>50000</v>
      </c>
      <c r="V94" s="1391"/>
      <c r="W94" s="1036">
        <f t="shared" si="30"/>
        <v>400000</v>
      </c>
      <c r="X94" s="1353"/>
    </row>
    <row r="95" spans="1:24" ht="14.1" customHeight="1" x14ac:dyDescent="0.15">
      <c r="A95" s="413" t="s">
        <v>1446</v>
      </c>
      <c r="B95" s="1081" t="s">
        <v>447</v>
      </c>
      <c r="C95" s="2158"/>
      <c r="D95" s="2197"/>
      <c r="E95" s="1108" t="s">
        <v>447</v>
      </c>
      <c r="F95" s="509"/>
      <c r="G95" s="510"/>
      <c r="H95" s="510"/>
      <c r="I95" s="510"/>
      <c r="J95" s="510"/>
      <c r="K95" s="510"/>
      <c r="L95" s="510"/>
      <c r="M95" s="510"/>
      <c r="N95" s="510"/>
      <c r="O95" s="510"/>
      <c r="P95" s="510"/>
      <c r="Q95" s="1798"/>
      <c r="R95" s="1296"/>
      <c r="S95" s="1040">
        <f t="shared" ca="1" si="33"/>
        <v>0</v>
      </c>
      <c r="T95" s="1339"/>
      <c r="U95" s="512">
        <f t="shared" ca="1" si="29"/>
        <v>0</v>
      </c>
      <c r="V95" s="1391"/>
      <c r="W95" s="1036">
        <f t="shared" si="30"/>
        <v>0</v>
      </c>
      <c r="X95" s="1353"/>
    </row>
    <row r="96" spans="1:24" ht="14.1" customHeight="1" x14ac:dyDescent="0.15">
      <c r="A96" s="413" t="s">
        <v>1446</v>
      </c>
      <c r="B96" s="1081" t="s">
        <v>1230</v>
      </c>
      <c r="C96" s="2158"/>
      <c r="D96" s="2197"/>
      <c r="E96" s="1108" t="s">
        <v>35</v>
      </c>
      <c r="F96" s="509">
        <v>400000</v>
      </c>
      <c r="G96" s="510"/>
      <c r="H96" s="510"/>
      <c r="I96" s="510"/>
      <c r="J96" s="510"/>
      <c r="K96" s="510"/>
      <c r="L96" s="510"/>
      <c r="M96" s="510"/>
      <c r="N96" s="510"/>
      <c r="O96" s="510"/>
      <c r="P96" s="510"/>
      <c r="Q96" s="1798"/>
      <c r="R96" s="1296"/>
      <c r="S96" s="1040">
        <f t="shared" ca="1" si="33"/>
        <v>400000</v>
      </c>
      <c r="T96" s="1339"/>
      <c r="U96" s="512">
        <f t="shared" ca="1" si="29"/>
        <v>50000</v>
      </c>
      <c r="V96" s="1391"/>
      <c r="W96" s="1036">
        <f t="shared" si="30"/>
        <v>400000</v>
      </c>
      <c r="X96" s="1353"/>
    </row>
    <row r="97" spans="1:24" ht="14.1" customHeight="1" x14ac:dyDescent="0.15">
      <c r="A97" s="413" t="s">
        <v>1446</v>
      </c>
      <c r="B97" s="1081" t="s">
        <v>32</v>
      </c>
      <c r="C97" s="2158"/>
      <c r="D97" s="2197"/>
      <c r="E97" s="1108" t="s">
        <v>32</v>
      </c>
      <c r="F97" s="539">
        <f t="shared" ref="F97:Q97" si="40">F93-(F94+F96)</f>
        <v>0</v>
      </c>
      <c r="G97" s="512">
        <f t="shared" si="40"/>
        <v>0</v>
      </c>
      <c r="H97" s="512">
        <f t="shared" si="40"/>
        <v>0</v>
      </c>
      <c r="I97" s="512">
        <f t="shared" si="40"/>
        <v>0</v>
      </c>
      <c r="J97" s="512">
        <f t="shared" si="40"/>
        <v>0</v>
      </c>
      <c r="K97" s="512">
        <f t="shared" si="40"/>
        <v>0</v>
      </c>
      <c r="L97" s="512">
        <f t="shared" si="40"/>
        <v>0</v>
      </c>
      <c r="M97" s="512">
        <f t="shared" si="40"/>
        <v>0</v>
      </c>
      <c r="N97" s="512">
        <f t="shared" si="40"/>
        <v>0</v>
      </c>
      <c r="O97" s="512">
        <f t="shared" si="40"/>
        <v>0</v>
      </c>
      <c r="P97" s="512">
        <f t="shared" si="40"/>
        <v>0</v>
      </c>
      <c r="Q97" s="1395">
        <f t="shared" si="40"/>
        <v>0</v>
      </c>
      <c r="R97" s="1050"/>
      <c r="S97" s="1040">
        <f t="shared" ca="1" si="33"/>
        <v>0</v>
      </c>
      <c r="T97" s="1339"/>
      <c r="U97" s="512">
        <f t="shared" ca="1" si="29"/>
        <v>0</v>
      </c>
      <c r="V97" s="1036"/>
      <c r="W97" s="1036">
        <f t="shared" si="30"/>
        <v>0</v>
      </c>
      <c r="X97" s="1353"/>
    </row>
    <row r="98" spans="1:24" s="1122" customFormat="1" ht="14.1" customHeight="1" x14ac:dyDescent="0.15">
      <c r="C98" s="2158"/>
      <c r="D98" s="2197"/>
      <c r="E98" s="1795" t="s">
        <v>1197</v>
      </c>
      <c r="F98" s="1796">
        <v>0</v>
      </c>
      <c r="G98" s="1797"/>
      <c r="H98" s="1797"/>
      <c r="I98" s="1797"/>
      <c r="J98" s="1797"/>
      <c r="K98" s="1797"/>
      <c r="L98" s="1797"/>
      <c r="M98" s="1797"/>
      <c r="N98" s="1797"/>
      <c r="O98" s="1797"/>
      <c r="P98" s="1797"/>
      <c r="Q98" s="1127"/>
      <c r="R98" s="1051"/>
      <c r="S98" s="1043">
        <f t="shared" ca="1" si="33"/>
        <v>0</v>
      </c>
      <c r="T98" s="1456"/>
      <c r="U98" s="527">
        <f t="shared" ca="1" si="29"/>
        <v>0</v>
      </c>
      <c r="V98" s="1033"/>
      <c r="W98" s="1033">
        <f t="shared" si="30"/>
        <v>0</v>
      </c>
      <c r="X98" s="1458"/>
    </row>
    <row r="99" spans="1:24" s="1122" customFormat="1" ht="14.1" customHeight="1" thickBot="1" x14ac:dyDescent="0.2">
      <c r="C99" s="2159"/>
      <c r="D99" s="2198"/>
      <c r="E99" s="1129" t="s">
        <v>1428</v>
      </c>
      <c r="F99" s="530">
        <f t="shared" ref="F99:Q99" si="41">F97-F98</f>
        <v>0</v>
      </c>
      <c r="G99" s="531">
        <f t="shared" si="41"/>
        <v>0</v>
      </c>
      <c r="H99" s="531">
        <f t="shared" si="41"/>
        <v>0</v>
      </c>
      <c r="I99" s="531">
        <f t="shared" si="41"/>
        <v>0</v>
      </c>
      <c r="J99" s="531">
        <f t="shared" si="41"/>
        <v>0</v>
      </c>
      <c r="K99" s="531">
        <f t="shared" si="41"/>
        <v>0</v>
      </c>
      <c r="L99" s="531">
        <f t="shared" si="41"/>
        <v>0</v>
      </c>
      <c r="M99" s="531">
        <f t="shared" si="41"/>
        <v>0</v>
      </c>
      <c r="N99" s="531">
        <f t="shared" si="41"/>
        <v>0</v>
      </c>
      <c r="O99" s="531">
        <f t="shared" si="41"/>
        <v>0</v>
      </c>
      <c r="P99" s="531">
        <f t="shared" si="41"/>
        <v>0</v>
      </c>
      <c r="Q99" s="1799">
        <f t="shared" si="41"/>
        <v>0</v>
      </c>
      <c r="R99" s="1800"/>
      <c r="S99" s="1801">
        <f t="shared" ca="1" si="33"/>
        <v>0</v>
      </c>
      <c r="T99" s="1457"/>
      <c r="U99" s="1802">
        <f t="shared" ca="1" si="29"/>
        <v>0</v>
      </c>
      <c r="V99" s="1803"/>
      <c r="W99" s="1803">
        <f t="shared" si="30"/>
        <v>0</v>
      </c>
      <c r="X99" s="1459"/>
    </row>
    <row r="100" spans="1:24" ht="14.1" customHeight="1" thickBot="1" x14ac:dyDescent="0.2">
      <c r="C100" s="1789" t="s">
        <v>1478</v>
      </c>
      <c r="D100" s="1262" t="s">
        <v>1286</v>
      </c>
      <c r="E100" s="1263" t="s">
        <v>1285</v>
      </c>
      <c r="F100" s="1297">
        <v>0</v>
      </c>
      <c r="G100" s="1298">
        <v>0</v>
      </c>
      <c r="H100" s="1298">
        <v>0</v>
      </c>
      <c r="I100" s="1298">
        <v>0</v>
      </c>
      <c r="J100" s="1298">
        <v>0</v>
      </c>
      <c r="K100" s="1298">
        <v>0</v>
      </c>
      <c r="L100" s="1298">
        <v>0</v>
      </c>
      <c r="M100" s="1298">
        <v>0</v>
      </c>
      <c r="N100" s="1298">
        <v>0</v>
      </c>
      <c r="O100" s="1298">
        <v>0</v>
      </c>
      <c r="P100" s="1298">
        <v>0</v>
      </c>
      <c r="Q100" s="1299">
        <f>ROUND(1700000*1.194/1000,0)*1000</f>
        <v>2030000</v>
      </c>
      <c r="R100" s="1268"/>
      <c r="S100" s="1266">
        <f t="shared" ref="S100:S111" ca="1" si="42">SUM(OFFSET(F100,0,0,1,IF(ISERROR(MATCH(DATE(YEAR($G$1),MONTH($G$1),1),$F$2:$Q$2,0)),0,MATCH(DATE(YEAR($G$1),MONTH($G$1),1),$F$2:$Q$2,0))))</f>
        <v>0</v>
      </c>
      <c r="T100" s="1338"/>
      <c r="U100" s="1124">
        <f t="shared" ca="1" si="29"/>
        <v>0</v>
      </c>
      <c r="V100" s="1269"/>
      <c r="W100" s="1269">
        <f ca="1">S100+(12-IF(ISERROR(MATCH(DATE(YEAR($G$1),MONTH($G$1),1),$F$2:$Q$2,0)),0,MATCH(DATE(YEAR($G$1),MONTH($G$1),1),$F$2:$Q$2,0)))*U100</f>
        <v>0</v>
      </c>
      <c r="X100" s="1359"/>
    </row>
    <row r="101" spans="1:24" ht="14.1" customHeight="1" x14ac:dyDescent="0.15">
      <c r="C101" s="2166" t="s">
        <v>19</v>
      </c>
      <c r="D101" s="2196" t="s">
        <v>443</v>
      </c>
      <c r="E101" s="360" t="s">
        <v>26</v>
      </c>
      <c r="F101" s="538">
        <f>F3+F9+F16+F23+F30+F37+F44+F51+F58+F65+F72+F79+F86+F93</f>
        <v>38620000</v>
      </c>
      <c r="G101" s="506">
        <f t="shared" ref="G101:Q101" si="43">G3+G9+G16+G23+G30+G37+G44+G51+G58+G65+G72+G79+G86+G93</f>
        <v>39140000</v>
      </c>
      <c r="H101" s="506">
        <f t="shared" si="43"/>
        <v>39550000</v>
      </c>
      <c r="I101" s="506">
        <f t="shared" si="43"/>
        <v>39650000</v>
      </c>
      <c r="J101" s="506">
        <f t="shared" si="43"/>
        <v>40350000</v>
      </c>
      <c r="K101" s="506">
        <f t="shared" si="43"/>
        <v>42300000</v>
      </c>
      <c r="L101" s="506">
        <f t="shared" si="43"/>
        <v>41850000</v>
      </c>
      <c r="M101" s="506">
        <f t="shared" si="43"/>
        <v>42850000</v>
      </c>
      <c r="N101" s="506">
        <f t="shared" si="43"/>
        <v>45260000</v>
      </c>
      <c r="O101" s="506">
        <f t="shared" si="43"/>
        <v>46700000</v>
      </c>
      <c r="P101" s="506">
        <f t="shared" si="43"/>
        <v>47350000</v>
      </c>
      <c r="Q101" s="507">
        <f t="shared" si="43"/>
        <v>47700000</v>
      </c>
      <c r="R101" s="1049"/>
      <c r="S101" s="1039">
        <f t="shared" ca="1" si="42"/>
        <v>324310000</v>
      </c>
      <c r="T101" s="1338"/>
      <c r="U101" s="506">
        <f t="shared" ref="U101:U111" ca="1" si="44">IF(ISERROR(S101/(DATEDIF(F$2,G$1,"M")+1)),0,S101/(DATEDIF(F$2,G$1,"M")+1))</f>
        <v>40538750</v>
      </c>
      <c r="V101" s="1035"/>
      <c r="W101" s="1035">
        <f t="shared" ref="W101:W111" si="45">SUM(F101:Q101)</f>
        <v>511320000</v>
      </c>
      <c r="X101" s="1359"/>
    </row>
    <row r="102" spans="1:24" ht="14.1" customHeight="1" x14ac:dyDescent="0.15">
      <c r="C102" s="2167"/>
      <c r="D102" s="2197"/>
      <c r="E102" s="1108" t="s">
        <v>15</v>
      </c>
      <c r="F102" s="539">
        <f t="shared" ref="F102:P102" si="46">F4+F10+F17+F24+F31+F38+F45+F52+F59+F66+F73+F80+F87+F94+F100</f>
        <v>25164000</v>
      </c>
      <c r="G102" s="512">
        <f t="shared" si="46"/>
        <v>25323000</v>
      </c>
      <c r="H102" s="512">
        <f t="shared" si="46"/>
        <v>27381000</v>
      </c>
      <c r="I102" s="512">
        <f t="shared" si="46"/>
        <v>45979000</v>
      </c>
      <c r="J102" s="512">
        <f t="shared" si="46"/>
        <v>27774000</v>
      </c>
      <c r="K102" s="512">
        <f t="shared" si="46"/>
        <v>28214000</v>
      </c>
      <c r="L102" s="512">
        <f t="shared" si="46"/>
        <v>28354000</v>
      </c>
      <c r="M102" s="512">
        <f t="shared" si="46"/>
        <v>29333000</v>
      </c>
      <c r="N102" s="512">
        <f t="shared" si="46"/>
        <v>29373000</v>
      </c>
      <c r="O102" s="512">
        <f t="shared" si="46"/>
        <v>47664000</v>
      </c>
      <c r="P102" s="512">
        <f t="shared" si="46"/>
        <v>30613000</v>
      </c>
      <c r="Q102" s="513">
        <f>Q4+Q10+Q17+Q24+Q31+Q38+Q45+Q52+Q59+Q66+Q73+Q80+Q87+Q94+Q100</f>
        <v>32583000</v>
      </c>
      <c r="R102" s="1050"/>
      <c r="S102" s="1040">
        <f t="shared" ca="1" si="42"/>
        <v>237522000</v>
      </c>
      <c r="T102" s="1339"/>
      <c r="U102" s="512">
        <f t="shared" ca="1" si="44"/>
        <v>29690250</v>
      </c>
      <c r="V102" s="1036"/>
      <c r="W102" s="1036">
        <f t="shared" si="45"/>
        <v>377755000</v>
      </c>
      <c r="X102" s="1353"/>
    </row>
    <row r="103" spans="1:24" ht="14.1" customHeight="1" x14ac:dyDescent="0.15">
      <c r="C103" s="2167"/>
      <c r="D103" s="2197"/>
      <c r="E103" s="1108" t="s">
        <v>447</v>
      </c>
      <c r="F103" s="539">
        <f t="shared" ref="F103:Q103" si="47">F5+F11+F18+F25+F32+F39+F46+F53+F60+F67+F74+F81+F88+F95</f>
        <v>746040</v>
      </c>
      <c r="G103" s="512">
        <f t="shared" si="47"/>
        <v>353120</v>
      </c>
      <c r="H103" s="512">
        <f t="shared" si="47"/>
        <v>651000</v>
      </c>
      <c r="I103" s="512">
        <f t="shared" si="47"/>
        <v>250000</v>
      </c>
      <c r="J103" s="512">
        <f t="shared" si="47"/>
        <v>525000</v>
      </c>
      <c r="K103" s="512">
        <f t="shared" si="47"/>
        <v>281000</v>
      </c>
      <c r="L103" s="512">
        <f t="shared" si="47"/>
        <v>681000</v>
      </c>
      <c r="M103" s="512">
        <f t="shared" si="47"/>
        <v>300000</v>
      </c>
      <c r="N103" s="512">
        <f t="shared" si="47"/>
        <v>230000</v>
      </c>
      <c r="O103" s="512">
        <f t="shared" si="47"/>
        <v>500000</v>
      </c>
      <c r="P103" s="512">
        <f t="shared" si="47"/>
        <v>160000</v>
      </c>
      <c r="Q103" s="513">
        <f t="shared" si="47"/>
        <v>150000</v>
      </c>
      <c r="R103" s="1050"/>
      <c r="S103" s="1040">
        <f t="shared" ca="1" si="42"/>
        <v>3787160</v>
      </c>
      <c r="T103" s="1339"/>
      <c r="U103" s="512">
        <f t="shared" ca="1" si="44"/>
        <v>473395</v>
      </c>
      <c r="V103" s="1036"/>
      <c r="W103" s="1036">
        <f t="shared" si="45"/>
        <v>4827160</v>
      </c>
      <c r="X103" s="1353"/>
    </row>
    <row r="104" spans="1:24" ht="14.1" customHeight="1" x14ac:dyDescent="0.15">
      <c r="C104" s="2167"/>
      <c r="D104" s="2197"/>
      <c r="E104" s="1108" t="s">
        <v>35</v>
      </c>
      <c r="F104" s="539">
        <f>F6+F12+F19+F26+F33+F40+F47+F54+F61+F68+F75+F82+F89+F96</f>
        <v>11635000</v>
      </c>
      <c r="G104" s="512">
        <f t="shared" ref="G104:Q104" si="48">G6+G12+G19+G26+G33+G40+G47+G54+G61+G68+G75+G82+G89+G96</f>
        <v>9909000</v>
      </c>
      <c r="H104" s="512">
        <f t="shared" si="48"/>
        <v>10389000</v>
      </c>
      <c r="I104" s="512">
        <f t="shared" si="48"/>
        <v>9571000</v>
      </c>
      <c r="J104" s="512">
        <f t="shared" si="48"/>
        <v>11382000</v>
      </c>
      <c r="K104" s="512">
        <f t="shared" si="48"/>
        <v>10271000</v>
      </c>
      <c r="L104" s="512">
        <f t="shared" si="48"/>
        <v>10409000</v>
      </c>
      <c r="M104" s="512">
        <f t="shared" si="48"/>
        <v>13118000</v>
      </c>
      <c r="N104" s="512">
        <f t="shared" si="48"/>
        <v>11103000</v>
      </c>
      <c r="O104" s="512">
        <f t="shared" si="48"/>
        <v>12042000</v>
      </c>
      <c r="P104" s="512">
        <f t="shared" si="48"/>
        <v>11447000</v>
      </c>
      <c r="Q104" s="513">
        <f t="shared" si="48"/>
        <v>10328000</v>
      </c>
      <c r="R104" s="1050"/>
      <c r="S104" s="1040">
        <f t="shared" ca="1" si="42"/>
        <v>86684000</v>
      </c>
      <c r="T104" s="1339"/>
      <c r="U104" s="512">
        <f t="shared" ca="1" si="44"/>
        <v>10835500</v>
      </c>
      <c r="V104" s="1036"/>
      <c r="W104" s="1036">
        <f>SUM(F104:Q104)</f>
        <v>131604000</v>
      </c>
      <c r="X104" s="1353"/>
    </row>
    <row r="105" spans="1:24" ht="14.1" customHeight="1" x14ac:dyDescent="0.15">
      <c r="C105" s="2167"/>
      <c r="D105" s="2197"/>
      <c r="E105" s="1108" t="s">
        <v>482</v>
      </c>
      <c r="F105" s="539">
        <f t="shared" ref="F105:Q105" si="49">F7</f>
        <v>200000</v>
      </c>
      <c r="G105" s="512">
        <f t="shared" si="49"/>
        <v>200000</v>
      </c>
      <c r="H105" s="512">
        <f t="shared" si="49"/>
        <v>200000</v>
      </c>
      <c r="I105" s="512">
        <f t="shared" si="49"/>
        <v>200000</v>
      </c>
      <c r="J105" s="512">
        <f t="shared" si="49"/>
        <v>200000</v>
      </c>
      <c r="K105" s="512">
        <f t="shared" si="49"/>
        <v>200000</v>
      </c>
      <c r="L105" s="512">
        <f t="shared" si="49"/>
        <v>200000</v>
      </c>
      <c r="M105" s="512">
        <f t="shared" si="49"/>
        <v>200000</v>
      </c>
      <c r="N105" s="512">
        <f t="shared" si="49"/>
        <v>200000</v>
      </c>
      <c r="O105" s="512">
        <f t="shared" si="49"/>
        <v>200000</v>
      </c>
      <c r="P105" s="512">
        <f t="shared" si="49"/>
        <v>200000</v>
      </c>
      <c r="Q105" s="513">
        <f t="shared" si="49"/>
        <v>200000</v>
      </c>
      <c r="R105" s="1050"/>
      <c r="S105" s="1040">
        <f t="shared" ca="1" si="42"/>
        <v>1600000</v>
      </c>
      <c r="T105" s="1339"/>
      <c r="U105" s="512">
        <f t="shared" ca="1" si="44"/>
        <v>200000</v>
      </c>
      <c r="V105" s="1036"/>
      <c r="W105" s="1036">
        <f t="shared" si="45"/>
        <v>2400000</v>
      </c>
      <c r="X105" s="1353"/>
    </row>
    <row r="106" spans="1:24" ht="14.1" customHeight="1" x14ac:dyDescent="0.15">
      <c r="C106" s="2167"/>
      <c r="D106" s="2197"/>
      <c r="E106" s="1876" t="s">
        <v>1457</v>
      </c>
      <c r="F106" s="814">
        <v>0</v>
      </c>
      <c r="G106" s="815">
        <v>0</v>
      </c>
      <c r="H106" s="815">
        <v>0</v>
      </c>
      <c r="I106" s="815">
        <v>0</v>
      </c>
      <c r="J106" s="815">
        <v>0</v>
      </c>
      <c r="K106" s="815">
        <v>0</v>
      </c>
      <c r="L106" s="815">
        <v>0</v>
      </c>
      <c r="M106" s="815">
        <v>0</v>
      </c>
      <c r="N106" s="815">
        <v>0</v>
      </c>
      <c r="O106" s="815">
        <v>0</v>
      </c>
      <c r="P106" s="815">
        <v>0</v>
      </c>
      <c r="Q106" s="816">
        <v>0</v>
      </c>
      <c r="R106" s="1053"/>
      <c r="S106" s="1040">
        <f t="shared" ca="1" si="42"/>
        <v>0</v>
      </c>
      <c r="T106" s="1345"/>
      <c r="U106" s="512">
        <f ca="1">IF(ISERROR(S106/(DATEDIF(F$2,G$1,"M")+1)),0,S106/(DATEDIF(F$2,G$1,"M")+1))</f>
        <v>0</v>
      </c>
      <c r="V106" s="1036"/>
      <c r="W106" s="1036">
        <f>SUM(F106:Q106)</f>
        <v>0</v>
      </c>
      <c r="X106" s="1361"/>
    </row>
    <row r="107" spans="1:24" ht="14.1" customHeight="1" x14ac:dyDescent="0.15">
      <c r="C107" s="2167"/>
      <c r="D107" s="2197"/>
      <c r="E107" s="1323" t="s">
        <v>45</v>
      </c>
      <c r="F107" s="814">
        <f>F101-F102-F104-F105+F106</f>
        <v>1621000</v>
      </c>
      <c r="G107" s="815">
        <f t="shared" ref="G107:Q107" si="50">G101-G102-G104-G105+G106</f>
        <v>3708000</v>
      </c>
      <c r="H107" s="815">
        <f t="shared" si="50"/>
        <v>1580000</v>
      </c>
      <c r="I107" s="815">
        <f t="shared" si="50"/>
        <v>-16100000</v>
      </c>
      <c r="J107" s="815">
        <f t="shared" si="50"/>
        <v>994000</v>
      </c>
      <c r="K107" s="815">
        <f t="shared" si="50"/>
        <v>3615000</v>
      </c>
      <c r="L107" s="815">
        <f t="shared" si="50"/>
        <v>2887000</v>
      </c>
      <c r="M107" s="815">
        <f t="shared" si="50"/>
        <v>199000</v>
      </c>
      <c r="N107" s="815">
        <f t="shared" si="50"/>
        <v>4584000</v>
      </c>
      <c r="O107" s="815">
        <f t="shared" si="50"/>
        <v>-13206000</v>
      </c>
      <c r="P107" s="815">
        <f t="shared" si="50"/>
        <v>5090000</v>
      </c>
      <c r="Q107" s="816">
        <f t="shared" si="50"/>
        <v>4589000</v>
      </c>
      <c r="R107" s="1053"/>
      <c r="S107" s="1046">
        <f t="shared" ca="1" si="42"/>
        <v>-1496000</v>
      </c>
      <c r="T107" s="1345"/>
      <c r="U107" s="815">
        <f t="shared" ca="1" si="44"/>
        <v>-187000</v>
      </c>
      <c r="V107" s="1037"/>
      <c r="W107" s="1037">
        <f>SUM(F107:Q107)</f>
        <v>-439000</v>
      </c>
      <c r="X107" s="1361"/>
    </row>
    <row r="108" spans="1:24" ht="14.1" customHeight="1" x14ac:dyDescent="0.15">
      <c r="C108" s="2167"/>
      <c r="D108" s="2197"/>
      <c r="E108" s="1324" t="s">
        <v>46</v>
      </c>
      <c r="F108" s="1325">
        <v>144000</v>
      </c>
      <c r="G108" s="1326">
        <v>144000</v>
      </c>
      <c r="H108" s="1326">
        <v>144000</v>
      </c>
      <c r="I108" s="1326">
        <v>144000</v>
      </c>
      <c r="J108" s="1326">
        <v>144000</v>
      </c>
      <c r="K108" s="1326">
        <v>144000</v>
      </c>
      <c r="L108" s="1326">
        <v>144000</v>
      </c>
      <c r="M108" s="1326">
        <v>144000</v>
      </c>
      <c r="N108" s="1326">
        <v>144000</v>
      </c>
      <c r="O108" s="1326">
        <v>144000</v>
      </c>
      <c r="P108" s="1326">
        <v>144000</v>
      </c>
      <c r="Q108" s="1327">
        <v>144000</v>
      </c>
      <c r="R108" s="1328"/>
      <c r="S108" s="1329">
        <f t="shared" ca="1" si="42"/>
        <v>1152000</v>
      </c>
      <c r="T108" s="1346"/>
      <c r="U108" s="1427">
        <f t="shared" ca="1" si="44"/>
        <v>144000</v>
      </c>
      <c r="V108" s="1330"/>
      <c r="W108" s="1330">
        <f t="shared" si="45"/>
        <v>1728000</v>
      </c>
      <c r="X108" s="1362"/>
    </row>
    <row r="109" spans="1:24" ht="14.1" customHeight="1" x14ac:dyDescent="0.15">
      <c r="C109" s="2167"/>
      <c r="D109" s="2197"/>
      <c r="E109" s="1331" t="s">
        <v>47</v>
      </c>
      <c r="F109" s="1332">
        <v>715000</v>
      </c>
      <c r="G109" s="1333">
        <v>722000</v>
      </c>
      <c r="H109" s="1333">
        <v>736000</v>
      </c>
      <c r="I109" s="1333">
        <f>973000+150000</f>
        <v>1123000</v>
      </c>
      <c r="J109" s="1333">
        <v>973000</v>
      </c>
      <c r="K109" s="1333">
        <v>973000</v>
      </c>
      <c r="L109" s="1333">
        <v>973000</v>
      </c>
      <c r="M109" s="1333">
        <v>973000</v>
      </c>
      <c r="N109" s="1333">
        <f t="shared" ref="N109:Q109" si="51">973000+14000</f>
        <v>987000</v>
      </c>
      <c r="O109" s="1333">
        <f t="shared" si="51"/>
        <v>987000</v>
      </c>
      <c r="P109" s="1333">
        <f t="shared" si="51"/>
        <v>987000</v>
      </c>
      <c r="Q109" s="1333">
        <f t="shared" si="51"/>
        <v>987000</v>
      </c>
      <c r="R109" s="1335"/>
      <c r="S109" s="1336">
        <f t="shared" ca="1" si="42"/>
        <v>7188000</v>
      </c>
      <c r="T109" s="1347"/>
      <c r="U109" s="1428">
        <f t="shared" ca="1" si="44"/>
        <v>898500</v>
      </c>
      <c r="V109" s="1337"/>
      <c r="W109" s="1337">
        <f t="shared" si="45"/>
        <v>11136000</v>
      </c>
      <c r="X109" s="1363"/>
    </row>
    <row r="110" spans="1:24" ht="14.1" customHeight="1" thickBot="1" x14ac:dyDescent="0.2">
      <c r="C110" s="2167"/>
      <c r="D110" s="2197"/>
      <c r="E110" s="1109" t="s">
        <v>445</v>
      </c>
      <c r="F110" s="530">
        <f t="shared" ref="F110:P110" si="52">F107+F108-F109</f>
        <v>1050000</v>
      </c>
      <c r="G110" s="531">
        <f t="shared" si="52"/>
        <v>3130000</v>
      </c>
      <c r="H110" s="531">
        <f t="shared" si="52"/>
        <v>988000</v>
      </c>
      <c r="I110" s="531">
        <f t="shared" si="52"/>
        <v>-17079000</v>
      </c>
      <c r="J110" s="531">
        <f t="shared" si="52"/>
        <v>165000</v>
      </c>
      <c r="K110" s="531">
        <f t="shared" si="52"/>
        <v>2786000</v>
      </c>
      <c r="L110" s="531">
        <f t="shared" si="52"/>
        <v>2058000</v>
      </c>
      <c r="M110" s="531">
        <f t="shared" si="52"/>
        <v>-630000</v>
      </c>
      <c r="N110" s="531">
        <f t="shared" si="52"/>
        <v>3741000</v>
      </c>
      <c r="O110" s="531">
        <f t="shared" si="52"/>
        <v>-14049000</v>
      </c>
      <c r="P110" s="531">
        <f t="shared" si="52"/>
        <v>4247000</v>
      </c>
      <c r="Q110" s="532">
        <f>Q107+Q108-Q109</f>
        <v>3746000</v>
      </c>
      <c r="R110" s="1052"/>
      <c r="S110" s="1044">
        <f t="shared" ca="1" si="42"/>
        <v>-7532000</v>
      </c>
      <c r="T110" s="1340"/>
      <c r="U110" s="531">
        <f t="shared" ca="1" si="44"/>
        <v>-941500</v>
      </c>
      <c r="V110" s="1032"/>
      <c r="W110" s="1032">
        <f t="shared" si="45"/>
        <v>-9847000</v>
      </c>
      <c r="X110" s="1355"/>
    </row>
    <row r="111" spans="1:24" ht="14.1" customHeight="1" thickBot="1" x14ac:dyDescent="0.2">
      <c r="C111" s="2168"/>
      <c r="D111" s="2198"/>
      <c r="E111" s="1865" t="s">
        <v>500</v>
      </c>
      <c r="F111" s="1866">
        <v>0</v>
      </c>
      <c r="G111" s="1867">
        <v>0</v>
      </c>
      <c r="H111" s="1867">
        <v>0</v>
      </c>
      <c r="I111" s="1867">
        <v>0</v>
      </c>
      <c r="J111" s="1867">
        <v>0</v>
      </c>
      <c r="K111" s="1867">
        <v>0</v>
      </c>
      <c r="L111" s="1867">
        <v>0</v>
      </c>
      <c r="M111" s="1867">
        <v>0</v>
      </c>
      <c r="N111" s="1867">
        <v>0</v>
      </c>
      <c r="O111" s="1867">
        <v>0</v>
      </c>
      <c r="P111" s="1867">
        <v>0</v>
      </c>
      <c r="Q111" s="1868">
        <v>0</v>
      </c>
      <c r="R111" s="1869"/>
      <c r="S111" s="1801">
        <f t="shared" ca="1" si="42"/>
        <v>0</v>
      </c>
      <c r="T111" s="1870"/>
      <c r="U111" s="1802">
        <f t="shared" ca="1" si="44"/>
        <v>0</v>
      </c>
      <c r="V111" s="1871"/>
      <c r="W111" s="1803">
        <f t="shared" si="45"/>
        <v>0</v>
      </c>
      <c r="X111" s="1872"/>
    </row>
    <row r="112" spans="1:24" x14ac:dyDescent="0.15">
      <c r="F112" s="1101"/>
      <c r="N112" s="1101"/>
    </row>
    <row r="113" spans="4:21" ht="15" thickBot="1" x14ac:dyDescent="0.2">
      <c r="D113" s="1100" t="s">
        <v>392</v>
      </c>
      <c r="E113" s="1100"/>
      <c r="F113" s="1100"/>
      <c r="G113" s="1100"/>
      <c r="H113" s="1100"/>
      <c r="I113" s="1100"/>
      <c r="M113" s="404"/>
    </row>
    <row r="114" spans="4:21" ht="14.45" customHeight="1" thickBot="1" x14ac:dyDescent="0.2">
      <c r="D114" s="1099" t="s">
        <v>476</v>
      </c>
      <c r="E114" s="1098" t="s">
        <v>480</v>
      </c>
      <c r="F114" s="1097" t="s">
        <v>1192</v>
      </c>
      <c r="G114" s="1096" t="s">
        <v>101</v>
      </c>
      <c r="H114" s="1096" t="s">
        <v>58</v>
      </c>
      <c r="I114" s="1244" t="s">
        <v>59</v>
      </c>
      <c r="J114" s="1096" t="s">
        <v>22</v>
      </c>
      <c r="K114" s="1244" t="s">
        <v>23</v>
      </c>
      <c r="L114" s="1250" t="s">
        <v>481</v>
      </c>
      <c r="M114" s="1095"/>
    </row>
    <row r="115" spans="4:21" ht="14.45" customHeight="1" x14ac:dyDescent="0.15">
      <c r="D115" s="2203" t="s">
        <v>477</v>
      </c>
      <c r="E115" s="1094" t="s">
        <v>1189</v>
      </c>
      <c r="F115" s="1093">
        <f>IF('事業所損益管理(H29.9～H30.8)収支計画表'!F157="","",'事業所損益管理(H29.9～H30.8)収支計画表'!F157)</f>
        <v>1030000</v>
      </c>
      <c r="G115" s="1092">
        <f>IF('事業所損益管理(H29.9～H30.8)収支計画表'!G157="","",'事業所損益管理(H29.9～H30.8)収支計画表'!G157)</f>
        <v>-2270000</v>
      </c>
      <c r="H115" s="1092">
        <f>IF('事業所損益管理(H29.9～H30.8)収支計画表'!H157="","",'事業所損益管理(H29.9～H30.8)収支計画表'!H157)</f>
        <v>1100000</v>
      </c>
      <c r="I115" s="1246">
        <f>IF('事業所損益管理(H29.9～H30.8)収支計画表'!I157="","",'事業所損益管理(H29.9～H30.8)収支計画表'!I157)</f>
        <v>1030000</v>
      </c>
      <c r="J115" s="1092">
        <f>IF('事業所損益管理(H29.9～H30.8)収支計画表'!J157="","",'事業所損益管理(H29.9～H30.8)収支計画表'!J157)</f>
        <v>2150000</v>
      </c>
      <c r="K115" s="1251">
        <f>IF('事業所損益管理(H29.9～H30.8)収支計画表'!K157="","",'事業所損益管理(H29.9～H30.8)収支計画表'!K157)</f>
        <v>2050000</v>
      </c>
      <c r="L115" s="1255">
        <f t="array" ref="L115">SUM(IF(ISNUMBER(F$116:K$116),F115:K115))</f>
        <v>5090000</v>
      </c>
      <c r="M115" s="1091"/>
      <c r="R115" s="2182" t="s">
        <v>1151</v>
      </c>
      <c r="S115" s="2182"/>
      <c r="T115" s="2182"/>
      <c r="U115" s="350"/>
    </row>
    <row r="116" spans="4:21" ht="14.45" customHeight="1" x14ac:dyDescent="0.15">
      <c r="D116" s="2200"/>
      <c r="E116" s="1090" t="s">
        <v>1188</v>
      </c>
      <c r="F116" s="1089">
        <f>IF('事業所損益管理(H29.9～H30.8)収支計画表'!F158="","",'事業所損益管理(H29.9～H30.8)収支計画表'!F158)</f>
        <v>2274513</v>
      </c>
      <c r="G116" s="1088">
        <f>IF('事業所損益管理(H29.9～H30.8)収支計画表'!G158="","",'事業所損益管理(H29.9～H30.8)収支計画表'!G158)</f>
        <v>-1124870</v>
      </c>
      <c r="H116" s="1088">
        <f>IF('事業所損益管理(H29.9～H30.8)収支計画表'!H158="","",'事業所損益管理(H29.9～H30.8)収支計画表'!H158)</f>
        <v>1595299</v>
      </c>
      <c r="I116" s="1247">
        <f>IF('事業所損益管理(H29.9～H30.8)収支計画表'!I158="","",'事業所損益管理(H29.9～H30.8)収支計画表'!I158)</f>
        <v>671750</v>
      </c>
      <c r="J116" s="1088">
        <f>IF('事業所損益管理(H29.9～H30.8)収支計画表'!J158="","",'事業所損益管理(H29.9～H30.8)収支計画表'!J158)</f>
        <v>2580715</v>
      </c>
      <c r="K116" s="1252">
        <f>IF('事業所損益管理(H29.9～H30.8)収支計画表'!K158="","",'事業所損益管理(H29.9～H30.8)収支計画表'!K158)</f>
        <v>1706189</v>
      </c>
      <c r="L116" s="1256">
        <f t="array" ref="L116">SUM(IF(ISNUMBER(F$116:K$116),F116:K116))</f>
        <v>7703596</v>
      </c>
      <c r="M116" s="1091"/>
      <c r="R116" s="2182"/>
      <c r="S116" s="2182"/>
      <c r="T116" s="2182"/>
      <c r="U116" s="350"/>
    </row>
    <row r="117" spans="4:21" ht="14.45" customHeight="1" x14ac:dyDescent="0.15">
      <c r="D117" s="2200" t="s">
        <v>478</v>
      </c>
      <c r="E117" s="1087" t="s">
        <v>1189</v>
      </c>
      <c r="F117" s="1086">
        <f>IF('事業所損益管理(H29.9～H30.8)収支計画表'!F159="","",'事業所損益管理(H29.9～H30.8)収支計画表'!F159)</f>
        <v>1400000</v>
      </c>
      <c r="G117" s="1085">
        <f>IF('事業所損益管理(H29.9～H30.8)収支計画表'!G159="","",'事業所損益管理(H29.9～H30.8)収支計画表'!G159)</f>
        <v>-3200000</v>
      </c>
      <c r="H117" s="1085">
        <f>IF('事業所損益管理(H29.9～H30.8)収支計画表'!H159="","",'事業所損益管理(H29.9～H30.8)収支計画表'!H159)</f>
        <v>1500000</v>
      </c>
      <c r="I117" s="1248">
        <f>IF('事業所損益管理(H29.9～H30.8)収支計画表'!I159="","",'事業所損益管理(H29.9～H30.8)収支計画表'!I159)</f>
        <v>1400000</v>
      </c>
      <c r="J117" s="1085">
        <f>IF('事業所損益管理(H29.9～H30.8)収支計画表'!J159="","",'事業所損益管理(H29.9～H30.8)収支計画表'!J159)</f>
        <v>1200000</v>
      </c>
      <c r="K117" s="1253">
        <f>IF('事業所損益管理(H29.9～H30.8)収支計画表'!K159="","",'事業所損益管理(H29.9～H30.8)収支計画表'!K159)</f>
        <v>1400000</v>
      </c>
      <c r="L117" s="1257">
        <f t="array" ref="L117">SUM(IF(ISNUMBER(F$116:K$116),F117:K117))</f>
        <v>3700000</v>
      </c>
      <c r="M117" s="1091"/>
      <c r="R117" s="1063" t="s">
        <v>1324</v>
      </c>
      <c r="S117" s="405"/>
      <c r="T117" s="350"/>
      <c r="U117" s="350"/>
    </row>
    <row r="118" spans="4:21" x14ac:dyDescent="0.15">
      <c r="D118" s="2200"/>
      <c r="E118" s="1090" t="s">
        <v>1188</v>
      </c>
      <c r="F118" s="1089">
        <f>IF('事業所損益管理(H29.9～H30.8)収支計画表'!F160="","",'事業所損益管理(H29.9～H30.8)収支計画表'!F160)</f>
        <v>1176041</v>
      </c>
      <c r="G118" s="1088">
        <f>IF('事業所損益管理(H29.9～H30.8)収支計画表'!G160="","",'事業所損益管理(H29.9～H30.8)収支計画表'!G160)</f>
        <v>183353</v>
      </c>
      <c r="H118" s="1088">
        <f>IF('事業所損益管理(H29.9～H30.8)収支計画表'!H160="","",'事業所損益管理(H29.9～H30.8)収支計画表'!H160)</f>
        <v>-200186</v>
      </c>
      <c r="I118" s="1247">
        <f>IF('事業所損益管理(H29.9～H30.8)収支計画表'!I160="","",'事業所損益管理(H29.9～H30.8)収支計画表'!I160)</f>
        <v>-249857</v>
      </c>
      <c r="J118" s="1088">
        <f>IF('事業所損益管理(H29.9～H30.8)収支計画表'!J160="","",'事業所損益管理(H29.9～H30.8)収支計画表'!J160)</f>
        <v>45622</v>
      </c>
      <c r="K118" s="1252">
        <f>IF('事業所損益管理(H29.9～H30.8)収支計画表'!K160="","",'事業所損益管理(H29.9～H30.8)収支計画表'!K160)</f>
        <v>1563247</v>
      </c>
      <c r="L118" s="1256">
        <f t="array" ref="L118">SUM(IF(ISNUMBER(F$116:K$116),F118:K118))</f>
        <v>2518220</v>
      </c>
      <c r="M118" s="1091"/>
      <c r="R118" s="1064">
        <v>1</v>
      </c>
      <c r="S118" s="1065" t="s">
        <v>1154</v>
      </c>
      <c r="T118" s="413" t="s">
        <v>1159</v>
      </c>
      <c r="U118" s="350"/>
    </row>
    <row r="119" spans="4:21" ht="14.45" customHeight="1" x14ac:dyDescent="0.15">
      <c r="D119" s="2200" t="s">
        <v>479</v>
      </c>
      <c r="E119" s="1087" t="s">
        <v>1189</v>
      </c>
      <c r="F119" s="1086">
        <f>IF('事業所損益管理(H29.9～H30.8)収支計画表'!F161="","",'事業所損益管理(H29.9～H30.8)収支計画表'!F161)</f>
        <v>1200000</v>
      </c>
      <c r="G119" s="1085">
        <f>IF('事業所損益管理(H29.9～H30.8)収支計画表'!G161="","",'事業所損益管理(H29.9～H30.8)収支計画表'!G161)</f>
        <v>-1500000</v>
      </c>
      <c r="H119" s="1085">
        <f>IF('事業所損益管理(H29.9～H30.8)収支計画表'!H161="","",'事業所損益管理(H29.9～H30.8)収支計画表'!H161)</f>
        <v>1400000</v>
      </c>
      <c r="I119" s="1248">
        <f>IF('事業所損益管理(H29.9～H30.8)収支計画表'!I161="","",'事業所損益管理(H29.9～H30.8)収支計画表'!I161)</f>
        <v>1400000</v>
      </c>
      <c r="J119" s="1085">
        <f>IF('事業所損益管理(H29.9～H30.8)収支計画表'!J161="","",'事業所損益管理(H29.9～H30.8)収支計画表'!J161)</f>
        <v>1400000</v>
      </c>
      <c r="K119" s="1253">
        <f>IF('事業所損益管理(H29.9～H30.8)収支計画表'!K161="","",'事業所損益管理(H29.9～H30.8)収支計画表'!K161)</f>
        <v>1650000</v>
      </c>
      <c r="L119" s="1257">
        <f t="array" ref="L119">SUM(IF(ISNUMBER(F$116:K$116),F119:K119))</f>
        <v>5550000</v>
      </c>
      <c r="M119" s="1091"/>
      <c r="R119" s="1064">
        <v>0</v>
      </c>
      <c r="S119" s="1065" t="s">
        <v>1155</v>
      </c>
      <c r="T119" s="413" t="s">
        <v>1163</v>
      </c>
      <c r="U119" s="350"/>
    </row>
    <row r="120" spans="4:21" ht="14.45" customHeight="1" x14ac:dyDescent="0.15">
      <c r="D120" s="2200"/>
      <c r="E120" s="1090" t="s">
        <v>1188</v>
      </c>
      <c r="F120" s="1089">
        <f>IF('事業所損益管理(H29.9～H30.8)収支計画表'!F162="","",'事業所損益管理(H29.9～H30.8)収支計画表'!F162)</f>
        <v>1168773</v>
      </c>
      <c r="G120" s="1088">
        <f>IF('事業所損益管理(H29.9～H30.8)収支計画表'!G162="","",'事業所損益管理(H29.9～H30.8)収支計画表'!G162)</f>
        <v>-471636</v>
      </c>
      <c r="H120" s="1088">
        <f>IF('事業所損益管理(H29.9～H30.8)収支計画表'!H162="","",'事業所損益管理(H29.9～H30.8)収支計画表'!H162)</f>
        <v>996248</v>
      </c>
      <c r="I120" s="1247">
        <f>IF('事業所損益管理(H29.9～H30.8)収支計画表'!I162="","",'事業所損益管理(H29.9～H30.8)収支計画表'!I162)</f>
        <v>1285463</v>
      </c>
      <c r="J120" s="1088">
        <f>IF('事業所損益管理(H29.9～H30.8)収支計画表'!J162="","",'事業所損益管理(H29.9～H30.8)収支計画表'!J162)</f>
        <v>1075213</v>
      </c>
      <c r="K120" s="1252">
        <f>IF('事業所損益管理(H29.9～H30.8)収支計画表'!K162="","",'事業所損益管理(H29.9～H30.8)収支計画表'!K162)</f>
        <v>775245</v>
      </c>
      <c r="L120" s="1256">
        <f t="array" ref="L120">SUM(IF(ISNUMBER(F$116:K$116),F120:K120))</f>
        <v>4829306</v>
      </c>
      <c r="M120" s="1091"/>
      <c r="R120" s="1064">
        <v>-1</v>
      </c>
      <c r="S120" s="1063" t="s">
        <v>1156</v>
      </c>
      <c r="T120" s="413" t="s">
        <v>1160</v>
      </c>
      <c r="U120" s="350"/>
    </row>
    <row r="121" spans="4:21" ht="14.45" customHeight="1" x14ac:dyDescent="0.15">
      <c r="D121" s="2200" t="s">
        <v>1191</v>
      </c>
      <c r="E121" s="1087" t="s">
        <v>1189</v>
      </c>
      <c r="F121" s="1086">
        <f>IF('事業所損益管理(H29.9～H30.8)収支計画表'!F163="","",'事業所損益管理(H29.9～H30.8)収支計画表'!F163)</f>
        <v>0</v>
      </c>
      <c r="G121" s="1085">
        <f>IF('事業所損益管理(H29.9～H30.8)収支計画表'!G163="","",'事業所損益管理(H29.9～H30.8)収支計画表'!G163)</f>
        <v>-2434593</v>
      </c>
      <c r="H121" s="1085">
        <f>IF('事業所損益管理(H29.9～H30.8)収支計画表'!H163="","",'事業所損益管理(H29.9～H30.8)収支計画表'!H163)</f>
        <v>-2227593</v>
      </c>
      <c r="I121" s="1248">
        <f>IF('事業所損益管理(H29.9～H30.8)収支計画表'!I163="","",'事業所損益管理(H29.9～H30.8)収支計画表'!I163)</f>
        <v>-2215593</v>
      </c>
      <c r="J121" s="1085">
        <f>IF('事業所損益管理(H29.9～H30.8)収支計画表'!J163="","",'事業所損益管理(H29.9～H30.8)収支計画表'!J163)</f>
        <v>-550000</v>
      </c>
      <c r="K121" s="1253">
        <f>IF('事業所損益管理(H29.9～H30.8)収支計画表'!K163="","",'事業所損益管理(H29.9～H30.8)収支計画表'!K163)</f>
        <v>-500000</v>
      </c>
      <c r="L121" s="1257">
        <f t="array" ref="L121">SUM(IF(ISNUMBER(F$116:K$116),F121:K121))</f>
        <v>-7927779</v>
      </c>
      <c r="M121" s="1091"/>
      <c r="R121" s="405"/>
      <c r="S121" s="405"/>
      <c r="T121" s="350"/>
      <c r="U121" s="350"/>
    </row>
    <row r="122" spans="4:21" ht="14.45" customHeight="1" x14ac:dyDescent="0.15">
      <c r="D122" s="2200"/>
      <c r="E122" s="1090" t="s">
        <v>1188</v>
      </c>
      <c r="F122" s="1089">
        <f>IF('事業所損益管理(H29.9～H30.8)収支計画表'!F164="","",'事業所損益管理(H29.9～H30.8)収支計画表'!F164)</f>
        <v>-1085183</v>
      </c>
      <c r="G122" s="1088">
        <f>IF('事業所損益管理(H29.9～H30.8)収支計画表'!G164="","",'事業所損益管理(H29.9～H30.8)収支計画表'!G164)</f>
        <v>-2104015</v>
      </c>
      <c r="H122" s="1088">
        <f>IF('事業所損益管理(H29.9～H30.8)収支計画表'!H164="","",'事業所損益管理(H29.9～H30.8)収支計画表'!H164)</f>
        <v>-1185486</v>
      </c>
      <c r="I122" s="1247">
        <f>IF('事業所損益管理(H29.9～H30.8)収支計画表'!I164="","",'事業所損益管理(H29.9～H30.8)収支計画表'!I164)</f>
        <v>-1295263</v>
      </c>
      <c r="J122" s="1088">
        <f>IF('事業所損益管理(H29.9～H30.8)収支計画表'!J164="","",'事業所損益管理(H29.9～H30.8)収支計画表'!J164)</f>
        <v>-1104728</v>
      </c>
      <c r="K122" s="1252">
        <f>IF('事業所損益管理(H29.9～H30.8)収支計画表'!K164="","",'事業所損益管理(H29.9～H30.8)収支計画表'!K164)</f>
        <v>-409642</v>
      </c>
      <c r="L122" s="1256">
        <f t="array" ref="L122">SUM(IF(ISNUMBER(F$116:K$116),F122:K122))</f>
        <v>-7184317</v>
      </c>
      <c r="M122" s="1091"/>
      <c r="R122" s="1063" t="s">
        <v>1153</v>
      </c>
      <c r="S122" s="350"/>
      <c r="T122" s="350"/>
      <c r="U122" s="350"/>
    </row>
    <row r="123" spans="4:21" ht="14.45" customHeight="1" x14ac:dyDescent="0.15">
      <c r="D123" s="2200" t="s">
        <v>1190</v>
      </c>
      <c r="E123" s="1087" t="s">
        <v>1189</v>
      </c>
      <c r="F123" s="1086" t="str">
        <f>IF('事業所損益管理(H29.9～H30.8)収支計画表'!F165="","",'事業所損益管理(H29.9～H30.8)収支計画表'!F165)</f>
        <v/>
      </c>
      <c r="G123" s="1085" t="str">
        <f>IF('事業所損益管理(H29.9～H30.8)収支計画表'!G165="","",'事業所損益管理(H29.9～H30.8)収支計画表'!G165)</f>
        <v/>
      </c>
      <c r="H123" s="1085" t="str">
        <f>IF('事業所損益管理(H29.9～H30.8)収支計画表'!H165="","",'事業所損益管理(H29.9～H30.8)収支計画表'!H165)</f>
        <v/>
      </c>
      <c r="I123" s="1248" t="str">
        <f>IF('事業所損益管理(H29.9～H30.8)収支計画表'!I165="","",'事業所損益管理(H29.9～H30.8)収支計画表'!I165)</f>
        <v/>
      </c>
      <c r="J123" s="1085">
        <f>IF('事業所損益管理(H29.9～H30.8)収支計画表'!J165="","",'事業所損益管理(H29.9～H30.8)収支計画表'!J165)</f>
        <v>-1160000</v>
      </c>
      <c r="K123" s="1253">
        <f>IF('事業所損益管理(H29.9～H30.8)収支計画表'!K165="","",'事業所損益管理(H29.9～H30.8)収支計画表'!K165)</f>
        <v>-1110000</v>
      </c>
      <c r="L123" s="1257">
        <f t="array" ref="L123">SUM(IF(ISNUMBER(F$116:K$116),F123:K123))</f>
        <v>-2270000</v>
      </c>
      <c r="M123" s="1091"/>
      <c r="R123" s="1064">
        <v>1</v>
      </c>
      <c r="S123" s="1065" t="s">
        <v>1157</v>
      </c>
      <c r="T123" s="413" t="s">
        <v>1161</v>
      </c>
      <c r="U123" s="350"/>
    </row>
    <row r="124" spans="4:21" ht="14.45" customHeight="1" x14ac:dyDescent="0.15">
      <c r="D124" s="2200"/>
      <c r="E124" s="1090" t="s">
        <v>1188</v>
      </c>
      <c r="F124" s="1089" t="str">
        <f>IF('事業所損益管理(H29.9～H30.8)収支計画表'!F166="","",'事業所損益管理(H29.9～H30.8)収支計画表'!F166)</f>
        <v/>
      </c>
      <c r="G124" s="1088" t="str">
        <f>IF('事業所損益管理(H29.9～H30.8)収支計画表'!G166="","",'事業所損益管理(H29.9～H30.8)収支計画表'!G166)</f>
        <v/>
      </c>
      <c r="H124" s="1088" t="str">
        <f>IF('事業所損益管理(H29.9～H30.8)収支計画表'!H166="","",'事業所損益管理(H29.9～H30.8)収支計画表'!H166)</f>
        <v/>
      </c>
      <c r="I124" s="1247" t="str">
        <f>IF('事業所損益管理(H29.9～H30.8)収支計画表'!I166="","",'事業所損益管理(H29.9～H30.8)収支計画表'!I166)</f>
        <v/>
      </c>
      <c r="J124" s="1088">
        <f>IF('事業所損益管理(H29.9～H30.8)収支計画表'!J166="","",'事業所損益管理(H29.9～H30.8)収支計画表'!J166)</f>
        <v>-796793</v>
      </c>
      <c r="K124" s="1252">
        <f>IF('事業所損益管理(H29.9～H30.8)収支計画表'!K166="","",'事業所損益管理(H29.9～H30.8)収支計画表'!K166)</f>
        <v>-1504072</v>
      </c>
      <c r="L124" s="1256">
        <f t="array" ref="L124">SUM(IF(ISNUMBER(F$116:K$116),F124:K124))</f>
        <v>-2300865</v>
      </c>
      <c r="M124" s="1091"/>
      <c r="R124" s="1064">
        <v>0</v>
      </c>
      <c r="S124" s="1065" t="s">
        <v>1158</v>
      </c>
      <c r="T124" s="413" t="s">
        <v>1162</v>
      </c>
      <c r="U124" s="350"/>
    </row>
    <row r="125" spans="4:21" ht="14.45" customHeight="1" x14ac:dyDescent="0.15">
      <c r="D125" s="2200" t="s">
        <v>358</v>
      </c>
      <c r="E125" s="1087" t="s">
        <v>1189</v>
      </c>
      <c r="F125" s="1086">
        <f>IF('事業所損益管理(H29.9～H30.8)収支計画表'!F167="","",'事業所損益管理(H29.9～H30.8)収支計画表'!F167)</f>
        <v>200000</v>
      </c>
      <c r="G125" s="1085">
        <f>IF('事業所損益管理(H29.9～H30.8)収支計画表'!G167="","",'事業所損益管理(H29.9～H30.8)収支計画表'!G167)</f>
        <v>-280000</v>
      </c>
      <c r="H125" s="1085">
        <f>IF('事業所損益管理(H29.9～H30.8)収支計画表'!H167="","",'事業所損益管理(H29.9～H30.8)収支計画表'!H167)</f>
        <v>240000</v>
      </c>
      <c r="I125" s="1248">
        <f>IF('事業所損益管理(H29.9～H30.8)収支計画表'!I167="","",'事業所損益管理(H29.9～H30.8)収支計画表'!I167)</f>
        <v>260000</v>
      </c>
      <c r="J125" s="1085">
        <f>IF('事業所損益管理(H29.9～H30.8)収支計画表'!J167="","",'事業所損益管理(H29.9～H30.8)収支計画表'!J167)</f>
        <v>350000</v>
      </c>
      <c r="K125" s="1253">
        <f>IF('事業所損益管理(H29.9～H30.8)収支計画表'!K167="","",'事業所損益管理(H29.9～H30.8)収支計画表'!K167)</f>
        <v>350000</v>
      </c>
      <c r="L125" s="1257">
        <f t="array" ref="L125">SUM(IF(ISNUMBER(F$116:K$116),F125:K125))</f>
        <v>1120000</v>
      </c>
      <c r="M125" s="1091"/>
      <c r="R125" s="1064">
        <v>-1</v>
      </c>
      <c r="S125" s="1063" t="s">
        <v>1158</v>
      </c>
      <c r="T125" s="413" t="s">
        <v>1164</v>
      </c>
      <c r="U125" s="405"/>
    </row>
    <row r="126" spans="4:21" ht="14.45" customHeight="1" x14ac:dyDescent="0.15">
      <c r="D126" s="2200"/>
      <c r="E126" s="1090" t="s">
        <v>1188</v>
      </c>
      <c r="F126" s="1089">
        <f>IF('事業所損益管理(H29.9～H30.8)収支計画表'!F168="","",'事業所損益管理(H29.9～H30.8)収支計画表'!F168)</f>
        <v>114589</v>
      </c>
      <c r="G126" s="1088">
        <f>IF('事業所損益管理(H29.9～H30.8)収支計画表'!G168="","",'事業所損益管理(H29.9～H30.8)収支計画表'!G168)</f>
        <v>-200960</v>
      </c>
      <c r="H126" s="1088">
        <f>IF('事業所損益管理(H29.9～H30.8)収支計画表'!H168="","",'事業所損益管理(H29.9～H30.8)収支計画表'!H168)</f>
        <v>177636</v>
      </c>
      <c r="I126" s="1247">
        <f>IF('事業所損益管理(H29.9～H30.8)収支計画表'!I168="","",'事業所損益管理(H29.9～H30.8)収支計画表'!I168)</f>
        <v>302986</v>
      </c>
      <c r="J126" s="1088">
        <f>IF('事業所損益管理(H29.9～H30.8)収支計画表'!J168="","",'事業所損益管理(H29.9～H30.8)収支計画表'!J168)</f>
        <v>477581</v>
      </c>
      <c r="K126" s="1252">
        <f>IF('事業所損益管理(H29.9～H30.8)収支計画表'!K168="","",'事業所損益管理(H29.9～H30.8)収支計画表'!K168)</f>
        <v>648364</v>
      </c>
      <c r="L126" s="1256">
        <f t="array" ref="L126">SUM(IF(ISNUMBER(F$116:K$116),F126:K126))</f>
        <v>1520196</v>
      </c>
      <c r="M126" s="1091"/>
    </row>
    <row r="127" spans="4:21" x14ac:dyDescent="0.15">
      <c r="D127" s="2200" t="s">
        <v>359</v>
      </c>
      <c r="E127" s="1087" t="s">
        <v>1189</v>
      </c>
      <c r="F127" s="1086">
        <f>IF('事業所損益管理(H29.9～H30.8)収支計画表'!F169="","",'事業所損益管理(H29.9～H30.8)収支計画表'!F169)</f>
        <v>300000</v>
      </c>
      <c r="G127" s="1085">
        <f>IF('事業所損益管理(H29.9～H30.8)収支計画表'!G169="","",'事業所損益管理(H29.9～H30.8)収支計画表'!G169)</f>
        <v>-50000</v>
      </c>
      <c r="H127" s="1085">
        <f>IF('事業所損益管理(H29.9～H30.8)収支計画表'!H169="","",'事業所損益管理(H29.9～H30.8)収支計画表'!H169)</f>
        <v>300000</v>
      </c>
      <c r="I127" s="1248">
        <f>IF('事業所損益管理(H29.9～H30.8)収支計画表'!I169="","",'事業所損益管理(H29.9～H30.8)収支計画表'!I169)</f>
        <v>300000</v>
      </c>
      <c r="J127" s="1085">
        <f>IF('事業所損益管理(H29.9～H30.8)収支計画表'!J169="","",'事業所損益管理(H29.9～H30.8)収支計画表'!J169)</f>
        <v>-150000</v>
      </c>
      <c r="K127" s="1253">
        <f>IF('事業所損益管理(H29.9～H30.8)収支計画表'!K169="","",'事業所損益管理(H29.9～H30.8)収支計画表'!K169)</f>
        <v>-150000</v>
      </c>
      <c r="L127" s="1257">
        <f t="array" ref="L127">SUM(IF(ISNUMBER(F$116:K$116),F127:K127))</f>
        <v>550000</v>
      </c>
      <c r="M127" s="1091"/>
      <c r="R127" s="1063" t="s">
        <v>1325</v>
      </c>
      <c r="S127" s="405"/>
      <c r="T127" s="350"/>
    </row>
    <row r="128" spans="4:21" x14ac:dyDescent="0.15">
      <c r="D128" s="2200"/>
      <c r="E128" s="1090" t="s">
        <v>1188</v>
      </c>
      <c r="F128" s="1089">
        <f>IF('事業所損益管理(H29.9～H30.8)収支計画表'!F170="","",'事業所損益管理(H29.9～H30.8)収支計画表'!F170)</f>
        <v>-196756</v>
      </c>
      <c r="G128" s="1088">
        <f>IF('事業所損益管理(H29.9～H30.8)収支計画表'!G170="","",'事業所損益管理(H29.9～H30.8)収支計画表'!G170)</f>
        <v>-989728</v>
      </c>
      <c r="H128" s="1088">
        <f>IF('事業所損益管理(H29.9～H30.8)収支計画表'!H170="","",'事業所損益管理(H29.9～H30.8)収支計画表'!H170)</f>
        <v>-1034393</v>
      </c>
      <c r="I128" s="1247">
        <f>IF('事業所損益管理(H29.9～H30.8)収支計画表'!I170="","",'事業所損益管理(H29.9～H30.8)収支計画表'!I170)</f>
        <v>-1303891</v>
      </c>
      <c r="J128" s="1088">
        <f>IF('事業所損益管理(H29.9～H30.8)収支計画表'!J170="","",'事業所損益管理(H29.9～H30.8)収支計画表'!J170)</f>
        <v>0</v>
      </c>
      <c r="K128" s="1252">
        <f>IF('事業所損益管理(H29.9～H30.8)収支計画表'!K170="","",'事業所損益管理(H29.9～H30.8)収支計画表'!K170)</f>
        <v>0</v>
      </c>
      <c r="L128" s="1256">
        <f t="array" ref="L128">SUM(IF(ISNUMBER(F$116:K$116),F128:K128))</f>
        <v>-3524768</v>
      </c>
      <c r="M128" s="1091"/>
      <c r="R128" s="1064">
        <v>1</v>
      </c>
      <c r="S128" s="1065" t="s">
        <v>1326</v>
      </c>
      <c r="T128" s="413" t="s">
        <v>1159</v>
      </c>
    </row>
    <row r="129" spans="4:20" hidden="1" outlineLevel="1" x14ac:dyDescent="0.15">
      <c r="D129" s="2199" t="s">
        <v>119</v>
      </c>
      <c r="E129" s="1087" t="s">
        <v>1189</v>
      </c>
      <c r="F129" s="1086">
        <f>IF('事業所損益管理(H29.9～H30.8)収支計画表'!F171="","",'事業所損益管理(H29.9～H30.8)収支計画表'!F171)</f>
        <v>-12000</v>
      </c>
      <c r="G129" s="1085">
        <f>IF('事業所損益管理(H29.9～H30.8)収支計画表'!G171="","",'事業所損益管理(H29.9～H30.8)収支計画表'!G171)</f>
        <v>-52000</v>
      </c>
      <c r="H129" s="1085">
        <f>IF('事業所損益管理(H29.9～H30.8)収支計画表'!H171="","",'事業所損益管理(H29.9～H30.8)収支計画表'!H171)</f>
        <v>-12000</v>
      </c>
      <c r="I129" s="1248">
        <f>IF('事業所損益管理(H29.9～H30.8)収支計画表'!I171="","",'事業所損益管理(H29.9～H30.8)収支計画表'!I171)</f>
        <v>-12000</v>
      </c>
      <c r="J129" s="1085">
        <f>IF('事業所損益管理(H29.9～H30.8)収支計画表'!J171="","",'事業所損益管理(H29.9～H30.8)収支計画表'!J171)</f>
        <v>-70000</v>
      </c>
      <c r="K129" s="1253">
        <f>IF('事業所損益管理(H29.9～H30.8)収支計画表'!K171="","",'事業所損益管理(H29.9～H30.8)収支計画表'!K171)</f>
        <v>-70000</v>
      </c>
      <c r="L129" s="1257">
        <f t="array" ref="L129">SUM(IF(ISNUMBER(F$116:K$116),F129:K129))</f>
        <v>-228000</v>
      </c>
      <c r="M129" s="1091"/>
    </row>
    <row r="130" spans="4:20" hidden="1" outlineLevel="1" x14ac:dyDescent="0.15">
      <c r="D130" s="2199"/>
      <c r="E130" s="1090" t="s">
        <v>1188</v>
      </c>
      <c r="F130" s="1089">
        <f>IF('事業所損益管理(H29.9～H30.8)収支計画表'!F172="","",'事業所損益管理(H29.9～H30.8)収支計画表'!F172)</f>
        <v>476578</v>
      </c>
      <c r="G130" s="1088">
        <f>IF('事業所損益管理(H29.9～H30.8)収支計画表'!G172="","",'事業所損益管理(H29.9～H30.8)収支計画表'!G172)</f>
        <v>-382963</v>
      </c>
      <c r="H130" s="1088">
        <f>IF('事業所損益管理(H29.9～H30.8)収支計画表'!H172="","",'事業所損益管理(H29.9～H30.8)収支計画表'!H172)</f>
        <v>237097</v>
      </c>
      <c r="I130" s="1247">
        <f>IF('事業所損益管理(H29.9～H30.8)収支計画表'!I172="","",'事業所損益管理(H29.9～H30.8)収支計画表'!I172)</f>
        <v>3628</v>
      </c>
      <c r="J130" s="1088">
        <f>IF('事業所損益管理(H29.9～H30.8)収支計画表'!J172="","",'事業所損益管理(H29.9～H30.8)収支計画表'!J172)</f>
        <v>-28180</v>
      </c>
      <c r="K130" s="1252">
        <f>IF('事業所損益管理(H29.9～H30.8)収支計画表'!K172="","",'事業所損益管理(H29.9～H30.8)収支計画表'!K172)</f>
        <v>143356</v>
      </c>
      <c r="L130" s="1256">
        <f t="array" ref="L130">SUM(IF(ISNUMBER(F$116:K$116),F130:K130))</f>
        <v>449516</v>
      </c>
    </row>
    <row r="131" spans="4:20" hidden="1" outlineLevel="1" x14ac:dyDescent="0.15">
      <c r="D131" s="2199" t="s">
        <v>360</v>
      </c>
      <c r="E131" s="1087" t="s">
        <v>1189</v>
      </c>
      <c r="F131" s="1086">
        <f>IF('事業所損益管理(H29.9～H30.8)収支計画表'!F173="","",'事業所損益管理(H29.9～H30.8)収支計画表'!F173)</f>
        <v>68000</v>
      </c>
      <c r="G131" s="1085">
        <f>IF('事業所損益管理(H29.9～H30.8)収支計画表'!G173="","",'事業所損益管理(H29.9～H30.8)収支計画表'!G173)</f>
        <v>18000</v>
      </c>
      <c r="H131" s="1085">
        <f>IF('事業所損益管理(H29.9～H30.8)収支計画表'!H173="","",'事業所損益管理(H29.9～H30.8)収支計画表'!H173)</f>
        <v>68000</v>
      </c>
      <c r="I131" s="1248">
        <f>IF('事業所損益管理(H29.9～H30.8)収支計画表'!I173="","",'事業所損益管理(H29.9～H30.8)収支計画表'!I173)</f>
        <v>68000</v>
      </c>
      <c r="J131" s="1085">
        <f>IF('事業所損益管理(H29.9～H30.8)収支計画表'!J173="","",'事業所損益管理(H29.9～H30.8)収支計画表'!J173)</f>
        <v>80000</v>
      </c>
      <c r="K131" s="1253">
        <f>IF('事業所損益管理(H29.9～H30.8)収支計画表'!K173="","",'事業所損益管理(H29.9～H30.8)収支計画表'!K173)</f>
        <v>80000</v>
      </c>
      <c r="L131" s="1257">
        <f t="array" ref="L131">SUM(IF(ISNUMBER(F$116:K$116),F131:K131))</f>
        <v>382000</v>
      </c>
    </row>
    <row r="132" spans="4:20" hidden="1" outlineLevel="1" x14ac:dyDescent="0.15">
      <c r="D132" s="2199"/>
      <c r="E132" s="1090" t="s">
        <v>1188</v>
      </c>
      <c r="F132" s="1089">
        <f>IF('事業所損益管理(H29.9～H30.8)収支計画表'!F174="","",'事業所損益管理(H29.9～H30.8)収支計画表'!F174)</f>
        <v>262845</v>
      </c>
      <c r="G132" s="1088">
        <f>IF('事業所損益管理(H29.9～H30.8)収支計画表'!G174="","",'事業所損益管理(H29.9～H30.8)収支計画表'!G174)</f>
        <v>178417</v>
      </c>
      <c r="H132" s="1088">
        <f>IF('事業所損益管理(H29.9～H30.8)収支計画表'!H174="","",'事業所損益管理(H29.9～H30.8)収支計画表'!H174)</f>
        <v>209357</v>
      </c>
      <c r="I132" s="1247">
        <f>IF('事業所損益管理(H29.9～H30.8)収支計画表'!I174="","",'事業所損益管理(H29.9～H30.8)収支計画表'!I174)</f>
        <v>60909</v>
      </c>
      <c r="J132" s="1088">
        <f>IF('事業所損益管理(H29.9～H30.8)収支計画表'!J174="","",'事業所損益管理(H29.9～H30.8)収支計画表'!J174)</f>
        <v>204150</v>
      </c>
      <c r="K132" s="1252">
        <f>IF('事業所損益管理(H29.9～H30.8)収支計画表'!K174="","",'事業所損益管理(H29.9～H30.8)収支計画表'!K174)</f>
        <v>179596</v>
      </c>
      <c r="L132" s="1256">
        <f t="array" ref="L132">SUM(IF(ISNUMBER(F$116:K$116),F132:K132))</f>
        <v>1095274</v>
      </c>
    </row>
    <row r="133" spans="4:20" ht="13.5" hidden="1" customHeight="1" outlineLevel="1" x14ac:dyDescent="0.15">
      <c r="D133" s="2199" t="s">
        <v>398</v>
      </c>
      <c r="E133" s="1087" t="s">
        <v>1189</v>
      </c>
      <c r="F133" s="1086">
        <f>IF('事業所損益管理(H29.9～H30.8)収支計画表'!F175="","",'事業所損益管理(H29.9～H30.8)収支計画表'!F175)</f>
        <v>-11300</v>
      </c>
      <c r="G133" s="1085">
        <f>IF('事業所損益管理(H29.9～H30.8)収支計画表'!G175="","",'事業所損益管理(H29.9～H30.8)収支計画表'!G175)</f>
        <v>-71800</v>
      </c>
      <c r="H133" s="1085">
        <f>IF('事業所損益管理(H29.9～H30.8)収支計画表'!H175="","",'事業所損益管理(H29.9～H30.8)収支計画表'!H175)</f>
        <v>28200</v>
      </c>
      <c r="I133" s="1248">
        <f>IF('事業所損益管理(H29.9～H30.8)収支計画表'!I175="","",'事業所損益管理(H29.9～H30.8)収支計画表'!I175)</f>
        <v>28200</v>
      </c>
      <c r="J133" s="1085">
        <f>IF('事業所損益管理(H29.9～H30.8)収支計画表'!J175="","",'事業所損益管理(H29.9～H30.8)収支計画表'!J175)</f>
        <v>150000</v>
      </c>
      <c r="K133" s="1253">
        <f>IF('事業所損益管理(H29.9～H30.8)収支計画表'!K175="","",'事業所損益管理(H29.9～H30.8)収支計画表'!K175)</f>
        <v>150000</v>
      </c>
      <c r="L133" s="1257">
        <f t="array" ref="L133">SUM(IF(ISNUMBER(F$116:K$116),F133:K133))</f>
        <v>273300</v>
      </c>
    </row>
    <row r="134" spans="4:20" ht="14.25" hidden="1" customHeight="1" outlineLevel="1" x14ac:dyDescent="0.15">
      <c r="D134" s="2199"/>
      <c r="E134" s="1090" t="s">
        <v>1188</v>
      </c>
      <c r="F134" s="1089">
        <f>IF('事業所損益管理(H29.9～H30.8)収支計画表'!F176="","",'事業所損益管理(H29.9～H30.8)収支計画表'!F176)</f>
        <v>1130374</v>
      </c>
      <c r="G134" s="1088">
        <f>IF('事業所損益管理(H29.9～H30.8)収支計画表'!G176="","",'事業所損益管理(H29.9～H30.8)収支計画表'!G176)</f>
        <v>18951</v>
      </c>
      <c r="H134" s="1088">
        <f>IF('事業所損益管理(H29.9～H30.8)収支計画表'!H176="","",'事業所損益管理(H29.9～H30.8)収支計画表'!H176)</f>
        <v>379959</v>
      </c>
      <c r="I134" s="1247">
        <f>IF('事業所損益管理(H29.9～H30.8)収支計画表'!I176="","",'事業所損益管理(H29.9～H30.8)収支計画表'!I176)</f>
        <v>70713</v>
      </c>
      <c r="J134" s="1088">
        <f>IF('事業所損益管理(H29.9～H30.8)収支計画表'!J176="","",'事業所損益管理(H29.9～H30.8)収支計画表'!J176)</f>
        <v>86611</v>
      </c>
      <c r="K134" s="1252">
        <f>IF('事業所損益管理(H29.9～H30.8)収支計画表'!K176="","",'事業所損益管理(H29.9～H30.8)収支計画表'!K176)</f>
        <v>-254281</v>
      </c>
      <c r="L134" s="1256">
        <f t="array" ref="L134">SUM(IF(ISNUMBER(F$116:K$116),F134:K134))</f>
        <v>1432327</v>
      </c>
    </row>
    <row r="135" spans="4:20" ht="14.25" customHeight="1" collapsed="1" x14ac:dyDescent="0.15">
      <c r="D135" s="2202" t="s">
        <v>1193</v>
      </c>
      <c r="E135" s="1087" t="s">
        <v>1189</v>
      </c>
      <c r="F135" s="1086">
        <f>IF('事業所損益管理(H29.9～H30.8)収支計画表'!F177="","",'事業所損益管理(H29.9～H30.8)収支計画表'!F177)</f>
        <v>44700</v>
      </c>
      <c r="G135" s="1085">
        <f>IF('事業所損益管理(H29.9～H30.8)収支計画表'!G177="","",'事業所損益管理(H29.9～H30.8)収支計画表'!G177)</f>
        <v>-105800</v>
      </c>
      <c r="H135" s="1085">
        <f>IF('事業所損益管理(H29.9～H30.8)収支計画表'!H177="","",'事業所損益管理(H29.9～H30.8)収支計画表'!H177)</f>
        <v>84200</v>
      </c>
      <c r="I135" s="1248">
        <f>IF('事業所損益管理(H29.9～H30.8)収支計画表'!I177="","",'事業所損益管理(H29.9～H30.8)収支計画表'!I177)</f>
        <v>84200</v>
      </c>
      <c r="J135" s="1085">
        <f>IF('事業所損益管理(H29.9～H30.8)収支計画表'!J177="","",'事業所損益管理(H29.9～H30.8)収支計画表'!J177)</f>
        <v>160000</v>
      </c>
      <c r="K135" s="1253">
        <f>IF('事業所損益管理(H29.9～H30.8)収支計画表'!K177="","",'事業所損益管理(H29.9～H30.8)収支計画表'!K177)</f>
        <v>160000</v>
      </c>
      <c r="L135" s="1257">
        <f t="array" ref="L135">SUM(IF(ISNUMBER(F$116:K$116),F135:K135))</f>
        <v>427300</v>
      </c>
      <c r="T135" s="413" t="s">
        <v>1328</v>
      </c>
    </row>
    <row r="136" spans="4:20" ht="14.25" customHeight="1" x14ac:dyDescent="0.15">
      <c r="D136" s="2200"/>
      <c r="E136" s="1090" t="s">
        <v>1188</v>
      </c>
      <c r="F136" s="1089">
        <f>IF('事業所損益管理(H29.9～H30.8)収支計画表'!F178="","",'事業所損益管理(H29.9～H30.8)収支計画表'!F178)</f>
        <v>1869797</v>
      </c>
      <c r="G136" s="1088">
        <f>IF('事業所損益管理(H29.9～H30.8)収支計画表'!G178="","",'事業所損益管理(H29.9～H30.8)収支計画表'!G178)</f>
        <v>-185595</v>
      </c>
      <c r="H136" s="1088">
        <f>IF('事業所損益管理(H29.9～H30.8)収支計画表'!H178="","",'事業所損益管理(H29.9～H30.8)収支計画表'!H178)</f>
        <v>826413</v>
      </c>
      <c r="I136" s="1247">
        <f>IF('事業所損益管理(H29.9～H30.8)収支計画表'!I178="","",'事業所損益管理(H29.9～H30.8)収支計画表'!I178)</f>
        <v>135250</v>
      </c>
      <c r="J136" s="1088">
        <f>IF('事業所損益管理(H29.9～H30.8)収支計画表'!J178="","",'事業所損益管理(H29.9～H30.8)収支計画表'!J178)</f>
        <v>262581</v>
      </c>
      <c r="K136" s="1252">
        <f>IF('事業所損益管理(H29.9～H30.8)収支計画表'!K178="","",'事業所損益管理(H29.9～H30.8)収支計画表'!K178)</f>
        <v>68671</v>
      </c>
      <c r="L136" s="1256">
        <f t="array" ref="L136">SUM(IF(ISNUMBER(F$116:K$116),F136:K136))</f>
        <v>2977117</v>
      </c>
      <c r="R136" s="1064">
        <v>0</v>
      </c>
      <c r="S136" s="1065" t="s">
        <v>1327</v>
      </c>
      <c r="T136" s="413" t="s">
        <v>1163</v>
      </c>
    </row>
    <row r="137" spans="4:20" ht="14.25" customHeight="1" x14ac:dyDescent="0.15">
      <c r="D137" s="2200" t="s">
        <v>362</v>
      </c>
      <c r="E137" s="1087" t="s">
        <v>1189</v>
      </c>
      <c r="F137" s="1086">
        <f>IF('事業所損益管理(H29.9～H30.8)収支計画表'!F179="","",'事業所損益管理(H29.9～H30.8)収支計画表'!F179)</f>
        <v>20000</v>
      </c>
      <c r="G137" s="1085">
        <f>IF('事業所損益管理(H29.9～H30.8)収支計画表'!G179="","",'事業所損益管理(H29.9～H30.8)収支計画表'!G179)</f>
        <v>20000</v>
      </c>
      <c r="H137" s="1085">
        <f>IF('事業所損益管理(H29.9～H30.8)収支計画表'!H179="","",'事業所損益管理(H29.9～H30.8)収支計画表'!H179)</f>
        <v>320000</v>
      </c>
      <c r="I137" s="1248">
        <f>IF('事業所損益管理(H29.9～H30.8)収支計画表'!I179="","",'事業所損益管理(H29.9～H30.8)収支計画表'!I179)</f>
        <v>320000</v>
      </c>
      <c r="J137" s="1085">
        <f>IF('事業所損益管理(H29.9～H30.8)収支計画表'!J179="","",'事業所損益管理(H29.9～H30.8)収支計画表'!J179)</f>
        <v>0</v>
      </c>
      <c r="K137" s="1253">
        <f>IF('事業所損益管理(H29.9～H30.8)収支計画表'!K179="","",'事業所損益管理(H29.9～H30.8)収支計画表'!K179)</f>
        <v>0</v>
      </c>
      <c r="L137" s="1257">
        <f t="array" ref="L137">SUM(IF(ISNUMBER(F$116:K$116),F137:K137))</f>
        <v>680000</v>
      </c>
      <c r="T137" s="413" t="s">
        <v>1329</v>
      </c>
    </row>
    <row r="138" spans="4:20" ht="13.5" customHeight="1" thickBot="1" x14ac:dyDescent="0.2">
      <c r="D138" s="2201"/>
      <c r="E138" s="1084" t="s">
        <v>1188</v>
      </c>
      <c r="F138" s="1083">
        <f>IF('事業所損益管理(H29.9～H30.8)収支計画表'!F180="","",'事業所損益管理(H29.9～H30.8)収支計画表'!F180)</f>
        <v>63010</v>
      </c>
      <c r="G138" s="1082">
        <f>IF('事業所損益管理(H29.9～H30.8)収支計画表'!G180="","",'事業所損益管理(H29.9～H30.8)収支計画表'!G180)</f>
        <v>-75951</v>
      </c>
      <c r="H138" s="1082">
        <f>IF('事業所損益管理(H29.9～H30.8)収支計画表'!H180="","",'事業所損益管理(H29.9～H30.8)収支計画表'!H180)</f>
        <v>85778</v>
      </c>
      <c r="I138" s="1249">
        <f>IF('事業所損益管理(H29.9～H30.8)収支計画表'!I180="","",'事業所損益管理(H29.9～H30.8)収支計画表'!I180)</f>
        <v>76616</v>
      </c>
      <c r="J138" s="1082">
        <f>IF('事業所損益管理(H29.9～H30.8)収支計画表'!J180="","",'事業所損益管理(H29.9～H30.8)収支計画表'!J180)</f>
        <v>-96829</v>
      </c>
      <c r="K138" s="1254" t="str">
        <f>IF('事業所損益管理(H29.9～H30.8)収支計画表'!K180="","",'事業所損益管理(H29.9～H30.8)収支計画表'!K180)</f>
        <v/>
      </c>
      <c r="L138" s="1258">
        <f t="array" ref="L138">SUM(IF(ISNUMBER(F$116:K$116),F138:K138))</f>
        <v>52624</v>
      </c>
      <c r="R138" s="1064">
        <v>-1</v>
      </c>
      <c r="S138" s="1063" t="s">
        <v>1327</v>
      </c>
      <c r="T138" s="413" t="s">
        <v>1160</v>
      </c>
    </row>
    <row r="139" spans="4:20" ht="13.5" customHeight="1" x14ac:dyDescent="0.15">
      <c r="J139" s="2172" t="s">
        <v>56</v>
      </c>
      <c r="K139" s="1463" t="s">
        <v>405</v>
      </c>
      <c r="L139" s="1465">
        <f>SUM(L115,L117,L119,L121,L123,L125,L127,L129,L131,L133,L137)</f>
        <v>6919521</v>
      </c>
      <c r="T139" s="413" t="s">
        <v>1330</v>
      </c>
    </row>
    <row r="140" spans="4:20" ht="13.5" customHeight="1" thickBot="1" x14ac:dyDescent="0.2">
      <c r="J140" s="2173"/>
      <c r="K140" s="1464" t="s">
        <v>406</v>
      </c>
      <c r="L140" s="1258">
        <f>SUM(L116,L118,L120,L122,L124,L126,L128,L130,L132,L134,L138)</f>
        <v>6591109</v>
      </c>
    </row>
    <row r="141" spans="4:20" ht="13.5" customHeight="1" x14ac:dyDescent="0.15"/>
    <row r="142" spans="4:20" ht="13.5" customHeight="1" x14ac:dyDescent="0.15"/>
    <row r="143" spans="4:20" ht="13.5" customHeight="1" x14ac:dyDescent="0.15"/>
    <row r="144" spans="4:20" ht="13.5" customHeight="1" x14ac:dyDescent="0.15"/>
    <row r="145" spans="8:25" ht="13.5" customHeight="1" x14ac:dyDescent="0.15"/>
    <row r="146" spans="8:25" ht="13.5" customHeight="1" x14ac:dyDescent="0.15"/>
    <row r="147" spans="8:25" ht="13.5" customHeight="1" x14ac:dyDescent="0.15">
      <c r="Q147" s="413"/>
    </row>
    <row r="148" spans="8:25" ht="14.25" customHeight="1" x14ac:dyDescent="0.15">
      <c r="Q148" s="413"/>
    </row>
    <row r="149" spans="8:25" ht="14.25" customHeight="1" x14ac:dyDescent="0.15"/>
    <row r="150" spans="8:25" ht="13.5" customHeight="1" x14ac:dyDescent="0.15"/>
    <row r="151" spans="8:25" x14ac:dyDescent="0.15">
      <c r="H151" s="1272"/>
      <c r="Y151" s="1081"/>
    </row>
    <row r="152" spans="8:25" x14ac:dyDescent="0.15">
      <c r="H152" s="1272"/>
      <c r="Y152" s="1081"/>
    </row>
    <row r="153" spans="8:25" x14ac:dyDescent="0.15">
      <c r="H153" s="1272"/>
      <c r="Y153" s="1081"/>
    </row>
    <row r="154" spans="8:25" x14ac:dyDescent="0.15">
      <c r="H154" s="1272"/>
      <c r="Y154" s="1081"/>
    </row>
    <row r="155" spans="8:25" x14ac:dyDescent="0.15">
      <c r="H155" s="1272"/>
      <c r="Y155" s="1081"/>
    </row>
    <row r="156" spans="8:25" x14ac:dyDescent="0.15">
      <c r="H156" s="1272"/>
      <c r="Y156" s="1081"/>
    </row>
    <row r="157" spans="8:25" x14ac:dyDescent="0.15">
      <c r="H157" s="1272"/>
      <c r="Y157" s="1081"/>
    </row>
    <row r="158" spans="8:25" x14ac:dyDescent="0.15">
      <c r="H158" s="1272"/>
      <c r="Y158" s="1081"/>
    </row>
    <row r="159" spans="8:25" x14ac:dyDescent="0.15">
      <c r="H159" s="1272"/>
      <c r="Y159" s="1081"/>
    </row>
    <row r="160" spans="8:25" x14ac:dyDescent="0.15">
      <c r="H160" s="1272"/>
      <c r="Y160" s="1081"/>
    </row>
    <row r="161" spans="8:25" x14ac:dyDescent="0.15">
      <c r="H161" s="1272"/>
      <c r="Y161" s="1081"/>
    </row>
    <row r="162" spans="8:25" x14ac:dyDescent="0.15">
      <c r="H162" s="1272"/>
      <c r="Y162" s="1081"/>
    </row>
    <row r="163" spans="8:25" x14ac:dyDescent="0.15">
      <c r="H163" s="1272"/>
      <c r="Y163" s="1081"/>
    </row>
    <row r="164" spans="8:25" x14ac:dyDescent="0.15">
      <c r="H164" s="1272"/>
      <c r="Y164" s="1081"/>
    </row>
    <row r="165" spans="8:25" x14ac:dyDescent="0.15">
      <c r="H165" s="1272"/>
      <c r="Y165" s="1081"/>
    </row>
    <row r="166" spans="8:25" x14ac:dyDescent="0.15">
      <c r="H166" s="1272"/>
      <c r="Y166" s="1081"/>
    </row>
    <row r="167" spans="8:25" x14ac:dyDescent="0.15">
      <c r="H167" s="1272"/>
      <c r="Y167" s="1081"/>
    </row>
    <row r="168" spans="8:25" x14ac:dyDescent="0.15">
      <c r="H168" s="1272"/>
      <c r="Y168" s="1081"/>
    </row>
    <row r="169" spans="8:25" x14ac:dyDescent="0.15">
      <c r="H169" s="1272"/>
      <c r="Y169" s="1081"/>
    </row>
    <row r="170" spans="8:25" x14ac:dyDescent="0.15">
      <c r="H170" s="1272"/>
      <c r="Y170" s="1081"/>
    </row>
    <row r="171" spans="8:25" x14ac:dyDescent="0.15">
      <c r="H171" s="1272"/>
      <c r="Y171" s="1081"/>
    </row>
    <row r="172" spans="8:25" x14ac:dyDescent="0.15">
      <c r="H172" s="1272"/>
      <c r="Y172" s="1081"/>
    </row>
    <row r="173" spans="8:25" x14ac:dyDescent="0.15">
      <c r="H173" s="1272"/>
      <c r="Y173" s="1081"/>
    </row>
    <row r="174" spans="8:25" x14ac:dyDescent="0.15">
      <c r="H174" s="1272"/>
      <c r="Y174" s="1081"/>
    </row>
  </sheetData>
  <mergeCells count="45">
    <mergeCell ref="C1:E1"/>
    <mergeCell ref="C58:C64"/>
    <mergeCell ref="D58:D64"/>
    <mergeCell ref="C101:C111"/>
    <mergeCell ref="D101:D111"/>
    <mergeCell ref="C3:C8"/>
    <mergeCell ref="D3:D8"/>
    <mergeCell ref="C9:C15"/>
    <mergeCell ref="D9:D15"/>
    <mergeCell ref="C65:C71"/>
    <mergeCell ref="C16:C22"/>
    <mergeCell ref="D16:D22"/>
    <mergeCell ref="C23:C29"/>
    <mergeCell ref="D23:D29"/>
    <mergeCell ref="C30:C36"/>
    <mergeCell ref="D30:D36"/>
    <mergeCell ref="J139:J140"/>
    <mergeCell ref="R115:T116"/>
    <mergeCell ref="D133:D134"/>
    <mergeCell ref="D137:D138"/>
    <mergeCell ref="D127:D128"/>
    <mergeCell ref="D129:D130"/>
    <mergeCell ref="D131:D132"/>
    <mergeCell ref="D125:D126"/>
    <mergeCell ref="D123:D124"/>
    <mergeCell ref="D135:D136"/>
    <mergeCell ref="D119:D120"/>
    <mergeCell ref="D121:D122"/>
    <mergeCell ref="D115:D116"/>
    <mergeCell ref="D117:D118"/>
    <mergeCell ref="C37:C43"/>
    <mergeCell ref="D37:D43"/>
    <mergeCell ref="C44:C50"/>
    <mergeCell ref="D44:D50"/>
    <mergeCell ref="C51:C57"/>
    <mergeCell ref="D51:D57"/>
    <mergeCell ref="C86:C92"/>
    <mergeCell ref="D86:D92"/>
    <mergeCell ref="C93:C99"/>
    <mergeCell ref="D93:D99"/>
    <mergeCell ref="D65:D71"/>
    <mergeCell ref="C72:C78"/>
    <mergeCell ref="D72:D78"/>
    <mergeCell ref="C79:C85"/>
    <mergeCell ref="D79:D85"/>
  </mergeCells>
  <phoneticPr fontId="40"/>
  <conditionalFormatting sqref="R118:R120">
    <cfRule type="iconSet" priority="32">
      <iconSet showValue="0">
        <cfvo type="percent" val="0"/>
        <cfvo type="num" val="-1" gte="0"/>
        <cfvo type="num" val="1"/>
      </iconSet>
    </cfRule>
  </conditionalFormatting>
  <conditionalFormatting sqref="R123:R125">
    <cfRule type="iconSet" priority="31">
      <iconSet showValue="0">
        <cfvo type="percent" val="0"/>
        <cfvo type="num" val="-1" gte="0"/>
        <cfvo type="num" val="1"/>
      </iconSet>
    </cfRule>
  </conditionalFormatting>
  <conditionalFormatting sqref="R136 R138 R128">
    <cfRule type="iconSet" priority="276">
      <iconSet showValue="0">
        <cfvo type="percent" val="0"/>
        <cfvo type="num" val="-1" gte="0"/>
        <cfvo type="num" val="1"/>
      </iconSet>
    </cfRule>
  </conditionalFormatting>
  <conditionalFormatting sqref="V100 F100:R100">
    <cfRule type="expression" dxfId="78" priority="362">
      <formula>AND(F100=0,#REF!=0)</formula>
    </cfRule>
  </conditionalFormatting>
  <pageMargins left="0.31496062992125984" right="0.31496062992125984" top="0.55118110236220474" bottom="0.35433070866141736" header="0.31496062992125984" footer="0.31496062992125984"/>
  <pageSetup paperSize="8" scale="54" orientation="portrait" r:id="rId1"/>
  <headerFooter>
    <oddHeader>&amp;L&amp;A&amp;R&amp;D</oddHeader>
    <oddFooter>&amp;L【社外秘】&amp;C&amp;P/&amp;N&amp;R&amp;F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Y152"/>
  <sheetViews>
    <sheetView zoomScale="80" zoomScaleNormal="80" workbookViewId="0">
      <pane xSplit="5" ySplit="2" topLeftCell="F3" activePane="bottomRight" state="frozen"/>
      <selection pane="topRight" activeCell="D1" sqref="D1"/>
      <selection pane="bottomLeft" activeCell="A3" sqref="A3"/>
      <selection pane="bottomRight" activeCell="H29" sqref="H29"/>
    </sheetView>
  </sheetViews>
  <sheetFormatPr defaultColWidth="10" defaultRowHeight="14.25" customHeight="1" outlineLevelRow="1" x14ac:dyDescent="0.15"/>
  <cols>
    <col min="1" max="2" width="10" style="1121" hidden="1" customWidth="1"/>
    <col min="3" max="4" width="11.75" style="1121" customWidth="1"/>
    <col min="5" max="21" width="12.625" style="1121" customWidth="1"/>
    <col min="22" max="22" width="2.625" style="1859" customWidth="1"/>
    <col min="23" max="23" width="9.625" style="1121" customWidth="1"/>
    <col min="24" max="16384" width="10" style="1121"/>
  </cols>
  <sheetData>
    <row r="1" spans="1:23" ht="36.950000000000003" customHeight="1" thickBot="1" x14ac:dyDescent="0.2">
      <c r="C1" s="2191">
        <f>F2</f>
        <v>43344</v>
      </c>
      <c r="D1" s="2191"/>
      <c r="E1" s="2192"/>
      <c r="F1" s="1140" t="s">
        <v>439</v>
      </c>
      <c r="G1" s="451">
        <f>'☆事業所損益管理(H30.9～H31.8)(計画)'!G1</f>
        <v>43556</v>
      </c>
      <c r="H1" s="1138" t="s">
        <v>440</v>
      </c>
      <c r="I1" s="1139"/>
      <c r="J1" s="1138" t="s">
        <v>441</v>
      </c>
      <c r="K1" s="1137"/>
      <c r="L1" s="1137"/>
      <c r="M1" s="1137"/>
      <c r="N1" s="1137"/>
      <c r="O1" s="1137"/>
      <c r="P1" s="1137"/>
      <c r="Q1" s="1137"/>
      <c r="R1" s="1137"/>
      <c r="S1" s="1122"/>
      <c r="T1" s="1122"/>
      <c r="U1" s="1122"/>
      <c r="V1" s="1857"/>
      <c r="W1" s="1122"/>
    </row>
    <row r="2" spans="1:23" ht="36.950000000000003" customHeight="1" thickBot="1" x14ac:dyDescent="0.2">
      <c r="C2" s="1136" t="s">
        <v>33</v>
      </c>
      <c r="D2" s="1135" t="s">
        <v>442</v>
      </c>
      <c r="E2" s="1134" t="s">
        <v>145</v>
      </c>
      <c r="F2" s="1133">
        <f>'☆事業所損益管理(H30.9～H31.8)(計画)'!F2</f>
        <v>43344</v>
      </c>
      <c r="G2" s="1132">
        <f t="shared" ref="G2:Q2" si="0">EDATE(F2,1)</f>
        <v>43374</v>
      </c>
      <c r="H2" s="1131">
        <f t="shared" si="0"/>
        <v>43405</v>
      </c>
      <c r="I2" s="1132">
        <f t="shared" si="0"/>
        <v>43435</v>
      </c>
      <c r="J2" s="1131">
        <f t="shared" si="0"/>
        <v>43466</v>
      </c>
      <c r="K2" s="1132">
        <f t="shared" si="0"/>
        <v>43497</v>
      </c>
      <c r="L2" s="1131">
        <f t="shared" si="0"/>
        <v>43525</v>
      </c>
      <c r="M2" s="1132">
        <f>EDATE(L2,1)</f>
        <v>43556</v>
      </c>
      <c r="N2" s="1131">
        <f t="shared" si="0"/>
        <v>43586</v>
      </c>
      <c r="O2" s="1132">
        <f t="shared" si="0"/>
        <v>43617</v>
      </c>
      <c r="P2" s="1131">
        <f t="shared" si="0"/>
        <v>43647</v>
      </c>
      <c r="Q2" s="1130">
        <f t="shared" si="0"/>
        <v>43678</v>
      </c>
      <c r="R2" s="1841" t="s">
        <v>1436</v>
      </c>
      <c r="S2" s="1855" t="s">
        <v>1439</v>
      </c>
      <c r="T2" s="1836" t="s">
        <v>1437</v>
      </c>
      <c r="U2" s="1856" t="s">
        <v>1481</v>
      </c>
      <c r="V2" s="2223" t="s">
        <v>1438</v>
      </c>
      <c r="W2" s="2224"/>
    </row>
    <row r="3" spans="1:23" ht="14.25" customHeight="1" outlineLevel="1" x14ac:dyDescent="0.15">
      <c r="A3" s="1790" t="s">
        <v>1432</v>
      </c>
      <c r="B3" s="1121" t="str">
        <f>E3</f>
        <v>売上</v>
      </c>
      <c r="C3" s="2208" t="s">
        <v>1445</v>
      </c>
      <c r="D3" s="2211" t="s">
        <v>1442</v>
      </c>
      <c r="E3" s="1820" t="s">
        <v>26</v>
      </c>
      <c r="F3" s="1817">
        <f>IFERROR(IF(F$2&gt;$G$1,'☆事業所損益管理(H30.9～H31.8)(計画)'!F3,
GETPIVOTDATA("合計 / " &amp; $B3,【ピボット】事業所収支!$A$3,"年月",F$2,"事業所",$A3)),0)</f>
        <v>0</v>
      </c>
      <c r="G3" s="1812">
        <f>IFERROR(IF(G$2&gt;$G$1,'☆事業所損益管理(H30.9～H31.8)(計画)'!G3,
GETPIVOTDATA("合計 / " &amp; $B3,【ピボット】事業所収支!$A$3,"年月",G$2,"事業所",$A3)),0)</f>
        <v>0</v>
      </c>
      <c r="H3" s="1812">
        <f>IFERROR(IF(H$2&gt;$G$1,'☆事業所損益管理(H30.9～H31.8)(計画)'!H3,
GETPIVOTDATA("合計 / " &amp; $B3,【ピボット】事業所収支!$A$3,"年月",H$2,"事業所",$A3)),0)</f>
        <v>0</v>
      </c>
      <c r="I3" s="1812">
        <f>IFERROR(IF(I$2&gt;$G$1,'☆事業所損益管理(H30.9～H31.8)(計画)'!I3,
GETPIVOTDATA("合計 / " &amp; $B3,【ピボット】事業所収支!$A$3,"年月",I$2,"事業所",$A3)),0)</f>
        <v>0</v>
      </c>
      <c r="J3" s="1812">
        <f>IFERROR(IF(J$2&gt;$G$1,'☆事業所損益管理(H30.9～H31.8)(計画)'!J3,
GETPIVOTDATA("合計 / " &amp; $B3,【ピボット】事業所収支!$A$3,"年月",J$2,"事業所",$A3)),0)</f>
        <v>0</v>
      </c>
      <c r="K3" s="1812">
        <f>IFERROR(IF(K$2&gt;$G$1,'☆事業所損益管理(H30.9～H31.8)(計画)'!K3,
GETPIVOTDATA("合計 / " &amp; $B3,【ピボット】事業所収支!$A$3,"年月",K$2,"事業所",$A3)),0)</f>
        <v>0</v>
      </c>
      <c r="L3" s="1812">
        <f>IFERROR(IF(L$2&gt;$G$1,'☆事業所損益管理(H30.9～H31.8)(計画)'!L3,
GETPIVOTDATA("合計 / " &amp; $B3,【ピボット】事業所収支!$A$3,"年月",L$2,"事業所",$A3)),0)</f>
        <v>142560</v>
      </c>
      <c r="M3" s="1812">
        <f>IFERROR(IF(M$2&gt;$G$1,'☆事業所損益管理(H30.9～H31.8)(計画)'!M3,
GETPIVOTDATA("合計 / " &amp; $B3,【ピボット】事業所収支!$A$3,"年月",M$2,"事業所",$A3)),0)</f>
        <v>0</v>
      </c>
      <c r="N3" s="1889">
        <f>IFERROR(IF(N$2&gt;$G$1,'☆事業所損益管理(H30.9～H31.8)(計画)'!N3,
GETPIVOTDATA("合計 / " &amp; $B3,【ピボット】事業所収支!$A$3,"年月",N$2,"事業所",$A3)),0)</f>
        <v>0</v>
      </c>
      <c r="O3" s="1889">
        <f>IFERROR(IF(O$2&gt;$G$1,'☆事業所損益管理(H30.9～H31.8)(計画)'!O3,
GETPIVOTDATA("合計 / " &amp; $B3,【ピボット】事業所収支!$A$3,"年月",O$2,"事業所",$A3)),0)</f>
        <v>0</v>
      </c>
      <c r="P3" s="1889">
        <f>IFERROR(IF(P$2&gt;$G$1,'☆事業所損益管理(H30.9～H31.8)(計画)'!P3,
GETPIVOTDATA("合計 / " &amp; $B3,【ピボット】事業所収支!$A$3,"年月",P$2,"事業所",$A3)),0)</f>
        <v>0</v>
      </c>
      <c r="Q3" s="1890">
        <f>IFERROR(IF(Q$2&gt;$G$1,'☆事業所損益管理(H30.9～H31.8)(計画)'!Q3,
GETPIVOTDATA("合計 / " &amp; $B3,【ピボット】事業所収支!$A$3,"年月",Q$2,"事業所",$A3)),0)</f>
        <v>0</v>
      </c>
      <c r="R3" s="1842">
        <f t="shared" ref="R3:R8" ca="1" si="1">SUM(OFFSET(F3,0,0,1,IF(ISERROR(MATCH(DATE(YEAR($G$1),MONTH($G$1),1),$F$2:$Q$2,0)),0,MATCH(DATE(YEAR($G$1),MONTH($G$1),1),$F$2:$Q$2,0))))</f>
        <v>142560</v>
      </c>
      <c r="S3" s="1842">
        <f t="shared" ref="S3:S8" ca="1" si="2">IF(ISERROR(R3/(DATEDIF(F$2,G$1,"M")+1)),0,R3/(DATEDIF(F$2,G$1,"M")+1))</f>
        <v>17820</v>
      </c>
      <c r="T3" s="538">
        <f t="shared" ref="T3:T8" si="3">SUM(F3:Q3)</f>
        <v>142560</v>
      </c>
      <c r="U3" s="1827">
        <f t="shared" ref="U3:U9" ca="1" si="4">S3*12</f>
        <v>213840</v>
      </c>
      <c r="V3" s="2040">
        <f ca="1">IF(W3=0,1,IF(W3&gt;=1,1,IF(W3&lt;0.9,-1,0)))</f>
        <v>1</v>
      </c>
      <c r="W3" s="1839">
        <f ca="1">IF(T3&lt;0,ROUND((U3-T3)/ABS(T3),3),IF(T3=0,0,ROUND(U3/T3,3)))</f>
        <v>1.5</v>
      </c>
    </row>
    <row r="4" spans="1:23" ht="14.25" customHeight="1" outlineLevel="1" x14ac:dyDescent="0.15">
      <c r="A4" s="1790" t="s">
        <v>1432</v>
      </c>
      <c r="B4" s="1121" t="str">
        <f>E4</f>
        <v>人件費</v>
      </c>
      <c r="C4" s="2209"/>
      <c r="D4" s="2212"/>
      <c r="E4" s="1821" t="s">
        <v>15</v>
      </c>
      <c r="F4" s="1813">
        <f>IFERROR(IF(F$2&gt;$G$1,'☆事業所損益管理(H30.9～H31.8)(計画)'!F4,
GETPIVOTDATA("合計 / " &amp; $B4,【ピボット】事業所収支!$A$3,"年月",F$2,"事業所",$A4)),0)</f>
        <v>4275862</v>
      </c>
      <c r="G4" s="1814">
        <f>IFERROR(IF(G$2&gt;$G$1,'☆事業所損益管理(H30.9～H31.8)(計画)'!G4,
GETPIVOTDATA("合計 / " &amp; $B4,【ピボット】事業所収支!$A$3,"年月",G$2,"事業所",$A4)),0)</f>
        <v>4742462</v>
      </c>
      <c r="H4" s="1814">
        <f>IFERROR(IF(H$2&gt;$G$1,'☆事業所損益管理(H30.9～H31.8)(計画)'!H4,
GETPIVOTDATA("合計 / " &amp; $B4,【ピボット】事業所収支!$A$3,"年月",H$2,"事業所",$A4)),0)</f>
        <v>5751671</v>
      </c>
      <c r="I4" s="1814">
        <f>IFERROR(IF(I$2&gt;$G$1,'☆事業所損益管理(H30.9～H31.8)(計画)'!I4,
GETPIVOTDATA("合計 / " &amp; $B4,【ピボット】事業所収支!$A$3,"年月",I$2,"事業所",$A4)),0)</f>
        <v>8276517</v>
      </c>
      <c r="J4" s="1814">
        <f>IFERROR(IF(J$2&gt;$G$1,'☆事業所損益管理(H30.9～H31.8)(計画)'!J4,
GETPIVOTDATA("合計 / " &amp; $B4,【ピボット】事業所収支!$A$3,"年月",J$2,"事業所",$A4)),0)</f>
        <v>4804576</v>
      </c>
      <c r="K4" s="1814">
        <f>IFERROR(IF(K$2&gt;$G$1,'☆事業所損益管理(H30.9～H31.8)(計画)'!K4,
GETPIVOTDATA("合計 / " &amp; $B4,【ピボット】事業所収支!$A$3,"年月",K$2,"事業所",$A4)),0)</f>
        <v>5356414</v>
      </c>
      <c r="L4" s="1814">
        <f>IFERROR(IF(L$2&gt;$G$1,'☆事業所損益管理(H30.9～H31.8)(計画)'!L4,
GETPIVOTDATA("合計 / " &amp; $B4,【ピボット】事業所収支!$A$3,"年月",L$2,"事業所",$A4)),0)</f>
        <v>4480730</v>
      </c>
      <c r="M4" s="1814">
        <f>IFERROR(IF(M$2&gt;$G$1,'☆事業所損益管理(H30.9～H31.8)(計画)'!M4,
GETPIVOTDATA("合計 / " &amp; $B4,【ピボット】事業所収支!$A$3,"年月",M$2,"事業所",$A4)),0)</f>
        <v>5414831</v>
      </c>
      <c r="N4" s="1891">
        <f>IFERROR(IF(N$2&gt;$G$1,'☆事業所損益管理(H30.9～H31.8)(計画)'!N4,
GETPIVOTDATA("合計 / " &amp; $B4,【ピボット】事業所収支!$A$3,"年月",N$2,"事業所",$A4)),0)</f>
        <v>5753000</v>
      </c>
      <c r="O4" s="1891">
        <f>IFERROR(IF(O$2&gt;$G$1,'☆事業所損益管理(H30.9～H31.8)(計画)'!O4,
GETPIVOTDATA("合計 / " &amp; $B4,【ピボット】事業所収支!$A$3,"年月",O$2,"事業所",$A4)),0)</f>
        <v>7454000</v>
      </c>
      <c r="P4" s="1891">
        <f>IFERROR(IF(P$2&gt;$G$1,'☆事業所損益管理(H30.9～H31.8)(計画)'!P4,
GETPIVOTDATA("合計 / " &amp; $B4,【ピボット】事業所収支!$A$3,"年月",P$2,"事業所",$A4)),0)</f>
        <v>5753000</v>
      </c>
      <c r="Q4" s="1892">
        <f>IFERROR(IF(Q$2&gt;$G$1,'☆事業所損益管理(H30.9～H31.8)(計画)'!Q4,
GETPIVOTDATA("合計 / " &amp; $B4,【ピボット】事業所収支!$A$3,"年月",Q$2,"事業所",$A4)),0)</f>
        <v>5753000</v>
      </c>
      <c r="R4" s="1843">
        <f t="shared" ca="1" si="1"/>
        <v>43103063</v>
      </c>
      <c r="S4" s="1843">
        <f t="shared" ca="1" si="2"/>
        <v>5387882.875</v>
      </c>
      <c r="T4" s="539">
        <f t="shared" si="3"/>
        <v>67816063</v>
      </c>
      <c r="U4" s="1825">
        <f t="shared" ca="1" si="4"/>
        <v>64654594.5</v>
      </c>
      <c r="V4" s="2041">
        <f ca="1">IF(W4=0,1,IF(W4&lt;=1,1,IF(W4&gt;1.1,-1,0)))</f>
        <v>1</v>
      </c>
      <c r="W4" s="1840">
        <f ca="1">IF(T4&lt;0,ROUND((U4-T4)/ABS(T4),3),IF(T4=0,0,ROUND(U4/T4,3)))</f>
        <v>0.95299999999999996</v>
      </c>
    </row>
    <row r="5" spans="1:23" ht="14.25" customHeight="1" outlineLevel="1" x14ac:dyDescent="0.15">
      <c r="A5" s="1790" t="s">
        <v>1432</v>
      </c>
      <c r="B5" s="1121" t="s">
        <v>1467</v>
      </c>
      <c r="C5" s="2209"/>
      <c r="D5" s="2212"/>
      <c r="E5" s="1877" t="s">
        <v>447</v>
      </c>
      <c r="F5" s="1813">
        <f>IFERROR(IF(F$2&gt;$G$1,'☆事業所損益管理(H30.9～H31.8)(計画)'!F5,
GETPIVOTDATA("合計 / " &amp; $B5,【ピボット】事業所収支!$A$3,"年月",F$2,"事業所",$A5)),0)</f>
        <v>216000</v>
      </c>
      <c r="G5" s="1814">
        <f>IFERROR(IF(G$2&gt;$G$1,'☆事業所損益管理(H30.9～H31.8)(計画)'!G5,
GETPIVOTDATA("合計 / " &amp; $B5,【ピボット】事業所収支!$A$3,"年月",G$2,"事業所",$A5)),0)</f>
        <v>0</v>
      </c>
      <c r="H5" s="1814">
        <f>IFERROR(IF(H$2&gt;$G$1,'☆事業所損益管理(H30.9～H31.8)(計画)'!H5,
GETPIVOTDATA("合計 / " &amp; $B5,【ピボット】事業所収支!$A$3,"年月",H$2,"事業所",$A5)),0)</f>
        <v>348840</v>
      </c>
      <c r="I5" s="1814">
        <f>IFERROR(IF(I$2&gt;$G$1,'☆事業所損益管理(H30.9～H31.8)(計画)'!I5,
GETPIVOTDATA("合計 / " &amp; $B5,【ピボット】事業所収支!$A$3,"年月",I$2,"事業所",$A5)),0)</f>
        <v>0</v>
      </c>
      <c r="J5" s="1814">
        <f>IFERROR(IF(J$2&gt;$G$1,'☆事業所損益管理(H30.9～H31.8)(計画)'!J5,
GETPIVOTDATA("合計 / " &amp; $B5,【ピボット】事業所収支!$A$3,"年月",J$2,"事業所",$A5)),0)</f>
        <v>0</v>
      </c>
      <c r="K5" s="1814">
        <f>IFERROR(IF(K$2&gt;$G$1,'☆事業所損益管理(H30.9～H31.8)(計画)'!K5,
GETPIVOTDATA("合計 / " &amp; $B5,【ピボット】事業所収支!$A$3,"年月",K$2,"事業所",$A5)),0)</f>
        <v>297000</v>
      </c>
      <c r="L5" s="1814">
        <f>IFERROR(IF(L$2&gt;$G$1,'☆事業所損益管理(H30.9～H31.8)(計画)'!L5,
GETPIVOTDATA("合計 / " &amp; $B5,【ピボット】事業所収支!$A$3,"年月",L$2,"事業所",$A5)),0)</f>
        <v>0</v>
      </c>
      <c r="M5" s="1814">
        <f>IFERROR(IF(M$2&gt;$G$1,'☆事業所損益管理(H30.9～H31.8)(計画)'!M5,
GETPIVOTDATA("合計 / " &amp; $B5,【ピボット】事業所収支!$A$3,"年月",M$2,"事業所",$A5)),0)</f>
        <v>10800</v>
      </c>
      <c r="N5" s="1891">
        <f>IFERROR(IF(N$2&gt;$G$1,'☆事業所損益管理(H30.9～H31.8)(計画)'!N5,
GETPIVOTDATA("合計 / " &amp; $B5,【ピボット】事業所収支!$A$3,"年月",N$2,"事業所",$A5)),0)</f>
        <v>0</v>
      </c>
      <c r="O5" s="1891">
        <f>IFERROR(IF(O$2&gt;$G$1,'☆事業所損益管理(H30.9～H31.8)(計画)'!O5,
GETPIVOTDATA("合計 / " &amp; $B5,【ピボット】事業所収支!$A$3,"年月",O$2,"事業所",$A5)),0)</f>
        <v>350000</v>
      </c>
      <c r="P5" s="1891">
        <f>IFERROR(IF(P$2&gt;$G$1,'☆事業所損益管理(H30.9～H31.8)(計画)'!P5,
GETPIVOTDATA("合計 / " &amp; $B5,【ピボット】事業所収支!$A$3,"年月",P$2,"事業所",$A5)),0)</f>
        <v>0</v>
      </c>
      <c r="Q5" s="1892">
        <f>IFERROR(IF(Q$2&gt;$G$1,'☆事業所損益管理(H30.9～H31.8)(計画)'!Q5,
GETPIVOTDATA("合計 / " &amp; $B5,【ピボット】事業所収支!$A$3,"年月",Q$2,"事業所",$A5)),0)</f>
        <v>0</v>
      </c>
      <c r="R5" s="1843">
        <f t="shared" ca="1" si="1"/>
        <v>872640</v>
      </c>
      <c r="S5" s="1843">
        <f t="shared" ca="1" si="2"/>
        <v>109080</v>
      </c>
      <c r="T5" s="539">
        <f t="shared" si="3"/>
        <v>1222640</v>
      </c>
      <c r="U5" s="1825">
        <f t="shared" ca="1" si="4"/>
        <v>1308960</v>
      </c>
      <c r="V5" s="2041">
        <f ca="1">IF(W5=0,1,IF(W5&lt;=1,1,IF(W5&gt;1.1,-1,0)))</f>
        <v>0</v>
      </c>
      <c r="W5" s="1840">
        <f ca="1">IF(T5&lt;0,ROUND((U5-T5)/ABS(T5),3),IF(T5=0,0,ROUND(U5/T5,3)))</f>
        <v>1.071</v>
      </c>
    </row>
    <row r="6" spans="1:23" ht="14.25" customHeight="1" outlineLevel="1" x14ac:dyDescent="0.15">
      <c r="A6" s="1790" t="s">
        <v>1432</v>
      </c>
      <c r="B6" s="1790" t="s">
        <v>1230</v>
      </c>
      <c r="C6" s="2209"/>
      <c r="D6" s="2212"/>
      <c r="E6" s="1821" t="s">
        <v>35</v>
      </c>
      <c r="F6" s="1813">
        <f>IFERROR(IF(F$2&gt;$G$1,'☆事業所損益管理(H30.9～H31.8)(計画)'!F6,
GETPIVOTDATA("合計 / " &amp; $B6,【ピボット】事業所収支!$A$3,"年月",F$2,"事業所",$A6)),0)</f>
        <v>3234033</v>
      </c>
      <c r="G6" s="1814">
        <f>IFERROR(IF(G$2&gt;$G$1,'☆事業所損益管理(H30.9～H31.8)(計画)'!G6,
GETPIVOTDATA("合計 / " &amp; $B6,【ピボット】事業所収支!$A$3,"年月",G$2,"事業所",$A6)),0)</f>
        <v>5282133</v>
      </c>
      <c r="H6" s="1814">
        <f>IFERROR(IF(H$2&gt;$G$1,'☆事業所損益管理(H30.9～H31.8)(計画)'!H6,
GETPIVOTDATA("合計 / " &amp; $B6,【ピボット】事業所収支!$A$3,"年月",H$2,"事業所",$A6)),0)</f>
        <v>2864700</v>
      </c>
      <c r="I6" s="1814">
        <f>IFERROR(IF(I$2&gt;$G$1,'☆事業所損益管理(H30.9～H31.8)(計画)'!I6,
GETPIVOTDATA("合計 / " &amp; $B6,【ピボット】事業所収支!$A$3,"年月",I$2,"事業所",$A6)),0)</f>
        <v>1950921</v>
      </c>
      <c r="J6" s="1814">
        <f>IFERROR(IF(J$2&gt;$G$1,'☆事業所損益管理(H30.9～H31.8)(計画)'!J6,
GETPIVOTDATA("合計 / " &amp; $B6,【ピボット】事業所収支!$A$3,"年月",J$2,"事業所",$A6)),0)</f>
        <v>1758723</v>
      </c>
      <c r="K6" s="1814">
        <f>IFERROR(IF(K$2&gt;$G$1,'☆事業所損益管理(H30.9～H31.8)(計画)'!K6,
GETPIVOTDATA("合計 / " &amp; $B6,【ピボット】事業所収支!$A$3,"年月",K$2,"事業所",$A6)),0)</f>
        <v>2554606</v>
      </c>
      <c r="L6" s="1814">
        <f>IFERROR(IF(L$2&gt;$G$1,'☆事業所損益管理(H30.9～H31.8)(計画)'!L6,
GETPIVOTDATA("合計 / " &amp; $B6,【ピボット】事業所収支!$A$3,"年月",L$2,"事業所",$A6)),0)</f>
        <v>2293024</v>
      </c>
      <c r="M6" s="1814">
        <f>IFERROR(IF(M$2&gt;$G$1,'☆事業所損益管理(H30.9～H31.8)(計画)'!M6,
GETPIVOTDATA("合計 / " &amp; $B6,【ピボット】事業所収支!$A$3,"年月",M$2,"事業所",$A6)),0)</f>
        <v>2444410</v>
      </c>
      <c r="N6" s="1891">
        <f>IFERROR(IF(N$2&gt;$G$1,'☆事業所損益管理(H30.9～H31.8)(計画)'!N6,
GETPIVOTDATA("合計 / " &amp; $B6,【ピボット】事業所収支!$A$3,"年月",N$2,"事業所",$A6)),0)</f>
        <v>3573000</v>
      </c>
      <c r="O6" s="1891">
        <f>IFERROR(IF(O$2&gt;$G$1,'☆事業所損益管理(H30.9～H31.8)(計画)'!O6,
GETPIVOTDATA("合計 / " &amp; $B6,【ピボット】事業所収支!$A$3,"年月",O$2,"事業所",$A6)),0)</f>
        <v>3848000</v>
      </c>
      <c r="P6" s="1891">
        <f>IFERROR(IF(P$2&gt;$G$1,'☆事業所損益管理(H30.9～H31.8)(計画)'!P6,
GETPIVOTDATA("合計 / " &amp; $B6,【ピボット】事業所収支!$A$3,"年月",P$2,"事業所",$A6)),0)</f>
        <v>2468000</v>
      </c>
      <c r="Q6" s="1892">
        <f>IFERROR(IF(Q$2&gt;$G$1,'☆事業所損益管理(H30.9～H31.8)(計画)'!Q6,
GETPIVOTDATA("合計 / " &amp; $B6,【ピボット】事業所収支!$A$3,"年月",Q$2,"事業所",$A6)),0)</f>
        <v>2468000</v>
      </c>
      <c r="R6" s="1843">
        <f t="shared" ca="1" si="1"/>
        <v>22382550</v>
      </c>
      <c r="S6" s="1843">
        <f t="shared" ca="1" si="2"/>
        <v>2797818.75</v>
      </c>
      <c r="T6" s="539">
        <f t="shared" si="3"/>
        <v>34739550</v>
      </c>
      <c r="U6" s="1825">
        <f t="shared" ca="1" si="4"/>
        <v>33573825</v>
      </c>
      <c r="V6" s="2041">
        <f ca="1">IF(W6=0,1,IF(W6&lt;=1,1,IF(W6&gt;1.1,-1,0)))</f>
        <v>1</v>
      </c>
      <c r="W6" s="1840">
        <f ca="1">IF(T6&lt;0,ROUND((U6-T6)/ABS(T6),3),IF(T6=0,0,ROUND(U6/T6,3)))</f>
        <v>0.96599999999999997</v>
      </c>
    </row>
    <row r="7" spans="1:23" ht="14.25" customHeight="1" outlineLevel="1" x14ac:dyDescent="0.15">
      <c r="B7" s="1790"/>
      <c r="C7" s="2209"/>
      <c r="D7" s="2212"/>
      <c r="E7" s="1821" t="s">
        <v>482</v>
      </c>
      <c r="F7" s="1813">
        <f>IFERROR(IF(F$2&gt;$G$1,'☆事業所損益管理(H30.9～H31.8)(計画)'!F7,
GETPIVOTDATA("合計 / " &amp; $B7,【ピボット】事業所収支!$A$3,"年月",F$2,"事業所",$A7)),0)</f>
        <v>0</v>
      </c>
      <c r="G7" s="1814">
        <f>IFERROR(IF(G$2&gt;$G$1,'☆事業所損益管理(H30.9～H31.8)(計画)'!G7,
GETPIVOTDATA("合計 / " &amp; $B7,【ピボット】事業所収支!$A$3,"年月",G$2,"事業所",$A7)),0)</f>
        <v>0</v>
      </c>
      <c r="H7" s="1814">
        <f>IFERROR(IF(H$2&gt;$G$1,'☆事業所損益管理(H30.9～H31.8)(計画)'!H7,
GETPIVOTDATA("合計 / " &amp; $B7,【ピボット】事業所収支!$A$3,"年月",H$2,"事業所",$A7)),0)</f>
        <v>0</v>
      </c>
      <c r="I7" s="1814">
        <f>IFERROR(IF(I$2&gt;$G$1,'☆事業所損益管理(H30.9～H31.8)(計画)'!I7,
GETPIVOTDATA("合計 / " &amp; $B7,【ピボット】事業所収支!$A$3,"年月",I$2,"事業所",$A7)),0)</f>
        <v>0</v>
      </c>
      <c r="J7" s="1814">
        <f>IFERROR(IF(J$2&gt;$G$1,'☆事業所損益管理(H30.9～H31.8)(計画)'!J7,
GETPIVOTDATA("合計 / " &amp; $B7,【ピボット】事業所収支!$A$3,"年月",J$2,"事業所",$A7)),0)</f>
        <v>0</v>
      </c>
      <c r="K7" s="1814">
        <f>IFERROR(IF(K$2&gt;$G$1,'☆事業所損益管理(H30.9～H31.8)(計画)'!K7,
GETPIVOTDATA("合計 / " &amp; $B7,【ピボット】事業所収支!$A$3,"年月",K$2,"事業所",$A7)),0)</f>
        <v>0</v>
      </c>
      <c r="L7" s="1814">
        <f>IFERROR(IF(L$2&gt;$G$1,'☆事業所損益管理(H30.9～H31.8)(計画)'!L7,
GETPIVOTDATA("合計 / " &amp; $B7,【ピボット】事業所収支!$A$3,"年月",L$2,"事業所",$A7)),0)</f>
        <v>0</v>
      </c>
      <c r="M7" s="1814">
        <f>IFERROR(IF(M$2&gt;$G$1,'☆事業所損益管理(H30.9～H31.8)(計画)'!M7,
GETPIVOTDATA("合計 / " &amp; $B7,【ピボット】事業所収支!$A$3,"年月",M$2,"事業所",$A7)),0)</f>
        <v>0</v>
      </c>
      <c r="N7" s="1891">
        <f>IFERROR(IF(N$2&gt;$G$1,'☆事業所損益管理(H30.9～H31.8)(計画)'!N7,
GETPIVOTDATA("合計 / " &amp; $B7,【ピボット】事業所収支!$A$3,"年月",N$2,"事業所",$A7)),0)</f>
        <v>200000</v>
      </c>
      <c r="O7" s="1891">
        <f>IFERROR(IF(O$2&gt;$G$1,'☆事業所損益管理(H30.9～H31.8)(計画)'!O7,
GETPIVOTDATA("合計 / " &amp; $B7,【ピボット】事業所収支!$A$3,"年月",O$2,"事業所",$A7)),0)</f>
        <v>200000</v>
      </c>
      <c r="P7" s="1891">
        <f>IFERROR(IF(P$2&gt;$G$1,'☆事業所損益管理(H30.9～H31.8)(計画)'!P7,
GETPIVOTDATA("合計 / " &amp; $B7,【ピボット】事業所収支!$A$3,"年月",P$2,"事業所",$A7)),0)</f>
        <v>200000</v>
      </c>
      <c r="Q7" s="1892">
        <f>IFERROR(IF(Q$2&gt;$G$1,'☆事業所損益管理(H30.9～H31.8)(計画)'!Q7,
GETPIVOTDATA("合計 / " &amp; $B7,【ピボット】事業所収支!$A$3,"年月",Q$2,"事業所",$A7)),0)</f>
        <v>200000</v>
      </c>
      <c r="R7" s="1843">
        <f t="shared" ca="1" si="1"/>
        <v>0</v>
      </c>
      <c r="S7" s="1843">
        <f t="shared" ca="1" si="2"/>
        <v>0</v>
      </c>
      <c r="T7" s="539">
        <f t="shared" si="3"/>
        <v>800000</v>
      </c>
      <c r="U7" s="1825">
        <f t="shared" ca="1" si="4"/>
        <v>0</v>
      </c>
      <c r="V7" s="2041">
        <f ca="1">IF(W7=0,1,IF(W7&lt;=1,1,IF(W7&gt;1.1,-1,0)))</f>
        <v>1</v>
      </c>
      <c r="W7" s="1840">
        <f ca="1">IF(T7&lt;0,ROUND((U7-T7)/ABS(T7),3),IF(T7=0,0,ROUND(U7/T7,3)))</f>
        <v>0</v>
      </c>
    </row>
    <row r="8" spans="1:23" ht="14.25" customHeight="1" thickBot="1" x14ac:dyDescent="0.2">
      <c r="A8" s="1121" t="s">
        <v>378</v>
      </c>
      <c r="C8" s="2210"/>
      <c r="D8" s="2213"/>
      <c r="E8" s="1821" t="s">
        <v>1198</v>
      </c>
      <c r="F8" s="1823">
        <f>F3-(F4+F6+F7)</f>
        <v>-7509895</v>
      </c>
      <c r="G8" s="1824">
        <f>G3-(G4+G6+G7)</f>
        <v>-10024595</v>
      </c>
      <c r="H8" s="1824">
        <f>H3-(H4+H6+H7)</f>
        <v>-8616371</v>
      </c>
      <c r="I8" s="1824">
        <f t="shared" ref="I8:Q8" si="5">I3-(I4+I6+I7)</f>
        <v>-10227438</v>
      </c>
      <c r="J8" s="1824">
        <f t="shared" si="5"/>
        <v>-6563299</v>
      </c>
      <c r="K8" s="1824">
        <f t="shared" si="5"/>
        <v>-7911020</v>
      </c>
      <c r="L8" s="1824">
        <f t="shared" si="5"/>
        <v>-6631194</v>
      </c>
      <c r="M8" s="1824">
        <f t="shared" si="5"/>
        <v>-7859241</v>
      </c>
      <c r="N8" s="1893">
        <f t="shared" si="5"/>
        <v>-9526000</v>
      </c>
      <c r="O8" s="1893">
        <f t="shared" si="5"/>
        <v>-11502000</v>
      </c>
      <c r="P8" s="1893">
        <f t="shared" si="5"/>
        <v>-8421000</v>
      </c>
      <c r="Q8" s="1894">
        <f t="shared" si="5"/>
        <v>-8421000</v>
      </c>
      <c r="R8" s="1843">
        <f t="shared" ca="1" si="1"/>
        <v>-65343053</v>
      </c>
      <c r="S8" s="1843">
        <f t="shared" ca="1" si="2"/>
        <v>-8167881.625</v>
      </c>
      <c r="T8" s="539">
        <f t="shared" si="3"/>
        <v>-103213053</v>
      </c>
      <c r="U8" s="1825">
        <f t="shared" ca="1" si="4"/>
        <v>-98014579.5</v>
      </c>
      <c r="V8" s="2043">
        <f ca="1">IFERROR(IF(W8&gt;=0,1,IF(W8&lt;-0.1,-1,0)),1)</f>
        <v>1</v>
      </c>
      <c r="W8" s="1840">
        <f ca="1">IF(T8=0,1-(U5+U7)/U4,IF(T8=U8,0,ROUND((U8-T8)/ABS(T8),3)))</f>
        <v>0.05</v>
      </c>
    </row>
    <row r="9" spans="1:23" ht="14.25" customHeight="1" thickBot="1" x14ac:dyDescent="0.2">
      <c r="A9" s="1121" t="s">
        <v>378</v>
      </c>
      <c r="B9" s="1121" t="str">
        <f>E9</f>
        <v>売上</v>
      </c>
      <c r="C9" s="2217" t="s">
        <v>34</v>
      </c>
      <c r="D9" s="2218" t="s">
        <v>1441</v>
      </c>
      <c r="E9" s="1820" t="s">
        <v>26</v>
      </c>
      <c r="F9" s="1811">
        <f>IF(F$2&gt;$G$1,'☆事業所損益管理(H30.9～H31.8)(計画)'!F9,
GETPIVOTDATA("合計 / " &amp; $B9,【ピボット】事業所収支!$A$3,"年月",F$2,"事業所",$A9))</f>
        <v>11239510</v>
      </c>
      <c r="G9" s="1812">
        <f>IF(G$2&gt;$G$1,'☆事業所損益管理(H30.9～H31.8)(計画)'!G9,
GETPIVOTDATA("合計 / " &amp; $B9,【ピボット】事業所収支!$A$3,"年月",G$2,"事業所",$A9))</f>
        <v>12511332</v>
      </c>
      <c r="H9" s="1812">
        <f>IF(H$2&gt;$G$1,'☆事業所損益管理(H30.9～H31.8)(計画)'!H9,
GETPIVOTDATA("合計 / " &amp; $B9,【ピボット】事業所収支!$A$3,"年月",H$2,"事業所",$A9))</f>
        <v>12778671</v>
      </c>
      <c r="I9" s="1812">
        <f>IF(I$2&gt;$G$1,'☆事業所損益管理(H30.9～H31.8)(計画)'!I9,
GETPIVOTDATA("合計 / " &amp; $B9,【ピボット】事業所収支!$A$3,"年月",I$2,"事業所",$A9))</f>
        <v>12163091</v>
      </c>
      <c r="J9" s="1812">
        <f>IF(J$2&gt;$G$1,'☆事業所損益管理(H30.9～H31.8)(計画)'!J9,
GETPIVOTDATA("合計 / " &amp; $B9,【ピボット】事業所収支!$A$3,"年月",J$2,"事業所",$A9))</f>
        <v>12668826</v>
      </c>
      <c r="K9" s="1812">
        <f>IF(K$2&gt;$G$1,'☆事業所損益管理(H30.9～H31.8)(計画)'!K9,
GETPIVOTDATA("合計 / " &amp; $B9,【ピボット】事業所収支!$A$3,"年月",K$2,"事業所",$A9))</f>
        <v>11458207</v>
      </c>
      <c r="L9" s="1812">
        <f>IF(L$2&gt;$G$1,'☆事業所損益管理(H30.9～H31.8)(計画)'!L9,
GETPIVOTDATA("合計 / " &amp; $B9,【ピボット】事業所収支!$A$3,"年月",L$2,"事業所",$A9))</f>
        <v>12821396</v>
      </c>
      <c r="M9" s="1812">
        <f>IF(M$2&gt;$G$1,'☆事業所損益管理(H30.9～H31.8)(計画)'!M9,
GETPIVOTDATA("合計 / " &amp; $B9,【ピボット】事業所収支!$A$3,"年月",M$2,"事業所",$A9))</f>
        <v>12901588</v>
      </c>
      <c r="N9" s="1889">
        <f>IF(N$2&gt;$G$1,'☆事業所損益管理(H30.9～H31.8)(計画)'!N9,
GETPIVOTDATA("合計 / " &amp; $B9,【ピボット】事業所収支!$A$3,"年月",N$2,"事業所",$A9))</f>
        <v>12500000</v>
      </c>
      <c r="O9" s="1889">
        <f>IF(O$2&gt;$G$1,'☆事業所損益管理(H30.9～H31.8)(計画)'!O9,
GETPIVOTDATA("合計 / " &amp; $B9,【ピボット】事業所収支!$A$3,"年月",O$2,"事業所",$A9))</f>
        <v>12700000</v>
      </c>
      <c r="P9" s="1889">
        <f>IF(P$2&gt;$G$1,'☆事業所損益管理(H30.9～H31.8)(計画)'!P9,
GETPIVOTDATA("合計 / " &amp; $B9,【ピボット】事業所収支!$A$3,"年月",P$2,"事業所",$A9))</f>
        <v>13000000</v>
      </c>
      <c r="Q9" s="1890">
        <f>IF(Q$2&gt;$G$1,'☆事業所損益管理(H30.9～H31.8)(計画)'!Q9,
GETPIVOTDATA("合計 / " &amp; $B9,【ピボット】事業所収支!$A$3,"年月",Q$2,"事業所",$A9))</f>
        <v>13000000</v>
      </c>
      <c r="R9" s="1842">
        <f t="shared" ref="R9:R32" ca="1" si="6">SUM(OFFSET(F9,0,0,1,IF(ISERROR(MATCH(DATE(YEAR($G$1),MONTH($G$1),1),$F$2:$Q$2,0)),0,MATCH(DATE(YEAR($G$1),MONTH($G$1),1),$F$2:$Q$2,0))))</f>
        <v>98542621</v>
      </c>
      <c r="S9" s="1842">
        <f t="shared" ref="S9:S54" ca="1" si="7">IF(ISERROR(R9/(DATEDIF(F$2,G$1,"M")+1)),0,R9/(DATEDIF(F$2,G$1,"M")+1))</f>
        <v>12317827.625</v>
      </c>
      <c r="T9" s="538">
        <f t="shared" ref="T9:T54" si="8">SUM(F9:Q9)</f>
        <v>149742621</v>
      </c>
      <c r="U9" s="1827">
        <f t="shared" ca="1" si="4"/>
        <v>147813931.5</v>
      </c>
      <c r="V9" s="2040">
        <f ca="1">IF(W9=0,1,IF(W9&gt;=1,1,IF(W9&lt;0.9,-1,0)))</f>
        <v>0</v>
      </c>
      <c r="W9" s="1839">
        <f ca="1">IF(T9&lt;0,ROUND((U9-T9)/ABS(T9),3),IF(T9=0,0,ROUND(U9/T9,3)))</f>
        <v>0.98699999999999999</v>
      </c>
    </row>
    <row r="10" spans="1:23" ht="14.25" customHeight="1" thickBot="1" x14ac:dyDescent="0.2">
      <c r="A10" s="1121" t="s">
        <v>378</v>
      </c>
      <c r="B10" s="1121" t="str">
        <f>E10</f>
        <v>人件費</v>
      </c>
      <c r="C10" s="2217"/>
      <c r="D10" s="2219"/>
      <c r="E10" s="1821" t="s">
        <v>15</v>
      </c>
      <c r="F10" s="1813">
        <f>IF(F$2&gt;$G$1,'☆事業所損益管理(H30.9～H31.8)(計画)'!F10,
GETPIVOTDATA("合計 / " &amp; $B10,【ピボット】事業所収支!$A$3,"年月",F$2,"事業所",$A10))</f>
        <v>5728498</v>
      </c>
      <c r="G10" s="1814">
        <f>IF(G$2&gt;$G$1,'☆事業所損益管理(H30.9～H31.8)(計画)'!G10,
GETPIVOTDATA("合計 / " &amp; $B10,【ピボット】事業所収支!$A$3,"年月",G$2,"事業所",$A10))</f>
        <v>6850522</v>
      </c>
      <c r="H10" s="1814">
        <f>IF(H$2&gt;$G$1,'☆事業所損益管理(H30.9～H31.8)(計画)'!H10,
GETPIVOTDATA("合計 / " &amp; $B10,【ピボット】事業所収支!$A$3,"年月",H$2,"事業所",$A10))</f>
        <v>6898249</v>
      </c>
      <c r="I10" s="1814">
        <f>IF(I$2&gt;$G$1,'☆事業所損益管理(H30.9～H31.8)(計画)'!I10,
GETPIVOTDATA("合計 / " &amp; $B10,【ピボット】事業所収支!$A$3,"年月",I$2,"事業所",$A10))</f>
        <v>10396961</v>
      </c>
      <c r="J10" s="1814">
        <f>IF(J$2&gt;$G$1,'☆事業所損益管理(H30.9～H31.8)(計画)'!J10,
GETPIVOTDATA("合計 / " &amp; $B10,【ピボット】事業所収支!$A$3,"年月",J$2,"事業所",$A10))</f>
        <v>7106379</v>
      </c>
      <c r="K10" s="1814">
        <f>IF(K$2&gt;$G$1,'☆事業所損益管理(H30.9～H31.8)(計画)'!K10,
GETPIVOTDATA("合計 / " &amp; $B10,【ピボット】事業所収支!$A$3,"年月",K$2,"事業所",$A10))</f>
        <v>6977171</v>
      </c>
      <c r="L10" s="1814">
        <f>IF(L$2&gt;$G$1,'☆事業所損益管理(H30.9～H31.8)(計画)'!L10,
GETPIVOTDATA("合計 / " &amp; $B10,【ピボット】事業所収支!$A$3,"年月",L$2,"事業所",$A10))</f>
        <v>7175183</v>
      </c>
      <c r="M10" s="1814">
        <f>IF(M$2&gt;$G$1,'☆事業所損益管理(H30.9～H31.8)(計画)'!M10,
GETPIVOTDATA("合計 / " &amp; $B10,【ピボット】事業所収支!$A$3,"年月",M$2,"事業所",$A10))</f>
        <v>6591671</v>
      </c>
      <c r="N10" s="1891">
        <f>IF(N$2&gt;$G$1,'☆事業所損益管理(H30.9～H31.8)(計画)'!N10,
GETPIVOTDATA("合計 / " &amp; $B10,【ピボット】事業所収支!$A$3,"年月",N$2,"事業所",$A10))</f>
        <v>7500000</v>
      </c>
      <c r="O10" s="1891">
        <f>IF(O$2&gt;$G$1,'☆事業所損益管理(H30.9～H31.8)(計画)'!O10,
GETPIVOTDATA("合計 / " &amp; $B10,【ピボット】事業所収支!$A$3,"年月",O$2,"事業所",$A10))</f>
        <v>11400000</v>
      </c>
      <c r="P10" s="1891">
        <f>IF(P$2&gt;$G$1,'☆事業所損益管理(H30.9～H31.8)(計画)'!P10,
GETPIVOTDATA("合計 / " &amp; $B10,【ピボット】事業所収支!$A$3,"年月",P$2,"事業所",$A10))</f>
        <v>8000000</v>
      </c>
      <c r="Q10" s="1892">
        <f>IF(Q$2&gt;$G$1,'☆事業所損益管理(H30.9～H31.8)(計画)'!Q10,
GETPIVOTDATA("合計 / " &amp; $B10,【ピボット】事業所収支!$A$3,"年月",Q$2,"事業所",$A10))</f>
        <v>8000000</v>
      </c>
      <c r="R10" s="1843">
        <f t="shared" ca="1" si="6"/>
        <v>57724634</v>
      </c>
      <c r="S10" s="1843">
        <f t="shared" ca="1" si="7"/>
        <v>7215579.25</v>
      </c>
      <c r="T10" s="539">
        <f t="shared" si="8"/>
        <v>92624634</v>
      </c>
      <c r="U10" s="1825">
        <f t="shared" ref="U10:U55" ca="1" si="9">S10*12</f>
        <v>86586951</v>
      </c>
      <c r="V10" s="2041">
        <f ca="1">IF(W10=0,1,IF(W10&lt;=1,1,IF(W10&gt;1.1,-1,0)))</f>
        <v>1</v>
      </c>
      <c r="W10" s="1840">
        <f ca="1">IF(T10&lt;0,ROUND((U10-T10)/ABS(T10),3),IF(T10=0,0,ROUND(U10/T10,3)))</f>
        <v>0.93500000000000005</v>
      </c>
    </row>
    <row r="11" spans="1:23" ht="14.25" customHeight="1" thickBot="1" x14ac:dyDescent="0.2">
      <c r="A11" s="1121" t="s">
        <v>378</v>
      </c>
      <c r="B11" s="1121" t="str">
        <f>E11</f>
        <v>広告経費</v>
      </c>
      <c r="C11" s="2217"/>
      <c r="D11" s="2219"/>
      <c r="E11" s="1821" t="s">
        <v>447</v>
      </c>
      <c r="F11" s="1813">
        <f>IF(F$2&gt;$G$1,'☆事業所損益管理(H30.9～H31.8)(計画)'!F11,
GETPIVOTDATA("合計 / " &amp; $B11,【ピボット】事業所収支!$A$3,"年月",F$2,"事業所",$A11))</f>
        <v>51574</v>
      </c>
      <c r="G11" s="1814">
        <f>IF(G$2&gt;$G$1,'☆事業所損益管理(H30.9～H31.8)(計画)'!G11,
GETPIVOTDATA("合計 / " &amp; $B11,【ピボット】事業所収支!$A$3,"年月",G$2,"事業所",$A11))</f>
        <v>56700</v>
      </c>
      <c r="H11" s="1814">
        <f>IF(H$2&gt;$G$1,'☆事業所損益管理(H30.9～H31.8)(計画)'!H11,
GETPIVOTDATA("合計 / " &amp; $B11,【ピボット】事業所収支!$A$3,"年月",H$2,"事業所",$A11))</f>
        <v>97740</v>
      </c>
      <c r="I11" s="1814">
        <f>IF(I$2&gt;$G$1,'☆事業所損益管理(H30.9～H31.8)(計画)'!I11,
GETPIVOTDATA("合計 / " &amp; $B11,【ピボット】事業所収支!$A$3,"年月",I$2,"事業所",$A11))</f>
        <v>68040</v>
      </c>
      <c r="J11" s="1814">
        <f>IF(J$2&gt;$G$1,'☆事業所損益管理(H30.9～H31.8)(計画)'!J11,
GETPIVOTDATA("合計 / " &amp; $B11,【ピボット】事業所収支!$A$3,"年月",J$2,"事業所",$A11))</f>
        <v>0</v>
      </c>
      <c r="K11" s="1814">
        <f>IF(K$2&gt;$G$1,'☆事業所損益管理(H30.9～H31.8)(計画)'!K11,
GETPIVOTDATA("合計 / " &amp; $B11,【ピボット】事業所収支!$A$3,"年月",K$2,"事業所",$A11))</f>
        <v>0</v>
      </c>
      <c r="L11" s="1814">
        <f>IF(L$2&gt;$G$1,'☆事業所損益管理(H30.9～H31.8)(計画)'!L11,
GETPIVOTDATA("合計 / " &amp; $B11,【ピボット】事業所収支!$A$3,"年月",L$2,"事業所",$A11))</f>
        <v>0</v>
      </c>
      <c r="M11" s="1814">
        <f>IF(M$2&gt;$G$1,'☆事業所損益管理(H30.9～H31.8)(計画)'!M11,
GETPIVOTDATA("合計 / " &amp; $B11,【ピボット】事業所収支!$A$3,"年月",M$2,"事業所",$A11))</f>
        <v>0</v>
      </c>
      <c r="N11" s="1891">
        <f>IF(N$2&gt;$G$1,'☆事業所損益管理(H30.9～H31.8)(計画)'!N11,
GETPIVOTDATA("合計 / " &amp; $B11,【ピボット】事業所収支!$A$3,"年月",N$2,"事業所",$A11))</f>
        <v>50000</v>
      </c>
      <c r="O11" s="1891">
        <f>IF(O$2&gt;$G$1,'☆事業所損益管理(H30.9～H31.8)(計画)'!O11,
GETPIVOTDATA("合計 / " &amp; $B11,【ピボット】事業所収支!$A$3,"年月",O$2,"事業所",$A11))</f>
        <v>50000</v>
      </c>
      <c r="P11" s="1891">
        <f>IF(P$2&gt;$G$1,'☆事業所損益管理(H30.9～H31.8)(計画)'!P11,
GETPIVOTDATA("合計 / " &amp; $B11,【ピボット】事業所収支!$A$3,"年月",P$2,"事業所",$A11))</f>
        <v>50000</v>
      </c>
      <c r="Q11" s="1892">
        <f>IF(Q$2&gt;$G$1,'☆事業所損益管理(H30.9～H31.8)(計画)'!Q11,
GETPIVOTDATA("合計 / " &amp; $B11,【ピボット】事業所収支!$A$3,"年月",Q$2,"事業所",$A11))</f>
        <v>50000</v>
      </c>
      <c r="R11" s="1843">
        <f t="shared" ca="1" si="6"/>
        <v>274054</v>
      </c>
      <c r="S11" s="1843">
        <f t="shared" ca="1" si="7"/>
        <v>34256.75</v>
      </c>
      <c r="T11" s="539">
        <f t="shared" si="8"/>
        <v>474054</v>
      </c>
      <c r="U11" s="1825">
        <f t="shared" ca="1" si="9"/>
        <v>411081</v>
      </c>
      <c r="V11" s="2041">
        <f ca="1">IF(W11=0,1,IF(W11&lt;=1,1,IF(W11&gt;1.1,-1,0)))</f>
        <v>1</v>
      </c>
      <c r="W11" s="1840">
        <f ca="1">IF(T11&lt;0,ROUND((U11-T11)/ABS(T11),3),IF(T11=0,0,ROUND(U11/T11,3)))</f>
        <v>0.86699999999999999</v>
      </c>
    </row>
    <row r="12" spans="1:23" ht="14.25" customHeight="1" thickBot="1" x14ac:dyDescent="0.2">
      <c r="A12" s="1121" t="s">
        <v>378</v>
      </c>
      <c r="B12" s="1790" t="s">
        <v>97</v>
      </c>
      <c r="C12" s="2217"/>
      <c r="D12" s="2219"/>
      <c r="E12" s="1821" t="s">
        <v>35</v>
      </c>
      <c r="F12" s="1813">
        <f>IF(F$2&gt;$G$1,'☆事業所損益管理(H30.9～H31.8)(計画)'!F12,
GETPIVOTDATA("合計 / " &amp; $B12,【ピボット】事業所収支!$A$3,"年月",F$2,"事業所",$A12))</f>
        <v>830297</v>
      </c>
      <c r="G12" s="1814">
        <f>IF(G$2&gt;$G$1,'☆事業所損益管理(H30.9～H31.8)(計画)'!G12,
GETPIVOTDATA("合計 / " &amp; $B12,【ピボット】事業所収支!$A$3,"年月",G$2,"事業所",$A12))</f>
        <v>1854621</v>
      </c>
      <c r="H12" s="1814">
        <f>IF(H$2&gt;$G$1,'☆事業所損益管理(H30.9～H31.8)(計画)'!H12,
GETPIVOTDATA("合計 / " &amp; $B12,【ピボット】事業所収支!$A$3,"年月",H$2,"事業所",$A12))</f>
        <v>1365541</v>
      </c>
      <c r="I12" s="1814">
        <f>IF(I$2&gt;$G$1,'☆事業所損益管理(H30.9～H31.8)(計画)'!I12,
GETPIVOTDATA("合計 / " &amp; $B12,【ピボット】事業所収支!$A$3,"年月",I$2,"事業所",$A12))</f>
        <v>1361625</v>
      </c>
      <c r="J12" s="1814">
        <f>IF(J$2&gt;$G$1,'☆事業所損益管理(H30.9～H31.8)(計画)'!J12,
GETPIVOTDATA("合計 / " &amp; $B12,【ピボット】事業所収支!$A$3,"年月",J$2,"事業所",$A12))</f>
        <v>1548843</v>
      </c>
      <c r="K12" s="1814">
        <f>IF(K$2&gt;$G$1,'☆事業所損益管理(H30.9～H31.8)(計画)'!K12,
GETPIVOTDATA("合計 / " &amp; $B12,【ピボット】事業所収支!$A$3,"年月",K$2,"事業所",$A12))</f>
        <v>1273886</v>
      </c>
      <c r="L12" s="1814">
        <f>IF(L$2&gt;$G$1,'☆事業所損益管理(H30.9～H31.8)(計画)'!L12,
GETPIVOTDATA("合計 / " &amp; $B12,【ピボット】事業所収支!$A$3,"年月",L$2,"事業所",$A12))</f>
        <v>1155405</v>
      </c>
      <c r="M12" s="1814">
        <f>IF(M$2&gt;$G$1,'☆事業所損益管理(H30.9～H31.8)(計画)'!M12,
GETPIVOTDATA("合計 / " &amp; $B12,【ピボット】事業所収支!$A$3,"年月",M$2,"事業所",$A12))</f>
        <v>1067661</v>
      </c>
      <c r="N12" s="1891">
        <f>IF(N$2&gt;$G$1,'☆事業所損益管理(H30.9～H31.8)(計画)'!N12,
GETPIVOTDATA("合計 / " &amp; $B12,【ピボット】事業所収支!$A$3,"年月",N$2,"事業所",$A12))</f>
        <v>1400000</v>
      </c>
      <c r="O12" s="1891">
        <f>IF(O$2&gt;$G$1,'☆事業所損益管理(H30.9～H31.8)(計画)'!O12,
GETPIVOTDATA("合計 / " &amp; $B12,【ピボット】事業所収支!$A$3,"年月",O$2,"事業所",$A12))</f>
        <v>1400000</v>
      </c>
      <c r="P12" s="1891">
        <f>IF(P$2&gt;$G$1,'☆事業所損益管理(H30.9～H31.8)(計画)'!P12,
GETPIVOTDATA("合計 / " &amp; $B12,【ピボット】事業所収支!$A$3,"年月",P$2,"事業所",$A12))</f>
        <v>1400000</v>
      </c>
      <c r="Q12" s="1892">
        <f>IF(Q$2&gt;$G$1,'☆事業所損益管理(H30.9～H31.8)(計画)'!Q12,
GETPIVOTDATA("合計 / " &amp; $B12,【ピボット】事業所収支!$A$3,"年月",Q$2,"事業所",$A12))</f>
        <v>1400000</v>
      </c>
      <c r="R12" s="1843">
        <f t="shared" ca="1" si="6"/>
        <v>10457879</v>
      </c>
      <c r="S12" s="1843">
        <f t="shared" ca="1" si="7"/>
        <v>1307234.875</v>
      </c>
      <c r="T12" s="539">
        <f t="shared" si="8"/>
        <v>16057879</v>
      </c>
      <c r="U12" s="1825">
        <f t="shared" ca="1" si="9"/>
        <v>15686818.5</v>
      </c>
      <c r="V12" s="2041">
        <f ca="1">IF(W12=0,1,IF(W12&lt;=1,1,IF(W12&gt;1.1,-1,0)))</f>
        <v>1</v>
      </c>
      <c r="W12" s="1840">
        <f ca="1">IF(T12&lt;0,ROUND((U12-T12)/ABS(T12),3),IF(T12=0,0,ROUND(U12/T12,3)))</f>
        <v>0.97699999999999998</v>
      </c>
    </row>
    <row r="13" spans="1:23" ht="14.25" customHeight="1" thickBot="1" x14ac:dyDescent="0.2">
      <c r="A13" s="1121" t="s">
        <v>378</v>
      </c>
      <c r="C13" s="2217"/>
      <c r="D13" s="2219"/>
      <c r="E13" s="1821" t="s">
        <v>1198</v>
      </c>
      <c r="F13" s="1823">
        <f>F9-(F10+F12)</f>
        <v>4680715</v>
      </c>
      <c r="G13" s="1824">
        <f>G9-(G10+G12)</f>
        <v>3806189</v>
      </c>
      <c r="H13" s="1824">
        <f>H9-(H10+H12)</f>
        <v>4514881</v>
      </c>
      <c r="I13" s="1824">
        <f t="shared" ref="I13:Q13" si="10">I9-(I10+I12)</f>
        <v>404505</v>
      </c>
      <c r="J13" s="1824">
        <f t="shared" si="10"/>
        <v>4013604</v>
      </c>
      <c r="K13" s="1824">
        <f t="shared" si="10"/>
        <v>3207150</v>
      </c>
      <c r="L13" s="1824">
        <f t="shared" si="10"/>
        <v>4490808</v>
      </c>
      <c r="M13" s="1824">
        <f t="shared" si="10"/>
        <v>5242256</v>
      </c>
      <c r="N13" s="1893">
        <f t="shared" si="10"/>
        <v>3600000</v>
      </c>
      <c r="O13" s="1893">
        <f t="shared" si="10"/>
        <v>-100000</v>
      </c>
      <c r="P13" s="1893">
        <f t="shared" si="10"/>
        <v>3600000</v>
      </c>
      <c r="Q13" s="1894">
        <f t="shared" si="10"/>
        <v>3600000</v>
      </c>
      <c r="R13" s="1843">
        <f t="shared" ca="1" si="6"/>
        <v>30360108</v>
      </c>
      <c r="S13" s="1843">
        <f t="shared" ca="1" si="7"/>
        <v>3795013.5</v>
      </c>
      <c r="T13" s="539">
        <f t="shared" si="8"/>
        <v>41060108</v>
      </c>
      <c r="U13" s="1825">
        <f t="shared" ca="1" si="9"/>
        <v>45540162</v>
      </c>
      <c r="V13" s="2043">
        <f ca="1">IFERROR(IF(W13&gt;=0,1,IF(W13&lt;-0.1,-1,0)),1)</f>
        <v>1</v>
      </c>
      <c r="W13" s="1840">
        <f ca="1">IF(T13=0,1-(U10+U12)/U9,IF(T13=U13,0,ROUND((U13-T13)/ABS(T13),3)))</f>
        <v>0.109</v>
      </c>
    </row>
    <row r="14" spans="1:23" ht="14.25" customHeight="1" thickBot="1" x14ac:dyDescent="0.2">
      <c r="A14" s="1121" t="s">
        <v>379</v>
      </c>
      <c r="B14" s="1121" t="str">
        <f>E14</f>
        <v>売上</v>
      </c>
      <c r="C14" s="2217" t="s">
        <v>37</v>
      </c>
      <c r="D14" s="2218" t="s">
        <v>1441</v>
      </c>
      <c r="E14" s="1820" t="s">
        <v>26</v>
      </c>
      <c r="F14" s="1811">
        <f>IF(F$2&gt;$G$1,'☆事業所損益管理(H30.9～H31.8)(計画)'!F16,
GETPIVOTDATA("合計 / " &amp; $B14,【ピボット】事業所収支!$A$3,"年月",F$2,"事業所",$A14))</f>
        <v>6157056</v>
      </c>
      <c r="G14" s="1812">
        <f>IF(G$2&gt;$G$1,'☆事業所損益管理(H30.9～H31.8)(計画)'!G16,
GETPIVOTDATA("合計 / " &amp; $B14,【ピボット】事業所収支!$A$3,"年月",G$2,"事業所",$A14))</f>
        <v>7557882</v>
      </c>
      <c r="H14" s="1812">
        <f>IF(H$2&gt;$G$1,'☆事業所損益管理(H30.9～H31.8)(計画)'!H16,
GETPIVOTDATA("合計 / " &amp; $B14,【ピボット】事業所収支!$A$3,"年月",H$2,"事業所",$A14))</f>
        <v>7285298</v>
      </c>
      <c r="I14" s="1812">
        <f>IF(I$2&gt;$G$1,'☆事業所損益管理(H30.9～H31.8)(計画)'!I16,
GETPIVOTDATA("合計 / " &amp; $B14,【ピボット】事業所収支!$A$3,"年月",I$2,"事業所",$A14))</f>
        <v>6678253</v>
      </c>
      <c r="J14" s="1812">
        <f>IF(J$2&gt;$G$1,'☆事業所損益管理(H30.9～H31.8)(計画)'!J16,
GETPIVOTDATA("合計 / " &amp; $B14,【ピボット】事業所収支!$A$3,"年月",J$2,"事業所",$A14))</f>
        <v>5940817</v>
      </c>
      <c r="K14" s="1812">
        <f>IF(K$2&gt;$G$1,'☆事業所損益管理(H30.9～H31.8)(計画)'!K16,
GETPIVOTDATA("合計 / " &amp; $B14,【ピボット】事業所収支!$A$3,"年月",K$2,"事業所",$A14))</f>
        <v>6270597</v>
      </c>
      <c r="L14" s="1812">
        <f>IF(L$2&gt;$G$1,'☆事業所損益管理(H30.9～H31.8)(計画)'!L16,
GETPIVOTDATA("合計 / " &amp; $B14,【ピボット】事業所収支!$A$3,"年月",L$2,"事業所",$A14))</f>
        <v>5457771</v>
      </c>
      <c r="M14" s="1812">
        <f>IF(M$2&gt;$G$1,'☆事業所損益管理(H30.9～H31.8)(計画)'!M16,
GETPIVOTDATA("合計 / " &amp; $B14,【ピボット】事業所収支!$A$3,"年月",M$2,"事業所",$A14))</f>
        <v>6262229</v>
      </c>
      <c r="N14" s="1889">
        <f>IF(N$2&gt;$G$1,'☆事業所損益管理(H30.9～H31.8)(計画)'!N16,
GETPIVOTDATA("合計 / " &amp; $B14,【ピボット】事業所収支!$A$3,"年月",N$2,"事業所",$A14))</f>
        <v>7000000</v>
      </c>
      <c r="O14" s="1889">
        <f>IF(O$2&gt;$G$1,'☆事業所損益管理(H30.9～H31.8)(計画)'!O16,
GETPIVOTDATA("合計 / " &amp; $B14,【ピボット】事業所収支!$A$3,"年月",O$2,"事業所",$A14))</f>
        <v>7000000</v>
      </c>
      <c r="P14" s="1889">
        <f>IF(P$2&gt;$G$1,'☆事業所損益管理(H30.9～H31.8)(計画)'!P16,
GETPIVOTDATA("合計 / " &amp; $B14,【ピボット】事業所収支!$A$3,"年月",P$2,"事業所",$A14))</f>
        <v>6900000</v>
      </c>
      <c r="Q14" s="1890">
        <f>IF(Q$2&gt;$G$1,'☆事業所損益管理(H30.9～H31.8)(計画)'!Q16,
GETPIVOTDATA("合計 / " &amp; $B14,【ピボット】事業所収支!$A$3,"年月",Q$2,"事業所",$A14))</f>
        <v>6900000</v>
      </c>
      <c r="R14" s="1842">
        <f t="shared" ca="1" si="6"/>
        <v>51609903</v>
      </c>
      <c r="S14" s="1842">
        <f t="shared" ca="1" si="7"/>
        <v>6451237.875</v>
      </c>
      <c r="T14" s="538">
        <f t="shared" si="8"/>
        <v>79409903</v>
      </c>
      <c r="U14" s="1827">
        <f t="shared" ca="1" si="9"/>
        <v>77414854.5</v>
      </c>
      <c r="V14" s="2040">
        <f ca="1">IF(W14=0,1,IF(W14&gt;=1,1,IF(W14&lt;0.9,-1,0)))</f>
        <v>0</v>
      </c>
      <c r="W14" s="1839">
        <f ca="1">IF(T14&lt;0,ROUND((U14-T14)/ABS(T14),3),IF(T14=0,0,ROUND(U14/T14,3)))</f>
        <v>0.97499999999999998</v>
      </c>
    </row>
    <row r="15" spans="1:23" ht="14.25" customHeight="1" thickBot="1" x14ac:dyDescent="0.2">
      <c r="A15" s="1121" t="s">
        <v>379</v>
      </c>
      <c r="B15" s="1121" t="str">
        <f>E15</f>
        <v>人件費</v>
      </c>
      <c r="C15" s="2217"/>
      <c r="D15" s="2219"/>
      <c r="E15" s="1821" t="s">
        <v>15</v>
      </c>
      <c r="F15" s="1813">
        <f>IF(F$2&gt;$G$1,'☆事業所損益管理(H30.9～H31.8)(計画)'!F17,
GETPIVOTDATA("合計 / " &amp; $B15,【ピボット】事業所収支!$A$3,"年月",F$2,"事業所",$A15))</f>
        <v>4414583</v>
      </c>
      <c r="G15" s="1814">
        <f>IF(G$2&gt;$G$1,'☆事業所損益管理(H30.9～H31.8)(計画)'!G17,
GETPIVOTDATA("合計 / " &amp; $B15,【ピボット】事業所収支!$A$3,"年月",G$2,"事業所",$A15))</f>
        <v>4314050</v>
      </c>
      <c r="H15" s="1814">
        <f>IF(H$2&gt;$G$1,'☆事業所損益管理(H30.9～H31.8)(計画)'!H17,
GETPIVOTDATA("合計 / " &amp; $B15,【ピボット】事業所収支!$A$3,"年月",H$2,"事業所",$A15))</f>
        <v>4376006</v>
      </c>
      <c r="I15" s="1814">
        <f>IF(I$2&gt;$G$1,'☆事業所損益管理(H30.9～H31.8)(計画)'!I17,
GETPIVOTDATA("合計 / " &amp; $B15,【ピボット】事業所収支!$A$3,"年月",I$2,"事業所",$A15))</f>
        <v>7308069</v>
      </c>
      <c r="J15" s="1814">
        <f>IF(J$2&gt;$G$1,'☆事業所損益管理(H30.9～H31.8)(計画)'!J17,
GETPIVOTDATA("合計 / " &amp; $B15,【ピボット】事業所収支!$A$3,"年月",J$2,"事業所",$A15))</f>
        <v>4007265</v>
      </c>
      <c r="K15" s="1814">
        <f>IF(K$2&gt;$G$1,'☆事業所損益管理(H30.9～H31.8)(計画)'!K17,
GETPIVOTDATA("合計 / " &amp; $B15,【ピボット】事業所収支!$A$3,"年月",K$2,"事業所",$A15))</f>
        <v>3563976</v>
      </c>
      <c r="L15" s="1814">
        <f>IF(L$2&gt;$G$1,'☆事業所損益管理(H30.9～H31.8)(計画)'!L17,
GETPIVOTDATA("合計 / " &amp; $B15,【ピボット】事業所収支!$A$3,"年月",L$2,"事業所",$A15))</f>
        <v>3399432</v>
      </c>
      <c r="M15" s="1814">
        <f>IF(M$2&gt;$G$1,'☆事業所損益管理(H30.9～H31.8)(計画)'!M17,
GETPIVOTDATA("合計 / " &amp; $B15,【ピボット】事業所収支!$A$3,"年月",M$2,"事業所",$A15))</f>
        <v>3585412</v>
      </c>
      <c r="N15" s="1891">
        <f>IF(N$2&gt;$G$1,'☆事業所損益管理(H30.9～H31.8)(計画)'!N17,
GETPIVOTDATA("合計 / " &amp; $B15,【ピボット】事業所収支!$A$3,"年月",N$2,"事業所",$A15))</f>
        <v>4200000</v>
      </c>
      <c r="O15" s="1891">
        <f>IF(O$2&gt;$G$1,'☆事業所損益管理(H30.9～H31.8)(計画)'!O17,
GETPIVOTDATA("合計 / " &amp; $B15,【ピボット】事業所収支!$A$3,"年月",O$2,"事業所",$A15))</f>
        <v>8400000</v>
      </c>
      <c r="P15" s="1891">
        <f>IF(P$2&gt;$G$1,'☆事業所損益管理(H30.9～H31.8)(計画)'!P17,
GETPIVOTDATA("合計 / " &amp; $B15,【ピボット】事業所収支!$A$3,"年月",P$2,"事業所",$A15))</f>
        <v>4200000</v>
      </c>
      <c r="Q15" s="1892">
        <f>IF(Q$2&gt;$G$1,'☆事業所損益管理(H30.9～H31.8)(計画)'!Q17,
GETPIVOTDATA("合計 / " &amp; $B15,【ピボット】事業所収支!$A$3,"年月",Q$2,"事業所",$A15))</f>
        <v>4200000</v>
      </c>
      <c r="R15" s="1843">
        <f t="shared" ca="1" si="6"/>
        <v>34968793</v>
      </c>
      <c r="S15" s="1843">
        <f t="shared" ca="1" si="7"/>
        <v>4371099.125</v>
      </c>
      <c r="T15" s="539">
        <f t="shared" si="8"/>
        <v>55968793</v>
      </c>
      <c r="U15" s="1825">
        <f t="shared" ca="1" si="9"/>
        <v>52453189.5</v>
      </c>
      <c r="V15" s="2041">
        <f ca="1">IF(W15=0,1,IF(W15&lt;=1,1,IF(W15&gt;1.1,-1,0)))</f>
        <v>1</v>
      </c>
      <c r="W15" s="1840">
        <f ca="1">IF(T15&lt;0,ROUND((U15-T15)/ABS(T15),3),IF(T15=0,0,ROUND(U15/T15,3)))</f>
        <v>0.93700000000000006</v>
      </c>
    </row>
    <row r="16" spans="1:23" ht="14.25" customHeight="1" thickBot="1" x14ac:dyDescent="0.2">
      <c r="A16" s="1121" t="s">
        <v>379</v>
      </c>
      <c r="B16" s="1121" t="str">
        <f>E16</f>
        <v>広告経費</v>
      </c>
      <c r="C16" s="2217"/>
      <c r="D16" s="2219"/>
      <c r="E16" s="1821" t="s">
        <v>447</v>
      </c>
      <c r="F16" s="1813">
        <f>IF(F$2&gt;$G$1,'☆事業所損益管理(H30.9～H31.8)(計画)'!F18,
GETPIVOTDATA("合計 / " &amp; $B16,【ピボット】事業所収支!$A$3,"年月",F$2,"事業所",$A16))</f>
        <v>52166</v>
      </c>
      <c r="G16" s="1814">
        <f>IF(G$2&gt;$G$1,'☆事業所損益管理(H30.9～H31.8)(計画)'!G18,
GETPIVOTDATA("合計 / " &amp; $B16,【ピボット】事業所収支!$A$3,"年月",G$2,"事業所",$A16))</f>
        <v>108000</v>
      </c>
      <c r="H16" s="1814">
        <f>IF(H$2&gt;$G$1,'☆事業所損益管理(H30.9～H31.8)(計画)'!H18,
GETPIVOTDATA("合計 / " &amp; $B16,【ピボット】事業所収支!$A$3,"年月",H$2,"事業所",$A16))</f>
        <v>0</v>
      </c>
      <c r="I16" s="1814">
        <f>IF(I$2&gt;$G$1,'☆事業所損益管理(H30.9～H31.8)(計画)'!I18,
GETPIVOTDATA("合計 / " &amp; $B16,【ピボット】事業所収支!$A$3,"年月",I$2,"事業所",$A16))</f>
        <v>0</v>
      </c>
      <c r="J16" s="1814">
        <f>IF(J$2&gt;$G$1,'☆事業所損益管理(H30.9～H31.8)(計画)'!J18,
GETPIVOTDATA("合計 / " &amp; $B16,【ピボット】事業所収支!$A$3,"年月",J$2,"事業所",$A16))</f>
        <v>51840</v>
      </c>
      <c r="K16" s="1814">
        <f>IF(K$2&gt;$G$1,'☆事業所損益管理(H30.9～H31.8)(計画)'!K18,
GETPIVOTDATA("合計 / " &amp; $B16,【ピボット】事業所収支!$A$3,"年月",K$2,"事業所",$A16))</f>
        <v>0</v>
      </c>
      <c r="L16" s="1814">
        <f>IF(L$2&gt;$G$1,'☆事業所損益管理(H30.9～H31.8)(計画)'!L18,
GETPIVOTDATA("合計 / " &amp; $B16,【ピボット】事業所収支!$A$3,"年月",L$2,"事業所",$A16))</f>
        <v>0</v>
      </c>
      <c r="M16" s="1814">
        <f>IF(M$2&gt;$G$1,'☆事業所損益管理(H30.9～H31.8)(計画)'!M18,
GETPIVOTDATA("合計 / " &amp; $B16,【ピボット】事業所収支!$A$3,"年月",M$2,"事業所",$A16))</f>
        <v>0</v>
      </c>
      <c r="N16" s="1891">
        <f>IF(N$2&gt;$G$1,'☆事業所損益管理(H30.9～H31.8)(計画)'!N18,
GETPIVOTDATA("合計 / " &amp; $B16,【ピボット】事業所収支!$A$3,"年月",N$2,"事業所",$A16))</f>
        <v>50000</v>
      </c>
      <c r="O16" s="1891">
        <f>IF(O$2&gt;$G$1,'☆事業所損益管理(H30.9～H31.8)(計画)'!O18,
GETPIVOTDATA("合計 / " &amp; $B16,【ピボット】事業所収支!$A$3,"年月",O$2,"事業所",$A16))</f>
        <v>50000</v>
      </c>
      <c r="P16" s="1891">
        <f>IF(P$2&gt;$G$1,'☆事業所損益管理(H30.9～H31.8)(計画)'!P18,
GETPIVOTDATA("合計 / " &amp; $B16,【ピボット】事業所収支!$A$3,"年月",P$2,"事業所",$A16))</f>
        <v>50000</v>
      </c>
      <c r="Q16" s="1892">
        <f>IF(Q$2&gt;$G$1,'☆事業所損益管理(H30.9～H31.8)(計画)'!Q18,
GETPIVOTDATA("合計 / " &amp; $B16,【ピボット】事業所収支!$A$3,"年月",Q$2,"事業所",$A16))</f>
        <v>50000</v>
      </c>
      <c r="R16" s="1843">
        <f t="shared" ca="1" si="6"/>
        <v>212006</v>
      </c>
      <c r="S16" s="1843">
        <f t="shared" ca="1" si="7"/>
        <v>26500.75</v>
      </c>
      <c r="T16" s="539">
        <f t="shared" si="8"/>
        <v>412006</v>
      </c>
      <c r="U16" s="1825">
        <f t="shared" ca="1" si="9"/>
        <v>318009</v>
      </c>
      <c r="V16" s="2041">
        <f ca="1">IF(W16=0,1,IF(W16&lt;=1,1,IF(W16&gt;1.1,-1,0)))</f>
        <v>1</v>
      </c>
      <c r="W16" s="1840">
        <f ca="1">IF(T16&lt;0,ROUND((U16-T16)/ABS(T16),3),IF(T16=0,0,ROUND(U16/T16,3)))</f>
        <v>0.77200000000000002</v>
      </c>
    </row>
    <row r="17" spans="1:23" ht="14.25" customHeight="1" thickBot="1" x14ac:dyDescent="0.2">
      <c r="A17" s="1121" t="s">
        <v>379</v>
      </c>
      <c r="B17" s="1790" t="s">
        <v>1230</v>
      </c>
      <c r="C17" s="2217"/>
      <c r="D17" s="2219"/>
      <c r="E17" s="1821" t="s">
        <v>35</v>
      </c>
      <c r="F17" s="1813">
        <f>IF(F$2&gt;$G$1,'☆事業所損益管理(H30.9～H31.8)(計画)'!F19,
GETPIVOTDATA("合計 / " &amp; $B17,【ピボット】事業所収支!$A$3,"年月",F$2,"事業所",$A17))</f>
        <v>1096851</v>
      </c>
      <c r="G17" s="1814">
        <f>IF(G$2&gt;$G$1,'☆事業所損益管理(H30.9～H31.8)(計画)'!G19,
GETPIVOTDATA("合計 / " &amp; $B17,【ピボット】事業所収支!$A$3,"年月",G$2,"事業所",$A17))</f>
        <v>1080585</v>
      </c>
      <c r="H17" s="1814">
        <f>IF(H$2&gt;$G$1,'☆事業所損益管理(H30.9～H31.8)(計画)'!H19,
GETPIVOTDATA("合計 / " &amp; $B17,【ピボット】事業所収支!$A$3,"年月",H$2,"事業所",$A17))</f>
        <v>906143</v>
      </c>
      <c r="I17" s="1814">
        <f>IF(I$2&gt;$G$1,'☆事業所損益管理(H30.9～H31.8)(計画)'!I19,
GETPIVOTDATA("合計 / " &amp; $B17,【ピボット】事業所収支!$A$3,"年月",I$2,"事業所",$A17))</f>
        <v>864935</v>
      </c>
      <c r="J17" s="1814">
        <f>IF(J$2&gt;$G$1,'☆事業所損益管理(H30.9～H31.8)(計画)'!J19,
GETPIVOTDATA("合計 / " &amp; $B17,【ピボット】事業所収支!$A$3,"年月",J$2,"事業所",$A17))</f>
        <v>894137</v>
      </c>
      <c r="K17" s="1814">
        <f>IF(K$2&gt;$G$1,'☆事業所損益管理(H30.9～H31.8)(計画)'!K19,
GETPIVOTDATA("合計 / " &amp; $B17,【ピボット】事業所収支!$A$3,"年月",K$2,"事業所",$A17))</f>
        <v>861953</v>
      </c>
      <c r="L17" s="1814">
        <f>IF(L$2&gt;$G$1,'☆事業所損益管理(H30.9～H31.8)(計画)'!L19,
GETPIVOTDATA("合計 / " &amp; $B17,【ピボット】事業所収支!$A$3,"年月",L$2,"事業所",$A17))</f>
        <v>817415</v>
      </c>
      <c r="M17" s="1814">
        <f>IF(M$2&gt;$G$1,'☆事業所損益管理(H30.9～H31.8)(計画)'!M19,
GETPIVOTDATA("合計 / " &amp; $B17,【ピボット】事業所収支!$A$3,"年月",M$2,"事業所",$A17))</f>
        <v>946371</v>
      </c>
      <c r="N17" s="1891">
        <f>IF(N$2&gt;$G$1,'☆事業所損益管理(H30.9～H31.8)(計画)'!N19,
GETPIVOTDATA("合計 / " &amp; $B17,【ピボット】事業所収支!$A$3,"年月",N$2,"事業所",$A17))</f>
        <v>1000000</v>
      </c>
      <c r="O17" s="1891">
        <f>IF(O$2&gt;$G$1,'☆事業所損益管理(H30.9～H31.8)(計画)'!O19,
GETPIVOTDATA("合計 / " &amp; $B17,【ピボット】事業所収支!$A$3,"年月",O$2,"事業所",$A17))</f>
        <v>1000000</v>
      </c>
      <c r="P17" s="1891">
        <f>IF(P$2&gt;$G$1,'☆事業所損益管理(H30.9～H31.8)(計画)'!P19,
GETPIVOTDATA("合計 / " &amp; $B17,【ピボット】事業所収支!$A$3,"年月",P$2,"事業所",$A17))</f>
        <v>1000000</v>
      </c>
      <c r="Q17" s="1892">
        <f>IF(Q$2&gt;$G$1,'☆事業所損益管理(H30.9～H31.8)(計画)'!Q19,
GETPIVOTDATA("合計 / " &amp; $B17,【ピボット】事業所収支!$A$3,"年月",Q$2,"事業所",$A17))</f>
        <v>1000000</v>
      </c>
      <c r="R17" s="1843">
        <f t="shared" ca="1" si="6"/>
        <v>7468390</v>
      </c>
      <c r="S17" s="1843">
        <f t="shared" ca="1" si="7"/>
        <v>933548.75</v>
      </c>
      <c r="T17" s="539">
        <f t="shared" si="8"/>
        <v>11468390</v>
      </c>
      <c r="U17" s="1825">
        <f t="shared" ca="1" si="9"/>
        <v>11202585</v>
      </c>
      <c r="V17" s="2041">
        <f ca="1">IF(W17=0,1,IF(W17&lt;=1,1,IF(W17&gt;1.1,-1,0)))</f>
        <v>1</v>
      </c>
      <c r="W17" s="1840">
        <f ca="1">IF(T17&lt;0,ROUND((U17-T17)/ABS(T17),3),IF(T17=0,0,ROUND(U17/T17,3)))</f>
        <v>0.97699999999999998</v>
      </c>
    </row>
    <row r="18" spans="1:23" ht="14.25" customHeight="1" thickBot="1" x14ac:dyDescent="0.2">
      <c r="A18" s="1121" t="s">
        <v>379</v>
      </c>
      <c r="C18" s="2217"/>
      <c r="D18" s="2219"/>
      <c r="E18" s="1821" t="s">
        <v>1434</v>
      </c>
      <c r="F18" s="1823">
        <f>F14-(F15+F17)</f>
        <v>645622</v>
      </c>
      <c r="G18" s="1824">
        <f>G14-(G15+G17)</f>
        <v>2163247</v>
      </c>
      <c r="H18" s="1824">
        <f>H14-(H15+H17)</f>
        <v>2003149</v>
      </c>
      <c r="I18" s="1824">
        <f t="shared" ref="I18:Q18" si="11">I14-(I15+I17)</f>
        <v>-1494751</v>
      </c>
      <c r="J18" s="1824">
        <f t="shared" si="11"/>
        <v>1039415</v>
      </c>
      <c r="K18" s="1824">
        <f t="shared" si="11"/>
        <v>1844668</v>
      </c>
      <c r="L18" s="1824">
        <f t="shared" si="11"/>
        <v>1240924</v>
      </c>
      <c r="M18" s="1824">
        <f t="shared" si="11"/>
        <v>1730446</v>
      </c>
      <c r="N18" s="1893">
        <f t="shared" si="11"/>
        <v>1800000</v>
      </c>
      <c r="O18" s="1893">
        <f t="shared" si="11"/>
        <v>-2400000</v>
      </c>
      <c r="P18" s="1893">
        <f t="shared" si="11"/>
        <v>1700000</v>
      </c>
      <c r="Q18" s="1894">
        <f t="shared" si="11"/>
        <v>1700000</v>
      </c>
      <c r="R18" s="1843">
        <f t="shared" ca="1" si="6"/>
        <v>9172720</v>
      </c>
      <c r="S18" s="1843">
        <f t="shared" ca="1" si="7"/>
        <v>1146590</v>
      </c>
      <c r="T18" s="539">
        <f t="shared" si="8"/>
        <v>11972720</v>
      </c>
      <c r="U18" s="1825">
        <f t="shared" ca="1" si="9"/>
        <v>13759080</v>
      </c>
      <c r="V18" s="2043">
        <f ca="1">IFERROR(IF(W18&gt;=0,1,IF(W18&lt;-0.1,-1,0)),1)</f>
        <v>1</v>
      </c>
      <c r="W18" s="1840">
        <f ca="1">IF(T18=0,1-(U15+U17)/U14,IF(T18=U18,0,ROUND((U18-T18)/ABS(T18),3)))</f>
        <v>0.14899999999999999</v>
      </c>
    </row>
    <row r="19" spans="1:23" ht="14.25" customHeight="1" thickBot="1" x14ac:dyDescent="0.2">
      <c r="A19" s="1121" t="s">
        <v>380</v>
      </c>
      <c r="B19" s="1121" t="str">
        <f>E19</f>
        <v>売上</v>
      </c>
      <c r="C19" s="2217" t="s">
        <v>66</v>
      </c>
      <c r="D19" s="2218" t="s">
        <v>1441</v>
      </c>
      <c r="E19" s="1820" t="s">
        <v>26</v>
      </c>
      <c r="F19" s="1811">
        <f>IF(F$2&gt;$G$1,'☆事業所損益管理(H30.9～H31.8)(計画)'!F23,
GETPIVOTDATA("合計 / " &amp; $B19,【ピボット】事業所収支!$A$3,"年月",F$2,"事業所",$A19))</f>
        <v>6774361</v>
      </c>
      <c r="G19" s="1812">
        <f>IF(G$2&gt;$G$1,'☆事業所損益管理(H30.9～H31.8)(計画)'!G23,
GETPIVOTDATA("合計 / " &amp; $B19,【ピボット】事業所収支!$A$3,"年月",G$2,"事業所",$A19))</f>
        <v>7419604</v>
      </c>
      <c r="H19" s="1812">
        <f>IF(H$2&gt;$G$1,'☆事業所損益管理(H30.9～H31.8)(計画)'!H23,
GETPIVOTDATA("合計 / " &amp; $B19,【ピボット】事業所収支!$A$3,"年月",H$2,"事業所",$A19))</f>
        <v>7099035</v>
      </c>
      <c r="I19" s="1812">
        <f>IF(I$2&gt;$G$1,'☆事業所損益管理(H30.9～H31.8)(計画)'!I23,
GETPIVOTDATA("合計 / " &amp; $B19,【ピボット】事業所収支!$A$3,"年月",I$2,"事業所",$A19))</f>
        <v>7065580</v>
      </c>
      <c r="J19" s="1812">
        <f>IF(J$2&gt;$G$1,'☆事業所損益管理(H30.9～H31.8)(計画)'!J23,
GETPIVOTDATA("合計 / " &amp; $B19,【ピボット】事業所収支!$A$3,"年月",J$2,"事業所",$A19))</f>
        <v>7041908</v>
      </c>
      <c r="K19" s="1812">
        <f>IF(K$2&gt;$G$1,'☆事業所損益管理(H30.9～H31.8)(計画)'!K23,
GETPIVOTDATA("合計 / " &amp; $B19,【ピボット】事業所収支!$A$3,"年月",K$2,"事業所",$A19))</f>
        <v>6369053</v>
      </c>
      <c r="L19" s="1812">
        <f>IF(L$2&gt;$G$1,'☆事業所損益管理(H30.9～H31.8)(計画)'!L23,
GETPIVOTDATA("合計 / " &amp; $B19,【ピボット】事業所収支!$A$3,"年月",L$2,"事業所",$A19))</f>
        <v>6979599</v>
      </c>
      <c r="M19" s="1812">
        <f>IF(M$2&gt;$G$1,'☆事業所損益管理(H30.9～H31.8)(計画)'!M23,
GETPIVOTDATA("合計 / " &amp; $B19,【ピボット】事業所収支!$A$3,"年月",M$2,"事業所",$A19))</f>
        <v>7110420</v>
      </c>
      <c r="N19" s="1889">
        <f>IF(N$2&gt;$G$1,'☆事業所損益管理(H30.9～H31.8)(計画)'!N23,
GETPIVOTDATA("合計 / " &amp; $B19,【ピボット】事業所収支!$A$3,"年月",N$2,"事業所",$A19))</f>
        <v>7600000</v>
      </c>
      <c r="O19" s="1889">
        <f>IF(O$2&gt;$G$1,'☆事業所損益管理(H30.9～H31.8)(計画)'!O23,
GETPIVOTDATA("合計 / " &amp; $B19,【ピボット】事業所収支!$A$3,"年月",O$2,"事業所",$A19))</f>
        <v>7700000</v>
      </c>
      <c r="P19" s="1889">
        <f>IF(P$2&gt;$G$1,'☆事業所損益管理(H30.9～H31.8)(計画)'!P23,
GETPIVOTDATA("合計 / " &amp; $B19,【ピボット】事業所収支!$A$3,"年月",P$2,"事業所",$A19))</f>
        <v>7900000</v>
      </c>
      <c r="Q19" s="1890">
        <f>IF(Q$2&gt;$G$1,'☆事業所損益管理(H30.9～H31.8)(計画)'!Q23,
GETPIVOTDATA("合計 / " &amp; $B19,【ピボット】事業所収支!$A$3,"年月",Q$2,"事業所",$A19))</f>
        <v>8000000</v>
      </c>
      <c r="R19" s="1842">
        <f t="shared" ca="1" si="6"/>
        <v>55859560</v>
      </c>
      <c r="S19" s="1842">
        <f t="shared" ca="1" si="7"/>
        <v>6982445</v>
      </c>
      <c r="T19" s="538">
        <f t="shared" si="8"/>
        <v>87059560</v>
      </c>
      <c r="U19" s="1827">
        <f t="shared" ca="1" si="9"/>
        <v>83789340</v>
      </c>
      <c r="V19" s="2040">
        <f ca="1">IF(W19=0,1,IF(W19&gt;=1,1,IF(W19&lt;0.9,-1,0)))</f>
        <v>0</v>
      </c>
      <c r="W19" s="1839">
        <f ca="1">IF(T19&lt;0,ROUND((U19-T19)/ABS(T19),3),IF(T19=0,0,ROUND(U19/T19,3)))</f>
        <v>0.96199999999999997</v>
      </c>
    </row>
    <row r="20" spans="1:23" ht="14.25" customHeight="1" thickBot="1" x14ac:dyDescent="0.2">
      <c r="A20" s="1121" t="s">
        <v>380</v>
      </c>
      <c r="B20" s="1121" t="str">
        <f>E20</f>
        <v>人件費</v>
      </c>
      <c r="C20" s="2217"/>
      <c r="D20" s="2219"/>
      <c r="E20" s="1821" t="s">
        <v>15</v>
      </c>
      <c r="F20" s="1813">
        <f>IF(F$2&gt;$G$1,'☆事業所損益管理(H30.9～H31.8)(計画)'!F24,
GETPIVOTDATA("合計 / " &amp; $B20,【ピボット】事業所収支!$A$3,"年月",F$2,"事業所",$A20))</f>
        <v>4297759</v>
      </c>
      <c r="G20" s="1814">
        <f>IF(G$2&gt;$G$1,'☆事業所損益管理(H30.9～H31.8)(計画)'!G24,
GETPIVOTDATA("合計 / " &amp; $B20,【ピボット】事業所収支!$A$3,"年月",G$2,"事業所",$A20))</f>
        <v>4521609</v>
      </c>
      <c r="H20" s="1814">
        <f>IF(H$2&gt;$G$1,'☆事業所損益管理(H30.9～H31.8)(計画)'!H24,
GETPIVOTDATA("合計 / " &amp; $B20,【ピボット】事業所収支!$A$3,"年月",H$2,"事業所",$A20))</f>
        <v>4825792</v>
      </c>
      <c r="I20" s="1814">
        <f>IF(I$2&gt;$G$1,'☆事業所損益管理(H30.9～H31.8)(計画)'!I24,
GETPIVOTDATA("合計 / " &amp; $B20,【ピボット】事業所収支!$A$3,"年月",I$2,"事業所",$A20))</f>
        <v>8175324</v>
      </c>
      <c r="J20" s="1814">
        <f>IF(J$2&gt;$G$1,'☆事業所損益管理(H30.9～H31.8)(計画)'!J24,
GETPIVOTDATA("合計 / " &amp; $B20,【ピボット】事業所収支!$A$3,"年月",J$2,"事業所",$A20))</f>
        <v>4942279</v>
      </c>
      <c r="K20" s="1814">
        <f>IF(K$2&gt;$G$1,'☆事業所損益管理(H30.9～H31.8)(計画)'!K24,
GETPIVOTDATA("合計 / " &amp; $B20,【ピボット】事業所収支!$A$3,"年月",K$2,"事業所",$A20))</f>
        <v>4273487</v>
      </c>
      <c r="L20" s="1814">
        <f>IF(L$2&gt;$G$1,'☆事業所損益管理(H30.9～H31.8)(計画)'!L24,
GETPIVOTDATA("合計 / " &amp; $B20,【ピボット】事業所収支!$A$3,"年月",L$2,"事業所",$A20))</f>
        <v>4516581</v>
      </c>
      <c r="M20" s="1814">
        <f>IF(M$2&gt;$G$1,'☆事業所損益管理(H30.9～H31.8)(計画)'!M24,
GETPIVOTDATA("合計 / " &amp; $B20,【ピボット】事業所収支!$A$3,"年月",M$2,"事業所",$A20))</f>
        <v>4643324</v>
      </c>
      <c r="N20" s="1891">
        <f>IF(N$2&gt;$G$1,'☆事業所損益管理(H30.9～H31.8)(計画)'!N24,
GETPIVOTDATA("合計 / " &amp; $B20,【ピボット】事業所収支!$A$3,"年月",N$2,"事業所",$A20))</f>
        <v>4600000</v>
      </c>
      <c r="O20" s="1891">
        <f>IF(O$2&gt;$G$1,'☆事業所損益管理(H30.9～H31.8)(計画)'!O24,
GETPIVOTDATA("合計 / " &amp; $B20,【ピボット】事業所収支!$A$3,"年月",O$2,"事業所",$A20))</f>
        <v>9600000</v>
      </c>
      <c r="P20" s="1891">
        <f>IF(P$2&gt;$G$1,'☆事業所損益管理(H30.9～H31.8)(計画)'!P24,
GETPIVOTDATA("合計 / " &amp; $B20,【ピボット】事業所収支!$A$3,"年月",P$2,"事業所",$A20))</f>
        <v>4600000</v>
      </c>
      <c r="Q20" s="1892">
        <f>IF(Q$2&gt;$G$1,'☆事業所損益管理(H30.9～H31.8)(計画)'!Q24,
GETPIVOTDATA("合計 / " &amp; $B20,【ピボット】事業所収支!$A$3,"年月",Q$2,"事業所",$A20))</f>
        <v>4500000</v>
      </c>
      <c r="R20" s="1843">
        <f t="shared" ca="1" si="6"/>
        <v>40196155</v>
      </c>
      <c r="S20" s="1843">
        <f t="shared" ca="1" si="7"/>
        <v>5024519.375</v>
      </c>
      <c r="T20" s="539">
        <f t="shared" si="8"/>
        <v>63496155</v>
      </c>
      <c r="U20" s="1825">
        <f t="shared" ca="1" si="9"/>
        <v>60294232.5</v>
      </c>
      <c r="V20" s="2041">
        <f ca="1">IF(W20=0,1,IF(W20&lt;=1,1,IF(W20&gt;1.1,-1,0)))</f>
        <v>1</v>
      </c>
      <c r="W20" s="1840">
        <f ca="1">IF(T20&lt;0,ROUND((U20-T20)/ABS(T20),3),IF(T20=0,0,ROUND(U20/T20,3)))</f>
        <v>0.95</v>
      </c>
    </row>
    <row r="21" spans="1:23" ht="14.25" customHeight="1" thickBot="1" x14ac:dyDescent="0.2">
      <c r="A21" s="1121" t="s">
        <v>380</v>
      </c>
      <c r="B21" s="1121" t="str">
        <f>E21</f>
        <v>広告経費</v>
      </c>
      <c r="C21" s="2217"/>
      <c r="D21" s="2219"/>
      <c r="E21" s="1821" t="s">
        <v>447</v>
      </c>
      <c r="F21" s="1813">
        <f>IF(F$2&gt;$G$1,'☆事業所損益管理(H30.9～H31.8)(計画)'!F25,
GETPIVOTDATA("合計 / " &amp; $B21,【ピボット】事業所収支!$A$3,"年月",F$2,"事業所",$A21))</f>
        <v>47520</v>
      </c>
      <c r="G21" s="1814">
        <f>IF(G$2&gt;$G$1,'☆事業所損益管理(H30.9～H31.8)(計画)'!G25,
GETPIVOTDATA("合計 / " &amp; $B21,【ピボット】事業所収支!$A$3,"年月",G$2,"事業所",$A21))</f>
        <v>100440</v>
      </c>
      <c r="H21" s="1814">
        <f>IF(H$2&gt;$G$1,'☆事業所損益管理(H30.9～H31.8)(計画)'!H25,
GETPIVOTDATA("合計 / " &amp; $B21,【ピボット】事業所収支!$A$3,"年月",H$2,"事業所",$A21))</f>
        <v>64800</v>
      </c>
      <c r="I21" s="1814">
        <f>IF(I$2&gt;$G$1,'☆事業所損益管理(H30.9～H31.8)(計画)'!I25,
GETPIVOTDATA("合計 / " &amp; $B21,【ピボット】事業所収支!$A$3,"年月",I$2,"事業所",$A21))</f>
        <v>51840</v>
      </c>
      <c r="J21" s="1814">
        <f>IF(J$2&gt;$G$1,'☆事業所損益管理(H30.9～H31.8)(計画)'!J25,
GETPIVOTDATA("合計 / " &amp; $B21,【ピボット】事業所収支!$A$3,"年月",J$2,"事業所",$A21))</f>
        <v>0</v>
      </c>
      <c r="K21" s="1814">
        <f>IF(K$2&gt;$G$1,'☆事業所損益管理(H30.9～H31.8)(計画)'!K25,
GETPIVOTDATA("合計 / " &amp; $B21,【ピボット】事業所収支!$A$3,"年月",K$2,"事業所",$A21))</f>
        <v>0</v>
      </c>
      <c r="L21" s="1814">
        <f>IF(L$2&gt;$G$1,'☆事業所損益管理(H30.9～H31.8)(計画)'!L25,
GETPIVOTDATA("合計 / " &amp; $B21,【ピボット】事業所収支!$A$3,"年月",L$2,"事業所",$A21))</f>
        <v>0</v>
      </c>
      <c r="M21" s="1814">
        <f>IF(M$2&gt;$G$1,'☆事業所損益管理(H30.9～H31.8)(計画)'!M25,
GETPIVOTDATA("合計 / " &amp; $B21,【ピボット】事業所収支!$A$3,"年月",M$2,"事業所",$A21))</f>
        <v>0</v>
      </c>
      <c r="N21" s="1891">
        <f>IF(N$2&gt;$G$1,'☆事業所損益管理(H30.9～H31.8)(計画)'!N25,
GETPIVOTDATA("合計 / " &amp; $B21,【ピボット】事業所収支!$A$3,"年月",N$2,"事業所",$A21))</f>
        <v>100000</v>
      </c>
      <c r="O21" s="1891">
        <f>IF(O$2&gt;$G$1,'☆事業所損益管理(H30.9～H31.8)(計画)'!O25,
GETPIVOTDATA("合計 / " &amp; $B21,【ピボット】事業所収支!$A$3,"年月",O$2,"事業所",$A21))</f>
        <v>0</v>
      </c>
      <c r="P21" s="1891">
        <f>IF(P$2&gt;$G$1,'☆事業所損益管理(H30.9～H31.8)(計画)'!P25,
GETPIVOTDATA("合計 / " &amp; $B21,【ピボット】事業所収支!$A$3,"年月",P$2,"事業所",$A21))</f>
        <v>0</v>
      </c>
      <c r="Q21" s="1892">
        <f>IF(Q$2&gt;$G$1,'☆事業所損益管理(H30.9～H31.8)(計画)'!Q25,
GETPIVOTDATA("合計 / " &amp; $B21,【ピボット】事業所収支!$A$3,"年月",Q$2,"事業所",$A21))</f>
        <v>50000</v>
      </c>
      <c r="R21" s="1843">
        <f t="shared" ca="1" si="6"/>
        <v>264600</v>
      </c>
      <c r="S21" s="1843">
        <f t="shared" ca="1" si="7"/>
        <v>33075</v>
      </c>
      <c r="T21" s="539">
        <f t="shared" si="8"/>
        <v>414600</v>
      </c>
      <c r="U21" s="1825">
        <f t="shared" ca="1" si="9"/>
        <v>396900</v>
      </c>
      <c r="V21" s="2041">
        <f ca="1">IF(W21=0,1,IF(W21&lt;=1,1,IF(W21&gt;1.1,-1,0)))</f>
        <v>1</v>
      </c>
      <c r="W21" s="1840">
        <f ca="1">IF(T21&lt;0,ROUND((U21-T21)/ABS(T21),3),IF(T21=0,0,ROUND(U21/T21,3)))</f>
        <v>0.95699999999999996</v>
      </c>
    </row>
    <row r="22" spans="1:23" ht="14.25" customHeight="1" thickBot="1" x14ac:dyDescent="0.2">
      <c r="A22" s="1121" t="s">
        <v>380</v>
      </c>
      <c r="B22" s="1790" t="s">
        <v>1230</v>
      </c>
      <c r="C22" s="2217"/>
      <c r="D22" s="2219"/>
      <c r="E22" s="1821" t="s">
        <v>35</v>
      </c>
      <c r="F22" s="1813">
        <f>IF(F$2&gt;$G$1,'☆事業所損益管理(H30.9～H31.8)(計画)'!F26,
GETPIVOTDATA("合計 / " &amp; $B22,【ピボット】事業所収支!$A$3,"年月",F$2,"事業所",$A22))</f>
        <v>801389</v>
      </c>
      <c r="G22" s="1814">
        <f>IF(G$2&gt;$G$1,'☆事業所損益管理(H30.9～H31.8)(計画)'!G26,
GETPIVOTDATA("合計 / " &amp; $B22,【ピボット】事業所収支!$A$3,"年月",G$2,"事業所",$A22))</f>
        <v>1522750</v>
      </c>
      <c r="H22" s="1814">
        <f>IF(H$2&gt;$G$1,'☆事業所損益管理(H30.9～H31.8)(計画)'!H26,
GETPIVOTDATA("合計 / " &amp; $B22,【ピボット】事業所収支!$A$3,"年月",H$2,"事業所",$A22))</f>
        <v>937541</v>
      </c>
      <c r="I22" s="1814">
        <f>IF(I$2&gt;$G$1,'☆事業所損益管理(H30.9～H31.8)(計画)'!I26,
GETPIVOTDATA("合計 / " &amp; $B22,【ピボット】事業所収支!$A$3,"年月",I$2,"事業所",$A22))</f>
        <v>844228</v>
      </c>
      <c r="J22" s="1814">
        <f>IF(J$2&gt;$G$1,'☆事業所損益管理(H30.9～H31.8)(計画)'!J26,
GETPIVOTDATA("合計 / " &amp; $B22,【ピボット】事業所収支!$A$3,"年月",J$2,"事業所",$A22))</f>
        <v>1033335</v>
      </c>
      <c r="K22" s="1814">
        <f>IF(K$2&gt;$G$1,'☆事業所損益管理(H30.9～H31.8)(計画)'!K26,
GETPIVOTDATA("合計 / " &amp; $B22,【ピボット】事業所収支!$A$3,"年月",K$2,"事業所",$A22))</f>
        <v>773129</v>
      </c>
      <c r="L22" s="1814">
        <f>IF(L$2&gt;$G$1,'☆事業所損益管理(H30.9～H31.8)(計画)'!L26,
GETPIVOTDATA("合計 / " &amp; $B22,【ピボット】事業所収支!$A$3,"年月",L$2,"事業所",$A22))</f>
        <v>726515</v>
      </c>
      <c r="M22" s="1814">
        <f>IF(M$2&gt;$G$1,'☆事業所損益管理(H30.9～H31.8)(計画)'!M26,
GETPIVOTDATA("合計 / " &amp; $B22,【ピボット】事業所収支!$A$3,"年月",M$2,"事業所",$A22))</f>
        <v>738059</v>
      </c>
      <c r="N22" s="1891">
        <f>IF(N$2&gt;$G$1,'☆事業所損益管理(H30.9～H31.8)(計画)'!N26,
GETPIVOTDATA("合計 / " &amp; $B22,【ピボット】事業所収支!$A$3,"年月",N$2,"事業所",$A22))</f>
        <v>850000</v>
      </c>
      <c r="O22" s="1891">
        <f>IF(O$2&gt;$G$1,'☆事業所損益管理(H30.9～H31.8)(計画)'!O26,
GETPIVOTDATA("合計 / " &amp; $B22,【ピボット】事業所収支!$A$3,"年月",O$2,"事業所",$A22))</f>
        <v>800000</v>
      </c>
      <c r="P22" s="1891">
        <f>IF(P$2&gt;$G$1,'☆事業所損益管理(H30.9～H31.8)(計画)'!P26,
GETPIVOTDATA("合計 / " &amp; $B22,【ピボット】事業所収支!$A$3,"年月",P$2,"事業所",$A22))</f>
        <v>850000</v>
      </c>
      <c r="Q22" s="1892">
        <f>IF(Q$2&gt;$G$1,'☆事業所損益管理(H30.9～H31.8)(計画)'!Q26,
GETPIVOTDATA("合計 / " &amp; $B22,【ピボット】事業所収支!$A$3,"年月",Q$2,"事業所",$A22))</f>
        <v>850000</v>
      </c>
      <c r="R22" s="1843">
        <f t="shared" ca="1" si="6"/>
        <v>7376946</v>
      </c>
      <c r="S22" s="1843">
        <f t="shared" ca="1" si="7"/>
        <v>922118.25</v>
      </c>
      <c r="T22" s="539">
        <f t="shared" si="8"/>
        <v>10726946</v>
      </c>
      <c r="U22" s="1825">
        <f t="shared" ca="1" si="9"/>
        <v>11065419</v>
      </c>
      <c r="V22" s="2041">
        <f ca="1">IF(W22=0,1,IF(W22&lt;=1,1,IF(W22&gt;1.1,-1,0)))</f>
        <v>0</v>
      </c>
      <c r="W22" s="1840">
        <f ca="1">IF(T22&lt;0,ROUND((U22-T22)/ABS(T22),3),IF(T22=0,0,ROUND(U22/T22,3)))</f>
        <v>1.032</v>
      </c>
    </row>
    <row r="23" spans="1:23" ht="14.25" customHeight="1" thickBot="1" x14ac:dyDescent="0.2">
      <c r="A23" s="1121" t="s">
        <v>380</v>
      </c>
      <c r="C23" s="2217"/>
      <c r="D23" s="2219"/>
      <c r="E23" s="1821" t="s">
        <v>1434</v>
      </c>
      <c r="F23" s="1823">
        <f>F19-(F20+F22)</f>
        <v>1675213</v>
      </c>
      <c r="G23" s="1824">
        <f>G19-(G20+G22)</f>
        <v>1375245</v>
      </c>
      <c r="H23" s="1824">
        <f>H19-(H20+H22)</f>
        <v>1335702</v>
      </c>
      <c r="I23" s="1824">
        <f t="shared" ref="I23:Q23" si="12">I19-(I20+I22)</f>
        <v>-1953972</v>
      </c>
      <c r="J23" s="1824">
        <f t="shared" si="12"/>
        <v>1066294</v>
      </c>
      <c r="K23" s="1824">
        <f t="shared" si="12"/>
        <v>1322437</v>
      </c>
      <c r="L23" s="1824">
        <f t="shared" si="12"/>
        <v>1736503</v>
      </c>
      <c r="M23" s="1824">
        <f t="shared" si="12"/>
        <v>1729037</v>
      </c>
      <c r="N23" s="1893">
        <f t="shared" si="12"/>
        <v>2150000</v>
      </c>
      <c r="O23" s="1893">
        <f t="shared" si="12"/>
        <v>-2700000</v>
      </c>
      <c r="P23" s="1893">
        <f t="shared" si="12"/>
        <v>2450000</v>
      </c>
      <c r="Q23" s="1894">
        <f t="shared" si="12"/>
        <v>2650000</v>
      </c>
      <c r="R23" s="1843">
        <f t="shared" ca="1" si="6"/>
        <v>8286459</v>
      </c>
      <c r="S23" s="1843">
        <f t="shared" ca="1" si="7"/>
        <v>1035807.375</v>
      </c>
      <c r="T23" s="539">
        <f t="shared" si="8"/>
        <v>12836459</v>
      </c>
      <c r="U23" s="1825">
        <f t="shared" ca="1" si="9"/>
        <v>12429688.5</v>
      </c>
      <c r="V23" s="2043">
        <f ca="1">IFERROR(IF(W23&gt;=0,1,IF(W23&lt;-0.1,-1,0)),1)</f>
        <v>0</v>
      </c>
      <c r="W23" s="1840">
        <f ca="1">IF(T23=0,1-(U20+U22)/U19,IF(T23=U23,0,ROUND((U23-T23)/ABS(T23),3)))</f>
        <v>-3.2000000000000001E-2</v>
      </c>
    </row>
    <row r="24" spans="1:23" s="1122" customFormat="1" ht="14.25" customHeight="1" thickBot="1" x14ac:dyDescent="0.2">
      <c r="A24" s="1122" t="s">
        <v>986</v>
      </c>
      <c r="B24" s="1121" t="str">
        <f>E24</f>
        <v>売上</v>
      </c>
      <c r="C24" s="2217" t="s">
        <v>985</v>
      </c>
      <c r="D24" s="2218" t="s">
        <v>1441</v>
      </c>
      <c r="E24" s="1820" t="s">
        <v>26</v>
      </c>
      <c r="F24" s="1811">
        <f>IF(F$2&gt;$G$1,'☆事業所損益管理(H30.9～H31.8)(計画)'!F30,
GETPIVOTDATA("合計 / " &amp; $B24,【ピボット】事業所収支!$A$3,"年月",F$2,"事業所",$A24))</f>
        <v>1193278</v>
      </c>
      <c r="G24" s="1812">
        <f>IF(G$2&gt;$G$1,'☆事業所損益管理(H30.9～H31.8)(計画)'!G30,
GETPIVOTDATA("合計 / " &amp; $B24,【ピボット】事業所収支!$A$3,"年月",G$2,"事業所",$A24))</f>
        <v>1631546</v>
      </c>
      <c r="H24" s="1812">
        <f>IF(H$2&gt;$G$1,'☆事業所損益管理(H30.9～H31.8)(計画)'!H30,
GETPIVOTDATA("合計 / " &amp; $B24,【ピボット】事業所収支!$A$3,"年月",H$2,"事業所",$A24))</f>
        <v>1296114</v>
      </c>
      <c r="I24" s="1812">
        <f>IF(I$2&gt;$G$1,'☆事業所損益管理(H30.9～H31.8)(計画)'!I30,
GETPIVOTDATA("合計 / " &amp; $B24,【ピボット】事業所収支!$A$3,"年月",I$2,"事業所",$A24))</f>
        <v>1520846</v>
      </c>
      <c r="J24" s="1812">
        <f>IF(J$2&gt;$G$1,'☆事業所損益管理(H30.9～H31.8)(計画)'!J30,
GETPIVOTDATA("合計 / " &amp; $B24,【ピボット】事業所収支!$A$3,"年月",J$2,"事業所",$A24))</f>
        <v>1160774</v>
      </c>
      <c r="K24" s="1812">
        <f>IF(K$2&gt;$G$1,'☆事業所損益管理(H30.9～H31.8)(計画)'!K30,
GETPIVOTDATA("合計 / " &amp; $B24,【ピボット】事業所収支!$A$3,"年月",K$2,"事業所",$A24))</f>
        <v>903949</v>
      </c>
      <c r="L24" s="1812">
        <f>IF(L$2&gt;$G$1,'☆事業所損益管理(H30.9～H31.8)(計画)'!L30,
GETPIVOTDATA("合計 / " &amp; $B24,【ピボット】事業所収支!$A$3,"年月",L$2,"事業所",$A24))</f>
        <v>0</v>
      </c>
      <c r="M24" s="1812">
        <f>IF(M$2&gt;$G$1,'☆事業所損益管理(H30.9～H31.8)(計画)'!M30,
GETPIVOTDATA("合計 / " &amp; $B24,【ピボット】事業所収支!$A$3,"年月",M$2,"事業所",$A24))</f>
        <v>13148</v>
      </c>
      <c r="N24" s="1889">
        <f>IF(N$2&gt;$G$1,'☆事業所損益管理(H30.9～H31.8)(計画)'!N30,
GETPIVOTDATA("合計 / " &amp; $B24,【ピボット】事業所収支!$A$3,"年月",N$2,"事業所",$A24))</f>
        <v>0</v>
      </c>
      <c r="O24" s="1889">
        <f>IF(O$2&gt;$G$1,'☆事業所損益管理(H30.9～H31.8)(計画)'!O30,
GETPIVOTDATA("合計 / " &amp; $B24,【ピボット】事業所収支!$A$3,"年月",O$2,"事業所",$A24))</f>
        <v>0</v>
      </c>
      <c r="P24" s="1889">
        <f>IF(P$2&gt;$G$1,'☆事業所損益管理(H30.9～H31.8)(計画)'!P30,
GETPIVOTDATA("合計 / " &amp; $B24,【ピボット】事業所収支!$A$3,"年月",P$2,"事業所",$A24))</f>
        <v>0</v>
      </c>
      <c r="Q24" s="1890">
        <f>IF(Q$2&gt;$G$1,'☆事業所損益管理(H30.9～H31.8)(計画)'!Q30,
GETPIVOTDATA("合計 / " &amp; $B24,【ピボット】事業所収支!$A$3,"年月",Q$2,"事業所",$A24))</f>
        <v>0</v>
      </c>
      <c r="R24" s="1842">
        <f t="shared" ca="1" si="6"/>
        <v>7719655</v>
      </c>
      <c r="S24" s="1842">
        <f t="shared" ca="1" si="7"/>
        <v>964956.875</v>
      </c>
      <c r="T24" s="538">
        <f t="shared" si="8"/>
        <v>7719655</v>
      </c>
      <c r="U24" s="1827">
        <f t="shared" ca="1" si="9"/>
        <v>11579482.5</v>
      </c>
      <c r="V24" s="2040">
        <f ca="1">IF(W24=0,1,IF(W24&gt;=1,1,IF(W24&lt;0.9,-1,0)))</f>
        <v>1</v>
      </c>
      <c r="W24" s="1839">
        <f ca="1">IF(T24&lt;0,ROUND((U24-T24)/ABS(T24),3),IF(T24=0,0,ROUND(U24/T24,3)))</f>
        <v>1.5</v>
      </c>
    </row>
    <row r="25" spans="1:23" s="1122" customFormat="1" ht="14.25" customHeight="1" thickBot="1" x14ac:dyDescent="0.2">
      <c r="A25" s="1122" t="s">
        <v>986</v>
      </c>
      <c r="B25" s="1121" t="str">
        <f>E25</f>
        <v>人件費</v>
      </c>
      <c r="C25" s="2217"/>
      <c r="D25" s="2219"/>
      <c r="E25" s="1821" t="s">
        <v>15</v>
      </c>
      <c r="F25" s="1813">
        <f>IF(F$2&gt;$G$1,'☆事業所損益管理(H30.9～H31.8)(計画)'!F31,
GETPIVOTDATA("合計 / " &amp; $B25,【ピボット】事業所収支!$A$3,"年月",F$2,"事業所",$A25))</f>
        <v>1097703</v>
      </c>
      <c r="G25" s="1814">
        <f>IF(G$2&gt;$G$1,'☆事業所損益管理(H30.9～H31.8)(計画)'!G31,
GETPIVOTDATA("合計 / " &amp; $B25,【ピボット】事業所収支!$A$3,"年月",G$2,"事業所",$A25))</f>
        <v>834332</v>
      </c>
      <c r="H25" s="1814">
        <f>IF(H$2&gt;$G$1,'☆事業所損益管理(H30.9～H31.8)(計画)'!H31,
GETPIVOTDATA("合計 / " &amp; $B25,【ピボット】事業所収支!$A$3,"年月",H$2,"事業所",$A25))</f>
        <v>657648</v>
      </c>
      <c r="I25" s="1814">
        <f>IF(I$2&gt;$G$1,'☆事業所損益管理(H30.9～H31.8)(計画)'!I31,
GETPIVOTDATA("合計 / " &amp; $B25,【ピボット】事業所収支!$A$3,"年月",I$2,"事業所",$A25))</f>
        <v>1225203</v>
      </c>
      <c r="J25" s="1814">
        <f>IF(J$2&gt;$G$1,'☆事業所損益管理(H30.9～H31.8)(計画)'!J31,
GETPIVOTDATA("合計 / " &amp; $B25,【ピボット】事業所収支!$A$3,"年月",J$2,"事業所",$A25))</f>
        <v>643986</v>
      </c>
      <c r="K25" s="1814">
        <f>IF(K$2&gt;$G$1,'☆事業所損益管理(H30.9～H31.8)(計画)'!K31,
GETPIVOTDATA("合計 / " &amp; $B25,【ピボット】事業所収支!$A$3,"年月",K$2,"事業所",$A25))</f>
        <v>588032</v>
      </c>
      <c r="L25" s="1814">
        <f>IF(L$2&gt;$G$1,'☆事業所損益管理(H30.9～H31.8)(計画)'!L31,
GETPIVOTDATA("合計 / " &amp; $B25,【ピボット】事業所収支!$A$3,"年月",L$2,"事業所",$A25))</f>
        <v>0</v>
      </c>
      <c r="M25" s="1814">
        <f>IF(M$2&gt;$G$1,'☆事業所損益管理(H30.9～H31.8)(計画)'!M31,
GETPIVOTDATA("合計 / " &amp; $B25,【ピボット】事業所収支!$A$3,"年月",M$2,"事業所",$A25))</f>
        <v>0</v>
      </c>
      <c r="N25" s="1891">
        <f>IF(N$2&gt;$G$1,'☆事業所損益管理(H30.9～H31.8)(計画)'!N31,
GETPIVOTDATA("合計 / " &amp; $B25,【ピボット】事業所収支!$A$3,"年月",N$2,"事業所",$A25))</f>
        <v>0</v>
      </c>
      <c r="O25" s="1891">
        <f>IF(O$2&gt;$G$1,'☆事業所損益管理(H30.9～H31.8)(計画)'!O31,
GETPIVOTDATA("合計 / " &amp; $B25,【ピボット】事業所収支!$A$3,"年月",O$2,"事業所",$A25))</f>
        <v>0</v>
      </c>
      <c r="P25" s="1891">
        <f>IF(P$2&gt;$G$1,'☆事業所損益管理(H30.9～H31.8)(計画)'!P31,
GETPIVOTDATA("合計 / " &amp; $B25,【ピボット】事業所収支!$A$3,"年月",P$2,"事業所",$A25))</f>
        <v>0</v>
      </c>
      <c r="Q25" s="1892">
        <f>IF(Q$2&gt;$G$1,'☆事業所損益管理(H30.9～H31.8)(計画)'!Q31,
GETPIVOTDATA("合計 / " &amp; $B25,【ピボット】事業所収支!$A$3,"年月",Q$2,"事業所",$A25))</f>
        <v>0</v>
      </c>
      <c r="R25" s="1843">
        <f t="shared" ca="1" si="6"/>
        <v>5046904</v>
      </c>
      <c r="S25" s="1843">
        <f t="shared" ca="1" si="7"/>
        <v>630863</v>
      </c>
      <c r="T25" s="539">
        <f t="shared" si="8"/>
        <v>5046904</v>
      </c>
      <c r="U25" s="1825">
        <f t="shared" ca="1" si="9"/>
        <v>7570356</v>
      </c>
      <c r="V25" s="2041">
        <f ca="1">IF(W25=0,1,IF(W25&lt;=1,1,IF(W25&gt;1.1,-1,0)))</f>
        <v>-1</v>
      </c>
      <c r="W25" s="1840">
        <f ca="1">IF(T25&lt;0,ROUND((U25-T25)/ABS(T25),3),IF(T25=0,0,ROUND(U25/T25,3)))</f>
        <v>1.5</v>
      </c>
    </row>
    <row r="26" spans="1:23" s="1122" customFormat="1" ht="14.25" customHeight="1" thickBot="1" x14ac:dyDescent="0.2">
      <c r="A26" s="1122" t="s">
        <v>986</v>
      </c>
      <c r="B26" s="1121" t="str">
        <f>E26</f>
        <v>広告経費</v>
      </c>
      <c r="C26" s="2217"/>
      <c r="D26" s="2219"/>
      <c r="E26" s="1821" t="s">
        <v>447</v>
      </c>
      <c r="F26" s="1813">
        <f>IF(F$2&gt;$G$1,'☆事業所損益管理(H30.9～H31.8)(計画)'!F32,
GETPIVOTDATA("合計 / " &amp; $B26,【ピボット】事業所収支!$A$3,"年月",F$2,"事業所",$A26))</f>
        <v>64800</v>
      </c>
      <c r="G26" s="1814">
        <f>IF(G$2&gt;$G$1,'☆事業所損益管理(H30.9～H31.8)(計画)'!G32,
GETPIVOTDATA("合計 / " &amp; $B26,【ピボット】事業所収支!$A$3,"年月",G$2,"事業所",$A26))</f>
        <v>103680</v>
      </c>
      <c r="H26" s="1814">
        <f>IF(H$2&gt;$G$1,'☆事業所損益管理(H30.9～H31.8)(計画)'!H32,
GETPIVOTDATA("合計 / " &amp; $B26,【ピボット】事業所収支!$A$3,"年月",H$2,"事業所",$A26))</f>
        <v>125604</v>
      </c>
      <c r="I26" s="1814">
        <f>IF(I$2&gt;$G$1,'☆事業所損益管理(H30.9～H31.8)(計画)'!I32,
GETPIVOTDATA("合計 / " &amp; $B26,【ピボット】事業所収支!$A$3,"年月",I$2,"事業所",$A26))</f>
        <v>106488</v>
      </c>
      <c r="J26" s="1814">
        <f>IF(J$2&gt;$G$1,'☆事業所損益管理(H30.9～H31.8)(計画)'!J32,
GETPIVOTDATA("合計 / " &amp; $B26,【ピボット】事業所収支!$A$3,"年月",J$2,"事業所",$A26))</f>
        <v>0</v>
      </c>
      <c r="K26" s="1814">
        <f>IF(K$2&gt;$G$1,'☆事業所損益管理(H30.9～H31.8)(計画)'!K32,
GETPIVOTDATA("合計 / " &amp; $B26,【ピボット】事業所収支!$A$3,"年月",K$2,"事業所",$A26))</f>
        <v>0</v>
      </c>
      <c r="L26" s="1814">
        <f>IF(L$2&gt;$G$1,'☆事業所損益管理(H30.9～H31.8)(計画)'!L32,
GETPIVOTDATA("合計 / " &amp; $B26,【ピボット】事業所収支!$A$3,"年月",L$2,"事業所",$A26))</f>
        <v>0</v>
      </c>
      <c r="M26" s="1814">
        <f>IF(M$2&gt;$G$1,'☆事業所損益管理(H30.9～H31.8)(計画)'!M32,
GETPIVOTDATA("合計 / " &amp; $B26,【ピボット】事業所収支!$A$3,"年月",M$2,"事業所",$A26))</f>
        <v>0</v>
      </c>
      <c r="N26" s="1891">
        <f>IF(N$2&gt;$G$1,'☆事業所損益管理(H30.9～H31.8)(計画)'!N32,
GETPIVOTDATA("合計 / " &amp; $B26,【ピボット】事業所収支!$A$3,"年月",N$2,"事業所",$A26))</f>
        <v>0</v>
      </c>
      <c r="O26" s="1891">
        <f>IF(O$2&gt;$G$1,'☆事業所損益管理(H30.9～H31.8)(計画)'!O32,
GETPIVOTDATA("合計 / " &amp; $B26,【ピボット】事業所収支!$A$3,"年月",O$2,"事業所",$A26))</f>
        <v>0</v>
      </c>
      <c r="P26" s="1891">
        <f>IF(P$2&gt;$G$1,'☆事業所損益管理(H30.9～H31.8)(計画)'!P32,
GETPIVOTDATA("合計 / " &amp; $B26,【ピボット】事業所収支!$A$3,"年月",P$2,"事業所",$A26))</f>
        <v>0</v>
      </c>
      <c r="Q26" s="1892">
        <f>IF(Q$2&gt;$G$1,'☆事業所損益管理(H30.9～H31.8)(計画)'!Q32,
GETPIVOTDATA("合計 / " &amp; $B26,【ピボット】事業所収支!$A$3,"年月",Q$2,"事業所",$A26))</f>
        <v>0</v>
      </c>
      <c r="R26" s="1843">
        <f t="shared" ca="1" si="6"/>
        <v>400572</v>
      </c>
      <c r="S26" s="1843">
        <f t="shared" ca="1" si="7"/>
        <v>50071.5</v>
      </c>
      <c r="T26" s="539">
        <f t="shared" si="8"/>
        <v>400572</v>
      </c>
      <c r="U26" s="1825">
        <f t="shared" ca="1" si="9"/>
        <v>600858</v>
      </c>
      <c r="V26" s="2041">
        <f ca="1">IF(W26=0,1,IF(W26&lt;=1,1,IF(W26&gt;1.1,-1,0)))</f>
        <v>-1</v>
      </c>
      <c r="W26" s="1840">
        <f ca="1">IF(T26&lt;0,ROUND((U26-T26)/ABS(T26),3),IF(T26=0,0,ROUND(U26/T26,3)))</f>
        <v>1.5</v>
      </c>
    </row>
    <row r="27" spans="1:23" s="1122" customFormat="1" ht="14.25" customHeight="1" thickBot="1" x14ac:dyDescent="0.2">
      <c r="A27" s="1122" t="s">
        <v>986</v>
      </c>
      <c r="B27" s="1790" t="s">
        <v>1230</v>
      </c>
      <c r="C27" s="2217"/>
      <c r="D27" s="2219"/>
      <c r="E27" s="1821" t="s">
        <v>35</v>
      </c>
      <c r="F27" s="1813">
        <f>IF(F$2&gt;$G$1,'☆事業所損益管理(H30.9～H31.8)(計画)'!F33,
GETPIVOTDATA("合計 / " &amp; $B27,【ピボット】事業所収支!$A$3,"年月",F$2,"事業所",$A27))</f>
        <v>600303</v>
      </c>
      <c r="G27" s="1814">
        <f>IF(G$2&gt;$G$1,'☆事業所損益管理(H30.9～H31.8)(計画)'!G33,
GETPIVOTDATA("合計 / " &amp; $B27,【ピボット】事業所収支!$A$3,"年月",G$2,"事業所",$A27))</f>
        <v>606856</v>
      </c>
      <c r="H27" s="1814">
        <f>IF(H$2&gt;$G$1,'☆事業所損益管理(H30.9～H31.8)(計画)'!H33,
GETPIVOTDATA("合計 / " &amp; $B27,【ピボット】事業所収支!$A$3,"年月",H$2,"事業所",$A27))</f>
        <v>530155</v>
      </c>
      <c r="I27" s="1814">
        <f>IF(I$2&gt;$G$1,'☆事業所損益管理(H30.9～H31.8)(計画)'!I33,
GETPIVOTDATA("合計 / " &amp; $B27,【ピボット】事業所収支!$A$3,"年月",I$2,"事業所",$A27))</f>
        <v>544701</v>
      </c>
      <c r="J27" s="1814">
        <f>IF(J$2&gt;$G$1,'☆事業所損益管理(H30.9～H31.8)(計画)'!J33,
GETPIVOTDATA("合計 / " &amp; $B27,【ピボット】事業所収支!$A$3,"年月",J$2,"事業所",$A27))</f>
        <v>476615</v>
      </c>
      <c r="K27" s="1814">
        <f>IF(K$2&gt;$G$1,'☆事業所損益管理(H30.9～H31.8)(計画)'!K33,
GETPIVOTDATA("合計 / " &amp; $B27,【ピボット】事業所収支!$A$3,"年月",K$2,"事業所",$A27))</f>
        <v>364736</v>
      </c>
      <c r="L27" s="1814">
        <f>IF(L$2&gt;$G$1,'☆事業所損益管理(H30.9～H31.8)(計画)'!L33,
GETPIVOTDATA("合計 / " &amp; $B27,【ピボット】事業所収支!$A$3,"年月",L$2,"事業所",$A27))</f>
        <v>329510</v>
      </c>
      <c r="M27" s="1814">
        <f>IF(M$2&gt;$G$1,'☆事業所損益管理(H30.9～H31.8)(計画)'!M33,
GETPIVOTDATA("合計 / " &amp; $B27,【ピボット】事業所収支!$A$3,"年月",M$2,"事業所",$A27))</f>
        <v>275106</v>
      </c>
      <c r="N27" s="1891">
        <f>IF(N$2&gt;$G$1,'☆事業所損益管理(H30.9～H31.8)(計画)'!N33,
GETPIVOTDATA("合計 / " &amp; $B27,【ピボット】事業所収支!$A$3,"年月",N$2,"事業所",$A27))</f>
        <v>250000</v>
      </c>
      <c r="O27" s="1891">
        <f>IF(O$2&gt;$G$1,'☆事業所損益管理(H30.9～H31.8)(計画)'!O33,
GETPIVOTDATA("合計 / " &amp; $B27,【ピボット】事業所収支!$A$3,"年月",O$2,"事業所",$A27))</f>
        <v>250000</v>
      </c>
      <c r="P27" s="1891">
        <f>IF(P$2&gt;$G$1,'☆事業所損益管理(H30.9～H31.8)(計画)'!P33,
GETPIVOTDATA("合計 / " &amp; $B27,【ピボット】事業所収支!$A$3,"年月",P$2,"事業所",$A27))</f>
        <v>1150000</v>
      </c>
      <c r="Q27" s="1892">
        <f>IF(Q$2&gt;$G$1,'☆事業所損益管理(H30.9～H31.8)(計画)'!Q33,
GETPIVOTDATA("合計 / " &amp; $B27,【ピボット】事業所収支!$A$3,"年月",Q$2,"事業所",$A27))</f>
        <v>50000</v>
      </c>
      <c r="R27" s="1843">
        <f t="shared" ca="1" si="6"/>
        <v>3727982</v>
      </c>
      <c r="S27" s="1843">
        <f t="shared" ca="1" si="7"/>
        <v>465997.75</v>
      </c>
      <c r="T27" s="539">
        <f t="shared" si="8"/>
        <v>5427982</v>
      </c>
      <c r="U27" s="1825">
        <f t="shared" ca="1" si="9"/>
        <v>5591973</v>
      </c>
      <c r="V27" s="2041">
        <f ca="1">IF(W27=0,1,IF(W27&lt;=1,1,IF(W27&gt;1.1,-1,0)))</f>
        <v>0</v>
      </c>
      <c r="W27" s="1840">
        <f ca="1">IF(T27&lt;0,ROUND((U27-T27)/ABS(T27),3),IF(T27=0,0,ROUND(U27/T27,3)))</f>
        <v>1.03</v>
      </c>
    </row>
    <row r="28" spans="1:23" s="1122" customFormat="1" ht="14.25" customHeight="1" thickBot="1" x14ac:dyDescent="0.2">
      <c r="A28" s="1122" t="s">
        <v>986</v>
      </c>
      <c r="B28" s="1121"/>
      <c r="C28" s="2217"/>
      <c r="D28" s="2219"/>
      <c r="E28" s="1821" t="s">
        <v>1434</v>
      </c>
      <c r="F28" s="1823">
        <f>F24-(F25+F27)</f>
        <v>-504728</v>
      </c>
      <c r="G28" s="1824">
        <f>G24-(G25+G27)</f>
        <v>190358</v>
      </c>
      <c r="H28" s="1824">
        <f>H24-(H25+H27)</f>
        <v>108311</v>
      </c>
      <c r="I28" s="1824">
        <f t="shared" ref="I28:Q28" si="13">I24-(I25+I27)</f>
        <v>-249058</v>
      </c>
      <c r="J28" s="1824">
        <f t="shared" si="13"/>
        <v>40173</v>
      </c>
      <c r="K28" s="1824">
        <f t="shared" si="13"/>
        <v>-48819</v>
      </c>
      <c r="L28" s="1824">
        <f t="shared" si="13"/>
        <v>-329510</v>
      </c>
      <c r="M28" s="1824">
        <f t="shared" si="13"/>
        <v>-261958</v>
      </c>
      <c r="N28" s="1893">
        <f t="shared" si="13"/>
        <v>-250000</v>
      </c>
      <c r="O28" s="1893">
        <f t="shared" si="13"/>
        <v>-250000</v>
      </c>
      <c r="P28" s="1893">
        <f t="shared" si="13"/>
        <v>-1150000</v>
      </c>
      <c r="Q28" s="1894">
        <f t="shared" si="13"/>
        <v>-50000</v>
      </c>
      <c r="R28" s="1843">
        <f t="shared" ca="1" si="6"/>
        <v>-1055231</v>
      </c>
      <c r="S28" s="1843">
        <f t="shared" ca="1" si="7"/>
        <v>-131903.875</v>
      </c>
      <c r="T28" s="539">
        <f t="shared" si="8"/>
        <v>-2755231</v>
      </c>
      <c r="U28" s="1825">
        <f t="shared" ca="1" si="9"/>
        <v>-1582846.5</v>
      </c>
      <c r="V28" s="2043">
        <f ca="1">IFERROR(IF(W28&gt;=0,1,IF(W28&lt;-0.1,-1,0)),1)</f>
        <v>1</v>
      </c>
      <c r="W28" s="1840">
        <f ca="1">IF(T28=0,1-(U25+U27)/U24,IF(T28=U28,0,ROUND((U28-T28)/ABS(T28),3)))</f>
        <v>0.42599999999999999</v>
      </c>
    </row>
    <row r="29" spans="1:23" s="1122" customFormat="1" ht="14.25" customHeight="1" thickBot="1" x14ac:dyDescent="0.2">
      <c r="A29" s="1122" t="s">
        <v>1199</v>
      </c>
      <c r="B29" s="1121" t="str">
        <f>E29</f>
        <v>売上</v>
      </c>
      <c r="C29" s="2217" t="s">
        <v>1143</v>
      </c>
      <c r="D29" s="2218" t="s">
        <v>1441</v>
      </c>
      <c r="E29" s="1820" t="s">
        <v>26</v>
      </c>
      <c r="F29" s="1811">
        <f>IF(F$2&gt;$G$1,'☆事業所損益管理(H30.9～H31.8)(計画)'!F37,
GETPIVOTDATA("合計 / " &amp; $B29,【ピボット】事業所収支!$A$3,"年月",F$2,"事業所",$A29))</f>
        <v>0</v>
      </c>
      <c r="G29" s="1812">
        <f>IF(G$2&gt;$G$1,'☆事業所損益管理(H30.9～H31.8)(計画)'!G37,
GETPIVOTDATA("合計 / " &amp; $B29,【ピボット】事業所収支!$A$3,"年月",G$2,"事業所",$A29))</f>
        <v>234284</v>
      </c>
      <c r="H29" s="1812">
        <f>IF(H$2&gt;$G$1,'☆事業所損益管理(H30.9～H31.8)(計画)'!H37,
GETPIVOTDATA("合計 / " &amp; $B29,【ピボット】事業所収支!$A$3,"年月",H$2,"事業所",$A29))</f>
        <v>485638</v>
      </c>
      <c r="I29" s="1812">
        <f>IF(I$2&gt;$G$1,'☆事業所損益管理(H30.9～H31.8)(計画)'!I37,
GETPIVOTDATA("合計 / " &amp; $B29,【ピボット】事業所収支!$A$3,"年月",I$2,"事業所",$A29))</f>
        <v>701720</v>
      </c>
      <c r="J29" s="1812">
        <f>IF(J$2&gt;$G$1,'☆事業所損益管理(H30.9～H31.8)(計画)'!J37,
GETPIVOTDATA("合計 / " &amp; $B29,【ピボット】事業所収支!$A$3,"年月",J$2,"事業所",$A29))</f>
        <v>810680</v>
      </c>
      <c r="K29" s="1812">
        <f>IF(K$2&gt;$G$1,'☆事業所損益管理(H30.9～H31.8)(計画)'!K37,
GETPIVOTDATA("合計 / " &amp; $B29,【ピボット】事業所収支!$A$3,"年月",K$2,"事業所",$A29))</f>
        <v>1060746</v>
      </c>
      <c r="L29" s="1812">
        <f>IF(L$2&gt;$G$1,'☆事業所損益管理(H30.9～H31.8)(計画)'!L37,
GETPIVOTDATA("合計 / " &amp; $B29,【ピボット】事業所収支!$A$3,"年月",L$2,"事業所",$A29))</f>
        <v>1438607</v>
      </c>
      <c r="M29" s="1812">
        <f>IF(M$2&gt;$G$1,'☆事業所損益管理(H30.9～H31.8)(計画)'!M37,
GETPIVOTDATA("合計 / " &amp; $B29,【ピボット】事業所収支!$A$3,"年月",M$2,"事業所",$A29))</f>
        <v>1905194</v>
      </c>
      <c r="N29" s="1889">
        <f>IF(N$2&gt;$G$1,'☆事業所損益管理(H30.9～H31.8)(計画)'!N37,
GETPIVOTDATA("合計 / " &amp; $B29,【ピボット】事業所収支!$A$3,"年月",N$2,"事業所",$A29))</f>
        <v>1900000</v>
      </c>
      <c r="O29" s="1889">
        <f>IF(O$2&gt;$G$1,'☆事業所損益管理(H30.9～H31.8)(計画)'!O37,
GETPIVOTDATA("合計 / " &amp; $B29,【ピボット】事業所収支!$A$3,"年月",O$2,"事業所",$A29))</f>
        <v>2150000</v>
      </c>
      <c r="P29" s="1889">
        <f>IF(P$2&gt;$G$1,'☆事業所損益管理(H30.9～H31.8)(計画)'!P37,
GETPIVOTDATA("合計 / " &amp; $B29,【ピボット】事業所収支!$A$3,"年月",P$2,"事業所",$A29))</f>
        <v>2400000</v>
      </c>
      <c r="Q29" s="1890">
        <f>IF(Q$2&gt;$G$1,'☆事業所損益管理(H30.9～H31.8)(計画)'!Q37,
GETPIVOTDATA("合計 / " &amp; $B29,【ピボット】事業所収支!$A$3,"年月",Q$2,"事業所",$A29))</f>
        <v>2550000</v>
      </c>
      <c r="R29" s="1842">
        <f t="shared" ca="1" si="6"/>
        <v>6636869</v>
      </c>
      <c r="S29" s="1842">
        <f t="shared" ca="1" si="7"/>
        <v>829608.625</v>
      </c>
      <c r="T29" s="538">
        <f t="shared" si="8"/>
        <v>15636869</v>
      </c>
      <c r="U29" s="1827">
        <f t="shared" ca="1" si="9"/>
        <v>9955303.5</v>
      </c>
      <c r="V29" s="2040">
        <f ca="1">IF(W29=0,1,IF(W29&gt;=1,1,IF(W29&lt;0.9,-1,0)))</f>
        <v>-1</v>
      </c>
      <c r="W29" s="1839">
        <f ca="1">IF(T29&lt;0,ROUND((U29-T29)/ABS(T29),3),IF(T29=0,0,ROUND(U29/T29,3)))</f>
        <v>0.63700000000000001</v>
      </c>
    </row>
    <row r="30" spans="1:23" s="1122" customFormat="1" ht="14.25" customHeight="1" thickBot="1" x14ac:dyDescent="0.2">
      <c r="A30" s="1122" t="s">
        <v>1199</v>
      </c>
      <c r="B30" s="1121" t="str">
        <f>E30</f>
        <v>人件費</v>
      </c>
      <c r="C30" s="2217"/>
      <c r="D30" s="2219"/>
      <c r="E30" s="1821" t="s">
        <v>15</v>
      </c>
      <c r="F30" s="1813">
        <f>IF(F$2&gt;$G$1,'☆事業所損益管理(H30.9～H31.8)(計画)'!F38,
GETPIVOTDATA("合計 / " &amp; $B30,【ピボット】事業所収支!$A$3,"年月",F$2,"事業所",$A30))</f>
        <v>56395</v>
      </c>
      <c r="G30" s="1814">
        <f>IF(G$2&gt;$G$1,'☆事業所損益管理(H30.9～H31.8)(計画)'!G38,
GETPIVOTDATA("合計 / " &amp; $B30,【ピボット】事業所収支!$A$3,"年月",G$2,"事業所",$A30))</f>
        <v>433580</v>
      </c>
      <c r="H30" s="1814">
        <f>IF(H$2&gt;$G$1,'☆事業所損益管理(H30.9～H31.8)(計画)'!H38,
GETPIVOTDATA("合計 / " &amp; $B30,【ピボット】事業所収支!$A$3,"年月",H$2,"事業所",$A30))</f>
        <v>488250</v>
      </c>
      <c r="I30" s="1814">
        <f>IF(I$2&gt;$G$1,'☆事業所損益管理(H30.9～H31.8)(計画)'!I38,
GETPIVOTDATA("合計 / " &amp; $B30,【ピボット】事業所収支!$A$3,"年月",I$2,"事業所",$A30))</f>
        <v>561749</v>
      </c>
      <c r="J30" s="1814">
        <f>IF(J$2&gt;$G$1,'☆事業所損益管理(H30.9～H31.8)(計画)'!J38,
GETPIVOTDATA("合計 / " &amp; $B30,【ピボット】事業所収支!$A$3,"年月",J$2,"事業所",$A30))</f>
        <v>692404</v>
      </c>
      <c r="K30" s="1814">
        <f>IF(K$2&gt;$G$1,'☆事業所損益管理(H30.9～H31.8)(計画)'!K38,
GETPIVOTDATA("合計 / " &amp; $B30,【ピボット】事業所収支!$A$3,"年月",K$2,"事業所",$A30))</f>
        <v>691176</v>
      </c>
      <c r="L30" s="1814">
        <f>IF(L$2&gt;$G$1,'☆事業所損益管理(H30.9～H31.8)(計画)'!L38,
GETPIVOTDATA("合計 / " &amp; $B30,【ピボット】事業所収支!$A$3,"年月",L$2,"事業所",$A30))</f>
        <v>1124832</v>
      </c>
      <c r="M30" s="1814">
        <f>IF(M$2&gt;$G$1,'☆事業所損益管理(H30.9～H31.8)(計画)'!M38,
GETPIVOTDATA("合計 / " &amp; $B30,【ピボット】事業所収支!$A$3,"年月",M$2,"事業所",$A30))</f>
        <v>1318589</v>
      </c>
      <c r="N30" s="1891">
        <f>IF(N$2&gt;$G$1,'☆事業所損益管理(H30.9～H31.8)(計画)'!N38,
GETPIVOTDATA("合計 / " &amp; $B30,【ピボット】事業所収支!$A$3,"年月",N$2,"事業所",$A30))</f>
        <v>1560000</v>
      </c>
      <c r="O30" s="1891">
        <f>IF(O$2&gt;$G$1,'☆事業所損益管理(H30.9～H31.8)(計画)'!O38,
GETPIVOTDATA("合計 / " &amp; $B30,【ピボット】事業所収支!$A$3,"年月",O$2,"事業所",$A30))</f>
        <v>1550000</v>
      </c>
      <c r="P30" s="1891">
        <f>IF(P$2&gt;$G$1,'☆事業所損益管理(H30.9～H31.8)(計画)'!P38,
GETPIVOTDATA("合計 / " &amp; $B30,【ピボット】事業所収支!$A$3,"年月",P$2,"事業所",$A30))</f>
        <v>1800000</v>
      </c>
      <c r="Q30" s="1892">
        <f>IF(Q$2&gt;$G$1,'☆事業所損益管理(H30.9～H31.8)(計画)'!Q38,
GETPIVOTDATA("合計 / " &amp; $B30,【ピボット】事業所収支!$A$3,"年月",Q$2,"事業所",$A30))</f>
        <v>1840000</v>
      </c>
      <c r="R30" s="1843">
        <f t="shared" ca="1" si="6"/>
        <v>5366975</v>
      </c>
      <c r="S30" s="1843">
        <f t="shared" ca="1" si="7"/>
        <v>670871.875</v>
      </c>
      <c r="T30" s="539">
        <f t="shared" si="8"/>
        <v>12116975</v>
      </c>
      <c r="U30" s="1825">
        <f t="shared" ca="1" si="9"/>
        <v>8050462.5</v>
      </c>
      <c r="V30" s="2041">
        <f ca="1">IF(W30=0,1,IF(W30&lt;=1,1,IF(W30&gt;1.1,-1,0)))</f>
        <v>1</v>
      </c>
      <c r="W30" s="1840">
        <f ca="1">IF(T30&lt;0,ROUND((U30-T30)/ABS(T30),3),IF(T30=0,0,ROUND(U30/T30,3)))</f>
        <v>0.66400000000000003</v>
      </c>
    </row>
    <row r="31" spans="1:23" s="1122" customFormat="1" ht="14.25" customHeight="1" thickBot="1" x14ac:dyDescent="0.2">
      <c r="A31" s="1122" t="s">
        <v>1199</v>
      </c>
      <c r="B31" s="1121" t="str">
        <f>E31</f>
        <v>広告経費</v>
      </c>
      <c r="C31" s="2217"/>
      <c r="D31" s="2219"/>
      <c r="E31" s="1821" t="s">
        <v>447</v>
      </c>
      <c r="F31" s="1813">
        <f>IF(F$2&gt;$G$1,'☆事業所損益管理(H30.9～H31.8)(計画)'!F39,
GETPIVOTDATA("合計 / " &amp; $B31,【ピボット】事業所収支!$A$3,"年月",F$2,"事業所",$A31))</f>
        <v>138000</v>
      </c>
      <c r="G31" s="1814">
        <f>IF(G$2&gt;$G$1,'☆事業所損益管理(H30.9～H31.8)(計画)'!G39,
GETPIVOTDATA("合計 / " &amp; $B31,【ピボット】事業所収支!$A$3,"年月",G$2,"事業所",$A31))</f>
        <v>271080</v>
      </c>
      <c r="H31" s="1814">
        <f>IF(H$2&gt;$G$1,'☆事業所損益管理(H30.9～H31.8)(計画)'!H39,
GETPIVOTDATA("合計 / " &amp; $B31,【ピボット】事業所収支!$A$3,"年月",H$2,"事業所",$A31))</f>
        <v>100737</v>
      </c>
      <c r="I31" s="1814">
        <f>IF(I$2&gt;$G$1,'☆事業所損益管理(H30.9～H31.8)(計画)'!I39,
GETPIVOTDATA("合計 / " &amp; $B31,【ピボット】事業所収支!$A$3,"年月",I$2,"事業所",$A31))</f>
        <v>23042</v>
      </c>
      <c r="J31" s="1814">
        <f>IF(J$2&gt;$G$1,'☆事業所損益管理(H30.9～H31.8)(計画)'!J39,
GETPIVOTDATA("合計 / " &amp; $B31,【ピボット】事業所収支!$A$3,"年月",J$2,"事業所",$A31))</f>
        <v>0</v>
      </c>
      <c r="K31" s="1814">
        <f>IF(K$2&gt;$G$1,'☆事業所損益管理(H30.9～H31.8)(計画)'!K39,
GETPIVOTDATA("合計 / " &amp; $B31,【ピボット】事業所収支!$A$3,"年月",K$2,"事業所",$A31))</f>
        <v>0</v>
      </c>
      <c r="L31" s="1814">
        <f>IF(L$2&gt;$G$1,'☆事業所損益管理(H30.9～H31.8)(計画)'!L39,
GETPIVOTDATA("合計 / " &amp; $B31,【ピボット】事業所収支!$A$3,"年月",L$2,"事業所",$A31))</f>
        <v>0</v>
      </c>
      <c r="M31" s="1814">
        <f>IF(M$2&gt;$G$1,'☆事業所損益管理(H30.9～H31.8)(計画)'!M39,
GETPIVOTDATA("合計 / " &amp; $B31,【ピボット】事業所収支!$A$3,"年月",M$2,"事業所",$A31))</f>
        <v>0</v>
      </c>
      <c r="N31" s="1891">
        <f>IF(N$2&gt;$G$1,'☆事業所損益管理(H30.9～H31.8)(計画)'!N39,
GETPIVOTDATA("合計 / " &amp; $B31,【ピボット】事業所収支!$A$3,"年月",N$2,"事業所",$A31))</f>
        <v>0</v>
      </c>
      <c r="O31" s="1891">
        <f>IF(O$2&gt;$G$1,'☆事業所損益管理(H30.9～H31.8)(計画)'!O39,
GETPIVOTDATA("合計 / " &amp; $B31,【ピボット】事業所収支!$A$3,"年月",O$2,"事業所",$A31))</f>
        <v>0</v>
      </c>
      <c r="P31" s="1891">
        <f>IF(P$2&gt;$G$1,'☆事業所損益管理(H30.9～H31.8)(計画)'!P39,
GETPIVOTDATA("合計 / " &amp; $B31,【ピボット】事業所収支!$A$3,"年月",P$2,"事業所",$A31))</f>
        <v>0</v>
      </c>
      <c r="Q31" s="1892">
        <f>IF(Q$2&gt;$G$1,'☆事業所損益管理(H30.9～H31.8)(計画)'!Q39,
GETPIVOTDATA("合計 / " &amp; $B31,【ピボット】事業所収支!$A$3,"年月",Q$2,"事業所",$A31))</f>
        <v>0</v>
      </c>
      <c r="R31" s="1843">
        <f t="shared" ca="1" si="6"/>
        <v>532859</v>
      </c>
      <c r="S31" s="1843">
        <f t="shared" ca="1" si="7"/>
        <v>66607.375</v>
      </c>
      <c r="T31" s="539">
        <f t="shared" si="8"/>
        <v>532859</v>
      </c>
      <c r="U31" s="1825">
        <f t="shared" ca="1" si="9"/>
        <v>799288.5</v>
      </c>
      <c r="V31" s="2041">
        <f ca="1">IF(W31=0,1,IF(W31&lt;=1,1,IF(W31&gt;1.1,-1,0)))</f>
        <v>-1</v>
      </c>
      <c r="W31" s="1840">
        <f ca="1">IF(T31&lt;0,ROUND((U31-T31)/ABS(T31),3),IF(T31=0,0,ROUND(U31/T31,3)))</f>
        <v>1.5</v>
      </c>
    </row>
    <row r="32" spans="1:23" s="1122" customFormat="1" ht="14.25" customHeight="1" thickBot="1" x14ac:dyDescent="0.2">
      <c r="A32" s="1122" t="s">
        <v>1199</v>
      </c>
      <c r="B32" s="1790" t="s">
        <v>1230</v>
      </c>
      <c r="C32" s="2217"/>
      <c r="D32" s="2219"/>
      <c r="E32" s="1821" t="s">
        <v>35</v>
      </c>
      <c r="F32" s="1813">
        <f>IF(F$2&gt;$G$1,'☆事業所損益管理(H30.9～H31.8)(計画)'!F40,
GETPIVOTDATA("合計 / " &amp; $B32,【ピボット】事業所収支!$A$3,"年月",F$2,"事業所",$A32))</f>
        <v>740398</v>
      </c>
      <c r="G32" s="1814">
        <f>IF(G$2&gt;$G$1,'☆事業所損益管理(H30.9～H31.8)(計画)'!G40,
GETPIVOTDATA("合計 / " &amp; $B32,【ピボット】事業所収支!$A$3,"年月",G$2,"事業所",$A32))</f>
        <v>704776</v>
      </c>
      <c r="H32" s="1814">
        <f>IF(H$2&gt;$G$1,'☆事業所損益管理(H30.9～H31.8)(計画)'!H40,
GETPIVOTDATA("合計 / " &amp; $B32,【ピボット】事業所収支!$A$3,"年月",H$2,"事業所",$A32))</f>
        <v>533896</v>
      </c>
      <c r="I32" s="1814">
        <f>IF(I$2&gt;$G$1,'☆事業所損益管理(H30.9～H31.8)(計画)'!I40,
GETPIVOTDATA("合計 / " &amp; $B32,【ピボット】事業所収支!$A$3,"年月",I$2,"事業所",$A32))</f>
        <v>395245</v>
      </c>
      <c r="J32" s="1814">
        <f>IF(J$2&gt;$G$1,'☆事業所損益管理(H30.9～H31.8)(計画)'!J40,
GETPIVOTDATA("合計 / " &amp; $B32,【ピボット】事業所収支!$A$3,"年月",J$2,"事業所",$A32))</f>
        <v>438641</v>
      </c>
      <c r="K32" s="1814">
        <f>IF(K$2&gt;$G$1,'☆事業所損益管理(H30.9～H31.8)(計画)'!K40,
GETPIVOTDATA("合計 / " &amp; $B32,【ピボット】事業所収支!$A$3,"年月",K$2,"事業所",$A32))</f>
        <v>383687</v>
      </c>
      <c r="L32" s="1814">
        <f>IF(L$2&gt;$G$1,'☆事業所損益管理(H30.9～H31.8)(計画)'!L40,
GETPIVOTDATA("合計 / " &amp; $B32,【ピボット】事業所収支!$A$3,"年月",L$2,"事業所",$A32))</f>
        <v>410646</v>
      </c>
      <c r="M32" s="1814">
        <f>IF(M$2&gt;$G$1,'☆事業所損益管理(H30.9～H31.8)(計画)'!M40,
GETPIVOTDATA("合計 / " &amp; $B32,【ピボット】事業所収支!$A$3,"年月",M$2,"事業所",$A32))</f>
        <v>458741</v>
      </c>
      <c r="N32" s="1891">
        <f>IF(N$2&gt;$G$1,'☆事業所損益管理(H30.9～H31.8)(計画)'!N40,
GETPIVOTDATA("合計 / " &amp; $B32,【ピボット】事業所収支!$A$3,"年月",N$2,"事業所",$A32))</f>
        <v>550000</v>
      </c>
      <c r="O32" s="1891">
        <f>IF(O$2&gt;$G$1,'☆事業所損益管理(H30.9～H31.8)(計画)'!O40,
GETPIVOTDATA("合計 / " &amp; $B32,【ピボット】事業所収支!$A$3,"年月",O$2,"事業所",$A32))</f>
        <v>550000</v>
      </c>
      <c r="P32" s="1891">
        <f>IF(P$2&gt;$G$1,'☆事業所損益管理(H30.9～H31.8)(計画)'!P40,
GETPIVOTDATA("合計 / " &amp; $B32,【ピボット】事業所収支!$A$3,"年月",P$2,"事業所",$A32))</f>
        <v>550000</v>
      </c>
      <c r="Q32" s="1892">
        <f>IF(Q$2&gt;$G$1,'☆事業所損益管理(H30.9～H31.8)(計画)'!Q40,
GETPIVOTDATA("合計 / " &amp; $B32,【ピボット】事業所収支!$A$3,"年月",Q$2,"事業所",$A32))</f>
        <v>550000</v>
      </c>
      <c r="R32" s="1843">
        <f t="shared" ca="1" si="6"/>
        <v>4066030</v>
      </c>
      <c r="S32" s="1843">
        <f t="shared" ca="1" si="7"/>
        <v>508253.75</v>
      </c>
      <c r="T32" s="539">
        <f t="shared" si="8"/>
        <v>6266030</v>
      </c>
      <c r="U32" s="1825">
        <f t="shared" ca="1" si="9"/>
        <v>6099045</v>
      </c>
      <c r="V32" s="2041">
        <f ca="1">IF(W32=0,1,IF(W32&lt;=1,1,IF(W32&gt;1.1,-1,0)))</f>
        <v>1</v>
      </c>
      <c r="W32" s="1840">
        <f ca="1">IF(T32&lt;0,ROUND((U32-T32)/ABS(T32),3),IF(T32=0,0,ROUND(U32/T32,3)))</f>
        <v>0.97299999999999998</v>
      </c>
    </row>
    <row r="33" spans="1:23" s="1122" customFormat="1" ht="14.25" customHeight="1" thickBot="1" x14ac:dyDescent="0.2">
      <c r="A33" s="1122" t="s">
        <v>1199</v>
      </c>
      <c r="B33" s="1121"/>
      <c r="C33" s="2217"/>
      <c r="D33" s="2219"/>
      <c r="E33" s="1821" t="s">
        <v>1434</v>
      </c>
      <c r="F33" s="1823">
        <f>F29-(F30+F32)</f>
        <v>-796793</v>
      </c>
      <c r="G33" s="1824">
        <f>G29-(G30+G32)</f>
        <v>-904072</v>
      </c>
      <c r="H33" s="1824">
        <f>H29-(H30+H32)</f>
        <v>-536508</v>
      </c>
      <c r="I33" s="1824">
        <f t="shared" ref="I33:Q33" si="14">I29-(I30+I32)</f>
        <v>-255274</v>
      </c>
      <c r="J33" s="1824">
        <f t="shared" si="14"/>
        <v>-320365</v>
      </c>
      <c r="K33" s="1824">
        <f t="shared" si="14"/>
        <v>-14117</v>
      </c>
      <c r="L33" s="1824">
        <f t="shared" si="14"/>
        <v>-96871</v>
      </c>
      <c r="M33" s="1824">
        <f t="shared" si="14"/>
        <v>127864</v>
      </c>
      <c r="N33" s="1893">
        <f t="shared" si="14"/>
        <v>-210000</v>
      </c>
      <c r="O33" s="1893">
        <f t="shared" si="14"/>
        <v>50000</v>
      </c>
      <c r="P33" s="1893">
        <f t="shared" si="14"/>
        <v>50000</v>
      </c>
      <c r="Q33" s="1894">
        <f t="shared" si="14"/>
        <v>160000</v>
      </c>
      <c r="R33" s="1843">
        <f t="shared" ref="R33:R78" ca="1" si="15">SUM(OFFSET(F33,0,0,1,IF(ISERROR(MATCH(DATE(YEAR($G$1),MONTH($G$1),1),$F$2:$Q$2,0)),0,MATCH(DATE(YEAR($G$1),MONTH($G$1),1),$F$2:$Q$2,0))))</f>
        <v>-2796136</v>
      </c>
      <c r="S33" s="1843">
        <f t="shared" ca="1" si="7"/>
        <v>-349517</v>
      </c>
      <c r="T33" s="539">
        <f t="shared" si="8"/>
        <v>-2746136</v>
      </c>
      <c r="U33" s="1825">
        <f t="shared" ca="1" si="9"/>
        <v>-4194204</v>
      </c>
      <c r="V33" s="2043">
        <f ca="1">IFERROR(IF(W33&gt;=0,1,IF(W33&lt;-0.1,-1,0)),1)</f>
        <v>-1</v>
      </c>
      <c r="W33" s="1840">
        <f ca="1">IF(T33=0,1-(U30+U32)/U29,IF(T33=U33,0,ROUND((U33-T33)/ABS(T33),3)))</f>
        <v>-0.52700000000000002</v>
      </c>
    </row>
    <row r="34" spans="1:23" s="1122" customFormat="1" ht="14.25" customHeight="1" thickBot="1" x14ac:dyDescent="0.2">
      <c r="A34" s="1122" t="s">
        <v>676</v>
      </c>
      <c r="B34" s="1121" t="str">
        <f>E34</f>
        <v>売上</v>
      </c>
      <c r="C34" s="2217" t="s">
        <v>358</v>
      </c>
      <c r="D34" s="2218" t="s">
        <v>1441</v>
      </c>
      <c r="E34" s="1820" t="s">
        <v>26</v>
      </c>
      <c r="F34" s="1811">
        <f>IF(F$2&gt;$G$1,'☆事業所損益管理(H30.9～H31.8)(計画)'!F44,
GETPIVOTDATA("合計 / " &amp; $B34,【ピボット】事業所収支!$A$3,"年月",F$2,"事業所",$A34))</f>
        <v>4417151</v>
      </c>
      <c r="G34" s="1812">
        <f>IF(G$2&gt;$G$1,'☆事業所損益管理(H30.9～H31.8)(計画)'!G44,
GETPIVOTDATA("合計 / " &amp; $B34,【ピボット】事業所収支!$A$3,"年月",G$2,"事業所",$A34))</f>
        <v>4442200</v>
      </c>
      <c r="H34" s="1812">
        <f>IF(H$2&gt;$G$1,'☆事業所損益管理(H30.9～H31.8)(計画)'!H44,
GETPIVOTDATA("合計 / " &amp; $B34,【ピボット】事業所収支!$A$3,"年月",H$2,"事業所",$A34))</f>
        <v>4833081</v>
      </c>
      <c r="I34" s="1812">
        <f>IF(I$2&gt;$G$1,'☆事業所損益管理(H30.9～H31.8)(計画)'!I44,
GETPIVOTDATA("合計 / " &amp; $B34,【ピボット】事業所収支!$A$3,"年月",I$2,"事業所",$A34))</f>
        <v>4422644</v>
      </c>
      <c r="J34" s="1812">
        <f>IF(J$2&gt;$G$1,'☆事業所損益管理(H30.9～H31.8)(計画)'!J44,
GETPIVOTDATA("合計 / " &amp; $B34,【ピボット】事業所収支!$A$3,"年月",J$2,"事業所",$A34))</f>
        <v>4120917</v>
      </c>
      <c r="K34" s="1812">
        <f>IF(K$2&gt;$G$1,'☆事業所損益管理(H30.9～H31.8)(計画)'!K44,
GETPIVOTDATA("合計 / " &amp; $B34,【ピボット】事業所収支!$A$3,"年月",K$2,"事業所",$A34))</f>
        <v>4475893</v>
      </c>
      <c r="L34" s="1812">
        <f>IF(L$2&gt;$G$1,'☆事業所損益管理(H30.9～H31.8)(計画)'!L44,
GETPIVOTDATA("合計 / " &amp; $B34,【ピボット】事業所収支!$A$3,"年月",L$2,"事業所",$A34))</f>
        <v>4931183</v>
      </c>
      <c r="M34" s="1812">
        <f>IF(M$2&gt;$G$1,'☆事業所損益管理(H30.9～H31.8)(計画)'!M44,
GETPIVOTDATA("合計 / " &amp; $B34,【ピボット】事業所収支!$A$3,"年月",M$2,"事業所",$A34))</f>
        <v>4425975</v>
      </c>
      <c r="N34" s="1889">
        <f>IF(N$2&gt;$G$1,'☆事業所損益管理(H30.9～H31.8)(計画)'!N44,
GETPIVOTDATA("合計 / " &amp; $B34,【ピボット】事業所収支!$A$3,"年月",N$2,"事業所",$A34))</f>
        <v>4550000</v>
      </c>
      <c r="O34" s="1889">
        <f>IF(O$2&gt;$G$1,'☆事業所損益管理(H30.9～H31.8)(計画)'!O44,
GETPIVOTDATA("合計 / " &amp; $B34,【ピボット】事業所収支!$A$3,"年月",O$2,"事業所",$A34))</f>
        <v>4600000</v>
      </c>
      <c r="P34" s="1889">
        <f>IF(P$2&gt;$G$1,'☆事業所損益管理(H30.9～H31.8)(計画)'!P44,
GETPIVOTDATA("合計 / " &amp; $B34,【ピボット】事業所収支!$A$3,"年月",P$2,"事業所",$A34))</f>
        <v>4600000</v>
      </c>
      <c r="Q34" s="1890">
        <f>IF(Q$2&gt;$G$1,'☆事業所損益管理(H30.9～H31.8)(計画)'!Q44,
GETPIVOTDATA("合計 / " &amp; $B34,【ピボット】事業所収支!$A$3,"年月",Q$2,"事業所",$A34))</f>
        <v>4700000</v>
      </c>
      <c r="R34" s="1842">
        <f t="shared" ca="1" si="15"/>
        <v>36069044</v>
      </c>
      <c r="S34" s="1842">
        <f t="shared" ca="1" si="7"/>
        <v>4508630.5</v>
      </c>
      <c r="T34" s="538">
        <f t="shared" si="8"/>
        <v>54519044</v>
      </c>
      <c r="U34" s="1827">
        <f t="shared" ca="1" si="9"/>
        <v>54103566</v>
      </c>
      <c r="V34" s="2040">
        <f ca="1">IF(W34=0,1,IF(W34&gt;=1,1,IF(W34&lt;0.9,-1,0)))</f>
        <v>0</v>
      </c>
      <c r="W34" s="1839">
        <f ca="1">IF(T34&lt;0,ROUND((U34-T34)/ABS(T34),3),IF(T34=0,0,ROUND(U34/T34,3)))</f>
        <v>0.99199999999999999</v>
      </c>
    </row>
    <row r="35" spans="1:23" s="1122" customFormat="1" ht="14.25" customHeight="1" thickBot="1" x14ac:dyDescent="0.2">
      <c r="A35" s="1122" t="s">
        <v>676</v>
      </c>
      <c r="B35" s="1121" t="str">
        <f>E35</f>
        <v>人件費</v>
      </c>
      <c r="C35" s="2217"/>
      <c r="D35" s="2219"/>
      <c r="E35" s="1821" t="s">
        <v>15</v>
      </c>
      <c r="F35" s="1813">
        <f>IF(F$2&gt;$G$1,'☆事業所損益管理(H30.9～H31.8)(計画)'!F45,
GETPIVOTDATA("合計 / " &amp; $B35,【ピボット】事業所収支!$A$3,"年月",F$2,"事業所",$A35))</f>
        <v>2350226</v>
      </c>
      <c r="G35" s="1814">
        <f>IF(G$2&gt;$G$1,'☆事業所損益管理(H30.9～H31.8)(計画)'!G45,
GETPIVOTDATA("合計 / " &amp; $B35,【ピボット】事業所収支!$A$3,"年月",G$2,"事業所",$A35))</f>
        <v>2086350</v>
      </c>
      <c r="H35" s="1814">
        <f>IF(H$2&gt;$G$1,'☆事業所損益管理(H30.9～H31.8)(計画)'!H45,
GETPIVOTDATA("合計 / " &amp; $B35,【ピボット】事業所収支!$A$3,"年月",H$2,"事業所",$A35))</f>
        <v>2191511</v>
      </c>
      <c r="I35" s="1814">
        <f>IF(I$2&gt;$G$1,'☆事業所損益管理(H30.9～H31.8)(計画)'!I45,
GETPIVOTDATA("合計 / " &amp; $B35,【ピボット】事業所収支!$A$3,"年月",I$2,"事業所",$A35))</f>
        <v>3314822</v>
      </c>
      <c r="J35" s="1814">
        <f>IF(J$2&gt;$G$1,'☆事業所損益管理(H30.9～H31.8)(計画)'!J45,
GETPIVOTDATA("合計 / " &amp; $B35,【ピボット】事業所収支!$A$3,"年月",J$2,"事業所",$A35))</f>
        <v>2332898</v>
      </c>
      <c r="K35" s="1814">
        <f>IF(K$2&gt;$G$1,'☆事業所損益管理(H30.9～H31.8)(計画)'!K45,
GETPIVOTDATA("合計 / " &amp; $B35,【ピボット】事業所収支!$A$3,"年月",K$2,"事業所",$A35))</f>
        <v>2102329</v>
      </c>
      <c r="L35" s="1814">
        <f>IF(L$2&gt;$G$1,'☆事業所損益管理(H30.9～H31.8)(計画)'!L45,
GETPIVOTDATA("合計 / " &amp; $B35,【ピボット】事業所収支!$A$3,"年月",L$2,"事業所",$A35))</f>
        <v>2180249</v>
      </c>
      <c r="M35" s="1814">
        <f>IF(M$2&gt;$G$1,'☆事業所損益管理(H30.9～H31.8)(計画)'!M45,
GETPIVOTDATA("合計 / " &amp; $B35,【ピボット】事業所収支!$A$3,"年月",M$2,"事業所",$A35))</f>
        <v>2316325</v>
      </c>
      <c r="N35" s="1891">
        <f>IF(N$2&gt;$G$1,'☆事業所損益管理(H30.9～H31.8)(計画)'!N45,
GETPIVOTDATA("合計 / " &amp; $B35,【ピボット】事業所収支!$A$3,"年月",N$2,"事業所",$A35))</f>
        <v>2400000</v>
      </c>
      <c r="O35" s="1891">
        <f>IF(O$2&gt;$G$1,'☆事業所損益管理(H30.9～H31.8)(計画)'!O45,
GETPIVOTDATA("合計 / " &amp; $B35,【ピボット】事業所収支!$A$3,"年月",O$2,"事業所",$A35))</f>
        <v>4200000</v>
      </c>
      <c r="P35" s="1891">
        <f>IF(P$2&gt;$G$1,'☆事業所損益管理(H30.9～H31.8)(計画)'!P45,
GETPIVOTDATA("合計 / " &amp; $B35,【ピボット】事業所収支!$A$3,"年月",P$2,"事業所",$A35))</f>
        <v>2400000</v>
      </c>
      <c r="Q35" s="1892">
        <f>IF(Q$2&gt;$G$1,'☆事業所損益管理(H30.9～H31.8)(計画)'!Q45,
GETPIVOTDATA("合計 / " &amp; $B35,【ピボット】事業所収支!$A$3,"年月",Q$2,"事業所",$A35))</f>
        <v>2400000</v>
      </c>
      <c r="R35" s="1843">
        <f t="shared" ca="1" si="15"/>
        <v>18874710</v>
      </c>
      <c r="S35" s="1843">
        <f t="shared" ca="1" si="7"/>
        <v>2359338.75</v>
      </c>
      <c r="T35" s="539">
        <f t="shared" si="8"/>
        <v>30274710</v>
      </c>
      <c r="U35" s="1825">
        <f t="shared" ca="1" si="9"/>
        <v>28312065</v>
      </c>
      <c r="V35" s="2041">
        <f ca="1">IF(W35=0,1,IF(W35&lt;=1,1,IF(W35&gt;1.1,-1,0)))</f>
        <v>1</v>
      </c>
      <c r="W35" s="1840">
        <f ca="1">IF(T35&lt;0,ROUND((U35-T35)/ABS(T35),3),IF(T35=0,0,ROUND(U35/T35,3)))</f>
        <v>0.93500000000000005</v>
      </c>
    </row>
    <row r="36" spans="1:23" s="1122" customFormat="1" ht="14.25" customHeight="1" thickBot="1" x14ac:dyDescent="0.2">
      <c r="A36" s="1122" t="s">
        <v>676</v>
      </c>
      <c r="B36" s="1121" t="str">
        <f>E36</f>
        <v>広告経費</v>
      </c>
      <c r="C36" s="2217"/>
      <c r="D36" s="2219"/>
      <c r="E36" s="1821" t="s">
        <v>447</v>
      </c>
      <c r="F36" s="1813">
        <f>IF(F$2&gt;$G$1,'☆事業所損益管理(H30.9～H31.8)(計画)'!F46,
GETPIVOTDATA("合計 / " &amp; $B36,【ピボット】事業所収支!$A$3,"年月",F$2,"事業所",$A36))</f>
        <v>0</v>
      </c>
      <c r="G36" s="1814">
        <f>IF(G$2&gt;$G$1,'☆事業所損益管理(H30.9～H31.8)(計画)'!G46,
GETPIVOTDATA("合計 / " &amp; $B36,【ピボット】事業所収支!$A$3,"年月",G$2,"事業所",$A36))</f>
        <v>113400</v>
      </c>
      <c r="H36" s="1814">
        <f>IF(H$2&gt;$G$1,'☆事業所損益管理(H30.9～H31.8)(計画)'!H46,
GETPIVOTDATA("合計 / " &amp; $B36,【ピボット】事業所収支!$A$3,"年月",H$2,"事業所",$A36))</f>
        <v>48600</v>
      </c>
      <c r="I36" s="1814">
        <f>IF(I$2&gt;$G$1,'☆事業所損益管理(H30.9～H31.8)(計画)'!I46,
GETPIVOTDATA("合計 / " &amp; $B36,【ピボット】事業所収支!$A$3,"年月",I$2,"事業所",$A36))</f>
        <v>0</v>
      </c>
      <c r="J36" s="1814">
        <f>IF(J$2&gt;$G$1,'☆事業所損益管理(H30.9～H31.8)(計画)'!J46,
GETPIVOTDATA("合計 / " &amp; $B36,【ピボット】事業所収支!$A$3,"年月",J$2,"事業所",$A36))</f>
        <v>0</v>
      </c>
      <c r="K36" s="1814">
        <f>IF(K$2&gt;$G$1,'☆事業所損益管理(H30.9～H31.8)(計画)'!K46,
GETPIVOTDATA("合計 / " &amp; $B36,【ピボット】事業所収支!$A$3,"年月",K$2,"事業所",$A36))</f>
        <v>0</v>
      </c>
      <c r="L36" s="1814">
        <f>IF(L$2&gt;$G$1,'☆事業所損益管理(H30.9～H31.8)(計画)'!L46,
GETPIVOTDATA("合計 / " &amp; $B36,【ピボット】事業所収支!$A$3,"年月",L$2,"事業所",$A36))</f>
        <v>0</v>
      </c>
      <c r="M36" s="1814">
        <f>IF(M$2&gt;$G$1,'☆事業所損益管理(H30.9～H31.8)(計画)'!M46,
GETPIVOTDATA("合計 / " &amp; $B36,【ピボット】事業所収支!$A$3,"年月",M$2,"事業所",$A36))</f>
        <v>0</v>
      </c>
      <c r="N36" s="1891">
        <f>IF(N$2&gt;$G$1,'☆事業所損益管理(H30.9～H31.8)(計画)'!N46,
GETPIVOTDATA("合計 / " &amp; $B36,【ピボット】事業所収支!$A$3,"年月",N$2,"事業所",$A36))</f>
        <v>0</v>
      </c>
      <c r="O36" s="1891">
        <f>IF(O$2&gt;$G$1,'☆事業所損益管理(H30.9～H31.8)(計画)'!O46,
GETPIVOTDATA("合計 / " &amp; $B36,【ピボット】事業所収支!$A$3,"年月",O$2,"事業所",$A36))</f>
        <v>50000</v>
      </c>
      <c r="P36" s="1891">
        <f>IF(P$2&gt;$G$1,'☆事業所損益管理(H30.9～H31.8)(計画)'!P46,
GETPIVOTDATA("合計 / " &amp; $B36,【ピボット】事業所収支!$A$3,"年月",P$2,"事業所",$A36))</f>
        <v>0</v>
      </c>
      <c r="Q36" s="1892">
        <f>IF(Q$2&gt;$G$1,'☆事業所損益管理(H30.9～H31.8)(計画)'!Q46,
GETPIVOTDATA("合計 / " &amp; $B36,【ピボット】事業所収支!$A$3,"年月",Q$2,"事業所",$A36))</f>
        <v>0</v>
      </c>
      <c r="R36" s="1843">
        <f t="shared" ca="1" si="15"/>
        <v>162000</v>
      </c>
      <c r="S36" s="1843">
        <f t="shared" ca="1" si="7"/>
        <v>20250</v>
      </c>
      <c r="T36" s="539">
        <f t="shared" si="8"/>
        <v>212000</v>
      </c>
      <c r="U36" s="1825">
        <f t="shared" ca="1" si="9"/>
        <v>243000</v>
      </c>
      <c r="V36" s="2041">
        <f ca="1">IF(W36=0,1,IF(W36&lt;=1,1,IF(W36&gt;1.1,-1,0)))</f>
        <v>-1</v>
      </c>
      <c r="W36" s="1840">
        <f ca="1">IF(T36&lt;0,ROUND((U36-T36)/ABS(T36),3),IF(T36=0,0,ROUND(U36/T36,3)))</f>
        <v>1.1459999999999999</v>
      </c>
    </row>
    <row r="37" spans="1:23" s="1122" customFormat="1" ht="14.25" customHeight="1" thickBot="1" x14ac:dyDescent="0.2">
      <c r="A37" s="1122" t="s">
        <v>676</v>
      </c>
      <c r="B37" s="1790" t="s">
        <v>1230</v>
      </c>
      <c r="C37" s="2217"/>
      <c r="D37" s="2219"/>
      <c r="E37" s="1821" t="s">
        <v>35</v>
      </c>
      <c r="F37" s="1813">
        <f>IF(F$2&gt;$G$1,'☆事業所損益管理(H30.9～H31.8)(計画)'!F47,
GETPIVOTDATA("合計 / " &amp; $B37,【ピボット】事業所収支!$A$3,"年月",F$2,"事業所",$A37))</f>
        <v>1089344</v>
      </c>
      <c r="G37" s="1814">
        <f>IF(G$2&gt;$G$1,'☆事業所損益管理(H30.9～H31.8)(計画)'!G47,
GETPIVOTDATA("合計 / " &amp; $B37,【ピボット】事業所収支!$A$3,"年月",G$2,"事業所",$A37))</f>
        <v>1207486</v>
      </c>
      <c r="H37" s="1814">
        <f>IF(H$2&gt;$G$1,'☆事業所損益管理(H30.9～H31.8)(計画)'!H47,
GETPIVOTDATA("合計 / " &amp; $B37,【ピボット】事業所収支!$A$3,"年月",H$2,"事業所",$A37))</f>
        <v>1037871</v>
      </c>
      <c r="I37" s="1814">
        <f>IF(I$2&gt;$G$1,'☆事業所損益管理(H30.9～H31.8)(計画)'!I47,
GETPIVOTDATA("合計 / " &amp; $B37,【ピボット】事業所収支!$A$3,"年月",I$2,"事業所",$A37))</f>
        <v>1158080</v>
      </c>
      <c r="J37" s="1814">
        <f>IF(J$2&gt;$G$1,'☆事業所損益管理(H30.9～H31.8)(計画)'!J47,
GETPIVOTDATA("合計 / " &amp; $B37,【ピボット】事業所収支!$A$3,"年月",J$2,"事業所",$A37))</f>
        <v>1282667</v>
      </c>
      <c r="K37" s="1814">
        <f>IF(K$2&gt;$G$1,'☆事業所損益管理(H30.9～H31.8)(計画)'!K47,
GETPIVOTDATA("合計 / " &amp; $B37,【ピボット】事業所収支!$A$3,"年月",K$2,"事業所",$A37))</f>
        <v>1149109</v>
      </c>
      <c r="L37" s="1814">
        <f>IF(L$2&gt;$G$1,'☆事業所損益管理(H30.9～H31.8)(計画)'!L47,
GETPIVOTDATA("合計 / " &amp; $B37,【ピボット】事業所収支!$A$3,"年月",L$2,"事業所",$A37))</f>
        <v>1064856</v>
      </c>
      <c r="M37" s="1814">
        <f>IF(M$2&gt;$G$1,'☆事業所損益管理(H30.9～H31.8)(計画)'!M47,
GETPIVOTDATA("合計 / " &amp; $B37,【ピボット】事業所収支!$A$3,"年月",M$2,"事業所",$A37))</f>
        <v>1085892</v>
      </c>
      <c r="N37" s="1891">
        <f>IF(N$2&gt;$G$1,'☆事業所損益管理(H30.9～H31.8)(計画)'!N47,
GETPIVOTDATA("合計 / " &amp; $B37,【ピボット】事業所収支!$A$3,"年月",N$2,"事業所",$A37))</f>
        <v>1100000</v>
      </c>
      <c r="O37" s="1891">
        <f>IF(O$2&gt;$G$1,'☆事業所損益管理(H30.9～H31.8)(計画)'!O47,
GETPIVOTDATA("合計 / " &amp; $B37,【ピボット】事業所収支!$A$3,"年月",O$2,"事業所",$A37))</f>
        <v>1150000</v>
      </c>
      <c r="P37" s="1891">
        <f>IF(P$2&gt;$G$1,'☆事業所損益管理(H30.9～H31.8)(計画)'!P47,
GETPIVOTDATA("合計 / " &amp; $B37,【ピボット】事業所収支!$A$3,"年月",P$2,"事業所",$A37))</f>
        <v>1100000</v>
      </c>
      <c r="Q37" s="1892">
        <f>IF(Q$2&gt;$G$1,'☆事業所損益管理(H30.9～H31.8)(計画)'!Q47,
GETPIVOTDATA("合計 / " &amp; $B37,【ピボット】事業所収支!$A$3,"年月",Q$2,"事業所",$A37))</f>
        <v>1100000</v>
      </c>
      <c r="R37" s="1843">
        <f t="shared" ca="1" si="15"/>
        <v>9075305</v>
      </c>
      <c r="S37" s="1843">
        <f t="shared" ca="1" si="7"/>
        <v>1134413.125</v>
      </c>
      <c r="T37" s="539">
        <f t="shared" si="8"/>
        <v>13525305</v>
      </c>
      <c r="U37" s="1825">
        <f t="shared" ca="1" si="9"/>
        <v>13612957.5</v>
      </c>
      <c r="V37" s="2041">
        <f ca="1">IF(W37=0,1,IF(W37&lt;=1,1,IF(W37&gt;1.1,-1,0)))</f>
        <v>0</v>
      </c>
      <c r="W37" s="1840">
        <f ca="1">IF(T37&lt;0,ROUND((U37-T37)/ABS(T37),3),IF(T37=0,0,ROUND(U37/T37,3)))</f>
        <v>1.006</v>
      </c>
    </row>
    <row r="38" spans="1:23" s="1122" customFormat="1" ht="14.25" customHeight="1" thickBot="1" x14ac:dyDescent="0.2">
      <c r="A38" s="1122" t="s">
        <v>676</v>
      </c>
      <c r="B38" s="1121"/>
      <c r="C38" s="2217"/>
      <c r="D38" s="2219"/>
      <c r="E38" s="1821" t="s">
        <v>1434</v>
      </c>
      <c r="F38" s="1823">
        <f>F34-(F35+F37)</f>
        <v>977581</v>
      </c>
      <c r="G38" s="1824">
        <f>G34-(G35+G37)</f>
        <v>1148364</v>
      </c>
      <c r="H38" s="1824">
        <f>H34-(H35+H37)</f>
        <v>1603699</v>
      </c>
      <c r="I38" s="1824">
        <f t="shared" ref="I38:Q38" si="16">I34-(I35+I37)</f>
        <v>-50258</v>
      </c>
      <c r="J38" s="1824">
        <f t="shared" si="16"/>
        <v>505352</v>
      </c>
      <c r="K38" s="1824">
        <f t="shared" si="16"/>
        <v>1224455</v>
      </c>
      <c r="L38" s="1824">
        <f t="shared" si="16"/>
        <v>1686078</v>
      </c>
      <c r="M38" s="1824">
        <f t="shared" si="16"/>
        <v>1023758</v>
      </c>
      <c r="N38" s="1893">
        <f t="shared" si="16"/>
        <v>1050000</v>
      </c>
      <c r="O38" s="1893">
        <f t="shared" si="16"/>
        <v>-750000</v>
      </c>
      <c r="P38" s="1893">
        <f t="shared" si="16"/>
        <v>1100000</v>
      </c>
      <c r="Q38" s="1894">
        <f t="shared" si="16"/>
        <v>1200000</v>
      </c>
      <c r="R38" s="1843">
        <f t="shared" ca="1" si="15"/>
        <v>8119029</v>
      </c>
      <c r="S38" s="1843">
        <f t="shared" ca="1" si="7"/>
        <v>1014878.625</v>
      </c>
      <c r="T38" s="539">
        <f t="shared" si="8"/>
        <v>10719029</v>
      </c>
      <c r="U38" s="1825">
        <f t="shared" ca="1" si="9"/>
        <v>12178543.5</v>
      </c>
      <c r="V38" s="2043">
        <f ca="1">IFERROR(IF(W38&gt;=0,1,IF(W38&lt;-0.1,-1,0)),1)</f>
        <v>1</v>
      </c>
      <c r="W38" s="1840">
        <f ca="1">IF(T38=0,1-(U35+U37)/U34,IF(T38=U38,0,ROUND((U38-T38)/ABS(T38),3)))</f>
        <v>0.13600000000000001</v>
      </c>
    </row>
    <row r="39" spans="1:23" s="1122" customFormat="1" ht="14.25" customHeight="1" thickBot="1" x14ac:dyDescent="0.2">
      <c r="A39" s="1122" t="s">
        <v>381</v>
      </c>
      <c r="B39" s="1121" t="str">
        <f>E39</f>
        <v>売上</v>
      </c>
      <c r="C39" s="2217" t="s">
        <v>446</v>
      </c>
      <c r="D39" s="2218" t="s">
        <v>1441</v>
      </c>
      <c r="E39" s="1820" t="s">
        <v>26</v>
      </c>
      <c r="F39" s="1811">
        <f>IF(F$2&gt;$G$1,'☆事業所損益管理(H30.9～H31.8)(計画)'!F51,
GETPIVOTDATA("合計 / " &amp; $B39,【ピボット】事業所収支!$A$3,"年月",F$2,"事業所",$A39))</f>
        <v>2112073</v>
      </c>
      <c r="G39" s="1812">
        <f>IF(G$2&gt;$G$1,'☆事業所損益管理(H30.9～H31.8)(計画)'!G51,
GETPIVOTDATA("合計 / " &amp; $B39,【ピボット】事業所収支!$A$3,"年月",G$2,"事業所",$A39))</f>
        <v>2397265</v>
      </c>
      <c r="H39" s="1812">
        <f>IF(H$2&gt;$G$1,'☆事業所損益管理(H30.9～H31.8)(計画)'!H51,
GETPIVOTDATA("合計 / " &amp; $B39,【ピボット】事業所収支!$A$3,"年月",H$2,"事業所",$A39))</f>
        <v>3521977</v>
      </c>
      <c r="I39" s="1812">
        <f>IF(I$2&gt;$G$1,'☆事業所損益管理(H30.9～H31.8)(計画)'!I51,
GETPIVOTDATA("合計 / " &amp; $B39,【ピボット】事業所収支!$A$3,"年月",I$2,"事業所",$A39))</f>
        <v>2606315</v>
      </c>
      <c r="J39" s="1812">
        <f>IF(J$2&gt;$G$1,'☆事業所損益管理(H30.9～H31.8)(計画)'!J51,
GETPIVOTDATA("合計 / " &amp; $B39,【ピボット】事業所収支!$A$3,"年月",J$2,"事業所",$A39))</f>
        <v>2627069</v>
      </c>
      <c r="K39" s="1812">
        <f>IF(K$2&gt;$G$1,'☆事業所損益管理(H30.9～H31.8)(計画)'!K51,
GETPIVOTDATA("合計 / " &amp; $B39,【ピボット】事業所収支!$A$3,"年月",K$2,"事業所",$A39))</f>
        <v>2515123</v>
      </c>
      <c r="L39" s="1812">
        <f>IF(L$2&gt;$G$1,'☆事業所損益管理(H30.9～H31.8)(計画)'!L51,
GETPIVOTDATA("合計 / " &amp; $B39,【ピボット】事業所収支!$A$3,"年月",L$2,"事業所",$A39))</f>
        <v>2498262</v>
      </c>
      <c r="M39" s="1812">
        <f>IF(M$2&gt;$G$1,'☆事業所損益管理(H30.9～H31.8)(計画)'!M51,
GETPIVOTDATA("合計 / " &amp; $B39,【ピボット】事業所収支!$A$3,"年月",M$2,"事業所",$A39))</f>
        <v>2462469</v>
      </c>
      <c r="N39" s="1889">
        <f>IF(N$2&gt;$G$1,'☆事業所損益管理(H30.9～H31.8)(計画)'!N51,
GETPIVOTDATA("合計 / " &amp; $B39,【ピボット】事業所収支!$A$3,"年月",N$2,"事業所",$A39))</f>
        <v>3000000</v>
      </c>
      <c r="O39" s="1889">
        <f>IF(O$2&gt;$G$1,'☆事業所損益管理(H30.9～H31.8)(計画)'!O51,
GETPIVOTDATA("合計 / " &amp; $B39,【ピボット】事業所収支!$A$3,"年月",O$2,"事業所",$A39))</f>
        <v>3000000</v>
      </c>
      <c r="P39" s="1889">
        <f>IF(P$2&gt;$G$1,'☆事業所損益管理(H30.9～H31.8)(計画)'!P51,
GETPIVOTDATA("合計 / " &amp; $B39,【ピボット】事業所収支!$A$3,"年月",P$2,"事業所",$A39))</f>
        <v>3000000</v>
      </c>
      <c r="Q39" s="1890">
        <f>IF(Q$2&gt;$G$1,'☆事業所損益管理(H30.9～H31.8)(計画)'!Q51,
GETPIVOTDATA("合計 / " &amp; $B39,【ピボット】事業所収支!$A$3,"年月",Q$2,"事業所",$A39))</f>
        <v>3000000</v>
      </c>
      <c r="R39" s="1842">
        <f t="shared" ca="1" si="15"/>
        <v>20740553</v>
      </c>
      <c r="S39" s="1842">
        <f t="shared" ca="1" si="7"/>
        <v>2592569.125</v>
      </c>
      <c r="T39" s="538">
        <f t="shared" si="8"/>
        <v>32740553</v>
      </c>
      <c r="U39" s="1827">
        <f t="shared" ca="1" si="9"/>
        <v>31110829.5</v>
      </c>
      <c r="V39" s="2040">
        <f ca="1">IF(W39=0,1,IF(W39&gt;=1,1,IF(W39&lt;0.9,-1,0)))</f>
        <v>0</v>
      </c>
      <c r="W39" s="1839">
        <f ca="1">IF(T39&lt;0,ROUND((U39-T39)/ABS(T39),3),IF(T39=0,0,ROUND(U39/T39,3)))</f>
        <v>0.95</v>
      </c>
    </row>
    <row r="40" spans="1:23" s="1122" customFormat="1" ht="14.25" customHeight="1" thickBot="1" x14ac:dyDescent="0.2">
      <c r="A40" s="1122" t="s">
        <v>381</v>
      </c>
      <c r="B40" s="1121" t="str">
        <f>E40</f>
        <v>人件費</v>
      </c>
      <c r="C40" s="2217"/>
      <c r="D40" s="2219"/>
      <c r="E40" s="1821" t="s">
        <v>15</v>
      </c>
      <c r="F40" s="1813">
        <f>IF(F$2&gt;$G$1,'☆事業所損益管理(H30.9～H31.8)(計画)'!F52,
GETPIVOTDATA("合計 / " &amp; $B40,【ピボット】事業所収支!$A$3,"年月",F$2,"事業所",$A40))</f>
        <v>1316645</v>
      </c>
      <c r="G40" s="1814">
        <f>IF(G$2&gt;$G$1,'☆事業所損益管理(H30.9～H31.8)(計画)'!G52,
GETPIVOTDATA("合計 / " &amp; $B40,【ピボット】事業所収支!$A$3,"年月",G$2,"事業所",$A40))</f>
        <v>1375936</v>
      </c>
      <c r="H40" s="1814">
        <f>IF(H$2&gt;$G$1,'☆事業所損益管理(H30.9～H31.8)(計画)'!H52,
GETPIVOTDATA("合計 / " &amp; $B40,【ピボット】事業所収支!$A$3,"年月",H$2,"事業所",$A40))</f>
        <v>1428141</v>
      </c>
      <c r="I40" s="1814">
        <f>IF(I$2&gt;$G$1,'☆事業所損益管理(H30.9～H31.8)(計画)'!I52,
GETPIVOTDATA("合計 / " &amp; $B40,【ピボット】事業所収支!$A$3,"年月",I$2,"事業所",$A40))</f>
        <v>1812297</v>
      </c>
      <c r="J40" s="1814">
        <f>IF(J$2&gt;$G$1,'☆事業所損益管理(H30.9～H31.8)(計画)'!J52,
GETPIVOTDATA("合計 / " &amp; $B40,【ピボット】事業所収支!$A$3,"年月",J$2,"事業所",$A40))</f>
        <v>1470264</v>
      </c>
      <c r="K40" s="1814">
        <f>IF(K$2&gt;$G$1,'☆事業所損益管理(H30.9～H31.8)(計画)'!K52,
GETPIVOTDATA("合計 / " &amp; $B40,【ピボット】事業所収支!$A$3,"年月",K$2,"事業所",$A40))</f>
        <v>1322966</v>
      </c>
      <c r="L40" s="1814">
        <f>IF(L$2&gt;$G$1,'☆事業所損益管理(H30.9～H31.8)(計画)'!L52,
GETPIVOTDATA("合計 / " &amp; $B40,【ピボット】事業所収支!$A$3,"年月",L$2,"事業所",$A40))</f>
        <v>1377986</v>
      </c>
      <c r="M40" s="1814">
        <f>IF(M$2&gt;$G$1,'☆事業所損益管理(H30.9～H31.8)(計画)'!M52,
GETPIVOTDATA("合計 / " &amp; $B40,【ピボット】事業所収支!$A$3,"年月",M$2,"事業所",$A40))</f>
        <v>1430079</v>
      </c>
      <c r="N40" s="1891">
        <f>IF(N$2&gt;$G$1,'☆事業所損益管理(H30.9～H31.8)(計画)'!N52,
GETPIVOTDATA("合計 / " &amp; $B40,【ピボット】事業所収支!$A$3,"年月",N$2,"事業所",$A40))</f>
        <v>1350000</v>
      </c>
      <c r="O40" s="1891">
        <f>IF(O$2&gt;$G$1,'☆事業所損益管理(H30.9～H31.8)(計画)'!O52,
GETPIVOTDATA("合計 / " &amp; $B40,【ピボット】事業所収支!$A$3,"年月",O$2,"事業所",$A40))</f>
        <v>1950000</v>
      </c>
      <c r="P40" s="1891">
        <f>IF(P$2&gt;$G$1,'☆事業所損益管理(H30.9～H31.8)(計画)'!P52,
GETPIVOTDATA("合計 / " &amp; $B40,【ピボット】事業所収支!$A$3,"年月",P$2,"事業所",$A40))</f>
        <v>1350000</v>
      </c>
      <c r="Q40" s="1892">
        <f>IF(Q$2&gt;$G$1,'☆事業所損益管理(H30.9～H31.8)(計画)'!Q52,
GETPIVOTDATA("合計 / " &amp; $B40,【ピボット】事業所収支!$A$3,"年月",Q$2,"事業所",$A40))</f>
        <v>1350000</v>
      </c>
      <c r="R40" s="1843">
        <f t="shared" ca="1" si="15"/>
        <v>11534314</v>
      </c>
      <c r="S40" s="1843">
        <f t="shared" ca="1" si="7"/>
        <v>1441789.25</v>
      </c>
      <c r="T40" s="539">
        <f t="shared" si="8"/>
        <v>17534314</v>
      </c>
      <c r="U40" s="1825">
        <f t="shared" ca="1" si="9"/>
        <v>17301471</v>
      </c>
      <c r="V40" s="2041">
        <f ca="1">IF(W40=0,1,IF(W40&lt;=1,1,IF(W40&gt;1.1,-1,0)))</f>
        <v>1</v>
      </c>
      <c r="W40" s="1840">
        <f ca="1">IF(T40&lt;0,ROUND((U40-T40)/ABS(T40),3),IF(T40=0,0,ROUND(U40/T40,3)))</f>
        <v>0.98699999999999999</v>
      </c>
    </row>
    <row r="41" spans="1:23" s="1122" customFormat="1" ht="14.25" customHeight="1" thickBot="1" x14ac:dyDescent="0.2">
      <c r="A41" s="1122" t="s">
        <v>381</v>
      </c>
      <c r="B41" s="1121" t="str">
        <f>E41</f>
        <v>広告経費</v>
      </c>
      <c r="C41" s="2217"/>
      <c r="D41" s="2219"/>
      <c r="E41" s="1821" t="s">
        <v>447</v>
      </c>
      <c r="F41" s="1813">
        <f>IF(F$2&gt;$G$1,'☆事業所損益管理(H30.9～H31.8)(計画)'!F53,
GETPIVOTDATA("合計 / " &amp; $B41,【ピボット】事業所収支!$A$3,"年月",F$2,"事業所",$A41))</f>
        <v>0</v>
      </c>
      <c r="G41" s="1814">
        <f>IF(G$2&gt;$G$1,'☆事業所損益管理(H30.9～H31.8)(計画)'!G53,
GETPIVOTDATA("合計 / " &amp; $B41,【ピボット】事業所収支!$A$3,"年月",G$2,"事業所",$A41))</f>
        <v>0</v>
      </c>
      <c r="H41" s="1814">
        <f>IF(H$2&gt;$G$1,'☆事業所損益管理(H30.9～H31.8)(計画)'!H53,
GETPIVOTDATA("合計 / " &amp; $B41,【ピボット】事業所収支!$A$3,"年月",H$2,"事業所",$A41))</f>
        <v>0</v>
      </c>
      <c r="I41" s="1814">
        <f>IF(I$2&gt;$G$1,'☆事業所損益管理(H30.9～H31.8)(計画)'!I53,
GETPIVOTDATA("合計 / " &amp; $B41,【ピボット】事業所収支!$A$3,"年月",I$2,"事業所",$A41))</f>
        <v>0</v>
      </c>
      <c r="J41" s="1814">
        <f>IF(J$2&gt;$G$1,'☆事業所損益管理(H30.9～H31.8)(計画)'!J53,
GETPIVOTDATA("合計 / " &amp; $B41,【ピボット】事業所収支!$A$3,"年月",J$2,"事業所",$A41))</f>
        <v>0</v>
      </c>
      <c r="K41" s="1814">
        <f>IF(K$2&gt;$G$1,'☆事業所損益管理(H30.9～H31.8)(計画)'!K53,
GETPIVOTDATA("合計 / " &amp; $B41,【ピボット】事業所収支!$A$3,"年月",K$2,"事業所",$A41))</f>
        <v>0</v>
      </c>
      <c r="L41" s="1814">
        <f>IF(L$2&gt;$G$1,'☆事業所損益管理(H30.9～H31.8)(計画)'!L53,
GETPIVOTDATA("合計 / " &amp; $B41,【ピボット】事業所収支!$A$3,"年月",L$2,"事業所",$A41))</f>
        <v>0</v>
      </c>
      <c r="M41" s="1814">
        <f>IF(M$2&gt;$G$1,'☆事業所損益管理(H30.9～H31.8)(計画)'!M53,
GETPIVOTDATA("合計 / " &amp; $B41,【ピボット】事業所収支!$A$3,"年月",M$2,"事業所",$A41))</f>
        <v>0</v>
      </c>
      <c r="N41" s="1891">
        <f>IF(N$2&gt;$G$1,'☆事業所損益管理(H30.9～H31.8)(計画)'!N53,
GETPIVOTDATA("合計 / " &amp; $B41,【ピボット】事業所収支!$A$3,"年月",N$2,"事業所",$A41))</f>
        <v>0</v>
      </c>
      <c r="O41" s="1891">
        <f>IF(O$2&gt;$G$1,'☆事業所損益管理(H30.9～H31.8)(計画)'!O53,
GETPIVOTDATA("合計 / " &amp; $B41,【ピボット】事業所収支!$A$3,"年月",O$2,"事業所",$A41))</f>
        <v>0</v>
      </c>
      <c r="P41" s="1891">
        <f>IF(P$2&gt;$G$1,'☆事業所損益管理(H30.9～H31.8)(計画)'!P53,
GETPIVOTDATA("合計 / " &amp; $B41,【ピボット】事業所収支!$A$3,"年月",P$2,"事業所",$A41))</f>
        <v>0</v>
      </c>
      <c r="Q41" s="1892">
        <f>IF(Q$2&gt;$G$1,'☆事業所損益管理(H30.9～H31.8)(計画)'!Q53,
GETPIVOTDATA("合計 / " &amp; $B41,【ピボット】事業所収支!$A$3,"年月",Q$2,"事業所",$A41))</f>
        <v>0</v>
      </c>
      <c r="R41" s="1843">
        <f t="shared" ca="1" si="15"/>
        <v>0</v>
      </c>
      <c r="S41" s="1843">
        <f t="shared" ca="1" si="7"/>
        <v>0</v>
      </c>
      <c r="T41" s="539">
        <f t="shared" si="8"/>
        <v>0</v>
      </c>
      <c r="U41" s="1825">
        <f t="shared" ca="1" si="9"/>
        <v>0</v>
      </c>
      <c r="V41" s="2041">
        <f>IF(W41=0,1,IF(W41&lt;=1,1,IF(W41&gt;1.1,-1,0)))</f>
        <v>1</v>
      </c>
      <c r="W41" s="1840">
        <f>IF(T41&lt;0,ROUND((U41-T41)/ABS(T41),3),IF(T41=0,0,ROUND(U41/T41,3)))</f>
        <v>0</v>
      </c>
    </row>
    <row r="42" spans="1:23" s="1122" customFormat="1" ht="14.25" customHeight="1" thickBot="1" x14ac:dyDescent="0.2">
      <c r="A42" s="1122" t="s">
        <v>381</v>
      </c>
      <c r="B42" s="1790" t="s">
        <v>1230</v>
      </c>
      <c r="C42" s="2217"/>
      <c r="D42" s="2219"/>
      <c r="E42" s="1821" t="s">
        <v>35</v>
      </c>
      <c r="F42" s="1813">
        <f>IF(F$2&gt;$G$1,'☆事業所損益管理(H30.9～H31.8)(計画)'!F54,
GETPIVOTDATA("合計 / " &amp; $B42,【ピボット】事業所収支!$A$3,"年月",F$2,"事業所",$A42))</f>
        <v>309334</v>
      </c>
      <c r="G42" s="1814">
        <f>IF(G$2&gt;$G$1,'☆事業所損益管理(H30.9～H31.8)(計画)'!G54,
GETPIVOTDATA("合計 / " &amp; $B42,【ピボット】事業所収支!$A$3,"年月",G$2,"事業所",$A42))</f>
        <v>691457</v>
      </c>
      <c r="H42" s="1814">
        <f>IF(H$2&gt;$G$1,'☆事業所損益管理(H30.9～H31.8)(計画)'!H54,
GETPIVOTDATA("合計 / " &amp; $B42,【ピボット】事業所収支!$A$3,"年月",H$2,"事業所",$A42))</f>
        <v>568580</v>
      </c>
      <c r="I42" s="1814">
        <f>IF(I$2&gt;$G$1,'☆事業所損益管理(H30.9～H31.8)(計画)'!I54,
GETPIVOTDATA("合計 / " &amp; $B42,【ピボット】事業所収支!$A$3,"年月",I$2,"事業所",$A42))</f>
        <v>547437</v>
      </c>
      <c r="J42" s="1814">
        <f>IF(J$2&gt;$G$1,'☆事業所損益管理(H30.9～H31.8)(計画)'!J54,
GETPIVOTDATA("合計 / " &amp; $B42,【ピボット】事業所収支!$A$3,"年月",J$2,"事業所",$A42))</f>
        <v>648199</v>
      </c>
      <c r="K42" s="1814">
        <f>IF(K$2&gt;$G$1,'☆事業所損益管理(H30.9～H31.8)(計画)'!K54,
GETPIVOTDATA("合計 / " &amp; $B42,【ピボット】事業所収支!$A$3,"年月",K$2,"事業所",$A42))</f>
        <v>588210</v>
      </c>
      <c r="L42" s="1814">
        <f>IF(L$2&gt;$G$1,'☆事業所損益管理(H30.9～H31.8)(計画)'!L54,
GETPIVOTDATA("合計 / " &amp; $B42,【ピボット】事業所収支!$A$3,"年月",L$2,"事業所",$A42))</f>
        <v>778041</v>
      </c>
      <c r="M42" s="1814">
        <f>IF(M$2&gt;$G$1,'☆事業所損益管理(H30.9～H31.8)(計画)'!M54,
GETPIVOTDATA("合計 / " &amp; $B42,【ピボット】事業所収支!$A$3,"年月",M$2,"事業所",$A42))</f>
        <v>601669</v>
      </c>
      <c r="N42" s="1891">
        <f>IF(N$2&gt;$G$1,'☆事業所損益管理(H30.9～H31.8)(計画)'!N54,
GETPIVOTDATA("合計 / " &amp; $B42,【ピボット】事業所収支!$A$3,"年月",N$2,"事業所",$A42))</f>
        <v>600000</v>
      </c>
      <c r="O42" s="1891">
        <f>IF(O$2&gt;$G$1,'☆事業所損益管理(H30.9～H31.8)(計画)'!O54,
GETPIVOTDATA("合計 / " &amp; $B42,【ピボット】事業所収支!$A$3,"年月",O$2,"事業所",$A42))</f>
        <v>600000</v>
      </c>
      <c r="P42" s="1891">
        <f>IF(P$2&gt;$G$1,'☆事業所損益管理(H30.9～H31.8)(計画)'!P54,
GETPIVOTDATA("合計 / " &amp; $B42,【ピボット】事業所収支!$A$3,"年月",P$2,"事業所",$A42))</f>
        <v>600000</v>
      </c>
      <c r="Q42" s="1892">
        <f>IF(Q$2&gt;$G$1,'☆事業所損益管理(H30.9～H31.8)(計画)'!Q54,
GETPIVOTDATA("合計 / " &amp; $B42,【ピボット】事業所収支!$A$3,"年月",Q$2,"事業所",$A42))</f>
        <v>600000</v>
      </c>
      <c r="R42" s="1843">
        <f t="shared" ca="1" si="15"/>
        <v>4732927</v>
      </c>
      <c r="S42" s="1843">
        <f t="shared" ca="1" si="7"/>
        <v>591615.875</v>
      </c>
      <c r="T42" s="539">
        <f t="shared" si="8"/>
        <v>7132927</v>
      </c>
      <c r="U42" s="1825">
        <f t="shared" ca="1" si="9"/>
        <v>7099390.5</v>
      </c>
      <c r="V42" s="2041">
        <f ca="1">IF(W42=0,1,IF(W42&lt;=1,1,IF(W42&gt;1.1,-1,0)))</f>
        <v>1</v>
      </c>
      <c r="W42" s="1840">
        <f ca="1">IF(T42&lt;0,ROUND((U42-T42)/ABS(T42),3),IF(T42=0,0,ROUND(U42/T42,3)))</f>
        <v>0.995</v>
      </c>
    </row>
    <row r="43" spans="1:23" s="1122" customFormat="1" ht="14.25" customHeight="1" thickBot="1" x14ac:dyDescent="0.2">
      <c r="A43" s="1122" t="s">
        <v>381</v>
      </c>
      <c r="B43" s="1121"/>
      <c r="C43" s="2217"/>
      <c r="D43" s="2219"/>
      <c r="E43" s="1821" t="s">
        <v>1434</v>
      </c>
      <c r="F43" s="1823">
        <f>F39-(F40+F42)</f>
        <v>486094</v>
      </c>
      <c r="G43" s="1824">
        <f>G39-(G40+G42)</f>
        <v>329872</v>
      </c>
      <c r="H43" s="1824">
        <f>H39-(H40+H42)</f>
        <v>1525256</v>
      </c>
      <c r="I43" s="1824">
        <f t="shared" ref="I43:Q43" si="17">I39-(I40+I42)</f>
        <v>246581</v>
      </c>
      <c r="J43" s="1824">
        <f t="shared" si="17"/>
        <v>508606</v>
      </c>
      <c r="K43" s="1824">
        <f t="shared" si="17"/>
        <v>603947</v>
      </c>
      <c r="L43" s="1824">
        <f t="shared" si="17"/>
        <v>342235</v>
      </c>
      <c r="M43" s="1824">
        <f t="shared" si="17"/>
        <v>430721</v>
      </c>
      <c r="N43" s="1893">
        <f t="shared" si="17"/>
        <v>1050000</v>
      </c>
      <c r="O43" s="1893">
        <f t="shared" si="17"/>
        <v>450000</v>
      </c>
      <c r="P43" s="1893">
        <f t="shared" si="17"/>
        <v>1050000</v>
      </c>
      <c r="Q43" s="1894">
        <f t="shared" si="17"/>
        <v>1050000</v>
      </c>
      <c r="R43" s="1843">
        <f t="shared" ca="1" si="15"/>
        <v>4473312</v>
      </c>
      <c r="S43" s="1843">
        <f t="shared" ca="1" si="7"/>
        <v>559164</v>
      </c>
      <c r="T43" s="539">
        <f t="shared" si="8"/>
        <v>8073312</v>
      </c>
      <c r="U43" s="1825">
        <f t="shared" ca="1" si="9"/>
        <v>6709968</v>
      </c>
      <c r="V43" s="2043">
        <f ca="1">IFERROR(IF(W43&gt;=0,1,IF(W43&lt;-0.1,-1,0)),1)</f>
        <v>-1</v>
      </c>
      <c r="W43" s="1840">
        <f ca="1">IF(T43=0,1-(U40+U42)/U39,IF(T43=U43,0,ROUND((U43-T43)/ABS(T43),3)))</f>
        <v>-0.16900000000000001</v>
      </c>
    </row>
    <row r="44" spans="1:23" s="1122" customFormat="1" ht="14.25" customHeight="1" thickBot="1" x14ac:dyDescent="0.2">
      <c r="A44" s="1122" t="s">
        <v>473</v>
      </c>
      <c r="B44" s="1121" t="str">
        <f>E44</f>
        <v>売上</v>
      </c>
      <c r="C44" s="2217" t="s">
        <v>119</v>
      </c>
      <c r="D44" s="2218" t="s">
        <v>1441</v>
      </c>
      <c r="E44" s="1820" t="s">
        <v>26</v>
      </c>
      <c r="F44" s="1811">
        <f>IF(F$2&gt;$G$1,'☆事業所損益管理(H30.9～H31.8)(計画)'!F58,
GETPIVOTDATA("合計 / " &amp; $B44,【ピボット】事業所収支!$A$3,"年月",F$2,"事業所",$A44))</f>
        <v>861636</v>
      </c>
      <c r="G44" s="1812">
        <f>IF(G$2&gt;$G$1,'☆事業所損益管理(H30.9～H31.8)(計画)'!G58,
GETPIVOTDATA("合計 / " &amp; $B44,【ピボット】事業所収支!$A$3,"年月",G$2,"事業所",$A44))</f>
        <v>1139110</v>
      </c>
      <c r="H44" s="1812">
        <f>IF(H$2&gt;$G$1,'☆事業所損益管理(H30.9～H31.8)(計画)'!H58,
GETPIVOTDATA("合計 / " &amp; $B44,【ピボット】事業所収支!$A$3,"年月",H$2,"事業所",$A44))</f>
        <v>1134937</v>
      </c>
      <c r="I44" s="1812">
        <f>IF(I$2&gt;$G$1,'☆事業所損益管理(H30.9～H31.8)(計画)'!I58,
GETPIVOTDATA("合計 / " &amp; $B44,【ピボット】事業所収支!$A$3,"年月",I$2,"事業所",$A44))</f>
        <v>1175963</v>
      </c>
      <c r="J44" s="1812">
        <f>IF(J$2&gt;$G$1,'☆事業所損益管理(H30.9～H31.8)(計画)'!J58,
GETPIVOTDATA("合計 / " &amp; $B44,【ピボット】事業所収支!$A$3,"年月",J$2,"事業所",$A44))</f>
        <v>1272363</v>
      </c>
      <c r="K44" s="1812">
        <f>IF(K$2&gt;$G$1,'☆事業所損益管理(H30.9～H31.8)(計画)'!K58,
GETPIVOTDATA("合計 / " &amp; $B44,【ピボット】事業所収支!$A$3,"年月",K$2,"事業所",$A44))</f>
        <v>1036423</v>
      </c>
      <c r="L44" s="1812">
        <f>IF(L$2&gt;$G$1,'☆事業所損益管理(H30.9～H31.8)(計画)'!L58,
GETPIVOTDATA("合計 / " &amp; $B44,【ピボット】事業所収支!$A$3,"年月",L$2,"事業所",$A44))</f>
        <v>1027444</v>
      </c>
      <c r="M44" s="1812">
        <f>IF(M$2&gt;$G$1,'☆事業所損益管理(H30.9～H31.8)(計画)'!M58,
GETPIVOTDATA("合計 / " &amp; $B44,【ピボット】事業所収支!$A$3,"年月",M$2,"事業所",$A44))</f>
        <v>1077061</v>
      </c>
      <c r="N44" s="1889">
        <f>IF(N$2&gt;$G$1,'☆事業所損益管理(H30.9～H31.8)(計画)'!N58,
GETPIVOTDATA("合計 / " &amp; $B44,【ピボット】事業所収支!$A$3,"年月",N$2,"事業所",$A44))</f>
        <v>1300000</v>
      </c>
      <c r="O44" s="1889">
        <f>IF(O$2&gt;$G$1,'☆事業所損益管理(H30.9～H31.8)(計画)'!O58,
GETPIVOTDATA("合計 / " &amp; $B44,【ピボット】事業所収支!$A$3,"年月",O$2,"事業所",$A44))</f>
        <v>1000000</v>
      </c>
      <c r="P44" s="1889">
        <f>IF(P$2&gt;$G$1,'☆事業所損益管理(H30.9～H31.8)(計画)'!P58,
GETPIVOTDATA("合計 / " &amp; $B44,【ピボット】事業所収支!$A$3,"年月",P$2,"事業所",$A44))</f>
        <v>1000000</v>
      </c>
      <c r="Q44" s="1890">
        <f>IF(Q$2&gt;$G$1,'☆事業所損益管理(H30.9～H31.8)(計画)'!Q58,
GETPIVOTDATA("合計 / " &amp; $B44,【ピボット】事業所収支!$A$3,"年月",Q$2,"事業所",$A44))</f>
        <v>1000000</v>
      </c>
      <c r="R44" s="1842">
        <f t="shared" ca="1" si="15"/>
        <v>8724937</v>
      </c>
      <c r="S44" s="1842">
        <f t="shared" ca="1" si="7"/>
        <v>1090617.125</v>
      </c>
      <c r="T44" s="538">
        <f t="shared" si="8"/>
        <v>13024937</v>
      </c>
      <c r="U44" s="1827">
        <f t="shared" ca="1" si="9"/>
        <v>13087405.5</v>
      </c>
      <c r="V44" s="2040">
        <f ca="1">IF(W44=0,1,IF(W44&gt;=1,1,IF(W44&lt;0.9,-1,0)))</f>
        <v>1</v>
      </c>
      <c r="W44" s="1839">
        <f ca="1">IF(T44&lt;0,ROUND((U44-T44)/ABS(T44),3),IF(T44=0,0,ROUND(U44/T44,3)))</f>
        <v>1.0049999999999999</v>
      </c>
    </row>
    <row r="45" spans="1:23" s="1122" customFormat="1" ht="14.25" customHeight="1" thickBot="1" x14ac:dyDescent="0.2">
      <c r="A45" s="1122" t="s">
        <v>473</v>
      </c>
      <c r="B45" s="1121" t="str">
        <f>E45</f>
        <v>人件費</v>
      </c>
      <c r="C45" s="2217"/>
      <c r="D45" s="2219"/>
      <c r="E45" s="1821" t="s">
        <v>15</v>
      </c>
      <c r="F45" s="1813">
        <f>IF(F$2&gt;$G$1,'☆事業所損益管理(H30.9～H31.8)(計画)'!F59,
GETPIVOTDATA("合計 / " &amp; $B45,【ピボット】事業所収支!$A$3,"年月",F$2,"事業所",$A45))</f>
        <v>368002</v>
      </c>
      <c r="G45" s="1814">
        <f>IF(G$2&gt;$G$1,'☆事業所損益管理(H30.9～H31.8)(計画)'!G59,
GETPIVOTDATA("合計 / " &amp; $B45,【ピボット】事業所収支!$A$3,"年月",G$2,"事業所",$A45))</f>
        <v>411456</v>
      </c>
      <c r="H45" s="1814">
        <f>IF(H$2&gt;$G$1,'☆事業所損益管理(H30.9～H31.8)(計画)'!H59,
GETPIVOTDATA("合計 / " &amp; $B45,【ピボット】事業所収支!$A$3,"年月",H$2,"事業所",$A45))</f>
        <v>396967</v>
      </c>
      <c r="I45" s="1814">
        <f>IF(I$2&gt;$G$1,'☆事業所損益管理(H30.9～H31.8)(計画)'!I59,
GETPIVOTDATA("合計 / " &amp; $B45,【ピボット】事業所収支!$A$3,"年月",I$2,"事業所",$A45))</f>
        <v>420894</v>
      </c>
      <c r="J45" s="1814">
        <f>IF(J$2&gt;$G$1,'☆事業所損益管理(H30.9～H31.8)(計画)'!J59,
GETPIVOTDATA("合計 / " &amp; $B45,【ピボット】事業所収支!$A$3,"年月",J$2,"事業所",$A45))</f>
        <v>388478</v>
      </c>
      <c r="K45" s="1814">
        <f>IF(K$2&gt;$G$1,'☆事業所損益管理(H30.9～H31.8)(計画)'!K59,
GETPIVOTDATA("合計 / " &amp; $B45,【ピボット】事業所収支!$A$3,"年月",K$2,"事業所",$A45))</f>
        <v>320194</v>
      </c>
      <c r="L45" s="1814">
        <f>IF(L$2&gt;$G$1,'☆事業所損益管理(H30.9～H31.8)(計画)'!L59,
GETPIVOTDATA("合計 / " &amp; $B45,【ピボット】事業所収支!$A$3,"年月",L$2,"事業所",$A45))</f>
        <v>303548</v>
      </c>
      <c r="M45" s="1814">
        <f>IF(M$2&gt;$G$1,'☆事業所損益管理(H30.9～H31.8)(計画)'!M59,
GETPIVOTDATA("合計 / " &amp; $B45,【ピボット】事業所収支!$A$3,"年月",M$2,"事業所",$A45))</f>
        <v>338431</v>
      </c>
      <c r="N45" s="1891">
        <f>IF(N$2&gt;$G$1,'☆事業所損益管理(H30.9～H31.8)(計画)'!N59,
GETPIVOTDATA("合計 / " &amp; $B45,【ピボット】事業所収支!$A$3,"年月",N$2,"事業所",$A45))</f>
        <v>360000</v>
      </c>
      <c r="O45" s="1891">
        <f>IF(O$2&gt;$G$1,'☆事業所損益管理(H30.9～H31.8)(計画)'!O59,
GETPIVOTDATA("合計 / " &amp; $B45,【ピボット】事業所収支!$A$3,"年月",O$2,"事業所",$A45))</f>
        <v>360000</v>
      </c>
      <c r="P45" s="1891">
        <f>IF(P$2&gt;$G$1,'☆事業所損益管理(H30.9～H31.8)(計画)'!P59,
GETPIVOTDATA("合計 / " &amp; $B45,【ピボット】事業所収支!$A$3,"年月",P$2,"事業所",$A45))</f>
        <v>360000</v>
      </c>
      <c r="Q45" s="1892">
        <f>IF(Q$2&gt;$G$1,'☆事業所損益管理(H30.9～H31.8)(計画)'!Q59,
GETPIVOTDATA("合計 / " &amp; $B45,【ピボット】事業所収支!$A$3,"年月",Q$2,"事業所",$A45))</f>
        <v>360000</v>
      </c>
      <c r="R45" s="1843">
        <f t="shared" ca="1" si="15"/>
        <v>2947970</v>
      </c>
      <c r="S45" s="1843">
        <f t="shared" ca="1" si="7"/>
        <v>368496.25</v>
      </c>
      <c r="T45" s="539">
        <f t="shared" si="8"/>
        <v>4387970</v>
      </c>
      <c r="U45" s="1825">
        <f t="shared" ca="1" si="9"/>
        <v>4421955</v>
      </c>
      <c r="V45" s="2041">
        <f ca="1">IF(W45=0,1,IF(W45&lt;=1,1,IF(W45&gt;1.1,-1,0)))</f>
        <v>0</v>
      </c>
      <c r="W45" s="1840">
        <f ca="1">IF(T45&lt;0,ROUND((U45-T45)/ABS(T45),3),IF(T45=0,0,ROUND(U45/T45,3)))</f>
        <v>1.008</v>
      </c>
    </row>
    <row r="46" spans="1:23" s="1122" customFormat="1" ht="14.25" customHeight="1" thickBot="1" x14ac:dyDescent="0.2">
      <c r="A46" s="1122" t="s">
        <v>473</v>
      </c>
      <c r="B46" s="1121" t="str">
        <f>E46</f>
        <v>広告経費</v>
      </c>
      <c r="C46" s="2217"/>
      <c r="D46" s="2219"/>
      <c r="E46" s="1821" t="s">
        <v>447</v>
      </c>
      <c r="F46" s="1813">
        <f>IF(F$2&gt;$G$1,'☆事業所損益管理(H30.9～H31.8)(計画)'!F60,
GETPIVOTDATA("合計 / " &amp; $B46,【ピボット】事業所収支!$A$3,"年月",F$2,"事業所",$A46))</f>
        <v>0</v>
      </c>
      <c r="G46" s="1814">
        <f>IF(G$2&gt;$G$1,'☆事業所損益管理(H30.9～H31.8)(計画)'!G60,
GETPIVOTDATA("合計 / " &amp; $B46,【ピボット】事業所収支!$A$3,"年月",G$2,"事業所",$A46))</f>
        <v>16200</v>
      </c>
      <c r="H46" s="1814">
        <f>IF(H$2&gt;$G$1,'☆事業所損益管理(H30.9～H31.8)(計画)'!H60,
GETPIVOTDATA("合計 / " &amp; $B46,【ピボット】事業所収支!$A$3,"年月",H$2,"事業所",$A46))</f>
        <v>0</v>
      </c>
      <c r="I46" s="1814">
        <f>IF(I$2&gt;$G$1,'☆事業所損益管理(H30.9～H31.8)(計画)'!I60,
GETPIVOTDATA("合計 / " &amp; $B46,【ピボット】事業所収支!$A$3,"年月",I$2,"事業所",$A46))</f>
        <v>0</v>
      </c>
      <c r="J46" s="1814">
        <f>IF(J$2&gt;$G$1,'☆事業所損益管理(H30.9～H31.8)(計画)'!J60,
GETPIVOTDATA("合計 / " &amp; $B46,【ピボット】事業所収支!$A$3,"年月",J$2,"事業所",$A46))</f>
        <v>0</v>
      </c>
      <c r="K46" s="1814">
        <f>IF(K$2&gt;$G$1,'☆事業所損益管理(H30.9～H31.8)(計画)'!K60,
GETPIVOTDATA("合計 / " &amp; $B46,【ピボット】事業所収支!$A$3,"年月",K$2,"事業所",$A46))</f>
        <v>0</v>
      </c>
      <c r="L46" s="1814">
        <f>IF(L$2&gt;$G$1,'☆事業所損益管理(H30.9～H31.8)(計画)'!L60,
GETPIVOTDATA("合計 / " &amp; $B46,【ピボット】事業所収支!$A$3,"年月",L$2,"事業所",$A46))</f>
        <v>0</v>
      </c>
      <c r="M46" s="1814">
        <f>IF(M$2&gt;$G$1,'☆事業所損益管理(H30.9～H31.8)(計画)'!M60,
GETPIVOTDATA("合計 / " &amp; $B46,【ピボット】事業所収支!$A$3,"年月",M$2,"事業所",$A46))</f>
        <v>0</v>
      </c>
      <c r="N46" s="1891">
        <f>IF(N$2&gt;$G$1,'☆事業所損益管理(H30.9～H31.8)(計画)'!N60,
GETPIVOTDATA("合計 / " &amp; $B46,【ピボット】事業所収支!$A$3,"年月",N$2,"事業所",$A46))</f>
        <v>0</v>
      </c>
      <c r="O46" s="1891">
        <f>IF(O$2&gt;$G$1,'☆事業所損益管理(H30.9～H31.8)(計画)'!O60,
GETPIVOTDATA("合計 / " &amp; $B46,【ピボット】事業所収支!$A$3,"年月",O$2,"事業所",$A46))</f>
        <v>0</v>
      </c>
      <c r="P46" s="1891">
        <f>IF(P$2&gt;$G$1,'☆事業所損益管理(H30.9～H31.8)(計画)'!P60,
GETPIVOTDATA("合計 / " &amp; $B46,【ピボット】事業所収支!$A$3,"年月",P$2,"事業所",$A46))</f>
        <v>0</v>
      </c>
      <c r="Q46" s="1892">
        <f>IF(Q$2&gt;$G$1,'☆事業所損益管理(H30.9～H31.8)(計画)'!Q60,
GETPIVOTDATA("合計 / " &amp; $B46,【ピボット】事業所収支!$A$3,"年月",Q$2,"事業所",$A46))</f>
        <v>0</v>
      </c>
      <c r="R46" s="1843">
        <f t="shared" ca="1" si="15"/>
        <v>16200</v>
      </c>
      <c r="S46" s="1843">
        <f t="shared" ca="1" si="7"/>
        <v>2025</v>
      </c>
      <c r="T46" s="539">
        <f t="shared" si="8"/>
        <v>16200</v>
      </c>
      <c r="U46" s="1825">
        <f t="shared" ca="1" si="9"/>
        <v>24300</v>
      </c>
      <c r="V46" s="2041">
        <f ca="1">IF(W46=0,1,IF(W46&lt;=1,1,IF(W46&gt;1.1,-1,0)))</f>
        <v>-1</v>
      </c>
      <c r="W46" s="1840">
        <f ca="1">IF(T46&lt;0,ROUND((U46-T46)/ABS(T46),3),IF(T46=0,0,ROUND(U46/T46,3)))</f>
        <v>1.5</v>
      </c>
    </row>
    <row r="47" spans="1:23" s="1122" customFormat="1" ht="14.25" customHeight="1" thickBot="1" x14ac:dyDescent="0.2">
      <c r="A47" s="1122" t="s">
        <v>473</v>
      </c>
      <c r="B47" s="1790" t="s">
        <v>1230</v>
      </c>
      <c r="C47" s="2217"/>
      <c r="D47" s="2219"/>
      <c r="E47" s="1821" t="s">
        <v>35</v>
      </c>
      <c r="F47" s="1813">
        <f>IF(F$2&gt;$G$1,'☆事業所損益管理(H30.9～H31.8)(計画)'!F61,
GETPIVOTDATA("合計 / " &amp; $B47,【ピボット】事業所収支!$A$3,"年月",F$2,"事業所",$A47))</f>
        <v>121814</v>
      </c>
      <c r="G47" s="1814">
        <f>IF(G$2&gt;$G$1,'☆事業所損益管理(H30.9～H31.8)(計画)'!G61,
GETPIVOTDATA("合計 / " &amp; $B47,【ピボット】事業所収支!$A$3,"年月",G$2,"事業所",$A47))</f>
        <v>184298</v>
      </c>
      <c r="H47" s="1814">
        <f>IF(H$2&gt;$G$1,'☆事業所損益管理(H30.9～H31.8)(計画)'!H61,
GETPIVOTDATA("合計 / " &amp; $B47,【ピボット】事業所収支!$A$3,"年月",H$2,"事業所",$A47))</f>
        <v>142328</v>
      </c>
      <c r="I47" s="1814">
        <f>IF(I$2&gt;$G$1,'☆事業所損益管理(H30.9～H31.8)(計画)'!I61,
GETPIVOTDATA("合計 / " &amp; $B47,【ピボット】事業所収支!$A$3,"年月",I$2,"事業所",$A47))</f>
        <v>143912</v>
      </c>
      <c r="J47" s="1814">
        <f>IF(J$2&gt;$G$1,'☆事業所損益管理(H30.9～H31.8)(計画)'!J61,
GETPIVOTDATA("合計 / " &amp; $B47,【ピボット】事業所収支!$A$3,"年月",J$2,"事業所",$A47))</f>
        <v>129440</v>
      </c>
      <c r="K47" s="1814">
        <f>IF(K$2&gt;$G$1,'☆事業所損益管理(H30.9～H31.8)(計画)'!K61,
GETPIVOTDATA("合計 / " &amp; $B47,【ピボット】事業所収支!$A$3,"年月",K$2,"事業所",$A47))</f>
        <v>122019</v>
      </c>
      <c r="L47" s="1814">
        <f>IF(L$2&gt;$G$1,'☆事業所損益管理(H30.9～H31.8)(計画)'!L61,
GETPIVOTDATA("合計 / " &amp; $B47,【ピボット】事業所収支!$A$3,"年月",L$2,"事業所",$A47))</f>
        <v>136143</v>
      </c>
      <c r="M47" s="1814">
        <f>IF(M$2&gt;$G$1,'☆事業所損益管理(H30.9～H31.8)(計画)'!M61,
GETPIVOTDATA("合計 / " &amp; $B47,【ピボット】事業所収支!$A$3,"年月",M$2,"事業所",$A47))</f>
        <v>116406</v>
      </c>
      <c r="N47" s="1891">
        <f>IF(N$2&gt;$G$1,'☆事業所損益管理(H30.9～H31.8)(計画)'!N61,
GETPIVOTDATA("合計 / " &amp; $B47,【ピボット】事業所収支!$A$3,"年月",N$2,"事業所",$A47))</f>
        <v>130000</v>
      </c>
      <c r="O47" s="1891">
        <f>IF(O$2&gt;$G$1,'☆事業所損益管理(H30.9～H31.8)(計画)'!O61,
GETPIVOTDATA("合計 / " &amp; $B47,【ピボット】事業所収支!$A$3,"年月",O$2,"事業所",$A47))</f>
        <v>130000</v>
      </c>
      <c r="P47" s="1891">
        <f>IF(P$2&gt;$G$1,'☆事業所損益管理(H30.9～H31.8)(計画)'!P61,
GETPIVOTDATA("合計 / " &amp; $B47,【ピボット】事業所収支!$A$3,"年月",P$2,"事業所",$A47))</f>
        <v>130000</v>
      </c>
      <c r="Q47" s="1892">
        <f>IF(Q$2&gt;$G$1,'☆事業所損益管理(H30.9～H31.8)(計画)'!Q61,
GETPIVOTDATA("合計 / " &amp; $B47,【ピボット】事業所収支!$A$3,"年月",Q$2,"事業所",$A47))</f>
        <v>130000</v>
      </c>
      <c r="R47" s="1843">
        <f t="shared" ca="1" si="15"/>
        <v>1096360</v>
      </c>
      <c r="S47" s="1843">
        <f t="shared" ca="1" si="7"/>
        <v>137045</v>
      </c>
      <c r="T47" s="539">
        <f t="shared" si="8"/>
        <v>1616360</v>
      </c>
      <c r="U47" s="1825">
        <f t="shared" ca="1" si="9"/>
        <v>1644540</v>
      </c>
      <c r="V47" s="2041">
        <f ca="1">IF(W47=0,1,IF(W47&lt;=1,1,IF(W47&gt;1.1,-1,0)))</f>
        <v>0</v>
      </c>
      <c r="W47" s="1840">
        <f ca="1">IF(T47&lt;0,ROUND((U47-T47)/ABS(T47),3),IF(T47=0,0,ROUND(U47/T47,3)))</f>
        <v>1.0169999999999999</v>
      </c>
    </row>
    <row r="48" spans="1:23" s="1122" customFormat="1" ht="14.25" customHeight="1" thickBot="1" x14ac:dyDescent="0.2">
      <c r="A48" s="1122" t="s">
        <v>473</v>
      </c>
      <c r="B48" s="1121"/>
      <c r="C48" s="2217"/>
      <c r="D48" s="2219"/>
      <c r="E48" s="1821" t="s">
        <v>1434</v>
      </c>
      <c r="F48" s="1823">
        <f>F44-(F45+F47)</f>
        <v>371820</v>
      </c>
      <c r="G48" s="1824">
        <f>G44-(G45+G47)</f>
        <v>543356</v>
      </c>
      <c r="H48" s="1824">
        <f>H44-(H45+H47)</f>
        <v>595642</v>
      </c>
      <c r="I48" s="1824">
        <f t="shared" ref="I48:Q48" si="18">I44-(I45+I47)</f>
        <v>611157</v>
      </c>
      <c r="J48" s="1824">
        <f t="shared" si="18"/>
        <v>754445</v>
      </c>
      <c r="K48" s="1824">
        <f t="shared" si="18"/>
        <v>594210</v>
      </c>
      <c r="L48" s="1824">
        <f t="shared" si="18"/>
        <v>587753</v>
      </c>
      <c r="M48" s="1824">
        <f t="shared" si="18"/>
        <v>622224</v>
      </c>
      <c r="N48" s="1893">
        <f t="shared" si="18"/>
        <v>810000</v>
      </c>
      <c r="O48" s="1893">
        <f t="shared" si="18"/>
        <v>510000</v>
      </c>
      <c r="P48" s="1893">
        <f t="shared" si="18"/>
        <v>510000</v>
      </c>
      <c r="Q48" s="1894">
        <f t="shared" si="18"/>
        <v>510000</v>
      </c>
      <c r="R48" s="1843">
        <f t="shared" ca="1" si="15"/>
        <v>4680607</v>
      </c>
      <c r="S48" s="1843">
        <f t="shared" ca="1" si="7"/>
        <v>585075.875</v>
      </c>
      <c r="T48" s="539">
        <f t="shared" si="8"/>
        <v>7020607</v>
      </c>
      <c r="U48" s="1825">
        <f t="shared" ca="1" si="9"/>
        <v>7020910.5</v>
      </c>
      <c r="V48" s="2043">
        <f ca="1">IFERROR(IF(W48&gt;=0,1,IF(W48&lt;-0.1,-1,0)),1)</f>
        <v>1</v>
      </c>
      <c r="W48" s="1840">
        <f ca="1">IF(T48=0,1-(U45+U47)/U44,IF(T48=U48,0,ROUND((U48-T48)/ABS(T48),3)))</f>
        <v>0</v>
      </c>
    </row>
    <row r="49" spans="1:23" s="1122" customFormat="1" ht="14.25" customHeight="1" thickBot="1" x14ac:dyDescent="0.2">
      <c r="A49" s="1122" t="s">
        <v>474</v>
      </c>
      <c r="B49" s="1121" t="str">
        <f>E49</f>
        <v>売上</v>
      </c>
      <c r="C49" s="2217" t="s">
        <v>189</v>
      </c>
      <c r="D49" s="2218" t="s">
        <v>1441</v>
      </c>
      <c r="E49" s="1820" t="s">
        <v>26</v>
      </c>
      <c r="F49" s="1811">
        <f>IF(F$2&gt;$G$1,'☆事業所損益管理(H30.9～H31.8)(計画)'!F65,
GETPIVOTDATA("合計 / " &amp; $B49,【ピボット】事業所収支!$A$3,"年月",F$2,"事業所",$A49))</f>
        <v>1050085</v>
      </c>
      <c r="G49" s="1812">
        <f>IF(G$2&gt;$G$1,'☆事業所損益管理(H30.9～H31.8)(計画)'!G65,
GETPIVOTDATA("合計 / " &amp; $B49,【ピボット】事業所収支!$A$3,"年月",G$2,"事業所",$A49))</f>
        <v>1087657</v>
      </c>
      <c r="H49" s="1812">
        <f>IF(H$2&gt;$G$1,'☆事業所損益管理(H30.9～H31.8)(計画)'!H65,
GETPIVOTDATA("合計 / " &amp; $B49,【ピボット】事業所収支!$A$3,"年月",H$2,"事業所",$A49))</f>
        <v>1070236</v>
      </c>
      <c r="I49" s="1812">
        <f>IF(I$2&gt;$G$1,'☆事業所損益管理(H30.9～H31.8)(計画)'!I65,
GETPIVOTDATA("合計 / " &amp; $B49,【ピボット】事業所収支!$A$3,"年月",I$2,"事業所",$A49))</f>
        <v>1102442</v>
      </c>
      <c r="J49" s="1812">
        <f>IF(J$2&gt;$G$1,'☆事業所損益管理(H30.9～H31.8)(計画)'!J65,
GETPIVOTDATA("合計 / " &amp; $B49,【ピボット】事業所収支!$A$3,"年月",J$2,"事業所",$A49))</f>
        <v>1356442</v>
      </c>
      <c r="K49" s="1812">
        <f>IF(K$2&gt;$G$1,'☆事業所損益管理(H30.9～H31.8)(計画)'!K65,
GETPIVOTDATA("合計 / " &amp; $B49,【ピボット】事業所収支!$A$3,"年月",K$2,"事業所",$A49))</f>
        <v>1005836</v>
      </c>
      <c r="L49" s="1812">
        <f>IF(L$2&gt;$G$1,'☆事業所損益管理(H30.9～H31.8)(計画)'!L65,
GETPIVOTDATA("合計 / " &amp; $B49,【ピボット】事業所収支!$A$3,"年月",L$2,"事業所",$A49))</f>
        <v>973793</v>
      </c>
      <c r="M49" s="1812">
        <f>IF(M$2&gt;$G$1,'☆事業所損益管理(H30.9～H31.8)(計画)'!M65,
GETPIVOTDATA("合計 / " &amp; $B49,【ピボット】事業所収支!$A$3,"年月",M$2,"事業所",$A49))</f>
        <v>797482</v>
      </c>
      <c r="N49" s="1889">
        <f>IF(N$2&gt;$G$1,'☆事業所損益管理(H30.9～H31.8)(計画)'!N65,
GETPIVOTDATA("合計 / " &amp; $B49,【ピボット】事業所収支!$A$3,"年月",N$2,"事業所",$A49))</f>
        <v>1350000</v>
      </c>
      <c r="O49" s="1889">
        <f>IF(O$2&gt;$G$1,'☆事業所損益管理(H30.9～H31.8)(計画)'!O65,
GETPIVOTDATA("合計 / " &amp; $B49,【ピボット】事業所収支!$A$3,"年月",O$2,"事業所",$A49))</f>
        <v>1000000</v>
      </c>
      <c r="P49" s="1889">
        <f>IF(P$2&gt;$G$1,'☆事業所損益管理(H30.9～H31.8)(計画)'!P65,
GETPIVOTDATA("合計 / " &amp; $B49,【ピボット】事業所収支!$A$3,"年月",P$2,"事業所",$A49))</f>
        <v>1000000</v>
      </c>
      <c r="Q49" s="1890">
        <f>IF(Q$2&gt;$G$1,'☆事業所損益管理(H30.9～H31.8)(計画)'!Q65,
GETPIVOTDATA("合計 / " &amp; $B49,【ピボット】事業所収支!$A$3,"年月",Q$2,"事業所",$A49))</f>
        <v>1000000</v>
      </c>
      <c r="R49" s="1842">
        <f t="shared" ca="1" si="15"/>
        <v>8443973</v>
      </c>
      <c r="S49" s="1842">
        <f t="shared" ca="1" si="7"/>
        <v>1055496.625</v>
      </c>
      <c r="T49" s="538">
        <f t="shared" si="8"/>
        <v>12793973</v>
      </c>
      <c r="U49" s="1827">
        <f t="shared" ca="1" si="9"/>
        <v>12665959.5</v>
      </c>
      <c r="V49" s="2040">
        <f ca="1">IF(W49=0,1,IF(W49&gt;=1,1,IF(W49&lt;0.9,-1,0)))</f>
        <v>0</v>
      </c>
      <c r="W49" s="1839">
        <f ca="1">IF(T49&lt;0,ROUND((U49-T49)/ABS(T49),3),IF(T49=0,0,ROUND(U49/T49,3)))</f>
        <v>0.99</v>
      </c>
    </row>
    <row r="50" spans="1:23" s="1122" customFormat="1" ht="14.25" customHeight="1" thickBot="1" x14ac:dyDescent="0.2">
      <c r="A50" s="1122" t="s">
        <v>474</v>
      </c>
      <c r="B50" s="1121" t="str">
        <f>E50</f>
        <v>人件費</v>
      </c>
      <c r="C50" s="2217"/>
      <c r="D50" s="2219"/>
      <c r="E50" s="1821" t="s">
        <v>15</v>
      </c>
      <c r="F50" s="1813">
        <f>IF(F$2&gt;$G$1,'☆事業所損益管理(H30.9～H31.8)(計画)'!F66,
GETPIVOTDATA("合計 / " &amp; $B50,【ピボット】事業所収支!$A$3,"年月",F$2,"事業所",$A50))</f>
        <v>290550</v>
      </c>
      <c r="G50" s="1814">
        <f>IF(G$2&gt;$G$1,'☆事業所損益管理(H30.9～H31.8)(計画)'!G66,
GETPIVOTDATA("合計 / " &amp; $B50,【ピボット】事業所収支!$A$3,"年月",G$2,"事業所",$A50))</f>
        <v>315275</v>
      </c>
      <c r="H50" s="1814">
        <f>IF(H$2&gt;$G$1,'☆事業所損益管理(H30.9～H31.8)(計画)'!H66,
GETPIVOTDATA("合計 / " &amp; $B50,【ピボット】事業所収支!$A$3,"年月",H$2,"事業所",$A50))</f>
        <v>251250</v>
      </c>
      <c r="I50" s="1814">
        <f>IF(I$2&gt;$G$1,'☆事業所損益管理(H30.9～H31.8)(計画)'!I66,
GETPIVOTDATA("合計 / " &amp; $B50,【ピボット】事業所収支!$A$3,"年月",I$2,"事業所",$A50))</f>
        <v>227000</v>
      </c>
      <c r="J50" s="1814">
        <f>IF(J$2&gt;$G$1,'☆事業所損益管理(H30.9～H31.8)(計画)'!J66,
GETPIVOTDATA("合計 / " &amp; $B50,【ピボット】事業所収支!$A$3,"年月",J$2,"事業所",$A50))</f>
        <v>238000</v>
      </c>
      <c r="K50" s="1814">
        <f>IF(K$2&gt;$G$1,'☆事業所損益管理(H30.9～H31.8)(計画)'!K66,
GETPIVOTDATA("合計 / " &amp; $B50,【ピボット】事業所収支!$A$3,"年月",K$2,"事業所",$A50))</f>
        <v>199000</v>
      </c>
      <c r="L50" s="1814">
        <f>IF(L$2&gt;$G$1,'☆事業所損益管理(H30.9～H31.8)(計画)'!L66,
GETPIVOTDATA("合計 / " &amp; $B50,【ピボット】事業所収支!$A$3,"年月",L$2,"事業所",$A50))</f>
        <v>219000</v>
      </c>
      <c r="M50" s="1814">
        <f>IF(M$2&gt;$G$1,'☆事業所損益管理(H30.9～H31.8)(計画)'!M66,
GETPIVOTDATA("合計 / " &amp; $B50,【ピボット】事業所収支!$A$3,"年月",M$2,"事業所",$A50))</f>
        <v>209300</v>
      </c>
      <c r="N50" s="1891">
        <f>IF(N$2&gt;$G$1,'☆事業所損益管理(H30.9～H31.8)(計画)'!N66,
GETPIVOTDATA("合計 / " &amp; $B50,【ピボット】事業所収支!$A$3,"年月",N$2,"事業所",$A50))</f>
        <v>250000</v>
      </c>
      <c r="O50" s="1891">
        <f>IF(O$2&gt;$G$1,'☆事業所損益管理(H30.9～H31.8)(計画)'!O66,
GETPIVOTDATA("合計 / " &amp; $B50,【ピボット】事業所収支!$A$3,"年月",O$2,"事業所",$A50))</f>
        <v>250000</v>
      </c>
      <c r="P50" s="1891">
        <f>IF(P$2&gt;$G$1,'☆事業所損益管理(H30.9～H31.8)(計画)'!P66,
GETPIVOTDATA("合計 / " &amp; $B50,【ピボット】事業所収支!$A$3,"年月",P$2,"事業所",$A50))</f>
        <v>250000</v>
      </c>
      <c r="Q50" s="1892">
        <f>IF(Q$2&gt;$G$1,'☆事業所損益管理(H30.9～H31.8)(計画)'!Q66,
GETPIVOTDATA("合計 / " &amp; $B50,【ピボット】事業所収支!$A$3,"年月",Q$2,"事業所",$A50))</f>
        <v>250000</v>
      </c>
      <c r="R50" s="1843">
        <f t="shared" ca="1" si="15"/>
        <v>1949375</v>
      </c>
      <c r="S50" s="1843">
        <f t="shared" ca="1" si="7"/>
        <v>243671.875</v>
      </c>
      <c r="T50" s="539">
        <f t="shared" si="8"/>
        <v>2949375</v>
      </c>
      <c r="U50" s="1825">
        <f t="shared" ca="1" si="9"/>
        <v>2924062.5</v>
      </c>
      <c r="V50" s="2041">
        <f ca="1">IF(W50=0,1,IF(W50&lt;=1,1,IF(W50&gt;1.1,-1,0)))</f>
        <v>1</v>
      </c>
      <c r="W50" s="1840">
        <f ca="1">IF(T50&lt;0,ROUND((U50-T50)/ABS(T50),3),IF(T50=0,0,ROUND(U50/T50,3)))</f>
        <v>0.99099999999999999</v>
      </c>
    </row>
    <row r="51" spans="1:23" s="1122" customFormat="1" ht="14.25" customHeight="1" thickBot="1" x14ac:dyDescent="0.2">
      <c r="A51" s="1122" t="s">
        <v>474</v>
      </c>
      <c r="B51" s="1121" t="str">
        <f>E51</f>
        <v>広告経費</v>
      </c>
      <c r="C51" s="2217"/>
      <c r="D51" s="2219"/>
      <c r="E51" s="1821" t="s">
        <v>447</v>
      </c>
      <c r="F51" s="1813">
        <f>IF(F$2&gt;$G$1,'☆事業所損益管理(H30.9～H31.8)(計画)'!F67,
GETPIVOTDATA("合計 / " &amp; $B51,【ピボット】事業所収支!$A$3,"年月",F$2,"事業所",$A51))</f>
        <v>0</v>
      </c>
      <c r="G51" s="1814">
        <f>IF(G$2&gt;$G$1,'☆事業所損益管理(H30.9～H31.8)(計画)'!G67,
GETPIVOTDATA("合計 / " &amp; $B51,【ピボット】事業所収支!$A$3,"年月",G$2,"事業所",$A51))</f>
        <v>16200</v>
      </c>
      <c r="H51" s="1814">
        <f>IF(H$2&gt;$G$1,'☆事業所損益管理(H30.9～H31.8)(計画)'!H67,
GETPIVOTDATA("合計 / " &amp; $B51,【ピボット】事業所収支!$A$3,"年月",H$2,"事業所",$A51))</f>
        <v>0</v>
      </c>
      <c r="I51" s="1814">
        <f>IF(I$2&gt;$G$1,'☆事業所損益管理(H30.9～H31.8)(計画)'!I67,
GETPIVOTDATA("合計 / " &amp; $B51,【ピボット】事業所収支!$A$3,"年月",I$2,"事業所",$A51))</f>
        <v>0</v>
      </c>
      <c r="J51" s="1814">
        <f>IF(J$2&gt;$G$1,'☆事業所損益管理(H30.9～H31.8)(計画)'!J67,
GETPIVOTDATA("合計 / " &amp; $B51,【ピボット】事業所収支!$A$3,"年月",J$2,"事業所",$A51))</f>
        <v>0</v>
      </c>
      <c r="K51" s="1814">
        <f>IF(K$2&gt;$G$1,'☆事業所損益管理(H30.9～H31.8)(計画)'!K67,
GETPIVOTDATA("合計 / " &amp; $B51,【ピボット】事業所収支!$A$3,"年月",K$2,"事業所",$A51))</f>
        <v>0</v>
      </c>
      <c r="L51" s="1814">
        <f>IF(L$2&gt;$G$1,'☆事業所損益管理(H30.9～H31.8)(計画)'!L67,
GETPIVOTDATA("合計 / " &amp; $B51,【ピボット】事業所収支!$A$3,"年月",L$2,"事業所",$A51))</f>
        <v>0</v>
      </c>
      <c r="M51" s="1814">
        <f>IF(M$2&gt;$G$1,'☆事業所損益管理(H30.9～H31.8)(計画)'!M67,
GETPIVOTDATA("合計 / " &amp; $B51,【ピボット】事業所収支!$A$3,"年月",M$2,"事業所",$A51))</f>
        <v>0</v>
      </c>
      <c r="N51" s="1891">
        <f>IF(N$2&gt;$G$1,'☆事業所損益管理(H30.9～H31.8)(計画)'!N67,
GETPIVOTDATA("合計 / " &amp; $B51,【ピボット】事業所収支!$A$3,"年月",N$2,"事業所",$A51))</f>
        <v>0</v>
      </c>
      <c r="O51" s="1891">
        <f>IF(O$2&gt;$G$1,'☆事業所損益管理(H30.9～H31.8)(計画)'!O67,
GETPIVOTDATA("合計 / " &amp; $B51,【ピボット】事業所収支!$A$3,"年月",O$2,"事業所",$A51))</f>
        <v>0</v>
      </c>
      <c r="P51" s="1891">
        <f>IF(P$2&gt;$G$1,'☆事業所損益管理(H30.9～H31.8)(計画)'!P67,
GETPIVOTDATA("合計 / " &amp; $B51,【ピボット】事業所収支!$A$3,"年月",P$2,"事業所",$A51))</f>
        <v>0</v>
      </c>
      <c r="Q51" s="1892">
        <f>IF(Q$2&gt;$G$1,'☆事業所損益管理(H30.9～H31.8)(計画)'!Q67,
GETPIVOTDATA("合計 / " &amp; $B51,【ピボット】事業所収支!$A$3,"年月",Q$2,"事業所",$A51))</f>
        <v>0</v>
      </c>
      <c r="R51" s="1843">
        <f t="shared" ca="1" si="15"/>
        <v>16200</v>
      </c>
      <c r="S51" s="1843">
        <f t="shared" ca="1" si="7"/>
        <v>2025</v>
      </c>
      <c r="T51" s="539">
        <f t="shared" si="8"/>
        <v>16200</v>
      </c>
      <c r="U51" s="1825">
        <f t="shared" ca="1" si="9"/>
        <v>24300</v>
      </c>
      <c r="V51" s="2041">
        <f ca="1">IF(W51=0,1,IF(W51&lt;=1,1,IF(W51&gt;1.1,-1,0)))</f>
        <v>-1</v>
      </c>
      <c r="W51" s="1840">
        <f ca="1">IF(T51&lt;0,ROUND((U51-T51)/ABS(T51),3),IF(T51=0,0,ROUND(U51/T51,3)))</f>
        <v>1.5</v>
      </c>
    </row>
    <row r="52" spans="1:23" s="1122" customFormat="1" ht="14.25" customHeight="1" thickBot="1" x14ac:dyDescent="0.2">
      <c r="A52" s="1122" t="s">
        <v>474</v>
      </c>
      <c r="B52" s="1790" t="s">
        <v>1230</v>
      </c>
      <c r="C52" s="2217"/>
      <c r="D52" s="2219"/>
      <c r="E52" s="1821" t="s">
        <v>35</v>
      </c>
      <c r="F52" s="1813">
        <f>IF(F$2&gt;$G$1,'☆事業所損益管理(H30.9～H31.8)(計画)'!F68,
GETPIVOTDATA("合計 / " &amp; $B52,【ピボット】事業所収支!$A$3,"年月",F$2,"事業所",$A52))</f>
        <v>155385</v>
      </c>
      <c r="G52" s="1814">
        <f>IF(G$2&gt;$G$1,'☆事業所損益管理(H30.9～H31.8)(計画)'!G68,
GETPIVOTDATA("合計 / " &amp; $B52,【ピボット】事業所収支!$A$3,"年月",G$2,"事業所",$A52))</f>
        <v>192786</v>
      </c>
      <c r="H52" s="1814">
        <f>IF(H$2&gt;$G$1,'☆事業所損益管理(H30.9～H31.8)(計画)'!H68,
GETPIVOTDATA("合計 / " &amp; $B52,【ピボット】事業所収支!$A$3,"年月",H$2,"事業所",$A52))</f>
        <v>127769</v>
      </c>
      <c r="I52" s="1814">
        <f>IF(I$2&gt;$G$1,'☆事業所損益管理(H30.9～H31.8)(計画)'!I68,
GETPIVOTDATA("合計 / " &amp; $B52,【ピボット】事業所収支!$A$3,"年月",I$2,"事業所",$A52))</f>
        <v>124309</v>
      </c>
      <c r="J52" s="1814">
        <f>IF(J$2&gt;$G$1,'☆事業所損益管理(H30.9～H31.8)(計画)'!J68,
GETPIVOTDATA("合計 / " &amp; $B52,【ピボット】事業所収支!$A$3,"年月",J$2,"事業所",$A52))</f>
        <v>123007</v>
      </c>
      <c r="K52" s="1814">
        <f>IF(K$2&gt;$G$1,'☆事業所損益管理(H30.9～H31.8)(計画)'!K68,
GETPIVOTDATA("合計 / " &amp; $B52,【ピボット】事業所収支!$A$3,"年月",K$2,"事業所",$A52))</f>
        <v>127781</v>
      </c>
      <c r="L52" s="1814">
        <f>IF(L$2&gt;$G$1,'☆事業所損益管理(H30.9～H31.8)(計画)'!L68,
GETPIVOTDATA("合計 / " &amp; $B52,【ピボット】事業所収支!$A$3,"年月",L$2,"事業所",$A52))</f>
        <v>154379</v>
      </c>
      <c r="M52" s="1814">
        <f>IF(M$2&gt;$G$1,'☆事業所損益管理(H30.9～H31.8)(計画)'!M68,
GETPIVOTDATA("合計 / " &amp; $B52,【ピボット】事業所収支!$A$3,"年月",M$2,"事業所",$A52))</f>
        <v>121870</v>
      </c>
      <c r="N52" s="1891">
        <f>IF(N$2&gt;$G$1,'☆事業所損益管理(H30.9～H31.8)(計画)'!N68,
GETPIVOTDATA("合計 / " &amp; $B52,【ピボット】事業所収支!$A$3,"年月",N$2,"事業所",$A52))</f>
        <v>200000</v>
      </c>
      <c r="O52" s="1891">
        <f>IF(O$2&gt;$G$1,'☆事業所損益管理(H30.9～H31.8)(計画)'!O68,
GETPIVOTDATA("合計 / " &amp; $B52,【ピボット】事業所収支!$A$3,"年月",O$2,"事業所",$A52))</f>
        <v>200000</v>
      </c>
      <c r="P52" s="1891">
        <f>IF(P$2&gt;$G$1,'☆事業所損益管理(H30.9～H31.8)(計画)'!P68,
GETPIVOTDATA("合計 / " &amp; $B52,【ピボット】事業所収支!$A$3,"年月",P$2,"事業所",$A52))</f>
        <v>200000</v>
      </c>
      <c r="Q52" s="1892">
        <f>IF(Q$2&gt;$G$1,'☆事業所損益管理(H30.9～H31.8)(計画)'!Q68,
GETPIVOTDATA("合計 / " &amp; $B52,【ピボット】事業所収支!$A$3,"年月",Q$2,"事業所",$A52))</f>
        <v>200000</v>
      </c>
      <c r="R52" s="1843">
        <f t="shared" ca="1" si="15"/>
        <v>1127286</v>
      </c>
      <c r="S52" s="1843">
        <f t="shared" ca="1" si="7"/>
        <v>140910.75</v>
      </c>
      <c r="T52" s="539">
        <f t="shared" si="8"/>
        <v>1927286</v>
      </c>
      <c r="U52" s="1825">
        <f t="shared" ca="1" si="9"/>
        <v>1690929</v>
      </c>
      <c r="V52" s="2041">
        <f ca="1">IF(W52=0,1,IF(W52&lt;=1,1,IF(W52&gt;1.1,-1,0)))</f>
        <v>1</v>
      </c>
      <c r="W52" s="1840">
        <f ca="1">IF(T52&lt;0,ROUND((U52-T52)/ABS(T52),3),IF(T52=0,0,ROUND(U52/T52,3)))</f>
        <v>0.877</v>
      </c>
    </row>
    <row r="53" spans="1:23" s="1122" customFormat="1" ht="14.25" customHeight="1" thickBot="1" x14ac:dyDescent="0.2">
      <c r="A53" s="1122" t="s">
        <v>474</v>
      </c>
      <c r="B53" s="1121"/>
      <c r="C53" s="2217"/>
      <c r="D53" s="2219"/>
      <c r="E53" s="1821" t="s">
        <v>1434</v>
      </c>
      <c r="F53" s="1823">
        <f>F49-(F50+F52)</f>
        <v>604150</v>
      </c>
      <c r="G53" s="1824">
        <f>G49-(G50+G52)</f>
        <v>579596</v>
      </c>
      <c r="H53" s="1824">
        <f>H49-(H50+H52)</f>
        <v>691217</v>
      </c>
      <c r="I53" s="1824">
        <f t="shared" ref="I53:Q53" si="19">I49-(I50+I52)</f>
        <v>751133</v>
      </c>
      <c r="J53" s="1824">
        <f t="shared" si="19"/>
        <v>995435</v>
      </c>
      <c r="K53" s="1824">
        <f t="shared" si="19"/>
        <v>679055</v>
      </c>
      <c r="L53" s="1824">
        <f t="shared" si="19"/>
        <v>600414</v>
      </c>
      <c r="M53" s="1824">
        <f t="shared" si="19"/>
        <v>466312</v>
      </c>
      <c r="N53" s="1893">
        <f t="shared" si="19"/>
        <v>900000</v>
      </c>
      <c r="O53" s="1893">
        <f t="shared" si="19"/>
        <v>550000</v>
      </c>
      <c r="P53" s="1893">
        <f t="shared" si="19"/>
        <v>550000</v>
      </c>
      <c r="Q53" s="1894">
        <f t="shared" si="19"/>
        <v>550000</v>
      </c>
      <c r="R53" s="1843">
        <f t="shared" ca="1" si="15"/>
        <v>5367312</v>
      </c>
      <c r="S53" s="1843">
        <f t="shared" ca="1" si="7"/>
        <v>670914</v>
      </c>
      <c r="T53" s="539">
        <f t="shared" si="8"/>
        <v>7917312</v>
      </c>
      <c r="U53" s="1825">
        <f t="shared" ca="1" si="9"/>
        <v>8050968</v>
      </c>
      <c r="V53" s="2043">
        <f ca="1">IFERROR(IF(W53&gt;=0,1,IF(W53&lt;-0.1,-1,0)),1)</f>
        <v>1</v>
      </c>
      <c r="W53" s="1840">
        <f ca="1">IF(T53=0,1-(U50+U52)/U49,IF(T53=U53,0,ROUND((U53-T53)/ABS(T53),3)))</f>
        <v>1.7000000000000001E-2</v>
      </c>
    </row>
    <row r="54" spans="1:23" s="1122" customFormat="1" ht="14.25" customHeight="1" thickBot="1" x14ac:dyDescent="0.2">
      <c r="A54" s="1122" t="s">
        <v>384</v>
      </c>
      <c r="B54" s="1121" t="str">
        <f>E54</f>
        <v>売上</v>
      </c>
      <c r="C54" s="2217" t="s">
        <v>329</v>
      </c>
      <c r="D54" s="2218" t="s">
        <v>1441</v>
      </c>
      <c r="E54" s="1820" t="s">
        <v>26</v>
      </c>
      <c r="F54" s="1811">
        <f>IF(F$2&gt;$G$1,'☆事業所損益管理(H30.9～H31.8)(計画)'!F72,
GETPIVOTDATA("合計 / " &amp; $B54,【ピボット】事業所収支!$A$3,"年月",F$2,"事業所",$A54))</f>
        <v>2587385</v>
      </c>
      <c r="G54" s="1812">
        <f>IF(G$2&gt;$G$1,'☆事業所損益管理(H30.9～H31.8)(計画)'!G72,
GETPIVOTDATA("合計 / " &amp; $B54,【ピボット】事業所収支!$A$3,"年月",G$2,"事業所",$A54))</f>
        <v>2800912</v>
      </c>
      <c r="H54" s="1812">
        <f>IF(H$2&gt;$G$1,'☆事業所損益管理(H30.9～H31.8)(計画)'!H72,
GETPIVOTDATA("合計 / " &amp; $B54,【ピボット】事業所収支!$A$3,"年月",H$2,"事業所",$A54))</f>
        <v>2743866</v>
      </c>
      <c r="I54" s="1812">
        <f>IF(I$2&gt;$G$1,'☆事業所損益管理(H30.9～H31.8)(計画)'!I72,
GETPIVOTDATA("合計 / " &amp; $B54,【ピボット】事業所収支!$A$3,"年月",I$2,"事業所",$A54))</f>
        <v>2807684</v>
      </c>
      <c r="J54" s="1812">
        <f>IF(J$2&gt;$G$1,'☆事業所損益管理(H30.9～H31.8)(計画)'!J72,
GETPIVOTDATA("合計 / " &amp; $B54,【ピボット】事業所収支!$A$3,"年月",J$2,"事業所",$A54))</f>
        <v>2942481</v>
      </c>
      <c r="K54" s="1812">
        <f>IF(K$2&gt;$G$1,'☆事業所損益管理(H30.9～H31.8)(計画)'!K72,
GETPIVOTDATA("合計 / " &amp; $B54,【ピボット】事業所収支!$A$3,"年月",K$2,"事業所",$A54))</f>
        <v>2118435</v>
      </c>
      <c r="L54" s="1812">
        <f>IF(L$2&gt;$G$1,'☆事業所損益管理(H30.9～H31.8)(計画)'!L72,
GETPIVOTDATA("合計 / " &amp; $B54,【ピボット】事業所収支!$A$3,"年月",L$2,"事業所",$A54))</f>
        <v>1999507</v>
      </c>
      <c r="M54" s="1812">
        <f>IF(M$2&gt;$G$1,'☆事業所損益管理(H30.9～H31.8)(計画)'!M72,
GETPIVOTDATA("合計 / " &amp; $B54,【ピボット】事業所収支!$A$3,"年月",M$2,"事業所",$A54))</f>
        <v>2831820</v>
      </c>
      <c r="N54" s="1889">
        <f>IF(N$2&gt;$G$1,'☆事業所損益管理(H30.9～H31.8)(計画)'!N72,
GETPIVOTDATA("合計 / " &amp; $B54,【ピボット】事業所収支!$A$3,"年月",N$2,"事業所",$A54))</f>
        <v>3910000</v>
      </c>
      <c r="O54" s="1889">
        <f>IF(O$2&gt;$G$1,'☆事業所損益管理(H30.9～H31.8)(計画)'!O72,
GETPIVOTDATA("合計 / " &amp; $B54,【ピボット】事業所収支!$A$3,"年月",O$2,"事業所",$A54))</f>
        <v>2700000</v>
      </c>
      <c r="P54" s="1889">
        <f>IF(P$2&gt;$G$1,'☆事業所損益管理(H30.9～H31.8)(計画)'!P72,
GETPIVOTDATA("合計 / " &amp; $B54,【ピボット】事業所収支!$A$3,"年月",P$2,"事業所",$A54))</f>
        <v>2700000</v>
      </c>
      <c r="Q54" s="1890">
        <f>IF(Q$2&gt;$G$1,'☆事業所損益管理(H30.9～H31.8)(計画)'!Q72,
GETPIVOTDATA("合計 / " &amp; $B54,【ピボット】事業所収支!$A$3,"年月",Q$2,"事業所",$A54))</f>
        <v>2700000</v>
      </c>
      <c r="R54" s="1842">
        <f t="shared" ca="1" si="15"/>
        <v>20832090</v>
      </c>
      <c r="S54" s="1842">
        <f t="shared" ca="1" si="7"/>
        <v>2604011.25</v>
      </c>
      <c r="T54" s="538">
        <f t="shared" si="8"/>
        <v>32842090</v>
      </c>
      <c r="U54" s="1827">
        <f t="shared" ca="1" si="9"/>
        <v>31248135</v>
      </c>
      <c r="V54" s="2040">
        <f ca="1">IF(W54=0,1,IF(W54&gt;=1,1,IF(W54&lt;0.9,-1,0)))</f>
        <v>0</v>
      </c>
      <c r="W54" s="1839">
        <f ca="1">IF(T54&lt;0,ROUND((U54-T54)/ABS(T54),3),IF(T54=0,0,ROUND(U54/T54,3)))</f>
        <v>0.95099999999999996</v>
      </c>
    </row>
    <row r="55" spans="1:23" s="1122" customFormat="1" ht="14.25" customHeight="1" thickBot="1" x14ac:dyDescent="0.2">
      <c r="A55" s="1122" t="s">
        <v>384</v>
      </c>
      <c r="B55" s="1121" t="str">
        <f>E55</f>
        <v>人件費</v>
      </c>
      <c r="C55" s="2217"/>
      <c r="D55" s="2219"/>
      <c r="E55" s="1821" t="s">
        <v>15</v>
      </c>
      <c r="F55" s="1813">
        <f>IF(F$2&gt;$G$1,'☆事業所損益管理(H30.9～H31.8)(計画)'!F73,
GETPIVOTDATA("合計 / " &amp; $B55,【ピボット】事業所収支!$A$3,"年月",F$2,"事業所",$A55))</f>
        <v>696938</v>
      </c>
      <c r="G55" s="1814">
        <f>IF(G$2&gt;$G$1,'☆事業所損益管理(H30.9～H31.8)(計画)'!G73,
GETPIVOTDATA("合計 / " &amp; $B55,【ピボット】事業所収支!$A$3,"年月",G$2,"事業所",$A55))</f>
        <v>1032197</v>
      </c>
      <c r="H55" s="1814">
        <f>IF(H$2&gt;$G$1,'☆事業所損益管理(H30.9～H31.8)(計画)'!H73,
GETPIVOTDATA("合計 / " &amp; $B55,【ピボット】事業所収支!$A$3,"年月",H$2,"事業所",$A55))</f>
        <v>1025805</v>
      </c>
      <c r="I55" s="1814">
        <f>IF(I$2&gt;$G$1,'☆事業所損益管理(H30.9～H31.8)(計画)'!I73,
GETPIVOTDATA("合計 / " &amp; $B55,【ピボット】事業所収支!$A$3,"年月",I$2,"事業所",$A55))</f>
        <v>1281398</v>
      </c>
      <c r="J55" s="1814">
        <f>IF(J$2&gt;$G$1,'☆事業所損益管理(H30.9～H31.8)(計画)'!J73,
GETPIVOTDATA("合計 / " &amp; $B55,【ピボット】事業所収支!$A$3,"年月",J$2,"事業所",$A55))</f>
        <v>1243543</v>
      </c>
      <c r="K55" s="1814">
        <f>IF(K$2&gt;$G$1,'☆事業所損益管理(H30.9～H31.8)(計画)'!K73,
GETPIVOTDATA("合計 / " &amp; $B55,【ピボット】事業所収支!$A$3,"年月",K$2,"事業所",$A55))</f>
        <v>1079826</v>
      </c>
      <c r="L55" s="1814">
        <f>IF(L$2&gt;$G$1,'☆事業所損益管理(H30.9～H31.8)(計画)'!L73,
GETPIVOTDATA("合計 / " &amp; $B55,【ピボット】事業所収支!$A$3,"年月",L$2,"事業所",$A55))</f>
        <v>1525918</v>
      </c>
      <c r="M55" s="1814">
        <f>IF(M$2&gt;$G$1,'☆事業所損益管理(H30.9～H31.8)(計画)'!M73,
GETPIVOTDATA("合計 / " &amp; $B55,【ピボット】事業所収支!$A$3,"年月",M$2,"事業所",$A55))</f>
        <v>1449692</v>
      </c>
      <c r="N55" s="1891">
        <f>IF(N$2&gt;$G$1,'☆事業所損益管理(H30.9～H31.8)(計画)'!N73,
GETPIVOTDATA("合計 / " &amp; $B55,【ピボット】事業所収支!$A$3,"年月",N$2,"事業所",$A55))</f>
        <v>900000</v>
      </c>
      <c r="O55" s="1891">
        <f>IF(O$2&gt;$G$1,'☆事業所損益管理(H30.9～H31.8)(計画)'!O73,
GETPIVOTDATA("合計 / " &amp; $B55,【ピボット】事業所収支!$A$3,"年月",O$2,"事業所",$A55))</f>
        <v>1500000</v>
      </c>
      <c r="P55" s="1891">
        <f>IF(P$2&gt;$G$1,'☆事業所損益管理(H30.9～H31.8)(計画)'!P73,
GETPIVOTDATA("合計 / " &amp; $B55,【ピボット】事業所収支!$A$3,"年月",P$2,"事業所",$A55))</f>
        <v>900000</v>
      </c>
      <c r="Q55" s="1892">
        <f>IF(Q$2&gt;$G$1,'☆事業所損益管理(H30.9～H31.8)(計画)'!Q73,
GETPIVOTDATA("合計 / " &amp; $B55,【ピボット】事業所収支!$A$3,"年月",Q$2,"事業所",$A55))</f>
        <v>900000</v>
      </c>
      <c r="R55" s="1843">
        <f t="shared" ca="1" si="15"/>
        <v>9335317</v>
      </c>
      <c r="S55" s="1843">
        <f t="shared" ref="S55:S84" ca="1" si="20">IF(ISERROR(R55/(DATEDIF(F$2,G$1,"M")+1)),0,R55/(DATEDIF(F$2,G$1,"M")+1))</f>
        <v>1166914.625</v>
      </c>
      <c r="T55" s="539">
        <f t="shared" ref="T55:T68" si="21">SUM(F55:Q55)</f>
        <v>13535317</v>
      </c>
      <c r="U55" s="1825">
        <f t="shared" ca="1" si="9"/>
        <v>14002975.5</v>
      </c>
      <c r="V55" s="2041">
        <f ca="1">IF(W55=0,1,IF(W55&lt;=1,1,IF(W55&gt;1.1,-1,0)))</f>
        <v>0</v>
      </c>
      <c r="W55" s="1840">
        <f ca="1">IF(T55&lt;0,ROUND((U55-T55)/ABS(T55),3),IF(T55=0,0,ROUND(U55/T55,3)))</f>
        <v>1.0349999999999999</v>
      </c>
    </row>
    <row r="56" spans="1:23" s="1122" customFormat="1" ht="14.25" customHeight="1" thickBot="1" x14ac:dyDescent="0.2">
      <c r="A56" s="1122" t="s">
        <v>384</v>
      </c>
      <c r="B56" s="1121" t="str">
        <f>E56</f>
        <v>広告経費</v>
      </c>
      <c r="C56" s="2217"/>
      <c r="D56" s="2219"/>
      <c r="E56" s="1821" t="s">
        <v>447</v>
      </c>
      <c r="F56" s="1813">
        <f>IF(F$2&gt;$G$1,'☆事業所損益管理(H30.9～H31.8)(計画)'!F74,
GETPIVOTDATA("合計 / " &amp; $B56,【ピボット】事業所収支!$A$3,"年月",F$2,"事業所",$A56))</f>
        <v>0</v>
      </c>
      <c r="G56" s="1814">
        <f>IF(G$2&gt;$G$1,'☆事業所損益管理(H30.9～H31.8)(計画)'!G74,
GETPIVOTDATA("合計 / " &amp; $B56,【ピボット】事業所収支!$A$3,"年月",G$2,"事業所",$A56))</f>
        <v>16200</v>
      </c>
      <c r="H56" s="1814">
        <f>IF(H$2&gt;$G$1,'☆事業所損益管理(H30.9～H31.8)(計画)'!H74,
GETPIVOTDATA("合計 / " &amp; $B56,【ピボット】事業所収支!$A$3,"年月",H$2,"事業所",$A56))</f>
        <v>0</v>
      </c>
      <c r="I56" s="1814">
        <f>IF(I$2&gt;$G$1,'☆事業所損益管理(H30.9～H31.8)(計画)'!I74,
GETPIVOTDATA("合計 / " &amp; $B56,【ピボット】事業所収支!$A$3,"年月",I$2,"事業所",$A56))</f>
        <v>0</v>
      </c>
      <c r="J56" s="1814">
        <f>IF(J$2&gt;$G$1,'☆事業所損益管理(H30.9～H31.8)(計画)'!J74,
GETPIVOTDATA("合計 / " &amp; $B56,【ピボット】事業所収支!$A$3,"年月",J$2,"事業所",$A56))</f>
        <v>0</v>
      </c>
      <c r="K56" s="1814">
        <f>IF(K$2&gt;$G$1,'☆事業所損益管理(H30.9～H31.8)(計画)'!K74,
GETPIVOTDATA("合計 / " &amp; $B56,【ピボット】事業所収支!$A$3,"年月",K$2,"事業所",$A56))</f>
        <v>0</v>
      </c>
      <c r="L56" s="1814">
        <f>IF(L$2&gt;$G$1,'☆事業所損益管理(H30.9～H31.8)(計画)'!L74,
GETPIVOTDATA("合計 / " &amp; $B56,【ピボット】事業所収支!$A$3,"年月",L$2,"事業所",$A56))</f>
        <v>0</v>
      </c>
      <c r="M56" s="1814">
        <f>IF(M$2&gt;$G$1,'☆事業所損益管理(H30.9～H31.8)(計画)'!M74,
GETPIVOTDATA("合計 / " &amp; $B56,【ピボット】事業所収支!$A$3,"年月",M$2,"事業所",$A56))</f>
        <v>0</v>
      </c>
      <c r="N56" s="1891">
        <f>IF(N$2&gt;$G$1,'☆事業所損益管理(H30.9～H31.8)(計画)'!N74,
GETPIVOTDATA("合計 / " &amp; $B56,【ピボット】事業所収支!$A$3,"年月",N$2,"事業所",$A56))</f>
        <v>0</v>
      </c>
      <c r="O56" s="1891">
        <f>IF(O$2&gt;$G$1,'☆事業所損益管理(H30.9～H31.8)(計画)'!O74,
GETPIVOTDATA("合計 / " &amp; $B56,【ピボット】事業所収支!$A$3,"年月",O$2,"事業所",$A56))</f>
        <v>0</v>
      </c>
      <c r="P56" s="1891">
        <f>IF(P$2&gt;$G$1,'☆事業所損益管理(H30.9～H31.8)(計画)'!P74,
GETPIVOTDATA("合計 / " &amp; $B56,【ピボット】事業所収支!$A$3,"年月",P$2,"事業所",$A56))</f>
        <v>0</v>
      </c>
      <c r="Q56" s="1892">
        <f>IF(Q$2&gt;$G$1,'☆事業所損益管理(H30.9～H31.8)(計画)'!Q74,
GETPIVOTDATA("合計 / " &amp; $B56,【ピボット】事業所収支!$A$3,"年月",Q$2,"事業所",$A56))</f>
        <v>0</v>
      </c>
      <c r="R56" s="1843">
        <f t="shared" ca="1" si="15"/>
        <v>16200</v>
      </c>
      <c r="S56" s="1843">
        <f t="shared" ca="1" si="20"/>
        <v>2025</v>
      </c>
      <c r="T56" s="539">
        <f t="shared" si="21"/>
        <v>16200</v>
      </c>
      <c r="U56" s="1825">
        <f t="shared" ref="U56:U84" ca="1" si="22">S56*12</f>
        <v>24300</v>
      </c>
      <c r="V56" s="2041">
        <f ca="1">IF(W56=0,1,IF(W56&lt;=1,1,IF(W56&gt;1.1,-1,0)))</f>
        <v>-1</v>
      </c>
      <c r="W56" s="1840">
        <f ca="1">IF(T56&lt;0,ROUND((U56-T56)/ABS(T56),3),IF(T56=0,0,ROUND(U56/T56,3)))</f>
        <v>1.5</v>
      </c>
    </row>
    <row r="57" spans="1:23" s="1122" customFormat="1" ht="14.25" customHeight="1" thickBot="1" x14ac:dyDescent="0.2">
      <c r="A57" s="1122" t="s">
        <v>384</v>
      </c>
      <c r="B57" s="1790" t="s">
        <v>1230</v>
      </c>
      <c r="C57" s="2217"/>
      <c r="D57" s="2219"/>
      <c r="E57" s="1821" t="s">
        <v>35</v>
      </c>
      <c r="F57" s="1813">
        <f>IF(F$2&gt;$G$1,'☆事業所損益管理(H30.9～H31.8)(計画)'!F75,
GETPIVOTDATA("合計 / " &amp; $B57,【ピボット】事業所収支!$A$3,"年月",F$2,"事業所",$A57))</f>
        <v>603836</v>
      </c>
      <c r="G57" s="1814">
        <f>IF(G$2&gt;$G$1,'☆事業所損益管理(H30.9～H31.8)(計画)'!G75,
GETPIVOTDATA("合計 / " &amp; $B57,【ピボット】事業所収支!$A$3,"年月",G$2,"事業所",$A57))</f>
        <v>822996</v>
      </c>
      <c r="H57" s="1814">
        <f>IF(H$2&gt;$G$1,'☆事業所損益管理(H30.9～H31.8)(計画)'!H75,
GETPIVOTDATA("合計 / " &amp; $B57,【ピボット】事業所収支!$A$3,"年月",H$2,"事業所",$A57))</f>
        <v>695910</v>
      </c>
      <c r="I57" s="1814">
        <f>IF(I$2&gt;$G$1,'☆事業所損益管理(H30.9～H31.8)(計画)'!I75,
GETPIVOTDATA("合計 / " &amp; $B57,【ピボット】事業所収支!$A$3,"年月",I$2,"事業所",$A57))</f>
        <v>635256</v>
      </c>
      <c r="J57" s="1814">
        <f>IF(J$2&gt;$G$1,'☆事業所損益管理(H30.9～H31.8)(計画)'!J75,
GETPIVOTDATA("合計 / " &amp; $B57,【ピボット】事業所収支!$A$3,"年月",J$2,"事業所",$A57))</f>
        <v>654503</v>
      </c>
      <c r="K57" s="1814">
        <f>IF(K$2&gt;$G$1,'☆事業所損益管理(H30.9～H31.8)(計画)'!K75,
GETPIVOTDATA("合計 / " &amp; $B57,【ピボット】事業所収支!$A$3,"年月",K$2,"事業所",$A57))</f>
        <v>611780</v>
      </c>
      <c r="L57" s="1814">
        <f>IF(L$2&gt;$G$1,'☆事業所損益管理(H30.9～H31.8)(計画)'!L75,
GETPIVOTDATA("合計 / " &amp; $B57,【ピボット】事業所収支!$A$3,"年月",L$2,"事業所",$A57))</f>
        <v>656722</v>
      </c>
      <c r="M57" s="1814">
        <f>IF(M$2&gt;$G$1,'☆事業所損益管理(H30.9～H31.8)(計画)'!M75,
GETPIVOTDATA("合計 / " &amp; $B57,【ピボット】事業所収支!$A$3,"年月",M$2,"事業所",$A57))</f>
        <v>638498</v>
      </c>
      <c r="N57" s="1891">
        <f>IF(N$2&gt;$G$1,'☆事業所損益管理(H30.9～H31.8)(計画)'!N75,
GETPIVOTDATA("合計 / " &amp; $B57,【ピボット】事業所収支!$A$3,"年月",N$2,"事業所",$A57))</f>
        <v>650000</v>
      </c>
      <c r="O57" s="1891">
        <f>IF(O$2&gt;$G$1,'☆事業所損益管理(H30.9～H31.8)(計画)'!O75,
GETPIVOTDATA("合計 / " &amp; $B57,【ピボット】事業所収支!$A$3,"年月",O$2,"事業所",$A57))</f>
        <v>650000</v>
      </c>
      <c r="P57" s="1891">
        <f>IF(P$2&gt;$G$1,'☆事業所損益管理(H30.9～H31.8)(計画)'!P75,
GETPIVOTDATA("合計 / " &amp; $B57,【ピボット】事業所収支!$A$3,"年月",P$2,"事業所",$A57))</f>
        <v>650000</v>
      </c>
      <c r="Q57" s="1892">
        <f>IF(Q$2&gt;$G$1,'☆事業所損益管理(H30.9～H31.8)(計画)'!Q75,
GETPIVOTDATA("合計 / " &amp; $B57,【ピボット】事業所収支!$A$3,"年月",Q$2,"事業所",$A57))</f>
        <v>650000</v>
      </c>
      <c r="R57" s="1843">
        <f t="shared" ca="1" si="15"/>
        <v>5319501</v>
      </c>
      <c r="S57" s="1843">
        <f t="shared" ca="1" si="20"/>
        <v>664937.625</v>
      </c>
      <c r="T57" s="539">
        <f t="shared" si="21"/>
        <v>7919501</v>
      </c>
      <c r="U57" s="1825">
        <f t="shared" ca="1" si="22"/>
        <v>7979251.5</v>
      </c>
      <c r="V57" s="2041">
        <f ca="1">IF(W57=0,1,IF(W57&lt;=1,1,IF(W57&gt;1.1,-1,0)))</f>
        <v>0</v>
      </c>
      <c r="W57" s="1840">
        <f ca="1">IF(T57&lt;0,ROUND((U57-T57)/ABS(T57),3),IF(T57=0,0,ROUND(U57/T57,3)))</f>
        <v>1.008</v>
      </c>
    </row>
    <row r="58" spans="1:23" s="1122" customFormat="1" ht="14.25" customHeight="1" thickBot="1" x14ac:dyDescent="0.2">
      <c r="A58" s="1122" t="s">
        <v>384</v>
      </c>
      <c r="B58" s="1121"/>
      <c r="C58" s="2217"/>
      <c r="D58" s="2219"/>
      <c r="E58" s="1821" t="s">
        <v>1434</v>
      </c>
      <c r="F58" s="1823">
        <f>F54-(F55+F57)</f>
        <v>1286611</v>
      </c>
      <c r="G58" s="1824">
        <f>G54-(G55+G57)</f>
        <v>945719</v>
      </c>
      <c r="H58" s="1824">
        <f>H54-(H55+H57)</f>
        <v>1022151</v>
      </c>
      <c r="I58" s="1824">
        <f t="shared" ref="I58:Q58" si="23">I54-(I55+I57)</f>
        <v>891030</v>
      </c>
      <c r="J58" s="1824">
        <f t="shared" si="23"/>
        <v>1044435</v>
      </c>
      <c r="K58" s="1824">
        <f t="shared" si="23"/>
        <v>426829</v>
      </c>
      <c r="L58" s="1824">
        <f t="shared" si="23"/>
        <v>-183133</v>
      </c>
      <c r="M58" s="1824">
        <f t="shared" si="23"/>
        <v>743630</v>
      </c>
      <c r="N58" s="1893">
        <f t="shared" si="23"/>
        <v>2360000</v>
      </c>
      <c r="O58" s="1893">
        <f t="shared" si="23"/>
        <v>550000</v>
      </c>
      <c r="P58" s="1893">
        <f t="shared" si="23"/>
        <v>1150000</v>
      </c>
      <c r="Q58" s="1894">
        <f t="shared" si="23"/>
        <v>1150000</v>
      </c>
      <c r="R58" s="1843">
        <f t="shared" ca="1" si="15"/>
        <v>6177272</v>
      </c>
      <c r="S58" s="1843">
        <f t="shared" ca="1" si="20"/>
        <v>772159</v>
      </c>
      <c r="T58" s="539">
        <f t="shared" si="21"/>
        <v>11387272</v>
      </c>
      <c r="U58" s="1825">
        <f t="shared" ca="1" si="22"/>
        <v>9265908</v>
      </c>
      <c r="V58" s="2043">
        <f ca="1">IFERROR(IF(W58&gt;=0,1,IF(W58&lt;-0.1,-1,0)),1)</f>
        <v>-1</v>
      </c>
      <c r="W58" s="1840">
        <f ca="1">IF(T58=0,1-(U55+U57)/U54,IF(T58=U58,0,ROUND((U58-T58)/ABS(T58),3)))</f>
        <v>-0.186</v>
      </c>
    </row>
    <row r="59" spans="1:23" s="1122" customFormat="1" ht="14.25" customHeight="1" thickBot="1" x14ac:dyDescent="0.2">
      <c r="A59" s="1122" t="s">
        <v>1384</v>
      </c>
      <c r="B59" s="1121" t="str">
        <f>E59</f>
        <v>売上</v>
      </c>
      <c r="C59" s="2217" t="s">
        <v>1223</v>
      </c>
      <c r="D59" s="2218" t="s">
        <v>1441</v>
      </c>
      <c r="E59" s="1820" t="s">
        <v>26</v>
      </c>
      <c r="F59" s="1811">
        <f>IFERROR(IF(F$2&gt;$G$1,'☆事業所損益管理(H30.9～H31.8)(計画)'!F79,
GETPIVOTDATA("合計 / " &amp; $B59,【ピボット】事業所収支!$A$3,"年月",F$2,"事業所",$A59)),0)</f>
        <v>0</v>
      </c>
      <c r="G59" s="1812">
        <f>IFERROR(IF(G$2&gt;$G$1,'☆事業所損益管理(H30.9～H31.8)(計画)'!G79,
GETPIVOTDATA("合計 / " &amp; $B59,【ピボット】事業所収支!$A$3,"年月",G$2,"事業所",$A59)),0)</f>
        <v>0</v>
      </c>
      <c r="H59" s="1812">
        <f>IFERROR(IF(H$2&gt;$G$1,'☆事業所損益管理(H30.9～H31.8)(計画)'!H79,
GETPIVOTDATA("合計 / " &amp; $B59,【ピボット】事業所収支!$A$3,"年月",H$2,"事業所",$A59)),0)</f>
        <v>16000</v>
      </c>
      <c r="I59" s="1812">
        <f>IFERROR(IF(I$2&gt;$G$1,'☆事業所損益管理(H30.9～H31.8)(計画)'!I79,
GETPIVOTDATA("合計 / " &amp; $B59,【ピボット】事業所収支!$A$3,"年月",I$2,"事業所",$A59)),0)</f>
        <v>40000</v>
      </c>
      <c r="J59" s="1812">
        <f>IFERROR(IF(J$2&gt;$G$1,'☆事業所損益管理(H30.9～H31.8)(計画)'!J79,
GETPIVOTDATA("合計 / " &amp; $B59,【ピボット】事業所収支!$A$3,"年月",J$2,"事業所",$A59)),0)</f>
        <v>40000</v>
      </c>
      <c r="K59" s="1812">
        <f>IFERROR(IF(K$2&gt;$G$1,'☆事業所損益管理(H30.9～H31.8)(計画)'!K79,
GETPIVOTDATA("合計 / " &amp; $B59,【ピボット】事業所収支!$A$3,"年月",K$2,"事業所",$A59)),0)</f>
        <v>1476188</v>
      </c>
      <c r="L59" s="1812">
        <f>IFERROR(IF(L$2&gt;$G$1,'☆事業所損益管理(H30.9～H31.8)(計画)'!L79,
GETPIVOTDATA("合計 / " &amp; $B59,【ピボット】事業所収支!$A$3,"年月",L$2,"事業所",$A59)),0)</f>
        <v>1775131</v>
      </c>
      <c r="M59" s="1812">
        <f>IFERROR(IF(M$2&gt;$G$1,'☆事業所損益管理(H30.9～H31.8)(計画)'!M79,
GETPIVOTDATA("合計 / " &amp; $B59,【ピボット】事業所収支!$A$3,"年月",M$2,"事業所",$A59)),0)</f>
        <v>2077332</v>
      </c>
      <c r="N59" s="1889">
        <f>IFERROR(IF(N$2&gt;$G$1,'☆事業所損益管理(H30.9～H31.8)(計画)'!N79,
GETPIVOTDATA("合計 / " &amp; $B59,【ピボット】事業所収支!$A$3,"年月",N$2,"事業所",$A59)),0)</f>
        <v>2150000</v>
      </c>
      <c r="O59" s="1889">
        <f>IFERROR(IF(O$2&gt;$G$1,'☆事業所損益管理(H30.9～H31.8)(計画)'!O79,
GETPIVOTDATA("合計 / " &amp; $B59,【ピボット】事業所収支!$A$3,"年月",O$2,"事業所",$A59)),0)</f>
        <v>2150000</v>
      </c>
      <c r="P59" s="1889">
        <f>IFERROR(IF(P$2&gt;$G$1,'☆事業所損益管理(H30.9～H31.8)(計画)'!P79,
GETPIVOTDATA("合計 / " &amp; $B59,【ピボット】事業所収支!$A$3,"年月",P$2,"事業所",$A59)),0)</f>
        <v>2150000</v>
      </c>
      <c r="Q59" s="1890">
        <f>IFERROR(IF(Q$2&gt;$G$1,'☆事業所損益管理(H30.9～H31.8)(計画)'!Q79,
GETPIVOTDATA("合計 / " &amp; $B59,【ピボット】事業所収支!$A$3,"年月",Q$2,"事業所",$A59)),0)</f>
        <v>2150000</v>
      </c>
      <c r="R59" s="1842">
        <f t="shared" ca="1" si="15"/>
        <v>5424651</v>
      </c>
      <c r="S59" s="1842">
        <f t="shared" ca="1" si="20"/>
        <v>678081.375</v>
      </c>
      <c r="T59" s="538">
        <f t="shared" si="21"/>
        <v>14024651</v>
      </c>
      <c r="U59" s="1827">
        <f t="shared" ca="1" si="22"/>
        <v>8136976.5</v>
      </c>
      <c r="V59" s="2040">
        <f ca="1">IF(W59=0,1,IF(W59&gt;=1,1,IF(W59&lt;0.9,-1,0)))</f>
        <v>-1</v>
      </c>
      <c r="W59" s="1839">
        <f ca="1">IF(T59&lt;0,ROUND((U59-T59)/ABS(T59),3),IF(T59=0,0,ROUND(U59/T59,3)))</f>
        <v>0.57999999999999996</v>
      </c>
    </row>
    <row r="60" spans="1:23" s="1122" customFormat="1" ht="14.25" customHeight="1" thickBot="1" x14ac:dyDescent="0.2">
      <c r="A60" s="1122" t="s">
        <v>1384</v>
      </c>
      <c r="B60" s="1121" t="str">
        <f>E60</f>
        <v>人件費</v>
      </c>
      <c r="C60" s="2217"/>
      <c r="D60" s="2219"/>
      <c r="E60" s="1821" t="s">
        <v>15</v>
      </c>
      <c r="F60" s="1813">
        <f>IFERROR(IF(F$2&gt;$G$1,'☆事業所損益管理(H30.9～H31.8)(計画)'!F80,
GETPIVOTDATA("合計 / " &amp; $B60,【ピボット】事業所収支!$A$3,"年月",F$2,"事業所",$A60)),0)</f>
        <v>0</v>
      </c>
      <c r="G60" s="1814">
        <f>IFERROR(IF(G$2&gt;$G$1,'☆事業所損益管理(H30.9～H31.8)(計画)'!G80,
GETPIVOTDATA("合計 / " &amp; $B60,【ピボット】事業所収支!$A$3,"年月",G$2,"事業所",$A60)),0)</f>
        <v>0</v>
      </c>
      <c r="H60" s="1814">
        <f>IFERROR(IF(H$2&gt;$G$1,'☆事業所損益管理(H30.9～H31.8)(計画)'!H80,
GETPIVOTDATA("合計 / " &amp; $B60,【ピボット】事業所収支!$A$3,"年月",H$2,"事業所",$A60)),0)</f>
        <v>0</v>
      </c>
      <c r="I60" s="1814">
        <f>IFERROR(IF(I$2&gt;$G$1,'☆事業所損益管理(H30.9～H31.8)(計画)'!I80,
GETPIVOTDATA("合計 / " &amp; $B60,【ピボット】事業所収支!$A$3,"年月",I$2,"事業所",$A60)),0)</f>
        <v>0</v>
      </c>
      <c r="J60" s="1814">
        <f>IFERROR(IF(J$2&gt;$G$1,'☆事業所損益管理(H30.9～H31.8)(計画)'!J80,
GETPIVOTDATA("合計 / " &amp; $B60,【ピボット】事業所収支!$A$3,"年月",J$2,"事業所",$A60)),0)</f>
        <v>0</v>
      </c>
      <c r="K60" s="1814">
        <f>IFERROR(IF(K$2&gt;$G$1,'☆事業所損益管理(H30.9～H31.8)(計画)'!K80,
GETPIVOTDATA("合計 / " &amp; $B60,【ピボット】事業所収支!$A$3,"年月",K$2,"事業所",$A60)),0)</f>
        <v>379400</v>
      </c>
      <c r="L60" s="1814">
        <f>IFERROR(IF(L$2&gt;$G$1,'☆事業所損益管理(H30.9～H31.8)(計画)'!L80,
GETPIVOTDATA("合計 / " &amp; $B60,【ピボット】事業所収支!$A$3,"年月",L$2,"事業所",$A60)),0)</f>
        <v>509200</v>
      </c>
      <c r="M60" s="1814">
        <f>IFERROR(IF(M$2&gt;$G$1,'☆事業所損益管理(H30.9～H31.8)(計画)'!M80,
GETPIVOTDATA("合計 / " &amp; $B60,【ピボット】事業所収支!$A$3,"年月",M$2,"事業所",$A60)),0)</f>
        <v>418350</v>
      </c>
      <c r="N60" s="1891">
        <f>IFERROR(IF(N$2&gt;$G$1,'☆事業所損益管理(H30.9～H31.8)(計画)'!N80,
GETPIVOTDATA("合計 / " &amp; $B60,【ピボット】事業所収支!$A$3,"年月",N$2,"事業所",$A60)),0)</f>
        <v>500000</v>
      </c>
      <c r="O60" s="1891">
        <f>IFERROR(IF(O$2&gt;$G$1,'☆事業所損益管理(H30.9～H31.8)(計画)'!O80,
GETPIVOTDATA("合計 / " &amp; $B60,【ピボット】事業所収支!$A$3,"年月",O$2,"事業所",$A60)),0)</f>
        <v>500000</v>
      </c>
      <c r="P60" s="1891">
        <f>IFERROR(IF(P$2&gt;$G$1,'☆事業所損益管理(H30.9～H31.8)(計画)'!P80,
GETPIVOTDATA("合計 / " &amp; $B60,【ピボット】事業所収支!$A$3,"年月",P$2,"事業所",$A60)),0)</f>
        <v>500000</v>
      </c>
      <c r="Q60" s="1892">
        <f>IFERROR(IF(Q$2&gt;$G$1,'☆事業所損益管理(H30.9～H31.8)(計画)'!Q80,
GETPIVOTDATA("合計 / " &amp; $B60,【ピボット】事業所収支!$A$3,"年月",Q$2,"事業所",$A60)),0)</f>
        <v>500000</v>
      </c>
      <c r="R60" s="1843">
        <f t="shared" ca="1" si="15"/>
        <v>1306950</v>
      </c>
      <c r="S60" s="1843">
        <f t="shared" ca="1" si="20"/>
        <v>163368.75</v>
      </c>
      <c r="T60" s="539">
        <f t="shared" si="21"/>
        <v>3306950</v>
      </c>
      <c r="U60" s="1825">
        <f t="shared" ca="1" si="22"/>
        <v>1960425</v>
      </c>
      <c r="V60" s="2041">
        <f ca="1">IF(W60=0,1,IF(W60&lt;=1,1,IF(W60&gt;1.1,-1,0)))</f>
        <v>1</v>
      </c>
      <c r="W60" s="1840">
        <f ca="1">IF(T60&lt;0,ROUND((U60-T60)/ABS(T60),3),IF(T60=0,0,ROUND(U60/T60,3)))</f>
        <v>0.59299999999999997</v>
      </c>
    </row>
    <row r="61" spans="1:23" s="1122" customFormat="1" ht="14.25" customHeight="1" thickBot="1" x14ac:dyDescent="0.2">
      <c r="A61" s="1122" t="s">
        <v>1384</v>
      </c>
      <c r="B61" s="1121" t="str">
        <f>E61</f>
        <v>広告経費</v>
      </c>
      <c r="C61" s="2217"/>
      <c r="D61" s="2219"/>
      <c r="E61" s="1821" t="s">
        <v>447</v>
      </c>
      <c r="F61" s="1813">
        <f>IFERROR(IF(F$2&gt;$G$1,'☆事業所損益管理(H30.9～H31.8)(計画)'!F81,
GETPIVOTDATA("合計 / " &amp; $B61,【ピボット】事業所収支!$A$3,"年月",F$2,"事業所",$A61)),0)</f>
        <v>0</v>
      </c>
      <c r="G61" s="1814">
        <f>IFERROR(IF(G$2&gt;$G$1,'☆事業所損益管理(H30.9～H31.8)(計画)'!G81,
GETPIVOTDATA("合計 / " &amp; $B61,【ピボット】事業所収支!$A$3,"年月",G$2,"事業所",$A61)),0)</f>
        <v>0</v>
      </c>
      <c r="H61" s="1814">
        <f>IFERROR(IF(H$2&gt;$G$1,'☆事業所損益管理(H30.9～H31.8)(計画)'!H81,
GETPIVOTDATA("合計 / " &amp; $B61,【ピボット】事業所収支!$A$3,"年月",H$2,"事業所",$A61)),0)</f>
        <v>0</v>
      </c>
      <c r="I61" s="1814">
        <f>IFERROR(IF(I$2&gt;$G$1,'☆事業所損益管理(H30.9～H31.8)(計画)'!I81,
GETPIVOTDATA("合計 / " &amp; $B61,【ピボット】事業所収支!$A$3,"年月",I$2,"事業所",$A61)),0)</f>
        <v>0</v>
      </c>
      <c r="J61" s="1814">
        <f>IFERROR(IF(J$2&gt;$G$1,'☆事業所損益管理(H30.9～H31.8)(計画)'!J81,
GETPIVOTDATA("合計 / " &amp; $B61,【ピボット】事業所収支!$A$3,"年月",J$2,"事業所",$A61)),0)</f>
        <v>0</v>
      </c>
      <c r="K61" s="1814">
        <f>IFERROR(IF(K$2&gt;$G$1,'☆事業所損益管理(H30.9～H31.8)(計画)'!K81,
GETPIVOTDATA("合計 / " &amp; $B61,【ピボット】事業所収支!$A$3,"年月",K$2,"事業所",$A61)),0)</f>
        <v>0</v>
      </c>
      <c r="L61" s="1814">
        <f>IFERROR(IF(L$2&gt;$G$1,'☆事業所損益管理(H30.9～H31.8)(計画)'!L81,
GETPIVOTDATA("合計 / " &amp; $B61,【ピボット】事業所収支!$A$3,"年月",L$2,"事業所",$A61)),0)</f>
        <v>0</v>
      </c>
      <c r="M61" s="1814">
        <f>IFERROR(IF(M$2&gt;$G$1,'☆事業所損益管理(H30.9～H31.8)(計画)'!M81,
GETPIVOTDATA("合計 / " &amp; $B61,【ピボット】事業所収支!$A$3,"年月",M$2,"事業所",$A61)),0)</f>
        <v>0</v>
      </c>
      <c r="N61" s="1891">
        <f>IFERROR(IF(N$2&gt;$G$1,'☆事業所損益管理(H30.9～H31.8)(計画)'!N81,
GETPIVOTDATA("合計 / " &amp; $B61,【ピボット】事業所収支!$A$3,"年月",N$2,"事業所",$A61)),0)</f>
        <v>0</v>
      </c>
      <c r="O61" s="1891">
        <f>IFERROR(IF(O$2&gt;$G$1,'☆事業所損益管理(H30.9～H31.8)(計画)'!O81,
GETPIVOTDATA("合計 / " &amp; $B61,【ピボット】事業所収支!$A$3,"年月",O$2,"事業所",$A61)),0)</f>
        <v>0</v>
      </c>
      <c r="P61" s="1891">
        <f>IFERROR(IF(P$2&gt;$G$1,'☆事業所損益管理(H30.9～H31.8)(計画)'!P81,
GETPIVOTDATA("合計 / " &amp; $B61,【ピボット】事業所収支!$A$3,"年月",P$2,"事業所",$A61)),0)</f>
        <v>30000</v>
      </c>
      <c r="Q61" s="1892">
        <f>IFERROR(IF(Q$2&gt;$G$1,'☆事業所損益管理(H30.9～H31.8)(計画)'!Q81,
GETPIVOTDATA("合計 / " &amp; $B61,【ピボット】事業所収支!$A$3,"年月",Q$2,"事業所",$A61)),0)</f>
        <v>0</v>
      </c>
      <c r="R61" s="1843">
        <f t="shared" ca="1" si="15"/>
        <v>0</v>
      </c>
      <c r="S61" s="1843">
        <f t="shared" ca="1" si="20"/>
        <v>0</v>
      </c>
      <c r="T61" s="539">
        <f t="shared" si="21"/>
        <v>30000</v>
      </c>
      <c r="U61" s="1825">
        <f t="shared" ca="1" si="22"/>
        <v>0</v>
      </c>
      <c r="V61" s="2041">
        <f ca="1">IF(W61=0,1,IF(W61&lt;=1,1,IF(W61&gt;1.1,-1,0)))</f>
        <v>1</v>
      </c>
      <c r="W61" s="1840">
        <f ca="1">IF(T61&lt;0,ROUND((U61-T61)/ABS(T61),3),IF(T61=0,0,ROUND(U61/T61,3)))</f>
        <v>0</v>
      </c>
    </row>
    <row r="62" spans="1:23" s="1122" customFormat="1" ht="14.25" customHeight="1" thickBot="1" x14ac:dyDescent="0.2">
      <c r="A62" s="1122" t="s">
        <v>1384</v>
      </c>
      <c r="B62" s="1790" t="s">
        <v>1230</v>
      </c>
      <c r="C62" s="2217"/>
      <c r="D62" s="2219"/>
      <c r="E62" s="1821" t="s">
        <v>35</v>
      </c>
      <c r="F62" s="1813">
        <f>IFERROR(IF(F$2&gt;$G$1,'☆事業所損益管理(H30.9～H31.8)(計画)'!F82,
GETPIVOTDATA("合計 / " &amp; $B62,【ピボット】事業所収支!$A$3,"年月",F$2,"事業所",$A62)),0)</f>
        <v>30864</v>
      </c>
      <c r="G62" s="1814">
        <f>IFERROR(IF(G$2&gt;$G$1,'☆事業所損益管理(H30.9～H31.8)(計画)'!G82,
GETPIVOTDATA("合計 / " &amp; $B62,【ピボット】事業所収支!$A$3,"年月",G$2,"事業所",$A62)),0)</f>
        <v>0</v>
      </c>
      <c r="H62" s="1814">
        <f>IFERROR(IF(H$2&gt;$G$1,'☆事業所損益管理(H30.9～H31.8)(計画)'!H82,
GETPIVOTDATA("合計 / " &amp; $B62,【ピボット】事業所収支!$A$3,"年月",H$2,"事業所",$A62)),0)</f>
        <v>17066</v>
      </c>
      <c r="I62" s="1814">
        <f>IFERROR(IF(I$2&gt;$G$1,'☆事業所損益管理(H30.9～H31.8)(計画)'!I82,
GETPIVOTDATA("合計 / " &amp; $B62,【ピボット】事業所収支!$A$3,"年月",I$2,"事業所",$A62)),0)</f>
        <v>18008</v>
      </c>
      <c r="J62" s="1814">
        <f>IFERROR(IF(J$2&gt;$G$1,'☆事業所損益管理(H30.9～H31.8)(計画)'!J82,
GETPIVOTDATA("合計 / " &amp; $B62,【ピボット】事業所収支!$A$3,"年月",J$2,"事業所",$A62)),0)</f>
        <v>185160</v>
      </c>
      <c r="K62" s="1814">
        <f>IFERROR(IF(K$2&gt;$G$1,'☆事業所損益管理(H30.9～H31.8)(計画)'!K82,
GETPIVOTDATA("合計 / " &amp; $B62,【ピボット】事業所収支!$A$3,"年月",K$2,"事業所",$A62)),0)</f>
        <v>188283</v>
      </c>
      <c r="L62" s="1814">
        <f>IFERROR(IF(L$2&gt;$G$1,'☆事業所損益管理(H30.9～H31.8)(計画)'!L82,
GETPIVOTDATA("合計 / " &amp; $B62,【ピボット】事業所収支!$A$3,"年月",L$2,"事業所",$A62)),0)</f>
        <v>133407</v>
      </c>
      <c r="M62" s="1814">
        <f>IFERROR(IF(M$2&gt;$G$1,'☆事業所損益管理(H30.9～H31.8)(計画)'!M82,
GETPIVOTDATA("合計 / " &amp; $B62,【ピボット】事業所収支!$A$3,"年月",M$2,"事業所",$A62)),0)</f>
        <v>153096</v>
      </c>
      <c r="N62" s="1891">
        <f>IFERROR(IF(N$2&gt;$G$1,'☆事業所損益管理(H30.9～H31.8)(計画)'!N82,
GETPIVOTDATA("合計 / " &amp; $B62,【ピボット】事業所収支!$A$3,"年月",N$2,"事業所",$A62)),0)</f>
        <v>517000</v>
      </c>
      <c r="O62" s="1891">
        <f>IFERROR(IF(O$2&gt;$G$1,'☆事業所損益管理(H30.9～H31.8)(計画)'!O82,
GETPIVOTDATA("合計 / " &amp; $B62,【ピボット】事業所収支!$A$3,"年月",O$2,"事業所",$A62)),0)</f>
        <v>517000</v>
      </c>
      <c r="P62" s="1891">
        <f>IFERROR(IF(P$2&gt;$G$1,'☆事業所損益管理(H30.9～H31.8)(計画)'!P82,
GETPIVOTDATA("合計 / " &amp; $B62,【ピボット】事業所収支!$A$3,"年月",P$2,"事業所",$A62)),0)</f>
        <v>547000</v>
      </c>
      <c r="Q62" s="1892">
        <f>IFERROR(IF(Q$2&gt;$G$1,'☆事業所損益管理(H30.9～H31.8)(計画)'!Q82,
GETPIVOTDATA("合計 / " &amp; $B62,【ピボット】事業所収支!$A$3,"年月",Q$2,"事業所",$A62)),0)</f>
        <v>517000</v>
      </c>
      <c r="R62" s="1843">
        <f t="shared" ca="1" si="15"/>
        <v>725884</v>
      </c>
      <c r="S62" s="1843">
        <f t="shared" ca="1" si="20"/>
        <v>90735.5</v>
      </c>
      <c r="T62" s="539">
        <f t="shared" si="21"/>
        <v>2823884</v>
      </c>
      <c r="U62" s="1825">
        <f t="shared" ca="1" si="22"/>
        <v>1088826</v>
      </c>
      <c r="V62" s="2041">
        <f ca="1">IF(W62=0,1,IF(W62&lt;=1,1,IF(W62&gt;1.1,-1,0)))</f>
        <v>1</v>
      </c>
      <c r="W62" s="1840">
        <f ca="1">IF(T62&lt;0,ROUND((U62-T62)/ABS(T62),3),IF(T62=0,0,ROUND(U62/T62,3)))</f>
        <v>0.38600000000000001</v>
      </c>
    </row>
    <row r="63" spans="1:23" s="1122" customFormat="1" ht="14.25" customHeight="1" thickBot="1" x14ac:dyDescent="0.2">
      <c r="A63" s="1122" t="s">
        <v>1384</v>
      </c>
      <c r="B63" s="1121"/>
      <c r="C63" s="2217"/>
      <c r="D63" s="2219"/>
      <c r="E63" s="1821" t="s">
        <v>1434</v>
      </c>
      <c r="F63" s="1823">
        <f>F59-(F60+F62)</f>
        <v>-30864</v>
      </c>
      <c r="G63" s="1824">
        <f>G59-(G60+G62)</f>
        <v>0</v>
      </c>
      <c r="H63" s="1824">
        <f>H59-(H60+H62)</f>
        <v>-1066</v>
      </c>
      <c r="I63" s="1824">
        <f t="shared" ref="I63:Q63" si="24">I59-(I60+I62)</f>
        <v>21992</v>
      </c>
      <c r="J63" s="1824">
        <f t="shared" si="24"/>
        <v>-145160</v>
      </c>
      <c r="K63" s="1824">
        <f t="shared" si="24"/>
        <v>908505</v>
      </c>
      <c r="L63" s="1824">
        <f t="shared" si="24"/>
        <v>1132524</v>
      </c>
      <c r="M63" s="1824">
        <f t="shared" si="24"/>
        <v>1505886</v>
      </c>
      <c r="N63" s="1893">
        <f t="shared" si="24"/>
        <v>1133000</v>
      </c>
      <c r="O63" s="1893">
        <f t="shared" si="24"/>
        <v>1133000</v>
      </c>
      <c r="P63" s="1893">
        <f t="shared" si="24"/>
        <v>1103000</v>
      </c>
      <c r="Q63" s="1894">
        <f t="shared" si="24"/>
        <v>1133000</v>
      </c>
      <c r="R63" s="1843">
        <f t="shared" ca="1" si="15"/>
        <v>3391817</v>
      </c>
      <c r="S63" s="1843">
        <f t="shared" ca="1" si="20"/>
        <v>423977.125</v>
      </c>
      <c r="T63" s="539">
        <f t="shared" si="21"/>
        <v>7893817</v>
      </c>
      <c r="U63" s="1825">
        <f t="shared" ca="1" si="22"/>
        <v>5087725.5</v>
      </c>
      <c r="V63" s="2043">
        <f ca="1">IFERROR(IF(W63&gt;=0,1,IF(W63&lt;-0.1,-1,0)),1)</f>
        <v>-1</v>
      </c>
      <c r="W63" s="1840">
        <f ca="1">IF(T63=0,1-(U60+U62)/U59,IF(T63=U63,0,ROUND((U63-T63)/ABS(T63),3)))</f>
        <v>-0.35499999999999998</v>
      </c>
    </row>
    <row r="64" spans="1:23" s="1122" customFormat="1" ht="14.25" customHeight="1" outlineLevel="1" thickBot="1" x14ac:dyDescent="0.2">
      <c r="A64" s="1483" t="s">
        <v>1300</v>
      </c>
      <c r="B64" s="1121" t="str">
        <f>E64</f>
        <v>売上</v>
      </c>
      <c r="C64" s="2222" t="s">
        <v>1294</v>
      </c>
      <c r="D64" s="2218" t="s">
        <v>1441</v>
      </c>
      <c r="E64" s="1820" t="s">
        <v>26</v>
      </c>
      <c r="F64" s="1811">
        <f>IFERROR(IF(F$2&gt;$G$1,'☆事業所損益管理(H30.9～H31.8)(計画)'!F86,
GETPIVOTDATA("合計 / " &amp; $B64,【ピボット】事業所収支!$A$3,"年月",F$2,"事業所",$A64)),0)</f>
        <v>0</v>
      </c>
      <c r="G64" s="1812">
        <f>IFERROR(IF(G$2&gt;$G$1,'☆事業所損益管理(H30.9～H31.8)(計画)'!G86,
GETPIVOTDATA("合計 / " &amp; $B64,【ピボット】事業所収支!$A$3,"年月",G$2,"事業所",$A64)),0)</f>
        <v>0</v>
      </c>
      <c r="H64" s="1812">
        <f>IFERROR(IF(H$2&gt;$G$1,'☆事業所損益管理(H30.9～H31.8)(計画)'!H86,
GETPIVOTDATA("合計 / " &amp; $B64,【ピボット】事業所収支!$A$3,"年月",H$2,"事業所",$A64)),0)</f>
        <v>0</v>
      </c>
      <c r="I64" s="1812">
        <f>IFERROR(IF(I$2&gt;$G$1,'☆事業所損益管理(H30.9～H31.8)(計画)'!I86,
GETPIVOTDATA("合計 / " &amp; $B64,【ピボット】事業所収支!$A$3,"年月",I$2,"事業所",$A64)),0)</f>
        <v>0</v>
      </c>
      <c r="J64" s="1812">
        <f>IFERROR(IF(J$2&gt;$G$1,'☆事業所損益管理(H30.9～H31.8)(計画)'!J86,
GETPIVOTDATA("合計 / " &amp; $B64,【ピボット】事業所収支!$A$3,"年月",J$2,"事業所",$A64)),0)</f>
        <v>0</v>
      </c>
      <c r="K64" s="1812">
        <f>IFERROR(IF(K$2&gt;$G$1,'☆事業所損益管理(H30.9～H31.8)(計画)'!K86,
GETPIVOTDATA("合計 / " &amp; $B64,【ピボット】事業所収支!$A$3,"年月",K$2,"事業所",$A64)),0)</f>
        <v>0</v>
      </c>
      <c r="L64" s="1812">
        <f>IFERROR(IF(L$2&gt;$G$1,'☆事業所損益管理(H30.9～H31.8)(計画)'!L86,
GETPIVOTDATA("合計 / " &amp; $B64,【ピボット】事業所収支!$A$3,"年月",L$2,"事業所",$A64)),0)</f>
        <v>0</v>
      </c>
      <c r="M64" s="1812">
        <f>IFERROR(IF(M$2&gt;$G$1,'☆事業所損益管理(H30.9～H31.8)(計画)'!M86,
GETPIVOTDATA("合計 / " &amp; $B64,【ピボット】事業所収支!$A$3,"年月",M$2,"事業所",$A64)),0)</f>
        <v>0</v>
      </c>
      <c r="N64" s="1889">
        <f>IFERROR(IF(N$2&gt;$G$1,'☆事業所損益管理(H30.9～H31.8)(計画)'!N86,
GETPIVOTDATA("合計 / " &amp; $B64,【ピボット】事業所収支!$A$3,"年月",N$2,"事業所",$A64)),0)</f>
        <v>0</v>
      </c>
      <c r="O64" s="1889">
        <f>IFERROR(IF(O$2&gt;$G$1,'☆事業所損益管理(H30.9～H31.8)(計画)'!O86,
GETPIVOTDATA("合計 / " &amp; $B64,【ピボット】事業所収支!$A$3,"年月",O$2,"事業所",$A64)),0)</f>
        <v>2700000</v>
      </c>
      <c r="P64" s="1889">
        <f>IFERROR(IF(P$2&gt;$G$1,'☆事業所損益管理(H30.9～H31.8)(計画)'!P86,
GETPIVOTDATA("合計 / " &amp; $B64,【ピボット】事業所収支!$A$3,"年月",P$2,"事業所",$A64)),0)</f>
        <v>2700000</v>
      </c>
      <c r="Q64" s="1890">
        <f>IFERROR(IF(Q$2&gt;$G$1,'☆事業所損益管理(H30.9～H31.8)(計画)'!Q86,
GETPIVOTDATA("合計 / " &amp; $B64,【ピボット】事業所収支!$A$3,"年月",Q$2,"事業所",$A64)),0)</f>
        <v>2700000</v>
      </c>
      <c r="R64" s="1842">
        <f t="shared" ca="1" si="15"/>
        <v>0</v>
      </c>
      <c r="S64" s="1842">
        <f t="shared" ca="1" si="20"/>
        <v>0</v>
      </c>
      <c r="T64" s="538">
        <f t="shared" si="21"/>
        <v>8100000</v>
      </c>
      <c r="U64" s="1827">
        <f t="shared" ca="1" si="22"/>
        <v>0</v>
      </c>
      <c r="V64" s="2040">
        <f ca="1">IF(W64=0,1,IF(W64&gt;=1,1,IF(W64&lt;0.9,-1,0)))</f>
        <v>1</v>
      </c>
      <c r="W64" s="1839">
        <f ca="1">IF(T64&lt;0,ROUND((U64-T64)/ABS(T64),3),IF(T64=0,0,ROUND(U64/T64,3)))</f>
        <v>0</v>
      </c>
    </row>
    <row r="65" spans="1:23" s="1122" customFormat="1" ht="14.25" customHeight="1" outlineLevel="1" thickBot="1" x14ac:dyDescent="0.2">
      <c r="A65" s="1483" t="s">
        <v>1300</v>
      </c>
      <c r="B65" s="1121" t="str">
        <f>E65</f>
        <v>人件費</v>
      </c>
      <c r="C65" s="2222"/>
      <c r="D65" s="2219"/>
      <c r="E65" s="1821" t="s">
        <v>15</v>
      </c>
      <c r="F65" s="1813">
        <f>IFERROR(IF(F$2&gt;$G$1,'☆事業所損益管理(H30.9～H31.8)(計画)'!F87,
GETPIVOTDATA("合計 / " &amp; $B65,【ピボット】事業所収支!$A$3,"年月",F$2,"事業所",$A65)),0)</f>
        <v>0</v>
      </c>
      <c r="G65" s="1814">
        <f>IFERROR(IF(G$2&gt;$G$1,'☆事業所損益管理(H30.9～H31.8)(計画)'!G87,
GETPIVOTDATA("合計 / " &amp; $B65,【ピボット】事業所収支!$A$3,"年月",G$2,"事業所",$A65)),0)</f>
        <v>0</v>
      </c>
      <c r="H65" s="1814">
        <f>IFERROR(IF(H$2&gt;$G$1,'☆事業所損益管理(H30.9～H31.8)(計画)'!H87,
GETPIVOTDATA("合計 / " &amp; $B65,【ピボット】事業所収支!$A$3,"年月",H$2,"事業所",$A65)),0)</f>
        <v>0</v>
      </c>
      <c r="I65" s="1814">
        <f>IFERROR(IF(I$2&gt;$G$1,'☆事業所損益管理(H30.9～H31.8)(計画)'!I87,
GETPIVOTDATA("合計 / " &amp; $B65,【ピボット】事業所収支!$A$3,"年月",I$2,"事業所",$A65)),0)</f>
        <v>0</v>
      </c>
      <c r="J65" s="1814">
        <f>IFERROR(IF(J$2&gt;$G$1,'☆事業所損益管理(H30.9～H31.8)(計画)'!J87,
GETPIVOTDATA("合計 / " &amp; $B65,【ピボット】事業所収支!$A$3,"年月",J$2,"事業所",$A65)),0)</f>
        <v>0</v>
      </c>
      <c r="K65" s="1814">
        <f>IFERROR(IF(K$2&gt;$G$1,'☆事業所損益管理(H30.9～H31.8)(計画)'!K87,
GETPIVOTDATA("合計 / " &amp; $B65,【ピボット】事業所収支!$A$3,"年月",K$2,"事業所",$A65)),0)</f>
        <v>0</v>
      </c>
      <c r="L65" s="1814">
        <f>IFERROR(IF(L$2&gt;$G$1,'☆事業所損益管理(H30.9～H31.8)(計画)'!L87,
GETPIVOTDATA("合計 / " &amp; $B65,【ピボット】事業所収支!$A$3,"年月",L$2,"事業所",$A65)),0)</f>
        <v>0</v>
      </c>
      <c r="M65" s="1814">
        <f>IFERROR(IF(M$2&gt;$G$1,'☆事業所損益管理(H30.9～H31.8)(計画)'!M87,
GETPIVOTDATA("合計 / " &amp; $B65,【ピボット】事業所収支!$A$3,"年月",M$2,"事業所",$A65)),0)</f>
        <v>0</v>
      </c>
      <c r="N65" s="1891">
        <f>IFERROR(IF(N$2&gt;$G$1,'☆事業所損益管理(H30.9～H31.8)(計画)'!N87,
GETPIVOTDATA("合計 / " &amp; $B65,【ピボット】事業所収支!$A$3,"年月",N$2,"事業所",$A65)),0)</f>
        <v>0</v>
      </c>
      <c r="O65" s="1891">
        <f>IFERROR(IF(O$2&gt;$G$1,'☆事業所損益管理(H30.9～H31.8)(計画)'!O87,
GETPIVOTDATA("合計 / " &amp; $B65,【ピボット】事業所収支!$A$3,"年月",O$2,"事業所",$A65)),0)</f>
        <v>500000</v>
      </c>
      <c r="P65" s="1891">
        <f>IFERROR(IF(P$2&gt;$G$1,'☆事業所損益管理(H30.9～H31.8)(計画)'!P87,
GETPIVOTDATA("合計 / " &amp; $B65,【ピボット】事業所収支!$A$3,"年月",P$2,"事業所",$A65)),0)</f>
        <v>500000</v>
      </c>
      <c r="Q65" s="1892">
        <f>IFERROR(IF(Q$2&gt;$G$1,'☆事業所損益管理(H30.9～H31.8)(計画)'!Q87,
GETPIVOTDATA("合計 / " &amp; $B65,【ピボット】事業所収支!$A$3,"年月",Q$2,"事業所",$A65)),0)</f>
        <v>500000</v>
      </c>
      <c r="R65" s="1843">
        <f t="shared" ca="1" si="15"/>
        <v>0</v>
      </c>
      <c r="S65" s="1843">
        <f t="shared" ca="1" si="20"/>
        <v>0</v>
      </c>
      <c r="T65" s="539">
        <f t="shared" si="21"/>
        <v>1500000</v>
      </c>
      <c r="U65" s="1825">
        <f t="shared" ca="1" si="22"/>
        <v>0</v>
      </c>
      <c r="V65" s="2041">
        <f ca="1">IF(W65=0,1,IF(W65&lt;=1,1,IF(W65&gt;1.1,-1,0)))</f>
        <v>1</v>
      </c>
      <c r="W65" s="1840">
        <f ca="1">IF(T65&lt;0,ROUND((U65-T65)/ABS(T65),3),IF(T65=0,0,ROUND(U65/T65,3)))</f>
        <v>0</v>
      </c>
    </row>
    <row r="66" spans="1:23" s="1122" customFormat="1" ht="14.25" customHeight="1" outlineLevel="1" thickBot="1" x14ac:dyDescent="0.2">
      <c r="A66" s="1483" t="s">
        <v>1300</v>
      </c>
      <c r="B66" s="1121" t="str">
        <f>E66</f>
        <v>広告経費</v>
      </c>
      <c r="C66" s="2222"/>
      <c r="D66" s="2219"/>
      <c r="E66" s="1821" t="s">
        <v>447</v>
      </c>
      <c r="F66" s="1813">
        <f>IFERROR(IF(F$2&gt;$G$1,'☆事業所損益管理(H30.9～H31.8)(計画)'!F88,
GETPIVOTDATA("合計 / " &amp; $B66,【ピボット】事業所収支!$A$3,"年月",F$2,"事業所",$A66)),0)</f>
        <v>0</v>
      </c>
      <c r="G66" s="1814">
        <f>IFERROR(IF(G$2&gt;$G$1,'☆事業所損益管理(H30.9～H31.8)(計画)'!G88,
GETPIVOTDATA("合計 / " &amp; $B66,【ピボット】事業所収支!$A$3,"年月",G$2,"事業所",$A66)),0)</f>
        <v>0</v>
      </c>
      <c r="H66" s="1814">
        <f>IFERROR(IF(H$2&gt;$G$1,'☆事業所損益管理(H30.9～H31.8)(計画)'!H88,
GETPIVOTDATA("合計 / " &amp; $B66,【ピボット】事業所収支!$A$3,"年月",H$2,"事業所",$A66)),0)</f>
        <v>0</v>
      </c>
      <c r="I66" s="1814">
        <f>IFERROR(IF(I$2&gt;$G$1,'☆事業所損益管理(H30.9～H31.8)(計画)'!I88,
GETPIVOTDATA("合計 / " &amp; $B66,【ピボット】事業所収支!$A$3,"年月",I$2,"事業所",$A66)),0)</f>
        <v>0</v>
      </c>
      <c r="J66" s="1814">
        <f>IFERROR(IF(J$2&gt;$G$1,'☆事業所損益管理(H30.9～H31.8)(計画)'!J88,
GETPIVOTDATA("合計 / " &amp; $B66,【ピボット】事業所収支!$A$3,"年月",J$2,"事業所",$A66)),0)</f>
        <v>0</v>
      </c>
      <c r="K66" s="1814">
        <f>IFERROR(IF(K$2&gt;$G$1,'☆事業所損益管理(H30.9～H31.8)(計画)'!K88,
GETPIVOTDATA("合計 / " &amp; $B66,【ピボット】事業所収支!$A$3,"年月",K$2,"事業所",$A66)),0)</f>
        <v>0</v>
      </c>
      <c r="L66" s="1814">
        <f>IFERROR(IF(L$2&gt;$G$1,'☆事業所損益管理(H30.9～H31.8)(計画)'!L88,
GETPIVOTDATA("合計 / " &amp; $B66,【ピボット】事業所収支!$A$3,"年月",L$2,"事業所",$A66)),0)</f>
        <v>0</v>
      </c>
      <c r="M66" s="1814">
        <f>IFERROR(IF(M$2&gt;$G$1,'☆事業所損益管理(H30.9～H31.8)(計画)'!M88,
GETPIVOTDATA("合計 / " &amp; $B66,【ピボット】事業所収支!$A$3,"年月",M$2,"事業所",$A66)),0)</f>
        <v>0</v>
      </c>
      <c r="N66" s="1891">
        <f>IFERROR(IF(N$2&gt;$G$1,'☆事業所損益管理(H30.9～H31.8)(計画)'!N88,
GETPIVOTDATA("合計 / " &amp; $B66,【ピボット】事業所収支!$A$3,"年月",N$2,"事業所",$A66)),0)</f>
        <v>30000</v>
      </c>
      <c r="O66" s="1891">
        <f>IFERROR(IF(O$2&gt;$G$1,'☆事業所損益管理(H30.9～H31.8)(計画)'!O88,
GETPIVOTDATA("合計 / " &amp; $B66,【ピボット】事業所収支!$A$3,"年月",O$2,"事業所",$A66)),0)</f>
        <v>0</v>
      </c>
      <c r="P66" s="1891">
        <f>IFERROR(IF(P$2&gt;$G$1,'☆事業所損益管理(H30.9～H31.8)(計画)'!P88,
GETPIVOTDATA("合計 / " &amp; $B66,【ピボット】事業所収支!$A$3,"年月",P$2,"事業所",$A66)),0)</f>
        <v>30000</v>
      </c>
      <c r="Q66" s="1892">
        <f>IFERROR(IF(Q$2&gt;$G$1,'☆事業所損益管理(H30.9～H31.8)(計画)'!Q88,
GETPIVOTDATA("合計 / " &amp; $B66,【ピボット】事業所収支!$A$3,"年月",Q$2,"事業所",$A66)),0)</f>
        <v>0</v>
      </c>
      <c r="R66" s="1843">
        <f t="shared" ca="1" si="15"/>
        <v>0</v>
      </c>
      <c r="S66" s="1843">
        <f t="shared" ca="1" si="20"/>
        <v>0</v>
      </c>
      <c r="T66" s="539">
        <f t="shared" si="21"/>
        <v>60000</v>
      </c>
      <c r="U66" s="1825">
        <f t="shared" ca="1" si="22"/>
        <v>0</v>
      </c>
      <c r="V66" s="2041">
        <f ca="1">IF(W66=0,1,IF(W66&lt;=1,1,IF(W66&gt;1.1,-1,0)))</f>
        <v>1</v>
      </c>
      <c r="W66" s="1840">
        <f ca="1">IF(T66&lt;0,ROUND((U66-T66)/ABS(T66),3),IF(T66=0,0,ROUND(U66/T66,3)))</f>
        <v>0</v>
      </c>
    </row>
    <row r="67" spans="1:23" s="1122" customFormat="1" ht="14.25" customHeight="1" outlineLevel="1" thickBot="1" x14ac:dyDescent="0.2">
      <c r="A67" s="1483" t="s">
        <v>1300</v>
      </c>
      <c r="B67" s="1790" t="s">
        <v>1230</v>
      </c>
      <c r="C67" s="2222"/>
      <c r="D67" s="2219"/>
      <c r="E67" s="1821" t="s">
        <v>35</v>
      </c>
      <c r="F67" s="1813">
        <f>IFERROR(IF(F$2&gt;$G$1,'☆事業所損益管理(H30.9～H31.8)(計画)'!F89,
GETPIVOTDATA("合計 / " &amp; $B67,【ピボット】事業所収支!$A$3,"年月",F$2,"事業所",$A67)),0)</f>
        <v>0</v>
      </c>
      <c r="G67" s="1814">
        <f>IFERROR(IF(G$2&gt;$G$1,'☆事業所損益管理(H30.9～H31.8)(計画)'!G89,
GETPIVOTDATA("合計 / " &amp; $B67,【ピボット】事業所収支!$A$3,"年月",G$2,"事業所",$A67)),0)</f>
        <v>0</v>
      </c>
      <c r="H67" s="1814">
        <f>IFERROR(IF(H$2&gt;$G$1,'☆事業所損益管理(H30.9～H31.8)(計画)'!H89,
GETPIVOTDATA("合計 / " &amp; $B67,【ピボット】事業所収支!$A$3,"年月",H$2,"事業所",$A67)),0)</f>
        <v>0</v>
      </c>
      <c r="I67" s="1814">
        <f>IFERROR(IF(I$2&gt;$G$1,'☆事業所損益管理(H30.9～H31.8)(計画)'!I89,
GETPIVOTDATA("合計 / " &amp; $B67,【ピボット】事業所収支!$A$3,"年月",I$2,"事業所",$A67)),0)</f>
        <v>0</v>
      </c>
      <c r="J67" s="1814">
        <f>IFERROR(IF(J$2&gt;$G$1,'☆事業所損益管理(H30.9～H31.8)(計画)'!J89,
GETPIVOTDATA("合計 / " &amp; $B67,【ピボット】事業所収支!$A$3,"年月",J$2,"事業所",$A67)),0)</f>
        <v>0</v>
      </c>
      <c r="K67" s="1814">
        <f>IFERROR(IF(K$2&gt;$G$1,'☆事業所損益管理(H30.9～H31.8)(計画)'!K89,
GETPIVOTDATA("合計 / " &amp; $B67,【ピボット】事業所収支!$A$3,"年月",K$2,"事業所",$A67)),0)</f>
        <v>0</v>
      </c>
      <c r="L67" s="1814">
        <f>IFERROR(IF(L$2&gt;$G$1,'☆事業所損益管理(H30.9～H31.8)(計画)'!L89,
GETPIVOTDATA("合計 / " &amp; $B67,【ピボット】事業所収支!$A$3,"年月",L$2,"事業所",$A67)),0)</f>
        <v>0</v>
      </c>
      <c r="M67" s="1814">
        <f>IFERROR(IF(M$2&gt;$G$1,'☆事業所損益管理(H30.9～H31.8)(計画)'!M89,
GETPIVOTDATA("合計 / " &amp; $B67,【ピボット】事業所収支!$A$3,"年月",M$2,"事業所",$A67)),0)</f>
        <v>0</v>
      </c>
      <c r="N67" s="1891">
        <f>IFERROR(IF(N$2&gt;$G$1,'☆事業所損益管理(H30.9～H31.8)(計画)'!N89,
GETPIVOTDATA("合計 / " &amp; $B67,【ピボット】事業所収支!$A$3,"年月",N$2,"事業所",$A67)),0)</f>
        <v>283000</v>
      </c>
      <c r="O67" s="1891">
        <f>IFERROR(IF(O$2&gt;$G$1,'☆事業所損益管理(H30.9～H31.8)(計画)'!O89,
GETPIVOTDATA("合計 / " &amp; $B67,【ピボット】事業所収支!$A$3,"年月",O$2,"事業所",$A67)),0)</f>
        <v>947000</v>
      </c>
      <c r="P67" s="1891">
        <f>IFERROR(IF(P$2&gt;$G$1,'☆事業所損益管理(H30.9～H31.8)(計画)'!P89,
GETPIVOTDATA("合計 / " &amp; $B67,【ピボット】事業所収支!$A$3,"年月",P$2,"事業所",$A67)),0)</f>
        <v>802000</v>
      </c>
      <c r="Q67" s="1892">
        <f>IFERROR(IF(Q$2&gt;$G$1,'☆事業所損益管理(H30.9～H31.8)(計画)'!Q89,
GETPIVOTDATA("合計 / " &amp; $B67,【ピボット】事業所収支!$A$3,"年月",Q$2,"事業所",$A67)),0)</f>
        <v>813000</v>
      </c>
      <c r="R67" s="1843">
        <f t="shared" ca="1" si="15"/>
        <v>0</v>
      </c>
      <c r="S67" s="1843">
        <f t="shared" ca="1" si="20"/>
        <v>0</v>
      </c>
      <c r="T67" s="539">
        <f t="shared" si="21"/>
        <v>2845000</v>
      </c>
      <c r="U67" s="1825">
        <f t="shared" ca="1" si="22"/>
        <v>0</v>
      </c>
      <c r="V67" s="2041">
        <f ca="1">IF(W67=0,1,IF(W67&lt;=1,1,IF(W67&gt;1.1,-1,0)))</f>
        <v>1</v>
      </c>
      <c r="W67" s="1840">
        <f ca="1">IF(T67&lt;0,ROUND((U67-T67)/ABS(T67),3),IF(T67=0,0,ROUND(U67/T67,3)))</f>
        <v>0</v>
      </c>
    </row>
    <row r="68" spans="1:23" s="1122" customFormat="1" ht="14.25" customHeight="1" outlineLevel="1" thickBot="1" x14ac:dyDescent="0.2">
      <c r="A68" s="1483" t="s">
        <v>1300</v>
      </c>
      <c r="B68" s="1121"/>
      <c r="C68" s="2222"/>
      <c r="D68" s="2219"/>
      <c r="E68" s="1821" t="s">
        <v>1434</v>
      </c>
      <c r="F68" s="1823">
        <f>F64-(F65+F67)</f>
        <v>0</v>
      </c>
      <c r="G68" s="1824">
        <f>G64-(G65+G67)</f>
        <v>0</v>
      </c>
      <c r="H68" s="1824">
        <f>H64-(H65+H67)</f>
        <v>0</v>
      </c>
      <c r="I68" s="1824">
        <f t="shared" ref="I68:Q68" si="25">I64-(I65+I67)</f>
        <v>0</v>
      </c>
      <c r="J68" s="1824">
        <f t="shared" si="25"/>
        <v>0</v>
      </c>
      <c r="K68" s="1824">
        <f t="shared" si="25"/>
        <v>0</v>
      </c>
      <c r="L68" s="1824">
        <f t="shared" si="25"/>
        <v>0</v>
      </c>
      <c r="M68" s="1824">
        <f t="shared" si="25"/>
        <v>0</v>
      </c>
      <c r="N68" s="1893">
        <f t="shared" si="25"/>
        <v>-283000</v>
      </c>
      <c r="O68" s="1893">
        <f t="shared" si="25"/>
        <v>1253000</v>
      </c>
      <c r="P68" s="1893">
        <f t="shared" si="25"/>
        <v>1398000</v>
      </c>
      <c r="Q68" s="1894">
        <f t="shared" si="25"/>
        <v>1387000</v>
      </c>
      <c r="R68" s="1843">
        <f t="shared" ca="1" si="15"/>
        <v>0</v>
      </c>
      <c r="S68" s="1843">
        <f t="shared" ca="1" si="20"/>
        <v>0</v>
      </c>
      <c r="T68" s="539">
        <f t="shared" si="21"/>
        <v>3755000</v>
      </c>
      <c r="U68" s="1825">
        <f t="shared" ca="1" si="22"/>
        <v>0</v>
      </c>
      <c r="V68" s="2043">
        <f ca="1">IFERROR(IF(W68&gt;=0,1,IF(W68&lt;-0.1,-1,0)),1)</f>
        <v>-1</v>
      </c>
      <c r="W68" s="1840">
        <f ca="1">IF(T68=0,1-(U65+U67)/U64,IF(T68=U68,0,ROUND((U68-T68)/ABS(T68),3)))</f>
        <v>-1</v>
      </c>
    </row>
    <row r="69" spans="1:23" s="1122" customFormat="1" ht="14.25" customHeight="1" thickBot="1" x14ac:dyDescent="0.2">
      <c r="A69" s="1483" t="s">
        <v>1429</v>
      </c>
      <c r="B69" s="1121" t="str">
        <f>E69</f>
        <v>売上</v>
      </c>
      <c r="C69" s="2220" t="s">
        <v>337</v>
      </c>
      <c r="D69" s="2218" t="s">
        <v>1441</v>
      </c>
      <c r="E69" s="1820" t="s">
        <v>26</v>
      </c>
      <c r="F69" s="1811">
        <f>IFERROR(IF(F$2&gt;$G$1,'☆事業所損益管理(H30.9～H31.8)(計画)'!F93,
GETPIVOTDATA("合計 / " &amp; $B69,【ピボット】事業所収支!$A$3,"年月",F$2,"事業所",$A69)),0)</f>
        <v>1128956</v>
      </c>
      <c r="G69" s="1812">
        <f>IFERROR(IF(G$2&gt;$G$1,'☆事業所損益管理(H30.9～H31.8)(計画)'!G93,
GETPIVOTDATA("合計 / " &amp; $B69,【ピボット】事業所収支!$A$3,"年月",G$2,"事業所",$A69)),0)</f>
        <v>0</v>
      </c>
      <c r="H69" s="1812">
        <f>IFERROR(IF(H$2&gt;$G$1,'☆事業所損益管理(H30.9～H31.8)(計画)'!H93,
GETPIVOTDATA("合計 / " &amp; $B69,【ピボット】事業所収支!$A$3,"年月",H$2,"事業所",$A69)),0)</f>
        <v>0</v>
      </c>
      <c r="I69" s="1812">
        <f>IFERROR(IF(I$2&gt;$G$1,'☆事業所損益管理(H30.9～H31.8)(計画)'!I93,
GETPIVOTDATA("合計 / " &amp; $B69,【ピボット】事業所収支!$A$3,"年月",I$2,"事業所",$A69)),0)</f>
        <v>0</v>
      </c>
      <c r="J69" s="1812">
        <f>IFERROR(IF(J$2&gt;$G$1,'☆事業所損益管理(H30.9～H31.8)(計画)'!J93,
GETPIVOTDATA("合計 / " &amp; $B69,【ピボット】事業所収支!$A$3,"年月",J$2,"事業所",$A69)),0)</f>
        <v>0</v>
      </c>
      <c r="K69" s="1812">
        <f>IFERROR(IF(K$2&gt;$G$1,'☆事業所損益管理(H30.9～H31.8)(計画)'!K93,
GETPIVOTDATA("合計 / " &amp; $B69,【ピボット】事業所収支!$A$3,"年月",K$2,"事業所",$A69)),0)</f>
        <v>0</v>
      </c>
      <c r="L69" s="1812">
        <f>IFERROR(IF(L$2&gt;$G$1,'☆事業所損益管理(H30.9～H31.8)(計画)'!L93,
GETPIVOTDATA("合計 / " &amp; $B69,【ピボット】事業所収支!$A$3,"年月",L$2,"事業所",$A69)),0)</f>
        <v>0</v>
      </c>
      <c r="M69" s="1812">
        <f>IFERROR(IF(M$2&gt;$G$1,'☆事業所損益管理(H30.9～H31.8)(計画)'!M93,
GETPIVOTDATA("合計 / " &amp; $B69,【ピボット】事業所収支!$A$3,"年月",M$2,"事業所",$A69)),0)</f>
        <v>0</v>
      </c>
      <c r="N69" s="1889">
        <f>IFERROR(IF(N$2&gt;$G$1,'☆事業所損益管理(H30.9～H31.8)(計画)'!N93,
GETPIVOTDATA("合計 / " &amp; $B69,【ピボット】事業所収支!$A$3,"年月",N$2,"事業所",$A69)),0)</f>
        <v>0</v>
      </c>
      <c r="O69" s="1889">
        <f>IFERROR(IF(O$2&gt;$G$1,'☆事業所損益管理(H30.9～H31.8)(計画)'!O93,
GETPIVOTDATA("合計 / " &amp; $B69,【ピボット】事業所収支!$A$3,"年月",O$2,"事業所",$A69)),0)</f>
        <v>0</v>
      </c>
      <c r="P69" s="1889">
        <f>IFERROR(IF(P$2&gt;$G$1,'☆事業所損益管理(H30.9～H31.8)(計画)'!P93,
GETPIVOTDATA("合計 / " &amp; $B69,【ピボット】事業所収支!$A$3,"年月",P$2,"事業所",$A69)),0)</f>
        <v>0</v>
      </c>
      <c r="Q69" s="1890">
        <f>IFERROR(IF(Q$2&gt;$G$1,'☆事業所損益管理(H30.9～H31.8)(計画)'!Q93,
GETPIVOTDATA("合計 / " &amp; $B69,【ピボット】事業所収支!$A$3,"年月",Q$2,"事業所",$A69)),0)</f>
        <v>0</v>
      </c>
      <c r="R69" s="1842">
        <f t="shared" ca="1" si="15"/>
        <v>1128956</v>
      </c>
      <c r="S69" s="1842">
        <f t="shared" ca="1" si="20"/>
        <v>141119.5</v>
      </c>
      <c r="T69" s="538">
        <f t="shared" ref="T69:T78" si="26">SUM(F69:Q69)</f>
        <v>1128956</v>
      </c>
      <c r="U69" s="1827">
        <f t="shared" ca="1" si="22"/>
        <v>1693434</v>
      </c>
      <c r="V69" s="2040">
        <f ca="1">IF(W69=0,1,IF(W69&gt;=1,1,IF(W69&lt;0.9,-1,0)))</f>
        <v>1</v>
      </c>
      <c r="W69" s="1839">
        <f ca="1">IF(T69&lt;0,ROUND((U69-T69)/ABS(T69),3),IF(T69=0,0,ROUND(U69/T69,3)))</f>
        <v>1.5</v>
      </c>
    </row>
    <row r="70" spans="1:23" s="1122" customFormat="1" ht="14.25" customHeight="1" thickBot="1" x14ac:dyDescent="0.2">
      <c r="A70" s="1483" t="s">
        <v>1429</v>
      </c>
      <c r="B70" s="1121" t="str">
        <f>E70</f>
        <v>人件費</v>
      </c>
      <c r="C70" s="2221"/>
      <c r="D70" s="2219"/>
      <c r="E70" s="1821" t="s">
        <v>15</v>
      </c>
      <c r="F70" s="1813">
        <f>IFERROR(IF(F$2&gt;$G$1,'☆事業所損益管理(H30.9～H31.8)(計画)'!F94,
GETPIVOTDATA("合計 / " &amp; $B70,【ピボット】事業所収支!$A$3,"年月",F$2,"事業所",$A70)),0)</f>
        <v>685027</v>
      </c>
      <c r="G70" s="1814">
        <f>IFERROR(IF(G$2&gt;$G$1,'☆事業所損益管理(H30.9～H31.8)(計画)'!G94,
GETPIVOTDATA("合計 / " &amp; $B70,【ピボット】事業所収支!$A$3,"年月",G$2,"事業所",$A70)),0)</f>
        <v>0</v>
      </c>
      <c r="H70" s="1814">
        <f>IFERROR(IF(H$2&gt;$G$1,'☆事業所損益管理(H30.9～H31.8)(計画)'!H94,
GETPIVOTDATA("合計 / " &amp; $B70,【ピボット】事業所収支!$A$3,"年月",H$2,"事業所",$A70)),0)</f>
        <v>0</v>
      </c>
      <c r="I70" s="1814">
        <f>IFERROR(IF(I$2&gt;$G$1,'☆事業所損益管理(H30.9～H31.8)(計画)'!I94,
GETPIVOTDATA("合計 / " &amp; $B70,【ピボット】事業所収支!$A$3,"年月",I$2,"事業所",$A70)),0)</f>
        <v>0</v>
      </c>
      <c r="J70" s="1814">
        <f>IFERROR(IF(J$2&gt;$G$1,'☆事業所損益管理(H30.9～H31.8)(計画)'!J94,
GETPIVOTDATA("合計 / " &amp; $B70,【ピボット】事業所収支!$A$3,"年月",J$2,"事業所",$A70)),0)</f>
        <v>0</v>
      </c>
      <c r="K70" s="1814">
        <f>IFERROR(IF(K$2&gt;$G$1,'☆事業所損益管理(H30.9～H31.8)(計画)'!K94,
GETPIVOTDATA("合計 / " &amp; $B70,【ピボット】事業所収支!$A$3,"年月",K$2,"事業所",$A70)),0)</f>
        <v>0</v>
      </c>
      <c r="L70" s="1814">
        <f>IFERROR(IF(L$2&gt;$G$1,'☆事業所損益管理(H30.9～H31.8)(計画)'!L94,
GETPIVOTDATA("合計 / " &amp; $B70,【ピボット】事業所収支!$A$3,"年月",L$2,"事業所",$A70)),0)</f>
        <v>0</v>
      </c>
      <c r="M70" s="1814">
        <f>IFERROR(IF(M$2&gt;$G$1,'☆事業所損益管理(H30.9～H31.8)(計画)'!M94,
GETPIVOTDATA("合計 / " &amp; $B70,【ピボット】事業所収支!$A$3,"年月",M$2,"事業所",$A70)),0)</f>
        <v>0</v>
      </c>
      <c r="N70" s="1891">
        <f>IFERROR(IF(N$2&gt;$G$1,'☆事業所損益管理(H30.9～H31.8)(計画)'!N94,
GETPIVOTDATA("合計 / " &amp; $B70,【ピボット】事業所収支!$A$3,"年月",N$2,"事業所",$A70)),0)</f>
        <v>0</v>
      </c>
      <c r="O70" s="1891">
        <f>IFERROR(IF(O$2&gt;$G$1,'☆事業所損益管理(H30.9～H31.8)(計画)'!O94,
GETPIVOTDATA("合計 / " &amp; $B70,【ピボット】事業所収支!$A$3,"年月",O$2,"事業所",$A70)),0)</f>
        <v>0</v>
      </c>
      <c r="P70" s="1891">
        <f>IFERROR(IF(P$2&gt;$G$1,'☆事業所損益管理(H30.9～H31.8)(計画)'!P94,
GETPIVOTDATA("合計 / " &amp; $B70,【ピボット】事業所収支!$A$3,"年月",P$2,"事業所",$A70)),0)</f>
        <v>0</v>
      </c>
      <c r="Q70" s="1892">
        <f>IFERROR(IF(Q$2&gt;$G$1,'☆事業所損益管理(H30.9～H31.8)(計画)'!Q94,
GETPIVOTDATA("合計 / " &amp; $B70,【ピボット】事業所収支!$A$3,"年月",Q$2,"事業所",$A70)),0)</f>
        <v>0</v>
      </c>
      <c r="R70" s="1843">
        <f t="shared" ca="1" si="15"/>
        <v>685027</v>
      </c>
      <c r="S70" s="1843">
        <f t="shared" ca="1" si="20"/>
        <v>85628.375</v>
      </c>
      <c r="T70" s="539">
        <f t="shared" si="26"/>
        <v>685027</v>
      </c>
      <c r="U70" s="1825">
        <f t="shared" ca="1" si="22"/>
        <v>1027540.5</v>
      </c>
      <c r="V70" s="2041">
        <f ca="1">IF(W70=0,1,IF(W70&lt;=1,1,IF(W70&gt;1.1,-1,0)))</f>
        <v>-1</v>
      </c>
      <c r="W70" s="1840">
        <f ca="1">IF(T70&lt;0,ROUND((U70-T70)/ABS(T70),3),IF(T70=0,0,ROUND(U70/T70,3)))</f>
        <v>1.5</v>
      </c>
    </row>
    <row r="71" spans="1:23" s="1122" customFormat="1" ht="14.25" customHeight="1" thickBot="1" x14ac:dyDescent="0.2">
      <c r="A71" s="1483" t="s">
        <v>1429</v>
      </c>
      <c r="B71" s="1121" t="str">
        <f>E71</f>
        <v>広告経費</v>
      </c>
      <c r="C71" s="2221"/>
      <c r="D71" s="2219"/>
      <c r="E71" s="1821" t="s">
        <v>447</v>
      </c>
      <c r="F71" s="1813">
        <f>IFERROR(IF(F$2&gt;$G$1,'☆事業所損益管理(H30.9～H31.8)(計画)'!F95,
GETPIVOTDATA("合計 / " &amp; $B71,【ピボット】事業所収支!$A$3,"年月",F$2,"事業所",$A71)),0)</f>
        <v>0</v>
      </c>
      <c r="G71" s="1814">
        <f>IFERROR(IF(G$2&gt;$G$1,'☆事業所損益管理(H30.9～H31.8)(計画)'!G95,
GETPIVOTDATA("合計 / " &amp; $B71,【ピボット】事業所収支!$A$3,"年月",G$2,"事業所",$A71)),0)</f>
        <v>0</v>
      </c>
      <c r="H71" s="1814">
        <f>IFERROR(IF(H$2&gt;$G$1,'☆事業所損益管理(H30.9～H31.8)(計画)'!H95,
GETPIVOTDATA("合計 / " &amp; $B71,【ピボット】事業所収支!$A$3,"年月",H$2,"事業所",$A71)),0)</f>
        <v>0</v>
      </c>
      <c r="I71" s="1814">
        <f>IFERROR(IF(I$2&gt;$G$1,'☆事業所損益管理(H30.9～H31.8)(計画)'!I95,
GETPIVOTDATA("合計 / " &amp; $B71,【ピボット】事業所収支!$A$3,"年月",I$2,"事業所",$A71)),0)</f>
        <v>0</v>
      </c>
      <c r="J71" s="1814">
        <f>IFERROR(IF(J$2&gt;$G$1,'☆事業所損益管理(H30.9～H31.8)(計画)'!J95,
GETPIVOTDATA("合計 / " &amp; $B71,【ピボット】事業所収支!$A$3,"年月",J$2,"事業所",$A71)),0)</f>
        <v>0</v>
      </c>
      <c r="K71" s="1814">
        <f>IFERROR(IF(K$2&gt;$G$1,'☆事業所損益管理(H30.9～H31.8)(計画)'!K95,
GETPIVOTDATA("合計 / " &amp; $B71,【ピボット】事業所収支!$A$3,"年月",K$2,"事業所",$A71)),0)</f>
        <v>0</v>
      </c>
      <c r="L71" s="1814">
        <f>IFERROR(IF(L$2&gt;$G$1,'☆事業所損益管理(H30.9～H31.8)(計画)'!L95,
GETPIVOTDATA("合計 / " &amp; $B71,【ピボット】事業所収支!$A$3,"年月",L$2,"事業所",$A71)),0)</f>
        <v>0</v>
      </c>
      <c r="M71" s="1814">
        <f>IFERROR(IF(M$2&gt;$G$1,'☆事業所損益管理(H30.9～H31.8)(計画)'!M95,
GETPIVOTDATA("合計 / " &amp; $B71,【ピボット】事業所収支!$A$3,"年月",M$2,"事業所",$A71)),0)</f>
        <v>0</v>
      </c>
      <c r="N71" s="1891">
        <f>IFERROR(IF(N$2&gt;$G$1,'☆事業所損益管理(H30.9～H31.8)(計画)'!N95,
GETPIVOTDATA("合計 / " &amp; $B71,【ピボット】事業所収支!$A$3,"年月",N$2,"事業所",$A71)),0)</f>
        <v>0</v>
      </c>
      <c r="O71" s="1891">
        <f>IFERROR(IF(O$2&gt;$G$1,'☆事業所損益管理(H30.9～H31.8)(計画)'!O95,
GETPIVOTDATA("合計 / " &amp; $B71,【ピボット】事業所収支!$A$3,"年月",O$2,"事業所",$A71)),0)</f>
        <v>0</v>
      </c>
      <c r="P71" s="1891">
        <f>IFERROR(IF(P$2&gt;$G$1,'☆事業所損益管理(H30.9～H31.8)(計画)'!P95,
GETPIVOTDATA("合計 / " &amp; $B71,【ピボット】事業所収支!$A$3,"年月",P$2,"事業所",$A71)),0)</f>
        <v>0</v>
      </c>
      <c r="Q71" s="1892">
        <f>IFERROR(IF(Q$2&gt;$G$1,'☆事業所損益管理(H30.9～H31.8)(計画)'!Q95,
GETPIVOTDATA("合計 / " &amp; $B71,【ピボット】事業所収支!$A$3,"年月",Q$2,"事業所",$A71)),0)</f>
        <v>0</v>
      </c>
      <c r="R71" s="1843">
        <f t="shared" ca="1" si="15"/>
        <v>0</v>
      </c>
      <c r="S71" s="1843">
        <f t="shared" ca="1" si="20"/>
        <v>0</v>
      </c>
      <c r="T71" s="539">
        <f t="shared" si="26"/>
        <v>0</v>
      </c>
      <c r="U71" s="1825">
        <f t="shared" ca="1" si="22"/>
        <v>0</v>
      </c>
      <c r="V71" s="2041">
        <f>IF(W71=0,1,IF(W71&lt;=1,1,IF(W71&gt;1.1,-1,0)))</f>
        <v>1</v>
      </c>
      <c r="W71" s="1840">
        <f>IF(T71&lt;0,ROUND((U71-T71)/ABS(T71),3),IF(T71=0,0,ROUND(U71/T71,3)))</f>
        <v>0</v>
      </c>
    </row>
    <row r="72" spans="1:23" s="1122" customFormat="1" ht="14.25" customHeight="1" thickBot="1" x14ac:dyDescent="0.2">
      <c r="A72" s="1483" t="s">
        <v>1429</v>
      </c>
      <c r="B72" s="1790" t="s">
        <v>1230</v>
      </c>
      <c r="C72" s="2221"/>
      <c r="D72" s="2219"/>
      <c r="E72" s="1821" t="s">
        <v>35</v>
      </c>
      <c r="F72" s="1813">
        <f>IFERROR(IF(F$2&gt;$G$1,'☆事業所損益管理(H30.9～H31.8)(計画)'!F96,
GETPIVOTDATA("合計 / " &amp; $B72,【ピボット】事業所収支!$A$3,"年月",F$2,"事業所",$A72)),0)</f>
        <v>540758</v>
      </c>
      <c r="G72" s="1814">
        <f>IFERROR(IF(G$2&gt;$G$1,'☆事業所損益管理(H30.9～H31.8)(計画)'!G96,
GETPIVOTDATA("合計 / " &amp; $B72,【ピボット】事業所収支!$A$3,"年月",G$2,"事業所",$A72)),0)</f>
        <v>0</v>
      </c>
      <c r="H72" s="1814">
        <f>IFERROR(IF(H$2&gt;$G$1,'☆事業所損益管理(H30.9～H31.8)(計画)'!H96,
GETPIVOTDATA("合計 / " &amp; $B72,【ピボット】事業所収支!$A$3,"年月",H$2,"事業所",$A72)),0)</f>
        <v>0</v>
      </c>
      <c r="I72" s="1814">
        <f>IFERROR(IF(I$2&gt;$G$1,'☆事業所損益管理(H30.9～H31.8)(計画)'!I96,
GETPIVOTDATA("合計 / " &amp; $B72,【ピボット】事業所収支!$A$3,"年月",I$2,"事業所",$A72)),0)</f>
        <v>0</v>
      </c>
      <c r="J72" s="1814">
        <f>IFERROR(IF(J$2&gt;$G$1,'☆事業所損益管理(H30.9～H31.8)(計画)'!J96,
GETPIVOTDATA("合計 / " &amp; $B72,【ピボット】事業所収支!$A$3,"年月",J$2,"事業所",$A72)),0)</f>
        <v>0</v>
      </c>
      <c r="K72" s="1814">
        <f>IFERROR(IF(K$2&gt;$G$1,'☆事業所損益管理(H30.9～H31.8)(計画)'!K96,
GETPIVOTDATA("合計 / " &amp; $B72,【ピボット】事業所収支!$A$3,"年月",K$2,"事業所",$A72)),0)</f>
        <v>0</v>
      </c>
      <c r="L72" s="1814">
        <f>IFERROR(IF(L$2&gt;$G$1,'☆事業所損益管理(H30.9～H31.8)(計画)'!L96,
GETPIVOTDATA("合計 / " &amp; $B72,【ピボット】事業所収支!$A$3,"年月",L$2,"事業所",$A72)),0)</f>
        <v>0</v>
      </c>
      <c r="M72" s="1814">
        <f>IFERROR(IF(M$2&gt;$G$1,'☆事業所損益管理(H30.9～H31.8)(計画)'!M96,
GETPIVOTDATA("合計 / " &amp; $B72,【ピボット】事業所収支!$A$3,"年月",M$2,"事業所",$A72)),0)</f>
        <v>0</v>
      </c>
      <c r="N72" s="1891">
        <f>IFERROR(IF(N$2&gt;$G$1,'☆事業所損益管理(H30.9～H31.8)(計画)'!N96,
GETPIVOTDATA("合計 / " &amp; $B72,【ピボット】事業所収支!$A$3,"年月",N$2,"事業所",$A72)),0)</f>
        <v>0</v>
      </c>
      <c r="O72" s="1891">
        <f>IFERROR(IF(O$2&gt;$G$1,'☆事業所損益管理(H30.9～H31.8)(計画)'!O96,
GETPIVOTDATA("合計 / " &amp; $B72,【ピボット】事業所収支!$A$3,"年月",O$2,"事業所",$A72)),0)</f>
        <v>0</v>
      </c>
      <c r="P72" s="1891">
        <f>IFERROR(IF(P$2&gt;$G$1,'☆事業所損益管理(H30.9～H31.8)(計画)'!P96,
GETPIVOTDATA("合計 / " &amp; $B72,【ピボット】事業所収支!$A$3,"年月",P$2,"事業所",$A72)),0)</f>
        <v>0</v>
      </c>
      <c r="Q72" s="1892">
        <f>IFERROR(IF(Q$2&gt;$G$1,'☆事業所損益管理(H30.9～H31.8)(計画)'!Q96,
GETPIVOTDATA("合計 / " &amp; $B72,【ピボット】事業所収支!$A$3,"年月",Q$2,"事業所",$A72)),0)</f>
        <v>0</v>
      </c>
      <c r="R72" s="1843">
        <f t="shared" ca="1" si="15"/>
        <v>540758</v>
      </c>
      <c r="S72" s="1843">
        <f t="shared" ca="1" si="20"/>
        <v>67594.75</v>
      </c>
      <c r="T72" s="539">
        <f t="shared" si="26"/>
        <v>540758</v>
      </c>
      <c r="U72" s="1825">
        <f t="shared" ca="1" si="22"/>
        <v>811137</v>
      </c>
      <c r="V72" s="2041">
        <f ca="1">IF(W72=0,1,IF(W72&lt;=1,1,IF(W72&gt;1.1,-1,0)))</f>
        <v>-1</v>
      </c>
      <c r="W72" s="1840">
        <f ca="1">IF(T72&lt;0,ROUND((U72-T72)/ABS(T72),3),IF(T72=0,0,ROUND(U72/T72,3)))</f>
        <v>1.5</v>
      </c>
    </row>
    <row r="73" spans="1:23" s="1122" customFormat="1" ht="14.25" customHeight="1" thickBot="1" x14ac:dyDescent="0.2">
      <c r="A73" s="1483" t="s">
        <v>1429</v>
      </c>
      <c r="B73" s="1121"/>
      <c r="C73" s="2221"/>
      <c r="D73" s="2219"/>
      <c r="E73" s="1821" t="s">
        <v>1434</v>
      </c>
      <c r="F73" s="1823">
        <f>F69-(F70+F72)</f>
        <v>-96829</v>
      </c>
      <c r="G73" s="1824">
        <f>G69-(G70+G72)</f>
        <v>0</v>
      </c>
      <c r="H73" s="1824">
        <f>H69-(H70+H72)</f>
        <v>0</v>
      </c>
      <c r="I73" s="1824">
        <f t="shared" ref="I73:Q73" si="27">I69-(I70+I72)</f>
        <v>0</v>
      </c>
      <c r="J73" s="1824">
        <f t="shared" si="27"/>
        <v>0</v>
      </c>
      <c r="K73" s="1824">
        <f t="shared" si="27"/>
        <v>0</v>
      </c>
      <c r="L73" s="1824">
        <f t="shared" si="27"/>
        <v>0</v>
      </c>
      <c r="M73" s="1824">
        <f t="shared" si="27"/>
        <v>0</v>
      </c>
      <c r="N73" s="1893">
        <f t="shared" si="27"/>
        <v>0</v>
      </c>
      <c r="O73" s="1893">
        <f t="shared" si="27"/>
        <v>0</v>
      </c>
      <c r="P73" s="1893">
        <f t="shared" si="27"/>
        <v>0</v>
      </c>
      <c r="Q73" s="1894">
        <f t="shared" si="27"/>
        <v>0</v>
      </c>
      <c r="R73" s="1843">
        <f t="shared" ca="1" si="15"/>
        <v>-96829</v>
      </c>
      <c r="S73" s="1843">
        <f t="shared" ca="1" si="20"/>
        <v>-12103.625</v>
      </c>
      <c r="T73" s="539">
        <f t="shared" si="26"/>
        <v>-96829</v>
      </c>
      <c r="U73" s="1825">
        <f t="shared" ca="1" si="22"/>
        <v>-145243.5</v>
      </c>
      <c r="V73" s="2043">
        <f ca="1">IFERROR(IF(W73&gt;=0,1,IF(W73&lt;-0.1,-1,0)),1)</f>
        <v>-1</v>
      </c>
      <c r="W73" s="1840">
        <f ca="1">IF(T73=0,1-(U70+U72)/U69,IF(T73=U73,0,ROUND((U73-T73)/ABS(T73),3)))</f>
        <v>-0.5</v>
      </c>
    </row>
    <row r="74" spans="1:23" s="1122" customFormat="1" ht="14.25" customHeight="1" thickBot="1" x14ac:dyDescent="0.2">
      <c r="B74" s="1483" t="s">
        <v>60</v>
      </c>
      <c r="C74" s="2045" t="s">
        <v>1478</v>
      </c>
      <c r="D74" s="2046" t="s">
        <v>1440</v>
      </c>
      <c r="E74" s="2047" t="s">
        <v>1479</v>
      </c>
      <c r="F74" s="1811">
        <f>IFERROR(IF(F$2&gt;$G$1,'☆事業所損益管理(H30.9～H31.8)(計画)'!F100,0),0)</f>
        <v>0</v>
      </c>
      <c r="G74" s="1812">
        <f>IFERROR(IF(G$2&gt;$G$1,'☆事業所損益管理(H30.9～H31.8)(計画)'!G100,0),0)</f>
        <v>0</v>
      </c>
      <c r="H74" s="1812">
        <f>IFERROR(IF(H$2&gt;$G$1,'☆事業所損益管理(H30.9～H31.8)(計画)'!H100,0),0)</f>
        <v>0</v>
      </c>
      <c r="I74" s="1812">
        <f>IFERROR(IF(I$2&gt;$G$1,'☆事業所損益管理(H30.9～H31.8)(計画)'!I100,0),0)</f>
        <v>0</v>
      </c>
      <c r="J74" s="1812">
        <f>IFERROR(IF(J$2&gt;$G$1,'☆事業所損益管理(H30.9～H31.8)(計画)'!J100,0),0)</f>
        <v>0</v>
      </c>
      <c r="K74" s="1812">
        <f>IFERROR(IF(K$2&gt;$G$1,'☆事業所損益管理(H30.9～H31.8)(計画)'!K100,0),0)</f>
        <v>0</v>
      </c>
      <c r="L74" s="1812">
        <f>IFERROR(IF(L$2&gt;$G$1,'☆事業所損益管理(H30.9～H31.8)(計画)'!L100,0),0)</f>
        <v>0</v>
      </c>
      <c r="M74" s="1812">
        <f>IFERROR(IF(M$2&gt;$G$1,'☆事業所損益管理(H30.9～H31.8)(計画)'!M100,0),0)</f>
        <v>0</v>
      </c>
      <c r="N74" s="1889">
        <f>IFERROR(IF(N$2&gt;$G$1,'☆事業所損益管理(H30.9～H31.8)(計画)'!N100,0),0)</f>
        <v>0</v>
      </c>
      <c r="O74" s="1889">
        <f>IFERROR(IF(O$2&gt;$G$1,'☆事業所損益管理(H30.9～H31.8)(計画)'!O100,0),0)</f>
        <v>0</v>
      </c>
      <c r="P74" s="1889">
        <f>IFERROR(IF(P$2&gt;$G$1,'☆事業所損益管理(H30.9～H31.8)(計画)'!P100,0),0)</f>
        <v>0</v>
      </c>
      <c r="Q74" s="1890">
        <f>IFERROR(IF(Q$2&gt;$G$1,'☆事業所損益管理(H30.9～H31.8)(計画)'!Q100,0),0)</f>
        <v>2030000</v>
      </c>
      <c r="R74" s="1846">
        <f t="shared" ca="1" si="15"/>
        <v>0</v>
      </c>
      <c r="S74" s="1846">
        <f t="shared" ca="1" si="20"/>
        <v>0</v>
      </c>
      <c r="T74" s="1837">
        <f t="shared" si="26"/>
        <v>2030000</v>
      </c>
      <c r="U74" s="1834">
        <f t="shared" ca="1" si="22"/>
        <v>0</v>
      </c>
      <c r="V74" s="2048">
        <f ca="1">IF(W74=0,1,IF(W74&lt;=1,1,IF(W74&gt;1.1,-1,0)))</f>
        <v>1</v>
      </c>
      <c r="W74" s="1852">
        <f t="shared" ref="W74:W80" ca="1" si="28">IF(T74&lt;0,ROUND((U74-T74)/ABS(T74),3),IF(T74=0,0,ROUND(U74/T74,3)))</f>
        <v>0</v>
      </c>
    </row>
    <row r="75" spans="1:23" s="1122" customFormat="1" ht="14.25" customHeight="1" x14ac:dyDescent="0.15">
      <c r="C75" s="2214" t="s">
        <v>19</v>
      </c>
      <c r="D75" s="2211" t="s">
        <v>1442</v>
      </c>
      <c r="E75" s="1820" t="s">
        <v>26</v>
      </c>
      <c r="F75" s="1811">
        <f>F3+F9+F14+F19+F24+F29+F34+F39+F44+F49+F54+F59+F64+F69</f>
        <v>37521491</v>
      </c>
      <c r="G75" s="1812">
        <f>G3+G9+G14+G19+G24+G29+G34+G39+G44+G49+G54+G59+G64+G69</f>
        <v>41221792</v>
      </c>
      <c r="H75" s="1812">
        <f>H3+H9+H14+H19+H24+H29+H34+H39+H44+H49+H54+H59+H64+H69</f>
        <v>42264853</v>
      </c>
      <c r="I75" s="1812">
        <f t="shared" ref="I75:Q75" si="29">I3+I9+I14+I19+I24+I29+I34+I39+I44+I49+I54+I59+I64+I69</f>
        <v>40284538</v>
      </c>
      <c r="J75" s="1812">
        <f t="shared" si="29"/>
        <v>39982277</v>
      </c>
      <c r="K75" s="1812">
        <f t="shared" si="29"/>
        <v>38690450</v>
      </c>
      <c r="L75" s="1812">
        <f t="shared" si="29"/>
        <v>40045253</v>
      </c>
      <c r="M75" s="1812">
        <f t="shared" si="29"/>
        <v>41864718</v>
      </c>
      <c r="N75" s="1889">
        <f t="shared" si="29"/>
        <v>45260000</v>
      </c>
      <c r="O75" s="1889">
        <f t="shared" si="29"/>
        <v>46700000</v>
      </c>
      <c r="P75" s="1889">
        <f t="shared" si="29"/>
        <v>47350000</v>
      </c>
      <c r="Q75" s="1890">
        <f t="shared" si="29"/>
        <v>47700000</v>
      </c>
      <c r="R75" s="1842">
        <f t="shared" ca="1" si="15"/>
        <v>321875372</v>
      </c>
      <c r="S75" s="1842">
        <f t="shared" ca="1" si="20"/>
        <v>40234421.5</v>
      </c>
      <c r="T75" s="538">
        <f t="shared" si="26"/>
        <v>508885372</v>
      </c>
      <c r="U75" s="1827">
        <f t="shared" ca="1" si="22"/>
        <v>482813058</v>
      </c>
      <c r="V75" s="2040">
        <f ca="1">IF(W75=0,1,IF(W75&gt;=1,1,IF(W75&lt;0.9,-1,0)))</f>
        <v>0</v>
      </c>
      <c r="W75" s="1839">
        <f t="shared" ca="1" si="28"/>
        <v>0.94899999999999995</v>
      </c>
    </row>
    <row r="76" spans="1:23" s="1122" customFormat="1" ht="14.25" customHeight="1" x14ac:dyDescent="0.15">
      <c r="C76" s="2215"/>
      <c r="D76" s="2212"/>
      <c r="E76" s="1821" t="s">
        <v>15</v>
      </c>
      <c r="F76" s="1813">
        <f>IF($G$1&gt;=F$2,F4+F10+F15+F20+F25+F30+F35+F40+F45+F50+F55+F60+F65+F70,
F4+F10+F15+F20+F25+F30+F35+F40+F45+F50+F55+F60+F65+F70+F74)</f>
        <v>25578188</v>
      </c>
      <c r="G76" s="1814">
        <f>IF($G$1&gt;=G$2,G4+G10+G15+G20+G25+G30+G35+G40+G45+G50+G55+G60+G65+G70,
G4+G10+G15+G20+G25+G30+G35+G40+G45+G50+G55+G60+G65+G70+G74)</f>
        <v>26917769</v>
      </c>
      <c r="H76" s="1814">
        <f>IF($G$1&gt;=H$2,H4+H10+H15+H20+H25+H30+H35+H40+H45+H50+H55+H60+H65+H70,
H4+H10+H15+H20+H25+H30+H35+H40+H45+H50+H55+H60+H65+H70+H74)</f>
        <v>28291290</v>
      </c>
      <c r="I76" s="1814">
        <f t="shared" ref="I76:P76" si="30">IF($G$1&gt;=I$2,I4+I10+I15+I20+I25+I30+I35+I40+I45+I50+I55+I60+I65+I70,
I4+I10+I15+I20+I25+I30+I35+I40+I45+I50+I55+I60+I65+I70+I74)</f>
        <v>43000234</v>
      </c>
      <c r="J76" s="1814">
        <f t="shared" si="30"/>
        <v>27870072</v>
      </c>
      <c r="K76" s="1814">
        <f t="shared" si="30"/>
        <v>26853971</v>
      </c>
      <c r="L76" s="1814">
        <f t="shared" si="30"/>
        <v>26812659</v>
      </c>
      <c r="M76" s="1814">
        <f t="shared" si="30"/>
        <v>27716004</v>
      </c>
      <c r="N76" s="1891">
        <f t="shared" si="30"/>
        <v>29373000</v>
      </c>
      <c r="O76" s="1891">
        <f t="shared" si="30"/>
        <v>47664000</v>
      </c>
      <c r="P76" s="1891">
        <f t="shared" si="30"/>
        <v>30613000</v>
      </c>
      <c r="Q76" s="1892">
        <f>IF($G$1&gt;=Q$2,Q4+Q10+Q15+Q20+Q25+Q30+Q35+Q40+Q45+Q50+Q55+Q60+Q65+Q70,
Q4+Q10+Q15+Q20+Q25+Q30+Q35+Q40+Q45+Q50+Q55+Q60+Q65+Q70+Q74)</f>
        <v>32583000</v>
      </c>
      <c r="R76" s="1843">
        <f t="shared" ca="1" si="15"/>
        <v>233040187</v>
      </c>
      <c r="S76" s="1843">
        <f t="shared" ca="1" si="20"/>
        <v>29130023.375</v>
      </c>
      <c r="T76" s="539">
        <f t="shared" si="26"/>
        <v>373273187</v>
      </c>
      <c r="U76" s="1825">
        <f t="shared" ca="1" si="22"/>
        <v>349560280.5</v>
      </c>
      <c r="V76" s="2041">
        <f ca="1">IF(W76=0,1,IF(W76&lt;=1,1,IF(W76&gt;1.1,-1,0)))</f>
        <v>1</v>
      </c>
      <c r="W76" s="1840">
        <f t="shared" ca="1" si="28"/>
        <v>0.93600000000000005</v>
      </c>
    </row>
    <row r="77" spans="1:23" s="1122" customFormat="1" ht="14.25" customHeight="1" x14ac:dyDescent="0.15">
      <c r="C77" s="2215"/>
      <c r="D77" s="2212"/>
      <c r="E77" s="1821" t="s">
        <v>447</v>
      </c>
      <c r="F77" s="1813">
        <f t="shared" ref="F77:H78" si="31">F5+F11+F16+F21+F26+F31+F36+F41+F46+F51+F56+F61+F66+F71</f>
        <v>570060</v>
      </c>
      <c r="G77" s="1814">
        <f t="shared" si="31"/>
        <v>801900</v>
      </c>
      <c r="H77" s="1814">
        <f t="shared" si="31"/>
        <v>786321</v>
      </c>
      <c r="I77" s="1814">
        <f t="shared" ref="I77:Q77" si="32">I5+I11+I16+I21+I26+I31+I36+I41+I46+I51+I56+I61+I66+I71</f>
        <v>249410</v>
      </c>
      <c r="J77" s="1814">
        <f t="shared" si="32"/>
        <v>51840</v>
      </c>
      <c r="K77" s="1814">
        <f t="shared" si="32"/>
        <v>297000</v>
      </c>
      <c r="L77" s="1814">
        <f t="shared" si="32"/>
        <v>0</v>
      </c>
      <c r="M77" s="1814">
        <f t="shared" si="32"/>
        <v>10800</v>
      </c>
      <c r="N77" s="1891">
        <f t="shared" si="32"/>
        <v>230000</v>
      </c>
      <c r="O77" s="1891">
        <f t="shared" si="32"/>
        <v>500000</v>
      </c>
      <c r="P77" s="1891">
        <f t="shared" si="32"/>
        <v>160000</v>
      </c>
      <c r="Q77" s="1892">
        <f t="shared" si="32"/>
        <v>150000</v>
      </c>
      <c r="R77" s="1843">
        <f t="shared" ca="1" si="15"/>
        <v>2767331</v>
      </c>
      <c r="S77" s="1843">
        <f t="shared" ca="1" si="20"/>
        <v>345916.375</v>
      </c>
      <c r="T77" s="539">
        <f t="shared" si="26"/>
        <v>3807331</v>
      </c>
      <c r="U77" s="1825">
        <f t="shared" ca="1" si="22"/>
        <v>4150996.5</v>
      </c>
      <c r="V77" s="2041">
        <f ca="1">IF(W77=0,1,IF(W77&lt;=1,1,IF(W77&gt;1.1,-1,0)))</f>
        <v>0</v>
      </c>
      <c r="W77" s="1840">
        <f t="shared" ca="1" si="28"/>
        <v>1.0900000000000001</v>
      </c>
    </row>
    <row r="78" spans="1:23" s="1122" customFormat="1" ht="14.25" customHeight="1" x14ac:dyDescent="0.15">
      <c r="C78" s="2215"/>
      <c r="D78" s="2212"/>
      <c r="E78" s="1821" t="s">
        <v>35</v>
      </c>
      <c r="F78" s="1813">
        <f t="shared" si="31"/>
        <v>10154606</v>
      </c>
      <c r="G78" s="1814">
        <f t="shared" si="31"/>
        <v>14150744</v>
      </c>
      <c r="H78" s="1814">
        <f t="shared" si="31"/>
        <v>9727500</v>
      </c>
      <c r="I78" s="1814">
        <f t="shared" ref="I78:Q78" si="33">I6+I12+I17+I22+I27+I32+I37+I42+I47+I52+I57+I62+I67+I72</f>
        <v>8588657</v>
      </c>
      <c r="J78" s="1814">
        <f t="shared" si="33"/>
        <v>9173270</v>
      </c>
      <c r="K78" s="1814">
        <f t="shared" si="33"/>
        <v>8999179</v>
      </c>
      <c r="L78" s="1814">
        <f t="shared" si="33"/>
        <v>8656063</v>
      </c>
      <c r="M78" s="1814">
        <f t="shared" si="33"/>
        <v>8647779</v>
      </c>
      <c r="N78" s="1891">
        <f t="shared" si="33"/>
        <v>11103000</v>
      </c>
      <c r="O78" s="1891">
        <f t="shared" si="33"/>
        <v>12042000</v>
      </c>
      <c r="P78" s="1891">
        <f t="shared" si="33"/>
        <v>11447000</v>
      </c>
      <c r="Q78" s="1892">
        <f t="shared" si="33"/>
        <v>10328000</v>
      </c>
      <c r="R78" s="1843">
        <f t="shared" ca="1" si="15"/>
        <v>78097798</v>
      </c>
      <c r="S78" s="1843">
        <f t="shared" ca="1" si="20"/>
        <v>9762224.75</v>
      </c>
      <c r="T78" s="539">
        <f t="shared" si="26"/>
        <v>123017798</v>
      </c>
      <c r="U78" s="1825">
        <f t="shared" ca="1" si="22"/>
        <v>117146697</v>
      </c>
      <c r="V78" s="2041">
        <f ca="1">IF(W78=0,1,IF(W78&lt;=1,1,IF(W78&gt;1.1,-1,0)))</f>
        <v>1</v>
      </c>
      <c r="W78" s="1840">
        <f t="shared" ca="1" si="28"/>
        <v>0.95199999999999996</v>
      </c>
    </row>
    <row r="79" spans="1:23" s="1122" customFormat="1" ht="14.25" customHeight="1" x14ac:dyDescent="0.15">
      <c r="C79" s="2215"/>
      <c r="D79" s="2212"/>
      <c r="E79" s="1877" t="s">
        <v>1474</v>
      </c>
      <c r="F79" s="1813">
        <f>F7</f>
        <v>0</v>
      </c>
      <c r="G79" s="1814">
        <f>G7</f>
        <v>0</v>
      </c>
      <c r="H79" s="1814">
        <f>H7</f>
        <v>0</v>
      </c>
      <c r="I79" s="1814">
        <f t="shared" ref="I79:Q79" si="34">I7</f>
        <v>0</v>
      </c>
      <c r="J79" s="1814">
        <f t="shared" si="34"/>
        <v>0</v>
      </c>
      <c r="K79" s="1814">
        <f t="shared" si="34"/>
        <v>0</v>
      </c>
      <c r="L79" s="1814">
        <f t="shared" si="34"/>
        <v>0</v>
      </c>
      <c r="M79" s="1814">
        <f t="shared" si="34"/>
        <v>0</v>
      </c>
      <c r="N79" s="1891">
        <f t="shared" si="34"/>
        <v>200000</v>
      </c>
      <c r="O79" s="1891">
        <f t="shared" si="34"/>
        <v>200000</v>
      </c>
      <c r="P79" s="1891">
        <f t="shared" si="34"/>
        <v>200000</v>
      </c>
      <c r="Q79" s="1892">
        <f t="shared" si="34"/>
        <v>200000</v>
      </c>
      <c r="R79" s="1843">
        <f t="shared" ref="R79:R85" ca="1" si="35">SUM(OFFSET(F79,0,0,1,IF(ISERROR(MATCH(DATE(YEAR($G$1),MONTH($G$1),1),$F$2:$Q$2,0)),0,MATCH(DATE(YEAR($G$1),MONTH($G$1),1),$F$2:$Q$2,0))))</f>
        <v>0</v>
      </c>
      <c r="S79" s="1843">
        <f ca="1">IF(ISERROR(R79/(DATEDIF(F$2,G$1,"M")+1)),0,R79/(DATEDIF(F$2,G$1,"M")+1))</f>
        <v>0</v>
      </c>
      <c r="T79" s="539">
        <f t="shared" ref="T79:T85" si="36">SUM(F79:Q79)</f>
        <v>800000</v>
      </c>
      <c r="U79" s="1825">
        <f ca="1">S79*12</f>
        <v>0</v>
      </c>
      <c r="V79" s="2041">
        <f ca="1">IF(W79=0,1,IF(W79&lt;=1,1,IF(W79&gt;1.1,-1,0)))</f>
        <v>1</v>
      </c>
      <c r="W79" s="1840">
        <f t="shared" ca="1" si="28"/>
        <v>0</v>
      </c>
    </row>
    <row r="80" spans="1:23" s="1122" customFormat="1" ht="14.25" customHeight="1" x14ac:dyDescent="0.15">
      <c r="C80" s="2215"/>
      <c r="D80" s="2212"/>
      <c r="E80" s="1877" t="s">
        <v>506</v>
      </c>
      <c r="F80" s="1813">
        <f>IFERROR(IF(F$2&gt;$G$1,'☆事業所損益管理(H30.9～H31.8)(計画)'!F106,
GETPIVOTDATA("合計 / " &amp; $E80,【ピボット】事業所収支!$A$3,"年月",F$2)),0)</f>
        <v>0</v>
      </c>
      <c r="G80" s="1814">
        <f>IFERROR(IF(G$2&gt;$G$1,'☆事業所損益管理(H30.9～H31.8)(計画)'!G106,
GETPIVOTDATA("合計 / " &amp; $E80,【ピボット】事業所収支!$A$3,"年月",G$2)),0)</f>
        <v>0</v>
      </c>
      <c r="H80" s="1814">
        <f>IFERROR(IF(H$2&gt;$G$1,'☆事業所損益管理(H30.9～H31.8)(計画)'!H106,
GETPIVOTDATA("合計 / " &amp; $E80,【ピボット】事業所収支!$A$3,"年月",H$2)),0)</f>
        <v>4167</v>
      </c>
      <c r="I80" s="1814">
        <f>IFERROR(IF(I$2&gt;$G$1,'☆事業所損益管理(H30.9～H31.8)(計画)'!I106,
GETPIVOTDATA("合計 / " &amp; $E80,【ピボット】事業所収支!$A$3,"年月",I$2)),0)</f>
        <v>2198</v>
      </c>
      <c r="J80" s="1814">
        <f>IFERROR(IF(J$2&gt;$G$1,'☆事業所損益管理(H30.9～H31.8)(計画)'!J106,
GETPIVOTDATA("合計 / " &amp; $E80,【ピボット】事業所収支!$A$3,"年月",J$2)),0)</f>
        <v>0</v>
      </c>
      <c r="K80" s="1814">
        <f>IFERROR(IF(K$2&gt;$G$1,'☆事業所損益管理(H30.9～H31.8)(計画)'!K106,
GETPIVOTDATA("合計 / " &amp; $E80,【ピボット】事業所収支!$A$3,"年月",K$2)),0)</f>
        <v>-80616</v>
      </c>
      <c r="L80" s="1814">
        <f>IFERROR(IF(L$2&gt;$G$1,'☆事業所損益管理(H30.9～H31.8)(計画)'!L106,
GETPIVOTDATA("合計 / " &amp; $E80,【ピボット】事業所収支!$A$3,"年月",L$2)),0)</f>
        <v>0</v>
      </c>
      <c r="M80" s="1814">
        <f>IFERROR(IF(M$2&gt;$G$1,'☆事業所損益管理(H30.9～H31.8)(計画)'!M106,
GETPIVOTDATA("合計 / " &amp; $E80,【ピボット】事業所収支!$A$3,"年月",M$2)),0)</f>
        <v>0</v>
      </c>
      <c r="N80" s="1891">
        <f>IFERROR(IF(N$2&gt;$G$1,'☆事業所損益管理(H30.9～H31.8)(計画)'!N106,
GETPIVOTDATA("合計 / " &amp; $E80,【ピボット】事業所収支!$A$3,"年月",N$2)),0)</f>
        <v>0</v>
      </c>
      <c r="O80" s="1891">
        <f>IFERROR(IF(O$2&gt;$G$1,'☆事業所損益管理(H30.9～H31.8)(計画)'!O106,
GETPIVOTDATA("合計 / " &amp; $E80,【ピボット】事業所収支!$A$3,"年月",O$2)),0)</f>
        <v>0</v>
      </c>
      <c r="P80" s="1891">
        <f>IFERROR(IF(P$2&gt;$G$1,'☆事業所損益管理(H30.9～H31.8)(計画)'!P106,
GETPIVOTDATA("合計 / " &amp; $E80,【ピボット】事業所収支!$A$3,"年月",P$2)),0)</f>
        <v>0</v>
      </c>
      <c r="Q80" s="1892">
        <f>IFERROR(IF(Q$2&gt;$G$1,'☆事業所損益管理(H30.9～H31.8)(計画)'!Q106,
GETPIVOTDATA("合計 / " &amp; $E80,【ピボット】事業所収支!$A$3,"年月",Q$2)),0)</f>
        <v>0</v>
      </c>
      <c r="R80" s="1843">
        <f t="shared" ca="1" si="35"/>
        <v>-74251</v>
      </c>
      <c r="S80" s="1843">
        <f ca="1">IF(ISERROR(R80/(DATEDIF(F$2,G$1,"M")+1)),0,R80/(DATEDIF(F$2,G$1,"M")+1))</f>
        <v>-9281.375</v>
      </c>
      <c r="T80" s="539">
        <f t="shared" si="36"/>
        <v>-74251</v>
      </c>
      <c r="U80" s="1825">
        <f ca="1">S80*12</f>
        <v>-111376.5</v>
      </c>
      <c r="V80" s="2043">
        <f ca="1">IF(W80=0,1,IF(W80&gt;=1,1,IF(W80&lt;0.9,-1,0)))</f>
        <v>-1</v>
      </c>
      <c r="W80" s="1840">
        <f t="shared" ca="1" si="28"/>
        <v>-0.5</v>
      </c>
    </row>
    <row r="81" spans="2:25" s="1122" customFormat="1" ht="14.25" customHeight="1" x14ac:dyDescent="0.15">
      <c r="C81" s="2215"/>
      <c r="D81" s="2212"/>
      <c r="E81" s="1821" t="s">
        <v>1195</v>
      </c>
      <c r="F81" s="1823">
        <f>F75-(F76+F78+F79)+F80</f>
        <v>1788697</v>
      </c>
      <c r="G81" s="1824">
        <f>G75-(G76+G78+G79)+G80</f>
        <v>153279</v>
      </c>
      <c r="H81" s="1824">
        <f>H75-(H76+H78+H79)+H80</f>
        <v>4250230</v>
      </c>
      <c r="I81" s="1824">
        <f t="shared" ref="I81:Q81" si="37">I75-(I76+I78+I79)+I80</f>
        <v>-11302155</v>
      </c>
      <c r="J81" s="1824">
        <f t="shared" si="37"/>
        <v>2938935</v>
      </c>
      <c r="K81" s="1824">
        <f t="shared" si="37"/>
        <v>2756684</v>
      </c>
      <c r="L81" s="1824">
        <f t="shared" si="37"/>
        <v>4576531</v>
      </c>
      <c r="M81" s="1824">
        <f t="shared" si="37"/>
        <v>5500935</v>
      </c>
      <c r="N81" s="1893">
        <f t="shared" si="37"/>
        <v>4584000</v>
      </c>
      <c r="O81" s="1893">
        <f t="shared" si="37"/>
        <v>-13206000</v>
      </c>
      <c r="P81" s="1893">
        <f t="shared" si="37"/>
        <v>5090000</v>
      </c>
      <c r="Q81" s="1894">
        <f t="shared" si="37"/>
        <v>4589000</v>
      </c>
      <c r="R81" s="1843">
        <f t="shared" ca="1" si="35"/>
        <v>10663136</v>
      </c>
      <c r="S81" s="1843">
        <f t="shared" ca="1" si="20"/>
        <v>1332892</v>
      </c>
      <c r="T81" s="539">
        <f t="shared" si="36"/>
        <v>11720136</v>
      </c>
      <c r="U81" s="1825">
        <f t="shared" ca="1" si="22"/>
        <v>15994704</v>
      </c>
      <c r="V81" s="2043">
        <f ca="1">IFERROR(IF(W81&gt;=0,1,IF(W81&lt;-0.1,-1,0)),1)</f>
        <v>1</v>
      </c>
      <c r="W81" s="1840">
        <f ca="1">IF(T81=0,1-(U76+U78)/U75,IF(T81=U81,0,ROUND((U81-T81)/ABS(T81),3)))</f>
        <v>0.36499999999999999</v>
      </c>
    </row>
    <row r="82" spans="2:25" s="1122" customFormat="1" ht="14.25" customHeight="1" x14ac:dyDescent="0.15">
      <c r="C82" s="2215"/>
      <c r="D82" s="2212"/>
      <c r="E82" s="1877" t="s">
        <v>46</v>
      </c>
      <c r="F82" s="1813">
        <f>IFERROR(IF(F$2&gt;$G$1,'☆事業所損益管理(H30.9～H31.8)(計画)'!F108,
GETPIVOTDATA("合計 / " &amp; $E82,【ピボット】事業所収支!$A$3,"年月",F$2)),0)</f>
        <v>148771</v>
      </c>
      <c r="G82" s="1814">
        <f>IFERROR(IF(G$2&gt;$G$1,'☆事業所損益管理(H30.9～H31.8)(計画)'!G108,
GETPIVOTDATA("合計 / " &amp; $E82,【ピボット】事業所収支!$A$3,"年月",G$2)),0)</f>
        <v>142298</v>
      </c>
      <c r="H82" s="1814">
        <f>IFERROR(IF(H$2&gt;$G$1,'☆事業所損益管理(H30.9～H31.8)(計画)'!H108,
GETPIVOTDATA("合計 / " &amp; $E82,【ピボット】事業所収支!$A$3,"年月",H$2)),0)</f>
        <v>146805</v>
      </c>
      <c r="I82" s="1814">
        <f>IFERROR(IF(I$2&gt;$G$1,'☆事業所損益管理(H30.9～H31.8)(計画)'!I108,
GETPIVOTDATA("合計 / " &amp; $E82,【ピボット】事業所収支!$A$3,"年月",I$2)),0)</f>
        <v>369915</v>
      </c>
      <c r="J82" s="1814">
        <f>IFERROR(IF(J$2&gt;$G$1,'☆事業所損益管理(H30.9～H31.8)(計画)'!J108,
GETPIVOTDATA("合計 / " &amp; $E82,【ピボット】事業所収支!$A$3,"年月",J$2)),0)</f>
        <v>316282</v>
      </c>
      <c r="K82" s="1814">
        <f>IFERROR(IF(K$2&gt;$G$1,'☆事業所損益管理(H30.9～H31.8)(計画)'!K108,
GETPIVOTDATA("合計 / " &amp; $E82,【ピボット】事業所収支!$A$3,"年月",K$2)),0)</f>
        <v>308518</v>
      </c>
      <c r="L82" s="1814">
        <f>IFERROR(IF(L$2&gt;$G$1,'☆事業所損益管理(H30.9～H31.8)(計画)'!L108,
GETPIVOTDATA("合計 / " &amp; $E82,【ピボット】事業所収支!$A$3,"年月",L$2)),0)</f>
        <v>539685</v>
      </c>
      <c r="M82" s="1814">
        <f>IFERROR(IF(M$2&gt;$G$1,'☆事業所損益管理(H30.9～H31.8)(計画)'!M108,
GETPIVOTDATA("合計 / " &amp; $E82,【ピボット】事業所収支!$A$3,"年月",M$2)),0)</f>
        <v>215222</v>
      </c>
      <c r="N82" s="1891">
        <f>IFERROR(IF(N$2&gt;$G$1,'☆事業所損益管理(H30.9～H31.8)(計画)'!N108,
GETPIVOTDATA("合計 / " &amp; $E82,【ピボット】事業所収支!$A$3,"年月",N$2)),0)</f>
        <v>144000</v>
      </c>
      <c r="O82" s="1891">
        <f>IFERROR(IF(O$2&gt;$G$1,'☆事業所損益管理(H30.9～H31.8)(計画)'!O108,
GETPIVOTDATA("合計 / " &amp; $E82,【ピボット】事業所収支!$A$3,"年月",O$2)),0)</f>
        <v>144000</v>
      </c>
      <c r="P82" s="1891">
        <f>IFERROR(IF(P$2&gt;$G$1,'☆事業所損益管理(H30.9～H31.8)(計画)'!P108,
GETPIVOTDATA("合計 / " &amp; $E82,【ピボット】事業所収支!$A$3,"年月",P$2)),0)</f>
        <v>144000</v>
      </c>
      <c r="Q82" s="1892">
        <f>IFERROR(IF(Q$2&gt;$G$1,'☆事業所損益管理(H30.9～H31.8)(計画)'!Q108,
GETPIVOTDATA("合計 / " &amp; $E82,【ピボット】事業所収支!$A$3,"年月",Q$2)),0)</f>
        <v>144000</v>
      </c>
      <c r="R82" s="1843">
        <f t="shared" ca="1" si="35"/>
        <v>2187496</v>
      </c>
      <c r="S82" s="1843">
        <f t="shared" ca="1" si="20"/>
        <v>273437</v>
      </c>
      <c r="T82" s="539">
        <f t="shared" si="36"/>
        <v>2763496</v>
      </c>
      <c r="U82" s="1825">
        <f t="shared" ca="1" si="22"/>
        <v>3281244</v>
      </c>
      <c r="V82" s="2041">
        <f ca="1">IF(W82=0,1,IF(W82&gt;=1,1,IF(W82&lt;0.9,-1,0)))</f>
        <v>1</v>
      </c>
      <c r="W82" s="1840">
        <f ca="1">IF(T82&lt;0,ROUND((U82-T82)/ABS(T82),3),IF(T82=0,0,ROUND(U82/T82,3)))</f>
        <v>1.1870000000000001</v>
      </c>
    </row>
    <row r="83" spans="2:25" s="1122" customFormat="1" ht="14.25" customHeight="1" x14ac:dyDescent="0.15">
      <c r="C83" s="2215"/>
      <c r="D83" s="2212"/>
      <c r="E83" s="1821" t="s">
        <v>47</v>
      </c>
      <c r="F83" s="1813">
        <f>IFERROR(IF(F$2&gt;$G$1,'☆事業所損益管理(H30.9～H31.8)(計画)'!F109,
GETPIVOTDATA("合計 / " &amp; $E83,【ピボット】事業所収支!$A$3,"年月",F$2)),0)</f>
        <v>472801</v>
      </c>
      <c r="G83" s="1814">
        <f>IFERROR(IF(G$2&gt;$G$1,'☆事業所損益管理(H30.9～H31.8)(計画)'!G109,
GETPIVOTDATA("合計 / " &amp; $E83,【ピボット】事業所収支!$A$3,"年月",G$2)),0)</f>
        <v>972358</v>
      </c>
      <c r="H83" s="1814">
        <f>IFERROR(IF(H$2&gt;$G$1,'☆事業所損益管理(H30.9～H31.8)(計画)'!H109,
GETPIVOTDATA("合計 / " &amp; $E83,【ピボット】事業所収支!$A$3,"年月",H$2)),0)</f>
        <v>874139</v>
      </c>
      <c r="I83" s="1814">
        <f>IFERROR(IF(I$2&gt;$G$1,'☆事業所損益管理(H30.9～H31.8)(計画)'!I109,
GETPIVOTDATA("合計 / " &amp; $E83,【ピボット】事業所収支!$A$3,"年月",I$2)),0)</f>
        <v>703823</v>
      </c>
      <c r="J83" s="1814">
        <f>IFERROR(IF(J$2&gt;$G$1,'☆事業所損益管理(H30.9～H31.8)(計画)'!J109,
GETPIVOTDATA("合計 / " &amp; $E83,【ピボット】事業所収支!$A$3,"年月",J$2)),0)</f>
        <v>1196977</v>
      </c>
      <c r="K83" s="1814">
        <f>IFERROR(IF(K$2&gt;$G$1,'☆事業所損益管理(H30.9～H31.8)(計画)'!K109,
GETPIVOTDATA("合計 / " &amp; $E83,【ピボット】事業所収支!$A$3,"年月",K$2)),0)</f>
        <v>977248</v>
      </c>
      <c r="L83" s="1814">
        <f>IFERROR(IF(L$2&gt;$G$1,'☆事業所損益管理(H30.9～H31.8)(計画)'!L109,
GETPIVOTDATA("合計 / " &amp; $E83,【ピボット】事業所収支!$A$3,"年月",L$2)),0)</f>
        <v>532662</v>
      </c>
      <c r="M83" s="1814">
        <f>IFERROR(IF(M$2&gt;$G$1,'☆事業所損益管理(H30.9～H31.8)(計画)'!M109,
GETPIVOTDATA("合計 / " &amp; $E83,【ピボット】事業所収支!$A$3,"年月",M$2)),0)</f>
        <v>665619</v>
      </c>
      <c r="N83" s="1891">
        <f>IFERROR(IF(N$2&gt;$G$1,'☆事業所損益管理(H30.9～H31.8)(計画)'!N109,
GETPIVOTDATA("合計 / " &amp; $E83,【ピボット】事業所収支!$A$3,"年月",N$2)),0)</f>
        <v>987000</v>
      </c>
      <c r="O83" s="1891">
        <f>IFERROR(IF(O$2&gt;$G$1,'☆事業所損益管理(H30.9～H31.8)(計画)'!O109,
GETPIVOTDATA("合計 / " &amp; $E83,【ピボット】事業所収支!$A$3,"年月",O$2)),0)</f>
        <v>987000</v>
      </c>
      <c r="P83" s="1891">
        <f>IFERROR(IF(P$2&gt;$G$1,'☆事業所損益管理(H30.9～H31.8)(計画)'!P109,
GETPIVOTDATA("合計 / " &amp; $E83,【ピボット】事業所収支!$A$3,"年月",P$2)),0)</f>
        <v>987000</v>
      </c>
      <c r="Q83" s="1892">
        <f>IFERROR(IF(Q$2&gt;$G$1,'☆事業所損益管理(H30.9～H31.8)(計画)'!Q109,
GETPIVOTDATA("合計 / " &amp; $E83,【ピボット】事業所収支!$A$3,"年月",Q$2)),0)</f>
        <v>987000</v>
      </c>
      <c r="R83" s="1843">
        <f t="shared" ca="1" si="35"/>
        <v>6395627</v>
      </c>
      <c r="S83" s="1843">
        <f t="shared" ca="1" si="20"/>
        <v>799453.375</v>
      </c>
      <c r="T83" s="539">
        <f t="shared" si="36"/>
        <v>10343627</v>
      </c>
      <c r="U83" s="1825">
        <f t="shared" ca="1" si="22"/>
        <v>9593440.5</v>
      </c>
      <c r="V83" s="2041">
        <f ca="1">IF(W83=0,1,IF(W83&lt;=1,1,IF(W83&gt;1.1,-1,0)))</f>
        <v>1</v>
      </c>
      <c r="W83" s="1840">
        <f ca="1">IF(T83&lt;0,ROUND((U83-T83)/ABS(T83),3),IF(T83=0,0,ROUND(U83/T83,3)))</f>
        <v>0.92700000000000005</v>
      </c>
    </row>
    <row r="84" spans="2:25" s="1122" customFormat="1" ht="14.25" customHeight="1" thickBot="1" x14ac:dyDescent="0.2">
      <c r="C84" s="2215"/>
      <c r="D84" s="2212"/>
      <c r="E84" s="1829" t="s">
        <v>942</v>
      </c>
      <c r="F84" s="1878">
        <f>F81+F82-F83</f>
        <v>1464667</v>
      </c>
      <c r="G84" s="1879">
        <f>G81+G82-G83</f>
        <v>-676781</v>
      </c>
      <c r="H84" s="1879">
        <f>H81+H82-H83</f>
        <v>3522896</v>
      </c>
      <c r="I84" s="1879">
        <f t="shared" ref="I84:Q84" si="38">I81+I82-I83</f>
        <v>-11636063</v>
      </c>
      <c r="J84" s="1879">
        <f t="shared" si="38"/>
        <v>2058240</v>
      </c>
      <c r="K84" s="1879">
        <f t="shared" si="38"/>
        <v>2087954</v>
      </c>
      <c r="L84" s="1879">
        <f t="shared" si="38"/>
        <v>4583554</v>
      </c>
      <c r="M84" s="1879">
        <f t="shared" si="38"/>
        <v>5050538</v>
      </c>
      <c r="N84" s="1905">
        <f t="shared" si="38"/>
        <v>3741000</v>
      </c>
      <c r="O84" s="1905">
        <f t="shared" si="38"/>
        <v>-14049000</v>
      </c>
      <c r="P84" s="1905">
        <f t="shared" si="38"/>
        <v>4247000</v>
      </c>
      <c r="Q84" s="1906">
        <f t="shared" si="38"/>
        <v>3746000</v>
      </c>
      <c r="R84" s="1850">
        <f t="shared" ca="1" si="35"/>
        <v>6455005</v>
      </c>
      <c r="S84" s="1850">
        <f t="shared" ca="1" si="20"/>
        <v>806875.625</v>
      </c>
      <c r="T84" s="1838">
        <f t="shared" si="36"/>
        <v>4140005</v>
      </c>
      <c r="U84" s="1835">
        <f t="shared" ca="1" si="22"/>
        <v>9682507.5</v>
      </c>
      <c r="V84" s="2051">
        <f ca="1">IFERROR(IF(W84&gt;=0,1,IF(W84&lt;-0.1,-1,0)),1)</f>
        <v>1</v>
      </c>
      <c r="W84" s="1853">
        <f ca="1">IF(T84=0,1-(U4+U7)/U3,IF(T84=U84,0,ROUND((U84-T84)/ABS(T84),3)))</f>
        <v>1.339</v>
      </c>
    </row>
    <row r="85" spans="2:25" s="1122" customFormat="1" ht="14.25" customHeight="1" thickBot="1" x14ac:dyDescent="0.2">
      <c r="B85" s="1483" t="s">
        <v>500</v>
      </c>
      <c r="C85" s="2216"/>
      <c r="D85" s="2213"/>
      <c r="E85" s="1828" t="s">
        <v>500</v>
      </c>
      <c r="F85" s="1832">
        <f>IFERROR(IF(F$2&gt;$G$1,'☆事業所損益管理(H30.9～H31.8)(計画)'!F111,
GETPIVOTDATA("合計 / " &amp; $B85,【ピボット】事業所収支!$A$3,"年月",F$2)),0)</f>
        <v>34830</v>
      </c>
      <c r="G85" s="1833">
        <f>IFERROR(IF(G$2&gt;$G$1,'☆事業所損益管理(H30.9～H31.8)(計画)'!G111,
GETPIVOTDATA("合計 / " &amp; $B85,【ピボット】事業所収支!$A$3,"年月",G$2)),0)</f>
        <v>0</v>
      </c>
      <c r="H85" s="1833">
        <f>IFERROR(IF(H$2&gt;$G$1,'☆事業所損益管理(H30.9～H31.8)(計画)'!H111,
GETPIVOTDATA("合計 / " &amp; $B85,【ピボット】事業所収支!$A$3,"年月",H$2)),0)</f>
        <v>0</v>
      </c>
      <c r="I85" s="1833">
        <f>IFERROR(IF(I$2&gt;$G$1,'☆事業所損益管理(H30.9～H31.8)(計画)'!I111,
GETPIVOTDATA("合計 / " &amp; $B85,【ピボット】事業所収支!$A$3,"年月",I$2)),0)</f>
        <v>0</v>
      </c>
      <c r="J85" s="1833">
        <f>IFERROR(IF(J$2&gt;$G$1,'☆事業所損益管理(H30.9～H31.8)(計画)'!J111,
GETPIVOTDATA("合計 / " &amp; $B85,【ピボット】事業所収支!$A$3,"年月",J$2)),0)</f>
        <v>0</v>
      </c>
      <c r="K85" s="1833">
        <f>IFERROR(IF(K$2&gt;$G$1,'☆事業所損益管理(H30.9～H31.8)(計画)'!K111,
GETPIVOTDATA("合計 / " &amp; $B85,【ピボット】事業所収支!$A$3,"年月",K$2)),0)</f>
        <v>0</v>
      </c>
      <c r="L85" s="1833">
        <f>IFERROR(IF(L$2&gt;$G$1,'☆事業所損益管理(H30.9～H31.8)(計画)'!L111,
GETPIVOTDATA("合計 / " &amp; $B85,【ピボット】事業所収支!$A$3,"年月",L$2)),0)</f>
        <v>0</v>
      </c>
      <c r="M85" s="1833">
        <f>IFERROR(IF(M$2&gt;$G$1,'☆事業所損益管理(H30.9～H31.8)(計画)'!M111,
GETPIVOTDATA("合計 / " &amp; $B85,【ピボット】事業所収支!$A$3,"年月",M$2)),0)</f>
        <v>0</v>
      </c>
      <c r="N85" s="1901">
        <f>IFERROR(IF(N$2&gt;$G$1,'☆事業所損益管理(H30.9～H31.8)(計画)'!N111,
GETPIVOTDATA("合計 / " &amp; $B85,【ピボット】事業所収支!$A$3,"年月",N$2)),0)</f>
        <v>0</v>
      </c>
      <c r="O85" s="1901">
        <f>IFERROR(IF(O$2&gt;$G$1,'☆事業所損益管理(H30.9～H31.8)(計画)'!O111,
GETPIVOTDATA("合計 / " &amp; $B85,【ピボット】事業所収支!$A$3,"年月",O$2)),0)</f>
        <v>0</v>
      </c>
      <c r="P85" s="1901">
        <f>IFERROR(IF(P$2&gt;$G$1,'☆事業所損益管理(H30.9～H31.8)(計画)'!P111,
GETPIVOTDATA("合計 / " &amp; $B85,【ピボット】事業所収支!$A$3,"年月",P$2)),0)</f>
        <v>0</v>
      </c>
      <c r="Q85" s="1902">
        <f>IFERROR(IF(Q$2&gt;$G$1,'☆事業所損益管理(H30.9～H31.8)(計画)'!Q111,
GETPIVOTDATA("合計 / " &amp; $B85,【ピボット】事業所収支!$A$3,"年月",Q$2)),0)</f>
        <v>0</v>
      </c>
      <c r="R85" s="1846">
        <f t="shared" ca="1" si="35"/>
        <v>34830</v>
      </c>
      <c r="S85" s="1846">
        <f ca="1">IF(ISERROR(R85/(DATEDIF(F$2,G$1,"M")+1)),0,R85/(DATEDIF(F$2,G$1,"M")+1))</f>
        <v>4353.75</v>
      </c>
      <c r="T85" s="1837">
        <f t="shared" si="36"/>
        <v>34830</v>
      </c>
      <c r="U85" s="1834">
        <f ca="1">S85*12</f>
        <v>52245</v>
      </c>
      <c r="V85" s="2048">
        <f ca="1">IF(W85=0,1,IF(W85&lt;=1,1,IF(W85&gt;1.1,-1,0)))</f>
        <v>-1</v>
      </c>
      <c r="W85" s="1852">
        <f ca="1">IF(T85&lt;0,ROUND((U85-T85)/ABS(T85),3),IF(T85=0,0,ROUND(U85/T85,3)))</f>
        <v>1.5</v>
      </c>
    </row>
    <row r="86" spans="2:25" s="1122" customFormat="1" ht="14.25" customHeight="1" x14ac:dyDescent="0.15">
      <c r="E86" s="1485"/>
      <c r="F86" s="1483"/>
      <c r="N86" s="1123"/>
      <c r="O86" s="1123"/>
      <c r="P86" s="1123"/>
      <c r="Q86" s="1123"/>
      <c r="R86" s="1123"/>
      <c r="S86" s="1123"/>
      <c r="T86" s="1123"/>
      <c r="U86" s="1123"/>
      <c r="V86" s="1858"/>
      <c r="W86" s="1123"/>
    </row>
    <row r="87" spans="2:25" s="1122" customFormat="1" ht="14.25" customHeight="1" x14ac:dyDescent="0.15">
      <c r="E87" s="1485"/>
      <c r="F87" s="1864" t="s">
        <v>1456</v>
      </c>
      <c r="N87" s="1123"/>
      <c r="O87" s="1123"/>
      <c r="P87" s="1123"/>
      <c r="Q87" s="1123"/>
      <c r="R87" s="1123"/>
      <c r="S87" s="1123"/>
      <c r="T87" s="1123"/>
      <c r="U87" s="1123"/>
      <c r="V87" s="1858"/>
      <c r="W87" s="1123"/>
    </row>
    <row r="88" spans="2:25" s="1122" customFormat="1" ht="14.25" customHeight="1" x14ac:dyDescent="0.15">
      <c r="E88" s="1485"/>
      <c r="F88" s="1864" t="s">
        <v>1455</v>
      </c>
      <c r="N88" s="1123"/>
      <c r="O88" s="1123"/>
      <c r="P88" s="1123"/>
      <c r="Q88" s="1123"/>
      <c r="R88" s="2182" t="s">
        <v>1151</v>
      </c>
      <c r="S88" s="2182"/>
      <c r="T88" s="2182"/>
      <c r="U88" s="350"/>
      <c r="V88" s="1123"/>
    </row>
    <row r="89" spans="2:25" s="1122" customFormat="1" ht="14.25" customHeight="1" x14ac:dyDescent="0.15">
      <c r="E89" s="1485"/>
      <c r="F89" s="1483"/>
      <c r="N89" s="1123"/>
      <c r="O89" s="1123"/>
      <c r="P89" s="1123"/>
      <c r="Q89" s="1123"/>
      <c r="R89" s="2182"/>
      <c r="S89" s="2182"/>
      <c r="T89" s="2182"/>
      <c r="U89" s="350"/>
      <c r="V89" s="1123"/>
    </row>
    <row r="90" spans="2:25" s="1122" customFormat="1" ht="14.25" customHeight="1" x14ac:dyDescent="0.15">
      <c r="E90" s="1485"/>
      <c r="F90" s="1483"/>
      <c r="N90" s="1123"/>
      <c r="O90" s="1123"/>
      <c r="P90" s="1123"/>
      <c r="Q90" s="1123"/>
      <c r="R90" s="1063" t="s">
        <v>1324</v>
      </c>
      <c r="S90" s="405"/>
      <c r="T90" s="350"/>
      <c r="U90" s="350"/>
      <c r="V90" s="1121"/>
      <c r="W90" s="1121"/>
      <c r="X90" s="1121"/>
      <c r="Y90" s="1121"/>
    </row>
    <row r="91" spans="2:25" ht="14.25" customHeight="1" thickBot="1" x14ac:dyDescent="0.2">
      <c r="D91" s="331" t="s">
        <v>1475</v>
      </c>
      <c r="E91" s="331"/>
      <c r="F91" s="331"/>
      <c r="G91" s="331"/>
      <c r="H91" s="331"/>
      <c r="I91"/>
      <c r="J91"/>
      <c r="K91"/>
      <c r="L91"/>
      <c r="R91" s="1064">
        <v>1</v>
      </c>
      <c r="S91" s="1065" t="s">
        <v>1154</v>
      </c>
      <c r="T91" s="413" t="s">
        <v>1159</v>
      </c>
      <c r="U91" s="350"/>
      <c r="V91" s="1121"/>
    </row>
    <row r="92" spans="2:25" ht="14.25" customHeight="1" thickBot="1" x14ac:dyDescent="0.2">
      <c r="D92" s="443" t="s">
        <v>476</v>
      </c>
      <c r="E92" s="444" t="s">
        <v>480</v>
      </c>
      <c r="F92" s="1880">
        <f>IF('事業所損益管理(H30.9～H31.8)_査定'!F198="","",'事業所損益管理(H30.9～H31.8)_査定'!F198)</f>
        <v>43405</v>
      </c>
      <c r="G92" s="1881">
        <f>IF('事業所損益管理(H30.9～H31.8)_査定'!G198="","",'事業所損益管理(H30.9～H31.8)_査定'!G198)</f>
        <v>43435</v>
      </c>
      <c r="H92" s="1882">
        <f>IF('事業所損益管理(H30.9～H31.8)_査定'!H198="","",'事業所損益管理(H30.9～H31.8)_査定'!H198)</f>
        <v>43466</v>
      </c>
      <c r="I92" s="1883">
        <f>IF('事業所損益管理(H30.9～H31.8)_査定'!I198="","",'事業所損益管理(H30.9～H31.8)_査定'!I198)</f>
        <v>43497</v>
      </c>
      <c r="J92" s="1884">
        <f>IF('事業所損益管理(H30.9～H31.8)_査定'!J198="","",'事業所損益管理(H30.9～H31.8)_査定'!J198)</f>
        <v>43525</v>
      </c>
      <c r="K92" s="1885">
        <f>IF('事業所損益管理(H30.9～H31.8)_査定'!K198="","",'事業所損益管理(H30.9～H31.8)_査定'!K198)</f>
        <v>43556</v>
      </c>
      <c r="L92" s="1250" t="s">
        <v>481</v>
      </c>
      <c r="M92" s="1912" t="s">
        <v>1473</v>
      </c>
      <c r="R92" s="1064">
        <v>0</v>
      </c>
      <c r="S92" s="1065" t="s">
        <v>1155</v>
      </c>
      <c r="T92" s="413" t="s">
        <v>1163</v>
      </c>
      <c r="U92" s="350"/>
      <c r="V92" s="1121"/>
    </row>
    <row r="93" spans="2:25" ht="14.25" customHeight="1" x14ac:dyDescent="0.15">
      <c r="D93" s="2172" t="s">
        <v>477</v>
      </c>
      <c r="E93" s="445" t="s">
        <v>405</v>
      </c>
      <c r="F93" s="1011">
        <f>IF('事業所損益管理(H30.9～H31.8)_査定'!F199="","",'事業所損益管理(H30.9～H31.8)_査定'!F199)</f>
        <v>1850000</v>
      </c>
      <c r="G93" s="1016">
        <f>IF('事業所損益管理(H30.9～H31.8)_査定'!G199="","",'事業所損益管理(H30.9～H31.8)_査定'!G199)</f>
        <v>-1900000</v>
      </c>
      <c r="H93" s="1016">
        <f>IF('事業所損益管理(H30.9～H31.8)_査定'!H199="","",'事業所損益管理(H30.9～H31.8)_査定'!H199)</f>
        <v>1300000</v>
      </c>
      <c r="I93" s="1259">
        <f>IF('事業所損益管理(H30.9～H31.8)_査定'!I199="","",'事業所損益管理(H30.9～H31.8)_査定'!I199)</f>
        <v>1300000</v>
      </c>
      <c r="J93" s="1259">
        <f>IF('事業所損益管理(H30.9～H31.8)_査定'!J199="","",'事業所損益管理(H30.9～H31.8)_査定'!J199)</f>
        <v>1300000</v>
      </c>
      <c r="K93" s="1460">
        <f>IF('事業所損益管理(H30.9～H31.8)_査定'!K199="","",'事業所損益管理(H30.9～H31.8)_査定'!K199)</f>
        <v>1500000</v>
      </c>
      <c r="L93" s="1255">
        <f>IF('事業所損益管理(H30.9～H31.8)_査定'!L199="","",'事業所損益管理(H30.9～H31.8)_査定'!L199)</f>
        <v>5350000</v>
      </c>
      <c r="M93" s="1910" t="str">
        <f>IF('事業所損益管理(H30.9～H31.8)_査定'!M199="","",'事業所損益管理(H30.9～H31.8)_査定'!M199)</f>
        <v/>
      </c>
      <c r="R93" s="1064">
        <v>-1</v>
      </c>
      <c r="S93" s="1063" t="s">
        <v>1156</v>
      </c>
      <c r="T93" s="413" t="s">
        <v>1160</v>
      </c>
      <c r="U93" s="350"/>
      <c r="V93" s="1121"/>
    </row>
    <row r="94" spans="2:25" ht="14.25" customHeight="1" x14ac:dyDescent="0.15">
      <c r="D94" s="2174"/>
      <c r="E94" s="438" t="s">
        <v>406</v>
      </c>
      <c r="F94" s="1012">
        <f>IF('事業所損益管理(H30.9～H31.8)_査定'!F200="","",'事業所損益管理(H30.9～H31.8)_査定'!F200)</f>
        <v>2414881</v>
      </c>
      <c r="G94" s="440">
        <f>IF('事業所損益管理(H30.9～H31.8)_査定'!G200="","",'事業所損益管理(H30.9～H31.8)_査定'!G200)</f>
        <v>-1695495</v>
      </c>
      <c r="H94" s="440">
        <f>IF('事業所損益管理(H30.9～H31.8)_査定'!H200="","",'事業所損益管理(H30.9～H31.8)_査定'!H200)</f>
        <v>1913604</v>
      </c>
      <c r="I94" s="1260">
        <f>IF('事業所損益管理(H30.9～H31.8)_査定'!I200="","",'事業所損益管理(H30.9～H31.8)_査定'!I200)</f>
        <v>1107150</v>
      </c>
      <c r="J94" s="1260">
        <f>IF('事業所損益管理(H30.9～H31.8)_査定'!J200="","",'事業所損益管理(H30.9～H31.8)_査定'!J200)</f>
        <v>2390808</v>
      </c>
      <c r="K94" s="1461">
        <f>IF('事業所損益管理(H30.9～H31.8)_査定'!K200="","",'事業所損益管理(H30.9～H31.8)_査定'!K200)</f>
        <v>3142256</v>
      </c>
      <c r="L94" s="1256">
        <f>IF('事業所損益管理(H30.9～H31.8)_査定'!L200="","",'事業所損益管理(H30.9～H31.8)_査定'!L200)</f>
        <v>9273204</v>
      </c>
      <c r="M94" s="1256">
        <f>IF('事業所損益管理(H30.9～H31.8)_査定'!M200="","",'事業所損益管理(H30.9～H31.8)_査定'!M200)</f>
        <v>9273204</v>
      </c>
      <c r="R94" s="1874"/>
      <c r="S94" s="405"/>
      <c r="T94" s="350"/>
      <c r="U94" s="350"/>
      <c r="V94" s="1121"/>
    </row>
    <row r="95" spans="2:25" ht="14.25" customHeight="1" x14ac:dyDescent="0.15">
      <c r="D95" s="2174" t="s">
        <v>478</v>
      </c>
      <c r="E95" s="437" t="s">
        <v>405</v>
      </c>
      <c r="F95" s="1013">
        <f>IF('事業所損益管理(H30.9～H31.8)_査定'!F201="","",'事業所損益管理(H30.9～H31.8)_査定'!F201)</f>
        <v>1300000</v>
      </c>
      <c r="G95" s="441">
        <f>IF('事業所損益管理(H30.9～H31.8)_査定'!G201="","",'事業所損益管理(H30.9～H31.8)_査定'!G201)</f>
        <v>-2650000</v>
      </c>
      <c r="H95" s="441">
        <f>IF('事業所損益管理(H30.9～H31.8)_査定'!H201="","",'事業所損益管理(H30.9～H31.8)_査定'!H201)</f>
        <v>1350000</v>
      </c>
      <c r="I95" s="1261">
        <f>IF('事業所損益管理(H30.9～H31.8)_査定'!I201="","",'事業所損益管理(H30.9～H31.8)_査定'!I201)</f>
        <v>1150000</v>
      </c>
      <c r="J95" s="1261">
        <f>IF('事業所損益管理(H30.9～H31.8)_査定'!J201="","",'事業所損益管理(H30.9～H31.8)_査定'!J201)</f>
        <v>1200000</v>
      </c>
      <c r="K95" s="1462">
        <f>IF('事業所損益管理(H30.9～H31.8)_査定'!K201="","",'事業所損益管理(H30.9～H31.8)_査定'!K201)</f>
        <v>1200000</v>
      </c>
      <c r="L95" s="1257">
        <f>IF('事業所損益管理(H30.9～H31.8)_査定'!L201="","",'事業所損益管理(H30.9～H31.8)_査定'!L201)</f>
        <v>3550000</v>
      </c>
      <c r="M95" s="1911" t="str">
        <f>IF('事業所損益管理(H30.9～H31.8)_査定'!M201="","",'事業所損益管理(H30.9～H31.8)_査定'!M201)</f>
        <v/>
      </c>
      <c r="R95" s="1873" t="s">
        <v>1153</v>
      </c>
      <c r="S95" s="350"/>
      <c r="T95" s="350"/>
      <c r="U95" s="350"/>
      <c r="V95" s="1121"/>
    </row>
    <row r="96" spans="2:25" ht="14.25" customHeight="1" x14ac:dyDescent="0.15">
      <c r="D96" s="2174"/>
      <c r="E96" s="438" t="s">
        <v>406</v>
      </c>
      <c r="F96" s="1012">
        <f>IF('事業所損益管理(H30.9～H31.8)_査定'!F202="","",'事業所損益管理(H30.9～H31.8)_査定'!F202)</f>
        <v>1403149</v>
      </c>
      <c r="G96" s="440">
        <f>IF('事業所損益管理(H30.9～H31.8)_査定'!G202="","",'事業所損益管理(H30.9～H31.8)_査定'!G202)</f>
        <v>-2114751</v>
      </c>
      <c r="H96" s="440">
        <f>IF('事業所損益管理(H30.9～H31.8)_査定'!H202="","",'事業所損益管理(H30.9～H31.8)_査定'!H202)</f>
        <v>414415</v>
      </c>
      <c r="I96" s="1260">
        <f>IF('事業所損益管理(H30.9～H31.8)_査定'!I202="","",'事業所損益管理(H30.9～H31.8)_査定'!I202)</f>
        <v>1244668</v>
      </c>
      <c r="J96" s="1260">
        <f>IF('事業所損益管理(H30.9～H31.8)_査定'!J202="","",'事業所損益管理(H30.9～H31.8)_査定'!J202)</f>
        <v>640924</v>
      </c>
      <c r="K96" s="1461">
        <f>IF('事業所損益管理(H30.9～H31.8)_査定'!K202="","",'事業所損益管理(H30.9～H31.8)_査定'!K202)</f>
        <v>1130446</v>
      </c>
      <c r="L96" s="1256">
        <f>IF('事業所損益管理(H30.9～H31.8)_査定'!L202="","",'事業所損益管理(H30.9～H31.8)_査定'!L202)</f>
        <v>2718851</v>
      </c>
      <c r="M96" s="1256">
        <f>IF('事業所損益管理(H30.9～H31.8)_査定'!M202="","",'事業所損益管理(H30.9～H31.8)_査定'!M202)</f>
        <v>2718851</v>
      </c>
      <c r="R96" s="1064">
        <v>1</v>
      </c>
      <c r="S96" s="1065" t="s">
        <v>1157</v>
      </c>
      <c r="T96" s="413" t="s">
        <v>1161</v>
      </c>
      <c r="U96" s="350"/>
      <c r="V96" s="1121"/>
    </row>
    <row r="97" spans="4:22" ht="14.25" customHeight="1" x14ac:dyDescent="0.15">
      <c r="D97" s="2174" t="s">
        <v>479</v>
      </c>
      <c r="E97" s="437" t="s">
        <v>405</v>
      </c>
      <c r="F97" s="1013">
        <f>IF('事業所損益管理(H30.9～H31.8)_査定'!F203="","",'事業所損益管理(H30.9～H31.8)_査定'!F203)</f>
        <v>1400000</v>
      </c>
      <c r="G97" s="441">
        <f>IF('事業所損益管理(H30.9～H31.8)_査定'!G203="","",'事業所損益管理(H30.9～H31.8)_査定'!G203)</f>
        <v>-2750000</v>
      </c>
      <c r="H97" s="441">
        <f>IF('事業所損益管理(H30.9～H31.8)_査定'!H203="","",'事業所損益管理(H30.9～H31.8)_査定'!H203)</f>
        <v>1400000</v>
      </c>
      <c r="I97" s="1261">
        <f>IF('事業所損益管理(H30.9～H31.8)_査定'!I203="","",'事業所損益管理(H30.9～H31.8)_査定'!I203)</f>
        <v>1600000</v>
      </c>
      <c r="J97" s="1261">
        <f>IF('事業所損益管理(H30.9～H31.8)_査定'!J203="","",'事業所損益管理(H30.9～H31.8)_査定'!J203)</f>
        <v>1550000</v>
      </c>
      <c r="K97" s="1462">
        <f>IF('事業所損益管理(H30.9～H31.8)_査定'!K203="","",'事業所損益管理(H30.9～H31.8)_査定'!K203)</f>
        <v>1500000</v>
      </c>
      <c r="L97" s="1257">
        <f>IF('事業所損益管理(H30.9～H31.8)_査定'!L203="","",'事業所損益管理(H30.9～H31.8)_査定'!L203)</f>
        <v>4700000</v>
      </c>
      <c r="M97" s="1911" t="str">
        <f>IF('事業所損益管理(H30.9～H31.8)_査定'!M203="","",'事業所損益管理(H30.9～H31.8)_査定'!M203)</f>
        <v/>
      </c>
      <c r="R97" s="1064">
        <v>0</v>
      </c>
      <c r="S97" s="1065" t="s">
        <v>1158</v>
      </c>
      <c r="T97" s="413" t="s">
        <v>1162</v>
      </c>
      <c r="U97" s="350"/>
      <c r="V97" s="1121"/>
    </row>
    <row r="98" spans="4:22" ht="14.25" customHeight="1" x14ac:dyDescent="0.15">
      <c r="D98" s="2174"/>
      <c r="E98" s="438" t="s">
        <v>406</v>
      </c>
      <c r="F98" s="1012">
        <f>IF('事業所損益管理(H30.9～H31.8)_査定'!F204="","",'事業所損益管理(H30.9～H31.8)_査定'!F204)</f>
        <v>735702</v>
      </c>
      <c r="G98" s="440">
        <f>IF('事業所損益管理(H30.9～H31.8)_査定'!G204="","",'事業所損益管理(H30.9～H31.8)_査定'!G204)</f>
        <v>-2553972</v>
      </c>
      <c r="H98" s="440">
        <f>IF('事業所損益管理(H30.9～H31.8)_査定'!H204="","",'事業所損益管理(H30.9～H31.8)_査定'!H204)</f>
        <v>443794</v>
      </c>
      <c r="I98" s="1260">
        <f>IF('事業所損益管理(H30.9～H31.8)_査定'!I204="","",'事業所損益管理(H30.9～H31.8)_査定'!I204)</f>
        <v>722437</v>
      </c>
      <c r="J98" s="1260">
        <f>IF('事業所損益管理(H30.9～H31.8)_査定'!J204="","",'事業所損益管理(H30.9～H31.8)_査定'!J204)</f>
        <v>1136503</v>
      </c>
      <c r="K98" s="1461">
        <f>IF('事業所損益管理(H30.9～H31.8)_査定'!K204="","",'事業所損益管理(H30.9～H31.8)_査定'!K204)</f>
        <v>1129037</v>
      </c>
      <c r="L98" s="1256">
        <f>IF('事業所損益管理(H30.9～H31.8)_査定'!L204="","",'事業所損益管理(H30.9～H31.8)_査定'!L204)</f>
        <v>1613501</v>
      </c>
      <c r="M98" s="1256">
        <f>IF('事業所損益管理(H30.9～H31.8)_査定'!M204="","",'事業所損益管理(H30.9～H31.8)_査定'!M204)</f>
        <v>1613501</v>
      </c>
      <c r="R98" s="1064">
        <v>-1</v>
      </c>
      <c r="S98" s="1063" t="s">
        <v>1158</v>
      </c>
      <c r="T98" s="413" t="s">
        <v>1164</v>
      </c>
      <c r="U98" s="405"/>
      <c r="V98" s="1121"/>
    </row>
    <row r="99" spans="4:22" ht="14.25" customHeight="1" x14ac:dyDescent="0.15">
      <c r="D99" s="2174" t="s">
        <v>967</v>
      </c>
      <c r="E99" s="437" t="s">
        <v>405</v>
      </c>
      <c r="F99" s="1013">
        <f>IF('事業所損益管理(H30.9～H31.8)_査定'!F205="","",'事業所損益管理(H30.9～H31.8)_査定'!F205)</f>
        <v>-450000</v>
      </c>
      <c r="G99" s="441">
        <f>IF('事業所損益管理(H30.9～H31.8)_査定'!G205="","",'事業所損益管理(H30.9～H31.8)_査定'!G205)</f>
        <v>-1206000</v>
      </c>
      <c r="H99" s="441">
        <f>IF('事業所損益管理(H30.9～H31.8)_査定'!H205="","",'事業所損益管理(H30.9～H31.8)_査定'!H205)</f>
        <v>-606000</v>
      </c>
      <c r="I99" s="1261">
        <f>IF('事業所損益管理(H30.9～H31.8)_査定'!I205="","",'事業所損益管理(H30.9～H31.8)_査定'!I205)</f>
        <v>-903000</v>
      </c>
      <c r="J99" s="1261">
        <f>IF('事業所損益管理(H30.9～H31.8)_査定'!J205="","",'事業所損益管理(H30.9～H31.8)_査定'!J205)</f>
        <v>-850000</v>
      </c>
      <c r="K99" s="1462">
        <f>IF('事業所損益管理(H30.9～H31.8)_査定'!K205="","",'事業所損益管理(H30.9～H31.8)_査定'!K205)</f>
        <v>-850000</v>
      </c>
      <c r="L99" s="1257">
        <f>IF('事業所損益管理(H30.9～H31.8)_査定'!L205="","",'事業所損益管理(H30.9～H31.8)_査定'!L205)</f>
        <v>-4865000</v>
      </c>
      <c r="M99" s="1911" t="str">
        <f>IF('事業所損益管理(H30.9～H31.8)_査定'!M205="","",'事業所損益管理(H30.9～H31.8)_査定'!M205)</f>
        <v/>
      </c>
      <c r="R99" s="1875"/>
      <c r="S99" s="1081"/>
      <c r="T99" s="1081"/>
      <c r="U99" s="1081"/>
      <c r="V99" s="1121"/>
    </row>
    <row r="100" spans="4:22" ht="14.25" customHeight="1" x14ac:dyDescent="0.15">
      <c r="D100" s="2174"/>
      <c r="E100" s="438" t="s">
        <v>406</v>
      </c>
      <c r="F100" s="1012">
        <f>IF('事業所損益管理(H30.9～H31.8)_査定'!F206="","",'事業所損益管理(H30.9～H31.8)_査定'!F206)</f>
        <v>-681689</v>
      </c>
      <c r="G100" s="440">
        <f>IF('事業所損益管理(H30.9～H31.8)_査定'!G206="","",'事業所損益管理(H30.9～H31.8)_査定'!G206)</f>
        <v>-974058</v>
      </c>
      <c r="H100" s="440">
        <f>IF('事業所損益管理(H30.9～H31.8)_査定'!H206="","",'事業所損益管理(H30.9～H31.8)_査定'!H206)</f>
        <v>-689827</v>
      </c>
      <c r="I100" s="1260">
        <f>IF('事業所損益管理(H30.9～H31.8)_査定'!I206="","",'事業所損益管理(H30.9～H31.8)_査定'!I206)</f>
        <v>-868819</v>
      </c>
      <c r="J100" s="1260">
        <f>IF('事業所損益管理(H30.9～H31.8)_査定'!J206="","",'事業所損益管理(H30.9～H31.8)_査定'!J206)</f>
        <v>-929510</v>
      </c>
      <c r="K100" s="1461">
        <f>IF('事業所損益管理(H30.9～H31.8)_査定'!K206="","",'事業所損益管理(H30.9～H31.8)_査定'!K206)</f>
        <v>-861958</v>
      </c>
      <c r="L100" s="1256">
        <f>IF('事業所損益管理(H30.9～H31.8)_査定'!L206="","",'事業所損益管理(H30.9～H31.8)_査定'!L206)</f>
        <v>-5005861</v>
      </c>
      <c r="M100" s="1256">
        <f>IF('事業所損益管理(H30.9～H31.8)_査定'!M206="","",'事業所損益管理(H30.9～H31.8)_査定'!M206)</f>
        <v>-5005861</v>
      </c>
      <c r="R100" s="1873" t="s">
        <v>1325</v>
      </c>
      <c r="S100" s="405"/>
      <c r="T100" s="350"/>
      <c r="U100" s="1081"/>
      <c r="V100" s="1121"/>
    </row>
    <row r="101" spans="4:22" ht="14.25" customHeight="1" x14ac:dyDescent="0.15">
      <c r="D101" s="2174" t="s">
        <v>1317</v>
      </c>
      <c r="E101" s="437" t="s">
        <v>405</v>
      </c>
      <c r="F101" s="1013">
        <f>IF('事業所損益管理(H30.9～H31.8)_査定'!F207="","",'事業所損益管理(H30.9～H31.8)_査定'!F207)</f>
        <v>-1133000</v>
      </c>
      <c r="G101" s="441">
        <f>IF('事業所損益管理(H30.9～H31.8)_査定'!G207="","",'事業所損益管理(H30.9～H31.8)_査定'!G207)</f>
        <v>-1470000</v>
      </c>
      <c r="H101" s="441">
        <f>IF('事業所損益管理(H30.9～H31.8)_査定'!H207="","",'事業所損益管理(H30.9～H31.8)_査定'!H207)</f>
        <v>-940000</v>
      </c>
      <c r="I101" s="1261">
        <f>IF('事業所損益管理(H30.9～H31.8)_査定'!I207="","",'事業所損益管理(H30.9～H31.8)_査定'!I207)</f>
        <v>-680000</v>
      </c>
      <c r="J101" s="1261">
        <f>IF('事業所損益管理(H30.9～H31.8)_査定'!J207="","",'事業所損益管理(H30.9～H31.8)_査定'!J207)</f>
        <v>-1070000</v>
      </c>
      <c r="K101" s="1462">
        <f>IF('事業所損益管理(H30.9～H31.8)_査定'!K207="","",'事業所損益管理(H30.9～H31.8)_査定'!K207)</f>
        <v>-1020000</v>
      </c>
      <c r="L101" s="1257">
        <f>IF('事業所損益管理(H30.9～H31.8)_査定'!L207="","",'事業所損益管理(H30.9～H31.8)_査定'!L207)</f>
        <v>-6313000</v>
      </c>
      <c r="M101" s="1911" t="str">
        <f>IF('事業所損益管理(H30.9～H31.8)_査定'!M207="","",'事業所損益管理(H30.9～H31.8)_査定'!M207)</f>
        <v/>
      </c>
      <c r="R101" s="1064">
        <v>1</v>
      </c>
      <c r="S101" s="1065" t="s">
        <v>1326</v>
      </c>
      <c r="T101" s="413" t="s">
        <v>1159</v>
      </c>
      <c r="U101" s="1081"/>
      <c r="V101" s="1121"/>
    </row>
    <row r="102" spans="4:22" ht="14.25" customHeight="1" x14ac:dyDescent="0.15">
      <c r="D102" s="2174"/>
      <c r="E102" s="438" t="s">
        <v>406</v>
      </c>
      <c r="F102" s="1012">
        <f>IF('事業所損益管理(H30.9～H31.8)_査定'!F208="","",'事業所損益管理(H30.9～H31.8)_査定'!F208)</f>
        <v>-1136508</v>
      </c>
      <c r="G102" s="440">
        <f>IF('事業所損益管理(H30.9～H31.8)_査定'!G208="","",'事業所損益管理(H30.9～H31.8)_査定'!G208)</f>
        <v>-855274</v>
      </c>
      <c r="H102" s="440">
        <f>IF('事業所損益管理(H30.9～H31.8)_査定'!H208="","",'事業所損益管理(H30.9～H31.8)_査定'!H208)</f>
        <v>-920365</v>
      </c>
      <c r="I102" s="1260">
        <f>IF('事業所損益管理(H30.9～H31.8)_査定'!I208="","",'事業所損益管理(H30.9～H31.8)_査定'!I208)</f>
        <v>-614117</v>
      </c>
      <c r="J102" s="1260">
        <f>IF('事業所損益管理(H30.9～H31.8)_査定'!J208="","",'事業所損益管理(H30.9～H31.8)_査定'!J208)</f>
        <v>-696871</v>
      </c>
      <c r="K102" s="1461">
        <f>IF('事業所損益管理(H30.9～H31.8)_査定'!K208="","",'事業所損益管理(H30.9～H31.8)_査定'!K208)</f>
        <v>-472136</v>
      </c>
      <c r="L102" s="1256">
        <f>IF('事業所損益管理(H30.9～H31.8)_査定'!L208="","",'事業所損益管理(H30.9～H31.8)_査定'!L208)</f>
        <v>-4695271</v>
      </c>
      <c r="M102" s="1256">
        <f>IF('事業所損益管理(H30.9～H31.8)_査定'!M208="","",'事業所損益管理(H30.9～H31.8)_査定'!M208)</f>
        <v>-4695271</v>
      </c>
      <c r="R102" s="1875"/>
      <c r="S102" s="1081"/>
      <c r="T102" s="413" t="s">
        <v>1328</v>
      </c>
      <c r="U102" s="1081"/>
      <c r="V102" s="1121"/>
    </row>
    <row r="103" spans="4:22" ht="14.25" hidden="1" customHeight="1" outlineLevel="1" x14ac:dyDescent="0.15">
      <c r="D103" s="2175" t="s">
        <v>358</v>
      </c>
      <c r="E103" s="437" t="s">
        <v>405</v>
      </c>
      <c r="F103" s="1013">
        <f>IF('事業所損益管理(H30.9～H31.8)_査定'!F209="","",'事業所損益管理(H30.9～H31.8)_査定'!F209)</f>
        <v>450000</v>
      </c>
      <c r="G103" s="441">
        <f>IF('事業所損益管理(H30.9～H31.8)_査定'!G209="","",'事業所損益管理(H30.9～H31.8)_査定'!G209)</f>
        <v>-800000</v>
      </c>
      <c r="H103" s="441">
        <f>IF('事業所損益管理(H30.9～H31.8)_査定'!H209="","",'事業所損益管理(H30.9～H31.8)_査定'!H209)</f>
        <v>200000</v>
      </c>
      <c r="I103" s="1261">
        <f>IF('事業所損益管理(H30.9～H31.8)_査定'!I209="","",'事業所損益管理(H30.9～H31.8)_査定'!I209)</f>
        <v>200000</v>
      </c>
      <c r="J103" s="1261">
        <f>IF('事業所損益管理(H30.9～H31.8)_査定'!J209="","",'事業所損益管理(H30.9～H31.8)_査定'!J209)</f>
        <v>500000</v>
      </c>
      <c r="K103" s="1462">
        <f>IF('事業所損益管理(H30.9～H31.8)_査定'!K209="","",'事業所損益管理(H30.9～H31.8)_査定'!K209)</f>
        <v>500000</v>
      </c>
      <c r="L103" s="1257">
        <f>IF('事業所損益管理(H30.9～H31.8)_査定'!L209="","",'事業所損益管理(H30.9～H31.8)_査定'!L209)</f>
        <v>1050000</v>
      </c>
      <c r="M103" s="1911" t="str">
        <f>IF('事業所損益管理(H30.9～H31.8)_査定'!M209="","",'事業所損益管理(H30.9～H31.8)_査定'!M209)</f>
        <v/>
      </c>
      <c r="U103" s="1081"/>
      <c r="V103" s="1121"/>
    </row>
    <row r="104" spans="4:22" ht="14.25" hidden="1" customHeight="1" outlineLevel="1" x14ac:dyDescent="0.15">
      <c r="D104" s="2175"/>
      <c r="E104" s="438" t="s">
        <v>406</v>
      </c>
      <c r="F104" s="1012">
        <f>IF('事業所損益管理(H30.9～H31.8)_査定'!F210="","",'事業所損益管理(H30.9～H31.8)_査定'!F210)</f>
        <v>1103699</v>
      </c>
      <c r="G104" s="440">
        <f>IF('事業所損益管理(H30.9～H31.8)_査定'!G210="","",'事業所損益管理(H30.9～H31.8)_査定'!G210)</f>
        <v>-550258</v>
      </c>
      <c r="H104" s="440">
        <f>IF('事業所損益管理(H30.9～H31.8)_査定'!H210="","",'事業所損益管理(H30.9～H31.8)_査定'!H210)</f>
        <v>5352</v>
      </c>
      <c r="I104" s="1260">
        <f>IF('事業所損益管理(H30.9～H31.8)_査定'!I210="","",'事業所損益管理(H30.9～H31.8)_査定'!I210)</f>
        <v>724455</v>
      </c>
      <c r="J104" s="1260">
        <f>IF('事業所損益管理(H30.9～H31.8)_査定'!J210="","",'事業所損益管理(H30.9～H31.8)_査定'!J210)</f>
        <v>1186078</v>
      </c>
      <c r="K104" s="1461">
        <f>IF('事業所損益管理(H30.9～H31.8)_査定'!K210="","",'事業所損益管理(H30.9～H31.8)_査定'!K210)</f>
        <v>523758</v>
      </c>
      <c r="L104" s="1256">
        <f>IF('事業所損益管理(H30.9～H31.8)_査定'!L210="","",'事業所損益管理(H30.9～H31.8)_査定'!L210)</f>
        <v>2993084</v>
      </c>
      <c r="M104" s="1256">
        <f>IF('事業所損益管理(H30.9～H31.8)_査定'!M210="","",'事業所損益管理(H30.9～H31.8)_査定'!M210)</f>
        <v>2993084</v>
      </c>
      <c r="U104" s="1081"/>
      <c r="V104" s="1121"/>
    </row>
    <row r="105" spans="4:22" ht="14.25" hidden="1" customHeight="1" outlineLevel="1" x14ac:dyDescent="0.15">
      <c r="D105" s="2175" t="s">
        <v>359</v>
      </c>
      <c r="E105" s="437" t="s">
        <v>405</v>
      </c>
      <c r="F105" s="1013">
        <f>IF('事業所損益管理(H30.9～H31.8)_査定'!F211="","",'事業所損益管理(H30.9～H31.8)_査定'!F211)</f>
        <v>-150000</v>
      </c>
      <c r="G105" s="441">
        <f>IF('事業所損益管理(H30.9～H31.8)_査定'!G211="","",'事業所損益管理(H30.9～H31.8)_査定'!G211)</f>
        <v>-450000</v>
      </c>
      <c r="H105" s="441">
        <f>IF('事業所損益管理(H30.9～H31.8)_査定'!H211="","",'事業所損益管理(H30.9～H31.8)_査定'!H211)</f>
        <v>300000</v>
      </c>
      <c r="I105" s="1261">
        <f>IF('事業所損益管理(H30.9～H31.8)_査定'!I211="","",'事業所損益管理(H30.9～H31.8)_査定'!I211)</f>
        <v>300000</v>
      </c>
      <c r="J105" s="1261">
        <f>IF('事業所損益管理(H30.9～H31.8)_査定'!J211="","",'事業所損益管理(H30.9～H31.8)_査定'!J211)</f>
        <v>0</v>
      </c>
      <c r="K105" s="1462">
        <f>IF('事業所損益管理(H30.9～H31.8)_査定'!K211="","",'事業所損益管理(H30.9～H31.8)_査定'!K211)</f>
        <v>0</v>
      </c>
      <c r="L105" s="1257">
        <f>IF('事業所損益管理(H30.9～H31.8)_査定'!L211="","",'事業所損益管理(H30.9～H31.8)_査定'!L211)</f>
        <v>0</v>
      </c>
      <c r="M105" s="1911" t="str">
        <f>IF('事業所損益管理(H30.9～H31.8)_査定'!M211="","",'事業所損益管理(H30.9～H31.8)_査定'!M211)</f>
        <v/>
      </c>
      <c r="U105" s="1081"/>
      <c r="V105" s="1121"/>
    </row>
    <row r="106" spans="4:22" ht="14.25" hidden="1" customHeight="1" outlineLevel="1" x14ac:dyDescent="0.15">
      <c r="D106" s="2175"/>
      <c r="E106" s="438" t="s">
        <v>406</v>
      </c>
      <c r="F106" s="1012">
        <f>IF('事業所損益管理(H30.9～H31.8)_査定'!F212="","",'事業所損益管理(H30.9～H31.8)_査定'!F212)</f>
        <v>625256</v>
      </c>
      <c r="G106" s="440">
        <f>IF('事業所損益管理(H30.9～H31.8)_査定'!G212="","",'事業所損益管理(H30.9～H31.8)_査定'!G212)</f>
        <v>-653419</v>
      </c>
      <c r="H106" s="440">
        <f>IF('事業所損益管理(H30.9～H31.8)_査定'!H212="","",'事業所損益管理(H30.9～H31.8)_査定'!H212)</f>
        <v>-391394</v>
      </c>
      <c r="I106" s="1260">
        <f>IF('事業所損益管理(H30.9～H31.8)_査定'!I212="","",'事業所損益管理(H30.9～H31.8)_査定'!I212)</f>
        <v>-296053</v>
      </c>
      <c r="J106" s="1260">
        <f>IF('事業所損益管理(H30.9～H31.8)_査定'!J212="","",'事業所損益管理(H30.9～H31.8)_査定'!J212)</f>
        <v>-557765</v>
      </c>
      <c r="K106" s="1461">
        <f>IF('事業所損益管理(H30.9～H31.8)_査定'!K212="","",'事業所損益管理(H30.9～H31.8)_査定'!K212)</f>
        <v>-469279</v>
      </c>
      <c r="L106" s="1256">
        <f>IF('事業所損益管理(H30.9～H31.8)_査定'!L212="","",'事業所損益管理(H30.9～H31.8)_査定'!L212)</f>
        <v>-1742654</v>
      </c>
      <c r="M106" s="1256">
        <f>IF('事業所損益管理(H30.9～H31.8)_査定'!M212="","",'事業所損益管理(H30.9～H31.8)_査定'!M212)</f>
        <v>-1742654</v>
      </c>
      <c r="U106" s="1081"/>
      <c r="V106" s="1121"/>
    </row>
    <row r="107" spans="4:22" ht="14.25" customHeight="1" collapsed="1" x14ac:dyDescent="0.15">
      <c r="D107" s="2207" t="s">
        <v>1477</v>
      </c>
      <c r="E107" s="437" t="s">
        <v>405</v>
      </c>
      <c r="F107" s="1013">
        <f>IF(SUM(F103,F105)=0,"",SUM(F103,F105))</f>
        <v>300000</v>
      </c>
      <c r="G107" s="441">
        <f t="shared" ref="G107:K108" si="39">IF(SUM(G103,G105)=0,"",SUM(G103,G105))</f>
        <v>-1250000</v>
      </c>
      <c r="H107" s="441">
        <f t="shared" si="39"/>
        <v>500000</v>
      </c>
      <c r="I107" s="1261">
        <f t="shared" si="39"/>
        <v>500000</v>
      </c>
      <c r="J107" s="1261">
        <f t="shared" si="39"/>
        <v>500000</v>
      </c>
      <c r="K107" s="1462">
        <f t="shared" si="39"/>
        <v>500000</v>
      </c>
      <c r="L107" s="1257">
        <f>IF('事業所損益管理(H30.9～H31.8)_査定'!L213="","",'事業所損益管理(H30.9～H31.8)_査定'!L213)</f>
        <v>1050000</v>
      </c>
      <c r="M107" s="1911"/>
      <c r="R107" s="1064">
        <v>0</v>
      </c>
      <c r="S107" s="1065" t="s">
        <v>1327</v>
      </c>
      <c r="T107" s="413" t="s">
        <v>1163</v>
      </c>
      <c r="U107" s="1081"/>
      <c r="V107" s="1121"/>
    </row>
    <row r="108" spans="4:22" ht="14.25" customHeight="1" x14ac:dyDescent="0.15">
      <c r="D108" s="2206"/>
      <c r="E108" s="438" t="s">
        <v>406</v>
      </c>
      <c r="F108" s="1012">
        <f>IF(SUM(F104,F106)=0,"",SUM(F104,F106))</f>
        <v>1728955</v>
      </c>
      <c r="G108" s="440">
        <f t="shared" si="39"/>
        <v>-1203677</v>
      </c>
      <c r="H108" s="440">
        <f t="shared" si="39"/>
        <v>-386042</v>
      </c>
      <c r="I108" s="1260">
        <f t="shared" si="39"/>
        <v>428402</v>
      </c>
      <c r="J108" s="1260">
        <f t="shared" si="39"/>
        <v>628313</v>
      </c>
      <c r="K108" s="1461">
        <f t="shared" si="39"/>
        <v>54479</v>
      </c>
      <c r="L108" s="1256">
        <f>IF('事業所損益管理(H30.9～H31.8)_査定'!L214="","",'事業所損益管理(H30.9～H31.8)_査定'!L214)</f>
        <v>1250430</v>
      </c>
      <c r="M108" s="1256">
        <f t="array" ref="M108">SUM(IF(F108:K108="",F107:K107))+SUM(F108:K108)</f>
        <v>1250430</v>
      </c>
      <c r="R108" s="1875"/>
      <c r="S108" s="1081"/>
      <c r="T108" s="413" t="s">
        <v>1329</v>
      </c>
      <c r="U108" s="1081"/>
      <c r="V108" s="1121"/>
    </row>
    <row r="109" spans="4:22" ht="14.25" hidden="1" customHeight="1" outlineLevel="1" x14ac:dyDescent="0.15">
      <c r="D109" s="2175" t="s">
        <v>119</v>
      </c>
      <c r="E109" s="437" t="s">
        <v>405</v>
      </c>
      <c r="F109" s="1013">
        <f>IF('事業所損益管理(H30.9～H31.8)_査定'!F215="","",'事業所損益管理(H30.9～H31.8)_査定'!F215)</f>
        <v>-70000</v>
      </c>
      <c r="G109" s="441">
        <f>IF('事業所損益管理(H30.9～H31.8)_査定'!G215="","",'事業所損益管理(H30.9～H31.8)_査定'!G215)</f>
        <v>110000</v>
      </c>
      <c r="H109" s="441">
        <f>IF('事業所損益管理(H30.9～H31.8)_査定'!H215="","",'事業所損益管理(H30.9～H31.8)_査定'!H215)</f>
        <v>110000</v>
      </c>
      <c r="I109" s="1261">
        <f>IF('事業所損益管理(H30.9～H31.8)_査定'!I215="","",'事業所損益管理(H30.9～H31.8)_査定'!I215)</f>
        <v>110000</v>
      </c>
      <c r="J109" s="1261">
        <f>IF('事業所損益管理(H30.9～H31.8)_査定'!J215="","",'事業所損益管理(H30.9～H31.8)_査定'!J215)</f>
        <v>110000</v>
      </c>
      <c r="K109" s="1462">
        <f>IF('事業所損益管理(H30.9～H31.8)_査定'!K215="","",'事業所損益管理(H30.9～H31.8)_査定'!K215)</f>
        <v>110000</v>
      </c>
      <c r="L109" s="1257">
        <f>IF('事業所損益管理(H30.9～H31.8)_査定'!L215="","",'事業所損益管理(H30.9～H31.8)_査定'!L215)</f>
        <v>480000</v>
      </c>
      <c r="M109" s="1911" t="str">
        <f>IF('事業所損益管理(H30.9～H31.8)_査定'!M215="","",'事業所損益管理(H30.9～H31.8)_査定'!M215)</f>
        <v/>
      </c>
      <c r="U109" s="1859"/>
      <c r="V109" s="1121"/>
    </row>
    <row r="110" spans="4:22" ht="14.25" hidden="1" customHeight="1" outlineLevel="1" x14ac:dyDescent="0.15">
      <c r="D110" s="2175"/>
      <c r="E110" s="438" t="s">
        <v>406</v>
      </c>
      <c r="F110" s="1012">
        <f>IF('事業所損益管理(H30.9～H31.8)_査定'!F216="","",'事業所損益管理(H30.9～H31.8)_査定'!F216)</f>
        <v>195642</v>
      </c>
      <c r="G110" s="440">
        <f>IF('事業所損益管理(H30.9～H31.8)_査定'!G216="","",'事業所損益管理(H30.9～H31.8)_査定'!G216)</f>
        <v>211157</v>
      </c>
      <c r="H110" s="440">
        <f>IF('事業所損益管理(H30.9～H31.8)_査定'!H216="","",'事業所損益管理(H30.9～H31.8)_査定'!H216)</f>
        <v>354445</v>
      </c>
      <c r="I110" s="1260">
        <f>IF('事業所損益管理(H30.9～H31.8)_査定'!I216="","",'事業所損益管理(H30.9～H31.8)_査定'!I216)</f>
        <v>194210</v>
      </c>
      <c r="J110" s="1260">
        <f>IF('事業所損益管理(H30.9～H31.8)_査定'!J216="","",'事業所損益管理(H30.9～H31.8)_査定'!J216)</f>
        <v>187753</v>
      </c>
      <c r="K110" s="1461">
        <f>IF('事業所損益管理(H30.9～H31.8)_査定'!K216="","",'事業所損益管理(H30.9～H31.8)_査定'!K216)</f>
        <v>222224</v>
      </c>
      <c r="L110" s="1256">
        <f>IF('事業所損益管理(H30.9～H31.8)_査定'!L216="","",'事業所損益管理(H30.9～H31.8)_査定'!L216)</f>
        <v>1365431</v>
      </c>
      <c r="M110" s="1256">
        <f>IF('事業所損益管理(H30.9～H31.8)_査定'!M216="","",'事業所損益管理(H30.9～H31.8)_査定'!M216)</f>
        <v>1365431</v>
      </c>
      <c r="U110" s="1859"/>
      <c r="V110" s="1121"/>
    </row>
    <row r="111" spans="4:22" ht="14.25" hidden="1" customHeight="1" outlineLevel="1" x14ac:dyDescent="0.15">
      <c r="D111" s="2175" t="s">
        <v>360</v>
      </c>
      <c r="E111" s="437" t="s">
        <v>405</v>
      </c>
      <c r="F111" s="1013">
        <f>IF('事業所損益管理(H30.9～H31.8)_査定'!F217="","",'事業所損益管理(H30.9～H31.8)_査定'!F217)</f>
        <v>80000</v>
      </c>
      <c r="G111" s="441">
        <f>IF('事業所損益管理(H30.9～H31.8)_査定'!G217="","",'事業所損益管理(H30.9～H31.8)_査定'!G217)</f>
        <v>150000</v>
      </c>
      <c r="H111" s="441">
        <f>IF('事業所損益管理(H30.9～H31.8)_査定'!H217="","",'事業所損益管理(H30.9～H31.8)_査定'!H217)</f>
        <v>150000</v>
      </c>
      <c r="I111" s="1261">
        <f>IF('事業所損益管理(H30.9～H31.8)_査定'!I217="","",'事業所損益管理(H30.9～H31.8)_査定'!I217)</f>
        <v>150000</v>
      </c>
      <c r="J111" s="1261">
        <f>IF('事業所損益管理(H30.9～H31.8)_査定'!J217="","",'事業所損益管理(H30.9～H31.8)_査定'!J217)</f>
        <v>150000</v>
      </c>
      <c r="K111" s="1462">
        <f>IF('事業所損益管理(H30.9～H31.8)_査定'!K217="","",'事業所損益管理(H30.9～H31.8)_査定'!K217)</f>
        <v>150000</v>
      </c>
      <c r="L111" s="1257">
        <f>IF('事業所損益管理(H30.9～H31.8)_査定'!L217="","",'事業所損益管理(H30.9～H31.8)_査定'!L217)</f>
        <v>830000</v>
      </c>
      <c r="M111" s="1911" t="str">
        <f>IF('事業所損益管理(H30.9～H31.8)_査定'!M217="","",'事業所損益管理(H30.9～H31.8)_査定'!M217)</f>
        <v/>
      </c>
      <c r="U111" s="1859"/>
      <c r="V111" s="1121"/>
    </row>
    <row r="112" spans="4:22" ht="14.25" hidden="1" customHeight="1" outlineLevel="1" x14ac:dyDescent="0.15">
      <c r="D112" s="2175"/>
      <c r="E112" s="438" t="s">
        <v>406</v>
      </c>
      <c r="F112" s="1012">
        <f>IF('事業所損益管理(H30.9～H31.8)_査定'!F218="","",'事業所損益管理(H30.9～H31.8)_査定'!F218)</f>
        <v>291217</v>
      </c>
      <c r="G112" s="440">
        <f>IF('事業所損益管理(H30.9～H31.8)_査定'!G218="","",'事業所損益管理(H30.9～H31.8)_査定'!G218)</f>
        <v>351133</v>
      </c>
      <c r="H112" s="440">
        <f>IF('事業所損益管理(H30.9～H31.8)_査定'!H218="","",'事業所損益管理(H30.9～H31.8)_査定'!H218)</f>
        <v>595435</v>
      </c>
      <c r="I112" s="1260">
        <f>IF('事業所損益管理(H30.9～H31.8)_査定'!I218="","",'事業所損益管理(H30.9～H31.8)_査定'!I218)</f>
        <v>279055</v>
      </c>
      <c r="J112" s="1260">
        <f>IF('事業所損益管理(H30.9～H31.8)_査定'!J218="","",'事業所損益管理(H30.9～H31.8)_査定'!J218)</f>
        <v>200414</v>
      </c>
      <c r="K112" s="1461">
        <f>IF('事業所損益管理(H30.9～H31.8)_査定'!K218="","",'事業所損益管理(H30.9～H31.8)_査定'!K218)</f>
        <v>66312</v>
      </c>
      <c r="L112" s="1256">
        <f>IF('事業所損益管理(H30.9～H31.8)_査定'!L218="","",'事業所損益管理(H30.9～H31.8)_査定'!L218)</f>
        <v>1783566</v>
      </c>
      <c r="M112" s="1256">
        <f>IF('事業所損益管理(H30.9～H31.8)_査定'!M218="","",'事業所損益管理(H30.9～H31.8)_査定'!M218)</f>
        <v>1783566</v>
      </c>
      <c r="U112" s="1859"/>
      <c r="V112" s="1121"/>
    </row>
    <row r="113" spans="4:22" ht="14.25" hidden="1" customHeight="1" outlineLevel="1" x14ac:dyDescent="0.15">
      <c r="D113" s="2175" t="s">
        <v>398</v>
      </c>
      <c r="E113" s="437" t="s">
        <v>405</v>
      </c>
      <c r="F113" s="1013">
        <f>IF('事業所損益管理(H30.9～H31.8)_査定'!F219="","",'事業所損益管理(H30.9～H31.8)_査定'!F219)</f>
        <v>150000</v>
      </c>
      <c r="G113" s="441">
        <f>IF('事業所損益管理(H30.9～H31.8)_査定'!G219="","",'事業所損益管理(H30.9～H31.8)_査定'!G219)</f>
        <v>-150000</v>
      </c>
      <c r="H113" s="441">
        <f>IF('事業所損益管理(H30.9～H31.8)_査定'!H219="","",'事業所損益管理(H30.9～H31.8)_査定'!H219)</f>
        <v>-50000</v>
      </c>
      <c r="I113" s="1261">
        <f>IF('事業所損益管理(H30.9～H31.8)_査定'!I219="","",'事業所損益管理(H30.9～H31.8)_査定'!I219)</f>
        <v>-50000</v>
      </c>
      <c r="J113" s="1261">
        <f>IF('事業所損益管理(H30.9～H31.8)_査定'!J219="","",'事業所損益管理(H30.9～H31.8)_査定'!J219)</f>
        <v>-50000</v>
      </c>
      <c r="K113" s="1462">
        <f>IF('事業所損益管理(H30.9～H31.8)_査定'!K219="","",'事業所損益管理(H30.9～H31.8)_査定'!K219)</f>
        <v>-50000</v>
      </c>
      <c r="L113" s="1257">
        <f>IF('事業所損益管理(H30.9～H31.8)_査定'!L219="","",'事業所損益管理(H30.9～H31.8)_査定'!L219)</f>
        <v>-200000</v>
      </c>
      <c r="M113" s="1911" t="str">
        <f>IF('事業所損益管理(H30.9～H31.8)_査定'!M219="","",'事業所損益管理(H30.9～H31.8)_査定'!M219)</f>
        <v/>
      </c>
      <c r="U113" s="1859"/>
      <c r="V113" s="1121"/>
    </row>
    <row r="114" spans="4:22" ht="14.25" hidden="1" customHeight="1" outlineLevel="1" x14ac:dyDescent="0.15">
      <c r="D114" s="2175"/>
      <c r="E114" s="438" t="s">
        <v>406</v>
      </c>
      <c r="F114" s="1012">
        <f>IF('事業所損益管理(H30.9～H31.8)_査定'!F220="","",'事業所損益管理(H30.9～H31.8)_査定'!F220)</f>
        <v>-177849</v>
      </c>
      <c r="G114" s="440">
        <f>IF('事業所損益管理(H30.9～H31.8)_査定'!G220="","",'事業所損益管理(H30.9～H31.8)_査定'!G220)</f>
        <v>-308970</v>
      </c>
      <c r="H114" s="440">
        <f>IF('事業所損益管理(H30.9～H31.8)_査定'!H220="","",'事業所損益管理(H30.9～H31.8)_査定'!H220)</f>
        <v>-155565</v>
      </c>
      <c r="I114" s="1260">
        <f>IF('事業所損益管理(H30.9～H31.8)_査定'!I220="","",'事業所損益管理(H30.9～H31.8)_査定'!I220)</f>
        <v>-773171</v>
      </c>
      <c r="J114" s="1260">
        <f>IF('事業所損益管理(H30.9～H31.8)_査定'!J220="","",'事業所損益管理(H30.9～H31.8)_査定'!J220)</f>
        <v>-1383133</v>
      </c>
      <c r="K114" s="1461">
        <f>IF('事業所損益管理(H30.9～H31.8)_査定'!K220="","",'事業所損益管理(H30.9～H31.8)_査定'!K220)</f>
        <v>-456370</v>
      </c>
      <c r="L114" s="1256">
        <f>IF('事業所損益管理(H30.9～H31.8)_査定'!L220="","",'事業所損益管理(H30.9～H31.8)_査定'!L220)</f>
        <v>-3255058</v>
      </c>
      <c r="M114" s="1256">
        <f>IF('事業所損益管理(H30.9～H31.8)_査定'!M220="","",'事業所損益管理(H30.9～H31.8)_査定'!M220)</f>
        <v>-3255058</v>
      </c>
      <c r="U114" s="1859"/>
      <c r="V114" s="1121"/>
    </row>
    <row r="115" spans="4:22" ht="14.25" hidden="1" customHeight="1" outlineLevel="1" x14ac:dyDescent="0.15">
      <c r="D115" s="2204" t="s">
        <v>1524</v>
      </c>
      <c r="E115" s="437" t="s">
        <v>405</v>
      </c>
      <c r="F115" s="1013">
        <f>IF('事業所損益管理(H30.9～H31.8)_査定'!F221="","",'事業所損益管理(H30.9～H31.8)_査定'!F221)</f>
        <v>-350000</v>
      </c>
      <c r="G115" s="441">
        <f>IF('事業所損益管理(H30.9～H31.8)_査定'!G221="","",'事業所損益管理(H30.9～H31.8)_査定'!G221)</f>
        <v>-17000</v>
      </c>
      <c r="H115" s="441">
        <f>IF('事業所損益管理(H30.9～H31.8)_査定'!H221="","",'事業所損益管理(H30.9～H31.8)_査定'!H221)</f>
        <v>-667000</v>
      </c>
      <c r="I115" s="1261">
        <f>IF('事業所損益管理(H30.9～H31.8)_査定'!I221="","",'事業所損益管理(H30.9～H31.8)_査定'!I221)</f>
        <v>183000</v>
      </c>
      <c r="J115" s="1261">
        <f>IF('事業所損益管理(H30.9～H31.8)_査定'!J221="","",'事業所損益管理(H30.9～H31.8)_査定'!J221)</f>
        <v>233000</v>
      </c>
      <c r="K115" s="1462">
        <f>IF('事業所損益管理(H30.9～H31.8)_査定'!K221="","",'事業所損益管理(H30.9～H31.8)_査定'!K221)</f>
        <v>183000</v>
      </c>
      <c r="L115" s="1257">
        <f>IF('事業所損益管理(H30.9～H31.8)_査定'!L221="","",'事業所損益管理(H30.9～H31.8)_査定'!L221)</f>
        <v>-435000</v>
      </c>
      <c r="M115" s="1911" t="str">
        <f>IF('事業所損益管理(H30.9～H31.8)_査定'!M221="","",'事業所損益管理(H30.9～H31.8)_査定'!M221)</f>
        <v/>
      </c>
      <c r="U115" s="1859"/>
      <c r="V115" s="1121"/>
    </row>
    <row r="116" spans="4:22" ht="14.25" hidden="1" customHeight="1" outlineLevel="1" x14ac:dyDescent="0.15">
      <c r="D116" s="2205"/>
      <c r="E116" s="438" t="s">
        <v>406</v>
      </c>
      <c r="F116" s="1012">
        <f>IF('事業所損益管理(H30.9～H31.8)_査定'!F222="","",'事業所損益管理(H30.9～H31.8)_査定'!F222)</f>
        <v>-1066</v>
      </c>
      <c r="G116" s="440">
        <f>IF('事業所損益管理(H30.9～H31.8)_査定'!G222="","",'事業所損益管理(H30.9～H31.8)_査定'!G222)</f>
        <v>21992</v>
      </c>
      <c r="H116" s="440">
        <f>IF('事業所損益管理(H30.9～H31.8)_査定'!H222="","",'事業所損益管理(H30.9～H31.8)_査定'!H222)</f>
        <v>-145160</v>
      </c>
      <c r="I116" s="1260">
        <f>IF('事業所損益管理(H30.9～H31.8)_査定'!I222="","",'事業所損益管理(H30.9～H31.8)_査定'!I222)</f>
        <v>8505</v>
      </c>
      <c r="J116" s="1260">
        <f>IF('事業所損益管理(H30.9～H31.8)_査定'!J222="","",'事業所損益管理(H30.9～H31.8)_査定'!J222)</f>
        <v>232524</v>
      </c>
      <c r="K116" s="1461">
        <f>IF('事業所損益管理(H30.9～H31.8)_査定'!K222="","",'事業所損益管理(H30.9～H31.8)_査定'!K222)</f>
        <v>605886</v>
      </c>
      <c r="L116" s="1256">
        <f>IF('事業所損益管理(H30.9～H31.8)_査定'!L222="","",'事業所損益管理(H30.9～H31.8)_査定'!L222)</f>
        <v>722681</v>
      </c>
      <c r="M116" s="1256">
        <f>IF('事業所損益管理(H30.9～H31.8)_査定'!M222="","",'事業所損益管理(H30.9～H31.8)_査定'!M222)</f>
        <v>722681</v>
      </c>
      <c r="U116" s="1859"/>
      <c r="V116" s="1121"/>
    </row>
    <row r="117" spans="4:22" ht="14.25" customHeight="1" collapsed="1" x14ac:dyDescent="0.15">
      <c r="D117" s="2174" t="s">
        <v>1193</v>
      </c>
      <c r="E117" s="437" t="s">
        <v>405</v>
      </c>
      <c r="F117" s="1013">
        <f>IF('事業所損益管理(H30.9～H31.8)_査定'!F223="","",'事業所損益管理(H30.9～H31.8)_査定'!F223)</f>
        <v>-190000</v>
      </c>
      <c r="G117" s="441">
        <f>IF('事業所損益管理(H30.9～H31.8)_査定'!G223="","",'事業所損益管理(H30.9～H31.8)_査定'!G223)</f>
        <v>93000</v>
      </c>
      <c r="H117" s="441">
        <f>IF('事業所損益管理(H30.9～H31.8)_査定'!H223="","",'事業所損益管理(H30.9～H31.8)_査定'!H223)</f>
        <v>-457000</v>
      </c>
      <c r="I117" s="1261">
        <f>IF('事業所損益管理(H30.9～H31.8)_査定'!I223="","",'事業所損益管理(H30.9～H31.8)_査定'!I223)</f>
        <v>393000</v>
      </c>
      <c r="J117" s="1261">
        <f>IF('事業所損益管理(H30.9～H31.8)_査定'!J223="","",'事業所損益管理(H30.9～H31.8)_査定'!J223)</f>
        <v>443000</v>
      </c>
      <c r="K117" s="1462">
        <f>IF('事業所損益管理(H30.9～H31.8)_査定'!K223="","",'事業所損益管理(H30.9～H31.8)_査定'!K223)</f>
        <v>393000</v>
      </c>
      <c r="L117" s="1257">
        <f>IF('事業所損益管理(H30.9～H31.8)_査定'!L223="","",'事業所損益管理(H30.9～H31.8)_査定'!L223)</f>
        <v>675000</v>
      </c>
      <c r="M117" s="1911" t="str">
        <f>IF('事業所損益管理(H30.9～H31.8)_査定'!M223="","",'事業所損益管理(H30.9～H31.8)_査定'!M223)</f>
        <v/>
      </c>
      <c r="R117" s="1064">
        <v>-1</v>
      </c>
      <c r="S117" s="1063" t="s">
        <v>1327</v>
      </c>
      <c r="T117" s="413" t="s">
        <v>1160</v>
      </c>
      <c r="U117" s="1859"/>
      <c r="V117" s="1121"/>
    </row>
    <row r="118" spans="4:22" ht="14.25" customHeight="1" thickBot="1" x14ac:dyDescent="0.2">
      <c r="D118" s="2173"/>
      <c r="E118" s="439" t="s">
        <v>406</v>
      </c>
      <c r="F118" s="1014">
        <f>IF('事業所損益管理(H30.9～H31.8)_査定'!F224="","",'事業所損益管理(H30.9～H31.8)_査定'!F224)</f>
        <v>307944</v>
      </c>
      <c r="G118" s="442">
        <f>IF('事業所損益管理(H30.9～H31.8)_査定'!G224="","",'事業所損益管理(H30.9～H31.8)_査定'!G224)</f>
        <v>275312</v>
      </c>
      <c r="H118" s="442">
        <f>IF('事業所損益管理(H30.9～H31.8)_査定'!H224="","",'事業所損益管理(H30.9～H31.8)_査定'!H224)</f>
        <v>649155</v>
      </c>
      <c r="I118" s="1888">
        <f>IF('事業所損益管理(H30.9～H31.8)_査定'!I224="","",'事業所損益管理(H30.9～H31.8)_査定'!I224)</f>
        <v>-291401</v>
      </c>
      <c r="J118" s="1888">
        <f>IF('事業所損益管理(H30.9～H31.8)_査定'!J224="","",'事業所損益管理(H30.9～H31.8)_査定'!J224)</f>
        <v>-762442</v>
      </c>
      <c r="K118" s="1409">
        <f>IF('事業所損益管理(H30.9～H31.8)_査定'!K224="","",'事業所損益管理(H30.9～H31.8)_査定'!K224)</f>
        <v>438052</v>
      </c>
      <c r="L118" s="1258">
        <f>IF('事業所損益管理(H30.9～H31.8)_査定'!L224="","",'事業所損益管理(H30.9～H31.8)_査定'!L224)</f>
        <v>616620</v>
      </c>
      <c r="M118" s="1258">
        <f>IF('事業所損益管理(H30.9～H31.8)_査定'!M224="","",'事業所損益管理(H30.9～H31.8)_査定'!M224)</f>
        <v>616620</v>
      </c>
      <c r="R118" s="1875"/>
      <c r="S118" s="1081"/>
      <c r="T118" s="413" t="s">
        <v>1330</v>
      </c>
      <c r="U118" s="1859"/>
      <c r="V118" s="1121"/>
    </row>
    <row r="119" spans="4:22" ht="14.25" customHeight="1" x14ac:dyDescent="0.15">
      <c r="D119" s="350"/>
      <c r="E119" s="350"/>
      <c r="F119" s="350"/>
      <c r="G119" s="350"/>
      <c r="H119" s="350"/>
      <c r="I119" s="350"/>
      <c r="J119" s="2206" t="s">
        <v>56</v>
      </c>
      <c r="K119" s="1886" t="s">
        <v>405</v>
      </c>
      <c r="L119" s="1887">
        <f>SUM(L93,L95,L97,L99,L101,L103,L105,L109,L111,L113,L115)</f>
        <v>4147000</v>
      </c>
      <c r="M119" s="1911"/>
      <c r="U119" s="1859"/>
      <c r="V119" s="1121"/>
    </row>
    <row r="120" spans="4:22" ht="14.25" customHeight="1" thickBot="1" x14ac:dyDescent="0.2">
      <c r="D120" s="350"/>
      <c r="E120" s="350"/>
      <c r="F120" s="350"/>
      <c r="G120" s="350"/>
      <c r="H120" s="350"/>
      <c r="I120" s="350"/>
      <c r="J120" s="2173"/>
      <c r="K120" s="1464" t="s">
        <v>406</v>
      </c>
      <c r="L120" s="1258">
        <f>SUM(L94,L96,L98,L100,L102,L104,L106,L110,L112,L114,L116)</f>
        <v>5771474</v>
      </c>
      <c r="M120" s="1258">
        <f>SUM(M93:M118)</f>
        <v>7638524</v>
      </c>
      <c r="U120" s="1859"/>
      <c r="V120" s="1121"/>
    </row>
    <row r="121" spans="4:22" ht="14.25" customHeight="1" x14ac:dyDescent="0.15">
      <c r="U121" s="1859"/>
      <c r="V121" s="1121"/>
    </row>
    <row r="122" spans="4:22" ht="14.25" customHeight="1" x14ac:dyDescent="0.15">
      <c r="V122" s="1121"/>
    </row>
    <row r="123" spans="4:22" ht="14.25" customHeight="1" thickBot="1" x14ac:dyDescent="0.2">
      <c r="D123" s="331" t="s">
        <v>1476</v>
      </c>
      <c r="E123" s="331"/>
      <c r="F123" s="331"/>
      <c r="G123" s="331"/>
      <c r="H123" s="331"/>
      <c r="I123"/>
      <c r="J123"/>
      <c r="K123"/>
      <c r="L123"/>
      <c r="V123" s="1121"/>
    </row>
    <row r="124" spans="4:22" ht="14.25" customHeight="1" thickBot="1" x14ac:dyDescent="0.2">
      <c r="D124" s="443" t="s">
        <v>476</v>
      </c>
      <c r="E124" s="444" t="s">
        <v>480</v>
      </c>
      <c r="F124" s="1880">
        <f>IF('事業所損益管理(H30.9～H31.8)_査定'!F230="","",'事業所損益管理(H30.9～H31.8)_査定'!F230)</f>
        <v>43586</v>
      </c>
      <c r="G124" s="1881">
        <f>IF('事業所損益管理(H30.9～H31.8)_査定'!G230="","",'事業所損益管理(H30.9～H31.8)_査定'!G230)</f>
        <v>43617</v>
      </c>
      <c r="H124" s="1882">
        <f>IF('事業所損益管理(H30.9～H31.8)_査定'!H230="","",'事業所損益管理(H30.9～H31.8)_査定'!H230)</f>
        <v>43647</v>
      </c>
      <c r="I124" s="1883">
        <f>IF('事業所損益管理(H30.9～H31.8)_査定'!I230="","",'事業所損益管理(H30.9～H31.8)_査定'!I230)</f>
        <v>43678</v>
      </c>
      <c r="J124" s="1884">
        <f>IF('事業所損益管理(H30.9～H31.8)_査定'!J230="","",'事業所損益管理(H30.9～H31.8)_査定'!J230)</f>
        <v>43709</v>
      </c>
      <c r="K124" s="1885">
        <f>IF('事業所損益管理(H30.9～H31.8)_査定'!K230="","",'事業所損益管理(H30.9～H31.8)_査定'!K230)</f>
        <v>43739</v>
      </c>
      <c r="L124" s="1250" t="s">
        <v>481</v>
      </c>
      <c r="M124" s="1912" t="s">
        <v>1473</v>
      </c>
      <c r="V124" s="1121"/>
    </row>
    <row r="125" spans="4:22" ht="14.25" customHeight="1" x14ac:dyDescent="0.15">
      <c r="D125" s="2172" t="s">
        <v>477</v>
      </c>
      <c r="E125" s="445" t="s">
        <v>405</v>
      </c>
      <c r="F125" s="1011">
        <f>IF('事業所損益管理(H30.9～H31.8)_査定'!F231="","",'事業所損益管理(H30.9～H31.8)_査定'!F231)</f>
        <v>1500000</v>
      </c>
      <c r="G125" s="1016">
        <f>IF('事業所損益管理(H30.9～H31.8)_査定'!G231="","",'事業所損益管理(H30.9～H31.8)_査定'!G231)</f>
        <v>-2200000</v>
      </c>
      <c r="H125" s="1016">
        <f>IF('事業所損益管理(H30.9～H31.8)_査定'!H231="","",'事業所損益管理(H30.9～H31.8)_査定'!H231)</f>
        <v>1500000</v>
      </c>
      <c r="I125" s="1259">
        <f>IF('事業所損益管理(H30.9～H31.8)_査定'!I231="","",'事業所損益管理(H30.9～H31.8)_査定'!I231)</f>
        <v>1500000</v>
      </c>
      <c r="J125" s="1259" t="str">
        <f>IF('事業所損益管理(H30.9～H31.8)_査定'!J231="","",'事業所損益管理(H30.9～H31.8)_査定'!J231)</f>
        <v/>
      </c>
      <c r="K125" s="1460" t="str">
        <f>IF('事業所損益管理(H30.9～H31.8)_査定'!K231="","",'事業所損益管理(H30.9～H31.8)_査定'!K231)</f>
        <v/>
      </c>
      <c r="L125" s="1255">
        <f>IF('事業所損益管理(H30.9～H31.8)_査定'!L231="","",'事業所損益管理(H30.9～H31.8)_査定'!L231)</f>
        <v>2300000</v>
      </c>
      <c r="M125" s="1910" t="str">
        <f>IF('事業所損益管理(H30.9～H31.8)_査定'!M231="","",'事業所損益管理(H30.9～H31.8)_査定'!M231)</f>
        <v/>
      </c>
      <c r="V125" s="1121"/>
    </row>
    <row r="126" spans="4:22" ht="14.25" customHeight="1" x14ac:dyDescent="0.15">
      <c r="D126" s="2174"/>
      <c r="E126" s="438" t="s">
        <v>406</v>
      </c>
      <c r="F126" s="1012" t="str">
        <f>IF('事業所損益管理(H30.9～H31.8)_査定'!F232="","",'事業所損益管理(H30.9～H31.8)_査定'!F232)</f>
        <v/>
      </c>
      <c r="G126" s="440" t="str">
        <f>IF('事業所損益管理(H30.9～H31.8)_査定'!G232="","",'事業所損益管理(H30.9～H31.8)_査定'!G232)</f>
        <v/>
      </c>
      <c r="H126" s="440" t="str">
        <f>IF('事業所損益管理(H30.9～H31.8)_査定'!H232="","",'事業所損益管理(H30.9～H31.8)_査定'!H232)</f>
        <v/>
      </c>
      <c r="I126" s="1260" t="str">
        <f>IF('事業所損益管理(H30.9～H31.8)_査定'!I232="","",'事業所損益管理(H30.9～H31.8)_査定'!I232)</f>
        <v/>
      </c>
      <c r="J126" s="1260" t="str">
        <f>IF('事業所損益管理(H30.9～H31.8)_査定'!J232="","",'事業所損益管理(H30.9～H31.8)_査定'!J232)</f>
        <v/>
      </c>
      <c r="K126" s="1461" t="str">
        <f>IF('事業所損益管理(H30.9～H31.8)_査定'!K232="","",'事業所損益管理(H30.9～H31.8)_査定'!K232)</f>
        <v/>
      </c>
      <c r="L126" s="1256">
        <f>IF('事業所損益管理(H30.9～H31.8)_査定'!L232="","",'事業所損益管理(H30.9～H31.8)_査定'!L232)</f>
        <v>0</v>
      </c>
      <c r="M126" s="1256">
        <f>IF('事業所損益管理(H30.9～H31.8)_査定'!M232="","",'事業所損益管理(H30.9～H31.8)_査定'!M232)</f>
        <v>2300000</v>
      </c>
      <c r="V126" s="1121"/>
    </row>
    <row r="127" spans="4:22" ht="14.25" customHeight="1" x14ac:dyDescent="0.15">
      <c r="D127" s="2174" t="s">
        <v>478</v>
      </c>
      <c r="E127" s="437" t="s">
        <v>405</v>
      </c>
      <c r="F127" s="1013">
        <f>IF('事業所損益管理(H30.9～H31.8)_査定'!F233="","",'事業所損益管理(H30.9～H31.8)_査定'!F233)</f>
        <v>1200000</v>
      </c>
      <c r="G127" s="441">
        <f>IF('事業所損益管理(H30.9～H31.8)_査定'!G233="","",'事業所損益管理(H30.9～H31.8)_査定'!G233)</f>
        <v>-3000000</v>
      </c>
      <c r="H127" s="441">
        <f>IF('事業所損益管理(H30.9～H31.8)_査定'!H233="","",'事業所損益管理(H30.9～H31.8)_査定'!H233)</f>
        <v>1100000</v>
      </c>
      <c r="I127" s="1261">
        <f>IF('事業所損益管理(H30.9～H31.8)_査定'!I233="","",'事業所損益管理(H30.9～H31.8)_査定'!I233)</f>
        <v>1100000</v>
      </c>
      <c r="J127" s="1261" t="str">
        <f>IF('事業所損益管理(H30.9～H31.8)_査定'!J233="","",'事業所損益管理(H30.9～H31.8)_査定'!J233)</f>
        <v/>
      </c>
      <c r="K127" s="1462" t="str">
        <f>IF('事業所損益管理(H30.9～H31.8)_査定'!K233="","",'事業所損益管理(H30.9～H31.8)_査定'!K233)</f>
        <v/>
      </c>
      <c r="L127" s="1257">
        <f>IF('事業所損益管理(H30.9～H31.8)_査定'!L233="","",'事業所損益管理(H30.9～H31.8)_査定'!L233)</f>
        <v>400000</v>
      </c>
      <c r="M127" s="1911" t="str">
        <f>IF('事業所損益管理(H30.9～H31.8)_査定'!M233="","",'事業所損益管理(H30.9～H31.8)_査定'!M233)</f>
        <v/>
      </c>
      <c r="V127" s="1121"/>
    </row>
    <row r="128" spans="4:22" ht="14.25" customHeight="1" x14ac:dyDescent="0.15">
      <c r="D128" s="2174"/>
      <c r="E128" s="438" t="s">
        <v>406</v>
      </c>
      <c r="F128" s="1012" t="str">
        <f>IF('事業所損益管理(H30.9～H31.8)_査定'!F234="","",'事業所損益管理(H30.9～H31.8)_査定'!F234)</f>
        <v/>
      </c>
      <c r="G128" s="440" t="str">
        <f>IF('事業所損益管理(H30.9～H31.8)_査定'!G234="","",'事業所損益管理(H30.9～H31.8)_査定'!G234)</f>
        <v/>
      </c>
      <c r="H128" s="440" t="str">
        <f>IF('事業所損益管理(H30.9～H31.8)_査定'!H234="","",'事業所損益管理(H30.9～H31.8)_査定'!H234)</f>
        <v/>
      </c>
      <c r="I128" s="1260" t="str">
        <f>IF('事業所損益管理(H30.9～H31.8)_査定'!I234="","",'事業所損益管理(H30.9～H31.8)_査定'!I234)</f>
        <v/>
      </c>
      <c r="J128" s="1260" t="str">
        <f>IF('事業所損益管理(H30.9～H31.8)_査定'!J234="","",'事業所損益管理(H30.9～H31.8)_査定'!J234)</f>
        <v/>
      </c>
      <c r="K128" s="1461" t="str">
        <f>IF('事業所損益管理(H30.9～H31.8)_査定'!K234="","",'事業所損益管理(H30.9～H31.8)_査定'!K234)</f>
        <v/>
      </c>
      <c r="L128" s="1256">
        <f>IF('事業所損益管理(H30.9～H31.8)_査定'!L234="","",'事業所損益管理(H30.9～H31.8)_査定'!L234)</f>
        <v>0</v>
      </c>
      <c r="M128" s="1256">
        <f>IF('事業所損益管理(H30.9～H31.8)_査定'!M234="","",'事業所損益管理(H30.9～H31.8)_査定'!M234)</f>
        <v>400000</v>
      </c>
    </row>
    <row r="129" spans="4:22" ht="14.25" customHeight="1" x14ac:dyDescent="0.15">
      <c r="D129" s="2174" t="s">
        <v>479</v>
      </c>
      <c r="E129" s="437" t="s">
        <v>405</v>
      </c>
      <c r="F129" s="1013">
        <f>IF('事業所損益管理(H30.9～H31.8)_査定'!F235="","",'事業所損益管理(H30.9～H31.8)_査定'!F235)</f>
        <v>1550000</v>
      </c>
      <c r="G129" s="441">
        <f>IF('事業所損益管理(H30.9～H31.8)_査定'!G235="","",'事業所損益管理(H30.9～H31.8)_査定'!G235)</f>
        <v>-3300000</v>
      </c>
      <c r="H129" s="441">
        <f>IF('事業所損益管理(H30.9～H31.8)_査定'!H235="","",'事業所損益管理(H30.9～H31.8)_査定'!H235)</f>
        <v>1850000</v>
      </c>
      <c r="I129" s="1261">
        <f>IF('事業所損益管理(H30.9～H31.8)_査定'!I235="","",'事業所損益管理(H30.9～H31.8)_査定'!I235)</f>
        <v>2050000</v>
      </c>
      <c r="J129" s="1261" t="str">
        <f>IF('事業所損益管理(H30.9～H31.8)_査定'!J235="","",'事業所損益管理(H30.9～H31.8)_査定'!J235)</f>
        <v/>
      </c>
      <c r="K129" s="1462" t="str">
        <f>IF('事業所損益管理(H30.9～H31.8)_査定'!K235="","",'事業所損益管理(H30.9～H31.8)_査定'!K235)</f>
        <v/>
      </c>
      <c r="L129" s="1257">
        <f>IF('事業所損益管理(H30.9～H31.8)_査定'!L235="","",'事業所損益管理(H30.9～H31.8)_査定'!L235)</f>
        <v>2150000</v>
      </c>
      <c r="M129" s="1911" t="str">
        <f>IF('事業所損益管理(H30.9～H31.8)_査定'!M235="","",'事業所損益管理(H30.9～H31.8)_査定'!M235)</f>
        <v/>
      </c>
    </row>
    <row r="130" spans="4:22" ht="14.25" customHeight="1" x14ac:dyDescent="0.15">
      <c r="D130" s="2174"/>
      <c r="E130" s="438" t="s">
        <v>406</v>
      </c>
      <c r="F130" s="1012" t="str">
        <f>IF('事業所損益管理(H30.9～H31.8)_査定'!F236="","",'事業所損益管理(H30.9～H31.8)_査定'!F236)</f>
        <v/>
      </c>
      <c r="G130" s="440" t="str">
        <f>IF('事業所損益管理(H30.9～H31.8)_査定'!G236="","",'事業所損益管理(H30.9～H31.8)_査定'!G236)</f>
        <v/>
      </c>
      <c r="H130" s="440" t="str">
        <f>IF('事業所損益管理(H30.9～H31.8)_査定'!H236="","",'事業所損益管理(H30.9～H31.8)_査定'!H236)</f>
        <v/>
      </c>
      <c r="I130" s="1260" t="str">
        <f>IF('事業所損益管理(H30.9～H31.8)_査定'!I236="","",'事業所損益管理(H30.9～H31.8)_査定'!I236)</f>
        <v/>
      </c>
      <c r="J130" s="1260" t="str">
        <f>IF('事業所損益管理(H30.9～H31.8)_査定'!J236="","",'事業所損益管理(H30.9～H31.8)_査定'!J236)</f>
        <v/>
      </c>
      <c r="K130" s="1461" t="str">
        <f>IF('事業所損益管理(H30.9～H31.8)_査定'!K236="","",'事業所損益管理(H30.9～H31.8)_査定'!K236)</f>
        <v/>
      </c>
      <c r="L130" s="1256">
        <f>IF('事業所損益管理(H30.9～H31.8)_査定'!L236="","",'事業所損益管理(H30.9～H31.8)_査定'!L236)</f>
        <v>0</v>
      </c>
      <c r="M130" s="1256">
        <f>IF('事業所損益管理(H30.9～H31.8)_査定'!M236="","",'事業所損益管理(H30.9～H31.8)_査定'!M236)</f>
        <v>2150000</v>
      </c>
    </row>
    <row r="131" spans="4:22" ht="14.25" customHeight="1" x14ac:dyDescent="0.15">
      <c r="D131" s="2174" t="s">
        <v>967</v>
      </c>
      <c r="E131" s="437" t="s">
        <v>405</v>
      </c>
      <c r="F131" s="1013">
        <f>IF('事業所損益管理(H30.9～H31.8)_査定'!F237="","",'事業所損益管理(H30.9～H31.8)_査定'!F237)</f>
        <v>-850000</v>
      </c>
      <c r="G131" s="441">
        <f>IF('事業所損益管理(H30.9～H31.8)_査定'!G237="","",'事業所損益管理(H30.9～H31.8)_査定'!G237)</f>
        <v>-850000</v>
      </c>
      <c r="H131" s="441">
        <f>IF('事業所損益管理(H30.9～H31.8)_査定'!H237="","",'事業所損益管理(H30.9～H31.8)_査定'!H237)</f>
        <v>-1750000</v>
      </c>
      <c r="I131" s="1261">
        <f>IF('事業所損益管理(H30.9～H31.8)_査定'!I237="","",'事業所損益管理(H30.9～H31.8)_査定'!I237)</f>
        <v>-650000</v>
      </c>
      <c r="J131" s="1261" t="str">
        <f>IF('事業所損益管理(H30.9～H31.8)_査定'!J237="","",'事業所損益管理(H30.9～H31.8)_査定'!J237)</f>
        <v/>
      </c>
      <c r="K131" s="1462" t="str">
        <f>IF('事業所損益管理(H30.9～H31.8)_査定'!K237="","",'事業所損益管理(H30.9～H31.8)_査定'!K237)</f>
        <v/>
      </c>
      <c r="L131" s="1257">
        <f>IF('事業所損益管理(H30.9～H31.8)_査定'!L237="","",'事業所損益管理(H30.9～H31.8)_査定'!L237)</f>
        <v>-4100000</v>
      </c>
      <c r="M131" s="1911" t="str">
        <f>IF('事業所損益管理(H30.9～H31.8)_査定'!M237="","",'事業所損益管理(H30.9～H31.8)_査定'!M237)</f>
        <v/>
      </c>
    </row>
    <row r="132" spans="4:22" ht="14.25" customHeight="1" x14ac:dyDescent="0.15">
      <c r="D132" s="2174"/>
      <c r="E132" s="438" t="s">
        <v>406</v>
      </c>
      <c r="F132" s="1012" t="str">
        <f>IF('事業所損益管理(H30.9～H31.8)_査定'!F238="","",'事業所損益管理(H30.9～H31.8)_査定'!F238)</f>
        <v/>
      </c>
      <c r="G132" s="440" t="str">
        <f>IF('事業所損益管理(H30.9～H31.8)_査定'!G238="","",'事業所損益管理(H30.9～H31.8)_査定'!G238)</f>
        <v/>
      </c>
      <c r="H132" s="440" t="str">
        <f>IF('事業所損益管理(H30.9～H31.8)_査定'!H238="","",'事業所損益管理(H30.9～H31.8)_査定'!H238)</f>
        <v/>
      </c>
      <c r="I132" s="1260" t="str">
        <f>IF('事業所損益管理(H30.9～H31.8)_査定'!I238="","",'事業所損益管理(H30.9～H31.8)_査定'!I238)</f>
        <v/>
      </c>
      <c r="J132" s="1260" t="str">
        <f>IF('事業所損益管理(H30.9～H31.8)_査定'!J238="","",'事業所損益管理(H30.9～H31.8)_査定'!J238)</f>
        <v/>
      </c>
      <c r="K132" s="1461" t="str">
        <f>IF('事業所損益管理(H30.9～H31.8)_査定'!K238="","",'事業所損益管理(H30.9～H31.8)_査定'!K238)</f>
        <v/>
      </c>
      <c r="L132" s="1256">
        <f>IF('事業所損益管理(H30.9～H31.8)_査定'!L238="","",'事業所損益管理(H30.9～H31.8)_査定'!L238)</f>
        <v>0</v>
      </c>
      <c r="M132" s="1256">
        <f>IF('事業所損益管理(H30.9～H31.8)_査定'!M238="","",'事業所損益管理(H30.9～H31.8)_査定'!M238)</f>
        <v>-4100000</v>
      </c>
    </row>
    <row r="133" spans="4:22" ht="14.25" customHeight="1" x14ac:dyDescent="0.15">
      <c r="D133" s="2174" t="s">
        <v>1317</v>
      </c>
      <c r="E133" s="437" t="s">
        <v>405</v>
      </c>
      <c r="F133" s="1013">
        <f>IF('事業所損益管理(H30.9～H31.8)_査定'!F239="","",'事業所損益管理(H30.9～H31.8)_査定'!F239)</f>
        <v>-810000</v>
      </c>
      <c r="G133" s="441">
        <f>IF('事業所損益管理(H30.9～H31.8)_査定'!G239="","",'事業所損益管理(H30.9～H31.8)_査定'!G239)</f>
        <v>-550000</v>
      </c>
      <c r="H133" s="441">
        <f>IF('事業所損益管理(H30.9～H31.8)_査定'!H239="","",'事業所損益管理(H30.9～H31.8)_査定'!H239)</f>
        <v>-550000</v>
      </c>
      <c r="I133" s="1261">
        <f>IF('事業所損益管理(H30.9～H31.8)_査定'!I239="","",'事業所損益管理(H30.9～H31.8)_査定'!I239)</f>
        <v>-440000</v>
      </c>
      <c r="J133" s="1261" t="str">
        <f>IF('事業所損益管理(H30.9～H31.8)_査定'!J239="","",'事業所損益管理(H30.9～H31.8)_査定'!J239)</f>
        <v/>
      </c>
      <c r="K133" s="1462" t="str">
        <f>IF('事業所損益管理(H30.9～H31.8)_査定'!K239="","",'事業所損益管理(H30.9～H31.8)_査定'!K239)</f>
        <v/>
      </c>
      <c r="L133" s="1257">
        <f>IF('事業所損益管理(H30.9～H31.8)_査定'!L239="","",'事業所損益管理(H30.9～H31.8)_査定'!L239)</f>
        <v>-2350000</v>
      </c>
      <c r="M133" s="1911" t="str">
        <f>IF('事業所損益管理(H30.9～H31.8)_査定'!M239="","",'事業所損益管理(H30.9～H31.8)_査定'!M239)</f>
        <v/>
      </c>
    </row>
    <row r="134" spans="4:22" ht="14.25" customHeight="1" x14ac:dyDescent="0.15">
      <c r="D134" s="2174"/>
      <c r="E134" s="438" t="s">
        <v>406</v>
      </c>
      <c r="F134" s="1012" t="str">
        <f>IF('事業所損益管理(H30.9～H31.8)_査定'!F240="","",'事業所損益管理(H30.9～H31.8)_査定'!F240)</f>
        <v/>
      </c>
      <c r="G134" s="440" t="str">
        <f>IF('事業所損益管理(H30.9～H31.8)_査定'!G240="","",'事業所損益管理(H30.9～H31.8)_査定'!G240)</f>
        <v/>
      </c>
      <c r="H134" s="440" t="str">
        <f>IF('事業所損益管理(H30.9～H31.8)_査定'!H240="","",'事業所損益管理(H30.9～H31.8)_査定'!H240)</f>
        <v/>
      </c>
      <c r="I134" s="1260" t="str">
        <f>IF('事業所損益管理(H30.9～H31.8)_査定'!I240="","",'事業所損益管理(H30.9～H31.8)_査定'!I240)</f>
        <v/>
      </c>
      <c r="J134" s="1260" t="str">
        <f>IF('事業所損益管理(H30.9～H31.8)_査定'!J240="","",'事業所損益管理(H30.9～H31.8)_査定'!J240)</f>
        <v/>
      </c>
      <c r="K134" s="1461" t="str">
        <f>IF('事業所損益管理(H30.9～H31.8)_査定'!K240="","",'事業所損益管理(H30.9～H31.8)_査定'!K240)</f>
        <v/>
      </c>
      <c r="L134" s="1256">
        <f>IF('事業所損益管理(H30.9～H31.8)_査定'!L240="","",'事業所損益管理(H30.9～H31.8)_査定'!L240)</f>
        <v>0</v>
      </c>
      <c r="M134" s="1256">
        <f>IF('事業所損益管理(H30.9～H31.8)_査定'!M240="","",'事業所損益管理(H30.9～H31.8)_査定'!M240)</f>
        <v>-2350000</v>
      </c>
    </row>
    <row r="135" spans="4:22" ht="14.25" hidden="1" customHeight="1" outlineLevel="1" x14ac:dyDescent="0.15">
      <c r="D135" s="2175" t="s">
        <v>358</v>
      </c>
      <c r="E135" s="437" t="s">
        <v>405</v>
      </c>
      <c r="F135" s="1013">
        <f>IF('事業所損益管理(H30.9～H31.8)_査定'!F241="","",'事業所損益管理(H30.9～H31.8)_査定'!F241)</f>
        <v>550000</v>
      </c>
      <c r="G135" s="441">
        <f>IF('事業所損益管理(H30.9～H31.8)_査定'!G241="","",'事業所損益管理(H30.9～H31.8)_査定'!G241)</f>
        <v>-1250000</v>
      </c>
      <c r="H135" s="441">
        <f>IF('事業所損益管理(H30.9～H31.8)_査定'!H241="","",'事業所損益管理(H30.9～H31.8)_査定'!H241)</f>
        <v>600000</v>
      </c>
      <c r="I135" s="1261">
        <f>IF('事業所損益管理(H30.9～H31.8)_査定'!I241="","",'事業所損益管理(H30.9～H31.8)_査定'!I241)</f>
        <v>700000</v>
      </c>
      <c r="J135" s="1261" t="str">
        <f>IF('事業所損益管理(H30.9～H31.8)_査定'!J241="","",'事業所損益管理(H30.9～H31.8)_査定'!J241)</f>
        <v/>
      </c>
      <c r="K135" s="1462" t="str">
        <f>IF('事業所損益管理(H30.9～H31.8)_査定'!K241="","",'事業所損益管理(H30.9～H31.8)_査定'!K241)</f>
        <v/>
      </c>
      <c r="L135" s="1257">
        <f>IF('事業所損益管理(H30.9～H31.8)_査定'!L241="","",'事業所損益管理(H30.9～H31.8)_査定'!L241)</f>
        <v>600000</v>
      </c>
      <c r="M135" s="1911" t="str">
        <f>IF('事業所損益管理(H30.9～H31.8)_査定'!M241="","",'事業所損益管理(H30.9～H31.8)_査定'!M241)</f>
        <v/>
      </c>
    </row>
    <row r="136" spans="4:22" ht="14.25" hidden="1" customHeight="1" outlineLevel="1" x14ac:dyDescent="0.15">
      <c r="D136" s="2175"/>
      <c r="E136" s="438" t="s">
        <v>406</v>
      </c>
      <c r="F136" s="1012" t="str">
        <f>IF('事業所損益管理(H30.9～H31.8)_査定'!F242="","",'事業所損益管理(H30.9～H31.8)_査定'!F242)</f>
        <v/>
      </c>
      <c r="G136" s="440" t="str">
        <f>IF('事業所損益管理(H30.9～H31.8)_査定'!G242="","",'事業所損益管理(H30.9～H31.8)_査定'!G242)</f>
        <v/>
      </c>
      <c r="H136" s="440" t="str">
        <f>IF('事業所損益管理(H30.9～H31.8)_査定'!H242="","",'事業所損益管理(H30.9～H31.8)_査定'!H242)</f>
        <v/>
      </c>
      <c r="I136" s="1260" t="str">
        <f>IF('事業所損益管理(H30.9～H31.8)_査定'!I242="","",'事業所損益管理(H30.9～H31.8)_査定'!I242)</f>
        <v/>
      </c>
      <c r="J136" s="1260" t="str">
        <f>IF('事業所損益管理(H30.9～H31.8)_査定'!J242="","",'事業所損益管理(H30.9～H31.8)_査定'!J242)</f>
        <v/>
      </c>
      <c r="K136" s="1461" t="str">
        <f>IF('事業所損益管理(H30.9～H31.8)_査定'!K242="","",'事業所損益管理(H30.9～H31.8)_査定'!K242)</f>
        <v/>
      </c>
      <c r="L136" s="1256">
        <f>IF('事業所損益管理(H30.9～H31.8)_査定'!L242="","",'事業所損益管理(H30.9～H31.8)_査定'!L242)</f>
        <v>0</v>
      </c>
      <c r="M136" s="1256">
        <f>IF('事業所損益管理(H30.9～H31.8)_査定'!M242="","",'事業所損益管理(H30.9～H31.8)_査定'!M242)</f>
        <v>600000</v>
      </c>
    </row>
    <row r="137" spans="4:22" ht="14.25" hidden="1" customHeight="1" outlineLevel="1" x14ac:dyDescent="0.15">
      <c r="D137" s="2175" t="s">
        <v>359</v>
      </c>
      <c r="E137" s="437" t="s">
        <v>405</v>
      </c>
      <c r="F137" s="1013">
        <f>IF('事業所損益管理(H30.9～H31.8)_査定'!F243="","",'事業所損益管理(H30.9～H31.8)_査定'!F243)</f>
        <v>150000</v>
      </c>
      <c r="G137" s="441">
        <f>IF('事業所損益管理(H30.9～H31.8)_査定'!G243="","",'事業所損益管理(H30.9～H31.8)_査定'!G243)</f>
        <v>-450000</v>
      </c>
      <c r="H137" s="441">
        <f>IF('事業所損益管理(H30.9～H31.8)_査定'!H243="","",'事業所損益管理(H30.9～H31.8)_査定'!H243)</f>
        <v>150000</v>
      </c>
      <c r="I137" s="1261">
        <f>IF('事業所損益管理(H30.9～H31.8)_査定'!I243="","",'事業所損益管理(H30.9～H31.8)_査定'!I243)</f>
        <v>150000</v>
      </c>
      <c r="J137" s="1261" t="str">
        <f>IF('事業所損益管理(H30.9～H31.8)_査定'!J243="","",'事業所損益管理(H30.9～H31.8)_査定'!J243)</f>
        <v/>
      </c>
      <c r="K137" s="1462" t="str">
        <f>IF('事業所損益管理(H30.9～H31.8)_査定'!K243="","",'事業所損益管理(H30.9～H31.8)_査定'!K243)</f>
        <v/>
      </c>
      <c r="L137" s="1257">
        <f>IF('事業所損益管理(H30.9～H31.8)_査定'!L243="","",'事業所損益管理(H30.9～H31.8)_査定'!L243)</f>
        <v>0</v>
      </c>
      <c r="M137" s="1911" t="str">
        <f>IF('事業所損益管理(H30.9～H31.8)_査定'!M243="","",'事業所損益管理(H30.9～H31.8)_査定'!M243)</f>
        <v/>
      </c>
    </row>
    <row r="138" spans="4:22" ht="14.25" hidden="1" customHeight="1" outlineLevel="1" x14ac:dyDescent="0.15">
      <c r="D138" s="2175"/>
      <c r="E138" s="438" t="s">
        <v>406</v>
      </c>
      <c r="F138" s="1012" t="str">
        <f>IF('事業所損益管理(H30.9～H31.8)_査定'!F244="","",'事業所損益管理(H30.9～H31.8)_査定'!F244)</f>
        <v/>
      </c>
      <c r="G138" s="440" t="str">
        <f>IF('事業所損益管理(H30.9～H31.8)_査定'!G244="","",'事業所損益管理(H30.9～H31.8)_査定'!G244)</f>
        <v/>
      </c>
      <c r="H138" s="440" t="str">
        <f>IF('事業所損益管理(H30.9～H31.8)_査定'!H244="","",'事業所損益管理(H30.9～H31.8)_査定'!H244)</f>
        <v/>
      </c>
      <c r="I138" s="1260" t="str">
        <f>IF('事業所損益管理(H30.9～H31.8)_査定'!I244="","",'事業所損益管理(H30.9～H31.8)_査定'!I244)</f>
        <v/>
      </c>
      <c r="J138" s="1260" t="str">
        <f>IF('事業所損益管理(H30.9～H31.8)_査定'!J244="","",'事業所損益管理(H30.9～H31.8)_査定'!J244)</f>
        <v/>
      </c>
      <c r="K138" s="1461" t="str">
        <f>IF('事業所損益管理(H30.9～H31.8)_査定'!K244="","",'事業所損益管理(H30.9～H31.8)_査定'!K244)</f>
        <v/>
      </c>
      <c r="L138" s="1256">
        <f>IF('事業所損益管理(H30.9～H31.8)_査定'!L244="","",'事業所損益管理(H30.9～H31.8)_査定'!L244)</f>
        <v>0</v>
      </c>
      <c r="M138" s="1256">
        <f>IF('事業所損益管理(H30.9～H31.8)_査定'!M244="","",'事業所損益管理(H30.9～H31.8)_査定'!M244)</f>
        <v>0</v>
      </c>
    </row>
    <row r="139" spans="4:22" ht="14.25" customHeight="1" collapsed="1" x14ac:dyDescent="0.15">
      <c r="D139" s="2207" t="s">
        <v>1477</v>
      </c>
      <c r="E139" s="437" t="s">
        <v>405</v>
      </c>
      <c r="F139" s="1013">
        <f t="shared" ref="F139:K140" si="40">IF(SUM(F135,F137)=0,"",SUM(F135,F137))</f>
        <v>700000</v>
      </c>
      <c r="G139" s="441">
        <f t="shared" si="40"/>
        <v>-1700000</v>
      </c>
      <c r="H139" s="441">
        <f t="shared" si="40"/>
        <v>750000</v>
      </c>
      <c r="I139" s="1261">
        <f t="shared" si="40"/>
        <v>850000</v>
      </c>
      <c r="J139" s="1261" t="str">
        <f t="shared" si="40"/>
        <v/>
      </c>
      <c r="K139" s="1462" t="str">
        <f t="shared" si="40"/>
        <v/>
      </c>
      <c r="L139" s="1257">
        <f>IF('事業所損益管理(H30.9～H31.8)_査定'!L245="","",'事業所損益管理(H30.9～H31.8)_査定'!L245)</f>
        <v>600000</v>
      </c>
      <c r="M139" s="1911"/>
      <c r="R139" s="1064"/>
      <c r="S139" s="1065"/>
      <c r="T139" s="413"/>
      <c r="U139" s="1081"/>
      <c r="V139" s="1121"/>
    </row>
    <row r="140" spans="4:22" ht="14.25" customHeight="1" x14ac:dyDescent="0.15">
      <c r="D140" s="2206"/>
      <c r="E140" s="438" t="s">
        <v>406</v>
      </c>
      <c r="F140" s="1012" t="str">
        <f t="shared" si="40"/>
        <v/>
      </c>
      <c r="G140" s="440" t="str">
        <f t="shared" si="40"/>
        <v/>
      </c>
      <c r="H140" s="440" t="str">
        <f t="shared" si="40"/>
        <v/>
      </c>
      <c r="I140" s="1260" t="str">
        <f t="shared" si="40"/>
        <v/>
      </c>
      <c r="J140" s="1260" t="str">
        <f t="shared" si="40"/>
        <v/>
      </c>
      <c r="K140" s="1461" t="str">
        <f t="shared" si="40"/>
        <v/>
      </c>
      <c r="L140" s="1256">
        <f>IF('事業所損益管理(H30.9～H31.8)_査定'!L246="","",'事業所損益管理(H30.9～H31.8)_査定'!L246)</f>
        <v>0</v>
      </c>
      <c r="M140" s="1256">
        <f t="array" ref="M140">SUM(IF(F140:K140="",F139:K139))+SUM(F140:K140)</f>
        <v>600000</v>
      </c>
      <c r="R140" s="1875"/>
      <c r="S140" s="1081"/>
      <c r="T140" s="413"/>
      <c r="U140" s="1081"/>
      <c r="V140" s="1121"/>
    </row>
    <row r="141" spans="4:22" ht="14.25" hidden="1" customHeight="1" outlineLevel="1" x14ac:dyDescent="0.15">
      <c r="D141" s="2175" t="s">
        <v>119</v>
      </c>
      <c r="E141" s="437" t="s">
        <v>405</v>
      </c>
      <c r="F141" s="1013">
        <f>IF('事業所損益管理(H30.9～H31.8)_査定'!F247="","",'事業所損益管理(H30.9～H31.8)_査定'!F247)</f>
        <v>410000</v>
      </c>
      <c r="G141" s="441">
        <f>IF('事業所損益管理(H30.9～H31.8)_査定'!G247="","",'事業所損益管理(H30.9～H31.8)_査定'!G247)</f>
        <v>110000</v>
      </c>
      <c r="H141" s="441">
        <f>IF('事業所損益管理(H30.9～H31.8)_査定'!H247="","",'事業所損益管理(H30.9～H31.8)_査定'!H247)</f>
        <v>110000</v>
      </c>
      <c r="I141" s="1261">
        <f>IF('事業所損益管理(H30.9～H31.8)_査定'!I247="","",'事業所損益管理(H30.9～H31.8)_査定'!I247)</f>
        <v>110000</v>
      </c>
      <c r="J141" s="1261" t="str">
        <f>IF('事業所損益管理(H30.9～H31.8)_査定'!J247="","",'事業所損益管理(H30.9～H31.8)_査定'!J247)</f>
        <v/>
      </c>
      <c r="K141" s="1462" t="str">
        <f>IF('事業所損益管理(H30.9～H31.8)_査定'!K247="","",'事業所損益管理(H30.9～H31.8)_査定'!K247)</f>
        <v/>
      </c>
      <c r="L141" s="1257">
        <f>IF('事業所損益管理(H30.9～H31.8)_査定'!L247="","",'事業所損益管理(H30.9～H31.8)_査定'!L247)</f>
        <v>740000</v>
      </c>
      <c r="M141" s="1911" t="str">
        <f>IF('事業所損益管理(H30.9～H31.8)_査定'!M247="","",'事業所損益管理(H30.9～H31.8)_査定'!M247)</f>
        <v/>
      </c>
    </row>
    <row r="142" spans="4:22" ht="14.25" hidden="1" customHeight="1" outlineLevel="1" x14ac:dyDescent="0.15">
      <c r="D142" s="2175"/>
      <c r="E142" s="438" t="s">
        <v>406</v>
      </c>
      <c r="F142" s="1012" t="str">
        <f>IF('事業所損益管理(H30.9～H31.8)_査定'!F248="","",'事業所損益管理(H30.9～H31.8)_査定'!F248)</f>
        <v/>
      </c>
      <c r="G142" s="440" t="str">
        <f>IF('事業所損益管理(H30.9～H31.8)_査定'!G248="","",'事業所損益管理(H30.9～H31.8)_査定'!G248)</f>
        <v/>
      </c>
      <c r="H142" s="440" t="str">
        <f>IF('事業所損益管理(H30.9～H31.8)_査定'!H248="","",'事業所損益管理(H30.9～H31.8)_査定'!H248)</f>
        <v/>
      </c>
      <c r="I142" s="1260" t="str">
        <f>IF('事業所損益管理(H30.9～H31.8)_査定'!I248="","",'事業所損益管理(H30.9～H31.8)_査定'!I248)</f>
        <v/>
      </c>
      <c r="J142" s="1260" t="str">
        <f>IF('事業所損益管理(H30.9～H31.8)_査定'!J248="","",'事業所損益管理(H30.9～H31.8)_査定'!J248)</f>
        <v/>
      </c>
      <c r="K142" s="1461" t="str">
        <f>IF('事業所損益管理(H30.9～H31.8)_査定'!K248="","",'事業所損益管理(H30.9～H31.8)_査定'!K248)</f>
        <v/>
      </c>
      <c r="L142" s="1256">
        <f>IF('事業所損益管理(H30.9～H31.8)_査定'!L248="","",'事業所損益管理(H30.9～H31.8)_査定'!L248)</f>
        <v>0</v>
      </c>
      <c r="M142" s="1256">
        <f>IF('事業所損益管理(H30.9～H31.8)_査定'!M248="","",'事業所損益管理(H30.9～H31.8)_査定'!M248)</f>
        <v>740000</v>
      </c>
    </row>
    <row r="143" spans="4:22" ht="14.25" hidden="1" customHeight="1" outlineLevel="1" x14ac:dyDescent="0.15">
      <c r="D143" s="2175" t="s">
        <v>360</v>
      </c>
      <c r="E143" s="437" t="s">
        <v>405</v>
      </c>
      <c r="F143" s="1013">
        <f>IF('事業所損益管理(H30.9～H31.8)_査定'!F249="","",'事業所損益管理(H30.9～H31.8)_査定'!F249)</f>
        <v>500000</v>
      </c>
      <c r="G143" s="441">
        <f>IF('事業所損益管理(H30.9～H31.8)_査定'!G249="","",'事業所損益管理(H30.9～H31.8)_査定'!G249)</f>
        <v>150000</v>
      </c>
      <c r="H143" s="441">
        <f>IF('事業所損益管理(H30.9～H31.8)_査定'!H249="","",'事業所損益管理(H30.9～H31.8)_査定'!H249)</f>
        <v>150000</v>
      </c>
      <c r="I143" s="1261">
        <f>IF('事業所損益管理(H30.9～H31.8)_査定'!I249="","",'事業所損益管理(H30.9～H31.8)_査定'!I249)</f>
        <v>150000</v>
      </c>
      <c r="J143" s="1261" t="str">
        <f>IF('事業所損益管理(H30.9～H31.8)_査定'!J249="","",'事業所損益管理(H30.9～H31.8)_査定'!J249)</f>
        <v/>
      </c>
      <c r="K143" s="1462" t="str">
        <f>IF('事業所損益管理(H30.9～H31.8)_査定'!K249="","",'事業所損益管理(H30.9～H31.8)_査定'!K249)</f>
        <v/>
      </c>
      <c r="L143" s="1257">
        <f>IF('事業所損益管理(H30.9～H31.8)_査定'!L249="","",'事業所損益管理(H30.9～H31.8)_査定'!L249)</f>
        <v>950000</v>
      </c>
      <c r="M143" s="1911" t="str">
        <f>IF('事業所損益管理(H30.9～H31.8)_査定'!M249="","",'事業所損益管理(H30.9～H31.8)_査定'!M249)</f>
        <v/>
      </c>
    </row>
    <row r="144" spans="4:22" ht="14.25" hidden="1" customHeight="1" outlineLevel="1" x14ac:dyDescent="0.15">
      <c r="D144" s="2175"/>
      <c r="E144" s="438" t="s">
        <v>406</v>
      </c>
      <c r="F144" s="1012" t="str">
        <f>IF('事業所損益管理(H30.9～H31.8)_査定'!F250="","",'事業所損益管理(H30.9～H31.8)_査定'!F250)</f>
        <v/>
      </c>
      <c r="G144" s="440" t="str">
        <f>IF('事業所損益管理(H30.9～H31.8)_査定'!G250="","",'事業所損益管理(H30.9～H31.8)_査定'!G250)</f>
        <v/>
      </c>
      <c r="H144" s="440" t="str">
        <f>IF('事業所損益管理(H30.9～H31.8)_査定'!H250="","",'事業所損益管理(H30.9～H31.8)_査定'!H250)</f>
        <v/>
      </c>
      <c r="I144" s="1260" t="str">
        <f>IF('事業所損益管理(H30.9～H31.8)_査定'!I250="","",'事業所損益管理(H30.9～H31.8)_査定'!I250)</f>
        <v/>
      </c>
      <c r="J144" s="1260" t="str">
        <f>IF('事業所損益管理(H30.9～H31.8)_査定'!J250="","",'事業所損益管理(H30.9～H31.8)_査定'!J250)</f>
        <v/>
      </c>
      <c r="K144" s="1461" t="str">
        <f>IF('事業所損益管理(H30.9～H31.8)_査定'!K250="","",'事業所損益管理(H30.9～H31.8)_査定'!K250)</f>
        <v/>
      </c>
      <c r="L144" s="1256">
        <f>IF('事業所損益管理(H30.9～H31.8)_査定'!L250="","",'事業所損益管理(H30.9～H31.8)_査定'!L250)</f>
        <v>0</v>
      </c>
      <c r="M144" s="1256">
        <f>IF('事業所損益管理(H30.9～H31.8)_査定'!M250="","",'事業所損益管理(H30.9～H31.8)_査定'!M250)</f>
        <v>950000</v>
      </c>
    </row>
    <row r="145" spans="4:13" ht="14.25" hidden="1" customHeight="1" outlineLevel="1" x14ac:dyDescent="0.15">
      <c r="D145" s="2175" t="s">
        <v>398</v>
      </c>
      <c r="E145" s="437" t="s">
        <v>405</v>
      </c>
      <c r="F145" s="1013">
        <f>IF('事業所損益管理(H30.9～H31.8)_査定'!F251="","",'事業所損益管理(H30.9～H31.8)_査定'!F251)</f>
        <v>1160000</v>
      </c>
      <c r="G145" s="441">
        <f>IF('事業所損益管理(H30.9～H31.8)_査定'!G251="","",'事業所損益管理(H30.9～H31.8)_査定'!G251)</f>
        <v>-650000</v>
      </c>
      <c r="H145" s="441">
        <f>IF('事業所損益管理(H30.9～H31.8)_査定'!H251="","",'事業所損益管理(H30.9～H31.8)_査定'!H251)</f>
        <v>-50000</v>
      </c>
      <c r="I145" s="1261">
        <f>IF('事業所損益管理(H30.9～H31.8)_査定'!I251="","",'事業所損益管理(H30.9～H31.8)_査定'!I251)</f>
        <v>-50000</v>
      </c>
      <c r="J145" s="1261" t="str">
        <f>IF('事業所損益管理(H30.9～H31.8)_査定'!J251="","",'事業所損益管理(H30.9～H31.8)_査定'!J251)</f>
        <v/>
      </c>
      <c r="K145" s="1462" t="str">
        <f>IF('事業所損益管理(H30.9～H31.8)_査定'!K251="","",'事業所損益管理(H30.9～H31.8)_査定'!K251)</f>
        <v/>
      </c>
      <c r="L145" s="1257">
        <f>IF('事業所損益管理(H30.9～H31.8)_査定'!L251="","",'事業所損益管理(H30.9～H31.8)_査定'!L251)</f>
        <v>410000</v>
      </c>
      <c r="M145" s="1911" t="str">
        <f>IF('事業所損益管理(H30.9～H31.8)_査定'!M251="","",'事業所損益管理(H30.9～H31.8)_査定'!M251)</f>
        <v/>
      </c>
    </row>
    <row r="146" spans="4:13" ht="14.25" hidden="1" customHeight="1" outlineLevel="1" x14ac:dyDescent="0.15">
      <c r="D146" s="2175"/>
      <c r="E146" s="438" t="s">
        <v>406</v>
      </c>
      <c r="F146" s="1012" t="str">
        <f>IF('事業所損益管理(H30.9～H31.8)_査定'!F252="","",'事業所損益管理(H30.9～H31.8)_査定'!F252)</f>
        <v/>
      </c>
      <c r="G146" s="440" t="str">
        <f>IF('事業所損益管理(H30.9～H31.8)_査定'!G252="","",'事業所損益管理(H30.9～H31.8)_査定'!G252)</f>
        <v/>
      </c>
      <c r="H146" s="440" t="str">
        <f>IF('事業所損益管理(H30.9～H31.8)_査定'!H252="","",'事業所損益管理(H30.9～H31.8)_査定'!H252)</f>
        <v/>
      </c>
      <c r="I146" s="1260" t="str">
        <f>IF('事業所損益管理(H30.9～H31.8)_査定'!I252="","",'事業所損益管理(H30.9～H31.8)_査定'!I252)</f>
        <v/>
      </c>
      <c r="J146" s="1260" t="str">
        <f>IF('事業所損益管理(H30.9～H31.8)_査定'!J252="","",'事業所損益管理(H30.9～H31.8)_査定'!J252)</f>
        <v/>
      </c>
      <c r="K146" s="1461" t="str">
        <f>IF('事業所損益管理(H30.9～H31.8)_査定'!K252="","",'事業所損益管理(H30.9～H31.8)_査定'!K252)</f>
        <v/>
      </c>
      <c r="L146" s="1256">
        <f>IF('事業所損益管理(H30.9～H31.8)_査定'!L252="","",'事業所損益管理(H30.9～H31.8)_査定'!L252)</f>
        <v>0</v>
      </c>
      <c r="M146" s="1256">
        <f>IF('事業所損益管理(H30.9～H31.8)_査定'!M252="","",'事業所損益管理(H30.9～H31.8)_査定'!M252)</f>
        <v>410000</v>
      </c>
    </row>
    <row r="147" spans="4:13" ht="14.25" hidden="1" customHeight="1" outlineLevel="1" x14ac:dyDescent="0.15">
      <c r="D147" s="2204" t="s">
        <v>1524</v>
      </c>
      <c r="E147" s="437" t="s">
        <v>405</v>
      </c>
      <c r="F147" s="1013">
        <f>IF('事業所損益管理(H30.9～H31.8)_査定'!F253="","",'事業所損益管理(H30.9～H31.8)_査定'!F253)</f>
        <v>233000</v>
      </c>
      <c r="G147" s="441">
        <f>IF('事業所損益管理(H30.9～H31.8)_査定'!G253="","",'事業所損益管理(H30.9～H31.8)_査定'!G253)</f>
        <v>233000</v>
      </c>
      <c r="H147" s="441">
        <f>IF('事業所損益管理(H30.9～H31.8)_査定'!H253="","",'事業所損益管理(H30.9～H31.8)_査定'!H253)</f>
        <v>203000</v>
      </c>
      <c r="I147" s="1261">
        <f>IF('事業所損益管理(H30.9～H31.8)_査定'!I253="","",'事業所損益管理(H30.9～H31.8)_査定'!I253)</f>
        <v>233000</v>
      </c>
      <c r="J147" s="1261" t="str">
        <f>IF('事業所損益管理(H30.9～H31.8)_査定'!J253="","",'事業所損益管理(H30.9～H31.8)_査定'!J253)</f>
        <v/>
      </c>
      <c r="K147" s="1462" t="str">
        <f>IF('事業所損益管理(H30.9～H31.8)_査定'!K253="","",'事業所損益管理(H30.9～H31.8)_査定'!K253)</f>
        <v/>
      </c>
      <c r="L147" s="1257">
        <f>IF('事業所損益管理(H30.9～H31.8)_査定'!L253="","",'事業所損益管理(H30.9～H31.8)_査定'!L253)</f>
        <v>902000</v>
      </c>
      <c r="M147" s="1911" t="str">
        <f>IF('事業所損益管理(H30.9～H31.8)_査定'!M253="","",'事業所損益管理(H30.9～H31.8)_査定'!M253)</f>
        <v/>
      </c>
    </row>
    <row r="148" spans="4:13" ht="14.25" hidden="1" customHeight="1" outlineLevel="1" x14ac:dyDescent="0.15">
      <c r="D148" s="2205"/>
      <c r="E148" s="438" t="s">
        <v>406</v>
      </c>
      <c r="F148" s="1012" t="str">
        <f>IF('事業所損益管理(H30.9～H31.8)_査定'!F254="","",'事業所損益管理(H30.9～H31.8)_査定'!F254)</f>
        <v/>
      </c>
      <c r="G148" s="440" t="str">
        <f>IF('事業所損益管理(H30.9～H31.8)_査定'!G254="","",'事業所損益管理(H30.9～H31.8)_査定'!G254)</f>
        <v/>
      </c>
      <c r="H148" s="440" t="str">
        <f>IF('事業所損益管理(H30.9～H31.8)_査定'!H254="","",'事業所損益管理(H30.9～H31.8)_査定'!H254)</f>
        <v/>
      </c>
      <c r="I148" s="1260" t="str">
        <f>IF('事業所損益管理(H30.9～H31.8)_査定'!I254="","",'事業所損益管理(H30.9～H31.8)_査定'!I254)</f>
        <v/>
      </c>
      <c r="J148" s="1260" t="str">
        <f>IF('事業所損益管理(H30.9～H31.8)_査定'!J254="","",'事業所損益管理(H30.9～H31.8)_査定'!J254)</f>
        <v/>
      </c>
      <c r="K148" s="1461" t="str">
        <f>IF('事業所損益管理(H30.9～H31.8)_査定'!K254="","",'事業所損益管理(H30.9～H31.8)_査定'!K254)</f>
        <v/>
      </c>
      <c r="L148" s="1256">
        <f>IF('事業所損益管理(H30.9～H31.8)_査定'!L254="","",'事業所損益管理(H30.9～H31.8)_査定'!L254)</f>
        <v>0</v>
      </c>
      <c r="M148" s="1256">
        <f>IF('事業所損益管理(H30.9～H31.8)_査定'!M254="","",'事業所損益管理(H30.9～H31.8)_査定'!M254)</f>
        <v>902000</v>
      </c>
    </row>
    <row r="149" spans="4:13" ht="14.25" customHeight="1" collapsed="1" x14ac:dyDescent="0.15">
      <c r="D149" s="2174" t="s">
        <v>1193</v>
      </c>
      <c r="E149" s="437" t="s">
        <v>405</v>
      </c>
      <c r="F149" s="1013">
        <f>IF('事業所損益管理(H30.9～H31.8)_査定'!F255="","",'事業所損益管理(H30.9～H31.8)_査定'!F255)</f>
        <v>2303000</v>
      </c>
      <c r="G149" s="441">
        <f>IF('事業所損益管理(H30.9～H31.8)_査定'!G255="","",'事業所損益管理(H30.9～H31.8)_査定'!G255)</f>
        <v>-157000</v>
      </c>
      <c r="H149" s="441">
        <f>IF('事業所損益管理(H30.9～H31.8)_査定'!H255="","",'事業所損益管理(H30.9～H31.8)_査定'!H255)</f>
        <v>413000</v>
      </c>
      <c r="I149" s="1261">
        <f>IF('事業所損益管理(H30.9～H31.8)_査定'!I255="","",'事業所損益管理(H30.9～H31.8)_査定'!I255)</f>
        <v>443000</v>
      </c>
      <c r="J149" s="1261" t="str">
        <f>IF('事業所損益管理(H30.9～H31.8)_査定'!J255="","",'事業所損益管理(H30.9～H31.8)_査定'!J255)</f>
        <v/>
      </c>
      <c r="K149" s="1462" t="str">
        <f>IF('事業所損益管理(H30.9～H31.8)_査定'!K255="","",'事業所損益管理(H30.9～H31.8)_査定'!K255)</f>
        <v/>
      </c>
      <c r="L149" s="1257">
        <f>IF('事業所損益管理(H30.9～H31.8)_査定'!L255="","",'事業所損益管理(H30.9～H31.8)_査定'!L255)</f>
        <v>3002000</v>
      </c>
      <c r="M149" s="1911" t="str">
        <f>IF('事業所損益管理(H30.9～H31.8)_査定'!M255="","",'事業所損益管理(H30.9～H31.8)_査定'!M255)</f>
        <v/>
      </c>
    </row>
    <row r="150" spans="4:13" ht="14.25" customHeight="1" thickBot="1" x14ac:dyDescent="0.2">
      <c r="D150" s="2173"/>
      <c r="E150" s="439" t="s">
        <v>406</v>
      </c>
      <c r="F150" s="1014" t="str">
        <f>IF('事業所損益管理(H30.9～H31.8)_査定'!F256="","",'事業所損益管理(H30.9～H31.8)_査定'!F256)</f>
        <v/>
      </c>
      <c r="G150" s="442" t="str">
        <f>IF('事業所損益管理(H30.9～H31.8)_査定'!G256="","",'事業所損益管理(H30.9～H31.8)_査定'!G256)</f>
        <v/>
      </c>
      <c r="H150" s="442" t="str">
        <f>IF('事業所損益管理(H30.9～H31.8)_査定'!H256="","",'事業所損益管理(H30.9～H31.8)_査定'!H256)</f>
        <v/>
      </c>
      <c r="I150" s="1888" t="str">
        <f>IF('事業所損益管理(H30.9～H31.8)_査定'!I256="","",'事業所損益管理(H30.9～H31.8)_査定'!I256)</f>
        <v/>
      </c>
      <c r="J150" s="1888" t="str">
        <f>IF('事業所損益管理(H30.9～H31.8)_査定'!J256="","",'事業所損益管理(H30.9～H31.8)_査定'!J256)</f>
        <v/>
      </c>
      <c r="K150" s="1409" t="str">
        <f>IF('事業所損益管理(H30.9～H31.8)_査定'!K256="","",'事業所損益管理(H30.9～H31.8)_査定'!K256)</f>
        <v/>
      </c>
      <c r="L150" s="1258">
        <f>IF('事業所損益管理(H30.9～H31.8)_査定'!L256="","",'事業所損益管理(H30.9～H31.8)_査定'!L256)</f>
        <v>0</v>
      </c>
      <c r="M150" s="1258">
        <f>IF('事業所損益管理(H30.9～H31.8)_査定'!M256="","",'事業所損益管理(H30.9～H31.8)_査定'!M256)</f>
        <v>3002000</v>
      </c>
    </row>
    <row r="151" spans="4:13" ht="14.25" customHeight="1" x14ac:dyDescent="0.15">
      <c r="D151" s="350"/>
      <c r="E151" s="350"/>
      <c r="F151" s="350"/>
      <c r="G151" s="350"/>
      <c r="H151" s="350"/>
      <c r="I151" s="350"/>
      <c r="J151" s="2206" t="s">
        <v>56</v>
      </c>
      <c r="K151" s="1886" t="s">
        <v>405</v>
      </c>
      <c r="L151" s="1887">
        <f>SUM(L125,L127,L129,L131,L133,L135,L137,L141,L143,L145,L147)</f>
        <v>2002000</v>
      </c>
      <c r="M151" s="1911"/>
    </row>
    <row r="152" spans="4:13" ht="14.25" customHeight="1" thickBot="1" x14ac:dyDescent="0.2">
      <c r="D152" s="350"/>
      <c r="E152" s="350"/>
      <c r="F152" s="350"/>
      <c r="G152" s="350"/>
      <c r="H152" s="350"/>
      <c r="I152" s="350"/>
      <c r="J152" s="2173"/>
      <c r="K152" s="1464" t="s">
        <v>406</v>
      </c>
      <c r="L152" s="1258">
        <f>SUM(L126,L128,L130,L132,L134,L136,L138,L142,L144,L146,L148)</f>
        <v>0</v>
      </c>
      <c r="M152" s="1258">
        <f>SUM(M125:M150)</f>
        <v>5604000</v>
      </c>
    </row>
  </sheetData>
  <sheetProtection sheet="1" objects="1" scenarios="1"/>
  <mergeCells count="61">
    <mergeCell ref="V2:W2"/>
    <mergeCell ref="C9:C13"/>
    <mergeCell ref="D9:D13"/>
    <mergeCell ref="C14:C18"/>
    <mergeCell ref="D14:D18"/>
    <mergeCell ref="C19:C23"/>
    <mergeCell ref="D19:D23"/>
    <mergeCell ref="C24:C28"/>
    <mergeCell ref="D24:D28"/>
    <mergeCell ref="C1:E1"/>
    <mergeCell ref="C39:C43"/>
    <mergeCell ref="D39:D43"/>
    <mergeCell ref="C44:C48"/>
    <mergeCell ref="D44:D48"/>
    <mergeCell ref="C29:C33"/>
    <mergeCell ref="D29:D33"/>
    <mergeCell ref="C34:C38"/>
    <mergeCell ref="D34:D38"/>
    <mergeCell ref="C64:C68"/>
    <mergeCell ref="D64:D68"/>
    <mergeCell ref="C49:C53"/>
    <mergeCell ref="D49:D53"/>
    <mergeCell ref="C54:C58"/>
    <mergeCell ref="D54:D58"/>
    <mergeCell ref="R88:T89"/>
    <mergeCell ref="D93:D94"/>
    <mergeCell ref="D95:D96"/>
    <mergeCell ref="D97:D98"/>
    <mergeCell ref="C69:C73"/>
    <mergeCell ref="D69:D73"/>
    <mergeCell ref="D113:D114"/>
    <mergeCell ref="D117:D118"/>
    <mergeCell ref="J119:J120"/>
    <mergeCell ref="C3:C8"/>
    <mergeCell ref="D3:D8"/>
    <mergeCell ref="C75:C85"/>
    <mergeCell ref="D75:D85"/>
    <mergeCell ref="D107:D108"/>
    <mergeCell ref="D99:D100"/>
    <mergeCell ref="D101:D102"/>
    <mergeCell ref="D103:D104"/>
    <mergeCell ref="D105:D106"/>
    <mergeCell ref="D109:D110"/>
    <mergeCell ref="D111:D112"/>
    <mergeCell ref="C59:C63"/>
    <mergeCell ref="D59:D63"/>
    <mergeCell ref="D115:D116"/>
    <mergeCell ref="D147:D148"/>
    <mergeCell ref="J151:J152"/>
    <mergeCell ref="D139:D140"/>
    <mergeCell ref="D125:D126"/>
    <mergeCell ref="D127:D128"/>
    <mergeCell ref="D129:D130"/>
    <mergeCell ref="D131:D132"/>
    <mergeCell ref="D133:D134"/>
    <mergeCell ref="D135:D136"/>
    <mergeCell ref="D137:D138"/>
    <mergeCell ref="D141:D142"/>
    <mergeCell ref="D143:D144"/>
    <mergeCell ref="D145:D146"/>
    <mergeCell ref="D149:D150"/>
  </mergeCells>
  <phoneticPr fontId="40"/>
  <conditionalFormatting sqref="F74:Q74">
    <cfRule type="expression" dxfId="77" priority="22">
      <formula>AND(F74=0,#REF!=0)</formula>
    </cfRule>
  </conditionalFormatting>
  <conditionalFormatting sqref="V69:V72 V34:V37 V9:V12 V14:V17 V19:V22 V24:V27 V29:V32 V39:V42 V44:V47 V49:V52 V54:V57 V59:V62 V64:V67">
    <cfRule type="iconSet" priority="21">
      <iconSet showValue="0">
        <cfvo type="percent" val="0"/>
        <cfvo type="num" val="-1" gte="0"/>
        <cfvo type="num" val="1"/>
      </iconSet>
    </cfRule>
  </conditionalFormatting>
  <conditionalFormatting sqref="V73 V38 V13 V18 V23 V28 V33 V43 V48 V53 V58 V63 V68">
    <cfRule type="iconSet" priority="20">
      <iconSet showValue="0">
        <cfvo type="percent" val="0"/>
        <cfvo type="num" val="-1" gte="0"/>
        <cfvo type="num" val="1"/>
      </iconSet>
    </cfRule>
  </conditionalFormatting>
  <conditionalFormatting sqref="V75:V80">
    <cfRule type="iconSet" priority="18">
      <iconSet showValue="0">
        <cfvo type="percent" val="0"/>
        <cfvo type="num" val="-1" gte="0"/>
        <cfvo type="num" val="1"/>
      </iconSet>
    </cfRule>
  </conditionalFormatting>
  <conditionalFormatting sqref="V81">
    <cfRule type="iconSet" priority="17">
      <iconSet showValue="0">
        <cfvo type="percent" val="0"/>
        <cfvo type="num" val="-1" gte="0"/>
        <cfvo type="num" val="1"/>
      </iconSet>
    </cfRule>
  </conditionalFormatting>
  <conditionalFormatting sqref="V84">
    <cfRule type="iconSet" priority="14">
      <iconSet showValue="0">
        <cfvo type="percent" val="0"/>
        <cfvo type="num" val="-1" gte="0"/>
        <cfvo type="num" val="1"/>
      </iconSet>
    </cfRule>
  </conditionalFormatting>
  <conditionalFormatting sqref="V85">
    <cfRule type="iconSet" priority="13">
      <iconSet showValue="0">
        <cfvo type="percent" val="0"/>
        <cfvo type="num" val="-1" gte="0"/>
        <cfvo type="num" val="1"/>
      </iconSet>
    </cfRule>
  </conditionalFormatting>
  <conditionalFormatting sqref="R91:R93">
    <cfRule type="iconSet" priority="11">
      <iconSet showValue="0">
        <cfvo type="percent" val="0"/>
        <cfvo type="num" val="-1" gte="0"/>
        <cfvo type="num" val="1"/>
      </iconSet>
    </cfRule>
  </conditionalFormatting>
  <conditionalFormatting sqref="R96:R98">
    <cfRule type="iconSet" priority="10">
      <iconSet showValue="0">
        <cfvo type="percent" val="0"/>
        <cfvo type="num" val="-1" gte="0"/>
        <cfvo type="num" val="1"/>
      </iconSet>
    </cfRule>
  </conditionalFormatting>
  <conditionalFormatting sqref="R117 R107 R101">
    <cfRule type="iconSet" priority="12">
      <iconSet showValue="0">
        <cfvo type="percent" val="0"/>
        <cfvo type="num" val="-1" gte="0"/>
        <cfvo type="num" val="1"/>
      </iconSet>
    </cfRule>
  </conditionalFormatting>
  <conditionalFormatting sqref="V74">
    <cfRule type="iconSet" priority="9">
      <iconSet showValue="0">
        <cfvo type="percent" val="0"/>
        <cfvo type="num" val="-1" gte="0"/>
        <cfvo type="num" val="1"/>
      </iconSet>
    </cfRule>
  </conditionalFormatting>
  <conditionalFormatting sqref="V3:V7">
    <cfRule type="iconSet" priority="8">
      <iconSet showValue="0">
        <cfvo type="percent" val="0"/>
        <cfvo type="num" val="-1" gte="0"/>
        <cfvo type="num" val="1"/>
      </iconSet>
    </cfRule>
  </conditionalFormatting>
  <conditionalFormatting sqref="V82:V83">
    <cfRule type="iconSet" priority="6">
      <iconSet showValue="0">
        <cfvo type="percent" val="0"/>
        <cfvo type="num" val="-1" gte="0"/>
        <cfvo type="num" val="1"/>
      </iconSet>
    </cfRule>
  </conditionalFormatting>
  <conditionalFormatting sqref="F3:Q7 F9:Q85">
    <cfRule type="expression" dxfId="76" priority="5">
      <formula>F3=0</formula>
    </cfRule>
  </conditionalFormatting>
  <conditionalFormatting sqref="V8">
    <cfRule type="iconSet" priority="4">
      <iconSet showValue="0">
        <cfvo type="percent" val="0"/>
        <cfvo type="num" val="-1" gte="0"/>
        <cfvo type="num" val="1"/>
      </iconSet>
    </cfRule>
  </conditionalFormatting>
  <conditionalFormatting sqref="F8:Q8">
    <cfRule type="expression" dxfId="75" priority="3">
      <formula>F8=0</formula>
    </cfRule>
  </conditionalFormatting>
  <conditionalFormatting sqref="R139">
    <cfRule type="iconSet" priority="1">
      <iconSet showValue="0">
        <cfvo type="percent" val="0"/>
        <cfvo type="num" val="-1" gte="0"/>
        <cfvo type="num" val="1"/>
      </iconSet>
    </cfRule>
  </conditionalFormatting>
  <pageMargins left="0.31496062992125984" right="0.31496062992125984" top="0.55118110236220474" bottom="0.35433070866141736" header="0.31496062992125984" footer="0.31496062992125984"/>
  <pageSetup paperSize="8" scale="57" orientation="portrait" r:id="rId1"/>
  <headerFooter>
    <oddHeader>&amp;L&amp;A&amp;R&amp;D</oddHeader>
    <oddFooter>&amp;L【社外秘】&amp;C&amp;P/&amp;N&amp;R&amp;F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Y258"/>
  <sheetViews>
    <sheetView zoomScale="80" zoomScaleNormal="80" workbookViewId="0">
      <pane xSplit="5" ySplit="2" topLeftCell="F3" activePane="bottomRight" state="frozen"/>
      <selection pane="topRight" activeCell="D1" sqref="D1"/>
      <selection pane="bottomLeft" activeCell="A3" sqref="A3"/>
      <selection pane="bottomRight" activeCell="M48" sqref="M48"/>
    </sheetView>
  </sheetViews>
  <sheetFormatPr defaultColWidth="10" defaultRowHeight="14.25" customHeight="1" outlineLevelRow="1" x14ac:dyDescent="0.15"/>
  <cols>
    <col min="1" max="2" width="10" style="1121" hidden="1" customWidth="1"/>
    <col min="3" max="4" width="11.75" style="1121" customWidth="1"/>
    <col min="5" max="21" width="12.625" style="1121" customWidth="1"/>
    <col min="22" max="22" width="2.625" style="1859" customWidth="1"/>
    <col min="23" max="23" width="9.625" style="1121" customWidth="1"/>
    <col min="24" max="16384" width="10" style="1121"/>
  </cols>
  <sheetData>
    <row r="1" spans="1:23" ht="36.950000000000003" customHeight="1" thickBot="1" x14ac:dyDescent="0.2">
      <c r="C1" s="2191">
        <f>F2</f>
        <v>43344</v>
      </c>
      <c r="D1" s="2191"/>
      <c r="E1" s="2192"/>
      <c r="F1" s="1140" t="s">
        <v>439</v>
      </c>
      <c r="G1" s="451">
        <f>'☆事業所損益管理(H30.9～H31.8)(計画)'!G1</f>
        <v>43556</v>
      </c>
      <c r="H1" s="1138" t="s">
        <v>440</v>
      </c>
      <c r="I1" s="1139"/>
      <c r="J1" s="1138" t="s">
        <v>441</v>
      </c>
      <c r="K1" s="1137"/>
      <c r="L1" s="1137"/>
      <c r="M1" s="1137"/>
      <c r="N1" s="1924"/>
      <c r="O1" s="1137"/>
      <c r="P1" s="1137"/>
      <c r="Q1" s="1137"/>
      <c r="R1" s="1137"/>
      <c r="S1" s="1122"/>
      <c r="T1" s="1122"/>
      <c r="U1" s="1122"/>
      <c r="V1" s="1857"/>
      <c r="W1" s="1122"/>
    </row>
    <row r="2" spans="1:23" ht="36.950000000000003" customHeight="1" thickBot="1" x14ac:dyDescent="0.2">
      <c r="C2" s="1136" t="s">
        <v>33</v>
      </c>
      <c r="D2" s="1135" t="s">
        <v>442</v>
      </c>
      <c r="E2" s="1134" t="s">
        <v>145</v>
      </c>
      <c r="F2" s="1133">
        <f>'☆事業所損益管理(H30.9～H31.8)(計画)'!F2</f>
        <v>43344</v>
      </c>
      <c r="G2" s="1132">
        <f t="shared" ref="G2:Q2" si="0">EDATE(F2,1)</f>
        <v>43374</v>
      </c>
      <c r="H2" s="1131">
        <f t="shared" si="0"/>
        <v>43405</v>
      </c>
      <c r="I2" s="1132">
        <f t="shared" si="0"/>
        <v>43435</v>
      </c>
      <c r="J2" s="1131">
        <f t="shared" si="0"/>
        <v>43466</v>
      </c>
      <c r="K2" s="1132">
        <f t="shared" si="0"/>
        <v>43497</v>
      </c>
      <c r="L2" s="1131">
        <f t="shared" si="0"/>
        <v>43525</v>
      </c>
      <c r="M2" s="1132">
        <f>EDATE(L2,1)</f>
        <v>43556</v>
      </c>
      <c r="N2" s="1131">
        <f t="shared" si="0"/>
        <v>43586</v>
      </c>
      <c r="O2" s="1132">
        <f t="shared" si="0"/>
        <v>43617</v>
      </c>
      <c r="P2" s="1131">
        <f t="shared" si="0"/>
        <v>43647</v>
      </c>
      <c r="Q2" s="1130">
        <f t="shared" si="0"/>
        <v>43678</v>
      </c>
      <c r="R2" s="1841" t="s">
        <v>1436</v>
      </c>
      <c r="S2" s="1855" t="s">
        <v>1439</v>
      </c>
      <c r="T2" s="1836" t="s">
        <v>1437</v>
      </c>
      <c r="U2" s="1856" t="s">
        <v>1481</v>
      </c>
      <c r="V2" s="2223" t="s">
        <v>1438</v>
      </c>
      <c r="W2" s="2224"/>
    </row>
    <row r="3" spans="1:23" s="2039" customFormat="1" ht="14.25" customHeight="1" thickBot="1" x14ac:dyDescent="0.2">
      <c r="A3" s="2039" t="s">
        <v>378</v>
      </c>
      <c r="B3" s="2039" t="str">
        <f>E3</f>
        <v>売上</v>
      </c>
      <c r="C3" s="2217" t="s">
        <v>34</v>
      </c>
      <c r="D3" s="2218" t="s">
        <v>1441</v>
      </c>
      <c r="E3" s="1820" t="s">
        <v>26</v>
      </c>
      <c r="F3" s="1811">
        <f>IF(F$2&gt;$G$1,'☆事業所損益管理(H30.9～H31.8)(計画)'!F9,
GETPIVOTDATA("合計 / " &amp; $B3,【ピボット】事業所収支!$A$3,"年月",F$2,"事業所",$A3))</f>
        <v>11239510</v>
      </c>
      <c r="G3" s="1812">
        <f>IF(G$2&gt;$G$1,'☆事業所損益管理(H30.9～H31.8)(計画)'!G9,
GETPIVOTDATA("合計 / " &amp; $B3,【ピボット】事業所収支!$A$3,"年月",G$2,"事業所",$A3))</f>
        <v>12511332</v>
      </c>
      <c r="H3" s="1812">
        <f>IF(H$2&gt;$G$1,'☆事業所損益管理(H30.9～H31.8)(計画)'!H9,
GETPIVOTDATA("合計 / " &amp; $B3,【ピボット】事業所収支!$A$3,"年月",H$2,"事業所",$A3))</f>
        <v>12778671</v>
      </c>
      <c r="I3" s="1812">
        <f>IF(I$2&gt;$G$1,'☆事業所損益管理(H30.9～H31.8)(計画)'!I9,
GETPIVOTDATA("合計 / " &amp; $B3,【ピボット】事業所収支!$A$3,"年月",I$2,"事業所",$A3))</f>
        <v>12163091</v>
      </c>
      <c r="J3" s="1812">
        <f>IF(J$2&gt;$G$1,'☆事業所損益管理(H30.9～H31.8)(計画)'!J9,
GETPIVOTDATA("合計 / " &amp; $B3,【ピボット】事業所収支!$A$3,"年月",J$2,"事業所",$A3))</f>
        <v>12668826</v>
      </c>
      <c r="K3" s="1812">
        <f>IF(K$2&gt;$G$1,'☆事業所損益管理(H30.9～H31.8)(計画)'!K9,
GETPIVOTDATA("合計 / " &amp; $B3,【ピボット】事業所収支!$A$3,"年月",K$2,"事業所",$A3))</f>
        <v>11458207</v>
      </c>
      <c r="L3" s="1812">
        <f>IF(L$2&gt;$G$1,'☆事業所損益管理(H30.9～H31.8)(計画)'!L9,
GETPIVOTDATA("合計 / " &amp; $B3,【ピボット】事業所収支!$A$3,"年月",L$2,"事業所",$A3))</f>
        <v>12821396</v>
      </c>
      <c r="M3" s="1812">
        <f>IF(M$2&gt;$G$1,'☆事業所損益管理(H30.9～H31.8)(計画)'!M9,
GETPIVOTDATA("合計 / " &amp; $B3,【ピボット】事業所収支!$A$3,"年月",M$2,"事業所",$A3))</f>
        <v>12901588</v>
      </c>
      <c r="N3" s="1889">
        <f>IF(N$2&gt;$G$1,'☆事業所損益管理(H30.9～H31.8)(計画)'!N9,
GETPIVOTDATA("合計 / " &amp; $B3,【ピボット】事業所収支!$A$3,"年月",N$2,"事業所",$A3))</f>
        <v>12500000</v>
      </c>
      <c r="O3" s="1889">
        <f>IF(O$2&gt;$G$1,'☆事業所損益管理(H30.9～H31.8)(計画)'!O9,
GETPIVOTDATA("合計 / " &amp; $B3,【ピボット】事業所収支!$A$3,"年月",O$2,"事業所",$A3))</f>
        <v>12700000</v>
      </c>
      <c r="P3" s="1889">
        <f>IF(P$2&gt;$G$1,'☆事業所損益管理(H30.9～H31.8)(計画)'!P9,
GETPIVOTDATA("合計 / " &amp; $B3,【ピボット】事業所収支!$A$3,"年月",P$2,"事業所",$A3))</f>
        <v>13000000</v>
      </c>
      <c r="Q3" s="1890">
        <f>IF(Q$2&gt;$G$1,'☆事業所損益管理(H30.9～H31.8)(計画)'!Q9,
GETPIVOTDATA("合計 / " &amp; $B3,【ピボット】事業所収支!$A$3,"年月",Q$2,"事業所",$A3))</f>
        <v>13000000</v>
      </c>
      <c r="R3" s="1842">
        <f t="shared" ref="R3:R39" ca="1" si="1">SUM(OFFSET(F3,0,0,1,IF(ISERROR(MATCH(DATE(YEAR($G$1),MONTH($G$1),1),$F$2:$Q$2,0)),0,MATCH(DATE(YEAR($G$1),MONTH($G$1),1),$F$2:$Q$2,0))))</f>
        <v>98542621</v>
      </c>
      <c r="S3" s="1842">
        <f t="shared" ref="S3:S39" ca="1" si="2">IF(ISERROR(R3/(DATEDIF(F$2,G$1,"M")+1)),0,R3/(DATEDIF(F$2,G$1,"M")+1))</f>
        <v>12317827.625</v>
      </c>
      <c r="T3" s="538">
        <f t="shared" ref="T3:T38" si="3">SUM(F3:Q3)</f>
        <v>149742621</v>
      </c>
      <c r="U3" s="1827">
        <f ca="1">S3*12</f>
        <v>147813931.5</v>
      </c>
      <c r="V3" s="2040">
        <f ca="1">IF(W3=0,1,IF(W3&gt;=1,1,IF(W3&lt;0.9,-1,0)))</f>
        <v>0</v>
      </c>
      <c r="W3" s="1839">
        <f ca="1">IF(T3&lt;0,ROUND((U3-T3)/ABS(T3),3),IF(T3=0,0,ROUND(U3/T3,3)))</f>
        <v>0.98699999999999999</v>
      </c>
    </row>
    <row r="4" spans="1:23" s="2039" customFormat="1" ht="14.25" customHeight="1" thickBot="1" x14ac:dyDescent="0.2">
      <c r="A4" s="2039" t="s">
        <v>378</v>
      </c>
      <c r="B4" s="2039" t="str">
        <f>E4</f>
        <v>人件費</v>
      </c>
      <c r="C4" s="2217"/>
      <c r="D4" s="2219"/>
      <c r="E4" s="1821" t="s">
        <v>15</v>
      </c>
      <c r="F4" s="1813">
        <f>IF(F$2&gt;$G$1,'☆事業所損益管理(H30.9～H31.8)(計画)'!F10,
GETPIVOTDATA("合計 / " &amp; $B4,【ピボット】事業所収支!$A$3,"年月",F$2,"事業所",$A4))</f>
        <v>5728498</v>
      </c>
      <c r="G4" s="1814">
        <f>IF(G$2&gt;$G$1,'☆事業所損益管理(H30.9～H31.8)(計画)'!G10,
GETPIVOTDATA("合計 / " &amp; $B4,【ピボット】事業所収支!$A$3,"年月",G$2,"事業所",$A4))</f>
        <v>6850522</v>
      </c>
      <c r="H4" s="1814">
        <f>IF(H$2&gt;$G$1,'☆事業所損益管理(H30.9～H31.8)(計画)'!H10,
GETPIVOTDATA("合計 / " &amp; $B4,【ピボット】事業所収支!$A$3,"年月",H$2,"事業所",$A4))</f>
        <v>6898249</v>
      </c>
      <c r="I4" s="1814">
        <f>IF(I$2&gt;$G$1,'☆事業所損益管理(H30.9～H31.8)(計画)'!I10,
GETPIVOTDATA("合計 / " &amp; $B4,【ピボット】事業所収支!$A$3,"年月",I$2,"事業所",$A4))</f>
        <v>10396961</v>
      </c>
      <c r="J4" s="1814">
        <f>IF(J$2&gt;$G$1,'☆事業所損益管理(H30.9～H31.8)(計画)'!J10,
GETPIVOTDATA("合計 / " &amp; $B4,【ピボット】事業所収支!$A$3,"年月",J$2,"事業所",$A4))</f>
        <v>7106379</v>
      </c>
      <c r="K4" s="1814">
        <f>IF(K$2&gt;$G$1,'☆事業所損益管理(H30.9～H31.8)(計画)'!K10,
GETPIVOTDATA("合計 / " &amp; $B4,【ピボット】事業所収支!$A$3,"年月",K$2,"事業所",$A4))</f>
        <v>6977171</v>
      </c>
      <c r="L4" s="1814">
        <f>IF(L$2&gt;$G$1,'☆事業所損益管理(H30.9～H31.8)(計画)'!L10,
GETPIVOTDATA("合計 / " &amp; $B4,【ピボット】事業所収支!$A$3,"年月",L$2,"事業所",$A4))</f>
        <v>7175183</v>
      </c>
      <c r="M4" s="1814">
        <f>IF(M$2&gt;$G$1,'☆事業所損益管理(H30.9～H31.8)(計画)'!M10,
GETPIVOTDATA("合計 / " &amp; $B4,【ピボット】事業所収支!$A$3,"年月",M$2,"事業所",$A4))</f>
        <v>6591671</v>
      </c>
      <c r="N4" s="1891">
        <f>IF(N$2&gt;$G$1,'☆事業所損益管理(H30.9～H31.8)(計画)'!N10,
GETPIVOTDATA("合計 / " &amp; $B4,【ピボット】事業所収支!$A$3,"年月",N$2,"事業所",$A4))</f>
        <v>7500000</v>
      </c>
      <c r="O4" s="1891">
        <f>IF(O$2&gt;$G$1,'☆事業所損益管理(H30.9～H31.8)(計画)'!O10,
GETPIVOTDATA("合計 / " &amp; $B4,【ピボット】事業所収支!$A$3,"年月",O$2,"事業所",$A4))</f>
        <v>11400000</v>
      </c>
      <c r="P4" s="1891">
        <f>IF(P$2&gt;$G$1,'☆事業所損益管理(H30.9～H31.8)(計画)'!P10,
GETPIVOTDATA("合計 / " &amp; $B4,【ピボット】事業所収支!$A$3,"年月",P$2,"事業所",$A4))</f>
        <v>8000000</v>
      </c>
      <c r="Q4" s="1892">
        <f>IF(Q$2&gt;$G$1,'☆事業所損益管理(H30.9～H31.8)(計画)'!Q10,
GETPIVOTDATA("合計 / " &amp; $B4,【ピボット】事業所収支!$A$3,"年月",Q$2,"事業所",$A4))</f>
        <v>8000000</v>
      </c>
      <c r="R4" s="1843">
        <f t="shared" ca="1" si="1"/>
        <v>57724634</v>
      </c>
      <c r="S4" s="1843">
        <f t="shared" ca="1" si="2"/>
        <v>7215579.25</v>
      </c>
      <c r="T4" s="539">
        <f t="shared" si="3"/>
        <v>92624634</v>
      </c>
      <c r="U4" s="1825">
        <f t="shared" ref="U4:U76" ca="1" si="4">S4*12</f>
        <v>86586951</v>
      </c>
      <c r="V4" s="2041">
        <f ca="1">IF(W4=0,1,IF(W4&lt;=1,1,IF(W4&gt;1.1,-1,0)))</f>
        <v>1</v>
      </c>
      <c r="W4" s="1840">
        <f ca="1">IF(T4&lt;0,ROUND((U4-T4)/ABS(T4),3),IF(T4=0,0,ROUND(U4/T4,3)))</f>
        <v>0.93500000000000005</v>
      </c>
    </row>
    <row r="5" spans="1:23" s="2039" customFormat="1" ht="14.25" customHeight="1" thickBot="1" x14ac:dyDescent="0.2">
      <c r="A5" s="2039" t="s">
        <v>378</v>
      </c>
      <c r="B5" s="2039" t="str">
        <f>E5</f>
        <v>広告経費</v>
      </c>
      <c r="C5" s="2217"/>
      <c r="D5" s="2219"/>
      <c r="E5" s="1821" t="s">
        <v>447</v>
      </c>
      <c r="F5" s="1813">
        <f>IF(F$2&gt;$G$1,'☆事業所損益管理(H30.9～H31.8)(計画)'!F11,
GETPIVOTDATA("合計 / " &amp; $B5,【ピボット】事業所収支!$A$3,"年月",F$2,"事業所",$A5))</f>
        <v>51574</v>
      </c>
      <c r="G5" s="1814">
        <f>IF(G$2&gt;$G$1,'☆事業所損益管理(H30.9～H31.8)(計画)'!G11,
GETPIVOTDATA("合計 / " &amp; $B5,【ピボット】事業所収支!$A$3,"年月",G$2,"事業所",$A5))</f>
        <v>56700</v>
      </c>
      <c r="H5" s="1814">
        <f>IF(H$2&gt;$G$1,'☆事業所損益管理(H30.9～H31.8)(計画)'!H11,
GETPIVOTDATA("合計 / " &amp; $B5,【ピボット】事業所収支!$A$3,"年月",H$2,"事業所",$A5))</f>
        <v>97740</v>
      </c>
      <c r="I5" s="1814">
        <f>IF(I$2&gt;$G$1,'☆事業所損益管理(H30.9～H31.8)(計画)'!I11,
GETPIVOTDATA("合計 / " &amp; $B5,【ピボット】事業所収支!$A$3,"年月",I$2,"事業所",$A5))</f>
        <v>68040</v>
      </c>
      <c r="J5" s="1814">
        <f>IF(J$2&gt;$G$1,'☆事業所損益管理(H30.9～H31.8)(計画)'!J11,
GETPIVOTDATA("合計 / " &amp; $B5,【ピボット】事業所収支!$A$3,"年月",J$2,"事業所",$A5))</f>
        <v>0</v>
      </c>
      <c r="K5" s="1814">
        <f>IF(K$2&gt;$G$1,'☆事業所損益管理(H30.9～H31.8)(計画)'!K11,
GETPIVOTDATA("合計 / " &amp; $B5,【ピボット】事業所収支!$A$3,"年月",K$2,"事業所",$A5))</f>
        <v>0</v>
      </c>
      <c r="L5" s="1814">
        <f>IF(L$2&gt;$G$1,'☆事業所損益管理(H30.9～H31.8)(計画)'!L11,
GETPIVOTDATA("合計 / " &amp; $B5,【ピボット】事業所収支!$A$3,"年月",L$2,"事業所",$A5))</f>
        <v>0</v>
      </c>
      <c r="M5" s="1814">
        <f>IF(M$2&gt;$G$1,'☆事業所損益管理(H30.9～H31.8)(計画)'!M11,
GETPIVOTDATA("合計 / " &amp; $B5,【ピボット】事業所収支!$A$3,"年月",M$2,"事業所",$A5))</f>
        <v>0</v>
      </c>
      <c r="N5" s="1891">
        <f>IF(N$2&gt;$G$1,'☆事業所損益管理(H30.9～H31.8)(計画)'!N11,
GETPIVOTDATA("合計 / " &amp; $B5,【ピボット】事業所収支!$A$3,"年月",N$2,"事業所",$A5))</f>
        <v>50000</v>
      </c>
      <c r="O5" s="1891">
        <f>IF(O$2&gt;$G$1,'☆事業所損益管理(H30.9～H31.8)(計画)'!O11,
GETPIVOTDATA("合計 / " &amp; $B5,【ピボット】事業所収支!$A$3,"年月",O$2,"事業所",$A5))</f>
        <v>50000</v>
      </c>
      <c r="P5" s="1891">
        <f>IF(P$2&gt;$G$1,'☆事業所損益管理(H30.9～H31.8)(計画)'!P11,
GETPIVOTDATA("合計 / " &amp; $B5,【ピボット】事業所収支!$A$3,"年月",P$2,"事業所",$A5))</f>
        <v>50000</v>
      </c>
      <c r="Q5" s="1892">
        <f>IF(Q$2&gt;$G$1,'☆事業所損益管理(H30.9～H31.8)(計画)'!Q11,
GETPIVOTDATA("合計 / " &amp; $B5,【ピボット】事業所収支!$A$3,"年月",Q$2,"事業所",$A5))</f>
        <v>50000</v>
      </c>
      <c r="R5" s="1843">
        <f t="shared" ca="1" si="1"/>
        <v>274054</v>
      </c>
      <c r="S5" s="1843">
        <f t="shared" ca="1" si="2"/>
        <v>34256.75</v>
      </c>
      <c r="T5" s="539">
        <f t="shared" si="3"/>
        <v>474054</v>
      </c>
      <c r="U5" s="1825">
        <f t="shared" ca="1" si="4"/>
        <v>411081</v>
      </c>
      <c r="V5" s="2041">
        <f ca="1">IF(W5=0,1,IF(W5&lt;=1,1,IF(W5&gt;1.1,-1,0)))</f>
        <v>1</v>
      </c>
      <c r="W5" s="1840">
        <f ca="1">IF(T5&lt;0,ROUND((U5-T5)/ABS(T5),3),IF(T5=0,0,ROUND(U5/T5,3)))</f>
        <v>0.86699999999999999</v>
      </c>
    </row>
    <row r="6" spans="1:23" s="2039" customFormat="1" ht="14.25" customHeight="1" thickBot="1" x14ac:dyDescent="0.2">
      <c r="A6" s="2039" t="s">
        <v>378</v>
      </c>
      <c r="B6" s="2042" t="s">
        <v>97</v>
      </c>
      <c r="C6" s="2217"/>
      <c r="D6" s="2219"/>
      <c r="E6" s="1821" t="s">
        <v>35</v>
      </c>
      <c r="F6" s="1813">
        <f>IF(F$2&gt;$G$1,'☆事業所損益管理(H30.9～H31.8)(計画)'!F12,
GETPIVOTDATA("合計 / " &amp; $B6,【ピボット】事業所収支!$A$3,"年月",F$2,"事業所",$A6))</f>
        <v>830297</v>
      </c>
      <c r="G6" s="1814">
        <f>IF(G$2&gt;$G$1,'☆事業所損益管理(H30.9～H31.8)(計画)'!G12,
GETPIVOTDATA("合計 / " &amp; $B6,【ピボット】事業所収支!$A$3,"年月",G$2,"事業所",$A6))</f>
        <v>1854621</v>
      </c>
      <c r="H6" s="1814">
        <f>IF(H$2&gt;$G$1,'☆事業所損益管理(H30.9～H31.8)(計画)'!H12,
GETPIVOTDATA("合計 / " &amp; $B6,【ピボット】事業所収支!$A$3,"年月",H$2,"事業所",$A6))</f>
        <v>1365541</v>
      </c>
      <c r="I6" s="1814">
        <f>IF(I$2&gt;$G$1,'☆事業所損益管理(H30.9～H31.8)(計画)'!I12,
GETPIVOTDATA("合計 / " &amp; $B6,【ピボット】事業所収支!$A$3,"年月",I$2,"事業所",$A6))</f>
        <v>1361625</v>
      </c>
      <c r="J6" s="1814">
        <f>IF(J$2&gt;$G$1,'☆事業所損益管理(H30.9～H31.8)(計画)'!J12,
GETPIVOTDATA("合計 / " &amp; $B6,【ピボット】事業所収支!$A$3,"年月",J$2,"事業所",$A6))</f>
        <v>1548843</v>
      </c>
      <c r="K6" s="1814">
        <f>IF(K$2&gt;$G$1,'☆事業所損益管理(H30.9～H31.8)(計画)'!K12,
GETPIVOTDATA("合計 / " &amp; $B6,【ピボット】事業所収支!$A$3,"年月",K$2,"事業所",$A6))</f>
        <v>1273886</v>
      </c>
      <c r="L6" s="1814">
        <f>IF(L$2&gt;$G$1,'☆事業所損益管理(H30.9～H31.8)(計画)'!L12,
GETPIVOTDATA("合計 / " &amp; $B6,【ピボット】事業所収支!$A$3,"年月",L$2,"事業所",$A6))</f>
        <v>1155405</v>
      </c>
      <c r="M6" s="1814">
        <f>IF(M$2&gt;$G$1,'☆事業所損益管理(H30.9～H31.8)(計画)'!M12,
GETPIVOTDATA("合計 / " &amp; $B6,【ピボット】事業所収支!$A$3,"年月",M$2,"事業所",$A6))</f>
        <v>1067661</v>
      </c>
      <c r="N6" s="1891">
        <f>IF(N$2&gt;$G$1,'☆事業所損益管理(H30.9～H31.8)(計画)'!N12,
GETPIVOTDATA("合計 / " &amp; $B6,【ピボット】事業所収支!$A$3,"年月",N$2,"事業所",$A6))</f>
        <v>1400000</v>
      </c>
      <c r="O6" s="1891">
        <f>IF(O$2&gt;$G$1,'☆事業所損益管理(H30.9～H31.8)(計画)'!O12,
GETPIVOTDATA("合計 / " &amp; $B6,【ピボット】事業所収支!$A$3,"年月",O$2,"事業所",$A6))</f>
        <v>1400000</v>
      </c>
      <c r="P6" s="1891">
        <f>IF(P$2&gt;$G$1,'☆事業所損益管理(H30.9～H31.8)(計画)'!P12,
GETPIVOTDATA("合計 / " &amp; $B6,【ピボット】事業所収支!$A$3,"年月",P$2,"事業所",$A6))</f>
        <v>1400000</v>
      </c>
      <c r="Q6" s="1892">
        <f>IF(Q$2&gt;$G$1,'☆事業所損益管理(H30.9～H31.8)(計画)'!Q12,
GETPIVOTDATA("合計 / " &amp; $B6,【ピボット】事業所収支!$A$3,"年月",Q$2,"事業所",$A6))</f>
        <v>1400000</v>
      </c>
      <c r="R6" s="1843">
        <f t="shared" ca="1" si="1"/>
        <v>10457879</v>
      </c>
      <c r="S6" s="1843">
        <f t="shared" ca="1" si="2"/>
        <v>1307234.875</v>
      </c>
      <c r="T6" s="539">
        <f t="shared" si="3"/>
        <v>16057879</v>
      </c>
      <c r="U6" s="1825">
        <f t="shared" ca="1" si="4"/>
        <v>15686818.5</v>
      </c>
      <c r="V6" s="2041">
        <f ca="1">IF(W6=0,1,IF(W6&lt;=1,1,IF(W6&gt;1.1,-1,0)))</f>
        <v>1</v>
      </c>
      <c r="W6" s="1840">
        <f ca="1">IF(T6&lt;0,ROUND((U6-T6)/ABS(T6),3),IF(T6=0,0,ROUND(U6/T6,3)))</f>
        <v>0.97699999999999998</v>
      </c>
    </row>
    <row r="7" spans="1:23" s="2039" customFormat="1" ht="14.25" customHeight="1" thickBot="1" x14ac:dyDescent="0.2">
      <c r="A7" s="2039" t="s">
        <v>378</v>
      </c>
      <c r="B7" s="2042" t="s">
        <v>1504</v>
      </c>
      <c r="C7" s="2217"/>
      <c r="D7" s="2219"/>
      <c r="E7" s="1877" t="s">
        <v>1507</v>
      </c>
      <c r="F7" s="1813">
        <f>IFERROR(GETPIVOTDATA("合計 / " &amp; $B7,【ピボット】事業所収支!$A$3,"年月",F$2,"事業所",$A7),0)</f>
        <v>0</v>
      </c>
      <c r="G7" s="1814">
        <f>IFERROR(GETPIVOTDATA("合計 / " &amp; $B7,【ピボット】事業所収支!$A$3,"年月",G$2,"事業所",$A7),0)</f>
        <v>0</v>
      </c>
      <c r="H7" s="1814">
        <f>IFERROR(GETPIVOTDATA("合計 / " &amp; $B7,【ピボット】事業所収支!$A$3,"年月",H$2,"事業所",$A7),0)</f>
        <v>0</v>
      </c>
      <c r="I7" s="1814">
        <f>IFERROR(GETPIVOTDATA("合計 / " &amp; $B7,【ピボット】事業所収支!$A$3,"年月",I$2,"事業所",$A7),0)</f>
        <v>0</v>
      </c>
      <c r="J7" s="1814">
        <f>IFERROR(GETPIVOTDATA("合計 / " &amp; $B7,【ピボット】事業所収支!$A$3,"年月",J$2,"事業所",$A7),0)</f>
        <v>0</v>
      </c>
      <c r="K7" s="1814">
        <f>IFERROR(GETPIVOTDATA("合計 / " &amp; $B7,【ピボット】事業所収支!$A$3,"年月",K$2,"事業所",$A7),0)</f>
        <v>0</v>
      </c>
      <c r="L7" s="1814">
        <f>IFERROR(GETPIVOTDATA("合計 / " &amp; $B7,【ピボット】事業所収支!$A$3,"年月",L$2,"事業所",$A7),0)</f>
        <v>0</v>
      </c>
      <c r="M7" s="1814">
        <f>IFERROR(GETPIVOTDATA("合計 / " &amp; $B7,【ピボット】事業所収支!$A$3,"年月",M$2,"事業所",$A7),0)</f>
        <v>0</v>
      </c>
      <c r="N7" s="1891">
        <f>IFERROR(GETPIVOTDATA("合計 / " &amp; $B7,【ピボット】事業所収支!$A$3,"年月",N$2,"事業所",$A7),0)</f>
        <v>0</v>
      </c>
      <c r="O7" s="1891">
        <f>IFERROR(GETPIVOTDATA("合計 / " &amp; $B7,【ピボット】事業所収支!$A$3,"年月",O$2,"事業所",$A7),0)</f>
        <v>0</v>
      </c>
      <c r="P7" s="1891">
        <f>IFERROR(GETPIVOTDATA("合計 / " &amp; $B7,【ピボット】事業所収支!$A$3,"年月",P$2,"事業所",$A7),0)</f>
        <v>0</v>
      </c>
      <c r="Q7" s="1892">
        <f>IFERROR(GETPIVOTDATA("合計 / " &amp; $B7,【ピボット】事業所収支!$A$3,"年月",Q$2,"事業所",$A7),0)</f>
        <v>0</v>
      </c>
      <c r="R7" s="1843">
        <f t="shared" ref="R7" ca="1" si="5">SUM(OFFSET(F7,0,0,1,IF(ISERROR(MATCH(DATE(YEAR($G$1),MONTH($G$1),1),$F$2:$Q$2,0)),0,MATCH(DATE(YEAR($G$1),MONTH($G$1),1),$F$2:$Q$2,0))))</f>
        <v>0</v>
      </c>
      <c r="S7" s="1843">
        <f t="shared" ref="S7" ca="1" si="6">IF(ISERROR(R7/(DATEDIF(F$2,G$1,"M")+1)),0,R7/(DATEDIF(F$2,G$1,"M")+1))</f>
        <v>0</v>
      </c>
      <c r="T7" s="1938"/>
      <c r="U7" s="1825">
        <f t="shared" ref="U7" ca="1" si="7">S7*12</f>
        <v>0</v>
      </c>
      <c r="V7" s="2225"/>
      <c r="W7" s="2226"/>
    </row>
    <row r="8" spans="1:23" s="2039" customFormat="1" ht="14.25" customHeight="1" thickBot="1" x14ac:dyDescent="0.2">
      <c r="A8" s="2039" t="s">
        <v>378</v>
      </c>
      <c r="C8" s="2217"/>
      <c r="D8" s="2219"/>
      <c r="E8" s="1821" t="s">
        <v>1198</v>
      </c>
      <c r="F8" s="1823">
        <f>F3-(F4+F6+F7)</f>
        <v>4680715</v>
      </c>
      <c r="G8" s="1824">
        <f t="shared" ref="G8:Q8" si="8">G3-(G4+G6+G7)</f>
        <v>3806189</v>
      </c>
      <c r="H8" s="1824">
        <f t="shared" si="8"/>
        <v>4514881</v>
      </c>
      <c r="I8" s="1824">
        <f t="shared" si="8"/>
        <v>404505</v>
      </c>
      <c r="J8" s="1824">
        <f t="shared" si="8"/>
        <v>4013604</v>
      </c>
      <c r="K8" s="1824">
        <f t="shared" si="8"/>
        <v>3207150</v>
      </c>
      <c r="L8" s="1824">
        <f t="shared" si="8"/>
        <v>4490808</v>
      </c>
      <c r="M8" s="1824">
        <f t="shared" si="8"/>
        <v>5242256</v>
      </c>
      <c r="N8" s="1893">
        <f t="shared" si="8"/>
        <v>3600000</v>
      </c>
      <c r="O8" s="1893">
        <f t="shared" si="8"/>
        <v>-100000</v>
      </c>
      <c r="P8" s="1893">
        <f t="shared" si="8"/>
        <v>3600000</v>
      </c>
      <c r="Q8" s="1894">
        <f t="shared" si="8"/>
        <v>3600000</v>
      </c>
      <c r="R8" s="1843">
        <f t="shared" ca="1" si="1"/>
        <v>30360108</v>
      </c>
      <c r="S8" s="1843">
        <f t="shared" ca="1" si="2"/>
        <v>3795013.5</v>
      </c>
      <c r="T8" s="539">
        <f t="shared" si="3"/>
        <v>41060108</v>
      </c>
      <c r="U8" s="1825">
        <f t="shared" ca="1" si="4"/>
        <v>45540162</v>
      </c>
      <c r="V8" s="2043">
        <f ca="1">IFERROR(IF(W8&gt;=0,1,IF(W8&lt;-0.1,-1,0)),1)</f>
        <v>1</v>
      </c>
      <c r="W8" s="1840">
        <f ca="1">IF(T8=0,1-(U4+U6)/U3,IF(T8=U8,0,ROUND((U8-T8)/ABS(T8),3)))</f>
        <v>0.109</v>
      </c>
    </row>
    <row r="9" spans="1:23" s="2039" customFormat="1" ht="14.25" customHeight="1" thickBot="1" x14ac:dyDescent="0.2">
      <c r="A9" s="2039" t="s">
        <v>378</v>
      </c>
      <c r="C9" s="2217"/>
      <c r="D9" s="2219"/>
      <c r="E9" s="1128" t="s">
        <v>1197</v>
      </c>
      <c r="F9" s="1815">
        <f>'☆事業所損益管理(H30.9～H31.8)(計画)'!F14</f>
        <v>2100000</v>
      </c>
      <c r="G9" s="1816">
        <f>'☆事業所損益管理(H30.9～H31.8)(計画)'!G14</f>
        <v>2100000</v>
      </c>
      <c r="H9" s="1816">
        <f>'☆事業所損益管理(H30.9～H31.8)(計画)'!H14</f>
        <v>2100000</v>
      </c>
      <c r="I9" s="1816">
        <f>'☆事業所損益管理(H30.9～H31.8)(計画)'!I14</f>
        <v>2100000</v>
      </c>
      <c r="J9" s="1816">
        <f>'☆事業所損益管理(H30.9～H31.8)(計画)'!J14</f>
        <v>2100000</v>
      </c>
      <c r="K9" s="1816">
        <f>'☆事業所損益管理(H30.9～H31.8)(計画)'!K14</f>
        <v>2100000</v>
      </c>
      <c r="L9" s="1816">
        <f>'☆事業所損益管理(H30.9～H31.8)(計画)'!L14</f>
        <v>2100000</v>
      </c>
      <c r="M9" s="1816">
        <f>'☆事業所損益管理(H30.9～H31.8)(計画)'!M14</f>
        <v>2100000</v>
      </c>
      <c r="N9" s="1895">
        <f>'☆事業所損益管理(H30.9～H31.8)(計画)'!N14</f>
        <v>2100000</v>
      </c>
      <c r="O9" s="1895">
        <f>'☆事業所損益管理(H30.9～H31.8)(計画)'!O14</f>
        <v>2100000</v>
      </c>
      <c r="P9" s="1895">
        <f>'☆事業所損益管理(H30.9～H31.8)(計画)'!P14</f>
        <v>2100000</v>
      </c>
      <c r="Q9" s="1896">
        <f>'☆事業所損益管理(H30.9～H31.8)(計画)'!Q14</f>
        <v>2100000</v>
      </c>
      <c r="R9" s="1844">
        <f t="shared" ca="1" si="1"/>
        <v>16800000</v>
      </c>
      <c r="S9" s="1844">
        <f t="shared" ca="1" si="2"/>
        <v>2100000</v>
      </c>
      <c r="T9" s="533">
        <f t="shared" si="3"/>
        <v>25200000</v>
      </c>
      <c r="U9" s="527">
        <f t="shared" ca="1" si="4"/>
        <v>25200000</v>
      </c>
      <c r="V9" s="2225"/>
      <c r="W9" s="2226"/>
    </row>
    <row r="10" spans="1:23" s="2039" customFormat="1" ht="14.25" customHeight="1" thickBot="1" x14ac:dyDescent="0.2">
      <c r="A10" s="2039" t="s">
        <v>378</v>
      </c>
      <c r="C10" s="2217"/>
      <c r="D10" s="2219"/>
      <c r="E10" s="1822" t="s">
        <v>1196</v>
      </c>
      <c r="F10" s="1860">
        <f>F8-F9</f>
        <v>2580715</v>
      </c>
      <c r="G10" s="1861">
        <f>G8-G9</f>
        <v>1706189</v>
      </c>
      <c r="H10" s="1861">
        <f>H8-H9</f>
        <v>2414881</v>
      </c>
      <c r="I10" s="1861">
        <f t="shared" ref="I10:Q10" si="9">I8-I9</f>
        <v>-1695495</v>
      </c>
      <c r="J10" s="1861">
        <f t="shared" si="9"/>
        <v>1913604</v>
      </c>
      <c r="K10" s="1861">
        <f t="shared" si="9"/>
        <v>1107150</v>
      </c>
      <c r="L10" s="1861">
        <f t="shared" si="9"/>
        <v>2390808</v>
      </c>
      <c r="M10" s="1861">
        <f t="shared" si="9"/>
        <v>3142256</v>
      </c>
      <c r="N10" s="1897">
        <f t="shared" si="9"/>
        <v>1500000</v>
      </c>
      <c r="O10" s="1897">
        <f t="shared" si="9"/>
        <v>-2200000</v>
      </c>
      <c r="P10" s="1897">
        <f t="shared" si="9"/>
        <v>1500000</v>
      </c>
      <c r="Q10" s="1898">
        <f t="shared" si="9"/>
        <v>1500000</v>
      </c>
      <c r="R10" s="1845">
        <f t="shared" ca="1" si="1"/>
        <v>13560108</v>
      </c>
      <c r="S10" s="1845">
        <f t="shared" ca="1" si="2"/>
        <v>1695013.5</v>
      </c>
      <c r="T10" s="530">
        <f t="shared" si="3"/>
        <v>15860108</v>
      </c>
      <c r="U10" s="1826">
        <f t="shared" ca="1" si="4"/>
        <v>20340162</v>
      </c>
      <c r="V10" s="2043">
        <f ca="1">IFERROR(IF(W10&gt;=0,1,IF(W10&lt;-0.1,-1,0)),1)</f>
        <v>1</v>
      </c>
      <c r="W10" s="1840">
        <f ca="1">IF(T10=0,1-(U4+U6)/U3,IF(T10=U10,0,ROUND((U10-T10)/ABS(T10),3)))</f>
        <v>0.28199999999999997</v>
      </c>
    </row>
    <row r="11" spans="1:23" s="2039" customFormat="1" ht="14.25" customHeight="1" thickBot="1" x14ac:dyDescent="0.2">
      <c r="A11" s="2039" t="s">
        <v>379</v>
      </c>
      <c r="B11" s="2039" t="str">
        <f>E11</f>
        <v>売上</v>
      </c>
      <c r="C11" s="2217" t="s">
        <v>37</v>
      </c>
      <c r="D11" s="2218" t="s">
        <v>1441</v>
      </c>
      <c r="E11" s="1820" t="s">
        <v>26</v>
      </c>
      <c r="F11" s="1811">
        <f>IF(F$2&gt;$G$1,'☆事業所損益管理(H30.9～H31.8)(計画)'!F16,
GETPIVOTDATA("合計 / " &amp; $B11,【ピボット】事業所収支!$A$3,"年月",F$2,"事業所",$A11))</f>
        <v>6157056</v>
      </c>
      <c r="G11" s="1812">
        <f>IF(G$2&gt;$G$1,'☆事業所損益管理(H30.9～H31.8)(計画)'!G16,
GETPIVOTDATA("合計 / " &amp; $B11,【ピボット】事業所収支!$A$3,"年月",G$2,"事業所",$A11))</f>
        <v>7557882</v>
      </c>
      <c r="H11" s="1812">
        <f>IF(H$2&gt;$G$1,'☆事業所損益管理(H30.9～H31.8)(計画)'!H16,
GETPIVOTDATA("合計 / " &amp; $B11,【ピボット】事業所収支!$A$3,"年月",H$2,"事業所",$A11))</f>
        <v>7285298</v>
      </c>
      <c r="I11" s="1812">
        <f>IF(I$2&gt;$G$1,'☆事業所損益管理(H30.9～H31.8)(計画)'!I16,
GETPIVOTDATA("合計 / " &amp; $B11,【ピボット】事業所収支!$A$3,"年月",I$2,"事業所",$A11))</f>
        <v>6678253</v>
      </c>
      <c r="J11" s="1812">
        <f>IF(J$2&gt;$G$1,'☆事業所損益管理(H30.9～H31.8)(計画)'!J16,
GETPIVOTDATA("合計 / " &amp; $B11,【ピボット】事業所収支!$A$3,"年月",J$2,"事業所",$A11))</f>
        <v>5940817</v>
      </c>
      <c r="K11" s="1812">
        <f>IF(K$2&gt;$G$1,'☆事業所損益管理(H30.9～H31.8)(計画)'!K16,
GETPIVOTDATA("合計 / " &amp; $B11,【ピボット】事業所収支!$A$3,"年月",K$2,"事業所",$A11))</f>
        <v>6270597</v>
      </c>
      <c r="L11" s="1812">
        <f>IF(L$2&gt;$G$1,'☆事業所損益管理(H30.9～H31.8)(計画)'!L16,
GETPIVOTDATA("合計 / " &amp; $B11,【ピボット】事業所収支!$A$3,"年月",L$2,"事業所",$A11))</f>
        <v>5457771</v>
      </c>
      <c r="M11" s="1812">
        <f>IF(M$2&gt;$G$1,'☆事業所損益管理(H30.9～H31.8)(計画)'!M16,
GETPIVOTDATA("合計 / " &amp; $B11,【ピボット】事業所収支!$A$3,"年月",M$2,"事業所",$A11))</f>
        <v>6262229</v>
      </c>
      <c r="N11" s="1889">
        <f>IF(N$2&gt;$G$1,'☆事業所損益管理(H30.9～H31.8)(計画)'!N16,
GETPIVOTDATA("合計 / " &amp; $B11,【ピボット】事業所収支!$A$3,"年月",N$2,"事業所",$A11))</f>
        <v>7000000</v>
      </c>
      <c r="O11" s="1889">
        <f>IF(O$2&gt;$G$1,'☆事業所損益管理(H30.9～H31.8)(計画)'!O16,
GETPIVOTDATA("合計 / " &amp; $B11,【ピボット】事業所収支!$A$3,"年月",O$2,"事業所",$A11))</f>
        <v>7000000</v>
      </c>
      <c r="P11" s="1889">
        <f>IF(P$2&gt;$G$1,'☆事業所損益管理(H30.9～H31.8)(計画)'!P16,
GETPIVOTDATA("合計 / " &amp; $B11,【ピボット】事業所収支!$A$3,"年月",P$2,"事業所",$A11))</f>
        <v>6900000</v>
      </c>
      <c r="Q11" s="1890">
        <f>IF(Q$2&gt;$G$1,'☆事業所損益管理(H30.9～H31.8)(計画)'!Q16,
GETPIVOTDATA("合計 / " &amp; $B11,【ピボット】事業所収支!$A$3,"年月",Q$2,"事業所",$A11))</f>
        <v>6900000</v>
      </c>
      <c r="R11" s="1842">
        <f t="shared" ca="1" si="1"/>
        <v>51609903</v>
      </c>
      <c r="S11" s="1842">
        <f t="shared" ca="1" si="2"/>
        <v>6451237.875</v>
      </c>
      <c r="T11" s="538">
        <f t="shared" si="3"/>
        <v>79409903</v>
      </c>
      <c r="U11" s="1827">
        <f t="shared" ca="1" si="4"/>
        <v>77414854.5</v>
      </c>
      <c r="V11" s="2040">
        <f ca="1">IF(W11=0,1,IF(W11&gt;=1,1,IF(W11&lt;0.9,-1,0)))</f>
        <v>0</v>
      </c>
      <c r="W11" s="1839">
        <f ca="1">IF(T11&lt;0,ROUND((U11-T11)/ABS(T11),3),IF(T11=0,0,ROUND(U11/T11,3)))</f>
        <v>0.97499999999999998</v>
      </c>
    </row>
    <row r="12" spans="1:23" s="2039" customFormat="1" ht="14.25" customHeight="1" thickBot="1" x14ac:dyDescent="0.2">
      <c r="A12" s="2039" t="s">
        <v>379</v>
      </c>
      <c r="B12" s="2039" t="str">
        <f>E12</f>
        <v>人件費</v>
      </c>
      <c r="C12" s="2217"/>
      <c r="D12" s="2219"/>
      <c r="E12" s="1821" t="s">
        <v>15</v>
      </c>
      <c r="F12" s="1813">
        <f>IF(F$2&gt;$G$1,'☆事業所損益管理(H30.9～H31.8)(計画)'!F17,
GETPIVOTDATA("合計 / " &amp; $B12,【ピボット】事業所収支!$A$3,"年月",F$2,"事業所",$A12))</f>
        <v>4414583</v>
      </c>
      <c r="G12" s="1814">
        <f>IF(G$2&gt;$G$1,'☆事業所損益管理(H30.9～H31.8)(計画)'!G17,
GETPIVOTDATA("合計 / " &amp; $B12,【ピボット】事業所収支!$A$3,"年月",G$2,"事業所",$A12))</f>
        <v>4314050</v>
      </c>
      <c r="H12" s="1814">
        <f>IF(H$2&gt;$G$1,'☆事業所損益管理(H30.9～H31.8)(計画)'!H17,
GETPIVOTDATA("合計 / " &amp; $B12,【ピボット】事業所収支!$A$3,"年月",H$2,"事業所",$A12))</f>
        <v>4376006</v>
      </c>
      <c r="I12" s="1814">
        <f>IF(I$2&gt;$G$1,'☆事業所損益管理(H30.9～H31.8)(計画)'!I17,
GETPIVOTDATA("合計 / " &amp; $B12,【ピボット】事業所収支!$A$3,"年月",I$2,"事業所",$A12))</f>
        <v>7308069</v>
      </c>
      <c r="J12" s="1814">
        <f>IF(J$2&gt;$G$1,'☆事業所損益管理(H30.9～H31.8)(計画)'!J17,
GETPIVOTDATA("合計 / " &amp; $B12,【ピボット】事業所収支!$A$3,"年月",J$2,"事業所",$A12))</f>
        <v>4007265</v>
      </c>
      <c r="K12" s="1814">
        <f>IF(K$2&gt;$G$1,'☆事業所損益管理(H30.9～H31.8)(計画)'!K17,
GETPIVOTDATA("合計 / " &amp; $B12,【ピボット】事業所収支!$A$3,"年月",K$2,"事業所",$A12))</f>
        <v>3563976</v>
      </c>
      <c r="L12" s="1814">
        <f>IF(L$2&gt;$G$1,'☆事業所損益管理(H30.9～H31.8)(計画)'!L17,
GETPIVOTDATA("合計 / " &amp; $B12,【ピボット】事業所収支!$A$3,"年月",L$2,"事業所",$A12))</f>
        <v>3399432</v>
      </c>
      <c r="M12" s="1814">
        <f>IF(M$2&gt;$G$1,'☆事業所損益管理(H30.9～H31.8)(計画)'!M17,
GETPIVOTDATA("合計 / " &amp; $B12,【ピボット】事業所収支!$A$3,"年月",M$2,"事業所",$A12))</f>
        <v>3585412</v>
      </c>
      <c r="N12" s="1891">
        <f>IF(N$2&gt;$G$1,'☆事業所損益管理(H30.9～H31.8)(計画)'!N17,
GETPIVOTDATA("合計 / " &amp; $B12,【ピボット】事業所収支!$A$3,"年月",N$2,"事業所",$A12))</f>
        <v>4200000</v>
      </c>
      <c r="O12" s="1891">
        <f>IF(O$2&gt;$G$1,'☆事業所損益管理(H30.9～H31.8)(計画)'!O17,
GETPIVOTDATA("合計 / " &amp; $B12,【ピボット】事業所収支!$A$3,"年月",O$2,"事業所",$A12))</f>
        <v>8400000</v>
      </c>
      <c r="P12" s="1891">
        <f>IF(P$2&gt;$G$1,'☆事業所損益管理(H30.9～H31.8)(計画)'!P17,
GETPIVOTDATA("合計 / " &amp; $B12,【ピボット】事業所収支!$A$3,"年月",P$2,"事業所",$A12))</f>
        <v>4200000</v>
      </c>
      <c r="Q12" s="1892">
        <f>IF(Q$2&gt;$G$1,'☆事業所損益管理(H30.9～H31.8)(計画)'!Q17,
GETPIVOTDATA("合計 / " &amp; $B12,【ピボット】事業所収支!$A$3,"年月",Q$2,"事業所",$A12))</f>
        <v>4200000</v>
      </c>
      <c r="R12" s="1843">
        <f t="shared" ca="1" si="1"/>
        <v>34968793</v>
      </c>
      <c r="S12" s="1843">
        <f t="shared" ca="1" si="2"/>
        <v>4371099.125</v>
      </c>
      <c r="T12" s="539">
        <f t="shared" si="3"/>
        <v>55968793</v>
      </c>
      <c r="U12" s="1825">
        <f t="shared" ca="1" si="4"/>
        <v>52453189.5</v>
      </c>
      <c r="V12" s="2041">
        <f ca="1">IF(W12=0,1,IF(W12&lt;=1,1,IF(W12&gt;1.1,-1,0)))</f>
        <v>1</v>
      </c>
      <c r="W12" s="1840">
        <f ca="1">IF(T12&lt;0,ROUND((U12-T12)/ABS(T12),3),IF(T12=0,0,ROUND(U12/T12,3)))</f>
        <v>0.93700000000000006</v>
      </c>
    </row>
    <row r="13" spans="1:23" s="2039" customFormat="1" ht="14.25" customHeight="1" thickBot="1" x14ac:dyDescent="0.2">
      <c r="A13" s="2039" t="s">
        <v>379</v>
      </c>
      <c r="B13" s="2039" t="str">
        <f>E13</f>
        <v>広告経費</v>
      </c>
      <c r="C13" s="2217"/>
      <c r="D13" s="2219"/>
      <c r="E13" s="1821" t="s">
        <v>447</v>
      </c>
      <c r="F13" s="1813">
        <f>IF(F$2&gt;$G$1,'☆事業所損益管理(H30.9～H31.8)(計画)'!F18,
GETPIVOTDATA("合計 / " &amp; $B13,【ピボット】事業所収支!$A$3,"年月",F$2,"事業所",$A13))</f>
        <v>52166</v>
      </c>
      <c r="G13" s="1814">
        <f>IF(G$2&gt;$G$1,'☆事業所損益管理(H30.9～H31.8)(計画)'!G18,
GETPIVOTDATA("合計 / " &amp; $B13,【ピボット】事業所収支!$A$3,"年月",G$2,"事業所",$A13))</f>
        <v>108000</v>
      </c>
      <c r="H13" s="1814">
        <f>IF(H$2&gt;$G$1,'☆事業所損益管理(H30.9～H31.8)(計画)'!H18,
GETPIVOTDATA("合計 / " &amp; $B13,【ピボット】事業所収支!$A$3,"年月",H$2,"事業所",$A13))</f>
        <v>0</v>
      </c>
      <c r="I13" s="1814">
        <f>IF(I$2&gt;$G$1,'☆事業所損益管理(H30.9～H31.8)(計画)'!I18,
GETPIVOTDATA("合計 / " &amp; $B13,【ピボット】事業所収支!$A$3,"年月",I$2,"事業所",$A13))</f>
        <v>0</v>
      </c>
      <c r="J13" s="1814">
        <f>IF(J$2&gt;$G$1,'☆事業所損益管理(H30.9～H31.8)(計画)'!J18,
GETPIVOTDATA("合計 / " &amp; $B13,【ピボット】事業所収支!$A$3,"年月",J$2,"事業所",$A13))</f>
        <v>51840</v>
      </c>
      <c r="K13" s="1814">
        <f>IF(K$2&gt;$G$1,'☆事業所損益管理(H30.9～H31.8)(計画)'!K18,
GETPIVOTDATA("合計 / " &amp; $B13,【ピボット】事業所収支!$A$3,"年月",K$2,"事業所",$A13))</f>
        <v>0</v>
      </c>
      <c r="L13" s="1814">
        <f>IF(L$2&gt;$G$1,'☆事業所損益管理(H30.9～H31.8)(計画)'!L18,
GETPIVOTDATA("合計 / " &amp; $B13,【ピボット】事業所収支!$A$3,"年月",L$2,"事業所",$A13))</f>
        <v>0</v>
      </c>
      <c r="M13" s="1814">
        <f>IF(M$2&gt;$G$1,'☆事業所損益管理(H30.9～H31.8)(計画)'!M18,
GETPIVOTDATA("合計 / " &amp; $B13,【ピボット】事業所収支!$A$3,"年月",M$2,"事業所",$A13))</f>
        <v>0</v>
      </c>
      <c r="N13" s="1891">
        <f>IF(N$2&gt;$G$1,'☆事業所損益管理(H30.9～H31.8)(計画)'!N18,
GETPIVOTDATA("合計 / " &amp; $B13,【ピボット】事業所収支!$A$3,"年月",N$2,"事業所",$A13))</f>
        <v>50000</v>
      </c>
      <c r="O13" s="1891">
        <f>IF(O$2&gt;$G$1,'☆事業所損益管理(H30.9～H31.8)(計画)'!O18,
GETPIVOTDATA("合計 / " &amp; $B13,【ピボット】事業所収支!$A$3,"年月",O$2,"事業所",$A13))</f>
        <v>50000</v>
      </c>
      <c r="P13" s="1891">
        <f>IF(P$2&gt;$G$1,'☆事業所損益管理(H30.9～H31.8)(計画)'!P18,
GETPIVOTDATA("合計 / " &amp; $B13,【ピボット】事業所収支!$A$3,"年月",P$2,"事業所",$A13))</f>
        <v>50000</v>
      </c>
      <c r="Q13" s="1892">
        <f>IF(Q$2&gt;$G$1,'☆事業所損益管理(H30.9～H31.8)(計画)'!Q18,
GETPIVOTDATA("合計 / " &amp; $B13,【ピボット】事業所収支!$A$3,"年月",Q$2,"事業所",$A13))</f>
        <v>50000</v>
      </c>
      <c r="R13" s="1843">
        <f t="shared" ca="1" si="1"/>
        <v>212006</v>
      </c>
      <c r="S13" s="1843">
        <f t="shared" ca="1" si="2"/>
        <v>26500.75</v>
      </c>
      <c r="T13" s="539">
        <f t="shared" si="3"/>
        <v>412006</v>
      </c>
      <c r="U13" s="1825">
        <f t="shared" ca="1" si="4"/>
        <v>318009</v>
      </c>
      <c r="V13" s="2041">
        <f ca="1">IF(W13=0,1,IF(W13&lt;=1,1,IF(W13&gt;1.1,-1,0)))</f>
        <v>1</v>
      </c>
      <c r="W13" s="1840">
        <f ca="1">IF(T13&lt;0,ROUND((U13-T13)/ABS(T13),3),IF(T13=0,0,ROUND(U13/T13,3)))</f>
        <v>0.77200000000000002</v>
      </c>
    </row>
    <row r="14" spans="1:23" s="2039" customFormat="1" ht="14.25" customHeight="1" thickBot="1" x14ac:dyDescent="0.2">
      <c r="A14" s="2039" t="s">
        <v>379</v>
      </c>
      <c r="B14" s="2042" t="s">
        <v>1470</v>
      </c>
      <c r="C14" s="2217"/>
      <c r="D14" s="2219"/>
      <c r="E14" s="1821" t="s">
        <v>35</v>
      </c>
      <c r="F14" s="1813">
        <f>IF(F$2&gt;$G$1,'☆事業所損益管理(H30.9～H31.8)(計画)'!F19,
GETPIVOTDATA("合計 / " &amp; $B14,【ピボット】事業所収支!$A$3,"年月",F$2,"事業所",$A14))</f>
        <v>1096851</v>
      </c>
      <c r="G14" s="1814">
        <f>IF(G$2&gt;$G$1,'☆事業所損益管理(H30.9～H31.8)(計画)'!G19,
GETPIVOTDATA("合計 / " &amp; $B14,【ピボット】事業所収支!$A$3,"年月",G$2,"事業所",$A14))</f>
        <v>1080585</v>
      </c>
      <c r="H14" s="1814">
        <f>IF(H$2&gt;$G$1,'☆事業所損益管理(H30.9～H31.8)(計画)'!H19,
GETPIVOTDATA("合計 / " &amp; $B14,【ピボット】事業所収支!$A$3,"年月",H$2,"事業所",$A14))</f>
        <v>906143</v>
      </c>
      <c r="I14" s="1814">
        <f>IF(I$2&gt;$G$1,'☆事業所損益管理(H30.9～H31.8)(計画)'!I19,
GETPIVOTDATA("合計 / " &amp; $B14,【ピボット】事業所収支!$A$3,"年月",I$2,"事業所",$A14))</f>
        <v>864935</v>
      </c>
      <c r="J14" s="1814">
        <f>IF(J$2&gt;$G$1,'☆事業所損益管理(H30.9～H31.8)(計画)'!J19,
GETPIVOTDATA("合計 / " &amp; $B14,【ピボット】事業所収支!$A$3,"年月",J$2,"事業所",$A14))</f>
        <v>894137</v>
      </c>
      <c r="K14" s="1814">
        <f>IF(K$2&gt;$G$1,'☆事業所損益管理(H30.9～H31.8)(計画)'!K19,
GETPIVOTDATA("合計 / " &amp; $B14,【ピボット】事業所収支!$A$3,"年月",K$2,"事業所",$A14))</f>
        <v>861953</v>
      </c>
      <c r="L14" s="1814">
        <f>IF(L$2&gt;$G$1,'☆事業所損益管理(H30.9～H31.8)(計画)'!L19,
GETPIVOTDATA("合計 / " &amp; $B14,【ピボット】事業所収支!$A$3,"年月",L$2,"事業所",$A14))</f>
        <v>817415</v>
      </c>
      <c r="M14" s="1814">
        <f>IF(M$2&gt;$G$1,'☆事業所損益管理(H30.9～H31.8)(計画)'!M19,
GETPIVOTDATA("合計 / " &amp; $B14,【ピボット】事業所収支!$A$3,"年月",M$2,"事業所",$A14))</f>
        <v>946371</v>
      </c>
      <c r="N14" s="1891">
        <f>IF(N$2&gt;$G$1,'☆事業所損益管理(H30.9～H31.8)(計画)'!N19,
GETPIVOTDATA("合計 / " &amp; $B14,【ピボット】事業所収支!$A$3,"年月",N$2,"事業所",$A14))</f>
        <v>1000000</v>
      </c>
      <c r="O14" s="1891">
        <f>IF(O$2&gt;$G$1,'☆事業所損益管理(H30.9～H31.8)(計画)'!O19,
GETPIVOTDATA("合計 / " &amp; $B14,【ピボット】事業所収支!$A$3,"年月",O$2,"事業所",$A14))</f>
        <v>1000000</v>
      </c>
      <c r="P14" s="1891">
        <f>IF(P$2&gt;$G$1,'☆事業所損益管理(H30.9～H31.8)(計画)'!P19,
GETPIVOTDATA("合計 / " &amp; $B14,【ピボット】事業所収支!$A$3,"年月",P$2,"事業所",$A14))</f>
        <v>1000000</v>
      </c>
      <c r="Q14" s="1892">
        <f>IF(Q$2&gt;$G$1,'☆事業所損益管理(H30.9～H31.8)(計画)'!Q19,
GETPIVOTDATA("合計 / " &amp; $B14,【ピボット】事業所収支!$A$3,"年月",Q$2,"事業所",$A14))</f>
        <v>1000000</v>
      </c>
      <c r="R14" s="1843">
        <f t="shared" ca="1" si="1"/>
        <v>7468390</v>
      </c>
      <c r="S14" s="1843">
        <f t="shared" ca="1" si="2"/>
        <v>933548.75</v>
      </c>
      <c r="T14" s="539">
        <f t="shared" si="3"/>
        <v>11468390</v>
      </c>
      <c r="U14" s="1825">
        <f t="shared" ca="1" si="4"/>
        <v>11202585</v>
      </c>
      <c r="V14" s="2041">
        <f ca="1">IF(W14=0,1,IF(W14&lt;=1,1,IF(W14&gt;1.1,-1,0)))</f>
        <v>1</v>
      </c>
      <c r="W14" s="1840">
        <f ca="1">IF(T14&lt;0,ROUND((U14-T14)/ABS(T14),3),IF(T14=0,0,ROUND(U14/T14,3)))</f>
        <v>0.97699999999999998</v>
      </c>
    </row>
    <row r="15" spans="1:23" s="2039" customFormat="1" ht="14.25" customHeight="1" thickBot="1" x14ac:dyDescent="0.2">
      <c r="A15" s="2039" t="s">
        <v>379</v>
      </c>
      <c r="B15" s="2042" t="s">
        <v>1504</v>
      </c>
      <c r="C15" s="2217"/>
      <c r="D15" s="2219"/>
      <c r="E15" s="1821" t="s">
        <v>1507</v>
      </c>
      <c r="F15" s="1813">
        <f>IFERROR(GETPIVOTDATA("合計 / " &amp; $B15,【ピボット】事業所収支!$A$3,"年月",F$2,"事業所",$A15),0)</f>
        <v>0</v>
      </c>
      <c r="G15" s="1814">
        <f>IFERROR(GETPIVOTDATA("合計 / " &amp; $B15,【ピボット】事業所収支!$A$3,"年月",G$2,"事業所",$A15),0)</f>
        <v>0</v>
      </c>
      <c r="H15" s="1814">
        <f>IFERROR(GETPIVOTDATA("合計 / " &amp; $B15,【ピボット】事業所収支!$A$3,"年月",H$2,"事業所",$A15),0)</f>
        <v>0</v>
      </c>
      <c r="I15" s="1814">
        <f>IFERROR(GETPIVOTDATA("合計 / " &amp; $B15,【ピボット】事業所収支!$A$3,"年月",I$2,"事業所",$A15),0)</f>
        <v>19999.999999999996</v>
      </c>
      <c r="J15" s="1814">
        <f>IFERROR(GETPIVOTDATA("合計 / " &amp; $B15,【ピボット】事業所収支!$A$3,"年月",J$2,"事業所",$A15),0)</f>
        <v>25000.000000000007</v>
      </c>
      <c r="K15" s="1814">
        <f>IFERROR(GETPIVOTDATA("合計 / " &amp; $B15,【ピボット】事業所収支!$A$3,"年月",K$2,"事業所",$A15),0)</f>
        <v>0</v>
      </c>
      <c r="L15" s="1814">
        <f>IFERROR(GETPIVOTDATA("合計 / " &amp; $B15,【ピボット】事業所収支!$A$3,"年月",L$2,"事業所",$A15),0)</f>
        <v>0</v>
      </c>
      <c r="M15" s="1814">
        <f>IFERROR(GETPIVOTDATA("合計 / " &amp; $B15,【ピボット】事業所収支!$A$3,"年月",M$2,"事業所",$A15),0)</f>
        <v>0</v>
      </c>
      <c r="N15" s="1891">
        <f>IFERROR(GETPIVOTDATA("合計 / " &amp; $B15,【ピボット】事業所収支!$A$3,"年月",N$2,"事業所",$A15),0)</f>
        <v>0</v>
      </c>
      <c r="O15" s="1891">
        <f>IFERROR(GETPIVOTDATA("合計 / " &amp; $B15,【ピボット】事業所収支!$A$3,"年月",O$2,"事業所",$A15),0)</f>
        <v>0</v>
      </c>
      <c r="P15" s="1891">
        <f>IFERROR(GETPIVOTDATA("合計 / " &amp; $B15,【ピボット】事業所収支!$A$3,"年月",P$2,"事業所",$A15),0)</f>
        <v>0</v>
      </c>
      <c r="Q15" s="1892">
        <f>IFERROR(GETPIVOTDATA("合計 / " &amp; $B15,【ピボット】事業所収支!$A$3,"年月",Q$2,"事業所",$A15),0)</f>
        <v>0</v>
      </c>
      <c r="R15" s="1843">
        <f t="shared" ca="1" si="1"/>
        <v>45000</v>
      </c>
      <c r="S15" s="1843">
        <f t="shared" ca="1" si="2"/>
        <v>5625</v>
      </c>
      <c r="T15" s="1938"/>
      <c r="U15" s="1825">
        <f t="shared" ca="1" si="4"/>
        <v>67500</v>
      </c>
      <c r="V15" s="2225"/>
      <c r="W15" s="2226"/>
    </row>
    <row r="16" spans="1:23" s="2039" customFormat="1" ht="14.25" customHeight="1" thickBot="1" x14ac:dyDescent="0.2">
      <c r="A16" s="2039" t="s">
        <v>379</v>
      </c>
      <c r="C16" s="2217"/>
      <c r="D16" s="2219"/>
      <c r="E16" s="1821" t="s">
        <v>1434</v>
      </c>
      <c r="F16" s="1823">
        <f>F11-(F12+F14+F15)</f>
        <v>645622</v>
      </c>
      <c r="G16" s="1824">
        <f t="shared" ref="G16" si="10">G11-(G12+G14+G15)</f>
        <v>2163247</v>
      </c>
      <c r="H16" s="1824">
        <f t="shared" ref="H16" si="11">H11-(H12+H14+H15)</f>
        <v>2003149</v>
      </c>
      <c r="I16" s="1824">
        <f t="shared" ref="I16" si="12">I11-(I12+I14+I15)</f>
        <v>-1514751</v>
      </c>
      <c r="J16" s="1824">
        <f t="shared" ref="J16" si="13">J11-(J12+J14+J15)</f>
        <v>1014415</v>
      </c>
      <c r="K16" s="1824">
        <f t="shared" ref="K16" si="14">K11-(K12+K14+K15)</f>
        <v>1844668</v>
      </c>
      <c r="L16" s="1824">
        <f t="shared" ref="L16" si="15">L11-(L12+L14+L15)</f>
        <v>1240924</v>
      </c>
      <c r="M16" s="1824">
        <f t="shared" ref="M16" si="16">M11-(M12+M14+M15)</f>
        <v>1730446</v>
      </c>
      <c r="N16" s="1893">
        <f t="shared" ref="N16" si="17">N11-(N12+N14+N15)</f>
        <v>1800000</v>
      </c>
      <c r="O16" s="1893">
        <f t="shared" ref="O16" si="18">O11-(O12+O14+O15)</f>
        <v>-2400000</v>
      </c>
      <c r="P16" s="1893">
        <f t="shared" ref="P16" si="19">P11-(P12+P14+P15)</f>
        <v>1700000</v>
      </c>
      <c r="Q16" s="1894">
        <f t="shared" ref="Q16" si="20">Q11-(Q12+Q14+Q15)</f>
        <v>1700000</v>
      </c>
      <c r="R16" s="1843">
        <f t="shared" ref="R16" ca="1" si="21">SUM(OFFSET(F16,0,0,1,IF(ISERROR(MATCH(DATE(YEAR($G$1),MONTH($G$1),1),$F$2:$Q$2,0)),0,MATCH(DATE(YEAR($G$1),MONTH($G$1),1),$F$2:$Q$2,0))))</f>
        <v>9127720</v>
      </c>
      <c r="S16" s="1843">
        <f t="shared" ref="S16" ca="1" si="22">IF(ISERROR(R16/(DATEDIF(F$2,G$1,"M")+1)),0,R16/(DATEDIF(F$2,G$1,"M")+1))</f>
        <v>1140965</v>
      </c>
      <c r="T16" s="539">
        <f t="shared" ref="T16" si="23">SUM(F16:Q16)</f>
        <v>11927720</v>
      </c>
      <c r="U16" s="1825">
        <f t="shared" ref="U16" ca="1" si="24">S16*12</f>
        <v>13691580</v>
      </c>
      <c r="V16" s="2043">
        <f ca="1">IFERROR(IF(W16&gt;=0,1,IF(W16&lt;-0.1,-1,0)),1)</f>
        <v>1</v>
      </c>
      <c r="W16" s="1840">
        <f ca="1">IF(T16=0,1-(U12+U14)/U11,IF(T16=U16,0,ROUND((U16-T16)/ABS(T16),3)))</f>
        <v>0.14799999999999999</v>
      </c>
    </row>
    <row r="17" spans="1:23" s="2039" customFormat="1" ht="14.25" customHeight="1" thickBot="1" x14ac:dyDescent="0.2">
      <c r="A17" s="2039" t="s">
        <v>379</v>
      </c>
      <c r="C17" s="2217"/>
      <c r="D17" s="2219"/>
      <c r="E17" s="1128" t="s">
        <v>1197</v>
      </c>
      <c r="F17" s="1815">
        <f>'☆事業所損益管理(H30.9～H31.8)(計画)'!F21</f>
        <v>600000</v>
      </c>
      <c r="G17" s="1816">
        <f>'☆事業所損益管理(H30.9～H31.8)(計画)'!G21</f>
        <v>600000</v>
      </c>
      <c r="H17" s="1816">
        <f>'☆事業所損益管理(H30.9～H31.8)(計画)'!H21</f>
        <v>600000</v>
      </c>
      <c r="I17" s="1816">
        <f>'☆事業所損益管理(H30.9～H31.8)(計画)'!I21</f>
        <v>600000</v>
      </c>
      <c r="J17" s="1816">
        <f>'☆事業所損益管理(H30.9～H31.8)(計画)'!J21</f>
        <v>600000</v>
      </c>
      <c r="K17" s="1816">
        <f>'☆事業所損益管理(H30.9～H31.8)(計画)'!K21</f>
        <v>600000</v>
      </c>
      <c r="L17" s="1816">
        <f>'☆事業所損益管理(H30.9～H31.8)(計画)'!L21</f>
        <v>600000</v>
      </c>
      <c r="M17" s="1816">
        <f>'☆事業所損益管理(H30.9～H31.8)(計画)'!M21</f>
        <v>600000</v>
      </c>
      <c r="N17" s="1895">
        <f>'☆事業所損益管理(H30.9～H31.8)(計画)'!N21</f>
        <v>600000</v>
      </c>
      <c r="O17" s="1895">
        <f>'☆事業所損益管理(H30.9～H31.8)(計画)'!O21</f>
        <v>600000</v>
      </c>
      <c r="P17" s="1895">
        <f>'☆事業所損益管理(H30.9～H31.8)(計画)'!P21</f>
        <v>600000</v>
      </c>
      <c r="Q17" s="1896">
        <f>'☆事業所損益管理(H30.9～H31.8)(計画)'!Q21</f>
        <v>600000</v>
      </c>
      <c r="R17" s="1844">
        <f t="shared" ca="1" si="1"/>
        <v>4800000</v>
      </c>
      <c r="S17" s="1844">
        <f t="shared" ca="1" si="2"/>
        <v>600000</v>
      </c>
      <c r="T17" s="533">
        <f t="shared" si="3"/>
        <v>7200000</v>
      </c>
      <c r="U17" s="527">
        <f t="shared" ca="1" si="4"/>
        <v>7200000</v>
      </c>
      <c r="V17" s="2225"/>
      <c r="W17" s="2226"/>
    </row>
    <row r="18" spans="1:23" s="2039" customFormat="1" ht="14.25" customHeight="1" thickBot="1" x14ac:dyDescent="0.2">
      <c r="A18" s="2039" t="s">
        <v>379</v>
      </c>
      <c r="C18" s="2217"/>
      <c r="D18" s="2219"/>
      <c r="E18" s="1822" t="s">
        <v>1435</v>
      </c>
      <c r="F18" s="1860">
        <f>F16-F17</f>
        <v>45622</v>
      </c>
      <c r="G18" s="1861">
        <f>G16-G17</f>
        <v>1563247</v>
      </c>
      <c r="H18" s="1861">
        <f>H16-H17</f>
        <v>1403149</v>
      </c>
      <c r="I18" s="1861">
        <f t="shared" ref="I18:Q18" si="25">I16-I17</f>
        <v>-2114751</v>
      </c>
      <c r="J18" s="1861">
        <f t="shared" si="25"/>
        <v>414415</v>
      </c>
      <c r="K18" s="1861">
        <f t="shared" si="25"/>
        <v>1244668</v>
      </c>
      <c r="L18" s="1861">
        <f t="shared" si="25"/>
        <v>640924</v>
      </c>
      <c r="M18" s="1861">
        <f t="shared" si="25"/>
        <v>1130446</v>
      </c>
      <c r="N18" s="1897">
        <f t="shared" si="25"/>
        <v>1200000</v>
      </c>
      <c r="O18" s="1897">
        <f t="shared" si="25"/>
        <v>-3000000</v>
      </c>
      <c r="P18" s="1897">
        <f t="shared" si="25"/>
        <v>1100000</v>
      </c>
      <c r="Q18" s="1898">
        <f t="shared" si="25"/>
        <v>1100000</v>
      </c>
      <c r="R18" s="1845">
        <f t="shared" ca="1" si="1"/>
        <v>4327720</v>
      </c>
      <c r="S18" s="1845">
        <f t="shared" ca="1" si="2"/>
        <v>540965</v>
      </c>
      <c r="T18" s="530">
        <f t="shared" si="3"/>
        <v>4727720</v>
      </c>
      <c r="U18" s="1826">
        <f t="shared" ca="1" si="4"/>
        <v>6491580</v>
      </c>
      <c r="V18" s="2043">
        <f ca="1">IFERROR(IF(W18&gt;=0,1,IF(W18&lt;-0.1,-1,0)),1)</f>
        <v>1</v>
      </c>
      <c r="W18" s="1840">
        <f ca="1">IF(T18=0,1-(U12+U14)/U11,IF(T18=U18,0,ROUND((U18-T18)/ABS(T18),3)))</f>
        <v>0.373</v>
      </c>
    </row>
    <row r="19" spans="1:23" s="2039" customFormat="1" ht="14.25" customHeight="1" thickBot="1" x14ac:dyDescent="0.2">
      <c r="A19" s="2039" t="s">
        <v>380</v>
      </c>
      <c r="B19" s="2039" t="str">
        <f>E19</f>
        <v>売上</v>
      </c>
      <c r="C19" s="2217" t="s">
        <v>66</v>
      </c>
      <c r="D19" s="2218" t="s">
        <v>1441</v>
      </c>
      <c r="E19" s="1820" t="s">
        <v>26</v>
      </c>
      <c r="F19" s="1811">
        <f>IF(F$2&gt;$G$1,'☆事業所損益管理(H30.9～H31.8)(計画)'!F23,
GETPIVOTDATA("合計 / " &amp; $B19,【ピボット】事業所収支!$A$3,"年月",F$2,"事業所",$A19))</f>
        <v>6774361</v>
      </c>
      <c r="G19" s="1812">
        <f>IF(G$2&gt;$G$1,'☆事業所損益管理(H30.9～H31.8)(計画)'!G23,
GETPIVOTDATA("合計 / " &amp; $B19,【ピボット】事業所収支!$A$3,"年月",G$2,"事業所",$A19))</f>
        <v>7419604</v>
      </c>
      <c r="H19" s="1812">
        <f>IF(H$2&gt;$G$1,'☆事業所損益管理(H30.9～H31.8)(計画)'!H23,
GETPIVOTDATA("合計 / " &amp; $B19,【ピボット】事業所収支!$A$3,"年月",H$2,"事業所",$A19))</f>
        <v>7099035</v>
      </c>
      <c r="I19" s="1812">
        <f>IF(I$2&gt;$G$1,'☆事業所損益管理(H30.9～H31.8)(計画)'!I23,
GETPIVOTDATA("合計 / " &amp; $B19,【ピボット】事業所収支!$A$3,"年月",I$2,"事業所",$A19))</f>
        <v>7065580</v>
      </c>
      <c r="J19" s="1812">
        <f>IF(J$2&gt;$G$1,'☆事業所損益管理(H30.9～H31.8)(計画)'!J23,
GETPIVOTDATA("合計 / " &amp; $B19,【ピボット】事業所収支!$A$3,"年月",J$2,"事業所",$A19))</f>
        <v>7041908</v>
      </c>
      <c r="K19" s="1812">
        <f>IF(K$2&gt;$G$1,'☆事業所損益管理(H30.9～H31.8)(計画)'!K23,
GETPIVOTDATA("合計 / " &amp; $B19,【ピボット】事業所収支!$A$3,"年月",K$2,"事業所",$A19))</f>
        <v>6369053</v>
      </c>
      <c r="L19" s="1812">
        <f>IF(L$2&gt;$G$1,'☆事業所損益管理(H30.9～H31.8)(計画)'!L23,
GETPIVOTDATA("合計 / " &amp; $B19,【ピボット】事業所収支!$A$3,"年月",L$2,"事業所",$A19))</f>
        <v>6979599</v>
      </c>
      <c r="M19" s="1812">
        <f>IF(M$2&gt;$G$1,'☆事業所損益管理(H30.9～H31.8)(計画)'!M23,
GETPIVOTDATA("合計 / " &amp; $B19,【ピボット】事業所収支!$A$3,"年月",M$2,"事業所",$A19))</f>
        <v>7110420</v>
      </c>
      <c r="N19" s="1889">
        <f>IF(N$2&gt;$G$1,'☆事業所損益管理(H30.9～H31.8)(計画)'!N23,
GETPIVOTDATA("合計 / " &amp; $B19,【ピボット】事業所収支!$A$3,"年月",N$2,"事業所",$A19))</f>
        <v>7600000</v>
      </c>
      <c r="O19" s="1889">
        <f>IF(O$2&gt;$G$1,'☆事業所損益管理(H30.9～H31.8)(計画)'!O23,
GETPIVOTDATA("合計 / " &amp; $B19,【ピボット】事業所収支!$A$3,"年月",O$2,"事業所",$A19))</f>
        <v>7700000</v>
      </c>
      <c r="P19" s="1889">
        <f>IF(P$2&gt;$G$1,'☆事業所損益管理(H30.9～H31.8)(計画)'!P23,
GETPIVOTDATA("合計 / " &amp; $B19,【ピボット】事業所収支!$A$3,"年月",P$2,"事業所",$A19))</f>
        <v>7900000</v>
      </c>
      <c r="Q19" s="1890">
        <f>IF(Q$2&gt;$G$1,'☆事業所損益管理(H30.9～H31.8)(計画)'!Q23,
GETPIVOTDATA("合計 / " &amp; $B19,【ピボット】事業所収支!$A$3,"年月",Q$2,"事業所",$A19))</f>
        <v>8000000</v>
      </c>
      <c r="R19" s="1842">
        <f t="shared" ca="1" si="1"/>
        <v>55859560</v>
      </c>
      <c r="S19" s="1842">
        <f t="shared" ca="1" si="2"/>
        <v>6982445</v>
      </c>
      <c r="T19" s="538">
        <f t="shared" si="3"/>
        <v>87059560</v>
      </c>
      <c r="U19" s="1827">
        <f t="shared" ca="1" si="4"/>
        <v>83789340</v>
      </c>
      <c r="V19" s="2040">
        <f ca="1">IF(W19=0,1,IF(W19&gt;=1,1,IF(W19&lt;0.9,-1,0)))</f>
        <v>0</v>
      </c>
      <c r="W19" s="1839">
        <f ca="1">IF(T19&lt;0,ROUND((U19-T19)/ABS(T19),3),IF(T19=0,0,ROUND(U19/T19,3)))</f>
        <v>0.96199999999999997</v>
      </c>
    </row>
    <row r="20" spans="1:23" s="2039" customFormat="1" ht="14.25" customHeight="1" thickBot="1" x14ac:dyDescent="0.2">
      <c r="A20" s="2039" t="s">
        <v>380</v>
      </c>
      <c r="B20" s="2039" t="str">
        <f>E20</f>
        <v>人件費</v>
      </c>
      <c r="C20" s="2217"/>
      <c r="D20" s="2219"/>
      <c r="E20" s="1821" t="s">
        <v>15</v>
      </c>
      <c r="F20" s="1813">
        <f>IF(F$2&gt;$G$1,'☆事業所損益管理(H30.9～H31.8)(計画)'!F24,
GETPIVOTDATA("合計 / " &amp; $B20,【ピボット】事業所収支!$A$3,"年月",F$2,"事業所",$A20))</f>
        <v>4297759</v>
      </c>
      <c r="G20" s="1814">
        <f>IF(G$2&gt;$G$1,'☆事業所損益管理(H30.9～H31.8)(計画)'!G24,
GETPIVOTDATA("合計 / " &amp; $B20,【ピボット】事業所収支!$A$3,"年月",G$2,"事業所",$A20))</f>
        <v>4521609</v>
      </c>
      <c r="H20" s="1814">
        <f>IF(H$2&gt;$G$1,'☆事業所損益管理(H30.9～H31.8)(計画)'!H24,
GETPIVOTDATA("合計 / " &amp; $B20,【ピボット】事業所収支!$A$3,"年月",H$2,"事業所",$A20))</f>
        <v>4825792</v>
      </c>
      <c r="I20" s="1814">
        <f>IF(I$2&gt;$G$1,'☆事業所損益管理(H30.9～H31.8)(計画)'!I24,
GETPIVOTDATA("合計 / " &amp; $B20,【ピボット】事業所収支!$A$3,"年月",I$2,"事業所",$A20))</f>
        <v>8175324</v>
      </c>
      <c r="J20" s="1814">
        <f>IF(J$2&gt;$G$1,'☆事業所損益管理(H30.9～H31.8)(計画)'!J24,
GETPIVOTDATA("合計 / " &amp; $B20,【ピボット】事業所収支!$A$3,"年月",J$2,"事業所",$A20))</f>
        <v>4942279</v>
      </c>
      <c r="K20" s="1814">
        <f>IF(K$2&gt;$G$1,'☆事業所損益管理(H30.9～H31.8)(計画)'!K24,
GETPIVOTDATA("合計 / " &amp; $B20,【ピボット】事業所収支!$A$3,"年月",K$2,"事業所",$A20))</f>
        <v>4273487</v>
      </c>
      <c r="L20" s="1814">
        <f>IF(L$2&gt;$G$1,'☆事業所損益管理(H30.9～H31.8)(計画)'!L24,
GETPIVOTDATA("合計 / " &amp; $B20,【ピボット】事業所収支!$A$3,"年月",L$2,"事業所",$A20))</f>
        <v>4516581</v>
      </c>
      <c r="M20" s="1814">
        <f>IF(M$2&gt;$G$1,'☆事業所損益管理(H30.9～H31.8)(計画)'!M24,
GETPIVOTDATA("合計 / " &amp; $B20,【ピボット】事業所収支!$A$3,"年月",M$2,"事業所",$A20))</f>
        <v>4643324</v>
      </c>
      <c r="N20" s="1891">
        <f>IF(N$2&gt;$G$1,'☆事業所損益管理(H30.9～H31.8)(計画)'!N24,
GETPIVOTDATA("合計 / " &amp; $B20,【ピボット】事業所収支!$A$3,"年月",N$2,"事業所",$A20))</f>
        <v>4600000</v>
      </c>
      <c r="O20" s="1891">
        <f>IF(O$2&gt;$G$1,'☆事業所損益管理(H30.9～H31.8)(計画)'!O24,
GETPIVOTDATA("合計 / " &amp; $B20,【ピボット】事業所収支!$A$3,"年月",O$2,"事業所",$A20))</f>
        <v>9600000</v>
      </c>
      <c r="P20" s="1891">
        <f>IF(P$2&gt;$G$1,'☆事業所損益管理(H30.9～H31.8)(計画)'!P24,
GETPIVOTDATA("合計 / " &amp; $B20,【ピボット】事業所収支!$A$3,"年月",P$2,"事業所",$A20))</f>
        <v>4600000</v>
      </c>
      <c r="Q20" s="1892">
        <f>IF(Q$2&gt;$G$1,'☆事業所損益管理(H30.9～H31.8)(計画)'!Q24,
GETPIVOTDATA("合計 / " &amp; $B20,【ピボット】事業所収支!$A$3,"年月",Q$2,"事業所",$A20))</f>
        <v>4500000</v>
      </c>
      <c r="R20" s="1843">
        <f t="shared" ca="1" si="1"/>
        <v>40196155</v>
      </c>
      <c r="S20" s="1843">
        <f t="shared" ca="1" si="2"/>
        <v>5024519.375</v>
      </c>
      <c r="T20" s="539">
        <f t="shared" si="3"/>
        <v>63496155</v>
      </c>
      <c r="U20" s="1825">
        <f t="shared" ca="1" si="4"/>
        <v>60294232.5</v>
      </c>
      <c r="V20" s="2041">
        <f ca="1">IF(W20=0,1,IF(W20&lt;=1,1,IF(W20&gt;1.1,-1,0)))</f>
        <v>1</v>
      </c>
      <c r="W20" s="1840">
        <f ca="1">IF(T20&lt;0,ROUND((U20-T20)/ABS(T20),3),IF(T20=0,0,ROUND(U20/T20,3)))</f>
        <v>0.95</v>
      </c>
    </row>
    <row r="21" spans="1:23" s="2039" customFormat="1" ht="14.25" customHeight="1" thickBot="1" x14ac:dyDescent="0.2">
      <c r="A21" s="2039" t="s">
        <v>380</v>
      </c>
      <c r="B21" s="2039" t="str">
        <f>E21</f>
        <v>広告経費</v>
      </c>
      <c r="C21" s="2217"/>
      <c r="D21" s="2219"/>
      <c r="E21" s="1821" t="s">
        <v>447</v>
      </c>
      <c r="F21" s="1813">
        <f>IF(F$2&gt;$G$1,'☆事業所損益管理(H30.9～H31.8)(計画)'!F25,
GETPIVOTDATA("合計 / " &amp; $B21,【ピボット】事業所収支!$A$3,"年月",F$2,"事業所",$A21))</f>
        <v>47520</v>
      </c>
      <c r="G21" s="1814">
        <f>IF(G$2&gt;$G$1,'☆事業所損益管理(H30.9～H31.8)(計画)'!G25,
GETPIVOTDATA("合計 / " &amp; $B21,【ピボット】事業所収支!$A$3,"年月",G$2,"事業所",$A21))</f>
        <v>100440</v>
      </c>
      <c r="H21" s="1814">
        <f>IF(H$2&gt;$G$1,'☆事業所損益管理(H30.9～H31.8)(計画)'!H25,
GETPIVOTDATA("合計 / " &amp; $B21,【ピボット】事業所収支!$A$3,"年月",H$2,"事業所",$A21))</f>
        <v>64800</v>
      </c>
      <c r="I21" s="1814">
        <f>IF(I$2&gt;$G$1,'☆事業所損益管理(H30.9～H31.8)(計画)'!I25,
GETPIVOTDATA("合計 / " &amp; $B21,【ピボット】事業所収支!$A$3,"年月",I$2,"事業所",$A21))</f>
        <v>51840</v>
      </c>
      <c r="J21" s="1814">
        <f>IF(J$2&gt;$G$1,'☆事業所損益管理(H30.9～H31.8)(計画)'!J25,
GETPIVOTDATA("合計 / " &amp; $B21,【ピボット】事業所収支!$A$3,"年月",J$2,"事業所",$A21))</f>
        <v>0</v>
      </c>
      <c r="K21" s="1814">
        <f>IF(K$2&gt;$G$1,'☆事業所損益管理(H30.9～H31.8)(計画)'!K25,
GETPIVOTDATA("合計 / " &amp; $B21,【ピボット】事業所収支!$A$3,"年月",K$2,"事業所",$A21))</f>
        <v>0</v>
      </c>
      <c r="L21" s="1814">
        <f>IF(L$2&gt;$G$1,'☆事業所損益管理(H30.9～H31.8)(計画)'!L25,
GETPIVOTDATA("合計 / " &amp; $B21,【ピボット】事業所収支!$A$3,"年月",L$2,"事業所",$A21))</f>
        <v>0</v>
      </c>
      <c r="M21" s="1814">
        <f>IF(M$2&gt;$G$1,'☆事業所損益管理(H30.9～H31.8)(計画)'!M25,
GETPIVOTDATA("合計 / " &amp; $B21,【ピボット】事業所収支!$A$3,"年月",M$2,"事業所",$A21))</f>
        <v>0</v>
      </c>
      <c r="N21" s="1891">
        <f>IF(N$2&gt;$G$1,'☆事業所損益管理(H30.9～H31.8)(計画)'!N25,
GETPIVOTDATA("合計 / " &amp; $B21,【ピボット】事業所収支!$A$3,"年月",N$2,"事業所",$A21))</f>
        <v>100000</v>
      </c>
      <c r="O21" s="1891">
        <f>IF(O$2&gt;$G$1,'☆事業所損益管理(H30.9～H31.8)(計画)'!O25,
GETPIVOTDATA("合計 / " &amp; $B21,【ピボット】事業所収支!$A$3,"年月",O$2,"事業所",$A21))</f>
        <v>0</v>
      </c>
      <c r="P21" s="1891">
        <f>IF(P$2&gt;$G$1,'☆事業所損益管理(H30.9～H31.8)(計画)'!P25,
GETPIVOTDATA("合計 / " &amp; $B21,【ピボット】事業所収支!$A$3,"年月",P$2,"事業所",$A21))</f>
        <v>0</v>
      </c>
      <c r="Q21" s="1892">
        <f>IF(Q$2&gt;$G$1,'☆事業所損益管理(H30.9～H31.8)(計画)'!Q25,
GETPIVOTDATA("合計 / " &amp; $B21,【ピボット】事業所収支!$A$3,"年月",Q$2,"事業所",$A21))</f>
        <v>50000</v>
      </c>
      <c r="R21" s="1843">
        <f t="shared" ca="1" si="1"/>
        <v>264600</v>
      </c>
      <c r="S21" s="1843">
        <f t="shared" ca="1" si="2"/>
        <v>33075</v>
      </c>
      <c r="T21" s="539">
        <f t="shared" si="3"/>
        <v>414600</v>
      </c>
      <c r="U21" s="1825">
        <f t="shared" ca="1" si="4"/>
        <v>396900</v>
      </c>
      <c r="V21" s="2041">
        <f ca="1">IF(W21=0,1,IF(W21&lt;=1,1,IF(W21&gt;1.1,-1,0)))</f>
        <v>1</v>
      </c>
      <c r="W21" s="1840">
        <f ca="1">IF(T21&lt;0,ROUND((U21-T21)/ABS(T21),3),IF(T21=0,0,ROUND(U21/T21,3)))</f>
        <v>0.95699999999999996</v>
      </c>
    </row>
    <row r="22" spans="1:23" s="2039" customFormat="1" ht="14.25" customHeight="1" thickBot="1" x14ac:dyDescent="0.2">
      <c r="A22" s="2039" t="s">
        <v>380</v>
      </c>
      <c r="B22" s="2042" t="s">
        <v>1230</v>
      </c>
      <c r="C22" s="2217"/>
      <c r="D22" s="2219"/>
      <c r="E22" s="1821" t="s">
        <v>35</v>
      </c>
      <c r="F22" s="1813">
        <f>IF(F$2&gt;$G$1,'☆事業所損益管理(H30.9～H31.8)(計画)'!F26,
GETPIVOTDATA("合計 / " &amp; $B22,【ピボット】事業所収支!$A$3,"年月",F$2,"事業所",$A22))</f>
        <v>801389</v>
      </c>
      <c r="G22" s="1814">
        <f>IF(G$2&gt;$G$1,'☆事業所損益管理(H30.9～H31.8)(計画)'!G26,
GETPIVOTDATA("合計 / " &amp; $B22,【ピボット】事業所収支!$A$3,"年月",G$2,"事業所",$A22))</f>
        <v>1522750</v>
      </c>
      <c r="H22" s="1814">
        <f>IF(H$2&gt;$G$1,'☆事業所損益管理(H30.9～H31.8)(計画)'!H26,
GETPIVOTDATA("合計 / " &amp; $B22,【ピボット】事業所収支!$A$3,"年月",H$2,"事業所",$A22))</f>
        <v>937541</v>
      </c>
      <c r="I22" s="1814">
        <f>IF(I$2&gt;$G$1,'☆事業所損益管理(H30.9～H31.8)(計画)'!I26,
GETPIVOTDATA("合計 / " &amp; $B22,【ピボット】事業所収支!$A$3,"年月",I$2,"事業所",$A22))</f>
        <v>844228</v>
      </c>
      <c r="J22" s="1814">
        <f>IF(J$2&gt;$G$1,'☆事業所損益管理(H30.9～H31.8)(計画)'!J26,
GETPIVOTDATA("合計 / " &amp; $B22,【ピボット】事業所収支!$A$3,"年月",J$2,"事業所",$A22))</f>
        <v>1033335</v>
      </c>
      <c r="K22" s="1814">
        <f>IF(K$2&gt;$G$1,'☆事業所損益管理(H30.9～H31.8)(計画)'!K26,
GETPIVOTDATA("合計 / " &amp; $B22,【ピボット】事業所収支!$A$3,"年月",K$2,"事業所",$A22))</f>
        <v>773129</v>
      </c>
      <c r="L22" s="1814">
        <f>IF(L$2&gt;$G$1,'☆事業所損益管理(H30.9～H31.8)(計画)'!L26,
GETPIVOTDATA("合計 / " &amp; $B22,【ピボット】事業所収支!$A$3,"年月",L$2,"事業所",$A22))</f>
        <v>726515</v>
      </c>
      <c r="M22" s="1814">
        <f>IF(M$2&gt;$G$1,'☆事業所損益管理(H30.9～H31.8)(計画)'!M26,
GETPIVOTDATA("合計 / " &amp; $B22,【ピボット】事業所収支!$A$3,"年月",M$2,"事業所",$A22))</f>
        <v>738059</v>
      </c>
      <c r="N22" s="1891">
        <f>IF(N$2&gt;$G$1,'☆事業所損益管理(H30.9～H31.8)(計画)'!N26,
GETPIVOTDATA("合計 / " &amp; $B22,【ピボット】事業所収支!$A$3,"年月",N$2,"事業所",$A22))</f>
        <v>850000</v>
      </c>
      <c r="O22" s="1891">
        <f>IF(O$2&gt;$G$1,'☆事業所損益管理(H30.9～H31.8)(計画)'!O26,
GETPIVOTDATA("合計 / " &amp; $B22,【ピボット】事業所収支!$A$3,"年月",O$2,"事業所",$A22))</f>
        <v>800000</v>
      </c>
      <c r="P22" s="1891">
        <f>IF(P$2&gt;$G$1,'☆事業所損益管理(H30.9～H31.8)(計画)'!P26,
GETPIVOTDATA("合計 / " &amp; $B22,【ピボット】事業所収支!$A$3,"年月",P$2,"事業所",$A22))</f>
        <v>850000</v>
      </c>
      <c r="Q22" s="1892">
        <f>IF(Q$2&gt;$G$1,'☆事業所損益管理(H30.9～H31.8)(計画)'!Q26,
GETPIVOTDATA("合計 / " &amp; $B22,【ピボット】事業所収支!$A$3,"年月",Q$2,"事業所",$A22))</f>
        <v>850000</v>
      </c>
      <c r="R22" s="1843">
        <f t="shared" ca="1" si="1"/>
        <v>7376946</v>
      </c>
      <c r="S22" s="1843">
        <f t="shared" ca="1" si="2"/>
        <v>922118.25</v>
      </c>
      <c r="T22" s="539">
        <f t="shared" si="3"/>
        <v>10726946</v>
      </c>
      <c r="U22" s="1825">
        <f t="shared" ca="1" si="4"/>
        <v>11065419</v>
      </c>
      <c r="V22" s="2041">
        <f ca="1">IF(W22=0,1,IF(W22&lt;=1,1,IF(W22&gt;1.1,-1,0)))</f>
        <v>0</v>
      </c>
      <c r="W22" s="1840">
        <f ca="1">IF(T22&lt;0,ROUND((U22-T22)/ABS(T22),3),IF(T22=0,0,ROUND(U22/T22,3)))</f>
        <v>1.032</v>
      </c>
    </row>
    <row r="23" spans="1:23" s="2039" customFormat="1" ht="14.25" customHeight="1" thickBot="1" x14ac:dyDescent="0.2">
      <c r="A23" s="2039" t="s">
        <v>380</v>
      </c>
      <c r="B23" s="2042" t="s">
        <v>1504</v>
      </c>
      <c r="C23" s="2217"/>
      <c r="D23" s="2219"/>
      <c r="E23" s="1821" t="s">
        <v>1507</v>
      </c>
      <c r="F23" s="1813">
        <f>IFERROR(GETPIVOTDATA("合計 / " &amp; $B23,【ピボット】事業所収支!$A$3,"年月",F$2,"事業所",$A23),0)</f>
        <v>0</v>
      </c>
      <c r="G23" s="1814">
        <f>IFERROR(GETPIVOTDATA("合計 / " &amp; $B23,【ピボット】事業所収支!$A$3,"年月",G$2,"事業所",$A23),0)</f>
        <v>0</v>
      </c>
      <c r="H23" s="1814">
        <f>IFERROR(GETPIVOTDATA("合計 / " &amp; $B23,【ピボット】事業所収支!$A$3,"年月",H$2,"事業所",$A23),0)</f>
        <v>0</v>
      </c>
      <c r="I23" s="1814">
        <f>IFERROR(GETPIVOTDATA("合計 / " &amp; $B23,【ピボット】事業所収支!$A$3,"年月",I$2,"事業所",$A23),0)</f>
        <v>0</v>
      </c>
      <c r="J23" s="1814">
        <f>IFERROR(GETPIVOTDATA("合計 / " &amp; $B23,【ピボット】事業所収支!$A$3,"年月",J$2,"事業所",$A23),0)</f>
        <v>22499.999999999985</v>
      </c>
      <c r="K23" s="1814">
        <f>IFERROR(GETPIVOTDATA("合計 / " &amp; $B23,【ピボット】事業所収支!$A$3,"年月",K$2,"事業所",$A23),0)</f>
        <v>0</v>
      </c>
      <c r="L23" s="1814">
        <f>IFERROR(GETPIVOTDATA("合計 / " &amp; $B23,【ピボット】事業所収支!$A$3,"年月",L$2,"事業所",$A23),0)</f>
        <v>0</v>
      </c>
      <c r="M23" s="1814">
        <f>IFERROR(GETPIVOTDATA("合計 / " &amp; $B23,【ピボット】事業所収支!$A$3,"年月",M$2,"事業所",$A23),0)</f>
        <v>0</v>
      </c>
      <c r="N23" s="1891">
        <f>IFERROR(GETPIVOTDATA("合計 / " &amp; $B23,【ピボット】事業所収支!$A$3,"年月",N$2,"事業所",$A23),0)</f>
        <v>0</v>
      </c>
      <c r="O23" s="1891">
        <f>IFERROR(GETPIVOTDATA("合計 / " &amp; $B23,【ピボット】事業所収支!$A$3,"年月",O$2,"事業所",$A23),0)</f>
        <v>0</v>
      </c>
      <c r="P23" s="1891">
        <f>IFERROR(GETPIVOTDATA("合計 / " &amp; $B23,【ピボット】事業所収支!$A$3,"年月",P$2,"事業所",$A23),0)</f>
        <v>0</v>
      </c>
      <c r="Q23" s="1892">
        <f>IFERROR(GETPIVOTDATA("合計 / " &amp; $B23,【ピボット】事業所収支!$A$3,"年月",Q$2,"事業所",$A23),0)</f>
        <v>0</v>
      </c>
      <c r="R23" s="1843">
        <f t="shared" ca="1" si="1"/>
        <v>22499.999999999985</v>
      </c>
      <c r="S23" s="1843">
        <f t="shared" ca="1" si="2"/>
        <v>2812.4999999999982</v>
      </c>
      <c r="T23" s="1938"/>
      <c r="U23" s="1825">
        <f t="shared" ca="1" si="4"/>
        <v>33749.999999999978</v>
      </c>
      <c r="V23" s="2225"/>
      <c r="W23" s="2226"/>
    </row>
    <row r="24" spans="1:23" s="2039" customFormat="1" ht="14.25" customHeight="1" thickBot="1" x14ac:dyDescent="0.2">
      <c r="A24" s="2039" t="s">
        <v>380</v>
      </c>
      <c r="C24" s="2217"/>
      <c r="D24" s="2219"/>
      <c r="E24" s="1821" t="s">
        <v>1434</v>
      </c>
      <c r="F24" s="1823">
        <f>F19-(F20+F22+F23)</f>
        <v>1675213</v>
      </c>
      <c r="G24" s="1824">
        <f t="shared" ref="G24" si="26">G19-(G20+G22+G23)</f>
        <v>1375245</v>
      </c>
      <c r="H24" s="1824">
        <f t="shared" ref="H24" si="27">H19-(H20+H22+H23)</f>
        <v>1335702</v>
      </c>
      <c r="I24" s="1824">
        <f t="shared" ref="I24" si="28">I19-(I20+I22+I23)</f>
        <v>-1953972</v>
      </c>
      <c r="J24" s="1824">
        <f t="shared" ref="J24" si="29">J19-(J20+J22+J23)</f>
        <v>1043794</v>
      </c>
      <c r="K24" s="1824">
        <f t="shared" ref="K24" si="30">K19-(K20+K22+K23)</f>
        <v>1322437</v>
      </c>
      <c r="L24" s="1824">
        <f t="shared" ref="L24" si="31">L19-(L20+L22+L23)</f>
        <v>1736503</v>
      </c>
      <c r="M24" s="1824">
        <f t="shared" ref="M24" si="32">M19-(M20+M22+M23)</f>
        <v>1729037</v>
      </c>
      <c r="N24" s="1893">
        <f t="shared" ref="N24" si="33">N19-(N20+N22+N23)</f>
        <v>2150000</v>
      </c>
      <c r="O24" s="1893">
        <f t="shared" ref="O24" si="34">O19-(O20+O22+O23)</f>
        <v>-2700000</v>
      </c>
      <c r="P24" s="1893">
        <f t="shared" ref="P24" si="35">P19-(P20+P22+P23)</f>
        <v>2450000</v>
      </c>
      <c r="Q24" s="1894">
        <f t="shared" ref="Q24" si="36">Q19-(Q20+Q22+Q23)</f>
        <v>2650000</v>
      </c>
      <c r="R24" s="1843">
        <f t="shared" ref="R24" ca="1" si="37">SUM(OFFSET(F24,0,0,1,IF(ISERROR(MATCH(DATE(YEAR($G$1),MONTH($G$1),1),$F$2:$Q$2,0)),0,MATCH(DATE(YEAR($G$1),MONTH($G$1),1),$F$2:$Q$2,0))))</f>
        <v>8263959</v>
      </c>
      <c r="S24" s="1843">
        <f t="shared" ref="S24" ca="1" si="38">IF(ISERROR(R24/(DATEDIF(F$2,G$1,"M")+1)),0,R24/(DATEDIF(F$2,G$1,"M")+1))</f>
        <v>1032994.875</v>
      </c>
      <c r="T24" s="539">
        <f t="shared" ref="T24" si="39">SUM(F24:Q24)</f>
        <v>12813959</v>
      </c>
      <c r="U24" s="1825">
        <f t="shared" ref="U24" ca="1" si="40">S24*12</f>
        <v>12395938.5</v>
      </c>
      <c r="V24" s="2043">
        <f ca="1">IFERROR(IF(W24&gt;=0,1,IF(W24&lt;-0.1,-1,0)),1)</f>
        <v>0</v>
      </c>
      <c r="W24" s="1840">
        <f ca="1">IF(T24=0,1-(U20+U22)/U19,IF(T24=U24,0,ROUND((U24-T24)/ABS(T24),3)))</f>
        <v>-3.3000000000000002E-2</v>
      </c>
    </row>
    <row r="25" spans="1:23" s="2039" customFormat="1" ht="14.25" customHeight="1" thickBot="1" x14ac:dyDescent="0.2">
      <c r="A25" s="2039" t="s">
        <v>380</v>
      </c>
      <c r="C25" s="2217"/>
      <c r="D25" s="2219"/>
      <c r="E25" s="1128" t="s">
        <v>1197</v>
      </c>
      <c r="F25" s="1815">
        <f>'☆事業所損益管理(H30.9～H31.8)(計画)'!F28</f>
        <v>600000</v>
      </c>
      <c r="G25" s="1816">
        <f>'☆事業所損益管理(H30.9～H31.8)(計画)'!G28</f>
        <v>600000</v>
      </c>
      <c r="H25" s="1816">
        <f>'☆事業所損益管理(H30.9～H31.8)(計画)'!H28</f>
        <v>600000</v>
      </c>
      <c r="I25" s="1816">
        <f>'☆事業所損益管理(H30.9～H31.8)(計画)'!I28</f>
        <v>600000</v>
      </c>
      <c r="J25" s="1816">
        <f>'☆事業所損益管理(H30.9～H31.8)(計画)'!J28</f>
        <v>600000</v>
      </c>
      <c r="K25" s="1816">
        <f>'☆事業所損益管理(H30.9～H31.8)(計画)'!K28</f>
        <v>600000</v>
      </c>
      <c r="L25" s="1816">
        <f>'☆事業所損益管理(H30.9～H31.8)(計画)'!L28</f>
        <v>600000</v>
      </c>
      <c r="M25" s="1816">
        <f>'☆事業所損益管理(H30.9～H31.8)(計画)'!M28</f>
        <v>600000</v>
      </c>
      <c r="N25" s="1895">
        <f>'☆事業所損益管理(H30.9～H31.8)(計画)'!N28</f>
        <v>600000</v>
      </c>
      <c r="O25" s="1895">
        <f>'☆事業所損益管理(H30.9～H31.8)(計画)'!O28</f>
        <v>600000</v>
      </c>
      <c r="P25" s="1895">
        <f>'☆事業所損益管理(H30.9～H31.8)(計画)'!P28</f>
        <v>600000</v>
      </c>
      <c r="Q25" s="1896">
        <f>'☆事業所損益管理(H30.9～H31.8)(計画)'!Q28</f>
        <v>600000</v>
      </c>
      <c r="R25" s="1844">
        <f t="shared" ca="1" si="1"/>
        <v>4800000</v>
      </c>
      <c r="S25" s="1844">
        <f t="shared" ca="1" si="2"/>
        <v>600000</v>
      </c>
      <c r="T25" s="533">
        <f t="shared" si="3"/>
        <v>7200000</v>
      </c>
      <c r="U25" s="527">
        <f t="shared" ca="1" si="4"/>
        <v>7200000</v>
      </c>
      <c r="V25" s="2225"/>
      <c r="W25" s="2226"/>
    </row>
    <row r="26" spans="1:23" s="2039" customFormat="1" ht="14.25" customHeight="1" thickBot="1" x14ac:dyDescent="0.2">
      <c r="A26" s="2039" t="s">
        <v>380</v>
      </c>
      <c r="C26" s="2217"/>
      <c r="D26" s="2219"/>
      <c r="E26" s="1822" t="s">
        <v>1435</v>
      </c>
      <c r="F26" s="1860">
        <f t="shared" ref="F26:Q26" si="41">F24-F25</f>
        <v>1075213</v>
      </c>
      <c r="G26" s="1861">
        <f t="shared" si="41"/>
        <v>775245</v>
      </c>
      <c r="H26" s="1861">
        <f t="shared" si="41"/>
        <v>735702</v>
      </c>
      <c r="I26" s="1861">
        <f t="shared" si="41"/>
        <v>-2553972</v>
      </c>
      <c r="J26" s="1861">
        <f t="shared" si="41"/>
        <v>443794</v>
      </c>
      <c r="K26" s="1861">
        <f t="shared" si="41"/>
        <v>722437</v>
      </c>
      <c r="L26" s="1861">
        <f t="shared" si="41"/>
        <v>1136503</v>
      </c>
      <c r="M26" s="1861">
        <f t="shared" si="41"/>
        <v>1129037</v>
      </c>
      <c r="N26" s="1897">
        <f t="shared" si="41"/>
        <v>1550000</v>
      </c>
      <c r="O26" s="1897">
        <f t="shared" si="41"/>
        <v>-3300000</v>
      </c>
      <c r="P26" s="1897">
        <f t="shared" si="41"/>
        <v>1850000</v>
      </c>
      <c r="Q26" s="1898">
        <f t="shared" si="41"/>
        <v>2050000</v>
      </c>
      <c r="R26" s="1845">
        <f t="shared" ca="1" si="1"/>
        <v>3463959</v>
      </c>
      <c r="S26" s="1845">
        <f t="shared" ca="1" si="2"/>
        <v>432994.875</v>
      </c>
      <c r="T26" s="530">
        <f t="shared" si="3"/>
        <v>5613959</v>
      </c>
      <c r="U26" s="1826">
        <f t="shared" ca="1" si="4"/>
        <v>5195938.5</v>
      </c>
      <c r="V26" s="2043">
        <f ca="1">IFERROR(IF(W26&gt;=0,1,IF(W26&lt;-0.1,-1,0)),1)</f>
        <v>0</v>
      </c>
      <c r="W26" s="1840">
        <f ca="1">IF(T26=0,1-(U20+U22)/U19,IF(T26=U26,0,ROUND((U26-T26)/ABS(T26),3)))</f>
        <v>-7.3999999999999996E-2</v>
      </c>
    </row>
    <row r="27" spans="1:23" s="1137" customFormat="1" ht="14.25" customHeight="1" thickBot="1" x14ac:dyDescent="0.2">
      <c r="A27" s="1137" t="s">
        <v>986</v>
      </c>
      <c r="B27" s="2039" t="str">
        <f>E27</f>
        <v>売上</v>
      </c>
      <c r="C27" s="2217" t="s">
        <v>985</v>
      </c>
      <c r="D27" s="2218" t="s">
        <v>1441</v>
      </c>
      <c r="E27" s="1820" t="s">
        <v>26</v>
      </c>
      <c r="F27" s="1811">
        <f>IF(F$2&gt;$G$1,'☆事業所損益管理(H30.9～H31.8)(計画)'!F30,
GETPIVOTDATA("合計 / " &amp; $B27,【ピボット】事業所収支!$A$3,"年月",F$2,"事業所",$A27))</f>
        <v>1193278</v>
      </c>
      <c r="G27" s="1812">
        <f>IF(G$2&gt;$G$1,'☆事業所損益管理(H30.9～H31.8)(計画)'!G30,
GETPIVOTDATA("合計 / " &amp; $B27,【ピボット】事業所収支!$A$3,"年月",G$2,"事業所",$A27))</f>
        <v>1631546</v>
      </c>
      <c r="H27" s="1812">
        <f>IF(H$2&gt;$G$1,'☆事業所損益管理(H30.9～H31.8)(計画)'!H30,
GETPIVOTDATA("合計 / " &amp; $B27,【ピボット】事業所収支!$A$3,"年月",H$2,"事業所",$A27))</f>
        <v>1296114</v>
      </c>
      <c r="I27" s="1812">
        <f>IF(I$2&gt;$G$1,'☆事業所損益管理(H30.9～H31.8)(計画)'!I30,
GETPIVOTDATA("合計 / " &amp; $B27,【ピボット】事業所収支!$A$3,"年月",I$2,"事業所",$A27))</f>
        <v>1520846</v>
      </c>
      <c r="J27" s="1812">
        <f>IF(J$2&gt;$G$1,'☆事業所損益管理(H30.9～H31.8)(計画)'!J30,
GETPIVOTDATA("合計 / " &amp; $B27,【ピボット】事業所収支!$A$3,"年月",J$2,"事業所",$A27))</f>
        <v>1160774</v>
      </c>
      <c r="K27" s="1812">
        <f>IF(K$2&gt;$G$1,'☆事業所損益管理(H30.9～H31.8)(計画)'!K30,
GETPIVOTDATA("合計 / " &amp; $B27,【ピボット】事業所収支!$A$3,"年月",K$2,"事業所",$A27))</f>
        <v>903949</v>
      </c>
      <c r="L27" s="1812">
        <f>IF(L$2&gt;$G$1,'☆事業所損益管理(H30.9～H31.8)(計画)'!L30,
GETPIVOTDATA("合計 / " &amp; $B27,【ピボット】事業所収支!$A$3,"年月",L$2,"事業所",$A27))</f>
        <v>0</v>
      </c>
      <c r="M27" s="1812">
        <f>IF(M$2&gt;$G$1,'☆事業所損益管理(H30.9～H31.8)(計画)'!M30,
GETPIVOTDATA("合計 / " &amp; $B27,【ピボット】事業所収支!$A$3,"年月",M$2,"事業所",$A27))</f>
        <v>13148</v>
      </c>
      <c r="N27" s="1889">
        <f>IF(N$2&gt;$G$1,'☆事業所損益管理(H30.9～H31.8)(計画)'!N30,
GETPIVOTDATA("合計 / " &amp; $B27,【ピボット】事業所収支!$A$3,"年月",N$2,"事業所",$A27))</f>
        <v>0</v>
      </c>
      <c r="O27" s="1889">
        <f>IF(O$2&gt;$G$1,'☆事業所損益管理(H30.9～H31.8)(計画)'!O30,
GETPIVOTDATA("合計 / " &amp; $B27,【ピボット】事業所収支!$A$3,"年月",O$2,"事業所",$A27))</f>
        <v>0</v>
      </c>
      <c r="P27" s="1889">
        <f>IF(P$2&gt;$G$1,'☆事業所損益管理(H30.9～H31.8)(計画)'!P30,
GETPIVOTDATA("合計 / " &amp; $B27,【ピボット】事業所収支!$A$3,"年月",P$2,"事業所",$A27))</f>
        <v>0</v>
      </c>
      <c r="Q27" s="1890">
        <f>IF(Q$2&gt;$G$1,'☆事業所損益管理(H30.9～H31.8)(計画)'!Q30,
GETPIVOTDATA("合計 / " &amp; $B27,【ピボット】事業所収支!$A$3,"年月",Q$2,"事業所",$A27))</f>
        <v>0</v>
      </c>
      <c r="R27" s="1842">
        <f t="shared" ca="1" si="1"/>
        <v>7719655</v>
      </c>
      <c r="S27" s="1842">
        <f t="shared" ca="1" si="2"/>
        <v>964956.875</v>
      </c>
      <c r="T27" s="538">
        <f t="shared" si="3"/>
        <v>7719655</v>
      </c>
      <c r="U27" s="1827">
        <f t="shared" ca="1" si="4"/>
        <v>11579482.5</v>
      </c>
      <c r="V27" s="2040">
        <f ca="1">IF(W27=0,1,IF(W27&gt;=1,1,IF(W27&lt;0.9,-1,0)))</f>
        <v>1</v>
      </c>
      <c r="W27" s="1839">
        <f ca="1">IF(T27&lt;0,ROUND((U27-T27)/ABS(T27),3),IF(T27=0,0,ROUND(U27/T27,3)))</f>
        <v>1.5</v>
      </c>
    </row>
    <row r="28" spans="1:23" s="1137" customFormat="1" ht="14.25" customHeight="1" thickBot="1" x14ac:dyDescent="0.2">
      <c r="A28" s="1137" t="s">
        <v>986</v>
      </c>
      <c r="B28" s="2039" t="str">
        <f>E28</f>
        <v>人件費</v>
      </c>
      <c r="C28" s="2217"/>
      <c r="D28" s="2219"/>
      <c r="E28" s="1821" t="s">
        <v>15</v>
      </c>
      <c r="F28" s="1813">
        <f>IF(F$2&gt;$G$1,'☆事業所損益管理(H30.9～H31.8)(計画)'!F31,
GETPIVOTDATA("合計 / " &amp; $B28,【ピボット】事業所収支!$A$3,"年月",F$2,"事業所",$A28))</f>
        <v>1097703</v>
      </c>
      <c r="G28" s="1814">
        <f>IF(G$2&gt;$G$1,'☆事業所損益管理(H30.9～H31.8)(計画)'!G31,
GETPIVOTDATA("合計 / " &amp; $B28,【ピボット】事業所収支!$A$3,"年月",G$2,"事業所",$A28))</f>
        <v>834332</v>
      </c>
      <c r="H28" s="1814">
        <f>IF(H$2&gt;$G$1,'☆事業所損益管理(H30.9～H31.8)(計画)'!H31,
GETPIVOTDATA("合計 / " &amp; $B28,【ピボット】事業所収支!$A$3,"年月",H$2,"事業所",$A28))</f>
        <v>657648</v>
      </c>
      <c r="I28" s="1814">
        <f>IF(I$2&gt;$G$1,'☆事業所損益管理(H30.9～H31.8)(計画)'!I31,
GETPIVOTDATA("合計 / " &amp; $B28,【ピボット】事業所収支!$A$3,"年月",I$2,"事業所",$A28))</f>
        <v>1225203</v>
      </c>
      <c r="J28" s="1814">
        <f>IF(J$2&gt;$G$1,'☆事業所損益管理(H30.9～H31.8)(計画)'!J31,
GETPIVOTDATA("合計 / " &amp; $B28,【ピボット】事業所収支!$A$3,"年月",J$2,"事業所",$A28))</f>
        <v>643986</v>
      </c>
      <c r="K28" s="1814">
        <f>IF(K$2&gt;$G$1,'☆事業所損益管理(H30.9～H31.8)(計画)'!K31,
GETPIVOTDATA("合計 / " &amp; $B28,【ピボット】事業所収支!$A$3,"年月",K$2,"事業所",$A28))</f>
        <v>588032</v>
      </c>
      <c r="L28" s="1814">
        <f>IF(L$2&gt;$G$1,'☆事業所損益管理(H30.9～H31.8)(計画)'!L31,
GETPIVOTDATA("合計 / " &amp; $B28,【ピボット】事業所収支!$A$3,"年月",L$2,"事業所",$A28))</f>
        <v>0</v>
      </c>
      <c r="M28" s="1814">
        <f>IF(M$2&gt;$G$1,'☆事業所損益管理(H30.9～H31.8)(計画)'!M31,
GETPIVOTDATA("合計 / " &amp; $B28,【ピボット】事業所収支!$A$3,"年月",M$2,"事業所",$A28))</f>
        <v>0</v>
      </c>
      <c r="N28" s="1891">
        <f>IF(N$2&gt;$G$1,'☆事業所損益管理(H30.9～H31.8)(計画)'!N31,
GETPIVOTDATA("合計 / " &amp; $B28,【ピボット】事業所収支!$A$3,"年月",N$2,"事業所",$A28))</f>
        <v>0</v>
      </c>
      <c r="O28" s="1891">
        <f>IF(O$2&gt;$G$1,'☆事業所損益管理(H30.9～H31.8)(計画)'!O31,
GETPIVOTDATA("合計 / " &amp; $B28,【ピボット】事業所収支!$A$3,"年月",O$2,"事業所",$A28))</f>
        <v>0</v>
      </c>
      <c r="P28" s="1891">
        <f>IF(P$2&gt;$G$1,'☆事業所損益管理(H30.9～H31.8)(計画)'!P31,
GETPIVOTDATA("合計 / " &amp; $B28,【ピボット】事業所収支!$A$3,"年月",P$2,"事業所",$A28))</f>
        <v>0</v>
      </c>
      <c r="Q28" s="1892">
        <f>IF(Q$2&gt;$G$1,'☆事業所損益管理(H30.9～H31.8)(計画)'!Q31,
GETPIVOTDATA("合計 / " &amp; $B28,【ピボット】事業所収支!$A$3,"年月",Q$2,"事業所",$A28))</f>
        <v>0</v>
      </c>
      <c r="R28" s="1843">
        <f t="shared" ca="1" si="1"/>
        <v>5046904</v>
      </c>
      <c r="S28" s="1843">
        <f t="shared" ca="1" si="2"/>
        <v>630863</v>
      </c>
      <c r="T28" s="539">
        <f t="shared" si="3"/>
        <v>5046904</v>
      </c>
      <c r="U28" s="1825">
        <f t="shared" ca="1" si="4"/>
        <v>7570356</v>
      </c>
      <c r="V28" s="2041">
        <f ca="1">IF(W28=0,1,IF(W28&lt;=1,1,IF(W28&gt;1.1,-1,0)))</f>
        <v>-1</v>
      </c>
      <c r="W28" s="1840">
        <f ca="1">IF(T28&lt;0,ROUND((U28-T28)/ABS(T28),3),IF(T28=0,0,ROUND(U28/T28,3)))</f>
        <v>1.5</v>
      </c>
    </row>
    <row r="29" spans="1:23" s="1137" customFormat="1" ht="14.25" customHeight="1" thickBot="1" x14ac:dyDescent="0.2">
      <c r="A29" s="1137" t="s">
        <v>986</v>
      </c>
      <c r="B29" s="2039" t="str">
        <f>E29</f>
        <v>広告経費</v>
      </c>
      <c r="C29" s="2217"/>
      <c r="D29" s="2219"/>
      <c r="E29" s="1821" t="s">
        <v>447</v>
      </c>
      <c r="F29" s="1813">
        <f>IF(F$2&gt;$G$1,'☆事業所損益管理(H30.9～H31.8)(計画)'!F32,
GETPIVOTDATA("合計 / " &amp; $B29,【ピボット】事業所収支!$A$3,"年月",F$2,"事業所",$A29))</f>
        <v>64800</v>
      </c>
      <c r="G29" s="1814">
        <f>IF(G$2&gt;$G$1,'☆事業所損益管理(H30.9～H31.8)(計画)'!G32,
GETPIVOTDATA("合計 / " &amp; $B29,【ピボット】事業所収支!$A$3,"年月",G$2,"事業所",$A29))</f>
        <v>103680</v>
      </c>
      <c r="H29" s="1814">
        <f>IF(H$2&gt;$G$1,'☆事業所損益管理(H30.9～H31.8)(計画)'!H32,
GETPIVOTDATA("合計 / " &amp; $B29,【ピボット】事業所収支!$A$3,"年月",H$2,"事業所",$A29))</f>
        <v>125604</v>
      </c>
      <c r="I29" s="1814">
        <f>IF(I$2&gt;$G$1,'☆事業所損益管理(H30.9～H31.8)(計画)'!I32,
GETPIVOTDATA("合計 / " &amp; $B29,【ピボット】事業所収支!$A$3,"年月",I$2,"事業所",$A29))</f>
        <v>106488</v>
      </c>
      <c r="J29" s="1814">
        <f>IF(J$2&gt;$G$1,'☆事業所損益管理(H30.9～H31.8)(計画)'!J32,
GETPIVOTDATA("合計 / " &amp; $B29,【ピボット】事業所収支!$A$3,"年月",J$2,"事業所",$A29))</f>
        <v>0</v>
      </c>
      <c r="K29" s="1814">
        <f>IF(K$2&gt;$G$1,'☆事業所損益管理(H30.9～H31.8)(計画)'!K32,
GETPIVOTDATA("合計 / " &amp; $B29,【ピボット】事業所収支!$A$3,"年月",K$2,"事業所",$A29))</f>
        <v>0</v>
      </c>
      <c r="L29" s="1814">
        <f>IF(L$2&gt;$G$1,'☆事業所損益管理(H30.9～H31.8)(計画)'!L32,
GETPIVOTDATA("合計 / " &amp; $B29,【ピボット】事業所収支!$A$3,"年月",L$2,"事業所",$A29))</f>
        <v>0</v>
      </c>
      <c r="M29" s="1814">
        <f>IF(M$2&gt;$G$1,'☆事業所損益管理(H30.9～H31.8)(計画)'!M32,
GETPIVOTDATA("合計 / " &amp; $B29,【ピボット】事業所収支!$A$3,"年月",M$2,"事業所",$A29))</f>
        <v>0</v>
      </c>
      <c r="N29" s="1891">
        <f>IF(N$2&gt;$G$1,'☆事業所損益管理(H30.9～H31.8)(計画)'!N32,
GETPIVOTDATA("合計 / " &amp; $B29,【ピボット】事業所収支!$A$3,"年月",N$2,"事業所",$A29))</f>
        <v>0</v>
      </c>
      <c r="O29" s="1891">
        <f>IF(O$2&gt;$G$1,'☆事業所損益管理(H30.9～H31.8)(計画)'!O32,
GETPIVOTDATA("合計 / " &amp; $B29,【ピボット】事業所収支!$A$3,"年月",O$2,"事業所",$A29))</f>
        <v>0</v>
      </c>
      <c r="P29" s="1891">
        <f>IF(P$2&gt;$G$1,'☆事業所損益管理(H30.9～H31.8)(計画)'!P32,
GETPIVOTDATA("合計 / " &amp; $B29,【ピボット】事業所収支!$A$3,"年月",P$2,"事業所",$A29))</f>
        <v>0</v>
      </c>
      <c r="Q29" s="1892">
        <f>IF(Q$2&gt;$G$1,'☆事業所損益管理(H30.9～H31.8)(計画)'!Q32,
GETPIVOTDATA("合計 / " &amp; $B29,【ピボット】事業所収支!$A$3,"年月",Q$2,"事業所",$A29))</f>
        <v>0</v>
      </c>
      <c r="R29" s="1843">
        <f t="shared" ca="1" si="1"/>
        <v>400572</v>
      </c>
      <c r="S29" s="1843">
        <f t="shared" ca="1" si="2"/>
        <v>50071.5</v>
      </c>
      <c r="T29" s="539">
        <f t="shared" si="3"/>
        <v>400572</v>
      </c>
      <c r="U29" s="1825">
        <f t="shared" ca="1" si="4"/>
        <v>600858</v>
      </c>
      <c r="V29" s="2041">
        <f ca="1">IF(W29=0,1,IF(W29&lt;=1,1,IF(W29&gt;1.1,-1,0)))</f>
        <v>-1</v>
      </c>
      <c r="W29" s="1840">
        <f ca="1">IF(T29&lt;0,ROUND((U29-T29)/ABS(T29),3),IF(T29=0,0,ROUND(U29/T29,3)))</f>
        <v>1.5</v>
      </c>
    </row>
    <row r="30" spans="1:23" s="1137" customFormat="1" ht="14.25" customHeight="1" thickBot="1" x14ac:dyDescent="0.2">
      <c r="A30" s="1137" t="s">
        <v>986</v>
      </c>
      <c r="B30" s="2042" t="s">
        <v>1471</v>
      </c>
      <c r="C30" s="2217"/>
      <c r="D30" s="2219"/>
      <c r="E30" s="1821" t="s">
        <v>35</v>
      </c>
      <c r="F30" s="1813">
        <f>IF(F$2&gt;$G$1,'☆事業所損益管理(H30.9～H31.8)(計画)'!F33,
GETPIVOTDATA("合計 / " &amp; $B30,【ピボット】事業所収支!$A$3,"年月",F$2,"事業所",$A30))</f>
        <v>600303</v>
      </c>
      <c r="G30" s="1814">
        <f>IF(G$2&gt;$G$1,'☆事業所損益管理(H30.9～H31.8)(計画)'!G33,
GETPIVOTDATA("合計 / " &amp; $B30,【ピボット】事業所収支!$A$3,"年月",G$2,"事業所",$A30))</f>
        <v>606856</v>
      </c>
      <c r="H30" s="1814">
        <f>IF(H$2&gt;$G$1,'☆事業所損益管理(H30.9～H31.8)(計画)'!H33,
GETPIVOTDATA("合計 / " &amp; $B30,【ピボット】事業所収支!$A$3,"年月",H$2,"事業所",$A30))</f>
        <v>530155</v>
      </c>
      <c r="I30" s="1814">
        <f>IF(I$2&gt;$G$1,'☆事業所損益管理(H30.9～H31.8)(計画)'!I33,
GETPIVOTDATA("合計 / " &amp; $B30,【ピボット】事業所収支!$A$3,"年月",I$2,"事業所",$A30))</f>
        <v>544701</v>
      </c>
      <c r="J30" s="1814">
        <f>IF(J$2&gt;$G$1,'☆事業所損益管理(H30.9～H31.8)(計画)'!J33,
GETPIVOTDATA("合計 / " &amp; $B30,【ピボット】事業所収支!$A$3,"年月",J$2,"事業所",$A30))</f>
        <v>476615</v>
      </c>
      <c r="K30" s="1814">
        <f>IF(K$2&gt;$G$1,'☆事業所損益管理(H30.9～H31.8)(計画)'!K33,
GETPIVOTDATA("合計 / " &amp; $B30,【ピボット】事業所収支!$A$3,"年月",K$2,"事業所",$A30))</f>
        <v>364736</v>
      </c>
      <c r="L30" s="1814">
        <f>IF(L$2&gt;$G$1,'☆事業所損益管理(H30.9～H31.8)(計画)'!L33,
GETPIVOTDATA("合計 / " &amp; $B30,【ピボット】事業所収支!$A$3,"年月",L$2,"事業所",$A30))</f>
        <v>329510</v>
      </c>
      <c r="M30" s="1814">
        <f>IF(M$2&gt;$G$1,'☆事業所損益管理(H30.9～H31.8)(計画)'!M33,
GETPIVOTDATA("合計 / " &amp; $B30,【ピボット】事業所収支!$A$3,"年月",M$2,"事業所",$A30))</f>
        <v>275106</v>
      </c>
      <c r="N30" s="1891">
        <f>IF(N$2&gt;$G$1,'☆事業所損益管理(H30.9～H31.8)(計画)'!N33,
GETPIVOTDATA("合計 / " &amp; $B30,【ピボット】事業所収支!$A$3,"年月",N$2,"事業所",$A30))</f>
        <v>250000</v>
      </c>
      <c r="O30" s="1891">
        <f>IF(O$2&gt;$G$1,'☆事業所損益管理(H30.9～H31.8)(計画)'!O33,
GETPIVOTDATA("合計 / " &amp; $B30,【ピボット】事業所収支!$A$3,"年月",O$2,"事業所",$A30))</f>
        <v>250000</v>
      </c>
      <c r="P30" s="1891">
        <f>IF(P$2&gt;$G$1,'☆事業所損益管理(H30.9～H31.8)(計画)'!P33,
GETPIVOTDATA("合計 / " &amp; $B30,【ピボット】事業所収支!$A$3,"年月",P$2,"事業所",$A30))</f>
        <v>1150000</v>
      </c>
      <c r="Q30" s="1892">
        <f>IF(Q$2&gt;$G$1,'☆事業所損益管理(H30.9～H31.8)(計画)'!Q33,
GETPIVOTDATA("合計 / " &amp; $B30,【ピボット】事業所収支!$A$3,"年月",Q$2,"事業所",$A30))</f>
        <v>50000</v>
      </c>
      <c r="R30" s="1843">
        <f t="shared" ca="1" si="1"/>
        <v>3727982</v>
      </c>
      <c r="S30" s="1843">
        <f t="shared" ca="1" si="2"/>
        <v>465997.75</v>
      </c>
      <c r="T30" s="539">
        <f t="shared" si="3"/>
        <v>5427982</v>
      </c>
      <c r="U30" s="1825">
        <f t="shared" ca="1" si="4"/>
        <v>5591973</v>
      </c>
      <c r="V30" s="2041">
        <f ca="1">IF(W30=0,1,IF(W30&lt;=1,1,IF(W30&gt;1.1,-1,0)))</f>
        <v>0</v>
      </c>
      <c r="W30" s="1840">
        <f ca="1">IF(T30&lt;0,ROUND((U30-T30)/ABS(T30),3),IF(T30=0,0,ROUND(U30/T30,3)))</f>
        <v>1.03</v>
      </c>
    </row>
    <row r="31" spans="1:23" s="1137" customFormat="1" ht="14.25" customHeight="1" thickBot="1" x14ac:dyDescent="0.2">
      <c r="A31" s="1137" t="s">
        <v>986</v>
      </c>
      <c r="B31" s="2042" t="s">
        <v>1504</v>
      </c>
      <c r="C31" s="2217"/>
      <c r="D31" s="2219"/>
      <c r="E31" s="1821" t="s">
        <v>1507</v>
      </c>
      <c r="F31" s="1813">
        <f>IFERROR(GETPIVOTDATA("合計 / " &amp; $B31,【ピボット】事業所収支!$A$3,"年月",F$2,"事業所",$A31),0)</f>
        <v>0</v>
      </c>
      <c r="G31" s="1814">
        <f>IFERROR(GETPIVOTDATA("合計 / " &amp; $B31,【ピボット】事業所収支!$A$3,"年月",G$2,"事業所",$A31),0)</f>
        <v>0</v>
      </c>
      <c r="H31" s="1814">
        <f>IFERROR(GETPIVOTDATA("合計 / " &amp; $B31,【ピボット】事業所収支!$A$3,"年月",H$2,"事業所",$A31),0)</f>
        <v>190000</v>
      </c>
      <c r="I31" s="1814">
        <f>IFERROR(GETPIVOTDATA("合計 / " &amp; $B31,【ピボット】事業所収支!$A$3,"年月",I$2,"事業所",$A31),0)</f>
        <v>125000</v>
      </c>
      <c r="J31" s="1814">
        <f>IFERROR(GETPIVOTDATA("合計 / " &amp; $B31,【ピボット】事業所収支!$A$3,"年月",J$2,"事業所",$A31),0)</f>
        <v>130000</v>
      </c>
      <c r="K31" s="1814">
        <f>IFERROR(GETPIVOTDATA("合計 / " &amp; $B31,【ピボット】事業所収支!$A$3,"年月",K$2,"事業所",$A31),0)</f>
        <v>220000</v>
      </c>
      <c r="L31" s="1814">
        <f>IFERROR(GETPIVOTDATA("合計 / " &amp; $B31,【ピボット】事業所収支!$A$3,"年月",L$2,"事業所",$A31),0)</f>
        <v>0</v>
      </c>
      <c r="M31" s="1814">
        <f>IFERROR(GETPIVOTDATA("合計 / " &amp; $B31,【ピボット】事業所収支!$A$3,"年月",M$2,"事業所",$A31),0)</f>
        <v>0</v>
      </c>
      <c r="N31" s="1891">
        <f>IFERROR(GETPIVOTDATA("合計 / " &amp; $B31,【ピボット】事業所収支!$A$3,"年月",N$2,"事業所",$A31),0)</f>
        <v>0</v>
      </c>
      <c r="O31" s="1891">
        <f>IFERROR(GETPIVOTDATA("合計 / " &amp; $B31,【ピボット】事業所収支!$A$3,"年月",O$2,"事業所",$A31),0)</f>
        <v>0</v>
      </c>
      <c r="P31" s="1891">
        <f>IFERROR(GETPIVOTDATA("合計 / " &amp; $B31,【ピボット】事業所収支!$A$3,"年月",P$2,"事業所",$A31),0)</f>
        <v>0</v>
      </c>
      <c r="Q31" s="1892">
        <f>IFERROR(GETPIVOTDATA("合計 / " &amp; $B31,【ピボット】事業所収支!$A$3,"年月",Q$2,"事業所",$A31),0)</f>
        <v>0</v>
      </c>
      <c r="R31" s="1843">
        <f t="shared" ca="1" si="1"/>
        <v>665000</v>
      </c>
      <c r="S31" s="1843">
        <f t="shared" ca="1" si="2"/>
        <v>83125</v>
      </c>
      <c r="T31" s="1938"/>
      <c r="U31" s="1825">
        <f t="shared" ca="1" si="4"/>
        <v>997500</v>
      </c>
      <c r="V31" s="2225"/>
      <c r="W31" s="2226"/>
    </row>
    <row r="32" spans="1:23" s="1137" customFormat="1" ht="14.25" customHeight="1" thickBot="1" x14ac:dyDescent="0.2">
      <c r="A32" s="1137" t="s">
        <v>986</v>
      </c>
      <c r="B32" s="2039"/>
      <c r="C32" s="2217"/>
      <c r="D32" s="2219"/>
      <c r="E32" s="1821" t="s">
        <v>1434</v>
      </c>
      <c r="F32" s="1823">
        <f>F27-(F28+F30+F31)</f>
        <v>-504728</v>
      </c>
      <c r="G32" s="1824">
        <f t="shared" ref="G32" si="42">G27-(G28+G30+G31)</f>
        <v>190358</v>
      </c>
      <c r="H32" s="1824">
        <f t="shared" ref="H32" si="43">H27-(H28+H30+H31)</f>
        <v>-81689</v>
      </c>
      <c r="I32" s="1824">
        <f t="shared" ref="I32" si="44">I27-(I28+I30+I31)</f>
        <v>-374058</v>
      </c>
      <c r="J32" s="1824">
        <f t="shared" ref="J32" si="45">J27-(J28+J30+J31)</f>
        <v>-89827</v>
      </c>
      <c r="K32" s="1824">
        <f t="shared" ref="K32" si="46">K27-(K28+K30+K31)</f>
        <v>-268819</v>
      </c>
      <c r="L32" s="1824">
        <f t="shared" ref="L32" si="47">L27-(L28+L30+L31)</f>
        <v>-329510</v>
      </c>
      <c r="M32" s="1824">
        <f t="shared" ref="M32" si="48">M27-(M28+M30+M31)</f>
        <v>-261958</v>
      </c>
      <c r="N32" s="1893">
        <f t="shared" ref="N32" si="49">N27-(N28+N30+N31)</f>
        <v>-250000</v>
      </c>
      <c r="O32" s="1893">
        <f t="shared" ref="O32" si="50">O27-(O28+O30+O31)</f>
        <v>-250000</v>
      </c>
      <c r="P32" s="1893">
        <f t="shared" ref="P32" si="51">P27-(P28+P30+P31)</f>
        <v>-1150000</v>
      </c>
      <c r="Q32" s="1894">
        <f t="shared" ref="Q32" si="52">Q27-(Q28+Q30+Q31)</f>
        <v>-50000</v>
      </c>
      <c r="R32" s="1843">
        <f t="shared" ref="R32" ca="1" si="53">SUM(OFFSET(F32,0,0,1,IF(ISERROR(MATCH(DATE(YEAR($G$1),MONTH($G$1),1),$F$2:$Q$2,0)),0,MATCH(DATE(YEAR($G$1),MONTH($G$1),1),$F$2:$Q$2,0))))</f>
        <v>-1720231</v>
      </c>
      <c r="S32" s="1843">
        <f t="shared" ref="S32" ca="1" si="54">IF(ISERROR(R32/(DATEDIF(F$2,G$1,"M")+1)),0,R32/(DATEDIF(F$2,G$1,"M")+1))</f>
        <v>-215028.875</v>
      </c>
      <c r="T32" s="539">
        <f t="shared" ref="T32" si="55">SUM(F32:Q32)</f>
        <v>-3420231</v>
      </c>
      <c r="U32" s="1825">
        <f t="shared" ref="U32" ca="1" si="56">S32*12</f>
        <v>-2580346.5</v>
      </c>
      <c r="V32" s="2043">
        <f ca="1">IFERROR(IF(W32&gt;=0,1,IF(W32&lt;-0.1,-1,0)),1)</f>
        <v>1</v>
      </c>
      <c r="W32" s="1840">
        <f ca="1">IF(T32=0,1-(U28+U30)/U27,IF(T32=U32,0,ROUND((U32-T32)/ABS(T32),3)))</f>
        <v>0.246</v>
      </c>
    </row>
    <row r="33" spans="1:23" s="1137" customFormat="1" ht="14.25" customHeight="1" thickBot="1" x14ac:dyDescent="0.2">
      <c r="A33" s="1137" t="s">
        <v>986</v>
      </c>
      <c r="B33" s="2039"/>
      <c r="C33" s="2217"/>
      <c r="D33" s="2219"/>
      <c r="E33" s="1128" t="s">
        <v>1197</v>
      </c>
      <c r="F33" s="1815">
        <f>'☆事業所損益管理(H30.9～H31.8)(計画)'!F35</f>
        <v>600000</v>
      </c>
      <c r="G33" s="1816">
        <f>'☆事業所損益管理(H30.9～H31.8)(計画)'!G35</f>
        <v>600000</v>
      </c>
      <c r="H33" s="1816">
        <f>'☆事業所損益管理(H30.9～H31.8)(計画)'!H35</f>
        <v>600000</v>
      </c>
      <c r="I33" s="1816">
        <f>'☆事業所損益管理(H30.9～H31.8)(計画)'!I35</f>
        <v>600000</v>
      </c>
      <c r="J33" s="1816">
        <f>'☆事業所損益管理(H30.9～H31.8)(計画)'!J35</f>
        <v>600000</v>
      </c>
      <c r="K33" s="1816">
        <f>'☆事業所損益管理(H30.9～H31.8)(計画)'!K35</f>
        <v>600000</v>
      </c>
      <c r="L33" s="1816">
        <f>'☆事業所損益管理(H30.9～H31.8)(計画)'!L35</f>
        <v>600000</v>
      </c>
      <c r="M33" s="1816">
        <f>'☆事業所損益管理(H30.9～H31.8)(計画)'!M35</f>
        <v>600000</v>
      </c>
      <c r="N33" s="1895">
        <f>'☆事業所損益管理(H30.9～H31.8)(計画)'!N35</f>
        <v>600000</v>
      </c>
      <c r="O33" s="1895">
        <f>'☆事業所損益管理(H30.9～H31.8)(計画)'!O35</f>
        <v>600000</v>
      </c>
      <c r="P33" s="1895">
        <f>'☆事業所損益管理(H30.9～H31.8)(計画)'!P35</f>
        <v>600000</v>
      </c>
      <c r="Q33" s="1896">
        <f>'☆事業所損益管理(H30.9～H31.8)(計画)'!Q35</f>
        <v>600000</v>
      </c>
      <c r="R33" s="1844">
        <f t="shared" ca="1" si="1"/>
        <v>4800000</v>
      </c>
      <c r="S33" s="1844">
        <f t="shared" ca="1" si="2"/>
        <v>600000</v>
      </c>
      <c r="T33" s="533">
        <f t="shared" si="3"/>
        <v>7200000</v>
      </c>
      <c r="U33" s="527">
        <f t="shared" ca="1" si="4"/>
        <v>7200000</v>
      </c>
      <c r="V33" s="2225"/>
      <c r="W33" s="2226"/>
    </row>
    <row r="34" spans="1:23" s="1137" customFormat="1" ht="14.25" customHeight="1" thickBot="1" x14ac:dyDescent="0.2">
      <c r="A34" s="1137" t="s">
        <v>986</v>
      </c>
      <c r="B34" s="2039"/>
      <c r="C34" s="2217"/>
      <c r="D34" s="2219"/>
      <c r="E34" s="1822" t="s">
        <v>1435</v>
      </c>
      <c r="F34" s="1860">
        <f t="shared" ref="F34:Q34" si="57">F32-F33</f>
        <v>-1104728</v>
      </c>
      <c r="G34" s="1861">
        <f t="shared" si="57"/>
        <v>-409642</v>
      </c>
      <c r="H34" s="1861">
        <f t="shared" si="57"/>
        <v>-681689</v>
      </c>
      <c r="I34" s="1861">
        <f t="shared" si="57"/>
        <v>-974058</v>
      </c>
      <c r="J34" s="1861">
        <f t="shared" si="57"/>
        <v>-689827</v>
      </c>
      <c r="K34" s="1861">
        <f t="shared" si="57"/>
        <v>-868819</v>
      </c>
      <c r="L34" s="1861">
        <f t="shared" si="57"/>
        <v>-929510</v>
      </c>
      <c r="M34" s="1861">
        <f t="shared" si="57"/>
        <v>-861958</v>
      </c>
      <c r="N34" s="1897">
        <f t="shared" si="57"/>
        <v>-850000</v>
      </c>
      <c r="O34" s="1897">
        <f t="shared" si="57"/>
        <v>-850000</v>
      </c>
      <c r="P34" s="1897">
        <f t="shared" si="57"/>
        <v>-1750000</v>
      </c>
      <c r="Q34" s="1898">
        <f t="shared" si="57"/>
        <v>-650000</v>
      </c>
      <c r="R34" s="1845">
        <f t="shared" ca="1" si="1"/>
        <v>-6520231</v>
      </c>
      <c r="S34" s="1845">
        <f t="shared" ca="1" si="2"/>
        <v>-815028.875</v>
      </c>
      <c r="T34" s="530">
        <f t="shared" si="3"/>
        <v>-10620231</v>
      </c>
      <c r="U34" s="1826">
        <f t="shared" ca="1" si="4"/>
        <v>-9780346.5</v>
      </c>
      <c r="V34" s="2043">
        <f ca="1">IFERROR(IF(W34&gt;=0,1,IF(W34&lt;-0.1,-1,0)),1)</f>
        <v>1</v>
      </c>
      <c r="W34" s="1840">
        <f ca="1">IF(T34=0,1-(U28+U30)/U27,IF(T34=U34,0,ROUND((U34-T34)/ABS(T34),3)))</f>
        <v>7.9000000000000001E-2</v>
      </c>
    </row>
    <row r="35" spans="1:23" s="1137" customFormat="1" ht="14.25" customHeight="1" thickBot="1" x14ac:dyDescent="0.2">
      <c r="A35" s="1137" t="s">
        <v>1199</v>
      </c>
      <c r="B35" s="2039" t="str">
        <f>E35</f>
        <v>売上</v>
      </c>
      <c r="C35" s="2217" t="s">
        <v>1143</v>
      </c>
      <c r="D35" s="2218" t="s">
        <v>1441</v>
      </c>
      <c r="E35" s="1820" t="s">
        <v>26</v>
      </c>
      <c r="F35" s="1811">
        <f>IF(F$2&gt;$G$1,'☆事業所損益管理(H30.9～H31.8)(計画)'!F37,
GETPIVOTDATA("合計 / " &amp; $B35,【ピボット】事業所収支!$A$3,"年月",F$2,"事業所",$A35))</f>
        <v>0</v>
      </c>
      <c r="G35" s="1812">
        <f>IF(G$2&gt;$G$1,'☆事業所損益管理(H30.9～H31.8)(計画)'!G37,
GETPIVOTDATA("合計 / " &amp; $B35,【ピボット】事業所収支!$A$3,"年月",G$2,"事業所",$A35))</f>
        <v>234284</v>
      </c>
      <c r="H35" s="1812">
        <f>IF(H$2&gt;$G$1,'☆事業所損益管理(H30.9～H31.8)(計画)'!H37,
GETPIVOTDATA("合計 / " &amp; $B35,【ピボット】事業所収支!$A$3,"年月",H$2,"事業所",$A35))</f>
        <v>485638</v>
      </c>
      <c r="I35" s="1812">
        <f>IF(I$2&gt;$G$1,'☆事業所損益管理(H30.9～H31.8)(計画)'!I37,
GETPIVOTDATA("合計 / " &amp; $B35,【ピボット】事業所収支!$A$3,"年月",I$2,"事業所",$A35))</f>
        <v>701720</v>
      </c>
      <c r="J35" s="1812">
        <f>IF(J$2&gt;$G$1,'☆事業所損益管理(H30.9～H31.8)(計画)'!J37,
GETPIVOTDATA("合計 / " &amp; $B35,【ピボット】事業所収支!$A$3,"年月",J$2,"事業所",$A35))</f>
        <v>810680</v>
      </c>
      <c r="K35" s="1812">
        <f>IF(K$2&gt;$G$1,'☆事業所損益管理(H30.9～H31.8)(計画)'!K37,
GETPIVOTDATA("合計 / " &amp; $B35,【ピボット】事業所収支!$A$3,"年月",K$2,"事業所",$A35))</f>
        <v>1060746</v>
      </c>
      <c r="L35" s="1812">
        <f>IF(L$2&gt;$G$1,'☆事業所損益管理(H30.9～H31.8)(計画)'!L37,
GETPIVOTDATA("合計 / " &amp; $B35,【ピボット】事業所収支!$A$3,"年月",L$2,"事業所",$A35))</f>
        <v>1438607</v>
      </c>
      <c r="M35" s="1812">
        <f>IF(M$2&gt;$G$1,'☆事業所損益管理(H30.9～H31.8)(計画)'!M37,
GETPIVOTDATA("合計 / " &amp; $B35,【ピボット】事業所収支!$A$3,"年月",M$2,"事業所",$A35))</f>
        <v>1905194</v>
      </c>
      <c r="N35" s="1889">
        <f>IF(N$2&gt;$G$1,'☆事業所損益管理(H30.9～H31.8)(計画)'!N37,
GETPIVOTDATA("合計 / " &amp; $B35,【ピボット】事業所収支!$A$3,"年月",N$2,"事業所",$A35))</f>
        <v>1900000</v>
      </c>
      <c r="O35" s="1889">
        <f>IF(O$2&gt;$G$1,'☆事業所損益管理(H30.9～H31.8)(計画)'!O37,
GETPIVOTDATA("合計 / " &amp; $B35,【ピボット】事業所収支!$A$3,"年月",O$2,"事業所",$A35))</f>
        <v>2150000</v>
      </c>
      <c r="P35" s="1889">
        <f>IF(P$2&gt;$G$1,'☆事業所損益管理(H30.9～H31.8)(計画)'!P37,
GETPIVOTDATA("合計 / " &amp; $B35,【ピボット】事業所収支!$A$3,"年月",P$2,"事業所",$A35))</f>
        <v>2400000</v>
      </c>
      <c r="Q35" s="1890">
        <f>IF(Q$2&gt;$G$1,'☆事業所損益管理(H30.9～H31.8)(計画)'!Q37,
GETPIVOTDATA("合計 / " &amp; $B35,【ピボット】事業所収支!$A$3,"年月",Q$2,"事業所",$A35))</f>
        <v>2550000</v>
      </c>
      <c r="R35" s="1842">
        <f t="shared" ca="1" si="1"/>
        <v>6636869</v>
      </c>
      <c r="S35" s="1842">
        <f t="shared" ca="1" si="2"/>
        <v>829608.625</v>
      </c>
      <c r="T35" s="538">
        <f t="shared" si="3"/>
        <v>15636869</v>
      </c>
      <c r="U35" s="1827">
        <f t="shared" ca="1" si="4"/>
        <v>9955303.5</v>
      </c>
      <c r="V35" s="2040">
        <f ca="1">IF(W35=0,1,IF(W35&gt;=1,1,IF(W35&lt;0.9,-1,0)))</f>
        <v>-1</v>
      </c>
      <c r="W35" s="1839">
        <f ca="1">IF(T35&lt;0,ROUND((U35-T35)/ABS(T35),3),IF(T35=0,0,ROUND(U35/T35,3)))</f>
        <v>0.63700000000000001</v>
      </c>
    </row>
    <row r="36" spans="1:23" s="1137" customFormat="1" ht="14.25" customHeight="1" thickBot="1" x14ac:dyDescent="0.2">
      <c r="A36" s="1137" t="s">
        <v>1199</v>
      </c>
      <c r="B36" s="2039" t="str">
        <f>E36</f>
        <v>人件費</v>
      </c>
      <c r="C36" s="2217"/>
      <c r="D36" s="2219"/>
      <c r="E36" s="1821" t="s">
        <v>15</v>
      </c>
      <c r="F36" s="1813">
        <f>IF(F$2&gt;$G$1,'☆事業所損益管理(H30.9～H31.8)(計画)'!F38,
GETPIVOTDATA("合計 / " &amp; $B36,【ピボット】事業所収支!$A$3,"年月",F$2,"事業所",$A36))</f>
        <v>56395</v>
      </c>
      <c r="G36" s="1814">
        <f>IF(G$2&gt;$G$1,'☆事業所損益管理(H30.9～H31.8)(計画)'!G38,
GETPIVOTDATA("合計 / " &amp; $B36,【ピボット】事業所収支!$A$3,"年月",G$2,"事業所",$A36))</f>
        <v>433580</v>
      </c>
      <c r="H36" s="1814">
        <f>IF(H$2&gt;$G$1,'☆事業所損益管理(H30.9～H31.8)(計画)'!H38,
GETPIVOTDATA("合計 / " &amp; $B36,【ピボット】事業所収支!$A$3,"年月",H$2,"事業所",$A36))</f>
        <v>488250</v>
      </c>
      <c r="I36" s="1814">
        <f>IF(I$2&gt;$G$1,'☆事業所損益管理(H30.9～H31.8)(計画)'!I38,
GETPIVOTDATA("合計 / " &amp; $B36,【ピボット】事業所収支!$A$3,"年月",I$2,"事業所",$A36))</f>
        <v>561749</v>
      </c>
      <c r="J36" s="1814">
        <f>IF(J$2&gt;$G$1,'☆事業所損益管理(H30.9～H31.8)(計画)'!J38,
GETPIVOTDATA("合計 / " &amp; $B36,【ピボット】事業所収支!$A$3,"年月",J$2,"事業所",$A36))</f>
        <v>692404</v>
      </c>
      <c r="K36" s="1814">
        <f>IF(K$2&gt;$G$1,'☆事業所損益管理(H30.9～H31.8)(計画)'!K38,
GETPIVOTDATA("合計 / " &amp; $B36,【ピボット】事業所収支!$A$3,"年月",K$2,"事業所",$A36))</f>
        <v>691176</v>
      </c>
      <c r="L36" s="1814">
        <f>IF(L$2&gt;$G$1,'☆事業所損益管理(H30.9～H31.8)(計画)'!L38,
GETPIVOTDATA("合計 / " &amp; $B36,【ピボット】事業所収支!$A$3,"年月",L$2,"事業所",$A36))</f>
        <v>1124832</v>
      </c>
      <c r="M36" s="1814">
        <f>IF(M$2&gt;$G$1,'☆事業所損益管理(H30.9～H31.8)(計画)'!M38,
GETPIVOTDATA("合計 / " &amp; $B36,【ピボット】事業所収支!$A$3,"年月",M$2,"事業所",$A36))</f>
        <v>1318589</v>
      </c>
      <c r="N36" s="1891">
        <f>IF(N$2&gt;$G$1,'☆事業所損益管理(H30.9～H31.8)(計画)'!N38,
GETPIVOTDATA("合計 / " &amp; $B36,【ピボット】事業所収支!$A$3,"年月",N$2,"事業所",$A36))</f>
        <v>1560000</v>
      </c>
      <c r="O36" s="1891">
        <f>IF(O$2&gt;$G$1,'☆事業所損益管理(H30.9～H31.8)(計画)'!O38,
GETPIVOTDATA("合計 / " &amp; $B36,【ピボット】事業所収支!$A$3,"年月",O$2,"事業所",$A36))</f>
        <v>1550000</v>
      </c>
      <c r="P36" s="1891">
        <f>IF(P$2&gt;$G$1,'☆事業所損益管理(H30.9～H31.8)(計画)'!P38,
GETPIVOTDATA("合計 / " &amp; $B36,【ピボット】事業所収支!$A$3,"年月",P$2,"事業所",$A36))</f>
        <v>1800000</v>
      </c>
      <c r="Q36" s="1892">
        <f>IF(Q$2&gt;$G$1,'☆事業所損益管理(H30.9～H31.8)(計画)'!Q38,
GETPIVOTDATA("合計 / " &amp; $B36,【ピボット】事業所収支!$A$3,"年月",Q$2,"事業所",$A36))</f>
        <v>1840000</v>
      </c>
      <c r="R36" s="1843">
        <f t="shared" ca="1" si="1"/>
        <v>5366975</v>
      </c>
      <c r="S36" s="1843">
        <f t="shared" ca="1" si="2"/>
        <v>670871.875</v>
      </c>
      <c r="T36" s="539">
        <f t="shared" si="3"/>
        <v>12116975</v>
      </c>
      <c r="U36" s="1825">
        <f t="shared" ca="1" si="4"/>
        <v>8050462.5</v>
      </c>
      <c r="V36" s="2041">
        <f ca="1">IF(W36=0,1,IF(W36&lt;=1,1,IF(W36&gt;1.1,-1,0)))</f>
        <v>1</v>
      </c>
      <c r="W36" s="1840">
        <f ca="1">IF(T36&lt;0,ROUND((U36-T36)/ABS(T36),3),IF(T36=0,0,ROUND(U36/T36,3)))</f>
        <v>0.66400000000000003</v>
      </c>
    </row>
    <row r="37" spans="1:23" s="1137" customFormat="1" ht="14.25" customHeight="1" thickBot="1" x14ac:dyDescent="0.2">
      <c r="A37" s="1137" t="s">
        <v>1199</v>
      </c>
      <c r="B37" s="2039" t="str">
        <f>E37</f>
        <v>広告経費</v>
      </c>
      <c r="C37" s="2217"/>
      <c r="D37" s="2219"/>
      <c r="E37" s="1821" t="s">
        <v>447</v>
      </c>
      <c r="F37" s="1813">
        <f>IF(F$2&gt;$G$1,'☆事業所損益管理(H30.9～H31.8)(計画)'!F39,
GETPIVOTDATA("合計 / " &amp; $B37,【ピボット】事業所収支!$A$3,"年月",F$2,"事業所",$A37))</f>
        <v>138000</v>
      </c>
      <c r="G37" s="1814">
        <f>IF(G$2&gt;$G$1,'☆事業所損益管理(H30.9～H31.8)(計画)'!G39,
GETPIVOTDATA("合計 / " &amp; $B37,【ピボット】事業所収支!$A$3,"年月",G$2,"事業所",$A37))</f>
        <v>271080</v>
      </c>
      <c r="H37" s="1814">
        <f>IF(H$2&gt;$G$1,'☆事業所損益管理(H30.9～H31.8)(計画)'!H39,
GETPIVOTDATA("合計 / " &amp; $B37,【ピボット】事業所収支!$A$3,"年月",H$2,"事業所",$A37))</f>
        <v>100737</v>
      </c>
      <c r="I37" s="1814">
        <f>IF(I$2&gt;$G$1,'☆事業所損益管理(H30.9～H31.8)(計画)'!I39,
GETPIVOTDATA("合計 / " &amp; $B37,【ピボット】事業所収支!$A$3,"年月",I$2,"事業所",$A37))</f>
        <v>23042</v>
      </c>
      <c r="J37" s="1814">
        <f>IF(J$2&gt;$G$1,'☆事業所損益管理(H30.9～H31.8)(計画)'!J39,
GETPIVOTDATA("合計 / " &amp; $B37,【ピボット】事業所収支!$A$3,"年月",J$2,"事業所",$A37))</f>
        <v>0</v>
      </c>
      <c r="K37" s="1814">
        <f>IF(K$2&gt;$G$1,'☆事業所損益管理(H30.9～H31.8)(計画)'!K39,
GETPIVOTDATA("合計 / " &amp; $B37,【ピボット】事業所収支!$A$3,"年月",K$2,"事業所",$A37))</f>
        <v>0</v>
      </c>
      <c r="L37" s="1814">
        <f>IF(L$2&gt;$G$1,'☆事業所損益管理(H30.9～H31.8)(計画)'!L39,
GETPIVOTDATA("合計 / " &amp; $B37,【ピボット】事業所収支!$A$3,"年月",L$2,"事業所",$A37))</f>
        <v>0</v>
      </c>
      <c r="M37" s="1814">
        <f>IF(M$2&gt;$G$1,'☆事業所損益管理(H30.9～H31.8)(計画)'!M39,
GETPIVOTDATA("合計 / " &amp; $B37,【ピボット】事業所収支!$A$3,"年月",M$2,"事業所",$A37))</f>
        <v>0</v>
      </c>
      <c r="N37" s="1891">
        <f>IF(N$2&gt;$G$1,'☆事業所損益管理(H30.9～H31.8)(計画)'!N39,
GETPIVOTDATA("合計 / " &amp; $B37,【ピボット】事業所収支!$A$3,"年月",N$2,"事業所",$A37))</f>
        <v>0</v>
      </c>
      <c r="O37" s="1891">
        <f>IF(O$2&gt;$G$1,'☆事業所損益管理(H30.9～H31.8)(計画)'!O39,
GETPIVOTDATA("合計 / " &amp; $B37,【ピボット】事業所収支!$A$3,"年月",O$2,"事業所",$A37))</f>
        <v>0</v>
      </c>
      <c r="P37" s="1891">
        <f>IF(P$2&gt;$G$1,'☆事業所損益管理(H30.9～H31.8)(計画)'!P39,
GETPIVOTDATA("合計 / " &amp; $B37,【ピボット】事業所収支!$A$3,"年月",P$2,"事業所",$A37))</f>
        <v>0</v>
      </c>
      <c r="Q37" s="1892">
        <f>IF(Q$2&gt;$G$1,'☆事業所損益管理(H30.9～H31.8)(計画)'!Q39,
GETPIVOTDATA("合計 / " &amp; $B37,【ピボット】事業所収支!$A$3,"年月",Q$2,"事業所",$A37))</f>
        <v>0</v>
      </c>
      <c r="R37" s="1843">
        <f t="shared" ca="1" si="1"/>
        <v>532859</v>
      </c>
      <c r="S37" s="1843">
        <f t="shared" ca="1" si="2"/>
        <v>66607.375</v>
      </c>
      <c r="T37" s="539">
        <f t="shared" si="3"/>
        <v>532859</v>
      </c>
      <c r="U37" s="1825">
        <f t="shared" ca="1" si="4"/>
        <v>799288.5</v>
      </c>
      <c r="V37" s="2041">
        <f ca="1">IF(W37=0,1,IF(W37&lt;=1,1,IF(W37&gt;1.1,-1,0)))</f>
        <v>-1</v>
      </c>
      <c r="W37" s="1840">
        <f ca="1">IF(T37&lt;0,ROUND((U37-T37)/ABS(T37),3),IF(T37=0,0,ROUND(U37/T37,3)))</f>
        <v>1.5</v>
      </c>
    </row>
    <row r="38" spans="1:23" s="1137" customFormat="1" ht="14.25" customHeight="1" thickBot="1" x14ac:dyDescent="0.2">
      <c r="A38" s="1137" t="s">
        <v>1199</v>
      </c>
      <c r="B38" s="2042" t="s">
        <v>1230</v>
      </c>
      <c r="C38" s="2217"/>
      <c r="D38" s="2219"/>
      <c r="E38" s="1821" t="s">
        <v>35</v>
      </c>
      <c r="F38" s="1813">
        <f>IF(F$2&gt;$G$1,'☆事業所損益管理(H30.9～H31.8)(計画)'!F40,
GETPIVOTDATA("合計 / " &amp; $B38,【ピボット】事業所収支!$A$3,"年月",F$2,"事業所",$A38))</f>
        <v>740398</v>
      </c>
      <c r="G38" s="1814">
        <f>IF(G$2&gt;$G$1,'☆事業所損益管理(H30.9～H31.8)(計画)'!G40,
GETPIVOTDATA("合計 / " &amp; $B38,【ピボット】事業所収支!$A$3,"年月",G$2,"事業所",$A38))</f>
        <v>704776</v>
      </c>
      <c r="H38" s="1814">
        <f>IF(H$2&gt;$G$1,'☆事業所損益管理(H30.9～H31.8)(計画)'!H40,
GETPIVOTDATA("合計 / " &amp; $B38,【ピボット】事業所収支!$A$3,"年月",H$2,"事業所",$A38))</f>
        <v>533896</v>
      </c>
      <c r="I38" s="1814">
        <f>IF(I$2&gt;$G$1,'☆事業所損益管理(H30.9～H31.8)(計画)'!I40,
GETPIVOTDATA("合計 / " &amp; $B38,【ピボット】事業所収支!$A$3,"年月",I$2,"事業所",$A38))</f>
        <v>395245</v>
      </c>
      <c r="J38" s="1814">
        <f>IF(J$2&gt;$G$1,'☆事業所損益管理(H30.9～H31.8)(計画)'!J40,
GETPIVOTDATA("合計 / " &amp; $B38,【ピボット】事業所収支!$A$3,"年月",J$2,"事業所",$A38))</f>
        <v>438641</v>
      </c>
      <c r="K38" s="1814">
        <f>IF(K$2&gt;$G$1,'☆事業所損益管理(H30.9～H31.8)(計画)'!K40,
GETPIVOTDATA("合計 / " &amp; $B38,【ピボット】事業所収支!$A$3,"年月",K$2,"事業所",$A38))</f>
        <v>383687</v>
      </c>
      <c r="L38" s="1814">
        <f>IF(L$2&gt;$G$1,'☆事業所損益管理(H30.9～H31.8)(計画)'!L40,
GETPIVOTDATA("合計 / " &amp; $B38,【ピボット】事業所収支!$A$3,"年月",L$2,"事業所",$A38))</f>
        <v>410646</v>
      </c>
      <c r="M38" s="1814">
        <f>IF(M$2&gt;$G$1,'☆事業所損益管理(H30.9～H31.8)(計画)'!M40,
GETPIVOTDATA("合計 / " &amp; $B38,【ピボット】事業所収支!$A$3,"年月",M$2,"事業所",$A38))</f>
        <v>458741</v>
      </c>
      <c r="N38" s="1891">
        <f>IF(N$2&gt;$G$1,'☆事業所損益管理(H30.9～H31.8)(計画)'!N40,
GETPIVOTDATA("合計 / " &amp; $B38,【ピボット】事業所収支!$A$3,"年月",N$2,"事業所",$A38))</f>
        <v>550000</v>
      </c>
      <c r="O38" s="1891">
        <f>IF(O$2&gt;$G$1,'☆事業所損益管理(H30.9～H31.8)(計画)'!O40,
GETPIVOTDATA("合計 / " &amp; $B38,【ピボット】事業所収支!$A$3,"年月",O$2,"事業所",$A38))</f>
        <v>550000</v>
      </c>
      <c r="P38" s="1891">
        <f>IF(P$2&gt;$G$1,'☆事業所損益管理(H30.9～H31.8)(計画)'!P40,
GETPIVOTDATA("合計 / " &amp; $B38,【ピボット】事業所収支!$A$3,"年月",P$2,"事業所",$A38))</f>
        <v>550000</v>
      </c>
      <c r="Q38" s="1892">
        <f>IF(Q$2&gt;$G$1,'☆事業所損益管理(H30.9～H31.8)(計画)'!Q40,
GETPIVOTDATA("合計 / " &amp; $B38,【ピボット】事業所収支!$A$3,"年月",Q$2,"事業所",$A38))</f>
        <v>550000</v>
      </c>
      <c r="R38" s="1843">
        <f t="shared" ca="1" si="1"/>
        <v>4066030</v>
      </c>
      <c r="S38" s="1843">
        <f t="shared" ca="1" si="2"/>
        <v>508253.75</v>
      </c>
      <c r="T38" s="539">
        <f t="shared" si="3"/>
        <v>6266030</v>
      </c>
      <c r="U38" s="1825">
        <f t="shared" ca="1" si="4"/>
        <v>6099045</v>
      </c>
      <c r="V38" s="2041">
        <f ca="1">IF(W38=0,1,IF(W38&lt;=1,1,IF(W38&gt;1.1,-1,0)))</f>
        <v>1</v>
      </c>
      <c r="W38" s="1840">
        <f ca="1">IF(T38&lt;0,ROUND((U38-T38)/ABS(T38),3),IF(T38=0,0,ROUND(U38/T38,3)))</f>
        <v>0.97299999999999998</v>
      </c>
    </row>
    <row r="39" spans="1:23" s="1137" customFormat="1" ht="14.25" customHeight="1" thickBot="1" x14ac:dyDescent="0.2">
      <c r="A39" s="1137" t="s">
        <v>1199</v>
      </c>
      <c r="B39" s="2042" t="s">
        <v>1504</v>
      </c>
      <c r="C39" s="2217"/>
      <c r="D39" s="2219"/>
      <c r="E39" s="1821" t="s">
        <v>1507</v>
      </c>
      <c r="F39" s="1813">
        <f>IFERROR(GETPIVOTDATA("合計 / " &amp; $B39,【ピボット】事業所収支!$A$3,"年月",F$2,"事業所",$A39),0)</f>
        <v>0</v>
      </c>
      <c r="G39" s="1814">
        <f>IFERROR(GETPIVOTDATA("合計 / " &amp; $B39,【ピボット】事業所収支!$A$3,"年月",G$2,"事業所",$A39),0)</f>
        <v>0</v>
      </c>
      <c r="H39" s="1814">
        <f>IFERROR(GETPIVOTDATA("合計 / " &amp; $B39,【ピボット】事業所収支!$A$3,"年月",H$2,"事業所",$A39),0)</f>
        <v>0</v>
      </c>
      <c r="I39" s="1814">
        <f>IFERROR(GETPIVOTDATA("合計 / " &amp; $B39,【ピボット】事業所収支!$A$3,"年月",I$2,"事業所",$A39),0)</f>
        <v>0</v>
      </c>
      <c r="J39" s="1814">
        <f>IFERROR(GETPIVOTDATA("合計 / " &amp; $B39,【ピボット】事業所収支!$A$3,"年月",J$2,"事業所",$A39),0)</f>
        <v>0</v>
      </c>
      <c r="K39" s="1814">
        <f>IFERROR(GETPIVOTDATA("合計 / " &amp; $B39,【ピボット】事業所収支!$A$3,"年月",K$2,"事業所",$A39),0)</f>
        <v>0</v>
      </c>
      <c r="L39" s="1814">
        <f>IFERROR(GETPIVOTDATA("合計 / " &amp; $B39,【ピボット】事業所収支!$A$3,"年月",L$2,"事業所",$A39),0)</f>
        <v>0</v>
      </c>
      <c r="M39" s="1814">
        <f>IFERROR(GETPIVOTDATA("合計 / " &amp; $B39,【ピボット】事業所収支!$A$3,"年月",M$2,"事業所",$A39),0)</f>
        <v>0</v>
      </c>
      <c r="N39" s="1891">
        <f>IFERROR(GETPIVOTDATA("合計 / " &amp; $B39,【ピボット】事業所収支!$A$3,"年月",N$2,"事業所",$A39),0)</f>
        <v>0</v>
      </c>
      <c r="O39" s="1891">
        <f>IFERROR(GETPIVOTDATA("合計 / " &amp; $B39,【ピボット】事業所収支!$A$3,"年月",O$2,"事業所",$A39),0)</f>
        <v>0</v>
      </c>
      <c r="P39" s="1891">
        <f>IFERROR(GETPIVOTDATA("合計 / " &amp; $B39,【ピボット】事業所収支!$A$3,"年月",P$2,"事業所",$A39),0)</f>
        <v>0</v>
      </c>
      <c r="Q39" s="1892">
        <f>IFERROR(GETPIVOTDATA("合計 / " &amp; $B39,【ピボット】事業所収支!$A$3,"年月",Q$2,"事業所",$A39),0)</f>
        <v>0</v>
      </c>
      <c r="R39" s="1843">
        <f t="shared" ca="1" si="1"/>
        <v>0</v>
      </c>
      <c r="S39" s="1843">
        <f t="shared" ca="1" si="2"/>
        <v>0</v>
      </c>
      <c r="T39" s="1938"/>
      <c r="U39" s="1825">
        <f t="shared" ca="1" si="4"/>
        <v>0</v>
      </c>
      <c r="V39" s="2225"/>
      <c r="W39" s="2226"/>
    </row>
    <row r="40" spans="1:23" s="1137" customFormat="1" ht="14.25" customHeight="1" thickBot="1" x14ac:dyDescent="0.2">
      <c r="A40" s="1137" t="s">
        <v>1199</v>
      </c>
      <c r="B40" s="2039"/>
      <c r="C40" s="2217"/>
      <c r="D40" s="2219"/>
      <c r="E40" s="1821" t="s">
        <v>1434</v>
      </c>
      <c r="F40" s="1823">
        <f>F35-(F36+F38+F39)</f>
        <v>-796793</v>
      </c>
      <c r="G40" s="1824">
        <f t="shared" ref="G40" si="58">G35-(G36+G38+G39)</f>
        <v>-904072</v>
      </c>
      <c r="H40" s="1824">
        <f t="shared" ref="H40" si="59">H35-(H36+H38+H39)</f>
        <v>-536508</v>
      </c>
      <c r="I40" s="1824">
        <f t="shared" ref="I40" si="60">I35-(I36+I38+I39)</f>
        <v>-255274</v>
      </c>
      <c r="J40" s="1824">
        <f t="shared" ref="J40" si="61">J35-(J36+J38+J39)</f>
        <v>-320365</v>
      </c>
      <c r="K40" s="1824">
        <f t="shared" ref="K40" si="62">K35-(K36+K38+K39)</f>
        <v>-14117</v>
      </c>
      <c r="L40" s="1824">
        <f t="shared" ref="L40" si="63">L35-(L36+L38+L39)</f>
        <v>-96871</v>
      </c>
      <c r="M40" s="1824">
        <f t="shared" ref="M40" si="64">M35-(M36+M38+M39)</f>
        <v>127864</v>
      </c>
      <c r="N40" s="1893">
        <f t="shared" ref="N40" si="65">N35-(N36+N38+N39)</f>
        <v>-210000</v>
      </c>
      <c r="O40" s="1893">
        <f t="shared" ref="O40" si="66">O35-(O36+O38+O39)</f>
        <v>50000</v>
      </c>
      <c r="P40" s="1893">
        <f t="shared" ref="P40" si="67">P35-(P36+P38+P39)</f>
        <v>50000</v>
      </c>
      <c r="Q40" s="1894">
        <f t="shared" ref="Q40" si="68">Q35-(Q36+Q38+Q39)</f>
        <v>160000</v>
      </c>
      <c r="R40" s="1843">
        <f t="shared" ref="R40" ca="1" si="69">SUM(OFFSET(F40,0,0,1,IF(ISERROR(MATCH(DATE(YEAR($G$1),MONTH($G$1),1),$F$2:$Q$2,0)),0,MATCH(DATE(YEAR($G$1),MONTH($G$1),1),$F$2:$Q$2,0))))</f>
        <v>-2796136</v>
      </c>
      <c r="S40" s="1843">
        <f t="shared" ref="S40" ca="1" si="70">IF(ISERROR(R40/(DATEDIF(F$2,G$1,"M")+1)),0,R40/(DATEDIF(F$2,G$1,"M")+1))</f>
        <v>-349517</v>
      </c>
      <c r="T40" s="539">
        <f t="shared" ref="T40" si="71">SUM(F40:Q40)</f>
        <v>-2746136</v>
      </c>
      <c r="U40" s="1825">
        <f t="shared" ref="U40" ca="1" si="72">S40*12</f>
        <v>-4194204</v>
      </c>
      <c r="V40" s="2043">
        <f ca="1">IFERROR(IF(W40&gt;=0,1,IF(W40&lt;-0.1,-1,0)),1)</f>
        <v>-1</v>
      </c>
      <c r="W40" s="1840">
        <f ca="1">IF(T40=0,1-(U36+U38)/U35,IF(T40=U40,0,ROUND((U40-T40)/ABS(T40),3)))</f>
        <v>-0.52700000000000002</v>
      </c>
    </row>
    <row r="41" spans="1:23" s="1137" customFormat="1" ht="14.25" customHeight="1" thickBot="1" x14ac:dyDescent="0.2">
      <c r="A41" s="1137" t="s">
        <v>1199</v>
      </c>
      <c r="B41" s="2039"/>
      <c r="C41" s="2217"/>
      <c r="D41" s="2219"/>
      <c r="E41" s="1128" t="s">
        <v>1197</v>
      </c>
      <c r="F41" s="1815">
        <f>'☆事業所損益管理(H30.9～H31.8)(計画)'!F42</f>
        <v>0</v>
      </c>
      <c r="G41" s="1816">
        <f>'☆事業所損益管理(H30.9～H31.8)(計画)'!G42</f>
        <v>600000</v>
      </c>
      <c r="H41" s="1816">
        <f>'☆事業所損益管理(H30.9～H31.8)(計画)'!H42</f>
        <v>600000</v>
      </c>
      <c r="I41" s="1816">
        <f>'☆事業所損益管理(H30.9～H31.8)(計画)'!I42</f>
        <v>600000</v>
      </c>
      <c r="J41" s="1816">
        <f>'☆事業所損益管理(H30.9～H31.8)(計画)'!J42</f>
        <v>600000</v>
      </c>
      <c r="K41" s="1816">
        <f>'☆事業所損益管理(H30.9～H31.8)(計画)'!K42</f>
        <v>600000</v>
      </c>
      <c r="L41" s="1816">
        <f>'☆事業所損益管理(H30.9～H31.8)(計画)'!L42</f>
        <v>600000</v>
      </c>
      <c r="M41" s="1816">
        <f>'☆事業所損益管理(H30.9～H31.8)(計画)'!M42</f>
        <v>600000</v>
      </c>
      <c r="N41" s="1895">
        <f>'☆事業所損益管理(H30.9～H31.8)(計画)'!N42</f>
        <v>600000</v>
      </c>
      <c r="O41" s="1895">
        <f>'☆事業所損益管理(H30.9～H31.8)(計画)'!O42</f>
        <v>600000</v>
      </c>
      <c r="P41" s="1895">
        <f>'☆事業所損益管理(H30.9～H31.8)(計画)'!P42</f>
        <v>600000</v>
      </c>
      <c r="Q41" s="1896">
        <f>'☆事業所損益管理(H30.9～H31.8)(計画)'!Q42</f>
        <v>600000</v>
      </c>
      <c r="R41" s="1844">
        <f t="shared" ref="R41:R75" ca="1" si="73">SUM(OFFSET(F41,0,0,1,IF(ISERROR(MATCH(DATE(YEAR($G$1),MONTH($G$1),1),$F$2:$Q$2,0)),0,MATCH(DATE(YEAR($G$1),MONTH($G$1),1),$F$2:$Q$2,0))))</f>
        <v>4200000</v>
      </c>
      <c r="S41" s="1844">
        <f t="shared" ref="S41:S75" ca="1" si="74">IF(ISERROR(R41/(DATEDIF(F$2,G$1,"M")+1)),0,R41/(DATEDIF(F$2,G$1,"M")+1))</f>
        <v>525000</v>
      </c>
      <c r="T41" s="533">
        <f t="shared" ref="T41:T75" si="75">SUM(F41:Q41)</f>
        <v>6600000</v>
      </c>
      <c r="U41" s="527">
        <f t="shared" ca="1" si="4"/>
        <v>6300000</v>
      </c>
      <c r="V41" s="2225"/>
      <c r="W41" s="2226"/>
    </row>
    <row r="42" spans="1:23" s="1137" customFormat="1" ht="14.25" customHeight="1" thickBot="1" x14ac:dyDescent="0.2">
      <c r="A42" s="1137" t="s">
        <v>1199</v>
      </c>
      <c r="B42" s="2039"/>
      <c r="C42" s="2217"/>
      <c r="D42" s="2219"/>
      <c r="E42" s="1822" t="s">
        <v>1435</v>
      </c>
      <c r="F42" s="1860">
        <f t="shared" ref="F42:Q42" si="76">F40-F41</f>
        <v>-796793</v>
      </c>
      <c r="G42" s="1861">
        <f t="shared" si="76"/>
        <v>-1504072</v>
      </c>
      <c r="H42" s="1861">
        <f t="shared" si="76"/>
        <v>-1136508</v>
      </c>
      <c r="I42" s="1861">
        <f t="shared" si="76"/>
        <v>-855274</v>
      </c>
      <c r="J42" s="1861">
        <f t="shared" si="76"/>
        <v>-920365</v>
      </c>
      <c r="K42" s="1861">
        <f t="shared" si="76"/>
        <v>-614117</v>
      </c>
      <c r="L42" s="1861">
        <f t="shared" si="76"/>
        <v>-696871</v>
      </c>
      <c r="M42" s="1861">
        <f t="shared" si="76"/>
        <v>-472136</v>
      </c>
      <c r="N42" s="1897">
        <f t="shared" si="76"/>
        <v>-810000</v>
      </c>
      <c r="O42" s="1897">
        <f t="shared" si="76"/>
        <v>-550000</v>
      </c>
      <c r="P42" s="1897">
        <f t="shared" si="76"/>
        <v>-550000</v>
      </c>
      <c r="Q42" s="1898">
        <f t="shared" si="76"/>
        <v>-440000</v>
      </c>
      <c r="R42" s="1845">
        <f t="shared" ca="1" si="73"/>
        <v>-6996136</v>
      </c>
      <c r="S42" s="1845">
        <f t="shared" ca="1" si="74"/>
        <v>-874517</v>
      </c>
      <c r="T42" s="530">
        <f t="shared" si="75"/>
        <v>-9346136</v>
      </c>
      <c r="U42" s="1826">
        <f t="shared" ca="1" si="4"/>
        <v>-10494204</v>
      </c>
      <c r="V42" s="2043">
        <f ca="1">IFERROR(IF(W42&gt;=0,1,IF(W42&lt;-0.1,-1,0)),1)</f>
        <v>-1</v>
      </c>
      <c r="W42" s="1840">
        <f ca="1">IF(T42=0,1-(U36+U38)/U35,IF(T42=U42,0,ROUND((U42-T42)/ABS(T42),3)))</f>
        <v>-0.123</v>
      </c>
    </row>
    <row r="43" spans="1:23" s="1137" customFormat="1" ht="14.25" customHeight="1" thickBot="1" x14ac:dyDescent="0.2">
      <c r="A43" s="1137" t="s">
        <v>676</v>
      </c>
      <c r="B43" s="2039" t="str">
        <f>E43</f>
        <v>売上</v>
      </c>
      <c r="C43" s="2217" t="s">
        <v>358</v>
      </c>
      <c r="D43" s="2218" t="s">
        <v>1441</v>
      </c>
      <c r="E43" s="1820" t="s">
        <v>26</v>
      </c>
      <c r="F43" s="1811">
        <f>IF(F$2&gt;$G$1,'☆事業所損益管理(H30.9～H31.8)(計画)'!F44,
GETPIVOTDATA("合計 / " &amp; $B43,【ピボット】事業所収支!$A$3,"年月",F$2,"事業所",$A43))</f>
        <v>4417151</v>
      </c>
      <c r="G43" s="1812">
        <f>IF(G$2&gt;$G$1,'☆事業所損益管理(H30.9～H31.8)(計画)'!G44,
GETPIVOTDATA("合計 / " &amp; $B43,【ピボット】事業所収支!$A$3,"年月",G$2,"事業所",$A43))</f>
        <v>4442200</v>
      </c>
      <c r="H43" s="1812">
        <f>IF(H$2&gt;$G$1,'☆事業所損益管理(H30.9～H31.8)(計画)'!H44,
GETPIVOTDATA("合計 / " &amp; $B43,【ピボット】事業所収支!$A$3,"年月",H$2,"事業所",$A43))</f>
        <v>4833081</v>
      </c>
      <c r="I43" s="1812">
        <f>IF(I$2&gt;$G$1,'☆事業所損益管理(H30.9～H31.8)(計画)'!I44,
GETPIVOTDATA("合計 / " &amp; $B43,【ピボット】事業所収支!$A$3,"年月",I$2,"事業所",$A43))</f>
        <v>4422644</v>
      </c>
      <c r="J43" s="1812">
        <f>IF(J$2&gt;$G$1,'☆事業所損益管理(H30.9～H31.8)(計画)'!J44,
GETPIVOTDATA("合計 / " &amp; $B43,【ピボット】事業所収支!$A$3,"年月",J$2,"事業所",$A43))</f>
        <v>4120917</v>
      </c>
      <c r="K43" s="1812">
        <f>IF(K$2&gt;$G$1,'☆事業所損益管理(H30.9～H31.8)(計画)'!K44,
GETPIVOTDATA("合計 / " &amp; $B43,【ピボット】事業所収支!$A$3,"年月",K$2,"事業所",$A43))</f>
        <v>4475893</v>
      </c>
      <c r="L43" s="1812">
        <f>IF(L$2&gt;$G$1,'☆事業所損益管理(H30.9～H31.8)(計画)'!L44,
GETPIVOTDATA("合計 / " &amp; $B43,【ピボット】事業所収支!$A$3,"年月",L$2,"事業所",$A43))</f>
        <v>4931183</v>
      </c>
      <c r="M43" s="1812">
        <f>IF(M$2&gt;$G$1,'☆事業所損益管理(H30.9～H31.8)(計画)'!M44,
GETPIVOTDATA("合計 / " &amp; $B43,【ピボット】事業所収支!$A$3,"年月",M$2,"事業所",$A43))</f>
        <v>4425975</v>
      </c>
      <c r="N43" s="1889">
        <f>IF(N$2&gt;$G$1,'☆事業所損益管理(H30.9～H31.8)(計画)'!N44,
GETPIVOTDATA("合計 / " &amp; $B43,【ピボット】事業所収支!$A$3,"年月",N$2,"事業所",$A43))</f>
        <v>4550000</v>
      </c>
      <c r="O43" s="1889">
        <f>IF(O$2&gt;$G$1,'☆事業所損益管理(H30.9～H31.8)(計画)'!O44,
GETPIVOTDATA("合計 / " &amp; $B43,【ピボット】事業所収支!$A$3,"年月",O$2,"事業所",$A43))</f>
        <v>4600000</v>
      </c>
      <c r="P43" s="1889">
        <f>IF(P$2&gt;$G$1,'☆事業所損益管理(H30.9～H31.8)(計画)'!P44,
GETPIVOTDATA("合計 / " &amp; $B43,【ピボット】事業所収支!$A$3,"年月",P$2,"事業所",$A43))</f>
        <v>4600000</v>
      </c>
      <c r="Q43" s="1890">
        <f>IF(Q$2&gt;$G$1,'☆事業所損益管理(H30.9～H31.8)(計画)'!Q44,
GETPIVOTDATA("合計 / " &amp; $B43,【ピボット】事業所収支!$A$3,"年月",Q$2,"事業所",$A43))</f>
        <v>4700000</v>
      </c>
      <c r="R43" s="1842">
        <f t="shared" ca="1" si="73"/>
        <v>36069044</v>
      </c>
      <c r="S43" s="1842">
        <f t="shared" ca="1" si="74"/>
        <v>4508630.5</v>
      </c>
      <c r="T43" s="538">
        <f t="shared" si="75"/>
        <v>54519044</v>
      </c>
      <c r="U43" s="1827">
        <f t="shared" ca="1" si="4"/>
        <v>54103566</v>
      </c>
      <c r="V43" s="2040">
        <f ca="1">IF(W43=0,1,IF(W43&gt;=1,1,IF(W43&lt;0.9,-1,0)))</f>
        <v>0</v>
      </c>
      <c r="W43" s="1839">
        <f ca="1">IF(T43&lt;0,ROUND((U43-T43)/ABS(T43),3),IF(T43=0,0,ROUND(U43/T43,3)))</f>
        <v>0.99199999999999999</v>
      </c>
    </row>
    <row r="44" spans="1:23" s="1137" customFormat="1" ht="14.25" customHeight="1" thickBot="1" x14ac:dyDescent="0.2">
      <c r="A44" s="1137" t="s">
        <v>676</v>
      </c>
      <c r="B44" s="2039" t="str">
        <f>E44</f>
        <v>人件費</v>
      </c>
      <c r="C44" s="2217"/>
      <c r="D44" s="2219"/>
      <c r="E44" s="1821" t="s">
        <v>15</v>
      </c>
      <c r="F44" s="1813">
        <f>IF(F$2&gt;$G$1,'☆事業所損益管理(H30.9～H31.8)(計画)'!F45,
GETPIVOTDATA("合計 / " &amp; $B44,【ピボット】事業所収支!$A$3,"年月",F$2,"事業所",$A44))</f>
        <v>2350226</v>
      </c>
      <c r="G44" s="1814">
        <f>IF(G$2&gt;$G$1,'☆事業所損益管理(H30.9～H31.8)(計画)'!G45,
GETPIVOTDATA("合計 / " &amp; $B44,【ピボット】事業所収支!$A$3,"年月",G$2,"事業所",$A44))</f>
        <v>2086350</v>
      </c>
      <c r="H44" s="1814">
        <f>IF(H$2&gt;$G$1,'☆事業所損益管理(H30.9～H31.8)(計画)'!H45,
GETPIVOTDATA("合計 / " &amp; $B44,【ピボット】事業所収支!$A$3,"年月",H$2,"事業所",$A44))</f>
        <v>2191511</v>
      </c>
      <c r="I44" s="1814">
        <f>IF(I$2&gt;$G$1,'☆事業所損益管理(H30.9～H31.8)(計画)'!I45,
GETPIVOTDATA("合計 / " &amp; $B44,【ピボット】事業所収支!$A$3,"年月",I$2,"事業所",$A44))</f>
        <v>3314822</v>
      </c>
      <c r="J44" s="1814">
        <f>IF(J$2&gt;$G$1,'☆事業所損益管理(H30.9～H31.8)(計画)'!J45,
GETPIVOTDATA("合計 / " &amp; $B44,【ピボット】事業所収支!$A$3,"年月",J$2,"事業所",$A44))</f>
        <v>2332898</v>
      </c>
      <c r="K44" s="1814">
        <f>IF(K$2&gt;$G$1,'☆事業所損益管理(H30.9～H31.8)(計画)'!K45,
GETPIVOTDATA("合計 / " &amp; $B44,【ピボット】事業所収支!$A$3,"年月",K$2,"事業所",$A44))</f>
        <v>2102329</v>
      </c>
      <c r="L44" s="1814">
        <f>IF(L$2&gt;$G$1,'☆事業所損益管理(H30.9～H31.8)(計画)'!L45,
GETPIVOTDATA("合計 / " &amp; $B44,【ピボット】事業所収支!$A$3,"年月",L$2,"事業所",$A44))</f>
        <v>2180249</v>
      </c>
      <c r="M44" s="1814">
        <f>IF(M$2&gt;$G$1,'☆事業所損益管理(H30.9～H31.8)(計画)'!M45,
GETPIVOTDATA("合計 / " &amp; $B44,【ピボット】事業所収支!$A$3,"年月",M$2,"事業所",$A44))</f>
        <v>2316325</v>
      </c>
      <c r="N44" s="1891">
        <f>IF(N$2&gt;$G$1,'☆事業所損益管理(H30.9～H31.8)(計画)'!N45,
GETPIVOTDATA("合計 / " &amp; $B44,【ピボット】事業所収支!$A$3,"年月",N$2,"事業所",$A44))</f>
        <v>2400000</v>
      </c>
      <c r="O44" s="1891">
        <f>IF(O$2&gt;$G$1,'☆事業所損益管理(H30.9～H31.8)(計画)'!O45,
GETPIVOTDATA("合計 / " &amp; $B44,【ピボット】事業所収支!$A$3,"年月",O$2,"事業所",$A44))</f>
        <v>4200000</v>
      </c>
      <c r="P44" s="1891">
        <f>IF(P$2&gt;$G$1,'☆事業所損益管理(H30.9～H31.8)(計画)'!P45,
GETPIVOTDATA("合計 / " &amp; $B44,【ピボット】事業所収支!$A$3,"年月",P$2,"事業所",$A44))</f>
        <v>2400000</v>
      </c>
      <c r="Q44" s="1892">
        <f>IF(Q$2&gt;$G$1,'☆事業所損益管理(H30.9～H31.8)(計画)'!Q45,
GETPIVOTDATA("合計 / " &amp; $B44,【ピボット】事業所収支!$A$3,"年月",Q$2,"事業所",$A44))</f>
        <v>2400000</v>
      </c>
      <c r="R44" s="1843">
        <f t="shared" ca="1" si="73"/>
        <v>18874710</v>
      </c>
      <c r="S44" s="1843">
        <f t="shared" ca="1" si="74"/>
        <v>2359338.75</v>
      </c>
      <c r="T44" s="539">
        <f t="shared" si="75"/>
        <v>30274710</v>
      </c>
      <c r="U44" s="1825">
        <f t="shared" ca="1" si="4"/>
        <v>28312065</v>
      </c>
      <c r="V44" s="2041">
        <f ca="1">IF(W44=0,1,IF(W44&lt;=1,1,IF(W44&gt;1.1,-1,0)))</f>
        <v>1</v>
      </c>
      <c r="W44" s="1840">
        <f ca="1">IF(T44&lt;0,ROUND((U44-T44)/ABS(T44),3),IF(T44=0,0,ROUND(U44/T44,3)))</f>
        <v>0.93500000000000005</v>
      </c>
    </row>
    <row r="45" spans="1:23" s="1137" customFormat="1" ht="14.25" customHeight="1" thickBot="1" x14ac:dyDescent="0.2">
      <c r="A45" s="1137" t="s">
        <v>676</v>
      </c>
      <c r="B45" s="2039" t="str">
        <f>E45</f>
        <v>広告経費</v>
      </c>
      <c r="C45" s="2217"/>
      <c r="D45" s="2219"/>
      <c r="E45" s="1821" t="s">
        <v>447</v>
      </c>
      <c r="F45" s="1813">
        <f>IF(F$2&gt;$G$1,'☆事業所損益管理(H30.9～H31.8)(計画)'!F46,
GETPIVOTDATA("合計 / " &amp; $B45,【ピボット】事業所収支!$A$3,"年月",F$2,"事業所",$A45))</f>
        <v>0</v>
      </c>
      <c r="G45" s="1814">
        <f>IF(G$2&gt;$G$1,'☆事業所損益管理(H30.9～H31.8)(計画)'!G46,
GETPIVOTDATA("合計 / " &amp; $B45,【ピボット】事業所収支!$A$3,"年月",G$2,"事業所",$A45))</f>
        <v>113400</v>
      </c>
      <c r="H45" s="1814">
        <f>IF(H$2&gt;$G$1,'☆事業所損益管理(H30.9～H31.8)(計画)'!H46,
GETPIVOTDATA("合計 / " &amp; $B45,【ピボット】事業所収支!$A$3,"年月",H$2,"事業所",$A45))</f>
        <v>48600</v>
      </c>
      <c r="I45" s="1814">
        <f>IF(I$2&gt;$G$1,'☆事業所損益管理(H30.9～H31.8)(計画)'!I46,
GETPIVOTDATA("合計 / " &amp; $B45,【ピボット】事業所収支!$A$3,"年月",I$2,"事業所",$A45))</f>
        <v>0</v>
      </c>
      <c r="J45" s="1814">
        <f>IF(J$2&gt;$G$1,'☆事業所損益管理(H30.9～H31.8)(計画)'!J46,
GETPIVOTDATA("合計 / " &amp; $B45,【ピボット】事業所収支!$A$3,"年月",J$2,"事業所",$A45))</f>
        <v>0</v>
      </c>
      <c r="K45" s="1814">
        <f>IF(K$2&gt;$G$1,'☆事業所損益管理(H30.9～H31.8)(計画)'!K46,
GETPIVOTDATA("合計 / " &amp; $B45,【ピボット】事業所収支!$A$3,"年月",K$2,"事業所",$A45))</f>
        <v>0</v>
      </c>
      <c r="L45" s="1814">
        <f>IF(L$2&gt;$G$1,'☆事業所損益管理(H30.9～H31.8)(計画)'!L46,
GETPIVOTDATA("合計 / " &amp; $B45,【ピボット】事業所収支!$A$3,"年月",L$2,"事業所",$A45))</f>
        <v>0</v>
      </c>
      <c r="M45" s="1814">
        <f>IF(M$2&gt;$G$1,'☆事業所損益管理(H30.9～H31.8)(計画)'!M46,
GETPIVOTDATA("合計 / " &amp; $B45,【ピボット】事業所収支!$A$3,"年月",M$2,"事業所",$A45))</f>
        <v>0</v>
      </c>
      <c r="N45" s="1891">
        <f>IF(N$2&gt;$G$1,'☆事業所損益管理(H30.9～H31.8)(計画)'!N46,
GETPIVOTDATA("合計 / " &amp; $B45,【ピボット】事業所収支!$A$3,"年月",N$2,"事業所",$A45))</f>
        <v>0</v>
      </c>
      <c r="O45" s="1891">
        <f>IF(O$2&gt;$G$1,'☆事業所損益管理(H30.9～H31.8)(計画)'!O46,
GETPIVOTDATA("合計 / " &amp; $B45,【ピボット】事業所収支!$A$3,"年月",O$2,"事業所",$A45))</f>
        <v>50000</v>
      </c>
      <c r="P45" s="1891">
        <f>IF(P$2&gt;$G$1,'☆事業所損益管理(H30.9～H31.8)(計画)'!P46,
GETPIVOTDATA("合計 / " &amp; $B45,【ピボット】事業所収支!$A$3,"年月",P$2,"事業所",$A45))</f>
        <v>0</v>
      </c>
      <c r="Q45" s="1892">
        <f>IF(Q$2&gt;$G$1,'☆事業所損益管理(H30.9～H31.8)(計画)'!Q46,
GETPIVOTDATA("合計 / " &amp; $B45,【ピボット】事業所収支!$A$3,"年月",Q$2,"事業所",$A45))</f>
        <v>0</v>
      </c>
      <c r="R45" s="1843">
        <f t="shared" ca="1" si="73"/>
        <v>162000</v>
      </c>
      <c r="S45" s="1843">
        <f t="shared" ca="1" si="74"/>
        <v>20250</v>
      </c>
      <c r="T45" s="539">
        <f t="shared" si="75"/>
        <v>212000</v>
      </c>
      <c r="U45" s="1825">
        <f t="shared" ca="1" si="4"/>
        <v>243000</v>
      </c>
      <c r="V45" s="2041">
        <f ca="1">IF(W45=0,1,IF(W45&lt;=1,1,IF(W45&gt;1.1,-1,0)))</f>
        <v>-1</v>
      </c>
      <c r="W45" s="1840">
        <f ca="1">IF(T45&lt;0,ROUND((U45-T45)/ABS(T45),3),IF(T45=0,0,ROUND(U45/T45,3)))</f>
        <v>1.1459999999999999</v>
      </c>
    </row>
    <row r="46" spans="1:23" s="1137" customFormat="1" ht="14.25" customHeight="1" thickBot="1" x14ac:dyDescent="0.2">
      <c r="A46" s="1137" t="s">
        <v>676</v>
      </c>
      <c r="B46" s="2042" t="s">
        <v>1230</v>
      </c>
      <c r="C46" s="2217"/>
      <c r="D46" s="2219"/>
      <c r="E46" s="1821" t="s">
        <v>35</v>
      </c>
      <c r="F46" s="1813">
        <f>IF(F$2&gt;$G$1,'☆事業所損益管理(H30.9～H31.8)(計画)'!F47,
GETPIVOTDATA("合計 / " &amp; $B46,【ピボット】事業所収支!$A$3,"年月",F$2,"事業所",$A46))</f>
        <v>1089344</v>
      </c>
      <c r="G46" s="1814">
        <f>IF(G$2&gt;$G$1,'☆事業所損益管理(H30.9～H31.8)(計画)'!G47,
GETPIVOTDATA("合計 / " &amp; $B46,【ピボット】事業所収支!$A$3,"年月",G$2,"事業所",$A46))</f>
        <v>1207486</v>
      </c>
      <c r="H46" s="1814">
        <f>IF(H$2&gt;$G$1,'☆事業所損益管理(H30.9～H31.8)(計画)'!H47,
GETPIVOTDATA("合計 / " &amp; $B46,【ピボット】事業所収支!$A$3,"年月",H$2,"事業所",$A46))</f>
        <v>1037871</v>
      </c>
      <c r="I46" s="1814">
        <f>IF(I$2&gt;$G$1,'☆事業所損益管理(H30.9～H31.8)(計画)'!I47,
GETPIVOTDATA("合計 / " &amp; $B46,【ピボット】事業所収支!$A$3,"年月",I$2,"事業所",$A46))</f>
        <v>1158080</v>
      </c>
      <c r="J46" s="1814">
        <f>IF(J$2&gt;$G$1,'☆事業所損益管理(H30.9～H31.8)(計画)'!J47,
GETPIVOTDATA("合計 / " &amp; $B46,【ピボット】事業所収支!$A$3,"年月",J$2,"事業所",$A46))</f>
        <v>1282667</v>
      </c>
      <c r="K46" s="1814">
        <f>IF(K$2&gt;$G$1,'☆事業所損益管理(H30.9～H31.8)(計画)'!K47,
GETPIVOTDATA("合計 / " &amp; $B46,【ピボット】事業所収支!$A$3,"年月",K$2,"事業所",$A46))</f>
        <v>1149109</v>
      </c>
      <c r="L46" s="1814">
        <f>IF(L$2&gt;$G$1,'☆事業所損益管理(H30.9～H31.8)(計画)'!L47,
GETPIVOTDATA("合計 / " &amp; $B46,【ピボット】事業所収支!$A$3,"年月",L$2,"事業所",$A46))</f>
        <v>1064856</v>
      </c>
      <c r="M46" s="1814">
        <f>IF(M$2&gt;$G$1,'☆事業所損益管理(H30.9～H31.8)(計画)'!M47,
GETPIVOTDATA("合計 / " &amp; $B46,【ピボット】事業所収支!$A$3,"年月",M$2,"事業所",$A46))</f>
        <v>1085892</v>
      </c>
      <c r="N46" s="1891">
        <f>IF(N$2&gt;$G$1,'☆事業所損益管理(H30.9～H31.8)(計画)'!N47,
GETPIVOTDATA("合計 / " &amp; $B46,【ピボット】事業所収支!$A$3,"年月",N$2,"事業所",$A46))</f>
        <v>1100000</v>
      </c>
      <c r="O46" s="1891">
        <f>IF(O$2&gt;$G$1,'☆事業所損益管理(H30.9～H31.8)(計画)'!O47,
GETPIVOTDATA("合計 / " &amp; $B46,【ピボット】事業所収支!$A$3,"年月",O$2,"事業所",$A46))</f>
        <v>1150000</v>
      </c>
      <c r="P46" s="1891">
        <f>IF(P$2&gt;$G$1,'☆事業所損益管理(H30.9～H31.8)(計画)'!P47,
GETPIVOTDATA("合計 / " &amp; $B46,【ピボット】事業所収支!$A$3,"年月",P$2,"事業所",$A46))</f>
        <v>1100000</v>
      </c>
      <c r="Q46" s="1892">
        <f>IF(Q$2&gt;$G$1,'☆事業所損益管理(H30.9～H31.8)(計画)'!Q47,
GETPIVOTDATA("合計 / " &amp; $B46,【ピボット】事業所収支!$A$3,"年月",Q$2,"事業所",$A46))</f>
        <v>1100000</v>
      </c>
      <c r="R46" s="1843">
        <f t="shared" ca="1" si="73"/>
        <v>9075305</v>
      </c>
      <c r="S46" s="1843">
        <f t="shared" ca="1" si="74"/>
        <v>1134413.125</v>
      </c>
      <c r="T46" s="539">
        <f t="shared" si="75"/>
        <v>13525305</v>
      </c>
      <c r="U46" s="1825">
        <f t="shared" ca="1" si="4"/>
        <v>13612957.5</v>
      </c>
      <c r="V46" s="2041">
        <f ca="1">IF(W46=0,1,IF(W46&lt;=1,1,IF(W46&gt;1.1,-1,0)))</f>
        <v>0</v>
      </c>
      <c r="W46" s="1840">
        <f ca="1">IF(T46&lt;0,ROUND((U46-T46)/ABS(T46),3),IF(T46=0,0,ROUND(U46/T46,3)))</f>
        <v>1.006</v>
      </c>
    </row>
    <row r="47" spans="1:23" s="1137" customFormat="1" ht="14.25" customHeight="1" thickBot="1" x14ac:dyDescent="0.2">
      <c r="A47" s="1137" t="s">
        <v>676</v>
      </c>
      <c r="B47" s="2042" t="s">
        <v>1504</v>
      </c>
      <c r="C47" s="2217"/>
      <c r="D47" s="2219"/>
      <c r="E47" s="1821" t="s">
        <v>1507</v>
      </c>
      <c r="F47" s="1813">
        <f>IFERROR(GETPIVOTDATA("合計 / " &amp; $B47,【ピボット】事業所収支!$A$3,"年月",F$2,"事業所",$A47),0)</f>
        <v>0</v>
      </c>
      <c r="G47" s="1814">
        <f>IFERROR(GETPIVOTDATA("合計 / " &amp; $B47,【ピボット】事業所収支!$A$3,"年月",G$2,"事業所",$A47),0)</f>
        <v>0</v>
      </c>
      <c r="H47" s="1814">
        <f>IFERROR(GETPIVOTDATA("合計 / " &amp; $B47,【ピボット】事業所収支!$A$3,"年月",H$2,"事業所",$A47),0)</f>
        <v>0</v>
      </c>
      <c r="I47" s="1814">
        <f>IFERROR(GETPIVOTDATA("合計 / " &amp; $B47,【ピボット】事業所収支!$A$3,"年月",I$2,"事業所",$A47),0)</f>
        <v>0</v>
      </c>
      <c r="J47" s="1814">
        <f>IFERROR(GETPIVOTDATA("合計 / " &amp; $B47,【ピボット】事業所収支!$A$3,"年月",J$2,"事業所",$A47),0)</f>
        <v>0</v>
      </c>
      <c r="K47" s="1814">
        <f>IFERROR(GETPIVOTDATA("合計 / " &amp; $B47,【ピボット】事業所収支!$A$3,"年月",K$2,"事業所",$A47),0)</f>
        <v>0</v>
      </c>
      <c r="L47" s="1814">
        <f>IFERROR(GETPIVOTDATA("合計 / " &amp; $B47,【ピボット】事業所収支!$A$3,"年月",L$2,"事業所",$A47),0)</f>
        <v>0</v>
      </c>
      <c r="M47" s="1814">
        <f>IFERROR(GETPIVOTDATA("合計 / " &amp; $B47,【ピボット】事業所収支!$A$3,"年月",M$2,"事業所",$A47),0)</f>
        <v>0</v>
      </c>
      <c r="N47" s="1891">
        <f>IFERROR(GETPIVOTDATA("合計 / " &amp; $B47,【ピボット】事業所収支!$A$3,"年月",N$2,"事業所",$A47),0)</f>
        <v>0</v>
      </c>
      <c r="O47" s="1891">
        <f>IFERROR(GETPIVOTDATA("合計 / " &amp; $B47,【ピボット】事業所収支!$A$3,"年月",O$2,"事業所",$A47),0)</f>
        <v>0</v>
      </c>
      <c r="P47" s="1891">
        <f>IFERROR(GETPIVOTDATA("合計 / " &amp; $B47,【ピボット】事業所収支!$A$3,"年月",P$2,"事業所",$A47),0)</f>
        <v>0</v>
      </c>
      <c r="Q47" s="1892">
        <f>IFERROR(GETPIVOTDATA("合計 / " &amp; $B47,【ピボット】事業所収支!$A$3,"年月",Q$2,"事業所",$A47),0)</f>
        <v>0</v>
      </c>
      <c r="R47" s="1843">
        <f t="shared" ref="R47:R48" ca="1" si="77">SUM(OFFSET(F47,0,0,1,IF(ISERROR(MATCH(DATE(YEAR($G$1),MONTH($G$1),1),$F$2:$Q$2,0)),0,MATCH(DATE(YEAR($G$1),MONTH($G$1),1),$F$2:$Q$2,0))))</f>
        <v>0</v>
      </c>
      <c r="S47" s="1843">
        <f t="shared" ca="1" si="74"/>
        <v>0</v>
      </c>
      <c r="T47" s="1938"/>
      <c r="U47" s="1825">
        <f t="shared" ca="1" si="4"/>
        <v>0</v>
      </c>
      <c r="V47" s="2225"/>
      <c r="W47" s="2226"/>
    </row>
    <row r="48" spans="1:23" s="1137" customFormat="1" ht="14.25" customHeight="1" thickBot="1" x14ac:dyDescent="0.2">
      <c r="A48" s="1137" t="s">
        <v>676</v>
      </c>
      <c r="B48" s="2039"/>
      <c r="C48" s="2217"/>
      <c r="D48" s="2219"/>
      <c r="E48" s="1821" t="s">
        <v>1434</v>
      </c>
      <c r="F48" s="1823">
        <f>F43-(F44+F46+F47)</f>
        <v>977581</v>
      </c>
      <c r="G48" s="1824">
        <f t="shared" ref="G48" si="78">G43-(G44+G46+G47)</f>
        <v>1148364</v>
      </c>
      <c r="H48" s="1824">
        <f t="shared" ref="H48" si="79">H43-(H44+H46+H47)</f>
        <v>1603699</v>
      </c>
      <c r="I48" s="1824">
        <f t="shared" ref="I48" si="80">I43-(I44+I46+I47)</f>
        <v>-50258</v>
      </c>
      <c r="J48" s="1824">
        <f t="shared" ref="J48" si="81">J43-(J44+J46+J47)</f>
        <v>505352</v>
      </c>
      <c r="K48" s="1824">
        <f t="shared" ref="K48" si="82">K43-(K44+K46+K47)</f>
        <v>1224455</v>
      </c>
      <c r="L48" s="1824">
        <f t="shared" ref="L48" si="83">L43-(L44+L46+L47)</f>
        <v>1686078</v>
      </c>
      <c r="M48" s="1824">
        <f t="shared" ref="M48" si="84">M43-(M44+M46+M47)</f>
        <v>1023758</v>
      </c>
      <c r="N48" s="1893">
        <f t="shared" ref="N48" si="85">N43-(N44+N46+N47)</f>
        <v>1050000</v>
      </c>
      <c r="O48" s="1893">
        <f t="shared" ref="O48" si="86">O43-(O44+O46+O47)</f>
        <v>-750000</v>
      </c>
      <c r="P48" s="1893">
        <f t="shared" ref="P48" si="87">P43-(P44+P46+P47)</f>
        <v>1100000</v>
      </c>
      <c r="Q48" s="1894">
        <f t="shared" ref="Q48" si="88">Q43-(Q44+Q46+Q47)</f>
        <v>1200000</v>
      </c>
      <c r="R48" s="1843">
        <f t="shared" ca="1" si="77"/>
        <v>8119029</v>
      </c>
      <c r="S48" s="1843">
        <f t="shared" ca="1" si="74"/>
        <v>1014878.625</v>
      </c>
      <c r="T48" s="539">
        <f t="shared" ref="T48" si="89">SUM(F48:Q48)</f>
        <v>10719029</v>
      </c>
      <c r="U48" s="1825">
        <f t="shared" ref="U48" ca="1" si="90">S48*12</f>
        <v>12178543.5</v>
      </c>
      <c r="V48" s="2043">
        <f ca="1">IFERROR(IF(W48&gt;=0,1,IF(W48&lt;-0.1,-1,0)),1)</f>
        <v>1</v>
      </c>
      <c r="W48" s="1840">
        <f ca="1">IF(T48=0,1-(U44+U46)/U43,IF(T48=U48,0,ROUND((U48-T48)/ABS(T48),3)))</f>
        <v>0.13600000000000001</v>
      </c>
    </row>
    <row r="49" spans="1:23" s="1137" customFormat="1" ht="14.25" customHeight="1" thickBot="1" x14ac:dyDescent="0.2">
      <c r="A49" s="1137" t="s">
        <v>676</v>
      </c>
      <c r="B49" s="2039"/>
      <c r="C49" s="2217"/>
      <c r="D49" s="2219"/>
      <c r="E49" s="1128" t="s">
        <v>1197</v>
      </c>
      <c r="F49" s="1815">
        <f>'☆事業所損益管理(H30.9～H31.8)(計画)'!F49</f>
        <v>500000</v>
      </c>
      <c r="G49" s="1816">
        <f>'☆事業所損益管理(H30.9～H31.8)(計画)'!G49</f>
        <v>500000</v>
      </c>
      <c r="H49" s="1816">
        <f>'☆事業所損益管理(H30.9～H31.8)(計画)'!H49</f>
        <v>500000</v>
      </c>
      <c r="I49" s="1816">
        <f>'☆事業所損益管理(H30.9～H31.8)(計画)'!I49</f>
        <v>500000</v>
      </c>
      <c r="J49" s="1816">
        <f>'☆事業所損益管理(H30.9～H31.8)(計画)'!J49</f>
        <v>500000</v>
      </c>
      <c r="K49" s="1816">
        <f>'☆事業所損益管理(H30.9～H31.8)(計画)'!K49</f>
        <v>500000</v>
      </c>
      <c r="L49" s="1816">
        <f>'☆事業所損益管理(H30.9～H31.8)(計画)'!L49</f>
        <v>500000</v>
      </c>
      <c r="M49" s="1816">
        <f>'☆事業所損益管理(H30.9～H31.8)(計画)'!M49</f>
        <v>500000</v>
      </c>
      <c r="N49" s="1895">
        <f>'☆事業所損益管理(H30.9～H31.8)(計画)'!N49</f>
        <v>500000</v>
      </c>
      <c r="O49" s="1895">
        <f>'☆事業所損益管理(H30.9～H31.8)(計画)'!O49</f>
        <v>500000</v>
      </c>
      <c r="P49" s="1895">
        <f>'☆事業所損益管理(H30.9～H31.8)(計画)'!P49</f>
        <v>500000</v>
      </c>
      <c r="Q49" s="1896">
        <f>'☆事業所損益管理(H30.9～H31.8)(計画)'!Q49</f>
        <v>500000</v>
      </c>
      <c r="R49" s="1844">
        <f t="shared" ca="1" si="73"/>
        <v>4000000</v>
      </c>
      <c r="S49" s="1844">
        <f t="shared" ca="1" si="74"/>
        <v>500000</v>
      </c>
      <c r="T49" s="533">
        <f t="shared" si="75"/>
        <v>6000000</v>
      </c>
      <c r="U49" s="527">
        <f t="shared" ca="1" si="4"/>
        <v>6000000</v>
      </c>
      <c r="V49" s="2225"/>
      <c r="W49" s="2226"/>
    </row>
    <row r="50" spans="1:23" s="1137" customFormat="1" ht="14.25" customHeight="1" thickBot="1" x14ac:dyDescent="0.2">
      <c r="A50" s="1137" t="s">
        <v>676</v>
      </c>
      <c r="B50" s="2039"/>
      <c r="C50" s="2217"/>
      <c r="D50" s="2219"/>
      <c r="E50" s="1822" t="s">
        <v>1435</v>
      </c>
      <c r="F50" s="1860">
        <f t="shared" ref="F50:Q50" si="91">F48-F49</f>
        <v>477581</v>
      </c>
      <c r="G50" s="1861">
        <f t="shared" si="91"/>
        <v>648364</v>
      </c>
      <c r="H50" s="1861">
        <f t="shared" si="91"/>
        <v>1103699</v>
      </c>
      <c r="I50" s="1861">
        <f t="shared" si="91"/>
        <v>-550258</v>
      </c>
      <c r="J50" s="1861">
        <f t="shared" si="91"/>
        <v>5352</v>
      </c>
      <c r="K50" s="1861">
        <f t="shared" si="91"/>
        <v>724455</v>
      </c>
      <c r="L50" s="1861">
        <f t="shared" si="91"/>
        <v>1186078</v>
      </c>
      <c r="M50" s="1861">
        <f t="shared" si="91"/>
        <v>523758</v>
      </c>
      <c r="N50" s="1897">
        <f t="shared" si="91"/>
        <v>550000</v>
      </c>
      <c r="O50" s="1897">
        <f t="shared" si="91"/>
        <v>-1250000</v>
      </c>
      <c r="P50" s="1897">
        <f t="shared" si="91"/>
        <v>600000</v>
      </c>
      <c r="Q50" s="1898">
        <f t="shared" si="91"/>
        <v>700000</v>
      </c>
      <c r="R50" s="1845">
        <f t="shared" ca="1" si="73"/>
        <v>4119029</v>
      </c>
      <c r="S50" s="1845">
        <f t="shared" ca="1" si="74"/>
        <v>514878.625</v>
      </c>
      <c r="T50" s="530">
        <f t="shared" si="75"/>
        <v>4719029</v>
      </c>
      <c r="U50" s="1826">
        <f t="shared" ca="1" si="4"/>
        <v>6178543.5</v>
      </c>
      <c r="V50" s="2043">
        <f ca="1">IFERROR(IF(W50&gt;=0,1,IF(W50&lt;-0.1,-1,0)),1)</f>
        <v>1</v>
      </c>
      <c r="W50" s="1840">
        <f ca="1">IF(T50=0,1-(U44+U46)/U43,IF(T50=U50,0,ROUND((U50-T50)/ABS(T50),3)))</f>
        <v>0.309</v>
      </c>
    </row>
    <row r="51" spans="1:23" s="1137" customFormat="1" ht="14.25" customHeight="1" thickBot="1" x14ac:dyDescent="0.2">
      <c r="A51" s="1137" t="s">
        <v>381</v>
      </c>
      <c r="B51" s="2039" t="str">
        <f>E51</f>
        <v>売上</v>
      </c>
      <c r="C51" s="2217" t="s">
        <v>446</v>
      </c>
      <c r="D51" s="2218" t="s">
        <v>1441</v>
      </c>
      <c r="E51" s="1820" t="s">
        <v>26</v>
      </c>
      <c r="F51" s="1811">
        <f>IF(F$2&gt;$G$1,'☆事業所損益管理(H30.9～H31.8)(計画)'!F51,
GETPIVOTDATA("合計 / " &amp; $B51,【ピボット】事業所収支!$A$3,"年月",F$2,"事業所",$A51))</f>
        <v>2112073</v>
      </c>
      <c r="G51" s="1812">
        <f>IF(G$2&gt;$G$1,'☆事業所損益管理(H30.9～H31.8)(計画)'!G51,
GETPIVOTDATA("合計 / " &amp; $B51,【ピボット】事業所収支!$A$3,"年月",G$2,"事業所",$A51))</f>
        <v>2397265</v>
      </c>
      <c r="H51" s="1812">
        <f>IF(H$2&gt;$G$1,'☆事業所損益管理(H30.9～H31.8)(計画)'!H51,
GETPIVOTDATA("合計 / " &amp; $B51,【ピボット】事業所収支!$A$3,"年月",H$2,"事業所",$A51))</f>
        <v>3521977</v>
      </c>
      <c r="I51" s="1812">
        <f>IF(I$2&gt;$G$1,'☆事業所損益管理(H30.9～H31.8)(計画)'!I51,
GETPIVOTDATA("合計 / " &amp; $B51,【ピボット】事業所収支!$A$3,"年月",I$2,"事業所",$A51))</f>
        <v>2606315</v>
      </c>
      <c r="J51" s="1812">
        <f>IF(J$2&gt;$G$1,'☆事業所損益管理(H30.9～H31.8)(計画)'!J51,
GETPIVOTDATA("合計 / " &amp; $B51,【ピボット】事業所収支!$A$3,"年月",J$2,"事業所",$A51))</f>
        <v>2627069</v>
      </c>
      <c r="K51" s="1812">
        <f>IF(K$2&gt;$G$1,'☆事業所損益管理(H30.9～H31.8)(計画)'!K51,
GETPIVOTDATA("合計 / " &amp; $B51,【ピボット】事業所収支!$A$3,"年月",K$2,"事業所",$A51))</f>
        <v>2515123</v>
      </c>
      <c r="L51" s="1812">
        <f>IF(L$2&gt;$G$1,'☆事業所損益管理(H30.9～H31.8)(計画)'!L51,
GETPIVOTDATA("合計 / " &amp; $B51,【ピボット】事業所収支!$A$3,"年月",L$2,"事業所",$A51))</f>
        <v>2498262</v>
      </c>
      <c r="M51" s="1812">
        <f>IF(M$2&gt;$G$1,'☆事業所損益管理(H30.9～H31.8)(計画)'!M51,
GETPIVOTDATA("合計 / " &amp; $B51,【ピボット】事業所収支!$A$3,"年月",M$2,"事業所",$A51))</f>
        <v>2462469</v>
      </c>
      <c r="N51" s="1889">
        <f>IF(N$2&gt;$G$1,'☆事業所損益管理(H30.9～H31.8)(計画)'!N51,
GETPIVOTDATA("合計 / " &amp; $B51,【ピボット】事業所収支!$A$3,"年月",N$2,"事業所",$A51))</f>
        <v>3000000</v>
      </c>
      <c r="O51" s="1889">
        <f>IF(O$2&gt;$G$1,'☆事業所損益管理(H30.9～H31.8)(計画)'!O51,
GETPIVOTDATA("合計 / " &amp; $B51,【ピボット】事業所収支!$A$3,"年月",O$2,"事業所",$A51))</f>
        <v>3000000</v>
      </c>
      <c r="P51" s="1889">
        <f>IF(P$2&gt;$G$1,'☆事業所損益管理(H30.9～H31.8)(計画)'!P51,
GETPIVOTDATA("合計 / " &amp; $B51,【ピボット】事業所収支!$A$3,"年月",P$2,"事業所",$A51))</f>
        <v>3000000</v>
      </c>
      <c r="Q51" s="1890">
        <f>IF(Q$2&gt;$G$1,'☆事業所損益管理(H30.9～H31.8)(計画)'!Q51,
GETPIVOTDATA("合計 / " &amp; $B51,【ピボット】事業所収支!$A$3,"年月",Q$2,"事業所",$A51))</f>
        <v>3000000</v>
      </c>
      <c r="R51" s="1842">
        <f t="shared" ca="1" si="73"/>
        <v>20740553</v>
      </c>
      <c r="S51" s="1842">
        <f t="shared" ca="1" si="74"/>
        <v>2592569.125</v>
      </c>
      <c r="T51" s="538">
        <f t="shared" si="75"/>
        <v>32740553</v>
      </c>
      <c r="U51" s="1827">
        <f t="shared" ca="1" si="4"/>
        <v>31110829.5</v>
      </c>
      <c r="V51" s="2040">
        <f ca="1">IF(W51=0,1,IF(W51&gt;=1,1,IF(W51&lt;0.9,-1,0)))</f>
        <v>0</v>
      </c>
      <c r="W51" s="1839">
        <f ca="1">IF(T51&lt;0,ROUND((U51-T51)/ABS(T51),3),IF(T51=0,0,ROUND(U51/T51,3)))</f>
        <v>0.95</v>
      </c>
    </row>
    <row r="52" spans="1:23" s="1137" customFormat="1" ht="14.25" customHeight="1" thickBot="1" x14ac:dyDescent="0.2">
      <c r="A52" s="1137" t="s">
        <v>381</v>
      </c>
      <c r="B52" s="2039" t="str">
        <f>E52</f>
        <v>人件費</v>
      </c>
      <c r="C52" s="2217"/>
      <c r="D52" s="2219"/>
      <c r="E52" s="1821" t="s">
        <v>15</v>
      </c>
      <c r="F52" s="1813">
        <f>IF(F$2&gt;$G$1,'☆事業所損益管理(H30.9～H31.8)(計画)'!F52,
GETPIVOTDATA("合計 / " &amp; $B52,【ピボット】事業所収支!$A$3,"年月",F$2,"事業所",$A52))</f>
        <v>1316645</v>
      </c>
      <c r="G52" s="1814">
        <f>IF(G$2&gt;$G$1,'☆事業所損益管理(H30.9～H31.8)(計画)'!G52,
GETPIVOTDATA("合計 / " &amp; $B52,【ピボット】事業所収支!$A$3,"年月",G$2,"事業所",$A52))</f>
        <v>1375936</v>
      </c>
      <c r="H52" s="1814">
        <f>IF(H$2&gt;$G$1,'☆事業所損益管理(H30.9～H31.8)(計画)'!H52,
GETPIVOTDATA("合計 / " &amp; $B52,【ピボット】事業所収支!$A$3,"年月",H$2,"事業所",$A52))</f>
        <v>1428141</v>
      </c>
      <c r="I52" s="1814">
        <f>IF(I$2&gt;$G$1,'☆事業所損益管理(H30.9～H31.8)(計画)'!I52,
GETPIVOTDATA("合計 / " &amp; $B52,【ピボット】事業所収支!$A$3,"年月",I$2,"事業所",$A52))</f>
        <v>1812297</v>
      </c>
      <c r="J52" s="1814">
        <f>IF(J$2&gt;$G$1,'☆事業所損益管理(H30.9～H31.8)(計画)'!J52,
GETPIVOTDATA("合計 / " &amp; $B52,【ピボット】事業所収支!$A$3,"年月",J$2,"事業所",$A52))</f>
        <v>1470264</v>
      </c>
      <c r="K52" s="1814">
        <f>IF(K$2&gt;$G$1,'☆事業所損益管理(H30.9～H31.8)(計画)'!K52,
GETPIVOTDATA("合計 / " &amp; $B52,【ピボット】事業所収支!$A$3,"年月",K$2,"事業所",$A52))</f>
        <v>1322966</v>
      </c>
      <c r="L52" s="1814">
        <f>IF(L$2&gt;$G$1,'☆事業所損益管理(H30.9～H31.8)(計画)'!L52,
GETPIVOTDATA("合計 / " &amp; $B52,【ピボット】事業所収支!$A$3,"年月",L$2,"事業所",$A52))</f>
        <v>1377986</v>
      </c>
      <c r="M52" s="1814">
        <f>IF(M$2&gt;$G$1,'☆事業所損益管理(H30.9～H31.8)(計画)'!M52,
GETPIVOTDATA("合計 / " &amp; $B52,【ピボット】事業所収支!$A$3,"年月",M$2,"事業所",$A52))</f>
        <v>1430079</v>
      </c>
      <c r="N52" s="1891">
        <f>IF(N$2&gt;$G$1,'☆事業所損益管理(H30.9～H31.8)(計画)'!N52,
GETPIVOTDATA("合計 / " &amp; $B52,【ピボット】事業所収支!$A$3,"年月",N$2,"事業所",$A52))</f>
        <v>1350000</v>
      </c>
      <c r="O52" s="1891">
        <f>IF(O$2&gt;$G$1,'☆事業所損益管理(H30.9～H31.8)(計画)'!O52,
GETPIVOTDATA("合計 / " &amp; $B52,【ピボット】事業所収支!$A$3,"年月",O$2,"事業所",$A52))</f>
        <v>1950000</v>
      </c>
      <c r="P52" s="1891">
        <f>IF(P$2&gt;$G$1,'☆事業所損益管理(H30.9～H31.8)(計画)'!P52,
GETPIVOTDATA("合計 / " &amp; $B52,【ピボット】事業所収支!$A$3,"年月",P$2,"事業所",$A52))</f>
        <v>1350000</v>
      </c>
      <c r="Q52" s="1892">
        <f>IF(Q$2&gt;$G$1,'☆事業所損益管理(H30.9～H31.8)(計画)'!Q52,
GETPIVOTDATA("合計 / " &amp; $B52,【ピボット】事業所収支!$A$3,"年月",Q$2,"事業所",$A52))</f>
        <v>1350000</v>
      </c>
      <c r="R52" s="1843">
        <f t="shared" ca="1" si="73"/>
        <v>11534314</v>
      </c>
      <c r="S52" s="1843">
        <f t="shared" ca="1" si="74"/>
        <v>1441789.25</v>
      </c>
      <c r="T52" s="539">
        <f t="shared" si="75"/>
        <v>17534314</v>
      </c>
      <c r="U52" s="1825">
        <f t="shared" ca="1" si="4"/>
        <v>17301471</v>
      </c>
      <c r="V52" s="2041">
        <f ca="1">IF(W52=0,1,IF(W52&lt;=1,1,IF(W52&gt;1.1,-1,0)))</f>
        <v>1</v>
      </c>
      <c r="W52" s="1840">
        <f ca="1">IF(T52&lt;0,ROUND((U52-T52)/ABS(T52),3),IF(T52=0,0,ROUND(U52/T52,3)))</f>
        <v>0.98699999999999999</v>
      </c>
    </row>
    <row r="53" spans="1:23" s="1137" customFormat="1" ht="14.25" customHeight="1" thickBot="1" x14ac:dyDescent="0.2">
      <c r="A53" s="1137" t="s">
        <v>381</v>
      </c>
      <c r="B53" s="2039" t="str">
        <f>E53</f>
        <v>広告経費</v>
      </c>
      <c r="C53" s="2217"/>
      <c r="D53" s="2219"/>
      <c r="E53" s="1821" t="s">
        <v>447</v>
      </c>
      <c r="F53" s="1813">
        <f>IF(F$2&gt;$G$1,'☆事業所損益管理(H30.9～H31.8)(計画)'!F53,
GETPIVOTDATA("合計 / " &amp; $B53,【ピボット】事業所収支!$A$3,"年月",F$2,"事業所",$A53))</f>
        <v>0</v>
      </c>
      <c r="G53" s="1814">
        <f>IF(G$2&gt;$G$1,'☆事業所損益管理(H30.9～H31.8)(計画)'!G53,
GETPIVOTDATA("合計 / " &amp; $B53,【ピボット】事業所収支!$A$3,"年月",G$2,"事業所",$A53))</f>
        <v>0</v>
      </c>
      <c r="H53" s="1814">
        <f>IF(H$2&gt;$G$1,'☆事業所損益管理(H30.9～H31.8)(計画)'!H53,
GETPIVOTDATA("合計 / " &amp; $B53,【ピボット】事業所収支!$A$3,"年月",H$2,"事業所",$A53))</f>
        <v>0</v>
      </c>
      <c r="I53" s="1814">
        <f>IF(I$2&gt;$G$1,'☆事業所損益管理(H30.9～H31.8)(計画)'!I53,
GETPIVOTDATA("合計 / " &amp; $B53,【ピボット】事業所収支!$A$3,"年月",I$2,"事業所",$A53))</f>
        <v>0</v>
      </c>
      <c r="J53" s="1814">
        <f>IF(J$2&gt;$G$1,'☆事業所損益管理(H30.9～H31.8)(計画)'!J53,
GETPIVOTDATA("合計 / " &amp; $B53,【ピボット】事業所収支!$A$3,"年月",J$2,"事業所",$A53))</f>
        <v>0</v>
      </c>
      <c r="K53" s="1814">
        <f>IF(K$2&gt;$G$1,'☆事業所損益管理(H30.9～H31.8)(計画)'!K53,
GETPIVOTDATA("合計 / " &amp; $B53,【ピボット】事業所収支!$A$3,"年月",K$2,"事業所",$A53))</f>
        <v>0</v>
      </c>
      <c r="L53" s="1814">
        <f>IF(L$2&gt;$G$1,'☆事業所損益管理(H30.9～H31.8)(計画)'!L53,
GETPIVOTDATA("合計 / " &amp; $B53,【ピボット】事業所収支!$A$3,"年月",L$2,"事業所",$A53))</f>
        <v>0</v>
      </c>
      <c r="M53" s="1814">
        <f>IF(M$2&gt;$G$1,'☆事業所損益管理(H30.9～H31.8)(計画)'!M53,
GETPIVOTDATA("合計 / " &amp; $B53,【ピボット】事業所収支!$A$3,"年月",M$2,"事業所",$A53))</f>
        <v>0</v>
      </c>
      <c r="N53" s="1891">
        <f>IF(N$2&gt;$G$1,'☆事業所損益管理(H30.9～H31.8)(計画)'!N53,
GETPIVOTDATA("合計 / " &amp; $B53,【ピボット】事業所収支!$A$3,"年月",N$2,"事業所",$A53))</f>
        <v>0</v>
      </c>
      <c r="O53" s="1891">
        <f>IF(O$2&gt;$G$1,'☆事業所損益管理(H30.9～H31.8)(計画)'!O53,
GETPIVOTDATA("合計 / " &amp; $B53,【ピボット】事業所収支!$A$3,"年月",O$2,"事業所",$A53))</f>
        <v>0</v>
      </c>
      <c r="P53" s="1891">
        <f>IF(P$2&gt;$G$1,'☆事業所損益管理(H30.9～H31.8)(計画)'!P53,
GETPIVOTDATA("合計 / " &amp; $B53,【ピボット】事業所収支!$A$3,"年月",P$2,"事業所",$A53))</f>
        <v>0</v>
      </c>
      <c r="Q53" s="1892">
        <f>IF(Q$2&gt;$G$1,'☆事業所損益管理(H30.9～H31.8)(計画)'!Q53,
GETPIVOTDATA("合計 / " &amp; $B53,【ピボット】事業所収支!$A$3,"年月",Q$2,"事業所",$A53))</f>
        <v>0</v>
      </c>
      <c r="R53" s="1843">
        <f t="shared" ca="1" si="73"/>
        <v>0</v>
      </c>
      <c r="S53" s="1843">
        <f t="shared" ca="1" si="74"/>
        <v>0</v>
      </c>
      <c r="T53" s="539">
        <f t="shared" si="75"/>
        <v>0</v>
      </c>
      <c r="U53" s="1825">
        <f t="shared" ca="1" si="4"/>
        <v>0</v>
      </c>
      <c r="V53" s="2041">
        <f>IF(W53=0,1,IF(W53&lt;=1,1,IF(W53&gt;1.1,-1,0)))</f>
        <v>1</v>
      </c>
      <c r="W53" s="1840">
        <f>IF(T53&lt;0,ROUND((U53-T53)/ABS(T53),3),IF(T53=0,0,ROUND(U53/T53,3)))</f>
        <v>0</v>
      </c>
    </row>
    <row r="54" spans="1:23" s="1137" customFormat="1" ht="14.25" customHeight="1" thickBot="1" x14ac:dyDescent="0.2">
      <c r="A54" s="1137" t="s">
        <v>381</v>
      </c>
      <c r="B54" s="2042" t="s">
        <v>1471</v>
      </c>
      <c r="C54" s="2217"/>
      <c r="D54" s="2219"/>
      <c r="E54" s="1821" t="s">
        <v>35</v>
      </c>
      <c r="F54" s="1813">
        <f>IF(F$2&gt;$G$1,'☆事業所損益管理(H30.9～H31.8)(計画)'!F54,
GETPIVOTDATA("合計 / " &amp; $B54,【ピボット】事業所収支!$A$3,"年月",F$2,"事業所",$A54))</f>
        <v>309334</v>
      </c>
      <c r="G54" s="1814">
        <f>IF(G$2&gt;$G$1,'☆事業所損益管理(H30.9～H31.8)(計画)'!G54,
GETPIVOTDATA("合計 / " &amp; $B54,【ピボット】事業所収支!$A$3,"年月",G$2,"事業所",$A54))</f>
        <v>691457</v>
      </c>
      <c r="H54" s="1814">
        <f>IF(H$2&gt;$G$1,'☆事業所損益管理(H30.9～H31.8)(計画)'!H54,
GETPIVOTDATA("合計 / " &amp; $B54,【ピボット】事業所収支!$A$3,"年月",H$2,"事業所",$A54))</f>
        <v>568580</v>
      </c>
      <c r="I54" s="1814">
        <f>IF(I$2&gt;$G$1,'☆事業所損益管理(H30.9～H31.8)(計画)'!I54,
GETPIVOTDATA("合計 / " &amp; $B54,【ピボット】事業所収支!$A$3,"年月",I$2,"事業所",$A54))</f>
        <v>547437</v>
      </c>
      <c r="J54" s="1814">
        <f>IF(J$2&gt;$G$1,'☆事業所損益管理(H30.9～H31.8)(計画)'!J54,
GETPIVOTDATA("合計 / " &amp; $B54,【ピボット】事業所収支!$A$3,"年月",J$2,"事業所",$A54))</f>
        <v>648199</v>
      </c>
      <c r="K54" s="1814">
        <f>IF(K$2&gt;$G$1,'☆事業所損益管理(H30.9～H31.8)(計画)'!K54,
GETPIVOTDATA("合計 / " &amp; $B54,【ピボット】事業所収支!$A$3,"年月",K$2,"事業所",$A54))</f>
        <v>588210</v>
      </c>
      <c r="L54" s="1814">
        <f>IF(L$2&gt;$G$1,'☆事業所損益管理(H30.9～H31.8)(計画)'!L54,
GETPIVOTDATA("合計 / " &amp; $B54,【ピボット】事業所収支!$A$3,"年月",L$2,"事業所",$A54))</f>
        <v>778041</v>
      </c>
      <c r="M54" s="1814">
        <f>IF(M$2&gt;$G$1,'☆事業所損益管理(H30.9～H31.8)(計画)'!M54,
GETPIVOTDATA("合計 / " &amp; $B54,【ピボット】事業所収支!$A$3,"年月",M$2,"事業所",$A54))</f>
        <v>601669</v>
      </c>
      <c r="N54" s="1891">
        <f>IF(N$2&gt;$G$1,'☆事業所損益管理(H30.9～H31.8)(計画)'!N54,
GETPIVOTDATA("合計 / " &amp; $B54,【ピボット】事業所収支!$A$3,"年月",N$2,"事業所",$A54))</f>
        <v>600000</v>
      </c>
      <c r="O54" s="1891">
        <f>IF(O$2&gt;$G$1,'☆事業所損益管理(H30.9～H31.8)(計画)'!O54,
GETPIVOTDATA("合計 / " &amp; $B54,【ピボット】事業所収支!$A$3,"年月",O$2,"事業所",$A54))</f>
        <v>600000</v>
      </c>
      <c r="P54" s="1891">
        <f>IF(P$2&gt;$G$1,'☆事業所損益管理(H30.9～H31.8)(計画)'!P54,
GETPIVOTDATA("合計 / " &amp; $B54,【ピボット】事業所収支!$A$3,"年月",P$2,"事業所",$A54))</f>
        <v>600000</v>
      </c>
      <c r="Q54" s="1892">
        <f>IF(Q$2&gt;$G$1,'☆事業所損益管理(H30.9～H31.8)(計画)'!Q54,
GETPIVOTDATA("合計 / " &amp; $B54,【ピボット】事業所収支!$A$3,"年月",Q$2,"事業所",$A54))</f>
        <v>600000</v>
      </c>
      <c r="R54" s="1843">
        <f t="shared" ca="1" si="73"/>
        <v>4732927</v>
      </c>
      <c r="S54" s="1843">
        <f t="shared" ca="1" si="74"/>
        <v>591615.875</v>
      </c>
      <c r="T54" s="539">
        <f t="shared" si="75"/>
        <v>7132927</v>
      </c>
      <c r="U54" s="1825">
        <f t="shared" ca="1" si="4"/>
        <v>7099390.5</v>
      </c>
      <c r="V54" s="2041">
        <f ca="1">IF(W54=0,1,IF(W54&lt;=1,1,IF(W54&gt;1.1,-1,0)))</f>
        <v>1</v>
      </c>
      <c r="W54" s="1840">
        <f ca="1">IF(T54&lt;0,ROUND((U54-T54)/ABS(T54),3),IF(T54=0,0,ROUND(U54/T54,3)))</f>
        <v>0.995</v>
      </c>
    </row>
    <row r="55" spans="1:23" s="1137" customFormat="1" ht="14.25" customHeight="1" thickBot="1" x14ac:dyDescent="0.2">
      <c r="A55" s="1137" t="s">
        <v>381</v>
      </c>
      <c r="B55" s="2042" t="s">
        <v>1504</v>
      </c>
      <c r="C55" s="2217"/>
      <c r="D55" s="2219"/>
      <c r="E55" s="1821" t="s">
        <v>1507</v>
      </c>
      <c r="F55" s="1813">
        <f>IFERROR(GETPIVOTDATA("合計 / " &amp; $B55,【ピボット】事業所収支!$A$3,"年月",F$2,"事業所",$A55),0)</f>
        <v>0</v>
      </c>
      <c r="G55" s="1814">
        <f>IFERROR(GETPIVOTDATA("合計 / " &amp; $B55,【ピボット】事業所収支!$A$3,"年月",G$2,"事業所",$A55),0)</f>
        <v>0</v>
      </c>
      <c r="H55" s="1814">
        <f>IFERROR(GETPIVOTDATA("合計 / " &amp; $B55,【ピボット】事業所収支!$A$3,"年月",H$2,"事業所",$A55),0)</f>
        <v>0</v>
      </c>
      <c r="I55" s="1814">
        <f>IFERROR(GETPIVOTDATA("合計 / " &amp; $B55,【ピボット】事業所収支!$A$3,"年月",I$2,"事業所",$A55),0)</f>
        <v>0</v>
      </c>
      <c r="J55" s="1814">
        <f>IFERROR(GETPIVOTDATA("合計 / " &amp; $B55,【ピボット】事業所収支!$A$3,"年月",J$2,"事業所",$A55),0)</f>
        <v>0</v>
      </c>
      <c r="K55" s="1814">
        <f>IFERROR(GETPIVOTDATA("合計 / " &amp; $B55,【ピボット】事業所収支!$A$3,"年月",K$2,"事業所",$A55),0)</f>
        <v>0</v>
      </c>
      <c r="L55" s="1814">
        <f>IFERROR(GETPIVOTDATA("合計 / " &amp; $B55,【ピボット】事業所収支!$A$3,"年月",L$2,"事業所",$A55),0)</f>
        <v>0</v>
      </c>
      <c r="M55" s="1814">
        <f>IFERROR(GETPIVOTDATA("合計 / " &amp; $B55,【ピボット】事業所収支!$A$3,"年月",M$2,"事業所",$A55),0)</f>
        <v>0</v>
      </c>
      <c r="N55" s="1891">
        <f>IFERROR(GETPIVOTDATA("合計 / " &amp; $B55,【ピボット】事業所収支!$A$3,"年月",N$2,"事業所",$A55),0)</f>
        <v>0</v>
      </c>
      <c r="O55" s="1891">
        <f>IFERROR(GETPIVOTDATA("合計 / " &amp; $B55,【ピボット】事業所収支!$A$3,"年月",O$2,"事業所",$A55),0)</f>
        <v>0</v>
      </c>
      <c r="P55" s="1891">
        <f>IFERROR(GETPIVOTDATA("合計 / " &amp; $B55,【ピボット】事業所収支!$A$3,"年月",P$2,"事業所",$A55),0)</f>
        <v>0</v>
      </c>
      <c r="Q55" s="1892">
        <f>IFERROR(GETPIVOTDATA("合計 / " &amp; $B55,【ピボット】事業所収支!$A$3,"年月",Q$2,"事業所",$A55),0)</f>
        <v>0</v>
      </c>
      <c r="R55" s="1843">
        <f t="shared" ref="R55:R56" ca="1" si="92">SUM(OFFSET(F55,0,0,1,IF(ISERROR(MATCH(DATE(YEAR($G$1),MONTH($G$1),1),$F$2:$Q$2,0)),0,MATCH(DATE(YEAR($G$1),MONTH($G$1),1),$F$2:$Q$2,0))))</f>
        <v>0</v>
      </c>
      <c r="S55" s="1843">
        <f t="shared" ca="1" si="74"/>
        <v>0</v>
      </c>
      <c r="T55" s="1938"/>
      <c r="U55" s="1825">
        <f t="shared" ca="1" si="4"/>
        <v>0</v>
      </c>
      <c r="V55" s="2225"/>
      <c r="W55" s="2226"/>
    </row>
    <row r="56" spans="1:23" s="1137" customFormat="1" ht="14.25" customHeight="1" thickBot="1" x14ac:dyDescent="0.2">
      <c r="A56" s="1137" t="s">
        <v>381</v>
      </c>
      <c r="B56" s="2039"/>
      <c r="C56" s="2217"/>
      <c r="D56" s="2219"/>
      <c r="E56" s="1821" t="s">
        <v>1434</v>
      </c>
      <c r="F56" s="1823">
        <f>F51-(F52+F54+F55)</f>
        <v>486094</v>
      </c>
      <c r="G56" s="1824">
        <f t="shared" ref="G56" si="93">G51-(G52+G54+G55)</f>
        <v>329872</v>
      </c>
      <c r="H56" s="1824">
        <f t="shared" ref="H56" si="94">H51-(H52+H54+H55)</f>
        <v>1525256</v>
      </c>
      <c r="I56" s="1824">
        <f t="shared" ref="I56" si="95">I51-(I52+I54+I55)</f>
        <v>246581</v>
      </c>
      <c r="J56" s="1824">
        <f t="shared" ref="J56" si="96">J51-(J52+J54+J55)</f>
        <v>508606</v>
      </c>
      <c r="K56" s="1824">
        <f t="shared" ref="K56" si="97">K51-(K52+K54+K55)</f>
        <v>603947</v>
      </c>
      <c r="L56" s="1824">
        <f t="shared" ref="L56" si="98">L51-(L52+L54+L55)</f>
        <v>342235</v>
      </c>
      <c r="M56" s="1824">
        <f t="shared" ref="M56" si="99">M51-(M52+M54+M55)</f>
        <v>430721</v>
      </c>
      <c r="N56" s="1893">
        <f t="shared" ref="N56" si="100">N51-(N52+N54+N55)</f>
        <v>1050000</v>
      </c>
      <c r="O56" s="1893">
        <f t="shared" ref="O56" si="101">O51-(O52+O54+O55)</f>
        <v>450000</v>
      </c>
      <c r="P56" s="1893">
        <f t="shared" ref="P56" si="102">P51-(P52+P54+P55)</f>
        <v>1050000</v>
      </c>
      <c r="Q56" s="1894">
        <f t="shared" ref="Q56" si="103">Q51-(Q52+Q54+Q55)</f>
        <v>1050000</v>
      </c>
      <c r="R56" s="1843">
        <f t="shared" ca="1" si="92"/>
        <v>4473312</v>
      </c>
      <c r="S56" s="1843">
        <f t="shared" ca="1" si="74"/>
        <v>559164</v>
      </c>
      <c r="T56" s="539">
        <f t="shared" ref="T56" si="104">SUM(F56:Q56)</f>
        <v>8073312</v>
      </c>
      <c r="U56" s="1825">
        <f t="shared" ref="U56" ca="1" si="105">S56*12</f>
        <v>6709968</v>
      </c>
      <c r="V56" s="2043">
        <f ca="1">IFERROR(IF(W56&gt;=0,1,IF(W56&lt;-0.1,-1,0)),1)</f>
        <v>-1</v>
      </c>
      <c r="W56" s="1840">
        <f ca="1">IF(T56=0,1-(U52+U54)/U51,IF(T56=U56,0,ROUND((U56-T56)/ABS(T56),3)))</f>
        <v>-0.16900000000000001</v>
      </c>
    </row>
    <row r="57" spans="1:23" s="1137" customFormat="1" ht="14.25" customHeight="1" thickBot="1" x14ac:dyDescent="0.2">
      <c r="A57" s="1137" t="s">
        <v>381</v>
      </c>
      <c r="B57" s="2039"/>
      <c r="C57" s="2217"/>
      <c r="D57" s="2219"/>
      <c r="E57" s="1128" t="s">
        <v>1197</v>
      </c>
      <c r="F57" s="1815">
        <f>'☆事業所損益管理(H30.9～H31.8)(計画)'!F56</f>
        <v>900000</v>
      </c>
      <c r="G57" s="1816">
        <f>'☆事業所損益管理(H30.9～H31.8)(計画)'!G56</f>
        <v>900000</v>
      </c>
      <c r="H57" s="1816">
        <f>'☆事業所損益管理(H30.9～H31.8)(計画)'!H56</f>
        <v>900000</v>
      </c>
      <c r="I57" s="1816">
        <f>'☆事業所損益管理(H30.9～H31.8)(計画)'!I56</f>
        <v>900000</v>
      </c>
      <c r="J57" s="1816">
        <f>'☆事業所損益管理(H30.9～H31.8)(計画)'!J56</f>
        <v>900000</v>
      </c>
      <c r="K57" s="1816">
        <f>'☆事業所損益管理(H30.9～H31.8)(計画)'!K56</f>
        <v>900000</v>
      </c>
      <c r="L57" s="1816">
        <f>'☆事業所損益管理(H30.9～H31.8)(計画)'!L56</f>
        <v>900000</v>
      </c>
      <c r="M57" s="1816">
        <f>'☆事業所損益管理(H30.9～H31.8)(計画)'!M56</f>
        <v>900000</v>
      </c>
      <c r="N57" s="1895">
        <f>'☆事業所損益管理(H30.9～H31.8)(計画)'!N56</f>
        <v>900000</v>
      </c>
      <c r="O57" s="1895">
        <f>'☆事業所損益管理(H30.9～H31.8)(計画)'!O56</f>
        <v>900000</v>
      </c>
      <c r="P57" s="1895">
        <f>'☆事業所損益管理(H30.9～H31.8)(計画)'!P56</f>
        <v>900000</v>
      </c>
      <c r="Q57" s="1896">
        <f>'☆事業所損益管理(H30.9～H31.8)(計画)'!Q56</f>
        <v>900000</v>
      </c>
      <c r="R57" s="1844">
        <f t="shared" ca="1" si="73"/>
        <v>7200000</v>
      </c>
      <c r="S57" s="1844">
        <f t="shared" ca="1" si="74"/>
        <v>900000</v>
      </c>
      <c r="T57" s="533">
        <f t="shared" si="75"/>
        <v>10800000</v>
      </c>
      <c r="U57" s="527">
        <f t="shared" ca="1" si="4"/>
        <v>10800000</v>
      </c>
      <c r="V57" s="2225"/>
      <c r="W57" s="2226"/>
    </row>
    <row r="58" spans="1:23" s="1137" customFormat="1" ht="14.25" customHeight="1" thickBot="1" x14ac:dyDescent="0.2">
      <c r="A58" s="1137" t="s">
        <v>381</v>
      </c>
      <c r="B58" s="2039"/>
      <c r="C58" s="2217"/>
      <c r="D58" s="2219"/>
      <c r="E58" s="1822" t="s">
        <v>1435</v>
      </c>
      <c r="F58" s="1860">
        <f t="shared" ref="F58:Q58" si="106">F56-F57</f>
        <v>-413906</v>
      </c>
      <c r="G58" s="1861">
        <f t="shared" si="106"/>
        <v>-570128</v>
      </c>
      <c r="H58" s="1861">
        <f t="shared" si="106"/>
        <v>625256</v>
      </c>
      <c r="I58" s="1861">
        <f t="shared" si="106"/>
        <v>-653419</v>
      </c>
      <c r="J58" s="1861">
        <f t="shared" si="106"/>
        <v>-391394</v>
      </c>
      <c r="K58" s="1861">
        <f t="shared" si="106"/>
        <v>-296053</v>
      </c>
      <c r="L58" s="1861">
        <f t="shared" si="106"/>
        <v>-557765</v>
      </c>
      <c r="M58" s="1861">
        <f t="shared" si="106"/>
        <v>-469279</v>
      </c>
      <c r="N58" s="1897">
        <f t="shared" si="106"/>
        <v>150000</v>
      </c>
      <c r="O58" s="1897">
        <f t="shared" si="106"/>
        <v>-450000</v>
      </c>
      <c r="P58" s="1897">
        <f t="shared" si="106"/>
        <v>150000</v>
      </c>
      <c r="Q58" s="1898">
        <f t="shared" si="106"/>
        <v>150000</v>
      </c>
      <c r="R58" s="1845">
        <f t="shared" ca="1" si="73"/>
        <v>-2726688</v>
      </c>
      <c r="S58" s="1845">
        <f t="shared" ca="1" si="74"/>
        <v>-340836</v>
      </c>
      <c r="T58" s="530">
        <f t="shared" si="75"/>
        <v>-2726688</v>
      </c>
      <c r="U58" s="1826">
        <f t="shared" ca="1" si="4"/>
        <v>-4090032</v>
      </c>
      <c r="V58" s="2043">
        <f ca="1">IFERROR(IF(W58&gt;=0,1,IF(W58&lt;-0.1,-1,0)),1)</f>
        <v>-1</v>
      </c>
      <c r="W58" s="1840">
        <f ca="1">IF(T58=0,1-(U52+U54)/U51,IF(T58=U58,0,ROUND((U58-T58)/ABS(T58),3)))</f>
        <v>-0.5</v>
      </c>
    </row>
    <row r="59" spans="1:23" s="1137" customFormat="1" ht="14.25" customHeight="1" thickBot="1" x14ac:dyDescent="0.2">
      <c r="A59" s="1137" t="s">
        <v>473</v>
      </c>
      <c r="B59" s="2039" t="str">
        <f>E59</f>
        <v>売上</v>
      </c>
      <c r="C59" s="2217" t="s">
        <v>119</v>
      </c>
      <c r="D59" s="2218" t="s">
        <v>1441</v>
      </c>
      <c r="E59" s="1820" t="s">
        <v>26</v>
      </c>
      <c r="F59" s="1811">
        <f>IF(F$2&gt;$G$1,'☆事業所損益管理(H30.9～H31.8)(計画)'!F58,
GETPIVOTDATA("合計 / " &amp; $B59,【ピボット】事業所収支!$A$3,"年月",F$2,"事業所",$A59))</f>
        <v>861636</v>
      </c>
      <c r="G59" s="1812">
        <f>IF(G$2&gt;$G$1,'☆事業所損益管理(H30.9～H31.8)(計画)'!G58,
GETPIVOTDATA("合計 / " &amp; $B59,【ピボット】事業所収支!$A$3,"年月",G$2,"事業所",$A59))</f>
        <v>1139110</v>
      </c>
      <c r="H59" s="1812">
        <f>IF(H$2&gt;$G$1,'☆事業所損益管理(H30.9～H31.8)(計画)'!H58,
GETPIVOTDATA("合計 / " &amp; $B59,【ピボット】事業所収支!$A$3,"年月",H$2,"事業所",$A59))</f>
        <v>1134937</v>
      </c>
      <c r="I59" s="1812">
        <f>IF(I$2&gt;$G$1,'☆事業所損益管理(H30.9～H31.8)(計画)'!I58,
GETPIVOTDATA("合計 / " &amp; $B59,【ピボット】事業所収支!$A$3,"年月",I$2,"事業所",$A59))</f>
        <v>1175963</v>
      </c>
      <c r="J59" s="1812">
        <f>IF(J$2&gt;$G$1,'☆事業所損益管理(H30.9～H31.8)(計画)'!J58,
GETPIVOTDATA("合計 / " &amp; $B59,【ピボット】事業所収支!$A$3,"年月",J$2,"事業所",$A59))</f>
        <v>1272363</v>
      </c>
      <c r="K59" s="1812">
        <f>IF(K$2&gt;$G$1,'☆事業所損益管理(H30.9～H31.8)(計画)'!K58,
GETPIVOTDATA("合計 / " &amp; $B59,【ピボット】事業所収支!$A$3,"年月",K$2,"事業所",$A59))</f>
        <v>1036423</v>
      </c>
      <c r="L59" s="1812">
        <f>IF(L$2&gt;$G$1,'☆事業所損益管理(H30.9～H31.8)(計画)'!L58,
GETPIVOTDATA("合計 / " &amp; $B59,【ピボット】事業所収支!$A$3,"年月",L$2,"事業所",$A59))</f>
        <v>1027444</v>
      </c>
      <c r="M59" s="1812">
        <f>IF(M$2&gt;$G$1,'☆事業所損益管理(H30.9～H31.8)(計画)'!M58,
GETPIVOTDATA("合計 / " &amp; $B59,【ピボット】事業所収支!$A$3,"年月",M$2,"事業所",$A59))</f>
        <v>1077061</v>
      </c>
      <c r="N59" s="1889">
        <f>IF(N$2&gt;$G$1,'☆事業所損益管理(H30.9～H31.8)(計画)'!N58,
GETPIVOTDATA("合計 / " &amp; $B59,【ピボット】事業所収支!$A$3,"年月",N$2,"事業所",$A59))</f>
        <v>1300000</v>
      </c>
      <c r="O59" s="1889">
        <f>IF(O$2&gt;$G$1,'☆事業所損益管理(H30.9～H31.8)(計画)'!O58,
GETPIVOTDATA("合計 / " &amp; $B59,【ピボット】事業所収支!$A$3,"年月",O$2,"事業所",$A59))</f>
        <v>1000000</v>
      </c>
      <c r="P59" s="1889">
        <f>IF(P$2&gt;$G$1,'☆事業所損益管理(H30.9～H31.8)(計画)'!P58,
GETPIVOTDATA("合計 / " &amp; $B59,【ピボット】事業所収支!$A$3,"年月",P$2,"事業所",$A59))</f>
        <v>1000000</v>
      </c>
      <c r="Q59" s="1890">
        <f>IF(Q$2&gt;$G$1,'☆事業所損益管理(H30.9～H31.8)(計画)'!Q58,
GETPIVOTDATA("合計 / " &amp; $B59,【ピボット】事業所収支!$A$3,"年月",Q$2,"事業所",$A59))</f>
        <v>1000000</v>
      </c>
      <c r="R59" s="1842">
        <f t="shared" ca="1" si="73"/>
        <v>8724937</v>
      </c>
      <c r="S59" s="1842">
        <f t="shared" ca="1" si="74"/>
        <v>1090617.125</v>
      </c>
      <c r="T59" s="538">
        <f t="shared" si="75"/>
        <v>13024937</v>
      </c>
      <c r="U59" s="1827">
        <f t="shared" ca="1" si="4"/>
        <v>13087405.5</v>
      </c>
      <c r="V59" s="2040">
        <f ca="1">IF(W59=0,1,IF(W59&gt;=1,1,IF(W59&lt;0.9,-1,0)))</f>
        <v>1</v>
      </c>
      <c r="W59" s="1839">
        <f ca="1">IF(T59&lt;0,ROUND((U59-T59)/ABS(T59),3),IF(T59=0,0,ROUND(U59/T59,3)))</f>
        <v>1.0049999999999999</v>
      </c>
    </row>
    <row r="60" spans="1:23" s="1137" customFormat="1" ht="14.25" customHeight="1" thickBot="1" x14ac:dyDescent="0.2">
      <c r="A60" s="1137" t="s">
        <v>473</v>
      </c>
      <c r="B60" s="2039" t="str">
        <f>E60</f>
        <v>人件費</v>
      </c>
      <c r="C60" s="2217"/>
      <c r="D60" s="2219"/>
      <c r="E60" s="1821" t="s">
        <v>15</v>
      </c>
      <c r="F60" s="1813">
        <f>IF(F$2&gt;$G$1,'☆事業所損益管理(H30.9～H31.8)(計画)'!F59,
GETPIVOTDATA("合計 / " &amp; $B60,【ピボット】事業所収支!$A$3,"年月",F$2,"事業所",$A60))</f>
        <v>368002</v>
      </c>
      <c r="G60" s="1814">
        <f>IF(G$2&gt;$G$1,'☆事業所損益管理(H30.9～H31.8)(計画)'!G59,
GETPIVOTDATA("合計 / " &amp; $B60,【ピボット】事業所収支!$A$3,"年月",G$2,"事業所",$A60))</f>
        <v>411456</v>
      </c>
      <c r="H60" s="1814">
        <f>IF(H$2&gt;$G$1,'☆事業所損益管理(H30.9～H31.8)(計画)'!H59,
GETPIVOTDATA("合計 / " &amp; $B60,【ピボット】事業所収支!$A$3,"年月",H$2,"事業所",$A60))</f>
        <v>396967</v>
      </c>
      <c r="I60" s="1814">
        <f>IF(I$2&gt;$G$1,'☆事業所損益管理(H30.9～H31.8)(計画)'!I59,
GETPIVOTDATA("合計 / " &amp; $B60,【ピボット】事業所収支!$A$3,"年月",I$2,"事業所",$A60))</f>
        <v>420894</v>
      </c>
      <c r="J60" s="1814">
        <f>IF(J$2&gt;$G$1,'☆事業所損益管理(H30.9～H31.8)(計画)'!J59,
GETPIVOTDATA("合計 / " &amp; $B60,【ピボット】事業所収支!$A$3,"年月",J$2,"事業所",$A60))</f>
        <v>388478</v>
      </c>
      <c r="K60" s="1814">
        <f>IF(K$2&gt;$G$1,'☆事業所損益管理(H30.9～H31.8)(計画)'!K59,
GETPIVOTDATA("合計 / " &amp; $B60,【ピボット】事業所収支!$A$3,"年月",K$2,"事業所",$A60))</f>
        <v>320194</v>
      </c>
      <c r="L60" s="1814">
        <f>IF(L$2&gt;$G$1,'☆事業所損益管理(H30.9～H31.8)(計画)'!L59,
GETPIVOTDATA("合計 / " &amp; $B60,【ピボット】事業所収支!$A$3,"年月",L$2,"事業所",$A60))</f>
        <v>303548</v>
      </c>
      <c r="M60" s="1814">
        <f>IF(M$2&gt;$G$1,'☆事業所損益管理(H30.9～H31.8)(計画)'!M59,
GETPIVOTDATA("合計 / " &amp; $B60,【ピボット】事業所収支!$A$3,"年月",M$2,"事業所",$A60))</f>
        <v>338431</v>
      </c>
      <c r="N60" s="1891">
        <f>IF(N$2&gt;$G$1,'☆事業所損益管理(H30.9～H31.8)(計画)'!N59,
GETPIVOTDATA("合計 / " &amp; $B60,【ピボット】事業所収支!$A$3,"年月",N$2,"事業所",$A60))</f>
        <v>360000</v>
      </c>
      <c r="O60" s="1891">
        <f>IF(O$2&gt;$G$1,'☆事業所損益管理(H30.9～H31.8)(計画)'!O59,
GETPIVOTDATA("合計 / " &amp; $B60,【ピボット】事業所収支!$A$3,"年月",O$2,"事業所",$A60))</f>
        <v>360000</v>
      </c>
      <c r="P60" s="1891">
        <f>IF(P$2&gt;$G$1,'☆事業所損益管理(H30.9～H31.8)(計画)'!P59,
GETPIVOTDATA("合計 / " &amp; $B60,【ピボット】事業所収支!$A$3,"年月",P$2,"事業所",$A60))</f>
        <v>360000</v>
      </c>
      <c r="Q60" s="1892">
        <f>IF(Q$2&gt;$G$1,'☆事業所損益管理(H30.9～H31.8)(計画)'!Q59,
GETPIVOTDATA("合計 / " &amp; $B60,【ピボット】事業所収支!$A$3,"年月",Q$2,"事業所",$A60))</f>
        <v>360000</v>
      </c>
      <c r="R60" s="1843">
        <f t="shared" ca="1" si="73"/>
        <v>2947970</v>
      </c>
      <c r="S60" s="1843">
        <f t="shared" ca="1" si="74"/>
        <v>368496.25</v>
      </c>
      <c r="T60" s="539">
        <f t="shared" si="75"/>
        <v>4387970</v>
      </c>
      <c r="U60" s="1825">
        <f t="shared" ca="1" si="4"/>
        <v>4421955</v>
      </c>
      <c r="V60" s="2041">
        <f ca="1">IF(W60=0,1,IF(W60&lt;=1,1,IF(W60&gt;1.1,-1,0)))</f>
        <v>0</v>
      </c>
      <c r="W60" s="1840">
        <f ca="1">IF(T60&lt;0,ROUND((U60-T60)/ABS(T60),3),IF(T60=0,0,ROUND(U60/T60,3)))</f>
        <v>1.008</v>
      </c>
    </row>
    <row r="61" spans="1:23" s="1137" customFormat="1" ht="14.25" customHeight="1" thickBot="1" x14ac:dyDescent="0.2">
      <c r="A61" s="1137" t="s">
        <v>473</v>
      </c>
      <c r="B61" s="2039" t="str">
        <f>E61</f>
        <v>広告経費</v>
      </c>
      <c r="C61" s="2217"/>
      <c r="D61" s="2219"/>
      <c r="E61" s="1821" t="s">
        <v>447</v>
      </c>
      <c r="F61" s="1813">
        <f>IF(F$2&gt;$G$1,'☆事業所損益管理(H30.9～H31.8)(計画)'!F60,
GETPIVOTDATA("合計 / " &amp; $B61,【ピボット】事業所収支!$A$3,"年月",F$2,"事業所",$A61))</f>
        <v>0</v>
      </c>
      <c r="G61" s="1814">
        <f>IF(G$2&gt;$G$1,'☆事業所損益管理(H30.9～H31.8)(計画)'!G60,
GETPIVOTDATA("合計 / " &amp; $B61,【ピボット】事業所収支!$A$3,"年月",G$2,"事業所",$A61))</f>
        <v>16200</v>
      </c>
      <c r="H61" s="1814">
        <f>IF(H$2&gt;$G$1,'☆事業所損益管理(H30.9～H31.8)(計画)'!H60,
GETPIVOTDATA("合計 / " &amp; $B61,【ピボット】事業所収支!$A$3,"年月",H$2,"事業所",$A61))</f>
        <v>0</v>
      </c>
      <c r="I61" s="1814">
        <f>IF(I$2&gt;$G$1,'☆事業所損益管理(H30.9～H31.8)(計画)'!I60,
GETPIVOTDATA("合計 / " &amp; $B61,【ピボット】事業所収支!$A$3,"年月",I$2,"事業所",$A61))</f>
        <v>0</v>
      </c>
      <c r="J61" s="1814">
        <f>IF(J$2&gt;$G$1,'☆事業所損益管理(H30.9～H31.8)(計画)'!J60,
GETPIVOTDATA("合計 / " &amp; $B61,【ピボット】事業所収支!$A$3,"年月",J$2,"事業所",$A61))</f>
        <v>0</v>
      </c>
      <c r="K61" s="1814">
        <f>IF(K$2&gt;$G$1,'☆事業所損益管理(H30.9～H31.8)(計画)'!K60,
GETPIVOTDATA("合計 / " &amp; $B61,【ピボット】事業所収支!$A$3,"年月",K$2,"事業所",$A61))</f>
        <v>0</v>
      </c>
      <c r="L61" s="1814">
        <f>IF(L$2&gt;$G$1,'☆事業所損益管理(H30.9～H31.8)(計画)'!L60,
GETPIVOTDATA("合計 / " &amp; $B61,【ピボット】事業所収支!$A$3,"年月",L$2,"事業所",$A61))</f>
        <v>0</v>
      </c>
      <c r="M61" s="1814">
        <f>IF(M$2&gt;$G$1,'☆事業所損益管理(H30.9～H31.8)(計画)'!M60,
GETPIVOTDATA("合計 / " &amp; $B61,【ピボット】事業所収支!$A$3,"年月",M$2,"事業所",$A61))</f>
        <v>0</v>
      </c>
      <c r="N61" s="1891">
        <f>IF(N$2&gt;$G$1,'☆事業所損益管理(H30.9～H31.8)(計画)'!N60,
GETPIVOTDATA("合計 / " &amp; $B61,【ピボット】事業所収支!$A$3,"年月",N$2,"事業所",$A61))</f>
        <v>0</v>
      </c>
      <c r="O61" s="1891">
        <f>IF(O$2&gt;$G$1,'☆事業所損益管理(H30.9～H31.8)(計画)'!O60,
GETPIVOTDATA("合計 / " &amp; $B61,【ピボット】事業所収支!$A$3,"年月",O$2,"事業所",$A61))</f>
        <v>0</v>
      </c>
      <c r="P61" s="1891">
        <f>IF(P$2&gt;$G$1,'☆事業所損益管理(H30.9～H31.8)(計画)'!P60,
GETPIVOTDATA("合計 / " &amp; $B61,【ピボット】事業所収支!$A$3,"年月",P$2,"事業所",$A61))</f>
        <v>0</v>
      </c>
      <c r="Q61" s="1892">
        <f>IF(Q$2&gt;$G$1,'☆事業所損益管理(H30.9～H31.8)(計画)'!Q60,
GETPIVOTDATA("合計 / " &amp; $B61,【ピボット】事業所収支!$A$3,"年月",Q$2,"事業所",$A61))</f>
        <v>0</v>
      </c>
      <c r="R61" s="1843">
        <f t="shared" ca="1" si="73"/>
        <v>16200</v>
      </c>
      <c r="S61" s="1843">
        <f t="shared" ca="1" si="74"/>
        <v>2025</v>
      </c>
      <c r="T61" s="539">
        <f t="shared" si="75"/>
        <v>16200</v>
      </c>
      <c r="U61" s="1825">
        <f t="shared" ca="1" si="4"/>
        <v>24300</v>
      </c>
      <c r="V61" s="2041">
        <f ca="1">IF(W61=0,1,IF(W61&lt;=1,1,IF(W61&gt;1.1,-1,0)))</f>
        <v>-1</v>
      </c>
      <c r="W61" s="1840">
        <f ca="1">IF(T61&lt;0,ROUND((U61-T61)/ABS(T61),3),IF(T61=0,0,ROUND(U61/T61,3)))</f>
        <v>1.5</v>
      </c>
    </row>
    <row r="62" spans="1:23" s="1137" customFormat="1" ht="14.25" customHeight="1" thickBot="1" x14ac:dyDescent="0.2">
      <c r="A62" s="1137" t="s">
        <v>473</v>
      </c>
      <c r="B62" s="2042" t="s">
        <v>1471</v>
      </c>
      <c r="C62" s="2217"/>
      <c r="D62" s="2219"/>
      <c r="E62" s="1821" t="s">
        <v>35</v>
      </c>
      <c r="F62" s="1813">
        <f>IF(F$2&gt;$G$1,'☆事業所損益管理(H30.9～H31.8)(計画)'!F61,
GETPIVOTDATA("合計 / " &amp; $B62,【ピボット】事業所収支!$A$3,"年月",F$2,"事業所",$A62))</f>
        <v>121814</v>
      </c>
      <c r="G62" s="1814">
        <f>IF(G$2&gt;$G$1,'☆事業所損益管理(H30.9～H31.8)(計画)'!G61,
GETPIVOTDATA("合計 / " &amp; $B62,【ピボット】事業所収支!$A$3,"年月",G$2,"事業所",$A62))</f>
        <v>184298</v>
      </c>
      <c r="H62" s="1814">
        <f>IF(H$2&gt;$G$1,'☆事業所損益管理(H30.9～H31.8)(計画)'!H61,
GETPIVOTDATA("合計 / " &amp; $B62,【ピボット】事業所収支!$A$3,"年月",H$2,"事業所",$A62))</f>
        <v>142328</v>
      </c>
      <c r="I62" s="1814">
        <f>IF(I$2&gt;$G$1,'☆事業所損益管理(H30.9～H31.8)(計画)'!I61,
GETPIVOTDATA("合計 / " &amp; $B62,【ピボット】事業所収支!$A$3,"年月",I$2,"事業所",$A62))</f>
        <v>143912</v>
      </c>
      <c r="J62" s="1814">
        <f>IF(J$2&gt;$G$1,'☆事業所損益管理(H30.9～H31.8)(計画)'!J61,
GETPIVOTDATA("合計 / " &amp; $B62,【ピボット】事業所収支!$A$3,"年月",J$2,"事業所",$A62))</f>
        <v>129440</v>
      </c>
      <c r="K62" s="1814">
        <f>IF(K$2&gt;$G$1,'☆事業所損益管理(H30.9～H31.8)(計画)'!K61,
GETPIVOTDATA("合計 / " &amp; $B62,【ピボット】事業所収支!$A$3,"年月",K$2,"事業所",$A62))</f>
        <v>122019</v>
      </c>
      <c r="L62" s="1814">
        <f>IF(L$2&gt;$G$1,'☆事業所損益管理(H30.9～H31.8)(計画)'!L61,
GETPIVOTDATA("合計 / " &amp; $B62,【ピボット】事業所収支!$A$3,"年月",L$2,"事業所",$A62))</f>
        <v>136143</v>
      </c>
      <c r="M62" s="1814">
        <f>IF(M$2&gt;$G$1,'☆事業所損益管理(H30.9～H31.8)(計画)'!M61,
GETPIVOTDATA("合計 / " &amp; $B62,【ピボット】事業所収支!$A$3,"年月",M$2,"事業所",$A62))</f>
        <v>116406</v>
      </c>
      <c r="N62" s="1891">
        <f>IF(N$2&gt;$G$1,'☆事業所損益管理(H30.9～H31.8)(計画)'!N61,
GETPIVOTDATA("合計 / " &amp; $B62,【ピボット】事業所収支!$A$3,"年月",N$2,"事業所",$A62))</f>
        <v>130000</v>
      </c>
      <c r="O62" s="1891">
        <f>IF(O$2&gt;$G$1,'☆事業所損益管理(H30.9～H31.8)(計画)'!O61,
GETPIVOTDATA("合計 / " &amp; $B62,【ピボット】事業所収支!$A$3,"年月",O$2,"事業所",$A62))</f>
        <v>130000</v>
      </c>
      <c r="P62" s="1891">
        <f>IF(P$2&gt;$G$1,'☆事業所損益管理(H30.9～H31.8)(計画)'!P61,
GETPIVOTDATA("合計 / " &amp; $B62,【ピボット】事業所収支!$A$3,"年月",P$2,"事業所",$A62))</f>
        <v>130000</v>
      </c>
      <c r="Q62" s="1892">
        <f>IF(Q$2&gt;$G$1,'☆事業所損益管理(H30.9～H31.8)(計画)'!Q61,
GETPIVOTDATA("合計 / " &amp; $B62,【ピボット】事業所収支!$A$3,"年月",Q$2,"事業所",$A62))</f>
        <v>130000</v>
      </c>
      <c r="R62" s="1843">
        <f t="shared" ca="1" si="73"/>
        <v>1096360</v>
      </c>
      <c r="S62" s="1843">
        <f t="shared" ca="1" si="74"/>
        <v>137045</v>
      </c>
      <c r="T62" s="539">
        <f t="shared" si="75"/>
        <v>1616360</v>
      </c>
      <c r="U62" s="1825">
        <f t="shared" ca="1" si="4"/>
        <v>1644540</v>
      </c>
      <c r="V62" s="2041">
        <f ca="1">IF(W62=0,1,IF(W62&lt;=1,1,IF(W62&gt;1.1,-1,0)))</f>
        <v>0</v>
      </c>
      <c r="W62" s="1840">
        <f ca="1">IF(T62&lt;0,ROUND((U62-T62)/ABS(T62),3),IF(T62=0,0,ROUND(U62/T62,3)))</f>
        <v>1.0169999999999999</v>
      </c>
    </row>
    <row r="63" spans="1:23" s="1137" customFormat="1" ht="14.25" customHeight="1" thickBot="1" x14ac:dyDescent="0.2">
      <c r="A63" s="1137" t="s">
        <v>473</v>
      </c>
      <c r="B63" s="2042" t="s">
        <v>1504</v>
      </c>
      <c r="C63" s="2217"/>
      <c r="D63" s="2219"/>
      <c r="E63" s="1821" t="s">
        <v>1507</v>
      </c>
      <c r="F63" s="1813">
        <f>IFERROR(GETPIVOTDATA("合計 / " &amp; $B63,【ピボット】事業所収支!$A$3,"年月",F$2,"事業所",$A63),0)</f>
        <v>0</v>
      </c>
      <c r="G63" s="1814">
        <f>IFERROR(GETPIVOTDATA("合計 / " &amp; $B63,【ピボット】事業所収支!$A$3,"年月",G$2,"事業所",$A63),0)</f>
        <v>0</v>
      </c>
      <c r="H63" s="1814">
        <f>IFERROR(GETPIVOTDATA("合計 / " &amp; $B63,【ピボット】事業所収支!$A$3,"年月",H$2,"事業所",$A63),0)</f>
        <v>0</v>
      </c>
      <c r="I63" s="1814">
        <f>IFERROR(GETPIVOTDATA("合計 / " &amp; $B63,【ピボット】事業所収支!$A$3,"年月",I$2,"事業所",$A63),0)</f>
        <v>0</v>
      </c>
      <c r="J63" s="1814">
        <f>IFERROR(GETPIVOTDATA("合計 / " &amp; $B63,【ピボット】事業所収支!$A$3,"年月",J$2,"事業所",$A63),0)</f>
        <v>0</v>
      </c>
      <c r="K63" s="1814">
        <f>IFERROR(GETPIVOTDATA("合計 / " &amp; $B63,【ピボット】事業所収支!$A$3,"年月",K$2,"事業所",$A63),0)</f>
        <v>0</v>
      </c>
      <c r="L63" s="1814">
        <f>IFERROR(GETPIVOTDATA("合計 / " &amp; $B63,【ピボット】事業所収支!$A$3,"年月",L$2,"事業所",$A63),0)</f>
        <v>0</v>
      </c>
      <c r="M63" s="1814">
        <f>IFERROR(GETPIVOTDATA("合計 / " &amp; $B63,【ピボット】事業所収支!$A$3,"年月",M$2,"事業所",$A63),0)</f>
        <v>0</v>
      </c>
      <c r="N63" s="1891">
        <f>IFERROR(GETPIVOTDATA("合計 / " &amp; $B63,【ピボット】事業所収支!$A$3,"年月",N$2,"事業所",$A63),0)</f>
        <v>0</v>
      </c>
      <c r="O63" s="1891">
        <f>IFERROR(GETPIVOTDATA("合計 / " &amp; $B63,【ピボット】事業所収支!$A$3,"年月",O$2,"事業所",$A63),0)</f>
        <v>0</v>
      </c>
      <c r="P63" s="1891">
        <f>IFERROR(GETPIVOTDATA("合計 / " &amp; $B63,【ピボット】事業所収支!$A$3,"年月",P$2,"事業所",$A63),0)</f>
        <v>0</v>
      </c>
      <c r="Q63" s="1892">
        <f>IFERROR(GETPIVOTDATA("合計 / " &amp; $B63,【ピボット】事業所収支!$A$3,"年月",Q$2,"事業所",$A63),0)</f>
        <v>0</v>
      </c>
      <c r="R63" s="1843">
        <f t="shared" ref="R63:R64" ca="1" si="107">SUM(OFFSET(F63,0,0,1,IF(ISERROR(MATCH(DATE(YEAR($G$1),MONTH($G$1),1),$F$2:$Q$2,0)),0,MATCH(DATE(YEAR($G$1),MONTH($G$1),1),$F$2:$Q$2,0))))</f>
        <v>0</v>
      </c>
      <c r="S63" s="1843">
        <f t="shared" ca="1" si="74"/>
        <v>0</v>
      </c>
      <c r="T63" s="1938"/>
      <c r="U63" s="1825">
        <f t="shared" ca="1" si="4"/>
        <v>0</v>
      </c>
      <c r="V63" s="2225"/>
      <c r="W63" s="2226"/>
    </row>
    <row r="64" spans="1:23" s="1137" customFormat="1" ht="14.25" customHeight="1" thickBot="1" x14ac:dyDescent="0.2">
      <c r="A64" s="1137" t="s">
        <v>473</v>
      </c>
      <c r="B64" s="2039"/>
      <c r="C64" s="2217"/>
      <c r="D64" s="2219"/>
      <c r="E64" s="1821" t="s">
        <v>1434</v>
      </c>
      <c r="F64" s="1823">
        <f>F59-(F60+F62+F63)</f>
        <v>371820</v>
      </c>
      <c r="G64" s="1824">
        <f t="shared" ref="G64" si="108">G59-(G60+G62+G63)</f>
        <v>543356</v>
      </c>
      <c r="H64" s="1824">
        <f t="shared" ref="H64" si="109">H59-(H60+H62+H63)</f>
        <v>595642</v>
      </c>
      <c r="I64" s="1824">
        <f t="shared" ref="I64" si="110">I59-(I60+I62+I63)</f>
        <v>611157</v>
      </c>
      <c r="J64" s="1824">
        <f t="shared" ref="J64" si="111">J59-(J60+J62+J63)</f>
        <v>754445</v>
      </c>
      <c r="K64" s="1824">
        <f t="shared" ref="K64" si="112">K59-(K60+K62+K63)</f>
        <v>594210</v>
      </c>
      <c r="L64" s="1824">
        <f t="shared" ref="L64" si="113">L59-(L60+L62+L63)</f>
        <v>587753</v>
      </c>
      <c r="M64" s="1824">
        <f t="shared" ref="M64" si="114">M59-(M60+M62+M63)</f>
        <v>622224</v>
      </c>
      <c r="N64" s="1893">
        <f t="shared" ref="N64" si="115">N59-(N60+N62+N63)</f>
        <v>810000</v>
      </c>
      <c r="O64" s="1893">
        <f t="shared" ref="O64" si="116">O59-(O60+O62+O63)</f>
        <v>510000</v>
      </c>
      <c r="P64" s="1893">
        <f t="shared" ref="P64" si="117">P59-(P60+P62+P63)</f>
        <v>510000</v>
      </c>
      <c r="Q64" s="1894">
        <f t="shared" ref="Q64" si="118">Q59-(Q60+Q62+Q63)</f>
        <v>510000</v>
      </c>
      <c r="R64" s="1843">
        <f t="shared" ca="1" si="107"/>
        <v>4680607</v>
      </c>
      <c r="S64" s="1843">
        <f t="shared" ca="1" si="74"/>
        <v>585075.875</v>
      </c>
      <c r="T64" s="539">
        <f t="shared" ref="T64" si="119">SUM(F64:Q64)</f>
        <v>7020607</v>
      </c>
      <c r="U64" s="1825">
        <f t="shared" ref="U64" ca="1" si="120">S64*12</f>
        <v>7020910.5</v>
      </c>
      <c r="V64" s="2043">
        <f ca="1">IFERROR(IF(W64&gt;=0,1,IF(W64&lt;-0.1,-1,0)),1)</f>
        <v>1</v>
      </c>
      <c r="W64" s="1840">
        <f ca="1">IF(T64=0,1-(U60+U62)/U59,IF(T64=U64,0,ROUND((U64-T64)/ABS(T64),3)))</f>
        <v>0</v>
      </c>
    </row>
    <row r="65" spans="1:23" s="1137" customFormat="1" ht="14.25" customHeight="1" thickBot="1" x14ac:dyDescent="0.2">
      <c r="A65" s="1137" t="s">
        <v>473</v>
      </c>
      <c r="B65" s="2039"/>
      <c r="C65" s="2217"/>
      <c r="D65" s="2219"/>
      <c r="E65" s="1128" t="s">
        <v>1197</v>
      </c>
      <c r="F65" s="1815">
        <f>'☆事業所損益管理(H30.9～H31.8)(計画)'!F63</f>
        <v>400000</v>
      </c>
      <c r="G65" s="1816">
        <f>'☆事業所損益管理(H30.9～H31.8)(計画)'!G63</f>
        <v>400000</v>
      </c>
      <c r="H65" s="1816">
        <f>'☆事業所損益管理(H30.9～H31.8)(計画)'!H63</f>
        <v>400000</v>
      </c>
      <c r="I65" s="1816">
        <f>'☆事業所損益管理(H30.9～H31.8)(計画)'!I63</f>
        <v>400000</v>
      </c>
      <c r="J65" s="1816">
        <f>'☆事業所損益管理(H30.9～H31.8)(計画)'!J63</f>
        <v>400000</v>
      </c>
      <c r="K65" s="1816">
        <f>'☆事業所損益管理(H30.9～H31.8)(計画)'!K63</f>
        <v>400000</v>
      </c>
      <c r="L65" s="1816">
        <f>'☆事業所損益管理(H30.9～H31.8)(計画)'!L63</f>
        <v>400000</v>
      </c>
      <c r="M65" s="1816">
        <f>'☆事業所損益管理(H30.9～H31.8)(計画)'!M63</f>
        <v>400000</v>
      </c>
      <c r="N65" s="1895">
        <f>'☆事業所損益管理(H30.9～H31.8)(計画)'!N63</f>
        <v>400000</v>
      </c>
      <c r="O65" s="1895">
        <f>'☆事業所損益管理(H30.9～H31.8)(計画)'!O63</f>
        <v>400000</v>
      </c>
      <c r="P65" s="1895">
        <f>'☆事業所損益管理(H30.9～H31.8)(計画)'!P63</f>
        <v>400000</v>
      </c>
      <c r="Q65" s="1896">
        <f>'☆事業所損益管理(H30.9～H31.8)(計画)'!Q63</f>
        <v>400000</v>
      </c>
      <c r="R65" s="1844">
        <f t="shared" ca="1" si="73"/>
        <v>3200000</v>
      </c>
      <c r="S65" s="1844">
        <f t="shared" ca="1" si="74"/>
        <v>400000</v>
      </c>
      <c r="T65" s="533">
        <f t="shared" si="75"/>
        <v>4800000</v>
      </c>
      <c r="U65" s="527">
        <f t="shared" ca="1" si="4"/>
        <v>4800000</v>
      </c>
      <c r="V65" s="2225"/>
      <c r="W65" s="2226"/>
    </row>
    <row r="66" spans="1:23" s="1137" customFormat="1" ht="14.25" customHeight="1" thickBot="1" x14ac:dyDescent="0.2">
      <c r="A66" s="1137" t="s">
        <v>473</v>
      </c>
      <c r="B66" s="2039"/>
      <c r="C66" s="2217"/>
      <c r="D66" s="2219"/>
      <c r="E66" s="1822" t="s">
        <v>1435</v>
      </c>
      <c r="F66" s="1860">
        <f t="shared" ref="F66:Q66" si="121">F64-F65</f>
        <v>-28180</v>
      </c>
      <c r="G66" s="1861">
        <f t="shared" si="121"/>
        <v>143356</v>
      </c>
      <c r="H66" s="1861">
        <f t="shared" si="121"/>
        <v>195642</v>
      </c>
      <c r="I66" s="1861">
        <f t="shared" si="121"/>
        <v>211157</v>
      </c>
      <c r="J66" s="1861">
        <f t="shared" si="121"/>
        <v>354445</v>
      </c>
      <c r="K66" s="1861">
        <f t="shared" si="121"/>
        <v>194210</v>
      </c>
      <c r="L66" s="1861">
        <f t="shared" si="121"/>
        <v>187753</v>
      </c>
      <c r="M66" s="1861">
        <f t="shared" si="121"/>
        <v>222224</v>
      </c>
      <c r="N66" s="1897">
        <f t="shared" si="121"/>
        <v>410000</v>
      </c>
      <c r="O66" s="1897">
        <f t="shared" si="121"/>
        <v>110000</v>
      </c>
      <c r="P66" s="1897">
        <f t="shared" si="121"/>
        <v>110000</v>
      </c>
      <c r="Q66" s="1898">
        <f t="shared" si="121"/>
        <v>110000</v>
      </c>
      <c r="R66" s="1845">
        <f t="shared" ca="1" si="73"/>
        <v>1480607</v>
      </c>
      <c r="S66" s="1845">
        <f t="shared" ca="1" si="74"/>
        <v>185075.875</v>
      </c>
      <c r="T66" s="530">
        <f t="shared" si="75"/>
        <v>2220607</v>
      </c>
      <c r="U66" s="1826">
        <f t="shared" ca="1" si="4"/>
        <v>2220910.5</v>
      </c>
      <c r="V66" s="2043">
        <f ca="1">IFERROR(IF(W66&gt;=0,1,IF(W66&lt;-0.1,-1,0)),1)</f>
        <v>1</v>
      </c>
      <c r="W66" s="1840">
        <f ca="1">IF(T66=0,1-(U60+U62)/U59,IF(T66=U66,0,ROUND((U66-T66)/ABS(T66),3)))</f>
        <v>0</v>
      </c>
    </row>
    <row r="67" spans="1:23" s="1137" customFormat="1" ht="14.25" customHeight="1" thickBot="1" x14ac:dyDescent="0.2">
      <c r="A67" s="1137" t="s">
        <v>474</v>
      </c>
      <c r="B67" s="2039" t="str">
        <f>E67</f>
        <v>売上</v>
      </c>
      <c r="C67" s="2217" t="s">
        <v>189</v>
      </c>
      <c r="D67" s="2218" t="s">
        <v>1441</v>
      </c>
      <c r="E67" s="1820" t="s">
        <v>26</v>
      </c>
      <c r="F67" s="1811">
        <f>IF(F$2&gt;$G$1,'☆事業所損益管理(H30.9～H31.8)(計画)'!F65,
GETPIVOTDATA("合計 / " &amp; $B67,【ピボット】事業所収支!$A$3,"年月",F$2,"事業所",$A67))</f>
        <v>1050085</v>
      </c>
      <c r="G67" s="1812">
        <f>IF(G$2&gt;$G$1,'☆事業所損益管理(H30.9～H31.8)(計画)'!G65,
GETPIVOTDATA("合計 / " &amp; $B67,【ピボット】事業所収支!$A$3,"年月",G$2,"事業所",$A67))</f>
        <v>1087657</v>
      </c>
      <c r="H67" s="1812">
        <f>IF(H$2&gt;$G$1,'☆事業所損益管理(H30.9～H31.8)(計画)'!H65,
GETPIVOTDATA("合計 / " &amp; $B67,【ピボット】事業所収支!$A$3,"年月",H$2,"事業所",$A67))</f>
        <v>1070236</v>
      </c>
      <c r="I67" s="1812">
        <f>IF(I$2&gt;$G$1,'☆事業所損益管理(H30.9～H31.8)(計画)'!I65,
GETPIVOTDATA("合計 / " &amp; $B67,【ピボット】事業所収支!$A$3,"年月",I$2,"事業所",$A67))</f>
        <v>1102442</v>
      </c>
      <c r="J67" s="1812">
        <f>IF(J$2&gt;$G$1,'☆事業所損益管理(H30.9～H31.8)(計画)'!J65,
GETPIVOTDATA("合計 / " &amp; $B67,【ピボット】事業所収支!$A$3,"年月",J$2,"事業所",$A67))</f>
        <v>1356442</v>
      </c>
      <c r="K67" s="1812">
        <f>IF(K$2&gt;$G$1,'☆事業所損益管理(H30.9～H31.8)(計画)'!K65,
GETPIVOTDATA("合計 / " &amp; $B67,【ピボット】事業所収支!$A$3,"年月",K$2,"事業所",$A67))</f>
        <v>1005836</v>
      </c>
      <c r="L67" s="1812">
        <f>IF(L$2&gt;$G$1,'☆事業所損益管理(H30.9～H31.8)(計画)'!L65,
GETPIVOTDATA("合計 / " &amp; $B67,【ピボット】事業所収支!$A$3,"年月",L$2,"事業所",$A67))</f>
        <v>973793</v>
      </c>
      <c r="M67" s="1812">
        <f>IF(M$2&gt;$G$1,'☆事業所損益管理(H30.9～H31.8)(計画)'!M65,
GETPIVOTDATA("合計 / " &amp; $B67,【ピボット】事業所収支!$A$3,"年月",M$2,"事業所",$A67))</f>
        <v>797482</v>
      </c>
      <c r="N67" s="1889">
        <f>IF(N$2&gt;$G$1,'☆事業所損益管理(H30.9～H31.8)(計画)'!N65,
GETPIVOTDATA("合計 / " &amp; $B67,【ピボット】事業所収支!$A$3,"年月",N$2,"事業所",$A67))</f>
        <v>1350000</v>
      </c>
      <c r="O67" s="1889">
        <f>IF(O$2&gt;$G$1,'☆事業所損益管理(H30.9～H31.8)(計画)'!O65,
GETPIVOTDATA("合計 / " &amp; $B67,【ピボット】事業所収支!$A$3,"年月",O$2,"事業所",$A67))</f>
        <v>1000000</v>
      </c>
      <c r="P67" s="1889">
        <f>IF(P$2&gt;$G$1,'☆事業所損益管理(H30.9～H31.8)(計画)'!P65,
GETPIVOTDATA("合計 / " &amp; $B67,【ピボット】事業所収支!$A$3,"年月",P$2,"事業所",$A67))</f>
        <v>1000000</v>
      </c>
      <c r="Q67" s="1890">
        <f>IF(Q$2&gt;$G$1,'☆事業所損益管理(H30.9～H31.8)(計画)'!Q65,
GETPIVOTDATA("合計 / " &amp; $B67,【ピボット】事業所収支!$A$3,"年月",Q$2,"事業所",$A67))</f>
        <v>1000000</v>
      </c>
      <c r="R67" s="1842">
        <f t="shared" ca="1" si="73"/>
        <v>8443973</v>
      </c>
      <c r="S67" s="1842">
        <f t="shared" ca="1" si="74"/>
        <v>1055496.625</v>
      </c>
      <c r="T67" s="538">
        <f t="shared" si="75"/>
        <v>12793973</v>
      </c>
      <c r="U67" s="1827">
        <f t="shared" ca="1" si="4"/>
        <v>12665959.5</v>
      </c>
      <c r="V67" s="2040">
        <f ca="1">IF(W67=0,1,IF(W67&gt;=1,1,IF(W67&lt;0.9,-1,0)))</f>
        <v>0</v>
      </c>
      <c r="W67" s="1839">
        <f ca="1">IF(T67&lt;0,ROUND((U67-T67)/ABS(T67),3),IF(T67=0,0,ROUND(U67/T67,3)))</f>
        <v>0.99</v>
      </c>
    </row>
    <row r="68" spans="1:23" s="1137" customFormat="1" ht="14.25" customHeight="1" thickBot="1" x14ac:dyDescent="0.2">
      <c r="A68" s="1137" t="s">
        <v>474</v>
      </c>
      <c r="B68" s="2039" t="str">
        <f>E68</f>
        <v>人件費</v>
      </c>
      <c r="C68" s="2217"/>
      <c r="D68" s="2219"/>
      <c r="E68" s="1821" t="s">
        <v>15</v>
      </c>
      <c r="F68" s="1813">
        <f>IF(F$2&gt;$G$1,'☆事業所損益管理(H30.9～H31.8)(計画)'!F66,
GETPIVOTDATA("合計 / " &amp; $B68,【ピボット】事業所収支!$A$3,"年月",F$2,"事業所",$A68))</f>
        <v>290550</v>
      </c>
      <c r="G68" s="1814">
        <f>IF(G$2&gt;$G$1,'☆事業所損益管理(H30.9～H31.8)(計画)'!G66,
GETPIVOTDATA("合計 / " &amp; $B68,【ピボット】事業所収支!$A$3,"年月",G$2,"事業所",$A68))</f>
        <v>315275</v>
      </c>
      <c r="H68" s="1814">
        <f>IF(H$2&gt;$G$1,'☆事業所損益管理(H30.9～H31.8)(計画)'!H66,
GETPIVOTDATA("合計 / " &amp; $B68,【ピボット】事業所収支!$A$3,"年月",H$2,"事業所",$A68))</f>
        <v>251250</v>
      </c>
      <c r="I68" s="1814">
        <f>IF(I$2&gt;$G$1,'☆事業所損益管理(H30.9～H31.8)(計画)'!I66,
GETPIVOTDATA("合計 / " &amp; $B68,【ピボット】事業所収支!$A$3,"年月",I$2,"事業所",$A68))</f>
        <v>227000</v>
      </c>
      <c r="J68" s="1814">
        <f>IF(J$2&gt;$G$1,'☆事業所損益管理(H30.9～H31.8)(計画)'!J66,
GETPIVOTDATA("合計 / " &amp; $B68,【ピボット】事業所収支!$A$3,"年月",J$2,"事業所",$A68))</f>
        <v>238000</v>
      </c>
      <c r="K68" s="1814">
        <f>IF(K$2&gt;$G$1,'☆事業所損益管理(H30.9～H31.8)(計画)'!K66,
GETPIVOTDATA("合計 / " &amp; $B68,【ピボット】事業所収支!$A$3,"年月",K$2,"事業所",$A68))</f>
        <v>199000</v>
      </c>
      <c r="L68" s="1814">
        <f>IF(L$2&gt;$G$1,'☆事業所損益管理(H30.9～H31.8)(計画)'!L66,
GETPIVOTDATA("合計 / " &amp; $B68,【ピボット】事業所収支!$A$3,"年月",L$2,"事業所",$A68))</f>
        <v>219000</v>
      </c>
      <c r="M68" s="1814">
        <f>IF(M$2&gt;$G$1,'☆事業所損益管理(H30.9～H31.8)(計画)'!M66,
GETPIVOTDATA("合計 / " &amp; $B68,【ピボット】事業所収支!$A$3,"年月",M$2,"事業所",$A68))</f>
        <v>209300</v>
      </c>
      <c r="N68" s="1891">
        <f>IF(N$2&gt;$G$1,'☆事業所損益管理(H30.9～H31.8)(計画)'!N66,
GETPIVOTDATA("合計 / " &amp; $B68,【ピボット】事業所収支!$A$3,"年月",N$2,"事業所",$A68))</f>
        <v>250000</v>
      </c>
      <c r="O68" s="1891">
        <f>IF(O$2&gt;$G$1,'☆事業所損益管理(H30.9～H31.8)(計画)'!O66,
GETPIVOTDATA("合計 / " &amp; $B68,【ピボット】事業所収支!$A$3,"年月",O$2,"事業所",$A68))</f>
        <v>250000</v>
      </c>
      <c r="P68" s="1891">
        <f>IF(P$2&gt;$G$1,'☆事業所損益管理(H30.9～H31.8)(計画)'!P66,
GETPIVOTDATA("合計 / " &amp; $B68,【ピボット】事業所収支!$A$3,"年月",P$2,"事業所",$A68))</f>
        <v>250000</v>
      </c>
      <c r="Q68" s="1892">
        <f>IF(Q$2&gt;$G$1,'☆事業所損益管理(H30.9～H31.8)(計画)'!Q66,
GETPIVOTDATA("合計 / " &amp; $B68,【ピボット】事業所収支!$A$3,"年月",Q$2,"事業所",$A68))</f>
        <v>250000</v>
      </c>
      <c r="R68" s="1843">
        <f t="shared" ca="1" si="73"/>
        <v>1949375</v>
      </c>
      <c r="S68" s="1843">
        <f t="shared" ca="1" si="74"/>
        <v>243671.875</v>
      </c>
      <c r="T68" s="539">
        <f t="shared" si="75"/>
        <v>2949375</v>
      </c>
      <c r="U68" s="1825">
        <f t="shared" ca="1" si="4"/>
        <v>2924062.5</v>
      </c>
      <c r="V68" s="2041">
        <f ca="1">IF(W68=0,1,IF(W68&lt;=1,1,IF(W68&gt;1.1,-1,0)))</f>
        <v>1</v>
      </c>
      <c r="W68" s="1840">
        <f ca="1">IF(T68&lt;0,ROUND((U68-T68)/ABS(T68),3),IF(T68=0,0,ROUND(U68/T68,3)))</f>
        <v>0.99099999999999999</v>
      </c>
    </row>
    <row r="69" spans="1:23" s="1137" customFormat="1" ht="14.25" customHeight="1" thickBot="1" x14ac:dyDescent="0.2">
      <c r="A69" s="1137" t="s">
        <v>474</v>
      </c>
      <c r="B69" s="2039" t="str">
        <f>E69</f>
        <v>広告経費</v>
      </c>
      <c r="C69" s="2217"/>
      <c r="D69" s="2219"/>
      <c r="E69" s="1821" t="s">
        <v>447</v>
      </c>
      <c r="F69" s="1813">
        <f>IF(F$2&gt;$G$1,'☆事業所損益管理(H30.9～H31.8)(計画)'!F67,
GETPIVOTDATA("合計 / " &amp; $B69,【ピボット】事業所収支!$A$3,"年月",F$2,"事業所",$A69))</f>
        <v>0</v>
      </c>
      <c r="G69" s="1814">
        <f>IF(G$2&gt;$G$1,'☆事業所損益管理(H30.9～H31.8)(計画)'!G67,
GETPIVOTDATA("合計 / " &amp; $B69,【ピボット】事業所収支!$A$3,"年月",G$2,"事業所",$A69))</f>
        <v>16200</v>
      </c>
      <c r="H69" s="1814">
        <f>IF(H$2&gt;$G$1,'☆事業所損益管理(H30.9～H31.8)(計画)'!H67,
GETPIVOTDATA("合計 / " &amp; $B69,【ピボット】事業所収支!$A$3,"年月",H$2,"事業所",$A69))</f>
        <v>0</v>
      </c>
      <c r="I69" s="1814">
        <f>IF(I$2&gt;$G$1,'☆事業所損益管理(H30.9～H31.8)(計画)'!I67,
GETPIVOTDATA("合計 / " &amp; $B69,【ピボット】事業所収支!$A$3,"年月",I$2,"事業所",$A69))</f>
        <v>0</v>
      </c>
      <c r="J69" s="1814">
        <f>IF(J$2&gt;$G$1,'☆事業所損益管理(H30.9～H31.8)(計画)'!J67,
GETPIVOTDATA("合計 / " &amp; $B69,【ピボット】事業所収支!$A$3,"年月",J$2,"事業所",$A69))</f>
        <v>0</v>
      </c>
      <c r="K69" s="1814">
        <f>IF(K$2&gt;$G$1,'☆事業所損益管理(H30.9～H31.8)(計画)'!K67,
GETPIVOTDATA("合計 / " &amp; $B69,【ピボット】事業所収支!$A$3,"年月",K$2,"事業所",$A69))</f>
        <v>0</v>
      </c>
      <c r="L69" s="1814">
        <f>IF(L$2&gt;$G$1,'☆事業所損益管理(H30.9～H31.8)(計画)'!L67,
GETPIVOTDATA("合計 / " &amp; $B69,【ピボット】事業所収支!$A$3,"年月",L$2,"事業所",$A69))</f>
        <v>0</v>
      </c>
      <c r="M69" s="1814">
        <f>IF(M$2&gt;$G$1,'☆事業所損益管理(H30.9～H31.8)(計画)'!M67,
GETPIVOTDATA("合計 / " &amp; $B69,【ピボット】事業所収支!$A$3,"年月",M$2,"事業所",$A69))</f>
        <v>0</v>
      </c>
      <c r="N69" s="1891">
        <f>IF(N$2&gt;$G$1,'☆事業所損益管理(H30.9～H31.8)(計画)'!N67,
GETPIVOTDATA("合計 / " &amp; $B69,【ピボット】事業所収支!$A$3,"年月",N$2,"事業所",$A69))</f>
        <v>0</v>
      </c>
      <c r="O69" s="1891">
        <f>IF(O$2&gt;$G$1,'☆事業所損益管理(H30.9～H31.8)(計画)'!O67,
GETPIVOTDATA("合計 / " &amp; $B69,【ピボット】事業所収支!$A$3,"年月",O$2,"事業所",$A69))</f>
        <v>0</v>
      </c>
      <c r="P69" s="1891">
        <f>IF(P$2&gt;$G$1,'☆事業所損益管理(H30.9～H31.8)(計画)'!P67,
GETPIVOTDATA("合計 / " &amp; $B69,【ピボット】事業所収支!$A$3,"年月",P$2,"事業所",$A69))</f>
        <v>0</v>
      </c>
      <c r="Q69" s="1892">
        <f>IF(Q$2&gt;$G$1,'☆事業所損益管理(H30.9～H31.8)(計画)'!Q67,
GETPIVOTDATA("合計 / " &amp; $B69,【ピボット】事業所収支!$A$3,"年月",Q$2,"事業所",$A69))</f>
        <v>0</v>
      </c>
      <c r="R69" s="1843">
        <f t="shared" ca="1" si="73"/>
        <v>16200</v>
      </c>
      <c r="S69" s="1843">
        <f t="shared" ca="1" si="74"/>
        <v>2025</v>
      </c>
      <c r="T69" s="539">
        <f t="shared" si="75"/>
        <v>16200</v>
      </c>
      <c r="U69" s="1825">
        <f t="shared" ca="1" si="4"/>
        <v>24300</v>
      </c>
      <c r="V69" s="2041">
        <f ca="1">IF(W69=0,1,IF(W69&lt;=1,1,IF(W69&gt;1.1,-1,0)))</f>
        <v>-1</v>
      </c>
      <c r="W69" s="1840">
        <f ca="1">IF(T69&lt;0,ROUND((U69-T69)/ABS(T69),3),IF(T69=0,0,ROUND(U69/T69,3)))</f>
        <v>1.5</v>
      </c>
    </row>
    <row r="70" spans="1:23" s="1137" customFormat="1" ht="14.25" customHeight="1" thickBot="1" x14ac:dyDescent="0.2">
      <c r="A70" s="1137" t="s">
        <v>474</v>
      </c>
      <c r="B70" s="2042" t="s">
        <v>1471</v>
      </c>
      <c r="C70" s="2217"/>
      <c r="D70" s="2219"/>
      <c r="E70" s="1821" t="s">
        <v>35</v>
      </c>
      <c r="F70" s="1813">
        <f>IF(F$2&gt;$G$1,'☆事業所損益管理(H30.9～H31.8)(計画)'!F68,
GETPIVOTDATA("合計 / " &amp; $B70,【ピボット】事業所収支!$A$3,"年月",F$2,"事業所",$A70))</f>
        <v>155385</v>
      </c>
      <c r="G70" s="1814">
        <f>IF(G$2&gt;$G$1,'☆事業所損益管理(H30.9～H31.8)(計画)'!G68,
GETPIVOTDATA("合計 / " &amp; $B70,【ピボット】事業所収支!$A$3,"年月",G$2,"事業所",$A70))</f>
        <v>192786</v>
      </c>
      <c r="H70" s="1814">
        <f>IF(H$2&gt;$G$1,'☆事業所損益管理(H30.9～H31.8)(計画)'!H68,
GETPIVOTDATA("合計 / " &amp; $B70,【ピボット】事業所収支!$A$3,"年月",H$2,"事業所",$A70))</f>
        <v>127769</v>
      </c>
      <c r="I70" s="1814">
        <f>IF(I$2&gt;$G$1,'☆事業所損益管理(H30.9～H31.8)(計画)'!I68,
GETPIVOTDATA("合計 / " &amp; $B70,【ピボット】事業所収支!$A$3,"年月",I$2,"事業所",$A70))</f>
        <v>124309</v>
      </c>
      <c r="J70" s="1814">
        <f>IF(J$2&gt;$G$1,'☆事業所損益管理(H30.9～H31.8)(計画)'!J68,
GETPIVOTDATA("合計 / " &amp; $B70,【ピボット】事業所収支!$A$3,"年月",J$2,"事業所",$A70))</f>
        <v>123007</v>
      </c>
      <c r="K70" s="1814">
        <f>IF(K$2&gt;$G$1,'☆事業所損益管理(H30.9～H31.8)(計画)'!K68,
GETPIVOTDATA("合計 / " &amp; $B70,【ピボット】事業所収支!$A$3,"年月",K$2,"事業所",$A70))</f>
        <v>127781</v>
      </c>
      <c r="L70" s="1814">
        <f>IF(L$2&gt;$G$1,'☆事業所損益管理(H30.9～H31.8)(計画)'!L68,
GETPIVOTDATA("合計 / " &amp; $B70,【ピボット】事業所収支!$A$3,"年月",L$2,"事業所",$A70))</f>
        <v>154379</v>
      </c>
      <c r="M70" s="1814">
        <f>IF(M$2&gt;$G$1,'☆事業所損益管理(H30.9～H31.8)(計画)'!M68,
GETPIVOTDATA("合計 / " &amp; $B70,【ピボット】事業所収支!$A$3,"年月",M$2,"事業所",$A70))</f>
        <v>121870</v>
      </c>
      <c r="N70" s="1891">
        <f>IF(N$2&gt;$G$1,'☆事業所損益管理(H30.9～H31.8)(計画)'!N68,
GETPIVOTDATA("合計 / " &amp; $B70,【ピボット】事業所収支!$A$3,"年月",N$2,"事業所",$A70))</f>
        <v>200000</v>
      </c>
      <c r="O70" s="1891">
        <f>IF(O$2&gt;$G$1,'☆事業所損益管理(H30.9～H31.8)(計画)'!O68,
GETPIVOTDATA("合計 / " &amp; $B70,【ピボット】事業所収支!$A$3,"年月",O$2,"事業所",$A70))</f>
        <v>200000</v>
      </c>
      <c r="P70" s="1891">
        <f>IF(P$2&gt;$G$1,'☆事業所損益管理(H30.9～H31.8)(計画)'!P68,
GETPIVOTDATA("合計 / " &amp; $B70,【ピボット】事業所収支!$A$3,"年月",P$2,"事業所",$A70))</f>
        <v>200000</v>
      </c>
      <c r="Q70" s="1892">
        <f>IF(Q$2&gt;$G$1,'☆事業所損益管理(H30.9～H31.8)(計画)'!Q68,
GETPIVOTDATA("合計 / " &amp; $B70,【ピボット】事業所収支!$A$3,"年月",Q$2,"事業所",$A70))</f>
        <v>200000</v>
      </c>
      <c r="R70" s="1843">
        <f t="shared" ca="1" si="73"/>
        <v>1127286</v>
      </c>
      <c r="S70" s="1843">
        <f t="shared" ca="1" si="74"/>
        <v>140910.75</v>
      </c>
      <c r="T70" s="539">
        <f t="shared" si="75"/>
        <v>1927286</v>
      </c>
      <c r="U70" s="1825">
        <f t="shared" ca="1" si="4"/>
        <v>1690929</v>
      </c>
      <c r="V70" s="2041">
        <f ca="1">IF(W70=0,1,IF(W70&lt;=1,1,IF(W70&gt;1.1,-1,0)))</f>
        <v>1</v>
      </c>
      <c r="W70" s="1840">
        <f ca="1">IF(T70&lt;0,ROUND((U70-T70)/ABS(T70),3),IF(T70=0,0,ROUND(U70/T70,3)))</f>
        <v>0.877</v>
      </c>
    </row>
    <row r="71" spans="1:23" s="1137" customFormat="1" ht="14.25" customHeight="1" thickBot="1" x14ac:dyDescent="0.2">
      <c r="A71" s="1137" t="s">
        <v>474</v>
      </c>
      <c r="B71" s="2042" t="s">
        <v>1504</v>
      </c>
      <c r="C71" s="2217"/>
      <c r="D71" s="2219"/>
      <c r="E71" s="1821" t="s">
        <v>1507</v>
      </c>
      <c r="F71" s="1813">
        <f>IFERROR(GETPIVOTDATA("合計 / " &amp; $B71,【ピボット】事業所収支!$A$3,"年月",F$2,"事業所",$A71),0)</f>
        <v>0</v>
      </c>
      <c r="G71" s="1814">
        <f>IFERROR(GETPIVOTDATA("合計 / " &amp; $B71,【ピボット】事業所収支!$A$3,"年月",G$2,"事業所",$A71),0)</f>
        <v>0</v>
      </c>
      <c r="H71" s="1814">
        <f>IFERROR(GETPIVOTDATA("合計 / " &amp; $B71,【ピボット】事業所収支!$A$3,"年月",H$2,"事業所",$A71),0)</f>
        <v>0</v>
      </c>
      <c r="I71" s="1814">
        <f>IFERROR(GETPIVOTDATA("合計 / " &amp; $B71,【ピボット】事業所収支!$A$3,"年月",I$2,"事業所",$A71),0)</f>
        <v>0</v>
      </c>
      <c r="J71" s="1814">
        <f>IFERROR(GETPIVOTDATA("合計 / " &amp; $B71,【ピボット】事業所収支!$A$3,"年月",J$2,"事業所",$A71),0)</f>
        <v>0</v>
      </c>
      <c r="K71" s="1814">
        <f>IFERROR(GETPIVOTDATA("合計 / " &amp; $B71,【ピボット】事業所収支!$A$3,"年月",K$2,"事業所",$A71),0)</f>
        <v>0</v>
      </c>
      <c r="L71" s="1814">
        <f>IFERROR(GETPIVOTDATA("合計 / " &amp; $B71,【ピボット】事業所収支!$A$3,"年月",L$2,"事業所",$A71),0)</f>
        <v>0</v>
      </c>
      <c r="M71" s="1814">
        <f>IFERROR(GETPIVOTDATA("合計 / " &amp; $B71,【ピボット】事業所収支!$A$3,"年月",M$2,"事業所",$A71),0)</f>
        <v>0</v>
      </c>
      <c r="N71" s="1891">
        <f>IFERROR(GETPIVOTDATA("合計 / " &amp; $B71,【ピボット】事業所収支!$A$3,"年月",N$2,"事業所",$A71),0)</f>
        <v>0</v>
      </c>
      <c r="O71" s="1891">
        <f>IFERROR(GETPIVOTDATA("合計 / " &amp; $B71,【ピボット】事業所収支!$A$3,"年月",O$2,"事業所",$A71),0)</f>
        <v>0</v>
      </c>
      <c r="P71" s="1891">
        <f>IFERROR(GETPIVOTDATA("合計 / " &amp; $B71,【ピボット】事業所収支!$A$3,"年月",P$2,"事業所",$A71),0)</f>
        <v>0</v>
      </c>
      <c r="Q71" s="1892">
        <f>IFERROR(GETPIVOTDATA("合計 / " &amp; $B71,【ピボット】事業所収支!$A$3,"年月",Q$2,"事業所",$A71),0)</f>
        <v>0</v>
      </c>
      <c r="R71" s="1843">
        <f t="shared" ref="R71:R72" ca="1" si="122">SUM(OFFSET(F71,0,0,1,IF(ISERROR(MATCH(DATE(YEAR($G$1),MONTH($G$1),1),$F$2:$Q$2,0)),0,MATCH(DATE(YEAR($G$1),MONTH($G$1),1),$F$2:$Q$2,0))))</f>
        <v>0</v>
      </c>
      <c r="S71" s="1843">
        <f t="shared" ca="1" si="74"/>
        <v>0</v>
      </c>
      <c r="T71" s="1938"/>
      <c r="U71" s="1825">
        <f t="shared" ca="1" si="4"/>
        <v>0</v>
      </c>
      <c r="V71" s="2225"/>
      <c r="W71" s="2226"/>
    </row>
    <row r="72" spans="1:23" s="1137" customFormat="1" ht="14.25" customHeight="1" thickBot="1" x14ac:dyDescent="0.2">
      <c r="A72" s="1137" t="s">
        <v>474</v>
      </c>
      <c r="B72" s="2039"/>
      <c r="C72" s="2217"/>
      <c r="D72" s="2219"/>
      <c r="E72" s="1821" t="s">
        <v>1434</v>
      </c>
      <c r="F72" s="1823">
        <f>F67-(F68+F70+F71)</f>
        <v>604150</v>
      </c>
      <c r="G72" s="1824">
        <f t="shared" ref="G72" si="123">G67-(G68+G70+G71)</f>
        <v>579596</v>
      </c>
      <c r="H72" s="1824">
        <f t="shared" ref="H72" si="124">H67-(H68+H70+H71)</f>
        <v>691217</v>
      </c>
      <c r="I72" s="1824">
        <f t="shared" ref="I72" si="125">I67-(I68+I70+I71)</f>
        <v>751133</v>
      </c>
      <c r="J72" s="1824">
        <f t="shared" ref="J72" si="126">J67-(J68+J70+J71)</f>
        <v>995435</v>
      </c>
      <c r="K72" s="1824">
        <f t="shared" ref="K72" si="127">K67-(K68+K70+K71)</f>
        <v>679055</v>
      </c>
      <c r="L72" s="1824">
        <f t="shared" ref="L72" si="128">L67-(L68+L70+L71)</f>
        <v>600414</v>
      </c>
      <c r="M72" s="1824">
        <f t="shared" ref="M72" si="129">M67-(M68+M70+M71)</f>
        <v>466312</v>
      </c>
      <c r="N72" s="1893">
        <f t="shared" ref="N72" si="130">N67-(N68+N70+N71)</f>
        <v>900000</v>
      </c>
      <c r="O72" s="1893">
        <f t="shared" ref="O72" si="131">O67-(O68+O70+O71)</f>
        <v>550000</v>
      </c>
      <c r="P72" s="1893">
        <f t="shared" ref="P72" si="132">P67-(P68+P70+P71)</f>
        <v>550000</v>
      </c>
      <c r="Q72" s="1894">
        <f t="shared" ref="Q72" si="133">Q67-(Q68+Q70+Q71)</f>
        <v>550000</v>
      </c>
      <c r="R72" s="1843">
        <f t="shared" ca="1" si="122"/>
        <v>5367312</v>
      </c>
      <c r="S72" s="1843">
        <f t="shared" ca="1" si="74"/>
        <v>670914</v>
      </c>
      <c r="T72" s="539">
        <f t="shared" ref="T72" si="134">SUM(F72:Q72)</f>
        <v>7917312</v>
      </c>
      <c r="U72" s="1825">
        <f t="shared" ref="U72" ca="1" si="135">S72*12</f>
        <v>8050968</v>
      </c>
      <c r="V72" s="2043">
        <f ca="1">IFERROR(IF(W72&gt;=0,1,IF(W72&lt;-0.1,-1,0)),1)</f>
        <v>1</v>
      </c>
      <c r="W72" s="1840">
        <f ca="1">IF(T72=0,1-(U68+U70)/U67,IF(T72=U72,0,ROUND((U72-T72)/ABS(T72),3)))</f>
        <v>1.7000000000000001E-2</v>
      </c>
    </row>
    <row r="73" spans="1:23" s="1137" customFormat="1" ht="14.25" customHeight="1" thickBot="1" x14ac:dyDescent="0.2">
      <c r="A73" s="1137" t="s">
        <v>474</v>
      </c>
      <c r="B73" s="2039"/>
      <c r="C73" s="2217"/>
      <c r="D73" s="2219"/>
      <c r="E73" s="1128" t="s">
        <v>1197</v>
      </c>
      <c r="F73" s="1815">
        <f>'☆事業所損益管理(H30.9～H31.8)(計画)'!F70</f>
        <v>400000</v>
      </c>
      <c r="G73" s="1816">
        <f>'☆事業所損益管理(H30.9～H31.8)(計画)'!G70</f>
        <v>400000</v>
      </c>
      <c r="H73" s="1816">
        <f>'☆事業所損益管理(H30.9～H31.8)(計画)'!H70</f>
        <v>400000</v>
      </c>
      <c r="I73" s="1816">
        <f>'☆事業所損益管理(H30.9～H31.8)(計画)'!I70</f>
        <v>400000</v>
      </c>
      <c r="J73" s="1816">
        <f>'☆事業所損益管理(H30.9～H31.8)(計画)'!J70</f>
        <v>400000</v>
      </c>
      <c r="K73" s="1816">
        <f>'☆事業所損益管理(H30.9～H31.8)(計画)'!K70</f>
        <v>400000</v>
      </c>
      <c r="L73" s="1816">
        <f>'☆事業所損益管理(H30.9～H31.8)(計画)'!L70</f>
        <v>400000</v>
      </c>
      <c r="M73" s="1816">
        <f>'☆事業所損益管理(H30.9～H31.8)(計画)'!M70</f>
        <v>400000</v>
      </c>
      <c r="N73" s="1895">
        <f>'☆事業所損益管理(H30.9～H31.8)(計画)'!N70</f>
        <v>400000</v>
      </c>
      <c r="O73" s="1895">
        <f>'☆事業所損益管理(H30.9～H31.8)(計画)'!O70</f>
        <v>400000</v>
      </c>
      <c r="P73" s="1895">
        <f>'☆事業所損益管理(H30.9～H31.8)(計画)'!P70</f>
        <v>400000</v>
      </c>
      <c r="Q73" s="1896">
        <f>'☆事業所損益管理(H30.9～H31.8)(計画)'!Q70</f>
        <v>400000</v>
      </c>
      <c r="R73" s="1844">
        <f t="shared" ca="1" si="73"/>
        <v>3200000</v>
      </c>
      <c r="S73" s="1844">
        <f t="shared" ca="1" si="74"/>
        <v>400000</v>
      </c>
      <c r="T73" s="533">
        <f t="shared" si="75"/>
        <v>4800000</v>
      </c>
      <c r="U73" s="527">
        <f t="shared" ca="1" si="4"/>
        <v>4800000</v>
      </c>
      <c r="V73" s="2225"/>
      <c r="W73" s="2226"/>
    </row>
    <row r="74" spans="1:23" s="1137" customFormat="1" ht="14.25" customHeight="1" thickBot="1" x14ac:dyDescent="0.2">
      <c r="A74" s="1137" t="s">
        <v>474</v>
      </c>
      <c r="B74" s="2039"/>
      <c r="C74" s="2217"/>
      <c r="D74" s="2219"/>
      <c r="E74" s="1822" t="s">
        <v>1435</v>
      </c>
      <c r="F74" s="1860">
        <f t="shared" ref="F74:Q74" si="136">F72-F73</f>
        <v>204150</v>
      </c>
      <c r="G74" s="1861">
        <f t="shared" si="136"/>
        <v>179596</v>
      </c>
      <c r="H74" s="1861">
        <f t="shared" si="136"/>
        <v>291217</v>
      </c>
      <c r="I74" s="1861">
        <f t="shared" si="136"/>
        <v>351133</v>
      </c>
      <c r="J74" s="1861">
        <f t="shared" si="136"/>
        <v>595435</v>
      </c>
      <c r="K74" s="1861">
        <f t="shared" si="136"/>
        <v>279055</v>
      </c>
      <c r="L74" s="1861">
        <f t="shared" si="136"/>
        <v>200414</v>
      </c>
      <c r="M74" s="1861">
        <f t="shared" si="136"/>
        <v>66312</v>
      </c>
      <c r="N74" s="1897">
        <f t="shared" si="136"/>
        <v>500000</v>
      </c>
      <c r="O74" s="1897">
        <f t="shared" si="136"/>
        <v>150000</v>
      </c>
      <c r="P74" s="1897">
        <f t="shared" si="136"/>
        <v>150000</v>
      </c>
      <c r="Q74" s="1898">
        <f t="shared" si="136"/>
        <v>150000</v>
      </c>
      <c r="R74" s="1845">
        <f t="shared" ca="1" si="73"/>
        <v>2167312</v>
      </c>
      <c r="S74" s="1845">
        <f t="shared" ca="1" si="74"/>
        <v>270914</v>
      </c>
      <c r="T74" s="530">
        <f t="shared" si="75"/>
        <v>3117312</v>
      </c>
      <c r="U74" s="1826">
        <f t="shared" ca="1" si="4"/>
        <v>3250968</v>
      </c>
      <c r="V74" s="2043">
        <f ca="1">IFERROR(IF(W74&gt;=0,1,IF(W74&lt;-0.1,-1,0)),1)</f>
        <v>1</v>
      </c>
      <c r="W74" s="1840">
        <f ca="1">IF(T74=0,1-(U68+U70)/U67,IF(T74=U74,0,ROUND((U74-T74)/ABS(T74),3)))</f>
        <v>4.2999999999999997E-2</v>
      </c>
    </row>
    <row r="75" spans="1:23" s="1137" customFormat="1" ht="14.25" customHeight="1" thickBot="1" x14ac:dyDescent="0.2">
      <c r="A75" s="1137" t="s">
        <v>384</v>
      </c>
      <c r="B75" s="2039" t="str">
        <f>E75</f>
        <v>売上</v>
      </c>
      <c r="C75" s="2217" t="s">
        <v>329</v>
      </c>
      <c r="D75" s="2218" t="s">
        <v>1441</v>
      </c>
      <c r="E75" s="1820" t="s">
        <v>26</v>
      </c>
      <c r="F75" s="1811">
        <f>IF(F$2&gt;$G$1,'☆事業所損益管理(H30.9～H31.8)(計画)'!F72,
GETPIVOTDATA("合計 / " &amp; $B75,【ピボット】事業所収支!$A$3,"年月",F$2,"事業所",$A75))</f>
        <v>2587385</v>
      </c>
      <c r="G75" s="1812">
        <f>IF(G$2&gt;$G$1,'☆事業所損益管理(H30.9～H31.8)(計画)'!G72,
GETPIVOTDATA("合計 / " &amp; $B75,【ピボット】事業所収支!$A$3,"年月",G$2,"事業所",$A75))</f>
        <v>2800912</v>
      </c>
      <c r="H75" s="1812">
        <f>IF(H$2&gt;$G$1,'☆事業所損益管理(H30.9～H31.8)(計画)'!H72,
GETPIVOTDATA("合計 / " &amp; $B75,【ピボット】事業所収支!$A$3,"年月",H$2,"事業所",$A75))</f>
        <v>2743866</v>
      </c>
      <c r="I75" s="1812">
        <f>IF(I$2&gt;$G$1,'☆事業所損益管理(H30.9～H31.8)(計画)'!I72,
GETPIVOTDATA("合計 / " &amp; $B75,【ピボット】事業所収支!$A$3,"年月",I$2,"事業所",$A75))</f>
        <v>2807684</v>
      </c>
      <c r="J75" s="1812">
        <f>IF(J$2&gt;$G$1,'☆事業所損益管理(H30.9～H31.8)(計画)'!J72,
GETPIVOTDATA("合計 / " &amp; $B75,【ピボット】事業所収支!$A$3,"年月",J$2,"事業所",$A75))</f>
        <v>2942481</v>
      </c>
      <c r="K75" s="1812">
        <f>IF(K$2&gt;$G$1,'☆事業所損益管理(H30.9～H31.8)(計画)'!K72,
GETPIVOTDATA("合計 / " &amp; $B75,【ピボット】事業所収支!$A$3,"年月",K$2,"事業所",$A75))</f>
        <v>2118435</v>
      </c>
      <c r="L75" s="1812">
        <f>IF(L$2&gt;$G$1,'☆事業所損益管理(H30.9～H31.8)(計画)'!L72,
GETPIVOTDATA("合計 / " &amp; $B75,【ピボット】事業所収支!$A$3,"年月",L$2,"事業所",$A75))</f>
        <v>1999507</v>
      </c>
      <c r="M75" s="1812">
        <f>IF(M$2&gt;$G$1,'☆事業所損益管理(H30.9～H31.8)(計画)'!M72,
GETPIVOTDATA("合計 / " &amp; $B75,【ピボット】事業所収支!$A$3,"年月",M$2,"事業所",$A75))</f>
        <v>2831820</v>
      </c>
      <c r="N75" s="1889">
        <f>IF(N$2&gt;$G$1,'☆事業所損益管理(H30.9～H31.8)(計画)'!N72,
GETPIVOTDATA("合計 / " &amp; $B75,【ピボット】事業所収支!$A$3,"年月",N$2,"事業所",$A75))</f>
        <v>3910000</v>
      </c>
      <c r="O75" s="1889">
        <f>IF(O$2&gt;$G$1,'☆事業所損益管理(H30.9～H31.8)(計画)'!O72,
GETPIVOTDATA("合計 / " &amp; $B75,【ピボット】事業所収支!$A$3,"年月",O$2,"事業所",$A75))</f>
        <v>2700000</v>
      </c>
      <c r="P75" s="1889">
        <f>IF(P$2&gt;$G$1,'☆事業所損益管理(H30.9～H31.8)(計画)'!P72,
GETPIVOTDATA("合計 / " &amp; $B75,【ピボット】事業所収支!$A$3,"年月",P$2,"事業所",$A75))</f>
        <v>2700000</v>
      </c>
      <c r="Q75" s="1890">
        <f>IF(Q$2&gt;$G$1,'☆事業所損益管理(H30.9～H31.8)(計画)'!Q72,
GETPIVOTDATA("合計 / " &amp; $B75,【ピボット】事業所収支!$A$3,"年月",Q$2,"事業所",$A75))</f>
        <v>2700000</v>
      </c>
      <c r="R75" s="1842">
        <f t="shared" ca="1" si="73"/>
        <v>20832090</v>
      </c>
      <c r="S75" s="1842">
        <f t="shared" ca="1" si="74"/>
        <v>2604011.25</v>
      </c>
      <c r="T75" s="538">
        <f t="shared" si="75"/>
        <v>32842090</v>
      </c>
      <c r="U75" s="1827">
        <f t="shared" ca="1" si="4"/>
        <v>31248135</v>
      </c>
      <c r="V75" s="2040">
        <f ca="1">IF(W75=0,1,IF(W75&gt;=1,1,IF(W75&lt;0.9,-1,0)))</f>
        <v>0</v>
      </c>
      <c r="W75" s="1839">
        <f ca="1">IF(T75&lt;0,ROUND((U75-T75)/ABS(T75),3),IF(T75=0,0,ROUND(U75/T75,3)))</f>
        <v>0.95099999999999996</v>
      </c>
    </row>
    <row r="76" spans="1:23" s="1137" customFormat="1" ht="14.25" customHeight="1" thickBot="1" x14ac:dyDescent="0.2">
      <c r="A76" s="1137" t="s">
        <v>384</v>
      </c>
      <c r="B76" s="2039" t="str">
        <f>E76</f>
        <v>人件費</v>
      </c>
      <c r="C76" s="2217"/>
      <c r="D76" s="2219"/>
      <c r="E76" s="1821" t="s">
        <v>15</v>
      </c>
      <c r="F76" s="1813">
        <f>IF(F$2&gt;$G$1,'☆事業所損益管理(H30.9～H31.8)(計画)'!F73,
GETPIVOTDATA("合計 / " &amp; $B76,【ピボット】事業所収支!$A$3,"年月",F$2,"事業所",$A76))</f>
        <v>696938</v>
      </c>
      <c r="G76" s="1814">
        <f>IF(G$2&gt;$G$1,'☆事業所損益管理(H30.9～H31.8)(計画)'!G73,
GETPIVOTDATA("合計 / " &amp; $B76,【ピボット】事業所収支!$A$3,"年月",G$2,"事業所",$A76))</f>
        <v>1032197</v>
      </c>
      <c r="H76" s="1814">
        <f>IF(H$2&gt;$G$1,'☆事業所損益管理(H30.9～H31.8)(計画)'!H73,
GETPIVOTDATA("合計 / " &amp; $B76,【ピボット】事業所収支!$A$3,"年月",H$2,"事業所",$A76))</f>
        <v>1025805</v>
      </c>
      <c r="I76" s="1814">
        <f>IF(I$2&gt;$G$1,'☆事業所損益管理(H30.9～H31.8)(計画)'!I73,
GETPIVOTDATA("合計 / " &amp; $B76,【ピボット】事業所収支!$A$3,"年月",I$2,"事業所",$A76))</f>
        <v>1281398</v>
      </c>
      <c r="J76" s="1814">
        <f>IF(J$2&gt;$G$1,'☆事業所損益管理(H30.9～H31.8)(計画)'!J73,
GETPIVOTDATA("合計 / " &amp; $B76,【ピボット】事業所収支!$A$3,"年月",J$2,"事業所",$A76))</f>
        <v>1243543</v>
      </c>
      <c r="K76" s="1814">
        <f>IF(K$2&gt;$G$1,'☆事業所損益管理(H30.9～H31.8)(計画)'!K73,
GETPIVOTDATA("合計 / " &amp; $B76,【ピボット】事業所収支!$A$3,"年月",K$2,"事業所",$A76))</f>
        <v>1079826</v>
      </c>
      <c r="L76" s="1814">
        <f>IF(L$2&gt;$G$1,'☆事業所損益管理(H30.9～H31.8)(計画)'!L73,
GETPIVOTDATA("合計 / " &amp; $B76,【ピボット】事業所収支!$A$3,"年月",L$2,"事業所",$A76))</f>
        <v>1525918</v>
      </c>
      <c r="M76" s="1814">
        <f>IF(M$2&gt;$G$1,'☆事業所損益管理(H30.9～H31.8)(計画)'!M73,
GETPIVOTDATA("合計 / " &amp; $B76,【ピボット】事業所収支!$A$3,"年月",M$2,"事業所",$A76))</f>
        <v>1449692</v>
      </c>
      <c r="N76" s="1891">
        <f>IF(N$2&gt;$G$1,'☆事業所損益管理(H30.9～H31.8)(計画)'!N73,
GETPIVOTDATA("合計 / " &amp; $B76,【ピボット】事業所収支!$A$3,"年月",N$2,"事業所",$A76))</f>
        <v>900000</v>
      </c>
      <c r="O76" s="1891">
        <f>IF(O$2&gt;$G$1,'☆事業所損益管理(H30.9～H31.8)(計画)'!O73,
GETPIVOTDATA("合計 / " &amp; $B76,【ピボット】事業所収支!$A$3,"年月",O$2,"事業所",$A76))</f>
        <v>1500000</v>
      </c>
      <c r="P76" s="1891">
        <f>IF(P$2&gt;$G$1,'☆事業所損益管理(H30.9～H31.8)(計画)'!P73,
GETPIVOTDATA("合計 / " &amp; $B76,【ピボット】事業所収支!$A$3,"年月",P$2,"事業所",$A76))</f>
        <v>900000</v>
      </c>
      <c r="Q76" s="1892">
        <f>IF(Q$2&gt;$G$1,'☆事業所損益管理(H30.9～H31.8)(計画)'!Q73,
GETPIVOTDATA("合計 / " &amp; $B76,【ピボット】事業所収支!$A$3,"年月",Q$2,"事業所",$A76))</f>
        <v>900000</v>
      </c>
      <c r="R76" s="1843">
        <f t="shared" ref="R76:R111" ca="1" si="137">SUM(OFFSET(F76,0,0,1,IF(ISERROR(MATCH(DATE(YEAR($G$1),MONTH($G$1),1),$F$2:$Q$2,0)),0,MATCH(DATE(YEAR($G$1),MONTH($G$1),1),$F$2:$Q$2,0))))</f>
        <v>9335317</v>
      </c>
      <c r="S76" s="1843">
        <f t="shared" ref="S76:S111" ca="1" si="138">IF(ISERROR(R76/(DATEDIF(F$2,G$1,"M")+1)),0,R76/(DATEDIF(F$2,G$1,"M")+1))</f>
        <v>1166914.625</v>
      </c>
      <c r="T76" s="539">
        <f t="shared" ref="T76:T98" si="139">SUM(F76:Q76)</f>
        <v>13535317</v>
      </c>
      <c r="U76" s="1825">
        <f t="shared" ca="1" si="4"/>
        <v>14002975.5</v>
      </c>
      <c r="V76" s="2041">
        <f ca="1">IF(W76=0,1,IF(W76&lt;=1,1,IF(W76&gt;1.1,-1,0)))</f>
        <v>0</v>
      </c>
      <c r="W76" s="1840">
        <f ca="1">IF(T76&lt;0,ROUND((U76-T76)/ABS(T76),3),IF(T76=0,0,ROUND(U76/T76,3)))</f>
        <v>1.0349999999999999</v>
      </c>
    </row>
    <row r="77" spans="1:23" s="1137" customFormat="1" ht="14.25" customHeight="1" thickBot="1" x14ac:dyDescent="0.2">
      <c r="A77" s="1137" t="s">
        <v>384</v>
      </c>
      <c r="B77" s="2039" t="str">
        <f>E77</f>
        <v>広告経費</v>
      </c>
      <c r="C77" s="2217"/>
      <c r="D77" s="2219"/>
      <c r="E77" s="1821" t="s">
        <v>447</v>
      </c>
      <c r="F77" s="1813">
        <f>IF(F$2&gt;$G$1,'☆事業所損益管理(H30.9～H31.8)(計画)'!F74,
GETPIVOTDATA("合計 / " &amp; $B77,【ピボット】事業所収支!$A$3,"年月",F$2,"事業所",$A77))</f>
        <v>0</v>
      </c>
      <c r="G77" s="1814">
        <f>IF(G$2&gt;$G$1,'☆事業所損益管理(H30.9～H31.8)(計画)'!G74,
GETPIVOTDATA("合計 / " &amp; $B77,【ピボット】事業所収支!$A$3,"年月",G$2,"事業所",$A77))</f>
        <v>16200</v>
      </c>
      <c r="H77" s="1814">
        <f>IF(H$2&gt;$G$1,'☆事業所損益管理(H30.9～H31.8)(計画)'!H74,
GETPIVOTDATA("合計 / " &amp; $B77,【ピボット】事業所収支!$A$3,"年月",H$2,"事業所",$A77))</f>
        <v>0</v>
      </c>
      <c r="I77" s="1814">
        <f>IF(I$2&gt;$G$1,'☆事業所損益管理(H30.9～H31.8)(計画)'!I74,
GETPIVOTDATA("合計 / " &amp; $B77,【ピボット】事業所収支!$A$3,"年月",I$2,"事業所",$A77))</f>
        <v>0</v>
      </c>
      <c r="J77" s="1814">
        <f>IF(J$2&gt;$G$1,'☆事業所損益管理(H30.9～H31.8)(計画)'!J74,
GETPIVOTDATA("合計 / " &amp; $B77,【ピボット】事業所収支!$A$3,"年月",J$2,"事業所",$A77))</f>
        <v>0</v>
      </c>
      <c r="K77" s="1814">
        <f>IF(K$2&gt;$G$1,'☆事業所損益管理(H30.9～H31.8)(計画)'!K74,
GETPIVOTDATA("合計 / " &amp; $B77,【ピボット】事業所収支!$A$3,"年月",K$2,"事業所",$A77))</f>
        <v>0</v>
      </c>
      <c r="L77" s="1814">
        <f>IF(L$2&gt;$G$1,'☆事業所損益管理(H30.9～H31.8)(計画)'!L74,
GETPIVOTDATA("合計 / " &amp; $B77,【ピボット】事業所収支!$A$3,"年月",L$2,"事業所",$A77))</f>
        <v>0</v>
      </c>
      <c r="M77" s="1814">
        <f>IF(M$2&gt;$G$1,'☆事業所損益管理(H30.9～H31.8)(計画)'!M74,
GETPIVOTDATA("合計 / " &amp; $B77,【ピボット】事業所収支!$A$3,"年月",M$2,"事業所",$A77))</f>
        <v>0</v>
      </c>
      <c r="N77" s="1891">
        <f>IF(N$2&gt;$G$1,'☆事業所損益管理(H30.9～H31.8)(計画)'!N74,
GETPIVOTDATA("合計 / " &amp; $B77,【ピボット】事業所収支!$A$3,"年月",N$2,"事業所",$A77))</f>
        <v>0</v>
      </c>
      <c r="O77" s="1891">
        <f>IF(O$2&gt;$G$1,'☆事業所損益管理(H30.9～H31.8)(計画)'!O74,
GETPIVOTDATA("合計 / " &amp; $B77,【ピボット】事業所収支!$A$3,"年月",O$2,"事業所",$A77))</f>
        <v>0</v>
      </c>
      <c r="P77" s="1891">
        <f>IF(P$2&gt;$G$1,'☆事業所損益管理(H30.9～H31.8)(計画)'!P74,
GETPIVOTDATA("合計 / " &amp; $B77,【ピボット】事業所収支!$A$3,"年月",P$2,"事業所",$A77))</f>
        <v>0</v>
      </c>
      <c r="Q77" s="1892">
        <f>IF(Q$2&gt;$G$1,'☆事業所損益管理(H30.9～H31.8)(計画)'!Q74,
GETPIVOTDATA("合計 / " &amp; $B77,【ピボット】事業所収支!$A$3,"年月",Q$2,"事業所",$A77))</f>
        <v>0</v>
      </c>
      <c r="R77" s="1843">
        <f t="shared" ca="1" si="137"/>
        <v>16200</v>
      </c>
      <c r="S77" s="1843">
        <f t="shared" ca="1" si="138"/>
        <v>2025</v>
      </c>
      <c r="T77" s="539">
        <f t="shared" si="139"/>
        <v>16200</v>
      </c>
      <c r="U77" s="1825">
        <f t="shared" ref="U77:U125" ca="1" si="140">S77*12</f>
        <v>24300</v>
      </c>
      <c r="V77" s="2041">
        <f ca="1">IF(W77=0,1,IF(W77&lt;=1,1,IF(W77&gt;1.1,-1,0)))</f>
        <v>-1</v>
      </c>
      <c r="W77" s="1840">
        <f ca="1">IF(T77&lt;0,ROUND((U77-T77)/ABS(T77),3),IF(T77=0,0,ROUND(U77/T77,3)))</f>
        <v>1.5</v>
      </c>
    </row>
    <row r="78" spans="1:23" s="1137" customFormat="1" ht="14.25" customHeight="1" thickBot="1" x14ac:dyDescent="0.2">
      <c r="A78" s="1137" t="s">
        <v>384</v>
      </c>
      <c r="B78" s="2042" t="s">
        <v>1471</v>
      </c>
      <c r="C78" s="2217"/>
      <c r="D78" s="2219"/>
      <c r="E78" s="1821" t="s">
        <v>35</v>
      </c>
      <c r="F78" s="1813">
        <f>IF(F$2&gt;$G$1,'☆事業所損益管理(H30.9～H31.8)(計画)'!F75,
GETPIVOTDATA("合計 / " &amp; $B78,【ピボット】事業所収支!$A$3,"年月",F$2,"事業所",$A78))</f>
        <v>603836</v>
      </c>
      <c r="G78" s="1814">
        <f>IF(G$2&gt;$G$1,'☆事業所損益管理(H30.9～H31.8)(計画)'!G75,
GETPIVOTDATA("合計 / " &amp; $B78,【ピボット】事業所収支!$A$3,"年月",G$2,"事業所",$A78))</f>
        <v>822996</v>
      </c>
      <c r="H78" s="1814">
        <f>IF(H$2&gt;$G$1,'☆事業所損益管理(H30.9～H31.8)(計画)'!H75,
GETPIVOTDATA("合計 / " &amp; $B78,【ピボット】事業所収支!$A$3,"年月",H$2,"事業所",$A78))</f>
        <v>695910</v>
      </c>
      <c r="I78" s="1814">
        <f>IF(I$2&gt;$G$1,'☆事業所損益管理(H30.9～H31.8)(計画)'!I75,
GETPIVOTDATA("合計 / " &amp; $B78,【ピボット】事業所収支!$A$3,"年月",I$2,"事業所",$A78))</f>
        <v>635256</v>
      </c>
      <c r="J78" s="1814">
        <f>IF(J$2&gt;$G$1,'☆事業所損益管理(H30.9～H31.8)(計画)'!J75,
GETPIVOTDATA("合計 / " &amp; $B78,【ピボット】事業所収支!$A$3,"年月",J$2,"事業所",$A78))</f>
        <v>654503</v>
      </c>
      <c r="K78" s="1814">
        <f>IF(K$2&gt;$G$1,'☆事業所損益管理(H30.9～H31.8)(計画)'!K75,
GETPIVOTDATA("合計 / " &amp; $B78,【ピボット】事業所収支!$A$3,"年月",K$2,"事業所",$A78))</f>
        <v>611780</v>
      </c>
      <c r="L78" s="1814">
        <f>IF(L$2&gt;$G$1,'☆事業所損益管理(H30.9～H31.8)(計画)'!L75,
GETPIVOTDATA("合計 / " &amp; $B78,【ピボット】事業所収支!$A$3,"年月",L$2,"事業所",$A78))</f>
        <v>656722</v>
      </c>
      <c r="M78" s="1814">
        <f>IF(M$2&gt;$G$1,'☆事業所損益管理(H30.9～H31.8)(計画)'!M75,
GETPIVOTDATA("合計 / " &amp; $B78,【ピボット】事業所収支!$A$3,"年月",M$2,"事業所",$A78))</f>
        <v>638498</v>
      </c>
      <c r="N78" s="1891">
        <f>IF(N$2&gt;$G$1,'☆事業所損益管理(H30.9～H31.8)(計画)'!N75,
GETPIVOTDATA("合計 / " &amp; $B78,【ピボット】事業所収支!$A$3,"年月",N$2,"事業所",$A78))</f>
        <v>650000</v>
      </c>
      <c r="O78" s="1891">
        <f>IF(O$2&gt;$G$1,'☆事業所損益管理(H30.9～H31.8)(計画)'!O75,
GETPIVOTDATA("合計 / " &amp; $B78,【ピボット】事業所収支!$A$3,"年月",O$2,"事業所",$A78))</f>
        <v>650000</v>
      </c>
      <c r="P78" s="1891">
        <f>IF(P$2&gt;$G$1,'☆事業所損益管理(H30.9～H31.8)(計画)'!P75,
GETPIVOTDATA("合計 / " &amp; $B78,【ピボット】事業所収支!$A$3,"年月",P$2,"事業所",$A78))</f>
        <v>650000</v>
      </c>
      <c r="Q78" s="1892">
        <f>IF(Q$2&gt;$G$1,'☆事業所損益管理(H30.9～H31.8)(計画)'!Q75,
GETPIVOTDATA("合計 / " &amp; $B78,【ピボット】事業所収支!$A$3,"年月",Q$2,"事業所",$A78))</f>
        <v>650000</v>
      </c>
      <c r="R78" s="1843">
        <f t="shared" ca="1" si="137"/>
        <v>5319501</v>
      </c>
      <c r="S78" s="1843">
        <f t="shared" ca="1" si="138"/>
        <v>664937.625</v>
      </c>
      <c r="T78" s="539">
        <f t="shared" si="139"/>
        <v>7919501</v>
      </c>
      <c r="U78" s="1825">
        <f t="shared" ca="1" si="140"/>
        <v>7979251.5</v>
      </c>
      <c r="V78" s="2041">
        <f ca="1">IF(W78=0,1,IF(W78&lt;=1,1,IF(W78&gt;1.1,-1,0)))</f>
        <v>0</v>
      </c>
      <c r="W78" s="1840">
        <f ca="1">IF(T78&lt;0,ROUND((U78-T78)/ABS(T78),3),IF(T78=0,0,ROUND(U78/T78,3)))</f>
        <v>1.008</v>
      </c>
    </row>
    <row r="79" spans="1:23" s="1137" customFormat="1" ht="14.25" customHeight="1" thickBot="1" x14ac:dyDescent="0.2">
      <c r="A79" s="1137" t="s">
        <v>384</v>
      </c>
      <c r="B79" s="2042" t="s">
        <v>1504</v>
      </c>
      <c r="C79" s="2217"/>
      <c r="D79" s="2219"/>
      <c r="E79" s="1821" t="s">
        <v>1507</v>
      </c>
      <c r="F79" s="1813">
        <f>IFERROR(GETPIVOTDATA("合計 / " &amp; $B79,【ピボット】事業所収支!$A$3,"年月",F$2,"事業所",$A79),0)</f>
        <v>0</v>
      </c>
      <c r="G79" s="1814">
        <f>IFERROR(GETPIVOTDATA("合計 / " &amp; $B79,【ピボット】事業所収支!$A$3,"年月",G$2,"事業所",$A79),0)</f>
        <v>0</v>
      </c>
      <c r="H79" s="1814">
        <f>IFERROR(GETPIVOTDATA("合計 / " &amp; $B79,【ピボット】事業所収支!$A$3,"年月",H$2,"事業所",$A79),0)</f>
        <v>0</v>
      </c>
      <c r="I79" s="1814">
        <f>IFERROR(GETPIVOTDATA("合計 / " &amp; $B79,【ピボット】事業所収支!$A$3,"年月",I$2,"事業所",$A79),0)</f>
        <v>0</v>
      </c>
      <c r="J79" s="1814">
        <f>IFERROR(GETPIVOTDATA("合計 / " &amp; $B79,【ピボット】事業所収支!$A$3,"年月",J$2,"事業所",$A79),0)</f>
        <v>0</v>
      </c>
      <c r="K79" s="1814">
        <f>IFERROR(GETPIVOTDATA("合計 / " &amp; $B79,【ピボット】事業所収支!$A$3,"年月",K$2,"事業所",$A79),0)</f>
        <v>0</v>
      </c>
      <c r="L79" s="1814">
        <f>IFERROR(GETPIVOTDATA("合計 / " &amp; $B79,【ピボット】事業所収支!$A$3,"年月",L$2,"事業所",$A79),0)</f>
        <v>0</v>
      </c>
      <c r="M79" s="1814">
        <f>IFERROR(GETPIVOTDATA("合計 / " &amp; $B79,【ピボット】事業所収支!$A$3,"年月",M$2,"事業所",$A79),0)</f>
        <v>0</v>
      </c>
      <c r="N79" s="1891">
        <f>IFERROR(GETPIVOTDATA("合計 / " &amp; $B79,【ピボット】事業所収支!$A$3,"年月",N$2,"事業所",$A79),0)</f>
        <v>0</v>
      </c>
      <c r="O79" s="1891">
        <f>IFERROR(GETPIVOTDATA("合計 / " &amp; $B79,【ピボット】事業所収支!$A$3,"年月",O$2,"事業所",$A79),0)</f>
        <v>0</v>
      </c>
      <c r="P79" s="1891">
        <f>IFERROR(GETPIVOTDATA("合計 / " &amp; $B79,【ピボット】事業所収支!$A$3,"年月",P$2,"事業所",$A79),0)</f>
        <v>0</v>
      </c>
      <c r="Q79" s="1892">
        <f>IFERROR(GETPIVOTDATA("合計 / " &amp; $B79,【ピボット】事業所収支!$A$3,"年月",Q$2,"事業所",$A79),0)</f>
        <v>0</v>
      </c>
      <c r="R79" s="1843">
        <f t="shared" ref="R79:R80" ca="1" si="141">SUM(OFFSET(F79,0,0,1,IF(ISERROR(MATCH(DATE(YEAR($G$1),MONTH($G$1),1),$F$2:$Q$2,0)),0,MATCH(DATE(YEAR($G$1),MONTH($G$1),1),$F$2:$Q$2,0))))</f>
        <v>0</v>
      </c>
      <c r="S79" s="1843">
        <f t="shared" ca="1" si="138"/>
        <v>0</v>
      </c>
      <c r="T79" s="1938"/>
      <c r="U79" s="1825">
        <f t="shared" ca="1" si="140"/>
        <v>0</v>
      </c>
      <c r="V79" s="2225"/>
      <c r="W79" s="2226"/>
    </row>
    <row r="80" spans="1:23" s="1137" customFormat="1" ht="14.25" customHeight="1" thickBot="1" x14ac:dyDescent="0.2">
      <c r="A80" s="1137" t="s">
        <v>384</v>
      </c>
      <c r="B80" s="2039"/>
      <c r="C80" s="2217"/>
      <c r="D80" s="2219"/>
      <c r="E80" s="1821" t="s">
        <v>1434</v>
      </c>
      <c r="F80" s="1823">
        <f>F75-(F76+F78+F79)</f>
        <v>1286611</v>
      </c>
      <c r="G80" s="1824">
        <f t="shared" ref="G80" si="142">G75-(G76+G78+G79)</f>
        <v>945719</v>
      </c>
      <c r="H80" s="1824">
        <f t="shared" ref="H80" si="143">H75-(H76+H78+H79)</f>
        <v>1022151</v>
      </c>
      <c r="I80" s="1824">
        <f t="shared" ref="I80" si="144">I75-(I76+I78+I79)</f>
        <v>891030</v>
      </c>
      <c r="J80" s="1824">
        <f t="shared" ref="J80" si="145">J75-(J76+J78+J79)</f>
        <v>1044435</v>
      </c>
      <c r="K80" s="1824">
        <f t="shared" ref="K80" si="146">K75-(K76+K78+K79)</f>
        <v>426829</v>
      </c>
      <c r="L80" s="1824">
        <f t="shared" ref="L80" si="147">L75-(L76+L78+L79)</f>
        <v>-183133</v>
      </c>
      <c r="M80" s="1824">
        <f t="shared" ref="M80" si="148">M75-(M76+M78+M79)</f>
        <v>743630</v>
      </c>
      <c r="N80" s="1893">
        <f t="shared" ref="N80" si="149">N75-(N76+N78+N79)</f>
        <v>2360000</v>
      </c>
      <c r="O80" s="1893">
        <f t="shared" ref="O80" si="150">O75-(O76+O78+O79)</f>
        <v>550000</v>
      </c>
      <c r="P80" s="1893">
        <f t="shared" ref="P80" si="151">P75-(P76+P78+P79)</f>
        <v>1150000</v>
      </c>
      <c r="Q80" s="1894">
        <f t="shared" ref="Q80" si="152">Q75-(Q76+Q78+Q79)</f>
        <v>1150000</v>
      </c>
      <c r="R80" s="1843">
        <f t="shared" ca="1" si="141"/>
        <v>6177272</v>
      </c>
      <c r="S80" s="1843">
        <f t="shared" ca="1" si="138"/>
        <v>772159</v>
      </c>
      <c r="T80" s="539">
        <f t="shared" ref="T80" si="153">SUM(F80:Q80)</f>
        <v>11387272</v>
      </c>
      <c r="U80" s="1825">
        <f t="shared" ca="1" si="140"/>
        <v>9265908</v>
      </c>
      <c r="V80" s="2043">
        <f ca="1">IFERROR(IF(W80&gt;=0,1,IF(W80&lt;-0.1,-1,0)),1)</f>
        <v>-1</v>
      </c>
      <c r="W80" s="1840">
        <f ca="1">IF(T80=0,1-(U76+U78)/U75,IF(T80=U80,0,ROUND((U80-T80)/ABS(T80),3)))</f>
        <v>-0.186</v>
      </c>
    </row>
    <row r="81" spans="1:23" s="1137" customFormat="1" ht="14.25" customHeight="1" thickBot="1" x14ac:dyDescent="0.2">
      <c r="A81" s="1137" t="s">
        <v>384</v>
      </c>
      <c r="B81" s="2039"/>
      <c r="C81" s="2217"/>
      <c r="D81" s="2219"/>
      <c r="E81" s="1128" t="s">
        <v>1197</v>
      </c>
      <c r="F81" s="1815">
        <f>'☆事業所損益管理(H30.9～H31.8)(計画)'!F77</f>
        <v>1200000</v>
      </c>
      <c r="G81" s="1816">
        <f>'☆事業所損益管理(H30.9～H31.8)(計画)'!G77</f>
        <v>1200000</v>
      </c>
      <c r="H81" s="1816">
        <f>'☆事業所損益管理(H30.9～H31.8)(計画)'!H77</f>
        <v>1200000</v>
      </c>
      <c r="I81" s="1816">
        <f>'☆事業所損益管理(H30.9～H31.8)(計画)'!I77</f>
        <v>1200000</v>
      </c>
      <c r="J81" s="1816">
        <f>'☆事業所損益管理(H30.9～H31.8)(計画)'!J77</f>
        <v>1200000</v>
      </c>
      <c r="K81" s="1816">
        <f>'☆事業所損益管理(H30.9～H31.8)(計画)'!K77</f>
        <v>1200000</v>
      </c>
      <c r="L81" s="1816">
        <f>'☆事業所損益管理(H30.9～H31.8)(計画)'!L77</f>
        <v>1200000</v>
      </c>
      <c r="M81" s="1816">
        <f>'☆事業所損益管理(H30.9～H31.8)(計画)'!M77</f>
        <v>1200000</v>
      </c>
      <c r="N81" s="1895">
        <f>'☆事業所損益管理(H30.9～H31.8)(計画)'!N77</f>
        <v>1200000</v>
      </c>
      <c r="O81" s="1895">
        <f>'☆事業所損益管理(H30.9～H31.8)(計画)'!O77</f>
        <v>1200000</v>
      </c>
      <c r="P81" s="1895">
        <f>'☆事業所損益管理(H30.9～H31.8)(計画)'!P77</f>
        <v>1200000</v>
      </c>
      <c r="Q81" s="1896">
        <f>'☆事業所損益管理(H30.9～H31.8)(計画)'!Q77</f>
        <v>1200000</v>
      </c>
      <c r="R81" s="1844">
        <f t="shared" ca="1" si="137"/>
        <v>9600000</v>
      </c>
      <c r="S81" s="1844">
        <f t="shared" ca="1" si="138"/>
        <v>1200000</v>
      </c>
      <c r="T81" s="533">
        <f t="shared" si="139"/>
        <v>14400000</v>
      </c>
      <c r="U81" s="527">
        <f t="shared" ca="1" si="140"/>
        <v>14400000</v>
      </c>
      <c r="V81" s="2225"/>
      <c r="W81" s="2226"/>
    </row>
    <row r="82" spans="1:23" s="1137" customFormat="1" ht="14.25" customHeight="1" thickBot="1" x14ac:dyDescent="0.2">
      <c r="A82" s="1137" t="s">
        <v>384</v>
      </c>
      <c r="B82" s="2039"/>
      <c r="C82" s="2217"/>
      <c r="D82" s="2219"/>
      <c r="E82" s="1822" t="s">
        <v>1435</v>
      </c>
      <c r="F82" s="1860">
        <f t="shared" ref="F82:Q82" si="154">F80-F81</f>
        <v>86611</v>
      </c>
      <c r="G82" s="1861">
        <f t="shared" si="154"/>
        <v>-254281</v>
      </c>
      <c r="H82" s="1861">
        <f t="shared" si="154"/>
        <v>-177849</v>
      </c>
      <c r="I82" s="1861">
        <f t="shared" si="154"/>
        <v>-308970</v>
      </c>
      <c r="J82" s="1861">
        <f t="shared" si="154"/>
        <v>-155565</v>
      </c>
      <c r="K82" s="1861">
        <f t="shared" si="154"/>
        <v>-773171</v>
      </c>
      <c r="L82" s="1861">
        <f t="shared" si="154"/>
        <v>-1383133</v>
      </c>
      <c r="M82" s="1861">
        <f t="shared" si="154"/>
        <v>-456370</v>
      </c>
      <c r="N82" s="1897">
        <f t="shared" si="154"/>
        <v>1160000</v>
      </c>
      <c r="O82" s="1897">
        <f t="shared" si="154"/>
        <v>-650000</v>
      </c>
      <c r="P82" s="1897">
        <f t="shared" si="154"/>
        <v>-50000</v>
      </c>
      <c r="Q82" s="1898">
        <f t="shared" si="154"/>
        <v>-50000</v>
      </c>
      <c r="R82" s="1845">
        <f t="shared" ca="1" si="137"/>
        <v>-3422728</v>
      </c>
      <c r="S82" s="1845">
        <f t="shared" ca="1" si="138"/>
        <v>-427841</v>
      </c>
      <c r="T82" s="530">
        <f t="shared" si="139"/>
        <v>-3012728</v>
      </c>
      <c r="U82" s="1826">
        <f t="shared" ca="1" si="140"/>
        <v>-5134092</v>
      </c>
      <c r="V82" s="2043">
        <f ca="1">IFERROR(IF(W82&gt;=0,1,IF(W82&lt;-0.1,-1,0)),1)</f>
        <v>-1</v>
      </c>
      <c r="W82" s="1840">
        <f ca="1">IF(T82=0,1-(U76+U78)/U75,IF(T82=U82,0,ROUND((U82-T82)/ABS(T82),3)))</f>
        <v>-0.70399999999999996</v>
      </c>
    </row>
    <row r="83" spans="1:23" s="1137" customFormat="1" ht="14.25" customHeight="1" thickBot="1" x14ac:dyDescent="0.2">
      <c r="A83" s="1137" t="s">
        <v>1384</v>
      </c>
      <c r="B83" s="2039" t="str">
        <f>E83</f>
        <v>売上</v>
      </c>
      <c r="C83" s="2217" t="s">
        <v>1223</v>
      </c>
      <c r="D83" s="2218" t="s">
        <v>1441</v>
      </c>
      <c r="E83" s="1820" t="s">
        <v>26</v>
      </c>
      <c r="F83" s="1811">
        <f>IFERROR(IF(F$2&gt;$G$1,'☆事業所損益管理(H30.9～H31.8)(計画)'!F79,
GETPIVOTDATA("合計 / " &amp; $B83,【ピボット】事業所収支!$A$3,"年月",F$2,"事業所",$A83)),0)</f>
        <v>0</v>
      </c>
      <c r="G83" s="1812">
        <f>IFERROR(IF(G$2&gt;$G$1,'☆事業所損益管理(H30.9～H31.8)(計画)'!G79,
GETPIVOTDATA("合計 / " &amp; $B83,【ピボット】事業所収支!$A$3,"年月",G$2,"事業所",$A83)),0)</f>
        <v>0</v>
      </c>
      <c r="H83" s="1812">
        <f>IFERROR(IF(H$2&gt;$G$1,'☆事業所損益管理(H30.9～H31.8)(計画)'!H79,
GETPIVOTDATA("合計 / " &amp; $B83,【ピボット】事業所収支!$A$3,"年月",H$2,"事業所",$A83)),0)</f>
        <v>16000</v>
      </c>
      <c r="I83" s="1812">
        <f>IFERROR(IF(I$2&gt;$G$1,'☆事業所損益管理(H30.9～H31.8)(計画)'!I79,
GETPIVOTDATA("合計 / " &amp; $B83,【ピボット】事業所収支!$A$3,"年月",I$2,"事業所",$A83)),0)</f>
        <v>40000</v>
      </c>
      <c r="J83" s="1812">
        <f>IFERROR(IF(J$2&gt;$G$1,'☆事業所損益管理(H30.9～H31.8)(計画)'!J79,
GETPIVOTDATA("合計 / " &amp; $B83,【ピボット】事業所収支!$A$3,"年月",J$2,"事業所",$A83)),0)</f>
        <v>40000</v>
      </c>
      <c r="K83" s="1812">
        <f>IFERROR(IF(K$2&gt;$G$1,'☆事業所損益管理(H30.9～H31.8)(計画)'!K79,
GETPIVOTDATA("合計 / " &amp; $B83,【ピボット】事業所収支!$A$3,"年月",K$2,"事業所",$A83)),0)</f>
        <v>1476188</v>
      </c>
      <c r="L83" s="1812">
        <f>IFERROR(IF(L$2&gt;$G$1,'☆事業所損益管理(H30.9～H31.8)(計画)'!L79,
GETPIVOTDATA("合計 / " &amp; $B83,【ピボット】事業所収支!$A$3,"年月",L$2,"事業所",$A83)),0)</f>
        <v>1775131</v>
      </c>
      <c r="M83" s="1812">
        <f>IFERROR(IF(M$2&gt;$G$1,'☆事業所損益管理(H30.9～H31.8)(計画)'!M79,
GETPIVOTDATA("合計 / " &amp; $B83,【ピボット】事業所収支!$A$3,"年月",M$2,"事業所",$A83)),0)</f>
        <v>2077332</v>
      </c>
      <c r="N83" s="1889">
        <f>IFERROR(IF(N$2&gt;$G$1,'☆事業所損益管理(H30.9～H31.8)(計画)'!N79,
GETPIVOTDATA("合計 / " &amp; $B83,【ピボット】事業所収支!$A$3,"年月",N$2,"事業所",$A83)),0)</f>
        <v>2150000</v>
      </c>
      <c r="O83" s="1889">
        <f>IFERROR(IF(O$2&gt;$G$1,'☆事業所損益管理(H30.9～H31.8)(計画)'!O79,
GETPIVOTDATA("合計 / " &amp; $B83,【ピボット】事業所収支!$A$3,"年月",O$2,"事業所",$A83)),0)</f>
        <v>2150000</v>
      </c>
      <c r="P83" s="1889">
        <f>IFERROR(IF(P$2&gt;$G$1,'☆事業所損益管理(H30.9～H31.8)(計画)'!P79,
GETPIVOTDATA("合計 / " &amp; $B83,【ピボット】事業所収支!$A$3,"年月",P$2,"事業所",$A83)),0)</f>
        <v>2150000</v>
      </c>
      <c r="Q83" s="1890">
        <f>IFERROR(IF(Q$2&gt;$G$1,'☆事業所損益管理(H30.9～H31.8)(計画)'!Q79,
GETPIVOTDATA("合計 / " &amp; $B83,【ピボット】事業所収支!$A$3,"年月",Q$2,"事業所",$A83)),0)</f>
        <v>2150000</v>
      </c>
      <c r="R83" s="1842">
        <f t="shared" ca="1" si="137"/>
        <v>5424651</v>
      </c>
      <c r="S83" s="1842">
        <f t="shared" ca="1" si="138"/>
        <v>678081.375</v>
      </c>
      <c r="T83" s="538">
        <f t="shared" si="139"/>
        <v>14024651</v>
      </c>
      <c r="U83" s="1827">
        <f t="shared" ca="1" si="140"/>
        <v>8136976.5</v>
      </c>
      <c r="V83" s="2040">
        <f ca="1">IF(W83=0,1,IF(W83&gt;=1,1,IF(W83&lt;0.9,-1,0)))</f>
        <v>-1</v>
      </c>
      <c r="W83" s="1839">
        <f ca="1">IF(T83&lt;0,ROUND((U83-T83)/ABS(T83),3),IF(T83=0,0,ROUND(U83/T83,3)))</f>
        <v>0.57999999999999996</v>
      </c>
    </row>
    <row r="84" spans="1:23" s="1137" customFormat="1" ht="14.25" customHeight="1" thickBot="1" x14ac:dyDescent="0.2">
      <c r="A84" s="1137" t="s">
        <v>1384</v>
      </c>
      <c r="B84" s="2039" t="str">
        <f>E84</f>
        <v>人件費</v>
      </c>
      <c r="C84" s="2217"/>
      <c r="D84" s="2219"/>
      <c r="E84" s="1821" t="s">
        <v>15</v>
      </c>
      <c r="F84" s="1813">
        <f>IFERROR(IF(F$2&gt;$G$1,'☆事業所損益管理(H30.9～H31.8)(計画)'!F80,
GETPIVOTDATA("合計 / " &amp; $B84,【ピボット】事業所収支!$A$3,"年月",F$2,"事業所",$A84)),0)</f>
        <v>0</v>
      </c>
      <c r="G84" s="1814">
        <f>IFERROR(IF(G$2&gt;$G$1,'☆事業所損益管理(H30.9～H31.8)(計画)'!G80,
GETPIVOTDATA("合計 / " &amp; $B84,【ピボット】事業所収支!$A$3,"年月",G$2,"事業所",$A84)),0)</f>
        <v>0</v>
      </c>
      <c r="H84" s="1814">
        <f>IFERROR(IF(H$2&gt;$G$1,'☆事業所損益管理(H30.9～H31.8)(計画)'!H80,
GETPIVOTDATA("合計 / " &amp; $B84,【ピボット】事業所収支!$A$3,"年月",H$2,"事業所",$A84)),0)</f>
        <v>0</v>
      </c>
      <c r="I84" s="1814">
        <f>IFERROR(IF(I$2&gt;$G$1,'☆事業所損益管理(H30.9～H31.8)(計画)'!I80,
GETPIVOTDATA("合計 / " &amp; $B84,【ピボット】事業所収支!$A$3,"年月",I$2,"事業所",$A84)),0)</f>
        <v>0</v>
      </c>
      <c r="J84" s="1814">
        <f>IFERROR(IF(J$2&gt;$G$1,'☆事業所損益管理(H30.9～H31.8)(計画)'!J80,
GETPIVOTDATA("合計 / " &amp; $B84,【ピボット】事業所収支!$A$3,"年月",J$2,"事業所",$A84)),0)</f>
        <v>0</v>
      </c>
      <c r="K84" s="1814">
        <f>IFERROR(IF(K$2&gt;$G$1,'☆事業所損益管理(H30.9～H31.8)(計画)'!K80,
GETPIVOTDATA("合計 / " &amp; $B84,【ピボット】事業所収支!$A$3,"年月",K$2,"事業所",$A84)),0)</f>
        <v>379400</v>
      </c>
      <c r="L84" s="1814">
        <f>IFERROR(IF(L$2&gt;$G$1,'☆事業所損益管理(H30.9～H31.8)(計画)'!L80,
GETPIVOTDATA("合計 / " &amp; $B84,【ピボット】事業所収支!$A$3,"年月",L$2,"事業所",$A84)),0)</f>
        <v>509200</v>
      </c>
      <c r="M84" s="1814">
        <f>IFERROR(IF(M$2&gt;$G$1,'☆事業所損益管理(H30.9～H31.8)(計画)'!M80,
GETPIVOTDATA("合計 / " &amp; $B84,【ピボット】事業所収支!$A$3,"年月",M$2,"事業所",$A84)),0)</f>
        <v>418350</v>
      </c>
      <c r="N84" s="1891">
        <f>IFERROR(IF(N$2&gt;$G$1,'☆事業所損益管理(H30.9～H31.8)(計画)'!N80,
GETPIVOTDATA("合計 / " &amp; $B84,【ピボット】事業所収支!$A$3,"年月",N$2,"事業所",$A84)),0)</f>
        <v>500000</v>
      </c>
      <c r="O84" s="1891">
        <f>IFERROR(IF(O$2&gt;$G$1,'☆事業所損益管理(H30.9～H31.8)(計画)'!O80,
GETPIVOTDATA("合計 / " &amp; $B84,【ピボット】事業所収支!$A$3,"年月",O$2,"事業所",$A84)),0)</f>
        <v>500000</v>
      </c>
      <c r="P84" s="1891">
        <f>IFERROR(IF(P$2&gt;$G$1,'☆事業所損益管理(H30.9～H31.8)(計画)'!P80,
GETPIVOTDATA("合計 / " &amp; $B84,【ピボット】事業所収支!$A$3,"年月",P$2,"事業所",$A84)),0)</f>
        <v>500000</v>
      </c>
      <c r="Q84" s="1892">
        <f>IFERROR(IF(Q$2&gt;$G$1,'☆事業所損益管理(H30.9～H31.8)(計画)'!Q80,
GETPIVOTDATA("合計 / " &amp; $B84,【ピボット】事業所収支!$A$3,"年月",Q$2,"事業所",$A84)),0)</f>
        <v>500000</v>
      </c>
      <c r="R84" s="1843">
        <f t="shared" ca="1" si="137"/>
        <v>1306950</v>
      </c>
      <c r="S84" s="1843">
        <f t="shared" ca="1" si="138"/>
        <v>163368.75</v>
      </c>
      <c r="T84" s="539">
        <f t="shared" si="139"/>
        <v>3306950</v>
      </c>
      <c r="U84" s="1825">
        <f t="shared" ca="1" si="140"/>
        <v>1960425</v>
      </c>
      <c r="V84" s="2041">
        <f ca="1">IF(W84=0,1,IF(W84&lt;=1,1,IF(W84&gt;1.1,-1,0)))</f>
        <v>1</v>
      </c>
      <c r="W84" s="1840">
        <f ca="1">IF(T84&lt;0,ROUND((U84-T84)/ABS(T84),3),IF(T84=0,0,ROUND(U84/T84,3)))</f>
        <v>0.59299999999999997</v>
      </c>
    </row>
    <row r="85" spans="1:23" s="1137" customFormat="1" ht="14.25" customHeight="1" thickBot="1" x14ac:dyDescent="0.2">
      <c r="A85" s="1137" t="s">
        <v>1384</v>
      </c>
      <c r="B85" s="2039" t="str">
        <f>E85</f>
        <v>広告経費</v>
      </c>
      <c r="C85" s="2217"/>
      <c r="D85" s="2219"/>
      <c r="E85" s="1821" t="s">
        <v>447</v>
      </c>
      <c r="F85" s="1813">
        <f>IFERROR(IF(F$2&gt;$G$1,'☆事業所損益管理(H30.9～H31.8)(計画)'!F81,
GETPIVOTDATA("合計 / " &amp; $B85,【ピボット】事業所収支!$A$3,"年月",F$2,"事業所",$A85)),0)</f>
        <v>0</v>
      </c>
      <c r="G85" s="1814">
        <f>IFERROR(IF(G$2&gt;$G$1,'☆事業所損益管理(H30.9～H31.8)(計画)'!G81,
GETPIVOTDATA("合計 / " &amp; $B85,【ピボット】事業所収支!$A$3,"年月",G$2,"事業所",$A85)),0)</f>
        <v>0</v>
      </c>
      <c r="H85" s="1814">
        <f>IFERROR(IF(H$2&gt;$G$1,'☆事業所損益管理(H30.9～H31.8)(計画)'!H81,
GETPIVOTDATA("合計 / " &amp; $B85,【ピボット】事業所収支!$A$3,"年月",H$2,"事業所",$A85)),0)</f>
        <v>0</v>
      </c>
      <c r="I85" s="1814">
        <f>IFERROR(IF(I$2&gt;$G$1,'☆事業所損益管理(H30.9～H31.8)(計画)'!I81,
GETPIVOTDATA("合計 / " &amp; $B85,【ピボット】事業所収支!$A$3,"年月",I$2,"事業所",$A85)),0)</f>
        <v>0</v>
      </c>
      <c r="J85" s="1814">
        <f>IFERROR(IF(J$2&gt;$G$1,'☆事業所損益管理(H30.9～H31.8)(計画)'!J81,
GETPIVOTDATA("合計 / " &amp; $B85,【ピボット】事業所収支!$A$3,"年月",J$2,"事業所",$A85)),0)</f>
        <v>0</v>
      </c>
      <c r="K85" s="1814">
        <f>IFERROR(IF(K$2&gt;$G$1,'☆事業所損益管理(H30.9～H31.8)(計画)'!K81,
GETPIVOTDATA("合計 / " &amp; $B85,【ピボット】事業所収支!$A$3,"年月",K$2,"事業所",$A85)),0)</f>
        <v>0</v>
      </c>
      <c r="L85" s="1814">
        <f>IFERROR(IF(L$2&gt;$G$1,'☆事業所損益管理(H30.9～H31.8)(計画)'!L81,
GETPIVOTDATA("合計 / " &amp; $B85,【ピボット】事業所収支!$A$3,"年月",L$2,"事業所",$A85)),0)</f>
        <v>0</v>
      </c>
      <c r="M85" s="1814">
        <f>IFERROR(IF(M$2&gt;$G$1,'☆事業所損益管理(H30.9～H31.8)(計画)'!M81,
GETPIVOTDATA("合計 / " &amp; $B85,【ピボット】事業所収支!$A$3,"年月",M$2,"事業所",$A85)),0)</f>
        <v>0</v>
      </c>
      <c r="N85" s="1891">
        <f>IFERROR(IF(N$2&gt;$G$1,'☆事業所損益管理(H30.9～H31.8)(計画)'!N81,
GETPIVOTDATA("合計 / " &amp; $B85,【ピボット】事業所収支!$A$3,"年月",N$2,"事業所",$A85)),0)</f>
        <v>0</v>
      </c>
      <c r="O85" s="1891">
        <f>IFERROR(IF(O$2&gt;$G$1,'☆事業所損益管理(H30.9～H31.8)(計画)'!O81,
GETPIVOTDATA("合計 / " &amp; $B85,【ピボット】事業所収支!$A$3,"年月",O$2,"事業所",$A85)),0)</f>
        <v>0</v>
      </c>
      <c r="P85" s="1891">
        <f>IFERROR(IF(P$2&gt;$G$1,'☆事業所損益管理(H30.9～H31.8)(計画)'!P81,
GETPIVOTDATA("合計 / " &amp; $B85,【ピボット】事業所収支!$A$3,"年月",P$2,"事業所",$A85)),0)</f>
        <v>30000</v>
      </c>
      <c r="Q85" s="1892">
        <f>IFERROR(IF(Q$2&gt;$G$1,'☆事業所損益管理(H30.9～H31.8)(計画)'!Q81,
GETPIVOTDATA("合計 / " &amp; $B85,【ピボット】事業所収支!$A$3,"年月",Q$2,"事業所",$A85)),0)</f>
        <v>0</v>
      </c>
      <c r="R85" s="1843">
        <f t="shared" ca="1" si="137"/>
        <v>0</v>
      </c>
      <c r="S85" s="1843">
        <f t="shared" ca="1" si="138"/>
        <v>0</v>
      </c>
      <c r="T85" s="539">
        <f t="shared" si="139"/>
        <v>30000</v>
      </c>
      <c r="U85" s="1825">
        <f t="shared" ca="1" si="140"/>
        <v>0</v>
      </c>
      <c r="V85" s="2041">
        <f ca="1">IF(W85=0,1,IF(W85&lt;=1,1,IF(W85&gt;1.1,-1,0)))</f>
        <v>1</v>
      </c>
      <c r="W85" s="1840">
        <f ca="1">IF(T85&lt;0,ROUND((U85-T85)/ABS(T85),3),IF(T85=0,0,ROUND(U85/T85,3)))</f>
        <v>0</v>
      </c>
    </row>
    <row r="86" spans="1:23" s="1137" customFormat="1" ht="14.25" customHeight="1" thickBot="1" x14ac:dyDescent="0.2">
      <c r="A86" s="1137" t="s">
        <v>1384</v>
      </c>
      <c r="B86" s="2042" t="s">
        <v>1471</v>
      </c>
      <c r="C86" s="2217"/>
      <c r="D86" s="2219"/>
      <c r="E86" s="1821" t="s">
        <v>35</v>
      </c>
      <c r="F86" s="1813">
        <f>IFERROR(IF(F$2&gt;$G$1,'☆事業所損益管理(H30.9～H31.8)(計画)'!F82,
GETPIVOTDATA("合計 / " &amp; $B86,【ピボット】事業所収支!$A$3,"年月",F$2,"事業所",$A86)),0)</f>
        <v>30864</v>
      </c>
      <c r="G86" s="1814">
        <f>IFERROR(IF(G$2&gt;$G$1,'☆事業所損益管理(H30.9～H31.8)(計画)'!G82,
GETPIVOTDATA("合計 / " &amp; $B86,【ピボット】事業所収支!$A$3,"年月",G$2,"事業所",$A86)),0)</f>
        <v>0</v>
      </c>
      <c r="H86" s="1814">
        <f>IFERROR(IF(H$2&gt;$G$1,'☆事業所損益管理(H30.9～H31.8)(計画)'!H82,
GETPIVOTDATA("合計 / " &amp; $B86,【ピボット】事業所収支!$A$3,"年月",H$2,"事業所",$A86)),0)</f>
        <v>17066</v>
      </c>
      <c r="I86" s="1814">
        <f>IFERROR(IF(I$2&gt;$G$1,'☆事業所損益管理(H30.9～H31.8)(計画)'!I82,
GETPIVOTDATA("合計 / " &amp; $B86,【ピボット】事業所収支!$A$3,"年月",I$2,"事業所",$A86)),0)</f>
        <v>18008</v>
      </c>
      <c r="J86" s="1814">
        <f>IFERROR(IF(J$2&gt;$G$1,'☆事業所損益管理(H30.9～H31.8)(計画)'!J82,
GETPIVOTDATA("合計 / " &amp; $B86,【ピボット】事業所収支!$A$3,"年月",J$2,"事業所",$A86)),0)</f>
        <v>185160</v>
      </c>
      <c r="K86" s="1814">
        <f>IFERROR(IF(K$2&gt;$G$1,'☆事業所損益管理(H30.9～H31.8)(計画)'!K82,
GETPIVOTDATA("合計 / " &amp; $B86,【ピボット】事業所収支!$A$3,"年月",K$2,"事業所",$A86)),0)</f>
        <v>188283</v>
      </c>
      <c r="L86" s="1814">
        <f>IFERROR(IF(L$2&gt;$G$1,'☆事業所損益管理(H30.9～H31.8)(計画)'!L82,
GETPIVOTDATA("合計 / " &amp; $B86,【ピボット】事業所収支!$A$3,"年月",L$2,"事業所",$A86)),0)</f>
        <v>133407</v>
      </c>
      <c r="M86" s="1814">
        <f>IFERROR(IF(M$2&gt;$G$1,'☆事業所損益管理(H30.9～H31.8)(計画)'!M82,
GETPIVOTDATA("合計 / " &amp; $B86,【ピボット】事業所収支!$A$3,"年月",M$2,"事業所",$A86)),0)</f>
        <v>153096</v>
      </c>
      <c r="N86" s="1891">
        <f>IFERROR(IF(N$2&gt;$G$1,'☆事業所損益管理(H30.9～H31.8)(計画)'!N82,
GETPIVOTDATA("合計 / " &amp; $B86,【ピボット】事業所収支!$A$3,"年月",N$2,"事業所",$A86)),0)</f>
        <v>517000</v>
      </c>
      <c r="O86" s="1891">
        <f>IFERROR(IF(O$2&gt;$G$1,'☆事業所損益管理(H30.9～H31.8)(計画)'!O82,
GETPIVOTDATA("合計 / " &amp; $B86,【ピボット】事業所収支!$A$3,"年月",O$2,"事業所",$A86)),0)</f>
        <v>517000</v>
      </c>
      <c r="P86" s="1891">
        <f>IFERROR(IF(P$2&gt;$G$1,'☆事業所損益管理(H30.9～H31.8)(計画)'!P82,
GETPIVOTDATA("合計 / " &amp; $B86,【ピボット】事業所収支!$A$3,"年月",P$2,"事業所",$A86)),0)</f>
        <v>547000</v>
      </c>
      <c r="Q86" s="1892">
        <f>IFERROR(IF(Q$2&gt;$G$1,'☆事業所損益管理(H30.9～H31.8)(計画)'!Q82,
GETPIVOTDATA("合計 / " &amp; $B86,【ピボット】事業所収支!$A$3,"年月",Q$2,"事業所",$A86)),0)</f>
        <v>517000</v>
      </c>
      <c r="R86" s="1843">
        <f t="shared" ca="1" si="137"/>
        <v>725884</v>
      </c>
      <c r="S86" s="1843">
        <f t="shared" ca="1" si="138"/>
        <v>90735.5</v>
      </c>
      <c r="T86" s="539">
        <f t="shared" si="139"/>
        <v>2823884</v>
      </c>
      <c r="U86" s="1825">
        <f t="shared" ca="1" si="140"/>
        <v>1088826</v>
      </c>
      <c r="V86" s="2041">
        <f ca="1">IF(W86=0,1,IF(W86&lt;=1,1,IF(W86&gt;1.1,-1,0)))</f>
        <v>1</v>
      </c>
      <c r="W86" s="1840">
        <f ca="1">IF(T86&lt;0,ROUND((U86-T86)/ABS(T86),3),IF(T86=0,0,ROUND(U86/T86,3)))</f>
        <v>0.38600000000000001</v>
      </c>
    </row>
    <row r="87" spans="1:23" s="1137" customFormat="1" ht="14.25" customHeight="1" thickBot="1" x14ac:dyDescent="0.2">
      <c r="A87" s="1137" t="s">
        <v>1384</v>
      </c>
      <c r="B87" s="2042" t="s">
        <v>1504</v>
      </c>
      <c r="C87" s="2217"/>
      <c r="D87" s="2219"/>
      <c r="E87" s="1821" t="s">
        <v>1507</v>
      </c>
      <c r="F87" s="1813">
        <f>IFERROR(GETPIVOTDATA("合計 / " &amp; $B87,【ピボット】事業所収支!$A$3,"年月",F$2,"事業所",$A87),0)</f>
        <v>0</v>
      </c>
      <c r="G87" s="1814">
        <f>IFERROR(GETPIVOTDATA("合計 / " &amp; $B87,【ピボット】事業所収支!$A$3,"年月",G$2,"事業所",$A87),0)</f>
        <v>0</v>
      </c>
      <c r="H87" s="1814">
        <f>IFERROR(GETPIVOTDATA("合計 / " &amp; $B87,【ピボット】事業所収支!$A$3,"年月",H$2,"事業所",$A87),0)</f>
        <v>0</v>
      </c>
      <c r="I87" s="1814">
        <f>IFERROR(GETPIVOTDATA("合計 / " &amp; $B87,【ピボット】事業所収支!$A$3,"年月",I$2,"事業所",$A87),0)</f>
        <v>0</v>
      </c>
      <c r="J87" s="1814">
        <f>IFERROR(GETPIVOTDATA("合計 / " &amp; $B87,【ピボット】事業所収支!$A$3,"年月",J$2,"事業所",$A87),0)</f>
        <v>0</v>
      </c>
      <c r="K87" s="1814">
        <f>IFERROR(GETPIVOTDATA("合計 / " &amp; $B87,【ピボット】事業所収支!$A$3,"年月",K$2,"事業所",$A87),0)</f>
        <v>0</v>
      </c>
      <c r="L87" s="1814">
        <f>IFERROR(GETPIVOTDATA("合計 / " &amp; $B87,【ピボット】事業所収支!$A$3,"年月",L$2,"事業所",$A87),0)</f>
        <v>0</v>
      </c>
      <c r="M87" s="1814">
        <f>IFERROR(GETPIVOTDATA("合計 / " &amp; $B87,【ピボット】事業所収支!$A$3,"年月",M$2,"事業所",$A87),0)</f>
        <v>0</v>
      </c>
      <c r="N87" s="1891">
        <f>IFERROR(GETPIVOTDATA("合計 / " &amp; $B87,【ピボット】事業所収支!$A$3,"年月",N$2,"事業所",$A87),0)</f>
        <v>0</v>
      </c>
      <c r="O87" s="1891">
        <f>IFERROR(GETPIVOTDATA("合計 / " &amp; $B87,【ピボット】事業所収支!$A$3,"年月",O$2,"事業所",$A87),0)</f>
        <v>0</v>
      </c>
      <c r="P87" s="1891">
        <f>IFERROR(GETPIVOTDATA("合計 / " &amp; $B87,【ピボット】事業所収支!$A$3,"年月",P$2,"事業所",$A87),0)</f>
        <v>0</v>
      </c>
      <c r="Q87" s="1892">
        <f>IFERROR(GETPIVOTDATA("合計 / " &amp; $B87,【ピボット】事業所収支!$A$3,"年月",Q$2,"事業所",$A87),0)</f>
        <v>0</v>
      </c>
      <c r="R87" s="1843">
        <f t="shared" ref="R87:R88" ca="1" si="155">SUM(OFFSET(F87,0,0,1,IF(ISERROR(MATCH(DATE(YEAR($G$1),MONTH($G$1),1),$F$2:$Q$2,0)),0,MATCH(DATE(YEAR($G$1),MONTH($G$1),1),$F$2:$Q$2,0))))</f>
        <v>0</v>
      </c>
      <c r="S87" s="1843">
        <f t="shared" ca="1" si="138"/>
        <v>0</v>
      </c>
      <c r="T87" s="1938"/>
      <c r="U87" s="1825">
        <f t="shared" ca="1" si="140"/>
        <v>0</v>
      </c>
      <c r="V87" s="2225"/>
      <c r="W87" s="2226"/>
    </row>
    <row r="88" spans="1:23" s="1137" customFormat="1" ht="14.25" customHeight="1" thickBot="1" x14ac:dyDescent="0.2">
      <c r="A88" s="1137" t="s">
        <v>1384</v>
      </c>
      <c r="B88" s="2039"/>
      <c r="C88" s="2217"/>
      <c r="D88" s="2219"/>
      <c r="E88" s="1821" t="s">
        <v>1434</v>
      </c>
      <c r="F88" s="1823">
        <f>F83-(F84+F86+F87)</f>
        <v>-30864</v>
      </c>
      <c r="G88" s="1824">
        <f t="shared" ref="G88" si="156">G83-(G84+G86+G87)</f>
        <v>0</v>
      </c>
      <c r="H88" s="1824">
        <f t="shared" ref="H88" si="157">H83-(H84+H86+H87)</f>
        <v>-1066</v>
      </c>
      <c r="I88" s="1824">
        <f t="shared" ref="I88" si="158">I83-(I84+I86+I87)</f>
        <v>21992</v>
      </c>
      <c r="J88" s="1824">
        <f t="shared" ref="J88" si="159">J83-(J84+J86+J87)</f>
        <v>-145160</v>
      </c>
      <c r="K88" s="1824">
        <f t="shared" ref="K88" si="160">K83-(K84+K86+K87)</f>
        <v>908505</v>
      </c>
      <c r="L88" s="1824">
        <f t="shared" ref="L88" si="161">L83-(L84+L86+L87)</f>
        <v>1132524</v>
      </c>
      <c r="M88" s="1824">
        <f t="shared" ref="M88" si="162">M83-(M84+M86+M87)</f>
        <v>1505886</v>
      </c>
      <c r="N88" s="1893">
        <f t="shared" ref="N88" si="163">N83-(N84+N86+N87)</f>
        <v>1133000</v>
      </c>
      <c r="O88" s="1893">
        <f t="shared" ref="O88" si="164">O83-(O84+O86+O87)</f>
        <v>1133000</v>
      </c>
      <c r="P88" s="1893">
        <f t="shared" ref="P88" si="165">P83-(P84+P86+P87)</f>
        <v>1103000</v>
      </c>
      <c r="Q88" s="1894">
        <f t="shared" ref="Q88" si="166">Q83-(Q84+Q86+Q87)</f>
        <v>1133000</v>
      </c>
      <c r="R88" s="1843">
        <f t="shared" ca="1" si="155"/>
        <v>3391817</v>
      </c>
      <c r="S88" s="1843">
        <f t="shared" ca="1" si="138"/>
        <v>423977.125</v>
      </c>
      <c r="T88" s="539">
        <f t="shared" ref="T88" si="167">SUM(F88:Q88)</f>
        <v>7893817</v>
      </c>
      <c r="U88" s="1825">
        <f t="shared" ca="1" si="140"/>
        <v>5087725.5</v>
      </c>
      <c r="V88" s="2043">
        <f ca="1">IFERROR(IF(W88&gt;=0,1,IF(W88&lt;-0.1,-1,0)),1)</f>
        <v>-1</v>
      </c>
      <c r="W88" s="1840">
        <f ca="1">IF(T88=0,1-(U84+U86)/U83,IF(T88=U88,0,ROUND((U88-T88)/ABS(T88),3)))</f>
        <v>-0.35499999999999998</v>
      </c>
    </row>
    <row r="89" spans="1:23" s="1137" customFormat="1" ht="14.25" customHeight="1" thickBot="1" x14ac:dyDescent="0.2">
      <c r="A89" s="1137" t="s">
        <v>1384</v>
      </c>
      <c r="B89" s="2039"/>
      <c r="C89" s="2217"/>
      <c r="D89" s="2219"/>
      <c r="E89" s="1128" t="s">
        <v>1197</v>
      </c>
      <c r="F89" s="1815">
        <f>'☆事業所損益管理(H30.9～H31.8)(計画)'!F84</f>
        <v>0</v>
      </c>
      <c r="G89" s="1816">
        <f>'☆事業所損益管理(H30.9～H31.8)(計画)'!G84</f>
        <v>0</v>
      </c>
      <c r="H89" s="1816">
        <f>'☆事業所損益管理(H30.9～H31.8)(計画)'!H84</f>
        <v>0</v>
      </c>
      <c r="I89" s="1816">
        <f>'☆事業所損益管理(H30.9～H31.8)(計画)'!I84</f>
        <v>0</v>
      </c>
      <c r="J89" s="1816">
        <f>'☆事業所損益管理(H30.9～H31.8)(計画)'!J84</f>
        <v>0</v>
      </c>
      <c r="K89" s="1816">
        <f>'☆事業所損益管理(H30.9～H31.8)(計画)'!K84</f>
        <v>900000</v>
      </c>
      <c r="L89" s="1816">
        <f>'☆事業所損益管理(H30.9～H31.8)(計画)'!L84</f>
        <v>900000</v>
      </c>
      <c r="M89" s="1816">
        <f>'☆事業所損益管理(H30.9～H31.8)(計画)'!M84</f>
        <v>900000</v>
      </c>
      <c r="N89" s="1895">
        <f>'☆事業所損益管理(H30.9～H31.8)(計画)'!N84</f>
        <v>900000</v>
      </c>
      <c r="O89" s="1895">
        <f>'☆事業所損益管理(H30.9～H31.8)(計画)'!O84</f>
        <v>900000</v>
      </c>
      <c r="P89" s="1895">
        <f>'☆事業所損益管理(H30.9～H31.8)(計画)'!P84</f>
        <v>900000</v>
      </c>
      <c r="Q89" s="1896">
        <f>'☆事業所損益管理(H30.9～H31.8)(計画)'!Q84</f>
        <v>900000</v>
      </c>
      <c r="R89" s="1844">
        <f t="shared" ca="1" si="137"/>
        <v>2700000</v>
      </c>
      <c r="S89" s="1844">
        <f t="shared" ca="1" si="138"/>
        <v>337500</v>
      </c>
      <c r="T89" s="533">
        <f t="shared" si="139"/>
        <v>6300000</v>
      </c>
      <c r="U89" s="527">
        <f t="shared" ca="1" si="140"/>
        <v>4050000</v>
      </c>
      <c r="V89" s="2225"/>
      <c r="W89" s="2226"/>
    </row>
    <row r="90" spans="1:23" s="1137" customFormat="1" ht="14.25" customHeight="1" thickBot="1" x14ac:dyDescent="0.2">
      <c r="A90" s="1137" t="s">
        <v>1384</v>
      </c>
      <c r="B90" s="2039"/>
      <c r="C90" s="2217"/>
      <c r="D90" s="2219"/>
      <c r="E90" s="1822" t="s">
        <v>1435</v>
      </c>
      <c r="F90" s="1860">
        <f t="shared" ref="F90:Q90" si="168">F88-F89</f>
        <v>-30864</v>
      </c>
      <c r="G90" s="1861">
        <f t="shared" si="168"/>
        <v>0</v>
      </c>
      <c r="H90" s="1861">
        <f t="shared" si="168"/>
        <v>-1066</v>
      </c>
      <c r="I90" s="1861">
        <f t="shared" si="168"/>
        <v>21992</v>
      </c>
      <c r="J90" s="1861">
        <f t="shared" si="168"/>
        <v>-145160</v>
      </c>
      <c r="K90" s="1861">
        <f t="shared" si="168"/>
        <v>8505</v>
      </c>
      <c r="L90" s="1861">
        <f t="shared" si="168"/>
        <v>232524</v>
      </c>
      <c r="M90" s="1861">
        <f t="shared" si="168"/>
        <v>605886</v>
      </c>
      <c r="N90" s="1897">
        <f t="shared" si="168"/>
        <v>233000</v>
      </c>
      <c r="O90" s="1897">
        <f t="shared" si="168"/>
        <v>233000</v>
      </c>
      <c r="P90" s="1897">
        <f t="shared" si="168"/>
        <v>203000</v>
      </c>
      <c r="Q90" s="1898">
        <f t="shared" si="168"/>
        <v>233000</v>
      </c>
      <c r="R90" s="1845">
        <f t="shared" ca="1" si="137"/>
        <v>691817</v>
      </c>
      <c r="S90" s="1845">
        <f t="shared" ca="1" si="138"/>
        <v>86477.125</v>
      </c>
      <c r="T90" s="530">
        <f t="shared" si="139"/>
        <v>1593817</v>
      </c>
      <c r="U90" s="1826">
        <f t="shared" ca="1" si="140"/>
        <v>1037725.5</v>
      </c>
      <c r="V90" s="2043">
        <f ca="1">IFERROR(IF(W90&gt;=0,1,IF(W90&lt;-0.1,-1,0)),1)</f>
        <v>-1</v>
      </c>
      <c r="W90" s="1840">
        <f ca="1">IF(T90=0,1-(U84+U86)/U83,IF(T90=U90,0,ROUND((U90-T90)/ABS(T90),3)))</f>
        <v>-0.34899999999999998</v>
      </c>
    </row>
    <row r="91" spans="1:23" s="1137" customFormat="1" ht="14.25" hidden="1" customHeight="1" outlineLevel="1" thickBot="1" x14ac:dyDescent="0.2">
      <c r="A91" s="2044" t="s">
        <v>1433</v>
      </c>
      <c r="B91" s="2039" t="str">
        <f>E91</f>
        <v>売上</v>
      </c>
      <c r="C91" s="2222" t="s">
        <v>1294</v>
      </c>
      <c r="D91" s="2218" t="s">
        <v>1441</v>
      </c>
      <c r="E91" s="1820" t="s">
        <v>26</v>
      </c>
      <c r="F91" s="1811">
        <f>IFERROR(IF(F$2&gt;$G$1,'☆事業所損益管理(H30.9～H31.8)(計画)'!F86,
GETPIVOTDATA("合計 / " &amp; $B91,【ピボット】事業所収支!$A$3,"年月",F$2,"事業所",$A91)),0)</f>
        <v>0</v>
      </c>
      <c r="G91" s="1812">
        <f>IFERROR(IF(G$2&gt;$G$1,'☆事業所損益管理(H30.9～H31.8)(計画)'!G86,
GETPIVOTDATA("合計 / " &amp; $B91,【ピボット】事業所収支!$A$3,"年月",G$2,"事業所",$A91)),0)</f>
        <v>0</v>
      </c>
      <c r="H91" s="1812">
        <f>IFERROR(IF(H$2&gt;$G$1,'☆事業所損益管理(H30.9～H31.8)(計画)'!H86,
GETPIVOTDATA("合計 / " &amp; $B91,【ピボット】事業所収支!$A$3,"年月",H$2,"事業所",$A91)),0)</f>
        <v>0</v>
      </c>
      <c r="I91" s="1812">
        <f>IFERROR(IF(I$2&gt;$G$1,'☆事業所損益管理(H30.9～H31.8)(計画)'!I86,
GETPIVOTDATA("合計 / " &amp; $B91,【ピボット】事業所収支!$A$3,"年月",I$2,"事業所",$A91)),0)</f>
        <v>0</v>
      </c>
      <c r="J91" s="1812">
        <f>IFERROR(IF(J$2&gt;$G$1,'☆事業所損益管理(H30.9～H31.8)(計画)'!J86,
GETPIVOTDATA("合計 / " &amp; $B91,【ピボット】事業所収支!$A$3,"年月",J$2,"事業所",$A91)),0)</f>
        <v>0</v>
      </c>
      <c r="K91" s="1812">
        <f>IFERROR(IF(K$2&gt;$G$1,'☆事業所損益管理(H30.9～H31.8)(計画)'!K86,
GETPIVOTDATA("合計 / " &amp; $B91,【ピボット】事業所収支!$A$3,"年月",K$2,"事業所",$A91)),0)</f>
        <v>0</v>
      </c>
      <c r="L91" s="1812">
        <f>IFERROR(IF(L$2&gt;$G$1,'☆事業所損益管理(H30.9～H31.8)(計画)'!L86,
GETPIVOTDATA("合計 / " &amp; $B91,【ピボット】事業所収支!$A$3,"年月",L$2,"事業所",$A91)),0)</f>
        <v>0</v>
      </c>
      <c r="M91" s="1812">
        <f>IFERROR(IF(M$2&gt;$G$1,'☆事業所損益管理(H30.9～H31.8)(計画)'!M86,
GETPIVOTDATA("合計 / " &amp; $B91,【ピボット】事業所収支!$A$3,"年月",M$2,"事業所",$A91)),0)</f>
        <v>0</v>
      </c>
      <c r="N91" s="1889">
        <f>IFERROR(IF(N$2&gt;$G$1,'☆事業所損益管理(H30.9～H31.8)(計画)'!N86,
GETPIVOTDATA("合計 / " &amp; $B91,【ピボット】事業所収支!$A$3,"年月",N$2,"事業所",$A91)),0)</f>
        <v>0</v>
      </c>
      <c r="O91" s="1889">
        <f>IFERROR(IF(O$2&gt;$G$1,'☆事業所損益管理(H30.9～H31.8)(計画)'!O86,
GETPIVOTDATA("合計 / " &amp; $B91,【ピボット】事業所収支!$A$3,"年月",O$2,"事業所",$A91)),0)</f>
        <v>2700000</v>
      </c>
      <c r="P91" s="1889">
        <f>IFERROR(IF(P$2&gt;$G$1,'☆事業所損益管理(H30.9～H31.8)(計画)'!P86,
GETPIVOTDATA("合計 / " &amp; $B91,【ピボット】事業所収支!$A$3,"年月",P$2,"事業所",$A91)),0)</f>
        <v>2700000</v>
      </c>
      <c r="Q91" s="1890">
        <f>IFERROR(IF(Q$2&gt;$G$1,'☆事業所損益管理(H30.9～H31.8)(計画)'!Q86,
GETPIVOTDATA("合計 / " &amp; $B91,【ピボット】事業所収支!$A$3,"年月",Q$2,"事業所",$A91)),0)</f>
        <v>2700000</v>
      </c>
      <c r="R91" s="1842">
        <f t="shared" ca="1" si="137"/>
        <v>0</v>
      </c>
      <c r="S91" s="1842">
        <f t="shared" ca="1" si="138"/>
        <v>0</v>
      </c>
      <c r="T91" s="538">
        <f t="shared" si="139"/>
        <v>8100000</v>
      </c>
      <c r="U91" s="1827">
        <f t="shared" ca="1" si="140"/>
        <v>0</v>
      </c>
      <c r="V91" s="2040">
        <f ca="1">IF(W91=0,1,IF(W91&gt;=1,1,IF(W91&lt;0.9,-1,0)))</f>
        <v>1</v>
      </c>
      <c r="W91" s="1839">
        <f ca="1">IF(T91&lt;0,ROUND((U91-T91)/ABS(T91),3),IF(T91=0,0,ROUND(U91/T91,3)))</f>
        <v>0</v>
      </c>
    </row>
    <row r="92" spans="1:23" s="1137" customFormat="1" ht="14.25" hidden="1" customHeight="1" outlineLevel="1" thickBot="1" x14ac:dyDescent="0.2">
      <c r="A92" s="2044" t="s">
        <v>1433</v>
      </c>
      <c r="B92" s="2039" t="str">
        <f>E92</f>
        <v>人件費</v>
      </c>
      <c r="C92" s="2222"/>
      <c r="D92" s="2219"/>
      <c r="E92" s="1821" t="s">
        <v>15</v>
      </c>
      <c r="F92" s="1813">
        <f>IFERROR(IF(F$2&gt;$G$1,'☆事業所損益管理(H30.9～H31.8)(計画)'!F87,
GETPIVOTDATA("合計 / " &amp; $B92,【ピボット】事業所収支!$A$3,"年月",F$2,"事業所",$A92)),0)</f>
        <v>0</v>
      </c>
      <c r="G92" s="1814">
        <f>IFERROR(IF(G$2&gt;$G$1,'☆事業所損益管理(H30.9～H31.8)(計画)'!G87,
GETPIVOTDATA("合計 / " &amp; $B92,【ピボット】事業所収支!$A$3,"年月",G$2,"事業所",$A92)),0)</f>
        <v>0</v>
      </c>
      <c r="H92" s="1814">
        <f>IFERROR(IF(H$2&gt;$G$1,'☆事業所損益管理(H30.9～H31.8)(計画)'!H87,
GETPIVOTDATA("合計 / " &amp; $B92,【ピボット】事業所収支!$A$3,"年月",H$2,"事業所",$A92)),0)</f>
        <v>0</v>
      </c>
      <c r="I92" s="1814">
        <f>IFERROR(IF(I$2&gt;$G$1,'☆事業所損益管理(H30.9～H31.8)(計画)'!I87,
GETPIVOTDATA("合計 / " &amp; $B92,【ピボット】事業所収支!$A$3,"年月",I$2,"事業所",$A92)),0)</f>
        <v>0</v>
      </c>
      <c r="J92" s="1814">
        <f>IFERROR(IF(J$2&gt;$G$1,'☆事業所損益管理(H30.9～H31.8)(計画)'!J87,
GETPIVOTDATA("合計 / " &amp; $B92,【ピボット】事業所収支!$A$3,"年月",J$2,"事業所",$A92)),0)</f>
        <v>0</v>
      </c>
      <c r="K92" s="1814">
        <f>IFERROR(IF(K$2&gt;$G$1,'☆事業所損益管理(H30.9～H31.8)(計画)'!K87,
GETPIVOTDATA("合計 / " &amp; $B92,【ピボット】事業所収支!$A$3,"年月",K$2,"事業所",$A92)),0)</f>
        <v>0</v>
      </c>
      <c r="L92" s="1814">
        <f>IFERROR(IF(L$2&gt;$G$1,'☆事業所損益管理(H30.9～H31.8)(計画)'!L87,
GETPIVOTDATA("合計 / " &amp; $B92,【ピボット】事業所収支!$A$3,"年月",L$2,"事業所",$A92)),0)</f>
        <v>0</v>
      </c>
      <c r="M92" s="1814">
        <f>IFERROR(IF(M$2&gt;$G$1,'☆事業所損益管理(H30.9～H31.8)(計画)'!M87,
GETPIVOTDATA("合計 / " &amp; $B92,【ピボット】事業所収支!$A$3,"年月",M$2,"事業所",$A92)),0)</f>
        <v>0</v>
      </c>
      <c r="N92" s="1891">
        <f>IFERROR(IF(N$2&gt;$G$1,'☆事業所損益管理(H30.9～H31.8)(計画)'!N87,
GETPIVOTDATA("合計 / " &amp; $B92,【ピボット】事業所収支!$A$3,"年月",N$2,"事業所",$A92)),0)</f>
        <v>0</v>
      </c>
      <c r="O92" s="1891">
        <f>IFERROR(IF(O$2&gt;$G$1,'☆事業所損益管理(H30.9～H31.8)(計画)'!O87,
GETPIVOTDATA("合計 / " &amp; $B92,【ピボット】事業所収支!$A$3,"年月",O$2,"事業所",$A92)),0)</f>
        <v>500000</v>
      </c>
      <c r="P92" s="1891">
        <f>IFERROR(IF(P$2&gt;$G$1,'☆事業所損益管理(H30.9～H31.8)(計画)'!P87,
GETPIVOTDATA("合計 / " &amp; $B92,【ピボット】事業所収支!$A$3,"年月",P$2,"事業所",$A92)),0)</f>
        <v>500000</v>
      </c>
      <c r="Q92" s="1892">
        <f>IFERROR(IF(Q$2&gt;$G$1,'☆事業所損益管理(H30.9～H31.8)(計画)'!Q87,
GETPIVOTDATA("合計 / " &amp; $B92,【ピボット】事業所収支!$A$3,"年月",Q$2,"事業所",$A92)),0)</f>
        <v>500000</v>
      </c>
      <c r="R92" s="1843">
        <f t="shared" ca="1" si="137"/>
        <v>0</v>
      </c>
      <c r="S92" s="1843">
        <f t="shared" ca="1" si="138"/>
        <v>0</v>
      </c>
      <c r="T92" s="539">
        <f t="shared" si="139"/>
        <v>1500000</v>
      </c>
      <c r="U92" s="1825">
        <f t="shared" ca="1" si="140"/>
        <v>0</v>
      </c>
      <c r="V92" s="2041">
        <f ca="1">IF(W92=0,1,IF(W92&lt;=1,1,IF(W92&gt;1.1,-1,0)))</f>
        <v>1</v>
      </c>
      <c r="W92" s="1840">
        <f ca="1">IF(T92&lt;0,ROUND((U92-T92)/ABS(T92),3),IF(T92=0,0,ROUND(U92/T92,3)))</f>
        <v>0</v>
      </c>
    </row>
    <row r="93" spans="1:23" s="1137" customFormat="1" ht="14.25" hidden="1" customHeight="1" outlineLevel="1" thickBot="1" x14ac:dyDescent="0.2">
      <c r="A93" s="2044" t="s">
        <v>1433</v>
      </c>
      <c r="B93" s="2039" t="str">
        <f>E93</f>
        <v>広告経費</v>
      </c>
      <c r="C93" s="2222"/>
      <c r="D93" s="2219"/>
      <c r="E93" s="1821" t="s">
        <v>447</v>
      </c>
      <c r="F93" s="1813">
        <f>IFERROR(IF(F$2&gt;$G$1,'☆事業所損益管理(H30.9～H31.8)(計画)'!F88,
GETPIVOTDATA("合計 / " &amp; $B93,【ピボット】事業所収支!$A$3,"年月",F$2,"事業所",$A93)),0)</f>
        <v>0</v>
      </c>
      <c r="G93" s="1814">
        <f>IFERROR(IF(G$2&gt;$G$1,'☆事業所損益管理(H30.9～H31.8)(計画)'!G88,
GETPIVOTDATA("合計 / " &amp; $B93,【ピボット】事業所収支!$A$3,"年月",G$2,"事業所",$A93)),0)</f>
        <v>0</v>
      </c>
      <c r="H93" s="1814">
        <f>IFERROR(IF(H$2&gt;$G$1,'☆事業所損益管理(H30.9～H31.8)(計画)'!H88,
GETPIVOTDATA("合計 / " &amp; $B93,【ピボット】事業所収支!$A$3,"年月",H$2,"事業所",$A93)),0)</f>
        <v>0</v>
      </c>
      <c r="I93" s="1814">
        <f>IFERROR(IF(I$2&gt;$G$1,'☆事業所損益管理(H30.9～H31.8)(計画)'!I88,
GETPIVOTDATA("合計 / " &amp; $B93,【ピボット】事業所収支!$A$3,"年月",I$2,"事業所",$A93)),0)</f>
        <v>0</v>
      </c>
      <c r="J93" s="1814">
        <f>IFERROR(IF(J$2&gt;$G$1,'☆事業所損益管理(H30.9～H31.8)(計画)'!J88,
GETPIVOTDATA("合計 / " &amp; $B93,【ピボット】事業所収支!$A$3,"年月",J$2,"事業所",$A93)),0)</f>
        <v>0</v>
      </c>
      <c r="K93" s="1814">
        <f>IFERROR(IF(K$2&gt;$G$1,'☆事業所損益管理(H30.9～H31.8)(計画)'!K88,
GETPIVOTDATA("合計 / " &amp; $B93,【ピボット】事業所収支!$A$3,"年月",K$2,"事業所",$A93)),0)</f>
        <v>0</v>
      </c>
      <c r="L93" s="1814">
        <f>IFERROR(IF(L$2&gt;$G$1,'☆事業所損益管理(H30.9～H31.8)(計画)'!L88,
GETPIVOTDATA("合計 / " &amp; $B93,【ピボット】事業所収支!$A$3,"年月",L$2,"事業所",$A93)),0)</f>
        <v>0</v>
      </c>
      <c r="M93" s="1814">
        <f>IFERROR(IF(M$2&gt;$G$1,'☆事業所損益管理(H30.9～H31.8)(計画)'!M88,
GETPIVOTDATA("合計 / " &amp; $B93,【ピボット】事業所収支!$A$3,"年月",M$2,"事業所",$A93)),0)</f>
        <v>0</v>
      </c>
      <c r="N93" s="1891">
        <f>IFERROR(IF(N$2&gt;$G$1,'☆事業所損益管理(H30.9～H31.8)(計画)'!N88,
GETPIVOTDATA("合計 / " &amp; $B93,【ピボット】事業所収支!$A$3,"年月",N$2,"事業所",$A93)),0)</f>
        <v>30000</v>
      </c>
      <c r="O93" s="1891">
        <f>IFERROR(IF(O$2&gt;$G$1,'☆事業所損益管理(H30.9～H31.8)(計画)'!O88,
GETPIVOTDATA("合計 / " &amp; $B93,【ピボット】事業所収支!$A$3,"年月",O$2,"事業所",$A93)),0)</f>
        <v>0</v>
      </c>
      <c r="P93" s="1891">
        <f>IFERROR(IF(P$2&gt;$G$1,'☆事業所損益管理(H30.9～H31.8)(計画)'!P88,
GETPIVOTDATA("合計 / " &amp; $B93,【ピボット】事業所収支!$A$3,"年月",P$2,"事業所",$A93)),0)</f>
        <v>30000</v>
      </c>
      <c r="Q93" s="1892">
        <f>IFERROR(IF(Q$2&gt;$G$1,'☆事業所損益管理(H30.9～H31.8)(計画)'!Q88,
GETPIVOTDATA("合計 / " &amp; $B93,【ピボット】事業所収支!$A$3,"年月",Q$2,"事業所",$A93)),0)</f>
        <v>0</v>
      </c>
      <c r="R93" s="1843">
        <f t="shared" ca="1" si="137"/>
        <v>0</v>
      </c>
      <c r="S93" s="1843">
        <f t="shared" ca="1" si="138"/>
        <v>0</v>
      </c>
      <c r="T93" s="539">
        <f t="shared" si="139"/>
        <v>60000</v>
      </c>
      <c r="U93" s="1825">
        <f t="shared" ca="1" si="140"/>
        <v>0</v>
      </c>
      <c r="V93" s="2041">
        <f ca="1">IF(W93=0,1,IF(W93&lt;=1,1,IF(W93&gt;1.1,-1,0)))</f>
        <v>1</v>
      </c>
      <c r="W93" s="1840">
        <f ca="1">IF(T93&lt;0,ROUND((U93-T93)/ABS(T93),3),IF(T93=0,0,ROUND(U93/T93,3)))</f>
        <v>0</v>
      </c>
    </row>
    <row r="94" spans="1:23" s="1137" customFormat="1" ht="14.25" hidden="1" customHeight="1" outlineLevel="1" thickBot="1" x14ac:dyDescent="0.2">
      <c r="A94" s="2044" t="s">
        <v>1300</v>
      </c>
      <c r="B94" s="2042" t="s">
        <v>1230</v>
      </c>
      <c r="C94" s="2222"/>
      <c r="D94" s="2219"/>
      <c r="E94" s="1821" t="s">
        <v>35</v>
      </c>
      <c r="F94" s="1813">
        <f>IFERROR(IF(F$2&gt;$G$1,'☆事業所損益管理(H30.9～H31.8)(計画)'!F89,
GETPIVOTDATA("合計 / " &amp; $B94,【ピボット】事業所収支!$A$3,"年月",F$2,"事業所",$A94)),0)</f>
        <v>0</v>
      </c>
      <c r="G94" s="1814">
        <f>IFERROR(IF(G$2&gt;$G$1,'☆事業所損益管理(H30.9～H31.8)(計画)'!G89,
GETPIVOTDATA("合計 / " &amp; $B94,【ピボット】事業所収支!$A$3,"年月",G$2,"事業所",$A94)),0)</f>
        <v>0</v>
      </c>
      <c r="H94" s="1814">
        <f>IFERROR(IF(H$2&gt;$G$1,'☆事業所損益管理(H30.9～H31.8)(計画)'!H89,
GETPIVOTDATA("合計 / " &amp; $B94,【ピボット】事業所収支!$A$3,"年月",H$2,"事業所",$A94)),0)</f>
        <v>0</v>
      </c>
      <c r="I94" s="1814">
        <f>IFERROR(IF(I$2&gt;$G$1,'☆事業所損益管理(H30.9～H31.8)(計画)'!I89,
GETPIVOTDATA("合計 / " &amp; $B94,【ピボット】事業所収支!$A$3,"年月",I$2,"事業所",$A94)),0)</f>
        <v>0</v>
      </c>
      <c r="J94" s="1814">
        <f>IFERROR(IF(J$2&gt;$G$1,'☆事業所損益管理(H30.9～H31.8)(計画)'!J89,
GETPIVOTDATA("合計 / " &amp; $B94,【ピボット】事業所収支!$A$3,"年月",J$2,"事業所",$A94)),0)</f>
        <v>0</v>
      </c>
      <c r="K94" s="1814">
        <f>IFERROR(IF(K$2&gt;$G$1,'☆事業所損益管理(H30.9～H31.8)(計画)'!K89,
GETPIVOTDATA("合計 / " &amp; $B94,【ピボット】事業所収支!$A$3,"年月",K$2,"事業所",$A94)),0)</f>
        <v>0</v>
      </c>
      <c r="L94" s="1814">
        <f>IFERROR(IF(L$2&gt;$G$1,'☆事業所損益管理(H30.9～H31.8)(計画)'!L89,
GETPIVOTDATA("合計 / " &amp; $B94,【ピボット】事業所収支!$A$3,"年月",L$2,"事業所",$A94)),0)</f>
        <v>0</v>
      </c>
      <c r="M94" s="1814">
        <f>IFERROR(IF(M$2&gt;$G$1,'☆事業所損益管理(H30.9～H31.8)(計画)'!M89,
GETPIVOTDATA("合計 / " &amp; $B94,【ピボット】事業所収支!$A$3,"年月",M$2,"事業所",$A94)),0)</f>
        <v>0</v>
      </c>
      <c r="N94" s="1891">
        <f>IFERROR(IF(N$2&gt;$G$1,'☆事業所損益管理(H30.9～H31.8)(計画)'!N89,
GETPIVOTDATA("合計 / " &amp; $B94,【ピボット】事業所収支!$A$3,"年月",N$2,"事業所",$A94)),0)</f>
        <v>283000</v>
      </c>
      <c r="O94" s="1891">
        <f>IFERROR(IF(O$2&gt;$G$1,'☆事業所損益管理(H30.9～H31.8)(計画)'!O89,
GETPIVOTDATA("合計 / " &amp; $B94,【ピボット】事業所収支!$A$3,"年月",O$2,"事業所",$A94)),0)</f>
        <v>947000</v>
      </c>
      <c r="P94" s="1891">
        <f>IFERROR(IF(P$2&gt;$G$1,'☆事業所損益管理(H30.9～H31.8)(計画)'!P89,
GETPIVOTDATA("合計 / " &amp; $B94,【ピボット】事業所収支!$A$3,"年月",P$2,"事業所",$A94)),0)</f>
        <v>802000</v>
      </c>
      <c r="Q94" s="1892">
        <f>IFERROR(IF(Q$2&gt;$G$1,'☆事業所損益管理(H30.9～H31.8)(計画)'!Q89,
GETPIVOTDATA("合計 / " &amp; $B94,【ピボット】事業所収支!$A$3,"年月",Q$2,"事業所",$A94)),0)</f>
        <v>813000</v>
      </c>
      <c r="R94" s="1843">
        <f t="shared" ca="1" si="137"/>
        <v>0</v>
      </c>
      <c r="S94" s="1843">
        <f t="shared" ca="1" si="138"/>
        <v>0</v>
      </c>
      <c r="T94" s="539">
        <f t="shared" si="139"/>
        <v>2845000</v>
      </c>
      <c r="U94" s="1825">
        <f t="shared" ca="1" si="140"/>
        <v>0</v>
      </c>
      <c r="V94" s="2041">
        <f ca="1">IF(W94=0,1,IF(W94&lt;=1,1,IF(W94&gt;1.1,-1,0)))</f>
        <v>1</v>
      </c>
      <c r="W94" s="1840">
        <f ca="1">IF(T94&lt;0,ROUND((U94-T94)/ABS(T94),3),IF(T94=0,0,ROUND(U94/T94,3)))</f>
        <v>0</v>
      </c>
    </row>
    <row r="95" spans="1:23" s="1137" customFormat="1" ht="14.25" hidden="1" customHeight="1" outlineLevel="1" thickBot="1" x14ac:dyDescent="0.2">
      <c r="A95" s="2044" t="s">
        <v>1300</v>
      </c>
      <c r="B95" s="2042" t="s">
        <v>1504</v>
      </c>
      <c r="C95" s="2222"/>
      <c r="D95" s="2219"/>
      <c r="E95" s="1821" t="s">
        <v>1507</v>
      </c>
      <c r="F95" s="1813">
        <f>IFERROR(GETPIVOTDATA("合計 / " &amp; $B95,【ピボット】事業所収支!$A$3,"年月",F$2,"事業所",$A95),0)</f>
        <v>0</v>
      </c>
      <c r="G95" s="1814">
        <f>IFERROR(GETPIVOTDATA("合計 / " &amp; $B95,【ピボット】事業所収支!$A$3,"年月",G$2,"事業所",$A95),0)</f>
        <v>0</v>
      </c>
      <c r="H95" s="1814">
        <f>IFERROR(GETPIVOTDATA("合計 / " &amp; $B95,【ピボット】事業所収支!$A$3,"年月",H$2,"事業所",$A95),0)</f>
        <v>0</v>
      </c>
      <c r="I95" s="1814">
        <f>IFERROR(GETPIVOTDATA("合計 / " &amp; $B95,【ピボット】事業所収支!$A$3,"年月",I$2,"事業所",$A95),0)</f>
        <v>0</v>
      </c>
      <c r="J95" s="1814">
        <f>IFERROR(GETPIVOTDATA("合計 / " &amp; $B95,【ピボット】事業所収支!$A$3,"年月",J$2,"事業所",$A95),0)</f>
        <v>0</v>
      </c>
      <c r="K95" s="1814">
        <f>IFERROR(GETPIVOTDATA("合計 / " &amp; $B95,【ピボット】事業所収支!$A$3,"年月",K$2,"事業所",$A95),0)</f>
        <v>0</v>
      </c>
      <c r="L95" s="1814">
        <f>IFERROR(GETPIVOTDATA("合計 / " &amp; $B95,【ピボット】事業所収支!$A$3,"年月",L$2,"事業所",$A95),0)</f>
        <v>0</v>
      </c>
      <c r="M95" s="1814">
        <f>IFERROR(GETPIVOTDATA("合計 / " &amp; $B95,【ピボット】事業所収支!$A$3,"年月",M$2,"事業所",$A95),0)</f>
        <v>0</v>
      </c>
      <c r="N95" s="1891">
        <f>IFERROR(GETPIVOTDATA("合計 / " &amp; $B95,【ピボット】事業所収支!$A$3,"年月",N$2,"事業所",$A95),0)</f>
        <v>0</v>
      </c>
      <c r="O95" s="1891">
        <f>IFERROR(GETPIVOTDATA("合計 / " &amp; $B95,【ピボット】事業所収支!$A$3,"年月",O$2,"事業所",$A95),0)</f>
        <v>0</v>
      </c>
      <c r="P95" s="1891">
        <f>IFERROR(GETPIVOTDATA("合計 / " &amp; $B95,【ピボット】事業所収支!$A$3,"年月",P$2,"事業所",$A95),0)</f>
        <v>0</v>
      </c>
      <c r="Q95" s="1892">
        <f>IFERROR(GETPIVOTDATA("合計 / " &amp; $B95,【ピボット】事業所収支!$A$3,"年月",Q$2,"事業所",$A95),0)</f>
        <v>0</v>
      </c>
      <c r="R95" s="1843">
        <f t="shared" ref="R95:R96" ca="1" si="169">SUM(OFFSET(F95,0,0,1,IF(ISERROR(MATCH(DATE(YEAR($G$1),MONTH($G$1),1),$F$2:$Q$2,0)),0,MATCH(DATE(YEAR($G$1),MONTH($G$1),1),$F$2:$Q$2,0))))</f>
        <v>0</v>
      </c>
      <c r="S95" s="1843">
        <f t="shared" ca="1" si="138"/>
        <v>0</v>
      </c>
      <c r="T95" s="1938"/>
      <c r="U95" s="1825">
        <f t="shared" ca="1" si="140"/>
        <v>0</v>
      </c>
      <c r="V95" s="2225"/>
      <c r="W95" s="2226"/>
    </row>
    <row r="96" spans="1:23" s="1137" customFormat="1" ht="14.25" hidden="1" customHeight="1" outlineLevel="1" thickBot="1" x14ac:dyDescent="0.2">
      <c r="A96" s="2044" t="s">
        <v>1433</v>
      </c>
      <c r="B96" s="2039"/>
      <c r="C96" s="2222"/>
      <c r="D96" s="2219"/>
      <c r="E96" s="1821" t="s">
        <v>1434</v>
      </c>
      <c r="F96" s="1823">
        <f>F91-(F92+F94+F95)</f>
        <v>0</v>
      </c>
      <c r="G96" s="1824">
        <f t="shared" ref="G96" si="170">G91-(G92+G94+G95)</f>
        <v>0</v>
      </c>
      <c r="H96" s="1824">
        <f t="shared" ref="H96" si="171">H91-(H92+H94+H95)</f>
        <v>0</v>
      </c>
      <c r="I96" s="1824">
        <f t="shared" ref="I96" si="172">I91-(I92+I94+I95)</f>
        <v>0</v>
      </c>
      <c r="J96" s="1824">
        <f t="shared" ref="J96" si="173">J91-(J92+J94+J95)</f>
        <v>0</v>
      </c>
      <c r="K96" s="1824">
        <f t="shared" ref="K96" si="174">K91-(K92+K94+K95)</f>
        <v>0</v>
      </c>
      <c r="L96" s="1824">
        <f t="shared" ref="L96" si="175">L91-(L92+L94+L95)</f>
        <v>0</v>
      </c>
      <c r="M96" s="1824">
        <f t="shared" ref="M96" si="176">M91-(M92+M94+M95)</f>
        <v>0</v>
      </c>
      <c r="N96" s="1893">
        <f t="shared" ref="N96" si="177">N91-(N92+N94+N95)</f>
        <v>-283000</v>
      </c>
      <c r="O96" s="1893">
        <f t="shared" ref="O96" si="178">O91-(O92+O94+O95)</f>
        <v>1253000</v>
      </c>
      <c r="P96" s="1893">
        <f t="shared" ref="P96" si="179">P91-(P92+P94+P95)</f>
        <v>1398000</v>
      </c>
      <c r="Q96" s="1894">
        <f t="shared" ref="Q96" si="180">Q91-(Q92+Q94+Q95)</f>
        <v>1387000</v>
      </c>
      <c r="R96" s="1843">
        <f t="shared" ca="1" si="169"/>
        <v>0</v>
      </c>
      <c r="S96" s="1843">
        <f t="shared" ca="1" si="138"/>
        <v>0</v>
      </c>
      <c r="T96" s="539">
        <f t="shared" ref="T96" si="181">SUM(F96:Q96)</f>
        <v>3755000</v>
      </c>
      <c r="U96" s="1825">
        <f t="shared" ca="1" si="140"/>
        <v>0</v>
      </c>
      <c r="V96" s="2043">
        <f ca="1">IFERROR(IF(W96&gt;=0,1,IF(W96&lt;-0.1,-1,0)),1)</f>
        <v>-1</v>
      </c>
      <c r="W96" s="1840">
        <f ca="1">IF(T96=0,1-(U92+U94)/U91,IF(T96=U96,0,ROUND((U96-T96)/ABS(T96),3)))</f>
        <v>-1</v>
      </c>
    </row>
    <row r="97" spans="1:23" s="1137" customFormat="1" ht="14.25" hidden="1" customHeight="1" outlineLevel="1" thickBot="1" x14ac:dyDescent="0.2">
      <c r="A97" s="2044" t="s">
        <v>1433</v>
      </c>
      <c r="B97" s="2039"/>
      <c r="C97" s="2222"/>
      <c r="D97" s="2219"/>
      <c r="E97" s="1128" t="s">
        <v>1197</v>
      </c>
      <c r="F97" s="1815">
        <f>'☆事業所損益管理(H30.9～H31.8)(計画)'!F91</f>
        <v>0</v>
      </c>
      <c r="G97" s="1816">
        <f>'☆事業所損益管理(H30.9～H31.8)(計画)'!G91</f>
        <v>0</v>
      </c>
      <c r="H97" s="1816">
        <f>'☆事業所損益管理(H30.9～H31.8)(計画)'!H91</f>
        <v>0</v>
      </c>
      <c r="I97" s="1816">
        <f>'☆事業所損益管理(H30.9～H31.8)(計画)'!I91</f>
        <v>0</v>
      </c>
      <c r="J97" s="1816">
        <f>'☆事業所損益管理(H30.9～H31.8)(計画)'!J91</f>
        <v>0</v>
      </c>
      <c r="K97" s="1816">
        <f>'☆事業所損益管理(H30.9～H31.8)(計画)'!K91</f>
        <v>0</v>
      </c>
      <c r="L97" s="1816">
        <f>'☆事業所損益管理(H30.9～H31.8)(計画)'!L91</f>
        <v>0</v>
      </c>
      <c r="M97" s="1816">
        <f>'☆事業所損益管理(H30.9～H31.8)(計画)'!M91</f>
        <v>0</v>
      </c>
      <c r="N97" s="1895">
        <f>'☆事業所損益管理(H30.9～H31.8)(計画)'!N91</f>
        <v>0</v>
      </c>
      <c r="O97" s="1895">
        <f>'☆事業所損益管理(H30.9～H31.8)(計画)'!O91</f>
        <v>1200000</v>
      </c>
      <c r="P97" s="1895">
        <f>'☆事業所損益管理(H30.9～H31.8)(計画)'!P91</f>
        <v>1200000</v>
      </c>
      <c r="Q97" s="1896">
        <f>'☆事業所損益管理(H30.9～H31.8)(計画)'!Q91</f>
        <v>1200000</v>
      </c>
      <c r="R97" s="1844">
        <f t="shared" ca="1" si="137"/>
        <v>0</v>
      </c>
      <c r="S97" s="1844">
        <f t="shared" ca="1" si="138"/>
        <v>0</v>
      </c>
      <c r="T97" s="533">
        <f t="shared" si="139"/>
        <v>3600000</v>
      </c>
      <c r="U97" s="527">
        <f t="shared" ca="1" si="140"/>
        <v>0</v>
      </c>
      <c r="V97" s="2225"/>
      <c r="W97" s="2226"/>
    </row>
    <row r="98" spans="1:23" s="1137" customFormat="1" ht="14.25" hidden="1" customHeight="1" outlineLevel="1" thickBot="1" x14ac:dyDescent="0.2">
      <c r="A98" s="2044" t="s">
        <v>1433</v>
      </c>
      <c r="B98" s="2039"/>
      <c r="C98" s="2222"/>
      <c r="D98" s="2219"/>
      <c r="E98" s="1822" t="s">
        <v>1435</v>
      </c>
      <c r="F98" s="1860">
        <f t="shared" ref="F98:Q98" si="182">F96-F97</f>
        <v>0</v>
      </c>
      <c r="G98" s="1861">
        <f t="shared" si="182"/>
        <v>0</v>
      </c>
      <c r="H98" s="1861">
        <f t="shared" si="182"/>
        <v>0</v>
      </c>
      <c r="I98" s="1861">
        <f t="shared" si="182"/>
        <v>0</v>
      </c>
      <c r="J98" s="1861">
        <f t="shared" si="182"/>
        <v>0</v>
      </c>
      <c r="K98" s="1861">
        <f t="shared" si="182"/>
        <v>0</v>
      </c>
      <c r="L98" s="1861">
        <f t="shared" si="182"/>
        <v>0</v>
      </c>
      <c r="M98" s="1861">
        <f t="shared" si="182"/>
        <v>0</v>
      </c>
      <c r="N98" s="1897">
        <f t="shared" si="182"/>
        <v>-283000</v>
      </c>
      <c r="O98" s="1897">
        <f t="shared" si="182"/>
        <v>53000</v>
      </c>
      <c r="P98" s="1897">
        <f t="shared" si="182"/>
        <v>198000</v>
      </c>
      <c r="Q98" s="1898">
        <f t="shared" si="182"/>
        <v>187000</v>
      </c>
      <c r="R98" s="1845">
        <f t="shared" ca="1" si="137"/>
        <v>0</v>
      </c>
      <c r="S98" s="1845">
        <f t="shared" ca="1" si="138"/>
        <v>0</v>
      </c>
      <c r="T98" s="530">
        <f t="shared" si="139"/>
        <v>155000</v>
      </c>
      <c r="U98" s="1826">
        <f t="shared" ca="1" si="140"/>
        <v>0</v>
      </c>
      <c r="V98" s="2043">
        <f ca="1">IFERROR(IF(W98&gt;=0,1,IF(W98&lt;-0.1,-1,0)),1)</f>
        <v>-1</v>
      </c>
      <c r="W98" s="1840">
        <f ca="1">IF(T98=0,1-(U92+U94)/U91,IF(T98=U98,0,ROUND((U98-T98)/ABS(T98),3)))</f>
        <v>-1</v>
      </c>
    </row>
    <row r="99" spans="1:23" s="1137" customFormat="1" ht="14.25" customHeight="1" collapsed="1" thickBot="1" x14ac:dyDescent="0.2">
      <c r="A99" s="2044" t="s">
        <v>1429</v>
      </c>
      <c r="B99" s="2039" t="str">
        <f>E99</f>
        <v>売上</v>
      </c>
      <c r="C99" s="2220" t="s">
        <v>337</v>
      </c>
      <c r="D99" s="2218" t="s">
        <v>1441</v>
      </c>
      <c r="E99" s="1820" t="s">
        <v>26</v>
      </c>
      <c r="F99" s="1811">
        <f>IFERROR(IF(F$2&gt;$G$1,'☆事業所損益管理(H30.9～H31.8)(計画)'!F93,
GETPIVOTDATA("合計 / " &amp; $B99,【ピボット】事業所収支!$A$3,"年月",F$2,"事業所",$A99)),0)</f>
        <v>1128956</v>
      </c>
      <c r="G99" s="1812">
        <f>IFERROR(IF(G$2&gt;$G$1,'☆事業所損益管理(H30.9～H31.8)(計画)'!G93,
GETPIVOTDATA("合計 / " &amp; $B99,【ピボット】事業所収支!$A$3,"年月",G$2,"事業所",$A99)),0)</f>
        <v>0</v>
      </c>
      <c r="H99" s="1812">
        <f>IFERROR(IF(H$2&gt;$G$1,'☆事業所損益管理(H30.9～H31.8)(計画)'!H93,
GETPIVOTDATA("合計 / " &amp; $B99,【ピボット】事業所収支!$A$3,"年月",H$2,"事業所",$A99)),0)</f>
        <v>0</v>
      </c>
      <c r="I99" s="1812">
        <f>IFERROR(IF(I$2&gt;$G$1,'☆事業所損益管理(H30.9～H31.8)(計画)'!I93,
GETPIVOTDATA("合計 / " &amp; $B99,【ピボット】事業所収支!$A$3,"年月",I$2,"事業所",$A99)),0)</f>
        <v>0</v>
      </c>
      <c r="J99" s="1812">
        <f>IFERROR(IF(J$2&gt;$G$1,'☆事業所損益管理(H30.9～H31.8)(計画)'!J93,
GETPIVOTDATA("合計 / " &amp; $B99,【ピボット】事業所収支!$A$3,"年月",J$2,"事業所",$A99)),0)</f>
        <v>0</v>
      </c>
      <c r="K99" s="1812">
        <f>IFERROR(IF(K$2&gt;$G$1,'☆事業所損益管理(H30.9～H31.8)(計画)'!K93,
GETPIVOTDATA("合計 / " &amp; $B99,【ピボット】事業所収支!$A$3,"年月",K$2,"事業所",$A99)),0)</f>
        <v>0</v>
      </c>
      <c r="L99" s="1812">
        <f>IFERROR(IF(L$2&gt;$G$1,'☆事業所損益管理(H30.9～H31.8)(計画)'!L93,
GETPIVOTDATA("合計 / " &amp; $B99,【ピボット】事業所収支!$A$3,"年月",L$2,"事業所",$A99)),0)</f>
        <v>0</v>
      </c>
      <c r="M99" s="1812">
        <f>IFERROR(IF(M$2&gt;$G$1,'☆事業所損益管理(H30.9～H31.8)(計画)'!M93,
GETPIVOTDATA("合計 / " &amp; $B99,【ピボット】事業所収支!$A$3,"年月",M$2,"事業所",$A99)),0)</f>
        <v>0</v>
      </c>
      <c r="N99" s="1889">
        <f>IFERROR(IF(N$2&gt;$G$1,'☆事業所損益管理(H30.9～H31.8)(計画)'!N93,
GETPIVOTDATA("合計 / " &amp; $B99,【ピボット】事業所収支!$A$3,"年月",N$2,"事業所",$A99)),0)</f>
        <v>0</v>
      </c>
      <c r="O99" s="1889">
        <f>IFERROR(IF(O$2&gt;$G$1,'☆事業所損益管理(H30.9～H31.8)(計画)'!O93,
GETPIVOTDATA("合計 / " &amp; $B99,【ピボット】事業所収支!$A$3,"年月",O$2,"事業所",$A99)),0)</f>
        <v>0</v>
      </c>
      <c r="P99" s="1889">
        <f>IFERROR(IF(P$2&gt;$G$1,'☆事業所損益管理(H30.9～H31.8)(計画)'!P93,
GETPIVOTDATA("合計 / " &amp; $B99,【ピボット】事業所収支!$A$3,"年月",P$2,"事業所",$A99)),0)</f>
        <v>0</v>
      </c>
      <c r="Q99" s="1890">
        <f>IFERROR(IF(Q$2&gt;$G$1,'☆事業所損益管理(H30.9～H31.8)(計画)'!Q93,
GETPIVOTDATA("合計 / " &amp; $B99,【ピボット】事業所収支!$A$3,"年月",Q$2,"事業所",$A99)),0)</f>
        <v>0</v>
      </c>
      <c r="R99" s="1842">
        <f t="shared" ca="1" si="137"/>
        <v>1128956</v>
      </c>
      <c r="S99" s="1842">
        <f t="shared" ca="1" si="138"/>
        <v>141119.5</v>
      </c>
      <c r="T99" s="538">
        <f t="shared" ref="T99:T123" si="183">SUM(F99:Q99)</f>
        <v>1128956</v>
      </c>
      <c r="U99" s="1827">
        <f t="shared" ca="1" si="140"/>
        <v>1693434</v>
      </c>
      <c r="V99" s="2040">
        <f ca="1">IF(W99=0,1,IF(W99&gt;=1,1,IF(W99&lt;0.9,-1,0)))</f>
        <v>1</v>
      </c>
      <c r="W99" s="1839">
        <f ca="1">IF(T99&lt;0,ROUND((U99-T99)/ABS(T99),3),IF(T99=0,0,ROUND(U99/T99,3)))</f>
        <v>1.5</v>
      </c>
    </row>
    <row r="100" spans="1:23" s="1137" customFormat="1" ht="14.25" customHeight="1" thickBot="1" x14ac:dyDescent="0.2">
      <c r="A100" s="2044" t="s">
        <v>1429</v>
      </c>
      <c r="B100" s="2039" t="str">
        <f>E100</f>
        <v>人件費</v>
      </c>
      <c r="C100" s="2220"/>
      <c r="D100" s="2219"/>
      <c r="E100" s="1821" t="s">
        <v>15</v>
      </c>
      <c r="F100" s="1813">
        <f>IFERROR(IF(F$2&gt;$G$1,'☆事業所損益管理(H30.9～H31.8)(計画)'!F94,
GETPIVOTDATA("合計 / " &amp; $B100,【ピボット】事業所収支!$A$3,"年月",F$2,"事業所",$A100)),0)</f>
        <v>685027</v>
      </c>
      <c r="G100" s="1814">
        <f>IFERROR(IF(G$2&gt;$G$1,'☆事業所損益管理(H30.9～H31.8)(計画)'!G94,
GETPIVOTDATA("合計 / " &amp; $B100,【ピボット】事業所収支!$A$3,"年月",G$2,"事業所",$A100)),0)</f>
        <v>0</v>
      </c>
      <c r="H100" s="1814">
        <f>IFERROR(IF(H$2&gt;$G$1,'☆事業所損益管理(H30.9～H31.8)(計画)'!H94,
GETPIVOTDATA("合計 / " &amp; $B100,【ピボット】事業所収支!$A$3,"年月",H$2,"事業所",$A100)),0)</f>
        <v>0</v>
      </c>
      <c r="I100" s="1814">
        <f>IFERROR(IF(I$2&gt;$G$1,'☆事業所損益管理(H30.9～H31.8)(計画)'!I94,
GETPIVOTDATA("合計 / " &amp; $B100,【ピボット】事業所収支!$A$3,"年月",I$2,"事業所",$A100)),0)</f>
        <v>0</v>
      </c>
      <c r="J100" s="1814">
        <f>IFERROR(IF(J$2&gt;$G$1,'☆事業所損益管理(H30.9～H31.8)(計画)'!J94,
GETPIVOTDATA("合計 / " &amp; $B100,【ピボット】事業所収支!$A$3,"年月",J$2,"事業所",$A100)),0)</f>
        <v>0</v>
      </c>
      <c r="K100" s="1814">
        <f>IFERROR(IF(K$2&gt;$G$1,'☆事業所損益管理(H30.9～H31.8)(計画)'!K94,
GETPIVOTDATA("合計 / " &amp; $B100,【ピボット】事業所収支!$A$3,"年月",K$2,"事業所",$A100)),0)</f>
        <v>0</v>
      </c>
      <c r="L100" s="1814">
        <f>IFERROR(IF(L$2&gt;$G$1,'☆事業所損益管理(H30.9～H31.8)(計画)'!L94,
GETPIVOTDATA("合計 / " &amp; $B100,【ピボット】事業所収支!$A$3,"年月",L$2,"事業所",$A100)),0)</f>
        <v>0</v>
      </c>
      <c r="M100" s="1814">
        <f>IFERROR(IF(M$2&gt;$G$1,'☆事業所損益管理(H30.9～H31.8)(計画)'!M94,
GETPIVOTDATA("合計 / " &amp; $B100,【ピボット】事業所収支!$A$3,"年月",M$2,"事業所",$A100)),0)</f>
        <v>0</v>
      </c>
      <c r="N100" s="1891">
        <f>IFERROR(IF(N$2&gt;$G$1,'☆事業所損益管理(H30.9～H31.8)(計画)'!N94,
GETPIVOTDATA("合計 / " &amp; $B100,【ピボット】事業所収支!$A$3,"年月",N$2,"事業所",$A100)),0)</f>
        <v>0</v>
      </c>
      <c r="O100" s="1891">
        <f>IFERROR(IF(O$2&gt;$G$1,'☆事業所損益管理(H30.9～H31.8)(計画)'!O94,
GETPIVOTDATA("合計 / " &amp; $B100,【ピボット】事業所収支!$A$3,"年月",O$2,"事業所",$A100)),0)</f>
        <v>0</v>
      </c>
      <c r="P100" s="1891">
        <f>IFERROR(IF(P$2&gt;$G$1,'☆事業所損益管理(H30.9～H31.8)(計画)'!P94,
GETPIVOTDATA("合計 / " &amp; $B100,【ピボット】事業所収支!$A$3,"年月",P$2,"事業所",$A100)),0)</f>
        <v>0</v>
      </c>
      <c r="Q100" s="1892">
        <f>IFERROR(IF(Q$2&gt;$G$1,'☆事業所損益管理(H30.9～H31.8)(計画)'!Q94,
GETPIVOTDATA("合計 / " &amp; $B100,【ピボット】事業所収支!$A$3,"年月",Q$2,"事業所",$A100)),0)</f>
        <v>0</v>
      </c>
      <c r="R100" s="1843">
        <f t="shared" ca="1" si="137"/>
        <v>685027</v>
      </c>
      <c r="S100" s="1843">
        <f t="shared" ca="1" si="138"/>
        <v>85628.375</v>
      </c>
      <c r="T100" s="539">
        <f t="shared" si="183"/>
        <v>685027</v>
      </c>
      <c r="U100" s="1825">
        <f t="shared" ca="1" si="140"/>
        <v>1027540.5</v>
      </c>
      <c r="V100" s="2041">
        <f ca="1">IF(W100=0,1,IF(W100&lt;=1,1,IF(W100&gt;1.1,-1,0)))</f>
        <v>-1</v>
      </c>
      <c r="W100" s="1840">
        <f ca="1">IF(T100&lt;0,ROUND((U100-T100)/ABS(T100),3),IF(T100=0,0,ROUND(U100/T100,3)))</f>
        <v>1.5</v>
      </c>
    </row>
    <row r="101" spans="1:23" s="1137" customFormat="1" ht="14.25" customHeight="1" thickBot="1" x14ac:dyDescent="0.2">
      <c r="A101" s="2044" t="s">
        <v>1429</v>
      </c>
      <c r="B101" s="2039" t="str">
        <f>E101</f>
        <v>広告経費</v>
      </c>
      <c r="C101" s="2220"/>
      <c r="D101" s="2219"/>
      <c r="E101" s="1821" t="s">
        <v>447</v>
      </c>
      <c r="F101" s="1813">
        <f>IFERROR(IF(F$2&gt;$G$1,'☆事業所損益管理(H30.9～H31.8)(計画)'!F95,
GETPIVOTDATA("合計 / " &amp; $B101,【ピボット】事業所収支!$A$3,"年月",F$2,"事業所",$A101)),0)</f>
        <v>0</v>
      </c>
      <c r="G101" s="1814">
        <f>IFERROR(IF(G$2&gt;$G$1,'☆事業所損益管理(H30.9～H31.8)(計画)'!G95,
GETPIVOTDATA("合計 / " &amp; $B101,【ピボット】事業所収支!$A$3,"年月",G$2,"事業所",$A101)),0)</f>
        <v>0</v>
      </c>
      <c r="H101" s="1814">
        <f>IFERROR(IF(H$2&gt;$G$1,'☆事業所損益管理(H30.9～H31.8)(計画)'!H95,
GETPIVOTDATA("合計 / " &amp; $B101,【ピボット】事業所収支!$A$3,"年月",H$2,"事業所",$A101)),0)</f>
        <v>0</v>
      </c>
      <c r="I101" s="1814">
        <f>IFERROR(IF(I$2&gt;$G$1,'☆事業所損益管理(H30.9～H31.8)(計画)'!I95,
GETPIVOTDATA("合計 / " &amp; $B101,【ピボット】事業所収支!$A$3,"年月",I$2,"事業所",$A101)),0)</f>
        <v>0</v>
      </c>
      <c r="J101" s="1814">
        <f>IFERROR(IF(J$2&gt;$G$1,'☆事業所損益管理(H30.9～H31.8)(計画)'!J95,
GETPIVOTDATA("合計 / " &amp; $B101,【ピボット】事業所収支!$A$3,"年月",J$2,"事業所",$A101)),0)</f>
        <v>0</v>
      </c>
      <c r="K101" s="1814">
        <f>IFERROR(IF(K$2&gt;$G$1,'☆事業所損益管理(H30.9～H31.8)(計画)'!K95,
GETPIVOTDATA("合計 / " &amp; $B101,【ピボット】事業所収支!$A$3,"年月",K$2,"事業所",$A101)),0)</f>
        <v>0</v>
      </c>
      <c r="L101" s="1814">
        <f>IFERROR(IF(L$2&gt;$G$1,'☆事業所損益管理(H30.9～H31.8)(計画)'!L95,
GETPIVOTDATA("合計 / " &amp; $B101,【ピボット】事業所収支!$A$3,"年月",L$2,"事業所",$A101)),0)</f>
        <v>0</v>
      </c>
      <c r="M101" s="1814">
        <f>IFERROR(IF(M$2&gt;$G$1,'☆事業所損益管理(H30.9～H31.8)(計画)'!M95,
GETPIVOTDATA("合計 / " &amp; $B101,【ピボット】事業所収支!$A$3,"年月",M$2,"事業所",$A101)),0)</f>
        <v>0</v>
      </c>
      <c r="N101" s="1891">
        <f>IFERROR(IF(N$2&gt;$G$1,'☆事業所損益管理(H30.9～H31.8)(計画)'!N95,
GETPIVOTDATA("合計 / " &amp; $B101,【ピボット】事業所収支!$A$3,"年月",N$2,"事業所",$A101)),0)</f>
        <v>0</v>
      </c>
      <c r="O101" s="1891">
        <f>IFERROR(IF(O$2&gt;$G$1,'☆事業所損益管理(H30.9～H31.8)(計画)'!O95,
GETPIVOTDATA("合計 / " &amp; $B101,【ピボット】事業所収支!$A$3,"年月",O$2,"事業所",$A101)),0)</f>
        <v>0</v>
      </c>
      <c r="P101" s="1891">
        <f>IFERROR(IF(P$2&gt;$G$1,'☆事業所損益管理(H30.9～H31.8)(計画)'!P95,
GETPIVOTDATA("合計 / " &amp; $B101,【ピボット】事業所収支!$A$3,"年月",P$2,"事業所",$A101)),0)</f>
        <v>0</v>
      </c>
      <c r="Q101" s="1892">
        <f>IFERROR(IF(Q$2&gt;$G$1,'☆事業所損益管理(H30.9～H31.8)(計画)'!Q95,
GETPIVOTDATA("合計 / " &amp; $B101,【ピボット】事業所収支!$A$3,"年月",Q$2,"事業所",$A101)),0)</f>
        <v>0</v>
      </c>
      <c r="R101" s="1843">
        <f t="shared" ca="1" si="137"/>
        <v>0</v>
      </c>
      <c r="S101" s="1843">
        <f t="shared" ca="1" si="138"/>
        <v>0</v>
      </c>
      <c r="T101" s="539">
        <f t="shared" si="183"/>
        <v>0</v>
      </c>
      <c r="U101" s="1825">
        <f t="shared" ca="1" si="140"/>
        <v>0</v>
      </c>
      <c r="V101" s="2041">
        <f>IF(W101=0,1,IF(W101&lt;=1,1,IF(W101&gt;1.1,-1,0)))</f>
        <v>1</v>
      </c>
      <c r="W101" s="1840">
        <f>IF(T101&lt;0,ROUND((U101-T101)/ABS(T101),3),IF(T101=0,0,ROUND(U101/T101,3)))</f>
        <v>0</v>
      </c>
    </row>
    <row r="102" spans="1:23" s="1137" customFormat="1" ht="14.25" customHeight="1" thickBot="1" x14ac:dyDescent="0.2">
      <c r="A102" s="2044" t="s">
        <v>1429</v>
      </c>
      <c r="B102" s="2042" t="s">
        <v>1230</v>
      </c>
      <c r="C102" s="2220"/>
      <c r="D102" s="2219"/>
      <c r="E102" s="1821" t="s">
        <v>35</v>
      </c>
      <c r="F102" s="1813">
        <f>IFERROR(IF(F$2&gt;$G$1,'☆事業所損益管理(H30.9～H31.8)(計画)'!F96,
GETPIVOTDATA("合計 / " &amp; $B102,【ピボット】事業所収支!$A$3,"年月",F$2,"事業所",$A102)),0)</f>
        <v>540758</v>
      </c>
      <c r="G102" s="1814">
        <f>IFERROR(IF(G$2&gt;$G$1,'☆事業所損益管理(H30.9～H31.8)(計画)'!G96,
GETPIVOTDATA("合計 / " &amp; $B102,【ピボット】事業所収支!$A$3,"年月",G$2,"事業所",$A102)),0)</f>
        <v>0</v>
      </c>
      <c r="H102" s="1814">
        <f>IFERROR(IF(H$2&gt;$G$1,'☆事業所損益管理(H30.9～H31.8)(計画)'!H96,
GETPIVOTDATA("合計 / " &amp; $B102,【ピボット】事業所収支!$A$3,"年月",H$2,"事業所",$A102)),0)</f>
        <v>0</v>
      </c>
      <c r="I102" s="1814">
        <f>IFERROR(IF(I$2&gt;$G$1,'☆事業所損益管理(H30.9～H31.8)(計画)'!I96,
GETPIVOTDATA("合計 / " &amp; $B102,【ピボット】事業所収支!$A$3,"年月",I$2,"事業所",$A102)),0)</f>
        <v>0</v>
      </c>
      <c r="J102" s="1814">
        <f>IFERROR(IF(J$2&gt;$G$1,'☆事業所損益管理(H30.9～H31.8)(計画)'!J96,
GETPIVOTDATA("合計 / " &amp; $B102,【ピボット】事業所収支!$A$3,"年月",J$2,"事業所",$A102)),0)</f>
        <v>0</v>
      </c>
      <c r="K102" s="1814">
        <f>IFERROR(IF(K$2&gt;$G$1,'☆事業所損益管理(H30.9～H31.8)(計画)'!K96,
GETPIVOTDATA("合計 / " &amp; $B102,【ピボット】事業所収支!$A$3,"年月",K$2,"事業所",$A102)),0)</f>
        <v>0</v>
      </c>
      <c r="L102" s="1814">
        <f>IFERROR(IF(L$2&gt;$G$1,'☆事業所損益管理(H30.9～H31.8)(計画)'!L96,
GETPIVOTDATA("合計 / " &amp; $B102,【ピボット】事業所収支!$A$3,"年月",L$2,"事業所",$A102)),0)</f>
        <v>0</v>
      </c>
      <c r="M102" s="1814">
        <f>IFERROR(IF(M$2&gt;$G$1,'☆事業所損益管理(H30.9～H31.8)(計画)'!M96,
GETPIVOTDATA("合計 / " &amp; $B102,【ピボット】事業所収支!$A$3,"年月",M$2,"事業所",$A102)),0)</f>
        <v>0</v>
      </c>
      <c r="N102" s="1891">
        <f>IFERROR(IF(N$2&gt;$G$1,'☆事業所損益管理(H30.9～H31.8)(計画)'!N96,
GETPIVOTDATA("合計 / " &amp; $B102,【ピボット】事業所収支!$A$3,"年月",N$2,"事業所",$A102)),0)</f>
        <v>0</v>
      </c>
      <c r="O102" s="1891">
        <f>IFERROR(IF(O$2&gt;$G$1,'☆事業所損益管理(H30.9～H31.8)(計画)'!O96,
GETPIVOTDATA("合計 / " &amp; $B102,【ピボット】事業所収支!$A$3,"年月",O$2,"事業所",$A102)),0)</f>
        <v>0</v>
      </c>
      <c r="P102" s="1891">
        <f>IFERROR(IF(P$2&gt;$G$1,'☆事業所損益管理(H30.9～H31.8)(計画)'!P96,
GETPIVOTDATA("合計 / " &amp; $B102,【ピボット】事業所収支!$A$3,"年月",P$2,"事業所",$A102)),0)</f>
        <v>0</v>
      </c>
      <c r="Q102" s="1892">
        <f>IFERROR(IF(Q$2&gt;$G$1,'☆事業所損益管理(H30.9～H31.8)(計画)'!Q96,
GETPIVOTDATA("合計 / " &amp; $B102,【ピボット】事業所収支!$A$3,"年月",Q$2,"事業所",$A102)),0)</f>
        <v>0</v>
      </c>
      <c r="R102" s="1843">
        <f t="shared" ca="1" si="137"/>
        <v>540758</v>
      </c>
      <c r="S102" s="1843">
        <f t="shared" ca="1" si="138"/>
        <v>67594.75</v>
      </c>
      <c r="T102" s="539">
        <f t="shared" si="183"/>
        <v>540758</v>
      </c>
      <c r="U102" s="1825">
        <f t="shared" ca="1" si="140"/>
        <v>811137</v>
      </c>
      <c r="V102" s="2041">
        <f ca="1">IF(W102=0,1,IF(W102&lt;=1,1,IF(W102&gt;1.1,-1,0)))</f>
        <v>-1</v>
      </c>
      <c r="W102" s="1840">
        <f ca="1">IF(T102&lt;0,ROUND((U102-T102)/ABS(T102),3),IF(T102=0,0,ROUND(U102/T102,3)))</f>
        <v>1.5</v>
      </c>
    </row>
    <row r="103" spans="1:23" s="1137" customFormat="1" ht="14.25" customHeight="1" thickBot="1" x14ac:dyDescent="0.2">
      <c r="A103" s="2044" t="s">
        <v>1429</v>
      </c>
      <c r="B103" s="2042" t="s">
        <v>1504</v>
      </c>
      <c r="C103" s="2220"/>
      <c r="D103" s="2219"/>
      <c r="E103" s="1821" t="s">
        <v>1507</v>
      </c>
      <c r="F103" s="1813">
        <f>IFERROR(GETPIVOTDATA("合計 / " &amp; $B103,【ピボット】事業所収支!$A$3,"年月",F$2,"事業所",$A103),0)</f>
        <v>0</v>
      </c>
      <c r="G103" s="1814">
        <f>IFERROR(GETPIVOTDATA("合計 / " &amp; $B103,【ピボット】事業所収支!$A$3,"年月",G$2,"事業所",$A103),0)</f>
        <v>0</v>
      </c>
      <c r="H103" s="1814">
        <f>IFERROR(GETPIVOTDATA("合計 / " &amp; $B103,【ピボット】事業所収支!$A$3,"年月",H$2,"事業所",$A103),0)</f>
        <v>0</v>
      </c>
      <c r="I103" s="1814">
        <f>IFERROR(GETPIVOTDATA("合計 / " &amp; $B103,【ピボット】事業所収支!$A$3,"年月",I$2,"事業所",$A103),0)</f>
        <v>0</v>
      </c>
      <c r="J103" s="1814">
        <f>IFERROR(GETPIVOTDATA("合計 / " &amp; $B103,【ピボット】事業所収支!$A$3,"年月",J$2,"事業所",$A103),0)</f>
        <v>0</v>
      </c>
      <c r="K103" s="1814">
        <f>IFERROR(GETPIVOTDATA("合計 / " &amp; $B103,【ピボット】事業所収支!$A$3,"年月",K$2,"事業所",$A103),0)</f>
        <v>0</v>
      </c>
      <c r="L103" s="1814">
        <f>IFERROR(GETPIVOTDATA("合計 / " &amp; $B103,【ピボット】事業所収支!$A$3,"年月",L$2,"事業所",$A103),0)</f>
        <v>0</v>
      </c>
      <c r="M103" s="1814">
        <f>IFERROR(GETPIVOTDATA("合計 / " &amp; $B103,【ピボット】事業所収支!$A$3,"年月",M$2,"事業所",$A103),0)</f>
        <v>0</v>
      </c>
      <c r="N103" s="1891">
        <f>IFERROR(GETPIVOTDATA("合計 / " &amp; $B103,【ピボット】事業所収支!$A$3,"年月",N$2,"事業所",$A103),0)</f>
        <v>0</v>
      </c>
      <c r="O103" s="1891">
        <f>IFERROR(GETPIVOTDATA("合計 / " &amp; $B103,【ピボット】事業所収支!$A$3,"年月",O$2,"事業所",$A103),0)</f>
        <v>0</v>
      </c>
      <c r="P103" s="1891">
        <f>IFERROR(GETPIVOTDATA("合計 / " &amp; $B103,【ピボット】事業所収支!$A$3,"年月",P$2,"事業所",$A103),0)</f>
        <v>0</v>
      </c>
      <c r="Q103" s="1892">
        <f>IFERROR(GETPIVOTDATA("合計 / " &amp; $B103,【ピボット】事業所収支!$A$3,"年月",Q$2,"事業所",$A103),0)</f>
        <v>0</v>
      </c>
      <c r="R103" s="1843">
        <f t="shared" ref="R103:R104" ca="1" si="184">SUM(OFFSET(F103,0,0,1,IF(ISERROR(MATCH(DATE(YEAR($G$1),MONTH($G$1),1),$F$2:$Q$2,0)),0,MATCH(DATE(YEAR($G$1),MONTH($G$1),1),$F$2:$Q$2,0))))</f>
        <v>0</v>
      </c>
      <c r="S103" s="1843">
        <f t="shared" ca="1" si="138"/>
        <v>0</v>
      </c>
      <c r="T103" s="1938"/>
      <c r="U103" s="1825">
        <f t="shared" ca="1" si="140"/>
        <v>0</v>
      </c>
      <c r="V103" s="2225"/>
      <c r="W103" s="2226"/>
    </row>
    <row r="104" spans="1:23" s="1137" customFormat="1" ht="14.25" customHeight="1" thickBot="1" x14ac:dyDescent="0.2">
      <c r="A104" s="2044" t="s">
        <v>1429</v>
      </c>
      <c r="B104" s="2039"/>
      <c r="C104" s="2220"/>
      <c r="D104" s="2219"/>
      <c r="E104" s="1821" t="s">
        <v>1434</v>
      </c>
      <c r="F104" s="1823">
        <f>F99-(F100+F102+F103)</f>
        <v>-96829</v>
      </c>
      <c r="G104" s="1824">
        <f t="shared" ref="G104" si="185">G99-(G100+G102+G103)</f>
        <v>0</v>
      </c>
      <c r="H104" s="1824">
        <f t="shared" ref="H104" si="186">H99-(H100+H102+H103)</f>
        <v>0</v>
      </c>
      <c r="I104" s="1824">
        <f t="shared" ref="I104" si="187">I99-(I100+I102+I103)</f>
        <v>0</v>
      </c>
      <c r="J104" s="1824">
        <f t="shared" ref="J104" si="188">J99-(J100+J102+J103)</f>
        <v>0</v>
      </c>
      <c r="K104" s="1824">
        <f t="shared" ref="K104" si="189">K99-(K100+K102+K103)</f>
        <v>0</v>
      </c>
      <c r="L104" s="1824">
        <f t="shared" ref="L104" si="190">L99-(L100+L102+L103)</f>
        <v>0</v>
      </c>
      <c r="M104" s="1824">
        <f t="shared" ref="M104" si="191">M99-(M100+M102+M103)</f>
        <v>0</v>
      </c>
      <c r="N104" s="1893">
        <f t="shared" ref="N104" si="192">N99-(N100+N102+N103)</f>
        <v>0</v>
      </c>
      <c r="O104" s="1893">
        <f t="shared" ref="O104" si="193">O99-(O100+O102+O103)</f>
        <v>0</v>
      </c>
      <c r="P104" s="1893">
        <f t="shared" ref="P104" si="194">P99-(P100+P102+P103)</f>
        <v>0</v>
      </c>
      <c r="Q104" s="1894">
        <f t="shared" ref="Q104" si="195">Q99-(Q100+Q102+Q103)</f>
        <v>0</v>
      </c>
      <c r="R104" s="1843">
        <f t="shared" ca="1" si="184"/>
        <v>-96829</v>
      </c>
      <c r="S104" s="1843">
        <f t="shared" ca="1" si="138"/>
        <v>-12103.625</v>
      </c>
      <c r="T104" s="539">
        <f t="shared" ref="T104" si="196">SUM(F104:Q104)</f>
        <v>-96829</v>
      </c>
      <c r="U104" s="1825">
        <f t="shared" ca="1" si="140"/>
        <v>-145243.5</v>
      </c>
      <c r="V104" s="2043">
        <f ca="1">IFERROR(IF(W104&gt;=0,1,IF(W104&lt;-0.1,-1,0)),1)</f>
        <v>-1</v>
      </c>
      <c r="W104" s="1840">
        <f ca="1">IF(T104=0,1-(U100+U102)/U99,IF(T104=U104,0,ROUND((U104-T104)/ABS(T104),3)))</f>
        <v>-0.5</v>
      </c>
    </row>
    <row r="105" spans="1:23" s="1137" customFormat="1" ht="14.25" customHeight="1" thickBot="1" x14ac:dyDescent="0.2">
      <c r="A105" s="2044" t="s">
        <v>1429</v>
      </c>
      <c r="B105" s="2039"/>
      <c r="C105" s="2220"/>
      <c r="D105" s="2219"/>
      <c r="E105" s="1128" t="s">
        <v>1197</v>
      </c>
      <c r="F105" s="1815">
        <f>IF(ISERROR(GETPIVOTDATA("合計 / " &amp; $B105,【ピボット】事業所収支!$A$3,"年月",F$2,"事業所",$A105)),
'☆事業所損益管理(H30.9～H31.8)(計画)'!F98,
GETPIVOTDATA("合計 / " &amp; $B105,【ピボット】事業所収支!$A$3,"年月",F$2,"事業所",$A105))</f>
        <v>0</v>
      </c>
      <c r="G105" s="1816">
        <f>IF(ISERROR(GETPIVOTDATA("合計 / " &amp; $B105,【ピボット】事業所収支!$A$3,"年月",G$2,"事業所",$A105)),
'☆事業所損益管理(H30.9～H31.8)(計画)'!G98,
GETPIVOTDATA("合計 / " &amp; $B105,【ピボット】事業所収支!$A$3,"年月",G$2,"事業所",$A105))</f>
        <v>0</v>
      </c>
      <c r="H105" s="1816">
        <f>IF(ISERROR(GETPIVOTDATA("合計 / " &amp; $B105,【ピボット】事業所収支!$A$3,"年月",H$2,"事業所",$A105)),
'☆事業所損益管理(H30.9～H31.8)(計画)'!H98,
GETPIVOTDATA("合計 / " &amp; $B105,【ピボット】事業所収支!$A$3,"年月",H$2,"事業所",$A105))</f>
        <v>0</v>
      </c>
      <c r="I105" s="1816">
        <f>IF(ISERROR(GETPIVOTDATA("合計 / " &amp; $B105,【ピボット】事業所収支!$A$3,"年月",I$2,"事業所",$A105)),
'☆事業所損益管理(H30.9～H31.8)(計画)'!I98,
GETPIVOTDATA("合計 / " &amp; $B105,【ピボット】事業所収支!$A$3,"年月",I$2,"事業所",$A105))</f>
        <v>0</v>
      </c>
      <c r="J105" s="1816">
        <f>IF(ISERROR(GETPIVOTDATA("合計 / " &amp; $B105,【ピボット】事業所収支!$A$3,"年月",J$2,"事業所",$A105)),
'☆事業所損益管理(H30.9～H31.8)(計画)'!J98,
GETPIVOTDATA("合計 / " &amp; $B105,【ピボット】事業所収支!$A$3,"年月",J$2,"事業所",$A105))</f>
        <v>0</v>
      </c>
      <c r="K105" s="1816">
        <f>IF(ISERROR(GETPIVOTDATA("合計 / " &amp; $B105,【ピボット】事業所収支!$A$3,"年月",K$2,"事業所",$A105)),
'☆事業所損益管理(H30.9～H31.8)(計画)'!K98,
GETPIVOTDATA("合計 / " &amp; $B105,【ピボット】事業所収支!$A$3,"年月",K$2,"事業所",$A105))</f>
        <v>0</v>
      </c>
      <c r="L105" s="1816">
        <f>IF(ISERROR(GETPIVOTDATA("合計 / " &amp; $B105,【ピボット】事業所収支!$A$3,"年月",L$2,"事業所",$A105)),
'☆事業所損益管理(H30.9～H31.8)(計画)'!L98,
GETPIVOTDATA("合計 / " &amp; $B105,【ピボット】事業所収支!$A$3,"年月",L$2,"事業所",$A105))</f>
        <v>0</v>
      </c>
      <c r="M105" s="1816">
        <f>IF(ISERROR(GETPIVOTDATA("合計 / " &amp; $B105,【ピボット】事業所収支!$A$3,"年月",M$2,"事業所",$A105)),
'☆事業所損益管理(H30.9～H31.8)(計画)'!M98,
GETPIVOTDATA("合計 / " &amp; $B105,【ピボット】事業所収支!$A$3,"年月",M$2,"事業所",$A105))</f>
        <v>0</v>
      </c>
      <c r="N105" s="1895">
        <f>IF(ISERROR(GETPIVOTDATA("合計 / " &amp; $B105,【ピボット】事業所収支!$A$3,"年月",N$2,"事業所",$A105)),
'☆事業所損益管理(H30.9～H31.8)(計画)'!N98,
GETPIVOTDATA("合計 / " &amp; $B105,【ピボット】事業所収支!$A$3,"年月",N$2,"事業所",$A105))</f>
        <v>0</v>
      </c>
      <c r="O105" s="1895">
        <f>IF(ISERROR(GETPIVOTDATA("合計 / " &amp; $B105,【ピボット】事業所収支!$A$3,"年月",O$2,"事業所",$A105)),
'☆事業所損益管理(H30.9～H31.8)(計画)'!O98,
GETPIVOTDATA("合計 / " &amp; $B105,【ピボット】事業所収支!$A$3,"年月",O$2,"事業所",$A105))</f>
        <v>0</v>
      </c>
      <c r="P105" s="1895">
        <f>IF(ISERROR(GETPIVOTDATA("合計 / " &amp; $B105,【ピボット】事業所収支!$A$3,"年月",P$2,"事業所",$A105)),
'☆事業所損益管理(H30.9～H31.8)(計画)'!P98,
GETPIVOTDATA("合計 / " &amp; $B105,【ピボット】事業所収支!$A$3,"年月",P$2,"事業所",$A105))</f>
        <v>0</v>
      </c>
      <c r="Q105" s="1896">
        <f>IF(ISERROR(GETPIVOTDATA("合計 / " &amp; $B105,【ピボット】事業所収支!$A$3,"年月",Q$2,"事業所",$A105)),
'☆事業所損益管理(H30.9～H31.8)(計画)'!Q98,
GETPIVOTDATA("合計 / " &amp; $B105,【ピボット】事業所収支!$A$3,"年月",Q$2,"事業所",$A105))</f>
        <v>0</v>
      </c>
      <c r="R105" s="1844">
        <f t="shared" ca="1" si="137"/>
        <v>0</v>
      </c>
      <c r="S105" s="1844">
        <f t="shared" ca="1" si="138"/>
        <v>0</v>
      </c>
      <c r="T105" s="533">
        <f t="shared" si="183"/>
        <v>0</v>
      </c>
      <c r="U105" s="527">
        <f t="shared" ca="1" si="140"/>
        <v>0</v>
      </c>
      <c r="V105" s="2225"/>
      <c r="W105" s="2226"/>
    </row>
    <row r="106" spans="1:23" s="1137" customFormat="1" ht="14.25" customHeight="1" thickBot="1" x14ac:dyDescent="0.2">
      <c r="A106" s="2044" t="s">
        <v>1429</v>
      </c>
      <c r="B106" s="2039"/>
      <c r="C106" s="2220"/>
      <c r="D106" s="2219"/>
      <c r="E106" s="1822" t="s">
        <v>1435</v>
      </c>
      <c r="F106" s="1860">
        <f t="shared" ref="F106:Q106" si="197">F104-F105</f>
        <v>-96829</v>
      </c>
      <c r="G106" s="1861">
        <f t="shared" si="197"/>
        <v>0</v>
      </c>
      <c r="H106" s="1861">
        <f t="shared" si="197"/>
        <v>0</v>
      </c>
      <c r="I106" s="1861">
        <f t="shared" si="197"/>
        <v>0</v>
      </c>
      <c r="J106" s="1861">
        <f t="shared" si="197"/>
        <v>0</v>
      </c>
      <c r="K106" s="1861">
        <f t="shared" si="197"/>
        <v>0</v>
      </c>
      <c r="L106" s="1861">
        <f t="shared" si="197"/>
        <v>0</v>
      </c>
      <c r="M106" s="1861">
        <f t="shared" si="197"/>
        <v>0</v>
      </c>
      <c r="N106" s="1897">
        <f t="shared" si="197"/>
        <v>0</v>
      </c>
      <c r="O106" s="1897">
        <f t="shared" si="197"/>
        <v>0</v>
      </c>
      <c r="P106" s="1897">
        <f t="shared" si="197"/>
        <v>0</v>
      </c>
      <c r="Q106" s="1898">
        <f t="shared" si="197"/>
        <v>0</v>
      </c>
      <c r="R106" s="1845">
        <f t="shared" ca="1" si="137"/>
        <v>-96829</v>
      </c>
      <c r="S106" s="1845">
        <f t="shared" ca="1" si="138"/>
        <v>-12103.625</v>
      </c>
      <c r="T106" s="530">
        <f t="shared" si="183"/>
        <v>-96829</v>
      </c>
      <c r="U106" s="1826">
        <f t="shared" ca="1" si="140"/>
        <v>-145243.5</v>
      </c>
      <c r="V106" s="2043">
        <f ca="1">IFERROR(IF(W106&gt;=0,1,IF(W106&lt;-0.1,-1,0)),1)</f>
        <v>-1</v>
      </c>
      <c r="W106" s="1840">
        <f ca="1">IF(T106=0,1-(U100+U102)/U99,IF(T106=U106,0,ROUND((U106-T106)/ABS(T106),3)))</f>
        <v>-0.5</v>
      </c>
    </row>
    <row r="107" spans="1:23" s="1137" customFormat="1" ht="14.25" customHeight="1" thickBot="1" x14ac:dyDescent="0.2">
      <c r="B107" s="2044" t="s">
        <v>1443</v>
      </c>
      <c r="C107" s="2045" t="s">
        <v>1478</v>
      </c>
      <c r="D107" s="2046" t="s">
        <v>1440</v>
      </c>
      <c r="E107" s="2047" t="s">
        <v>60</v>
      </c>
      <c r="F107" s="1811">
        <f>IFERROR(IF(F$2&gt;$G$1,'☆事業所損益管理(H30.9～H31.8)(計画)'!F100,0),0)</f>
        <v>0</v>
      </c>
      <c r="G107" s="1812">
        <f>IFERROR(IF(G$2&gt;$G$1,'☆事業所損益管理(H30.9～H31.8)(計画)'!G100,0),0)</f>
        <v>0</v>
      </c>
      <c r="H107" s="1812">
        <f>IFERROR(IF(H$2&gt;$G$1,'☆事業所損益管理(H30.9～H31.8)(計画)'!H100,0),0)</f>
        <v>0</v>
      </c>
      <c r="I107" s="1812">
        <f>IFERROR(IF(I$2&gt;$G$1,'☆事業所損益管理(H30.9～H31.8)(計画)'!I100,0),0)</f>
        <v>0</v>
      </c>
      <c r="J107" s="1812">
        <f>IFERROR(IF(J$2&gt;$G$1,'☆事業所損益管理(H30.9～H31.8)(計画)'!J100,0),0)</f>
        <v>0</v>
      </c>
      <c r="K107" s="1812">
        <f>IFERROR(IF(K$2&gt;$G$1,'☆事業所損益管理(H30.9～H31.8)(計画)'!K100,0),0)</f>
        <v>0</v>
      </c>
      <c r="L107" s="1812">
        <f>IFERROR(IF(L$2&gt;$G$1,'☆事業所損益管理(H30.9～H31.8)(計画)'!L100,0),0)</f>
        <v>0</v>
      </c>
      <c r="M107" s="1812">
        <f>IFERROR(IF(M$2&gt;$G$1,'☆事業所損益管理(H30.9～H31.8)(計画)'!M100,0),0)</f>
        <v>0</v>
      </c>
      <c r="N107" s="1889">
        <f>IFERROR(IF(N$2&gt;$G$1,'☆事業所損益管理(H30.9～H31.8)(計画)'!N100,0),0)</f>
        <v>0</v>
      </c>
      <c r="O107" s="1889">
        <f>IFERROR(IF(O$2&gt;$G$1,'☆事業所損益管理(H30.9～H31.8)(計画)'!O100,0),0)</f>
        <v>0</v>
      </c>
      <c r="P107" s="1889">
        <f>IFERROR(IF(P$2&gt;$G$1,'☆事業所損益管理(H30.9～H31.8)(計画)'!P100,0),0)</f>
        <v>0</v>
      </c>
      <c r="Q107" s="1890">
        <f>IFERROR(IF(Q$2&gt;$G$1,'☆事業所損益管理(H30.9～H31.8)(計画)'!Q100,0),0)</f>
        <v>2030000</v>
      </c>
      <c r="R107" s="1846">
        <f t="shared" ca="1" si="137"/>
        <v>0</v>
      </c>
      <c r="S107" s="1846">
        <f t="shared" ca="1" si="138"/>
        <v>0</v>
      </c>
      <c r="T107" s="1837">
        <f t="shared" si="183"/>
        <v>2030000</v>
      </c>
      <c r="U107" s="1834">
        <f t="shared" ca="1" si="140"/>
        <v>0</v>
      </c>
      <c r="V107" s="2048">
        <f ca="1">IF(W107=0,1,IF(W107&lt;=1,1,IF(W107&gt;1.1,-1,0)))</f>
        <v>1</v>
      </c>
      <c r="W107" s="1852">
        <f ca="1">IF(T107&lt;0,ROUND((U107-T107)/ABS(T107),3),IF(T107=0,0,ROUND(U107/T107,3)))</f>
        <v>0</v>
      </c>
    </row>
    <row r="108" spans="1:23" s="1137" customFormat="1" ht="14.25" customHeight="1" x14ac:dyDescent="0.15">
      <c r="C108" s="2214" t="s">
        <v>19</v>
      </c>
      <c r="D108" s="2211" t="s">
        <v>1442</v>
      </c>
      <c r="E108" s="1820" t="s">
        <v>26</v>
      </c>
      <c r="F108" s="1811">
        <f>F116+F3+F11+F19+F27+F35+F43+F51+F59+F67+F75+F83+F91+F99</f>
        <v>37521491</v>
      </c>
      <c r="G108" s="1812">
        <f t="shared" ref="G108:Q108" si="198">G116+G3+G11+G19+G27+G35+G43+G51+G59+G67+G75+G83+G91+G99</f>
        <v>41221792</v>
      </c>
      <c r="H108" s="1812">
        <f t="shared" si="198"/>
        <v>42264853</v>
      </c>
      <c r="I108" s="1812">
        <f t="shared" si="198"/>
        <v>40284538</v>
      </c>
      <c r="J108" s="1812">
        <f t="shared" si="198"/>
        <v>39982277</v>
      </c>
      <c r="K108" s="1812">
        <f t="shared" si="198"/>
        <v>38690450</v>
      </c>
      <c r="L108" s="1812">
        <f t="shared" si="198"/>
        <v>40045253</v>
      </c>
      <c r="M108" s="1812">
        <f t="shared" si="198"/>
        <v>41864718</v>
      </c>
      <c r="N108" s="1889">
        <f t="shared" si="198"/>
        <v>45260000</v>
      </c>
      <c r="O108" s="1889">
        <f t="shared" si="198"/>
        <v>46700000</v>
      </c>
      <c r="P108" s="1889">
        <f t="shared" si="198"/>
        <v>47350000</v>
      </c>
      <c r="Q108" s="1890">
        <f t="shared" si="198"/>
        <v>47700000</v>
      </c>
      <c r="R108" s="1842">
        <f t="shared" ca="1" si="137"/>
        <v>321875372</v>
      </c>
      <c r="S108" s="1842">
        <f t="shared" ca="1" si="138"/>
        <v>40234421.5</v>
      </c>
      <c r="T108" s="538">
        <f t="shared" si="183"/>
        <v>508885372</v>
      </c>
      <c r="U108" s="1827">
        <f t="shared" ca="1" si="140"/>
        <v>482813058</v>
      </c>
      <c r="V108" s="2040">
        <f ca="1">IF(W108=0,1,IF(W108&gt;=1,1,IF(W108&lt;0.9,-1,0)))</f>
        <v>0</v>
      </c>
      <c r="W108" s="1839">
        <f ca="1">IF(T108&lt;0,ROUND((U108-T108)/ABS(T108),3),IF(T108=0,0,ROUND(U108/T108,3)))</f>
        <v>0.94899999999999995</v>
      </c>
    </row>
    <row r="109" spans="1:23" s="1137" customFormat="1" ht="14.25" customHeight="1" x14ac:dyDescent="0.15">
      <c r="C109" s="2215"/>
      <c r="D109" s="2227"/>
      <c r="E109" s="1821" t="s">
        <v>15</v>
      </c>
      <c r="F109" s="1813">
        <f t="shared" ref="F109:Q109" si="199">F4+F12+F20+F28+F36+F44+F52+F60+F68+F76+F84+F92+F100</f>
        <v>21302326</v>
      </c>
      <c r="G109" s="1814">
        <f t="shared" si="199"/>
        <v>22175307</v>
      </c>
      <c r="H109" s="1814">
        <f t="shared" si="199"/>
        <v>22539619</v>
      </c>
      <c r="I109" s="1814">
        <f t="shared" si="199"/>
        <v>34723717</v>
      </c>
      <c r="J109" s="1814">
        <f t="shared" si="199"/>
        <v>23065496</v>
      </c>
      <c r="K109" s="1814">
        <f t="shared" si="199"/>
        <v>21497557</v>
      </c>
      <c r="L109" s="1814">
        <f t="shared" si="199"/>
        <v>22331929</v>
      </c>
      <c r="M109" s="1814">
        <f t="shared" si="199"/>
        <v>22301173</v>
      </c>
      <c r="N109" s="1891">
        <f t="shared" si="199"/>
        <v>23620000</v>
      </c>
      <c r="O109" s="1891">
        <f t="shared" si="199"/>
        <v>40210000</v>
      </c>
      <c r="P109" s="1891">
        <f t="shared" si="199"/>
        <v>24860000</v>
      </c>
      <c r="Q109" s="1892">
        <f t="shared" si="199"/>
        <v>24800000</v>
      </c>
      <c r="R109" s="1843">
        <f t="shared" ca="1" si="137"/>
        <v>189937124</v>
      </c>
      <c r="S109" s="1843">
        <f t="shared" ca="1" si="138"/>
        <v>23742140.5</v>
      </c>
      <c r="T109" s="539">
        <f t="shared" si="183"/>
        <v>303427124</v>
      </c>
      <c r="U109" s="1825">
        <f t="shared" ca="1" si="140"/>
        <v>284905686</v>
      </c>
      <c r="V109" s="2041">
        <f ca="1">IF(W109=0,1,IF(W109&lt;=1,1,IF(W109&gt;1.1,-1,0)))</f>
        <v>1</v>
      </c>
      <c r="W109" s="1840">
        <f ca="1">IF(T109&lt;0,ROUND((U109-T109)/ABS(T109),3),IF(T109=0,0,ROUND(U109/T109,3)))</f>
        <v>0.93899999999999995</v>
      </c>
    </row>
    <row r="110" spans="1:23" s="1137" customFormat="1" ht="14.25" customHeight="1" x14ac:dyDescent="0.15">
      <c r="C110" s="2215"/>
      <c r="D110" s="2227"/>
      <c r="E110" s="1821" t="s">
        <v>447</v>
      </c>
      <c r="F110" s="1813">
        <f t="shared" ref="F110:Q110" si="200">F5+F13+F21+F29+F37+F45+F53+F61+F69+F77+F85+F93+F101</f>
        <v>354060</v>
      </c>
      <c r="G110" s="1814">
        <f t="shared" si="200"/>
        <v>801900</v>
      </c>
      <c r="H110" s="1814">
        <f t="shared" si="200"/>
        <v>437481</v>
      </c>
      <c r="I110" s="1814">
        <f t="shared" si="200"/>
        <v>249410</v>
      </c>
      <c r="J110" s="1814">
        <f t="shared" si="200"/>
        <v>51840</v>
      </c>
      <c r="K110" s="1814">
        <f t="shared" si="200"/>
        <v>0</v>
      </c>
      <c r="L110" s="1814">
        <f t="shared" si="200"/>
        <v>0</v>
      </c>
      <c r="M110" s="1814">
        <f t="shared" si="200"/>
        <v>0</v>
      </c>
      <c r="N110" s="1891">
        <f t="shared" si="200"/>
        <v>230000</v>
      </c>
      <c r="O110" s="1891">
        <f t="shared" si="200"/>
        <v>150000</v>
      </c>
      <c r="P110" s="1891">
        <f t="shared" si="200"/>
        <v>160000</v>
      </c>
      <c r="Q110" s="1892">
        <f t="shared" si="200"/>
        <v>150000</v>
      </c>
      <c r="R110" s="1843">
        <f t="shared" ca="1" si="137"/>
        <v>1894691</v>
      </c>
      <c r="S110" s="1843">
        <f t="shared" ca="1" si="138"/>
        <v>236836.375</v>
      </c>
      <c r="T110" s="539">
        <f t="shared" si="183"/>
        <v>2584691</v>
      </c>
      <c r="U110" s="1825">
        <f t="shared" ca="1" si="140"/>
        <v>2842036.5</v>
      </c>
      <c r="V110" s="2041">
        <f ca="1">IF(W110=0,1,IF(W110&lt;=1,1,IF(W110&gt;1.1,-1,0)))</f>
        <v>0</v>
      </c>
      <c r="W110" s="1840">
        <f ca="1">IF(T110&lt;0,ROUND((U110-T110)/ABS(T110),3),IF(T110=0,0,ROUND(U110/T110,3)))</f>
        <v>1.1000000000000001</v>
      </c>
    </row>
    <row r="111" spans="1:23" s="1137" customFormat="1" ht="14.25" customHeight="1" x14ac:dyDescent="0.15">
      <c r="C111" s="2215"/>
      <c r="D111" s="2227"/>
      <c r="E111" s="1821" t="s">
        <v>35</v>
      </c>
      <c r="F111" s="1813">
        <f t="shared" ref="F111:Q111" si="201">F6+F14+F22+F30+F38+F46+F54+F62+F70+F78+F86+F94+F102</f>
        <v>6920573</v>
      </c>
      <c r="G111" s="1814">
        <f t="shared" si="201"/>
        <v>8868611</v>
      </c>
      <c r="H111" s="1814">
        <f t="shared" si="201"/>
        <v>6862800</v>
      </c>
      <c r="I111" s="1814">
        <f t="shared" si="201"/>
        <v>6637736</v>
      </c>
      <c r="J111" s="1814">
        <f t="shared" si="201"/>
        <v>7414547</v>
      </c>
      <c r="K111" s="1814">
        <f t="shared" si="201"/>
        <v>6444573</v>
      </c>
      <c r="L111" s="1814">
        <f t="shared" si="201"/>
        <v>6363039</v>
      </c>
      <c r="M111" s="1814">
        <f t="shared" si="201"/>
        <v>6203369</v>
      </c>
      <c r="N111" s="1891">
        <f t="shared" si="201"/>
        <v>7530000</v>
      </c>
      <c r="O111" s="1891">
        <f t="shared" si="201"/>
        <v>8194000</v>
      </c>
      <c r="P111" s="1891">
        <f t="shared" si="201"/>
        <v>8979000</v>
      </c>
      <c r="Q111" s="1892">
        <f t="shared" si="201"/>
        <v>7860000</v>
      </c>
      <c r="R111" s="1843">
        <f t="shared" ca="1" si="137"/>
        <v>55715248</v>
      </c>
      <c r="S111" s="1843">
        <f t="shared" ca="1" si="138"/>
        <v>6964406</v>
      </c>
      <c r="T111" s="539">
        <f t="shared" si="183"/>
        <v>88278248</v>
      </c>
      <c r="U111" s="1825">
        <f t="shared" ca="1" si="140"/>
        <v>83572872</v>
      </c>
      <c r="V111" s="2041">
        <f ca="1">IF(W111=0,1,IF(W111&lt;=1,1,IF(W111&gt;1.1,-1,0)))</f>
        <v>1</v>
      </c>
      <c r="W111" s="1840">
        <f ca="1">IF(T111&lt;0,ROUND((U111-T111)/ABS(T111),3),IF(T111=0,0,ROUND(U111/T111,3)))</f>
        <v>0.94699999999999995</v>
      </c>
    </row>
    <row r="112" spans="1:23" s="1137" customFormat="1" ht="14.25" customHeight="1" x14ac:dyDescent="0.15">
      <c r="C112" s="2215"/>
      <c r="D112" s="2227"/>
      <c r="E112" s="1821" t="s">
        <v>1195</v>
      </c>
      <c r="F112" s="1823">
        <f t="shared" ref="F112:Q112" si="202">F108-(F109+F111)</f>
        <v>9298592</v>
      </c>
      <c r="G112" s="1824">
        <f t="shared" si="202"/>
        <v>10177874</v>
      </c>
      <c r="H112" s="1824">
        <f t="shared" si="202"/>
        <v>12862434</v>
      </c>
      <c r="I112" s="1824">
        <f t="shared" si="202"/>
        <v>-1076915</v>
      </c>
      <c r="J112" s="1824">
        <f t="shared" si="202"/>
        <v>9502234</v>
      </c>
      <c r="K112" s="1824">
        <f t="shared" si="202"/>
        <v>10748320</v>
      </c>
      <c r="L112" s="1824">
        <f t="shared" si="202"/>
        <v>11350285</v>
      </c>
      <c r="M112" s="1824">
        <f t="shared" si="202"/>
        <v>13360176</v>
      </c>
      <c r="N112" s="1893">
        <f t="shared" si="202"/>
        <v>14110000</v>
      </c>
      <c r="O112" s="1893">
        <f t="shared" si="202"/>
        <v>-1704000</v>
      </c>
      <c r="P112" s="1893">
        <f t="shared" si="202"/>
        <v>13511000</v>
      </c>
      <c r="Q112" s="1894">
        <f t="shared" si="202"/>
        <v>15040000</v>
      </c>
      <c r="R112" s="1843">
        <f t="shared" ref="R112:R118" ca="1" si="203">SUM(OFFSET(F112,0,0,1,IF(ISERROR(MATCH(DATE(YEAR($G$1),MONTH($G$1),1),$F$2:$Q$2,0)),0,MATCH(DATE(YEAR($G$1),MONTH($G$1),1),$F$2:$Q$2,0))))</f>
        <v>76223000</v>
      </c>
      <c r="S112" s="1843">
        <f t="shared" ref="S112:S118" ca="1" si="204">IF(ISERROR(R112/(DATEDIF(F$2,G$1,"M")+1)),0,R112/(DATEDIF(F$2,G$1,"M")+1))</f>
        <v>9527875</v>
      </c>
      <c r="T112" s="539">
        <f t="shared" si="183"/>
        <v>117180000</v>
      </c>
      <c r="U112" s="1825">
        <f t="shared" ca="1" si="140"/>
        <v>114334500</v>
      </c>
      <c r="V112" s="2043">
        <f ca="1">IFERROR(IF(W112&gt;=0,1,IF(W112&lt;-0.1,-1,0)),1)</f>
        <v>0</v>
      </c>
      <c r="W112" s="1840">
        <f ca="1">IF(T112=0,1-(U109+U111)/U108,IF(T112=U112,0,ROUND((U112-T112)/ABS(T112),3)))</f>
        <v>-2.4E-2</v>
      </c>
    </row>
    <row r="113" spans="1:23" s="1137" customFormat="1" ht="14.25" customHeight="1" x14ac:dyDescent="0.15">
      <c r="C113" s="2215"/>
      <c r="D113" s="2227"/>
      <c r="E113" s="1128" t="s">
        <v>1197</v>
      </c>
      <c r="F113" s="1815">
        <f t="shared" ref="F113:Q113" si="205">F9+F17+F25+F33+F41+F49+F57+F65+F73+F81+F89+F97+F105</f>
        <v>7300000</v>
      </c>
      <c r="G113" s="1816">
        <f t="shared" si="205"/>
        <v>7900000</v>
      </c>
      <c r="H113" s="1816">
        <f t="shared" si="205"/>
        <v>7900000</v>
      </c>
      <c r="I113" s="1816">
        <f t="shared" si="205"/>
        <v>7900000</v>
      </c>
      <c r="J113" s="1816">
        <f t="shared" si="205"/>
        <v>7900000</v>
      </c>
      <c r="K113" s="1816">
        <f t="shared" si="205"/>
        <v>8800000</v>
      </c>
      <c r="L113" s="1816">
        <f t="shared" si="205"/>
        <v>8800000</v>
      </c>
      <c r="M113" s="1816">
        <f t="shared" si="205"/>
        <v>8800000</v>
      </c>
      <c r="N113" s="1895">
        <f t="shared" si="205"/>
        <v>8800000</v>
      </c>
      <c r="O113" s="1895">
        <f t="shared" si="205"/>
        <v>10000000</v>
      </c>
      <c r="P113" s="1895">
        <f t="shared" si="205"/>
        <v>10000000</v>
      </c>
      <c r="Q113" s="1896">
        <f t="shared" si="205"/>
        <v>10000000</v>
      </c>
      <c r="R113" s="1844">
        <f t="shared" ca="1" si="203"/>
        <v>65300000</v>
      </c>
      <c r="S113" s="1844">
        <f t="shared" ca="1" si="204"/>
        <v>8162500</v>
      </c>
      <c r="T113" s="533">
        <f t="shared" si="183"/>
        <v>104100000</v>
      </c>
      <c r="U113" s="527">
        <f t="shared" ca="1" si="140"/>
        <v>97950000</v>
      </c>
      <c r="V113" s="2225"/>
      <c r="W113" s="2226"/>
    </row>
    <row r="114" spans="1:23" s="1137" customFormat="1" ht="14.25" customHeight="1" thickBot="1" x14ac:dyDescent="0.2">
      <c r="C114" s="2215"/>
      <c r="D114" s="2227"/>
      <c r="E114" s="1830" t="s">
        <v>1196</v>
      </c>
      <c r="F114" s="1862">
        <f t="shared" ref="F114:Q114" si="206">F112-F113</f>
        <v>1998592</v>
      </c>
      <c r="G114" s="1863">
        <f t="shared" si="206"/>
        <v>2277874</v>
      </c>
      <c r="H114" s="1863">
        <f t="shared" si="206"/>
        <v>4962434</v>
      </c>
      <c r="I114" s="1863">
        <f t="shared" si="206"/>
        <v>-8976915</v>
      </c>
      <c r="J114" s="1863">
        <f t="shared" si="206"/>
        <v>1602234</v>
      </c>
      <c r="K114" s="1863">
        <f t="shared" si="206"/>
        <v>1948320</v>
      </c>
      <c r="L114" s="1863">
        <f t="shared" si="206"/>
        <v>2550285</v>
      </c>
      <c r="M114" s="1863">
        <f t="shared" si="206"/>
        <v>4560176</v>
      </c>
      <c r="N114" s="1899">
        <f t="shared" si="206"/>
        <v>5310000</v>
      </c>
      <c r="O114" s="1899">
        <f t="shared" si="206"/>
        <v>-11704000</v>
      </c>
      <c r="P114" s="1899">
        <f t="shared" si="206"/>
        <v>3511000</v>
      </c>
      <c r="Q114" s="1900">
        <f t="shared" si="206"/>
        <v>5040000</v>
      </c>
      <c r="R114" s="1847">
        <f t="shared" ca="1" si="203"/>
        <v>10923000</v>
      </c>
      <c r="S114" s="1847">
        <f t="shared" ca="1" si="204"/>
        <v>1365375</v>
      </c>
      <c r="T114" s="814">
        <f t="shared" si="183"/>
        <v>13080000</v>
      </c>
      <c r="U114" s="1831">
        <f t="shared" ca="1" si="140"/>
        <v>16384500</v>
      </c>
      <c r="V114" s="2043">
        <f ca="1">IFERROR(IF(W114&gt;=0,1,IF(W114&lt;-0.1,-1,0)),1)</f>
        <v>1</v>
      </c>
      <c r="W114" s="1851">
        <f ca="1">IF(T114=0,1-(U109+U111)/U108,IF(T114=U114,0,ROUND((U114-T114)/ABS(T114),3)))</f>
        <v>0.253</v>
      </c>
    </row>
    <row r="115" spans="1:23" s="1137" customFormat="1" ht="14.25" customHeight="1" thickBot="1" x14ac:dyDescent="0.2">
      <c r="B115" s="2044" t="s">
        <v>1444</v>
      </c>
      <c r="C115" s="2215"/>
      <c r="D115" s="2228"/>
      <c r="E115" s="1828" t="s">
        <v>500</v>
      </c>
      <c r="F115" s="1832">
        <f>IFERROR(IF(F$2&gt;$G$1,'☆事業所損益管理(H30.9～H31.8)(計画)'!F111,
GETPIVOTDATA("合計 / " &amp; $B115,【ピボット】事業所収支!$A$3,"年月",F$2)),0)</f>
        <v>34830</v>
      </c>
      <c r="G115" s="1833">
        <f>IFERROR(IF(G$2&gt;$G$1,'☆事業所損益管理(H30.9～H31.8)(計画)'!G111,
GETPIVOTDATA("合計 / " &amp; $B115,【ピボット】事業所収支!$A$3,"年月",G$2)),0)</f>
        <v>0</v>
      </c>
      <c r="H115" s="1833">
        <f>IFERROR(IF(H$2&gt;$G$1,'☆事業所損益管理(H30.9～H31.8)(計画)'!H111,
GETPIVOTDATA("合計 / " &amp; $B115,【ピボット】事業所収支!$A$3,"年月",H$2)),0)</f>
        <v>0</v>
      </c>
      <c r="I115" s="1833">
        <f>IFERROR(IF(I$2&gt;$G$1,'☆事業所損益管理(H30.9～H31.8)(計画)'!I111,
GETPIVOTDATA("合計 / " &amp; $B115,【ピボット】事業所収支!$A$3,"年月",I$2)),0)</f>
        <v>0</v>
      </c>
      <c r="J115" s="1833">
        <f>IFERROR(IF(J$2&gt;$G$1,'☆事業所損益管理(H30.9～H31.8)(計画)'!J111,
GETPIVOTDATA("合計 / " &amp; $B115,【ピボット】事業所収支!$A$3,"年月",J$2)),0)</f>
        <v>0</v>
      </c>
      <c r="K115" s="1833">
        <f>IFERROR(IF(K$2&gt;$G$1,'☆事業所損益管理(H30.9～H31.8)(計画)'!K111,
GETPIVOTDATA("合計 / " &amp; $B115,【ピボット】事業所収支!$A$3,"年月",K$2)),0)</f>
        <v>0</v>
      </c>
      <c r="L115" s="1833">
        <f>IFERROR(IF(L$2&gt;$G$1,'☆事業所損益管理(H30.9～H31.8)(計画)'!L111,
GETPIVOTDATA("合計 / " &amp; $B115,【ピボット】事業所収支!$A$3,"年月",L$2)),0)</f>
        <v>0</v>
      </c>
      <c r="M115" s="1833">
        <f>IFERROR(IF(M$2&gt;$G$1,'☆事業所損益管理(H30.9～H31.8)(計画)'!M111,
GETPIVOTDATA("合計 / " &amp; $B115,【ピボット】事業所収支!$A$3,"年月",M$2)),0)</f>
        <v>0</v>
      </c>
      <c r="N115" s="1901">
        <f>IFERROR(IF(N$2&gt;$G$1,'☆事業所損益管理(H30.9～H31.8)(計画)'!N111,
GETPIVOTDATA("合計 / " &amp; $B115,【ピボット】事業所収支!$A$3,"年月",N$2)),0)</f>
        <v>0</v>
      </c>
      <c r="O115" s="1901">
        <f>IFERROR(IF(O$2&gt;$G$1,'☆事業所損益管理(H30.9～H31.8)(計画)'!O111,
GETPIVOTDATA("合計 / " &amp; $B115,【ピボット】事業所収支!$A$3,"年月",O$2)),0)</f>
        <v>0</v>
      </c>
      <c r="P115" s="1901">
        <f>IFERROR(IF(P$2&gt;$G$1,'☆事業所損益管理(H30.9～H31.8)(計画)'!P111,
GETPIVOTDATA("合計 / " &amp; $B115,【ピボット】事業所収支!$A$3,"年月",P$2)),0)</f>
        <v>0</v>
      </c>
      <c r="Q115" s="1902">
        <f>IFERROR(IF(Q$2&gt;$G$1,'☆事業所損益管理(H30.9～H31.8)(計画)'!Q111,
GETPIVOTDATA("合計 / " &amp; $B115,【ピボット】事業所収支!$A$3,"年月",Q$2)),0)</f>
        <v>0</v>
      </c>
      <c r="R115" s="1846">
        <f t="shared" ca="1" si="203"/>
        <v>34830</v>
      </c>
      <c r="S115" s="1846">
        <f t="shared" ca="1" si="204"/>
        <v>4353.75</v>
      </c>
      <c r="T115" s="1837">
        <f t="shared" si="183"/>
        <v>34830</v>
      </c>
      <c r="U115" s="1834">
        <f t="shared" ca="1" si="140"/>
        <v>52245</v>
      </c>
      <c r="V115" s="2048">
        <f ca="1">IF(W115=0,1,IF(W115&lt;=1,1,IF(W115&gt;1.1,-1,0)))</f>
        <v>-1</v>
      </c>
      <c r="W115" s="1852">
        <f t="shared" ref="W115:W121" ca="1" si="207">IF(T115&lt;0,ROUND((U115-T115)/ABS(T115),3),IF(T115=0,0,ROUND(U115/T115,3)))</f>
        <v>1.5</v>
      </c>
    </row>
    <row r="116" spans="1:23" s="2039" customFormat="1" ht="14.25" hidden="1" customHeight="1" outlineLevel="1" x14ac:dyDescent="0.15">
      <c r="A116" s="2042" t="s">
        <v>1432</v>
      </c>
      <c r="B116" s="2039" t="str">
        <f>E116</f>
        <v>売上</v>
      </c>
      <c r="C116" s="2229" t="s">
        <v>1445</v>
      </c>
      <c r="D116" s="2232" t="s">
        <v>1442</v>
      </c>
      <c r="E116" s="1820" t="s">
        <v>26</v>
      </c>
      <c r="F116" s="1817">
        <f>IFERROR(IF(F$2&gt;$G$1,'☆事業所損益管理(H30.9～H31.8)(計画)'!F3,
GETPIVOTDATA("合計 / " &amp; $B116,【ピボット】事業所収支!$A$3,"年月",F$2,"事業所",$A116)),0)</f>
        <v>0</v>
      </c>
      <c r="G116" s="1812">
        <f>IFERROR(IF(G$2&gt;$G$1,'☆事業所損益管理(H30.9～H31.8)(計画)'!G3,
GETPIVOTDATA("合計 / " &amp; $B116,【ピボット】事業所収支!$A$3,"年月",G$2,"事業所",$A116)),0)</f>
        <v>0</v>
      </c>
      <c r="H116" s="1812">
        <f>IFERROR(IF(H$2&gt;$G$1,'☆事業所損益管理(H30.9～H31.8)(計画)'!H3,
GETPIVOTDATA("合計 / " &amp; $B116,【ピボット】事業所収支!$A$3,"年月",H$2,"事業所",$A116)),0)</f>
        <v>0</v>
      </c>
      <c r="I116" s="1812">
        <f>IFERROR(IF(I$2&gt;$G$1,'☆事業所損益管理(H30.9～H31.8)(計画)'!I3,
GETPIVOTDATA("合計 / " &amp; $B116,【ピボット】事業所収支!$A$3,"年月",I$2,"事業所",$A116)),0)</f>
        <v>0</v>
      </c>
      <c r="J116" s="1812">
        <f>IFERROR(IF(J$2&gt;$G$1,'☆事業所損益管理(H30.9～H31.8)(計画)'!J3,
GETPIVOTDATA("合計 / " &amp; $B116,【ピボット】事業所収支!$A$3,"年月",J$2,"事業所",$A116)),0)</f>
        <v>0</v>
      </c>
      <c r="K116" s="1812">
        <f>IFERROR(IF(K$2&gt;$G$1,'☆事業所損益管理(H30.9～H31.8)(計画)'!K3,
GETPIVOTDATA("合計 / " &amp; $B116,【ピボット】事業所収支!$A$3,"年月",K$2,"事業所",$A116)),0)</f>
        <v>0</v>
      </c>
      <c r="L116" s="1812">
        <f>IFERROR(IF(L$2&gt;$G$1,'☆事業所損益管理(H30.9～H31.8)(計画)'!L3,
GETPIVOTDATA("合計 / " &amp; $B116,【ピボット】事業所収支!$A$3,"年月",L$2,"事業所",$A116)),0)</f>
        <v>142560</v>
      </c>
      <c r="M116" s="1812">
        <f>IFERROR(IF(M$2&gt;$G$1,'☆事業所損益管理(H30.9～H31.8)(計画)'!M3,
GETPIVOTDATA("合計 / " &amp; $B116,【ピボット】事業所収支!$A$3,"年月",M$2,"事業所",$A116)),0)</f>
        <v>0</v>
      </c>
      <c r="N116" s="1889">
        <f>IFERROR(IF(N$2&gt;$G$1,'☆事業所損益管理(H30.9～H31.8)(計画)'!N3,
GETPIVOTDATA("合計 / " &amp; $B116,【ピボット】事業所収支!$A$3,"年月",N$2,"事業所",$A116)),0)</f>
        <v>0</v>
      </c>
      <c r="O116" s="1889">
        <f>IFERROR(IF(O$2&gt;$G$1,'☆事業所損益管理(H30.9～H31.8)(計画)'!O3,
GETPIVOTDATA("合計 / " &amp; $B116,【ピボット】事業所収支!$A$3,"年月",O$2,"事業所",$A116)),0)</f>
        <v>0</v>
      </c>
      <c r="P116" s="1889">
        <f>IFERROR(IF(P$2&gt;$G$1,'☆事業所損益管理(H30.9～H31.8)(計画)'!P3,
GETPIVOTDATA("合計 / " &amp; $B116,【ピボット】事業所収支!$A$3,"年月",P$2,"事業所",$A116)),0)</f>
        <v>0</v>
      </c>
      <c r="Q116" s="1890">
        <f>IFERROR(IF(Q$2&gt;$G$1,'☆事業所損益管理(H30.9～H31.8)(計画)'!Q3,
GETPIVOTDATA("合計 / " &amp; $B116,【ピボット】事業所収支!$A$3,"年月",Q$2,"事業所",$A116)),0)</f>
        <v>0</v>
      </c>
      <c r="R116" s="1842">
        <f t="shared" ca="1" si="203"/>
        <v>142560</v>
      </c>
      <c r="S116" s="1842">
        <f t="shared" ca="1" si="204"/>
        <v>17820</v>
      </c>
      <c r="T116" s="538">
        <f t="shared" si="183"/>
        <v>142560</v>
      </c>
      <c r="U116" s="1827">
        <f t="shared" ca="1" si="140"/>
        <v>213840</v>
      </c>
      <c r="V116" s="2049">
        <f ca="1">IF(W116=0,1,IF(W116&gt;=1,1,IF(W116&lt;0.9,-1,0)))</f>
        <v>1</v>
      </c>
      <c r="W116" s="1839">
        <f t="shared" ca="1" si="207"/>
        <v>1.5</v>
      </c>
    </row>
    <row r="117" spans="1:23" s="2039" customFormat="1" ht="14.25" hidden="1" customHeight="1" outlineLevel="1" x14ac:dyDescent="0.15">
      <c r="A117" s="2042"/>
      <c r="B117" s="2042" t="s">
        <v>1504</v>
      </c>
      <c r="C117" s="2230"/>
      <c r="D117" s="2233"/>
      <c r="E117" s="1877" t="s">
        <v>1505</v>
      </c>
      <c r="F117" s="1813">
        <f>IFERROR(GETPIVOTDATA("合計 / " &amp; $B117,【ピボット】事業所収支!$A$3,"年月",F$2),0)</f>
        <v>0</v>
      </c>
      <c r="G117" s="1814">
        <f>IFERROR(GETPIVOTDATA("合計 / " &amp; $B117,【ピボット】事業所収支!$A$3,"年月",G$2),0)</f>
        <v>0</v>
      </c>
      <c r="H117" s="1814">
        <f>IFERROR(GETPIVOTDATA("合計 / " &amp; $B117,【ピボット】事業所収支!$A$3,"年月",H$2),0)</f>
        <v>190000</v>
      </c>
      <c r="I117" s="1814">
        <f>IFERROR(GETPIVOTDATA("合計 / " &amp; $B117,【ピボット】事業所収支!$A$3,"年月",I$2),0)</f>
        <v>145000</v>
      </c>
      <c r="J117" s="1814">
        <f>IFERROR(GETPIVOTDATA("合計 / " &amp; $B117,【ピボット】事業所収支!$A$3,"年月",J$2),0)</f>
        <v>177500</v>
      </c>
      <c r="K117" s="1814">
        <f>IFERROR(GETPIVOTDATA("合計 / " &amp; $B117,【ピボット】事業所収支!$A$3,"年月",K$2),0)</f>
        <v>220000</v>
      </c>
      <c r="L117" s="1814">
        <f>IFERROR(GETPIVOTDATA("合計 / " &amp; $B117,【ピボット】事業所収支!$A$3,"年月",L$2),0)</f>
        <v>0</v>
      </c>
      <c r="M117" s="1814">
        <f>IFERROR(GETPIVOTDATA("合計 / " &amp; $B117,【ピボット】事業所収支!$A$3,"年月",M$2),0)</f>
        <v>0</v>
      </c>
      <c r="N117" s="1891">
        <f>IFERROR(GETPIVOTDATA("合計 / " &amp; $B117,【ピボット】事業所収支!$A$3,"年月",N$2),0)</f>
        <v>0</v>
      </c>
      <c r="O117" s="1891">
        <f>IFERROR(GETPIVOTDATA("合計 / " &amp; $B117,【ピボット】事業所収支!$A$3,"年月",O$2),0)</f>
        <v>0</v>
      </c>
      <c r="P117" s="1891">
        <f>IFERROR(GETPIVOTDATA("合計 / " &amp; $B117,【ピボット】事業所収支!$A$3,"年月",P$2),0)</f>
        <v>0</v>
      </c>
      <c r="Q117" s="1892">
        <f>IFERROR(GETPIVOTDATA("合計 / " &amp; $B117,【ピボット】事業所収支!$A$3,"年月",Q$2),0)</f>
        <v>0</v>
      </c>
      <c r="R117" s="1843">
        <f t="shared" ref="R117" ca="1" si="208">SUM(OFFSET(F117,0,0,1,IF(ISERROR(MATCH(DATE(YEAR($G$1),MONTH($G$1),1),$F$2:$Q$2,0)),0,MATCH(DATE(YEAR($G$1),MONTH($G$1),1),$F$2:$Q$2,0))))</f>
        <v>732500</v>
      </c>
      <c r="S117" s="1843">
        <f t="shared" ref="S117" ca="1" si="209">IF(ISERROR(R117/(DATEDIF(F$2,G$1,"M")+1)),0,R117/(DATEDIF(F$2,G$1,"M")+1))</f>
        <v>91562.5</v>
      </c>
      <c r="T117" s="539">
        <f t="shared" ref="T117" si="210">SUM(F117:Q117)</f>
        <v>732500</v>
      </c>
      <c r="U117" s="1825">
        <f t="shared" ref="U117" ca="1" si="211">S117*12</f>
        <v>1098750</v>
      </c>
      <c r="V117" s="2041">
        <f ca="1">IF(W117=0,1,IF(W117&gt;=1,1,IF(W117&lt;0.9,-1,0)))</f>
        <v>1</v>
      </c>
      <c r="W117" s="1840">
        <f t="shared" ref="W117" ca="1" si="212">IF(T117&lt;0,ROUND((U117-T117)/ABS(T117),3),IF(T117=0,0,ROUND(U117/T117,3)))</f>
        <v>1.5</v>
      </c>
    </row>
    <row r="118" spans="1:23" s="2039" customFormat="1" ht="14.25" hidden="1" customHeight="1" outlineLevel="1" x14ac:dyDescent="0.15">
      <c r="A118" s="2042" t="s">
        <v>1432</v>
      </c>
      <c r="B118" s="2039" t="str">
        <f>E118</f>
        <v>人件費</v>
      </c>
      <c r="C118" s="2230"/>
      <c r="D118" s="2233"/>
      <c r="E118" s="1821" t="s">
        <v>15</v>
      </c>
      <c r="F118" s="1813">
        <f>IFERROR(IF(F$2&gt;$G$1,'☆事業所損益管理(H30.9～H31.8)(計画)'!F4,
GETPIVOTDATA("合計 / " &amp; $B118,【ピボット】事業所収支!$A$3,"年月",F$2,"事業所",$A118)),0)+F107</f>
        <v>4275862</v>
      </c>
      <c r="G118" s="1814">
        <f>IFERROR(IF(G$2&gt;$G$1,'☆事業所損益管理(H30.9～H31.8)(計画)'!G4,
GETPIVOTDATA("合計 / " &amp; $B118,【ピボット】事業所収支!$A$3,"年月",G$2,"事業所",$A118)),0)+G107</f>
        <v>4742462</v>
      </c>
      <c r="H118" s="1814">
        <f>IFERROR(IF(H$2&gt;$G$1,'☆事業所損益管理(H30.9～H31.8)(計画)'!H4,
GETPIVOTDATA("合計 / " &amp; $B118,【ピボット】事業所収支!$A$3,"年月",H$2,"事業所",$A118)),0)+H107</f>
        <v>5751671</v>
      </c>
      <c r="I118" s="1814">
        <f>IFERROR(IF(I$2&gt;$G$1,'☆事業所損益管理(H30.9～H31.8)(計画)'!I4,
GETPIVOTDATA("合計 / " &amp; $B118,【ピボット】事業所収支!$A$3,"年月",I$2,"事業所",$A118)),0)+I107</f>
        <v>8276517</v>
      </c>
      <c r="J118" s="1814">
        <f>IFERROR(IF(J$2&gt;$G$1,'☆事業所損益管理(H30.9～H31.8)(計画)'!J4,
GETPIVOTDATA("合計 / " &amp; $B118,【ピボット】事業所収支!$A$3,"年月",J$2,"事業所",$A118)),0)+J107</f>
        <v>4804576</v>
      </c>
      <c r="K118" s="1814">
        <f>IFERROR(IF(K$2&gt;$G$1,'☆事業所損益管理(H30.9～H31.8)(計画)'!K4,
GETPIVOTDATA("合計 / " &amp; $B118,【ピボット】事業所収支!$A$3,"年月",K$2,"事業所",$A118)),0)+K107</f>
        <v>5356414</v>
      </c>
      <c r="L118" s="1814">
        <f>IFERROR(IF(L$2&gt;$G$1,'☆事業所損益管理(H30.9～H31.8)(計画)'!L4,
GETPIVOTDATA("合計 / " &amp; $B118,【ピボット】事業所収支!$A$3,"年月",L$2,"事業所",$A118)),0)+L107</f>
        <v>4480730</v>
      </c>
      <c r="M118" s="1814">
        <f>IFERROR(IF(M$2&gt;$G$1,'☆事業所損益管理(H30.9～H31.8)(計画)'!M4,
GETPIVOTDATA("合計 / " &amp; $B118,【ピボット】事業所収支!$A$3,"年月",M$2,"事業所",$A118)),0)+M107</f>
        <v>5414831</v>
      </c>
      <c r="N118" s="1891">
        <f>IFERROR(IF(N$2&gt;$G$1,'☆事業所損益管理(H30.9～H31.8)(計画)'!N4,
GETPIVOTDATA("合計 / " &amp; $B118,【ピボット】事業所収支!$A$3,"年月",N$2,"事業所",$A118)),0)+N107</f>
        <v>5753000</v>
      </c>
      <c r="O118" s="1891">
        <f>IFERROR(IF(O$2&gt;$G$1,'☆事業所損益管理(H30.9～H31.8)(計画)'!O4,
GETPIVOTDATA("合計 / " &amp; $B118,【ピボット】事業所収支!$A$3,"年月",O$2,"事業所",$A118)),0)+O107</f>
        <v>7454000</v>
      </c>
      <c r="P118" s="1891">
        <f>IFERROR(IF(P$2&gt;$G$1,'☆事業所損益管理(H30.9～H31.8)(計画)'!P4,
GETPIVOTDATA("合計 / " &amp; $B118,【ピボット】事業所収支!$A$3,"年月",P$2,"事業所",$A118)),0)+P107</f>
        <v>5753000</v>
      </c>
      <c r="Q118" s="1892">
        <f>IFERROR(IF(Q$2&gt;$G$1,'☆事業所損益管理(H30.9～H31.8)(計画)'!Q4,
GETPIVOTDATA("合計 / " &amp; $B118,【ピボット】事業所収支!$A$3,"年月",Q$2,"事業所",$A118)),0)+Q107</f>
        <v>7783000</v>
      </c>
      <c r="R118" s="1843">
        <f t="shared" ca="1" si="203"/>
        <v>43103063</v>
      </c>
      <c r="S118" s="1843">
        <f t="shared" ca="1" si="204"/>
        <v>5387882.875</v>
      </c>
      <c r="T118" s="539">
        <f t="shared" si="183"/>
        <v>69846063</v>
      </c>
      <c r="U118" s="1825">
        <f t="shared" ca="1" si="140"/>
        <v>64654594.5</v>
      </c>
      <c r="V118" s="2041">
        <f ca="1">IF(W118=0,1,IF(W118&lt;=1,1,IF(W118&gt;1.1,-1,0)))</f>
        <v>1</v>
      </c>
      <c r="W118" s="1840">
        <f t="shared" ca="1" si="207"/>
        <v>0.92600000000000005</v>
      </c>
    </row>
    <row r="119" spans="1:23" s="2039" customFormat="1" ht="14.25" hidden="1" customHeight="1" outlineLevel="1" x14ac:dyDescent="0.15">
      <c r="A119" s="2042" t="s">
        <v>1432</v>
      </c>
      <c r="B119" s="2039" t="s">
        <v>1467</v>
      </c>
      <c r="C119" s="2230"/>
      <c r="D119" s="2233"/>
      <c r="E119" s="1877" t="s">
        <v>1468</v>
      </c>
      <c r="F119" s="1813">
        <f>IFERROR(IF(F$2&gt;$G$1,'☆事業所損益管理(H30.9～H31.8)(計画)'!F5,
GETPIVOTDATA("合計 / " &amp; $B119,【ピボット】事業所収支!$A$3,"年月",F$2,"事業所",$A119)),0)</f>
        <v>216000</v>
      </c>
      <c r="G119" s="1814">
        <f>IFERROR(IF(G$2&gt;$G$1,'☆事業所損益管理(H30.9～H31.8)(計画)'!G5,
GETPIVOTDATA("合計 / " &amp; $B119,【ピボット】事業所収支!$A$3,"年月",G$2,"事業所",$A119)),0)</f>
        <v>0</v>
      </c>
      <c r="H119" s="1814">
        <f>IFERROR(IF(H$2&gt;$G$1,'☆事業所損益管理(H30.9～H31.8)(計画)'!H5,
GETPIVOTDATA("合計 / " &amp; $B119,【ピボット】事業所収支!$A$3,"年月",H$2,"事業所",$A119)),0)</f>
        <v>348840</v>
      </c>
      <c r="I119" s="1814">
        <f>IFERROR(IF(I$2&gt;$G$1,'☆事業所損益管理(H30.9～H31.8)(計画)'!I5,
GETPIVOTDATA("合計 / " &amp; $B119,【ピボット】事業所収支!$A$3,"年月",I$2,"事業所",$A119)),0)</f>
        <v>0</v>
      </c>
      <c r="J119" s="1814">
        <f>IFERROR(IF(J$2&gt;$G$1,'☆事業所損益管理(H30.9～H31.8)(計画)'!J5,
GETPIVOTDATA("合計 / " &amp; $B119,【ピボット】事業所収支!$A$3,"年月",J$2,"事業所",$A119)),0)</f>
        <v>0</v>
      </c>
      <c r="K119" s="1814">
        <f>IFERROR(IF(K$2&gt;$G$1,'☆事業所損益管理(H30.9～H31.8)(計画)'!K5,
GETPIVOTDATA("合計 / " &amp; $B119,【ピボット】事業所収支!$A$3,"年月",K$2,"事業所",$A119)),0)</f>
        <v>297000</v>
      </c>
      <c r="L119" s="1814">
        <f>IFERROR(IF(L$2&gt;$G$1,'☆事業所損益管理(H30.9～H31.8)(計画)'!L5,
GETPIVOTDATA("合計 / " &amp; $B119,【ピボット】事業所収支!$A$3,"年月",L$2,"事業所",$A119)),0)</f>
        <v>0</v>
      </c>
      <c r="M119" s="1814">
        <f>IFERROR(IF(M$2&gt;$G$1,'☆事業所損益管理(H30.9～H31.8)(計画)'!M5,
GETPIVOTDATA("合計 / " &amp; $B119,【ピボット】事業所収支!$A$3,"年月",M$2,"事業所",$A119)),0)</f>
        <v>10800</v>
      </c>
      <c r="N119" s="1891">
        <f>IFERROR(IF(N$2&gt;$G$1,'☆事業所損益管理(H30.9～H31.8)(計画)'!N5,
GETPIVOTDATA("合計 / " &amp; $B119,【ピボット】事業所収支!$A$3,"年月",N$2,"事業所",$A119)),0)</f>
        <v>0</v>
      </c>
      <c r="O119" s="1891">
        <f>IFERROR(IF(O$2&gt;$G$1,'☆事業所損益管理(H30.9～H31.8)(計画)'!O5,
GETPIVOTDATA("合計 / " &amp; $B119,【ピボット】事業所収支!$A$3,"年月",O$2,"事業所",$A119)),0)</f>
        <v>350000</v>
      </c>
      <c r="P119" s="1891">
        <f>IFERROR(IF(P$2&gt;$G$1,'☆事業所損益管理(H30.9～H31.8)(計画)'!P5,
GETPIVOTDATA("合計 / " &amp; $B119,【ピボット】事業所収支!$A$3,"年月",P$2,"事業所",$A119)),0)</f>
        <v>0</v>
      </c>
      <c r="Q119" s="1892">
        <f>IFERROR(IF(Q$2&gt;$G$1,'☆事業所損益管理(H30.9～H31.8)(計画)'!Q5,
GETPIVOTDATA("合計 / " &amp; $B119,【ピボット】事業所収支!$A$3,"年月",Q$2,"事業所",$A119)),0)</f>
        <v>0</v>
      </c>
      <c r="R119" s="1843">
        <f ca="1">SUM(OFFSET(F119,0,0,1,IF(ISERROR(MATCH(DATE(YEAR($G$1),MONTH($G$1),1),$F$2:$Q$2,0)),0,MATCH(DATE(YEAR($G$1),MONTH($G$1),1),$F$2:$Q$2,0))))</f>
        <v>872640</v>
      </c>
      <c r="S119" s="1843">
        <f ca="1">IF(ISERROR(R119/(DATEDIF(F$2,G$1,"M")+1)),0,R119/(DATEDIF(F$2,G$1,"M")+1))</f>
        <v>109080</v>
      </c>
      <c r="T119" s="539">
        <f>SUM(F119:Q119)</f>
        <v>1222640</v>
      </c>
      <c r="U119" s="1825">
        <f ca="1">S119*12</f>
        <v>1308960</v>
      </c>
      <c r="V119" s="2041">
        <f ca="1">IF(W119=0,1,IF(W119&lt;=1,1,IF(W119&gt;1.1,-1,0)))</f>
        <v>0</v>
      </c>
      <c r="W119" s="1840">
        <f ca="1">IF(T119&lt;0,ROUND((U119-T119)/ABS(T119),3),IF(T119=0,0,ROUND(U119/T119,3)))</f>
        <v>1.071</v>
      </c>
    </row>
    <row r="120" spans="1:23" s="2039" customFormat="1" ht="14.25" hidden="1" customHeight="1" outlineLevel="1" x14ac:dyDescent="0.15">
      <c r="A120" s="2042" t="s">
        <v>1432</v>
      </c>
      <c r="B120" s="2042" t="s">
        <v>1471</v>
      </c>
      <c r="C120" s="2230"/>
      <c r="D120" s="2233"/>
      <c r="E120" s="1821" t="s">
        <v>35</v>
      </c>
      <c r="F120" s="1813">
        <f>IFERROR(IF(F$2&gt;$G$1,'☆事業所損益管理(H30.9～H31.8)(計画)'!F6,
GETPIVOTDATA("合計 / " &amp; $B120,【ピボット】事業所収支!$A$3,"年月",F$2,"事業所",$A120)),0)</f>
        <v>3234033</v>
      </c>
      <c r="G120" s="1814">
        <f>IFERROR(IF(G$2&gt;$G$1,'☆事業所損益管理(H30.9～H31.8)(計画)'!G6,
GETPIVOTDATA("合計 / " &amp; $B120,【ピボット】事業所収支!$A$3,"年月",G$2,"事業所",$A120)),0)</f>
        <v>5282133</v>
      </c>
      <c r="H120" s="1814">
        <f>IFERROR(IF(H$2&gt;$G$1,'☆事業所損益管理(H30.9～H31.8)(計画)'!H6,
GETPIVOTDATA("合計 / " &amp; $B120,【ピボット】事業所収支!$A$3,"年月",H$2,"事業所",$A120)),0)</f>
        <v>2864700</v>
      </c>
      <c r="I120" s="1814">
        <f>IFERROR(IF(I$2&gt;$G$1,'☆事業所損益管理(H30.9～H31.8)(計画)'!I6,
GETPIVOTDATA("合計 / " &amp; $B120,【ピボット】事業所収支!$A$3,"年月",I$2,"事業所",$A120)),0)</f>
        <v>1950921</v>
      </c>
      <c r="J120" s="1814">
        <f>IFERROR(IF(J$2&gt;$G$1,'☆事業所損益管理(H30.9～H31.8)(計画)'!J6,
GETPIVOTDATA("合計 / " &amp; $B120,【ピボット】事業所収支!$A$3,"年月",J$2,"事業所",$A120)),0)</f>
        <v>1758723</v>
      </c>
      <c r="K120" s="1814">
        <f>IFERROR(IF(K$2&gt;$G$1,'☆事業所損益管理(H30.9～H31.8)(計画)'!K6,
GETPIVOTDATA("合計 / " &amp; $B120,【ピボット】事業所収支!$A$3,"年月",K$2,"事業所",$A120)),0)</f>
        <v>2554606</v>
      </c>
      <c r="L120" s="1814">
        <f>IFERROR(IF(L$2&gt;$G$1,'☆事業所損益管理(H30.9～H31.8)(計画)'!L6,
GETPIVOTDATA("合計 / " &amp; $B120,【ピボット】事業所収支!$A$3,"年月",L$2,"事業所",$A120)),0)</f>
        <v>2293024</v>
      </c>
      <c r="M120" s="1814">
        <f>IFERROR(IF(M$2&gt;$G$1,'☆事業所損益管理(H30.9～H31.8)(計画)'!M6,
GETPIVOTDATA("合計 / " &amp; $B120,【ピボット】事業所収支!$A$3,"年月",M$2,"事業所",$A120)),0)</f>
        <v>2444410</v>
      </c>
      <c r="N120" s="1891">
        <f>IFERROR(IF(N$2&gt;$G$1,'☆事業所損益管理(H30.9～H31.8)(計画)'!N6,
GETPIVOTDATA("合計 / " &amp; $B120,【ピボット】事業所収支!$A$3,"年月",N$2,"事業所",$A120)),0)</f>
        <v>3573000</v>
      </c>
      <c r="O120" s="1891">
        <f>IFERROR(IF(O$2&gt;$G$1,'☆事業所損益管理(H30.9～H31.8)(計画)'!O6,
GETPIVOTDATA("合計 / " &amp; $B120,【ピボット】事業所収支!$A$3,"年月",O$2,"事業所",$A120)),0)</f>
        <v>3848000</v>
      </c>
      <c r="P120" s="1891">
        <f>IFERROR(IF(P$2&gt;$G$1,'☆事業所損益管理(H30.9～H31.8)(計画)'!P6,
GETPIVOTDATA("合計 / " &amp; $B120,【ピボット】事業所収支!$A$3,"年月",P$2,"事業所",$A120)),0)</f>
        <v>2468000</v>
      </c>
      <c r="Q120" s="1892">
        <f>IFERROR(IF(Q$2&gt;$G$1,'☆事業所損益管理(H30.9～H31.8)(計画)'!Q6,
GETPIVOTDATA("合計 / " &amp; $B120,【ピボット】事業所収支!$A$3,"年月",Q$2,"事業所",$A120)),0)</f>
        <v>2468000</v>
      </c>
      <c r="R120" s="1843">
        <f t="shared" ref="R120:R125" ca="1" si="213">SUM(OFFSET(F120,0,0,1,IF(ISERROR(MATCH(DATE(YEAR($G$1),MONTH($G$1),1),$F$2:$Q$2,0)),0,MATCH(DATE(YEAR($G$1),MONTH($G$1),1),$F$2:$Q$2,0))))</f>
        <v>22382550</v>
      </c>
      <c r="S120" s="1843">
        <f t="shared" ref="S120:S125" ca="1" si="214">IF(ISERROR(R120/(DATEDIF(F$2,G$1,"M")+1)),0,R120/(DATEDIF(F$2,G$1,"M")+1))</f>
        <v>2797818.75</v>
      </c>
      <c r="T120" s="539">
        <f t="shared" si="183"/>
        <v>34739550</v>
      </c>
      <c r="U120" s="1825">
        <f t="shared" ca="1" si="140"/>
        <v>33573825</v>
      </c>
      <c r="V120" s="2041">
        <f ca="1">IF(W120=0,1,IF(W120&lt;=1,1,IF(W120&gt;1.1,-1,0)))</f>
        <v>1</v>
      </c>
      <c r="W120" s="1840">
        <f t="shared" ca="1" si="207"/>
        <v>0.96599999999999997</v>
      </c>
    </row>
    <row r="121" spans="1:23" s="2039" customFormat="1" ht="14.25" hidden="1" customHeight="1" outlineLevel="1" x14ac:dyDescent="0.15">
      <c r="B121" s="2042"/>
      <c r="C121" s="2230"/>
      <c r="D121" s="2233"/>
      <c r="E121" s="1821" t="s">
        <v>482</v>
      </c>
      <c r="F121" s="1813">
        <f>IFERROR(IF(F$2&gt;$G$1,'☆事業所損益管理(H30.9～H31.8)(計画)'!F7,
GETPIVOTDATA("合計 / " &amp; $B121,【ピボット】事業所収支!$A$3,"年月",F$2,"事業所",$A121)),0)</f>
        <v>0</v>
      </c>
      <c r="G121" s="1814">
        <f>IFERROR(IF(G$2&gt;$G$1,'☆事業所損益管理(H30.9～H31.8)(計画)'!G7,
GETPIVOTDATA("合計 / " &amp; $B121,【ピボット】事業所収支!$A$3,"年月",G$2,"事業所",$A121)),0)</f>
        <v>0</v>
      </c>
      <c r="H121" s="1814">
        <f>IFERROR(IF(H$2&gt;$G$1,'☆事業所損益管理(H30.9～H31.8)(計画)'!H7,
GETPIVOTDATA("合計 / " &amp; $B121,【ピボット】事業所収支!$A$3,"年月",H$2,"事業所",$A121)),0)</f>
        <v>0</v>
      </c>
      <c r="I121" s="1814">
        <f>IFERROR(IF(I$2&gt;$G$1,'☆事業所損益管理(H30.9～H31.8)(計画)'!I7,
GETPIVOTDATA("合計 / " &amp; $B121,【ピボット】事業所収支!$A$3,"年月",I$2,"事業所",$A121)),0)</f>
        <v>0</v>
      </c>
      <c r="J121" s="1814">
        <f>IFERROR(IF(J$2&gt;$G$1,'☆事業所損益管理(H30.9～H31.8)(計画)'!J7,
GETPIVOTDATA("合計 / " &amp; $B121,【ピボット】事業所収支!$A$3,"年月",J$2,"事業所",$A121)),0)</f>
        <v>0</v>
      </c>
      <c r="K121" s="1814">
        <f>IFERROR(IF(K$2&gt;$G$1,'☆事業所損益管理(H30.9～H31.8)(計画)'!K7,
GETPIVOTDATA("合計 / " &amp; $B121,【ピボット】事業所収支!$A$3,"年月",K$2,"事業所",$A121)),0)</f>
        <v>0</v>
      </c>
      <c r="L121" s="1814">
        <f>IFERROR(IF(L$2&gt;$G$1,'☆事業所損益管理(H30.9～H31.8)(計画)'!L7,
GETPIVOTDATA("合計 / " &amp; $B121,【ピボット】事業所収支!$A$3,"年月",L$2,"事業所",$A121)),0)</f>
        <v>0</v>
      </c>
      <c r="M121" s="1814">
        <f>IFERROR(IF(M$2&gt;$G$1,'☆事業所損益管理(H30.9～H31.8)(計画)'!M7,
GETPIVOTDATA("合計 / " &amp; $B121,【ピボット】事業所収支!$A$3,"年月",M$2,"事業所",$A121)),0)</f>
        <v>0</v>
      </c>
      <c r="N121" s="1891">
        <f>IFERROR(IF(N$2&gt;$G$1,'☆事業所損益管理(H30.9～H31.8)(計画)'!N7,
GETPIVOTDATA("合計 / " &amp; $B121,【ピボット】事業所収支!$A$3,"年月",N$2,"事業所",$A121)),0)</f>
        <v>200000</v>
      </c>
      <c r="O121" s="1891">
        <f>IFERROR(IF(O$2&gt;$G$1,'☆事業所損益管理(H30.9～H31.8)(計画)'!O7,
GETPIVOTDATA("合計 / " &amp; $B121,【ピボット】事業所収支!$A$3,"年月",O$2,"事業所",$A121)),0)</f>
        <v>200000</v>
      </c>
      <c r="P121" s="1891">
        <f>IFERROR(IF(P$2&gt;$G$1,'☆事業所損益管理(H30.9～H31.8)(計画)'!P7,
GETPIVOTDATA("合計 / " &amp; $B121,【ピボット】事業所収支!$A$3,"年月",P$2,"事業所",$A121)),0)</f>
        <v>200000</v>
      </c>
      <c r="Q121" s="1892">
        <f>IFERROR(IF(Q$2&gt;$G$1,'☆事業所損益管理(H30.9～H31.8)(計画)'!Q7,
GETPIVOTDATA("合計 / " &amp; $B121,【ピボット】事業所収支!$A$3,"年月",Q$2,"事業所",$A121)),0)</f>
        <v>200000</v>
      </c>
      <c r="R121" s="1843">
        <f t="shared" ca="1" si="213"/>
        <v>0</v>
      </c>
      <c r="S121" s="1843">
        <f t="shared" ca="1" si="214"/>
        <v>0</v>
      </c>
      <c r="T121" s="539">
        <f t="shared" si="183"/>
        <v>800000</v>
      </c>
      <c r="U121" s="1825">
        <f t="shared" ca="1" si="140"/>
        <v>0</v>
      </c>
      <c r="V121" s="2041">
        <f ca="1">IF(W121=0,1,IF(W121&lt;=1,1,IF(W121&gt;1.1,-1,0)))</f>
        <v>1</v>
      </c>
      <c r="W121" s="1840">
        <f t="shared" ca="1" si="207"/>
        <v>0</v>
      </c>
    </row>
    <row r="122" spans="1:23" s="2039" customFormat="1" ht="14.25" customHeight="1" collapsed="1" x14ac:dyDescent="0.15">
      <c r="C122" s="2230"/>
      <c r="D122" s="2233"/>
      <c r="E122" s="1126" t="s">
        <v>1430</v>
      </c>
      <c r="F122" s="1818">
        <f>SUM(F118,F120:F121)</f>
        <v>7509895</v>
      </c>
      <c r="G122" s="1819">
        <f t="shared" ref="G122:Q122" si="215">SUM(G118,G120:G121)</f>
        <v>10024595</v>
      </c>
      <c r="H122" s="1819">
        <f t="shared" si="215"/>
        <v>8616371</v>
      </c>
      <c r="I122" s="1819">
        <f>SUM(I118,I120:I121)</f>
        <v>10227438</v>
      </c>
      <c r="J122" s="1819">
        <f t="shared" si="215"/>
        <v>6563299</v>
      </c>
      <c r="K122" s="1819">
        <f t="shared" si="215"/>
        <v>7911020</v>
      </c>
      <c r="L122" s="1819">
        <f t="shared" si="215"/>
        <v>6773754</v>
      </c>
      <c r="M122" s="1819">
        <f t="shared" si="215"/>
        <v>7859241</v>
      </c>
      <c r="N122" s="1903">
        <f t="shared" si="215"/>
        <v>9526000</v>
      </c>
      <c r="O122" s="1903">
        <f t="shared" si="215"/>
        <v>11502000</v>
      </c>
      <c r="P122" s="1903">
        <f t="shared" ref="P122" si="216">SUM(P118,P120:P121)</f>
        <v>8421000</v>
      </c>
      <c r="Q122" s="1904">
        <f t="shared" si="215"/>
        <v>10451000</v>
      </c>
      <c r="R122" s="1848">
        <f t="shared" ca="1" si="213"/>
        <v>65485613</v>
      </c>
      <c r="S122" s="1848">
        <f t="shared" ca="1" si="214"/>
        <v>8185701.625</v>
      </c>
      <c r="T122" s="1849">
        <f t="shared" si="183"/>
        <v>105385613</v>
      </c>
      <c r="U122" s="1125">
        <f t="shared" ca="1" si="140"/>
        <v>98228419.5</v>
      </c>
      <c r="V122" s="2050">
        <f ca="1">IF(W122&lt;=1,1,IF(W122&gt;1.1,-1,0))</f>
        <v>1</v>
      </c>
      <c r="W122" s="1854">
        <f ca="1">IF(T122&lt;0,ROUND((U122-T122)/ABS(T122),3),IF(T122=0,0,ROUND(U122/T122,3)))</f>
        <v>0.93200000000000005</v>
      </c>
    </row>
    <row r="123" spans="1:23" s="2039" customFormat="1" ht="14.25" customHeight="1" x14ac:dyDescent="0.15">
      <c r="C123" s="2230"/>
      <c r="D123" s="2233"/>
      <c r="E123" s="1821" t="s">
        <v>1431</v>
      </c>
      <c r="F123" s="1813">
        <f>F113-F122</f>
        <v>-209895</v>
      </c>
      <c r="G123" s="1814">
        <f>G113-G122</f>
        <v>-2124595</v>
      </c>
      <c r="H123" s="1814">
        <f t="shared" ref="H123:Q123" si="217">H113-H122</f>
        <v>-716371</v>
      </c>
      <c r="I123" s="1814">
        <f>I113-I122</f>
        <v>-2327438</v>
      </c>
      <c r="J123" s="1814">
        <f t="shared" si="217"/>
        <v>1336701</v>
      </c>
      <c r="K123" s="1814">
        <f t="shared" si="217"/>
        <v>888980</v>
      </c>
      <c r="L123" s="1814">
        <f t="shared" si="217"/>
        <v>2026246</v>
      </c>
      <c r="M123" s="1814">
        <f t="shared" si="217"/>
        <v>940759</v>
      </c>
      <c r="N123" s="1891">
        <f t="shared" si="217"/>
        <v>-726000</v>
      </c>
      <c r="O123" s="1891">
        <f t="shared" si="217"/>
        <v>-1502000</v>
      </c>
      <c r="P123" s="1891">
        <f t="shared" ref="P123" si="218">P113-P122</f>
        <v>1579000</v>
      </c>
      <c r="Q123" s="1892">
        <f t="shared" si="217"/>
        <v>-451000</v>
      </c>
      <c r="R123" s="1843">
        <f t="shared" ca="1" si="213"/>
        <v>-185613</v>
      </c>
      <c r="S123" s="1843">
        <f t="shared" ca="1" si="214"/>
        <v>-23201.625</v>
      </c>
      <c r="T123" s="539">
        <f t="shared" si="183"/>
        <v>-1285613</v>
      </c>
      <c r="U123" s="1825">
        <f t="shared" ca="1" si="140"/>
        <v>-278419.5</v>
      </c>
      <c r="V123" s="2041">
        <f ca="1">IF(W123=0,1,IF(W123&gt;=1,1,IF(W123&lt;0.9,-1,0)))</f>
        <v>-1</v>
      </c>
      <c r="W123" s="1840">
        <f ca="1">IF(T123&lt;0,ROUND((U123-T123)/ABS(T123),3),IF(T123=0,0,ROUND(U123/T123,3)))</f>
        <v>0.78300000000000003</v>
      </c>
    </row>
    <row r="124" spans="1:23" s="2039" customFormat="1" ht="14.25" customHeight="1" x14ac:dyDescent="0.15">
      <c r="C124" s="2230"/>
      <c r="D124" s="2233"/>
      <c r="E124" s="1821" t="s">
        <v>506</v>
      </c>
      <c r="F124" s="1813">
        <f>IFERROR(IF(F$2&gt;$G$1,'☆事業所損益管理(H30.9～H31.8)(計画)'!F106,
GETPIVOTDATA("合計 / " &amp; $E124,【ピボット】事業所収支!$A$3,"年月",F$2)),0)</f>
        <v>0</v>
      </c>
      <c r="G124" s="1814">
        <f>IFERROR(IF(G$2&gt;$G$1,'☆事業所損益管理(H30.9～H31.8)(計画)'!G106,
GETPIVOTDATA("合計 / " &amp; $E124,【ピボット】事業所収支!$A$3,"年月",G$2)),0)</f>
        <v>0</v>
      </c>
      <c r="H124" s="1814">
        <f>IFERROR(IF(H$2&gt;$G$1,'☆事業所損益管理(H30.9～H31.8)(計画)'!H106,
GETPIVOTDATA("合計 / " &amp; $E124,【ピボット】事業所収支!$A$3,"年月",H$2)),0)</f>
        <v>4167</v>
      </c>
      <c r="I124" s="1814">
        <f>IFERROR(IF(I$2&gt;$G$1,'☆事業所損益管理(H30.9～H31.8)(計画)'!I106,
GETPIVOTDATA("合計 / " &amp; $E124,【ピボット】事業所収支!$A$3,"年月",I$2)),0)</f>
        <v>2198</v>
      </c>
      <c r="J124" s="1814">
        <f>IFERROR(IF(J$2&gt;$G$1,'☆事業所損益管理(H30.9～H31.8)(計画)'!J106,
GETPIVOTDATA("合計 / " &amp; $E124,【ピボット】事業所収支!$A$3,"年月",J$2)),0)</f>
        <v>0</v>
      </c>
      <c r="K124" s="1814">
        <f>IFERROR(IF(K$2&gt;$G$1,'☆事業所損益管理(H30.9～H31.8)(計画)'!K106,
GETPIVOTDATA("合計 / " &amp; $E124,【ピボット】事業所収支!$A$3,"年月",K$2)),0)</f>
        <v>-80616</v>
      </c>
      <c r="L124" s="1814">
        <f>IFERROR(IF(L$2&gt;$G$1,'☆事業所損益管理(H30.9～H31.8)(計画)'!L106,
GETPIVOTDATA("合計 / " &amp; $E124,【ピボット】事業所収支!$A$3,"年月",L$2)),0)</f>
        <v>0</v>
      </c>
      <c r="M124" s="1814">
        <f>IFERROR(IF(M$2&gt;$G$1,'☆事業所損益管理(H30.9～H31.8)(計画)'!M106,
GETPIVOTDATA("合計 / " &amp; $E124,【ピボット】事業所収支!$A$3,"年月",M$2)),0)</f>
        <v>0</v>
      </c>
      <c r="N124" s="1891">
        <f>IFERROR(IF(N$2&gt;$G$1,'☆事業所損益管理(H30.9～H31.8)(計画)'!N106,
GETPIVOTDATA("合計 / " &amp; $E124,【ピボット】事業所収支!$A$3,"年月",N$2)),0)</f>
        <v>0</v>
      </c>
      <c r="O124" s="1891">
        <f>IFERROR(IF(O$2&gt;$G$1,'☆事業所損益管理(H30.9～H31.8)(計画)'!O106,
GETPIVOTDATA("合計 / " &amp; $E124,【ピボット】事業所収支!$A$3,"年月",O$2)),0)</f>
        <v>0</v>
      </c>
      <c r="P124" s="1891">
        <f>IFERROR(IF(P$2&gt;$G$1,'☆事業所損益管理(H30.9～H31.8)(計画)'!P106,
GETPIVOTDATA("合計 / " &amp; $E124,【ピボット】事業所収支!$A$3,"年月",P$2)),0)</f>
        <v>0</v>
      </c>
      <c r="Q124" s="1892">
        <f>IFERROR(IF(Q$2&gt;$G$1,'☆事業所損益管理(H30.9～H31.8)(計画)'!Q106,
GETPIVOTDATA("合計 / " &amp; $E124,【ピボット】事業所収支!$A$3,"年月",Q$2)),0)</f>
        <v>0</v>
      </c>
      <c r="R124" s="1843">
        <f ca="1">SUM(OFFSET(F124,0,0,1,IF(ISERROR(MATCH(DATE(YEAR($G$1),MONTH($G$1),1),$F$2:$Q$2,0)),0,MATCH(DATE(YEAR($G$1),MONTH($G$1),1),$F$2:$Q$2,0))))</f>
        <v>-74251</v>
      </c>
      <c r="S124" s="1843">
        <f t="shared" ca="1" si="214"/>
        <v>-9281.375</v>
      </c>
      <c r="T124" s="539">
        <f>SUM(F124:Q124)</f>
        <v>-74251</v>
      </c>
      <c r="U124" s="1825">
        <f ca="1">S124*12</f>
        <v>-111376.5</v>
      </c>
      <c r="V124" s="2041">
        <f ca="1">IF(W124&gt;=1,1,IF(W124&lt;0.9,-1,0))</f>
        <v>-1</v>
      </c>
      <c r="W124" s="1840">
        <f ca="1">IF(T124&lt;0,ROUND((U124-T124)/ABS(T124),3),IF(T124=0,0,ROUND(U124/T124,3)))</f>
        <v>-0.5</v>
      </c>
    </row>
    <row r="125" spans="1:23" s="1137" customFormat="1" ht="14.25" customHeight="1" x14ac:dyDescent="0.15">
      <c r="C125" s="2230"/>
      <c r="D125" s="2233"/>
      <c r="E125" s="1821" t="s">
        <v>45</v>
      </c>
      <c r="F125" s="1823">
        <f t="shared" ref="F125:Q125" si="219">F112-F122+F124</f>
        <v>1788697</v>
      </c>
      <c r="G125" s="1824">
        <f t="shared" si="219"/>
        <v>153279</v>
      </c>
      <c r="H125" s="1824">
        <f t="shared" si="219"/>
        <v>4250230</v>
      </c>
      <c r="I125" s="1824">
        <f t="shared" si="219"/>
        <v>-11302155</v>
      </c>
      <c r="J125" s="1824">
        <f t="shared" si="219"/>
        <v>2938935</v>
      </c>
      <c r="K125" s="1824">
        <f t="shared" si="219"/>
        <v>2756684</v>
      </c>
      <c r="L125" s="1824">
        <f t="shared" si="219"/>
        <v>4576531</v>
      </c>
      <c r="M125" s="1824">
        <f t="shared" si="219"/>
        <v>5500935</v>
      </c>
      <c r="N125" s="1893">
        <f t="shared" si="219"/>
        <v>4584000</v>
      </c>
      <c r="O125" s="1893">
        <f t="shared" si="219"/>
        <v>-13206000</v>
      </c>
      <c r="P125" s="1893">
        <f t="shared" si="219"/>
        <v>5090000</v>
      </c>
      <c r="Q125" s="1894">
        <f t="shared" si="219"/>
        <v>4589000</v>
      </c>
      <c r="R125" s="1843">
        <f t="shared" ca="1" si="213"/>
        <v>10663136</v>
      </c>
      <c r="S125" s="1843">
        <f t="shared" ca="1" si="214"/>
        <v>1332892</v>
      </c>
      <c r="T125" s="539">
        <f>SUM(F125:Q125)</f>
        <v>11720136</v>
      </c>
      <c r="U125" s="1825">
        <f t="shared" ca="1" si="140"/>
        <v>15994704</v>
      </c>
      <c r="V125" s="2041">
        <f ca="1">IFERROR(IF(W125&gt;=0,1,IF(W125&lt;-0.1,-1,0)),1)</f>
        <v>1</v>
      </c>
      <c r="W125" s="1840">
        <f ca="1">IF(T125=0,1-(U118+U121)/U116,IF(T125=U125,0,ROUND((U125-T125)/ABS(T125),3)))</f>
        <v>0.36499999999999999</v>
      </c>
    </row>
    <row r="126" spans="1:23" s="1137" customFormat="1" ht="14.25" customHeight="1" x14ac:dyDescent="0.15">
      <c r="C126" s="2230"/>
      <c r="D126" s="2233"/>
      <c r="E126" s="1877" t="s">
        <v>46</v>
      </c>
      <c r="F126" s="1813">
        <f>IFERROR(IF(F$2&gt;$G$1,'☆事業所損益管理(H30.9～H31.8)(計画)'!F108,
GETPIVOTDATA("合計 / " &amp; $E126,【ピボット】事業所収支!$A$3,"年月",F$2)),0)</f>
        <v>148771</v>
      </c>
      <c r="G126" s="1814">
        <f>IFERROR(IF(G$2&gt;$G$1,'☆事業所損益管理(H30.9～H31.8)(計画)'!G108,
GETPIVOTDATA("合計 / " &amp; $E126,【ピボット】事業所収支!$A$3,"年月",G$2)),0)</f>
        <v>142298</v>
      </c>
      <c r="H126" s="1814">
        <f>IFERROR(IF(H$2&gt;$G$1,'☆事業所損益管理(H30.9～H31.8)(計画)'!H108,
GETPIVOTDATA("合計 / " &amp; $E126,【ピボット】事業所収支!$A$3,"年月",H$2)),0)</f>
        <v>146805</v>
      </c>
      <c r="I126" s="1814">
        <f>IFERROR(IF(I$2&gt;$G$1,'☆事業所損益管理(H30.9～H31.8)(計画)'!I108,
GETPIVOTDATA("合計 / " &amp; $E126,【ピボット】事業所収支!$A$3,"年月",I$2)),0)</f>
        <v>369915</v>
      </c>
      <c r="J126" s="1814">
        <f>IFERROR(IF(J$2&gt;$G$1,'☆事業所損益管理(H30.9～H31.8)(計画)'!J108,
GETPIVOTDATA("合計 / " &amp; $E126,【ピボット】事業所収支!$A$3,"年月",J$2)),0)</f>
        <v>316282</v>
      </c>
      <c r="K126" s="1814">
        <f>IFERROR(IF(K$2&gt;$G$1,'☆事業所損益管理(H30.9～H31.8)(計画)'!K108,
GETPIVOTDATA("合計 / " &amp; $E126,【ピボット】事業所収支!$A$3,"年月",K$2)),0)</f>
        <v>308518</v>
      </c>
      <c r="L126" s="1814">
        <f>IFERROR(IF(L$2&gt;$G$1,'☆事業所損益管理(H30.9～H31.8)(計画)'!L108,
GETPIVOTDATA("合計 / " &amp; $E126,【ピボット】事業所収支!$A$3,"年月",L$2)),0)</f>
        <v>539685</v>
      </c>
      <c r="M126" s="1814">
        <f>IFERROR(IF(M$2&gt;$G$1,'☆事業所損益管理(H30.9～H31.8)(計画)'!M108,
GETPIVOTDATA("合計 / " &amp; $E126,【ピボット】事業所収支!$A$3,"年月",M$2)),0)</f>
        <v>215222</v>
      </c>
      <c r="N126" s="1891">
        <f>IFERROR(IF(N$2&gt;$G$1,'☆事業所損益管理(H30.9～H31.8)(計画)'!N108,
GETPIVOTDATA("合計 / " &amp; $E126,【ピボット】事業所収支!$A$3,"年月",N$2)),0)</f>
        <v>144000</v>
      </c>
      <c r="O126" s="1891">
        <f>IFERROR(IF(O$2&gt;$G$1,'☆事業所損益管理(H30.9～H31.8)(計画)'!O108,
GETPIVOTDATA("合計 / " &amp; $E126,【ピボット】事業所収支!$A$3,"年月",O$2)),0)</f>
        <v>144000</v>
      </c>
      <c r="P126" s="1891">
        <f>IFERROR(IF(P$2&gt;$G$1,'☆事業所損益管理(H30.9～H31.8)(計画)'!P108,
GETPIVOTDATA("合計 / " &amp; $E126,【ピボット】事業所収支!$A$3,"年月",P$2)),0)</f>
        <v>144000</v>
      </c>
      <c r="Q126" s="1892">
        <f>IFERROR(IF(Q$2&gt;$G$1,'☆事業所損益管理(H30.9～H31.8)(計画)'!Q108,
GETPIVOTDATA("合計 / " &amp; $E126,【ピボット】事業所収支!$A$3,"年月",Q$2)),0)</f>
        <v>144000</v>
      </c>
      <c r="R126" s="1843">
        <f ca="1">SUM(OFFSET(F126,0,0,1,IF(ISERROR(MATCH(DATE(YEAR($G$1),MONTH($G$1),1),$F$2:$Q$2,0)),0,MATCH(DATE(YEAR($G$1),MONTH($G$1),1),$F$2:$Q$2,0))))</f>
        <v>2187496</v>
      </c>
      <c r="S126" s="1843">
        <f ca="1">IF(ISERROR(R126/(DATEDIF(F$2,G$1,"M")+1)),0,R126/(DATEDIF(F$2,G$1,"M")+1))</f>
        <v>273437</v>
      </c>
      <c r="T126" s="539">
        <f>SUM(F126:Q126)</f>
        <v>2763496</v>
      </c>
      <c r="U126" s="1825">
        <f ca="1">S126*12</f>
        <v>3281244</v>
      </c>
      <c r="V126" s="2041">
        <f ca="1">IF(W126=0,1,IF(W126&gt;=1,1,IF(W126&lt;0.9,-1,0)))</f>
        <v>1</v>
      </c>
      <c r="W126" s="1840">
        <f ca="1">IF(T126&lt;0,ROUND((U126-T126)/ABS(T126),3),IF(T126=0,0,ROUND(U126/T126,3)))</f>
        <v>1.1870000000000001</v>
      </c>
    </row>
    <row r="127" spans="1:23" s="1137" customFormat="1" ht="14.25" customHeight="1" x14ac:dyDescent="0.15">
      <c r="C127" s="2230"/>
      <c r="D127" s="2233"/>
      <c r="E127" s="1821" t="s">
        <v>47</v>
      </c>
      <c r="F127" s="1813">
        <f>IFERROR(IF(F$2&gt;$G$1,'☆事業所損益管理(H30.9～H31.8)(計画)'!F109,
GETPIVOTDATA("合計 / " &amp; $E127,【ピボット】事業所収支!$A$3,"年月",F$2)),0)</f>
        <v>472801</v>
      </c>
      <c r="G127" s="1814">
        <f>IFERROR(IF(G$2&gt;$G$1,'☆事業所損益管理(H30.9～H31.8)(計画)'!G109,
GETPIVOTDATA("合計 / " &amp; $E127,【ピボット】事業所収支!$A$3,"年月",G$2)),0)</f>
        <v>972358</v>
      </c>
      <c r="H127" s="1814">
        <f>IFERROR(IF(H$2&gt;$G$1,'☆事業所損益管理(H30.9～H31.8)(計画)'!H109,
GETPIVOTDATA("合計 / " &amp; $E127,【ピボット】事業所収支!$A$3,"年月",H$2)),0)</f>
        <v>874139</v>
      </c>
      <c r="I127" s="1814">
        <f>IFERROR(IF(I$2&gt;$G$1,'☆事業所損益管理(H30.9～H31.8)(計画)'!I109,
GETPIVOTDATA("合計 / " &amp; $E127,【ピボット】事業所収支!$A$3,"年月",I$2)),0)</f>
        <v>703823</v>
      </c>
      <c r="J127" s="1814">
        <f>IFERROR(IF(J$2&gt;$G$1,'☆事業所損益管理(H30.9～H31.8)(計画)'!J109,
GETPIVOTDATA("合計 / " &amp; $E127,【ピボット】事業所収支!$A$3,"年月",J$2)),0)</f>
        <v>1196977</v>
      </c>
      <c r="K127" s="1814">
        <f>IFERROR(IF(K$2&gt;$G$1,'☆事業所損益管理(H30.9～H31.8)(計画)'!K109,
GETPIVOTDATA("合計 / " &amp; $E127,【ピボット】事業所収支!$A$3,"年月",K$2)),0)</f>
        <v>977248</v>
      </c>
      <c r="L127" s="1814">
        <f>IFERROR(IF(L$2&gt;$G$1,'☆事業所損益管理(H30.9～H31.8)(計画)'!L109,
GETPIVOTDATA("合計 / " &amp; $E127,【ピボット】事業所収支!$A$3,"年月",L$2)),0)</f>
        <v>532662</v>
      </c>
      <c r="M127" s="1814">
        <f>IFERROR(IF(M$2&gt;$G$1,'☆事業所損益管理(H30.9～H31.8)(計画)'!M109,
GETPIVOTDATA("合計 / " &amp; $E127,【ピボット】事業所収支!$A$3,"年月",M$2)),0)</f>
        <v>665619</v>
      </c>
      <c r="N127" s="1891">
        <f>IFERROR(IF(N$2&gt;$G$1,'☆事業所損益管理(H30.9～H31.8)(計画)'!N109,
GETPIVOTDATA("合計 / " &amp; $E127,【ピボット】事業所収支!$A$3,"年月",N$2)),0)</f>
        <v>987000</v>
      </c>
      <c r="O127" s="1891">
        <f>IFERROR(IF(O$2&gt;$G$1,'☆事業所損益管理(H30.9～H31.8)(計画)'!O109,
GETPIVOTDATA("合計 / " &amp; $E127,【ピボット】事業所収支!$A$3,"年月",O$2)),0)</f>
        <v>987000</v>
      </c>
      <c r="P127" s="1891">
        <f>IFERROR(IF(P$2&gt;$G$1,'☆事業所損益管理(H30.9～H31.8)(計画)'!P109,
GETPIVOTDATA("合計 / " &amp; $E127,【ピボット】事業所収支!$A$3,"年月",P$2)),0)</f>
        <v>987000</v>
      </c>
      <c r="Q127" s="1892">
        <f>IFERROR(IF(Q$2&gt;$G$1,'☆事業所損益管理(H30.9～H31.8)(計画)'!Q109,
GETPIVOTDATA("合計 / " &amp; $E127,【ピボット】事業所収支!$A$3,"年月",Q$2)),0)</f>
        <v>987000</v>
      </c>
      <c r="R127" s="1843">
        <f ca="1">SUM(OFFSET(F127,0,0,1,IF(ISERROR(MATCH(DATE(YEAR($G$1),MONTH($G$1),1),$F$2:$Q$2,0)),0,MATCH(DATE(YEAR($G$1),MONTH($G$1),1),$F$2:$Q$2,0))))</f>
        <v>6395627</v>
      </c>
      <c r="S127" s="1843">
        <f ca="1">IF(ISERROR(R127/(DATEDIF(F$2,G$1,"M")+1)),0,R127/(DATEDIF(F$2,G$1,"M")+1))</f>
        <v>799453.375</v>
      </c>
      <c r="T127" s="539">
        <f>SUM(F127:Q127)</f>
        <v>10343627</v>
      </c>
      <c r="U127" s="1825">
        <f ca="1">S127*12</f>
        <v>9593440.5</v>
      </c>
      <c r="V127" s="2041">
        <f ca="1">IF(W127=0,1,IF(W127&lt;=1,1,IF(W127&gt;1.1,-1,0)))</f>
        <v>1</v>
      </c>
      <c r="W127" s="1840">
        <f ca="1">IF(T127&lt;0,ROUND((U127-T127)/ABS(T127),3),IF(T127=0,0,ROUND(U127/T127,3)))</f>
        <v>0.92700000000000005</v>
      </c>
    </row>
    <row r="128" spans="1:23" s="1137" customFormat="1" ht="14.25" customHeight="1" thickBot="1" x14ac:dyDescent="0.2">
      <c r="C128" s="2231"/>
      <c r="D128" s="2234"/>
      <c r="E128" s="1829" t="s">
        <v>942</v>
      </c>
      <c r="F128" s="1878">
        <f>F125+F126-F127</f>
        <v>1464667</v>
      </c>
      <c r="G128" s="1879">
        <f>G125+G126-G127</f>
        <v>-676781</v>
      </c>
      <c r="H128" s="1879">
        <f t="shared" ref="H128:Q128" si="220">H125+H126-H127</f>
        <v>3522896</v>
      </c>
      <c r="I128" s="1879">
        <f t="shared" si="220"/>
        <v>-11636063</v>
      </c>
      <c r="J128" s="1879">
        <f t="shared" si="220"/>
        <v>2058240</v>
      </c>
      <c r="K128" s="1879">
        <f t="shared" si="220"/>
        <v>2087954</v>
      </c>
      <c r="L128" s="1879">
        <f t="shared" si="220"/>
        <v>4583554</v>
      </c>
      <c r="M128" s="1879">
        <f t="shared" si="220"/>
        <v>5050538</v>
      </c>
      <c r="N128" s="1905">
        <f t="shared" si="220"/>
        <v>3741000</v>
      </c>
      <c r="O128" s="1905">
        <f t="shared" si="220"/>
        <v>-14049000</v>
      </c>
      <c r="P128" s="1905">
        <f t="shared" ref="P128" si="221">P125+P126-P127</f>
        <v>4247000</v>
      </c>
      <c r="Q128" s="1906">
        <f t="shared" si="220"/>
        <v>3746000</v>
      </c>
      <c r="R128" s="1850">
        <f ca="1">SUM(OFFSET(F128,0,0,1,IF(ISERROR(MATCH(DATE(YEAR($G$1),MONTH($G$1),1),$F$2:$Q$2,0)),0,MATCH(DATE(YEAR($G$1),MONTH($G$1),1),$F$2:$Q$2,0))))</f>
        <v>6455005</v>
      </c>
      <c r="S128" s="1850">
        <f ca="1">IF(ISERROR(R128/(DATEDIF(F$2,G$1,"M")+1)),0,R128/(DATEDIF(F$2,G$1,"M")+1))</f>
        <v>806875.625</v>
      </c>
      <c r="T128" s="1838">
        <f>SUM(F128:Q128)</f>
        <v>4140005</v>
      </c>
      <c r="U128" s="1835">
        <f ca="1">S128*12</f>
        <v>9682507.5</v>
      </c>
      <c r="V128" s="2051">
        <f ca="1">IFERROR(IF(W128&gt;=0,1,IF(W128&lt;-0.1,-1,0)),1)</f>
        <v>1</v>
      </c>
      <c r="W128" s="1853">
        <f ca="1">IF(T128=0,1-(U118+U121)/U116,IF(T128=U128,0,ROUND((U128-T128)/ABS(T128),3)))</f>
        <v>1.339</v>
      </c>
    </row>
    <row r="129" spans="5:23" s="1122" customFormat="1" ht="14.25" customHeight="1" x14ac:dyDescent="0.15">
      <c r="E129" s="1485"/>
      <c r="F129" s="1483"/>
      <c r="N129" s="1123"/>
      <c r="O129" s="1123"/>
      <c r="P129" s="1123"/>
      <c r="Q129" s="1123"/>
      <c r="R129" s="1123"/>
      <c r="S129" s="1123"/>
      <c r="T129" s="1123"/>
      <c r="U129" s="1123"/>
      <c r="V129" s="1858"/>
      <c r="W129" s="1123"/>
    </row>
    <row r="130" spans="5:23" s="1122" customFormat="1" ht="14.25" customHeight="1" x14ac:dyDescent="0.15">
      <c r="E130" s="1485"/>
      <c r="F130" s="1483"/>
      <c r="N130" s="1123"/>
      <c r="O130" s="1123"/>
      <c r="P130" s="1123"/>
      <c r="Q130" s="1123"/>
      <c r="R130" s="2182" t="s">
        <v>1151</v>
      </c>
      <c r="S130" s="2182"/>
      <c r="T130" s="2182"/>
      <c r="U130" s="350"/>
      <c r="V130" s="1123"/>
    </row>
    <row r="131" spans="5:23" s="1122" customFormat="1" ht="14.25" customHeight="1" x14ac:dyDescent="0.15">
      <c r="E131" s="1485"/>
      <c r="F131" s="1483"/>
      <c r="N131" s="1123"/>
      <c r="O131" s="1123"/>
      <c r="P131" s="1123"/>
      <c r="Q131" s="1123"/>
      <c r="R131" s="2182"/>
      <c r="S131" s="2182"/>
      <c r="T131" s="2182"/>
      <c r="U131" s="350"/>
      <c r="V131" s="1123"/>
    </row>
    <row r="132" spans="5:23" s="1122" customFormat="1" ht="14.25" customHeight="1" x14ac:dyDescent="0.15">
      <c r="E132" s="1485"/>
      <c r="F132" s="1483"/>
      <c r="N132" s="1123"/>
      <c r="O132" s="1123"/>
      <c r="P132" s="1123"/>
      <c r="Q132" s="1123"/>
      <c r="R132" s="1063" t="s">
        <v>1324</v>
      </c>
      <c r="S132" s="405"/>
      <c r="T132" s="350"/>
      <c r="U132" s="350"/>
      <c r="V132" s="1121"/>
      <c r="W132" s="1121"/>
    </row>
    <row r="133" spans="5:23" s="1122" customFormat="1" ht="14.25" customHeight="1" x14ac:dyDescent="0.15">
      <c r="E133" s="1485"/>
      <c r="F133" s="1483"/>
      <c r="N133" s="1123"/>
      <c r="O133" s="1123"/>
      <c r="P133" s="1123"/>
      <c r="Q133" s="1121"/>
      <c r="R133" s="1064">
        <v>1</v>
      </c>
      <c r="S133" s="1065" t="s">
        <v>1154</v>
      </c>
      <c r="T133" s="413" t="s">
        <v>1159</v>
      </c>
      <c r="U133" s="350"/>
      <c r="V133" s="1121"/>
      <c r="W133" s="1121"/>
    </row>
    <row r="134" spans="5:23" s="1122" customFormat="1" ht="14.25" customHeight="1" x14ac:dyDescent="0.15">
      <c r="E134" s="1485"/>
      <c r="F134" s="1483"/>
      <c r="N134" s="1123"/>
      <c r="O134" s="1123"/>
      <c r="P134" s="1123"/>
      <c r="Q134" s="1121"/>
      <c r="R134" s="1064">
        <v>0</v>
      </c>
      <c r="S134" s="1065" t="s">
        <v>1155</v>
      </c>
      <c r="T134" s="413" t="s">
        <v>1163</v>
      </c>
      <c r="U134" s="350"/>
      <c r="V134" s="1121"/>
      <c r="W134" s="1121"/>
    </row>
    <row r="135" spans="5:23" s="1122" customFormat="1" ht="14.25" customHeight="1" x14ac:dyDescent="0.15">
      <c r="E135" s="1485"/>
      <c r="F135" s="1483"/>
      <c r="N135" s="1123"/>
      <c r="O135" s="1123"/>
      <c r="P135" s="1123"/>
      <c r="Q135" s="1121"/>
      <c r="R135" s="1064">
        <v>-1</v>
      </c>
      <c r="S135" s="1063" t="s">
        <v>1156</v>
      </c>
      <c r="T135" s="413" t="s">
        <v>1160</v>
      </c>
      <c r="U135" s="350"/>
      <c r="V135" s="1121"/>
      <c r="W135" s="1121"/>
    </row>
    <row r="136" spans="5:23" s="1122" customFormat="1" ht="14.25" customHeight="1" x14ac:dyDescent="0.15">
      <c r="E136" s="1485"/>
      <c r="F136" s="1483"/>
      <c r="N136" s="1123"/>
      <c r="O136" s="1123"/>
      <c r="P136" s="1123"/>
      <c r="Q136" s="1121"/>
      <c r="R136" s="1874"/>
      <c r="S136" s="405"/>
      <c r="T136" s="350"/>
      <c r="U136" s="350"/>
      <c r="V136" s="1121"/>
      <c r="W136" s="1121"/>
    </row>
    <row r="137" spans="5:23" s="1122" customFormat="1" ht="14.25" customHeight="1" x14ac:dyDescent="0.15">
      <c r="E137" s="1485"/>
      <c r="F137" s="1483"/>
      <c r="N137" s="1123"/>
      <c r="O137" s="1123"/>
      <c r="P137" s="1123"/>
      <c r="Q137" s="1121"/>
      <c r="R137" s="1873" t="s">
        <v>1153</v>
      </c>
      <c r="S137" s="350"/>
      <c r="T137" s="350"/>
      <c r="U137" s="350"/>
      <c r="V137" s="1121"/>
      <c r="W137" s="1121"/>
    </row>
    <row r="138" spans="5:23" s="1122" customFormat="1" ht="14.25" customHeight="1" x14ac:dyDescent="0.15">
      <c r="E138" s="1485"/>
      <c r="F138" s="1483"/>
      <c r="N138" s="1123"/>
      <c r="O138" s="1123"/>
      <c r="P138" s="1123"/>
      <c r="Q138" s="1121"/>
      <c r="R138" s="1064">
        <v>1</v>
      </c>
      <c r="S138" s="1065" t="s">
        <v>1157</v>
      </c>
      <c r="T138" s="413" t="s">
        <v>1161</v>
      </c>
      <c r="U138" s="350"/>
      <c r="V138" s="1121"/>
      <c r="W138" s="1121"/>
    </row>
    <row r="139" spans="5:23" s="1122" customFormat="1" ht="14.25" customHeight="1" x14ac:dyDescent="0.15">
      <c r="E139" s="1485"/>
      <c r="F139" s="1483"/>
      <c r="N139" s="1123"/>
      <c r="O139" s="1123"/>
      <c r="P139" s="1123"/>
      <c r="Q139" s="1121"/>
      <c r="R139" s="1064">
        <v>0</v>
      </c>
      <c r="S139" s="1065" t="s">
        <v>1158</v>
      </c>
      <c r="T139" s="413" t="s">
        <v>1162</v>
      </c>
      <c r="U139" s="350"/>
      <c r="V139" s="1121"/>
      <c r="W139" s="1121"/>
    </row>
    <row r="140" spans="5:23" s="1122" customFormat="1" ht="14.25" customHeight="1" x14ac:dyDescent="0.15">
      <c r="E140" s="1485"/>
      <c r="F140" s="1483"/>
      <c r="N140" s="1123"/>
      <c r="O140" s="1123"/>
      <c r="P140" s="1123"/>
      <c r="Q140" s="1121"/>
      <c r="R140" s="1064">
        <v>-1</v>
      </c>
      <c r="S140" s="1063" t="s">
        <v>1158</v>
      </c>
      <c r="T140" s="413" t="s">
        <v>1164</v>
      </c>
      <c r="U140" s="405"/>
      <c r="V140" s="1121"/>
      <c r="W140" s="1121"/>
    </row>
    <row r="141" spans="5:23" s="1122" customFormat="1" ht="14.25" customHeight="1" x14ac:dyDescent="0.15">
      <c r="E141" s="1485"/>
      <c r="F141" s="1483"/>
      <c r="N141" s="1123"/>
      <c r="O141" s="1123"/>
      <c r="P141" s="1123"/>
      <c r="Q141" s="1121"/>
      <c r="R141" s="1875"/>
      <c r="S141" s="1081"/>
      <c r="T141" s="1081"/>
      <c r="U141" s="1081"/>
      <c r="V141" s="1121"/>
      <c r="W141" s="1121"/>
    </row>
    <row r="142" spans="5:23" s="1122" customFormat="1" ht="14.25" customHeight="1" x14ac:dyDescent="0.15">
      <c r="E142" s="1485"/>
      <c r="F142" s="1483"/>
      <c r="N142" s="1123"/>
      <c r="O142" s="1123"/>
      <c r="P142" s="1123"/>
      <c r="Q142" s="1121"/>
      <c r="R142" s="1873" t="s">
        <v>1325</v>
      </c>
      <c r="S142" s="405"/>
      <c r="T142" s="350"/>
      <c r="U142" s="1081"/>
      <c r="V142" s="1121"/>
      <c r="W142" s="1121"/>
    </row>
    <row r="143" spans="5:23" s="1122" customFormat="1" ht="14.25" customHeight="1" x14ac:dyDescent="0.15">
      <c r="E143" s="1485"/>
      <c r="F143" s="1483"/>
      <c r="N143" s="1123"/>
      <c r="O143" s="1123"/>
      <c r="P143" s="1123"/>
      <c r="Q143" s="1121"/>
      <c r="R143" s="1064">
        <v>1</v>
      </c>
      <c r="S143" s="1065" t="s">
        <v>1326</v>
      </c>
      <c r="T143" s="413" t="s">
        <v>1159</v>
      </c>
      <c r="U143" s="1081"/>
      <c r="V143" s="1121"/>
      <c r="W143" s="1121"/>
    </row>
    <row r="144" spans="5:23" s="1122" customFormat="1" ht="14.25" customHeight="1" x14ac:dyDescent="0.15">
      <c r="E144" s="1485"/>
      <c r="F144" s="1483"/>
      <c r="N144" s="1123"/>
      <c r="O144" s="1123"/>
      <c r="P144" s="1123"/>
      <c r="Q144" s="1121"/>
      <c r="R144" s="1875"/>
      <c r="S144" s="1081"/>
      <c r="T144" s="413" t="s">
        <v>1328</v>
      </c>
      <c r="U144" s="1081"/>
      <c r="V144" s="1121"/>
      <c r="W144" s="1121"/>
    </row>
    <row r="145" spans="5:23" s="1122" customFormat="1" ht="14.25" customHeight="1" x14ac:dyDescent="0.15">
      <c r="E145" s="1485"/>
      <c r="F145" s="1483"/>
      <c r="N145" s="1123"/>
      <c r="O145" s="1123"/>
      <c r="P145" s="1123"/>
      <c r="Q145" s="1121"/>
      <c r="R145" s="1064">
        <v>0</v>
      </c>
      <c r="S145" s="1065" t="s">
        <v>1327</v>
      </c>
      <c r="T145" s="413" t="s">
        <v>1163</v>
      </c>
      <c r="U145" s="1081"/>
      <c r="V145" s="1121"/>
      <c r="W145" s="1121"/>
    </row>
    <row r="146" spans="5:23" s="1122" customFormat="1" ht="14.25" customHeight="1" x14ac:dyDescent="0.15">
      <c r="E146" s="1485"/>
      <c r="F146" s="1483"/>
      <c r="N146" s="1123"/>
      <c r="O146" s="1123"/>
      <c r="P146" s="1123"/>
      <c r="Q146" s="1121"/>
      <c r="R146" s="1875"/>
      <c r="S146" s="1081"/>
      <c r="T146" s="413" t="s">
        <v>1329</v>
      </c>
      <c r="U146" s="1081"/>
      <c r="V146" s="1121"/>
      <c r="W146" s="1121"/>
    </row>
    <row r="147" spans="5:23" s="1122" customFormat="1" ht="14.25" customHeight="1" x14ac:dyDescent="0.15">
      <c r="E147" s="1485"/>
      <c r="F147" s="1483"/>
      <c r="N147" s="1123"/>
      <c r="O147" s="1123"/>
      <c r="P147" s="1123"/>
      <c r="Q147" s="1121"/>
      <c r="R147" s="1064">
        <v>-1</v>
      </c>
      <c r="S147" s="1063" t="s">
        <v>1327</v>
      </c>
      <c r="T147" s="413" t="s">
        <v>1160</v>
      </c>
      <c r="U147" s="1859"/>
      <c r="V147" s="1121"/>
      <c r="W147" s="1121"/>
    </row>
    <row r="148" spans="5:23" s="1122" customFormat="1" ht="14.25" customHeight="1" x14ac:dyDescent="0.15">
      <c r="E148" s="1485"/>
      <c r="F148" s="1483"/>
      <c r="N148" s="1123"/>
      <c r="O148" s="1123"/>
      <c r="P148" s="1123"/>
      <c r="Q148" s="1121"/>
      <c r="R148" s="1875"/>
      <c r="S148" s="1081"/>
      <c r="T148" s="413" t="s">
        <v>1330</v>
      </c>
      <c r="U148" s="1859"/>
      <c r="V148" s="1121"/>
      <c r="W148" s="1121"/>
    </row>
    <row r="149" spans="5:23" s="1122" customFormat="1" ht="14.25" customHeight="1" x14ac:dyDescent="0.15">
      <c r="E149" s="1485"/>
      <c r="F149" s="1483"/>
      <c r="N149" s="1123"/>
      <c r="O149" s="1123"/>
      <c r="P149" s="1123"/>
      <c r="Q149" s="1121"/>
      <c r="R149" s="1121"/>
      <c r="S149" s="1121"/>
      <c r="T149" s="1121"/>
      <c r="U149" s="1859"/>
      <c r="V149" s="1121"/>
      <c r="W149" s="1121"/>
    </row>
    <row r="150" spans="5:23" s="1122" customFormat="1" ht="14.25" customHeight="1" x14ac:dyDescent="0.15">
      <c r="E150" s="1485"/>
      <c r="F150" s="1483"/>
      <c r="N150" s="1123"/>
      <c r="O150" s="1123"/>
      <c r="P150" s="1123"/>
      <c r="Q150" s="1121"/>
      <c r="R150" s="1121"/>
      <c r="S150" s="1121"/>
      <c r="T150" s="1121"/>
      <c r="U150" s="1859"/>
      <c r="V150" s="1121"/>
      <c r="W150" s="1121"/>
    </row>
    <row r="151" spans="5:23" s="1122" customFormat="1" ht="14.25" customHeight="1" x14ac:dyDescent="0.15">
      <c r="E151" s="1485"/>
      <c r="F151" s="1483"/>
      <c r="N151" s="1123"/>
      <c r="O151" s="1123"/>
      <c r="P151" s="1123"/>
      <c r="Q151" s="1121"/>
      <c r="R151" s="1121"/>
      <c r="S151" s="1121"/>
      <c r="T151" s="1121"/>
      <c r="U151" s="1859"/>
      <c r="V151" s="1121"/>
      <c r="W151" s="1121"/>
    </row>
    <row r="152" spans="5:23" s="1122" customFormat="1" ht="14.25" customHeight="1" x14ac:dyDescent="0.15">
      <c r="E152" s="1485"/>
      <c r="F152" s="1483"/>
      <c r="N152" s="1123"/>
      <c r="O152" s="1123"/>
      <c r="P152" s="1123"/>
      <c r="Q152" s="1121"/>
      <c r="R152" s="1121"/>
      <c r="S152" s="1121"/>
      <c r="T152" s="1121"/>
      <c r="U152" s="1121"/>
      <c r="V152" s="1121"/>
      <c r="W152" s="1121"/>
    </row>
    <row r="153" spans="5:23" s="1122" customFormat="1" ht="14.25" customHeight="1" x14ac:dyDescent="0.15">
      <c r="E153" s="1485"/>
      <c r="F153" s="1483"/>
      <c r="N153" s="1123"/>
      <c r="O153" s="1123"/>
      <c r="P153" s="1123"/>
      <c r="Q153" s="1121"/>
      <c r="R153" s="1121"/>
      <c r="S153" s="1121"/>
      <c r="T153" s="1121"/>
      <c r="U153" s="1121"/>
      <c r="V153" s="1121"/>
      <c r="W153" s="1121"/>
    </row>
    <row r="154" spans="5:23" s="1122" customFormat="1" ht="14.25" customHeight="1" x14ac:dyDescent="0.15">
      <c r="E154" s="1485"/>
      <c r="F154" s="1483"/>
      <c r="N154" s="1123"/>
      <c r="O154" s="1123"/>
      <c r="P154" s="1123"/>
      <c r="Q154" s="1121"/>
      <c r="R154" s="1121"/>
      <c r="S154" s="1121"/>
      <c r="T154" s="1121"/>
      <c r="U154" s="1121"/>
      <c r="V154" s="1121"/>
      <c r="W154" s="1121"/>
    </row>
    <row r="155" spans="5:23" s="1122" customFormat="1" ht="14.25" customHeight="1" x14ac:dyDescent="0.15">
      <c r="E155" s="1485"/>
      <c r="F155" s="1483"/>
      <c r="N155" s="1123"/>
      <c r="O155" s="1123"/>
      <c r="P155" s="1123"/>
      <c r="Q155" s="1121"/>
      <c r="R155" s="1121"/>
      <c r="S155" s="1121"/>
      <c r="T155" s="1121"/>
      <c r="U155" s="1121"/>
      <c r="V155" s="1121"/>
      <c r="W155" s="1121"/>
    </row>
    <row r="156" spans="5:23" s="1122" customFormat="1" ht="14.25" customHeight="1" x14ac:dyDescent="0.15">
      <c r="E156" s="1485"/>
      <c r="F156" s="1483"/>
      <c r="N156" s="1123"/>
      <c r="O156" s="1123"/>
      <c r="P156" s="1123"/>
      <c r="Q156" s="1121"/>
      <c r="R156" s="1121"/>
      <c r="S156" s="1121"/>
      <c r="T156" s="1121"/>
      <c r="U156" s="1121"/>
      <c r="V156" s="1121"/>
      <c r="W156" s="1121"/>
    </row>
    <row r="157" spans="5:23" s="1122" customFormat="1" ht="14.25" customHeight="1" x14ac:dyDescent="0.15">
      <c r="E157" s="1485"/>
      <c r="F157" s="1483"/>
      <c r="N157" s="1123"/>
      <c r="O157" s="1123"/>
      <c r="P157" s="1123"/>
      <c r="Q157" s="1121"/>
      <c r="R157" s="1121"/>
      <c r="S157" s="1121"/>
      <c r="T157" s="1121"/>
      <c r="U157" s="1121"/>
      <c r="V157" s="1121"/>
      <c r="W157" s="1121"/>
    </row>
    <row r="158" spans="5:23" s="1122" customFormat="1" ht="14.25" customHeight="1" x14ac:dyDescent="0.15">
      <c r="E158" s="1485"/>
      <c r="F158" s="1483"/>
      <c r="N158" s="1123"/>
      <c r="O158" s="1123"/>
      <c r="P158" s="1123"/>
      <c r="Q158" s="1121"/>
      <c r="R158" s="1121"/>
      <c r="S158" s="1121"/>
      <c r="T158" s="1121"/>
      <c r="U158" s="1121"/>
      <c r="V158" s="1859"/>
      <c r="W158" s="1121"/>
    </row>
    <row r="159" spans="5:23" s="1122" customFormat="1" ht="14.25" customHeight="1" x14ac:dyDescent="0.15">
      <c r="E159" s="1485"/>
      <c r="F159" s="1483"/>
      <c r="N159" s="1123"/>
      <c r="O159" s="1123"/>
      <c r="P159" s="1123"/>
      <c r="Q159" s="1121"/>
      <c r="R159" s="1121"/>
      <c r="S159" s="1121"/>
      <c r="T159" s="1121"/>
      <c r="U159" s="1121"/>
      <c r="V159" s="1859"/>
      <c r="W159" s="1121"/>
    </row>
    <row r="160" spans="5:23" s="1122" customFormat="1" ht="14.25" customHeight="1" x14ac:dyDescent="0.15">
      <c r="E160" s="1485"/>
      <c r="F160" s="1483"/>
      <c r="N160" s="1123"/>
      <c r="O160" s="1123"/>
      <c r="P160" s="1123"/>
      <c r="Q160" s="1121"/>
      <c r="R160" s="1121"/>
      <c r="S160" s="1121"/>
      <c r="T160" s="1121"/>
      <c r="U160" s="1121"/>
      <c r="V160" s="1859"/>
      <c r="W160" s="1121"/>
    </row>
    <row r="161" spans="5:23" s="1122" customFormat="1" ht="14.25" customHeight="1" x14ac:dyDescent="0.15">
      <c r="E161" s="1485"/>
      <c r="F161" s="1483"/>
      <c r="N161" s="1123"/>
      <c r="O161" s="1123"/>
      <c r="P161" s="1123"/>
      <c r="Q161" s="1121"/>
      <c r="R161" s="1121"/>
      <c r="S161" s="1121"/>
      <c r="T161" s="1121"/>
      <c r="U161" s="1121"/>
      <c r="V161" s="1859"/>
      <c r="W161" s="1121"/>
    </row>
    <row r="162" spans="5:23" s="1122" customFormat="1" ht="14.25" customHeight="1" x14ac:dyDescent="0.15">
      <c r="E162" s="1485"/>
      <c r="F162" s="1483"/>
      <c r="N162" s="1123"/>
      <c r="O162" s="1123"/>
      <c r="P162" s="1123"/>
      <c r="Q162" s="1121"/>
      <c r="R162" s="1121"/>
      <c r="S162" s="1121"/>
      <c r="T162" s="1121"/>
      <c r="U162" s="1121"/>
      <c r="V162" s="1859"/>
      <c r="W162" s="1121"/>
    </row>
    <row r="163" spans="5:23" s="1122" customFormat="1" ht="14.25" customHeight="1" x14ac:dyDescent="0.15">
      <c r="E163" s="1485"/>
      <c r="F163" s="1483"/>
      <c r="N163" s="1123"/>
      <c r="O163" s="1123"/>
      <c r="P163" s="1123"/>
      <c r="Q163" s="1121"/>
      <c r="R163" s="1121"/>
      <c r="S163" s="1121"/>
      <c r="T163" s="1121"/>
      <c r="U163" s="1121"/>
      <c r="V163" s="1859"/>
      <c r="W163" s="1121"/>
    </row>
    <row r="164" spans="5:23" s="1122" customFormat="1" ht="14.25" customHeight="1" x14ac:dyDescent="0.15">
      <c r="E164" s="1485"/>
      <c r="F164" s="1483"/>
      <c r="N164" s="1123"/>
      <c r="O164" s="1123"/>
      <c r="P164" s="1123"/>
      <c r="Q164" s="1121"/>
      <c r="R164" s="1121"/>
      <c r="S164" s="1121"/>
      <c r="T164" s="1121"/>
      <c r="U164" s="1121"/>
      <c r="V164" s="1859"/>
      <c r="W164" s="1121"/>
    </row>
    <row r="165" spans="5:23" s="1122" customFormat="1" ht="14.25" customHeight="1" x14ac:dyDescent="0.15">
      <c r="E165" s="1485"/>
      <c r="F165" s="1483"/>
      <c r="N165" s="1123"/>
      <c r="O165" s="1123"/>
      <c r="P165" s="1123"/>
      <c r="Q165" s="1121"/>
      <c r="R165" s="1121"/>
      <c r="S165" s="1121"/>
      <c r="T165" s="1121"/>
      <c r="U165" s="1121"/>
      <c r="V165" s="1859"/>
      <c r="W165" s="1121"/>
    </row>
    <row r="166" spans="5:23" s="1122" customFormat="1" ht="14.25" customHeight="1" x14ac:dyDescent="0.15">
      <c r="E166" s="1485"/>
      <c r="F166" s="1483"/>
      <c r="N166" s="1123"/>
      <c r="O166" s="1123"/>
      <c r="P166" s="1123"/>
      <c r="Q166" s="1121"/>
      <c r="R166" s="1121"/>
      <c r="S166" s="1121"/>
      <c r="T166" s="1121"/>
      <c r="U166" s="1121"/>
      <c r="V166" s="1859"/>
      <c r="W166" s="1121"/>
    </row>
    <row r="167" spans="5:23" s="1122" customFormat="1" ht="14.25" customHeight="1" x14ac:dyDescent="0.15">
      <c r="E167" s="1485"/>
      <c r="F167" s="1483"/>
      <c r="N167" s="1123"/>
      <c r="O167" s="1123"/>
      <c r="P167" s="1123"/>
      <c r="Q167" s="1121"/>
      <c r="R167" s="1121"/>
      <c r="S167" s="1121"/>
      <c r="T167" s="1121"/>
      <c r="U167" s="1121"/>
      <c r="V167" s="1859"/>
      <c r="W167" s="1121"/>
    </row>
    <row r="168" spans="5:23" s="1122" customFormat="1" ht="14.25" customHeight="1" x14ac:dyDescent="0.15">
      <c r="E168" s="1485"/>
      <c r="F168" s="1483"/>
      <c r="N168" s="1123"/>
      <c r="O168" s="1123"/>
      <c r="P168" s="1123"/>
      <c r="Q168" s="1121"/>
      <c r="R168" s="1121"/>
      <c r="S168" s="1121"/>
      <c r="T168" s="1121"/>
      <c r="U168" s="1121"/>
      <c r="V168" s="1859"/>
      <c r="W168" s="1121"/>
    </row>
    <row r="169" spans="5:23" s="1122" customFormat="1" ht="14.25" customHeight="1" x14ac:dyDescent="0.15">
      <c r="E169" s="1485"/>
      <c r="F169" s="1483"/>
      <c r="N169" s="1123"/>
      <c r="O169" s="1123"/>
      <c r="P169" s="1123"/>
      <c r="Q169" s="1121"/>
      <c r="R169" s="1064"/>
      <c r="S169" s="1065"/>
      <c r="T169" s="413"/>
      <c r="U169" s="1081"/>
      <c r="V169" s="1121"/>
      <c r="W169" s="1121"/>
    </row>
    <row r="170" spans="5:23" s="1122" customFormat="1" ht="14.25" customHeight="1" x14ac:dyDescent="0.15">
      <c r="E170" s="1485"/>
      <c r="F170" s="1483"/>
      <c r="N170" s="1123"/>
      <c r="O170" s="1123"/>
      <c r="P170" s="1123"/>
      <c r="Q170" s="1121"/>
      <c r="R170" s="1875"/>
      <c r="S170" s="1081"/>
      <c r="T170" s="413"/>
      <c r="U170" s="1081"/>
      <c r="V170" s="1121"/>
      <c r="W170" s="1121"/>
    </row>
    <row r="171" spans="5:23" s="1122" customFormat="1" ht="14.25" customHeight="1" x14ac:dyDescent="0.15">
      <c r="E171" s="1485"/>
      <c r="F171" s="1483"/>
      <c r="N171" s="1123"/>
      <c r="O171" s="1123"/>
      <c r="P171" s="1123"/>
      <c r="Q171" s="1121"/>
      <c r="R171" s="1121"/>
      <c r="S171" s="1121"/>
      <c r="T171" s="1121"/>
      <c r="U171" s="1121"/>
      <c r="V171" s="1859"/>
      <c r="W171" s="1121"/>
    </row>
    <row r="172" spans="5:23" s="1122" customFormat="1" ht="14.25" customHeight="1" x14ac:dyDescent="0.15">
      <c r="E172" s="1485"/>
      <c r="F172" s="1483"/>
      <c r="N172" s="1123"/>
      <c r="O172" s="1123"/>
      <c r="P172" s="1123"/>
      <c r="Q172" s="1121"/>
      <c r="R172" s="1121"/>
      <c r="S172" s="1121"/>
      <c r="T172" s="1121"/>
      <c r="U172" s="1121"/>
      <c r="V172" s="1859"/>
      <c r="W172" s="1121"/>
    </row>
    <row r="173" spans="5:23" s="1122" customFormat="1" ht="14.25" customHeight="1" x14ac:dyDescent="0.15">
      <c r="E173" s="1485"/>
      <c r="F173" s="1483"/>
      <c r="N173" s="1123"/>
      <c r="O173" s="1123"/>
      <c r="P173" s="1123"/>
      <c r="Q173" s="1121"/>
      <c r="R173" s="1121"/>
      <c r="S173" s="1121"/>
      <c r="T173" s="1121"/>
      <c r="U173" s="1121"/>
      <c r="V173" s="1859"/>
      <c r="W173" s="1121"/>
    </row>
    <row r="174" spans="5:23" s="1122" customFormat="1" ht="14.25" customHeight="1" x14ac:dyDescent="0.15">
      <c r="E174" s="1485"/>
      <c r="F174" s="1483"/>
      <c r="N174" s="1123"/>
      <c r="O174" s="1123"/>
      <c r="P174" s="1123"/>
      <c r="Q174" s="1121"/>
      <c r="R174" s="1121"/>
      <c r="S174" s="1121"/>
      <c r="T174" s="1121"/>
      <c r="U174" s="1121"/>
      <c r="V174" s="1859"/>
      <c r="W174" s="1121"/>
    </row>
    <row r="175" spans="5:23" s="1122" customFormat="1" ht="14.25" customHeight="1" x14ac:dyDescent="0.15">
      <c r="E175" s="1485"/>
      <c r="F175" s="1483"/>
      <c r="N175" s="1123"/>
      <c r="O175" s="1123"/>
      <c r="P175" s="1123"/>
      <c r="Q175" s="1121"/>
      <c r="R175" s="1121"/>
      <c r="S175" s="1121"/>
      <c r="T175" s="1121"/>
      <c r="U175" s="1121"/>
      <c r="V175" s="1859"/>
      <c r="W175" s="1121"/>
    </row>
    <row r="176" spans="5:23" s="1122" customFormat="1" ht="14.25" customHeight="1" x14ac:dyDescent="0.15">
      <c r="E176" s="1485"/>
      <c r="F176" s="1483"/>
      <c r="N176" s="1123"/>
      <c r="O176" s="1123"/>
      <c r="P176" s="1123"/>
      <c r="Q176" s="1121"/>
      <c r="R176" s="1121"/>
      <c r="S176" s="1121"/>
      <c r="T176" s="1121"/>
      <c r="U176" s="1121"/>
      <c r="V176" s="1859"/>
      <c r="W176" s="1121"/>
    </row>
    <row r="177" spans="5:24" s="1122" customFormat="1" ht="14.25" customHeight="1" x14ac:dyDescent="0.15">
      <c r="E177" s="1485"/>
      <c r="F177" s="1483"/>
      <c r="N177" s="1123"/>
      <c r="O177" s="1123"/>
      <c r="P177" s="1123"/>
      <c r="Q177" s="1121"/>
      <c r="R177" s="1121"/>
      <c r="S177" s="1121"/>
      <c r="T177" s="1121"/>
      <c r="U177" s="1121"/>
      <c r="V177" s="1859"/>
      <c r="W177" s="1121"/>
    </row>
    <row r="178" spans="5:24" s="1122" customFormat="1" ht="14.25" customHeight="1" x14ac:dyDescent="0.15">
      <c r="E178" s="1485"/>
      <c r="F178" s="1483"/>
      <c r="N178" s="1123"/>
      <c r="O178" s="1123"/>
      <c r="P178" s="1123"/>
      <c r="Q178" s="1121"/>
      <c r="R178" s="1121"/>
      <c r="S178" s="1121"/>
      <c r="T178" s="1121"/>
      <c r="U178" s="1121"/>
      <c r="V178" s="1859"/>
      <c r="W178" s="1121"/>
    </row>
    <row r="179" spans="5:24" s="1122" customFormat="1" ht="14.25" customHeight="1" x14ac:dyDescent="0.15">
      <c r="E179" s="1485"/>
      <c r="F179" s="1483"/>
      <c r="N179" s="1123"/>
      <c r="O179" s="1123"/>
      <c r="P179" s="1123"/>
      <c r="Q179" s="1121"/>
      <c r="R179" s="1121"/>
      <c r="S179" s="1121"/>
      <c r="T179" s="1121"/>
      <c r="U179" s="1121"/>
      <c r="V179" s="1859"/>
      <c r="W179" s="1121"/>
    </row>
    <row r="180" spans="5:24" s="1122" customFormat="1" ht="14.25" customHeight="1" x14ac:dyDescent="0.15">
      <c r="E180" s="1485"/>
      <c r="F180" s="1483"/>
      <c r="N180" s="1123"/>
      <c r="O180" s="1123"/>
      <c r="P180" s="1123"/>
      <c r="Q180" s="1121"/>
      <c r="R180" s="1121"/>
      <c r="S180" s="1121"/>
      <c r="T180" s="1121"/>
      <c r="U180" s="1121"/>
      <c r="V180" s="1859"/>
      <c r="W180" s="1121"/>
    </row>
    <row r="181" spans="5:24" s="1122" customFormat="1" ht="14.25" customHeight="1" x14ac:dyDescent="0.15">
      <c r="E181" s="1485"/>
      <c r="F181" s="1483"/>
      <c r="N181" s="1123"/>
      <c r="O181" s="1123"/>
      <c r="P181" s="1123"/>
      <c r="Q181" s="1121"/>
      <c r="R181" s="1121"/>
      <c r="S181" s="1121"/>
      <c r="T181" s="1121"/>
      <c r="U181" s="1121"/>
      <c r="V181" s="1859"/>
      <c r="W181" s="1121"/>
    </row>
    <row r="182" spans="5:24" s="1122" customFormat="1" ht="14.25" customHeight="1" x14ac:dyDescent="0.15">
      <c r="E182" s="1485"/>
      <c r="F182" s="1483"/>
      <c r="N182" s="1123"/>
      <c r="O182" s="1123"/>
      <c r="P182" s="1123"/>
      <c r="Q182" s="1121"/>
      <c r="R182" s="1121"/>
      <c r="S182" s="1121"/>
      <c r="T182" s="1121"/>
      <c r="U182" s="1121"/>
      <c r="V182" s="1859"/>
      <c r="W182" s="1121"/>
    </row>
    <row r="183" spans="5:24" s="1122" customFormat="1" ht="14.25" customHeight="1" x14ac:dyDescent="0.15">
      <c r="E183" s="1485"/>
      <c r="F183" s="1483"/>
      <c r="N183" s="1123"/>
      <c r="O183" s="1123"/>
      <c r="P183" s="1123"/>
      <c r="Q183" s="1121"/>
      <c r="R183" s="1121"/>
      <c r="S183" s="1121"/>
      <c r="T183" s="1121"/>
      <c r="U183" s="1121"/>
      <c r="V183" s="1859"/>
      <c r="W183" s="1121"/>
    </row>
    <row r="184" spans="5:24" s="1122" customFormat="1" ht="14.25" customHeight="1" x14ac:dyDescent="0.15">
      <c r="E184" s="1485"/>
      <c r="F184" s="1483"/>
      <c r="N184" s="1123"/>
      <c r="O184" s="1123"/>
      <c r="P184" s="1123"/>
      <c r="Q184" s="1121"/>
      <c r="R184" s="1121"/>
      <c r="S184" s="1121"/>
      <c r="T184" s="1121"/>
      <c r="U184" s="1121"/>
      <c r="V184" s="1859"/>
      <c r="W184" s="1121"/>
    </row>
    <row r="185" spans="5:24" s="1122" customFormat="1" ht="14.25" customHeight="1" x14ac:dyDescent="0.15">
      <c r="E185" s="1485"/>
      <c r="F185" s="1483"/>
      <c r="N185" s="1123"/>
      <c r="O185" s="1123"/>
      <c r="P185" s="1123"/>
      <c r="Q185" s="1121"/>
      <c r="R185" s="1121"/>
      <c r="S185" s="1121"/>
      <c r="T185" s="1121"/>
      <c r="U185" s="1121"/>
      <c r="V185" s="1859"/>
      <c r="W185" s="1121"/>
    </row>
    <row r="186" spans="5:24" s="1122" customFormat="1" ht="14.25" customHeight="1" x14ac:dyDescent="0.15">
      <c r="E186" s="1485"/>
      <c r="F186" s="1483"/>
      <c r="N186" s="1123"/>
      <c r="O186" s="1123"/>
      <c r="P186" s="1123"/>
      <c r="Q186" s="1121"/>
      <c r="R186" s="1121"/>
      <c r="S186" s="1121"/>
      <c r="T186" s="1121"/>
      <c r="U186" s="1121"/>
      <c r="V186" s="1859"/>
      <c r="W186" s="1121"/>
    </row>
    <row r="187" spans="5:24" s="1122" customFormat="1" ht="14.25" customHeight="1" x14ac:dyDescent="0.15">
      <c r="E187" s="1485"/>
      <c r="F187" s="1483"/>
      <c r="N187" s="1123"/>
      <c r="O187" s="1123"/>
      <c r="P187" s="1123"/>
      <c r="Q187" s="1121"/>
      <c r="R187" s="1121"/>
      <c r="S187" s="1121"/>
      <c r="T187" s="1121"/>
      <c r="U187" s="1121"/>
      <c r="V187" s="1859"/>
      <c r="W187" s="1121"/>
    </row>
    <row r="188" spans="5:24" s="1122" customFormat="1" ht="14.25" customHeight="1" x14ac:dyDescent="0.15">
      <c r="E188" s="1485"/>
      <c r="F188" s="1483"/>
      <c r="N188" s="1123"/>
      <c r="O188" s="1123"/>
      <c r="P188" s="1123"/>
      <c r="Q188" s="1121"/>
      <c r="R188" s="1121"/>
      <c r="S188" s="1121"/>
      <c r="T188" s="1121"/>
      <c r="U188" s="1121"/>
      <c r="V188" s="1859"/>
      <c r="W188" s="1121"/>
    </row>
    <row r="189" spans="5:24" s="1122" customFormat="1" ht="14.25" customHeight="1" x14ac:dyDescent="0.15">
      <c r="E189" s="1485"/>
      <c r="F189" s="1483"/>
      <c r="N189" s="1123"/>
      <c r="O189" s="1123"/>
      <c r="P189" s="1123"/>
      <c r="Q189" s="1121"/>
      <c r="R189" s="1121"/>
      <c r="S189" s="1121"/>
      <c r="T189" s="1121"/>
      <c r="U189" s="1121"/>
      <c r="V189" s="1859"/>
      <c r="W189" s="1121"/>
    </row>
    <row r="190" spans="5:24" s="1122" customFormat="1" ht="14.25" customHeight="1" x14ac:dyDescent="0.15">
      <c r="E190" s="1485"/>
      <c r="F190" s="1483"/>
      <c r="N190" s="1123"/>
      <c r="O190" s="1123"/>
      <c r="P190" s="1123"/>
      <c r="Q190" s="1121"/>
      <c r="R190" s="1121"/>
      <c r="S190" s="1121"/>
      <c r="T190" s="1121"/>
      <c r="U190" s="1121"/>
      <c r="V190" s="1859"/>
      <c r="W190" s="1121"/>
      <c r="X190" s="1121"/>
    </row>
    <row r="191" spans="5:24" s="1122" customFormat="1" ht="14.25" customHeight="1" x14ac:dyDescent="0.15">
      <c r="E191" s="1485"/>
      <c r="F191" s="1483"/>
      <c r="N191" s="1123"/>
      <c r="O191" s="1123"/>
      <c r="P191" s="1123"/>
      <c r="Q191" s="1121"/>
      <c r="R191" s="1121"/>
      <c r="S191" s="1121"/>
      <c r="T191" s="1121"/>
      <c r="U191" s="1121"/>
      <c r="V191" s="1859"/>
      <c r="W191" s="1121"/>
      <c r="X191" s="1121"/>
    </row>
    <row r="192" spans="5:24" s="1122" customFormat="1" ht="14.25" customHeight="1" x14ac:dyDescent="0.15">
      <c r="E192" s="1485"/>
      <c r="F192" s="1483"/>
      <c r="N192" s="1123"/>
      <c r="O192" s="1123"/>
      <c r="P192" s="1123"/>
      <c r="Q192" s="1121"/>
      <c r="R192" s="1121"/>
      <c r="S192" s="1121"/>
      <c r="T192" s="1121"/>
      <c r="U192" s="1121"/>
      <c r="V192" s="1859"/>
      <c r="W192" s="1121"/>
      <c r="X192" s="1121"/>
    </row>
    <row r="193" spans="4:25" s="1122" customFormat="1" ht="14.25" customHeight="1" x14ac:dyDescent="0.15">
      <c r="E193" s="1485"/>
      <c r="F193" s="1864" t="s">
        <v>1456</v>
      </c>
      <c r="N193" s="1123"/>
      <c r="O193" s="1123"/>
      <c r="P193" s="1123"/>
      <c r="Q193" s="1121"/>
      <c r="R193" s="1121"/>
      <c r="S193" s="1121"/>
      <c r="T193" s="1121"/>
      <c r="U193" s="1121"/>
      <c r="V193" s="1859"/>
      <c r="W193" s="1121"/>
      <c r="X193" s="1121"/>
    </row>
    <row r="194" spans="4:25" s="1122" customFormat="1" ht="14.25" customHeight="1" x14ac:dyDescent="0.15">
      <c r="E194" s="1485"/>
      <c r="F194" s="1864" t="s">
        <v>1455</v>
      </c>
      <c r="N194" s="1123"/>
      <c r="O194" s="1123"/>
      <c r="P194" s="1123"/>
      <c r="Q194" s="1121"/>
      <c r="R194" s="1121"/>
      <c r="S194" s="1121"/>
      <c r="T194" s="1121"/>
      <c r="U194" s="1121"/>
      <c r="V194" s="1859"/>
      <c r="W194" s="1121"/>
      <c r="X194" s="1121"/>
    </row>
    <row r="195" spans="4:25" s="1122" customFormat="1" ht="14.25" customHeight="1" x14ac:dyDescent="0.15">
      <c r="E195" s="1485"/>
      <c r="F195" s="1483"/>
      <c r="N195" s="1123"/>
      <c r="O195" s="1123"/>
      <c r="P195" s="1123"/>
      <c r="Q195" s="1121"/>
      <c r="R195" s="1121"/>
      <c r="S195" s="1121"/>
      <c r="T195" s="1121"/>
      <c r="U195" s="1121"/>
      <c r="V195" s="1859"/>
      <c r="W195" s="1121"/>
      <c r="X195" s="1121"/>
    </row>
    <row r="196" spans="4:25" s="1122" customFormat="1" ht="14.25" customHeight="1" x14ac:dyDescent="0.15">
      <c r="E196" s="1485"/>
      <c r="F196" s="1483"/>
      <c r="N196" s="1123"/>
      <c r="O196" s="1123"/>
      <c r="P196" s="1123"/>
      <c r="Q196" s="1121"/>
      <c r="R196" s="1121"/>
      <c r="S196" s="1121"/>
      <c r="T196" s="1121"/>
      <c r="U196" s="1121"/>
      <c r="V196" s="1859"/>
      <c r="W196" s="1121"/>
      <c r="X196" s="1121"/>
      <c r="Y196" s="1121"/>
    </row>
    <row r="197" spans="4:25" ht="14.25" customHeight="1" thickBot="1" x14ac:dyDescent="0.2">
      <c r="D197" s="331" t="s">
        <v>1475</v>
      </c>
      <c r="E197" s="331"/>
      <c r="F197" s="331"/>
      <c r="G197" s="331"/>
      <c r="H197" s="331"/>
      <c r="I197"/>
      <c r="J197"/>
      <c r="K197"/>
      <c r="L197"/>
    </row>
    <row r="198" spans="4:25" ht="14.25" customHeight="1" thickBot="1" x14ac:dyDescent="0.2">
      <c r="D198" s="443" t="s">
        <v>476</v>
      </c>
      <c r="E198" s="444" t="s">
        <v>480</v>
      </c>
      <c r="F198" s="1880">
        <v>43405</v>
      </c>
      <c r="G198" s="1881">
        <f>EDATE(F198,1)</f>
        <v>43435</v>
      </c>
      <c r="H198" s="1882">
        <f>EDATE(G198,1)</f>
        <v>43466</v>
      </c>
      <c r="I198" s="1883">
        <f>EDATE(H198,1)</f>
        <v>43497</v>
      </c>
      <c r="J198" s="1884">
        <f>EDATE(I198,1)</f>
        <v>43525</v>
      </c>
      <c r="K198" s="1885">
        <f>EDATE(J198,1)</f>
        <v>43556</v>
      </c>
      <c r="L198" s="1918" t="s">
        <v>481</v>
      </c>
      <c r="M198" s="1913" t="s">
        <v>1473</v>
      </c>
    </row>
    <row r="199" spans="4:25" ht="14.25" customHeight="1" x14ac:dyDescent="0.15">
      <c r="D199" s="2172" t="s">
        <v>477</v>
      </c>
      <c r="E199" s="445" t="s">
        <v>405</v>
      </c>
      <c r="F199" s="1011">
        <f>'☆事業所損益管理(H30.9～H31.8)(計画)'!H15</f>
        <v>1850000</v>
      </c>
      <c r="G199" s="1016">
        <f>'☆事業所損益管理(H30.9～H31.8)(計画)'!I15</f>
        <v>-1900000</v>
      </c>
      <c r="H199" s="1016">
        <f>'☆事業所損益管理(H30.9～H31.8)(計画)'!J15</f>
        <v>1300000</v>
      </c>
      <c r="I199" s="1259">
        <f>'☆事業所損益管理(H30.9～H31.8)(計画)'!K15</f>
        <v>1300000</v>
      </c>
      <c r="J199" s="1259">
        <f>'☆事業所損益管理(H30.9～H31.8)(計画)'!L15</f>
        <v>1300000</v>
      </c>
      <c r="K199" s="1460">
        <f>'☆事業所損益管理(H30.9～H31.8)(計画)'!M15</f>
        <v>1500000</v>
      </c>
      <c r="L199" s="1919">
        <f t="array" ref="L199">SUM(IF(ISNUMBER(F$200:K$200),F199:K199))</f>
        <v>5350000</v>
      </c>
      <c r="M199" s="1914"/>
    </row>
    <row r="200" spans="4:25" ht="14.25" customHeight="1" x14ac:dyDescent="0.15">
      <c r="D200" s="2174"/>
      <c r="E200" s="438" t="s">
        <v>406</v>
      </c>
      <c r="F200" s="1012">
        <f>IF(F$198&gt;$G$1,"",IF('事業所損益管理(H30.9～H31.8)_査定'!H10=0,"",'事業所損益管理(H30.9～H31.8)_査定'!H10))</f>
        <v>2414881</v>
      </c>
      <c r="G200" s="440">
        <f>IF(G$198&gt;$G$1,"",IF('事業所損益管理(H30.9～H31.8)_査定'!I10=0,"",'事業所損益管理(H30.9～H31.8)_査定'!I10))</f>
        <v>-1695495</v>
      </c>
      <c r="H200" s="440">
        <f>IF(H$198&gt;$G$1,"",IF('事業所損益管理(H30.9～H31.8)_査定'!J10=0,"",'事業所損益管理(H30.9～H31.8)_査定'!J10))</f>
        <v>1913604</v>
      </c>
      <c r="I200" s="1260">
        <f>IF(I$198&gt;$G$1,"",IF('事業所損益管理(H30.9～H31.8)_査定'!K10=0,"",'事業所損益管理(H30.9～H31.8)_査定'!K10))</f>
        <v>1107150</v>
      </c>
      <c r="J200" s="1260">
        <f>IF(J$198&gt;$G$1,"",IF('事業所損益管理(H30.9～H31.8)_査定'!L10=0,"",'事業所損益管理(H30.9～H31.8)_査定'!L10))</f>
        <v>2390808</v>
      </c>
      <c r="K200" s="1461">
        <f>IF(K$198&gt;$G$1,"",IF('事業所損益管理(H30.9～H31.8)_査定'!M10=0,"",'事業所損益管理(H30.9～H31.8)_査定'!M10))</f>
        <v>3142256</v>
      </c>
      <c r="L200" s="1920">
        <f t="array" ref="L200">SUM(IF(ISNUMBER(F$200:K$200),F200:K200))</f>
        <v>9273204</v>
      </c>
      <c r="M200" s="1915">
        <f t="array" ref="M200">SUM(IF(F200:K200="",F199:K199))+SUM(F200:K200)</f>
        <v>9273204</v>
      </c>
    </row>
    <row r="201" spans="4:25" ht="14.25" customHeight="1" x14ac:dyDescent="0.15">
      <c r="D201" s="2174" t="s">
        <v>478</v>
      </c>
      <c r="E201" s="437" t="s">
        <v>405</v>
      </c>
      <c r="F201" s="1013">
        <f>'☆事業所損益管理(H30.9～H31.8)(計画)'!H22</f>
        <v>1300000</v>
      </c>
      <c r="G201" s="441">
        <f>'☆事業所損益管理(H30.9～H31.8)(計画)'!I22</f>
        <v>-2650000</v>
      </c>
      <c r="H201" s="441">
        <f>'☆事業所損益管理(H30.9～H31.8)(計画)'!J22</f>
        <v>1350000</v>
      </c>
      <c r="I201" s="1261">
        <f>'☆事業所損益管理(H30.9～H31.8)(計画)'!K22</f>
        <v>1150000</v>
      </c>
      <c r="J201" s="1261">
        <f>'☆事業所損益管理(H30.9～H31.8)(計画)'!L22</f>
        <v>1200000</v>
      </c>
      <c r="K201" s="1462">
        <f>'☆事業所損益管理(H30.9～H31.8)(計画)'!M22</f>
        <v>1200000</v>
      </c>
      <c r="L201" s="1921">
        <f t="array" ref="L201">SUM(IF(ISNUMBER(F$200:K$200),F201:K201))</f>
        <v>3550000</v>
      </c>
      <c r="M201" s="1916"/>
    </row>
    <row r="202" spans="4:25" ht="14.25" customHeight="1" x14ac:dyDescent="0.15">
      <c r="D202" s="2174"/>
      <c r="E202" s="438" t="s">
        <v>406</v>
      </c>
      <c r="F202" s="1012">
        <f>IF(F$198&gt;$G$1,"",IF('事業所損益管理(H30.9～H31.8)_査定'!H18=0,"",'事業所損益管理(H30.9～H31.8)_査定'!H18))</f>
        <v>1403149</v>
      </c>
      <c r="G202" s="440">
        <f>IF(G$198&gt;$G$1,"",IF('事業所損益管理(H30.9～H31.8)_査定'!I18=0,"",'事業所損益管理(H30.9～H31.8)_査定'!I18))</f>
        <v>-2114751</v>
      </c>
      <c r="H202" s="440">
        <f>IF(H$198&gt;$G$1,"",IF('事業所損益管理(H30.9～H31.8)_査定'!J18=0,"",'事業所損益管理(H30.9～H31.8)_査定'!J18))</f>
        <v>414415</v>
      </c>
      <c r="I202" s="1260">
        <f>IF(I$198&gt;$G$1,"",IF('事業所損益管理(H30.9～H31.8)_査定'!K18=0,"",'事業所損益管理(H30.9～H31.8)_査定'!K18))</f>
        <v>1244668</v>
      </c>
      <c r="J202" s="1260">
        <f>IF(J$198&gt;$G$1,"",IF('事業所損益管理(H30.9～H31.8)_査定'!L18=0,"",'事業所損益管理(H30.9～H31.8)_査定'!L18))</f>
        <v>640924</v>
      </c>
      <c r="K202" s="1461">
        <f>IF(K$198&gt;$G$1,"",IF('事業所損益管理(H30.9～H31.8)_査定'!M18=0,"",'事業所損益管理(H30.9～H31.8)_査定'!M18))</f>
        <v>1130446</v>
      </c>
      <c r="L202" s="1920">
        <f t="array" ref="L202">SUM(IF(ISNUMBER(F$200:K$200),F202:K202))</f>
        <v>2718851</v>
      </c>
      <c r="M202" s="1915">
        <f t="array" ref="M202">SUM(IF(F202:K202="",F201:K201))+SUM(F202:K202)</f>
        <v>2718851</v>
      </c>
    </row>
    <row r="203" spans="4:25" ht="14.25" customHeight="1" x14ac:dyDescent="0.15">
      <c r="D203" s="2174" t="s">
        <v>479</v>
      </c>
      <c r="E203" s="437" t="s">
        <v>405</v>
      </c>
      <c r="F203" s="1013">
        <f>'☆事業所損益管理(H30.9～H31.8)(計画)'!H29</f>
        <v>1400000</v>
      </c>
      <c r="G203" s="441">
        <f>'☆事業所損益管理(H30.9～H31.8)(計画)'!I29</f>
        <v>-2750000</v>
      </c>
      <c r="H203" s="441">
        <f>'☆事業所損益管理(H30.9～H31.8)(計画)'!J29</f>
        <v>1400000</v>
      </c>
      <c r="I203" s="1261">
        <f>'☆事業所損益管理(H30.9～H31.8)(計画)'!K29</f>
        <v>1600000</v>
      </c>
      <c r="J203" s="1261">
        <f>'☆事業所損益管理(H30.9～H31.8)(計画)'!L29</f>
        <v>1550000</v>
      </c>
      <c r="K203" s="1462">
        <f>'☆事業所損益管理(H30.9～H31.8)(計画)'!M29</f>
        <v>1500000</v>
      </c>
      <c r="L203" s="1921">
        <f t="array" ref="L203">SUM(IF(ISNUMBER(F$200:K$200),F203:K203))</f>
        <v>4700000</v>
      </c>
      <c r="M203" s="1916"/>
    </row>
    <row r="204" spans="4:25" ht="14.25" customHeight="1" x14ac:dyDescent="0.15">
      <c r="D204" s="2174"/>
      <c r="E204" s="438" t="s">
        <v>406</v>
      </c>
      <c r="F204" s="1012">
        <f>IF(F$198&gt;$G$1,"",IF('事業所損益管理(H30.9～H31.8)_査定'!H26=0,"",'事業所損益管理(H30.9～H31.8)_査定'!H26))</f>
        <v>735702</v>
      </c>
      <c r="G204" s="440">
        <f>IF(G$198&gt;$G$1,"",IF('事業所損益管理(H30.9～H31.8)_査定'!I26=0,"",'事業所損益管理(H30.9～H31.8)_査定'!I26))</f>
        <v>-2553972</v>
      </c>
      <c r="H204" s="440">
        <f>IF(H$198&gt;$G$1,"",IF('事業所損益管理(H30.9～H31.8)_査定'!J26=0,"",'事業所損益管理(H30.9～H31.8)_査定'!J26))</f>
        <v>443794</v>
      </c>
      <c r="I204" s="1260">
        <f>IF(I$198&gt;$G$1,"",IF('事業所損益管理(H30.9～H31.8)_査定'!K26=0,"",'事業所損益管理(H30.9～H31.8)_査定'!K26))</f>
        <v>722437</v>
      </c>
      <c r="J204" s="1260">
        <f>IF(J$198&gt;$G$1,"",IF('事業所損益管理(H30.9～H31.8)_査定'!L26=0,"",'事業所損益管理(H30.9～H31.8)_査定'!L26))</f>
        <v>1136503</v>
      </c>
      <c r="K204" s="1461">
        <f>IF(K$198&gt;$G$1,"",IF('事業所損益管理(H30.9～H31.8)_査定'!M26=0,"",'事業所損益管理(H30.9～H31.8)_査定'!M26))</f>
        <v>1129037</v>
      </c>
      <c r="L204" s="1920">
        <f t="array" ref="L204">SUM(IF(ISNUMBER(F$200:K$200),F204:K204))</f>
        <v>1613501</v>
      </c>
      <c r="M204" s="1915">
        <f t="array" ref="M204">SUM(IF(F204:K204="",F203:K203))+SUM(F204:K204)</f>
        <v>1613501</v>
      </c>
    </row>
    <row r="205" spans="4:25" ht="14.25" customHeight="1" x14ac:dyDescent="0.15">
      <c r="D205" s="2174" t="s">
        <v>967</v>
      </c>
      <c r="E205" s="437" t="s">
        <v>405</v>
      </c>
      <c r="F205" s="1013">
        <f>'☆事業所損益管理(H30.9～H31.8)(計画)'!H36</f>
        <v>-450000</v>
      </c>
      <c r="G205" s="441">
        <f>'☆事業所損益管理(H30.9～H31.8)(計画)'!I36</f>
        <v>-1206000</v>
      </c>
      <c r="H205" s="441">
        <f>'☆事業所損益管理(H30.9～H31.8)(計画)'!J36</f>
        <v>-606000</v>
      </c>
      <c r="I205" s="1261">
        <f>'☆事業所損益管理(H30.9～H31.8)(計画)'!K36</f>
        <v>-903000</v>
      </c>
      <c r="J205" s="1261">
        <f>'☆事業所損益管理(H30.9～H31.8)(計画)'!L36</f>
        <v>-850000</v>
      </c>
      <c r="K205" s="1462">
        <f>'☆事業所損益管理(H30.9～H31.8)(計画)'!M36</f>
        <v>-850000</v>
      </c>
      <c r="L205" s="1921">
        <f t="array" ref="L205">SUM(IF(ISNUMBER(F$200:K$200),F205:K205))</f>
        <v>-4865000</v>
      </c>
      <c r="M205" s="1916"/>
    </row>
    <row r="206" spans="4:25" ht="14.25" customHeight="1" x14ac:dyDescent="0.15">
      <c r="D206" s="2174"/>
      <c r="E206" s="438" t="s">
        <v>406</v>
      </c>
      <c r="F206" s="1012">
        <f>IF(F$198&gt;$G$1,"",IF('事業所損益管理(H30.9～H31.8)_査定'!H34=0,"",'事業所損益管理(H30.9～H31.8)_査定'!H34))</f>
        <v>-681689</v>
      </c>
      <c r="G206" s="440">
        <f>IF(G$198&gt;$G$1,"",IF('事業所損益管理(H30.9～H31.8)_査定'!I34=0,"",'事業所損益管理(H30.9～H31.8)_査定'!I34))</f>
        <v>-974058</v>
      </c>
      <c r="H206" s="440">
        <f>IF(H$198&gt;$G$1,"",IF('事業所損益管理(H30.9～H31.8)_査定'!J34=0,"",'事業所損益管理(H30.9～H31.8)_査定'!J34))</f>
        <v>-689827</v>
      </c>
      <c r="I206" s="1260">
        <f>IF(I$198&gt;$G$1,"",IF('事業所損益管理(H30.9～H31.8)_査定'!K34=0,"",'事業所損益管理(H30.9～H31.8)_査定'!K34))</f>
        <v>-868819</v>
      </c>
      <c r="J206" s="1260">
        <f>IF(J$198&gt;$G$1,"",IF('事業所損益管理(H30.9～H31.8)_査定'!L34=0,"",'事業所損益管理(H30.9～H31.8)_査定'!L34))</f>
        <v>-929510</v>
      </c>
      <c r="K206" s="1461">
        <f>IF(K$198&gt;$G$1,"",IF('事業所損益管理(H30.9～H31.8)_査定'!M34=0,"",'事業所損益管理(H30.9～H31.8)_査定'!M34))</f>
        <v>-861958</v>
      </c>
      <c r="L206" s="1920">
        <f t="array" ref="L206">SUM(IF(ISNUMBER(F$200:K$200),F206:K206))</f>
        <v>-5005861</v>
      </c>
      <c r="M206" s="1915">
        <f t="array" ref="M206">SUM(IF(F206:K206="",F205:K205))+SUM(F206:K206)</f>
        <v>-5005861</v>
      </c>
    </row>
    <row r="207" spans="4:25" ht="14.25" customHeight="1" x14ac:dyDescent="0.15">
      <c r="D207" s="2174" t="s">
        <v>1317</v>
      </c>
      <c r="E207" s="437" t="s">
        <v>405</v>
      </c>
      <c r="F207" s="1013">
        <f>'☆事業所損益管理(H30.9～H31.8)(計画)'!H43</f>
        <v>-1133000</v>
      </c>
      <c r="G207" s="441">
        <f>'☆事業所損益管理(H30.9～H31.8)(計画)'!I43</f>
        <v>-1470000</v>
      </c>
      <c r="H207" s="441">
        <f>'☆事業所損益管理(H30.9～H31.8)(計画)'!J43</f>
        <v>-940000</v>
      </c>
      <c r="I207" s="1261">
        <f>'☆事業所損益管理(H30.9～H31.8)(計画)'!K43</f>
        <v>-680000</v>
      </c>
      <c r="J207" s="1261">
        <f>'☆事業所損益管理(H30.9～H31.8)(計画)'!L43</f>
        <v>-1070000</v>
      </c>
      <c r="K207" s="1462">
        <f>'☆事業所損益管理(H30.9～H31.8)(計画)'!M43</f>
        <v>-1020000</v>
      </c>
      <c r="L207" s="1921">
        <f t="array" ref="L207">SUM(IF(ISNUMBER(F$200:K$200),F207:K207))</f>
        <v>-6313000</v>
      </c>
      <c r="M207" s="1916"/>
    </row>
    <row r="208" spans="4:25" ht="14.25" customHeight="1" x14ac:dyDescent="0.15">
      <c r="D208" s="2174"/>
      <c r="E208" s="438" t="s">
        <v>406</v>
      </c>
      <c r="F208" s="1012">
        <f>IF(F$198&gt;$G$1,"",IF('事業所損益管理(H30.9～H31.8)_査定'!H42=0,"",'事業所損益管理(H30.9～H31.8)_査定'!H42))</f>
        <v>-1136508</v>
      </c>
      <c r="G208" s="440">
        <f>IF(G$198&gt;$G$1,"",IF('事業所損益管理(H30.9～H31.8)_査定'!I42=0,"",'事業所損益管理(H30.9～H31.8)_査定'!I42))</f>
        <v>-855274</v>
      </c>
      <c r="H208" s="440">
        <f>IF(H$198&gt;$G$1,"",IF('事業所損益管理(H30.9～H31.8)_査定'!J42=0,"",'事業所損益管理(H30.9～H31.8)_査定'!J42))</f>
        <v>-920365</v>
      </c>
      <c r="I208" s="1260">
        <f>IF(I$198&gt;$G$1,"",IF('事業所損益管理(H30.9～H31.8)_査定'!K42=0,"",'事業所損益管理(H30.9～H31.8)_査定'!K42))</f>
        <v>-614117</v>
      </c>
      <c r="J208" s="1260">
        <f>IF(J$198&gt;$G$1,"",IF('事業所損益管理(H30.9～H31.8)_査定'!L42=0,"",'事業所損益管理(H30.9～H31.8)_査定'!L42))</f>
        <v>-696871</v>
      </c>
      <c r="K208" s="1461">
        <f>IF(K$198&gt;$G$1,"",IF('事業所損益管理(H30.9～H31.8)_査定'!M42=0,"",'事業所損益管理(H30.9～H31.8)_査定'!M42))</f>
        <v>-472136</v>
      </c>
      <c r="L208" s="1920">
        <f t="array" ref="L208">SUM(IF(ISNUMBER(F$200:K$200),F208:K208))</f>
        <v>-4695271</v>
      </c>
      <c r="M208" s="1915">
        <f t="array" ref="M208">SUM(IF(F208:K208="",F207:K207))+SUM(F208:K208)</f>
        <v>-4695271</v>
      </c>
    </row>
    <row r="209" spans="4:13" ht="14.25" hidden="1" customHeight="1" outlineLevel="1" x14ac:dyDescent="0.15">
      <c r="D209" s="2175" t="s">
        <v>358</v>
      </c>
      <c r="E209" s="437" t="s">
        <v>405</v>
      </c>
      <c r="F209" s="1013">
        <f>'☆事業所損益管理(H30.9～H31.8)(計画)'!H50</f>
        <v>450000</v>
      </c>
      <c r="G209" s="441">
        <f>'☆事業所損益管理(H30.9～H31.8)(計画)'!I50</f>
        <v>-800000</v>
      </c>
      <c r="H209" s="441">
        <f>'☆事業所損益管理(H30.9～H31.8)(計画)'!J50</f>
        <v>200000</v>
      </c>
      <c r="I209" s="1261">
        <f>'☆事業所損益管理(H30.9～H31.8)(計画)'!K50</f>
        <v>200000</v>
      </c>
      <c r="J209" s="1261">
        <f>'☆事業所損益管理(H30.9～H31.8)(計画)'!L50</f>
        <v>500000</v>
      </c>
      <c r="K209" s="1462">
        <f>'☆事業所損益管理(H30.9～H31.8)(計画)'!M50</f>
        <v>500000</v>
      </c>
      <c r="L209" s="1921">
        <f t="array" ref="L209">SUM(IF(ISNUMBER(F$200:K$200),F209:K209))</f>
        <v>1050000</v>
      </c>
      <c r="M209" s="1916"/>
    </row>
    <row r="210" spans="4:13" ht="14.25" hidden="1" customHeight="1" outlineLevel="1" x14ac:dyDescent="0.15">
      <c r="D210" s="2175"/>
      <c r="E210" s="438" t="s">
        <v>406</v>
      </c>
      <c r="F210" s="1012">
        <f>IF(F$198&gt;$G$1,"",IF('事業所損益管理(H30.9～H31.8)_査定'!H50=0,"",'事業所損益管理(H30.9～H31.8)_査定'!H50))</f>
        <v>1103699</v>
      </c>
      <c r="G210" s="440">
        <f>IF(G$198&gt;$G$1,"",IF('事業所損益管理(H30.9～H31.8)_査定'!I50=0,"",'事業所損益管理(H30.9～H31.8)_査定'!I50))</f>
        <v>-550258</v>
      </c>
      <c r="H210" s="440">
        <f>IF(H$198&gt;$G$1,"",IF('事業所損益管理(H30.9～H31.8)_査定'!J50=0,"",'事業所損益管理(H30.9～H31.8)_査定'!J50))</f>
        <v>5352</v>
      </c>
      <c r="I210" s="1260">
        <f>IF(I$198&gt;$G$1,"",IF('事業所損益管理(H30.9～H31.8)_査定'!K50=0,"",'事業所損益管理(H30.9～H31.8)_査定'!K50))</f>
        <v>724455</v>
      </c>
      <c r="J210" s="1260">
        <f>IF(J$198&gt;$G$1,"",IF('事業所損益管理(H30.9～H31.8)_査定'!L50=0,"",'事業所損益管理(H30.9～H31.8)_査定'!L50))</f>
        <v>1186078</v>
      </c>
      <c r="K210" s="1461">
        <f>IF(K$198&gt;$G$1,"",IF('事業所損益管理(H30.9～H31.8)_査定'!M50=0,"",'事業所損益管理(H30.9～H31.8)_査定'!M50))</f>
        <v>523758</v>
      </c>
      <c r="L210" s="1920">
        <f t="array" ref="L210">SUM(IF(ISNUMBER(F$200:K$200),F210:K210))</f>
        <v>2993084</v>
      </c>
      <c r="M210" s="1915">
        <f t="array" ref="M210">SUM(IF(F210:K210="",F209:K209))+SUM(F210:K210)</f>
        <v>2993084</v>
      </c>
    </row>
    <row r="211" spans="4:13" ht="14.25" hidden="1" customHeight="1" outlineLevel="1" x14ac:dyDescent="0.15">
      <c r="D211" s="2175" t="s">
        <v>359</v>
      </c>
      <c r="E211" s="437" t="s">
        <v>405</v>
      </c>
      <c r="F211" s="1013">
        <f>'☆事業所損益管理(H30.9～H31.8)(計画)'!H57</f>
        <v>-150000</v>
      </c>
      <c r="G211" s="441">
        <f>'☆事業所損益管理(H30.9～H31.8)(計画)'!I57</f>
        <v>-450000</v>
      </c>
      <c r="H211" s="441">
        <f>'☆事業所損益管理(H30.9～H31.8)(計画)'!J57</f>
        <v>300000</v>
      </c>
      <c r="I211" s="1261">
        <f>'☆事業所損益管理(H30.9～H31.8)(計画)'!K57</f>
        <v>300000</v>
      </c>
      <c r="J211" s="1261">
        <f>'☆事業所損益管理(H30.9～H31.8)(計画)'!L57</f>
        <v>0</v>
      </c>
      <c r="K211" s="1462">
        <f>'☆事業所損益管理(H30.9～H31.8)(計画)'!M57</f>
        <v>0</v>
      </c>
      <c r="L211" s="1921">
        <f t="array" ref="L211">SUM(IF(ISNUMBER(F$200:K$200),F211:K211))</f>
        <v>0</v>
      </c>
      <c r="M211" s="1916"/>
    </row>
    <row r="212" spans="4:13" ht="14.25" hidden="1" customHeight="1" outlineLevel="1" x14ac:dyDescent="0.15">
      <c r="D212" s="2175"/>
      <c r="E212" s="438" t="s">
        <v>406</v>
      </c>
      <c r="F212" s="1012">
        <f>IF(F$198&gt;$G$1,"",IF('事業所損益管理(H30.9～H31.8)_査定'!H58=0,"",'事業所損益管理(H30.9～H31.8)_査定'!H58))</f>
        <v>625256</v>
      </c>
      <c r="G212" s="440">
        <f>IF(G$198&gt;$G$1,"",IF('事業所損益管理(H30.9～H31.8)_査定'!I58=0,"",'事業所損益管理(H30.9～H31.8)_査定'!I58))</f>
        <v>-653419</v>
      </c>
      <c r="H212" s="440">
        <f>IF(H$198&gt;$G$1,"",IF('事業所損益管理(H30.9～H31.8)_査定'!J58=0,"",'事業所損益管理(H30.9～H31.8)_査定'!J58))</f>
        <v>-391394</v>
      </c>
      <c r="I212" s="1260">
        <f>IF(I$198&gt;$G$1,"",IF('事業所損益管理(H30.9～H31.8)_査定'!K58=0,"",'事業所損益管理(H30.9～H31.8)_査定'!K58))</f>
        <v>-296053</v>
      </c>
      <c r="J212" s="1260">
        <f>IF(J$198&gt;$G$1,"",IF('事業所損益管理(H30.9～H31.8)_査定'!L58=0,"",'事業所損益管理(H30.9～H31.8)_査定'!L58))</f>
        <v>-557765</v>
      </c>
      <c r="K212" s="1461">
        <f>IF(K$198&gt;$G$1,"",IF('事業所損益管理(H30.9～H31.8)_査定'!M58=0,"",'事業所損益管理(H30.9～H31.8)_査定'!M58))</f>
        <v>-469279</v>
      </c>
      <c r="L212" s="1920">
        <f t="array" ref="L212">SUM(IF(ISNUMBER(F$200:K$200),F212:K212))</f>
        <v>-1742654</v>
      </c>
      <c r="M212" s="1915">
        <f t="array" ref="M212">SUM(IF(F212:K212="",F211:K211))+SUM(F212:K212)</f>
        <v>-1742654</v>
      </c>
    </row>
    <row r="213" spans="4:13" ht="14.25" customHeight="1" collapsed="1" x14ac:dyDescent="0.15">
      <c r="D213" s="2207" t="s">
        <v>1477</v>
      </c>
      <c r="E213" s="437" t="s">
        <v>405</v>
      </c>
      <c r="F213" s="1013">
        <f t="shared" ref="F213:K214" si="222">IF(SUM(F209,F211)=0,"",SUM(F209,F211))</f>
        <v>300000</v>
      </c>
      <c r="G213" s="441">
        <f t="shared" si="222"/>
        <v>-1250000</v>
      </c>
      <c r="H213" s="441">
        <f t="shared" si="222"/>
        <v>500000</v>
      </c>
      <c r="I213" s="1261">
        <f t="shared" si="222"/>
        <v>500000</v>
      </c>
      <c r="J213" s="1261">
        <f t="shared" si="222"/>
        <v>500000</v>
      </c>
      <c r="K213" s="1462">
        <f t="shared" si="222"/>
        <v>500000</v>
      </c>
      <c r="L213" s="1921">
        <f t="array" ref="L213">SUM(IF(ISNUMBER(F$200:K$200),F213:K213))</f>
        <v>1050000</v>
      </c>
      <c r="M213" s="1916"/>
    </row>
    <row r="214" spans="4:13" ht="14.25" customHeight="1" x14ac:dyDescent="0.15">
      <c r="D214" s="2206"/>
      <c r="E214" s="438" t="s">
        <v>406</v>
      </c>
      <c r="F214" s="1012">
        <f t="shared" si="222"/>
        <v>1728955</v>
      </c>
      <c r="G214" s="440">
        <f t="shared" si="222"/>
        <v>-1203677</v>
      </c>
      <c r="H214" s="440">
        <f t="shared" si="222"/>
        <v>-386042</v>
      </c>
      <c r="I214" s="1260">
        <f t="shared" si="222"/>
        <v>428402</v>
      </c>
      <c r="J214" s="1260">
        <f t="shared" si="222"/>
        <v>628313</v>
      </c>
      <c r="K214" s="1461">
        <f t="shared" si="222"/>
        <v>54479</v>
      </c>
      <c r="L214" s="1920">
        <f t="array" ref="L214">SUM(IF(ISNUMBER(F$200:K$200),F214:K214))</f>
        <v>1250430</v>
      </c>
      <c r="M214" s="1915">
        <f t="array" ref="M214">SUM(IF(F214:K214="",F213:K213))+SUM(F214:K214)</f>
        <v>1250430</v>
      </c>
    </row>
    <row r="215" spans="4:13" ht="14.25" hidden="1" customHeight="1" outlineLevel="1" x14ac:dyDescent="0.15">
      <c r="D215" s="2175" t="s">
        <v>119</v>
      </c>
      <c r="E215" s="437" t="s">
        <v>405</v>
      </c>
      <c r="F215" s="1013">
        <f>'☆事業所損益管理(H30.9～H31.8)(計画)'!H64</f>
        <v>-70000</v>
      </c>
      <c r="G215" s="441">
        <f>'☆事業所損益管理(H30.9～H31.8)(計画)'!I64</f>
        <v>110000</v>
      </c>
      <c r="H215" s="441">
        <f>'☆事業所損益管理(H30.9～H31.8)(計画)'!J64</f>
        <v>110000</v>
      </c>
      <c r="I215" s="1261">
        <f>'☆事業所損益管理(H30.9～H31.8)(計画)'!K64</f>
        <v>110000</v>
      </c>
      <c r="J215" s="1261">
        <f>'☆事業所損益管理(H30.9～H31.8)(計画)'!L64</f>
        <v>110000</v>
      </c>
      <c r="K215" s="1462">
        <f>'☆事業所損益管理(H30.9～H31.8)(計画)'!M64</f>
        <v>110000</v>
      </c>
      <c r="L215" s="1921">
        <f t="array" ref="L215">SUM(IF(ISNUMBER(F$200:K$200),F215:K215))</f>
        <v>480000</v>
      </c>
      <c r="M215" s="1916"/>
    </row>
    <row r="216" spans="4:13" ht="14.25" hidden="1" customHeight="1" outlineLevel="1" x14ac:dyDescent="0.15">
      <c r="D216" s="2175"/>
      <c r="E216" s="438" t="s">
        <v>406</v>
      </c>
      <c r="F216" s="1012">
        <f>IF(F$198&gt;$G$1,"",IF('事業所損益管理(H30.9～H31.8)_査定'!H66=0,"",'事業所損益管理(H30.9～H31.8)_査定'!H66))</f>
        <v>195642</v>
      </c>
      <c r="G216" s="440">
        <f>IF(G$198&gt;$G$1,"",IF('事業所損益管理(H30.9～H31.8)_査定'!I66=0,"",'事業所損益管理(H30.9～H31.8)_査定'!I66))</f>
        <v>211157</v>
      </c>
      <c r="H216" s="440">
        <f>IF(H$198&gt;$G$1,"",IF('事業所損益管理(H30.9～H31.8)_査定'!J66=0,"",'事業所損益管理(H30.9～H31.8)_査定'!J66))</f>
        <v>354445</v>
      </c>
      <c r="I216" s="1260">
        <f>IF(I$198&gt;$G$1,"",IF('事業所損益管理(H30.9～H31.8)_査定'!K66=0,"",'事業所損益管理(H30.9～H31.8)_査定'!K66))</f>
        <v>194210</v>
      </c>
      <c r="J216" s="1260">
        <f>IF(J$198&gt;$G$1,"",IF('事業所損益管理(H30.9～H31.8)_査定'!L66=0,"",'事業所損益管理(H30.9～H31.8)_査定'!L66))</f>
        <v>187753</v>
      </c>
      <c r="K216" s="1461">
        <f>IF(K$198&gt;$G$1,"",IF('事業所損益管理(H30.9～H31.8)_査定'!M66=0,"",'事業所損益管理(H30.9～H31.8)_査定'!M66))</f>
        <v>222224</v>
      </c>
      <c r="L216" s="1920">
        <f t="array" ref="L216">SUM(IF(ISNUMBER(F$200:K$200),F216:K216))</f>
        <v>1365431</v>
      </c>
      <c r="M216" s="1915">
        <f t="array" ref="M216">SUM(IF(F216:K216="",F215:K215))+SUM(F216:K216)</f>
        <v>1365431</v>
      </c>
    </row>
    <row r="217" spans="4:13" ht="14.25" hidden="1" customHeight="1" outlineLevel="1" x14ac:dyDescent="0.15">
      <c r="D217" s="2175" t="s">
        <v>360</v>
      </c>
      <c r="E217" s="437" t="s">
        <v>405</v>
      </c>
      <c r="F217" s="1013">
        <f>'☆事業所損益管理(H30.9～H31.8)(計画)'!H71</f>
        <v>80000</v>
      </c>
      <c r="G217" s="441">
        <f>'☆事業所損益管理(H30.9～H31.8)(計画)'!I71</f>
        <v>150000</v>
      </c>
      <c r="H217" s="441">
        <f>'☆事業所損益管理(H30.9～H31.8)(計画)'!J71</f>
        <v>150000</v>
      </c>
      <c r="I217" s="1261">
        <f>'☆事業所損益管理(H30.9～H31.8)(計画)'!K71</f>
        <v>150000</v>
      </c>
      <c r="J217" s="1261">
        <f>'☆事業所損益管理(H30.9～H31.8)(計画)'!L71</f>
        <v>150000</v>
      </c>
      <c r="K217" s="1462">
        <f>'☆事業所損益管理(H30.9～H31.8)(計画)'!M71</f>
        <v>150000</v>
      </c>
      <c r="L217" s="1921">
        <f t="array" ref="L217">SUM(IF(ISNUMBER(F$200:K$200),F217:K217))</f>
        <v>830000</v>
      </c>
      <c r="M217" s="1916"/>
    </row>
    <row r="218" spans="4:13" ht="14.25" hidden="1" customHeight="1" outlineLevel="1" x14ac:dyDescent="0.15">
      <c r="D218" s="2175"/>
      <c r="E218" s="438" t="s">
        <v>406</v>
      </c>
      <c r="F218" s="1012">
        <f>IF(F$198&gt;$G$1,"",IF('事業所損益管理(H30.9～H31.8)_査定'!H74=0,"",'事業所損益管理(H30.9～H31.8)_査定'!H74))</f>
        <v>291217</v>
      </c>
      <c r="G218" s="440">
        <f>IF(G$198&gt;$G$1,"",IF('事業所損益管理(H30.9～H31.8)_査定'!I74=0,"",'事業所損益管理(H30.9～H31.8)_査定'!I74))</f>
        <v>351133</v>
      </c>
      <c r="H218" s="440">
        <f>IF(H$198&gt;$G$1,"",IF('事業所損益管理(H30.9～H31.8)_査定'!J74=0,"",'事業所損益管理(H30.9～H31.8)_査定'!J74))</f>
        <v>595435</v>
      </c>
      <c r="I218" s="1260">
        <f>IF(I$198&gt;$G$1,"",IF('事業所損益管理(H30.9～H31.8)_査定'!K74=0,"",'事業所損益管理(H30.9～H31.8)_査定'!K74))</f>
        <v>279055</v>
      </c>
      <c r="J218" s="1260">
        <f>IF(J$198&gt;$G$1,"",IF('事業所損益管理(H30.9～H31.8)_査定'!L74=0,"",'事業所損益管理(H30.9～H31.8)_査定'!L74))</f>
        <v>200414</v>
      </c>
      <c r="K218" s="1461">
        <f>IF(K$198&gt;$G$1,"",IF('事業所損益管理(H30.9～H31.8)_査定'!M74=0,"",'事業所損益管理(H30.9～H31.8)_査定'!M74))</f>
        <v>66312</v>
      </c>
      <c r="L218" s="1920">
        <f t="array" ref="L218">SUM(IF(ISNUMBER(F$200:K$200),F218:K218))</f>
        <v>1783566</v>
      </c>
      <c r="M218" s="1915">
        <f t="array" ref="M218">SUM(IF(F218:K218="",F217:K217))+SUM(F218:K218)</f>
        <v>1783566</v>
      </c>
    </row>
    <row r="219" spans="4:13" ht="14.25" hidden="1" customHeight="1" outlineLevel="1" x14ac:dyDescent="0.15">
      <c r="D219" s="2175" t="s">
        <v>398</v>
      </c>
      <c r="E219" s="437" t="s">
        <v>405</v>
      </c>
      <c r="F219" s="1013">
        <f>'☆事業所損益管理(H30.9～H31.8)(計画)'!H78</f>
        <v>150000</v>
      </c>
      <c r="G219" s="441">
        <f>'☆事業所損益管理(H30.9～H31.8)(計画)'!I78</f>
        <v>-150000</v>
      </c>
      <c r="H219" s="441">
        <f>'☆事業所損益管理(H30.9～H31.8)(計画)'!J78</f>
        <v>-50000</v>
      </c>
      <c r="I219" s="1261">
        <f>'☆事業所損益管理(H30.9～H31.8)(計画)'!K78</f>
        <v>-50000</v>
      </c>
      <c r="J219" s="1261">
        <f>'☆事業所損益管理(H30.9～H31.8)(計画)'!L78</f>
        <v>-50000</v>
      </c>
      <c r="K219" s="1462">
        <f>'☆事業所損益管理(H30.9～H31.8)(計画)'!M78</f>
        <v>-50000</v>
      </c>
      <c r="L219" s="1921">
        <f t="array" ref="L219">SUM(IF(ISNUMBER(F$200:K$200),F219:K219))</f>
        <v>-200000</v>
      </c>
      <c r="M219" s="1916"/>
    </row>
    <row r="220" spans="4:13" ht="14.25" hidden="1" customHeight="1" outlineLevel="1" x14ac:dyDescent="0.15">
      <c r="D220" s="2175"/>
      <c r="E220" s="438" t="s">
        <v>406</v>
      </c>
      <c r="F220" s="1012">
        <f>IF(F$198&gt;$G$1,"",IF('事業所損益管理(H30.9～H31.8)_査定'!H82=0,"",'事業所損益管理(H30.9～H31.8)_査定'!H82))</f>
        <v>-177849</v>
      </c>
      <c r="G220" s="440">
        <f>IF(G$198&gt;$G$1,"",IF('事業所損益管理(H30.9～H31.8)_査定'!I82=0,"",'事業所損益管理(H30.9～H31.8)_査定'!I82))</f>
        <v>-308970</v>
      </c>
      <c r="H220" s="440">
        <f>IF(H$198&gt;$G$1,"",IF('事業所損益管理(H30.9～H31.8)_査定'!J82=0,"",'事業所損益管理(H30.9～H31.8)_査定'!J82))</f>
        <v>-155565</v>
      </c>
      <c r="I220" s="1260">
        <f>IF(I$198&gt;$G$1,"",IF('事業所損益管理(H30.9～H31.8)_査定'!K82=0,"",'事業所損益管理(H30.9～H31.8)_査定'!K82))</f>
        <v>-773171</v>
      </c>
      <c r="J220" s="1260">
        <f>IF(J$198&gt;$G$1,"",IF('事業所損益管理(H30.9～H31.8)_査定'!L82=0,"",'事業所損益管理(H30.9～H31.8)_査定'!L82))</f>
        <v>-1383133</v>
      </c>
      <c r="K220" s="1461">
        <f>IF(K$198&gt;$G$1,"",IF('事業所損益管理(H30.9～H31.8)_査定'!M82=0,"",'事業所損益管理(H30.9～H31.8)_査定'!M82))</f>
        <v>-456370</v>
      </c>
      <c r="L220" s="1920">
        <f t="array" ref="L220">SUM(IF(ISNUMBER(F$200:K$200),F220:K220))</f>
        <v>-3255058</v>
      </c>
      <c r="M220" s="1915">
        <f t="array" ref="M220">SUM(IF(F220:K220="",F219:K219))+SUM(F220:K220)</f>
        <v>-3255058</v>
      </c>
    </row>
    <row r="221" spans="4:13" ht="14.25" hidden="1" customHeight="1" outlineLevel="1" x14ac:dyDescent="0.15">
      <c r="D221" s="2175" t="s">
        <v>1223</v>
      </c>
      <c r="E221" s="437" t="s">
        <v>405</v>
      </c>
      <c r="F221" s="1013">
        <f>'☆事業所損益管理(H30.9～H31.8)(計画)'!H85</f>
        <v>-350000</v>
      </c>
      <c r="G221" s="441">
        <f>'☆事業所損益管理(H30.9～H31.8)(計画)'!I85</f>
        <v>-17000</v>
      </c>
      <c r="H221" s="441">
        <f>'☆事業所損益管理(H30.9～H31.8)(計画)'!J85</f>
        <v>-667000</v>
      </c>
      <c r="I221" s="1261">
        <f>'☆事業所損益管理(H30.9～H31.8)(計画)'!K85</f>
        <v>183000</v>
      </c>
      <c r="J221" s="1261">
        <f>'☆事業所損益管理(H30.9～H31.8)(計画)'!L85</f>
        <v>233000</v>
      </c>
      <c r="K221" s="1462">
        <f>'☆事業所損益管理(H30.9～H31.8)(計画)'!M85</f>
        <v>183000</v>
      </c>
      <c r="L221" s="1921">
        <f t="array" ref="L221">SUM(IF(ISNUMBER(F$200:K$200),F221:K221))</f>
        <v>-435000</v>
      </c>
      <c r="M221" s="1916"/>
    </row>
    <row r="222" spans="4:13" ht="14.25" hidden="1" customHeight="1" outlineLevel="1" x14ac:dyDescent="0.15">
      <c r="D222" s="2175"/>
      <c r="E222" s="438" t="s">
        <v>406</v>
      </c>
      <c r="F222" s="1012">
        <f>IF(F$198&gt;$G$1,"",IF('事業所損益管理(H30.9～H31.8)_査定'!H90=0,"",'事業所損益管理(H30.9～H31.8)_査定'!H90))</f>
        <v>-1066</v>
      </c>
      <c r="G222" s="440">
        <f>IF(G$198&gt;$G$1,"",IF('事業所損益管理(H30.9～H31.8)_査定'!I90=0,"",'事業所損益管理(H30.9～H31.8)_査定'!I90))</f>
        <v>21992</v>
      </c>
      <c r="H222" s="440">
        <f>IF(H$198&gt;$G$1,"",IF('事業所損益管理(H30.9～H31.8)_査定'!J90=0,"",'事業所損益管理(H30.9～H31.8)_査定'!J90))</f>
        <v>-145160</v>
      </c>
      <c r="I222" s="1260">
        <f>IF(I$198&gt;$G$1,"",IF('事業所損益管理(H30.9～H31.8)_査定'!K90=0,"",'事業所損益管理(H30.9～H31.8)_査定'!K90))</f>
        <v>8505</v>
      </c>
      <c r="J222" s="1260">
        <f>IF(J$198&gt;$G$1,"",IF('事業所損益管理(H30.9～H31.8)_査定'!L90=0,"",'事業所損益管理(H30.9～H31.8)_査定'!L90))</f>
        <v>232524</v>
      </c>
      <c r="K222" s="1461">
        <f>IF(K$198&gt;$G$1,"",IF('事業所損益管理(H30.9～H31.8)_査定'!M90=0,"",'事業所損益管理(H30.9～H31.8)_査定'!M90))</f>
        <v>605886</v>
      </c>
      <c r="L222" s="1920">
        <f t="array" ref="L222">SUM(IF(ISNUMBER(F$200:K$200),F222:K222))</f>
        <v>722681</v>
      </c>
      <c r="M222" s="1915">
        <f t="array" ref="M222">SUM(IF(F222:K222="",F221:K221))+SUM(F222:K222)</f>
        <v>722681</v>
      </c>
    </row>
    <row r="223" spans="4:13" ht="14.25" customHeight="1" collapsed="1" x14ac:dyDescent="0.15">
      <c r="D223" s="2174" t="s">
        <v>1193</v>
      </c>
      <c r="E223" s="437" t="s">
        <v>405</v>
      </c>
      <c r="F223" s="1013">
        <f>SUM(F215,F217,F219,F221)</f>
        <v>-190000</v>
      </c>
      <c r="G223" s="441">
        <f t="shared" ref="G223:K223" si="223">SUM(G215,G217,G219,G221)</f>
        <v>93000</v>
      </c>
      <c r="H223" s="441">
        <f t="shared" si="223"/>
        <v>-457000</v>
      </c>
      <c r="I223" s="1261">
        <f t="shared" si="223"/>
        <v>393000</v>
      </c>
      <c r="J223" s="1261">
        <f t="shared" si="223"/>
        <v>443000</v>
      </c>
      <c r="K223" s="1462">
        <f t="shared" si="223"/>
        <v>393000</v>
      </c>
      <c r="L223" s="1921">
        <f t="array" ref="L223">SUM(IF(ISNUMBER(F$200:K$200),F223:K223))</f>
        <v>675000</v>
      </c>
      <c r="M223" s="1916"/>
    </row>
    <row r="224" spans="4:13" ht="14.25" customHeight="1" thickBot="1" x14ac:dyDescent="0.2">
      <c r="D224" s="2173"/>
      <c r="E224" s="439" t="s">
        <v>406</v>
      </c>
      <c r="F224" s="1014">
        <f>IF(F200="","",SUM(F216,F218,F220,F222))</f>
        <v>307944</v>
      </c>
      <c r="G224" s="442">
        <f t="shared" ref="G224:K224" si="224">IF(G200="","",SUM(G216,G218,G220,G222))</f>
        <v>275312</v>
      </c>
      <c r="H224" s="442">
        <f t="shared" si="224"/>
        <v>649155</v>
      </c>
      <c r="I224" s="1888">
        <f t="shared" si="224"/>
        <v>-291401</v>
      </c>
      <c r="J224" s="1888">
        <f t="shared" si="224"/>
        <v>-762442</v>
      </c>
      <c r="K224" s="1409">
        <f t="shared" si="224"/>
        <v>438052</v>
      </c>
      <c r="L224" s="1922">
        <f t="array" ref="L224">SUM(IF(ISNUMBER(F$200:K$200),F224:K224))</f>
        <v>616620</v>
      </c>
      <c r="M224" s="1917">
        <f t="array" ref="M224">SUM(IF(F224:K224="",F223:K223))+SUM(F224:K224)</f>
        <v>616620</v>
      </c>
    </row>
    <row r="225" spans="4:13" ht="14.25" customHeight="1" x14ac:dyDescent="0.15">
      <c r="D225" s="350"/>
      <c r="E225" s="350"/>
      <c r="F225" s="350"/>
      <c r="G225" s="350"/>
      <c r="H225" s="350"/>
      <c r="I225" s="350"/>
      <c r="J225" s="2206" t="s">
        <v>56</v>
      </c>
      <c r="K225" s="1886" t="s">
        <v>405</v>
      </c>
      <c r="L225" s="1923">
        <f>SUM(L199,L201,L203,L205,L207,L209,L211,L215,L217,L219,L221)</f>
        <v>4147000</v>
      </c>
      <c r="M225" s="1916"/>
    </row>
    <row r="226" spans="4:13" ht="14.25" customHeight="1" thickBot="1" x14ac:dyDescent="0.2">
      <c r="D226" s="350"/>
      <c r="E226" s="350"/>
      <c r="F226" s="350"/>
      <c r="G226" s="350"/>
      <c r="H226" s="350"/>
      <c r="I226" s="350"/>
      <c r="J226" s="2173"/>
      <c r="K226" s="1464" t="s">
        <v>406</v>
      </c>
      <c r="L226" s="1922">
        <f>SUM(L200,L202,L204,L206,L208,L210,L212,L216,L218,L220,L222)</f>
        <v>5771474</v>
      </c>
      <c r="M226" s="1917">
        <f>SUM(M199:M224)</f>
        <v>7638524</v>
      </c>
    </row>
    <row r="229" spans="4:13" ht="14.25" customHeight="1" thickBot="1" x14ac:dyDescent="0.2">
      <c r="D229" s="331" t="s">
        <v>1476</v>
      </c>
      <c r="E229" s="331"/>
      <c r="F229" s="331"/>
      <c r="G229" s="331"/>
      <c r="H229" s="331"/>
      <c r="I229"/>
      <c r="J229"/>
      <c r="K229"/>
      <c r="L229"/>
    </row>
    <row r="230" spans="4:13" ht="14.25" customHeight="1" thickBot="1" x14ac:dyDescent="0.2">
      <c r="D230" s="443" t="s">
        <v>476</v>
      </c>
      <c r="E230" s="444" t="s">
        <v>480</v>
      </c>
      <c r="F230" s="1880">
        <v>43586</v>
      </c>
      <c r="G230" s="1881">
        <f>EDATE(F230,1)</f>
        <v>43617</v>
      </c>
      <c r="H230" s="1882">
        <f>EDATE(G230,1)</f>
        <v>43647</v>
      </c>
      <c r="I230" s="1883">
        <f>EDATE(H230,1)</f>
        <v>43678</v>
      </c>
      <c r="J230" s="1884">
        <f>EDATE(I230,1)</f>
        <v>43709</v>
      </c>
      <c r="K230" s="1885">
        <f>EDATE(J230,1)</f>
        <v>43739</v>
      </c>
      <c r="L230" s="1250" t="s">
        <v>481</v>
      </c>
      <c r="M230" s="1912" t="s">
        <v>1473</v>
      </c>
    </row>
    <row r="231" spans="4:13" ht="14.25" customHeight="1" x14ac:dyDescent="0.15">
      <c r="D231" s="2172" t="s">
        <v>477</v>
      </c>
      <c r="E231" s="445" t="s">
        <v>405</v>
      </c>
      <c r="F231" s="1011">
        <f>'☆事業所損益管理(H30.9～H31.8)(計画)'!N15</f>
        <v>1500000</v>
      </c>
      <c r="G231" s="1016">
        <f>'☆事業所損益管理(H30.9～H31.8)(計画)'!O15</f>
        <v>-2200000</v>
      </c>
      <c r="H231" s="1016">
        <f>'☆事業所損益管理(H30.9～H31.8)(計画)'!P15</f>
        <v>1500000</v>
      </c>
      <c r="I231" s="1259">
        <f>'☆事業所損益管理(H30.9～H31.8)(計画)'!Q15</f>
        <v>1500000</v>
      </c>
      <c r="J231" s="1259"/>
      <c r="K231" s="1460"/>
      <c r="L231" s="1255">
        <f t="array" ref="L231">SUM(IF(ISNUMBER(F$200:K$200),F231:K231))</f>
        <v>2300000</v>
      </c>
      <c r="M231" s="1910"/>
    </row>
    <row r="232" spans="4:13" ht="14.25" customHeight="1" x14ac:dyDescent="0.15">
      <c r="D232" s="2174"/>
      <c r="E232" s="438" t="s">
        <v>406</v>
      </c>
      <c r="F232" s="1012" t="str">
        <f>IF(F$230&gt;$G$1,"",IF('事業所損益管理(H30.9～H31.8)_査定'!N10=0,"",'事業所損益管理(H30.9～H31.8)_査定'!N10))</f>
        <v/>
      </c>
      <c r="G232" s="440" t="str">
        <f>IF(G$230&gt;$G$1,"",IF('事業所損益管理(H30.9～H31.8)_査定'!O10=0,"",'事業所損益管理(H30.9～H31.8)_査定'!O10))</f>
        <v/>
      </c>
      <c r="H232" s="440" t="str">
        <f>IF(H$230&gt;$G$1,"",IF('事業所損益管理(H30.9～H31.8)_査定'!P10=0,"",'事業所損益管理(H30.9～H31.8)_査定'!P10))</f>
        <v/>
      </c>
      <c r="I232" s="1260" t="str">
        <f>IF(I$230&gt;$G$1,"",IF('事業所損益管理(H30.9～H31.8)_査定'!Q10=0,"",'事業所損益管理(H30.9～H31.8)_査定'!Q10))</f>
        <v/>
      </c>
      <c r="J232" s="1260"/>
      <c r="K232" s="1461"/>
      <c r="L232" s="1256">
        <f t="array" ref="L232">SUM(IF(ISNUMBER(F$200:K$200),F232:K232))</f>
        <v>0</v>
      </c>
      <c r="M232" s="1256">
        <f t="array" ref="M232">SUM(IF(F232:I232="",F231:I231))+SUM(F232:K232)</f>
        <v>2300000</v>
      </c>
    </row>
    <row r="233" spans="4:13" ht="14.25" customHeight="1" x14ac:dyDescent="0.15">
      <c r="D233" s="2174" t="s">
        <v>478</v>
      </c>
      <c r="E233" s="437" t="s">
        <v>405</v>
      </c>
      <c r="F233" s="1013">
        <f>'☆事業所損益管理(H30.9～H31.8)(計画)'!N22</f>
        <v>1200000</v>
      </c>
      <c r="G233" s="441">
        <f>'☆事業所損益管理(H30.9～H31.8)(計画)'!O22</f>
        <v>-3000000</v>
      </c>
      <c r="H233" s="441">
        <f>'☆事業所損益管理(H30.9～H31.8)(計画)'!P22</f>
        <v>1100000</v>
      </c>
      <c r="I233" s="1261">
        <f>'☆事業所損益管理(H30.9～H31.8)(計画)'!Q22</f>
        <v>1100000</v>
      </c>
      <c r="J233" s="1261"/>
      <c r="K233" s="1462"/>
      <c r="L233" s="1257">
        <f t="array" ref="L233">SUM(IF(ISNUMBER(F$200:K$200),F233:K233))</f>
        <v>400000</v>
      </c>
      <c r="M233" s="1911"/>
    </row>
    <row r="234" spans="4:13" ht="14.25" customHeight="1" x14ac:dyDescent="0.15">
      <c r="D234" s="2174"/>
      <c r="E234" s="438" t="s">
        <v>406</v>
      </c>
      <c r="F234" s="1012" t="str">
        <f>IF(F$230&gt;$G$1,"",IF('事業所損益管理(H30.9～H31.8)_査定'!N18=0,"",'事業所損益管理(H30.9～H31.8)_査定'!N18))</f>
        <v/>
      </c>
      <c r="G234" s="440" t="str">
        <f>IF(G$230&gt;$G$1,"",IF('事業所損益管理(H30.9～H31.8)_査定'!O18=0,"",'事業所損益管理(H30.9～H31.8)_査定'!O18))</f>
        <v/>
      </c>
      <c r="H234" s="440" t="str">
        <f>IF(H$230&gt;$G$1,"",IF('事業所損益管理(H30.9～H31.8)_査定'!P18=0,"",'事業所損益管理(H30.9～H31.8)_査定'!P18))</f>
        <v/>
      </c>
      <c r="I234" s="1260" t="str">
        <f>IF(I$230&gt;$G$1,"",IF('事業所損益管理(H30.9～H31.8)_査定'!Q18=0,"",'事業所損益管理(H30.9～H31.8)_査定'!Q18))</f>
        <v/>
      </c>
      <c r="J234" s="1260"/>
      <c r="K234" s="1461"/>
      <c r="L234" s="1256">
        <f t="array" ref="L234">SUM(IF(ISNUMBER(F$200:K$200),F234:K234))</f>
        <v>0</v>
      </c>
      <c r="M234" s="1256">
        <f t="array" ref="M234">SUM(IF(F234:I234="",F233:I233))+SUM(F234:K234)</f>
        <v>400000</v>
      </c>
    </row>
    <row r="235" spans="4:13" ht="14.25" customHeight="1" x14ac:dyDescent="0.15">
      <c r="D235" s="2174" t="s">
        <v>479</v>
      </c>
      <c r="E235" s="437" t="s">
        <v>405</v>
      </c>
      <c r="F235" s="1013">
        <f>'☆事業所損益管理(H30.9～H31.8)(計画)'!N29</f>
        <v>1550000</v>
      </c>
      <c r="G235" s="441">
        <f>'☆事業所損益管理(H30.9～H31.8)(計画)'!O29</f>
        <v>-3300000</v>
      </c>
      <c r="H235" s="441">
        <f>'☆事業所損益管理(H30.9～H31.8)(計画)'!P29</f>
        <v>1850000</v>
      </c>
      <c r="I235" s="1261">
        <f>'☆事業所損益管理(H30.9～H31.8)(計画)'!Q29</f>
        <v>2050000</v>
      </c>
      <c r="J235" s="1261"/>
      <c r="K235" s="1462"/>
      <c r="L235" s="1257">
        <f t="array" ref="L235">SUM(IF(ISNUMBER(F$200:K$200),F235:K235))</f>
        <v>2150000</v>
      </c>
      <c r="M235" s="1911"/>
    </row>
    <row r="236" spans="4:13" ht="14.25" customHeight="1" x14ac:dyDescent="0.15">
      <c r="D236" s="2174"/>
      <c r="E236" s="438" t="s">
        <v>406</v>
      </c>
      <c r="F236" s="1012" t="str">
        <f>IF(F$230&gt;$G$1,"",IF('事業所損益管理(H30.9～H31.8)_査定'!N26=0,"",'事業所損益管理(H30.9～H31.8)_査定'!N26))</f>
        <v/>
      </c>
      <c r="G236" s="440" t="str">
        <f>IF(G$230&gt;$G$1,"",IF('事業所損益管理(H30.9～H31.8)_査定'!O26=0,"",'事業所損益管理(H30.9～H31.8)_査定'!O26))</f>
        <v/>
      </c>
      <c r="H236" s="440" t="str">
        <f>IF(H$230&gt;$G$1,"",IF('事業所損益管理(H30.9～H31.8)_査定'!P26=0,"",'事業所損益管理(H30.9～H31.8)_査定'!P26))</f>
        <v/>
      </c>
      <c r="I236" s="1260" t="str">
        <f>IF(I$230&gt;$G$1,"",IF('事業所損益管理(H30.9～H31.8)_査定'!Q26=0,"",'事業所損益管理(H30.9～H31.8)_査定'!Q26))</f>
        <v/>
      </c>
      <c r="J236" s="1260"/>
      <c r="K236" s="1461"/>
      <c r="L236" s="1256">
        <f t="array" ref="L236">SUM(IF(ISNUMBER(F$200:K$200),F236:K236))</f>
        <v>0</v>
      </c>
      <c r="M236" s="1256">
        <f t="array" ref="M236">SUM(IF(F236:I236="",F235:I235))+SUM(F236:K236)</f>
        <v>2150000</v>
      </c>
    </row>
    <row r="237" spans="4:13" ht="14.25" customHeight="1" x14ac:dyDescent="0.15">
      <c r="D237" s="2174" t="s">
        <v>967</v>
      </c>
      <c r="E237" s="437" t="s">
        <v>405</v>
      </c>
      <c r="F237" s="1013">
        <f>'☆事業所損益管理(H30.9～H31.8)(計画)'!N36</f>
        <v>-850000</v>
      </c>
      <c r="G237" s="441">
        <f>'☆事業所損益管理(H30.9～H31.8)(計画)'!O36</f>
        <v>-850000</v>
      </c>
      <c r="H237" s="441">
        <f>'☆事業所損益管理(H30.9～H31.8)(計画)'!P36</f>
        <v>-1750000</v>
      </c>
      <c r="I237" s="1261">
        <f>'☆事業所損益管理(H30.9～H31.8)(計画)'!Q36</f>
        <v>-650000</v>
      </c>
      <c r="J237" s="1261"/>
      <c r="K237" s="1462"/>
      <c r="L237" s="1257">
        <f t="array" ref="L237">SUM(IF(ISNUMBER(F$200:K$200),F237:K237))</f>
        <v>-4100000</v>
      </c>
      <c r="M237" s="1911"/>
    </row>
    <row r="238" spans="4:13" ht="14.25" customHeight="1" x14ac:dyDescent="0.15">
      <c r="D238" s="2174"/>
      <c r="E238" s="438" t="s">
        <v>406</v>
      </c>
      <c r="F238" s="1012" t="str">
        <f>IF(F$230&gt;$G$1,"",IF('事業所損益管理(H30.9～H31.8)_査定'!N34=0,"",'事業所損益管理(H30.9～H31.8)_査定'!N34))</f>
        <v/>
      </c>
      <c r="G238" s="440" t="str">
        <f>IF(G$230&gt;$G$1,"",IF('事業所損益管理(H30.9～H31.8)_査定'!O34=0,"",'事業所損益管理(H30.9～H31.8)_査定'!O34))</f>
        <v/>
      </c>
      <c r="H238" s="440" t="str">
        <f>IF(H$230&gt;$G$1,"",IF('事業所損益管理(H30.9～H31.8)_査定'!P34=0,"",'事業所損益管理(H30.9～H31.8)_査定'!P34))</f>
        <v/>
      </c>
      <c r="I238" s="1260" t="str">
        <f>IF(I$230&gt;$G$1,"",IF('事業所損益管理(H30.9～H31.8)_査定'!Q34=0,"",'事業所損益管理(H30.9～H31.8)_査定'!Q34))</f>
        <v/>
      </c>
      <c r="J238" s="1260"/>
      <c r="K238" s="1461"/>
      <c r="L238" s="1256">
        <f t="array" ref="L238">SUM(IF(ISNUMBER(F$200:K$200),F238:K238))</f>
        <v>0</v>
      </c>
      <c r="M238" s="1256">
        <f t="array" ref="M238">SUM(IF(F238:I238="",F237:I237))+SUM(F238:K238)</f>
        <v>-4100000</v>
      </c>
    </row>
    <row r="239" spans="4:13" ht="14.25" customHeight="1" x14ac:dyDescent="0.15">
      <c r="D239" s="2174" t="s">
        <v>1317</v>
      </c>
      <c r="E239" s="437" t="s">
        <v>405</v>
      </c>
      <c r="F239" s="1013">
        <f>'☆事業所損益管理(H30.9～H31.8)(計画)'!N43</f>
        <v>-810000</v>
      </c>
      <c r="G239" s="441">
        <f>'☆事業所損益管理(H30.9～H31.8)(計画)'!O43</f>
        <v>-550000</v>
      </c>
      <c r="H239" s="441">
        <f>'☆事業所損益管理(H30.9～H31.8)(計画)'!P43</f>
        <v>-550000</v>
      </c>
      <c r="I239" s="1261">
        <f>'☆事業所損益管理(H30.9～H31.8)(計画)'!Q43</f>
        <v>-440000</v>
      </c>
      <c r="J239" s="1261"/>
      <c r="K239" s="1462"/>
      <c r="L239" s="1257">
        <f t="array" ref="L239">SUM(IF(ISNUMBER(F$200:K$200),F239:K239))</f>
        <v>-2350000</v>
      </c>
      <c r="M239" s="1911"/>
    </row>
    <row r="240" spans="4:13" ht="14.25" customHeight="1" x14ac:dyDescent="0.15">
      <c r="D240" s="2174"/>
      <c r="E240" s="438" t="s">
        <v>406</v>
      </c>
      <c r="F240" s="1012" t="str">
        <f>IF(F$230&gt;$G$1,"",IF('事業所損益管理(H30.9～H31.8)_査定'!N42=0,"",'事業所損益管理(H30.9～H31.8)_査定'!N42))</f>
        <v/>
      </c>
      <c r="G240" s="440" t="str">
        <f>IF(G$230&gt;$G$1,"",IF('事業所損益管理(H30.9～H31.8)_査定'!O42=0,"",'事業所損益管理(H30.9～H31.8)_査定'!O42))</f>
        <v/>
      </c>
      <c r="H240" s="440" t="str">
        <f>IF(H$230&gt;$G$1,"",IF('事業所損益管理(H30.9～H31.8)_査定'!P42=0,"",'事業所損益管理(H30.9～H31.8)_査定'!P42))</f>
        <v/>
      </c>
      <c r="I240" s="1260" t="str">
        <f>IF(I$230&gt;$G$1,"",IF('事業所損益管理(H30.9～H31.8)_査定'!Q42=0,"",'事業所損益管理(H30.9～H31.8)_査定'!Q42))</f>
        <v/>
      </c>
      <c r="J240" s="1260"/>
      <c r="K240" s="1461"/>
      <c r="L240" s="1256">
        <f t="array" ref="L240">SUM(IF(ISNUMBER(F$200:K$200),F240:K240))</f>
        <v>0</v>
      </c>
      <c r="M240" s="1256">
        <f t="array" ref="M240">SUM(IF(F240:I240="",F239:I239))+SUM(F240:K240)</f>
        <v>-2350000</v>
      </c>
    </row>
    <row r="241" spans="4:13" ht="14.25" hidden="1" customHeight="1" outlineLevel="1" x14ac:dyDescent="0.15">
      <c r="D241" s="2175" t="s">
        <v>358</v>
      </c>
      <c r="E241" s="437" t="s">
        <v>405</v>
      </c>
      <c r="F241" s="1013">
        <f>'☆事業所損益管理(H30.9～H31.8)(計画)'!N50</f>
        <v>550000</v>
      </c>
      <c r="G241" s="441">
        <f>'☆事業所損益管理(H30.9～H31.8)(計画)'!O50</f>
        <v>-1250000</v>
      </c>
      <c r="H241" s="441">
        <f>'☆事業所損益管理(H30.9～H31.8)(計画)'!P50</f>
        <v>600000</v>
      </c>
      <c r="I241" s="1261">
        <f>'☆事業所損益管理(H30.9～H31.8)(計画)'!Q50</f>
        <v>700000</v>
      </c>
      <c r="J241" s="1261"/>
      <c r="K241" s="1462"/>
      <c r="L241" s="1257">
        <f t="array" ref="L241">SUM(IF(ISNUMBER(F$200:K$200),F241:K241))</f>
        <v>600000</v>
      </c>
      <c r="M241" s="1911"/>
    </row>
    <row r="242" spans="4:13" ht="14.25" hidden="1" customHeight="1" outlineLevel="1" x14ac:dyDescent="0.15">
      <c r="D242" s="2175"/>
      <c r="E242" s="438" t="s">
        <v>406</v>
      </c>
      <c r="F242" s="1012" t="str">
        <f>IF(F$230&gt;$G$1,"",IF('事業所損益管理(H30.9～H31.8)_査定'!N50=0,"",'事業所損益管理(H30.9～H31.8)_査定'!N50))</f>
        <v/>
      </c>
      <c r="G242" s="440" t="str">
        <f>IF(G$230&gt;$G$1,"",IF('事業所損益管理(H30.9～H31.8)_査定'!O50=0,"",'事業所損益管理(H30.9～H31.8)_査定'!O50))</f>
        <v/>
      </c>
      <c r="H242" s="440" t="str">
        <f>IF(H$230&gt;$G$1,"",IF('事業所損益管理(H30.9～H31.8)_査定'!P50=0,"",'事業所損益管理(H30.9～H31.8)_査定'!P50))</f>
        <v/>
      </c>
      <c r="I242" s="1260" t="str">
        <f>IF(I$230&gt;$G$1,"",IF('事業所損益管理(H30.9～H31.8)_査定'!Q50=0,"",'事業所損益管理(H30.9～H31.8)_査定'!Q50))</f>
        <v/>
      </c>
      <c r="J242" s="1260"/>
      <c r="K242" s="1461"/>
      <c r="L242" s="1256">
        <f t="array" ref="L242">SUM(IF(ISNUMBER(F$200:K$200),F242:K242))</f>
        <v>0</v>
      </c>
      <c r="M242" s="1256">
        <f t="array" ref="M242">SUM(IF(F242:I242="",F241:I241))+SUM(F242:K242)</f>
        <v>600000</v>
      </c>
    </row>
    <row r="243" spans="4:13" ht="14.25" hidden="1" customHeight="1" outlineLevel="1" x14ac:dyDescent="0.15">
      <c r="D243" s="2175" t="s">
        <v>359</v>
      </c>
      <c r="E243" s="437" t="s">
        <v>405</v>
      </c>
      <c r="F243" s="1013">
        <f>'☆事業所損益管理(H30.9～H31.8)(計画)'!N57</f>
        <v>150000</v>
      </c>
      <c r="G243" s="441">
        <f>'☆事業所損益管理(H30.9～H31.8)(計画)'!O57</f>
        <v>-450000</v>
      </c>
      <c r="H243" s="441">
        <f>'☆事業所損益管理(H30.9～H31.8)(計画)'!P57</f>
        <v>150000</v>
      </c>
      <c r="I243" s="1261">
        <f>'☆事業所損益管理(H30.9～H31.8)(計画)'!Q57</f>
        <v>150000</v>
      </c>
      <c r="J243" s="1261"/>
      <c r="K243" s="1462"/>
      <c r="L243" s="1257">
        <f t="array" ref="L243">SUM(IF(ISNUMBER(F$200:K$200),F243:K243))</f>
        <v>0</v>
      </c>
      <c r="M243" s="1911"/>
    </row>
    <row r="244" spans="4:13" ht="14.25" hidden="1" customHeight="1" outlineLevel="1" x14ac:dyDescent="0.15">
      <c r="D244" s="2175"/>
      <c r="E244" s="438" t="s">
        <v>406</v>
      </c>
      <c r="F244" s="1012" t="str">
        <f>IF(F$230&gt;$G$1,"",IF('事業所損益管理(H30.9～H31.8)_査定'!N58=0,"",'事業所損益管理(H30.9～H31.8)_査定'!N58))</f>
        <v/>
      </c>
      <c r="G244" s="440" t="str">
        <f>IF(G$230&gt;$G$1,"",IF('事業所損益管理(H30.9～H31.8)_査定'!O58=0,"",'事業所損益管理(H30.9～H31.8)_査定'!O58))</f>
        <v/>
      </c>
      <c r="H244" s="440" t="str">
        <f>IF(H$230&gt;$G$1,"",IF('事業所損益管理(H30.9～H31.8)_査定'!P58=0,"",'事業所損益管理(H30.9～H31.8)_査定'!P58))</f>
        <v/>
      </c>
      <c r="I244" s="1260" t="str">
        <f>IF(I$230&gt;$G$1,"",IF('事業所損益管理(H30.9～H31.8)_査定'!Q58=0,"",'事業所損益管理(H30.9～H31.8)_査定'!Q58))</f>
        <v/>
      </c>
      <c r="J244" s="1260"/>
      <c r="K244" s="1461"/>
      <c r="L244" s="1256">
        <f t="array" ref="L244">SUM(IF(ISNUMBER(F$200:K$200),F244:K244))</f>
        <v>0</v>
      </c>
      <c r="M244" s="1256">
        <f t="array" ref="M244">SUM(IF(F244:I244="",F243:I243))+SUM(F244:K244)</f>
        <v>0</v>
      </c>
    </row>
    <row r="245" spans="4:13" ht="14.25" customHeight="1" collapsed="1" x14ac:dyDescent="0.15">
      <c r="D245" s="2207" t="s">
        <v>1477</v>
      </c>
      <c r="E245" s="437" t="s">
        <v>405</v>
      </c>
      <c r="F245" s="1013">
        <f t="shared" ref="F245:K246" si="225">IF(SUM(F241,F243)=0,"",SUM(F241,F243))</f>
        <v>700000</v>
      </c>
      <c r="G245" s="441">
        <f t="shared" si="225"/>
        <v>-1700000</v>
      </c>
      <c r="H245" s="441">
        <f t="shared" si="225"/>
        <v>750000</v>
      </c>
      <c r="I245" s="1261">
        <f t="shared" si="225"/>
        <v>850000</v>
      </c>
      <c r="J245" s="1261" t="str">
        <f t="shared" si="225"/>
        <v/>
      </c>
      <c r="K245" s="1462" t="str">
        <f t="shared" si="225"/>
        <v/>
      </c>
      <c r="L245" s="1257">
        <f t="array" ref="L245">SUM(IF(ISNUMBER(F$200:K$200),F245:K245))</f>
        <v>600000</v>
      </c>
      <c r="M245" s="1911"/>
    </row>
    <row r="246" spans="4:13" ht="14.25" customHeight="1" x14ac:dyDescent="0.15">
      <c r="D246" s="2206"/>
      <c r="E246" s="438" t="s">
        <v>406</v>
      </c>
      <c r="F246" s="1012" t="str">
        <f t="shared" si="225"/>
        <v/>
      </c>
      <c r="G246" s="440" t="str">
        <f t="shared" si="225"/>
        <v/>
      </c>
      <c r="H246" s="440" t="str">
        <f t="shared" si="225"/>
        <v/>
      </c>
      <c r="I246" s="1260" t="str">
        <f t="shared" si="225"/>
        <v/>
      </c>
      <c r="J246" s="1260" t="str">
        <f t="shared" si="225"/>
        <v/>
      </c>
      <c r="K246" s="1461" t="str">
        <f t="shared" si="225"/>
        <v/>
      </c>
      <c r="L246" s="1256">
        <f t="array" ref="L246">SUM(IF(ISNUMBER(F$200:K$200),F246:K246))</f>
        <v>0</v>
      </c>
      <c r="M246" s="1256">
        <f t="array" ref="M246">SUM(IF(F246:K246="",F245:K245))+SUM(F246:K246)</f>
        <v>600000</v>
      </c>
    </row>
    <row r="247" spans="4:13" ht="14.25" hidden="1" customHeight="1" outlineLevel="1" x14ac:dyDescent="0.15">
      <c r="D247" s="2175" t="s">
        <v>119</v>
      </c>
      <c r="E247" s="437" t="s">
        <v>405</v>
      </c>
      <c r="F247" s="1013">
        <f>'☆事業所損益管理(H30.9～H31.8)(計画)'!N64</f>
        <v>410000</v>
      </c>
      <c r="G247" s="441">
        <f>'☆事業所損益管理(H30.9～H31.8)(計画)'!O64</f>
        <v>110000</v>
      </c>
      <c r="H247" s="441">
        <f>'☆事業所損益管理(H30.9～H31.8)(計画)'!P64</f>
        <v>110000</v>
      </c>
      <c r="I247" s="1261">
        <f>'☆事業所損益管理(H30.9～H31.8)(計画)'!Q64</f>
        <v>110000</v>
      </c>
      <c r="J247" s="1261"/>
      <c r="K247" s="1462"/>
      <c r="L247" s="1257">
        <f t="array" ref="L247">SUM(IF(ISNUMBER(F$200:K$200),F247:K247))</f>
        <v>740000</v>
      </c>
      <c r="M247" s="1911"/>
    </row>
    <row r="248" spans="4:13" ht="14.25" hidden="1" customHeight="1" outlineLevel="1" x14ac:dyDescent="0.15">
      <c r="D248" s="2175"/>
      <c r="E248" s="438" t="s">
        <v>406</v>
      </c>
      <c r="F248" s="1012" t="str">
        <f>IF(F$230&gt;$G$1,"",IF('事業所損益管理(H30.9～H31.8)_査定'!N66=0,"",'事業所損益管理(H30.9～H31.8)_査定'!N66))</f>
        <v/>
      </c>
      <c r="G248" s="440" t="str">
        <f>IF(G$230&gt;$G$1,"",IF('事業所損益管理(H30.9～H31.8)_査定'!O66=0,"",'事業所損益管理(H30.9～H31.8)_査定'!O66))</f>
        <v/>
      </c>
      <c r="H248" s="440" t="str">
        <f>IF(H$230&gt;$G$1,"",IF('事業所損益管理(H30.9～H31.8)_査定'!P66=0,"",'事業所損益管理(H30.9～H31.8)_査定'!P66))</f>
        <v/>
      </c>
      <c r="I248" s="1260" t="str">
        <f>IF(I$230&gt;$G$1,"",IF('事業所損益管理(H30.9～H31.8)_査定'!Q66=0,"",'事業所損益管理(H30.9～H31.8)_査定'!Q66))</f>
        <v/>
      </c>
      <c r="J248" s="1260"/>
      <c r="K248" s="1461"/>
      <c r="L248" s="1256">
        <f t="array" ref="L248">SUM(IF(ISNUMBER(F$200:K$200),F248:K248))</f>
        <v>0</v>
      </c>
      <c r="M248" s="1256">
        <f t="array" ref="M248">SUM(IF(F248:I248="",F247:I247))+SUM(F248:K248)</f>
        <v>740000</v>
      </c>
    </row>
    <row r="249" spans="4:13" ht="14.25" hidden="1" customHeight="1" outlineLevel="1" x14ac:dyDescent="0.15">
      <c r="D249" s="2175" t="s">
        <v>360</v>
      </c>
      <c r="E249" s="437" t="s">
        <v>405</v>
      </c>
      <c r="F249" s="1013">
        <f>'☆事業所損益管理(H30.9～H31.8)(計画)'!N71</f>
        <v>500000</v>
      </c>
      <c r="G249" s="441">
        <f>'☆事業所損益管理(H30.9～H31.8)(計画)'!O71</f>
        <v>150000</v>
      </c>
      <c r="H249" s="441">
        <f>'☆事業所損益管理(H30.9～H31.8)(計画)'!P71</f>
        <v>150000</v>
      </c>
      <c r="I249" s="1261">
        <f>'☆事業所損益管理(H30.9～H31.8)(計画)'!Q71</f>
        <v>150000</v>
      </c>
      <c r="J249" s="1261"/>
      <c r="K249" s="1462"/>
      <c r="L249" s="1257">
        <f t="array" ref="L249">SUM(IF(ISNUMBER(F$200:K$200),F249:K249))</f>
        <v>950000</v>
      </c>
      <c r="M249" s="1911"/>
    </row>
    <row r="250" spans="4:13" ht="14.25" hidden="1" customHeight="1" outlineLevel="1" x14ac:dyDescent="0.15">
      <c r="D250" s="2175"/>
      <c r="E250" s="438" t="s">
        <v>406</v>
      </c>
      <c r="F250" s="1012" t="str">
        <f>IF(F$230&gt;$G$1,"",IF('事業所損益管理(H30.9～H31.8)_査定'!N74=0,"",'事業所損益管理(H30.9～H31.8)_査定'!N74))</f>
        <v/>
      </c>
      <c r="G250" s="440" t="str">
        <f>IF(G$230&gt;$G$1,"",IF('事業所損益管理(H30.9～H31.8)_査定'!O74=0,"",'事業所損益管理(H30.9～H31.8)_査定'!O74))</f>
        <v/>
      </c>
      <c r="H250" s="440" t="str">
        <f>IF(H$230&gt;$G$1,"",IF('事業所損益管理(H30.9～H31.8)_査定'!P74=0,"",'事業所損益管理(H30.9～H31.8)_査定'!P74))</f>
        <v/>
      </c>
      <c r="I250" s="1260" t="str">
        <f>IF(I$230&gt;$G$1,"",IF('事業所損益管理(H30.9～H31.8)_査定'!Q74=0,"",'事業所損益管理(H30.9～H31.8)_査定'!Q74))</f>
        <v/>
      </c>
      <c r="J250" s="1260"/>
      <c r="K250" s="1461"/>
      <c r="L250" s="1256">
        <f t="array" ref="L250">SUM(IF(ISNUMBER(F$200:K$200),F250:K250))</f>
        <v>0</v>
      </c>
      <c r="M250" s="1256">
        <f t="array" ref="M250">SUM(IF(F250:I250="",F249:I249))+SUM(F250:K250)</f>
        <v>950000</v>
      </c>
    </row>
    <row r="251" spans="4:13" ht="14.25" hidden="1" customHeight="1" outlineLevel="1" x14ac:dyDescent="0.15">
      <c r="D251" s="2175" t="s">
        <v>398</v>
      </c>
      <c r="E251" s="437" t="s">
        <v>405</v>
      </c>
      <c r="F251" s="1013">
        <f>'☆事業所損益管理(H30.9～H31.8)(計画)'!N78</f>
        <v>1160000</v>
      </c>
      <c r="G251" s="441">
        <f>'☆事業所損益管理(H30.9～H31.8)(計画)'!O78</f>
        <v>-650000</v>
      </c>
      <c r="H251" s="441">
        <f>'☆事業所損益管理(H30.9～H31.8)(計画)'!P78</f>
        <v>-50000</v>
      </c>
      <c r="I251" s="1261">
        <f>'☆事業所損益管理(H30.9～H31.8)(計画)'!Q78</f>
        <v>-50000</v>
      </c>
      <c r="J251" s="1261"/>
      <c r="K251" s="1462"/>
      <c r="L251" s="1257">
        <f t="array" ref="L251">SUM(IF(ISNUMBER(F$200:K$200),F251:K251))</f>
        <v>410000</v>
      </c>
      <c r="M251" s="1911"/>
    </row>
    <row r="252" spans="4:13" ht="14.25" hidden="1" customHeight="1" outlineLevel="1" x14ac:dyDescent="0.15">
      <c r="D252" s="2175"/>
      <c r="E252" s="438" t="s">
        <v>406</v>
      </c>
      <c r="F252" s="1012" t="str">
        <f>IF(F$230&gt;$G$1,"",IF('事業所損益管理(H30.9～H31.8)_査定'!N82=0,"",'事業所損益管理(H30.9～H31.8)_査定'!N82))</f>
        <v/>
      </c>
      <c r="G252" s="440" t="str">
        <f>IF(G$230&gt;$G$1,"",IF('事業所損益管理(H30.9～H31.8)_査定'!O82=0,"",'事業所損益管理(H30.9～H31.8)_査定'!O82))</f>
        <v/>
      </c>
      <c r="H252" s="440" t="str">
        <f>IF(H$230&gt;$G$1,"",IF('事業所損益管理(H30.9～H31.8)_査定'!P82=0,"",'事業所損益管理(H30.9～H31.8)_査定'!P82))</f>
        <v/>
      </c>
      <c r="I252" s="1260" t="str">
        <f>IF(I$230&gt;$G$1,"",IF('事業所損益管理(H30.9～H31.8)_査定'!Q82=0,"",'事業所損益管理(H30.9～H31.8)_査定'!Q82))</f>
        <v/>
      </c>
      <c r="J252" s="1260"/>
      <c r="K252" s="1461"/>
      <c r="L252" s="1256">
        <f t="array" ref="L252">SUM(IF(ISNUMBER(F$200:K$200),F252:K252))</f>
        <v>0</v>
      </c>
      <c r="M252" s="1256">
        <f t="array" ref="M252">SUM(IF(F252:I252="",F251:I251))+SUM(F252:K252)</f>
        <v>410000</v>
      </c>
    </row>
    <row r="253" spans="4:13" ht="14.25" hidden="1" customHeight="1" outlineLevel="1" x14ac:dyDescent="0.15">
      <c r="D253" s="2175" t="s">
        <v>1223</v>
      </c>
      <c r="E253" s="437" t="s">
        <v>405</v>
      </c>
      <c r="F253" s="1013">
        <f>'☆事業所損益管理(H30.9～H31.8)(計画)'!N85</f>
        <v>233000</v>
      </c>
      <c r="G253" s="441">
        <f>'☆事業所損益管理(H30.9～H31.8)(計画)'!O85</f>
        <v>233000</v>
      </c>
      <c r="H253" s="441">
        <f>'☆事業所損益管理(H30.9～H31.8)(計画)'!P85</f>
        <v>203000</v>
      </c>
      <c r="I253" s="1261">
        <f>'☆事業所損益管理(H30.9～H31.8)(計画)'!Q85</f>
        <v>233000</v>
      </c>
      <c r="J253" s="1261"/>
      <c r="K253" s="1462"/>
      <c r="L253" s="1257">
        <f t="array" ref="L253">SUM(IF(ISNUMBER(F$200:K$200),F253:K253))</f>
        <v>902000</v>
      </c>
      <c r="M253" s="1911"/>
    </row>
    <row r="254" spans="4:13" ht="14.25" hidden="1" customHeight="1" outlineLevel="1" x14ac:dyDescent="0.15">
      <c r="D254" s="2175"/>
      <c r="E254" s="438" t="s">
        <v>406</v>
      </c>
      <c r="F254" s="1012" t="str">
        <f>IF(F$230&gt;$G$1,"",IF('事業所損益管理(H30.9～H31.8)_査定'!N90=0,"",'事業所損益管理(H30.9～H31.8)_査定'!N90))</f>
        <v/>
      </c>
      <c r="G254" s="440" t="str">
        <f>IF(G$230&gt;$G$1,"",IF('事業所損益管理(H30.9～H31.8)_査定'!O90=0,"",'事業所損益管理(H30.9～H31.8)_査定'!O90))</f>
        <v/>
      </c>
      <c r="H254" s="440" t="str">
        <f>IF(H$230&gt;$G$1,"",IF('事業所損益管理(H30.9～H31.8)_査定'!P90=0,"",'事業所損益管理(H30.9～H31.8)_査定'!P90))</f>
        <v/>
      </c>
      <c r="I254" s="1260" t="str">
        <f>IF(I$230&gt;$G$1,"",IF('事業所損益管理(H30.9～H31.8)_査定'!Q90=0,"",'事業所損益管理(H30.9～H31.8)_査定'!Q90))</f>
        <v/>
      </c>
      <c r="J254" s="1260"/>
      <c r="K254" s="1461"/>
      <c r="L254" s="1256">
        <f t="array" ref="L254">SUM(IF(ISNUMBER(F$200:K$200),F254:K254))</f>
        <v>0</v>
      </c>
      <c r="M254" s="1256">
        <f t="array" ref="M254">SUM(IF(F254:I254="",F253:I253))+SUM(F254:K254)</f>
        <v>902000</v>
      </c>
    </row>
    <row r="255" spans="4:13" ht="14.25" customHeight="1" collapsed="1" x14ac:dyDescent="0.15">
      <c r="D255" s="2174" t="s">
        <v>1193</v>
      </c>
      <c r="E255" s="437" t="s">
        <v>405</v>
      </c>
      <c r="F255" s="1013">
        <f>SUM(F247,F249,F251,F253)</f>
        <v>2303000</v>
      </c>
      <c r="G255" s="441">
        <f t="shared" ref="G255:I255" si="226">SUM(G247,G249,G251,G253)</f>
        <v>-157000</v>
      </c>
      <c r="H255" s="441">
        <f t="shared" si="226"/>
        <v>413000</v>
      </c>
      <c r="I255" s="1261">
        <f t="shared" si="226"/>
        <v>443000</v>
      </c>
      <c r="J255" s="1261"/>
      <c r="K255" s="1462"/>
      <c r="L255" s="1257">
        <f t="array" ref="L255">SUM(IF(ISNUMBER(F$200:K$200),F255:K255))</f>
        <v>3002000</v>
      </c>
      <c r="M255" s="1911"/>
    </row>
    <row r="256" spans="4:13" ht="14.25" customHeight="1" thickBot="1" x14ac:dyDescent="0.2">
      <c r="D256" s="2173"/>
      <c r="E256" s="439" t="s">
        <v>406</v>
      </c>
      <c r="F256" s="1014" t="str">
        <f>IF(F232="","",SUM(F248,F250,F252,F254))</f>
        <v/>
      </c>
      <c r="G256" s="442" t="str">
        <f t="shared" ref="G256:I256" si="227">IF(G232="","",SUM(G248,G250,G252,G254))</f>
        <v/>
      </c>
      <c r="H256" s="442" t="str">
        <f t="shared" si="227"/>
        <v/>
      </c>
      <c r="I256" s="1888" t="str">
        <f t="shared" si="227"/>
        <v/>
      </c>
      <c r="J256" s="1888"/>
      <c r="K256" s="1409"/>
      <c r="L256" s="1258">
        <f t="array" ref="L256">SUM(IF(ISNUMBER(F$200:K$200),F256:K256))</f>
        <v>0</v>
      </c>
      <c r="M256" s="1258">
        <f t="array" ref="M256">SUM(IF(F256:I256="",F255:I255))+SUM(F256:K256)</f>
        <v>3002000</v>
      </c>
    </row>
    <row r="257" spans="4:13" ht="14.25" customHeight="1" x14ac:dyDescent="0.15">
      <c r="D257" s="350"/>
      <c r="E257" s="350"/>
      <c r="F257" s="350"/>
      <c r="G257" s="350"/>
      <c r="H257" s="350"/>
      <c r="I257" s="350"/>
      <c r="J257" s="2206" t="s">
        <v>56</v>
      </c>
      <c r="K257" s="1886" t="s">
        <v>405</v>
      </c>
      <c r="L257" s="1887">
        <f>SUM(L231,L233,L235,L237,L239,L241,L243,L247,L249,L251,L253)</f>
        <v>2002000</v>
      </c>
      <c r="M257" s="1911"/>
    </row>
    <row r="258" spans="4:13" ht="14.25" customHeight="1" thickBot="1" x14ac:dyDescent="0.2">
      <c r="D258" s="350"/>
      <c r="E258" s="350"/>
      <c r="F258" s="350"/>
      <c r="G258" s="350"/>
      <c r="H258" s="350"/>
      <c r="I258" s="350"/>
      <c r="J258" s="2173"/>
      <c r="K258" s="1464" t="s">
        <v>406</v>
      </c>
      <c r="L258" s="1258">
        <f>SUM(L232,L234,L236,L238,L240,L242,L244,L248,L250,L252,L254)</f>
        <v>0</v>
      </c>
      <c r="M258" s="1258">
        <f>SUM(M231:M256)</f>
        <v>5604000</v>
      </c>
    </row>
  </sheetData>
  <sheetProtection sheet="1" objects="1" scenarios="1"/>
  <mergeCells count="88">
    <mergeCell ref="J225:J226"/>
    <mergeCell ref="R130:T131"/>
    <mergeCell ref="C116:C128"/>
    <mergeCell ref="D116:D128"/>
    <mergeCell ref="D211:D212"/>
    <mergeCell ref="D215:D216"/>
    <mergeCell ref="D217:D218"/>
    <mergeCell ref="D219:D220"/>
    <mergeCell ref="D223:D224"/>
    <mergeCell ref="D201:D202"/>
    <mergeCell ref="D203:D204"/>
    <mergeCell ref="D205:D206"/>
    <mergeCell ref="D207:D208"/>
    <mergeCell ref="D209:D210"/>
    <mergeCell ref="D199:D200"/>
    <mergeCell ref="D213:D214"/>
    <mergeCell ref="V2:W2"/>
    <mergeCell ref="V9:W9"/>
    <mergeCell ref="V57:W57"/>
    <mergeCell ref="V65:W65"/>
    <mergeCell ref="V73:W73"/>
    <mergeCell ref="V17:W17"/>
    <mergeCell ref="V25:W25"/>
    <mergeCell ref="V33:W33"/>
    <mergeCell ref="V41:W41"/>
    <mergeCell ref="V49:W49"/>
    <mergeCell ref="V7:W7"/>
    <mergeCell ref="V15:W15"/>
    <mergeCell ref="V23:W23"/>
    <mergeCell ref="V31:W31"/>
    <mergeCell ref="V39:W39"/>
    <mergeCell ref="V47:W47"/>
    <mergeCell ref="V105:W105"/>
    <mergeCell ref="V113:W113"/>
    <mergeCell ref="V81:W81"/>
    <mergeCell ref="V89:W89"/>
    <mergeCell ref="C43:C50"/>
    <mergeCell ref="D43:D50"/>
    <mergeCell ref="C51:C58"/>
    <mergeCell ref="D51:D58"/>
    <mergeCell ref="C75:C82"/>
    <mergeCell ref="D75:D82"/>
    <mergeCell ref="C83:C90"/>
    <mergeCell ref="C59:C66"/>
    <mergeCell ref="D59:D66"/>
    <mergeCell ref="C67:C74"/>
    <mergeCell ref="D67:D74"/>
    <mergeCell ref="C1:E1"/>
    <mergeCell ref="C3:C10"/>
    <mergeCell ref="D3:D10"/>
    <mergeCell ref="C27:C34"/>
    <mergeCell ref="D27:D34"/>
    <mergeCell ref="C11:C18"/>
    <mergeCell ref="D11:D18"/>
    <mergeCell ref="C19:C26"/>
    <mergeCell ref="D19:D26"/>
    <mergeCell ref="C35:C42"/>
    <mergeCell ref="D35:D42"/>
    <mergeCell ref="C99:C106"/>
    <mergeCell ref="D99:D106"/>
    <mergeCell ref="C108:C115"/>
    <mergeCell ref="D108:D115"/>
    <mergeCell ref="C91:C98"/>
    <mergeCell ref="D91:D98"/>
    <mergeCell ref="D255:D256"/>
    <mergeCell ref="J257:J258"/>
    <mergeCell ref="D241:D242"/>
    <mergeCell ref="D243:D244"/>
    <mergeCell ref="D247:D248"/>
    <mergeCell ref="D249:D250"/>
    <mergeCell ref="D251:D252"/>
    <mergeCell ref="D245:D246"/>
    <mergeCell ref="D221:D222"/>
    <mergeCell ref="D253:D254"/>
    <mergeCell ref="V95:W95"/>
    <mergeCell ref="V103:W103"/>
    <mergeCell ref="V55:W55"/>
    <mergeCell ref="V63:W63"/>
    <mergeCell ref="V71:W71"/>
    <mergeCell ref="V79:W79"/>
    <mergeCell ref="V87:W87"/>
    <mergeCell ref="D231:D232"/>
    <mergeCell ref="D233:D234"/>
    <mergeCell ref="D235:D236"/>
    <mergeCell ref="D237:D238"/>
    <mergeCell ref="D239:D240"/>
    <mergeCell ref="D83:D90"/>
    <mergeCell ref="V97:W97"/>
  </mergeCells>
  <phoneticPr fontId="38"/>
  <conditionalFormatting sqref="F107:Q107">
    <cfRule type="expression" dxfId="74" priority="76">
      <formula>AND(F107=0,#REF!=0)</formula>
    </cfRule>
  </conditionalFormatting>
  <conditionalFormatting sqref="V11:V14 V19:V22 V27:V30 V35:V38 V43:V46 V51:V54 V59:V62 V67:V70 V75:V78 V83:V86 V91:V94 V99:V102 V3:V6">
    <cfRule type="iconSet" priority="48">
      <iconSet showValue="0">
        <cfvo type="percent" val="0"/>
        <cfvo type="num" val="-1" gte="0"/>
        <cfvo type="num" val="1"/>
      </iconSet>
    </cfRule>
  </conditionalFormatting>
  <conditionalFormatting sqref="V8">
    <cfRule type="iconSet" priority="47">
      <iconSet showValue="0">
        <cfvo type="percent" val="0"/>
        <cfvo type="num" val="-1" gte="0"/>
        <cfvo type="num" val="1"/>
      </iconSet>
    </cfRule>
  </conditionalFormatting>
  <conditionalFormatting sqref="V10 V18 V26 V34 V42 V50 V58 V66 V74 V82 V90 V98 V106">
    <cfRule type="iconSet" priority="46">
      <iconSet showValue="0">
        <cfvo type="percent" val="0"/>
        <cfvo type="num" val="-1" gte="0"/>
        <cfvo type="num" val="1"/>
      </iconSet>
    </cfRule>
  </conditionalFormatting>
  <conditionalFormatting sqref="V112">
    <cfRule type="iconSet" priority="44">
      <iconSet showValue="0">
        <cfvo type="percent" val="0"/>
        <cfvo type="num" val="-1" gte="0"/>
        <cfvo type="num" val="1"/>
      </iconSet>
    </cfRule>
  </conditionalFormatting>
  <conditionalFormatting sqref="V114">
    <cfRule type="iconSet" priority="43">
      <iconSet showValue="0">
        <cfvo type="percent" val="0"/>
        <cfvo type="num" val="-1" gte="0"/>
        <cfvo type="num" val="1"/>
      </iconSet>
    </cfRule>
  </conditionalFormatting>
  <conditionalFormatting sqref="V122">
    <cfRule type="iconSet" priority="41">
      <iconSet showValue="0">
        <cfvo type="percent" val="0"/>
        <cfvo type="num" val="-1" gte="0"/>
        <cfvo type="num" val="1"/>
      </iconSet>
    </cfRule>
  </conditionalFormatting>
  <conditionalFormatting sqref="V124:V125 V128">
    <cfRule type="iconSet" priority="37">
      <iconSet showValue="0">
        <cfvo type="percent" val="0"/>
        <cfvo type="num" val="-1" gte="0"/>
        <cfvo type="num" val="1"/>
      </iconSet>
    </cfRule>
  </conditionalFormatting>
  <conditionalFormatting sqref="V115">
    <cfRule type="iconSet" priority="35">
      <iconSet showValue="0">
        <cfvo type="percent" val="0"/>
        <cfvo type="num" val="-1" gte="0"/>
        <cfvo type="num" val="1"/>
      </iconSet>
    </cfRule>
  </conditionalFormatting>
  <conditionalFormatting sqref="R133:R135">
    <cfRule type="iconSet" priority="33">
      <iconSet showValue="0">
        <cfvo type="percent" val="0"/>
        <cfvo type="num" val="-1" gte="0"/>
        <cfvo type="num" val="1"/>
      </iconSet>
    </cfRule>
  </conditionalFormatting>
  <conditionalFormatting sqref="R138:R140">
    <cfRule type="iconSet" priority="32">
      <iconSet showValue="0">
        <cfvo type="percent" val="0"/>
        <cfvo type="num" val="-1" gte="0"/>
        <cfvo type="num" val="1"/>
      </iconSet>
    </cfRule>
  </conditionalFormatting>
  <conditionalFormatting sqref="R147 R145 R143">
    <cfRule type="iconSet" priority="34">
      <iconSet showValue="0">
        <cfvo type="percent" val="0"/>
        <cfvo type="num" val="-1" gte="0"/>
        <cfvo type="num" val="1"/>
      </iconSet>
    </cfRule>
  </conditionalFormatting>
  <conditionalFormatting sqref="V107">
    <cfRule type="iconSet" priority="30">
      <iconSet showValue="0">
        <cfvo type="percent" val="0"/>
        <cfvo type="num" val="-1" gte="0"/>
        <cfvo type="num" val="1"/>
      </iconSet>
    </cfRule>
  </conditionalFormatting>
  <conditionalFormatting sqref="V116:V121">
    <cfRule type="iconSet" priority="29">
      <iconSet showValue="0">
        <cfvo type="percent" val="0"/>
        <cfvo type="num" val="-1" gte="0"/>
        <cfvo type="num" val="1"/>
      </iconSet>
    </cfRule>
  </conditionalFormatting>
  <conditionalFormatting sqref="V123">
    <cfRule type="iconSet" priority="28">
      <iconSet showValue="0">
        <cfvo type="percent" val="0"/>
        <cfvo type="num" val="-1" gte="0"/>
        <cfvo type="num" val="1"/>
      </iconSet>
    </cfRule>
  </conditionalFormatting>
  <conditionalFormatting sqref="V126:V127">
    <cfRule type="iconSet" priority="27">
      <iconSet showValue="0">
        <cfvo type="percent" val="0"/>
        <cfvo type="num" val="-1" gte="0"/>
        <cfvo type="num" val="1"/>
      </iconSet>
    </cfRule>
  </conditionalFormatting>
  <conditionalFormatting sqref="F3:Q14 F17:Q22 F25:Q30 F33:Q38 F41:Q46 F49:Q54 F57:Q62 F65:Q70 F73:Q78 F81:Q86 F89:Q94 F97:Q102 F105:Q128">
    <cfRule type="expression" dxfId="73" priority="26">
      <formula>F3=0</formula>
    </cfRule>
  </conditionalFormatting>
  <conditionalFormatting sqref="R169">
    <cfRule type="iconSet" priority="25">
      <iconSet showValue="0">
        <cfvo type="percent" val="0"/>
        <cfvo type="num" val="-1" gte="0"/>
        <cfvo type="num" val="1"/>
      </iconSet>
    </cfRule>
  </conditionalFormatting>
  <conditionalFormatting sqref="V108:V111">
    <cfRule type="iconSet" priority="391">
      <iconSet showValue="0">
        <cfvo type="percent" val="0"/>
        <cfvo type="num" val="-1" gte="0"/>
        <cfvo type="num" val="1"/>
      </iconSet>
    </cfRule>
  </conditionalFormatting>
  <conditionalFormatting sqref="V16">
    <cfRule type="iconSet" priority="24">
      <iconSet showValue="0">
        <cfvo type="percent" val="0"/>
        <cfvo type="num" val="-1" gte="0"/>
        <cfvo type="num" val="1"/>
      </iconSet>
    </cfRule>
  </conditionalFormatting>
  <conditionalFormatting sqref="F15:Q16">
    <cfRule type="expression" dxfId="72" priority="23">
      <formula>F15=0</formula>
    </cfRule>
  </conditionalFormatting>
  <conditionalFormatting sqref="V24">
    <cfRule type="iconSet" priority="22">
      <iconSet showValue="0">
        <cfvo type="percent" val="0"/>
        <cfvo type="num" val="-1" gte="0"/>
        <cfvo type="num" val="1"/>
      </iconSet>
    </cfRule>
  </conditionalFormatting>
  <conditionalFormatting sqref="F23:Q24">
    <cfRule type="expression" dxfId="71" priority="21">
      <formula>F23=0</formula>
    </cfRule>
  </conditionalFormatting>
  <conditionalFormatting sqref="V32">
    <cfRule type="iconSet" priority="20">
      <iconSet showValue="0">
        <cfvo type="percent" val="0"/>
        <cfvo type="num" val="-1" gte="0"/>
        <cfvo type="num" val="1"/>
      </iconSet>
    </cfRule>
  </conditionalFormatting>
  <conditionalFormatting sqref="F31:Q32">
    <cfRule type="expression" dxfId="70" priority="19">
      <formula>F31=0</formula>
    </cfRule>
  </conditionalFormatting>
  <conditionalFormatting sqref="V40">
    <cfRule type="iconSet" priority="18">
      <iconSet showValue="0">
        <cfvo type="percent" val="0"/>
        <cfvo type="num" val="-1" gte="0"/>
        <cfvo type="num" val="1"/>
      </iconSet>
    </cfRule>
  </conditionalFormatting>
  <conditionalFormatting sqref="F39:Q40">
    <cfRule type="expression" dxfId="69" priority="17">
      <formula>F39=0</formula>
    </cfRule>
  </conditionalFormatting>
  <conditionalFormatting sqref="V48">
    <cfRule type="iconSet" priority="16">
      <iconSet showValue="0">
        <cfvo type="percent" val="0"/>
        <cfvo type="num" val="-1" gte="0"/>
        <cfvo type="num" val="1"/>
      </iconSet>
    </cfRule>
  </conditionalFormatting>
  <conditionalFormatting sqref="F47:Q48">
    <cfRule type="expression" dxfId="68" priority="15">
      <formula>F47=0</formula>
    </cfRule>
  </conditionalFormatting>
  <conditionalFormatting sqref="V56">
    <cfRule type="iconSet" priority="14">
      <iconSet showValue="0">
        <cfvo type="percent" val="0"/>
        <cfvo type="num" val="-1" gte="0"/>
        <cfvo type="num" val="1"/>
      </iconSet>
    </cfRule>
  </conditionalFormatting>
  <conditionalFormatting sqref="F55:Q56">
    <cfRule type="expression" dxfId="67" priority="13">
      <formula>F55=0</formula>
    </cfRule>
  </conditionalFormatting>
  <conditionalFormatting sqref="V64">
    <cfRule type="iconSet" priority="12">
      <iconSet showValue="0">
        <cfvo type="percent" val="0"/>
        <cfvo type="num" val="-1" gte="0"/>
        <cfvo type="num" val="1"/>
      </iconSet>
    </cfRule>
  </conditionalFormatting>
  <conditionalFormatting sqref="F63:Q64">
    <cfRule type="expression" dxfId="66" priority="11">
      <formula>F63=0</formula>
    </cfRule>
  </conditionalFormatting>
  <conditionalFormatting sqref="V72">
    <cfRule type="iconSet" priority="10">
      <iconSet showValue="0">
        <cfvo type="percent" val="0"/>
        <cfvo type="num" val="-1" gte="0"/>
        <cfvo type="num" val="1"/>
      </iconSet>
    </cfRule>
  </conditionalFormatting>
  <conditionalFormatting sqref="F71:Q72">
    <cfRule type="expression" dxfId="65" priority="9">
      <formula>F71=0</formula>
    </cfRule>
  </conditionalFormatting>
  <conditionalFormatting sqref="V80">
    <cfRule type="iconSet" priority="8">
      <iconSet showValue="0">
        <cfvo type="percent" val="0"/>
        <cfvo type="num" val="-1" gte="0"/>
        <cfvo type="num" val="1"/>
      </iconSet>
    </cfRule>
  </conditionalFormatting>
  <conditionalFormatting sqref="F79:Q80">
    <cfRule type="expression" dxfId="64" priority="7">
      <formula>F79=0</formula>
    </cfRule>
  </conditionalFormatting>
  <conditionalFormatting sqref="V88">
    <cfRule type="iconSet" priority="6">
      <iconSet showValue="0">
        <cfvo type="percent" val="0"/>
        <cfvo type="num" val="-1" gte="0"/>
        <cfvo type="num" val="1"/>
      </iconSet>
    </cfRule>
  </conditionalFormatting>
  <conditionalFormatting sqref="F87:Q88">
    <cfRule type="expression" dxfId="63" priority="5">
      <formula>F87=0</formula>
    </cfRule>
  </conditionalFormatting>
  <conditionalFormatting sqref="V96">
    <cfRule type="iconSet" priority="4">
      <iconSet showValue="0">
        <cfvo type="percent" val="0"/>
        <cfvo type="num" val="-1" gte="0"/>
        <cfvo type="num" val="1"/>
      </iconSet>
    </cfRule>
  </conditionalFormatting>
  <conditionalFormatting sqref="F95:Q96">
    <cfRule type="expression" dxfId="62" priority="3">
      <formula>F95=0</formula>
    </cfRule>
  </conditionalFormatting>
  <conditionalFormatting sqref="V104">
    <cfRule type="iconSet" priority="2">
      <iconSet showValue="0">
        <cfvo type="percent" val="0"/>
        <cfvo type="num" val="-1" gte="0"/>
        <cfvo type="num" val="1"/>
      </iconSet>
    </cfRule>
  </conditionalFormatting>
  <conditionalFormatting sqref="F103:Q104">
    <cfRule type="expression" dxfId="61" priority="1">
      <formula>F103=0</formula>
    </cfRule>
  </conditionalFormatting>
  <pageMargins left="0.31496062992125984" right="0.31496062992125984" top="0.55118110236220474" bottom="0.35433070866141736" header="0.31496062992125984" footer="0.31496062992125984"/>
  <pageSetup paperSize="8" scale="57" orientation="portrait" r:id="rId1"/>
  <headerFooter>
    <oddHeader>&amp;L&amp;A&amp;R&amp;D</oddHeader>
    <oddFooter>&amp;L【社外秘】&amp;C&amp;P/&amp;N&amp;R&amp;F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8">
    <tabColor rgb="FFFF9999"/>
  </sheetPr>
  <dimension ref="A1:Z1001"/>
  <sheetViews>
    <sheetView zoomScale="90" zoomScaleNormal="90" workbookViewId="0">
      <pane xSplit="3" ySplit="1" topLeftCell="G369" activePane="bottomRight" state="frozen"/>
      <selection pane="topRight" activeCell="D1" sqref="D1"/>
      <selection pane="bottomLeft" activeCell="A2" sqref="A2"/>
      <selection pane="bottomRight" activeCell="L407" sqref="L407"/>
    </sheetView>
  </sheetViews>
  <sheetFormatPr defaultRowHeight="13.5" x14ac:dyDescent="0.15"/>
  <cols>
    <col min="1" max="1" width="12.625" customWidth="1"/>
    <col min="2" max="2" width="5.625" customWidth="1"/>
    <col min="3" max="3" width="12.625" customWidth="1"/>
    <col min="4" max="25" width="12.625" style="4" customWidth="1"/>
  </cols>
  <sheetData>
    <row r="1" spans="1:26" s="779" customFormat="1" x14ac:dyDescent="0.15">
      <c r="A1" s="645" t="s">
        <v>182</v>
      </c>
      <c r="B1" s="646" t="s">
        <v>541</v>
      </c>
      <c r="C1" s="645" t="s">
        <v>33</v>
      </c>
      <c r="D1" s="646" t="s">
        <v>26</v>
      </c>
      <c r="E1" s="645" t="s">
        <v>28</v>
      </c>
      <c r="F1" s="645" t="s">
        <v>27</v>
      </c>
      <c r="G1" s="645" t="s">
        <v>60</v>
      </c>
      <c r="H1" s="645" t="s">
        <v>50</v>
      </c>
      <c r="I1" s="645" t="s">
        <v>29</v>
      </c>
      <c r="J1" s="645" t="s">
        <v>51</v>
      </c>
      <c r="K1" s="646" t="s">
        <v>15</v>
      </c>
      <c r="L1" s="645" t="s">
        <v>30</v>
      </c>
      <c r="M1" s="645" t="s">
        <v>1228</v>
      </c>
      <c r="N1" s="646" t="s">
        <v>1227</v>
      </c>
      <c r="O1" s="645" t="s">
        <v>803</v>
      </c>
      <c r="P1" s="645" t="s">
        <v>1503</v>
      </c>
      <c r="Q1" s="646" t="s">
        <v>762</v>
      </c>
      <c r="R1" s="645" t="s">
        <v>1335</v>
      </c>
      <c r="S1" s="645" t="s">
        <v>1334</v>
      </c>
      <c r="T1" s="645" t="s">
        <v>1336</v>
      </c>
      <c r="U1" s="998" t="s">
        <v>761</v>
      </c>
      <c r="V1" s="780" t="s">
        <v>46</v>
      </c>
      <c r="W1" s="780" t="s">
        <v>47</v>
      </c>
      <c r="X1" s="780" t="s">
        <v>397</v>
      </c>
      <c r="Y1" s="780" t="s">
        <v>487</v>
      </c>
      <c r="Z1" s="1161"/>
    </row>
    <row r="2" spans="1:26" x14ac:dyDescent="0.15">
      <c r="A2" s="642">
        <v>41275</v>
      </c>
      <c r="B2" s="665" t="s">
        <v>670</v>
      </c>
      <c r="C2" s="639" t="s">
        <v>19</v>
      </c>
      <c r="D2" s="644">
        <v>20850909</v>
      </c>
      <c r="E2" s="643">
        <v>6242835.75</v>
      </c>
      <c r="F2" s="643">
        <v>6477670</v>
      </c>
      <c r="G2" s="643">
        <v>0</v>
      </c>
      <c r="H2" s="643">
        <v>1450000</v>
      </c>
      <c r="I2" s="643">
        <v>1773850</v>
      </c>
      <c r="J2" s="643">
        <v>259000</v>
      </c>
      <c r="K2" s="644">
        <f>IF(A2="","",SUM(E2:J2))</f>
        <v>16203355.75</v>
      </c>
      <c r="L2" s="643">
        <v>4142805</v>
      </c>
      <c r="M2" s="643">
        <v>0</v>
      </c>
      <c r="N2" s="644">
        <f>IF(A2="","",SUM(L2:M2))</f>
        <v>4142805</v>
      </c>
      <c r="O2" s="643">
        <v>0</v>
      </c>
      <c r="P2" s="643">
        <v>0</v>
      </c>
      <c r="Q2" s="644">
        <f>IF($A2="","",IF(AND($C2="白金タクシー",$A2&gt;=DATE(2017,9,1)),ROUND(GETPIVOTDATA("合計 / タクシー運賃",【ピボット】事業所売上!$A$3,"年月",$A2,"事業所コード",$B2,"事業所",$C2)*5.1%,0),0))</f>
        <v>0</v>
      </c>
      <c r="R2" s="643">
        <v>0</v>
      </c>
      <c r="S2" s="643">
        <v>0</v>
      </c>
      <c r="T2" s="643">
        <v>0</v>
      </c>
      <c r="U2" s="644">
        <f>IF(A2="","",R2-S2-T2)</f>
        <v>0</v>
      </c>
      <c r="V2" s="643">
        <v>20603</v>
      </c>
      <c r="W2" s="643">
        <v>120027</v>
      </c>
      <c r="X2" s="643">
        <v>0</v>
      </c>
      <c r="Y2" s="643">
        <v>0</v>
      </c>
      <c r="Z2" s="635"/>
    </row>
    <row r="3" spans="1:26" x14ac:dyDescent="0.15">
      <c r="A3" s="642">
        <f t="shared" ref="A3:A45" si="0">EDATE(A2,1)</f>
        <v>41306</v>
      </c>
      <c r="B3" s="665" t="s">
        <v>670</v>
      </c>
      <c r="C3" s="639" t="s">
        <v>19</v>
      </c>
      <c r="D3" s="644">
        <v>23850202</v>
      </c>
      <c r="E3" s="643">
        <v>6245692</v>
      </c>
      <c r="F3" s="643">
        <v>6628474</v>
      </c>
      <c r="G3" s="643">
        <v>0</v>
      </c>
      <c r="H3" s="643">
        <v>1450000</v>
      </c>
      <c r="I3" s="643">
        <v>1002190</v>
      </c>
      <c r="J3" s="643">
        <v>89000</v>
      </c>
      <c r="K3" s="644">
        <f t="shared" ref="K3:K65" si="1">IF(A3="","",SUM(E3:J3))</f>
        <v>15415356</v>
      </c>
      <c r="L3" s="643">
        <v>5754517</v>
      </c>
      <c r="M3" s="643">
        <v>0</v>
      </c>
      <c r="N3" s="644">
        <f t="shared" ref="N3:N66" si="2">IF(A3="","",SUM(L3:M3))</f>
        <v>5754517</v>
      </c>
      <c r="O3" s="643">
        <v>0</v>
      </c>
      <c r="P3" s="643">
        <v>0</v>
      </c>
      <c r="Q3" s="644">
        <f>IF($A3="","",IF(AND($C3="白金タクシー",$A3&gt;=DATE(2017,9,1)),ROUND(GETPIVOTDATA("合計 / タクシー運賃",【ピボット】事業所売上!$A$3,"年月",$A3,"事業所コード",$B3,"事業所",$C3)*5.1%,0),0))</f>
        <v>0</v>
      </c>
      <c r="R3" s="643">
        <v>0</v>
      </c>
      <c r="S3" s="643">
        <v>0</v>
      </c>
      <c r="T3" s="643">
        <v>0</v>
      </c>
      <c r="U3" s="644">
        <f t="shared" ref="U3:U66" si="3">IF(A3="","",R3-S3-T3)</f>
        <v>0</v>
      </c>
      <c r="V3" s="643">
        <v>0</v>
      </c>
      <c r="W3" s="643">
        <v>130000</v>
      </c>
      <c r="X3" s="643">
        <v>0</v>
      </c>
      <c r="Y3" s="643">
        <v>0</v>
      </c>
      <c r="Z3" s="635"/>
    </row>
    <row r="4" spans="1:26" x14ac:dyDescent="0.15">
      <c r="A4" s="642">
        <f t="shared" si="0"/>
        <v>41334</v>
      </c>
      <c r="B4" s="665" t="s">
        <v>670</v>
      </c>
      <c r="C4" s="639" t="s">
        <v>19</v>
      </c>
      <c r="D4" s="644">
        <v>24110559</v>
      </c>
      <c r="E4" s="643">
        <v>6719726</v>
      </c>
      <c r="F4" s="643">
        <v>6581415</v>
      </c>
      <c r="G4" s="643">
        <v>0</v>
      </c>
      <c r="H4" s="643">
        <v>1450000</v>
      </c>
      <c r="I4" s="643">
        <v>1041144</v>
      </c>
      <c r="J4" s="643">
        <v>29000</v>
      </c>
      <c r="K4" s="644">
        <f t="shared" si="1"/>
        <v>15821285</v>
      </c>
      <c r="L4" s="643">
        <v>5134961</v>
      </c>
      <c r="M4" s="643">
        <v>0</v>
      </c>
      <c r="N4" s="644">
        <f t="shared" si="2"/>
        <v>5134961</v>
      </c>
      <c r="O4" s="643">
        <v>0</v>
      </c>
      <c r="P4" s="643">
        <v>0</v>
      </c>
      <c r="Q4" s="644">
        <f>IF($A4="","",IF(AND($C4="白金タクシー",$A4&gt;=DATE(2017,9,1)),ROUND(GETPIVOTDATA("合計 / タクシー運賃",【ピボット】事業所売上!$A$3,"年月",$A4,"事業所コード",$B4,"事業所",$C4)*5.1%,0),0))</f>
        <v>0</v>
      </c>
      <c r="R4" s="643">
        <v>0</v>
      </c>
      <c r="S4" s="643">
        <v>0</v>
      </c>
      <c r="T4" s="643">
        <v>0</v>
      </c>
      <c r="U4" s="644">
        <f t="shared" si="3"/>
        <v>0</v>
      </c>
      <c r="V4" s="643">
        <v>312139</v>
      </c>
      <c r="W4" s="643">
        <v>260412</v>
      </c>
      <c r="X4" s="643">
        <v>0</v>
      </c>
      <c r="Y4" s="643">
        <v>0</v>
      </c>
      <c r="Z4" s="635"/>
    </row>
    <row r="5" spans="1:26" x14ac:dyDescent="0.15">
      <c r="A5" s="642">
        <f t="shared" si="0"/>
        <v>41365</v>
      </c>
      <c r="B5" s="665" t="s">
        <v>670</v>
      </c>
      <c r="C5" s="639" t="s">
        <v>19</v>
      </c>
      <c r="D5" s="644">
        <v>22717803</v>
      </c>
      <c r="E5" s="643">
        <v>6664178</v>
      </c>
      <c r="F5" s="643">
        <v>6486233</v>
      </c>
      <c r="G5" s="643">
        <v>0</v>
      </c>
      <c r="H5" s="643">
        <v>1450000</v>
      </c>
      <c r="I5" s="643">
        <v>1069507</v>
      </c>
      <c r="J5" s="643">
        <v>44000</v>
      </c>
      <c r="K5" s="644">
        <f t="shared" si="1"/>
        <v>15713918</v>
      </c>
      <c r="L5" s="643">
        <v>5142786</v>
      </c>
      <c r="M5" s="643">
        <v>0</v>
      </c>
      <c r="N5" s="644">
        <f t="shared" si="2"/>
        <v>5142786</v>
      </c>
      <c r="O5" s="643">
        <v>0</v>
      </c>
      <c r="P5" s="643">
        <v>0</v>
      </c>
      <c r="Q5" s="644">
        <f>IF($A5="","",IF(AND($C5="白金タクシー",$A5&gt;=DATE(2017,9,1)),ROUND(GETPIVOTDATA("合計 / タクシー運賃",【ピボット】事業所売上!$A$3,"年月",$A5,"事業所コード",$B5,"事業所",$C5)*5.1%,0),0))</f>
        <v>0</v>
      </c>
      <c r="R5" s="643">
        <v>0</v>
      </c>
      <c r="S5" s="643">
        <v>0</v>
      </c>
      <c r="T5" s="643">
        <v>0</v>
      </c>
      <c r="U5" s="644">
        <f t="shared" si="3"/>
        <v>0</v>
      </c>
      <c r="V5" s="643">
        <v>11245</v>
      </c>
      <c r="W5" s="643">
        <v>137991</v>
      </c>
      <c r="X5" s="643">
        <v>0</v>
      </c>
      <c r="Y5" s="643">
        <v>0</v>
      </c>
      <c r="Z5" s="635"/>
    </row>
    <row r="6" spans="1:26" x14ac:dyDescent="0.15">
      <c r="A6" s="642">
        <f t="shared" si="0"/>
        <v>41395</v>
      </c>
      <c r="B6" s="665" t="s">
        <v>670</v>
      </c>
      <c r="C6" s="639" t="s">
        <v>19</v>
      </c>
      <c r="D6" s="644">
        <v>22647926</v>
      </c>
      <c r="E6" s="643">
        <v>7015709</v>
      </c>
      <c r="F6" s="643">
        <v>6473747</v>
      </c>
      <c r="G6" s="643">
        <v>0</v>
      </c>
      <c r="H6" s="643">
        <v>1450000</v>
      </c>
      <c r="I6" s="643">
        <v>1090702.9999999998</v>
      </c>
      <c r="J6" s="643">
        <v>53000</v>
      </c>
      <c r="K6" s="644">
        <f t="shared" si="1"/>
        <v>16083159</v>
      </c>
      <c r="L6" s="643">
        <v>6880931</v>
      </c>
      <c r="M6" s="643">
        <v>0</v>
      </c>
      <c r="N6" s="644">
        <f t="shared" si="2"/>
        <v>6880931</v>
      </c>
      <c r="O6" s="643">
        <v>0</v>
      </c>
      <c r="P6" s="643">
        <v>0</v>
      </c>
      <c r="Q6" s="644">
        <f>IF($A6="","",IF(AND($C6="白金タクシー",$A6&gt;=DATE(2017,9,1)),ROUND(GETPIVOTDATA("合計 / タクシー運賃",【ピボット】事業所売上!$A$3,"年月",$A6,"事業所コード",$B6,"事業所",$C6)*5.1%,0),0))</f>
        <v>0</v>
      </c>
      <c r="R6" s="643">
        <v>0</v>
      </c>
      <c r="S6" s="643">
        <v>0</v>
      </c>
      <c r="T6" s="643">
        <v>0</v>
      </c>
      <c r="U6" s="644">
        <f t="shared" si="3"/>
        <v>0</v>
      </c>
      <c r="V6" s="643">
        <v>9290</v>
      </c>
      <c r="W6" s="643">
        <v>144149</v>
      </c>
      <c r="X6" s="643">
        <v>0</v>
      </c>
      <c r="Y6" s="643">
        <v>0</v>
      </c>
      <c r="Z6" s="635"/>
    </row>
    <row r="7" spans="1:26" x14ac:dyDescent="0.15">
      <c r="A7" s="642">
        <f t="shared" si="0"/>
        <v>41426</v>
      </c>
      <c r="B7" s="665" t="s">
        <v>670</v>
      </c>
      <c r="C7" s="639" t="s">
        <v>19</v>
      </c>
      <c r="D7" s="644">
        <v>21703778</v>
      </c>
      <c r="E7" s="643">
        <v>6815323.5</v>
      </c>
      <c r="F7" s="643">
        <v>6156786</v>
      </c>
      <c r="G7" s="643">
        <v>3170000</v>
      </c>
      <c r="H7" s="643">
        <v>1450000</v>
      </c>
      <c r="I7" s="643">
        <v>638758.99999999988</v>
      </c>
      <c r="J7" s="643">
        <v>77000</v>
      </c>
      <c r="K7" s="644">
        <f t="shared" si="1"/>
        <v>18307868.5</v>
      </c>
      <c r="L7" s="643">
        <v>5071386</v>
      </c>
      <c r="M7" s="643">
        <v>0</v>
      </c>
      <c r="N7" s="644">
        <f t="shared" si="2"/>
        <v>5071386</v>
      </c>
      <c r="O7" s="643">
        <v>0</v>
      </c>
      <c r="P7" s="643">
        <v>0</v>
      </c>
      <c r="Q7" s="644">
        <f>IF($A7="","",IF(AND($C7="白金タクシー",$A7&gt;=DATE(2017,9,1)),ROUND(GETPIVOTDATA("合計 / タクシー運賃",【ピボット】事業所売上!$A$3,"年月",$A7,"事業所コード",$B7,"事業所",$C7)*5.1%,0),0))</f>
        <v>0</v>
      </c>
      <c r="R7" s="643">
        <v>0</v>
      </c>
      <c r="S7" s="643">
        <v>0</v>
      </c>
      <c r="T7" s="643">
        <v>0</v>
      </c>
      <c r="U7" s="644">
        <f t="shared" si="3"/>
        <v>0</v>
      </c>
      <c r="V7" s="643">
        <v>17473</v>
      </c>
      <c r="W7" s="643">
        <v>145371</v>
      </c>
      <c r="X7" s="643">
        <v>0</v>
      </c>
      <c r="Y7" s="643">
        <v>0</v>
      </c>
      <c r="Z7" s="635"/>
    </row>
    <row r="8" spans="1:26" x14ac:dyDescent="0.15">
      <c r="A8" s="642">
        <f t="shared" si="0"/>
        <v>41456</v>
      </c>
      <c r="B8" s="665" t="s">
        <v>670</v>
      </c>
      <c r="C8" s="639" t="s">
        <v>19</v>
      </c>
      <c r="D8" s="644">
        <v>22632729</v>
      </c>
      <c r="E8" s="643">
        <v>6682092.5</v>
      </c>
      <c r="F8" s="643">
        <v>6608156</v>
      </c>
      <c r="G8" s="643">
        <v>400000</v>
      </c>
      <c r="H8" s="643">
        <v>1450000</v>
      </c>
      <c r="I8" s="643">
        <v>1007254.9999999999</v>
      </c>
      <c r="J8" s="643">
        <v>305000</v>
      </c>
      <c r="K8" s="644">
        <f t="shared" si="1"/>
        <v>16452503.5</v>
      </c>
      <c r="L8" s="643">
        <v>5048291</v>
      </c>
      <c r="M8" s="643">
        <v>0</v>
      </c>
      <c r="N8" s="644">
        <f t="shared" si="2"/>
        <v>5048291</v>
      </c>
      <c r="O8" s="643">
        <v>0</v>
      </c>
      <c r="P8" s="643">
        <v>0</v>
      </c>
      <c r="Q8" s="644">
        <f>IF($A8="","",IF(AND($C8="白金タクシー",$A8&gt;=DATE(2017,9,1)),ROUND(GETPIVOTDATA("合計 / タクシー運賃",【ピボット】事業所売上!$A$3,"年月",$A8,"事業所コード",$B8,"事業所",$C8)*5.1%,0),0))</f>
        <v>0</v>
      </c>
      <c r="R8" s="643">
        <v>0</v>
      </c>
      <c r="S8" s="643">
        <v>0</v>
      </c>
      <c r="T8" s="643">
        <v>0</v>
      </c>
      <c r="U8" s="644">
        <f t="shared" si="3"/>
        <v>0</v>
      </c>
      <c r="V8" s="643">
        <v>11788</v>
      </c>
      <c r="W8" s="643">
        <v>144664</v>
      </c>
      <c r="X8" s="643">
        <v>0</v>
      </c>
      <c r="Y8" s="643">
        <v>0</v>
      </c>
      <c r="Z8" s="635"/>
    </row>
    <row r="9" spans="1:26" x14ac:dyDescent="0.15">
      <c r="A9" s="642">
        <f t="shared" si="0"/>
        <v>41487</v>
      </c>
      <c r="B9" s="665" t="s">
        <v>670</v>
      </c>
      <c r="C9" s="639" t="s">
        <v>19</v>
      </c>
      <c r="D9" s="644">
        <v>21599961</v>
      </c>
      <c r="E9" s="643">
        <v>6646631</v>
      </c>
      <c r="F9" s="643">
        <v>7187253</v>
      </c>
      <c r="G9" s="643">
        <v>0</v>
      </c>
      <c r="H9" s="643">
        <v>1450000</v>
      </c>
      <c r="I9" s="643">
        <v>2934172.0000000005</v>
      </c>
      <c r="J9" s="643">
        <v>27000</v>
      </c>
      <c r="K9" s="644">
        <f t="shared" si="1"/>
        <v>18245056</v>
      </c>
      <c r="L9" s="643">
        <v>4530764</v>
      </c>
      <c r="M9" s="643">
        <v>0</v>
      </c>
      <c r="N9" s="644">
        <f t="shared" si="2"/>
        <v>4530764</v>
      </c>
      <c r="O9" s="643">
        <v>0</v>
      </c>
      <c r="P9" s="643">
        <v>0</v>
      </c>
      <c r="Q9" s="644">
        <f>IF($A9="","",IF(AND($C9="白金タクシー",$A9&gt;=DATE(2017,9,1)),ROUND(GETPIVOTDATA("合計 / タクシー運賃",【ピボット】事業所売上!$A$3,"年月",$A9,"事業所コード",$B9,"事業所",$C9)*5.1%,0),0))</f>
        <v>0</v>
      </c>
      <c r="R9" s="643">
        <v>0</v>
      </c>
      <c r="S9" s="643">
        <v>0</v>
      </c>
      <c r="T9" s="643">
        <v>0</v>
      </c>
      <c r="U9" s="644">
        <f t="shared" si="3"/>
        <v>0</v>
      </c>
      <c r="V9" s="643">
        <v>6331</v>
      </c>
      <c r="W9" s="643">
        <v>141805</v>
      </c>
      <c r="X9" s="643">
        <v>0</v>
      </c>
      <c r="Y9" s="643">
        <v>0</v>
      </c>
      <c r="Z9" s="635"/>
    </row>
    <row r="10" spans="1:26" x14ac:dyDescent="0.15">
      <c r="A10" s="642">
        <f t="shared" si="0"/>
        <v>41518</v>
      </c>
      <c r="B10" s="665" t="s">
        <v>670</v>
      </c>
      <c r="C10" s="639" t="s">
        <v>19</v>
      </c>
      <c r="D10" s="644">
        <v>20926208</v>
      </c>
      <c r="E10" s="643">
        <v>6674381</v>
      </c>
      <c r="F10" s="643">
        <v>7207910</v>
      </c>
      <c r="G10" s="643">
        <v>0</v>
      </c>
      <c r="H10" s="643">
        <v>1450000</v>
      </c>
      <c r="I10" s="643">
        <v>1254030</v>
      </c>
      <c r="J10" s="643">
        <v>40618</v>
      </c>
      <c r="K10" s="644">
        <f t="shared" si="1"/>
        <v>16626939</v>
      </c>
      <c r="L10" s="643">
        <v>4934962</v>
      </c>
      <c r="M10" s="643">
        <v>0</v>
      </c>
      <c r="N10" s="644">
        <f t="shared" si="2"/>
        <v>4934962</v>
      </c>
      <c r="O10" s="643">
        <v>0</v>
      </c>
      <c r="P10" s="643">
        <v>0</v>
      </c>
      <c r="Q10" s="644">
        <f>IF($A10="","",IF(AND($C10="白金タクシー",$A10&gt;=DATE(2017,9,1)),ROUND(GETPIVOTDATA("合計 / タクシー運賃",【ピボット】事業所売上!$A$3,"年月",$A10,"事業所コード",$B10,"事業所",$C10)*5.1%,0),0))</f>
        <v>0</v>
      </c>
      <c r="R10" s="643">
        <v>0</v>
      </c>
      <c r="S10" s="643">
        <v>0</v>
      </c>
      <c r="T10" s="643">
        <v>0</v>
      </c>
      <c r="U10" s="644">
        <f t="shared" si="3"/>
        <v>0</v>
      </c>
      <c r="V10" s="643">
        <v>9863</v>
      </c>
      <c r="W10" s="643">
        <v>141457</v>
      </c>
      <c r="X10" s="643">
        <v>0</v>
      </c>
      <c r="Y10" s="643">
        <v>0</v>
      </c>
      <c r="Z10" s="635"/>
    </row>
    <row r="11" spans="1:26" x14ac:dyDescent="0.15">
      <c r="A11" s="642">
        <f t="shared" si="0"/>
        <v>41548</v>
      </c>
      <c r="B11" s="665" t="s">
        <v>670</v>
      </c>
      <c r="C11" s="639" t="s">
        <v>19</v>
      </c>
      <c r="D11" s="644">
        <v>22734148</v>
      </c>
      <c r="E11" s="643">
        <v>6685387.5</v>
      </c>
      <c r="F11" s="643">
        <v>7431631</v>
      </c>
      <c r="G11" s="643">
        <v>0</v>
      </c>
      <c r="H11" s="643">
        <v>950000</v>
      </c>
      <c r="I11" s="643">
        <v>1375334</v>
      </c>
      <c r="J11" s="643">
        <v>59614</v>
      </c>
      <c r="K11" s="644">
        <f t="shared" si="1"/>
        <v>16501966.5</v>
      </c>
      <c r="L11" s="643">
        <v>5667773</v>
      </c>
      <c r="M11" s="643">
        <v>0</v>
      </c>
      <c r="N11" s="644">
        <f t="shared" si="2"/>
        <v>5667773</v>
      </c>
      <c r="O11" s="643">
        <v>0</v>
      </c>
      <c r="P11" s="643">
        <v>0</v>
      </c>
      <c r="Q11" s="644">
        <f>IF($A11="","",IF(AND($C11="白金タクシー",$A11&gt;=DATE(2017,9,1)),ROUND(GETPIVOTDATA("合計 / タクシー運賃",【ピボット】事業所売上!$A$3,"年月",$A11,"事業所コード",$B11,"事業所",$C11)*5.1%,0),0))</f>
        <v>0</v>
      </c>
      <c r="R11" s="643">
        <v>0</v>
      </c>
      <c r="S11" s="643">
        <v>0</v>
      </c>
      <c r="T11" s="643">
        <v>0</v>
      </c>
      <c r="U11" s="644">
        <f t="shared" si="3"/>
        <v>0</v>
      </c>
      <c r="V11" s="643">
        <v>28725</v>
      </c>
      <c r="W11" s="643">
        <v>128236</v>
      </c>
      <c r="X11" s="643">
        <v>0</v>
      </c>
      <c r="Y11" s="643">
        <v>0</v>
      </c>
    </row>
    <row r="12" spans="1:26" x14ac:dyDescent="0.15">
      <c r="A12" s="642">
        <f t="shared" si="0"/>
        <v>41579</v>
      </c>
      <c r="B12" s="665" t="s">
        <v>670</v>
      </c>
      <c r="C12" s="639" t="s">
        <v>19</v>
      </c>
      <c r="D12" s="644">
        <v>24174974</v>
      </c>
      <c r="E12" s="643">
        <v>6736444</v>
      </c>
      <c r="F12" s="643">
        <v>7708049</v>
      </c>
      <c r="G12" s="643">
        <v>0</v>
      </c>
      <c r="H12" s="643">
        <v>855000</v>
      </c>
      <c r="I12" s="643">
        <v>1275853</v>
      </c>
      <c r="J12" s="643">
        <v>8596</v>
      </c>
      <c r="K12" s="644">
        <f t="shared" si="1"/>
        <v>16583942</v>
      </c>
      <c r="L12" s="643">
        <v>5027612</v>
      </c>
      <c r="M12" s="643">
        <v>0</v>
      </c>
      <c r="N12" s="644">
        <f t="shared" si="2"/>
        <v>5027612</v>
      </c>
      <c r="O12" s="643">
        <v>0</v>
      </c>
      <c r="P12" s="643">
        <v>0</v>
      </c>
      <c r="Q12" s="644">
        <f>IF($A12="","",IF(AND($C12="白金タクシー",$A12&gt;=DATE(2017,9,1)),ROUND(GETPIVOTDATA("合計 / タクシー運賃",【ピボット】事業所売上!$A$3,"年月",$A12,"事業所コード",$B12,"事業所",$C12)*5.1%,0),0))</f>
        <v>0</v>
      </c>
      <c r="R12" s="643">
        <v>0</v>
      </c>
      <c r="S12" s="643">
        <v>0</v>
      </c>
      <c r="T12" s="643">
        <v>0</v>
      </c>
      <c r="U12" s="644">
        <f t="shared" si="3"/>
        <v>0</v>
      </c>
      <c r="V12" s="643">
        <v>6704</v>
      </c>
      <c r="W12" s="643">
        <v>143170</v>
      </c>
      <c r="X12" s="643">
        <v>0</v>
      </c>
      <c r="Y12" s="643">
        <v>0</v>
      </c>
    </row>
    <row r="13" spans="1:26" x14ac:dyDescent="0.15">
      <c r="A13" s="642">
        <f t="shared" si="0"/>
        <v>41609</v>
      </c>
      <c r="B13" s="665" t="s">
        <v>670</v>
      </c>
      <c r="C13" s="639" t="s">
        <v>19</v>
      </c>
      <c r="D13" s="644">
        <v>23270414</v>
      </c>
      <c r="E13" s="643">
        <v>6895286</v>
      </c>
      <c r="F13" s="643">
        <v>7515773</v>
      </c>
      <c r="G13" s="643">
        <v>2060000</v>
      </c>
      <c r="H13" s="643">
        <v>855000</v>
      </c>
      <c r="I13" s="643">
        <v>984592</v>
      </c>
      <c r="J13" s="643">
        <v>69644</v>
      </c>
      <c r="K13" s="644">
        <f t="shared" si="1"/>
        <v>18380295</v>
      </c>
      <c r="L13" s="643">
        <v>6111667</v>
      </c>
      <c r="M13" s="643">
        <v>0</v>
      </c>
      <c r="N13" s="644">
        <f t="shared" si="2"/>
        <v>6111667</v>
      </c>
      <c r="O13" s="643">
        <v>0</v>
      </c>
      <c r="P13" s="643">
        <v>0</v>
      </c>
      <c r="Q13" s="644">
        <f>IF($A13="","",IF(AND($C13="白金タクシー",$A13&gt;=DATE(2017,9,1)),ROUND(GETPIVOTDATA("合計 / タクシー運賃",【ピボット】事業所売上!$A$3,"年月",$A13,"事業所コード",$B13,"事業所",$C13)*5.1%,0),0))</f>
        <v>0</v>
      </c>
      <c r="R13" s="643">
        <v>0</v>
      </c>
      <c r="S13" s="643">
        <v>0</v>
      </c>
      <c r="T13" s="643">
        <v>0</v>
      </c>
      <c r="U13" s="644">
        <f t="shared" si="3"/>
        <v>0</v>
      </c>
      <c r="V13" s="643">
        <v>5234</v>
      </c>
      <c r="W13" s="643">
        <v>162974</v>
      </c>
      <c r="X13" s="643">
        <v>0</v>
      </c>
      <c r="Y13" s="643">
        <v>0</v>
      </c>
    </row>
    <row r="14" spans="1:26" x14ac:dyDescent="0.15">
      <c r="A14" s="642">
        <f t="shared" si="0"/>
        <v>41640</v>
      </c>
      <c r="B14" s="665" t="s">
        <v>670</v>
      </c>
      <c r="C14" s="639" t="s">
        <v>19</v>
      </c>
      <c r="D14" s="644">
        <v>23008747</v>
      </c>
      <c r="E14" s="643">
        <v>7050233.5</v>
      </c>
      <c r="F14" s="643">
        <v>7504707</v>
      </c>
      <c r="G14" s="643">
        <v>0</v>
      </c>
      <c r="H14" s="643">
        <v>855000</v>
      </c>
      <c r="I14" s="643">
        <v>2736428</v>
      </c>
      <c r="J14" s="643">
        <v>166150</v>
      </c>
      <c r="K14" s="644">
        <f t="shared" si="1"/>
        <v>18312518.5</v>
      </c>
      <c r="L14" s="643">
        <v>6556872</v>
      </c>
      <c r="M14" s="643">
        <v>0</v>
      </c>
      <c r="N14" s="644">
        <f t="shared" si="2"/>
        <v>6556872</v>
      </c>
      <c r="O14" s="643">
        <v>0</v>
      </c>
      <c r="P14" s="643">
        <v>0</v>
      </c>
      <c r="Q14" s="644">
        <f>IF($A14="","",IF(AND($C14="白金タクシー",$A14&gt;=DATE(2017,9,1)),ROUND(GETPIVOTDATA("合計 / タクシー運賃",【ピボット】事業所売上!$A$3,"年月",$A14,"事業所コード",$B14,"事業所",$C14)*5.1%,0),0))</f>
        <v>0</v>
      </c>
      <c r="R14" s="643">
        <v>0</v>
      </c>
      <c r="S14" s="643">
        <v>0</v>
      </c>
      <c r="T14" s="643">
        <v>0</v>
      </c>
      <c r="U14" s="644">
        <f t="shared" si="3"/>
        <v>0</v>
      </c>
      <c r="V14" s="643">
        <v>17428</v>
      </c>
      <c r="W14" s="643">
        <v>151806</v>
      </c>
      <c r="X14" s="643">
        <v>0</v>
      </c>
      <c r="Y14" s="643">
        <v>0</v>
      </c>
    </row>
    <row r="15" spans="1:26" x14ac:dyDescent="0.15">
      <c r="A15" s="642">
        <f t="shared" si="0"/>
        <v>41671</v>
      </c>
      <c r="B15" s="665" t="s">
        <v>670</v>
      </c>
      <c r="C15" s="639" t="s">
        <v>19</v>
      </c>
      <c r="D15" s="644">
        <v>22885912</v>
      </c>
      <c r="E15" s="643">
        <v>6599241.75</v>
      </c>
      <c r="F15" s="643">
        <v>7577709</v>
      </c>
      <c r="G15" s="643">
        <v>0</v>
      </c>
      <c r="H15" s="643">
        <v>855000</v>
      </c>
      <c r="I15" s="643">
        <v>1156048</v>
      </c>
      <c r="J15" s="643">
        <v>358428</v>
      </c>
      <c r="K15" s="644">
        <f t="shared" si="1"/>
        <v>16546426.75</v>
      </c>
      <c r="L15" s="643">
        <v>6126043</v>
      </c>
      <c r="M15" s="643">
        <v>0</v>
      </c>
      <c r="N15" s="644">
        <f t="shared" si="2"/>
        <v>6126043</v>
      </c>
      <c r="O15" s="643">
        <v>0</v>
      </c>
      <c r="P15" s="643">
        <v>0</v>
      </c>
      <c r="Q15" s="644">
        <f>IF($A15="","",IF(AND($C15="白金タクシー",$A15&gt;=DATE(2017,9,1)),ROUND(GETPIVOTDATA("合計 / タクシー運賃",【ピボット】事業所売上!$A$3,"年月",$A15,"事業所コード",$B15,"事業所",$C15)*5.1%,0),0))</f>
        <v>0</v>
      </c>
      <c r="R15" s="643">
        <v>0</v>
      </c>
      <c r="S15" s="643">
        <v>0</v>
      </c>
      <c r="T15" s="643">
        <v>0</v>
      </c>
      <c r="U15" s="644">
        <f t="shared" si="3"/>
        <v>0</v>
      </c>
      <c r="V15" s="643">
        <v>4028</v>
      </c>
      <c r="W15" s="643">
        <v>140412</v>
      </c>
      <c r="X15" s="643">
        <v>0</v>
      </c>
      <c r="Y15" s="643">
        <v>0</v>
      </c>
    </row>
    <row r="16" spans="1:26" x14ac:dyDescent="0.15">
      <c r="A16" s="642">
        <f t="shared" si="0"/>
        <v>41699</v>
      </c>
      <c r="B16" s="665" t="s">
        <v>670</v>
      </c>
      <c r="C16" s="639" t="s">
        <v>19</v>
      </c>
      <c r="D16" s="644">
        <v>25650824</v>
      </c>
      <c r="E16" s="643">
        <v>7511939</v>
      </c>
      <c r="F16" s="643">
        <v>8139429</v>
      </c>
      <c r="G16" s="643">
        <v>0</v>
      </c>
      <c r="H16" s="643">
        <v>855000</v>
      </c>
      <c r="I16" s="643">
        <v>1196374</v>
      </c>
      <c r="J16" s="643">
        <v>43056</v>
      </c>
      <c r="K16" s="644">
        <f t="shared" si="1"/>
        <v>17745798</v>
      </c>
      <c r="L16" s="643">
        <v>7230779</v>
      </c>
      <c r="M16" s="643">
        <v>0</v>
      </c>
      <c r="N16" s="644">
        <f t="shared" si="2"/>
        <v>7230779</v>
      </c>
      <c r="O16" s="643">
        <v>0</v>
      </c>
      <c r="P16" s="643">
        <v>0</v>
      </c>
      <c r="Q16" s="644">
        <f>IF($A16="","",IF(AND($C16="白金タクシー",$A16&gt;=DATE(2017,9,1)),ROUND(GETPIVOTDATA("合計 / タクシー運賃",【ピボット】事業所売上!$A$3,"年月",$A16,"事業所コード",$B16,"事業所",$C16)*5.1%,0),0))</f>
        <v>0</v>
      </c>
      <c r="R16" s="643">
        <v>0</v>
      </c>
      <c r="S16" s="643">
        <v>0</v>
      </c>
      <c r="T16" s="643">
        <v>0</v>
      </c>
      <c r="U16" s="644">
        <f t="shared" si="3"/>
        <v>0</v>
      </c>
      <c r="V16" s="643">
        <v>152976</v>
      </c>
      <c r="W16" s="643">
        <v>211629</v>
      </c>
      <c r="X16" s="643">
        <v>0</v>
      </c>
      <c r="Y16" s="643">
        <v>0</v>
      </c>
    </row>
    <row r="17" spans="1:25" x14ac:dyDescent="0.15">
      <c r="A17" s="642">
        <f t="shared" si="0"/>
        <v>41730</v>
      </c>
      <c r="B17" s="665" t="s">
        <v>670</v>
      </c>
      <c r="C17" s="639" t="s">
        <v>19</v>
      </c>
      <c r="D17" s="644">
        <v>20997374</v>
      </c>
      <c r="E17" s="643">
        <v>6633454.5</v>
      </c>
      <c r="F17" s="643">
        <v>7491833</v>
      </c>
      <c r="G17" s="643">
        <v>0</v>
      </c>
      <c r="H17" s="643">
        <v>855000</v>
      </c>
      <c r="I17" s="643">
        <v>1227745</v>
      </c>
      <c r="J17" s="643">
        <v>53595</v>
      </c>
      <c r="K17" s="644">
        <f t="shared" si="1"/>
        <v>16261627.5</v>
      </c>
      <c r="L17" s="643">
        <v>7015346</v>
      </c>
      <c r="M17" s="643">
        <v>0</v>
      </c>
      <c r="N17" s="644">
        <f t="shared" si="2"/>
        <v>7015346</v>
      </c>
      <c r="O17" s="643">
        <v>0</v>
      </c>
      <c r="P17" s="643">
        <v>0</v>
      </c>
      <c r="Q17" s="644">
        <f>IF($A17="","",IF(AND($C17="白金タクシー",$A17&gt;=DATE(2017,9,1)),ROUND(GETPIVOTDATA("合計 / タクシー運賃",【ピボット】事業所売上!$A$3,"年月",$A17,"事業所コード",$B17,"事業所",$C17)*5.1%,0),0))</f>
        <v>0</v>
      </c>
      <c r="R17" s="643">
        <v>0</v>
      </c>
      <c r="S17" s="643">
        <v>0</v>
      </c>
      <c r="T17" s="643">
        <v>0</v>
      </c>
      <c r="U17" s="644">
        <f t="shared" si="3"/>
        <v>0</v>
      </c>
      <c r="V17" s="643">
        <v>4293</v>
      </c>
      <c r="W17" s="643">
        <v>176074</v>
      </c>
      <c r="X17" s="643">
        <v>0</v>
      </c>
      <c r="Y17" s="643">
        <v>0</v>
      </c>
    </row>
    <row r="18" spans="1:25" x14ac:dyDescent="0.15">
      <c r="A18" s="642">
        <f t="shared" si="0"/>
        <v>41760</v>
      </c>
      <c r="B18" s="665" t="s">
        <v>670</v>
      </c>
      <c r="C18" s="639" t="s">
        <v>19</v>
      </c>
      <c r="D18" s="644">
        <v>21720031</v>
      </c>
      <c r="E18" s="643">
        <v>6921646</v>
      </c>
      <c r="F18" s="643">
        <v>7295649</v>
      </c>
      <c r="G18" s="643">
        <v>0</v>
      </c>
      <c r="H18" s="643">
        <v>950000</v>
      </c>
      <c r="I18" s="643">
        <v>1176289</v>
      </c>
      <c r="J18" s="643">
        <v>36725</v>
      </c>
      <c r="K18" s="644">
        <f t="shared" si="1"/>
        <v>16380309</v>
      </c>
      <c r="L18" s="643">
        <v>6360821</v>
      </c>
      <c r="M18" s="643">
        <v>0</v>
      </c>
      <c r="N18" s="644">
        <f t="shared" si="2"/>
        <v>6360821</v>
      </c>
      <c r="O18" s="643">
        <v>0</v>
      </c>
      <c r="P18" s="643">
        <v>0</v>
      </c>
      <c r="Q18" s="644">
        <f>IF($A18="","",IF(AND($C18="白金タクシー",$A18&gt;=DATE(2017,9,1)),ROUND(GETPIVOTDATA("合計 / タクシー運賃",【ピボット】事業所売上!$A$3,"年月",$A18,"事業所コード",$B18,"事業所",$C18)*5.1%,0),0))</f>
        <v>0</v>
      </c>
      <c r="R18" s="643">
        <v>0</v>
      </c>
      <c r="S18" s="643">
        <v>0</v>
      </c>
      <c r="T18" s="643">
        <v>0</v>
      </c>
      <c r="U18" s="644">
        <f t="shared" si="3"/>
        <v>0</v>
      </c>
      <c r="V18" s="643">
        <v>10805</v>
      </c>
      <c r="W18" s="643">
        <v>179638</v>
      </c>
      <c r="X18" s="643">
        <v>0</v>
      </c>
      <c r="Y18" s="643">
        <v>0</v>
      </c>
    </row>
    <row r="19" spans="1:25" x14ac:dyDescent="0.15">
      <c r="A19" s="642">
        <f t="shared" si="0"/>
        <v>41791</v>
      </c>
      <c r="B19" s="665" t="s">
        <v>670</v>
      </c>
      <c r="C19" s="639" t="s">
        <v>19</v>
      </c>
      <c r="D19" s="644">
        <v>24686903</v>
      </c>
      <c r="E19" s="643">
        <v>6812061.5</v>
      </c>
      <c r="F19" s="643">
        <v>6422270</v>
      </c>
      <c r="G19" s="643">
        <v>3540000</v>
      </c>
      <c r="H19" s="643">
        <v>950000</v>
      </c>
      <c r="I19" s="643">
        <v>658822</v>
      </c>
      <c r="J19" s="643">
        <v>42981</v>
      </c>
      <c r="K19" s="644">
        <f t="shared" si="1"/>
        <v>18426134.5</v>
      </c>
      <c r="L19" s="643">
        <v>5885914</v>
      </c>
      <c r="M19" s="643">
        <v>0</v>
      </c>
      <c r="N19" s="644">
        <f t="shared" si="2"/>
        <v>5885914</v>
      </c>
      <c r="O19" s="643">
        <v>0</v>
      </c>
      <c r="P19" s="643">
        <v>0</v>
      </c>
      <c r="Q19" s="644">
        <f>IF($A19="","",IF(AND($C19="白金タクシー",$A19&gt;=DATE(2017,9,1)),ROUND(GETPIVOTDATA("合計 / タクシー運賃",【ピボット】事業所売上!$A$3,"年月",$A19,"事業所コード",$B19,"事業所",$C19)*5.1%,0),0))</f>
        <v>0</v>
      </c>
      <c r="R19" s="643">
        <v>0</v>
      </c>
      <c r="S19" s="643">
        <v>0</v>
      </c>
      <c r="T19" s="643">
        <v>0</v>
      </c>
      <c r="U19" s="644">
        <f t="shared" si="3"/>
        <v>0</v>
      </c>
      <c r="V19" s="643">
        <v>6725</v>
      </c>
      <c r="W19" s="643">
        <v>184799</v>
      </c>
      <c r="X19" s="643">
        <v>0</v>
      </c>
      <c r="Y19" s="643">
        <v>0</v>
      </c>
    </row>
    <row r="20" spans="1:25" x14ac:dyDescent="0.15">
      <c r="A20" s="642">
        <f t="shared" si="0"/>
        <v>41821</v>
      </c>
      <c r="B20" s="665" t="s">
        <v>670</v>
      </c>
      <c r="C20" s="639" t="s">
        <v>19</v>
      </c>
      <c r="D20" s="644">
        <v>21453898</v>
      </c>
      <c r="E20" s="643">
        <v>7280295</v>
      </c>
      <c r="F20" s="643">
        <v>6282143</v>
      </c>
      <c r="G20" s="643">
        <v>0</v>
      </c>
      <c r="H20" s="643">
        <v>950000</v>
      </c>
      <c r="I20" s="643">
        <v>2937839</v>
      </c>
      <c r="J20" s="643">
        <v>285471</v>
      </c>
      <c r="K20" s="644">
        <f t="shared" si="1"/>
        <v>17735748</v>
      </c>
      <c r="L20" s="643">
        <v>5839285</v>
      </c>
      <c r="M20" s="643">
        <v>0</v>
      </c>
      <c r="N20" s="644">
        <f t="shared" si="2"/>
        <v>5839285</v>
      </c>
      <c r="O20" s="643">
        <v>0</v>
      </c>
      <c r="P20" s="643">
        <v>0</v>
      </c>
      <c r="Q20" s="644">
        <f>IF($A20="","",IF(AND($C20="白金タクシー",$A20&gt;=DATE(2017,9,1)),ROUND(GETPIVOTDATA("合計 / タクシー運賃",【ピボット】事業所売上!$A$3,"年月",$A20,"事業所コード",$B20,"事業所",$C20)*5.1%,0),0))</f>
        <v>0</v>
      </c>
      <c r="R20" s="643">
        <v>0</v>
      </c>
      <c r="S20" s="643">
        <v>0</v>
      </c>
      <c r="T20" s="643">
        <v>0</v>
      </c>
      <c r="U20" s="644">
        <f t="shared" si="3"/>
        <v>0</v>
      </c>
      <c r="V20" s="643">
        <v>4989</v>
      </c>
      <c r="W20" s="643">
        <v>165917</v>
      </c>
      <c r="X20" s="643">
        <v>0</v>
      </c>
      <c r="Y20" s="643">
        <v>0</v>
      </c>
    </row>
    <row r="21" spans="1:25" x14ac:dyDescent="0.15">
      <c r="A21" s="642">
        <f t="shared" si="0"/>
        <v>41852</v>
      </c>
      <c r="B21" s="665" t="s">
        <v>670</v>
      </c>
      <c r="C21" s="639" t="s">
        <v>19</v>
      </c>
      <c r="D21" s="644">
        <v>22666809</v>
      </c>
      <c r="E21" s="643">
        <v>7084049</v>
      </c>
      <c r="F21" s="643">
        <v>6942709</v>
      </c>
      <c r="G21" s="643">
        <v>0</v>
      </c>
      <c r="H21" s="643">
        <v>950000</v>
      </c>
      <c r="I21" s="643">
        <v>1007674</v>
      </c>
      <c r="J21" s="643">
        <v>14407</v>
      </c>
      <c r="K21" s="644">
        <f t="shared" si="1"/>
        <v>15998839</v>
      </c>
      <c r="L21" s="643">
        <v>5828265</v>
      </c>
      <c r="M21" s="643">
        <v>0</v>
      </c>
      <c r="N21" s="644">
        <f t="shared" si="2"/>
        <v>5828265</v>
      </c>
      <c r="O21" s="643">
        <v>0</v>
      </c>
      <c r="P21" s="643">
        <v>0</v>
      </c>
      <c r="Q21" s="644">
        <f>IF($A21="","",IF(AND($C21="白金タクシー",$A21&gt;=DATE(2017,9,1)),ROUND(GETPIVOTDATA("合計 / タクシー運賃",【ピボット】事業所売上!$A$3,"年月",$A21,"事業所コード",$B21,"事業所",$C21)*5.1%,0),0))</f>
        <v>0</v>
      </c>
      <c r="R21" s="643">
        <v>0</v>
      </c>
      <c r="S21" s="643">
        <v>0</v>
      </c>
      <c r="T21" s="643">
        <v>0</v>
      </c>
      <c r="U21" s="644">
        <f t="shared" si="3"/>
        <v>0</v>
      </c>
      <c r="V21" s="643">
        <v>8538</v>
      </c>
      <c r="W21" s="643">
        <v>206545</v>
      </c>
      <c r="X21" s="643">
        <v>0</v>
      </c>
      <c r="Y21" s="643">
        <v>0</v>
      </c>
    </row>
    <row r="22" spans="1:25" x14ac:dyDescent="0.15">
      <c r="A22" s="642">
        <f t="shared" si="0"/>
        <v>41883</v>
      </c>
      <c r="B22" s="665" t="s">
        <v>670</v>
      </c>
      <c r="C22" s="639" t="s">
        <v>19</v>
      </c>
      <c r="D22" s="644">
        <v>21435923</v>
      </c>
      <c r="E22" s="643">
        <v>6573757.5</v>
      </c>
      <c r="F22" s="643">
        <v>7747679</v>
      </c>
      <c r="G22" s="643">
        <v>0</v>
      </c>
      <c r="H22" s="643">
        <v>950000</v>
      </c>
      <c r="I22" s="643">
        <v>1097303</v>
      </c>
      <c r="J22" s="643">
        <v>48639</v>
      </c>
      <c r="K22" s="644">
        <f t="shared" si="1"/>
        <v>16417378.5</v>
      </c>
      <c r="L22" s="643">
        <v>5491669</v>
      </c>
      <c r="M22" s="643">
        <v>0</v>
      </c>
      <c r="N22" s="644">
        <f t="shared" si="2"/>
        <v>5491669</v>
      </c>
      <c r="O22" s="643">
        <v>0</v>
      </c>
      <c r="P22" s="643">
        <v>0</v>
      </c>
      <c r="Q22" s="644">
        <f>IF($A22="","",IF(AND($C22="白金タクシー",$A22&gt;=DATE(2017,9,1)),ROUND(GETPIVOTDATA("合計 / タクシー運賃",【ピボット】事業所売上!$A$3,"年月",$A22,"事業所コード",$B22,"事業所",$C22)*5.1%,0),0))</f>
        <v>0</v>
      </c>
      <c r="R22" s="643">
        <v>0</v>
      </c>
      <c r="S22" s="643">
        <v>0</v>
      </c>
      <c r="T22" s="643">
        <v>0</v>
      </c>
      <c r="U22" s="644">
        <f t="shared" si="3"/>
        <v>0</v>
      </c>
      <c r="V22" s="643">
        <v>11478</v>
      </c>
      <c r="W22" s="643">
        <v>198632</v>
      </c>
      <c r="X22" s="643">
        <v>0</v>
      </c>
      <c r="Y22" s="643">
        <v>0</v>
      </c>
    </row>
    <row r="23" spans="1:25" x14ac:dyDescent="0.15">
      <c r="A23" s="642">
        <f t="shared" si="0"/>
        <v>41913</v>
      </c>
      <c r="B23" s="665" t="s">
        <v>670</v>
      </c>
      <c r="C23" s="639" t="s">
        <v>19</v>
      </c>
      <c r="D23" s="644">
        <v>21930282</v>
      </c>
      <c r="E23" s="643">
        <v>6686957</v>
      </c>
      <c r="F23" s="643">
        <v>7579988</v>
      </c>
      <c r="G23" s="643">
        <v>0</v>
      </c>
      <c r="H23" s="643">
        <v>950000</v>
      </c>
      <c r="I23" s="643">
        <v>1864134.0000000002</v>
      </c>
      <c r="J23" s="643">
        <v>200379</v>
      </c>
      <c r="K23" s="644">
        <f t="shared" si="1"/>
        <v>17281458</v>
      </c>
      <c r="L23" s="643">
        <v>5493239</v>
      </c>
      <c r="M23" s="643">
        <v>0</v>
      </c>
      <c r="N23" s="644">
        <f t="shared" si="2"/>
        <v>5493239</v>
      </c>
      <c r="O23" s="643">
        <v>0</v>
      </c>
      <c r="P23" s="643">
        <v>0</v>
      </c>
      <c r="Q23" s="644">
        <f>IF($A23="","",IF(AND($C23="白金タクシー",$A23&gt;=DATE(2017,9,1)),ROUND(GETPIVOTDATA("合計 / タクシー運賃",【ピボット】事業所売上!$A$3,"年月",$A23,"事業所コード",$B23,"事業所",$C23)*5.1%,0),0))</f>
        <v>0</v>
      </c>
      <c r="R23" s="643">
        <v>0</v>
      </c>
      <c r="S23" s="643">
        <v>0</v>
      </c>
      <c r="T23" s="643">
        <v>0</v>
      </c>
      <c r="U23" s="644">
        <f t="shared" si="3"/>
        <v>0</v>
      </c>
      <c r="V23" s="643">
        <v>4419</v>
      </c>
      <c r="W23" s="643">
        <v>186051</v>
      </c>
      <c r="X23" s="643">
        <v>0</v>
      </c>
      <c r="Y23" s="643">
        <v>0</v>
      </c>
    </row>
    <row r="24" spans="1:25" x14ac:dyDescent="0.15">
      <c r="A24" s="642">
        <f t="shared" si="0"/>
        <v>41944</v>
      </c>
      <c r="B24" s="665" t="s">
        <v>670</v>
      </c>
      <c r="C24" s="639" t="s">
        <v>19</v>
      </c>
      <c r="D24" s="644">
        <v>23533934</v>
      </c>
      <c r="E24" s="643">
        <v>6372684.5</v>
      </c>
      <c r="F24" s="643">
        <v>7842555</v>
      </c>
      <c r="G24" s="643">
        <v>0</v>
      </c>
      <c r="H24" s="643">
        <v>950000</v>
      </c>
      <c r="I24" s="643">
        <v>1279021</v>
      </c>
      <c r="J24" s="643">
        <v>37826</v>
      </c>
      <c r="K24" s="644">
        <f t="shared" si="1"/>
        <v>16482086.5</v>
      </c>
      <c r="L24" s="643">
        <v>5260921</v>
      </c>
      <c r="M24" s="643">
        <v>0</v>
      </c>
      <c r="N24" s="644">
        <f t="shared" si="2"/>
        <v>5260921</v>
      </c>
      <c r="O24" s="643">
        <v>0</v>
      </c>
      <c r="P24" s="643">
        <v>0</v>
      </c>
      <c r="Q24" s="644">
        <f>IF($A24="","",IF(AND($C24="白金タクシー",$A24&gt;=DATE(2017,9,1)),ROUND(GETPIVOTDATA("合計 / タクシー運賃",【ピボット】事業所売上!$A$3,"年月",$A24,"事業所コード",$B24,"事業所",$C24)*5.1%,0),0))</f>
        <v>0</v>
      </c>
      <c r="R24" s="643">
        <v>0</v>
      </c>
      <c r="S24" s="643">
        <v>0</v>
      </c>
      <c r="T24" s="643">
        <v>0</v>
      </c>
      <c r="U24" s="644">
        <f t="shared" si="3"/>
        <v>0</v>
      </c>
      <c r="V24" s="643">
        <v>5111</v>
      </c>
      <c r="W24" s="643">
        <v>184183</v>
      </c>
      <c r="X24" s="643">
        <v>0</v>
      </c>
      <c r="Y24" s="643">
        <v>0</v>
      </c>
    </row>
    <row r="25" spans="1:25" x14ac:dyDescent="0.15">
      <c r="A25" s="642">
        <f t="shared" si="0"/>
        <v>41974</v>
      </c>
      <c r="B25" s="665" t="s">
        <v>670</v>
      </c>
      <c r="C25" s="639" t="s">
        <v>19</v>
      </c>
      <c r="D25" s="644">
        <v>23584633</v>
      </c>
      <c r="E25" s="643">
        <v>7293219</v>
      </c>
      <c r="F25" s="643">
        <v>7596436</v>
      </c>
      <c r="G25" s="643">
        <v>3555920</v>
      </c>
      <c r="H25" s="643">
        <v>950000</v>
      </c>
      <c r="I25" s="643">
        <v>756748</v>
      </c>
      <c r="J25" s="643">
        <v>57393</v>
      </c>
      <c r="K25" s="644">
        <f t="shared" si="1"/>
        <v>20209716</v>
      </c>
      <c r="L25" s="643">
        <v>6366695</v>
      </c>
      <c r="M25" s="643">
        <v>0</v>
      </c>
      <c r="N25" s="644">
        <f t="shared" si="2"/>
        <v>6366695</v>
      </c>
      <c r="O25" s="643">
        <v>0</v>
      </c>
      <c r="P25" s="643">
        <v>0</v>
      </c>
      <c r="Q25" s="644">
        <f>IF($A25="","",IF(AND($C25="白金タクシー",$A25&gt;=DATE(2017,9,1)),ROUND(GETPIVOTDATA("合計 / タクシー運賃",【ピボット】事業所売上!$A$3,"年月",$A25,"事業所コード",$B25,"事業所",$C25)*5.1%,0),0))</f>
        <v>0</v>
      </c>
      <c r="R25" s="643">
        <v>0</v>
      </c>
      <c r="S25" s="643">
        <v>0</v>
      </c>
      <c r="T25" s="643">
        <v>0</v>
      </c>
      <c r="U25" s="644">
        <f t="shared" si="3"/>
        <v>0</v>
      </c>
      <c r="V25" s="643">
        <v>122898</v>
      </c>
      <c r="W25" s="643">
        <v>185796</v>
      </c>
      <c r="X25" s="643">
        <v>0</v>
      </c>
      <c r="Y25" s="643">
        <v>0</v>
      </c>
    </row>
    <row r="26" spans="1:25" x14ac:dyDescent="0.15">
      <c r="A26" s="642">
        <f t="shared" si="0"/>
        <v>42005</v>
      </c>
      <c r="B26" s="665" t="s">
        <v>670</v>
      </c>
      <c r="C26" s="639" t="s">
        <v>19</v>
      </c>
      <c r="D26" s="644">
        <v>23881357</v>
      </c>
      <c r="E26" s="643">
        <v>6724628.5</v>
      </c>
      <c r="F26" s="643">
        <v>7822814</v>
      </c>
      <c r="G26" s="643">
        <v>0</v>
      </c>
      <c r="H26" s="643">
        <v>950000</v>
      </c>
      <c r="I26" s="643">
        <v>2750005</v>
      </c>
      <c r="J26" s="643">
        <v>379534</v>
      </c>
      <c r="K26" s="644">
        <f t="shared" si="1"/>
        <v>18626981.5</v>
      </c>
      <c r="L26" s="643">
        <v>5240866</v>
      </c>
      <c r="M26" s="643">
        <v>0</v>
      </c>
      <c r="N26" s="644">
        <f t="shared" si="2"/>
        <v>5240866</v>
      </c>
      <c r="O26" s="643">
        <v>0</v>
      </c>
      <c r="P26" s="643">
        <v>0</v>
      </c>
      <c r="Q26" s="644">
        <f>IF($A26="","",IF(AND($C26="白金タクシー",$A26&gt;=DATE(2017,9,1)),ROUND(GETPIVOTDATA("合計 / タクシー運賃",【ピボット】事業所売上!$A$3,"年月",$A26,"事業所コード",$B26,"事業所",$C26)*5.1%,0),0))</f>
        <v>0</v>
      </c>
      <c r="R26" s="643">
        <v>0</v>
      </c>
      <c r="S26" s="643">
        <v>0</v>
      </c>
      <c r="T26" s="643">
        <v>0</v>
      </c>
      <c r="U26" s="644">
        <f t="shared" si="3"/>
        <v>0</v>
      </c>
      <c r="V26" s="643">
        <v>28900</v>
      </c>
      <c r="W26" s="643">
        <v>180381</v>
      </c>
      <c r="X26" s="643">
        <v>0</v>
      </c>
      <c r="Y26" s="643">
        <v>0</v>
      </c>
    </row>
    <row r="27" spans="1:25" x14ac:dyDescent="0.15">
      <c r="A27" s="642">
        <f t="shared" si="0"/>
        <v>42036</v>
      </c>
      <c r="B27" s="665" t="s">
        <v>670</v>
      </c>
      <c r="C27" s="639" t="s">
        <v>19</v>
      </c>
      <c r="D27" s="644">
        <v>21197082</v>
      </c>
      <c r="E27" s="643">
        <v>6280975.5</v>
      </c>
      <c r="F27" s="643">
        <v>7552347</v>
      </c>
      <c r="G27" s="643">
        <v>0</v>
      </c>
      <c r="H27" s="643">
        <v>950000</v>
      </c>
      <c r="I27" s="643">
        <v>1239871</v>
      </c>
      <c r="J27" s="643">
        <v>184391</v>
      </c>
      <c r="K27" s="644">
        <f t="shared" si="1"/>
        <v>16207584.5</v>
      </c>
      <c r="L27" s="643">
        <v>5686606</v>
      </c>
      <c r="M27" s="643">
        <v>0</v>
      </c>
      <c r="N27" s="644">
        <f>IF(A27="","",SUM(L27:M27))</f>
        <v>5686606</v>
      </c>
      <c r="O27" s="643">
        <v>0</v>
      </c>
      <c r="P27" s="643">
        <v>0</v>
      </c>
      <c r="Q27" s="644">
        <f>IF($A27="","",IF(AND($C27="白金タクシー",$A27&gt;=DATE(2017,9,1)),ROUND(GETPIVOTDATA("合計 / タクシー運賃",【ピボット】事業所売上!$A$3,"年月",$A27,"事業所コード",$B27,"事業所",$C27)*5.1%,0),0))</f>
        <v>0</v>
      </c>
      <c r="R27" s="643">
        <v>0</v>
      </c>
      <c r="S27" s="643">
        <v>0</v>
      </c>
      <c r="T27" s="643">
        <v>0</v>
      </c>
      <c r="U27" s="644">
        <f t="shared" si="3"/>
        <v>0</v>
      </c>
      <c r="V27" s="643">
        <v>6485</v>
      </c>
      <c r="W27" s="643">
        <v>162589</v>
      </c>
      <c r="X27" s="643">
        <v>0</v>
      </c>
      <c r="Y27" s="643">
        <v>0</v>
      </c>
    </row>
    <row r="28" spans="1:25" x14ac:dyDescent="0.15">
      <c r="A28" s="642">
        <f t="shared" si="0"/>
        <v>42064</v>
      </c>
      <c r="B28" s="665" t="s">
        <v>670</v>
      </c>
      <c r="C28" s="639" t="s">
        <v>19</v>
      </c>
      <c r="D28" s="644">
        <v>24839254</v>
      </c>
      <c r="E28" s="643">
        <v>7046907</v>
      </c>
      <c r="F28" s="643">
        <v>7256111</v>
      </c>
      <c r="G28" s="643">
        <v>0</v>
      </c>
      <c r="H28" s="643">
        <v>950000</v>
      </c>
      <c r="I28" s="643">
        <v>1151698</v>
      </c>
      <c r="J28" s="643">
        <v>107816</v>
      </c>
      <c r="K28" s="644">
        <f t="shared" si="1"/>
        <v>16512532</v>
      </c>
      <c r="L28" s="643">
        <v>5776034</v>
      </c>
      <c r="M28" s="643">
        <v>0</v>
      </c>
      <c r="N28" s="644">
        <f t="shared" si="2"/>
        <v>5776034</v>
      </c>
      <c r="O28" s="643">
        <v>0</v>
      </c>
      <c r="P28" s="643">
        <v>0</v>
      </c>
      <c r="Q28" s="644">
        <f>IF($A28="","",IF(AND($C28="白金タクシー",$A28&gt;=DATE(2017,9,1)),ROUND(GETPIVOTDATA("合計 / タクシー運賃",【ピボット】事業所売上!$A$3,"年月",$A28,"事業所コード",$B28,"事業所",$C28)*5.1%,0),0))</f>
        <v>0</v>
      </c>
      <c r="R28" s="643">
        <v>0</v>
      </c>
      <c r="S28" s="643">
        <v>0</v>
      </c>
      <c r="T28" s="643">
        <v>0</v>
      </c>
      <c r="U28" s="644">
        <f t="shared" si="3"/>
        <v>0</v>
      </c>
      <c r="V28" s="643">
        <v>299959</v>
      </c>
      <c r="W28" s="643">
        <v>177242</v>
      </c>
      <c r="X28" s="643">
        <v>0</v>
      </c>
      <c r="Y28" s="643">
        <v>0</v>
      </c>
    </row>
    <row r="29" spans="1:25" x14ac:dyDescent="0.15">
      <c r="A29" s="642">
        <f t="shared" si="0"/>
        <v>42095</v>
      </c>
      <c r="B29" s="665" t="s">
        <v>670</v>
      </c>
      <c r="C29" s="639" t="s">
        <v>19</v>
      </c>
      <c r="D29" s="644">
        <v>24624365</v>
      </c>
      <c r="E29" s="643">
        <v>6997702.5</v>
      </c>
      <c r="F29" s="643">
        <v>6880159</v>
      </c>
      <c r="G29" s="643">
        <v>0</v>
      </c>
      <c r="H29" s="643">
        <v>950000</v>
      </c>
      <c r="I29" s="643">
        <v>1128401</v>
      </c>
      <c r="J29" s="643">
        <v>21973</v>
      </c>
      <c r="K29" s="644">
        <f t="shared" si="1"/>
        <v>15978235.5</v>
      </c>
      <c r="L29" s="643">
        <v>5510538</v>
      </c>
      <c r="M29" s="643">
        <v>0</v>
      </c>
      <c r="N29" s="644">
        <f t="shared" si="2"/>
        <v>5510538</v>
      </c>
      <c r="O29" s="643">
        <v>0</v>
      </c>
      <c r="P29" s="643">
        <v>0</v>
      </c>
      <c r="Q29" s="644">
        <f>IF($A29="","",IF(AND($C29="白金タクシー",$A29&gt;=DATE(2017,9,1)),ROUND(GETPIVOTDATA("合計 / タクシー運賃",【ピボット】事業所売上!$A$3,"年月",$A29,"事業所コード",$B29,"事業所",$C29)*5.1%,0),0))</f>
        <v>0</v>
      </c>
      <c r="R29" s="643">
        <v>0</v>
      </c>
      <c r="S29" s="643">
        <v>0</v>
      </c>
      <c r="T29" s="643">
        <v>0</v>
      </c>
      <c r="U29" s="644">
        <f t="shared" si="3"/>
        <v>0</v>
      </c>
      <c r="V29" s="643">
        <v>4562</v>
      </c>
      <c r="W29" s="643">
        <v>179458</v>
      </c>
      <c r="X29" s="643">
        <v>0</v>
      </c>
      <c r="Y29" s="643">
        <v>0</v>
      </c>
    </row>
    <row r="30" spans="1:25" x14ac:dyDescent="0.15">
      <c r="A30" s="642">
        <f t="shared" si="0"/>
        <v>42125</v>
      </c>
      <c r="B30" s="665" t="s">
        <v>670</v>
      </c>
      <c r="C30" s="639" t="s">
        <v>19</v>
      </c>
      <c r="D30" s="644">
        <v>23452608</v>
      </c>
      <c r="E30" s="643">
        <v>7060328</v>
      </c>
      <c r="F30" s="643">
        <v>6280018</v>
      </c>
      <c r="G30" s="643">
        <v>0</v>
      </c>
      <c r="H30" s="643">
        <v>950000</v>
      </c>
      <c r="I30" s="643">
        <v>1088157</v>
      </c>
      <c r="J30" s="643">
        <v>3100</v>
      </c>
      <c r="K30" s="644">
        <f t="shared" si="1"/>
        <v>15381603</v>
      </c>
      <c r="L30" s="643">
        <v>5340410</v>
      </c>
      <c r="M30" s="643">
        <v>0</v>
      </c>
      <c r="N30" s="644">
        <f t="shared" si="2"/>
        <v>5340410</v>
      </c>
      <c r="O30" s="643">
        <v>0</v>
      </c>
      <c r="P30" s="643">
        <v>0</v>
      </c>
      <c r="Q30" s="644">
        <f>IF($A30="","",IF(AND($C30="白金タクシー",$A30&gt;=DATE(2017,9,1)),ROUND(GETPIVOTDATA("合計 / タクシー運賃",【ピボット】事業所売上!$A$3,"年月",$A30,"事業所コード",$B30,"事業所",$C30)*5.1%,0),0))</f>
        <v>0</v>
      </c>
      <c r="R30" s="643">
        <v>0</v>
      </c>
      <c r="S30" s="643">
        <v>0</v>
      </c>
      <c r="T30" s="643">
        <v>0</v>
      </c>
      <c r="U30" s="644">
        <f t="shared" si="3"/>
        <v>0</v>
      </c>
      <c r="V30" s="643">
        <v>3752</v>
      </c>
      <c r="W30" s="643">
        <v>185890</v>
      </c>
      <c r="X30" s="643">
        <v>0</v>
      </c>
      <c r="Y30" s="643">
        <v>0</v>
      </c>
    </row>
    <row r="31" spans="1:25" x14ac:dyDescent="0.15">
      <c r="A31" s="642">
        <f t="shared" si="0"/>
        <v>42156</v>
      </c>
      <c r="B31" s="665" t="s">
        <v>670</v>
      </c>
      <c r="C31" s="639" t="s">
        <v>19</v>
      </c>
      <c r="D31" s="644">
        <v>25915317</v>
      </c>
      <c r="E31" s="643">
        <v>7453412.5</v>
      </c>
      <c r="F31" s="643">
        <v>6661581</v>
      </c>
      <c r="G31" s="643">
        <v>4288547</v>
      </c>
      <c r="H31" s="643">
        <v>950000</v>
      </c>
      <c r="I31" s="643">
        <v>2561200</v>
      </c>
      <c r="J31" s="643">
        <v>29571</v>
      </c>
      <c r="K31" s="644">
        <f t="shared" si="1"/>
        <v>21944311.5</v>
      </c>
      <c r="L31" s="643">
        <v>5544030</v>
      </c>
      <c r="M31" s="643">
        <v>0</v>
      </c>
      <c r="N31" s="644">
        <f t="shared" si="2"/>
        <v>5544030</v>
      </c>
      <c r="O31" s="643">
        <v>0</v>
      </c>
      <c r="P31" s="643">
        <v>0</v>
      </c>
      <c r="Q31" s="644">
        <f>IF($A31="","",IF(AND($C31="白金タクシー",$A31&gt;=DATE(2017,9,1)),ROUND(GETPIVOTDATA("合計 / タクシー運賃",【ピボット】事業所売上!$A$3,"年月",$A31,"事業所コード",$B31,"事業所",$C31)*5.1%,0),0))</f>
        <v>0</v>
      </c>
      <c r="R31" s="643">
        <v>0</v>
      </c>
      <c r="S31" s="643">
        <v>0</v>
      </c>
      <c r="T31" s="643">
        <v>0</v>
      </c>
      <c r="U31" s="644">
        <f t="shared" si="3"/>
        <v>0</v>
      </c>
      <c r="V31" s="643">
        <v>6659</v>
      </c>
      <c r="W31" s="643">
        <v>185547</v>
      </c>
      <c r="X31" s="643">
        <v>0</v>
      </c>
      <c r="Y31" s="643">
        <v>0</v>
      </c>
    </row>
    <row r="32" spans="1:25" x14ac:dyDescent="0.15">
      <c r="A32" s="642">
        <f t="shared" si="0"/>
        <v>42186</v>
      </c>
      <c r="B32" s="665" t="s">
        <v>670</v>
      </c>
      <c r="C32" s="639" t="s">
        <v>19</v>
      </c>
      <c r="D32" s="644">
        <v>24770526</v>
      </c>
      <c r="E32" s="643">
        <v>7357788</v>
      </c>
      <c r="F32" s="643">
        <v>6855020</v>
      </c>
      <c r="G32" s="643">
        <v>0</v>
      </c>
      <c r="H32" s="643">
        <v>950000</v>
      </c>
      <c r="I32" s="643">
        <v>2712263.0000000005</v>
      </c>
      <c r="J32" s="643">
        <v>95780</v>
      </c>
      <c r="K32" s="644">
        <f t="shared" si="1"/>
        <v>17970851</v>
      </c>
      <c r="L32" s="643">
        <v>5707416</v>
      </c>
      <c r="M32" s="643">
        <v>0</v>
      </c>
      <c r="N32" s="644">
        <f t="shared" si="2"/>
        <v>5707416</v>
      </c>
      <c r="O32" s="643">
        <v>0</v>
      </c>
      <c r="P32" s="643">
        <v>0</v>
      </c>
      <c r="Q32" s="644">
        <f>IF($A32="","",IF(AND($C32="白金タクシー",$A32&gt;=DATE(2017,9,1)),ROUND(GETPIVOTDATA("合計 / タクシー運賃",【ピボット】事業所売上!$A$3,"年月",$A32,"事業所コード",$B32,"事業所",$C32)*5.1%,0),0))</f>
        <v>0</v>
      </c>
      <c r="R32" s="643">
        <v>0</v>
      </c>
      <c r="S32" s="643">
        <v>0</v>
      </c>
      <c r="T32" s="643">
        <v>0</v>
      </c>
      <c r="U32" s="644">
        <f t="shared" si="3"/>
        <v>0</v>
      </c>
      <c r="V32" s="643">
        <v>85300</v>
      </c>
      <c r="W32" s="643">
        <v>172017</v>
      </c>
      <c r="X32" s="643">
        <v>0</v>
      </c>
      <c r="Y32" s="643">
        <v>0</v>
      </c>
    </row>
    <row r="33" spans="1:25" x14ac:dyDescent="0.15">
      <c r="A33" s="642">
        <f t="shared" si="0"/>
        <v>42217</v>
      </c>
      <c r="B33" s="665" t="s">
        <v>670</v>
      </c>
      <c r="C33" s="639" t="s">
        <v>19</v>
      </c>
      <c r="D33" s="644">
        <v>22736259</v>
      </c>
      <c r="E33" s="643">
        <v>7227508.5</v>
      </c>
      <c r="F33" s="643">
        <v>6975212</v>
      </c>
      <c r="G33" s="643">
        <v>0</v>
      </c>
      <c r="H33" s="643">
        <v>950000</v>
      </c>
      <c r="I33" s="643">
        <v>973676</v>
      </c>
      <c r="J33" s="643">
        <v>136042</v>
      </c>
      <c r="K33" s="644">
        <f t="shared" si="1"/>
        <v>16262438.5</v>
      </c>
      <c r="L33" s="643">
        <v>6110806</v>
      </c>
      <c r="M33" s="643">
        <v>0</v>
      </c>
      <c r="N33" s="644">
        <f t="shared" si="2"/>
        <v>6110806</v>
      </c>
      <c r="O33" s="643">
        <v>0</v>
      </c>
      <c r="P33" s="643">
        <v>0</v>
      </c>
      <c r="Q33" s="644">
        <f>IF($A33="","",IF(AND($C33="白金タクシー",$A33&gt;=DATE(2017,9,1)),ROUND(GETPIVOTDATA("合計 / タクシー運賃",【ピボット】事業所売上!$A$3,"年月",$A33,"事業所コード",$B33,"事業所",$C33)*5.1%,0),0))</f>
        <v>0</v>
      </c>
      <c r="R33" s="643">
        <v>0</v>
      </c>
      <c r="S33" s="643">
        <v>0</v>
      </c>
      <c r="T33" s="643">
        <v>0</v>
      </c>
      <c r="U33" s="644">
        <f t="shared" si="3"/>
        <v>0</v>
      </c>
      <c r="V33" s="643">
        <v>6744</v>
      </c>
      <c r="W33" s="643">
        <v>181841</v>
      </c>
      <c r="X33" s="643">
        <v>0</v>
      </c>
      <c r="Y33" s="643">
        <v>0</v>
      </c>
    </row>
    <row r="34" spans="1:25" x14ac:dyDescent="0.15">
      <c r="A34" s="642">
        <f t="shared" si="0"/>
        <v>42248</v>
      </c>
      <c r="B34" s="665" t="s">
        <v>670</v>
      </c>
      <c r="C34" s="639" t="s">
        <v>19</v>
      </c>
      <c r="D34" s="644">
        <v>24183832</v>
      </c>
      <c r="E34" s="643">
        <v>7302559</v>
      </c>
      <c r="F34" s="643">
        <v>5985683</v>
      </c>
      <c r="G34" s="643">
        <v>0</v>
      </c>
      <c r="H34" s="643">
        <v>1600000</v>
      </c>
      <c r="I34" s="643">
        <v>1014210</v>
      </c>
      <c r="J34" s="643">
        <v>18296</v>
      </c>
      <c r="K34" s="644">
        <f t="shared" si="1"/>
        <v>15920748</v>
      </c>
      <c r="L34" s="643">
        <v>5431909</v>
      </c>
      <c r="M34" s="643">
        <v>0</v>
      </c>
      <c r="N34" s="644">
        <f t="shared" si="2"/>
        <v>5431909</v>
      </c>
      <c r="O34" s="643">
        <v>0</v>
      </c>
      <c r="P34" s="643">
        <v>0</v>
      </c>
      <c r="Q34" s="644">
        <f>IF($A34="","",IF(AND($C34="白金タクシー",$A34&gt;=DATE(2017,9,1)),ROUND(GETPIVOTDATA("合計 / タクシー運賃",【ピボット】事業所売上!$A$3,"年月",$A34,"事業所コード",$B34,"事業所",$C34)*5.1%,0),0))</f>
        <v>0</v>
      </c>
      <c r="R34" s="643">
        <v>0</v>
      </c>
      <c r="S34" s="643">
        <v>0</v>
      </c>
      <c r="T34" s="643">
        <v>0</v>
      </c>
      <c r="U34" s="644">
        <f t="shared" si="3"/>
        <v>0</v>
      </c>
      <c r="V34" s="643">
        <v>7034</v>
      </c>
      <c r="W34" s="643">
        <v>160811</v>
      </c>
      <c r="X34" s="643">
        <v>0</v>
      </c>
      <c r="Y34" s="643">
        <v>0</v>
      </c>
    </row>
    <row r="35" spans="1:25" x14ac:dyDescent="0.15">
      <c r="A35" s="642">
        <f t="shared" si="0"/>
        <v>42278</v>
      </c>
      <c r="B35" s="665" t="s">
        <v>670</v>
      </c>
      <c r="C35" s="639" t="s">
        <v>19</v>
      </c>
      <c r="D35" s="644">
        <v>25209324</v>
      </c>
      <c r="E35" s="643">
        <v>7637522</v>
      </c>
      <c r="F35" s="643">
        <v>6282091</v>
      </c>
      <c r="G35" s="643">
        <v>0</v>
      </c>
      <c r="H35" s="643">
        <v>1600000</v>
      </c>
      <c r="I35" s="643">
        <v>1716594</v>
      </c>
      <c r="J35" s="643">
        <v>469676</v>
      </c>
      <c r="K35" s="644">
        <f t="shared" si="1"/>
        <v>17705883</v>
      </c>
      <c r="L35" s="643">
        <v>7207855</v>
      </c>
      <c r="M35" s="643">
        <v>0</v>
      </c>
      <c r="N35" s="644">
        <f t="shared" si="2"/>
        <v>7207855</v>
      </c>
      <c r="O35" s="643">
        <v>0</v>
      </c>
      <c r="P35" s="643">
        <v>0</v>
      </c>
      <c r="Q35" s="644">
        <f>IF($A35="","",IF(AND($C35="白金タクシー",$A35&gt;=DATE(2017,9,1)),ROUND(GETPIVOTDATA("合計 / タクシー運賃",【ピボット】事業所売上!$A$3,"年月",$A35,"事業所コード",$B35,"事業所",$C35)*5.1%,0),0))</f>
        <v>0</v>
      </c>
      <c r="R35" s="643">
        <v>0</v>
      </c>
      <c r="S35" s="643">
        <v>0</v>
      </c>
      <c r="T35" s="643">
        <v>0</v>
      </c>
      <c r="U35" s="644">
        <f t="shared" si="3"/>
        <v>0</v>
      </c>
      <c r="V35" s="643">
        <v>5668</v>
      </c>
      <c r="W35" s="643">
        <v>164158</v>
      </c>
      <c r="X35" s="643">
        <v>0</v>
      </c>
      <c r="Y35" s="643">
        <v>0</v>
      </c>
    </row>
    <row r="36" spans="1:25" x14ac:dyDescent="0.15">
      <c r="A36" s="642">
        <f t="shared" si="0"/>
        <v>42309</v>
      </c>
      <c r="B36" s="665" t="s">
        <v>670</v>
      </c>
      <c r="C36" s="639" t="s">
        <v>19</v>
      </c>
      <c r="D36" s="644">
        <v>24327588</v>
      </c>
      <c r="E36" s="643">
        <v>7459224</v>
      </c>
      <c r="F36" s="643">
        <v>6382566</v>
      </c>
      <c r="G36" s="643">
        <v>0</v>
      </c>
      <c r="H36" s="643">
        <v>2150000</v>
      </c>
      <c r="I36" s="643">
        <v>1100436</v>
      </c>
      <c r="J36" s="643">
        <v>64809</v>
      </c>
      <c r="K36" s="644">
        <f t="shared" si="1"/>
        <v>17157035</v>
      </c>
      <c r="L36" s="643">
        <v>6483122</v>
      </c>
      <c r="M36" s="643">
        <v>0</v>
      </c>
      <c r="N36" s="644">
        <f t="shared" si="2"/>
        <v>6483122</v>
      </c>
      <c r="O36" s="643">
        <v>0</v>
      </c>
      <c r="P36" s="643">
        <v>0</v>
      </c>
      <c r="Q36" s="644">
        <f>IF($A36="","",IF(AND($C36="白金タクシー",$A36&gt;=DATE(2017,9,1)),ROUND(GETPIVOTDATA("合計 / タクシー運賃",【ピボット】事業所売上!$A$3,"年月",$A36,"事業所コード",$B36,"事業所",$C36)*5.1%,0),0))</f>
        <v>0</v>
      </c>
      <c r="R36" s="643">
        <v>0</v>
      </c>
      <c r="S36" s="643">
        <v>0</v>
      </c>
      <c r="T36" s="643">
        <v>0</v>
      </c>
      <c r="U36" s="644">
        <f t="shared" si="3"/>
        <v>0</v>
      </c>
      <c r="V36" s="643">
        <v>6605</v>
      </c>
      <c r="W36" s="643">
        <v>163520</v>
      </c>
      <c r="X36" s="643">
        <v>0</v>
      </c>
      <c r="Y36" s="643">
        <v>0</v>
      </c>
    </row>
    <row r="37" spans="1:25" x14ac:dyDescent="0.15">
      <c r="A37" s="642">
        <f t="shared" si="0"/>
        <v>42339</v>
      </c>
      <c r="B37" s="665" t="s">
        <v>670</v>
      </c>
      <c r="C37" s="639" t="s">
        <v>19</v>
      </c>
      <c r="D37" s="644">
        <v>25066638</v>
      </c>
      <c r="E37" s="643">
        <v>8689429</v>
      </c>
      <c r="F37" s="643">
        <v>7077423</v>
      </c>
      <c r="G37" s="643">
        <v>7159778</v>
      </c>
      <c r="H37" s="643">
        <v>2150000</v>
      </c>
      <c r="I37" s="643">
        <v>136932</v>
      </c>
      <c r="J37" s="643">
        <v>754129</v>
      </c>
      <c r="K37" s="644">
        <f t="shared" si="1"/>
        <v>25967691</v>
      </c>
      <c r="L37" s="643">
        <v>6330094</v>
      </c>
      <c r="M37" s="643">
        <v>0</v>
      </c>
      <c r="N37" s="644">
        <f t="shared" si="2"/>
        <v>6330094</v>
      </c>
      <c r="O37" s="643">
        <v>0</v>
      </c>
      <c r="P37" s="643">
        <v>0</v>
      </c>
      <c r="Q37" s="644">
        <f>IF($A37="","",IF(AND($C37="白金タクシー",$A37&gt;=DATE(2017,9,1)),ROUND(GETPIVOTDATA("合計 / タクシー運賃",【ピボット】事業所売上!$A$3,"年月",$A37,"事業所コード",$B37,"事業所",$C37)*5.1%,0),0))</f>
        <v>0</v>
      </c>
      <c r="R37" s="643">
        <v>0</v>
      </c>
      <c r="S37" s="643">
        <v>0</v>
      </c>
      <c r="T37" s="643">
        <v>0</v>
      </c>
      <c r="U37" s="644">
        <f t="shared" si="3"/>
        <v>0</v>
      </c>
      <c r="V37" s="643">
        <v>4094</v>
      </c>
      <c r="W37" s="643">
        <v>245115</v>
      </c>
      <c r="X37" s="643">
        <v>0</v>
      </c>
      <c r="Y37" s="643">
        <v>0</v>
      </c>
    </row>
    <row r="38" spans="1:25" x14ac:dyDescent="0.15">
      <c r="A38" s="642">
        <f t="shared" si="0"/>
        <v>42370</v>
      </c>
      <c r="B38" s="665" t="s">
        <v>670</v>
      </c>
      <c r="C38" s="639" t="s">
        <v>19</v>
      </c>
      <c r="D38" s="644">
        <v>24726456</v>
      </c>
      <c r="E38" s="643">
        <v>8181596</v>
      </c>
      <c r="F38" s="643">
        <v>6684531</v>
      </c>
      <c r="G38" s="643">
        <v>0</v>
      </c>
      <c r="H38" s="643">
        <v>2150000</v>
      </c>
      <c r="I38" s="643">
        <v>3791051</v>
      </c>
      <c r="J38" s="643">
        <v>157534</v>
      </c>
      <c r="K38" s="644">
        <f t="shared" si="1"/>
        <v>20964712</v>
      </c>
      <c r="L38" s="643">
        <v>5855995</v>
      </c>
      <c r="M38" s="643">
        <v>0</v>
      </c>
      <c r="N38" s="644">
        <f t="shared" si="2"/>
        <v>5855995</v>
      </c>
      <c r="O38" s="643">
        <v>0</v>
      </c>
      <c r="P38" s="643">
        <v>0</v>
      </c>
      <c r="Q38" s="644">
        <f>IF($A38="","",IF(AND($C38="白金タクシー",$A38&gt;=DATE(2017,9,1)),ROUND(GETPIVOTDATA("合計 / タクシー運賃",【ピボット】事業所売上!$A$3,"年月",$A38,"事業所コード",$B38,"事業所",$C38)*5.1%,0),0))</f>
        <v>0</v>
      </c>
      <c r="R38" s="643">
        <v>0</v>
      </c>
      <c r="S38" s="643">
        <v>0</v>
      </c>
      <c r="T38" s="643">
        <v>0</v>
      </c>
      <c r="U38" s="644">
        <f t="shared" si="3"/>
        <v>0</v>
      </c>
      <c r="V38" s="643">
        <v>24483</v>
      </c>
      <c r="W38" s="643">
        <v>185448</v>
      </c>
      <c r="X38" s="643">
        <v>0</v>
      </c>
      <c r="Y38" s="643">
        <v>0</v>
      </c>
    </row>
    <row r="39" spans="1:25" x14ac:dyDescent="0.15">
      <c r="A39" s="642">
        <f t="shared" si="0"/>
        <v>42401</v>
      </c>
      <c r="B39" s="665" t="s">
        <v>670</v>
      </c>
      <c r="C39" s="639" t="s">
        <v>19</v>
      </c>
      <c r="D39" s="644">
        <v>25728423</v>
      </c>
      <c r="E39" s="643">
        <v>8007802</v>
      </c>
      <c r="F39" s="643">
        <v>6664051</v>
      </c>
      <c r="G39" s="643">
        <v>0</v>
      </c>
      <c r="H39" s="643">
        <v>2150000</v>
      </c>
      <c r="I39" s="643">
        <v>1094134</v>
      </c>
      <c r="J39" s="643">
        <v>229776</v>
      </c>
      <c r="K39" s="644">
        <f t="shared" si="1"/>
        <v>18145763</v>
      </c>
      <c r="L39" s="643">
        <v>6303902</v>
      </c>
      <c r="M39" s="643">
        <v>0</v>
      </c>
      <c r="N39" s="644">
        <f t="shared" si="2"/>
        <v>6303902</v>
      </c>
      <c r="O39" s="643">
        <v>0</v>
      </c>
      <c r="P39" s="643">
        <v>0</v>
      </c>
      <c r="Q39" s="644">
        <f>IF($A39="","",IF(AND($C39="白金タクシー",$A39&gt;=DATE(2017,9,1)),ROUND(GETPIVOTDATA("合計 / タクシー運賃",【ピボット】事業所売上!$A$3,"年月",$A39,"事業所コード",$B39,"事業所",$C39)*5.1%,0),0))</f>
        <v>0</v>
      </c>
      <c r="R39" s="643">
        <v>0</v>
      </c>
      <c r="S39" s="643">
        <v>0</v>
      </c>
      <c r="T39" s="643">
        <v>0</v>
      </c>
      <c r="U39" s="644">
        <f t="shared" si="3"/>
        <v>0</v>
      </c>
      <c r="V39" s="643">
        <v>5406</v>
      </c>
      <c r="W39" s="643">
        <v>177994</v>
      </c>
      <c r="X39" s="643">
        <v>0</v>
      </c>
      <c r="Y39" s="643">
        <v>0</v>
      </c>
    </row>
    <row r="40" spans="1:25" x14ac:dyDescent="0.15">
      <c r="A40" s="642">
        <f t="shared" si="0"/>
        <v>42430</v>
      </c>
      <c r="B40" s="665" t="s">
        <v>670</v>
      </c>
      <c r="C40" s="639" t="s">
        <v>19</v>
      </c>
      <c r="D40" s="644">
        <v>28422503</v>
      </c>
      <c r="E40" s="643">
        <v>8183667</v>
      </c>
      <c r="F40" s="643">
        <v>6680143</v>
      </c>
      <c r="G40" s="643">
        <v>0</v>
      </c>
      <c r="H40" s="643">
        <v>2150000</v>
      </c>
      <c r="I40" s="643">
        <v>1056702</v>
      </c>
      <c r="J40" s="643">
        <v>137383</v>
      </c>
      <c r="K40" s="644">
        <f t="shared" si="1"/>
        <v>18207895</v>
      </c>
      <c r="L40" s="643">
        <v>6930716</v>
      </c>
      <c r="M40" s="643">
        <v>0</v>
      </c>
      <c r="N40" s="644">
        <f t="shared" si="2"/>
        <v>6930716</v>
      </c>
      <c r="O40" s="643">
        <v>0</v>
      </c>
      <c r="P40" s="643">
        <v>0</v>
      </c>
      <c r="Q40" s="644">
        <f>IF($A40="","",IF(AND($C40="白金タクシー",$A40&gt;=DATE(2017,9,1)),ROUND(GETPIVOTDATA("合計 / タクシー運賃",【ピボット】事業所売上!$A$3,"年月",$A40,"事業所コード",$B40,"事業所",$C40)*5.1%,0),0))</f>
        <v>0</v>
      </c>
      <c r="R40" s="643">
        <v>0</v>
      </c>
      <c r="S40" s="643">
        <v>0</v>
      </c>
      <c r="T40" s="643">
        <v>0</v>
      </c>
      <c r="U40" s="644">
        <f t="shared" si="3"/>
        <v>0</v>
      </c>
      <c r="V40" s="643">
        <v>220123</v>
      </c>
      <c r="W40" s="643">
        <v>168038</v>
      </c>
      <c r="X40" s="643">
        <v>0</v>
      </c>
      <c r="Y40" s="643">
        <v>0</v>
      </c>
    </row>
    <row r="41" spans="1:25" x14ac:dyDescent="0.15">
      <c r="A41" s="642">
        <f t="shared" si="0"/>
        <v>42461</v>
      </c>
      <c r="B41" s="665" t="s">
        <v>670</v>
      </c>
      <c r="C41" s="639" t="s">
        <v>19</v>
      </c>
      <c r="D41" s="644">
        <v>27348721</v>
      </c>
      <c r="E41" s="643">
        <v>7818980</v>
      </c>
      <c r="F41" s="643">
        <v>7593208</v>
      </c>
      <c r="G41" s="643">
        <v>0</v>
      </c>
      <c r="H41" s="643">
        <v>2150000</v>
      </c>
      <c r="I41" s="643">
        <v>1076053</v>
      </c>
      <c r="J41" s="643">
        <v>61551</v>
      </c>
      <c r="K41" s="644">
        <f t="shared" si="1"/>
        <v>18699792</v>
      </c>
      <c r="L41" s="643">
        <v>5942711</v>
      </c>
      <c r="M41" s="643">
        <v>0</v>
      </c>
      <c r="N41" s="644">
        <f t="shared" si="2"/>
        <v>5942711</v>
      </c>
      <c r="O41" s="643">
        <v>0</v>
      </c>
      <c r="P41" s="643">
        <v>0</v>
      </c>
      <c r="Q41" s="644">
        <f>IF($A41="","",IF(AND($C41="白金タクシー",$A41&gt;=DATE(2017,9,1)),ROUND(GETPIVOTDATA("合計 / タクシー運賃",【ピボット】事業所売上!$A$3,"年月",$A41,"事業所コード",$B41,"事業所",$C41)*5.1%,0),0))</f>
        <v>0</v>
      </c>
      <c r="R41" s="643">
        <v>0</v>
      </c>
      <c r="S41" s="643">
        <v>0</v>
      </c>
      <c r="T41" s="643">
        <v>0</v>
      </c>
      <c r="U41" s="644">
        <f t="shared" si="3"/>
        <v>0</v>
      </c>
      <c r="V41" s="643">
        <v>3631</v>
      </c>
      <c r="W41" s="643">
        <v>168798</v>
      </c>
      <c r="X41" s="643">
        <v>0</v>
      </c>
      <c r="Y41" s="643">
        <v>0</v>
      </c>
    </row>
    <row r="42" spans="1:25" x14ac:dyDescent="0.15">
      <c r="A42" s="642">
        <f t="shared" si="0"/>
        <v>42491</v>
      </c>
      <c r="B42" s="665" t="s">
        <v>670</v>
      </c>
      <c r="C42" s="639" t="s">
        <v>19</v>
      </c>
      <c r="D42" s="644">
        <v>28544663</v>
      </c>
      <c r="E42" s="643">
        <v>8507615</v>
      </c>
      <c r="F42" s="643">
        <v>7717245</v>
      </c>
      <c r="G42" s="643">
        <v>0</v>
      </c>
      <c r="H42" s="643">
        <v>2150000</v>
      </c>
      <c r="I42" s="643">
        <v>1323246</v>
      </c>
      <c r="J42" s="643">
        <v>54651</v>
      </c>
      <c r="K42" s="644">
        <f t="shared" si="1"/>
        <v>19752757</v>
      </c>
      <c r="L42" s="643">
        <v>6903595</v>
      </c>
      <c r="M42" s="643">
        <v>0</v>
      </c>
      <c r="N42" s="644">
        <f t="shared" si="2"/>
        <v>6903595</v>
      </c>
      <c r="O42" s="643">
        <v>0</v>
      </c>
      <c r="P42" s="643">
        <v>0</v>
      </c>
      <c r="Q42" s="644">
        <f>IF($A42="","",IF(AND($C42="白金タクシー",$A42&gt;=DATE(2017,9,1)),ROUND(GETPIVOTDATA("合計 / タクシー運賃",【ピボット】事業所売上!$A$3,"年月",$A42,"事業所コード",$B42,"事業所",$C42)*5.1%,0),0))</f>
        <v>0</v>
      </c>
      <c r="R42" s="643">
        <v>0</v>
      </c>
      <c r="S42" s="643">
        <v>0</v>
      </c>
      <c r="T42" s="643">
        <v>0</v>
      </c>
      <c r="U42" s="644">
        <f t="shared" si="3"/>
        <v>0</v>
      </c>
      <c r="V42" s="643">
        <v>585595</v>
      </c>
      <c r="W42" s="643">
        <v>172111</v>
      </c>
      <c r="X42" s="643">
        <v>0</v>
      </c>
      <c r="Y42" s="643">
        <v>0</v>
      </c>
    </row>
    <row r="43" spans="1:25" x14ac:dyDescent="0.15">
      <c r="A43" s="642">
        <f t="shared" si="0"/>
        <v>42522</v>
      </c>
      <c r="B43" s="665" t="s">
        <v>670</v>
      </c>
      <c r="C43" s="639" t="s">
        <v>19</v>
      </c>
      <c r="D43" s="644">
        <v>24559188</v>
      </c>
      <c r="E43" s="643">
        <v>8597952</v>
      </c>
      <c r="F43" s="643">
        <v>8092266</v>
      </c>
      <c r="G43" s="643">
        <v>9125386</v>
      </c>
      <c r="H43" s="643">
        <v>2150000</v>
      </c>
      <c r="I43" s="643">
        <v>2535230</v>
      </c>
      <c r="J43" s="643">
        <v>366066</v>
      </c>
      <c r="K43" s="644">
        <f t="shared" si="1"/>
        <v>30866900</v>
      </c>
      <c r="L43" s="643">
        <v>6511699</v>
      </c>
      <c r="M43" s="643">
        <v>0</v>
      </c>
      <c r="N43" s="644">
        <f t="shared" si="2"/>
        <v>6511699</v>
      </c>
      <c r="O43" s="643">
        <v>0</v>
      </c>
      <c r="P43" s="643">
        <v>0</v>
      </c>
      <c r="Q43" s="644">
        <f>IF($A43="","",IF(AND($C43="白金タクシー",$A43&gt;=DATE(2017,9,1)),ROUND(GETPIVOTDATA("合計 / タクシー運賃",【ピボット】事業所売上!$A$3,"年月",$A43,"事業所コード",$B43,"事業所",$C43)*5.1%,0),0))</f>
        <v>0</v>
      </c>
      <c r="R43" s="643">
        <v>0</v>
      </c>
      <c r="S43" s="643">
        <v>0</v>
      </c>
      <c r="T43" s="643">
        <v>0</v>
      </c>
      <c r="U43" s="644">
        <f t="shared" si="3"/>
        <v>0</v>
      </c>
      <c r="V43" s="643">
        <v>16801</v>
      </c>
      <c r="W43" s="643">
        <v>286789</v>
      </c>
      <c r="X43" s="643">
        <v>0</v>
      </c>
      <c r="Y43" s="643">
        <v>0</v>
      </c>
    </row>
    <row r="44" spans="1:25" x14ac:dyDescent="0.15">
      <c r="A44" s="642">
        <f t="shared" si="0"/>
        <v>42552</v>
      </c>
      <c r="B44" s="665" t="s">
        <v>670</v>
      </c>
      <c r="C44" s="639" t="s">
        <v>19</v>
      </c>
      <c r="D44" s="644">
        <v>30880551</v>
      </c>
      <c r="E44" s="643">
        <v>8310087</v>
      </c>
      <c r="F44" s="643">
        <v>8279471</v>
      </c>
      <c r="G44" s="643">
        <v>0</v>
      </c>
      <c r="H44" s="643">
        <v>2150000</v>
      </c>
      <c r="I44" s="643">
        <v>1854441</v>
      </c>
      <c r="J44" s="643">
        <v>176235</v>
      </c>
      <c r="K44" s="644">
        <f t="shared" si="1"/>
        <v>20770234</v>
      </c>
      <c r="L44" s="643">
        <v>7199649</v>
      </c>
      <c r="M44" s="643">
        <v>0</v>
      </c>
      <c r="N44" s="644">
        <f t="shared" si="2"/>
        <v>7199649</v>
      </c>
      <c r="O44" s="643">
        <v>0</v>
      </c>
      <c r="P44" s="643">
        <v>0</v>
      </c>
      <c r="Q44" s="644">
        <f>IF($A44="","",IF(AND($C44="白金タクシー",$A44&gt;=DATE(2017,9,1)),ROUND(GETPIVOTDATA("合計 / タクシー運賃",【ピボット】事業所売上!$A$3,"年月",$A44,"事業所コード",$B44,"事業所",$C44)*5.1%,0),0))</f>
        <v>0</v>
      </c>
      <c r="R44" s="643">
        <v>0</v>
      </c>
      <c r="S44" s="643">
        <v>0</v>
      </c>
      <c r="T44" s="643">
        <v>0</v>
      </c>
      <c r="U44" s="644">
        <f t="shared" si="3"/>
        <v>0</v>
      </c>
      <c r="V44" s="643">
        <v>6378</v>
      </c>
      <c r="W44" s="643">
        <v>518722</v>
      </c>
      <c r="X44" s="643">
        <v>0</v>
      </c>
      <c r="Y44" s="643">
        <v>0</v>
      </c>
    </row>
    <row r="45" spans="1:25" x14ac:dyDescent="0.15">
      <c r="A45" s="642">
        <f t="shared" si="0"/>
        <v>42583</v>
      </c>
      <c r="B45" s="665" t="s">
        <v>670</v>
      </c>
      <c r="C45" s="639" t="s">
        <v>19</v>
      </c>
      <c r="D45" s="644">
        <v>26366462</v>
      </c>
      <c r="E45" s="643">
        <v>8395958</v>
      </c>
      <c r="F45" s="643">
        <v>8514142</v>
      </c>
      <c r="G45" s="643">
        <v>0</v>
      </c>
      <c r="H45" s="643">
        <v>2150000</v>
      </c>
      <c r="I45" s="643">
        <v>1388481</v>
      </c>
      <c r="J45" s="643">
        <v>202388</v>
      </c>
      <c r="K45" s="644">
        <f t="shared" si="1"/>
        <v>20650969</v>
      </c>
      <c r="L45" s="643">
        <v>6610405</v>
      </c>
      <c r="M45" s="643">
        <v>0</v>
      </c>
      <c r="N45" s="644">
        <f t="shared" si="2"/>
        <v>6610405</v>
      </c>
      <c r="O45" s="643">
        <v>0</v>
      </c>
      <c r="P45" s="643">
        <v>0</v>
      </c>
      <c r="Q45" s="644">
        <f>IF($A45="","",IF(AND($C45="白金タクシー",$A45&gt;=DATE(2017,9,1)),ROUND(GETPIVOTDATA("合計 / タクシー運賃",【ピボット】事業所売上!$A$3,"年月",$A45,"事業所コード",$B45,"事業所",$C45)*5.1%,0),0))</f>
        <v>0</v>
      </c>
      <c r="R45" s="643">
        <v>0</v>
      </c>
      <c r="S45" s="643">
        <v>0</v>
      </c>
      <c r="T45" s="643">
        <v>0</v>
      </c>
      <c r="U45" s="644">
        <f t="shared" si="3"/>
        <v>0</v>
      </c>
      <c r="V45" s="643">
        <v>6962</v>
      </c>
      <c r="W45" s="643">
        <v>253070</v>
      </c>
      <c r="X45" s="643">
        <v>0</v>
      </c>
      <c r="Y45" s="643">
        <v>0</v>
      </c>
    </row>
    <row r="46" spans="1:25" x14ac:dyDescent="0.15">
      <c r="A46" s="642">
        <v>42614</v>
      </c>
      <c r="B46" s="640" t="str">
        <f t="shared" ref="B46:B109" ca="1" si="4">IF(C46="","",VLOOKUP(C46,事業所コード2,2,FALSE))</f>
        <v>00</v>
      </c>
      <c r="C46" s="639" t="s">
        <v>490</v>
      </c>
      <c r="D46" s="644">
        <f ca="1">IF(A46="","",IFERROR(GETPIVOTDATA("合計 / 合計",【ピボット】事業所売上!$A$3,"年月",$A46,"事業所コード",$B46,"事業所",$C46),0))</f>
        <v>33378</v>
      </c>
      <c r="E46" s="643">
        <v>53120</v>
      </c>
      <c r="F46" s="643">
        <v>1057500</v>
      </c>
      <c r="G46" s="643">
        <v>0</v>
      </c>
      <c r="H46" s="643">
        <v>2150000</v>
      </c>
      <c r="I46" s="643">
        <v>299261</v>
      </c>
      <c r="J46" s="643">
        <v>61781</v>
      </c>
      <c r="K46" s="644">
        <f t="shared" si="1"/>
        <v>3621662</v>
      </c>
      <c r="L46" s="643">
        <v>1592314</v>
      </c>
      <c r="M46" s="643">
        <v>0</v>
      </c>
      <c r="N46" s="644">
        <f t="shared" si="2"/>
        <v>1592314</v>
      </c>
      <c r="O46" s="643">
        <v>61781</v>
      </c>
      <c r="P46" s="643">
        <v>0</v>
      </c>
      <c r="Q46" s="644">
        <f>IF($A46="","",IF(AND($C46="白金タクシー",$A46&gt;=DATE(2017,9,1)),ROUND(GETPIVOTDATA("合計 / タクシー運賃",【ピボット】事業所売上!$A$3,"年月",$A46,"事業所コード",$B46,"事業所",$C46)*5.1%,0),0))</f>
        <v>0</v>
      </c>
      <c r="R46" s="643">
        <v>0</v>
      </c>
      <c r="S46" s="643">
        <v>0</v>
      </c>
      <c r="T46" s="643">
        <v>0</v>
      </c>
      <c r="U46" s="644">
        <f t="shared" si="3"/>
        <v>0</v>
      </c>
      <c r="V46" s="643">
        <v>31120</v>
      </c>
      <c r="W46" s="643">
        <v>157516</v>
      </c>
      <c r="X46" s="643">
        <v>0</v>
      </c>
      <c r="Y46" s="643">
        <v>0</v>
      </c>
    </row>
    <row r="47" spans="1:25" x14ac:dyDescent="0.15">
      <c r="A47" s="642">
        <v>42614</v>
      </c>
      <c r="B47" s="640" t="str">
        <f t="shared" ca="1" si="4"/>
        <v>01</v>
      </c>
      <c r="C47" s="639" t="s">
        <v>34</v>
      </c>
      <c r="D47" s="644">
        <f ca="1">IF(A47="","",IFERROR(GETPIVOTDATA("合計 / 合計",【ピボット】事業所売上!$A$3,"年月",$A47,"事業所コード",$B47,"事業所",$C47),0))</f>
        <v>7909919</v>
      </c>
      <c r="E47" s="643">
        <v>3105095</v>
      </c>
      <c r="F47" s="643">
        <v>2077446</v>
      </c>
      <c r="G47" s="643">
        <v>0</v>
      </c>
      <c r="H47" s="643">
        <v>0</v>
      </c>
      <c r="I47" s="643">
        <v>262874</v>
      </c>
      <c r="J47" s="643">
        <v>304363</v>
      </c>
      <c r="K47" s="644">
        <f t="shared" si="1"/>
        <v>5749778</v>
      </c>
      <c r="L47" s="643">
        <v>787378</v>
      </c>
      <c r="M47" s="643">
        <v>0</v>
      </c>
      <c r="N47" s="644">
        <f t="shared" si="2"/>
        <v>787378</v>
      </c>
      <c r="O47" s="643">
        <v>82200</v>
      </c>
      <c r="P47" s="643">
        <v>0</v>
      </c>
      <c r="Q47" s="644">
        <f>IF($A47="","",IF(AND($C47="白金タクシー",$A47&gt;=DATE(2017,9,1)),ROUND(GETPIVOTDATA("合計 / タクシー運賃",【ピボット】事業所売上!$A$3,"年月",$A47,"事業所コード",$B47,"事業所",$C47)*5.1%,0),0))</f>
        <v>0</v>
      </c>
      <c r="R47" s="643">
        <v>0</v>
      </c>
      <c r="S47" s="643">
        <v>0</v>
      </c>
      <c r="T47" s="643">
        <v>0</v>
      </c>
      <c r="U47" s="644">
        <f t="shared" si="3"/>
        <v>0</v>
      </c>
      <c r="V47" s="643">
        <v>0</v>
      </c>
      <c r="W47" s="643">
        <v>0</v>
      </c>
      <c r="X47" s="643">
        <v>0</v>
      </c>
      <c r="Y47" s="643">
        <v>0</v>
      </c>
    </row>
    <row r="48" spans="1:25" x14ac:dyDescent="0.15">
      <c r="A48" s="642">
        <v>42614</v>
      </c>
      <c r="B48" s="640" t="str">
        <f t="shared" ca="1" si="4"/>
        <v>02</v>
      </c>
      <c r="C48" s="639" t="s">
        <v>37</v>
      </c>
      <c r="D48" s="644">
        <f ca="1">IF(A48="","",IFERROR(GETPIVOTDATA("合計 / 合計",【ピボット】事業所売上!$A$3,"年月",$A48,"事業所コード",$B48,"事業所",$C48),0))</f>
        <v>5106712</v>
      </c>
      <c r="E48" s="643">
        <v>1745842</v>
      </c>
      <c r="F48" s="643">
        <v>1500937</v>
      </c>
      <c r="G48" s="643">
        <v>0</v>
      </c>
      <c r="H48" s="643">
        <v>0</v>
      </c>
      <c r="I48" s="643">
        <v>206100</v>
      </c>
      <c r="J48" s="643">
        <v>6804</v>
      </c>
      <c r="K48" s="644">
        <f t="shared" si="1"/>
        <v>3459683</v>
      </c>
      <c r="L48" s="643">
        <v>940043</v>
      </c>
      <c r="M48" s="643">
        <v>0</v>
      </c>
      <c r="N48" s="644">
        <f t="shared" si="2"/>
        <v>940043</v>
      </c>
      <c r="O48" s="643">
        <v>6804</v>
      </c>
      <c r="P48" s="643">
        <v>0</v>
      </c>
      <c r="Q48" s="644">
        <f>IF($A48="","",IF(AND($C48="白金タクシー",$A48&gt;=DATE(2017,9,1)),ROUND(GETPIVOTDATA("合計 / タクシー運賃",【ピボット】事業所売上!$A$3,"年月",$A48,"事業所コード",$B48,"事業所",$C48)*5.1%,0),0))</f>
        <v>0</v>
      </c>
      <c r="R48" s="643">
        <v>0</v>
      </c>
      <c r="S48" s="643">
        <v>0</v>
      </c>
      <c r="T48" s="643">
        <v>0</v>
      </c>
      <c r="U48" s="644">
        <f t="shared" si="3"/>
        <v>0</v>
      </c>
      <c r="V48" s="643">
        <v>0</v>
      </c>
      <c r="W48" s="643">
        <v>0</v>
      </c>
      <c r="X48" s="643">
        <v>0</v>
      </c>
      <c r="Y48" s="643">
        <v>0</v>
      </c>
    </row>
    <row r="49" spans="1:25" x14ac:dyDescent="0.15">
      <c r="A49" s="642">
        <v>42614</v>
      </c>
      <c r="B49" s="640" t="str">
        <f t="shared" ca="1" si="4"/>
        <v>03</v>
      </c>
      <c r="C49" s="639" t="s">
        <v>66</v>
      </c>
      <c r="D49" s="644">
        <f ca="1">IF(A49="","",IFERROR(GETPIVOTDATA("合計 / 合計",【ピボット】事業所売上!$A$3,"年月",$A49,"事業所コード",$B49,"事業所",$C49),0))</f>
        <v>3357278</v>
      </c>
      <c r="E49" s="643">
        <v>797842</v>
      </c>
      <c r="F49" s="643">
        <v>1641820</v>
      </c>
      <c r="G49" s="643">
        <v>0</v>
      </c>
      <c r="H49" s="643">
        <v>0</v>
      </c>
      <c r="I49" s="643">
        <v>234228</v>
      </c>
      <c r="J49" s="643">
        <v>83144</v>
      </c>
      <c r="K49" s="644">
        <f t="shared" si="1"/>
        <v>2757034</v>
      </c>
      <c r="L49" s="643">
        <v>684635</v>
      </c>
      <c r="M49" s="643">
        <v>0</v>
      </c>
      <c r="N49" s="644">
        <f t="shared" si="2"/>
        <v>684635</v>
      </c>
      <c r="O49" s="643">
        <v>65340</v>
      </c>
      <c r="P49" s="643">
        <v>0</v>
      </c>
      <c r="Q49" s="644">
        <f>IF($A49="","",IF(AND($C49="白金タクシー",$A49&gt;=DATE(2017,9,1)),ROUND(GETPIVOTDATA("合計 / タクシー運賃",【ピボット】事業所売上!$A$3,"年月",$A49,"事業所コード",$B49,"事業所",$C49)*5.1%,0),0))</f>
        <v>0</v>
      </c>
      <c r="R49" s="643">
        <v>0</v>
      </c>
      <c r="S49" s="643">
        <v>0</v>
      </c>
      <c r="T49" s="643">
        <v>0</v>
      </c>
      <c r="U49" s="644">
        <f t="shared" si="3"/>
        <v>0</v>
      </c>
      <c r="V49" s="643">
        <v>0</v>
      </c>
      <c r="W49" s="643">
        <v>0</v>
      </c>
      <c r="X49" s="643">
        <v>0</v>
      </c>
      <c r="Y49" s="643">
        <v>0</v>
      </c>
    </row>
    <row r="50" spans="1:25" x14ac:dyDescent="0.15">
      <c r="A50" s="642">
        <v>42614</v>
      </c>
      <c r="B50" s="640" t="str">
        <f t="shared" ca="1" si="4"/>
        <v>04</v>
      </c>
      <c r="C50" s="639" t="s">
        <v>358</v>
      </c>
      <c r="D50" s="644">
        <f ca="1">IF(A50="","",IFERROR(GETPIVOTDATA("合計 / 合計",【ピボット】事業所売上!$A$3,"年月",$A50,"事業所コード",$B50,"事業所",$C50),0))</f>
        <v>2650334</v>
      </c>
      <c r="E50" s="643">
        <v>554852</v>
      </c>
      <c r="F50" s="643">
        <v>725298</v>
      </c>
      <c r="G50" s="643">
        <v>0</v>
      </c>
      <c r="H50" s="643">
        <v>0</v>
      </c>
      <c r="I50" s="643">
        <v>81413</v>
      </c>
      <c r="J50" s="643">
        <v>92502</v>
      </c>
      <c r="K50" s="644">
        <f t="shared" si="1"/>
        <v>1454065</v>
      </c>
      <c r="L50" s="643">
        <v>1034975</v>
      </c>
      <c r="M50" s="643">
        <v>0</v>
      </c>
      <c r="N50" s="644">
        <f t="shared" si="2"/>
        <v>1034975</v>
      </c>
      <c r="O50" s="643">
        <v>92502</v>
      </c>
      <c r="P50" s="643">
        <v>0</v>
      </c>
      <c r="Q50" s="644">
        <f>IF($A50="","",IF(AND($C50="白金タクシー",$A50&gt;=DATE(2017,9,1)),ROUND(GETPIVOTDATA("合計 / タクシー運賃",【ピボット】事業所売上!$A$3,"年月",$A50,"事業所コード",$B50,"事業所",$C50)*5.1%,0),0))</f>
        <v>0</v>
      </c>
      <c r="R50" s="643">
        <v>0</v>
      </c>
      <c r="S50" s="643">
        <v>0</v>
      </c>
      <c r="T50" s="643">
        <v>0</v>
      </c>
      <c r="U50" s="644">
        <f t="shared" si="3"/>
        <v>0</v>
      </c>
      <c r="V50" s="643">
        <v>0</v>
      </c>
      <c r="W50" s="643">
        <v>0</v>
      </c>
      <c r="X50" s="643">
        <v>0</v>
      </c>
      <c r="Y50" s="643">
        <v>0</v>
      </c>
    </row>
    <row r="51" spans="1:25" x14ac:dyDescent="0.15">
      <c r="A51" s="642">
        <v>42614</v>
      </c>
      <c r="B51" s="640" t="str">
        <f t="shared" ca="1" si="4"/>
        <v>05</v>
      </c>
      <c r="C51" s="639" t="s">
        <v>38</v>
      </c>
      <c r="D51" s="644">
        <f ca="1">IF(A51="","",IFERROR(GETPIVOTDATA("合計 / 合計",【ピボット】事業所売上!$A$3,"年月",$A51,"事業所コード",$B51,"事業所",$C51),0))</f>
        <v>2368400</v>
      </c>
      <c r="E51" s="643">
        <v>769854</v>
      </c>
      <c r="F51" s="643">
        <v>255000</v>
      </c>
      <c r="G51" s="643">
        <v>0</v>
      </c>
      <c r="H51" s="643">
        <v>0</v>
      </c>
      <c r="I51" s="643">
        <v>56330</v>
      </c>
      <c r="J51" s="643">
        <v>75168</v>
      </c>
      <c r="K51" s="644">
        <f t="shared" si="1"/>
        <v>1156352</v>
      </c>
      <c r="L51" s="643">
        <v>474868</v>
      </c>
      <c r="M51" s="643">
        <v>0</v>
      </c>
      <c r="N51" s="644">
        <f t="shared" si="2"/>
        <v>474868</v>
      </c>
      <c r="O51" s="643">
        <v>0</v>
      </c>
      <c r="P51" s="643">
        <v>0</v>
      </c>
      <c r="Q51" s="644">
        <f>IF($A51="","",IF(AND($C51="白金タクシー",$A51&gt;=DATE(2017,9,1)),ROUND(GETPIVOTDATA("合計 / タクシー運賃",【ピボット】事業所売上!$A$3,"年月",$A51,"事業所コード",$B51,"事業所",$C51)*5.1%,0),0))</f>
        <v>0</v>
      </c>
      <c r="R51" s="643">
        <v>0</v>
      </c>
      <c r="S51" s="643">
        <v>0</v>
      </c>
      <c r="T51" s="643">
        <v>0</v>
      </c>
      <c r="U51" s="644">
        <f t="shared" si="3"/>
        <v>0</v>
      </c>
      <c r="V51" s="643">
        <v>0</v>
      </c>
      <c r="W51" s="643">
        <v>0</v>
      </c>
      <c r="X51" s="643">
        <v>0</v>
      </c>
      <c r="Y51" s="643">
        <v>0</v>
      </c>
    </row>
    <row r="52" spans="1:25" x14ac:dyDescent="0.15">
      <c r="A52" s="642">
        <v>42614</v>
      </c>
      <c r="B52" s="640" t="str">
        <f t="shared" ca="1" si="4"/>
        <v>06</v>
      </c>
      <c r="C52" s="639" t="s">
        <v>57</v>
      </c>
      <c r="D52" s="644">
        <f ca="1">IF(A52="","",IFERROR(GETPIVOTDATA("合計 / 合計",【ピボット】事業所売上!$A$3,"年月",$A52,"事業所コード",$B52,"事業所",$C52),0))</f>
        <v>953864</v>
      </c>
      <c r="E52" s="643">
        <v>437428</v>
      </c>
      <c r="F52" s="643">
        <v>285000</v>
      </c>
      <c r="G52" s="643">
        <v>0</v>
      </c>
      <c r="H52" s="643">
        <v>0</v>
      </c>
      <c r="I52" s="643">
        <v>32631</v>
      </c>
      <c r="J52" s="643">
        <v>49734</v>
      </c>
      <c r="K52" s="644">
        <f t="shared" si="1"/>
        <v>804793</v>
      </c>
      <c r="L52" s="643">
        <v>327145</v>
      </c>
      <c r="M52" s="643">
        <v>0</v>
      </c>
      <c r="N52" s="644">
        <f t="shared" si="2"/>
        <v>327145</v>
      </c>
      <c r="O52" s="643">
        <v>0</v>
      </c>
      <c r="P52" s="643">
        <v>0</v>
      </c>
      <c r="Q52" s="644">
        <f>IF($A52="","",IF(AND($C52="白金タクシー",$A52&gt;=DATE(2017,9,1)),ROUND(GETPIVOTDATA("合計 / タクシー運賃",【ピボット】事業所売上!$A$3,"年月",$A52,"事業所コード",$B52,"事業所",$C52)*5.1%,0),0))</f>
        <v>0</v>
      </c>
      <c r="R52" s="643">
        <v>0</v>
      </c>
      <c r="S52" s="643">
        <v>0</v>
      </c>
      <c r="T52" s="643">
        <v>0</v>
      </c>
      <c r="U52" s="644">
        <f t="shared" si="3"/>
        <v>0</v>
      </c>
      <c r="V52" s="643">
        <v>0</v>
      </c>
      <c r="W52" s="643">
        <v>0</v>
      </c>
      <c r="X52" s="643">
        <v>0</v>
      </c>
      <c r="Y52" s="643">
        <v>0</v>
      </c>
    </row>
    <row r="53" spans="1:25" x14ac:dyDescent="0.15">
      <c r="A53" s="642">
        <v>42614</v>
      </c>
      <c r="B53" s="640" t="str">
        <f t="shared" ca="1" si="4"/>
        <v>07</v>
      </c>
      <c r="C53" s="639" t="s">
        <v>119</v>
      </c>
      <c r="D53" s="644">
        <f ca="1">IF(A53="","",IFERROR(GETPIVOTDATA("合計 / 合計",【ピボット】事業所売上!$A$3,"年月",$A53,"事業所コード",$B53,"事業所",$C53),0))</f>
        <v>763437</v>
      </c>
      <c r="E53" s="643">
        <v>347984</v>
      </c>
      <c r="F53" s="643">
        <v>0</v>
      </c>
      <c r="G53" s="643">
        <v>0</v>
      </c>
      <c r="H53" s="643">
        <v>0</v>
      </c>
      <c r="I53" s="643">
        <v>19954</v>
      </c>
      <c r="J53" s="643">
        <v>25434</v>
      </c>
      <c r="K53" s="644">
        <f t="shared" si="1"/>
        <v>393372</v>
      </c>
      <c r="L53" s="643">
        <v>144031</v>
      </c>
      <c r="M53" s="643">
        <v>0</v>
      </c>
      <c r="N53" s="644">
        <f t="shared" si="2"/>
        <v>144031</v>
      </c>
      <c r="O53" s="643">
        <v>0</v>
      </c>
      <c r="P53" s="643">
        <v>0</v>
      </c>
      <c r="Q53" s="644">
        <f>IF($A53="","",IF(AND($C53="白金タクシー",$A53&gt;=DATE(2017,9,1)),ROUND(GETPIVOTDATA("合計 / タクシー運賃",【ピボット】事業所売上!$A$3,"年月",$A53,"事業所コード",$B53,"事業所",$C53)*5.1%,0),0))</f>
        <v>0</v>
      </c>
      <c r="R53" s="643">
        <v>0</v>
      </c>
      <c r="S53" s="643">
        <v>0</v>
      </c>
      <c r="T53" s="643">
        <v>0</v>
      </c>
      <c r="U53" s="644">
        <f t="shared" si="3"/>
        <v>0</v>
      </c>
      <c r="V53" s="643">
        <v>0</v>
      </c>
      <c r="W53" s="643">
        <v>0</v>
      </c>
      <c r="X53" s="643">
        <v>0</v>
      </c>
      <c r="Y53" s="643">
        <v>0</v>
      </c>
    </row>
    <row r="54" spans="1:25" x14ac:dyDescent="0.15">
      <c r="A54" s="642">
        <v>42614</v>
      </c>
      <c r="B54" s="640" t="str">
        <f t="shared" ca="1" si="4"/>
        <v>08</v>
      </c>
      <c r="C54" s="639" t="s">
        <v>189</v>
      </c>
      <c r="D54" s="644">
        <f ca="1">IF(A54="","",IFERROR(GETPIVOTDATA("合計 / 合計",【ピボット】事業所売上!$A$3,"年月",$A54,"事業所コード",$B54,"事業所",$C54),0))</f>
        <v>827148</v>
      </c>
      <c r="E54" s="643">
        <v>309118</v>
      </c>
      <c r="F54" s="643">
        <v>0</v>
      </c>
      <c r="G54" s="643">
        <v>0</v>
      </c>
      <c r="H54" s="643">
        <v>0</v>
      </c>
      <c r="I54" s="643">
        <v>0</v>
      </c>
      <c r="J54" s="643">
        <v>24300</v>
      </c>
      <c r="K54" s="644">
        <f t="shared" si="1"/>
        <v>333418</v>
      </c>
      <c r="L54" s="643">
        <v>296175</v>
      </c>
      <c r="M54" s="643">
        <v>0</v>
      </c>
      <c r="N54" s="644">
        <f t="shared" si="2"/>
        <v>296175</v>
      </c>
      <c r="O54" s="643">
        <v>0</v>
      </c>
      <c r="P54" s="643">
        <v>0</v>
      </c>
      <c r="Q54" s="644">
        <f>IF($A54="","",IF(AND($C54="白金タクシー",$A54&gt;=DATE(2017,9,1)),ROUND(GETPIVOTDATA("合計 / タクシー運賃",【ピボット】事業所売上!$A$3,"年月",$A54,"事業所コード",$B54,"事業所",$C54)*5.1%,0),0))</f>
        <v>0</v>
      </c>
      <c r="R54" s="643">
        <v>0</v>
      </c>
      <c r="S54" s="643">
        <v>0</v>
      </c>
      <c r="T54" s="643">
        <v>0</v>
      </c>
      <c r="U54" s="644">
        <f t="shared" si="3"/>
        <v>0</v>
      </c>
      <c r="V54" s="643">
        <v>0</v>
      </c>
      <c r="W54" s="643">
        <v>0</v>
      </c>
      <c r="X54" s="643">
        <v>0</v>
      </c>
      <c r="Y54" s="643">
        <v>0</v>
      </c>
    </row>
    <row r="55" spans="1:25" x14ac:dyDescent="0.15">
      <c r="A55" s="642">
        <v>42614</v>
      </c>
      <c r="B55" s="640" t="str">
        <f t="shared" ca="1" si="4"/>
        <v>10</v>
      </c>
      <c r="C55" s="639" t="s">
        <v>336</v>
      </c>
      <c r="D55" s="644">
        <f ca="1">IF(A55="","",IFERROR(GETPIVOTDATA("合計 / 合計",【ピボット】事業所売上!$A$3,"年月",$A55,"事業所コード",$B55,"事業所",$C55),0))</f>
        <v>2593975</v>
      </c>
      <c r="E55" s="643">
        <v>300106</v>
      </c>
      <c r="F55" s="643">
        <v>1008502</v>
      </c>
      <c r="G55" s="643">
        <v>0</v>
      </c>
      <c r="H55" s="643">
        <v>0</v>
      </c>
      <c r="I55" s="643">
        <v>94924</v>
      </c>
      <c r="J55" s="643">
        <v>75581</v>
      </c>
      <c r="K55" s="644">
        <f t="shared" si="1"/>
        <v>1479113</v>
      </c>
      <c r="L55" s="643">
        <v>894653</v>
      </c>
      <c r="M55" s="643">
        <v>0</v>
      </c>
      <c r="N55" s="644">
        <f t="shared" si="2"/>
        <v>894653</v>
      </c>
      <c r="O55" s="643">
        <v>1200</v>
      </c>
      <c r="P55" s="643">
        <v>0</v>
      </c>
      <c r="Q55" s="644">
        <f>IF($A55="","",IF(AND($C55="白金タクシー",$A55&gt;=DATE(2017,9,1)),ROUND(GETPIVOTDATA("合計 / タクシー運賃",【ピボット】事業所売上!$A$3,"年月",$A55,"事業所コード",$B55,"事業所",$C55)*5.1%,0),0))</f>
        <v>0</v>
      </c>
      <c r="R55" s="643">
        <v>0</v>
      </c>
      <c r="S55" s="643">
        <v>0</v>
      </c>
      <c r="T55" s="643">
        <v>0</v>
      </c>
      <c r="U55" s="644">
        <f t="shared" si="3"/>
        <v>0</v>
      </c>
      <c r="V55" s="643">
        <v>0</v>
      </c>
      <c r="W55" s="643">
        <v>0</v>
      </c>
      <c r="X55" s="643">
        <v>0</v>
      </c>
      <c r="Y55" s="643">
        <v>0</v>
      </c>
    </row>
    <row r="56" spans="1:25" x14ac:dyDescent="0.15">
      <c r="A56" s="642">
        <f>EDATE(A55,1)</f>
        <v>42644</v>
      </c>
      <c r="B56" s="640" t="str">
        <f t="shared" ca="1" si="4"/>
        <v>00</v>
      </c>
      <c r="C56" s="639" t="s">
        <v>490</v>
      </c>
      <c r="D56" s="644">
        <f ca="1">IF(A56="","",IFERROR(GETPIVOTDATA("合計 / 合計",【ピボット】事業所売上!$A$3,"年月",$A56,"事業所コード",$B56,"事業所",$C56),0))</f>
        <v>0</v>
      </c>
      <c r="E56" s="643">
        <v>57800</v>
      </c>
      <c r="F56" s="643">
        <v>1059021</v>
      </c>
      <c r="G56" s="643">
        <v>0</v>
      </c>
      <c r="H56" s="643">
        <v>2000000</v>
      </c>
      <c r="I56" s="643">
        <v>307343</v>
      </c>
      <c r="J56" s="643">
        <v>7920</v>
      </c>
      <c r="K56" s="644">
        <f t="shared" si="1"/>
        <v>3432084</v>
      </c>
      <c r="L56" s="643">
        <v>1773051</v>
      </c>
      <c r="M56" s="643">
        <v>0</v>
      </c>
      <c r="N56" s="644">
        <f t="shared" si="2"/>
        <v>1773051</v>
      </c>
      <c r="O56" s="643">
        <v>7920</v>
      </c>
      <c r="P56" s="643">
        <v>0</v>
      </c>
      <c r="Q56" s="644">
        <f>IF($A56="","",IF(AND($C56="白金タクシー",$A56&gt;=DATE(2017,9,1)),ROUND(GETPIVOTDATA("合計 / タクシー運賃",【ピボット】事業所売上!$A$3,"年月",$A56,"事業所コード",$B56,"事業所",$C56)*5.1%,0),0))</f>
        <v>0</v>
      </c>
      <c r="R56" s="643">
        <v>0</v>
      </c>
      <c r="S56" s="643">
        <v>0</v>
      </c>
      <c r="T56" s="643">
        <v>0</v>
      </c>
      <c r="U56" s="644">
        <f t="shared" si="3"/>
        <v>0</v>
      </c>
      <c r="V56" s="643">
        <v>9910</v>
      </c>
      <c r="W56" s="643">
        <v>181403</v>
      </c>
      <c r="X56" s="643">
        <v>0</v>
      </c>
      <c r="Y56" s="643">
        <v>0</v>
      </c>
    </row>
    <row r="57" spans="1:25" x14ac:dyDescent="0.15">
      <c r="A57" s="642">
        <v>42644</v>
      </c>
      <c r="B57" s="640" t="str">
        <f t="shared" ca="1" si="4"/>
        <v>01</v>
      </c>
      <c r="C57" s="639" t="s">
        <v>34</v>
      </c>
      <c r="D57" s="644">
        <f ca="1">IF(A57="","",IFERROR(GETPIVOTDATA("合計 / 合計",【ピボット】事業所売上!$A$3,"年月",$A57,"事業所コード",$B57,"事業所",$C57),0))</f>
        <v>10193208</v>
      </c>
      <c r="E57" s="643">
        <v>2853709</v>
      </c>
      <c r="F57" s="643">
        <v>1886464</v>
      </c>
      <c r="G57" s="643">
        <v>0</v>
      </c>
      <c r="H57" s="643">
        <v>0</v>
      </c>
      <c r="I57" s="643">
        <v>376393</v>
      </c>
      <c r="J57" s="643">
        <v>4510</v>
      </c>
      <c r="K57" s="644">
        <f t="shared" si="1"/>
        <v>5121076</v>
      </c>
      <c r="L57" s="643">
        <v>676912</v>
      </c>
      <c r="M57" s="643">
        <v>0</v>
      </c>
      <c r="N57" s="644">
        <f t="shared" si="2"/>
        <v>676912</v>
      </c>
      <c r="O57" s="643">
        <v>0</v>
      </c>
      <c r="P57" s="643">
        <v>0</v>
      </c>
      <c r="Q57" s="644">
        <f>IF($A57="","",IF(AND($C57="白金タクシー",$A57&gt;=DATE(2017,9,1)),ROUND(GETPIVOTDATA("合計 / タクシー運賃",【ピボット】事業所売上!$A$3,"年月",$A57,"事業所コード",$B57,"事業所",$C57)*5.1%,0),0))</f>
        <v>0</v>
      </c>
      <c r="R57" s="643">
        <v>0</v>
      </c>
      <c r="S57" s="643">
        <v>0</v>
      </c>
      <c r="T57" s="643">
        <v>0</v>
      </c>
      <c r="U57" s="644">
        <f t="shared" si="3"/>
        <v>0</v>
      </c>
      <c r="V57" s="643">
        <v>0</v>
      </c>
      <c r="W57" s="643">
        <v>0</v>
      </c>
      <c r="X57" s="643">
        <v>0</v>
      </c>
      <c r="Y57" s="643">
        <v>0</v>
      </c>
    </row>
    <row r="58" spans="1:25" x14ac:dyDescent="0.15">
      <c r="A58" s="642">
        <v>42644</v>
      </c>
      <c r="B58" s="640" t="str">
        <f t="shared" ca="1" si="4"/>
        <v>02</v>
      </c>
      <c r="C58" s="639" t="s">
        <v>37</v>
      </c>
      <c r="D58" s="644">
        <f ca="1">IF(A58="","",IFERROR(GETPIVOTDATA("合計 / 合計",【ピボット】事業所売上!$A$3,"年月",$A58,"事業所コード",$B58,"事業所",$C58),0))</f>
        <v>5296277</v>
      </c>
      <c r="E58" s="643">
        <v>1440239</v>
      </c>
      <c r="F58" s="643">
        <v>1494394</v>
      </c>
      <c r="G58" s="643">
        <v>0</v>
      </c>
      <c r="H58" s="643">
        <v>0</v>
      </c>
      <c r="I58" s="643">
        <v>322841</v>
      </c>
      <c r="J58" s="643">
        <v>118119</v>
      </c>
      <c r="K58" s="644">
        <f t="shared" si="1"/>
        <v>3375593</v>
      </c>
      <c r="L58" s="643">
        <v>726913</v>
      </c>
      <c r="M58" s="643">
        <v>0</v>
      </c>
      <c r="N58" s="644">
        <f t="shared" si="2"/>
        <v>726913</v>
      </c>
      <c r="O58" s="643">
        <v>124923</v>
      </c>
      <c r="P58" s="643">
        <v>0</v>
      </c>
      <c r="Q58" s="644">
        <f>IF($A58="","",IF(AND($C58="白金タクシー",$A58&gt;=DATE(2017,9,1)),ROUND(GETPIVOTDATA("合計 / タクシー運賃",【ピボット】事業所売上!$A$3,"年月",$A58,"事業所コード",$B58,"事業所",$C58)*5.1%,0),0))</f>
        <v>0</v>
      </c>
      <c r="R58" s="643">
        <v>0</v>
      </c>
      <c r="S58" s="643">
        <v>0</v>
      </c>
      <c r="T58" s="643">
        <v>0</v>
      </c>
      <c r="U58" s="644">
        <f t="shared" si="3"/>
        <v>0</v>
      </c>
      <c r="V58" s="643">
        <v>0</v>
      </c>
      <c r="W58" s="643">
        <v>0</v>
      </c>
      <c r="X58" s="643">
        <v>0</v>
      </c>
      <c r="Y58" s="643">
        <v>0</v>
      </c>
    </row>
    <row r="59" spans="1:25" x14ac:dyDescent="0.15">
      <c r="A59" s="642">
        <v>42644</v>
      </c>
      <c r="B59" s="640" t="str">
        <f t="shared" ca="1" si="4"/>
        <v>03</v>
      </c>
      <c r="C59" s="639" t="s">
        <v>66</v>
      </c>
      <c r="D59" s="644">
        <f ca="1">IF(A59="","",IFERROR(GETPIVOTDATA("合計 / 合計",【ピボット】事業所売上!$A$3,"年月",$A59,"事業所コード",$B59,"事業所",$C59),0))</f>
        <v>4036005</v>
      </c>
      <c r="E59" s="643">
        <v>887740</v>
      </c>
      <c r="F59" s="643">
        <v>1675109</v>
      </c>
      <c r="G59" s="643">
        <v>0</v>
      </c>
      <c r="H59" s="643">
        <v>0</v>
      </c>
      <c r="I59" s="643">
        <v>367052</v>
      </c>
      <c r="J59" s="643">
        <v>31218</v>
      </c>
      <c r="K59" s="644">
        <f t="shared" si="1"/>
        <v>2961119</v>
      </c>
      <c r="L59" s="643">
        <v>604473</v>
      </c>
      <c r="M59" s="643">
        <v>0</v>
      </c>
      <c r="N59" s="644">
        <f t="shared" si="2"/>
        <v>604473</v>
      </c>
      <c r="O59" s="643">
        <v>0</v>
      </c>
      <c r="P59" s="643">
        <v>0</v>
      </c>
      <c r="Q59" s="644">
        <f>IF($A59="","",IF(AND($C59="白金タクシー",$A59&gt;=DATE(2017,9,1)),ROUND(GETPIVOTDATA("合計 / タクシー運賃",【ピボット】事業所売上!$A$3,"年月",$A59,"事業所コード",$B59,"事業所",$C59)*5.1%,0),0))</f>
        <v>0</v>
      </c>
      <c r="R59" s="643">
        <v>0</v>
      </c>
      <c r="S59" s="643">
        <v>0</v>
      </c>
      <c r="T59" s="643">
        <v>0</v>
      </c>
      <c r="U59" s="644">
        <f t="shared" si="3"/>
        <v>0</v>
      </c>
      <c r="V59" s="643">
        <v>0</v>
      </c>
      <c r="W59" s="643">
        <v>0</v>
      </c>
      <c r="X59" s="643">
        <v>0</v>
      </c>
      <c r="Y59" s="643">
        <v>0</v>
      </c>
    </row>
    <row r="60" spans="1:25" x14ac:dyDescent="0.15">
      <c r="A60" s="642">
        <v>42644</v>
      </c>
      <c r="B60" s="640" t="str">
        <f t="shared" ca="1" si="4"/>
        <v>04</v>
      </c>
      <c r="C60" s="639" t="s">
        <v>358</v>
      </c>
      <c r="D60" s="644">
        <f ca="1">IF(A60="","",IFERROR(GETPIVOTDATA("合計 / 合計",【ピボット】事業所売上!$A$3,"年月",$A60,"事業所コード",$B60,"事業所",$C60),0))</f>
        <v>2468490</v>
      </c>
      <c r="E60" s="643">
        <v>556207</v>
      </c>
      <c r="F60" s="643">
        <v>687663</v>
      </c>
      <c r="G60" s="643">
        <v>0</v>
      </c>
      <c r="H60" s="643">
        <v>0</v>
      </c>
      <c r="I60" s="643">
        <v>127323</v>
      </c>
      <c r="J60" s="643">
        <v>3402</v>
      </c>
      <c r="K60" s="644">
        <f t="shared" si="1"/>
        <v>1374595</v>
      </c>
      <c r="L60" s="643">
        <v>829433</v>
      </c>
      <c r="M60" s="643">
        <v>0</v>
      </c>
      <c r="N60" s="644">
        <f t="shared" si="2"/>
        <v>829433</v>
      </c>
      <c r="O60" s="643">
        <v>3402</v>
      </c>
      <c r="P60" s="643">
        <v>0</v>
      </c>
      <c r="Q60" s="644">
        <f>IF($A60="","",IF(AND($C60="白金タクシー",$A60&gt;=DATE(2017,9,1)),ROUND(GETPIVOTDATA("合計 / タクシー運賃",【ピボット】事業所売上!$A$3,"年月",$A60,"事業所コード",$B60,"事業所",$C60)*5.1%,0),0))</f>
        <v>0</v>
      </c>
      <c r="R60" s="643">
        <v>0</v>
      </c>
      <c r="S60" s="643">
        <v>0</v>
      </c>
      <c r="T60" s="643">
        <v>0</v>
      </c>
      <c r="U60" s="644">
        <f t="shared" si="3"/>
        <v>0</v>
      </c>
      <c r="V60" s="643">
        <v>0</v>
      </c>
      <c r="W60" s="643">
        <v>0</v>
      </c>
      <c r="X60" s="643">
        <v>0</v>
      </c>
      <c r="Y60" s="643">
        <v>0</v>
      </c>
    </row>
    <row r="61" spans="1:25" x14ac:dyDescent="0.15">
      <c r="A61" s="642">
        <v>42644</v>
      </c>
      <c r="B61" s="640" t="str">
        <f t="shared" ca="1" si="4"/>
        <v>05</v>
      </c>
      <c r="C61" s="639" t="s">
        <v>38</v>
      </c>
      <c r="D61" s="644">
        <f ca="1">IF(A61="","",IFERROR(GETPIVOTDATA("合計 / 合計",【ピボット】事業所売上!$A$3,"年月",$A61,"事業所コード",$B61,"事業所",$C61),0))</f>
        <v>3422738</v>
      </c>
      <c r="E61" s="643">
        <v>864093</v>
      </c>
      <c r="F61" s="643">
        <v>0</v>
      </c>
      <c r="G61" s="643">
        <v>0</v>
      </c>
      <c r="H61" s="643">
        <v>0</v>
      </c>
      <c r="I61" s="643">
        <v>37299</v>
      </c>
      <c r="J61" s="643">
        <v>2268</v>
      </c>
      <c r="K61" s="644">
        <f t="shared" si="1"/>
        <v>903660</v>
      </c>
      <c r="L61" s="643">
        <v>396730</v>
      </c>
      <c r="M61" s="643">
        <v>0</v>
      </c>
      <c r="N61" s="644">
        <f t="shared" si="2"/>
        <v>396730</v>
      </c>
      <c r="O61" s="643">
        <v>51840</v>
      </c>
      <c r="P61" s="643">
        <v>0</v>
      </c>
      <c r="Q61" s="644">
        <f>IF($A61="","",IF(AND($C61="白金タクシー",$A61&gt;=DATE(2017,9,1)),ROUND(GETPIVOTDATA("合計 / タクシー運賃",【ピボット】事業所売上!$A$3,"年月",$A61,"事業所コード",$B61,"事業所",$C61)*5.1%,0),0))</f>
        <v>0</v>
      </c>
      <c r="R61" s="643">
        <v>0</v>
      </c>
      <c r="S61" s="643">
        <v>0</v>
      </c>
      <c r="T61" s="643">
        <v>0</v>
      </c>
      <c r="U61" s="644">
        <f t="shared" si="3"/>
        <v>0</v>
      </c>
      <c r="V61" s="643">
        <v>0</v>
      </c>
      <c r="W61" s="643">
        <v>0</v>
      </c>
      <c r="X61" s="643">
        <v>0</v>
      </c>
      <c r="Y61" s="643">
        <v>0</v>
      </c>
    </row>
    <row r="62" spans="1:25" x14ac:dyDescent="0.15">
      <c r="A62" s="642">
        <v>42644</v>
      </c>
      <c r="B62" s="640" t="str">
        <f t="shared" ca="1" si="4"/>
        <v>06</v>
      </c>
      <c r="C62" s="639" t="s">
        <v>57</v>
      </c>
      <c r="D62" s="644">
        <f ca="1">IF(A62="","",IFERROR(GETPIVOTDATA("合計 / 合計",【ピボット】事業所売上!$A$3,"年月",$A62,"事業所コード",$B62,"事業所",$C62),0))</f>
        <v>1293737</v>
      </c>
      <c r="E62" s="643">
        <v>323296</v>
      </c>
      <c r="F62" s="643">
        <v>276020</v>
      </c>
      <c r="G62" s="643">
        <v>0</v>
      </c>
      <c r="H62" s="643">
        <v>0</v>
      </c>
      <c r="I62" s="643">
        <v>51066</v>
      </c>
      <c r="J62" s="643">
        <v>1134</v>
      </c>
      <c r="K62" s="644">
        <f t="shared" si="1"/>
        <v>651516</v>
      </c>
      <c r="L62" s="643">
        <v>420004</v>
      </c>
      <c r="M62" s="643">
        <v>0</v>
      </c>
      <c r="N62" s="644">
        <f t="shared" si="2"/>
        <v>420004</v>
      </c>
      <c r="O62" s="643">
        <v>51840</v>
      </c>
      <c r="P62" s="643">
        <v>0</v>
      </c>
      <c r="Q62" s="644">
        <f>IF($A62="","",IF(AND($C62="白金タクシー",$A62&gt;=DATE(2017,9,1)),ROUND(GETPIVOTDATA("合計 / タクシー運賃",【ピボット】事業所売上!$A$3,"年月",$A62,"事業所コード",$B62,"事業所",$C62)*5.1%,0),0))</f>
        <v>0</v>
      </c>
      <c r="R62" s="643">
        <v>0</v>
      </c>
      <c r="S62" s="643">
        <v>0</v>
      </c>
      <c r="T62" s="643">
        <v>0</v>
      </c>
      <c r="U62" s="644">
        <f t="shared" si="3"/>
        <v>0</v>
      </c>
      <c r="V62" s="643">
        <v>0</v>
      </c>
      <c r="W62" s="643">
        <v>0</v>
      </c>
      <c r="X62" s="643">
        <v>0</v>
      </c>
      <c r="Y62" s="643">
        <v>0</v>
      </c>
    </row>
    <row r="63" spans="1:25" x14ac:dyDescent="0.15">
      <c r="A63" s="642">
        <v>42644</v>
      </c>
      <c r="B63" s="640" t="str">
        <f t="shared" ca="1" si="4"/>
        <v>07</v>
      </c>
      <c r="C63" s="639" t="s">
        <v>119</v>
      </c>
      <c r="D63" s="644">
        <f ca="1">IF(A63="","",IFERROR(GETPIVOTDATA("合計 / 合計",【ピボット】事業所売上!$A$3,"年月",$A63,"事業所コード",$B63,"事業所",$C63),0))</f>
        <v>78000</v>
      </c>
      <c r="E63" s="643">
        <v>357673</v>
      </c>
      <c r="F63" s="643">
        <v>0</v>
      </c>
      <c r="G63" s="643">
        <v>0</v>
      </c>
      <c r="H63" s="643">
        <v>0</v>
      </c>
      <c r="I63" s="643">
        <v>31336</v>
      </c>
      <c r="J63" s="643">
        <v>1134</v>
      </c>
      <c r="K63" s="644">
        <f t="shared" si="1"/>
        <v>390143</v>
      </c>
      <c r="L63" s="643">
        <v>159315</v>
      </c>
      <c r="M63" s="643">
        <v>0</v>
      </c>
      <c r="N63" s="644">
        <f t="shared" si="2"/>
        <v>159315</v>
      </c>
      <c r="O63" s="643">
        <v>13500</v>
      </c>
      <c r="P63" s="643">
        <v>0</v>
      </c>
      <c r="Q63" s="644">
        <f>IF($A63="","",IF(AND($C63="白金タクシー",$A63&gt;=DATE(2017,9,1)),ROUND(GETPIVOTDATA("合計 / タクシー運賃",【ピボット】事業所売上!$A$3,"年月",$A63,"事業所コード",$B63,"事業所",$C63)*5.1%,0),0))</f>
        <v>0</v>
      </c>
      <c r="R63" s="643">
        <v>0</v>
      </c>
      <c r="S63" s="643">
        <v>0</v>
      </c>
      <c r="T63" s="643">
        <v>0</v>
      </c>
      <c r="U63" s="644">
        <f t="shared" si="3"/>
        <v>0</v>
      </c>
      <c r="V63" s="643">
        <v>0</v>
      </c>
      <c r="W63" s="643">
        <v>0</v>
      </c>
      <c r="X63" s="643">
        <v>0</v>
      </c>
      <c r="Y63" s="643">
        <v>0</v>
      </c>
    </row>
    <row r="64" spans="1:25" x14ac:dyDescent="0.15">
      <c r="A64" s="642">
        <v>42644</v>
      </c>
      <c r="B64" s="640" t="str">
        <f t="shared" ca="1" si="4"/>
        <v>08</v>
      </c>
      <c r="C64" s="639" t="s">
        <v>189</v>
      </c>
      <c r="D64" s="644">
        <f ca="1">IF(A64="","",IFERROR(GETPIVOTDATA("合計 / 合計",【ピボット】事業所売上!$A$3,"年月",$A64,"事業所コード",$B64,"事業所",$C64),0))</f>
        <v>98000</v>
      </c>
      <c r="E64" s="643">
        <v>313783</v>
      </c>
      <c r="F64" s="643">
        <v>0</v>
      </c>
      <c r="G64" s="643">
        <v>0</v>
      </c>
      <c r="H64" s="643">
        <v>0</v>
      </c>
      <c r="I64" s="643">
        <v>0</v>
      </c>
      <c r="J64" s="643">
        <v>0</v>
      </c>
      <c r="K64" s="644">
        <f t="shared" si="1"/>
        <v>313783</v>
      </c>
      <c r="L64" s="643">
        <v>400695</v>
      </c>
      <c r="M64" s="643">
        <v>0</v>
      </c>
      <c r="N64" s="644">
        <f t="shared" si="2"/>
        <v>400695</v>
      </c>
      <c r="O64" s="643">
        <v>13500</v>
      </c>
      <c r="P64" s="643">
        <v>0</v>
      </c>
      <c r="Q64" s="644">
        <f>IF($A64="","",IF(AND($C64="白金タクシー",$A64&gt;=DATE(2017,9,1)),ROUND(GETPIVOTDATA("合計 / タクシー運賃",【ピボット】事業所売上!$A$3,"年月",$A64,"事業所コード",$B64,"事業所",$C64)*5.1%,0),0))</f>
        <v>0</v>
      </c>
      <c r="R64" s="643">
        <v>0</v>
      </c>
      <c r="S64" s="643">
        <v>0</v>
      </c>
      <c r="T64" s="643">
        <v>0</v>
      </c>
      <c r="U64" s="644">
        <f t="shared" si="3"/>
        <v>0</v>
      </c>
      <c r="V64" s="643">
        <v>0</v>
      </c>
      <c r="W64" s="643">
        <v>0</v>
      </c>
      <c r="X64" s="643">
        <v>0</v>
      </c>
      <c r="Y64" s="643">
        <v>0</v>
      </c>
    </row>
    <row r="65" spans="1:25" x14ac:dyDescent="0.15">
      <c r="A65" s="642">
        <v>42644</v>
      </c>
      <c r="B65" s="640" t="str">
        <f t="shared" ca="1" si="4"/>
        <v>10</v>
      </c>
      <c r="C65" s="639" t="s">
        <v>336</v>
      </c>
      <c r="D65" s="644">
        <f ca="1">IF(A65="","",IFERROR(GETPIVOTDATA("合計 / 合計",【ピボット】事業所売上!$A$3,"年月",$A65,"事業所コード",$B65,"事業所",$C65),0))</f>
        <v>2767562</v>
      </c>
      <c r="E65" s="643">
        <v>345329</v>
      </c>
      <c r="F65" s="643">
        <v>1009205</v>
      </c>
      <c r="G65" s="643">
        <v>0</v>
      </c>
      <c r="H65" s="643">
        <v>0</v>
      </c>
      <c r="I65" s="643">
        <v>183054</v>
      </c>
      <c r="J65" s="643">
        <v>8102</v>
      </c>
      <c r="K65" s="644">
        <f t="shared" si="1"/>
        <v>1545690</v>
      </c>
      <c r="L65" s="643">
        <v>989346</v>
      </c>
      <c r="M65" s="643">
        <v>0</v>
      </c>
      <c r="N65" s="644">
        <f t="shared" si="2"/>
        <v>989346</v>
      </c>
      <c r="O65" s="643">
        <v>0</v>
      </c>
      <c r="P65" s="643">
        <v>0</v>
      </c>
      <c r="Q65" s="644">
        <f>IF($A65="","",IF(AND($C65="白金タクシー",$A65&gt;=DATE(2017,9,1)),ROUND(GETPIVOTDATA("合計 / タクシー運賃",【ピボット】事業所売上!$A$3,"年月",$A65,"事業所コード",$B65,"事業所",$C65)*5.1%,0),0))</f>
        <v>0</v>
      </c>
      <c r="R65" s="643">
        <v>0</v>
      </c>
      <c r="S65" s="643">
        <v>0</v>
      </c>
      <c r="T65" s="643">
        <v>0</v>
      </c>
      <c r="U65" s="644">
        <f t="shared" si="3"/>
        <v>0</v>
      </c>
      <c r="V65" s="643">
        <v>0</v>
      </c>
      <c r="W65" s="643">
        <v>0</v>
      </c>
      <c r="X65" s="643">
        <v>0</v>
      </c>
      <c r="Y65" s="643">
        <v>0</v>
      </c>
    </row>
    <row r="66" spans="1:25" x14ac:dyDescent="0.15">
      <c r="A66" s="642">
        <f>EDATE(A65,1)</f>
        <v>42675</v>
      </c>
      <c r="B66" s="640" t="str">
        <f t="shared" ca="1" si="4"/>
        <v>00</v>
      </c>
      <c r="C66" s="639" t="s">
        <v>490</v>
      </c>
      <c r="D66" s="644">
        <f ca="1">IF(A66="","",IFERROR(GETPIVOTDATA("合計 / 合計",【ピボット】事業所売上!$A$3,"年月",$A66,"事業所コード",$B66,"事業所",$C66),0))</f>
        <v>50067</v>
      </c>
      <c r="E66" s="643">
        <v>54400</v>
      </c>
      <c r="F66" s="643">
        <v>1068231</v>
      </c>
      <c r="G66" s="643">
        <v>0</v>
      </c>
      <c r="H66" s="643">
        <v>2000000</v>
      </c>
      <c r="I66" s="643">
        <v>318961</v>
      </c>
      <c r="J66" s="643">
        <v>11310</v>
      </c>
      <c r="K66" s="644">
        <f t="shared" ref="K66:K129" si="5">IF(A66="","",SUM(E66:J66))</f>
        <v>3452902</v>
      </c>
      <c r="L66" s="643">
        <v>1336907</v>
      </c>
      <c r="M66" s="643">
        <v>0</v>
      </c>
      <c r="N66" s="644">
        <f t="shared" si="2"/>
        <v>1336907</v>
      </c>
      <c r="O66" s="643">
        <v>11310</v>
      </c>
      <c r="P66" s="643">
        <v>0</v>
      </c>
      <c r="Q66" s="644">
        <f>IF($A66="","",IF(AND($C66="白金タクシー",$A66&gt;=DATE(2017,9,1)),ROUND(GETPIVOTDATA("合計 / タクシー運賃",【ピボット】事業所売上!$A$3,"年月",$A66,"事業所コード",$B66,"事業所",$C66)*5.1%,0),0))</f>
        <v>0</v>
      </c>
      <c r="R66" s="643">
        <v>0</v>
      </c>
      <c r="S66" s="643">
        <v>0</v>
      </c>
      <c r="T66" s="643">
        <v>0</v>
      </c>
      <c r="U66" s="644">
        <f t="shared" si="3"/>
        <v>0</v>
      </c>
      <c r="V66" s="643">
        <v>7897</v>
      </c>
      <c r="W66" s="643">
        <v>166430</v>
      </c>
      <c r="X66" s="643">
        <v>0</v>
      </c>
      <c r="Y66" s="643">
        <v>0</v>
      </c>
    </row>
    <row r="67" spans="1:25" x14ac:dyDescent="0.15">
      <c r="A67" s="642">
        <v>42675</v>
      </c>
      <c r="B67" s="640" t="str">
        <f t="shared" ca="1" si="4"/>
        <v>01</v>
      </c>
      <c r="C67" s="639" t="s">
        <v>34</v>
      </c>
      <c r="D67" s="644">
        <f ca="1">IF(A67="","",IFERROR(GETPIVOTDATA("合計 / 合計",【ピボット】事業所売上!$A$3,"年月",$A67,"事業所コード",$B67,"事業所",$C67),0))</f>
        <v>9231853</v>
      </c>
      <c r="E67" s="643">
        <v>2687115</v>
      </c>
      <c r="F67" s="643">
        <v>1867786</v>
      </c>
      <c r="G67" s="643">
        <v>0</v>
      </c>
      <c r="H67" s="643">
        <v>0</v>
      </c>
      <c r="I67" s="643">
        <v>282124</v>
      </c>
      <c r="J67" s="643">
        <v>25392</v>
      </c>
      <c r="K67" s="644">
        <f t="shared" si="5"/>
        <v>4862417</v>
      </c>
      <c r="L67" s="643">
        <v>576699</v>
      </c>
      <c r="M67" s="643">
        <v>0</v>
      </c>
      <c r="N67" s="644">
        <f t="shared" ref="N67:N130" si="6">IF(A67="","",SUM(L67:M67))</f>
        <v>576699</v>
      </c>
      <c r="O67" s="643">
        <v>0</v>
      </c>
      <c r="P67" s="643">
        <v>0</v>
      </c>
      <c r="Q67" s="644">
        <f>IF($A67="","",IF(AND($C67="白金タクシー",$A67&gt;=DATE(2017,9,1)),ROUND(GETPIVOTDATA("合計 / タクシー運賃",【ピボット】事業所売上!$A$3,"年月",$A67,"事業所コード",$B67,"事業所",$C67)*5.1%,0),0))</f>
        <v>0</v>
      </c>
      <c r="R67" s="643">
        <v>0</v>
      </c>
      <c r="S67" s="643">
        <v>0</v>
      </c>
      <c r="T67" s="643">
        <v>0</v>
      </c>
      <c r="U67" s="644">
        <f t="shared" ref="U67:U130" si="7">IF(A67="","",R67-S67-T67)</f>
        <v>0</v>
      </c>
      <c r="V67" s="643">
        <v>0</v>
      </c>
      <c r="W67" s="643">
        <v>0</v>
      </c>
      <c r="X67" s="643">
        <v>0</v>
      </c>
      <c r="Y67" s="643">
        <v>0</v>
      </c>
    </row>
    <row r="68" spans="1:25" x14ac:dyDescent="0.15">
      <c r="A68" s="642">
        <v>42675</v>
      </c>
      <c r="B68" s="640" t="str">
        <f t="shared" ca="1" si="4"/>
        <v>02</v>
      </c>
      <c r="C68" s="639" t="s">
        <v>37</v>
      </c>
      <c r="D68" s="644">
        <f ca="1">IF(A68="","",IFERROR(GETPIVOTDATA("合計 / 合計",【ピボット】事業所売上!$A$3,"年月",$A68,"事業所コード",$B68,"事業所",$C68),0))</f>
        <v>4932747</v>
      </c>
      <c r="E68" s="643">
        <v>1544550</v>
      </c>
      <c r="F68" s="643">
        <v>1477225</v>
      </c>
      <c r="G68" s="643">
        <v>0</v>
      </c>
      <c r="H68" s="643">
        <v>0</v>
      </c>
      <c r="I68" s="643">
        <v>241962</v>
      </c>
      <c r="J68" s="643">
        <v>7938</v>
      </c>
      <c r="K68" s="644">
        <f t="shared" si="5"/>
        <v>3271675</v>
      </c>
      <c r="L68" s="643">
        <v>767660</v>
      </c>
      <c r="M68" s="643">
        <v>0</v>
      </c>
      <c r="N68" s="644">
        <f t="shared" si="6"/>
        <v>767660</v>
      </c>
      <c r="O68" s="643">
        <v>7938</v>
      </c>
      <c r="P68" s="643">
        <v>0</v>
      </c>
      <c r="Q68" s="644">
        <f>IF($A68="","",IF(AND($C68="白金タクシー",$A68&gt;=DATE(2017,9,1)),ROUND(GETPIVOTDATA("合計 / タクシー運賃",【ピボット】事業所売上!$A$3,"年月",$A68,"事業所コード",$B68,"事業所",$C68)*5.1%,0),0))</f>
        <v>0</v>
      </c>
      <c r="R68" s="643">
        <v>0</v>
      </c>
      <c r="S68" s="643">
        <v>0</v>
      </c>
      <c r="T68" s="643">
        <v>0</v>
      </c>
      <c r="U68" s="644">
        <f t="shared" si="7"/>
        <v>0</v>
      </c>
      <c r="V68" s="643">
        <v>0</v>
      </c>
      <c r="W68" s="643">
        <v>0</v>
      </c>
      <c r="X68" s="643">
        <v>0</v>
      </c>
      <c r="Y68" s="643">
        <v>0</v>
      </c>
    </row>
    <row r="69" spans="1:25" x14ac:dyDescent="0.15">
      <c r="A69" s="642">
        <v>42675</v>
      </c>
      <c r="B69" s="640" t="str">
        <f t="shared" ca="1" si="4"/>
        <v>03</v>
      </c>
      <c r="C69" s="639" t="s">
        <v>66</v>
      </c>
      <c r="D69" s="644">
        <f ca="1">IF(A69="","",IFERROR(GETPIVOTDATA("合計 / 合計",【ピボット】事業所売上!$A$3,"年月",$A69,"事業所コード",$B69,"事業所",$C69),0))</f>
        <v>4145565</v>
      </c>
      <c r="E69" s="643">
        <v>920992</v>
      </c>
      <c r="F69" s="643">
        <v>1548193</v>
      </c>
      <c r="G69" s="643">
        <v>0</v>
      </c>
      <c r="H69" s="643">
        <v>0</v>
      </c>
      <c r="I69" s="643">
        <v>274769</v>
      </c>
      <c r="J69" s="643">
        <v>14634</v>
      </c>
      <c r="K69" s="644">
        <f t="shared" si="5"/>
        <v>2758588</v>
      </c>
      <c r="L69" s="643">
        <v>684727</v>
      </c>
      <c r="M69" s="643">
        <v>0</v>
      </c>
      <c r="N69" s="644">
        <f t="shared" si="6"/>
        <v>684727</v>
      </c>
      <c r="O69" s="643">
        <v>73440</v>
      </c>
      <c r="P69" s="643">
        <v>0</v>
      </c>
      <c r="Q69" s="644">
        <f>IF($A69="","",IF(AND($C69="白金タクシー",$A69&gt;=DATE(2017,9,1)),ROUND(GETPIVOTDATA("合計 / タクシー運賃",【ピボット】事業所売上!$A$3,"年月",$A69,"事業所コード",$B69,"事業所",$C69)*5.1%,0),0))</f>
        <v>0</v>
      </c>
      <c r="R69" s="643">
        <v>0</v>
      </c>
      <c r="S69" s="643">
        <v>0</v>
      </c>
      <c r="T69" s="643">
        <v>0</v>
      </c>
      <c r="U69" s="644">
        <f t="shared" si="7"/>
        <v>0</v>
      </c>
      <c r="V69" s="643">
        <v>0</v>
      </c>
      <c r="W69" s="643">
        <v>0</v>
      </c>
      <c r="X69" s="643">
        <v>0</v>
      </c>
      <c r="Y69" s="643">
        <v>0</v>
      </c>
    </row>
    <row r="70" spans="1:25" x14ac:dyDescent="0.15">
      <c r="A70" s="642">
        <v>42675</v>
      </c>
      <c r="B70" s="640" t="str">
        <f t="shared" ca="1" si="4"/>
        <v>04</v>
      </c>
      <c r="C70" s="639" t="s">
        <v>358</v>
      </c>
      <c r="D70" s="644">
        <f ca="1">IF(A70="","",IFERROR(GETPIVOTDATA("合計 / 合計",【ピボット】事業所売上!$A$3,"年月",$A70,"事業所コード",$B70,"事業所",$C70),0))</f>
        <v>2631324</v>
      </c>
      <c r="E70" s="643">
        <v>447748</v>
      </c>
      <c r="F70" s="643">
        <v>685390</v>
      </c>
      <c r="G70" s="643">
        <v>0</v>
      </c>
      <c r="H70" s="643">
        <v>0</v>
      </c>
      <c r="I70" s="643">
        <v>95452</v>
      </c>
      <c r="J70" s="643">
        <v>3402</v>
      </c>
      <c r="K70" s="644">
        <f t="shared" si="5"/>
        <v>1231992</v>
      </c>
      <c r="L70" s="643">
        <v>752673</v>
      </c>
      <c r="M70" s="643">
        <v>0</v>
      </c>
      <c r="N70" s="644">
        <f t="shared" si="6"/>
        <v>752673</v>
      </c>
      <c r="O70" s="643">
        <v>3402</v>
      </c>
      <c r="P70" s="643">
        <v>0</v>
      </c>
      <c r="Q70" s="644">
        <f>IF($A70="","",IF(AND($C70="白金タクシー",$A70&gt;=DATE(2017,9,1)),ROUND(GETPIVOTDATA("合計 / タクシー運賃",【ピボット】事業所売上!$A$3,"年月",$A70,"事業所コード",$B70,"事業所",$C70)*5.1%,0),0))</f>
        <v>0</v>
      </c>
      <c r="R70" s="643">
        <v>0</v>
      </c>
      <c r="S70" s="643">
        <v>0</v>
      </c>
      <c r="T70" s="643">
        <v>0</v>
      </c>
      <c r="U70" s="644">
        <f t="shared" si="7"/>
        <v>0</v>
      </c>
      <c r="V70" s="643">
        <v>0</v>
      </c>
      <c r="W70" s="643">
        <v>0</v>
      </c>
      <c r="X70" s="643">
        <v>0</v>
      </c>
      <c r="Y70" s="643">
        <v>0</v>
      </c>
    </row>
    <row r="71" spans="1:25" x14ac:dyDescent="0.15">
      <c r="A71" s="642">
        <v>42675</v>
      </c>
      <c r="B71" s="640" t="str">
        <f t="shared" ca="1" si="4"/>
        <v>05</v>
      </c>
      <c r="C71" s="639" t="s">
        <v>38</v>
      </c>
      <c r="D71" s="644">
        <f ca="1">IF(A71="","",IFERROR(GETPIVOTDATA("合計 / 合計",【ピボット】事業所売上!$A$3,"年月",$A71,"事業所コード",$B71,"事業所",$C71),0))</f>
        <v>2669288</v>
      </c>
      <c r="E71" s="643">
        <v>772161</v>
      </c>
      <c r="F71" s="643">
        <v>0</v>
      </c>
      <c r="G71" s="643">
        <v>0</v>
      </c>
      <c r="H71" s="643">
        <v>0</v>
      </c>
      <c r="I71" s="643">
        <v>27865</v>
      </c>
      <c r="J71" s="643">
        <v>2268</v>
      </c>
      <c r="K71" s="644">
        <f t="shared" si="5"/>
        <v>802294</v>
      </c>
      <c r="L71" s="643">
        <v>295382</v>
      </c>
      <c r="M71" s="643">
        <v>0</v>
      </c>
      <c r="N71" s="644">
        <f t="shared" si="6"/>
        <v>295382</v>
      </c>
      <c r="O71" s="643">
        <v>27000</v>
      </c>
      <c r="P71" s="643">
        <v>0</v>
      </c>
      <c r="Q71" s="644">
        <f>IF($A71="","",IF(AND($C71="白金タクシー",$A71&gt;=DATE(2017,9,1)),ROUND(GETPIVOTDATA("合計 / タクシー運賃",【ピボット】事業所売上!$A$3,"年月",$A71,"事業所コード",$B71,"事業所",$C71)*5.1%,0),0))</f>
        <v>0</v>
      </c>
      <c r="R71" s="643">
        <v>0</v>
      </c>
      <c r="S71" s="643">
        <v>0</v>
      </c>
      <c r="T71" s="643">
        <v>0</v>
      </c>
      <c r="U71" s="644">
        <f t="shared" si="7"/>
        <v>0</v>
      </c>
      <c r="V71" s="643">
        <v>0</v>
      </c>
      <c r="W71" s="643">
        <v>0</v>
      </c>
      <c r="X71" s="643">
        <v>0</v>
      </c>
      <c r="Y71" s="643">
        <v>0</v>
      </c>
    </row>
    <row r="72" spans="1:25" x14ac:dyDescent="0.15">
      <c r="A72" s="642">
        <v>42675</v>
      </c>
      <c r="B72" s="640" t="str">
        <f t="shared" ca="1" si="4"/>
        <v>06</v>
      </c>
      <c r="C72" s="639" t="s">
        <v>57</v>
      </c>
      <c r="D72" s="644">
        <f ca="1">IF(A72="","",IFERROR(GETPIVOTDATA("合計 / 合計",【ピボット】事業所売上!$A$3,"年月",$A72,"事業所コード",$B72,"事業所",$C72),0))</f>
        <v>1656277</v>
      </c>
      <c r="E72" s="643">
        <v>441929</v>
      </c>
      <c r="F72" s="643">
        <v>275000</v>
      </c>
      <c r="G72" s="643">
        <v>0</v>
      </c>
      <c r="H72" s="643">
        <v>0</v>
      </c>
      <c r="I72" s="643">
        <v>38281</v>
      </c>
      <c r="J72" s="643">
        <v>1134</v>
      </c>
      <c r="K72" s="644">
        <f t="shared" si="5"/>
        <v>756344</v>
      </c>
      <c r="L72" s="643">
        <v>417365</v>
      </c>
      <c r="M72" s="643">
        <v>0</v>
      </c>
      <c r="N72" s="644">
        <f t="shared" si="6"/>
        <v>417365</v>
      </c>
      <c r="O72" s="643">
        <v>27000</v>
      </c>
      <c r="P72" s="643">
        <v>0</v>
      </c>
      <c r="Q72" s="644">
        <f>IF($A72="","",IF(AND($C72="白金タクシー",$A72&gt;=DATE(2017,9,1)),ROUND(GETPIVOTDATA("合計 / タクシー運賃",【ピボット】事業所売上!$A$3,"年月",$A72,"事業所コード",$B72,"事業所",$C72)*5.1%,0),0))</f>
        <v>0</v>
      </c>
      <c r="R72" s="643">
        <v>0</v>
      </c>
      <c r="S72" s="643">
        <v>0</v>
      </c>
      <c r="T72" s="643">
        <v>0</v>
      </c>
      <c r="U72" s="644">
        <f t="shared" si="7"/>
        <v>0</v>
      </c>
      <c r="V72" s="643">
        <v>0</v>
      </c>
      <c r="W72" s="643">
        <v>0</v>
      </c>
      <c r="X72" s="643">
        <v>0</v>
      </c>
      <c r="Y72" s="643">
        <v>0</v>
      </c>
    </row>
    <row r="73" spans="1:25" x14ac:dyDescent="0.15">
      <c r="A73" s="642">
        <v>42675</v>
      </c>
      <c r="B73" s="640" t="str">
        <f t="shared" ca="1" si="4"/>
        <v>07</v>
      </c>
      <c r="C73" s="639" t="s">
        <v>119</v>
      </c>
      <c r="D73" s="644">
        <f ca="1">IF(A73="","",IFERROR(GETPIVOTDATA("合計 / 合計",【ピボット】事業所売上!$A$3,"年月",$A73,"事業所コード",$B73,"事業所",$C73),0))</f>
        <v>799389</v>
      </c>
      <c r="E73" s="643">
        <v>343202</v>
      </c>
      <c r="F73" s="643">
        <v>0</v>
      </c>
      <c r="G73" s="643">
        <v>0</v>
      </c>
      <c r="H73" s="643">
        <v>0</v>
      </c>
      <c r="I73" s="643">
        <v>23414</v>
      </c>
      <c r="J73" s="643">
        <v>1134</v>
      </c>
      <c r="K73" s="644">
        <f t="shared" si="5"/>
        <v>367750</v>
      </c>
      <c r="L73" s="643">
        <v>118111</v>
      </c>
      <c r="M73" s="643">
        <v>0</v>
      </c>
      <c r="N73" s="644">
        <f t="shared" si="6"/>
        <v>118111</v>
      </c>
      <c r="O73" s="643">
        <v>0</v>
      </c>
      <c r="P73" s="643">
        <v>0</v>
      </c>
      <c r="Q73" s="644">
        <f>IF($A73="","",IF(AND($C73="白金タクシー",$A73&gt;=DATE(2017,9,1)),ROUND(GETPIVOTDATA("合計 / タクシー運賃",【ピボット】事業所売上!$A$3,"年月",$A73,"事業所コード",$B73,"事業所",$C73)*5.1%,0),0))</f>
        <v>0</v>
      </c>
      <c r="R73" s="643">
        <v>0</v>
      </c>
      <c r="S73" s="643">
        <v>0</v>
      </c>
      <c r="T73" s="643">
        <v>0</v>
      </c>
      <c r="U73" s="644">
        <f t="shared" si="7"/>
        <v>0</v>
      </c>
      <c r="V73" s="643">
        <v>0</v>
      </c>
      <c r="W73" s="643">
        <v>0</v>
      </c>
      <c r="X73" s="643">
        <v>0</v>
      </c>
      <c r="Y73" s="643">
        <v>0</v>
      </c>
    </row>
    <row r="74" spans="1:25" x14ac:dyDescent="0.15">
      <c r="A74" s="642">
        <v>42675</v>
      </c>
      <c r="B74" s="640" t="str">
        <f t="shared" ca="1" si="4"/>
        <v>08</v>
      </c>
      <c r="C74" s="639" t="s">
        <v>189</v>
      </c>
      <c r="D74" s="644">
        <f ca="1">IF(A74="","",IFERROR(GETPIVOTDATA("合計 / 合計",【ピボット】事業所売上!$A$3,"年月",$A74,"事業所コード",$B74,"事業所",$C74),0))</f>
        <v>816019</v>
      </c>
      <c r="E74" s="643">
        <v>284690</v>
      </c>
      <c r="F74" s="643">
        <v>0</v>
      </c>
      <c r="G74" s="643">
        <v>0</v>
      </c>
      <c r="H74" s="643">
        <v>0</v>
      </c>
      <c r="I74" s="643">
        <v>0</v>
      </c>
      <c r="J74" s="643">
        <v>0</v>
      </c>
      <c r="K74" s="644">
        <f t="shared" si="5"/>
        <v>284690</v>
      </c>
      <c r="L74" s="643">
        <v>307439</v>
      </c>
      <c r="M74" s="643">
        <v>0</v>
      </c>
      <c r="N74" s="644">
        <f t="shared" si="6"/>
        <v>307439</v>
      </c>
      <c r="O74" s="643">
        <v>0</v>
      </c>
      <c r="P74" s="643">
        <v>0</v>
      </c>
      <c r="Q74" s="644">
        <f>IF($A74="","",IF(AND($C74="白金タクシー",$A74&gt;=DATE(2017,9,1)),ROUND(GETPIVOTDATA("合計 / タクシー運賃",【ピボット】事業所売上!$A$3,"年月",$A74,"事業所コード",$B74,"事業所",$C74)*5.1%,0),0))</f>
        <v>0</v>
      </c>
      <c r="R74" s="643">
        <v>0</v>
      </c>
      <c r="S74" s="643">
        <v>0</v>
      </c>
      <c r="T74" s="643">
        <v>0</v>
      </c>
      <c r="U74" s="644">
        <f t="shared" si="7"/>
        <v>0</v>
      </c>
      <c r="V74" s="643">
        <v>0</v>
      </c>
      <c r="W74" s="643">
        <v>0</v>
      </c>
      <c r="X74" s="643">
        <v>0</v>
      </c>
      <c r="Y74" s="643">
        <v>0</v>
      </c>
    </row>
    <row r="75" spans="1:25" x14ac:dyDescent="0.15">
      <c r="A75" s="642">
        <v>42675</v>
      </c>
      <c r="B75" s="640" t="str">
        <f t="shared" ca="1" si="4"/>
        <v>10</v>
      </c>
      <c r="C75" s="639" t="s">
        <v>336</v>
      </c>
      <c r="D75" s="644">
        <f ca="1">IF(A75="","",IFERROR(GETPIVOTDATA("合計 / 合計",【ピボット】事業所売上!$A$3,"年月",$A75,"事業所コード",$B75,"事業所",$C75),0))</f>
        <v>2918379</v>
      </c>
      <c r="E75" s="643">
        <v>392075</v>
      </c>
      <c r="F75" s="643">
        <v>994780</v>
      </c>
      <c r="G75" s="643">
        <v>0</v>
      </c>
      <c r="H75" s="643">
        <v>0</v>
      </c>
      <c r="I75" s="643">
        <v>137187</v>
      </c>
      <c r="J75" s="643">
        <v>3402</v>
      </c>
      <c r="K75" s="644">
        <f t="shared" si="5"/>
        <v>1527444</v>
      </c>
      <c r="L75" s="643">
        <v>799738</v>
      </c>
      <c r="M75" s="643">
        <v>0</v>
      </c>
      <c r="N75" s="644">
        <f t="shared" si="6"/>
        <v>799738</v>
      </c>
      <c r="O75" s="643">
        <v>0</v>
      </c>
      <c r="P75" s="643">
        <v>0</v>
      </c>
      <c r="Q75" s="644">
        <f>IF($A75="","",IF(AND($C75="白金タクシー",$A75&gt;=DATE(2017,9,1)),ROUND(GETPIVOTDATA("合計 / タクシー運賃",【ピボット】事業所売上!$A$3,"年月",$A75,"事業所コード",$B75,"事業所",$C75)*5.1%,0),0))</f>
        <v>0</v>
      </c>
      <c r="R75" s="643">
        <v>0</v>
      </c>
      <c r="S75" s="643">
        <v>0</v>
      </c>
      <c r="T75" s="643">
        <v>0</v>
      </c>
      <c r="U75" s="644">
        <f t="shared" si="7"/>
        <v>0</v>
      </c>
      <c r="V75" s="643">
        <v>0</v>
      </c>
      <c r="W75" s="643">
        <v>0</v>
      </c>
      <c r="X75" s="643">
        <v>0</v>
      </c>
      <c r="Y75" s="643">
        <v>0</v>
      </c>
    </row>
    <row r="76" spans="1:25" x14ac:dyDescent="0.15">
      <c r="A76" s="642">
        <f>EDATE(A75,1)</f>
        <v>42705</v>
      </c>
      <c r="B76" s="640" t="str">
        <f t="shared" ca="1" si="4"/>
        <v>00</v>
      </c>
      <c r="C76" s="639" t="s">
        <v>490</v>
      </c>
      <c r="D76" s="644">
        <f ca="1">IF(A76="","",IFERROR(GETPIVOTDATA("合計 / 合計",【ピボット】事業所売上!$A$3,"年月",$A76,"事業所コード",$B76,"事業所",$C76),0))</f>
        <v>33378</v>
      </c>
      <c r="E76" s="643">
        <v>57800</v>
      </c>
      <c r="F76" s="643">
        <v>1250822</v>
      </c>
      <c r="G76" s="643">
        <v>721900</v>
      </c>
      <c r="H76" s="643">
        <v>2000000</v>
      </c>
      <c r="I76" s="643">
        <v>99689</v>
      </c>
      <c r="J76" s="643">
        <v>945703</v>
      </c>
      <c r="K76" s="644">
        <f t="shared" si="5"/>
        <v>5075914</v>
      </c>
      <c r="L76" s="643">
        <v>1378088</v>
      </c>
      <c r="M76" s="643">
        <v>0</v>
      </c>
      <c r="N76" s="644">
        <f t="shared" si="6"/>
        <v>1378088</v>
      </c>
      <c r="O76" s="643">
        <v>945703</v>
      </c>
      <c r="P76" s="643">
        <v>0</v>
      </c>
      <c r="Q76" s="644">
        <f>IF($A76="","",IF(AND($C76="白金タクシー",$A76&gt;=DATE(2017,9,1)),ROUND(GETPIVOTDATA("合計 / タクシー運賃",【ピボット】事業所売上!$A$3,"年月",$A76,"事業所コード",$B76,"事業所",$C76)*5.1%,0),0))</f>
        <v>0</v>
      </c>
      <c r="R76" s="643">
        <v>0</v>
      </c>
      <c r="S76" s="643">
        <v>0</v>
      </c>
      <c r="T76" s="643">
        <v>0</v>
      </c>
      <c r="U76" s="644">
        <f t="shared" si="7"/>
        <v>0</v>
      </c>
      <c r="V76" s="643">
        <v>5835</v>
      </c>
      <c r="W76" s="643">
        <v>288359</v>
      </c>
      <c r="X76" s="643">
        <v>0</v>
      </c>
      <c r="Y76" s="643">
        <v>0</v>
      </c>
    </row>
    <row r="77" spans="1:25" x14ac:dyDescent="0.15">
      <c r="A77" s="642">
        <v>42705</v>
      </c>
      <c r="B77" s="640" t="str">
        <f t="shared" ca="1" si="4"/>
        <v>01</v>
      </c>
      <c r="C77" s="639" t="s">
        <v>34</v>
      </c>
      <c r="D77" s="644">
        <f ca="1">IF(A77="","",IFERROR(GETPIVOTDATA("合計 / 合計",【ピボット】事業所売上!$A$3,"年月",$A77,"事業所コード",$B77,"事業所",$C77),0))</f>
        <v>9429676</v>
      </c>
      <c r="E77" s="643">
        <v>3180091</v>
      </c>
      <c r="F77" s="643">
        <v>1874773</v>
      </c>
      <c r="G77" s="643">
        <v>2350000</v>
      </c>
      <c r="H77" s="643">
        <v>0</v>
      </c>
      <c r="I77" s="643">
        <v>79253</v>
      </c>
      <c r="J77" s="643">
        <v>12480</v>
      </c>
      <c r="K77" s="644">
        <f t="shared" si="5"/>
        <v>7496597</v>
      </c>
      <c r="L77" s="643">
        <v>750550</v>
      </c>
      <c r="M77" s="643">
        <v>0</v>
      </c>
      <c r="N77" s="644">
        <f t="shared" si="6"/>
        <v>750550</v>
      </c>
      <c r="O77" s="643">
        <v>86400</v>
      </c>
      <c r="P77" s="643">
        <v>0</v>
      </c>
      <c r="Q77" s="644">
        <f>IF($A77="","",IF(AND($C77="白金タクシー",$A77&gt;=DATE(2017,9,1)),ROUND(GETPIVOTDATA("合計 / タクシー運賃",【ピボット】事業所売上!$A$3,"年月",$A77,"事業所コード",$B77,"事業所",$C77)*5.1%,0),0))</f>
        <v>0</v>
      </c>
      <c r="R77" s="643">
        <v>0</v>
      </c>
      <c r="S77" s="643">
        <v>0</v>
      </c>
      <c r="T77" s="643">
        <v>0</v>
      </c>
      <c r="U77" s="644">
        <f t="shared" si="7"/>
        <v>0</v>
      </c>
      <c r="V77" s="643">
        <v>0</v>
      </c>
      <c r="W77" s="643">
        <v>0</v>
      </c>
      <c r="X77" s="643">
        <v>0</v>
      </c>
      <c r="Y77" s="643">
        <v>0</v>
      </c>
    </row>
    <row r="78" spans="1:25" x14ac:dyDescent="0.15">
      <c r="A78" s="642">
        <v>42705</v>
      </c>
      <c r="B78" s="640" t="str">
        <f t="shared" ca="1" si="4"/>
        <v>02</v>
      </c>
      <c r="C78" s="639" t="s">
        <v>37</v>
      </c>
      <c r="D78" s="644">
        <f ca="1">IF(A78="","",IFERROR(GETPIVOTDATA("合計 / 合計",【ピボット】事業所売上!$A$3,"年月",$A78,"事業所コード",$B78,"事業所",$C78),0))</f>
        <v>5039563</v>
      </c>
      <c r="E78" s="643">
        <v>1456597</v>
      </c>
      <c r="F78" s="643">
        <v>1687063</v>
      </c>
      <c r="G78" s="643">
        <v>1719400</v>
      </c>
      <c r="H78" s="643">
        <v>0</v>
      </c>
      <c r="I78" s="643">
        <v>74219</v>
      </c>
      <c r="J78" s="643">
        <v>8259</v>
      </c>
      <c r="K78" s="644">
        <f t="shared" si="5"/>
        <v>4945538</v>
      </c>
      <c r="L78" s="643">
        <v>962317</v>
      </c>
      <c r="M78" s="643">
        <v>0</v>
      </c>
      <c r="N78" s="644">
        <f t="shared" si="6"/>
        <v>962317</v>
      </c>
      <c r="O78" s="643">
        <v>8259</v>
      </c>
      <c r="P78" s="643">
        <v>0</v>
      </c>
      <c r="Q78" s="644">
        <f>IF($A78="","",IF(AND($C78="白金タクシー",$A78&gt;=DATE(2017,9,1)),ROUND(GETPIVOTDATA("合計 / タクシー運賃",【ピボット】事業所売上!$A$3,"年月",$A78,"事業所コード",$B78,"事業所",$C78)*5.1%,0),0))</f>
        <v>0</v>
      </c>
      <c r="R78" s="643">
        <v>0</v>
      </c>
      <c r="S78" s="643">
        <v>0</v>
      </c>
      <c r="T78" s="643">
        <v>0</v>
      </c>
      <c r="U78" s="644">
        <f t="shared" si="7"/>
        <v>0</v>
      </c>
      <c r="V78" s="643">
        <v>0</v>
      </c>
      <c r="W78" s="643">
        <v>0</v>
      </c>
      <c r="X78" s="643">
        <v>0</v>
      </c>
      <c r="Y78" s="643">
        <v>0</v>
      </c>
    </row>
    <row r="79" spans="1:25" x14ac:dyDescent="0.15">
      <c r="A79" s="642">
        <v>42705</v>
      </c>
      <c r="B79" s="640" t="str">
        <f t="shared" ca="1" si="4"/>
        <v>03</v>
      </c>
      <c r="C79" s="639" t="s">
        <v>66</v>
      </c>
      <c r="D79" s="644">
        <f ca="1">IF(A79="","",IFERROR(GETPIVOTDATA("合計 / 合計",【ピボット】事業所売上!$A$3,"年月",$A79,"事業所コード",$B79,"事業所",$C79),0))</f>
        <v>4736224</v>
      </c>
      <c r="E79" s="643">
        <v>1086861</v>
      </c>
      <c r="F79" s="643">
        <v>1484731</v>
      </c>
      <c r="G79" s="643">
        <v>874000</v>
      </c>
      <c r="H79" s="643">
        <v>0</v>
      </c>
      <c r="I79" s="643">
        <v>67236</v>
      </c>
      <c r="J79" s="643">
        <v>14634</v>
      </c>
      <c r="K79" s="644">
        <f t="shared" si="5"/>
        <v>3527462</v>
      </c>
      <c r="L79" s="643">
        <v>682453</v>
      </c>
      <c r="M79" s="643">
        <v>0</v>
      </c>
      <c r="N79" s="644">
        <f t="shared" si="6"/>
        <v>682453</v>
      </c>
      <c r="O79" s="643">
        <v>51840</v>
      </c>
      <c r="P79" s="643">
        <v>0</v>
      </c>
      <c r="Q79" s="644">
        <f>IF($A79="","",IF(AND($C79="白金タクシー",$A79&gt;=DATE(2017,9,1)),ROUND(GETPIVOTDATA("合計 / タクシー運賃",【ピボット】事業所売上!$A$3,"年月",$A79,"事業所コード",$B79,"事業所",$C79)*5.1%,0),0))</f>
        <v>0</v>
      </c>
      <c r="R79" s="643">
        <v>0</v>
      </c>
      <c r="S79" s="643">
        <v>0</v>
      </c>
      <c r="T79" s="643">
        <v>0</v>
      </c>
      <c r="U79" s="644">
        <f t="shared" si="7"/>
        <v>0</v>
      </c>
      <c r="V79" s="643">
        <v>0</v>
      </c>
      <c r="W79" s="643">
        <v>0</v>
      </c>
      <c r="X79" s="643">
        <v>0</v>
      </c>
      <c r="Y79" s="643">
        <v>0</v>
      </c>
    </row>
    <row r="80" spans="1:25" x14ac:dyDescent="0.15">
      <c r="A80" s="642">
        <v>42705</v>
      </c>
      <c r="B80" s="640" t="str">
        <f t="shared" ca="1" si="4"/>
        <v>04</v>
      </c>
      <c r="C80" s="639" t="s">
        <v>358</v>
      </c>
      <c r="D80" s="644">
        <f ca="1">IF(A80="","",IFERROR(GETPIVOTDATA("合計 / 合計",【ピボット】事業所売上!$A$3,"年月",$A80,"事業所コード",$B80,"事業所",$C80),0))</f>
        <v>2643734</v>
      </c>
      <c r="E80" s="643">
        <v>766187</v>
      </c>
      <c r="F80" s="643">
        <v>723372</v>
      </c>
      <c r="G80" s="643">
        <v>610000</v>
      </c>
      <c r="H80" s="643">
        <v>0</v>
      </c>
      <c r="I80" s="643">
        <v>26852</v>
      </c>
      <c r="J80" s="643">
        <v>23002</v>
      </c>
      <c r="K80" s="644">
        <f t="shared" si="5"/>
        <v>2149413</v>
      </c>
      <c r="L80" s="643">
        <v>791010</v>
      </c>
      <c r="M80" s="643">
        <v>0</v>
      </c>
      <c r="N80" s="644">
        <f t="shared" si="6"/>
        <v>791010</v>
      </c>
      <c r="O80" s="643">
        <v>23002</v>
      </c>
      <c r="P80" s="643">
        <v>0</v>
      </c>
      <c r="Q80" s="644">
        <f>IF($A80="","",IF(AND($C80="白金タクシー",$A80&gt;=DATE(2017,9,1)),ROUND(GETPIVOTDATA("合計 / タクシー運賃",【ピボット】事業所売上!$A$3,"年月",$A80,"事業所コード",$B80,"事業所",$C80)*5.1%,0),0))</f>
        <v>0</v>
      </c>
      <c r="R80" s="643">
        <v>0</v>
      </c>
      <c r="S80" s="643">
        <v>0</v>
      </c>
      <c r="T80" s="643">
        <v>0</v>
      </c>
      <c r="U80" s="644">
        <f t="shared" si="7"/>
        <v>0</v>
      </c>
      <c r="V80" s="643">
        <v>0</v>
      </c>
      <c r="W80" s="643">
        <v>0</v>
      </c>
      <c r="X80" s="643">
        <v>0</v>
      </c>
      <c r="Y80" s="643">
        <v>0</v>
      </c>
    </row>
    <row r="81" spans="1:25" x14ac:dyDescent="0.15">
      <c r="A81" s="642">
        <v>42705</v>
      </c>
      <c r="B81" s="640" t="str">
        <f t="shared" ca="1" si="4"/>
        <v>05</v>
      </c>
      <c r="C81" s="639" t="s">
        <v>38</v>
      </c>
      <c r="D81" s="644">
        <f ca="1">IF(A81="","",IFERROR(GETPIVOTDATA("合計 / 合計",【ピボット】事業所売上!$A$3,"年月",$A81,"事業所コード",$B81,"事業所",$C81),0))</f>
        <v>3007506</v>
      </c>
      <c r="E81" s="643">
        <v>920017</v>
      </c>
      <c r="F81" s="643">
        <v>0</v>
      </c>
      <c r="G81" s="643">
        <v>120000</v>
      </c>
      <c r="H81" s="643">
        <v>0</v>
      </c>
      <c r="I81" s="643">
        <v>7849</v>
      </c>
      <c r="J81" s="643">
        <v>21868</v>
      </c>
      <c r="K81" s="644">
        <f t="shared" si="5"/>
        <v>1069734</v>
      </c>
      <c r="L81" s="643">
        <v>233725</v>
      </c>
      <c r="M81" s="643">
        <v>0</v>
      </c>
      <c r="N81" s="644">
        <f t="shared" si="6"/>
        <v>233725</v>
      </c>
      <c r="O81" s="643">
        <v>16200</v>
      </c>
      <c r="P81" s="643">
        <v>0</v>
      </c>
      <c r="Q81" s="644">
        <f>IF($A81="","",IF(AND($C81="白金タクシー",$A81&gt;=DATE(2017,9,1)),ROUND(GETPIVOTDATA("合計 / タクシー運賃",【ピボット】事業所売上!$A$3,"年月",$A81,"事業所コード",$B81,"事業所",$C81)*5.1%,0),0))</f>
        <v>0</v>
      </c>
      <c r="R81" s="643">
        <v>0</v>
      </c>
      <c r="S81" s="643">
        <v>0</v>
      </c>
      <c r="T81" s="643">
        <v>0</v>
      </c>
      <c r="U81" s="644">
        <f t="shared" si="7"/>
        <v>0</v>
      </c>
      <c r="V81" s="643">
        <v>0</v>
      </c>
      <c r="W81" s="643">
        <v>0</v>
      </c>
      <c r="X81" s="643">
        <v>0</v>
      </c>
      <c r="Y81" s="643">
        <v>0</v>
      </c>
    </row>
    <row r="82" spans="1:25" x14ac:dyDescent="0.15">
      <c r="A82" s="642">
        <v>42705</v>
      </c>
      <c r="B82" s="640" t="str">
        <f t="shared" ca="1" si="4"/>
        <v>06</v>
      </c>
      <c r="C82" s="639" t="s">
        <v>57</v>
      </c>
      <c r="D82" s="644">
        <f ca="1">IF(A82="","",IFERROR(GETPIVOTDATA("合計 / 合計",【ピボット】事業所売上!$A$3,"年月",$A82,"事業所コード",$B82,"事業所",$C82),0))</f>
        <v>1205513</v>
      </c>
      <c r="E82" s="643">
        <v>703187</v>
      </c>
      <c r="F82" s="643">
        <v>279000</v>
      </c>
      <c r="G82" s="643">
        <v>198000</v>
      </c>
      <c r="H82" s="643">
        <v>0</v>
      </c>
      <c r="I82" s="643">
        <v>10757</v>
      </c>
      <c r="J82" s="643">
        <v>1134</v>
      </c>
      <c r="K82" s="644">
        <f t="shared" si="5"/>
        <v>1192078</v>
      </c>
      <c r="L82" s="643">
        <v>357981</v>
      </c>
      <c r="M82" s="643">
        <v>0</v>
      </c>
      <c r="N82" s="644">
        <f t="shared" si="6"/>
        <v>357981</v>
      </c>
      <c r="O82" s="643">
        <v>16200</v>
      </c>
      <c r="P82" s="643">
        <v>0</v>
      </c>
      <c r="Q82" s="644">
        <f>IF($A82="","",IF(AND($C82="白金タクシー",$A82&gt;=DATE(2017,9,1)),ROUND(GETPIVOTDATA("合計 / タクシー運賃",【ピボット】事業所売上!$A$3,"年月",$A82,"事業所コード",$B82,"事業所",$C82)*5.1%,0),0))</f>
        <v>0</v>
      </c>
      <c r="R82" s="643">
        <v>0</v>
      </c>
      <c r="S82" s="643">
        <v>0</v>
      </c>
      <c r="T82" s="643">
        <v>0</v>
      </c>
      <c r="U82" s="644">
        <f t="shared" si="7"/>
        <v>0</v>
      </c>
      <c r="V82" s="643">
        <v>0</v>
      </c>
      <c r="W82" s="643">
        <v>0</v>
      </c>
      <c r="X82" s="643">
        <v>0</v>
      </c>
      <c r="Y82" s="643">
        <v>0</v>
      </c>
    </row>
    <row r="83" spans="1:25" x14ac:dyDescent="0.15">
      <c r="A83" s="642">
        <v>42705</v>
      </c>
      <c r="B83" s="640" t="str">
        <f t="shared" ca="1" si="4"/>
        <v>07</v>
      </c>
      <c r="C83" s="639" t="s">
        <v>119</v>
      </c>
      <c r="D83" s="644">
        <f ca="1">IF(A83="","",IFERROR(GETPIVOTDATA("合計 / 合計",【ピボット】事業所売上!$A$3,"年月",$A83,"事業所コード",$B83,"事業所",$C83),0))</f>
        <v>1762337</v>
      </c>
      <c r="E83" s="643">
        <v>381890</v>
      </c>
      <c r="F83" s="643">
        <v>0</v>
      </c>
      <c r="G83" s="643">
        <v>30000</v>
      </c>
      <c r="H83" s="643">
        <v>0</v>
      </c>
      <c r="I83" s="643">
        <v>6594</v>
      </c>
      <c r="J83" s="643">
        <v>1134</v>
      </c>
      <c r="K83" s="644">
        <f t="shared" si="5"/>
        <v>419618</v>
      </c>
      <c r="L83" s="643">
        <v>144094</v>
      </c>
      <c r="M83" s="643">
        <v>0</v>
      </c>
      <c r="N83" s="644">
        <f t="shared" si="6"/>
        <v>144094</v>
      </c>
      <c r="O83" s="643">
        <v>0</v>
      </c>
      <c r="P83" s="643">
        <v>0</v>
      </c>
      <c r="Q83" s="644">
        <f>IF($A83="","",IF(AND($C83="白金タクシー",$A83&gt;=DATE(2017,9,1)),ROUND(GETPIVOTDATA("合計 / タクシー運賃",【ピボット】事業所売上!$A$3,"年月",$A83,"事業所コード",$B83,"事業所",$C83)*5.1%,0),0))</f>
        <v>0</v>
      </c>
      <c r="R83" s="643">
        <v>0</v>
      </c>
      <c r="S83" s="643">
        <v>0</v>
      </c>
      <c r="T83" s="643">
        <v>0</v>
      </c>
      <c r="U83" s="644">
        <f t="shared" si="7"/>
        <v>0</v>
      </c>
      <c r="V83" s="643">
        <v>0</v>
      </c>
      <c r="W83" s="643">
        <v>0</v>
      </c>
      <c r="X83" s="643">
        <v>0</v>
      </c>
      <c r="Y83" s="643">
        <v>0</v>
      </c>
    </row>
    <row r="84" spans="1:25" x14ac:dyDescent="0.15">
      <c r="A84" s="642">
        <v>42705</v>
      </c>
      <c r="B84" s="640" t="str">
        <f t="shared" ca="1" si="4"/>
        <v>08</v>
      </c>
      <c r="C84" s="639" t="s">
        <v>189</v>
      </c>
      <c r="D84" s="644">
        <f ca="1">IF(A84="","",IFERROR(GETPIVOTDATA("合計 / 合計",【ピボット】事業所売上!$A$3,"年月",$A84,"事業所コード",$B84,"事業所",$C84),0))</f>
        <v>1447077</v>
      </c>
      <c r="E84" s="643">
        <v>213942</v>
      </c>
      <c r="F84" s="643">
        <v>0</v>
      </c>
      <c r="G84" s="643">
        <v>0</v>
      </c>
      <c r="H84" s="643">
        <v>0</v>
      </c>
      <c r="I84" s="643">
        <v>0</v>
      </c>
      <c r="J84" s="643">
        <v>0</v>
      </c>
      <c r="K84" s="644">
        <f t="shared" si="5"/>
        <v>213942</v>
      </c>
      <c r="L84" s="643">
        <v>284222</v>
      </c>
      <c r="M84" s="643">
        <v>0</v>
      </c>
      <c r="N84" s="644">
        <f t="shared" si="6"/>
        <v>284222</v>
      </c>
      <c r="O84" s="643">
        <v>0</v>
      </c>
      <c r="P84" s="643">
        <v>0</v>
      </c>
      <c r="Q84" s="644">
        <f>IF($A84="","",IF(AND($C84="白金タクシー",$A84&gt;=DATE(2017,9,1)),ROUND(GETPIVOTDATA("合計 / タクシー運賃",【ピボット】事業所売上!$A$3,"年月",$A84,"事業所コード",$B84,"事業所",$C84)*5.1%,0),0))</f>
        <v>0</v>
      </c>
      <c r="R84" s="643">
        <v>0</v>
      </c>
      <c r="S84" s="643">
        <v>0</v>
      </c>
      <c r="T84" s="643">
        <v>0</v>
      </c>
      <c r="U84" s="644">
        <f t="shared" si="7"/>
        <v>0</v>
      </c>
      <c r="V84" s="643">
        <v>0</v>
      </c>
      <c r="W84" s="643">
        <v>0</v>
      </c>
      <c r="X84" s="643">
        <v>0</v>
      </c>
      <c r="Y84" s="643">
        <v>0</v>
      </c>
    </row>
    <row r="85" spans="1:25" x14ac:dyDescent="0.15">
      <c r="A85" s="642">
        <v>42705</v>
      </c>
      <c r="B85" s="640" t="str">
        <f t="shared" ca="1" si="4"/>
        <v>09</v>
      </c>
      <c r="C85" s="639" t="s">
        <v>329</v>
      </c>
      <c r="D85" s="644">
        <f ca="1">IF(A85="","",IFERROR(GETPIVOTDATA("合計 / 合計",【ピボット】事業所売上!$A$3,"年月",$A85,"事業所コード",$B85,"事業所",$C85),0))</f>
        <v>0</v>
      </c>
      <c r="E85" s="643">
        <v>0</v>
      </c>
      <c r="F85" s="643">
        <v>0</v>
      </c>
      <c r="G85" s="643">
        <v>0</v>
      </c>
      <c r="H85" s="643">
        <v>0</v>
      </c>
      <c r="I85" s="643">
        <v>0</v>
      </c>
      <c r="J85" s="643">
        <v>0</v>
      </c>
      <c r="K85" s="644">
        <f t="shared" si="5"/>
        <v>0</v>
      </c>
      <c r="L85" s="643">
        <v>579376</v>
      </c>
      <c r="M85" s="643">
        <v>0</v>
      </c>
      <c r="N85" s="644">
        <f t="shared" si="6"/>
        <v>579376</v>
      </c>
      <c r="O85" s="643">
        <v>0</v>
      </c>
      <c r="P85" s="643">
        <v>0</v>
      </c>
      <c r="Q85" s="644">
        <f>IF($A85="","",IF(AND($C85="白金タクシー",$A85&gt;=DATE(2017,9,1)),ROUND(GETPIVOTDATA("合計 / タクシー運賃",【ピボット】事業所売上!$A$3,"年月",$A85,"事業所コード",$B85,"事業所",$C85)*5.1%,0),0))</f>
        <v>0</v>
      </c>
      <c r="R85" s="643">
        <v>0</v>
      </c>
      <c r="S85" s="643">
        <v>0</v>
      </c>
      <c r="T85" s="643">
        <v>0</v>
      </c>
      <c r="U85" s="644">
        <f t="shared" si="7"/>
        <v>0</v>
      </c>
      <c r="V85" s="643">
        <v>0</v>
      </c>
      <c r="W85" s="643">
        <v>0</v>
      </c>
      <c r="X85" s="643">
        <v>0</v>
      </c>
      <c r="Y85" s="643">
        <v>0</v>
      </c>
    </row>
    <row r="86" spans="1:25" x14ac:dyDescent="0.15">
      <c r="A86" s="642">
        <v>42705</v>
      </c>
      <c r="B86" s="640" t="str">
        <f t="shared" ca="1" si="4"/>
        <v>10</v>
      </c>
      <c r="C86" s="639" t="s">
        <v>336</v>
      </c>
      <c r="D86" s="644">
        <f ca="1">IF(A86="","",IFERROR(GETPIVOTDATA("合計 / 合計",【ピボット】事業所売上!$A$3,"年月",$A86,"事業所コード",$B86,"事業所",$C86),0))</f>
        <v>3214266</v>
      </c>
      <c r="E86" s="643">
        <v>491288</v>
      </c>
      <c r="F86" s="643">
        <v>1042790</v>
      </c>
      <c r="G86" s="643">
        <v>560000</v>
      </c>
      <c r="H86" s="643">
        <v>0</v>
      </c>
      <c r="I86" s="643">
        <v>38586</v>
      </c>
      <c r="J86" s="643">
        <v>3402</v>
      </c>
      <c r="K86" s="644">
        <f t="shared" si="5"/>
        <v>2136066</v>
      </c>
      <c r="L86" s="643">
        <v>804949</v>
      </c>
      <c r="M86" s="643">
        <v>0</v>
      </c>
      <c r="N86" s="644">
        <f t="shared" si="6"/>
        <v>804949</v>
      </c>
      <c r="O86" s="643">
        <v>0</v>
      </c>
      <c r="P86" s="643">
        <v>0</v>
      </c>
      <c r="Q86" s="644">
        <f>IF($A86="","",IF(AND($C86="白金タクシー",$A86&gt;=DATE(2017,9,1)),ROUND(GETPIVOTDATA("合計 / タクシー運賃",【ピボット】事業所売上!$A$3,"年月",$A86,"事業所コード",$B86,"事業所",$C86)*5.1%,0),0))</f>
        <v>0</v>
      </c>
      <c r="R86" s="643">
        <v>0</v>
      </c>
      <c r="S86" s="643">
        <v>0</v>
      </c>
      <c r="T86" s="643">
        <v>0</v>
      </c>
      <c r="U86" s="644">
        <f t="shared" si="7"/>
        <v>0</v>
      </c>
      <c r="V86" s="643">
        <v>0</v>
      </c>
      <c r="W86" s="643">
        <v>0</v>
      </c>
      <c r="X86" s="643">
        <v>0</v>
      </c>
      <c r="Y86" s="643">
        <v>0</v>
      </c>
    </row>
    <row r="87" spans="1:25" x14ac:dyDescent="0.15">
      <c r="A87" s="642">
        <f>EDATE(A86,1)</f>
        <v>42736</v>
      </c>
      <c r="B87" s="640" t="str">
        <f t="shared" ca="1" si="4"/>
        <v>00</v>
      </c>
      <c r="C87" s="639" t="s">
        <v>490</v>
      </c>
      <c r="D87" s="644">
        <f ca="1">IF(A87="","",IFERROR(GETPIVOTDATA("合計 / 合計",【ピボット】事業所売上!$A$3,"年月",$A87,"事業所コード",$B87,"事業所",$C87),0))</f>
        <v>50067</v>
      </c>
      <c r="E87" s="643">
        <v>54400</v>
      </c>
      <c r="F87" s="643">
        <v>1298890</v>
      </c>
      <c r="G87" s="643">
        <v>0</v>
      </c>
      <c r="H87" s="643">
        <v>2000000</v>
      </c>
      <c r="I87" s="643">
        <v>963443</v>
      </c>
      <c r="J87" s="643">
        <v>23333</v>
      </c>
      <c r="K87" s="644">
        <f t="shared" si="5"/>
        <v>4340066</v>
      </c>
      <c r="L87" s="643">
        <v>1693942</v>
      </c>
      <c r="M87" s="643">
        <v>0</v>
      </c>
      <c r="N87" s="644">
        <f t="shared" si="6"/>
        <v>1693942</v>
      </c>
      <c r="O87" s="643">
        <v>359640</v>
      </c>
      <c r="P87" s="643">
        <v>0</v>
      </c>
      <c r="Q87" s="644">
        <f>IF($A87="","",IF(AND($C87="白金タクシー",$A87&gt;=DATE(2017,9,1)),ROUND(GETPIVOTDATA("合計 / タクシー運賃",【ピボット】事業所売上!$A$3,"年月",$A87,"事業所コード",$B87,"事業所",$C87)*5.1%,0),0))</f>
        <v>0</v>
      </c>
      <c r="R87" s="643">
        <v>0</v>
      </c>
      <c r="S87" s="643">
        <v>0</v>
      </c>
      <c r="T87" s="643">
        <v>0</v>
      </c>
      <c r="U87" s="644">
        <f t="shared" si="7"/>
        <v>0</v>
      </c>
      <c r="V87" s="643">
        <v>6823</v>
      </c>
      <c r="W87" s="643">
        <v>718794</v>
      </c>
      <c r="X87" s="643">
        <v>0</v>
      </c>
      <c r="Y87" s="643">
        <v>0</v>
      </c>
    </row>
    <row r="88" spans="1:25" x14ac:dyDescent="0.15">
      <c r="A88" s="642">
        <v>42736</v>
      </c>
      <c r="B88" s="640" t="str">
        <f t="shared" ca="1" si="4"/>
        <v>01</v>
      </c>
      <c r="C88" s="639" t="s">
        <v>34</v>
      </c>
      <c r="D88" s="644">
        <f ca="1">IF(A88="","",IFERROR(GETPIVOTDATA("合計 / 合計",【ピボット】事業所売上!$A$3,"年月",$A88,"事業所コード",$B88,"事業所",$C88),0))</f>
        <v>8999817</v>
      </c>
      <c r="E88" s="643">
        <v>3310378</v>
      </c>
      <c r="F88" s="643">
        <v>1888409</v>
      </c>
      <c r="G88" s="643">
        <v>0</v>
      </c>
      <c r="H88" s="643">
        <v>0</v>
      </c>
      <c r="I88" s="643">
        <v>765679</v>
      </c>
      <c r="J88" s="643">
        <v>16152</v>
      </c>
      <c r="K88" s="644">
        <f t="shared" si="5"/>
        <v>5980618</v>
      </c>
      <c r="L88" s="643">
        <v>927441</v>
      </c>
      <c r="M88" s="643">
        <v>0</v>
      </c>
      <c r="N88" s="644">
        <f t="shared" si="6"/>
        <v>927441</v>
      </c>
      <c r="O88" s="643">
        <v>70200</v>
      </c>
      <c r="P88" s="643">
        <v>0</v>
      </c>
      <c r="Q88" s="644">
        <f>IF($A88="","",IF(AND($C88="白金タクシー",$A88&gt;=DATE(2017,9,1)),ROUND(GETPIVOTDATA("合計 / タクシー運賃",【ピボット】事業所売上!$A$3,"年月",$A88,"事業所コード",$B88,"事業所",$C88)*5.1%,0),0))</f>
        <v>0</v>
      </c>
      <c r="R88" s="643">
        <v>0</v>
      </c>
      <c r="S88" s="643">
        <v>0</v>
      </c>
      <c r="T88" s="643">
        <v>0</v>
      </c>
      <c r="U88" s="644">
        <f t="shared" si="7"/>
        <v>0</v>
      </c>
      <c r="V88" s="643">
        <v>0</v>
      </c>
      <c r="W88" s="643">
        <v>0</v>
      </c>
      <c r="X88" s="643">
        <v>0</v>
      </c>
      <c r="Y88" s="643">
        <v>0</v>
      </c>
    </row>
    <row r="89" spans="1:25" x14ac:dyDescent="0.15">
      <c r="A89" s="642">
        <v>42736</v>
      </c>
      <c r="B89" s="640" t="str">
        <f t="shared" ca="1" si="4"/>
        <v>02</v>
      </c>
      <c r="C89" s="639" t="s">
        <v>37</v>
      </c>
      <c r="D89" s="644">
        <f ca="1">IF(A89="","",IFERROR(GETPIVOTDATA("合計 / 合計",【ピボット】事業所売上!$A$3,"年月",$A89,"事業所コード",$B89,"事業所",$C89),0))</f>
        <v>4895576</v>
      </c>
      <c r="E89" s="643">
        <v>1415446</v>
      </c>
      <c r="F89" s="643">
        <v>1739781</v>
      </c>
      <c r="G89" s="643">
        <v>0</v>
      </c>
      <c r="H89" s="643">
        <v>0</v>
      </c>
      <c r="I89" s="643">
        <v>716896</v>
      </c>
      <c r="J89" s="643">
        <v>10018</v>
      </c>
      <c r="K89" s="644">
        <f t="shared" si="5"/>
        <v>3882141</v>
      </c>
      <c r="L89" s="643">
        <v>895928</v>
      </c>
      <c r="M89" s="643">
        <v>0</v>
      </c>
      <c r="N89" s="644">
        <f t="shared" si="6"/>
        <v>895928</v>
      </c>
      <c r="O89" s="643">
        <v>10018</v>
      </c>
      <c r="P89" s="643">
        <v>0</v>
      </c>
      <c r="Q89" s="644">
        <f>IF($A89="","",IF(AND($C89="白金タクシー",$A89&gt;=DATE(2017,9,1)),ROUND(GETPIVOTDATA("合計 / タクシー運賃",【ピボット】事業所売上!$A$3,"年月",$A89,"事業所コード",$B89,"事業所",$C89)*5.1%,0),0))</f>
        <v>0</v>
      </c>
      <c r="R89" s="643">
        <v>0</v>
      </c>
      <c r="S89" s="643">
        <v>0</v>
      </c>
      <c r="T89" s="643">
        <v>0</v>
      </c>
      <c r="U89" s="644">
        <f t="shared" si="7"/>
        <v>0</v>
      </c>
      <c r="V89" s="643">
        <v>0</v>
      </c>
      <c r="W89" s="643">
        <v>0</v>
      </c>
      <c r="X89" s="643">
        <v>0</v>
      </c>
      <c r="Y89" s="643">
        <v>0</v>
      </c>
    </row>
    <row r="90" spans="1:25" x14ac:dyDescent="0.15">
      <c r="A90" s="642">
        <v>42736</v>
      </c>
      <c r="B90" s="640" t="str">
        <f t="shared" ca="1" si="4"/>
        <v>03</v>
      </c>
      <c r="C90" s="639" t="s">
        <v>66</v>
      </c>
      <c r="D90" s="644">
        <f ca="1">IF(A90="","",IFERROR(GETPIVOTDATA("合計 / 合計",【ピボット】事業所売上!$A$3,"年月",$A90,"事業所コード",$B90,"事業所",$C90),0))</f>
        <v>4173208</v>
      </c>
      <c r="E90" s="643">
        <v>1221540</v>
      </c>
      <c r="F90" s="643">
        <v>1480650</v>
      </c>
      <c r="G90" s="643">
        <v>0</v>
      </c>
      <c r="H90" s="643">
        <v>0</v>
      </c>
      <c r="I90" s="643">
        <v>713278</v>
      </c>
      <c r="J90" s="643">
        <v>16548</v>
      </c>
      <c r="K90" s="644">
        <f t="shared" si="5"/>
        <v>3432016</v>
      </c>
      <c r="L90" s="643">
        <v>687236</v>
      </c>
      <c r="M90" s="643">
        <v>0</v>
      </c>
      <c r="N90" s="644">
        <f t="shared" si="6"/>
        <v>687236</v>
      </c>
      <c r="O90" s="643">
        <v>51840</v>
      </c>
      <c r="P90" s="643">
        <v>0</v>
      </c>
      <c r="Q90" s="644">
        <f>IF($A90="","",IF(AND($C90="白金タクシー",$A90&gt;=DATE(2017,9,1)),ROUND(GETPIVOTDATA("合計 / タクシー運賃",【ピボット】事業所売上!$A$3,"年月",$A90,"事業所コード",$B90,"事業所",$C90)*5.1%,0),0))</f>
        <v>0</v>
      </c>
      <c r="R90" s="643">
        <v>0</v>
      </c>
      <c r="S90" s="643">
        <v>0</v>
      </c>
      <c r="T90" s="643">
        <v>0</v>
      </c>
      <c r="U90" s="644">
        <f t="shared" si="7"/>
        <v>0</v>
      </c>
      <c r="V90" s="643">
        <v>0</v>
      </c>
      <c r="W90" s="643">
        <v>0</v>
      </c>
      <c r="X90" s="643">
        <v>0</v>
      </c>
      <c r="Y90" s="643">
        <v>0</v>
      </c>
    </row>
    <row r="91" spans="1:25" x14ac:dyDescent="0.15">
      <c r="A91" s="642">
        <v>42736</v>
      </c>
      <c r="B91" s="640" t="str">
        <f t="shared" ca="1" si="4"/>
        <v>04</v>
      </c>
      <c r="C91" s="639" t="s">
        <v>358</v>
      </c>
      <c r="D91" s="644">
        <f ca="1">IF(A91="","",IFERROR(GETPIVOTDATA("合計 / 合計",【ピボット】事業所売上!$A$3,"年月",$A91,"事業所コード",$B91,"事業所",$C91),0))</f>
        <v>2455055</v>
      </c>
      <c r="E91" s="643">
        <v>613800</v>
      </c>
      <c r="F91" s="643">
        <v>735342</v>
      </c>
      <c r="G91" s="643">
        <v>0</v>
      </c>
      <c r="H91" s="643">
        <v>0</v>
      </c>
      <c r="I91" s="643">
        <v>259501</v>
      </c>
      <c r="J91" s="643">
        <v>3402</v>
      </c>
      <c r="K91" s="644">
        <f t="shared" si="5"/>
        <v>1612045</v>
      </c>
      <c r="L91" s="643">
        <v>998575</v>
      </c>
      <c r="M91" s="643">
        <v>0</v>
      </c>
      <c r="N91" s="644">
        <f t="shared" si="6"/>
        <v>998575</v>
      </c>
      <c r="O91" s="643">
        <v>0</v>
      </c>
      <c r="P91" s="643">
        <v>0</v>
      </c>
      <c r="Q91" s="644">
        <f>IF($A91="","",IF(AND($C91="白金タクシー",$A91&gt;=DATE(2017,9,1)),ROUND(GETPIVOTDATA("合計 / タクシー運賃",【ピボット】事業所売上!$A$3,"年月",$A91,"事業所コード",$B91,"事業所",$C91)*5.1%,0),0))</f>
        <v>0</v>
      </c>
      <c r="R91" s="643">
        <v>0</v>
      </c>
      <c r="S91" s="643">
        <v>0</v>
      </c>
      <c r="T91" s="643">
        <v>0</v>
      </c>
      <c r="U91" s="644">
        <f t="shared" si="7"/>
        <v>0</v>
      </c>
      <c r="V91" s="643">
        <v>0</v>
      </c>
      <c r="W91" s="643">
        <v>0</v>
      </c>
      <c r="X91" s="643">
        <v>0</v>
      </c>
      <c r="Y91" s="643">
        <v>0</v>
      </c>
    </row>
    <row r="92" spans="1:25" x14ac:dyDescent="0.15">
      <c r="A92" s="642">
        <v>42736</v>
      </c>
      <c r="B92" s="640" t="str">
        <f t="shared" ca="1" si="4"/>
        <v>05</v>
      </c>
      <c r="C92" s="639" t="s">
        <v>38</v>
      </c>
      <c r="D92" s="644">
        <f ca="1">IF(A92="","",IFERROR(GETPIVOTDATA("合計 / 合計",【ピボット】事業所売上!$A$3,"年月",$A92,"事業所コード",$B92,"事業所",$C92),0))</f>
        <v>2837215</v>
      </c>
      <c r="E92" s="643">
        <v>810521</v>
      </c>
      <c r="F92" s="643">
        <v>0</v>
      </c>
      <c r="G92" s="643">
        <v>0</v>
      </c>
      <c r="H92" s="643">
        <v>0</v>
      </c>
      <c r="I92" s="643">
        <v>76026</v>
      </c>
      <c r="J92" s="643">
        <v>1134</v>
      </c>
      <c r="K92" s="644">
        <f t="shared" si="5"/>
        <v>887681</v>
      </c>
      <c r="L92" s="643">
        <v>765970</v>
      </c>
      <c r="M92" s="643">
        <v>0</v>
      </c>
      <c r="N92" s="644">
        <f t="shared" si="6"/>
        <v>765970</v>
      </c>
      <c r="O92" s="643">
        <v>16200</v>
      </c>
      <c r="P92" s="643">
        <v>0</v>
      </c>
      <c r="Q92" s="644">
        <f>IF($A92="","",IF(AND($C92="白金タクシー",$A92&gt;=DATE(2017,9,1)),ROUND(GETPIVOTDATA("合計 / タクシー運賃",【ピボット】事業所売上!$A$3,"年月",$A92,"事業所コード",$B92,"事業所",$C92)*5.1%,0),0))</f>
        <v>0</v>
      </c>
      <c r="R92" s="643">
        <v>0</v>
      </c>
      <c r="S92" s="643">
        <v>0</v>
      </c>
      <c r="T92" s="643">
        <v>0</v>
      </c>
      <c r="U92" s="644">
        <f t="shared" si="7"/>
        <v>0</v>
      </c>
      <c r="V92" s="643">
        <v>0</v>
      </c>
      <c r="W92" s="643">
        <v>0</v>
      </c>
      <c r="X92" s="643">
        <v>0</v>
      </c>
      <c r="Y92" s="643">
        <v>0</v>
      </c>
    </row>
    <row r="93" spans="1:25" x14ac:dyDescent="0.15">
      <c r="A93" s="642">
        <v>42736</v>
      </c>
      <c r="B93" s="640" t="str">
        <f t="shared" ca="1" si="4"/>
        <v>06</v>
      </c>
      <c r="C93" s="639" t="s">
        <v>57</v>
      </c>
      <c r="D93" s="644">
        <f ca="1">IF(A93="","",IFERROR(GETPIVOTDATA("合計 / 合計",【ピボット】事業所売上!$A$3,"年月",$A93,"事業所コード",$B93,"事業所",$C93),0))</f>
        <v>1018303</v>
      </c>
      <c r="E93" s="643">
        <v>656902</v>
      </c>
      <c r="F93" s="643">
        <v>291000</v>
      </c>
      <c r="G93" s="643">
        <v>0</v>
      </c>
      <c r="H93" s="643">
        <v>0</v>
      </c>
      <c r="I93" s="643">
        <v>104033</v>
      </c>
      <c r="J93" s="643">
        <v>1134</v>
      </c>
      <c r="K93" s="644">
        <f t="shared" si="5"/>
        <v>1053069</v>
      </c>
      <c r="L93" s="643">
        <v>422104</v>
      </c>
      <c r="M93" s="643">
        <v>0</v>
      </c>
      <c r="N93" s="644">
        <f t="shared" si="6"/>
        <v>422104</v>
      </c>
      <c r="O93" s="643">
        <v>16200</v>
      </c>
      <c r="P93" s="643">
        <v>0</v>
      </c>
      <c r="Q93" s="644">
        <f>IF($A93="","",IF(AND($C93="白金タクシー",$A93&gt;=DATE(2017,9,1)),ROUND(GETPIVOTDATA("合計 / タクシー運賃",【ピボット】事業所売上!$A$3,"年月",$A93,"事業所コード",$B93,"事業所",$C93)*5.1%,0),0))</f>
        <v>0</v>
      </c>
      <c r="R93" s="643">
        <v>0</v>
      </c>
      <c r="S93" s="643">
        <v>0</v>
      </c>
      <c r="T93" s="643">
        <v>0</v>
      </c>
      <c r="U93" s="644">
        <f t="shared" si="7"/>
        <v>0</v>
      </c>
      <c r="V93" s="643">
        <v>0</v>
      </c>
      <c r="W93" s="643">
        <v>0</v>
      </c>
      <c r="X93" s="643">
        <v>0</v>
      </c>
      <c r="Y93" s="643">
        <v>0</v>
      </c>
    </row>
    <row r="94" spans="1:25" x14ac:dyDescent="0.15">
      <c r="A94" s="642">
        <v>42736</v>
      </c>
      <c r="B94" s="640" t="str">
        <f t="shared" ca="1" si="4"/>
        <v>07</v>
      </c>
      <c r="C94" s="639" t="s">
        <v>119</v>
      </c>
      <c r="D94" s="644">
        <f ca="1">IF(A94="","",IFERROR(GETPIVOTDATA("合計 / 合計",【ピボット】事業所売上!$A$3,"年月",$A94,"事業所コード",$B94,"事業所",$C94),0))</f>
        <v>1251664</v>
      </c>
      <c r="E94" s="643">
        <v>368752</v>
      </c>
      <c r="F94" s="643">
        <v>0</v>
      </c>
      <c r="G94" s="643">
        <v>0</v>
      </c>
      <c r="H94" s="643">
        <v>0</v>
      </c>
      <c r="I94" s="643">
        <v>63466</v>
      </c>
      <c r="J94" s="643">
        <v>1134</v>
      </c>
      <c r="K94" s="644">
        <f t="shared" si="5"/>
        <v>433352</v>
      </c>
      <c r="L94" s="643">
        <v>144334</v>
      </c>
      <c r="M94" s="643">
        <v>0</v>
      </c>
      <c r="N94" s="644">
        <f t="shared" si="6"/>
        <v>144334</v>
      </c>
      <c r="O94" s="643">
        <v>20520</v>
      </c>
      <c r="P94" s="643">
        <v>0</v>
      </c>
      <c r="Q94" s="644">
        <f>IF($A94="","",IF(AND($C94="白金タクシー",$A94&gt;=DATE(2017,9,1)),ROUND(GETPIVOTDATA("合計 / タクシー運賃",【ピボット】事業所売上!$A$3,"年月",$A94,"事業所コード",$B94,"事業所",$C94)*5.1%,0),0))</f>
        <v>0</v>
      </c>
      <c r="R94" s="643">
        <v>0</v>
      </c>
      <c r="S94" s="643">
        <v>0</v>
      </c>
      <c r="T94" s="643">
        <v>0</v>
      </c>
      <c r="U94" s="644">
        <f t="shared" si="7"/>
        <v>0</v>
      </c>
      <c r="V94" s="643">
        <v>0</v>
      </c>
      <c r="W94" s="643">
        <v>0</v>
      </c>
      <c r="X94" s="643">
        <v>0</v>
      </c>
      <c r="Y94" s="643">
        <v>0</v>
      </c>
    </row>
    <row r="95" spans="1:25" x14ac:dyDescent="0.15">
      <c r="A95" s="642">
        <v>42736</v>
      </c>
      <c r="B95" s="640" t="str">
        <f t="shared" ca="1" si="4"/>
        <v>08</v>
      </c>
      <c r="C95" s="639" t="s">
        <v>189</v>
      </c>
      <c r="D95" s="644">
        <f ca="1">IF(A95="","",IFERROR(GETPIVOTDATA("合計 / 合計",【ピボット】事業所売上!$A$3,"年月",$A95,"事業所コード",$B95,"事業所",$C95),0))</f>
        <v>609532</v>
      </c>
      <c r="E95" s="643">
        <v>184013</v>
      </c>
      <c r="F95" s="643">
        <v>0</v>
      </c>
      <c r="G95" s="643">
        <v>0</v>
      </c>
      <c r="H95" s="643">
        <v>0</v>
      </c>
      <c r="I95" s="643">
        <v>0</v>
      </c>
      <c r="J95" s="643">
        <v>0</v>
      </c>
      <c r="K95" s="644">
        <f t="shared" si="5"/>
        <v>184013</v>
      </c>
      <c r="L95" s="643">
        <v>312332</v>
      </c>
      <c r="M95" s="643">
        <v>0</v>
      </c>
      <c r="N95" s="644">
        <f t="shared" si="6"/>
        <v>312332</v>
      </c>
      <c r="O95" s="643">
        <v>20520</v>
      </c>
      <c r="P95" s="643">
        <v>0</v>
      </c>
      <c r="Q95" s="644">
        <f>IF($A95="","",IF(AND($C95="白金タクシー",$A95&gt;=DATE(2017,9,1)),ROUND(GETPIVOTDATA("合計 / タクシー運賃",【ピボット】事業所売上!$A$3,"年月",$A95,"事業所コード",$B95,"事業所",$C95)*5.1%,0),0))</f>
        <v>0</v>
      </c>
      <c r="R95" s="643">
        <v>0</v>
      </c>
      <c r="S95" s="643">
        <v>0</v>
      </c>
      <c r="T95" s="643">
        <v>0</v>
      </c>
      <c r="U95" s="644">
        <f t="shared" si="7"/>
        <v>0</v>
      </c>
      <c r="V95" s="643">
        <v>0</v>
      </c>
      <c r="W95" s="643">
        <v>0</v>
      </c>
      <c r="X95" s="643">
        <v>0</v>
      </c>
      <c r="Y95" s="643">
        <v>0</v>
      </c>
    </row>
    <row r="96" spans="1:25" x14ac:dyDescent="0.15">
      <c r="A96" s="642">
        <v>42736</v>
      </c>
      <c r="B96" s="640" t="str">
        <f t="shared" ca="1" si="4"/>
        <v>09</v>
      </c>
      <c r="C96" s="639" t="s">
        <v>329</v>
      </c>
      <c r="D96" s="644">
        <f ca="1">IF(A96="","",IFERROR(GETPIVOTDATA("合計 / 合計",【ピボット】事業所売上!$A$3,"年月",$A96,"事業所コード",$B96,"事業所",$C96),0))</f>
        <v>0</v>
      </c>
      <c r="E96" s="643">
        <v>0</v>
      </c>
      <c r="F96" s="643">
        <v>0</v>
      </c>
      <c r="G96" s="643">
        <v>0</v>
      </c>
      <c r="H96" s="643">
        <v>0</v>
      </c>
      <c r="I96" s="643">
        <v>0</v>
      </c>
      <c r="J96" s="643">
        <v>0</v>
      </c>
      <c r="K96" s="644">
        <f t="shared" si="5"/>
        <v>0</v>
      </c>
      <c r="L96" s="643">
        <v>220651</v>
      </c>
      <c r="M96" s="643">
        <v>0</v>
      </c>
      <c r="N96" s="644">
        <f t="shared" si="6"/>
        <v>220651</v>
      </c>
      <c r="O96" s="643">
        <v>0</v>
      </c>
      <c r="P96" s="643">
        <v>0</v>
      </c>
      <c r="Q96" s="644">
        <f>IF($A96="","",IF(AND($C96="白金タクシー",$A96&gt;=DATE(2017,9,1)),ROUND(GETPIVOTDATA("合計 / タクシー運賃",【ピボット】事業所売上!$A$3,"年月",$A96,"事業所コード",$B96,"事業所",$C96)*5.1%,0),0))</f>
        <v>0</v>
      </c>
      <c r="R96" s="643">
        <v>0</v>
      </c>
      <c r="S96" s="643">
        <v>0</v>
      </c>
      <c r="T96" s="643">
        <v>0</v>
      </c>
      <c r="U96" s="644">
        <f t="shared" si="7"/>
        <v>0</v>
      </c>
      <c r="V96" s="643">
        <v>0</v>
      </c>
      <c r="W96" s="643">
        <v>0</v>
      </c>
      <c r="X96" s="643">
        <v>0</v>
      </c>
      <c r="Y96" s="643">
        <v>0</v>
      </c>
    </row>
    <row r="97" spans="1:25" x14ac:dyDescent="0.15">
      <c r="A97" s="642">
        <v>42736</v>
      </c>
      <c r="B97" s="640" t="str">
        <f t="shared" ca="1" si="4"/>
        <v>10</v>
      </c>
      <c r="C97" s="639" t="s">
        <v>336</v>
      </c>
      <c r="D97" s="644">
        <f ca="1">IF(A97="","",IFERROR(GETPIVOTDATA("合計 / 合計",【ピボット】事業所売上!$A$3,"年月",$A97,"事業所コード",$B97,"事業所",$C97),0))</f>
        <v>2944280</v>
      </c>
      <c r="E97" s="643">
        <v>662256</v>
      </c>
      <c r="F97" s="643">
        <v>916404</v>
      </c>
      <c r="G97" s="643">
        <v>0</v>
      </c>
      <c r="H97" s="643">
        <v>0</v>
      </c>
      <c r="I97" s="643">
        <v>309249</v>
      </c>
      <c r="J97" s="643">
        <v>13236</v>
      </c>
      <c r="K97" s="644">
        <f t="shared" si="5"/>
        <v>1901145</v>
      </c>
      <c r="L97" s="643">
        <v>910333</v>
      </c>
      <c r="M97" s="643">
        <v>0</v>
      </c>
      <c r="N97" s="644">
        <f t="shared" si="6"/>
        <v>910333</v>
      </c>
      <c r="O97" s="643">
        <v>35100</v>
      </c>
      <c r="P97" s="643">
        <v>0</v>
      </c>
      <c r="Q97" s="644">
        <f>IF($A97="","",IF(AND($C97="白金タクシー",$A97&gt;=DATE(2017,9,1)),ROUND(GETPIVOTDATA("合計 / タクシー運賃",【ピボット】事業所売上!$A$3,"年月",$A97,"事業所コード",$B97,"事業所",$C97)*5.1%,0),0))</f>
        <v>0</v>
      </c>
      <c r="R97" s="643">
        <v>0</v>
      </c>
      <c r="S97" s="643">
        <v>0</v>
      </c>
      <c r="T97" s="643">
        <v>0</v>
      </c>
      <c r="U97" s="644">
        <f t="shared" si="7"/>
        <v>0</v>
      </c>
      <c r="V97" s="643">
        <v>0</v>
      </c>
      <c r="W97" s="643">
        <v>0</v>
      </c>
      <c r="X97" s="643">
        <v>0</v>
      </c>
      <c r="Y97" s="643">
        <v>0</v>
      </c>
    </row>
    <row r="98" spans="1:25" x14ac:dyDescent="0.15">
      <c r="A98" s="642">
        <f>EDATE(A97,1)</f>
        <v>42767</v>
      </c>
      <c r="B98" s="640" t="str">
        <f t="shared" ca="1" si="4"/>
        <v>00</v>
      </c>
      <c r="C98" s="639" t="s">
        <v>490</v>
      </c>
      <c r="D98" s="644">
        <f ca="1">IF(A98="","",IFERROR(GETPIVOTDATA("合計 / 合計",【ピボット】事業所売上!$A$3,"年月",$A98,"事業所コード",$B98,"事業所",$C98),0))</f>
        <v>0</v>
      </c>
      <c r="E98" s="643">
        <v>54400</v>
      </c>
      <c r="F98" s="643">
        <v>1073654</v>
      </c>
      <c r="G98" s="643">
        <v>0</v>
      </c>
      <c r="H98" s="643">
        <v>2000000</v>
      </c>
      <c r="I98" s="643">
        <v>309956</v>
      </c>
      <c r="J98" s="643">
        <v>7938</v>
      </c>
      <c r="K98" s="644">
        <f t="shared" si="5"/>
        <v>3445948</v>
      </c>
      <c r="L98" s="643">
        <v>1382643</v>
      </c>
      <c r="M98" s="643">
        <v>0</v>
      </c>
      <c r="N98" s="644">
        <f t="shared" si="6"/>
        <v>1382643</v>
      </c>
      <c r="O98" s="643">
        <v>4950</v>
      </c>
      <c r="P98" s="643">
        <v>0</v>
      </c>
      <c r="Q98" s="644">
        <f>IF($A98="","",IF(AND($C98="白金タクシー",$A98&gt;=DATE(2017,9,1)),ROUND(GETPIVOTDATA("合計 / タクシー運賃",【ピボット】事業所売上!$A$3,"年月",$A98,"事業所コード",$B98,"事業所",$C98)*5.1%,0),0))</f>
        <v>0</v>
      </c>
      <c r="R98" s="643">
        <v>0</v>
      </c>
      <c r="S98" s="643">
        <v>0</v>
      </c>
      <c r="T98" s="643">
        <v>0</v>
      </c>
      <c r="U98" s="644">
        <f t="shared" si="7"/>
        <v>0</v>
      </c>
      <c r="V98" s="643">
        <v>6434</v>
      </c>
      <c r="W98" s="643">
        <v>173112</v>
      </c>
      <c r="X98" s="643">
        <v>0</v>
      </c>
      <c r="Y98" s="643">
        <v>0</v>
      </c>
    </row>
    <row r="99" spans="1:25" x14ac:dyDescent="0.15">
      <c r="A99" s="642">
        <v>42767</v>
      </c>
      <c r="B99" s="640" t="str">
        <f t="shared" ca="1" si="4"/>
        <v>01</v>
      </c>
      <c r="C99" s="639" t="s">
        <v>34</v>
      </c>
      <c r="D99" s="644">
        <f ca="1">IF(A99="","",IFERROR(GETPIVOTDATA("合計 / 合計",【ピボット】事業所売上!$A$3,"年月",$A99,"事業所コード",$B99,"事業所",$C99),0))</f>
        <v>8785743</v>
      </c>
      <c r="E99" s="643">
        <v>3132119</v>
      </c>
      <c r="F99" s="643">
        <v>1865921</v>
      </c>
      <c r="G99" s="643">
        <v>0</v>
      </c>
      <c r="H99" s="643">
        <v>0</v>
      </c>
      <c r="I99" s="643">
        <v>274142</v>
      </c>
      <c r="J99" s="643">
        <v>84226</v>
      </c>
      <c r="K99" s="644">
        <f t="shared" si="5"/>
        <v>5356408</v>
      </c>
      <c r="L99" s="643">
        <v>649921</v>
      </c>
      <c r="M99" s="643">
        <v>0</v>
      </c>
      <c r="N99" s="644">
        <f t="shared" si="6"/>
        <v>649921</v>
      </c>
      <c r="O99" s="643">
        <v>15552</v>
      </c>
      <c r="P99" s="643">
        <v>0</v>
      </c>
      <c r="Q99" s="644">
        <f>IF($A99="","",IF(AND($C99="白金タクシー",$A99&gt;=DATE(2017,9,1)),ROUND(GETPIVOTDATA("合計 / タクシー運賃",【ピボット】事業所売上!$A$3,"年月",$A99,"事業所コード",$B99,"事業所",$C99)*5.1%,0),0))</f>
        <v>0</v>
      </c>
      <c r="R99" s="643">
        <v>0</v>
      </c>
      <c r="S99" s="643">
        <v>0</v>
      </c>
      <c r="T99" s="643">
        <v>0</v>
      </c>
      <c r="U99" s="644">
        <f t="shared" si="7"/>
        <v>0</v>
      </c>
      <c r="V99" s="643">
        <v>0</v>
      </c>
      <c r="W99" s="643">
        <v>0</v>
      </c>
      <c r="X99" s="643">
        <v>0</v>
      </c>
      <c r="Y99" s="643">
        <v>0</v>
      </c>
    </row>
    <row r="100" spans="1:25" x14ac:dyDescent="0.15">
      <c r="A100" s="642">
        <v>42767</v>
      </c>
      <c r="B100" s="640" t="str">
        <f t="shared" ca="1" si="4"/>
        <v>02</v>
      </c>
      <c r="C100" s="639" t="s">
        <v>37</v>
      </c>
      <c r="D100" s="644">
        <f ca="1">IF(A100="","",IFERROR(GETPIVOTDATA("合計 / 合計",【ピボット】事業所売上!$A$3,"年月",$A100,"事業所コード",$B100,"事業所",$C100),0))</f>
        <v>4964922</v>
      </c>
      <c r="E100" s="643">
        <v>1336510</v>
      </c>
      <c r="F100" s="643">
        <v>1643034</v>
      </c>
      <c r="G100" s="643">
        <v>0</v>
      </c>
      <c r="H100" s="643">
        <v>0</v>
      </c>
      <c r="I100" s="643">
        <v>256969</v>
      </c>
      <c r="J100" s="643">
        <v>13138</v>
      </c>
      <c r="K100" s="644">
        <f t="shared" si="5"/>
        <v>3249651</v>
      </c>
      <c r="L100" s="643">
        <v>955436</v>
      </c>
      <c r="M100" s="643">
        <v>0</v>
      </c>
      <c r="N100" s="644">
        <f t="shared" si="6"/>
        <v>955436</v>
      </c>
      <c r="O100" s="643">
        <v>13138</v>
      </c>
      <c r="P100" s="643">
        <v>0</v>
      </c>
      <c r="Q100" s="644">
        <f>IF($A100="","",IF(AND($C100="白金タクシー",$A100&gt;=DATE(2017,9,1)),ROUND(GETPIVOTDATA("合計 / タクシー運賃",【ピボット】事業所売上!$A$3,"年月",$A100,"事業所コード",$B100,"事業所",$C100)*5.1%,0),0))</f>
        <v>0</v>
      </c>
      <c r="R100" s="643">
        <v>0</v>
      </c>
      <c r="S100" s="643">
        <v>0</v>
      </c>
      <c r="T100" s="643">
        <v>0</v>
      </c>
      <c r="U100" s="644">
        <f t="shared" si="7"/>
        <v>0</v>
      </c>
      <c r="V100" s="643">
        <v>0</v>
      </c>
      <c r="W100" s="643">
        <v>0</v>
      </c>
      <c r="X100" s="643">
        <v>0</v>
      </c>
      <c r="Y100" s="643">
        <v>0</v>
      </c>
    </row>
    <row r="101" spans="1:25" x14ac:dyDescent="0.15">
      <c r="A101" s="642">
        <v>42767</v>
      </c>
      <c r="B101" s="640" t="str">
        <f t="shared" ca="1" si="4"/>
        <v>03</v>
      </c>
      <c r="C101" s="639" t="s">
        <v>66</v>
      </c>
      <c r="D101" s="644">
        <f ca="1">IF(A101="","",IFERROR(GETPIVOTDATA("合計 / 合計",【ピボット】事業所売上!$A$3,"年月",$A101,"事業所コード",$B101,"事業所",$C101),0))</f>
        <v>4262755</v>
      </c>
      <c r="E101" s="643">
        <v>1144155</v>
      </c>
      <c r="F101" s="643">
        <v>1439667</v>
      </c>
      <c r="G101" s="643">
        <v>0</v>
      </c>
      <c r="H101" s="643">
        <v>0</v>
      </c>
      <c r="I101" s="643">
        <v>255302</v>
      </c>
      <c r="J101" s="643">
        <v>9404</v>
      </c>
      <c r="K101" s="644">
        <f t="shared" si="5"/>
        <v>2848528</v>
      </c>
      <c r="L101" s="643">
        <v>770772</v>
      </c>
      <c r="M101" s="643">
        <v>0</v>
      </c>
      <c r="N101" s="644">
        <f t="shared" si="6"/>
        <v>770772</v>
      </c>
      <c r="O101" s="643">
        <v>68040</v>
      </c>
      <c r="P101" s="643">
        <v>0</v>
      </c>
      <c r="Q101" s="644">
        <f>IF($A101="","",IF(AND($C101="白金タクシー",$A101&gt;=DATE(2017,9,1)),ROUND(GETPIVOTDATA("合計 / タクシー運賃",【ピボット】事業所売上!$A$3,"年月",$A101,"事業所コード",$B101,"事業所",$C101)*5.1%,0),0))</f>
        <v>0</v>
      </c>
      <c r="R101" s="643">
        <v>0</v>
      </c>
      <c r="S101" s="643">
        <v>0</v>
      </c>
      <c r="T101" s="643">
        <v>0</v>
      </c>
      <c r="U101" s="644">
        <f t="shared" si="7"/>
        <v>0</v>
      </c>
      <c r="V101" s="643">
        <v>0</v>
      </c>
      <c r="W101" s="643">
        <v>0</v>
      </c>
      <c r="X101" s="643">
        <v>0</v>
      </c>
      <c r="Y101" s="643">
        <v>0</v>
      </c>
    </row>
    <row r="102" spans="1:25" x14ac:dyDescent="0.15">
      <c r="A102" s="642">
        <v>42767</v>
      </c>
      <c r="B102" s="640" t="str">
        <f t="shared" ca="1" si="4"/>
        <v>04</v>
      </c>
      <c r="C102" s="639" t="s">
        <v>358</v>
      </c>
      <c r="D102" s="644">
        <f ca="1">IF(A102="","",IFERROR(GETPIVOTDATA("合計 / 合計",【ピボット】事業所売上!$A$3,"年月",$A102,"事業所コード",$B102,"事業所",$C102),0))</f>
        <v>3054922</v>
      </c>
      <c r="E102" s="643">
        <v>617237</v>
      </c>
      <c r="F102" s="643">
        <v>729413</v>
      </c>
      <c r="G102" s="643">
        <v>0</v>
      </c>
      <c r="H102" s="643">
        <v>0</v>
      </c>
      <c r="I102" s="643">
        <v>92919</v>
      </c>
      <c r="J102" s="643">
        <v>3402</v>
      </c>
      <c r="K102" s="644">
        <f t="shared" si="5"/>
        <v>1442971</v>
      </c>
      <c r="L102" s="643">
        <v>784274</v>
      </c>
      <c r="M102" s="643">
        <v>0</v>
      </c>
      <c r="N102" s="644">
        <f t="shared" si="6"/>
        <v>784274</v>
      </c>
      <c r="O102" s="643">
        <v>0</v>
      </c>
      <c r="P102" s="643">
        <v>0</v>
      </c>
      <c r="Q102" s="644">
        <f>IF($A102="","",IF(AND($C102="白金タクシー",$A102&gt;=DATE(2017,9,1)),ROUND(GETPIVOTDATA("合計 / タクシー運賃",【ピボット】事業所売上!$A$3,"年月",$A102,"事業所コード",$B102,"事業所",$C102)*5.1%,0),0))</f>
        <v>0</v>
      </c>
      <c r="R102" s="643">
        <v>0</v>
      </c>
      <c r="S102" s="643">
        <v>0</v>
      </c>
      <c r="T102" s="643">
        <v>0</v>
      </c>
      <c r="U102" s="644">
        <f t="shared" si="7"/>
        <v>0</v>
      </c>
      <c r="V102" s="643">
        <v>0</v>
      </c>
      <c r="W102" s="643">
        <v>0</v>
      </c>
      <c r="X102" s="643">
        <v>0</v>
      </c>
      <c r="Y102" s="643">
        <v>0</v>
      </c>
    </row>
    <row r="103" spans="1:25" x14ac:dyDescent="0.15">
      <c r="A103" s="642">
        <v>42767</v>
      </c>
      <c r="B103" s="640" t="str">
        <f t="shared" ca="1" si="4"/>
        <v>05</v>
      </c>
      <c r="C103" s="639" t="s">
        <v>38</v>
      </c>
      <c r="D103" s="644">
        <f ca="1">IF(A103="","",IFERROR(GETPIVOTDATA("合計 / 合計",【ピボット】事業所売上!$A$3,"年月",$A103,"事業所コード",$B103,"事業所",$C103),0))</f>
        <v>2860800</v>
      </c>
      <c r="E103" s="643">
        <v>746997</v>
      </c>
      <c r="F103" s="643">
        <v>0</v>
      </c>
      <c r="G103" s="643">
        <v>0</v>
      </c>
      <c r="H103" s="643">
        <v>0</v>
      </c>
      <c r="I103" s="643">
        <v>27150</v>
      </c>
      <c r="J103" s="643">
        <v>1134</v>
      </c>
      <c r="K103" s="644">
        <f t="shared" si="5"/>
        <v>775281</v>
      </c>
      <c r="L103" s="643">
        <v>1017278</v>
      </c>
      <c r="M103" s="643">
        <v>0</v>
      </c>
      <c r="N103" s="644">
        <f t="shared" si="6"/>
        <v>1017278</v>
      </c>
      <c r="O103" s="643">
        <v>34992</v>
      </c>
      <c r="P103" s="643">
        <v>0</v>
      </c>
      <c r="Q103" s="644">
        <f>IF($A103="","",IF(AND($C103="白金タクシー",$A103&gt;=DATE(2017,9,1)),ROUND(GETPIVOTDATA("合計 / タクシー運賃",【ピボット】事業所売上!$A$3,"年月",$A103,"事業所コード",$B103,"事業所",$C103)*5.1%,0),0))</f>
        <v>0</v>
      </c>
      <c r="R103" s="643">
        <v>0</v>
      </c>
      <c r="S103" s="643">
        <v>0</v>
      </c>
      <c r="T103" s="643">
        <v>0</v>
      </c>
      <c r="U103" s="644">
        <f t="shared" si="7"/>
        <v>0</v>
      </c>
      <c r="V103" s="643">
        <v>0</v>
      </c>
      <c r="W103" s="643">
        <v>0</v>
      </c>
      <c r="X103" s="643">
        <v>0</v>
      </c>
      <c r="Y103" s="643">
        <v>0</v>
      </c>
    </row>
    <row r="104" spans="1:25" x14ac:dyDescent="0.15">
      <c r="A104" s="642">
        <v>42767</v>
      </c>
      <c r="B104" s="640" t="str">
        <f t="shared" ca="1" si="4"/>
        <v>06</v>
      </c>
      <c r="C104" s="639" t="s">
        <v>57</v>
      </c>
      <c r="D104" s="644">
        <f ca="1">IF(A104="","",IFERROR(GETPIVOTDATA("合計 / 合計",【ピボット】事業所売上!$A$3,"年月",$A104,"事業所コード",$B104,"事業所",$C104),0))</f>
        <v>954579</v>
      </c>
      <c r="E104" s="643">
        <v>544207</v>
      </c>
      <c r="F104" s="643">
        <v>275000</v>
      </c>
      <c r="G104" s="643">
        <v>0</v>
      </c>
      <c r="H104" s="643">
        <v>0</v>
      </c>
      <c r="I104" s="643">
        <v>37199</v>
      </c>
      <c r="J104" s="643">
        <v>1134</v>
      </c>
      <c r="K104" s="644">
        <f t="shared" si="5"/>
        <v>857540</v>
      </c>
      <c r="L104" s="643">
        <v>404704</v>
      </c>
      <c r="M104" s="643">
        <v>0</v>
      </c>
      <c r="N104" s="644">
        <f t="shared" si="6"/>
        <v>404704</v>
      </c>
      <c r="O104" s="643">
        <v>34992</v>
      </c>
      <c r="P104" s="643">
        <v>0</v>
      </c>
      <c r="Q104" s="644">
        <f>IF($A104="","",IF(AND($C104="白金タクシー",$A104&gt;=DATE(2017,9,1)),ROUND(GETPIVOTDATA("合計 / タクシー運賃",【ピボット】事業所売上!$A$3,"年月",$A104,"事業所コード",$B104,"事業所",$C104)*5.1%,0),0))</f>
        <v>0</v>
      </c>
      <c r="R104" s="643">
        <v>0</v>
      </c>
      <c r="S104" s="643">
        <v>0</v>
      </c>
      <c r="T104" s="643">
        <v>0</v>
      </c>
      <c r="U104" s="644">
        <f t="shared" si="7"/>
        <v>0</v>
      </c>
      <c r="V104" s="643">
        <v>0</v>
      </c>
      <c r="W104" s="643">
        <v>0</v>
      </c>
      <c r="X104" s="643">
        <v>0</v>
      </c>
      <c r="Y104" s="643">
        <v>0</v>
      </c>
    </row>
    <row r="105" spans="1:25" x14ac:dyDescent="0.15">
      <c r="A105" s="642">
        <v>42767</v>
      </c>
      <c r="B105" s="640" t="str">
        <f t="shared" ca="1" si="4"/>
        <v>07</v>
      </c>
      <c r="C105" s="639" t="s">
        <v>119</v>
      </c>
      <c r="D105" s="644">
        <f ca="1">IF(A105="","",IFERROR(GETPIVOTDATA("合計 / 合計",【ピボット】事業所売上!$A$3,"年月",$A105,"事業所コード",$B105,"事業所",$C105),0))</f>
        <v>946853</v>
      </c>
      <c r="E105" s="643">
        <v>332511</v>
      </c>
      <c r="F105" s="643">
        <v>50000</v>
      </c>
      <c r="G105" s="643">
        <v>0</v>
      </c>
      <c r="H105" s="643">
        <v>0</v>
      </c>
      <c r="I105" s="643">
        <v>22766</v>
      </c>
      <c r="J105" s="643">
        <v>1134</v>
      </c>
      <c r="K105" s="644">
        <f t="shared" si="5"/>
        <v>406411</v>
      </c>
      <c r="L105" s="643">
        <v>160354</v>
      </c>
      <c r="M105" s="643">
        <v>0</v>
      </c>
      <c r="N105" s="644">
        <f t="shared" si="6"/>
        <v>160354</v>
      </c>
      <c r="O105" s="643">
        <v>41472</v>
      </c>
      <c r="P105" s="643">
        <v>0</v>
      </c>
      <c r="Q105" s="644">
        <f>IF($A105="","",IF(AND($C105="白金タクシー",$A105&gt;=DATE(2017,9,1)),ROUND(GETPIVOTDATA("合計 / タクシー運賃",【ピボット】事業所売上!$A$3,"年月",$A105,"事業所コード",$B105,"事業所",$C105)*5.1%,0),0))</f>
        <v>0</v>
      </c>
      <c r="R105" s="643">
        <v>0</v>
      </c>
      <c r="S105" s="643">
        <v>0</v>
      </c>
      <c r="T105" s="643">
        <v>0</v>
      </c>
      <c r="U105" s="644">
        <f t="shared" si="7"/>
        <v>0</v>
      </c>
      <c r="V105" s="643">
        <v>0</v>
      </c>
      <c r="W105" s="643">
        <v>0</v>
      </c>
      <c r="X105" s="643">
        <v>0</v>
      </c>
      <c r="Y105" s="643">
        <v>0</v>
      </c>
    </row>
    <row r="106" spans="1:25" x14ac:dyDescent="0.15">
      <c r="A106" s="642">
        <v>42767</v>
      </c>
      <c r="B106" s="640" t="str">
        <f t="shared" ca="1" si="4"/>
        <v>08</v>
      </c>
      <c r="C106" s="639" t="s">
        <v>189</v>
      </c>
      <c r="D106" s="644">
        <f ca="1">IF(A106="","",IFERROR(GETPIVOTDATA("合計 / 合計",【ピボット】事業所売上!$A$3,"年月",$A106,"事業所コード",$B106,"事業所",$C106),0))</f>
        <v>554394</v>
      </c>
      <c r="E106" s="643">
        <v>147335</v>
      </c>
      <c r="F106" s="643">
        <v>50000</v>
      </c>
      <c r="G106" s="643">
        <v>0</v>
      </c>
      <c r="H106" s="643">
        <v>0</v>
      </c>
      <c r="I106" s="643">
        <v>0</v>
      </c>
      <c r="J106" s="643">
        <v>0</v>
      </c>
      <c r="K106" s="644">
        <f t="shared" si="5"/>
        <v>197335</v>
      </c>
      <c r="L106" s="643">
        <v>376715</v>
      </c>
      <c r="M106" s="643">
        <v>0</v>
      </c>
      <c r="N106" s="644">
        <f t="shared" si="6"/>
        <v>376715</v>
      </c>
      <c r="O106" s="643">
        <v>41472</v>
      </c>
      <c r="P106" s="643">
        <v>0</v>
      </c>
      <c r="Q106" s="644">
        <f>IF($A106="","",IF(AND($C106="白金タクシー",$A106&gt;=DATE(2017,9,1)),ROUND(GETPIVOTDATA("合計 / タクシー運賃",【ピボット】事業所売上!$A$3,"年月",$A106,"事業所コード",$B106,"事業所",$C106)*5.1%,0),0))</f>
        <v>0</v>
      </c>
      <c r="R106" s="643">
        <v>0</v>
      </c>
      <c r="S106" s="643">
        <v>0</v>
      </c>
      <c r="T106" s="643">
        <v>0</v>
      </c>
      <c r="U106" s="644">
        <f t="shared" si="7"/>
        <v>0</v>
      </c>
      <c r="V106" s="643">
        <v>0</v>
      </c>
      <c r="W106" s="643">
        <v>0</v>
      </c>
      <c r="X106" s="643">
        <v>0</v>
      </c>
      <c r="Y106" s="643">
        <v>0</v>
      </c>
    </row>
    <row r="107" spans="1:25" x14ac:dyDescent="0.15">
      <c r="A107" s="642">
        <v>42767</v>
      </c>
      <c r="B107" s="640" t="str">
        <f t="shared" ca="1" si="4"/>
        <v>09</v>
      </c>
      <c r="C107" s="639" t="s">
        <v>329</v>
      </c>
      <c r="D107" s="644">
        <f ca="1">IF(A107="","",IFERROR(GETPIVOTDATA("合計 / 合計",【ピボット】事業所売上!$A$3,"年月",$A107,"事業所コード",$B107,"事業所",$C107),0))</f>
        <v>0</v>
      </c>
      <c r="E107" s="643">
        <v>0</v>
      </c>
      <c r="F107" s="643">
        <v>0</v>
      </c>
      <c r="G107" s="643">
        <v>0</v>
      </c>
      <c r="H107" s="643">
        <v>0</v>
      </c>
      <c r="I107" s="643">
        <v>0</v>
      </c>
      <c r="J107" s="643">
        <v>0</v>
      </c>
      <c r="K107" s="644">
        <f t="shared" si="5"/>
        <v>0</v>
      </c>
      <c r="L107" s="643">
        <v>175912</v>
      </c>
      <c r="M107" s="643">
        <v>0</v>
      </c>
      <c r="N107" s="644">
        <f t="shared" si="6"/>
        <v>175912</v>
      </c>
      <c r="O107" s="643">
        <v>0</v>
      </c>
      <c r="P107" s="643">
        <v>0</v>
      </c>
      <c r="Q107" s="644">
        <f>IF($A107="","",IF(AND($C107="白金タクシー",$A107&gt;=DATE(2017,9,1)),ROUND(GETPIVOTDATA("合計 / タクシー運賃",【ピボット】事業所売上!$A$3,"年月",$A107,"事業所コード",$B107,"事業所",$C107)*5.1%,0),0))</f>
        <v>0</v>
      </c>
      <c r="R107" s="643">
        <v>0</v>
      </c>
      <c r="S107" s="643">
        <v>0</v>
      </c>
      <c r="T107" s="643">
        <v>0</v>
      </c>
      <c r="U107" s="644">
        <f t="shared" si="7"/>
        <v>0</v>
      </c>
      <c r="V107" s="643">
        <v>0</v>
      </c>
      <c r="W107" s="643">
        <v>0</v>
      </c>
      <c r="X107" s="643">
        <v>0</v>
      </c>
      <c r="Y107" s="643">
        <v>0</v>
      </c>
    </row>
    <row r="108" spans="1:25" x14ac:dyDescent="0.15">
      <c r="A108" s="642">
        <v>42767</v>
      </c>
      <c r="B108" s="640" t="str">
        <f t="shared" ca="1" si="4"/>
        <v>10</v>
      </c>
      <c r="C108" s="639" t="s">
        <v>336</v>
      </c>
      <c r="D108" s="644">
        <f ca="1">IF(A108="","",IFERROR(GETPIVOTDATA("合計 / 合計",【ピボット】事業所売上!$A$3,"年月",$A108,"事業所コード",$B108,"事業所",$C108),0))</f>
        <v>2904610</v>
      </c>
      <c r="E108" s="643">
        <v>526361</v>
      </c>
      <c r="F108" s="643">
        <v>983651</v>
      </c>
      <c r="G108" s="643">
        <v>0</v>
      </c>
      <c r="H108" s="643">
        <v>0</v>
      </c>
      <c r="I108" s="643">
        <v>111011</v>
      </c>
      <c r="J108" s="643">
        <v>9236</v>
      </c>
      <c r="K108" s="644">
        <f t="shared" si="5"/>
        <v>1630259</v>
      </c>
      <c r="L108" s="643">
        <v>894242</v>
      </c>
      <c r="M108" s="643">
        <v>0</v>
      </c>
      <c r="N108" s="644">
        <f t="shared" si="6"/>
        <v>894242</v>
      </c>
      <c r="O108" s="643">
        <v>0</v>
      </c>
      <c r="P108" s="643">
        <v>0</v>
      </c>
      <c r="Q108" s="644">
        <f>IF($A108="","",IF(AND($C108="白金タクシー",$A108&gt;=DATE(2017,9,1)),ROUND(GETPIVOTDATA("合計 / タクシー運賃",【ピボット】事業所売上!$A$3,"年月",$A108,"事業所コード",$B108,"事業所",$C108)*5.1%,0),0))</f>
        <v>0</v>
      </c>
      <c r="R108" s="643">
        <v>0</v>
      </c>
      <c r="S108" s="643">
        <v>0</v>
      </c>
      <c r="T108" s="643">
        <v>0</v>
      </c>
      <c r="U108" s="644">
        <f t="shared" si="7"/>
        <v>0</v>
      </c>
      <c r="V108" s="643">
        <v>0</v>
      </c>
      <c r="W108" s="643">
        <v>0</v>
      </c>
      <c r="X108" s="643">
        <v>0</v>
      </c>
      <c r="Y108" s="643">
        <v>0</v>
      </c>
    </row>
    <row r="109" spans="1:25" x14ac:dyDescent="0.15">
      <c r="A109" s="642">
        <f>EDATE(A108,1)</f>
        <v>42795</v>
      </c>
      <c r="B109" s="640" t="str">
        <f t="shared" ca="1" si="4"/>
        <v>00</v>
      </c>
      <c r="C109" s="639" t="s">
        <v>490</v>
      </c>
      <c r="D109" s="644">
        <f ca="1">IF(A109="","",IFERROR(GETPIVOTDATA("合計 / 合計",【ピボット】事業所売上!$A$3,"年月",$A109,"事業所コード",$B109,"事業所",$C109),0))</f>
        <v>0</v>
      </c>
      <c r="E109" s="643">
        <v>51000</v>
      </c>
      <c r="F109" s="643">
        <v>1072116</v>
      </c>
      <c r="G109" s="643">
        <v>0</v>
      </c>
      <c r="H109" s="643">
        <v>2000000</v>
      </c>
      <c r="I109" s="643">
        <v>299581</v>
      </c>
      <c r="J109" s="643">
        <v>37938</v>
      </c>
      <c r="K109" s="644">
        <f t="shared" si="5"/>
        <v>3460635</v>
      </c>
      <c r="L109" s="643">
        <v>1851208</v>
      </c>
      <c r="M109" s="643">
        <v>0</v>
      </c>
      <c r="N109" s="644">
        <f t="shared" si="6"/>
        <v>1851208</v>
      </c>
      <c r="O109" s="643">
        <v>0</v>
      </c>
      <c r="P109" s="643">
        <v>0</v>
      </c>
      <c r="Q109" s="644">
        <f>IF($A109="","",IF(AND($C109="白金タクシー",$A109&gt;=DATE(2017,9,1)),ROUND(GETPIVOTDATA("合計 / タクシー運賃",【ピボット】事業所売上!$A$3,"年月",$A109,"事業所コード",$B109,"事業所",$C109)*5.1%,0),0))</f>
        <v>0</v>
      </c>
      <c r="R109" s="643">
        <v>0</v>
      </c>
      <c r="S109" s="643">
        <v>0</v>
      </c>
      <c r="T109" s="643">
        <v>0</v>
      </c>
      <c r="U109" s="644">
        <f t="shared" si="7"/>
        <v>0</v>
      </c>
      <c r="V109" s="643">
        <v>700432</v>
      </c>
      <c r="W109" s="643">
        <v>146394</v>
      </c>
      <c r="X109" s="643">
        <v>-500912</v>
      </c>
      <c r="Y109" s="643">
        <v>0</v>
      </c>
    </row>
    <row r="110" spans="1:25" x14ac:dyDescent="0.15">
      <c r="A110" s="642">
        <v>42795</v>
      </c>
      <c r="B110" s="640" t="str">
        <f t="shared" ref="B110:B173" ca="1" si="8">IF(C110="","",VLOOKUP(C110,事業所コード2,2,FALSE))</f>
        <v>01</v>
      </c>
      <c r="C110" s="639" t="s">
        <v>34</v>
      </c>
      <c r="D110" s="644">
        <f ca="1">IF(A110="","",IFERROR(GETPIVOTDATA("合計 / 合計",【ピボット】事業所売上!$A$3,"年月",$A110,"事業所コード",$B110,"事業所",$C110),0))</f>
        <v>9945843</v>
      </c>
      <c r="E110" s="643">
        <v>3371587</v>
      </c>
      <c r="F110" s="643">
        <v>1990889</v>
      </c>
      <c r="G110" s="643">
        <v>0</v>
      </c>
      <c r="H110" s="643">
        <v>0</v>
      </c>
      <c r="I110" s="643">
        <v>285757</v>
      </c>
      <c r="J110" s="643">
        <v>22410</v>
      </c>
      <c r="K110" s="644">
        <f t="shared" si="5"/>
        <v>5670643</v>
      </c>
      <c r="L110" s="643">
        <v>667865</v>
      </c>
      <c r="M110" s="643">
        <v>0</v>
      </c>
      <c r="N110" s="644">
        <f t="shared" si="6"/>
        <v>667865</v>
      </c>
      <c r="O110" s="643">
        <v>0</v>
      </c>
      <c r="P110" s="643">
        <v>0</v>
      </c>
      <c r="Q110" s="644">
        <f>IF($A110="","",IF(AND($C110="白金タクシー",$A110&gt;=DATE(2017,9,1)),ROUND(GETPIVOTDATA("合計 / タクシー運賃",【ピボット】事業所売上!$A$3,"年月",$A110,"事業所コード",$B110,"事業所",$C110)*5.1%,0),0))</f>
        <v>0</v>
      </c>
      <c r="R110" s="643">
        <v>0</v>
      </c>
      <c r="S110" s="643">
        <v>0</v>
      </c>
      <c r="T110" s="643">
        <v>0</v>
      </c>
      <c r="U110" s="644">
        <f t="shared" si="7"/>
        <v>0</v>
      </c>
      <c r="V110" s="643">
        <v>0</v>
      </c>
      <c r="W110" s="643">
        <v>0</v>
      </c>
      <c r="X110" s="643">
        <v>0</v>
      </c>
      <c r="Y110" s="643">
        <v>0</v>
      </c>
    </row>
    <row r="111" spans="1:25" x14ac:dyDescent="0.15">
      <c r="A111" s="642">
        <v>42795</v>
      </c>
      <c r="B111" s="640" t="str">
        <f t="shared" ca="1" si="8"/>
        <v>02</v>
      </c>
      <c r="C111" s="639" t="s">
        <v>37</v>
      </c>
      <c r="D111" s="644">
        <f ca="1">IF(A111="","",IFERROR(GETPIVOTDATA("合計 / 合計",【ピボット】事業所売上!$A$3,"年月",$A111,"事業所コード",$B111,"事業所",$C111),0))</f>
        <v>4868200</v>
      </c>
      <c r="E111" s="643">
        <v>1375628</v>
      </c>
      <c r="F111" s="643">
        <v>1630048</v>
      </c>
      <c r="G111" s="643">
        <v>0</v>
      </c>
      <c r="H111" s="643">
        <v>0</v>
      </c>
      <c r="I111" s="643">
        <v>248149</v>
      </c>
      <c r="J111" s="643">
        <v>9072</v>
      </c>
      <c r="K111" s="644">
        <f t="shared" si="5"/>
        <v>3262897</v>
      </c>
      <c r="L111" s="643">
        <v>1023865</v>
      </c>
      <c r="M111" s="643">
        <v>0</v>
      </c>
      <c r="N111" s="644">
        <f t="shared" si="6"/>
        <v>1023865</v>
      </c>
      <c r="O111" s="643">
        <v>9072</v>
      </c>
      <c r="P111" s="643">
        <v>0</v>
      </c>
      <c r="Q111" s="644">
        <f>IF($A111="","",IF(AND($C111="白金タクシー",$A111&gt;=DATE(2017,9,1)),ROUND(GETPIVOTDATA("合計 / タクシー運賃",【ピボット】事業所売上!$A$3,"年月",$A111,"事業所コード",$B111,"事業所",$C111)*5.1%,0),0))</f>
        <v>0</v>
      </c>
      <c r="R111" s="643">
        <v>0</v>
      </c>
      <c r="S111" s="643">
        <v>0</v>
      </c>
      <c r="T111" s="643">
        <v>0</v>
      </c>
      <c r="U111" s="644">
        <f t="shared" si="7"/>
        <v>0</v>
      </c>
      <c r="V111" s="643">
        <v>0</v>
      </c>
      <c r="W111" s="643">
        <v>0</v>
      </c>
      <c r="X111" s="643">
        <v>0</v>
      </c>
      <c r="Y111" s="643">
        <v>0</v>
      </c>
    </row>
    <row r="112" spans="1:25" x14ac:dyDescent="0.15">
      <c r="A112" s="642">
        <v>42795</v>
      </c>
      <c r="B112" s="640" t="str">
        <f t="shared" ca="1" si="8"/>
        <v>03</v>
      </c>
      <c r="C112" s="639" t="s">
        <v>66</v>
      </c>
      <c r="D112" s="644">
        <f ca="1">IF(A112="","",IFERROR(GETPIVOTDATA("合計 / 合計",【ピボット】事業所売上!$A$3,"年月",$A112,"事業所コード",$B112,"事業所",$C112),0))</f>
        <v>4860213</v>
      </c>
      <c r="E112" s="643">
        <v>1294864</v>
      </c>
      <c r="F112" s="643">
        <v>1410877</v>
      </c>
      <c r="G112" s="643">
        <v>0</v>
      </c>
      <c r="H112" s="643">
        <v>0</v>
      </c>
      <c r="I112" s="643">
        <v>246454</v>
      </c>
      <c r="J112" s="643">
        <v>48291</v>
      </c>
      <c r="K112" s="644">
        <f t="shared" si="5"/>
        <v>3000486</v>
      </c>
      <c r="L112" s="643">
        <v>858028</v>
      </c>
      <c r="M112" s="643">
        <v>0</v>
      </c>
      <c r="N112" s="644">
        <f t="shared" si="6"/>
        <v>858028</v>
      </c>
      <c r="O112" s="643">
        <v>0</v>
      </c>
      <c r="P112" s="643">
        <v>0</v>
      </c>
      <c r="Q112" s="644">
        <f>IF($A112="","",IF(AND($C112="白金タクシー",$A112&gt;=DATE(2017,9,1)),ROUND(GETPIVOTDATA("合計 / タクシー運賃",【ピボット】事業所売上!$A$3,"年月",$A112,"事業所コード",$B112,"事業所",$C112)*5.1%,0),0))</f>
        <v>0</v>
      </c>
      <c r="R112" s="643">
        <v>0</v>
      </c>
      <c r="S112" s="643">
        <v>0</v>
      </c>
      <c r="T112" s="643">
        <v>0</v>
      </c>
      <c r="U112" s="644">
        <f t="shared" si="7"/>
        <v>0</v>
      </c>
      <c r="V112" s="643">
        <v>0</v>
      </c>
      <c r="W112" s="643">
        <v>0</v>
      </c>
      <c r="X112" s="643">
        <v>0</v>
      </c>
      <c r="Y112" s="643">
        <v>0</v>
      </c>
    </row>
    <row r="113" spans="1:25" x14ac:dyDescent="0.15">
      <c r="A113" s="642">
        <v>42795</v>
      </c>
      <c r="B113" s="640" t="str">
        <f t="shared" ca="1" si="8"/>
        <v>04</v>
      </c>
      <c r="C113" s="639" t="s">
        <v>358</v>
      </c>
      <c r="D113" s="644">
        <f ca="1">IF(A113="","",IFERROR(GETPIVOTDATA("合計 / 合計",【ピボット】事業所売上!$A$3,"年月",$A113,"事業所コード",$B113,"事業所",$C113),0))</f>
        <v>3122033</v>
      </c>
      <c r="E113" s="643">
        <v>806310</v>
      </c>
      <c r="F113" s="643">
        <v>733034</v>
      </c>
      <c r="G113" s="643">
        <v>0</v>
      </c>
      <c r="H113" s="643">
        <v>0</v>
      </c>
      <c r="I113" s="643">
        <v>89776</v>
      </c>
      <c r="J113" s="643">
        <v>3402</v>
      </c>
      <c r="K113" s="644">
        <f t="shared" si="5"/>
        <v>1632522</v>
      </c>
      <c r="L113" s="643">
        <v>912870</v>
      </c>
      <c r="M113" s="643">
        <v>0</v>
      </c>
      <c r="N113" s="644">
        <f t="shared" si="6"/>
        <v>912870</v>
      </c>
      <c r="O113" s="643">
        <v>0</v>
      </c>
      <c r="P113" s="643">
        <v>0</v>
      </c>
      <c r="Q113" s="644">
        <f>IF($A113="","",IF(AND($C113="白金タクシー",$A113&gt;=DATE(2017,9,1)),ROUND(GETPIVOTDATA("合計 / タクシー運賃",【ピボット】事業所売上!$A$3,"年月",$A113,"事業所コード",$B113,"事業所",$C113)*5.1%,0),0))</f>
        <v>0</v>
      </c>
      <c r="R113" s="643">
        <v>0</v>
      </c>
      <c r="S113" s="643">
        <v>0</v>
      </c>
      <c r="T113" s="643">
        <v>0</v>
      </c>
      <c r="U113" s="644">
        <f t="shared" si="7"/>
        <v>0</v>
      </c>
      <c r="V113" s="643">
        <v>0</v>
      </c>
      <c r="W113" s="643">
        <v>0</v>
      </c>
      <c r="X113" s="643">
        <v>0</v>
      </c>
      <c r="Y113" s="643">
        <v>0</v>
      </c>
    </row>
    <row r="114" spans="1:25" x14ac:dyDescent="0.15">
      <c r="A114" s="642">
        <v>42795</v>
      </c>
      <c r="B114" s="640" t="str">
        <f t="shared" ca="1" si="8"/>
        <v>05</v>
      </c>
      <c r="C114" s="639" t="s">
        <v>38</v>
      </c>
      <c r="D114" s="644">
        <f ca="1">IF(A114="","",IFERROR(GETPIVOTDATA("合計 / 合計",【ピボット】事業所売上!$A$3,"年月",$A114,"事業所コード",$B114,"事業所",$C114),0))</f>
        <v>3275962</v>
      </c>
      <c r="E114" s="643">
        <v>802271</v>
      </c>
      <c r="F114" s="643">
        <v>354000</v>
      </c>
      <c r="G114" s="643">
        <v>0</v>
      </c>
      <c r="H114" s="643">
        <v>0</v>
      </c>
      <c r="I114" s="643">
        <v>65627</v>
      </c>
      <c r="J114" s="643">
        <v>19234</v>
      </c>
      <c r="K114" s="644">
        <f t="shared" si="5"/>
        <v>1241132</v>
      </c>
      <c r="L114" s="643">
        <v>1232435</v>
      </c>
      <c r="M114" s="643">
        <v>0</v>
      </c>
      <c r="N114" s="644">
        <f t="shared" si="6"/>
        <v>1232435</v>
      </c>
      <c r="O114" s="643">
        <v>0</v>
      </c>
      <c r="P114" s="643">
        <v>0</v>
      </c>
      <c r="Q114" s="644">
        <f>IF($A114="","",IF(AND($C114="白金タクシー",$A114&gt;=DATE(2017,9,1)),ROUND(GETPIVOTDATA("合計 / タクシー運賃",【ピボット】事業所売上!$A$3,"年月",$A114,"事業所コード",$B114,"事業所",$C114)*5.1%,0),0))</f>
        <v>0</v>
      </c>
      <c r="R114" s="643">
        <v>0</v>
      </c>
      <c r="S114" s="643">
        <v>0</v>
      </c>
      <c r="T114" s="643">
        <v>0</v>
      </c>
      <c r="U114" s="644">
        <f t="shared" si="7"/>
        <v>0</v>
      </c>
      <c r="V114" s="643">
        <v>0</v>
      </c>
      <c r="W114" s="643">
        <v>0</v>
      </c>
      <c r="X114" s="643">
        <v>0</v>
      </c>
      <c r="Y114" s="643">
        <v>0</v>
      </c>
    </row>
    <row r="115" spans="1:25" x14ac:dyDescent="0.15">
      <c r="A115" s="642">
        <v>42795</v>
      </c>
      <c r="B115" s="640" t="str">
        <f t="shared" ca="1" si="8"/>
        <v>06</v>
      </c>
      <c r="C115" s="639" t="s">
        <v>57</v>
      </c>
      <c r="D115" s="644">
        <f ca="1">IF(A115="","",IFERROR(GETPIVOTDATA("合計 / 合計",【ピボット】事業所売上!$A$3,"年月",$A115,"事業所コード",$B115,"事業所",$C115),0))</f>
        <v>993559</v>
      </c>
      <c r="E115" s="643">
        <v>572059</v>
      </c>
      <c r="F115" s="643">
        <v>275000</v>
      </c>
      <c r="G115" s="643">
        <v>0</v>
      </c>
      <c r="H115" s="643">
        <v>0</v>
      </c>
      <c r="I115" s="643">
        <v>35963</v>
      </c>
      <c r="J115" s="643">
        <v>17334</v>
      </c>
      <c r="K115" s="644">
        <f t="shared" si="5"/>
        <v>900356</v>
      </c>
      <c r="L115" s="643">
        <v>533700</v>
      </c>
      <c r="M115" s="643">
        <v>0</v>
      </c>
      <c r="N115" s="644">
        <f t="shared" si="6"/>
        <v>533700</v>
      </c>
      <c r="O115" s="643">
        <v>0</v>
      </c>
      <c r="P115" s="643">
        <v>0</v>
      </c>
      <c r="Q115" s="644">
        <f>IF($A115="","",IF(AND($C115="白金タクシー",$A115&gt;=DATE(2017,9,1)),ROUND(GETPIVOTDATA("合計 / タクシー運賃",【ピボット】事業所売上!$A$3,"年月",$A115,"事業所コード",$B115,"事業所",$C115)*5.1%,0),0))</f>
        <v>0</v>
      </c>
      <c r="R115" s="643">
        <v>0</v>
      </c>
      <c r="S115" s="643">
        <v>0</v>
      </c>
      <c r="T115" s="643">
        <v>0</v>
      </c>
      <c r="U115" s="644">
        <f t="shared" si="7"/>
        <v>0</v>
      </c>
      <c r="V115" s="643">
        <v>0</v>
      </c>
      <c r="W115" s="643">
        <v>0</v>
      </c>
      <c r="X115" s="643">
        <v>0</v>
      </c>
      <c r="Y115" s="643">
        <v>0</v>
      </c>
    </row>
    <row r="116" spans="1:25" x14ac:dyDescent="0.15">
      <c r="A116" s="642">
        <v>42795</v>
      </c>
      <c r="B116" s="640" t="str">
        <f t="shared" ca="1" si="8"/>
        <v>07</v>
      </c>
      <c r="C116" s="639" t="s">
        <v>119</v>
      </c>
      <c r="D116" s="644">
        <f ca="1">IF(A116="","",IFERROR(GETPIVOTDATA("合計 / 合計",【ピボット】事業所売上!$A$3,"年月",$A116,"事業所コード",$B116,"事業所",$C116),0))</f>
        <v>823242</v>
      </c>
      <c r="E116" s="643">
        <v>375855</v>
      </c>
      <c r="F116" s="643">
        <v>50000</v>
      </c>
      <c r="G116" s="643">
        <v>0</v>
      </c>
      <c r="H116" s="643">
        <v>0</v>
      </c>
      <c r="I116" s="643">
        <v>22090</v>
      </c>
      <c r="J116" s="643">
        <v>17334</v>
      </c>
      <c r="K116" s="644">
        <f t="shared" si="5"/>
        <v>465279</v>
      </c>
      <c r="L116" s="643">
        <v>138088</v>
      </c>
      <c r="M116" s="643">
        <v>0</v>
      </c>
      <c r="N116" s="644">
        <f t="shared" si="6"/>
        <v>138088</v>
      </c>
      <c r="O116" s="643">
        <v>0</v>
      </c>
      <c r="P116" s="643">
        <v>0</v>
      </c>
      <c r="Q116" s="644">
        <f>IF($A116="","",IF(AND($C116="白金タクシー",$A116&gt;=DATE(2017,9,1)),ROUND(GETPIVOTDATA("合計 / タクシー運賃",【ピボット】事業所売上!$A$3,"年月",$A116,"事業所コード",$B116,"事業所",$C116)*5.1%,0),0))</f>
        <v>0</v>
      </c>
      <c r="R116" s="643">
        <v>0</v>
      </c>
      <c r="S116" s="643">
        <v>0</v>
      </c>
      <c r="T116" s="643">
        <v>0</v>
      </c>
      <c r="U116" s="644">
        <f t="shared" si="7"/>
        <v>0</v>
      </c>
      <c r="V116" s="643">
        <v>0</v>
      </c>
      <c r="W116" s="643">
        <v>0</v>
      </c>
      <c r="X116" s="643">
        <v>0</v>
      </c>
      <c r="Y116" s="643">
        <v>0</v>
      </c>
    </row>
    <row r="117" spans="1:25" x14ac:dyDescent="0.15">
      <c r="A117" s="642">
        <v>42795</v>
      </c>
      <c r="B117" s="640" t="str">
        <f t="shared" ca="1" si="8"/>
        <v>08</v>
      </c>
      <c r="C117" s="639" t="s">
        <v>189</v>
      </c>
      <c r="D117" s="644">
        <f ca="1">IF(A117="","",IFERROR(GETPIVOTDATA("合計 / 合計",【ピボット】事業所売上!$A$3,"年月",$A117,"事業所コード",$B117,"事業所",$C117),0))</f>
        <v>444204</v>
      </c>
      <c r="E117" s="643">
        <v>170300</v>
      </c>
      <c r="F117" s="643">
        <v>50000</v>
      </c>
      <c r="G117" s="643">
        <v>0</v>
      </c>
      <c r="H117" s="643">
        <v>0</v>
      </c>
      <c r="I117" s="643">
        <v>0</v>
      </c>
      <c r="J117" s="643">
        <v>16200</v>
      </c>
      <c r="K117" s="644">
        <f t="shared" si="5"/>
        <v>236500</v>
      </c>
      <c r="L117" s="643">
        <v>362561</v>
      </c>
      <c r="M117" s="643">
        <v>0</v>
      </c>
      <c r="N117" s="644">
        <f t="shared" si="6"/>
        <v>362561</v>
      </c>
      <c r="O117" s="643">
        <v>0</v>
      </c>
      <c r="P117" s="643">
        <v>0</v>
      </c>
      <c r="Q117" s="644">
        <f>IF($A117="","",IF(AND($C117="白金タクシー",$A117&gt;=DATE(2017,9,1)),ROUND(GETPIVOTDATA("合計 / タクシー運賃",【ピボット】事業所売上!$A$3,"年月",$A117,"事業所コード",$B117,"事業所",$C117)*5.1%,0),0))</f>
        <v>0</v>
      </c>
      <c r="R117" s="643">
        <v>0</v>
      </c>
      <c r="S117" s="643">
        <v>0</v>
      </c>
      <c r="T117" s="643">
        <v>0</v>
      </c>
      <c r="U117" s="644">
        <f t="shared" si="7"/>
        <v>0</v>
      </c>
      <c r="V117" s="643">
        <v>0</v>
      </c>
      <c r="W117" s="643">
        <v>0</v>
      </c>
      <c r="X117" s="643">
        <v>0</v>
      </c>
      <c r="Y117" s="643">
        <v>0</v>
      </c>
    </row>
    <row r="118" spans="1:25" x14ac:dyDescent="0.15">
      <c r="A118" s="642">
        <v>42795</v>
      </c>
      <c r="B118" s="640" t="str">
        <f t="shared" ca="1" si="8"/>
        <v>09</v>
      </c>
      <c r="C118" s="639" t="s">
        <v>329</v>
      </c>
      <c r="D118" s="644">
        <f ca="1">IF(A118="","",IFERROR(GETPIVOTDATA("合計 / 合計",【ピボット】事業所売上!$A$3,"年月",$A118,"事業所コード",$B118,"事業所",$C118),0))</f>
        <v>0</v>
      </c>
      <c r="E118" s="643">
        <v>0</v>
      </c>
      <c r="F118" s="643">
        <v>0</v>
      </c>
      <c r="G118" s="643">
        <v>0</v>
      </c>
      <c r="H118" s="643">
        <v>0</v>
      </c>
      <c r="I118" s="643">
        <v>0</v>
      </c>
      <c r="J118" s="643">
        <v>0</v>
      </c>
      <c r="K118" s="644">
        <f t="shared" si="5"/>
        <v>0</v>
      </c>
      <c r="L118" s="643">
        <v>175436</v>
      </c>
      <c r="M118" s="643">
        <v>0</v>
      </c>
      <c r="N118" s="644">
        <f t="shared" si="6"/>
        <v>175436</v>
      </c>
      <c r="O118" s="643">
        <v>0</v>
      </c>
      <c r="P118" s="643">
        <v>0</v>
      </c>
      <c r="Q118" s="644">
        <f>IF($A118="","",IF(AND($C118="白金タクシー",$A118&gt;=DATE(2017,9,1)),ROUND(GETPIVOTDATA("合計 / タクシー運賃",【ピボット】事業所売上!$A$3,"年月",$A118,"事業所コード",$B118,"事業所",$C118)*5.1%,0),0))</f>
        <v>0</v>
      </c>
      <c r="R118" s="643">
        <v>0</v>
      </c>
      <c r="S118" s="643">
        <v>0</v>
      </c>
      <c r="T118" s="643">
        <v>0</v>
      </c>
      <c r="U118" s="644">
        <f t="shared" si="7"/>
        <v>0</v>
      </c>
      <c r="V118" s="643">
        <v>0</v>
      </c>
      <c r="W118" s="643">
        <v>0</v>
      </c>
      <c r="X118" s="643">
        <v>0</v>
      </c>
      <c r="Y118" s="643">
        <v>0</v>
      </c>
    </row>
    <row r="119" spans="1:25" x14ac:dyDescent="0.15">
      <c r="A119" s="642">
        <v>42795</v>
      </c>
      <c r="B119" s="640" t="str">
        <f t="shared" ca="1" si="8"/>
        <v>10</v>
      </c>
      <c r="C119" s="639" t="s">
        <v>336</v>
      </c>
      <c r="D119" s="644">
        <f ca="1">IF(A119="","",IFERROR(GETPIVOTDATA("合計 / 合計",【ピボット】事業所売上!$A$3,"年月",$A119,"事業所コード",$B119,"事業所",$C119),0))</f>
        <v>2895760</v>
      </c>
      <c r="E119" s="643">
        <v>676763</v>
      </c>
      <c r="F119" s="643">
        <v>995174</v>
      </c>
      <c r="G119" s="643">
        <v>0</v>
      </c>
      <c r="H119" s="643">
        <v>0</v>
      </c>
      <c r="I119" s="643">
        <v>128832</v>
      </c>
      <c r="J119" s="643">
        <v>5670</v>
      </c>
      <c r="K119" s="644">
        <f t="shared" si="5"/>
        <v>1806439</v>
      </c>
      <c r="L119" s="643">
        <v>837453</v>
      </c>
      <c r="M119" s="643">
        <v>0</v>
      </c>
      <c r="N119" s="644">
        <f t="shared" si="6"/>
        <v>837453</v>
      </c>
      <c r="O119" s="643">
        <v>0</v>
      </c>
      <c r="P119" s="643">
        <v>0</v>
      </c>
      <c r="Q119" s="644">
        <f>IF($A119="","",IF(AND($C119="白金タクシー",$A119&gt;=DATE(2017,9,1)),ROUND(GETPIVOTDATA("合計 / タクシー運賃",【ピボット】事業所売上!$A$3,"年月",$A119,"事業所コード",$B119,"事業所",$C119)*5.1%,0),0))</f>
        <v>0</v>
      </c>
      <c r="R119" s="643">
        <v>0</v>
      </c>
      <c r="S119" s="643">
        <v>0</v>
      </c>
      <c r="T119" s="643">
        <v>0</v>
      </c>
      <c r="U119" s="644">
        <f t="shared" si="7"/>
        <v>0</v>
      </c>
      <c r="V119" s="643">
        <v>0</v>
      </c>
      <c r="W119" s="643">
        <v>0</v>
      </c>
      <c r="X119" s="643">
        <v>0</v>
      </c>
      <c r="Y119" s="643">
        <v>0</v>
      </c>
    </row>
    <row r="120" spans="1:25" x14ac:dyDescent="0.15">
      <c r="A120" s="642">
        <f>EDATE(A119,1)</f>
        <v>42826</v>
      </c>
      <c r="B120" s="640" t="str">
        <f t="shared" ca="1" si="8"/>
        <v>00</v>
      </c>
      <c r="C120" s="639" t="s">
        <v>490</v>
      </c>
      <c r="D120" s="644">
        <f ca="1">IF(A120="","",IFERROR(GETPIVOTDATA("合計 / 合計",【ピボット】事業所売上!$A$3,"年月",$A120,"事業所コード",$B120,"事業所",$C120),0))</f>
        <v>0</v>
      </c>
      <c r="E120" s="643">
        <v>51000</v>
      </c>
      <c r="F120" s="643">
        <v>927654</v>
      </c>
      <c r="G120" s="643">
        <v>0</v>
      </c>
      <c r="H120" s="643">
        <v>2000000</v>
      </c>
      <c r="I120" s="643">
        <v>309593</v>
      </c>
      <c r="J120" s="643">
        <v>8036</v>
      </c>
      <c r="K120" s="644">
        <f t="shared" si="5"/>
        <v>3296283</v>
      </c>
      <c r="L120" s="643">
        <v>2023487</v>
      </c>
      <c r="M120" s="643">
        <v>0</v>
      </c>
      <c r="N120" s="644">
        <f t="shared" si="6"/>
        <v>2023487</v>
      </c>
      <c r="O120" s="643">
        <v>0</v>
      </c>
      <c r="P120" s="643">
        <v>0</v>
      </c>
      <c r="Q120" s="644">
        <f>IF($A120="","",IF(AND($C120="白金タクシー",$A120&gt;=DATE(2017,9,1)),ROUND(GETPIVOTDATA("合計 / タクシー運賃",【ピボット】事業所売上!$A$3,"年月",$A120,"事業所コード",$B120,"事業所",$C120)*5.1%,0),0))</f>
        <v>0</v>
      </c>
      <c r="R120" s="643">
        <v>0</v>
      </c>
      <c r="S120" s="643">
        <v>0</v>
      </c>
      <c r="T120" s="643">
        <v>0</v>
      </c>
      <c r="U120" s="644">
        <f t="shared" si="7"/>
        <v>0</v>
      </c>
      <c r="V120" s="643">
        <v>205117</v>
      </c>
      <c r="W120" s="643">
        <v>135703</v>
      </c>
      <c r="X120" s="643">
        <v>0</v>
      </c>
      <c r="Y120" s="643">
        <v>0</v>
      </c>
    </row>
    <row r="121" spans="1:25" x14ac:dyDescent="0.15">
      <c r="A121" s="642">
        <v>42826</v>
      </c>
      <c r="B121" s="640" t="str">
        <f t="shared" ca="1" si="8"/>
        <v>01</v>
      </c>
      <c r="C121" s="639" t="s">
        <v>34</v>
      </c>
      <c r="D121" s="644">
        <f ca="1">IF(A121="","",IFERROR(GETPIVOTDATA("合計 / 合計",【ピボット】事業所売上!$A$3,"年月",$A121,"事業所コード",$B121,"事業所",$C121),0))</f>
        <v>9928917</v>
      </c>
      <c r="E121" s="643">
        <v>3164348</v>
      </c>
      <c r="F121" s="643">
        <v>1840940</v>
      </c>
      <c r="G121" s="643">
        <v>0</v>
      </c>
      <c r="H121" s="643">
        <v>0</v>
      </c>
      <c r="I121" s="643">
        <v>295208</v>
      </c>
      <c r="J121" s="643">
        <v>21502</v>
      </c>
      <c r="K121" s="644">
        <f t="shared" si="5"/>
        <v>5321998</v>
      </c>
      <c r="L121" s="643">
        <v>726347</v>
      </c>
      <c r="M121" s="643">
        <v>0</v>
      </c>
      <c r="N121" s="644">
        <f t="shared" si="6"/>
        <v>726347</v>
      </c>
      <c r="O121" s="643">
        <v>0</v>
      </c>
      <c r="P121" s="643">
        <v>0</v>
      </c>
      <c r="Q121" s="644">
        <f>IF($A121="","",IF(AND($C121="白金タクシー",$A121&gt;=DATE(2017,9,1)),ROUND(GETPIVOTDATA("合計 / タクシー運賃",【ピボット】事業所売上!$A$3,"年月",$A121,"事業所コード",$B121,"事業所",$C121)*5.1%,0),0))</f>
        <v>0</v>
      </c>
      <c r="R121" s="643">
        <v>0</v>
      </c>
      <c r="S121" s="643">
        <v>0</v>
      </c>
      <c r="T121" s="643">
        <v>0</v>
      </c>
      <c r="U121" s="644">
        <f t="shared" si="7"/>
        <v>0</v>
      </c>
      <c r="V121" s="643">
        <v>0</v>
      </c>
      <c r="W121" s="643">
        <v>0</v>
      </c>
      <c r="X121" s="643">
        <v>0</v>
      </c>
      <c r="Y121" s="643">
        <v>0</v>
      </c>
    </row>
    <row r="122" spans="1:25" x14ac:dyDescent="0.15">
      <c r="A122" s="642">
        <v>42826</v>
      </c>
      <c r="B122" s="640" t="str">
        <f t="shared" ca="1" si="8"/>
        <v>02</v>
      </c>
      <c r="C122" s="639" t="s">
        <v>37</v>
      </c>
      <c r="D122" s="644">
        <f ca="1">IF(A122="","",IFERROR(GETPIVOTDATA("合計 / 合計",【ピボット】事業所売上!$A$3,"年月",$A122,"事業所コード",$B122,"事業所",$C122),0))</f>
        <v>4965478</v>
      </c>
      <c r="E122" s="643">
        <v>1196416</v>
      </c>
      <c r="F122" s="643">
        <v>1633778</v>
      </c>
      <c r="G122" s="643">
        <v>0</v>
      </c>
      <c r="H122" s="643">
        <v>0</v>
      </c>
      <c r="I122" s="643">
        <v>256465</v>
      </c>
      <c r="J122" s="643">
        <v>9072</v>
      </c>
      <c r="K122" s="644">
        <f t="shared" si="5"/>
        <v>3095731</v>
      </c>
      <c r="L122" s="643">
        <v>926173</v>
      </c>
      <c r="M122" s="643">
        <v>0</v>
      </c>
      <c r="N122" s="644">
        <f t="shared" si="6"/>
        <v>926173</v>
      </c>
      <c r="O122" s="643">
        <v>9072</v>
      </c>
      <c r="P122" s="643">
        <v>0</v>
      </c>
      <c r="Q122" s="644">
        <f>IF($A122="","",IF(AND($C122="白金タクシー",$A122&gt;=DATE(2017,9,1)),ROUND(GETPIVOTDATA("合計 / タクシー運賃",【ピボット】事業所売上!$A$3,"年月",$A122,"事業所コード",$B122,"事業所",$C122)*5.1%,0),0))</f>
        <v>0</v>
      </c>
      <c r="R122" s="643">
        <v>0</v>
      </c>
      <c r="S122" s="643">
        <v>0</v>
      </c>
      <c r="T122" s="643">
        <v>0</v>
      </c>
      <c r="U122" s="644">
        <f t="shared" si="7"/>
        <v>0</v>
      </c>
      <c r="V122" s="643">
        <v>0</v>
      </c>
      <c r="W122" s="643">
        <v>0</v>
      </c>
      <c r="X122" s="643">
        <v>0</v>
      </c>
      <c r="Y122" s="643">
        <v>0</v>
      </c>
    </row>
    <row r="123" spans="1:25" x14ac:dyDescent="0.15">
      <c r="A123" s="642">
        <v>42826</v>
      </c>
      <c r="B123" s="640" t="str">
        <f t="shared" ca="1" si="8"/>
        <v>03</v>
      </c>
      <c r="C123" s="639" t="s">
        <v>66</v>
      </c>
      <c r="D123" s="644">
        <f ca="1">IF(A123="","",IFERROR(GETPIVOTDATA("合計 / 合計",【ピボット】事業所売上!$A$3,"年月",$A123,"事業所コード",$B123,"事業所",$C123),0))</f>
        <v>4975053</v>
      </c>
      <c r="E123" s="643">
        <v>1359846</v>
      </c>
      <c r="F123" s="643">
        <v>1381298</v>
      </c>
      <c r="G123" s="643">
        <v>0</v>
      </c>
      <c r="H123" s="643">
        <v>0</v>
      </c>
      <c r="I123" s="643">
        <v>254688</v>
      </c>
      <c r="J123" s="643">
        <v>14888</v>
      </c>
      <c r="K123" s="644">
        <f t="shared" si="5"/>
        <v>3010720</v>
      </c>
      <c r="L123" s="643">
        <v>717168</v>
      </c>
      <c r="M123" s="643">
        <v>0</v>
      </c>
      <c r="N123" s="644">
        <f t="shared" si="6"/>
        <v>717168</v>
      </c>
      <c r="O123" s="643">
        <v>43200</v>
      </c>
      <c r="P123" s="643">
        <v>0</v>
      </c>
      <c r="Q123" s="644">
        <f>IF($A123="","",IF(AND($C123="白金タクシー",$A123&gt;=DATE(2017,9,1)),ROUND(GETPIVOTDATA("合計 / タクシー運賃",【ピボット】事業所売上!$A$3,"年月",$A123,"事業所コード",$B123,"事業所",$C123)*5.1%,0),0))</f>
        <v>0</v>
      </c>
      <c r="R123" s="643">
        <v>0</v>
      </c>
      <c r="S123" s="643">
        <v>0</v>
      </c>
      <c r="T123" s="643">
        <v>0</v>
      </c>
      <c r="U123" s="644">
        <f t="shared" si="7"/>
        <v>0</v>
      </c>
      <c r="V123" s="643">
        <v>0</v>
      </c>
      <c r="W123" s="643">
        <v>0</v>
      </c>
      <c r="X123" s="643">
        <v>0</v>
      </c>
      <c r="Y123" s="643">
        <v>0</v>
      </c>
    </row>
    <row r="124" spans="1:25" x14ac:dyDescent="0.15">
      <c r="A124" s="642">
        <v>42826</v>
      </c>
      <c r="B124" s="640" t="str">
        <f t="shared" ca="1" si="8"/>
        <v>04</v>
      </c>
      <c r="C124" s="639" t="s">
        <v>358</v>
      </c>
      <c r="D124" s="644">
        <f ca="1">IF(A124="","",IFERROR(GETPIVOTDATA("合計 / 合計",【ピボット】事業所売上!$A$3,"年月",$A124,"事業所コード",$B124,"事業所",$C124),0))</f>
        <v>3092046</v>
      </c>
      <c r="E124" s="643">
        <v>832351</v>
      </c>
      <c r="F124" s="643">
        <v>729440</v>
      </c>
      <c r="G124" s="643">
        <v>0</v>
      </c>
      <c r="H124" s="643">
        <v>0</v>
      </c>
      <c r="I124" s="643">
        <v>92779</v>
      </c>
      <c r="J124" s="643">
        <v>3402</v>
      </c>
      <c r="K124" s="644">
        <f t="shared" si="5"/>
        <v>1657972</v>
      </c>
      <c r="L124" s="643">
        <v>819456</v>
      </c>
      <c r="M124" s="643">
        <v>0</v>
      </c>
      <c r="N124" s="644">
        <f t="shared" si="6"/>
        <v>819456</v>
      </c>
      <c r="O124" s="643">
        <v>0</v>
      </c>
      <c r="P124" s="643">
        <v>0</v>
      </c>
      <c r="Q124" s="644">
        <f>IF($A124="","",IF(AND($C124="白金タクシー",$A124&gt;=DATE(2017,9,1)),ROUND(GETPIVOTDATA("合計 / タクシー運賃",【ピボット】事業所売上!$A$3,"年月",$A124,"事業所コード",$B124,"事業所",$C124)*5.1%,0),0))</f>
        <v>0</v>
      </c>
      <c r="R124" s="643">
        <v>0</v>
      </c>
      <c r="S124" s="643">
        <v>0</v>
      </c>
      <c r="T124" s="643">
        <v>0</v>
      </c>
      <c r="U124" s="644">
        <f t="shared" si="7"/>
        <v>0</v>
      </c>
      <c r="V124" s="643">
        <v>0</v>
      </c>
      <c r="W124" s="643">
        <v>0</v>
      </c>
      <c r="X124" s="643">
        <v>0</v>
      </c>
      <c r="Y124" s="643">
        <v>0</v>
      </c>
    </row>
    <row r="125" spans="1:25" x14ac:dyDescent="0.15">
      <c r="A125" s="642">
        <v>42826</v>
      </c>
      <c r="B125" s="640" t="str">
        <f t="shared" ca="1" si="8"/>
        <v>05</v>
      </c>
      <c r="C125" s="639" t="s">
        <v>38</v>
      </c>
      <c r="D125" s="644">
        <f ca="1">IF(A125="","",IFERROR(GETPIVOTDATA("合計 / 合計",【ピボット】事業所売上!$A$3,"年月",$A125,"事業所コード",$B125,"事業所",$C125),0))</f>
        <v>2909528</v>
      </c>
      <c r="E125" s="643">
        <v>1041609</v>
      </c>
      <c r="F125" s="643">
        <v>300000</v>
      </c>
      <c r="G125" s="643">
        <v>0</v>
      </c>
      <c r="H125" s="643">
        <v>0</v>
      </c>
      <c r="I125" s="643">
        <v>67680</v>
      </c>
      <c r="J125" s="643">
        <v>1134</v>
      </c>
      <c r="K125" s="644">
        <f t="shared" si="5"/>
        <v>1410423</v>
      </c>
      <c r="L125" s="643">
        <v>752715</v>
      </c>
      <c r="M125" s="643">
        <v>0</v>
      </c>
      <c r="N125" s="644">
        <f t="shared" si="6"/>
        <v>752715</v>
      </c>
      <c r="O125" s="643">
        <v>0</v>
      </c>
      <c r="P125" s="643">
        <v>0</v>
      </c>
      <c r="Q125" s="644">
        <f>IF($A125="","",IF(AND($C125="白金タクシー",$A125&gt;=DATE(2017,9,1)),ROUND(GETPIVOTDATA("合計 / タクシー運賃",【ピボット】事業所売上!$A$3,"年月",$A125,"事業所コード",$B125,"事業所",$C125)*5.1%,0),0))</f>
        <v>0</v>
      </c>
      <c r="R125" s="643">
        <v>0</v>
      </c>
      <c r="S125" s="643">
        <v>0</v>
      </c>
      <c r="T125" s="643">
        <v>0</v>
      </c>
      <c r="U125" s="644">
        <f t="shared" si="7"/>
        <v>0</v>
      </c>
      <c r="V125" s="643">
        <v>0</v>
      </c>
      <c r="W125" s="643">
        <v>0</v>
      </c>
      <c r="X125" s="643">
        <v>0</v>
      </c>
      <c r="Y125" s="643">
        <v>0</v>
      </c>
    </row>
    <row r="126" spans="1:25" x14ac:dyDescent="0.15">
      <c r="A126" s="642">
        <v>42826</v>
      </c>
      <c r="B126" s="640" t="str">
        <f t="shared" ca="1" si="8"/>
        <v>06</v>
      </c>
      <c r="C126" s="639" t="s">
        <v>57</v>
      </c>
      <c r="D126" s="644">
        <f ca="1">IF(A126="","",IFERROR(GETPIVOTDATA("合計 / 合計",【ピボット】事業所売上!$A$3,"年月",$A126,"事業所コード",$B126,"事業所",$C126),0))</f>
        <v>787202</v>
      </c>
      <c r="E126" s="643">
        <v>402570</v>
      </c>
      <c r="F126" s="643">
        <v>285000</v>
      </c>
      <c r="G126" s="643">
        <v>0</v>
      </c>
      <c r="H126" s="643">
        <v>0</v>
      </c>
      <c r="I126" s="643">
        <v>37209</v>
      </c>
      <c r="J126" s="643">
        <v>1134</v>
      </c>
      <c r="K126" s="644">
        <f t="shared" si="5"/>
        <v>725913</v>
      </c>
      <c r="L126" s="643">
        <v>336863</v>
      </c>
      <c r="M126" s="643">
        <v>0</v>
      </c>
      <c r="N126" s="644">
        <f t="shared" si="6"/>
        <v>336863</v>
      </c>
      <c r="O126" s="643">
        <v>0</v>
      </c>
      <c r="P126" s="643">
        <v>0</v>
      </c>
      <c r="Q126" s="644">
        <f>IF($A126="","",IF(AND($C126="白金タクシー",$A126&gt;=DATE(2017,9,1)),ROUND(GETPIVOTDATA("合計 / タクシー運賃",【ピボット】事業所売上!$A$3,"年月",$A126,"事業所コード",$B126,"事業所",$C126)*5.1%,0),0))</f>
        <v>0</v>
      </c>
      <c r="R126" s="643">
        <v>0</v>
      </c>
      <c r="S126" s="643">
        <v>0</v>
      </c>
      <c r="T126" s="643">
        <v>0</v>
      </c>
      <c r="U126" s="644">
        <f t="shared" si="7"/>
        <v>0</v>
      </c>
      <c r="V126" s="643">
        <v>0</v>
      </c>
      <c r="W126" s="643">
        <v>0</v>
      </c>
      <c r="X126" s="643">
        <v>0</v>
      </c>
      <c r="Y126" s="643">
        <v>0</v>
      </c>
    </row>
    <row r="127" spans="1:25" x14ac:dyDescent="0.15">
      <c r="A127" s="642">
        <v>42826</v>
      </c>
      <c r="B127" s="640" t="str">
        <f t="shared" ca="1" si="8"/>
        <v>07</v>
      </c>
      <c r="C127" s="639" t="s">
        <v>119</v>
      </c>
      <c r="D127" s="644">
        <f ca="1">IF(A127="","",IFERROR(GETPIVOTDATA("合計 / 合計",【ピボット】事業所売上!$A$3,"年月",$A127,"事業所コード",$B127,"事業所",$C127),0))</f>
        <v>99304</v>
      </c>
      <c r="E127" s="643">
        <v>338251</v>
      </c>
      <c r="F127" s="643">
        <v>50000</v>
      </c>
      <c r="G127" s="643">
        <v>0</v>
      </c>
      <c r="H127" s="643">
        <v>0</v>
      </c>
      <c r="I127" s="643">
        <v>22781</v>
      </c>
      <c r="J127" s="643">
        <v>1134</v>
      </c>
      <c r="K127" s="644">
        <f t="shared" si="5"/>
        <v>412166</v>
      </c>
      <c r="L127" s="643">
        <v>117771</v>
      </c>
      <c r="M127" s="643">
        <v>0</v>
      </c>
      <c r="N127" s="644">
        <f t="shared" si="6"/>
        <v>117771</v>
      </c>
      <c r="O127" s="643">
        <v>0</v>
      </c>
      <c r="P127" s="643">
        <v>0</v>
      </c>
      <c r="Q127" s="644">
        <f>IF($A127="","",IF(AND($C127="白金タクシー",$A127&gt;=DATE(2017,9,1)),ROUND(GETPIVOTDATA("合計 / タクシー運賃",【ピボット】事業所売上!$A$3,"年月",$A127,"事業所コード",$B127,"事業所",$C127)*5.1%,0),0))</f>
        <v>0</v>
      </c>
      <c r="R127" s="643">
        <v>0</v>
      </c>
      <c r="S127" s="643">
        <v>0</v>
      </c>
      <c r="T127" s="643">
        <v>0</v>
      </c>
      <c r="U127" s="644">
        <f t="shared" si="7"/>
        <v>0</v>
      </c>
      <c r="V127" s="643">
        <v>0</v>
      </c>
      <c r="W127" s="643">
        <v>0</v>
      </c>
      <c r="X127" s="643">
        <v>0</v>
      </c>
      <c r="Y127" s="643">
        <v>0</v>
      </c>
    </row>
    <row r="128" spans="1:25" x14ac:dyDescent="0.15">
      <c r="A128" s="642">
        <v>42826</v>
      </c>
      <c r="B128" s="640" t="str">
        <f t="shared" ca="1" si="8"/>
        <v>08</v>
      </c>
      <c r="C128" s="639" t="s">
        <v>189</v>
      </c>
      <c r="D128" s="644">
        <f ca="1">IF(A128="","",IFERROR(GETPIVOTDATA("合計 / 合計",【ピボット】事業所売上!$A$3,"年月",$A128,"事業所コード",$B128,"事業所",$C128),0))</f>
        <v>71733</v>
      </c>
      <c r="E128" s="643">
        <v>252550</v>
      </c>
      <c r="F128" s="643">
        <v>50000</v>
      </c>
      <c r="G128" s="643">
        <v>0</v>
      </c>
      <c r="H128" s="643">
        <v>0</v>
      </c>
      <c r="I128" s="643">
        <v>0</v>
      </c>
      <c r="J128" s="643">
        <v>0</v>
      </c>
      <c r="K128" s="644">
        <f t="shared" si="5"/>
        <v>302550</v>
      </c>
      <c r="L128" s="643">
        <v>400920</v>
      </c>
      <c r="M128" s="643">
        <v>0</v>
      </c>
      <c r="N128" s="644">
        <f t="shared" si="6"/>
        <v>400920</v>
      </c>
      <c r="O128" s="643">
        <v>0</v>
      </c>
      <c r="P128" s="643">
        <v>0</v>
      </c>
      <c r="Q128" s="644">
        <f>IF($A128="","",IF(AND($C128="白金タクシー",$A128&gt;=DATE(2017,9,1)),ROUND(GETPIVOTDATA("合計 / タクシー運賃",【ピボット】事業所売上!$A$3,"年月",$A128,"事業所コード",$B128,"事業所",$C128)*5.1%,0),0))</f>
        <v>0</v>
      </c>
      <c r="R128" s="643">
        <v>0</v>
      </c>
      <c r="S128" s="643">
        <v>0</v>
      </c>
      <c r="T128" s="643">
        <v>0</v>
      </c>
      <c r="U128" s="644">
        <f t="shared" si="7"/>
        <v>0</v>
      </c>
      <c r="V128" s="643">
        <v>0</v>
      </c>
      <c r="W128" s="643">
        <v>0</v>
      </c>
      <c r="X128" s="643">
        <v>0</v>
      </c>
      <c r="Y128" s="643">
        <v>0</v>
      </c>
    </row>
    <row r="129" spans="1:25" x14ac:dyDescent="0.15">
      <c r="A129" s="642">
        <v>42826</v>
      </c>
      <c r="B129" s="640" t="str">
        <f t="shared" ca="1" si="8"/>
        <v>09</v>
      </c>
      <c r="C129" s="639" t="s">
        <v>329</v>
      </c>
      <c r="D129" s="644">
        <f ca="1">IF(A129="","",IFERROR(GETPIVOTDATA("合計 / 合計",【ピボット】事業所売上!$A$3,"年月",$A129,"事業所コード",$B129,"事業所",$C129),0))</f>
        <v>0</v>
      </c>
      <c r="E129" s="643">
        <v>0</v>
      </c>
      <c r="F129" s="643">
        <v>0</v>
      </c>
      <c r="G129" s="643">
        <v>0</v>
      </c>
      <c r="H129" s="643">
        <v>0</v>
      </c>
      <c r="I129" s="643">
        <v>0</v>
      </c>
      <c r="J129" s="643">
        <v>0</v>
      </c>
      <c r="K129" s="644">
        <f t="shared" si="5"/>
        <v>0</v>
      </c>
      <c r="L129" s="643">
        <v>881383</v>
      </c>
      <c r="M129" s="643">
        <v>0</v>
      </c>
      <c r="N129" s="644">
        <f t="shared" si="6"/>
        <v>881383</v>
      </c>
      <c r="O129" s="643">
        <v>0</v>
      </c>
      <c r="P129" s="643">
        <v>0</v>
      </c>
      <c r="Q129" s="644">
        <f>IF($A129="","",IF(AND($C129="白金タクシー",$A129&gt;=DATE(2017,9,1)),ROUND(GETPIVOTDATA("合計 / タクシー運賃",【ピボット】事業所売上!$A$3,"年月",$A129,"事業所コード",$B129,"事業所",$C129)*5.1%,0),0))</f>
        <v>0</v>
      </c>
      <c r="R129" s="643">
        <v>0</v>
      </c>
      <c r="S129" s="643">
        <v>0</v>
      </c>
      <c r="T129" s="643">
        <v>0</v>
      </c>
      <c r="U129" s="644">
        <f t="shared" si="7"/>
        <v>0</v>
      </c>
      <c r="V129" s="643">
        <v>0</v>
      </c>
      <c r="W129" s="643">
        <v>0</v>
      </c>
      <c r="X129" s="643">
        <v>0</v>
      </c>
      <c r="Y129" s="643">
        <v>0</v>
      </c>
    </row>
    <row r="130" spans="1:25" x14ac:dyDescent="0.15">
      <c r="A130" s="642">
        <v>42826</v>
      </c>
      <c r="B130" s="640" t="str">
        <f t="shared" ca="1" si="8"/>
        <v>10</v>
      </c>
      <c r="C130" s="639" t="s">
        <v>336</v>
      </c>
      <c r="D130" s="644">
        <f ca="1">IF(A130="","",IFERROR(GETPIVOTDATA("合計 / 合計",【ピボット】事業所売上!$A$3,"年月",$A130,"事業所コード",$B130,"事業所",$C130),0))</f>
        <v>2603687</v>
      </c>
      <c r="E130" s="643">
        <v>523858</v>
      </c>
      <c r="F130" s="643">
        <v>829474</v>
      </c>
      <c r="G130" s="643">
        <v>0</v>
      </c>
      <c r="H130" s="643">
        <v>0</v>
      </c>
      <c r="I130" s="643">
        <v>96398</v>
      </c>
      <c r="J130" s="643">
        <v>9520</v>
      </c>
      <c r="K130" s="644">
        <f t="shared" ref="K130:K193" si="9">IF(A130="","",SUM(E130:J130))</f>
        <v>1459250</v>
      </c>
      <c r="L130" s="643">
        <v>907826</v>
      </c>
      <c r="M130" s="643">
        <v>0</v>
      </c>
      <c r="N130" s="644">
        <f t="shared" si="6"/>
        <v>907826</v>
      </c>
      <c r="O130" s="643">
        <v>0</v>
      </c>
      <c r="P130" s="643">
        <v>0</v>
      </c>
      <c r="Q130" s="644">
        <f>IF($A130="","",IF(AND($C130="白金タクシー",$A130&gt;=DATE(2017,9,1)),ROUND(GETPIVOTDATA("合計 / タクシー運賃",【ピボット】事業所売上!$A$3,"年月",$A130,"事業所コード",$B130,"事業所",$C130)*5.1%,0),0))</f>
        <v>0</v>
      </c>
      <c r="R130" s="643">
        <v>0</v>
      </c>
      <c r="S130" s="643">
        <v>0</v>
      </c>
      <c r="T130" s="643">
        <v>0</v>
      </c>
      <c r="U130" s="644">
        <f t="shared" si="7"/>
        <v>0</v>
      </c>
      <c r="V130" s="643">
        <v>0</v>
      </c>
      <c r="W130" s="643">
        <v>0</v>
      </c>
      <c r="X130" s="643">
        <v>0</v>
      </c>
      <c r="Y130" s="643">
        <v>0</v>
      </c>
    </row>
    <row r="131" spans="1:25" x14ac:dyDescent="0.15">
      <c r="A131" s="642">
        <f>EDATE(A130,1)</f>
        <v>42856</v>
      </c>
      <c r="B131" s="640" t="str">
        <f t="shared" ca="1" si="8"/>
        <v>00</v>
      </c>
      <c r="C131" s="639" t="s">
        <v>490</v>
      </c>
      <c r="D131" s="644">
        <f ca="1">IF(A131="","",IFERROR(GETPIVOTDATA("合計 / 合計",【ピボット】事業所売上!$A$3,"年月",$A131,"事業所コード",$B131,"事業所",$C131),0))</f>
        <v>0</v>
      </c>
      <c r="E131" s="643">
        <v>0</v>
      </c>
      <c r="F131" s="643">
        <v>109581</v>
      </c>
      <c r="G131" s="643">
        <v>0</v>
      </c>
      <c r="H131" s="643">
        <v>2000000</v>
      </c>
      <c r="I131" s="643">
        <v>343044</v>
      </c>
      <c r="J131" s="643">
        <v>13327</v>
      </c>
      <c r="K131" s="644">
        <f t="shared" si="9"/>
        <v>2465952</v>
      </c>
      <c r="L131" s="643">
        <v>1537199</v>
      </c>
      <c r="M131" s="643">
        <v>0</v>
      </c>
      <c r="N131" s="644">
        <f t="shared" ref="N131:N194" si="10">IF(A131="","",SUM(L131:M131))</f>
        <v>1537199</v>
      </c>
      <c r="O131" s="643">
        <v>0</v>
      </c>
      <c r="P131" s="643">
        <v>0</v>
      </c>
      <c r="Q131" s="644">
        <f>IF($A131="","",IF(AND($C131="白金タクシー",$A131&gt;=DATE(2017,9,1)),ROUND(GETPIVOTDATA("合計 / タクシー運賃",【ピボット】事業所売上!$A$3,"年月",$A131,"事業所コード",$B131,"事業所",$C131)*5.1%,0),0))</f>
        <v>0</v>
      </c>
      <c r="R131" s="643">
        <v>0</v>
      </c>
      <c r="S131" s="643">
        <v>0</v>
      </c>
      <c r="T131" s="643">
        <v>0</v>
      </c>
      <c r="U131" s="644">
        <f t="shared" ref="U131:U194" si="11">IF(A131="","",R131-S131-T131)</f>
        <v>0</v>
      </c>
      <c r="V131" s="643">
        <v>104315</v>
      </c>
      <c r="W131" s="643">
        <v>371587</v>
      </c>
      <c r="X131" s="643">
        <v>0</v>
      </c>
      <c r="Y131" s="643">
        <v>0</v>
      </c>
    </row>
    <row r="132" spans="1:25" x14ac:dyDescent="0.15">
      <c r="A132" s="642">
        <v>42856</v>
      </c>
      <c r="B132" s="640" t="str">
        <f t="shared" ca="1" si="8"/>
        <v>01</v>
      </c>
      <c r="C132" s="639" t="s">
        <v>34</v>
      </c>
      <c r="D132" s="644">
        <f ca="1">IF(A132="","",IFERROR(GETPIVOTDATA("合計 / 合計",【ピボット】事業所売上!$A$3,"年月",$A132,"事業所コード",$B132,"事業所",$C132),0))</f>
        <v>10081728</v>
      </c>
      <c r="E132" s="643">
        <v>3280321</v>
      </c>
      <c r="F132" s="643">
        <v>1843335</v>
      </c>
      <c r="G132" s="643">
        <v>0</v>
      </c>
      <c r="H132" s="643">
        <v>0</v>
      </c>
      <c r="I132" s="643">
        <v>282511</v>
      </c>
      <c r="J132" s="643">
        <v>8111</v>
      </c>
      <c r="K132" s="644">
        <f t="shared" si="9"/>
        <v>5414278</v>
      </c>
      <c r="L132" s="643">
        <v>691271</v>
      </c>
      <c r="M132" s="643">
        <v>0</v>
      </c>
      <c r="N132" s="644">
        <f t="shared" si="10"/>
        <v>691271</v>
      </c>
      <c r="O132" s="643">
        <v>0</v>
      </c>
      <c r="P132" s="643">
        <v>0</v>
      </c>
      <c r="Q132" s="644">
        <f>IF($A132="","",IF(AND($C132="白金タクシー",$A132&gt;=DATE(2017,9,1)),ROUND(GETPIVOTDATA("合計 / タクシー運賃",【ピボット】事業所売上!$A$3,"年月",$A132,"事業所コード",$B132,"事業所",$C132)*5.1%,0),0))</f>
        <v>0</v>
      </c>
      <c r="R132" s="643">
        <v>0</v>
      </c>
      <c r="S132" s="643">
        <v>0</v>
      </c>
      <c r="T132" s="643">
        <v>0</v>
      </c>
      <c r="U132" s="644">
        <f t="shared" si="11"/>
        <v>0</v>
      </c>
      <c r="V132" s="643">
        <v>0</v>
      </c>
      <c r="W132" s="643">
        <v>0</v>
      </c>
      <c r="X132" s="643">
        <v>0</v>
      </c>
      <c r="Y132" s="643">
        <v>0</v>
      </c>
    </row>
    <row r="133" spans="1:25" x14ac:dyDescent="0.15">
      <c r="A133" s="642">
        <v>42856</v>
      </c>
      <c r="B133" s="640" t="str">
        <f t="shared" ca="1" si="8"/>
        <v>02</v>
      </c>
      <c r="C133" s="639" t="s">
        <v>37</v>
      </c>
      <c r="D133" s="644">
        <f ca="1">IF(A133="","",IFERROR(GETPIVOTDATA("合計 / 合計",【ピボット】事業所売上!$A$3,"年月",$A133,"事業所コード",$B133,"事業所",$C133),0))</f>
        <v>5342987</v>
      </c>
      <c r="E133" s="643">
        <v>1191288</v>
      </c>
      <c r="F133" s="643">
        <v>1639385</v>
      </c>
      <c r="G133" s="643">
        <v>0</v>
      </c>
      <c r="H133" s="643">
        <v>0</v>
      </c>
      <c r="I133" s="643">
        <v>264633</v>
      </c>
      <c r="J133" s="643">
        <v>9072</v>
      </c>
      <c r="K133" s="644">
        <f t="shared" si="9"/>
        <v>3104378</v>
      </c>
      <c r="L133" s="643">
        <v>866374</v>
      </c>
      <c r="M133" s="643">
        <v>0</v>
      </c>
      <c r="N133" s="644">
        <f t="shared" si="10"/>
        <v>866374</v>
      </c>
      <c r="O133" s="643">
        <v>9072</v>
      </c>
      <c r="P133" s="643">
        <v>0</v>
      </c>
      <c r="Q133" s="644">
        <f>IF($A133="","",IF(AND($C133="白金タクシー",$A133&gt;=DATE(2017,9,1)),ROUND(GETPIVOTDATA("合計 / タクシー運賃",【ピボット】事業所売上!$A$3,"年月",$A133,"事業所コード",$B133,"事業所",$C133)*5.1%,0),0))</f>
        <v>0</v>
      </c>
      <c r="R133" s="643">
        <v>0</v>
      </c>
      <c r="S133" s="643">
        <v>0</v>
      </c>
      <c r="T133" s="643">
        <v>0</v>
      </c>
      <c r="U133" s="644">
        <f t="shared" si="11"/>
        <v>0</v>
      </c>
      <c r="V133" s="643">
        <v>0</v>
      </c>
      <c r="W133" s="643">
        <v>0</v>
      </c>
      <c r="X133" s="643">
        <v>0</v>
      </c>
      <c r="Y133" s="643">
        <v>0</v>
      </c>
    </row>
    <row r="134" spans="1:25" x14ac:dyDescent="0.15">
      <c r="A134" s="642">
        <v>42856</v>
      </c>
      <c r="B134" s="640" t="str">
        <f t="shared" ca="1" si="8"/>
        <v>03</v>
      </c>
      <c r="C134" s="639" t="s">
        <v>66</v>
      </c>
      <c r="D134" s="644">
        <f ca="1">IF(A134="","",IFERROR(GETPIVOTDATA("合計 / 合計",【ピボット】事業所売上!$A$3,"年月",$A134,"事業所コード",$B134,"事業所",$C134),0))</f>
        <v>5374919</v>
      </c>
      <c r="E134" s="643">
        <v>1485376</v>
      </c>
      <c r="F134" s="643">
        <v>1431140</v>
      </c>
      <c r="G134" s="643">
        <v>0</v>
      </c>
      <c r="H134" s="643">
        <v>0</v>
      </c>
      <c r="I134" s="643">
        <v>263048</v>
      </c>
      <c r="J134" s="643">
        <v>19454</v>
      </c>
      <c r="K134" s="644">
        <f t="shared" si="9"/>
        <v>3199018</v>
      </c>
      <c r="L134" s="643">
        <v>827102</v>
      </c>
      <c r="M134" s="643">
        <v>0</v>
      </c>
      <c r="N134" s="644">
        <f t="shared" si="10"/>
        <v>827102</v>
      </c>
      <c r="O134" s="643">
        <v>43200</v>
      </c>
      <c r="P134" s="643">
        <v>0</v>
      </c>
      <c r="Q134" s="644">
        <f>IF($A134="","",IF(AND($C134="白金タクシー",$A134&gt;=DATE(2017,9,1)),ROUND(GETPIVOTDATA("合計 / タクシー運賃",【ピボット】事業所売上!$A$3,"年月",$A134,"事業所コード",$B134,"事業所",$C134)*5.1%,0),0))</f>
        <v>0</v>
      </c>
      <c r="R134" s="643">
        <v>0</v>
      </c>
      <c r="S134" s="643">
        <v>0</v>
      </c>
      <c r="T134" s="643">
        <v>0</v>
      </c>
      <c r="U134" s="644">
        <f t="shared" si="11"/>
        <v>0</v>
      </c>
      <c r="V134" s="643">
        <v>0</v>
      </c>
      <c r="W134" s="643">
        <v>0</v>
      </c>
      <c r="X134" s="643">
        <v>0</v>
      </c>
      <c r="Y134" s="643">
        <v>0</v>
      </c>
    </row>
    <row r="135" spans="1:25" x14ac:dyDescent="0.15">
      <c r="A135" s="642">
        <v>42856</v>
      </c>
      <c r="B135" s="640" t="str">
        <f t="shared" ca="1" si="8"/>
        <v>04</v>
      </c>
      <c r="C135" s="639" t="s">
        <v>358</v>
      </c>
      <c r="D135" s="644">
        <f ca="1">IF(A135="","",IFERROR(GETPIVOTDATA("合計 / 合計",【ピボット】事業所売上!$A$3,"年月",$A135,"事業所コード",$B135,"事業所",$C135),0))</f>
        <v>3549708</v>
      </c>
      <c r="E135" s="643">
        <v>906208</v>
      </c>
      <c r="F135" s="643">
        <v>741997</v>
      </c>
      <c r="G135" s="643">
        <v>0</v>
      </c>
      <c r="H135" s="643">
        <v>0</v>
      </c>
      <c r="I135" s="643">
        <v>95779</v>
      </c>
      <c r="J135" s="643">
        <v>3402</v>
      </c>
      <c r="K135" s="644">
        <f t="shared" si="9"/>
        <v>1747386</v>
      </c>
      <c r="L135" s="643">
        <v>1001164</v>
      </c>
      <c r="M135" s="643">
        <v>0</v>
      </c>
      <c r="N135" s="644">
        <f t="shared" si="10"/>
        <v>1001164</v>
      </c>
      <c r="O135" s="643">
        <v>0</v>
      </c>
      <c r="P135" s="643">
        <v>0</v>
      </c>
      <c r="Q135" s="644">
        <f>IF($A135="","",IF(AND($C135="白金タクシー",$A135&gt;=DATE(2017,9,1)),ROUND(GETPIVOTDATA("合計 / タクシー運賃",【ピボット】事業所売上!$A$3,"年月",$A135,"事業所コード",$B135,"事業所",$C135)*5.1%,0),0))</f>
        <v>0</v>
      </c>
      <c r="R135" s="643">
        <v>0</v>
      </c>
      <c r="S135" s="643">
        <v>0</v>
      </c>
      <c r="T135" s="643">
        <v>0</v>
      </c>
      <c r="U135" s="644">
        <f t="shared" si="11"/>
        <v>0</v>
      </c>
      <c r="V135" s="643">
        <v>0</v>
      </c>
      <c r="W135" s="643">
        <v>0</v>
      </c>
      <c r="X135" s="643">
        <v>0</v>
      </c>
      <c r="Y135" s="643">
        <v>0</v>
      </c>
    </row>
    <row r="136" spans="1:25" x14ac:dyDescent="0.15">
      <c r="A136" s="642">
        <v>42856</v>
      </c>
      <c r="B136" s="640" t="str">
        <f t="shared" ca="1" si="8"/>
        <v>05</v>
      </c>
      <c r="C136" s="639" t="s">
        <v>38</v>
      </c>
      <c r="D136" s="644">
        <f ca="1">IF(A136="","",IFERROR(GETPIVOTDATA("合計 / 合計",【ピボット】事業所売上!$A$3,"年月",$A136,"事業所コード",$B136,"事業所",$C136),0))</f>
        <v>3218370</v>
      </c>
      <c r="E136" s="643">
        <v>1019550</v>
      </c>
      <c r="F136" s="643">
        <v>300000</v>
      </c>
      <c r="G136" s="643">
        <v>0</v>
      </c>
      <c r="H136" s="643">
        <v>0</v>
      </c>
      <c r="I136" s="643">
        <v>69829</v>
      </c>
      <c r="J136" s="643">
        <v>1134</v>
      </c>
      <c r="K136" s="644">
        <f t="shared" si="9"/>
        <v>1390513</v>
      </c>
      <c r="L136" s="643">
        <v>678719</v>
      </c>
      <c r="M136" s="643">
        <v>0</v>
      </c>
      <c r="N136" s="644">
        <f t="shared" si="10"/>
        <v>678719</v>
      </c>
      <c r="O136" s="643">
        <v>0</v>
      </c>
      <c r="P136" s="643">
        <v>0</v>
      </c>
      <c r="Q136" s="644">
        <f>IF($A136="","",IF(AND($C136="白金タクシー",$A136&gt;=DATE(2017,9,1)),ROUND(GETPIVOTDATA("合計 / タクシー運賃",【ピボット】事業所売上!$A$3,"年月",$A136,"事業所コード",$B136,"事業所",$C136)*5.1%,0),0))</f>
        <v>0</v>
      </c>
      <c r="R136" s="643">
        <v>0</v>
      </c>
      <c r="S136" s="643">
        <v>0</v>
      </c>
      <c r="T136" s="643">
        <v>0</v>
      </c>
      <c r="U136" s="644">
        <f t="shared" si="11"/>
        <v>0</v>
      </c>
      <c r="V136" s="643">
        <v>0</v>
      </c>
      <c r="W136" s="643">
        <v>0</v>
      </c>
      <c r="X136" s="643">
        <v>0</v>
      </c>
      <c r="Y136" s="643">
        <v>0</v>
      </c>
    </row>
    <row r="137" spans="1:25" x14ac:dyDescent="0.15">
      <c r="A137" s="642">
        <v>42856</v>
      </c>
      <c r="B137" s="640" t="str">
        <f t="shared" ca="1" si="8"/>
        <v>06</v>
      </c>
      <c r="C137" s="639" t="s">
        <v>57</v>
      </c>
      <c r="D137" s="644">
        <f ca="1">IF(A137="","",IFERROR(GETPIVOTDATA("合計 / 合計",【ピボット】事業所売上!$A$3,"年月",$A137,"事業所コード",$B137,"事業所",$C137),0))</f>
        <v>596033</v>
      </c>
      <c r="E137" s="643">
        <v>411617</v>
      </c>
      <c r="F137" s="643">
        <v>295000</v>
      </c>
      <c r="G137" s="643">
        <v>0</v>
      </c>
      <c r="H137" s="643">
        <v>0</v>
      </c>
      <c r="I137" s="643">
        <v>38432</v>
      </c>
      <c r="J137" s="643">
        <v>1134</v>
      </c>
      <c r="K137" s="644">
        <f t="shared" si="9"/>
        <v>746183</v>
      </c>
      <c r="L137" s="643">
        <v>164646</v>
      </c>
      <c r="M137" s="643">
        <v>0</v>
      </c>
      <c r="N137" s="644">
        <f t="shared" si="10"/>
        <v>164646</v>
      </c>
      <c r="O137" s="643">
        <v>0</v>
      </c>
      <c r="P137" s="643">
        <v>0</v>
      </c>
      <c r="Q137" s="644">
        <f>IF($A137="","",IF(AND($C137="白金タクシー",$A137&gt;=DATE(2017,9,1)),ROUND(GETPIVOTDATA("合計 / タクシー運賃",【ピボット】事業所売上!$A$3,"年月",$A137,"事業所コード",$B137,"事業所",$C137)*5.1%,0),0))</f>
        <v>0</v>
      </c>
      <c r="R137" s="643">
        <v>0</v>
      </c>
      <c r="S137" s="643">
        <v>0</v>
      </c>
      <c r="T137" s="643">
        <v>0</v>
      </c>
      <c r="U137" s="644">
        <f t="shared" si="11"/>
        <v>0</v>
      </c>
      <c r="V137" s="643">
        <v>0</v>
      </c>
      <c r="W137" s="643">
        <v>0</v>
      </c>
      <c r="X137" s="643">
        <v>0</v>
      </c>
      <c r="Y137" s="643">
        <v>0</v>
      </c>
    </row>
    <row r="138" spans="1:25" x14ac:dyDescent="0.15">
      <c r="A138" s="642">
        <v>42856</v>
      </c>
      <c r="B138" s="640" t="str">
        <f t="shared" ca="1" si="8"/>
        <v>07</v>
      </c>
      <c r="C138" s="639" t="s">
        <v>119</v>
      </c>
      <c r="D138" s="644">
        <f ca="1">IF(A138="","",IFERROR(GETPIVOTDATA("合計 / 合計",【ピボット】事業所売上!$A$3,"年月",$A138,"事業所コード",$B138,"事業所",$C138),0))</f>
        <v>408033</v>
      </c>
      <c r="E138" s="643">
        <v>314683</v>
      </c>
      <c r="F138" s="643">
        <v>50000</v>
      </c>
      <c r="G138" s="643">
        <v>0</v>
      </c>
      <c r="H138" s="643">
        <v>0</v>
      </c>
      <c r="I138" s="643">
        <v>18416</v>
      </c>
      <c r="J138" s="643">
        <v>1134</v>
      </c>
      <c r="K138" s="644">
        <f t="shared" si="9"/>
        <v>384233</v>
      </c>
      <c r="L138" s="643">
        <v>147733</v>
      </c>
      <c r="M138" s="643">
        <v>0</v>
      </c>
      <c r="N138" s="644">
        <f t="shared" si="10"/>
        <v>147733</v>
      </c>
      <c r="O138" s="643">
        <v>29520</v>
      </c>
      <c r="P138" s="643">
        <v>0</v>
      </c>
      <c r="Q138" s="644">
        <f>IF($A138="","",IF(AND($C138="白金タクシー",$A138&gt;=DATE(2017,9,1)),ROUND(GETPIVOTDATA("合計 / タクシー運賃",【ピボット】事業所売上!$A$3,"年月",$A138,"事業所コード",$B138,"事業所",$C138)*5.1%,0),0))</f>
        <v>0</v>
      </c>
      <c r="R138" s="643">
        <v>0</v>
      </c>
      <c r="S138" s="643">
        <v>0</v>
      </c>
      <c r="T138" s="643">
        <v>0</v>
      </c>
      <c r="U138" s="644">
        <f t="shared" si="11"/>
        <v>0</v>
      </c>
      <c r="V138" s="643">
        <v>0</v>
      </c>
      <c r="W138" s="643">
        <v>0</v>
      </c>
      <c r="X138" s="643">
        <v>0</v>
      </c>
      <c r="Y138" s="643">
        <v>0</v>
      </c>
    </row>
    <row r="139" spans="1:25" x14ac:dyDescent="0.15">
      <c r="A139" s="642">
        <v>42856</v>
      </c>
      <c r="B139" s="640" t="str">
        <f t="shared" ca="1" si="8"/>
        <v>08</v>
      </c>
      <c r="C139" s="639" t="s">
        <v>189</v>
      </c>
      <c r="D139" s="644">
        <f ca="1">IF(A139="","",IFERROR(GETPIVOTDATA("合計 / 合計",【ピボット】事業所売上!$A$3,"年月",$A139,"事業所コード",$B139,"事業所",$C139),0))</f>
        <v>1119631</v>
      </c>
      <c r="E139" s="643">
        <v>287775</v>
      </c>
      <c r="F139" s="643">
        <v>50000</v>
      </c>
      <c r="G139" s="643">
        <v>0</v>
      </c>
      <c r="H139" s="643">
        <v>0</v>
      </c>
      <c r="I139" s="643">
        <v>0</v>
      </c>
      <c r="J139" s="643">
        <v>0</v>
      </c>
      <c r="K139" s="644">
        <f t="shared" si="9"/>
        <v>337775</v>
      </c>
      <c r="L139" s="643">
        <v>353105</v>
      </c>
      <c r="M139" s="643">
        <v>0</v>
      </c>
      <c r="N139" s="644">
        <f t="shared" si="10"/>
        <v>353105</v>
      </c>
      <c r="O139" s="643">
        <v>29520</v>
      </c>
      <c r="P139" s="643">
        <v>0</v>
      </c>
      <c r="Q139" s="644">
        <f>IF($A139="","",IF(AND($C139="白金タクシー",$A139&gt;=DATE(2017,9,1)),ROUND(GETPIVOTDATA("合計 / タクシー運賃",【ピボット】事業所売上!$A$3,"年月",$A139,"事業所コード",$B139,"事業所",$C139)*5.1%,0),0))</f>
        <v>0</v>
      </c>
      <c r="R139" s="643">
        <v>0</v>
      </c>
      <c r="S139" s="643">
        <v>0</v>
      </c>
      <c r="T139" s="643">
        <v>0</v>
      </c>
      <c r="U139" s="644">
        <f t="shared" si="11"/>
        <v>0</v>
      </c>
      <c r="V139" s="643">
        <v>0</v>
      </c>
      <c r="W139" s="643">
        <v>0</v>
      </c>
      <c r="X139" s="643">
        <v>0</v>
      </c>
      <c r="Y139" s="643">
        <v>0</v>
      </c>
    </row>
    <row r="140" spans="1:25" x14ac:dyDescent="0.15">
      <c r="A140" s="642">
        <v>42856</v>
      </c>
      <c r="B140" s="640" t="str">
        <f t="shared" ca="1" si="8"/>
        <v>09</v>
      </c>
      <c r="C140" s="639" t="s">
        <v>329</v>
      </c>
      <c r="D140" s="644">
        <f ca="1">IF(A140="","",IFERROR(GETPIVOTDATA("合計 / 合計",【ピボット】事業所売上!$A$3,"年月",$A140,"事業所コード",$B140,"事業所",$C140),0))</f>
        <v>0</v>
      </c>
      <c r="E140" s="643">
        <v>64405</v>
      </c>
      <c r="F140" s="643">
        <v>0</v>
      </c>
      <c r="G140" s="643">
        <v>0</v>
      </c>
      <c r="H140" s="643">
        <v>0</v>
      </c>
      <c r="I140" s="643">
        <v>0</v>
      </c>
      <c r="J140" s="643">
        <v>0</v>
      </c>
      <c r="K140" s="644">
        <f t="shared" si="9"/>
        <v>64405</v>
      </c>
      <c r="L140" s="643">
        <v>1127827</v>
      </c>
      <c r="M140" s="643">
        <v>0</v>
      </c>
      <c r="N140" s="644">
        <f t="shared" si="10"/>
        <v>1127827</v>
      </c>
      <c r="O140" s="643">
        <v>164520</v>
      </c>
      <c r="P140" s="643">
        <v>0</v>
      </c>
      <c r="Q140" s="644">
        <f>IF($A140="","",IF(AND($C140="白金タクシー",$A140&gt;=DATE(2017,9,1)),ROUND(GETPIVOTDATA("合計 / タクシー運賃",【ピボット】事業所売上!$A$3,"年月",$A140,"事業所コード",$B140,"事業所",$C140)*5.1%,0),0))</f>
        <v>0</v>
      </c>
      <c r="R140" s="643">
        <v>0</v>
      </c>
      <c r="S140" s="643">
        <v>0</v>
      </c>
      <c r="T140" s="643">
        <v>0</v>
      </c>
      <c r="U140" s="644">
        <f t="shared" si="11"/>
        <v>0</v>
      </c>
      <c r="V140" s="643">
        <v>0</v>
      </c>
      <c r="W140" s="643">
        <v>0</v>
      </c>
      <c r="X140" s="643">
        <v>0</v>
      </c>
      <c r="Y140" s="643">
        <v>0</v>
      </c>
    </row>
    <row r="141" spans="1:25" x14ac:dyDescent="0.15">
      <c r="A141" s="642">
        <v>42856</v>
      </c>
      <c r="B141" s="640" t="str">
        <f t="shared" ca="1" si="8"/>
        <v>10</v>
      </c>
      <c r="C141" s="639" t="s">
        <v>336</v>
      </c>
      <c r="D141" s="644">
        <f ca="1">IF(A141="","",IFERROR(GETPIVOTDATA("合計 / 合計",【ピボット】事業所売上!$A$3,"年月",$A141,"事業所コード",$B141,"事業所",$C141),0))</f>
        <v>3011624</v>
      </c>
      <c r="E141" s="643">
        <v>548720</v>
      </c>
      <c r="F141" s="643">
        <v>938498</v>
      </c>
      <c r="G141" s="643">
        <v>0</v>
      </c>
      <c r="H141" s="643">
        <v>0</v>
      </c>
      <c r="I141" s="643">
        <v>99886</v>
      </c>
      <c r="J141" s="643">
        <v>5757</v>
      </c>
      <c r="K141" s="644">
        <f t="shared" si="9"/>
        <v>1592861</v>
      </c>
      <c r="L141" s="643">
        <v>1119742</v>
      </c>
      <c r="M141" s="643">
        <v>0</v>
      </c>
      <c r="N141" s="644">
        <f t="shared" si="10"/>
        <v>1119742</v>
      </c>
      <c r="O141" s="643">
        <v>3604</v>
      </c>
      <c r="P141" s="643">
        <v>0</v>
      </c>
      <c r="Q141" s="644">
        <f>IF($A141="","",IF(AND($C141="白金タクシー",$A141&gt;=DATE(2017,9,1)),ROUND(GETPIVOTDATA("合計 / タクシー運賃",【ピボット】事業所売上!$A$3,"年月",$A141,"事業所コード",$B141,"事業所",$C141)*5.1%,0),0))</f>
        <v>0</v>
      </c>
      <c r="R141" s="643">
        <v>0</v>
      </c>
      <c r="S141" s="643">
        <v>0</v>
      </c>
      <c r="T141" s="643">
        <v>0</v>
      </c>
      <c r="U141" s="644">
        <f t="shared" si="11"/>
        <v>0</v>
      </c>
      <c r="V141" s="643">
        <v>0</v>
      </c>
      <c r="W141" s="643">
        <v>0</v>
      </c>
      <c r="X141" s="643">
        <v>0</v>
      </c>
      <c r="Y141" s="643">
        <v>0</v>
      </c>
    </row>
    <row r="142" spans="1:25" x14ac:dyDescent="0.15">
      <c r="A142" s="642">
        <f>EDATE(A141,1)</f>
        <v>42887</v>
      </c>
      <c r="B142" s="640" t="str">
        <f t="shared" ca="1" si="8"/>
        <v>00</v>
      </c>
      <c r="C142" s="639" t="s">
        <v>490</v>
      </c>
      <c r="D142" s="644">
        <f ca="1">IF(A142="","",IFERROR(GETPIVOTDATA("合計 / 合計",【ピボット】事業所売上!$A$3,"年月",$A142,"事業所コード",$B142,"事業所",$C142),0))</f>
        <v>0</v>
      </c>
      <c r="E142" s="643">
        <v>180000</v>
      </c>
      <c r="F142" s="643">
        <v>912879</v>
      </c>
      <c r="G142" s="643">
        <v>0</v>
      </c>
      <c r="H142" s="643">
        <v>2000000</v>
      </c>
      <c r="I142" s="643">
        <v>360134</v>
      </c>
      <c r="J142" s="643">
        <v>121518</v>
      </c>
      <c r="K142" s="644">
        <f t="shared" si="9"/>
        <v>3574531</v>
      </c>
      <c r="L142" s="643">
        <v>1345014</v>
      </c>
      <c r="M142" s="643">
        <v>0</v>
      </c>
      <c r="N142" s="644">
        <f t="shared" si="10"/>
        <v>1345014</v>
      </c>
      <c r="O142" s="643">
        <v>27000</v>
      </c>
      <c r="P142" s="643">
        <v>0</v>
      </c>
      <c r="Q142" s="644">
        <f>IF($A142="","",IF(AND($C142="白金タクシー",$A142&gt;=DATE(2017,9,1)),ROUND(GETPIVOTDATA("合計 / タクシー運賃",【ピボット】事業所売上!$A$3,"年月",$A142,"事業所コード",$B142,"事業所",$C142)*5.1%,0),0))</f>
        <v>0</v>
      </c>
      <c r="R142" s="643">
        <v>0</v>
      </c>
      <c r="S142" s="643">
        <v>0</v>
      </c>
      <c r="T142" s="643">
        <v>0</v>
      </c>
      <c r="U142" s="644">
        <f t="shared" si="11"/>
        <v>0</v>
      </c>
      <c r="V142" s="643">
        <v>11460</v>
      </c>
      <c r="W142" s="643">
        <v>330078</v>
      </c>
      <c r="X142" s="643">
        <v>0</v>
      </c>
      <c r="Y142" s="643">
        <v>0</v>
      </c>
    </row>
    <row r="143" spans="1:25" x14ac:dyDescent="0.15">
      <c r="A143" s="642">
        <v>42887</v>
      </c>
      <c r="B143" s="640" t="str">
        <f t="shared" ca="1" si="8"/>
        <v>01</v>
      </c>
      <c r="C143" s="639" t="s">
        <v>34</v>
      </c>
      <c r="D143" s="644">
        <f ca="1">IF(A143="","",IFERROR(GETPIVOTDATA("合計 / 合計",【ピボット】事業所売上!$A$3,"年月",$A143,"事業所コード",$B143,"事業所",$C143),0))</f>
        <v>9528673</v>
      </c>
      <c r="E143" s="643">
        <v>3117534</v>
      </c>
      <c r="F143" s="643">
        <v>1920952</v>
      </c>
      <c r="G143" s="643">
        <v>3015000</v>
      </c>
      <c r="H143" s="643">
        <v>0</v>
      </c>
      <c r="I143" s="643">
        <v>321780</v>
      </c>
      <c r="J143" s="643">
        <v>14634</v>
      </c>
      <c r="K143" s="644">
        <f t="shared" si="9"/>
        <v>8389900</v>
      </c>
      <c r="L143" s="643">
        <v>687623</v>
      </c>
      <c r="M143" s="643">
        <v>0</v>
      </c>
      <c r="N143" s="644">
        <f t="shared" si="10"/>
        <v>687623</v>
      </c>
      <c r="O143" s="643">
        <v>48600</v>
      </c>
      <c r="P143" s="643">
        <v>0</v>
      </c>
      <c r="Q143" s="644">
        <f>IF($A143="","",IF(AND($C143="白金タクシー",$A143&gt;=DATE(2017,9,1)),ROUND(GETPIVOTDATA("合計 / タクシー運賃",【ピボット】事業所売上!$A$3,"年月",$A143,"事業所コード",$B143,"事業所",$C143)*5.1%,0),0))</f>
        <v>0</v>
      </c>
      <c r="R143" s="643">
        <v>0</v>
      </c>
      <c r="S143" s="643">
        <v>0</v>
      </c>
      <c r="T143" s="643">
        <v>0</v>
      </c>
      <c r="U143" s="644">
        <f t="shared" si="11"/>
        <v>0</v>
      </c>
      <c r="V143" s="643">
        <v>0</v>
      </c>
      <c r="W143" s="643">
        <v>0</v>
      </c>
      <c r="X143" s="643">
        <v>0</v>
      </c>
      <c r="Y143" s="643">
        <v>0</v>
      </c>
    </row>
    <row r="144" spans="1:25" x14ac:dyDescent="0.15">
      <c r="A144" s="642">
        <v>42887</v>
      </c>
      <c r="B144" s="640" t="str">
        <f t="shared" ca="1" si="8"/>
        <v>02</v>
      </c>
      <c r="C144" s="639" t="s">
        <v>37</v>
      </c>
      <c r="D144" s="644">
        <f ca="1">IF(A144="","",IFERROR(GETPIVOTDATA("合計 / 合計",【ピボット】事業所売上!$A$3,"年月",$A144,"事業所コード",$B144,"事業所",$C144),0))</f>
        <v>5683733</v>
      </c>
      <c r="E144" s="643">
        <v>1364384</v>
      </c>
      <c r="F144" s="643">
        <v>1861802</v>
      </c>
      <c r="G144" s="643">
        <v>0</v>
      </c>
      <c r="H144" s="643">
        <v>0</v>
      </c>
      <c r="I144" s="643">
        <v>326629</v>
      </c>
      <c r="J144" s="643">
        <v>19356</v>
      </c>
      <c r="K144" s="644">
        <f t="shared" si="9"/>
        <v>3572171</v>
      </c>
      <c r="L144" s="643">
        <v>984939</v>
      </c>
      <c r="M144" s="643">
        <v>0</v>
      </c>
      <c r="N144" s="644">
        <f t="shared" si="10"/>
        <v>984939</v>
      </c>
      <c r="O144" s="643">
        <v>19356</v>
      </c>
      <c r="P144" s="643">
        <v>0</v>
      </c>
      <c r="Q144" s="644">
        <f>IF($A144="","",IF(AND($C144="白金タクシー",$A144&gt;=DATE(2017,9,1)),ROUND(GETPIVOTDATA("合計 / タクシー運賃",【ピボット】事業所売上!$A$3,"年月",$A144,"事業所コード",$B144,"事業所",$C144)*5.1%,0),0))</f>
        <v>0</v>
      </c>
      <c r="R144" s="643">
        <v>0</v>
      </c>
      <c r="S144" s="643">
        <v>0</v>
      </c>
      <c r="T144" s="643">
        <v>0</v>
      </c>
      <c r="U144" s="644">
        <f t="shared" si="11"/>
        <v>0</v>
      </c>
      <c r="V144" s="643">
        <v>0</v>
      </c>
      <c r="W144" s="643">
        <v>0</v>
      </c>
      <c r="X144" s="643">
        <v>0</v>
      </c>
      <c r="Y144" s="643">
        <v>0</v>
      </c>
    </row>
    <row r="145" spans="1:25" x14ac:dyDescent="0.15">
      <c r="A145" s="642">
        <v>42887</v>
      </c>
      <c r="B145" s="640" t="str">
        <f t="shared" ca="1" si="8"/>
        <v>03</v>
      </c>
      <c r="C145" s="639" t="s">
        <v>66</v>
      </c>
      <c r="D145" s="644">
        <f ca="1">IF(A145="","",IFERROR(GETPIVOTDATA("合計 / 合計",【ピボット】事業所売上!$A$3,"年月",$A145,"事業所コード",$B145,"事業所",$C145),0))</f>
        <v>5697582</v>
      </c>
      <c r="E145" s="643">
        <v>1523579</v>
      </c>
      <c r="F145" s="643">
        <v>1502072</v>
      </c>
      <c r="G145" s="643">
        <v>986000</v>
      </c>
      <c r="H145" s="643">
        <v>0</v>
      </c>
      <c r="I145" s="643">
        <v>299629</v>
      </c>
      <c r="J145" s="643">
        <v>15892</v>
      </c>
      <c r="K145" s="644">
        <f t="shared" si="9"/>
        <v>4327172</v>
      </c>
      <c r="L145" s="643">
        <v>718514</v>
      </c>
      <c r="M145" s="643">
        <v>0</v>
      </c>
      <c r="N145" s="644">
        <f t="shared" si="10"/>
        <v>718514</v>
      </c>
      <c r="O145" s="643">
        <v>0</v>
      </c>
      <c r="P145" s="643">
        <v>0</v>
      </c>
      <c r="Q145" s="644">
        <f>IF($A145="","",IF(AND($C145="白金タクシー",$A145&gt;=DATE(2017,9,1)),ROUND(GETPIVOTDATA("合計 / タクシー運賃",【ピボット】事業所売上!$A$3,"年月",$A145,"事業所コード",$B145,"事業所",$C145)*5.1%,0),0))</f>
        <v>0</v>
      </c>
      <c r="R145" s="643">
        <v>0</v>
      </c>
      <c r="S145" s="643">
        <v>0</v>
      </c>
      <c r="T145" s="643">
        <v>0</v>
      </c>
      <c r="U145" s="644">
        <f t="shared" si="11"/>
        <v>0</v>
      </c>
      <c r="V145" s="643">
        <v>0</v>
      </c>
      <c r="W145" s="643">
        <v>0</v>
      </c>
      <c r="X145" s="643">
        <v>0</v>
      </c>
      <c r="Y145" s="643">
        <v>0</v>
      </c>
    </row>
    <row r="146" spans="1:25" x14ac:dyDescent="0.15">
      <c r="A146" s="642">
        <v>42887</v>
      </c>
      <c r="B146" s="640" t="str">
        <f t="shared" ca="1" si="8"/>
        <v>04</v>
      </c>
      <c r="C146" s="639" t="s">
        <v>358</v>
      </c>
      <c r="D146" s="644">
        <f ca="1">IF(A146="","",IFERROR(GETPIVOTDATA("合計 / 合計",【ピボット】事業所売上!$A$3,"年月",$A146,"事業所コード",$B146,"事業所",$C146),0))</f>
        <v>3597785</v>
      </c>
      <c r="E146" s="643">
        <v>886359</v>
      </c>
      <c r="F146" s="643">
        <v>757744</v>
      </c>
      <c r="G146" s="643">
        <v>30000</v>
      </c>
      <c r="H146" s="643">
        <v>0</v>
      </c>
      <c r="I146" s="643">
        <v>139071</v>
      </c>
      <c r="J146" s="643">
        <v>3402</v>
      </c>
      <c r="K146" s="644">
        <f t="shared" si="9"/>
        <v>1816576</v>
      </c>
      <c r="L146" s="643">
        <v>989607</v>
      </c>
      <c r="M146" s="643">
        <v>0</v>
      </c>
      <c r="N146" s="644">
        <f t="shared" si="10"/>
        <v>989607</v>
      </c>
      <c r="O146" s="643">
        <v>46440</v>
      </c>
      <c r="P146" s="643">
        <v>0</v>
      </c>
      <c r="Q146" s="644">
        <f>IF($A146="","",IF(AND($C146="白金タクシー",$A146&gt;=DATE(2017,9,1)),ROUND(GETPIVOTDATA("合計 / タクシー運賃",【ピボット】事業所売上!$A$3,"年月",$A146,"事業所コード",$B146,"事業所",$C146)*5.1%,0),0))</f>
        <v>0</v>
      </c>
      <c r="R146" s="643">
        <v>0</v>
      </c>
      <c r="S146" s="643">
        <v>0</v>
      </c>
      <c r="T146" s="643">
        <v>0</v>
      </c>
      <c r="U146" s="644">
        <f t="shared" si="11"/>
        <v>0</v>
      </c>
      <c r="V146" s="643">
        <v>0</v>
      </c>
      <c r="W146" s="643">
        <v>0</v>
      </c>
      <c r="X146" s="643">
        <v>0</v>
      </c>
      <c r="Y146" s="643">
        <v>0</v>
      </c>
    </row>
    <row r="147" spans="1:25" x14ac:dyDescent="0.15">
      <c r="A147" s="642">
        <v>42887</v>
      </c>
      <c r="B147" s="640" t="str">
        <f t="shared" ca="1" si="8"/>
        <v>05</v>
      </c>
      <c r="C147" s="639" t="s">
        <v>38</v>
      </c>
      <c r="D147" s="644">
        <f ca="1">IF(A147="","",IFERROR(GETPIVOTDATA("合計 / 合計",【ピボット】事業所売上!$A$3,"年月",$A147,"事業所コード",$B147,"事業所",$C147),0))</f>
        <v>2893429</v>
      </c>
      <c r="E147" s="643">
        <v>1179780</v>
      </c>
      <c r="F147" s="643">
        <v>300000</v>
      </c>
      <c r="G147" s="643">
        <v>0</v>
      </c>
      <c r="H147" s="643">
        <v>0</v>
      </c>
      <c r="I147" s="643">
        <v>109516</v>
      </c>
      <c r="J147" s="643">
        <v>1134</v>
      </c>
      <c r="K147" s="644">
        <f t="shared" si="9"/>
        <v>1590430</v>
      </c>
      <c r="L147" s="643">
        <v>716850</v>
      </c>
      <c r="M147" s="643">
        <v>0</v>
      </c>
      <c r="N147" s="644">
        <f t="shared" si="10"/>
        <v>716850</v>
      </c>
      <c r="O147" s="643">
        <v>0</v>
      </c>
      <c r="P147" s="643">
        <v>0</v>
      </c>
      <c r="Q147" s="644">
        <f>IF($A147="","",IF(AND($C147="白金タクシー",$A147&gt;=DATE(2017,9,1)),ROUND(GETPIVOTDATA("合計 / タクシー運賃",【ピボット】事業所売上!$A$3,"年月",$A147,"事業所コード",$B147,"事業所",$C147)*5.1%,0),0))</f>
        <v>0</v>
      </c>
      <c r="R147" s="643">
        <v>0</v>
      </c>
      <c r="S147" s="643">
        <v>0</v>
      </c>
      <c r="T147" s="643">
        <v>0</v>
      </c>
      <c r="U147" s="644">
        <f t="shared" si="11"/>
        <v>0</v>
      </c>
      <c r="V147" s="643">
        <v>0</v>
      </c>
      <c r="W147" s="643">
        <v>0</v>
      </c>
      <c r="X147" s="643">
        <v>0</v>
      </c>
      <c r="Y147" s="643">
        <v>0</v>
      </c>
    </row>
    <row r="148" spans="1:25" x14ac:dyDescent="0.15">
      <c r="A148" s="642">
        <v>42887</v>
      </c>
      <c r="B148" s="640" t="str">
        <f t="shared" ca="1" si="8"/>
        <v>06</v>
      </c>
      <c r="C148" s="639" t="s">
        <v>57</v>
      </c>
      <c r="D148" s="644">
        <f ca="1">IF(A148="","",IFERROR(GETPIVOTDATA("合計 / 合計",【ピボット】事業所売上!$A$3,"年月",$A148,"事業所コード",$B148,"事業所",$C148),0))</f>
        <v>0</v>
      </c>
      <c r="E148" s="643">
        <v>0</v>
      </c>
      <c r="F148" s="643">
        <v>0</v>
      </c>
      <c r="G148" s="643">
        <v>0</v>
      </c>
      <c r="H148" s="643">
        <v>0</v>
      </c>
      <c r="I148" s="643">
        <v>0</v>
      </c>
      <c r="J148" s="643">
        <v>0</v>
      </c>
      <c r="K148" s="644">
        <f t="shared" si="9"/>
        <v>0</v>
      </c>
      <c r="L148" s="643">
        <v>54694</v>
      </c>
      <c r="M148" s="643">
        <v>0</v>
      </c>
      <c r="N148" s="644">
        <f t="shared" si="10"/>
        <v>54694</v>
      </c>
      <c r="O148" s="643">
        <v>0</v>
      </c>
      <c r="P148" s="643">
        <v>0</v>
      </c>
      <c r="Q148" s="644">
        <f>IF($A148="","",IF(AND($C148="白金タクシー",$A148&gt;=DATE(2017,9,1)),ROUND(GETPIVOTDATA("合計 / タクシー運賃",【ピボット】事業所売上!$A$3,"年月",$A148,"事業所コード",$B148,"事業所",$C148)*5.1%,0),0))</f>
        <v>0</v>
      </c>
      <c r="R148" s="643">
        <v>0</v>
      </c>
      <c r="S148" s="643">
        <v>0</v>
      </c>
      <c r="T148" s="643">
        <v>0</v>
      </c>
      <c r="U148" s="644">
        <f t="shared" si="11"/>
        <v>0</v>
      </c>
      <c r="V148" s="643">
        <v>0</v>
      </c>
      <c r="W148" s="643">
        <v>0</v>
      </c>
      <c r="X148" s="643">
        <v>0</v>
      </c>
      <c r="Y148" s="643">
        <v>0</v>
      </c>
    </row>
    <row r="149" spans="1:25" x14ac:dyDescent="0.15">
      <c r="A149" s="642">
        <v>42887</v>
      </c>
      <c r="B149" s="640" t="str">
        <f t="shared" ca="1" si="8"/>
        <v>07</v>
      </c>
      <c r="C149" s="639" t="s">
        <v>119</v>
      </c>
      <c r="D149" s="644">
        <f ca="1">IF(A149="","",IFERROR(GETPIVOTDATA("合計 / 合計",【ピボット】事業所売上!$A$3,"年月",$A149,"事業所コード",$B149,"事業所",$C149),0))</f>
        <v>2686373</v>
      </c>
      <c r="E149" s="643">
        <v>374853</v>
      </c>
      <c r="F149" s="643">
        <v>50000</v>
      </c>
      <c r="G149" s="643">
        <v>0</v>
      </c>
      <c r="H149" s="643">
        <v>0</v>
      </c>
      <c r="I149" s="643">
        <v>25378</v>
      </c>
      <c r="J149" s="643">
        <v>1134</v>
      </c>
      <c r="K149" s="644">
        <f t="shared" si="9"/>
        <v>451365</v>
      </c>
      <c r="L149" s="643">
        <v>162095</v>
      </c>
      <c r="M149" s="643">
        <v>0</v>
      </c>
      <c r="N149" s="644">
        <f t="shared" si="10"/>
        <v>162095</v>
      </c>
      <c r="O149" s="643">
        <v>0</v>
      </c>
      <c r="P149" s="643">
        <v>0</v>
      </c>
      <c r="Q149" s="644">
        <f>IF($A149="","",IF(AND($C149="白金タクシー",$A149&gt;=DATE(2017,9,1)),ROUND(GETPIVOTDATA("合計 / タクシー運賃",【ピボット】事業所売上!$A$3,"年月",$A149,"事業所コード",$B149,"事業所",$C149)*5.1%,0),0))</f>
        <v>0</v>
      </c>
      <c r="R149" s="643">
        <v>0</v>
      </c>
      <c r="S149" s="643">
        <v>0</v>
      </c>
      <c r="T149" s="643">
        <v>0</v>
      </c>
      <c r="U149" s="644">
        <f t="shared" si="11"/>
        <v>0</v>
      </c>
      <c r="V149" s="643">
        <v>0</v>
      </c>
      <c r="W149" s="643">
        <v>0</v>
      </c>
      <c r="X149" s="643">
        <v>0</v>
      </c>
      <c r="Y149" s="643">
        <v>0</v>
      </c>
    </row>
    <row r="150" spans="1:25" x14ac:dyDescent="0.15">
      <c r="A150" s="642">
        <v>42887</v>
      </c>
      <c r="B150" s="640" t="str">
        <f t="shared" ca="1" si="8"/>
        <v>08</v>
      </c>
      <c r="C150" s="639" t="s">
        <v>189</v>
      </c>
      <c r="D150" s="644">
        <f ca="1">IF(A150="","",IFERROR(GETPIVOTDATA("合計 / 合計",【ピボット】事業所売上!$A$3,"年月",$A150,"事業所コード",$B150,"事業所",$C150),0))</f>
        <v>2075072</v>
      </c>
      <c r="E150" s="643">
        <v>302450</v>
      </c>
      <c r="F150" s="643">
        <v>325000</v>
      </c>
      <c r="G150" s="643">
        <v>0</v>
      </c>
      <c r="H150" s="643">
        <v>0</v>
      </c>
      <c r="I150" s="643">
        <v>43640</v>
      </c>
      <c r="J150" s="643">
        <v>1134</v>
      </c>
      <c r="K150" s="644">
        <f t="shared" si="9"/>
        <v>672224</v>
      </c>
      <c r="L150" s="643">
        <v>298938</v>
      </c>
      <c r="M150" s="643">
        <v>0</v>
      </c>
      <c r="N150" s="644">
        <f t="shared" si="10"/>
        <v>298938</v>
      </c>
      <c r="O150" s="643">
        <v>0</v>
      </c>
      <c r="P150" s="643">
        <v>0</v>
      </c>
      <c r="Q150" s="644">
        <f>IF($A150="","",IF(AND($C150="白金タクシー",$A150&gt;=DATE(2017,9,1)),ROUND(GETPIVOTDATA("合計 / タクシー運賃",【ピボット】事業所売上!$A$3,"年月",$A150,"事業所コード",$B150,"事業所",$C150)*5.1%,0),0))</f>
        <v>0</v>
      </c>
      <c r="R150" s="643">
        <v>0</v>
      </c>
      <c r="S150" s="643">
        <v>0</v>
      </c>
      <c r="T150" s="643">
        <v>0</v>
      </c>
      <c r="U150" s="644">
        <f t="shared" si="11"/>
        <v>0</v>
      </c>
      <c r="V150" s="643">
        <v>0</v>
      </c>
      <c r="W150" s="643">
        <v>0</v>
      </c>
      <c r="X150" s="643">
        <v>0</v>
      </c>
      <c r="Y150" s="643">
        <v>0</v>
      </c>
    </row>
    <row r="151" spans="1:25" x14ac:dyDescent="0.15">
      <c r="A151" s="642">
        <v>42887</v>
      </c>
      <c r="B151" s="640" t="str">
        <f t="shared" ca="1" si="8"/>
        <v>09</v>
      </c>
      <c r="C151" s="639" t="s">
        <v>329</v>
      </c>
      <c r="D151" s="644">
        <f ca="1">IF(A151="","",IFERROR(GETPIVOTDATA("合計 / 合計",【ピボット】事業所売上!$A$3,"年月",$A151,"事業所コード",$B151,"事業所",$C151),0))</f>
        <v>1940389</v>
      </c>
      <c r="E151" s="643">
        <v>619301</v>
      </c>
      <c r="F151" s="643">
        <v>0</v>
      </c>
      <c r="G151" s="643">
        <v>0</v>
      </c>
      <c r="H151" s="643">
        <v>0</v>
      </c>
      <c r="I151" s="643">
        <v>0</v>
      </c>
      <c r="J151" s="643">
        <v>0</v>
      </c>
      <c r="K151" s="644">
        <f t="shared" si="9"/>
        <v>619301</v>
      </c>
      <c r="L151" s="643">
        <v>693960</v>
      </c>
      <c r="M151" s="643">
        <v>0</v>
      </c>
      <c r="N151" s="644">
        <f t="shared" si="10"/>
        <v>693960</v>
      </c>
      <c r="O151" s="643">
        <v>48600</v>
      </c>
      <c r="P151" s="643">
        <v>0</v>
      </c>
      <c r="Q151" s="644">
        <f>IF($A151="","",IF(AND($C151="白金タクシー",$A151&gt;=DATE(2017,9,1)),ROUND(GETPIVOTDATA("合計 / タクシー運賃",【ピボット】事業所売上!$A$3,"年月",$A151,"事業所コード",$B151,"事業所",$C151)*5.1%,0),0))</f>
        <v>0</v>
      </c>
      <c r="R151" s="643">
        <v>0</v>
      </c>
      <c r="S151" s="643">
        <v>0</v>
      </c>
      <c r="T151" s="643">
        <v>0</v>
      </c>
      <c r="U151" s="644">
        <f t="shared" si="11"/>
        <v>0</v>
      </c>
      <c r="V151" s="643">
        <v>0</v>
      </c>
      <c r="W151" s="643">
        <v>0</v>
      </c>
      <c r="X151" s="643">
        <v>0</v>
      </c>
      <c r="Y151" s="643">
        <v>0</v>
      </c>
    </row>
    <row r="152" spans="1:25" x14ac:dyDescent="0.15">
      <c r="A152" s="642">
        <v>42887</v>
      </c>
      <c r="B152" s="640" t="str">
        <f t="shared" ca="1" si="8"/>
        <v>10</v>
      </c>
      <c r="C152" s="639" t="s">
        <v>336</v>
      </c>
      <c r="D152" s="644">
        <f ca="1">IF(A152="","",IFERROR(GETPIVOTDATA("合計 / 合計",【ピボット】事業所売上!$A$3,"年月",$A152,"事業所コード",$B152,"事業所",$C152),0))</f>
        <v>2812785</v>
      </c>
      <c r="E152" s="643">
        <v>516058</v>
      </c>
      <c r="F152" s="643">
        <v>914269</v>
      </c>
      <c r="G152" s="643">
        <v>0</v>
      </c>
      <c r="H152" s="643">
        <v>0</v>
      </c>
      <c r="I152" s="643">
        <v>113543</v>
      </c>
      <c r="J152" s="643">
        <v>29170</v>
      </c>
      <c r="K152" s="644">
        <f t="shared" si="9"/>
        <v>1573040</v>
      </c>
      <c r="L152" s="643">
        <v>842340</v>
      </c>
      <c r="M152" s="643">
        <v>0</v>
      </c>
      <c r="N152" s="644">
        <f t="shared" si="10"/>
        <v>842340</v>
      </c>
      <c r="O152" s="643">
        <v>0</v>
      </c>
      <c r="P152" s="643">
        <v>0</v>
      </c>
      <c r="Q152" s="644">
        <f>IF($A152="","",IF(AND($C152="白金タクシー",$A152&gt;=DATE(2017,9,1)),ROUND(GETPIVOTDATA("合計 / タクシー運賃",【ピボット】事業所売上!$A$3,"年月",$A152,"事業所コード",$B152,"事業所",$C152)*5.1%,0),0))</f>
        <v>0</v>
      </c>
      <c r="R152" s="643">
        <v>0</v>
      </c>
      <c r="S152" s="643">
        <v>0</v>
      </c>
      <c r="T152" s="643">
        <v>0</v>
      </c>
      <c r="U152" s="644">
        <f t="shared" si="11"/>
        <v>0</v>
      </c>
      <c r="V152" s="643">
        <v>0</v>
      </c>
      <c r="W152" s="643">
        <v>0</v>
      </c>
      <c r="X152" s="643">
        <v>0</v>
      </c>
      <c r="Y152" s="643">
        <v>0</v>
      </c>
    </row>
    <row r="153" spans="1:25" x14ac:dyDescent="0.15">
      <c r="A153" s="642">
        <f>EDATE(A152,1)</f>
        <v>42917</v>
      </c>
      <c r="B153" s="640" t="str">
        <f t="shared" ca="1" si="8"/>
        <v>00</v>
      </c>
      <c r="C153" s="639" t="s">
        <v>490</v>
      </c>
      <c r="D153" s="644">
        <f ca="1">IF(A153="","",IFERROR(GETPIVOTDATA("合計 / 合計",【ピボット】事業所売上!$A$3,"年月",$A153,"事業所コード",$B153,"事業所",$C153),0))</f>
        <v>0</v>
      </c>
      <c r="E153" s="643">
        <v>61200</v>
      </c>
      <c r="F153" s="643">
        <v>912654</v>
      </c>
      <c r="G153" s="643">
        <v>0</v>
      </c>
      <c r="H153" s="643">
        <v>2000000</v>
      </c>
      <c r="I153" s="643">
        <v>558085</v>
      </c>
      <c r="J153" s="643">
        <v>344110</v>
      </c>
      <c r="K153" s="644">
        <f t="shared" si="9"/>
        <v>3876049</v>
      </c>
      <c r="L153" s="643">
        <v>1234610</v>
      </c>
      <c r="M153" s="643">
        <v>0</v>
      </c>
      <c r="N153" s="644">
        <f t="shared" si="10"/>
        <v>1234610</v>
      </c>
      <c r="O153" s="643">
        <v>0</v>
      </c>
      <c r="P153" s="643">
        <v>0</v>
      </c>
      <c r="Q153" s="644">
        <f>IF($A153="","",IF(AND($C153="白金タクシー",$A153&gt;=DATE(2017,9,1)),ROUND(GETPIVOTDATA("合計 / タクシー運賃",【ピボット】事業所売上!$A$3,"年月",$A153,"事業所コード",$B153,"事業所",$C153)*5.1%,0),0))</f>
        <v>0</v>
      </c>
      <c r="R153" s="643">
        <v>0</v>
      </c>
      <c r="S153" s="643">
        <v>0</v>
      </c>
      <c r="T153" s="643">
        <v>0</v>
      </c>
      <c r="U153" s="644">
        <f t="shared" si="11"/>
        <v>0</v>
      </c>
      <c r="V153" s="643">
        <v>215737</v>
      </c>
      <c r="W153" s="643">
        <v>246683</v>
      </c>
      <c r="X153" s="643">
        <v>0</v>
      </c>
      <c r="Y153" s="643">
        <v>0</v>
      </c>
    </row>
    <row r="154" spans="1:25" x14ac:dyDescent="0.15">
      <c r="A154" s="642">
        <v>42917</v>
      </c>
      <c r="B154" s="640" t="str">
        <f t="shared" ca="1" si="8"/>
        <v>01</v>
      </c>
      <c r="C154" s="639" t="s">
        <v>34</v>
      </c>
      <c r="D154" s="644">
        <f ca="1">IF(A154="","",IFERROR(GETPIVOTDATA("合計 / 合計",【ピボット】事業所売上!$A$3,"年月",$A154,"事業所コード",$B154,"事業所",$C154),0))</f>
        <v>10338554</v>
      </c>
      <c r="E154" s="643">
        <v>3419849</v>
      </c>
      <c r="F154" s="643">
        <v>2024642</v>
      </c>
      <c r="G154" s="643">
        <v>0</v>
      </c>
      <c r="H154" s="643">
        <v>0</v>
      </c>
      <c r="I154" s="643">
        <v>499361</v>
      </c>
      <c r="J154" s="643">
        <v>19599</v>
      </c>
      <c r="K154" s="644">
        <f t="shared" si="9"/>
        <v>5963451</v>
      </c>
      <c r="L154" s="643">
        <v>686383</v>
      </c>
      <c r="M154" s="643">
        <v>0</v>
      </c>
      <c r="N154" s="644">
        <f t="shared" si="10"/>
        <v>686383</v>
      </c>
      <c r="O154" s="643">
        <v>77760</v>
      </c>
      <c r="P154" s="643">
        <v>0</v>
      </c>
      <c r="Q154" s="644">
        <f>IF($A154="","",IF(AND($C154="白金タクシー",$A154&gt;=DATE(2017,9,1)),ROUND(GETPIVOTDATA("合計 / タクシー運賃",【ピボット】事業所売上!$A$3,"年月",$A154,"事業所コード",$B154,"事業所",$C154)*5.1%,0),0))</f>
        <v>0</v>
      </c>
      <c r="R154" s="643">
        <v>0</v>
      </c>
      <c r="S154" s="643">
        <v>0</v>
      </c>
      <c r="T154" s="643">
        <v>0</v>
      </c>
      <c r="U154" s="644">
        <f t="shared" si="11"/>
        <v>0</v>
      </c>
      <c r="V154" s="643">
        <v>0</v>
      </c>
      <c r="W154" s="643">
        <v>0</v>
      </c>
      <c r="X154" s="643">
        <v>0</v>
      </c>
      <c r="Y154" s="643">
        <v>0</v>
      </c>
    </row>
    <row r="155" spans="1:25" x14ac:dyDescent="0.15">
      <c r="A155" s="642">
        <v>42917</v>
      </c>
      <c r="B155" s="640" t="str">
        <f t="shared" ca="1" si="8"/>
        <v>02</v>
      </c>
      <c r="C155" s="639" t="s">
        <v>37</v>
      </c>
      <c r="D155" s="644">
        <f ca="1">IF(A155="","",IFERROR(GETPIVOTDATA("合計 / 合計",【ピボット】事業所売上!$A$3,"年月",$A155,"事業所コード",$B155,"事業所",$C155),0))</f>
        <v>5487698</v>
      </c>
      <c r="E155" s="643">
        <v>1356331</v>
      </c>
      <c r="F155" s="643">
        <v>1880316</v>
      </c>
      <c r="G155" s="643">
        <v>0</v>
      </c>
      <c r="H155" s="643">
        <v>0</v>
      </c>
      <c r="I155" s="643">
        <v>506326</v>
      </c>
      <c r="J155" s="643">
        <v>9072</v>
      </c>
      <c r="K155" s="644">
        <f t="shared" si="9"/>
        <v>3752045</v>
      </c>
      <c r="L155" s="643">
        <v>908008</v>
      </c>
      <c r="M155" s="643">
        <v>0</v>
      </c>
      <c r="N155" s="644">
        <f t="shared" si="10"/>
        <v>908008</v>
      </c>
      <c r="O155" s="643">
        <v>9072</v>
      </c>
      <c r="P155" s="643">
        <v>0</v>
      </c>
      <c r="Q155" s="644">
        <f>IF($A155="","",IF(AND($C155="白金タクシー",$A155&gt;=DATE(2017,9,1)),ROUND(GETPIVOTDATA("合計 / タクシー運賃",【ピボット】事業所売上!$A$3,"年月",$A155,"事業所コード",$B155,"事業所",$C155)*5.1%,0),0))</f>
        <v>0</v>
      </c>
      <c r="R155" s="643">
        <v>0</v>
      </c>
      <c r="S155" s="643">
        <v>0</v>
      </c>
      <c r="T155" s="643">
        <v>0</v>
      </c>
      <c r="U155" s="644">
        <f t="shared" si="11"/>
        <v>0</v>
      </c>
      <c r="V155" s="643">
        <v>0</v>
      </c>
      <c r="W155" s="643">
        <v>0</v>
      </c>
      <c r="X155" s="643">
        <v>0</v>
      </c>
      <c r="Y155" s="643">
        <v>0</v>
      </c>
    </row>
    <row r="156" spans="1:25" x14ac:dyDescent="0.15">
      <c r="A156" s="642">
        <v>42917</v>
      </c>
      <c r="B156" s="640" t="str">
        <f t="shared" ca="1" si="8"/>
        <v>03</v>
      </c>
      <c r="C156" s="639" t="s">
        <v>66</v>
      </c>
      <c r="D156" s="644">
        <f ca="1">IF(A156="","",IFERROR(GETPIVOTDATA("合計 / 合計",【ピボット】事業所売上!$A$3,"年月",$A156,"事業所コード",$B156,"事業所",$C156),0))</f>
        <v>5897081</v>
      </c>
      <c r="E156" s="643">
        <v>1660664</v>
      </c>
      <c r="F156" s="643">
        <v>1529773</v>
      </c>
      <c r="G156" s="643">
        <v>0</v>
      </c>
      <c r="H156" s="643">
        <v>0</v>
      </c>
      <c r="I156" s="643">
        <v>464646</v>
      </c>
      <c r="J156" s="643">
        <v>14981</v>
      </c>
      <c r="K156" s="644">
        <f t="shared" si="9"/>
        <v>3670064</v>
      </c>
      <c r="L156" s="643">
        <v>729566</v>
      </c>
      <c r="M156" s="643">
        <v>0</v>
      </c>
      <c r="N156" s="644">
        <f t="shared" si="10"/>
        <v>729566</v>
      </c>
      <c r="O156" s="643">
        <v>67500</v>
      </c>
      <c r="P156" s="643">
        <v>0</v>
      </c>
      <c r="Q156" s="644">
        <f>IF($A156="","",IF(AND($C156="白金タクシー",$A156&gt;=DATE(2017,9,1)),ROUND(GETPIVOTDATA("合計 / タクシー運賃",【ピボット】事業所売上!$A$3,"年月",$A156,"事業所コード",$B156,"事業所",$C156)*5.1%,0),0))</f>
        <v>0</v>
      </c>
      <c r="R156" s="643">
        <v>0</v>
      </c>
      <c r="S156" s="643">
        <v>0</v>
      </c>
      <c r="T156" s="643">
        <v>0</v>
      </c>
      <c r="U156" s="644">
        <f t="shared" si="11"/>
        <v>0</v>
      </c>
      <c r="V156" s="643">
        <v>0</v>
      </c>
      <c r="W156" s="643">
        <v>0</v>
      </c>
      <c r="X156" s="643">
        <v>0</v>
      </c>
      <c r="Y156" s="643">
        <v>0</v>
      </c>
    </row>
    <row r="157" spans="1:25" x14ac:dyDescent="0.15">
      <c r="A157" s="642">
        <v>42917</v>
      </c>
      <c r="B157" s="640" t="str">
        <f t="shared" ca="1" si="8"/>
        <v>04</v>
      </c>
      <c r="C157" s="639" t="s">
        <v>358</v>
      </c>
      <c r="D157" s="644">
        <f ca="1">IF(A157="","",IFERROR(GETPIVOTDATA("合計 / 合計",【ピボット】事業所売上!$A$3,"年月",$A157,"事業所コード",$B157,"事業所",$C157),0))</f>
        <v>3616139</v>
      </c>
      <c r="E157" s="643">
        <v>961704</v>
      </c>
      <c r="F157" s="643">
        <v>749000</v>
      </c>
      <c r="G157" s="643">
        <v>0</v>
      </c>
      <c r="H157" s="643">
        <v>0</v>
      </c>
      <c r="I157" s="643">
        <v>215498</v>
      </c>
      <c r="J157" s="643">
        <v>3402</v>
      </c>
      <c r="K157" s="644">
        <f t="shared" si="9"/>
        <v>1929604</v>
      </c>
      <c r="L157" s="643">
        <v>897734</v>
      </c>
      <c r="M157" s="643">
        <v>0</v>
      </c>
      <c r="N157" s="644">
        <f t="shared" si="10"/>
        <v>897734</v>
      </c>
      <c r="O157" s="643">
        <v>46440</v>
      </c>
      <c r="P157" s="643">
        <v>0</v>
      </c>
      <c r="Q157" s="644">
        <f>IF($A157="","",IF(AND($C157="白金タクシー",$A157&gt;=DATE(2017,9,1)),ROUND(GETPIVOTDATA("合計 / タクシー運賃",【ピボット】事業所売上!$A$3,"年月",$A157,"事業所コード",$B157,"事業所",$C157)*5.1%,0),0))</f>
        <v>0</v>
      </c>
      <c r="R157" s="643">
        <v>0</v>
      </c>
      <c r="S157" s="643">
        <v>0</v>
      </c>
      <c r="T157" s="643">
        <v>0</v>
      </c>
      <c r="U157" s="644">
        <f t="shared" si="11"/>
        <v>0</v>
      </c>
      <c r="V157" s="643">
        <v>0</v>
      </c>
      <c r="W157" s="643">
        <v>0</v>
      </c>
      <c r="X157" s="643">
        <v>0</v>
      </c>
      <c r="Y157" s="643">
        <v>0</v>
      </c>
    </row>
    <row r="158" spans="1:25" x14ac:dyDescent="0.15">
      <c r="A158" s="642">
        <v>42917</v>
      </c>
      <c r="B158" s="640" t="str">
        <f t="shared" ca="1" si="8"/>
        <v>05</v>
      </c>
      <c r="C158" s="639" t="s">
        <v>38</v>
      </c>
      <c r="D158" s="644">
        <f ca="1">IF(A158="","",IFERROR(GETPIVOTDATA("合計 / 合計",【ピボット】事業所売上!$A$3,"年月",$A158,"事業所コード",$B158,"事業所",$C158),0))</f>
        <v>3184472</v>
      </c>
      <c r="E158" s="643">
        <v>1210715</v>
      </c>
      <c r="F158" s="643">
        <v>320000</v>
      </c>
      <c r="G158" s="643">
        <v>0</v>
      </c>
      <c r="H158" s="643">
        <v>0</v>
      </c>
      <c r="I158" s="643">
        <v>169842</v>
      </c>
      <c r="J158" s="643">
        <v>1134</v>
      </c>
      <c r="K158" s="644">
        <f t="shared" si="9"/>
        <v>1701691</v>
      </c>
      <c r="L158" s="643">
        <v>312799</v>
      </c>
      <c r="M158" s="643">
        <v>0</v>
      </c>
      <c r="N158" s="644">
        <f t="shared" si="10"/>
        <v>312799</v>
      </c>
      <c r="O158" s="643">
        <v>0</v>
      </c>
      <c r="P158" s="643">
        <v>0</v>
      </c>
      <c r="Q158" s="644">
        <f>IF($A158="","",IF(AND($C158="白金タクシー",$A158&gt;=DATE(2017,9,1)),ROUND(GETPIVOTDATA("合計 / タクシー運賃",【ピボット】事業所売上!$A$3,"年月",$A158,"事業所コード",$B158,"事業所",$C158)*5.1%,0),0))</f>
        <v>0</v>
      </c>
      <c r="R158" s="643">
        <v>0</v>
      </c>
      <c r="S158" s="643">
        <v>0</v>
      </c>
      <c r="T158" s="643">
        <v>0</v>
      </c>
      <c r="U158" s="644">
        <f t="shared" si="11"/>
        <v>0</v>
      </c>
      <c r="V158" s="643">
        <v>0</v>
      </c>
      <c r="W158" s="643">
        <v>0</v>
      </c>
      <c r="X158" s="643">
        <v>0</v>
      </c>
      <c r="Y158" s="643">
        <v>0</v>
      </c>
    </row>
    <row r="159" spans="1:25" x14ac:dyDescent="0.15">
      <c r="A159" s="642">
        <v>42917</v>
      </c>
      <c r="B159" s="640" t="str">
        <f t="shared" ca="1" si="8"/>
        <v>06</v>
      </c>
      <c r="C159" s="639" t="s">
        <v>57</v>
      </c>
      <c r="D159" s="644">
        <f ca="1">IF(A159="","",IFERROR(GETPIVOTDATA("合計 / 合計",【ピボット】事業所売上!$A$3,"年月",$A159,"事業所コード",$B159,"事業所",$C159),0))</f>
        <v>0</v>
      </c>
      <c r="E159" s="643">
        <v>0</v>
      </c>
      <c r="F159" s="643">
        <v>0</v>
      </c>
      <c r="G159" s="643">
        <v>0</v>
      </c>
      <c r="H159" s="643">
        <v>0</v>
      </c>
      <c r="I159" s="643">
        <v>0</v>
      </c>
      <c r="J159" s="643">
        <v>0</v>
      </c>
      <c r="K159" s="644">
        <f t="shared" si="9"/>
        <v>0</v>
      </c>
      <c r="L159" s="643">
        <v>5420</v>
      </c>
      <c r="M159" s="643">
        <v>0</v>
      </c>
      <c r="N159" s="644">
        <f t="shared" si="10"/>
        <v>5420</v>
      </c>
      <c r="O159" s="643">
        <v>0</v>
      </c>
      <c r="P159" s="643">
        <v>0</v>
      </c>
      <c r="Q159" s="644">
        <f>IF($A159="","",IF(AND($C159="白金タクシー",$A159&gt;=DATE(2017,9,1)),ROUND(GETPIVOTDATA("合計 / タクシー運賃",【ピボット】事業所売上!$A$3,"年月",$A159,"事業所コード",$B159,"事業所",$C159)*5.1%,0),0))</f>
        <v>0</v>
      </c>
      <c r="R159" s="643">
        <v>0</v>
      </c>
      <c r="S159" s="643">
        <v>0</v>
      </c>
      <c r="T159" s="643">
        <v>0</v>
      </c>
      <c r="U159" s="644">
        <f t="shared" si="11"/>
        <v>0</v>
      </c>
      <c r="V159" s="643">
        <v>0</v>
      </c>
      <c r="W159" s="643">
        <v>0</v>
      </c>
      <c r="X159" s="643">
        <v>0</v>
      </c>
      <c r="Y159" s="643">
        <v>0</v>
      </c>
    </row>
    <row r="160" spans="1:25" x14ac:dyDescent="0.15">
      <c r="A160" s="642">
        <v>42917</v>
      </c>
      <c r="B160" s="640" t="str">
        <f t="shared" ca="1" si="8"/>
        <v>07</v>
      </c>
      <c r="C160" s="639" t="s">
        <v>119</v>
      </c>
      <c r="D160" s="644">
        <f ca="1">IF(A160="","",IFERROR(GETPIVOTDATA("合計 / 合計",【ピボット】事業所売上!$A$3,"年月",$A160,"事業所コード",$B160,"事業所",$C160),0))</f>
        <v>1273066</v>
      </c>
      <c r="E160" s="643">
        <v>366733</v>
      </c>
      <c r="F160" s="643">
        <v>50000</v>
      </c>
      <c r="G160" s="643">
        <v>0</v>
      </c>
      <c r="H160" s="643">
        <v>0</v>
      </c>
      <c r="I160" s="643">
        <v>39238</v>
      </c>
      <c r="J160" s="643">
        <v>1134</v>
      </c>
      <c r="K160" s="644">
        <f t="shared" si="9"/>
        <v>457105</v>
      </c>
      <c r="L160" s="643">
        <v>117007</v>
      </c>
      <c r="M160" s="643">
        <v>0</v>
      </c>
      <c r="N160" s="644">
        <f t="shared" si="10"/>
        <v>117007</v>
      </c>
      <c r="O160" s="643">
        <v>0</v>
      </c>
      <c r="P160" s="643">
        <v>0</v>
      </c>
      <c r="Q160" s="644">
        <f>IF($A160="","",IF(AND($C160="白金タクシー",$A160&gt;=DATE(2017,9,1)),ROUND(GETPIVOTDATA("合計 / タクシー運賃",【ピボット】事業所売上!$A$3,"年月",$A160,"事業所コード",$B160,"事業所",$C160)*5.1%,0),0))</f>
        <v>0</v>
      </c>
      <c r="R160" s="643">
        <v>0</v>
      </c>
      <c r="S160" s="643">
        <v>0</v>
      </c>
      <c r="T160" s="643">
        <v>0</v>
      </c>
      <c r="U160" s="644">
        <f t="shared" si="11"/>
        <v>0</v>
      </c>
      <c r="V160" s="643">
        <v>0</v>
      </c>
      <c r="W160" s="643">
        <v>0</v>
      </c>
      <c r="X160" s="643">
        <v>0</v>
      </c>
      <c r="Y160" s="643">
        <v>0</v>
      </c>
    </row>
    <row r="161" spans="1:25" x14ac:dyDescent="0.15">
      <c r="A161" s="642">
        <v>42917</v>
      </c>
      <c r="B161" s="640" t="str">
        <f t="shared" ca="1" si="8"/>
        <v>08</v>
      </c>
      <c r="C161" s="639" t="s">
        <v>189</v>
      </c>
      <c r="D161" s="644">
        <f ca="1">IF(A161="","",IFERROR(GETPIVOTDATA("合計 / 合計",【ピボット】事業所売上!$A$3,"年月",$A161,"事業所コード",$B161,"事業所",$C161),0))</f>
        <v>1101492</v>
      </c>
      <c r="E161" s="643">
        <v>314200</v>
      </c>
      <c r="F161" s="643">
        <v>186500</v>
      </c>
      <c r="G161" s="643">
        <v>0</v>
      </c>
      <c r="H161" s="643">
        <v>0</v>
      </c>
      <c r="I161" s="643">
        <v>66684</v>
      </c>
      <c r="J161" s="643">
        <v>1134</v>
      </c>
      <c r="K161" s="644">
        <f t="shared" si="9"/>
        <v>568518</v>
      </c>
      <c r="L161" s="643">
        <v>307050</v>
      </c>
      <c r="M161" s="643">
        <v>0</v>
      </c>
      <c r="N161" s="644">
        <f t="shared" si="10"/>
        <v>307050</v>
      </c>
      <c r="O161" s="643">
        <v>0</v>
      </c>
      <c r="P161" s="643">
        <v>0</v>
      </c>
      <c r="Q161" s="644">
        <f>IF($A161="","",IF(AND($C161="白金タクシー",$A161&gt;=DATE(2017,9,1)),ROUND(GETPIVOTDATA("合計 / タクシー運賃",【ピボット】事業所売上!$A$3,"年月",$A161,"事業所コード",$B161,"事業所",$C161)*5.1%,0),0))</f>
        <v>0</v>
      </c>
      <c r="R161" s="643">
        <v>0</v>
      </c>
      <c r="S161" s="643">
        <v>0</v>
      </c>
      <c r="T161" s="643">
        <v>0</v>
      </c>
      <c r="U161" s="644">
        <f t="shared" si="11"/>
        <v>0</v>
      </c>
      <c r="V161" s="643">
        <v>0</v>
      </c>
      <c r="W161" s="643">
        <v>0</v>
      </c>
      <c r="X161" s="643">
        <v>0</v>
      </c>
      <c r="Y161" s="643">
        <v>0</v>
      </c>
    </row>
    <row r="162" spans="1:25" x14ac:dyDescent="0.15">
      <c r="A162" s="642">
        <v>42917</v>
      </c>
      <c r="B162" s="640" t="str">
        <f t="shared" ca="1" si="8"/>
        <v>09</v>
      </c>
      <c r="C162" s="639" t="s">
        <v>329</v>
      </c>
      <c r="D162" s="644">
        <f ca="1">IF(A162="","",IFERROR(GETPIVOTDATA("合計 / 合計",【ピボット】事業所売上!$A$3,"年月",$A162,"事業所コード",$B162,"事業所",$C162),0))</f>
        <v>1965328</v>
      </c>
      <c r="E162" s="643">
        <v>742925</v>
      </c>
      <c r="F162" s="643">
        <v>0</v>
      </c>
      <c r="G162" s="643">
        <v>0</v>
      </c>
      <c r="H162" s="643">
        <v>0</v>
      </c>
      <c r="I162" s="643">
        <v>46916</v>
      </c>
      <c r="J162" s="643">
        <v>0</v>
      </c>
      <c r="K162" s="644">
        <f t="shared" si="9"/>
        <v>789841</v>
      </c>
      <c r="L162" s="643">
        <v>519521</v>
      </c>
      <c r="M162" s="643">
        <v>0</v>
      </c>
      <c r="N162" s="644">
        <f t="shared" si="10"/>
        <v>519521</v>
      </c>
      <c r="O162" s="643">
        <v>0</v>
      </c>
      <c r="P162" s="643">
        <v>0</v>
      </c>
      <c r="Q162" s="644">
        <f>IF($A162="","",IF(AND($C162="白金タクシー",$A162&gt;=DATE(2017,9,1)),ROUND(GETPIVOTDATA("合計 / タクシー運賃",【ピボット】事業所売上!$A$3,"年月",$A162,"事業所コード",$B162,"事業所",$C162)*5.1%,0),0))</f>
        <v>0</v>
      </c>
      <c r="R162" s="643">
        <v>0</v>
      </c>
      <c r="S162" s="643">
        <v>0</v>
      </c>
      <c r="T162" s="643">
        <v>0</v>
      </c>
      <c r="U162" s="644">
        <f t="shared" si="11"/>
        <v>0</v>
      </c>
      <c r="V162" s="643">
        <v>0</v>
      </c>
      <c r="W162" s="643">
        <v>0</v>
      </c>
      <c r="X162" s="643">
        <v>0</v>
      </c>
      <c r="Y162" s="643">
        <v>0</v>
      </c>
    </row>
    <row r="163" spans="1:25" x14ac:dyDescent="0.15">
      <c r="A163" s="642">
        <v>42917</v>
      </c>
      <c r="B163" s="640" t="str">
        <f t="shared" ca="1" si="8"/>
        <v>10</v>
      </c>
      <c r="C163" s="639" t="s">
        <v>336</v>
      </c>
      <c r="D163" s="644">
        <f ca="1">IF(A163="","",IFERROR(GETPIVOTDATA("合計 / 合計",【ピボット】事業所売上!$A$3,"年月",$A163,"事業所コード",$B163,"事業所",$C163),0))</f>
        <v>3216466</v>
      </c>
      <c r="E163" s="643">
        <v>659538</v>
      </c>
      <c r="F163" s="643">
        <v>926258</v>
      </c>
      <c r="G163" s="643">
        <v>0</v>
      </c>
      <c r="H163" s="643">
        <v>0</v>
      </c>
      <c r="I163" s="643">
        <v>176134</v>
      </c>
      <c r="J163" s="643">
        <v>5670</v>
      </c>
      <c r="K163" s="644">
        <f t="shared" si="9"/>
        <v>1767600</v>
      </c>
      <c r="L163" s="643">
        <v>840179</v>
      </c>
      <c r="M163" s="643">
        <v>0</v>
      </c>
      <c r="N163" s="644">
        <f>IF(A163="","",SUM(L163:M163))</f>
        <v>840179</v>
      </c>
      <c r="O163" s="643">
        <v>5112</v>
      </c>
      <c r="P163" s="643">
        <v>0</v>
      </c>
      <c r="Q163" s="644">
        <f>IF($A163="","",IF(AND($C163="白金タクシー",$A163&gt;=DATE(2017,9,1)),ROUND(GETPIVOTDATA("合計 / タクシー運賃",【ピボット】事業所売上!$A$3,"年月",$A163,"事業所コード",$B163,"事業所",$C163)*5.1%,0),0))</f>
        <v>0</v>
      </c>
      <c r="R163" s="643">
        <v>0</v>
      </c>
      <c r="S163" s="643">
        <v>0</v>
      </c>
      <c r="T163" s="643">
        <v>0</v>
      </c>
      <c r="U163" s="644">
        <f t="shared" si="11"/>
        <v>0</v>
      </c>
      <c r="V163" s="643">
        <v>0</v>
      </c>
      <c r="W163" s="643">
        <v>0</v>
      </c>
      <c r="X163" s="643">
        <v>0</v>
      </c>
      <c r="Y163" s="643">
        <v>0</v>
      </c>
    </row>
    <row r="164" spans="1:25" x14ac:dyDescent="0.15">
      <c r="A164" s="642">
        <f>EDATE(A163,1)</f>
        <v>42948</v>
      </c>
      <c r="B164" s="640" t="str">
        <f t="shared" ca="1" si="8"/>
        <v>00</v>
      </c>
      <c r="C164" s="639" t="s">
        <v>490</v>
      </c>
      <c r="D164" s="644">
        <f ca="1">IF(A164="","",IFERROR(GETPIVOTDATA("合計 / 合計",【ピボット】事業所売上!$A$3,"年月",$A164,"事業所コード",$B164,"事業所",$C164),0))</f>
        <v>0</v>
      </c>
      <c r="E164" s="643">
        <v>0</v>
      </c>
      <c r="F164" s="643">
        <v>912962</v>
      </c>
      <c r="G164" s="643">
        <v>120000</v>
      </c>
      <c r="H164" s="643">
        <v>2000000</v>
      </c>
      <c r="I164" s="643">
        <v>367284</v>
      </c>
      <c r="J164" s="643">
        <v>44505</v>
      </c>
      <c r="K164" s="644">
        <f t="shared" si="9"/>
        <v>3444751</v>
      </c>
      <c r="L164" s="643">
        <v>3226453</v>
      </c>
      <c r="M164" s="643">
        <v>0</v>
      </c>
      <c r="N164" s="644">
        <f t="shared" si="10"/>
        <v>3226453</v>
      </c>
      <c r="O164" s="643">
        <v>380160</v>
      </c>
      <c r="P164" s="643">
        <v>0</v>
      </c>
      <c r="Q164" s="644">
        <f>IF($A164="","",IF(AND($C164="白金タクシー",$A164&gt;=DATE(2017,9,1)),ROUND(GETPIVOTDATA("合計 / タクシー運賃",【ピボット】事業所売上!$A$3,"年月",$A164,"事業所コード",$B164,"事業所",$C164)*5.1%,0),0))</f>
        <v>0</v>
      </c>
      <c r="R164" s="643">
        <v>731894</v>
      </c>
      <c r="S164" s="643">
        <v>0</v>
      </c>
      <c r="T164" s="643">
        <v>0</v>
      </c>
      <c r="U164" s="644">
        <f t="shared" si="11"/>
        <v>731894</v>
      </c>
      <c r="V164" s="643">
        <v>197365</v>
      </c>
      <c r="W164" s="643">
        <v>1767380</v>
      </c>
      <c r="X164" s="643">
        <v>-866465</v>
      </c>
      <c r="Y164" s="643">
        <v>-1203300</v>
      </c>
    </row>
    <row r="165" spans="1:25" x14ac:dyDescent="0.15">
      <c r="A165" s="642">
        <v>42948</v>
      </c>
      <c r="B165" s="640" t="str">
        <f t="shared" ca="1" si="8"/>
        <v>01</v>
      </c>
      <c r="C165" s="639" t="s">
        <v>34</v>
      </c>
      <c r="D165" s="644">
        <f ca="1">IF(A165="","",IFERROR(GETPIVOTDATA("合計 / 合計",【ピボット】事業所売上!$A$3,"年月",$A165,"事業所コード",$B165,"事業所",$C165),0))</f>
        <v>10004240</v>
      </c>
      <c r="E165" s="643">
        <v>3491027</v>
      </c>
      <c r="F165" s="643">
        <v>2014985</v>
      </c>
      <c r="G165" s="643">
        <v>180000</v>
      </c>
      <c r="H165" s="643">
        <v>0</v>
      </c>
      <c r="I165" s="643">
        <v>245348</v>
      </c>
      <c r="J165" s="643">
        <v>13744</v>
      </c>
      <c r="K165" s="644">
        <f t="shared" si="9"/>
        <v>5945104</v>
      </c>
      <c r="L165" s="643">
        <v>815869</v>
      </c>
      <c r="M165" s="643">
        <v>0</v>
      </c>
      <c r="N165" s="644">
        <f t="shared" si="10"/>
        <v>815869</v>
      </c>
      <c r="O165" s="643">
        <v>174960</v>
      </c>
      <c r="P165" s="643">
        <v>0</v>
      </c>
      <c r="Q165" s="644">
        <f>IF($A165="","",IF(AND($C165="白金タクシー",$A165&gt;=DATE(2017,9,1)),ROUND(GETPIVOTDATA("合計 / タクシー運賃",【ピボット】事業所売上!$A$3,"年月",$A165,"事業所コード",$B165,"事業所",$C165)*5.1%,0),0))</f>
        <v>0</v>
      </c>
      <c r="R165" s="643">
        <v>0</v>
      </c>
      <c r="S165" s="643">
        <v>0</v>
      </c>
      <c r="T165" s="643">
        <v>0</v>
      </c>
      <c r="U165" s="644">
        <f t="shared" si="11"/>
        <v>0</v>
      </c>
      <c r="V165" s="643">
        <v>0</v>
      </c>
      <c r="W165" s="643">
        <v>0</v>
      </c>
      <c r="X165" s="643">
        <v>0</v>
      </c>
      <c r="Y165" s="643">
        <v>0</v>
      </c>
    </row>
    <row r="166" spans="1:25" x14ac:dyDescent="0.15">
      <c r="A166" s="642">
        <v>42948</v>
      </c>
      <c r="B166" s="640" t="str">
        <f t="shared" ca="1" si="8"/>
        <v>02</v>
      </c>
      <c r="C166" s="639" t="s">
        <v>37</v>
      </c>
      <c r="D166" s="644">
        <f ca="1">IF(A166="","",IFERROR(GETPIVOTDATA("合計 / 合計",【ピボット】事業所売上!$A$3,"年月",$A166,"事業所コード",$B166,"事業所",$C166),0))</f>
        <v>5643961</v>
      </c>
      <c r="E166" s="643">
        <v>1351010</v>
      </c>
      <c r="F166" s="643">
        <v>1913410</v>
      </c>
      <c r="G166" s="643">
        <v>210000</v>
      </c>
      <c r="H166" s="643">
        <v>0</v>
      </c>
      <c r="I166" s="643">
        <v>266490</v>
      </c>
      <c r="J166" s="643">
        <v>0</v>
      </c>
      <c r="K166" s="644">
        <f t="shared" si="9"/>
        <v>3740910</v>
      </c>
      <c r="L166" s="643">
        <v>1109072</v>
      </c>
      <c r="M166" s="643">
        <v>0</v>
      </c>
      <c r="N166" s="644">
        <f t="shared" si="10"/>
        <v>1109072</v>
      </c>
      <c r="O166" s="643">
        <v>0</v>
      </c>
      <c r="P166" s="643">
        <v>0</v>
      </c>
      <c r="Q166" s="644">
        <f>IF($A166="","",IF(AND($C166="白金タクシー",$A166&gt;=DATE(2017,9,1)),ROUND(GETPIVOTDATA("合計 / タクシー運賃",【ピボット】事業所売上!$A$3,"年月",$A166,"事業所コード",$B166,"事業所",$C166)*5.1%,0),0))</f>
        <v>0</v>
      </c>
      <c r="R166" s="643">
        <v>0</v>
      </c>
      <c r="S166" s="643">
        <v>0</v>
      </c>
      <c r="T166" s="643">
        <v>0</v>
      </c>
      <c r="U166" s="644">
        <f t="shared" si="11"/>
        <v>0</v>
      </c>
      <c r="V166" s="643">
        <v>0</v>
      </c>
      <c r="W166" s="643">
        <v>0</v>
      </c>
      <c r="X166" s="643">
        <v>0</v>
      </c>
      <c r="Y166" s="643">
        <v>0</v>
      </c>
    </row>
    <row r="167" spans="1:25" x14ac:dyDescent="0.15">
      <c r="A167" s="642">
        <v>42948</v>
      </c>
      <c r="B167" s="640" t="str">
        <f t="shared" ca="1" si="8"/>
        <v>03</v>
      </c>
      <c r="C167" s="639" t="s">
        <v>66</v>
      </c>
      <c r="D167" s="644">
        <f ca="1">IF(A167="","",IFERROR(GETPIVOTDATA("合計 / 合計",【ピボット】事業所売上!$A$3,"年月",$A167,"事業所コード",$B167,"事業所",$C167),0))</f>
        <v>5788645</v>
      </c>
      <c r="E167" s="643">
        <v>1591278</v>
      </c>
      <c r="F167" s="643">
        <v>1551514</v>
      </c>
      <c r="G167" s="643">
        <v>150000</v>
      </c>
      <c r="H167" s="643">
        <v>0</v>
      </c>
      <c r="I167" s="643">
        <v>233753</v>
      </c>
      <c r="J167" s="643">
        <v>7658</v>
      </c>
      <c r="K167" s="644">
        <f t="shared" si="9"/>
        <v>3534203</v>
      </c>
      <c r="L167" s="643">
        <v>846397</v>
      </c>
      <c r="M167" s="643">
        <v>0</v>
      </c>
      <c r="N167" s="644">
        <f t="shared" si="10"/>
        <v>846397</v>
      </c>
      <c r="O167" s="643">
        <v>102406</v>
      </c>
      <c r="P167" s="643">
        <v>0</v>
      </c>
      <c r="Q167" s="644">
        <f>IF($A167="","",IF(AND($C167="白金タクシー",$A167&gt;=DATE(2017,9,1)),ROUND(GETPIVOTDATA("合計 / タクシー運賃",【ピボット】事業所売上!$A$3,"年月",$A167,"事業所コード",$B167,"事業所",$C167)*5.1%,0),0))</f>
        <v>0</v>
      </c>
      <c r="R167" s="643">
        <v>0</v>
      </c>
      <c r="S167" s="643">
        <v>0</v>
      </c>
      <c r="T167" s="643">
        <v>0</v>
      </c>
      <c r="U167" s="644">
        <f t="shared" si="11"/>
        <v>0</v>
      </c>
      <c r="V167" s="643">
        <v>0</v>
      </c>
      <c r="W167" s="643">
        <v>0</v>
      </c>
      <c r="X167" s="643">
        <v>0</v>
      </c>
      <c r="Y167" s="643">
        <v>0</v>
      </c>
    </row>
    <row r="168" spans="1:25" x14ac:dyDescent="0.15">
      <c r="A168" s="642">
        <v>42948</v>
      </c>
      <c r="B168" s="640" t="str">
        <f t="shared" ca="1" si="8"/>
        <v>04</v>
      </c>
      <c r="C168" s="639" t="s">
        <v>358</v>
      </c>
      <c r="D168" s="644">
        <f ca="1">IF(A168="","",IFERROR(GETPIVOTDATA("合計 / 合計",【ピボット】事業所売上!$A$3,"年月",$A168,"事業所コード",$B168,"事業所",$C168),0))</f>
        <v>3174804</v>
      </c>
      <c r="E168" s="643">
        <v>976079</v>
      </c>
      <c r="F168" s="643">
        <v>751983</v>
      </c>
      <c r="G168" s="643">
        <v>120000</v>
      </c>
      <c r="H168" s="643">
        <v>0</v>
      </c>
      <c r="I168" s="643">
        <v>118550</v>
      </c>
      <c r="J168" s="643">
        <v>4536</v>
      </c>
      <c r="K168" s="644">
        <f t="shared" si="9"/>
        <v>1971148</v>
      </c>
      <c r="L168" s="643">
        <v>1167584</v>
      </c>
      <c r="M168" s="643">
        <v>0</v>
      </c>
      <c r="N168" s="644">
        <f t="shared" si="10"/>
        <v>1167584</v>
      </c>
      <c r="O168" s="643">
        <v>46440</v>
      </c>
      <c r="P168" s="643">
        <v>0</v>
      </c>
      <c r="Q168" s="644">
        <f>IF($A168="","",IF(AND($C168="白金タクシー",$A168&gt;=DATE(2017,9,1)),ROUND(GETPIVOTDATA("合計 / タクシー運賃",【ピボット】事業所売上!$A$3,"年月",$A168,"事業所コード",$B168,"事業所",$C168)*5.1%,0),0))</f>
        <v>0</v>
      </c>
      <c r="R168" s="643">
        <v>0</v>
      </c>
      <c r="S168" s="643">
        <v>0</v>
      </c>
      <c r="T168" s="643">
        <v>0</v>
      </c>
      <c r="U168" s="644">
        <f t="shared" si="11"/>
        <v>0</v>
      </c>
      <c r="V168" s="643">
        <v>0</v>
      </c>
      <c r="W168" s="643">
        <v>0</v>
      </c>
      <c r="X168" s="643">
        <v>0</v>
      </c>
      <c r="Y168" s="643">
        <v>0</v>
      </c>
    </row>
    <row r="169" spans="1:25" x14ac:dyDescent="0.15">
      <c r="A169" s="642">
        <v>42948</v>
      </c>
      <c r="B169" s="640" t="str">
        <f t="shared" ca="1" si="8"/>
        <v>05</v>
      </c>
      <c r="C169" s="639" t="s">
        <v>38</v>
      </c>
      <c r="D169" s="644">
        <f ca="1">IF(A169="","",IFERROR(GETPIVOTDATA("合計 / 合計",【ピボット】事業所売上!$A$3,"年月",$A169,"事業所コード",$B169,"事業所",$C169),0))</f>
        <v>3124894</v>
      </c>
      <c r="E169" s="643">
        <v>1280878</v>
      </c>
      <c r="F169" s="643">
        <v>354000</v>
      </c>
      <c r="G169" s="643">
        <v>30000</v>
      </c>
      <c r="H169" s="643">
        <v>0</v>
      </c>
      <c r="I169" s="643">
        <v>85037</v>
      </c>
      <c r="J169" s="643">
        <v>0</v>
      </c>
      <c r="K169" s="644">
        <f t="shared" si="9"/>
        <v>1749915</v>
      </c>
      <c r="L169" s="643">
        <v>340117</v>
      </c>
      <c r="M169" s="643">
        <v>0</v>
      </c>
      <c r="N169" s="644">
        <f t="shared" si="10"/>
        <v>340117</v>
      </c>
      <c r="O169" s="643">
        <v>24300</v>
      </c>
      <c r="P169" s="643">
        <v>0</v>
      </c>
      <c r="Q169" s="644">
        <f>IF($A169="","",IF(AND($C169="白金タクシー",$A169&gt;=DATE(2017,9,1)),ROUND(GETPIVOTDATA("合計 / タクシー運賃",【ピボット】事業所売上!$A$3,"年月",$A169,"事業所コード",$B169,"事業所",$C169)*5.1%,0),0))</f>
        <v>0</v>
      </c>
      <c r="R169" s="643">
        <v>0</v>
      </c>
      <c r="S169" s="643">
        <v>0</v>
      </c>
      <c r="T169" s="643">
        <v>0</v>
      </c>
      <c r="U169" s="644">
        <f t="shared" si="11"/>
        <v>0</v>
      </c>
      <c r="V169" s="643">
        <v>0</v>
      </c>
      <c r="W169" s="643">
        <v>0</v>
      </c>
      <c r="X169" s="643">
        <v>0</v>
      </c>
      <c r="Y169" s="643">
        <v>0</v>
      </c>
    </row>
    <row r="170" spans="1:25" x14ac:dyDescent="0.15">
      <c r="A170" s="642">
        <v>42948</v>
      </c>
      <c r="B170" s="640" t="str">
        <f t="shared" ca="1" si="8"/>
        <v>06</v>
      </c>
      <c r="C170" s="639" t="s">
        <v>57</v>
      </c>
      <c r="D170" s="644">
        <f ca="1">IF(A170="","",IFERROR(GETPIVOTDATA("合計 / 合計",【ピボット】事業所売上!$A$3,"年月",$A170,"事業所コード",$B170,"事業所",$C170),0))</f>
        <v>0</v>
      </c>
      <c r="E170" s="643">
        <v>0</v>
      </c>
      <c r="F170" s="643">
        <v>0</v>
      </c>
      <c r="G170" s="643">
        <v>0</v>
      </c>
      <c r="H170" s="643">
        <v>0</v>
      </c>
      <c r="I170" s="643">
        <v>0</v>
      </c>
      <c r="J170" s="643">
        <v>0</v>
      </c>
      <c r="K170" s="644">
        <f t="shared" si="9"/>
        <v>0</v>
      </c>
      <c r="L170" s="643">
        <v>2842</v>
      </c>
      <c r="M170" s="643">
        <v>0</v>
      </c>
      <c r="N170" s="644">
        <f t="shared" si="10"/>
        <v>2842</v>
      </c>
      <c r="O170" s="643">
        <v>0</v>
      </c>
      <c r="P170" s="643">
        <v>0</v>
      </c>
      <c r="Q170" s="644">
        <f>IF($A170="","",IF(AND($C170="白金タクシー",$A170&gt;=DATE(2017,9,1)),ROUND(GETPIVOTDATA("合計 / タクシー運賃",【ピボット】事業所売上!$A$3,"年月",$A170,"事業所コード",$B170,"事業所",$C170)*5.1%,0),0))</f>
        <v>0</v>
      </c>
      <c r="R170" s="643">
        <v>0</v>
      </c>
      <c r="S170" s="643">
        <v>0</v>
      </c>
      <c r="T170" s="643">
        <v>0</v>
      </c>
      <c r="U170" s="644">
        <f t="shared" si="11"/>
        <v>0</v>
      </c>
      <c r="V170" s="643">
        <v>0</v>
      </c>
      <c r="W170" s="643">
        <v>0</v>
      </c>
      <c r="X170" s="643">
        <v>0</v>
      </c>
      <c r="Y170" s="643">
        <v>0</v>
      </c>
    </row>
    <row r="171" spans="1:25" x14ac:dyDescent="0.15">
      <c r="A171" s="642">
        <v>42948</v>
      </c>
      <c r="B171" s="640" t="str">
        <f t="shared" ca="1" si="8"/>
        <v>07</v>
      </c>
      <c r="C171" s="639" t="s">
        <v>119</v>
      </c>
      <c r="D171" s="644">
        <f ca="1">IF(A171="","",IFERROR(GETPIVOTDATA("合計 / 合計",【ピボット】事業所売上!$A$3,"年月",$A171,"事業所コード",$B171,"事業所",$C171),0))</f>
        <v>1036363</v>
      </c>
      <c r="E171" s="643">
        <v>343140</v>
      </c>
      <c r="F171" s="643">
        <v>50000</v>
      </c>
      <c r="G171" s="643">
        <v>0</v>
      </c>
      <c r="H171" s="643">
        <v>0</v>
      </c>
      <c r="I171" s="643">
        <v>18042</v>
      </c>
      <c r="J171" s="643">
        <v>0</v>
      </c>
      <c r="K171" s="644">
        <f t="shared" si="9"/>
        <v>411182</v>
      </c>
      <c r="L171" s="643">
        <v>122447</v>
      </c>
      <c r="M171" s="643">
        <v>0</v>
      </c>
      <c r="N171" s="644">
        <f t="shared" si="10"/>
        <v>122447</v>
      </c>
      <c r="O171" s="643">
        <v>0</v>
      </c>
      <c r="P171" s="643">
        <v>0</v>
      </c>
      <c r="Q171" s="644">
        <f>IF($A171="","",IF(AND($C171="白金タクシー",$A171&gt;=DATE(2017,9,1)),ROUND(GETPIVOTDATA("合計 / タクシー運賃",【ピボット】事業所売上!$A$3,"年月",$A171,"事業所コード",$B171,"事業所",$C171)*5.1%,0),0))</f>
        <v>0</v>
      </c>
      <c r="R171" s="643">
        <v>0</v>
      </c>
      <c r="S171" s="643">
        <v>0</v>
      </c>
      <c r="T171" s="643">
        <v>0</v>
      </c>
      <c r="U171" s="644">
        <f t="shared" si="11"/>
        <v>0</v>
      </c>
      <c r="V171" s="643">
        <v>0</v>
      </c>
      <c r="W171" s="643">
        <v>0</v>
      </c>
      <c r="X171" s="643">
        <v>0</v>
      </c>
      <c r="Y171" s="643">
        <v>0</v>
      </c>
    </row>
    <row r="172" spans="1:25" x14ac:dyDescent="0.15">
      <c r="A172" s="642">
        <v>42948</v>
      </c>
      <c r="B172" s="640" t="str">
        <f t="shared" ca="1" si="8"/>
        <v>08</v>
      </c>
      <c r="C172" s="639" t="s">
        <v>189</v>
      </c>
      <c r="D172" s="644">
        <f ca="1">IF(A172="","",IFERROR(GETPIVOTDATA("合計 / 合計",【ピボット】事業所売上!$A$3,"年月",$A172,"事業所コード",$B172,"事業所",$C172),0))</f>
        <v>1001492</v>
      </c>
      <c r="E172" s="643">
        <v>323725</v>
      </c>
      <c r="F172" s="643">
        <v>50000</v>
      </c>
      <c r="G172" s="643">
        <v>0</v>
      </c>
      <c r="H172" s="643">
        <v>0</v>
      </c>
      <c r="I172" s="643">
        <v>0</v>
      </c>
      <c r="J172" s="643">
        <v>0</v>
      </c>
      <c r="K172" s="644">
        <f t="shared" si="9"/>
        <v>373725</v>
      </c>
      <c r="L172" s="643">
        <v>306079</v>
      </c>
      <c r="M172" s="643">
        <v>0</v>
      </c>
      <c r="N172" s="644">
        <f t="shared" si="10"/>
        <v>306079</v>
      </c>
      <c r="O172" s="643">
        <v>0</v>
      </c>
      <c r="P172" s="643">
        <v>0</v>
      </c>
      <c r="Q172" s="644">
        <f>IF($A172="","",IF(AND($C172="白金タクシー",$A172&gt;=DATE(2017,9,1)),ROUND(GETPIVOTDATA("合計 / タクシー運賃",【ピボット】事業所売上!$A$3,"年月",$A172,"事業所コード",$B172,"事業所",$C172)*5.1%,0),0))</f>
        <v>0</v>
      </c>
      <c r="R172" s="643">
        <v>0</v>
      </c>
      <c r="S172" s="643">
        <v>0</v>
      </c>
      <c r="T172" s="643">
        <v>0</v>
      </c>
      <c r="U172" s="644">
        <f t="shared" si="11"/>
        <v>0</v>
      </c>
      <c r="V172" s="643">
        <v>0</v>
      </c>
      <c r="W172" s="643">
        <v>0</v>
      </c>
      <c r="X172" s="643">
        <v>0</v>
      </c>
      <c r="Y172" s="643">
        <v>0</v>
      </c>
    </row>
    <row r="173" spans="1:25" x14ac:dyDescent="0.15">
      <c r="A173" s="642">
        <v>42948</v>
      </c>
      <c r="B173" s="640" t="str">
        <f t="shared" ca="1" si="8"/>
        <v>09</v>
      </c>
      <c r="C173" s="639" t="s">
        <v>329</v>
      </c>
      <c r="D173" s="644">
        <f ca="1">IF(A173="","",IFERROR(GETPIVOTDATA("合計 / 合計",【ピボット】事業所売上!$A$3,"年月",$A173,"事業所コード",$B173,"事業所",$C173),0))</f>
        <v>1995197</v>
      </c>
      <c r="E173" s="643">
        <v>762323</v>
      </c>
      <c r="F173" s="643">
        <v>0</v>
      </c>
      <c r="G173" s="643">
        <v>0</v>
      </c>
      <c r="H173" s="643">
        <v>0</v>
      </c>
      <c r="I173" s="643">
        <v>23071</v>
      </c>
      <c r="J173" s="643">
        <v>0</v>
      </c>
      <c r="K173" s="644">
        <f t="shared" si="9"/>
        <v>785394</v>
      </c>
      <c r="L173" s="643">
        <v>560741</v>
      </c>
      <c r="M173" s="643">
        <v>0</v>
      </c>
      <c r="N173" s="644">
        <f t="shared" si="10"/>
        <v>560741</v>
      </c>
      <c r="O173" s="643">
        <v>0</v>
      </c>
      <c r="P173" s="643">
        <v>0</v>
      </c>
      <c r="Q173" s="644">
        <f>IF($A173="","",IF(AND($C173="白金タクシー",$A173&gt;=DATE(2017,9,1)),ROUND(GETPIVOTDATA("合計 / タクシー運賃",【ピボット】事業所売上!$A$3,"年月",$A173,"事業所コード",$B173,"事業所",$C173)*5.1%,0),0))</f>
        <v>0</v>
      </c>
      <c r="R173" s="643">
        <v>0</v>
      </c>
      <c r="S173" s="643">
        <v>0</v>
      </c>
      <c r="T173" s="643">
        <v>0</v>
      </c>
      <c r="U173" s="644">
        <f t="shared" si="11"/>
        <v>0</v>
      </c>
      <c r="V173" s="643">
        <v>0</v>
      </c>
      <c r="W173" s="643">
        <v>0</v>
      </c>
      <c r="X173" s="643">
        <v>0</v>
      </c>
      <c r="Y173" s="643">
        <v>0</v>
      </c>
    </row>
    <row r="174" spans="1:25" x14ac:dyDescent="0.15">
      <c r="A174" s="642">
        <v>42948</v>
      </c>
      <c r="B174" s="640" t="str">
        <f t="shared" ref="B174:B237" ca="1" si="12">IF(C174="","",VLOOKUP(C174,事業所コード2,2,FALSE))</f>
        <v>10</v>
      </c>
      <c r="C174" s="639" t="s">
        <v>336</v>
      </c>
      <c r="D174" s="644">
        <f ca="1">IF(A174="","",IFERROR(GETPIVOTDATA("合計 / 合計",【ピボット】事業所売上!$A$3,"年月",$A174,"事業所コード",$B174,"事業所",$C174),0))</f>
        <v>3129590</v>
      </c>
      <c r="E174" s="643">
        <v>608890</v>
      </c>
      <c r="F174" s="643">
        <v>953976</v>
      </c>
      <c r="G174" s="643">
        <v>120000</v>
      </c>
      <c r="H174" s="643">
        <v>0</v>
      </c>
      <c r="I174" s="643">
        <v>113251</v>
      </c>
      <c r="J174" s="643">
        <v>0</v>
      </c>
      <c r="K174" s="644">
        <f t="shared" si="9"/>
        <v>1796117</v>
      </c>
      <c r="L174" s="643">
        <v>988684</v>
      </c>
      <c r="M174" s="643">
        <v>0</v>
      </c>
      <c r="N174" s="644">
        <f t="shared" si="10"/>
        <v>988684</v>
      </c>
      <c r="O174" s="643">
        <v>24300</v>
      </c>
      <c r="P174" s="643">
        <v>0</v>
      </c>
      <c r="Q174" s="644">
        <f>IF($A174="","",IF(AND($C174="白金タクシー",$A174&gt;=DATE(2017,9,1)),ROUND(GETPIVOTDATA("合計 / タクシー運賃",【ピボット】事業所売上!$A$3,"年月",$A174,"事業所コード",$B174,"事業所",$C174)*5.1%,0),0))</f>
        <v>0</v>
      </c>
      <c r="R174" s="643">
        <v>0</v>
      </c>
      <c r="S174" s="643">
        <v>0</v>
      </c>
      <c r="T174" s="643">
        <v>0</v>
      </c>
      <c r="U174" s="644">
        <f t="shared" si="11"/>
        <v>0</v>
      </c>
      <c r="V174" s="643">
        <v>0</v>
      </c>
      <c r="W174" s="643">
        <v>0</v>
      </c>
      <c r="X174" s="643">
        <v>0</v>
      </c>
      <c r="Y174" s="643">
        <v>0</v>
      </c>
    </row>
    <row r="175" spans="1:25" x14ac:dyDescent="0.15">
      <c r="A175" s="1293">
        <f>EDATE(A174,1)</f>
        <v>42979</v>
      </c>
      <c r="B175" s="640" t="str">
        <f t="shared" ca="1" si="12"/>
        <v>00</v>
      </c>
      <c r="C175" s="639" t="s">
        <v>490</v>
      </c>
      <c r="D175" s="644">
        <f ca="1">IF(A175="","",IFERROR(GETPIVOTDATA("合計 / 合計",【ピボット】事業所売上!$A$3,"年月",$A175,"事業所コード",$B175,"事業所",$C175),0))</f>
        <v>0</v>
      </c>
      <c r="E175" s="643">
        <v>76500</v>
      </c>
      <c r="F175" s="643">
        <v>933019</v>
      </c>
      <c r="G175" s="643">
        <v>0</v>
      </c>
      <c r="H175" s="643">
        <v>2000000</v>
      </c>
      <c r="I175" s="643">
        <v>341242</v>
      </c>
      <c r="J175" s="643">
        <v>11004</v>
      </c>
      <c r="K175" s="644">
        <f t="shared" si="9"/>
        <v>3361765</v>
      </c>
      <c r="L175" s="680">
        <v>1655232</v>
      </c>
      <c r="M175" s="643">
        <v>0</v>
      </c>
      <c r="N175" s="644">
        <f t="shared" si="10"/>
        <v>1655232</v>
      </c>
      <c r="O175" s="643">
        <v>0</v>
      </c>
      <c r="P175" s="643">
        <v>0</v>
      </c>
      <c r="Q175" s="644">
        <f>IF($A175="","",IF(AND($C175="白金タクシー",$A175&gt;=DATE(2017,9,1)),ROUND(GETPIVOTDATA("合計 / タクシー運賃",【ピボット】事業所売上!$A$3,"年月",$A175,"事業所コード",$B175,"事業所",$C175)*5.1%,0),0))</f>
        <v>0</v>
      </c>
      <c r="R175" s="643">
        <v>0</v>
      </c>
      <c r="S175" s="643">
        <v>0</v>
      </c>
      <c r="T175" s="643">
        <v>0</v>
      </c>
      <c r="U175" s="644">
        <f t="shared" si="11"/>
        <v>0</v>
      </c>
      <c r="V175" s="643">
        <v>13417</v>
      </c>
      <c r="W175" s="643">
        <v>262718</v>
      </c>
      <c r="X175" s="643">
        <v>-201749</v>
      </c>
      <c r="Y175" s="643">
        <v>0</v>
      </c>
    </row>
    <row r="176" spans="1:25" x14ac:dyDescent="0.15">
      <c r="A176" s="642">
        <v>42979</v>
      </c>
      <c r="B176" s="640" t="str">
        <f t="shared" ca="1" si="12"/>
        <v>01</v>
      </c>
      <c r="C176" s="639" t="s">
        <v>34</v>
      </c>
      <c r="D176" s="644">
        <f ca="1">IF(A176="","",IFERROR(GETPIVOTDATA("合計 / 合計",【ピボット】事業所売上!$A$3,"年月",$A176,"事業所コード",$B176,"事業所",$C176),0))</f>
        <v>10291903</v>
      </c>
      <c r="E176" s="643">
        <v>3534345</v>
      </c>
      <c r="F176" s="643">
        <v>1892823</v>
      </c>
      <c r="G176" s="643">
        <v>0</v>
      </c>
      <c r="H176" s="643">
        <v>0</v>
      </c>
      <c r="I176" s="643">
        <v>229609</v>
      </c>
      <c r="J176" s="643">
        <v>30081</v>
      </c>
      <c r="K176" s="644">
        <f t="shared" si="9"/>
        <v>5686858</v>
      </c>
      <c r="L176" s="680">
        <v>693471</v>
      </c>
      <c r="M176" s="643">
        <v>0</v>
      </c>
      <c r="N176" s="644">
        <f t="shared" si="10"/>
        <v>693471</v>
      </c>
      <c r="O176" s="643">
        <v>50090</v>
      </c>
      <c r="P176" s="643">
        <v>0</v>
      </c>
      <c r="Q176" s="644">
        <f>IF($A176="","",IF(AND($C176="白金タクシー",$A176&gt;=DATE(2017,9,1)),ROUND(GETPIVOTDATA("合計 / タクシー運賃",【ピボット】事業所売上!$A$3,"年月",$A176,"事業所コード",$B176,"事業所",$C176)*5.1%,0),0))</f>
        <v>0</v>
      </c>
      <c r="R176" s="643">
        <v>0</v>
      </c>
      <c r="S176" s="643">
        <v>0</v>
      </c>
      <c r="T176" s="643">
        <v>0</v>
      </c>
      <c r="U176" s="644">
        <f t="shared" si="11"/>
        <v>0</v>
      </c>
      <c r="V176" s="643">
        <v>0</v>
      </c>
      <c r="W176" s="643">
        <v>0</v>
      </c>
      <c r="X176" s="643">
        <v>0</v>
      </c>
      <c r="Y176" s="643">
        <v>0</v>
      </c>
    </row>
    <row r="177" spans="1:25" x14ac:dyDescent="0.15">
      <c r="A177" s="642">
        <v>42979</v>
      </c>
      <c r="B177" s="640" t="str">
        <f t="shared" ca="1" si="12"/>
        <v>02</v>
      </c>
      <c r="C177" s="639" t="s">
        <v>37</v>
      </c>
      <c r="D177" s="644">
        <f ca="1">IF(A177="","",IFERROR(GETPIVOTDATA("合計 / 合計",【ピボット】事業所売上!$A$3,"年月",$A177,"事業所コード",$B177,"事業所",$C177),0))</f>
        <v>6023613</v>
      </c>
      <c r="E177" s="643">
        <v>1513407</v>
      </c>
      <c r="F177" s="643">
        <v>1782831</v>
      </c>
      <c r="G177" s="643">
        <v>0</v>
      </c>
      <c r="H177" s="643">
        <v>0</v>
      </c>
      <c r="I177" s="643">
        <v>230223</v>
      </c>
      <c r="J177" s="643">
        <v>0</v>
      </c>
      <c r="K177" s="644">
        <f t="shared" si="9"/>
        <v>3526461</v>
      </c>
      <c r="L177" s="680">
        <v>942537</v>
      </c>
      <c r="M177" s="643">
        <v>0</v>
      </c>
      <c r="N177" s="644">
        <f t="shared" si="10"/>
        <v>942537</v>
      </c>
      <c r="O177" s="643">
        <v>48600</v>
      </c>
      <c r="P177" s="643">
        <v>0</v>
      </c>
      <c r="Q177" s="644">
        <f>IF($A177="","",IF(AND($C177="白金タクシー",$A177&gt;=DATE(2017,9,1)),ROUND(GETPIVOTDATA("合計 / タクシー運賃",【ピボット】事業所売上!$A$3,"年月",$A177,"事業所コード",$B177,"事業所",$C177)*5.1%,0),0))</f>
        <v>0</v>
      </c>
      <c r="R177" s="643">
        <v>0</v>
      </c>
      <c r="S177" s="643">
        <v>0</v>
      </c>
      <c r="T177" s="643">
        <v>0</v>
      </c>
      <c r="U177" s="644">
        <f t="shared" si="11"/>
        <v>0</v>
      </c>
      <c r="V177" s="643">
        <v>0</v>
      </c>
      <c r="W177" s="643">
        <v>0</v>
      </c>
      <c r="X177" s="643">
        <v>0</v>
      </c>
      <c r="Y177" s="643">
        <v>0</v>
      </c>
    </row>
    <row r="178" spans="1:25" x14ac:dyDescent="0.15">
      <c r="A178" s="642">
        <v>42979</v>
      </c>
      <c r="B178" s="640" t="str">
        <f t="shared" ca="1" si="12"/>
        <v>03</v>
      </c>
      <c r="C178" s="639" t="s">
        <v>66</v>
      </c>
      <c r="D178" s="644">
        <f ca="1">IF(A178="","",IFERROR(GETPIVOTDATA("合計 / 合計",【ピボット】事業所売上!$A$3,"年月",$A178,"事業所コード",$B178,"事業所",$C178),0))</f>
        <v>5817896</v>
      </c>
      <c r="E178" s="643">
        <v>1583827</v>
      </c>
      <c r="F178" s="643">
        <v>1557365</v>
      </c>
      <c r="G178" s="643">
        <v>0</v>
      </c>
      <c r="H178" s="643">
        <v>0</v>
      </c>
      <c r="I178" s="643">
        <v>217502</v>
      </c>
      <c r="J178" s="643">
        <v>13049</v>
      </c>
      <c r="K178" s="644">
        <f t="shared" si="9"/>
        <v>3371743</v>
      </c>
      <c r="L178" s="680">
        <v>744536</v>
      </c>
      <c r="M178" s="643">
        <v>0</v>
      </c>
      <c r="N178" s="644">
        <f t="shared" si="10"/>
        <v>744536</v>
      </c>
      <c r="O178" s="643">
        <v>155670</v>
      </c>
      <c r="P178" s="643">
        <v>0</v>
      </c>
      <c r="Q178" s="644">
        <f>IF($A178="","",IF(AND($C178="白金タクシー",$A178&gt;=DATE(2017,9,1)),ROUND(GETPIVOTDATA("合計 / タクシー運賃",【ピボット】事業所売上!$A$3,"年月",$A178,"事業所コード",$B178,"事業所",$C178)*5.1%,0),0))</f>
        <v>0</v>
      </c>
      <c r="R178" s="643">
        <v>0</v>
      </c>
      <c r="S178" s="643">
        <v>0</v>
      </c>
      <c r="T178" s="643">
        <v>0</v>
      </c>
      <c r="U178" s="644">
        <f t="shared" si="11"/>
        <v>0</v>
      </c>
      <c r="V178" s="643">
        <v>0</v>
      </c>
      <c r="W178" s="643">
        <v>0</v>
      </c>
      <c r="X178" s="643">
        <v>0</v>
      </c>
      <c r="Y178" s="643">
        <v>0</v>
      </c>
    </row>
    <row r="179" spans="1:25" x14ac:dyDescent="0.15">
      <c r="A179" s="642">
        <v>42979</v>
      </c>
      <c r="B179" s="640" t="str">
        <f t="shared" ca="1" si="12"/>
        <v>04</v>
      </c>
      <c r="C179" s="639" t="s">
        <v>358</v>
      </c>
      <c r="D179" s="644">
        <f ca="1">IF(A179="","",IFERROR(GETPIVOTDATA("合計 / 合計",【ピボット】事業所売上!$A$3,"年月",$A179,"事業所コード",$B179,"事業所",$C179),0))</f>
        <v>3130698</v>
      </c>
      <c r="E179" s="643">
        <v>919094</v>
      </c>
      <c r="F179" s="643">
        <v>771166</v>
      </c>
      <c r="G179" s="643">
        <v>0</v>
      </c>
      <c r="H179" s="643">
        <v>0</v>
      </c>
      <c r="I179" s="643">
        <v>110274</v>
      </c>
      <c r="J179" s="643">
        <v>14076</v>
      </c>
      <c r="K179" s="644">
        <f t="shared" si="9"/>
        <v>1814610</v>
      </c>
      <c r="L179" s="680">
        <v>824423</v>
      </c>
      <c r="M179" s="643">
        <v>0</v>
      </c>
      <c r="N179" s="644">
        <f t="shared" si="10"/>
        <v>824423</v>
      </c>
      <c r="O179" s="643">
        <v>54000</v>
      </c>
      <c r="P179" s="643">
        <v>0</v>
      </c>
      <c r="Q179" s="644">
        <f>IF($A179="","",IF(AND($C179="白金タクシー",$A179&gt;=DATE(2017,9,1)),ROUND(GETPIVOTDATA("合計 / タクシー運賃",【ピボット】事業所売上!$A$3,"年月",$A179,"事業所コード",$B179,"事業所",$C179)*5.1%,0),0))</f>
        <v>0</v>
      </c>
      <c r="R179" s="643">
        <v>0</v>
      </c>
      <c r="S179" s="643">
        <v>0</v>
      </c>
      <c r="T179" s="643">
        <v>0</v>
      </c>
      <c r="U179" s="644">
        <f t="shared" si="11"/>
        <v>0</v>
      </c>
      <c r="V179" s="643">
        <v>0</v>
      </c>
      <c r="W179" s="643">
        <v>0</v>
      </c>
      <c r="X179" s="643">
        <v>0</v>
      </c>
      <c r="Y179" s="643">
        <v>0</v>
      </c>
    </row>
    <row r="180" spans="1:25" x14ac:dyDescent="0.15">
      <c r="A180" s="642">
        <v>42979</v>
      </c>
      <c r="B180" s="640" t="str">
        <f t="shared" ca="1" si="12"/>
        <v>05</v>
      </c>
      <c r="C180" s="639" t="s">
        <v>38</v>
      </c>
      <c r="D180" s="644">
        <f ca="1">IF(A180="","",IFERROR(GETPIVOTDATA("合計 / 合計",【ピボット】事業所売上!$A$3,"年月",$A180,"事業所コード",$B180,"事業所",$C180),0))</f>
        <v>3081346</v>
      </c>
      <c r="E180" s="643">
        <v>1252503</v>
      </c>
      <c r="F180" s="643">
        <v>350000</v>
      </c>
      <c r="G180" s="643">
        <v>0</v>
      </c>
      <c r="H180" s="643">
        <v>0</v>
      </c>
      <c r="I180" s="643">
        <v>55179</v>
      </c>
      <c r="J180" s="643">
        <v>0</v>
      </c>
      <c r="K180" s="644">
        <f t="shared" si="9"/>
        <v>1657682</v>
      </c>
      <c r="L180" s="680">
        <v>521873</v>
      </c>
      <c r="M180" s="643">
        <v>0</v>
      </c>
      <c r="N180" s="644">
        <f t="shared" si="10"/>
        <v>521873</v>
      </c>
      <c r="O180" s="643">
        <v>102384</v>
      </c>
      <c r="P180" s="643">
        <v>0</v>
      </c>
      <c r="Q180" s="644">
        <f>IF($A180="","",IF(AND($C180="白金タクシー",$A180&gt;=DATE(2017,9,1)),ROUND(GETPIVOTDATA("合計 / タクシー運賃",【ピボット】事業所売上!$A$3,"年月",$A180,"事業所コード",$B180,"事業所",$C180)*5.1%,0),0))</f>
        <v>0</v>
      </c>
      <c r="R180" s="643">
        <v>0</v>
      </c>
      <c r="S180" s="643">
        <v>0</v>
      </c>
      <c r="T180" s="643">
        <v>0</v>
      </c>
      <c r="U180" s="644">
        <f t="shared" si="11"/>
        <v>0</v>
      </c>
      <c r="V180" s="643">
        <v>0</v>
      </c>
      <c r="W180" s="643">
        <v>0</v>
      </c>
      <c r="X180" s="643">
        <v>0</v>
      </c>
      <c r="Y180" s="643">
        <v>0</v>
      </c>
    </row>
    <row r="181" spans="1:25" x14ac:dyDescent="0.15">
      <c r="A181" s="642">
        <v>42979</v>
      </c>
      <c r="B181" s="640" t="str">
        <f t="shared" ca="1" si="12"/>
        <v>07</v>
      </c>
      <c r="C181" s="639" t="s">
        <v>119</v>
      </c>
      <c r="D181" s="644">
        <f ca="1">IF(A181="","",IFERROR(GETPIVOTDATA("合計 / 合計",【ピボット】事業所売上!$A$3,"年月",$A181,"事業所コード",$B181,"事業所",$C181),0))</f>
        <v>1236162</v>
      </c>
      <c r="E181" s="643">
        <v>339280</v>
      </c>
      <c r="F181" s="643">
        <v>50000</v>
      </c>
      <c r="G181" s="643">
        <v>0</v>
      </c>
      <c r="H181" s="643">
        <v>0</v>
      </c>
      <c r="I181" s="643">
        <v>16828</v>
      </c>
      <c r="J181" s="643">
        <v>0</v>
      </c>
      <c r="K181" s="644">
        <f t="shared" si="9"/>
        <v>406108</v>
      </c>
      <c r="L181" s="680">
        <v>124140</v>
      </c>
      <c r="M181" s="643">
        <v>0</v>
      </c>
      <c r="N181" s="644">
        <f t="shared" si="10"/>
        <v>124140</v>
      </c>
      <c r="O181" s="643">
        <v>12420</v>
      </c>
      <c r="P181" s="643">
        <v>0</v>
      </c>
      <c r="Q181" s="644">
        <f>IF($A181="","",IF(AND($C181="白金タクシー",$A181&gt;=DATE(2017,9,1)),ROUND(GETPIVOTDATA("合計 / タクシー運賃",【ピボット】事業所売上!$A$3,"年月",$A181,"事業所コード",$B181,"事業所",$C181)*5.1%,0),0))</f>
        <v>0</v>
      </c>
      <c r="R181" s="643">
        <v>163183</v>
      </c>
      <c r="S181" s="643">
        <v>0</v>
      </c>
      <c r="T181" s="643">
        <v>0</v>
      </c>
      <c r="U181" s="644">
        <f t="shared" si="11"/>
        <v>163183</v>
      </c>
      <c r="V181" s="643">
        <v>0</v>
      </c>
      <c r="W181" s="643">
        <v>0</v>
      </c>
      <c r="X181" s="643">
        <v>0</v>
      </c>
      <c r="Y181" s="643">
        <v>0</v>
      </c>
    </row>
    <row r="182" spans="1:25" x14ac:dyDescent="0.15">
      <c r="A182" s="642">
        <v>42979</v>
      </c>
      <c r="B182" s="640" t="str">
        <f t="shared" ca="1" si="12"/>
        <v>08</v>
      </c>
      <c r="C182" s="639" t="s">
        <v>189</v>
      </c>
      <c r="D182" s="644">
        <f ca="1">IF(A182="","",IFERROR(GETPIVOTDATA("合計 / 合計",【ピボット】事業所売上!$A$3,"年月",$A182,"事業所コード",$B182,"事業所",$C182),0))</f>
        <v>1015378</v>
      </c>
      <c r="E182" s="643">
        <v>302925</v>
      </c>
      <c r="F182" s="643">
        <v>50000</v>
      </c>
      <c r="G182" s="643">
        <v>0</v>
      </c>
      <c r="H182" s="643">
        <v>0</v>
      </c>
      <c r="I182" s="643">
        <v>0</v>
      </c>
      <c r="J182" s="643">
        <v>0</v>
      </c>
      <c r="K182" s="644">
        <f t="shared" si="9"/>
        <v>352925</v>
      </c>
      <c r="L182" s="680">
        <v>265479</v>
      </c>
      <c r="M182" s="643">
        <v>0</v>
      </c>
      <c r="N182" s="644">
        <f t="shared" si="10"/>
        <v>265479</v>
      </c>
      <c r="O182" s="643">
        <v>12420</v>
      </c>
      <c r="P182" s="643">
        <v>0</v>
      </c>
      <c r="Q182" s="644">
        <f>IF($A182="","",IF(AND($C182="白金タクシー",$A182&gt;=DATE(2017,9,1)),ROUND(GETPIVOTDATA("合計 / タクシー運賃",【ピボット】事業所売上!$A$3,"年月",$A182,"事業所コード",$B182,"事業所",$C182)*5.1%,0),0))</f>
        <v>0</v>
      </c>
      <c r="R182" s="643">
        <v>0</v>
      </c>
      <c r="S182" s="643">
        <v>0</v>
      </c>
      <c r="T182" s="643">
        <v>0</v>
      </c>
      <c r="U182" s="644">
        <f t="shared" si="11"/>
        <v>0</v>
      </c>
      <c r="V182" s="643">
        <v>0</v>
      </c>
      <c r="W182" s="643">
        <v>0</v>
      </c>
      <c r="X182" s="643">
        <v>0</v>
      </c>
      <c r="Y182" s="643">
        <v>0</v>
      </c>
    </row>
    <row r="183" spans="1:25" x14ac:dyDescent="0.15">
      <c r="A183" s="642">
        <v>42979</v>
      </c>
      <c r="B183" s="640" t="str">
        <f t="shared" ca="1" si="12"/>
        <v>09</v>
      </c>
      <c r="C183" s="639" t="s">
        <v>329</v>
      </c>
      <c r="D183" s="644">
        <f ca="1">IF(A183="","",IFERROR(GETPIVOTDATA("合計 / 合計",【ピボット】事業所売上!$A$3,"年月",$A183,"事業所コード",$B183,"事業所",$C183),0))</f>
        <v>2133548</v>
      </c>
      <c r="E183" s="643">
        <v>687112</v>
      </c>
      <c r="F183" s="643">
        <v>0</v>
      </c>
      <c r="G183" s="643">
        <v>0</v>
      </c>
      <c r="H183" s="643">
        <v>0</v>
      </c>
      <c r="I183" s="643">
        <v>21365</v>
      </c>
      <c r="J183" s="643">
        <v>0</v>
      </c>
      <c r="K183" s="644">
        <f t="shared" si="9"/>
        <v>708477</v>
      </c>
      <c r="L183" s="680">
        <v>542900</v>
      </c>
      <c r="M183" s="643">
        <v>0</v>
      </c>
      <c r="N183" s="644">
        <f t="shared" si="10"/>
        <v>542900</v>
      </c>
      <c r="O183" s="643">
        <v>35100</v>
      </c>
      <c r="P183" s="643">
        <v>0</v>
      </c>
      <c r="Q183" s="644">
        <f>IF($A183="","",IF(AND($C183="白金タクシー",$A183&gt;=DATE(2017,9,1)),ROUND(GETPIVOTDATA("合計 / タクシー運賃",【ピボット】事業所売上!$A$3,"年月",$A183,"事業所コード",$B183,"事業所",$C183)*5.1%,0),0))</f>
        <v>0</v>
      </c>
      <c r="R183" s="643">
        <v>0</v>
      </c>
      <c r="S183" s="643">
        <v>0</v>
      </c>
      <c r="T183" s="643">
        <v>0</v>
      </c>
      <c r="U183" s="644">
        <f t="shared" si="11"/>
        <v>0</v>
      </c>
      <c r="V183" s="643">
        <v>0</v>
      </c>
      <c r="W183" s="643">
        <v>0</v>
      </c>
      <c r="X183" s="643">
        <v>0</v>
      </c>
      <c r="Y183" s="643">
        <v>0</v>
      </c>
    </row>
    <row r="184" spans="1:25" x14ac:dyDescent="0.15">
      <c r="A184" s="642">
        <v>42979</v>
      </c>
      <c r="B184" s="640" t="str">
        <f t="shared" ca="1" si="12"/>
        <v>10</v>
      </c>
      <c r="C184" s="639" t="s">
        <v>336</v>
      </c>
      <c r="D184" s="644">
        <f ca="1">IF(A184="","",IFERROR(GETPIVOTDATA("合計 / 合計",【ピボット】事業所売上!$A$3,"年月",$A184,"事業所コード",$B184,"事業所",$C184),0))</f>
        <v>3185656</v>
      </c>
      <c r="E184" s="643">
        <v>648421</v>
      </c>
      <c r="F184" s="643">
        <v>958131</v>
      </c>
      <c r="G184" s="643">
        <v>0</v>
      </c>
      <c r="H184" s="643">
        <v>0</v>
      </c>
      <c r="I184" s="643">
        <v>105380</v>
      </c>
      <c r="J184" s="643">
        <v>4700</v>
      </c>
      <c r="K184" s="644">
        <f t="shared" si="9"/>
        <v>1716632</v>
      </c>
      <c r="L184" s="680">
        <v>979802</v>
      </c>
      <c r="M184" s="643">
        <v>0</v>
      </c>
      <c r="N184" s="644">
        <f t="shared" si="10"/>
        <v>979802</v>
      </c>
      <c r="O184" s="643">
        <v>24300</v>
      </c>
      <c r="P184" s="643">
        <v>0</v>
      </c>
      <c r="Q184" s="644">
        <f ca="1">IF($A184="","",IF(AND($C184="白金タクシー",$A184&gt;=DATE(2017,9,1)),ROUND(GETPIVOTDATA("合計 / タクシー運賃",【ピボット】事業所売上!$A$3,"年月",$A184,"事業所コード",$B184,"事業所",$C184)*5.1%,0),0))</f>
        <v>73432</v>
      </c>
      <c r="R184" s="643">
        <v>0</v>
      </c>
      <c r="S184" s="643">
        <v>0</v>
      </c>
      <c r="T184" s="643">
        <v>0</v>
      </c>
      <c r="U184" s="644">
        <f t="shared" si="11"/>
        <v>0</v>
      </c>
      <c r="V184" s="643">
        <v>0</v>
      </c>
      <c r="W184" s="643">
        <v>0</v>
      </c>
      <c r="X184" s="643">
        <v>0</v>
      </c>
      <c r="Y184" s="643">
        <v>0</v>
      </c>
    </row>
    <row r="185" spans="1:25" x14ac:dyDescent="0.15">
      <c r="A185" s="642">
        <f>EDATE(A184,1)</f>
        <v>43009</v>
      </c>
      <c r="B185" s="640" t="str">
        <f t="shared" ca="1" si="12"/>
        <v>00</v>
      </c>
      <c r="C185" s="639" t="s">
        <v>490</v>
      </c>
      <c r="D185" s="644">
        <f ca="1">IF(A185="","",IFERROR(GETPIVOTDATA("合計 / 合計",【ピボット】事業所売上!$A$3,"年月",$A185,"事業所コード",$B185,"事業所",$C185),0))</f>
        <v>140400</v>
      </c>
      <c r="E185" s="643">
        <v>76778</v>
      </c>
      <c r="F185" s="643">
        <v>939074</v>
      </c>
      <c r="G185" s="643">
        <v>0</v>
      </c>
      <c r="H185" s="643">
        <v>2000000</v>
      </c>
      <c r="I185" s="643">
        <v>400659</v>
      </c>
      <c r="J185" s="643">
        <v>0</v>
      </c>
      <c r="K185" s="644">
        <f t="shared" si="9"/>
        <v>3416511</v>
      </c>
      <c r="L185" s="680">
        <v>1563805</v>
      </c>
      <c r="M185" s="643">
        <v>0</v>
      </c>
      <c r="N185" s="644">
        <f t="shared" si="10"/>
        <v>1563805</v>
      </c>
      <c r="O185" s="643">
        <v>0</v>
      </c>
      <c r="P185" s="643">
        <v>0</v>
      </c>
      <c r="Q185" s="644">
        <f>IF($A185="","",IF(AND($C185="白金タクシー",$A185&gt;=DATE(2017,9,1)),ROUND(GETPIVOTDATA("合計 / タクシー運賃",【ピボット】事業所売上!$A$3,"年月",$A185,"事業所コード",$B185,"事業所",$C185)*5.1%,0),0))</f>
        <v>0</v>
      </c>
      <c r="R185" s="643">
        <v>0</v>
      </c>
      <c r="S185" s="643">
        <v>0</v>
      </c>
      <c r="T185" s="643">
        <v>0</v>
      </c>
      <c r="U185" s="644">
        <f t="shared" si="11"/>
        <v>0</v>
      </c>
      <c r="V185" s="643">
        <v>113702</v>
      </c>
      <c r="W185" s="643">
        <v>497938</v>
      </c>
      <c r="X185" s="643">
        <v>0</v>
      </c>
      <c r="Y185" s="643">
        <v>0</v>
      </c>
    </row>
    <row r="186" spans="1:25" x14ac:dyDescent="0.15">
      <c r="A186" s="642">
        <v>43009</v>
      </c>
      <c r="B186" s="640" t="str">
        <f t="shared" ca="1" si="12"/>
        <v>01</v>
      </c>
      <c r="C186" s="639" t="s">
        <v>34</v>
      </c>
      <c r="D186" s="644">
        <f ca="1">IF(A186="","",IFERROR(GETPIVOTDATA("合計 / 合計",【ピボット】事業所売上!$A$3,"年月",$A186,"事業所コード",$B186,"事業所",$C186),0))</f>
        <v>10634528</v>
      </c>
      <c r="E186" s="643">
        <v>3565236</v>
      </c>
      <c r="F186" s="643">
        <v>1980393</v>
      </c>
      <c r="G186" s="643">
        <v>0</v>
      </c>
      <c r="H186" s="643">
        <v>0</v>
      </c>
      <c r="I186" s="643">
        <v>356726</v>
      </c>
      <c r="J186" s="643">
        <v>24390</v>
      </c>
      <c r="K186" s="644">
        <f t="shared" si="9"/>
        <v>5926745</v>
      </c>
      <c r="L186" s="680">
        <v>731238</v>
      </c>
      <c r="M186" s="643">
        <v>0</v>
      </c>
      <c r="N186" s="644">
        <f t="shared" si="10"/>
        <v>731238</v>
      </c>
      <c r="O186" s="643">
        <v>7621</v>
      </c>
      <c r="P186" s="643">
        <v>0</v>
      </c>
      <c r="Q186" s="644">
        <f>IF($A186="","",IF(AND($C186="白金タクシー",$A186&gt;=DATE(2017,9,1)),ROUND(GETPIVOTDATA("合計 / タクシー運賃",【ピボット】事業所売上!$A$3,"年月",$A186,"事業所コード",$B186,"事業所",$C186)*5.1%,0),0))</f>
        <v>0</v>
      </c>
      <c r="R186" s="643">
        <v>0</v>
      </c>
      <c r="S186" s="643">
        <v>0</v>
      </c>
      <c r="T186" s="643">
        <v>0</v>
      </c>
      <c r="U186" s="644">
        <f t="shared" si="11"/>
        <v>0</v>
      </c>
      <c r="V186" s="643">
        <v>0</v>
      </c>
      <c r="W186" s="643">
        <v>0</v>
      </c>
      <c r="X186" s="643">
        <v>0</v>
      </c>
      <c r="Y186" s="643">
        <v>0</v>
      </c>
    </row>
    <row r="187" spans="1:25" x14ac:dyDescent="0.15">
      <c r="A187" s="642">
        <v>43009</v>
      </c>
      <c r="B187" s="640" t="str">
        <f t="shared" ca="1" si="12"/>
        <v>02</v>
      </c>
      <c r="C187" s="639" t="s">
        <v>37</v>
      </c>
      <c r="D187" s="644">
        <f ca="1">IF(A187="","",IFERROR(GETPIVOTDATA("合計 / 合計",【ピボット】事業所売上!$A$3,"年月",$A187,"事業所コード",$B187,"事業所",$C187),0))</f>
        <v>6290993</v>
      </c>
      <c r="E187" s="643">
        <v>1521600</v>
      </c>
      <c r="F187" s="643">
        <v>1925714</v>
      </c>
      <c r="G187" s="643">
        <v>0</v>
      </c>
      <c r="H187" s="643">
        <v>0</v>
      </c>
      <c r="I187" s="643">
        <v>384882</v>
      </c>
      <c r="J187" s="643">
        <v>163333</v>
      </c>
      <c r="K187" s="644">
        <f t="shared" si="9"/>
        <v>3995529</v>
      </c>
      <c r="L187" s="680">
        <v>879489</v>
      </c>
      <c r="M187" s="643">
        <v>0</v>
      </c>
      <c r="N187" s="644">
        <f t="shared" si="10"/>
        <v>879489</v>
      </c>
      <c r="O187" s="643">
        <v>47952</v>
      </c>
      <c r="P187" s="643">
        <v>0</v>
      </c>
      <c r="Q187" s="644">
        <f>IF($A187="","",IF(AND($C187="白金タクシー",$A187&gt;=DATE(2017,9,1)),ROUND(GETPIVOTDATA("合計 / タクシー運賃",【ピボット】事業所売上!$A$3,"年月",$A187,"事業所コード",$B187,"事業所",$C187)*5.1%,0),0))</f>
        <v>0</v>
      </c>
      <c r="R187" s="643">
        <v>0</v>
      </c>
      <c r="S187" s="643">
        <v>0</v>
      </c>
      <c r="T187" s="643">
        <v>0</v>
      </c>
      <c r="U187" s="644">
        <f t="shared" si="11"/>
        <v>0</v>
      </c>
      <c r="V187" s="643">
        <v>0</v>
      </c>
      <c r="W187" s="643">
        <v>0</v>
      </c>
      <c r="X187" s="643">
        <v>0</v>
      </c>
      <c r="Y187" s="643">
        <v>0</v>
      </c>
    </row>
    <row r="188" spans="1:25" x14ac:dyDescent="0.15">
      <c r="A188" s="642">
        <v>43009</v>
      </c>
      <c r="B188" s="640" t="str">
        <f t="shared" ca="1" si="12"/>
        <v>03</v>
      </c>
      <c r="C188" s="639" t="s">
        <v>66</v>
      </c>
      <c r="D188" s="644">
        <f ca="1">IF(A188="","",IFERROR(GETPIVOTDATA("合計 / 合計",【ピボット】事業所売上!$A$3,"年月",$A188,"事業所コード",$B188,"事業所",$C188),0))</f>
        <v>5787410</v>
      </c>
      <c r="E188" s="643">
        <v>1824962</v>
      </c>
      <c r="F188" s="643">
        <v>1342495</v>
      </c>
      <c r="G188" s="643">
        <v>0</v>
      </c>
      <c r="H188" s="643">
        <v>0</v>
      </c>
      <c r="I188" s="643">
        <v>297113</v>
      </c>
      <c r="J188" s="643">
        <v>1143</v>
      </c>
      <c r="K188" s="644">
        <f t="shared" si="9"/>
        <v>3465713</v>
      </c>
      <c r="L188" s="680">
        <v>902306</v>
      </c>
      <c r="M188" s="643">
        <v>0</v>
      </c>
      <c r="N188" s="644">
        <f t="shared" si="10"/>
        <v>902306</v>
      </c>
      <c r="O188" s="643">
        <v>123696</v>
      </c>
      <c r="P188" s="643">
        <v>0</v>
      </c>
      <c r="Q188" s="644">
        <f>IF($A188="","",IF(AND($C188="白金タクシー",$A188&gt;=DATE(2017,9,1)),ROUND(GETPIVOTDATA("合計 / タクシー運賃",【ピボット】事業所売上!$A$3,"年月",$A188,"事業所コード",$B188,"事業所",$C188)*5.1%,0),0))</f>
        <v>0</v>
      </c>
      <c r="R188" s="643">
        <v>0</v>
      </c>
      <c r="S188" s="643">
        <v>0</v>
      </c>
      <c r="T188" s="643">
        <v>0</v>
      </c>
      <c r="U188" s="644">
        <f t="shared" si="11"/>
        <v>0</v>
      </c>
      <c r="V188" s="643">
        <v>0</v>
      </c>
      <c r="W188" s="643">
        <v>0</v>
      </c>
      <c r="X188" s="643">
        <v>0</v>
      </c>
      <c r="Y188" s="643">
        <v>0</v>
      </c>
    </row>
    <row r="189" spans="1:25" x14ac:dyDescent="0.15">
      <c r="A189" s="642">
        <v>43009</v>
      </c>
      <c r="B189" s="640" t="str">
        <f t="shared" ca="1" si="12"/>
        <v>04</v>
      </c>
      <c r="C189" s="639" t="s">
        <v>358</v>
      </c>
      <c r="D189" s="644">
        <f ca="1">IF(A189="","",IFERROR(GETPIVOTDATA("合計 / 合計",【ピボット】事業所売上!$A$3,"年月",$A189,"事業所コード",$B189,"事業所",$C189),0))</f>
        <v>3270391</v>
      </c>
      <c r="E189" s="643">
        <v>949243</v>
      </c>
      <c r="F189" s="643">
        <v>796962</v>
      </c>
      <c r="G189" s="643">
        <v>0</v>
      </c>
      <c r="H189" s="643">
        <v>0</v>
      </c>
      <c r="I189" s="643">
        <v>171179</v>
      </c>
      <c r="J189" s="643">
        <v>0</v>
      </c>
      <c r="K189" s="644">
        <f t="shared" si="9"/>
        <v>1917384</v>
      </c>
      <c r="L189" s="680">
        <v>966398</v>
      </c>
      <c r="M189" s="643">
        <v>0</v>
      </c>
      <c r="N189" s="644">
        <f t="shared" si="10"/>
        <v>966398</v>
      </c>
      <c r="O189" s="643">
        <v>50988</v>
      </c>
      <c r="P189" s="643">
        <v>0</v>
      </c>
      <c r="Q189" s="644">
        <f>IF($A189="","",IF(AND($C189="白金タクシー",$A189&gt;=DATE(2017,9,1)),ROUND(GETPIVOTDATA("合計 / タクシー運賃",【ピボット】事業所売上!$A$3,"年月",$A189,"事業所コード",$B189,"事業所",$C189)*5.1%,0),0))</f>
        <v>0</v>
      </c>
      <c r="R189" s="643">
        <v>0</v>
      </c>
      <c r="S189" s="643">
        <v>0</v>
      </c>
      <c r="T189" s="643">
        <v>0</v>
      </c>
      <c r="U189" s="644">
        <f t="shared" si="11"/>
        <v>0</v>
      </c>
      <c r="V189" s="643">
        <v>0</v>
      </c>
      <c r="W189" s="643">
        <v>0</v>
      </c>
      <c r="X189" s="643">
        <v>0</v>
      </c>
      <c r="Y189" s="643">
        <v>0</v>
      </c>
    </row>
    <row r="190" spans="1:25" x14ac:dyDescent="0.15">
      <c r="A190" s="642">
        <v>43009</v>
      </c>
      <c r="B190" s="640" t="str">
        <f t="shared" ca="1" si="12"/>
        <v>05</v>
      </c>
      <c r="C190" s="639" t="s">
        <v>38</v>
      </c>
      <c r="D190" s="644">
        <f ca="1">IF(A190="","",IFERROR(GETPIVOTDATA("合計 / 合計",【ピボット】事業所売上!$A$3,"年月",$A190,"事業所コード",$B190,"事業所",$C190),0))</f>
        <v>2989139</v>
      </c>
      <c r="E190" s="643">
        <v>1023599</v>
      </c>
      <c r="F190" s="643">
        <v>650000</v>
      </c>
      <c r="G190" s="643">
        <v>0</v>
      </c>
      <c r="H190" s="643">
        <v>0</v>
      </c>
      <c r="I190" s="643">
        <v>140787</v>
      </c>
      <c r="J190" s="643">
        <v>30000</v>
      </c>
      <c r="K190" s="644">
        <f t="shared" si="9"/>
        <v>1844386</v>
      </c>
      <c r="L190" s="680">
        <v>346984</v>
      </c>
      <c r="M190" s="643">
        <v>0</v>
      </c>
      <c r="N190" s="644">
        <f t="shared" si="10"/>
        <v>346984</v>
      </c>
      <c r="O190" s="643">
        <v>0</v>
      </c>
      <c r="P190" s="643">
        <v>0</v>
      </c>
      <c r="Q190" s="644">
        <f>IF($A190="","",IF(AND($C190="白金タクシー",$A190&gt;=DATE(2017,9,1)),ROUND(GETPIVOTDATA("合計 / タクシー運賃",【ピボット】事業所売上!$A$3,"年月",$A190,"事業所コード",$B190,"事業所",$C190)*5.1%,0),0))</f>
        <v>0</v>
      </c>
      <c r="R190" s="643">
        <v>0</v>
      </c>
      <c r="S190" s="643">
        <v>0</v>
      </c>
      <c r="T190" s="643">
        <v>0</v>
      </c>
      <c r="U190" s="644">
        <f t="shared" si="11"/>
        <v>0</v>
      </c>
      <c r="V190" s="643">
        <v>0</v>
      </c>
      <c r="W190" s="643">
        <v>0</v>
      </c>
      <c r="X190" s="643">
        <v>0</v>
      </c>
      <c r="Y190" s="643">
        <v>0</v>
      </c>
    </row>
    <row r="191" spans="1:25" x14ac:dyDescent="0.15">
      <c r="A191" s="642">
        <v>43009</v>
      </c>
      <c r="B191" s="640" t="str">
        <f t="shared" ca="1" si="12"/>
        <v>07</v>
      </c>
      <c r="C191" s="639" t="s">
        <v>119</v>
      </c>
      <c r="D191" s="644">
        <f ca="1">IF(A191="","",IFERROR(GETPIVOTDATA("合計 / 合計",【ピボット】事業所売上!$A$3,"年月",$A191,"事業所コード",$B191,"事業所",$C191),0))</f>
        <v>1051496</v>
      </c>
      <c r="E191" s="643">
        <v>361400</v>
      </c>
      <c r="F191" s="643">
        <v>50000</v>
      </c>
      <c r="G191" s="643">
        <v>0</v>
      </c>
      <c r="H191" s="643">
        <v>0</v>
      </c>
      <c r="I191" s="643">
        <v>26177</v>
      </c>
      <c r="J191" s="643">
        <v>0</v>
      </c>
      <c r="K191" s="644">
        <f t="shared" si="9"/>
        <v>437577</v>
      </c>
      <c r="L191" s="680">
        <v>127801</v>
      </c>
      <c r="M191" s="643">
        <v>0</v>
      </c>
      <c r="N191" s="644">
        <f t="shared" si="10"/>
        <v>127801</v>
      </c>
      <c r="O191" s="643">
        <v>0</v>
      </c>
      <c r="P191" s="643">
        <v>0</v>
      </c>
      <c r="Q191" s="644">
        <f>IF($A191="","",IF(AND($C191="白金タクシー",$A191&gt;=DATE(2017,9,1)),ROUND(GETPIVOTDATA("合計 / タクシー運賃",【ピボット】事業所売上!$A$3,"年月",$A191,"事業所コード",$B191,"事業所",$C191)*5.1%,0),0))</f>
        <v>0</v>
      </c>
      <c r="R191" s="643">
        <v>0</v>
      </c>
      <c r="S191" s="643">
        <v>0</v>
      </c>
      <c r="T191" s="643">
        <v>0</v>
      </c>
      <c r="U191" s="644">
        <f t="shared" si="11"/>
        <v>0</v>
      </c>
      <c r="V191" s="643">
        <v>0</v>
      </c>
      <c r="W191" s="643">
        <v>0</v>
      </c>
      <c r="X191" s="643">
        <v>0</v>
      </c>
      <c r="Y191" s="643">
        <v>0</v>
      </c>
    </row>
    <row r="192" spans="1:25" x14ac:dyDescent="0.15">
      <c r="A192" s="642">
        <v>43009</v>
      </c>
      <c r="B192" s="640" t="str">
        <f t="shared" ca="1" si="12"/>
        <v>08</v>
      </c>
      <c r="C192" s="639" t="s">
        <v>189</v>
      </c>
      <c r="D192" s="644">
        <f ca="1">IF(A192="","",IFERROR(GETPIVOTDATA("合計 / 合計",【ピボット】事業所売上!$A$3,"年月",$A192,"事業所コード",$B192,"事業所",$C192),0))</f>
        <v>1061492</v>
      </c>
      <c r="E192" s="643">
        <v>310225</v>
      </c>
      <c r="F192" s="643">
        <v>50000</v>
      </c>
      <c r="G192" s="643">
        <v>0</v>
      </c>
      <c r="H192" s="643">
        <v>0</v>
      </c>
      <c r="I192" s="643">
        <v>0</v>
      </c>
      <c r="J192" s="643">
        <v>0</v>
      </c>
      <c r="K192" s="644">
        <f t="shared" si="9"/>
        <v>360225</v>
      </c>
      <c r="L192" s="680">
        <v>183340</v>
      </c>
      <c r="M192" s="643">
        <v>0</v>
      </c>
      <c r="N192" s="644">
        <f t="shared" si="10"/>
        <v>183340</v>
      </c>
      <c r="O192" s="643">
        <v>0</v>
      </c>
      <c r="P192" s="643">
        <v>0</v>
      </c>
      <c r="Q192" s="644">
        <f>IF($A192="","",IF(AND($C192="白金タクシー",$A192&gt;=DATE(2017,9,1)),ROUND(GETPIVOTDATA("合計 / タクシー運賃",【ピボット】事業所売上!$A$3,"年月",$A192,"事業所コード",$B192,"事業所",$C192)*5.1%,0),0))</f>
        <v>0</v>
      </c>
      <c r="R192" s="643">
        <v>0</v>
      </c>
      <c r="S192" s="643">
        <v>0</v>
      </c>
      <c r="T192" s="643">
        <v>0</v>
      </c>
      <c r="U192" s="644">
        <f t="shared" si="11"/>
        <v>0</v>
      </c>
      <c r="V192" s="643">
        <v>0</v>
      </c>
      <c r="W192" s="643">
        <v>0</v>
      </c>
      <c r="X192" s="643">
        <v>0</v>
      </c>
      <c r="Y192" s="643">
        <v>0</v>
      </c>
    </row>
    <row r="193" spans="1:25" x14ac:dyDescent="0.15">
      <c r="A193" s="642">
        <v>43009</v>
      </c>
      <c r="B193" s="640" t="str">
        <f t="shared" ca="1" si="12"/>
        <v>09</v>
      </c>
      <c r="C193" s="639" t="s">
        <v>329</v>
      </c>
      <c r="D193" s="644">
        <f ca="1">IF(A193="","",IFERROR(GETPIVOTDATA("合計 / 合計",【ピボット】事業所売上!$A$3,"年月",$A193,"事業所コード",$B193,"事業所",$C193),0))</f>
        <v>3275498</v>
      </c>
      <c r="E193" s="643">
        <v>640064</v>
      </c>
      <c r="F193" s="643">
        <v>0</v>
      </c>
      <c r="G193" s="643">
        <v>0</v>
      </c>
      <c r="H193" s="643">
        <v>0</v>
      </c>
      <c r="I193" s="643">
        <v>32960</v>
      </c>
      <c r="J193" s="643">
        <v>0</v>
      </c>
      <c r="K193" s="644">
        <f t="shared" si="9"/>
        <v>673024</v>
      </c>
      <c r="L193" s="680">
        <v>624881</v>
      </c>
      <c r="M193" s="643">
        <v>0</v>
      </c>
      <c r="N193" s="644">
        <f t="shared" si="10"/>
        <v>624881</v>
      </c>
      <c r="O193" s="643">
        <v>0</v>
      </c>
      <c r="P193" s="643">
        <v>0</v>
      </c>
      <c r="Q193" s="644">
        <f>IF($A193="","",IF(AND($C193="白金タクシー",$A193&gt;=DATE(2017,9,1)),ROUND(GETPIVOTDATA("合計 / タクシー運賃",【ピボット】事業所売上!$A$3,"年月",$A193,"事業所コード",$B193,"事業所",$C193)*5.1%,0),0))</f>
        <v>0</v>
      </c>
      <c r="R193" s="643">
        <v>0</v>
      </c>
      <c r="S193" s="643">
        <v>0</v>
      </c>
      <c r="T193" s="643">
        <v>0</v>
      </c>
      <c r="U193" s="644">
        <f t="shared" si="11"/>
        <v>0</v>
      </c>
      <c r="V193" s="643">
        <v>0</v>
      </c>
      <c r="W193" s="643">
        <v>0</v>
      </c>
      <c r="X193" s="643">
        <v>0</v>
      </c>
      <c r="Y193" s="643">
        <v>0</v>
      </c>
    </row>
    <row r="194" spans="1:25" x14ac:dyDescent="0.15">
      <c r="A194" s="642">
        <v>43009</v>
      </c>
      <c r="B194" s="640" t="str">
        <f t="shared" ca="1" si="12"/>
        <v>10</v>
      </c>
      <c r="C194" s="639" t="s">
        <v>336</v>
      </c>
      <c r="D194" s="644">
        <f ca="1">IF(A194="","",IFERROR(GETPIVOTDATA("合計 / 合計",【ピボット】事業所売上!$A$3,"年月",$A194,"事業所コード",$B194,"事業所",$C194),0))</f>
        <v>3195164</v>
      </c>
      <c r="E194" s="643">
        <v>586197</v>
      </c>
      <c r="F194" s="643">
        <v>956289</v>
      </c>
      <c r="G194" s="643">
        <v>0</v>
      </c>
      <c r="H194" s="643">
        <v>0</v>
      </c>
      <c r="I194" s="643">
        <v>163520</v>
      </c>
      <c r="J194" s="643">
        <v>0</v>
      </c>
      <c r="K194" s="644">
        <f t="shared" ref="K194:K257" si="13">IF(A194="","",SUM(E194:J194))</f>
        <v>1706006</v>
      </c>
      <c r="L194" s="680">
        <v>980412</v>
      </c>
      <c r="M194" s="643">
        <v>0</v>
      </c>
      <c r="N194" s="644">
        <f t="shared" si="10"/>
        <v>980412</v>
      </c>
      <c r="O194" s="643">
        <v>0</v>
      </c>
      <c r="P194" s="643">
        <v>0</v>
      </c>
      <c r="Q194" s="644">
        <f ca="1">IF($A194="","",IF(AND($C194="白金タクシー",$A194&gt;=DATE(2017,9,1)),ROUND(GETPIVOTDATA("合計 / タクシー運賃",【ピボット】事業所売上!$A$3,"年月",$A194,"事業所コード",$B194,"事業所",$C194)*5.1%,0),0))</f>
        <v>77730</v>
      </c>
      <c r="R194" s="643">
        <v>0</v>
      </c>
      <c r="S194" s="643">
        <v>0</v>
      </c>
      <c r="T194" s="643">
        <v>0</v>
      </c>
      <c r="U194" s="644">
        <f t="shared" si="11"/>
        <v>0</v>
      </c>
      <c r="V194" s="643">
        <v>0</v>
      </c>
      <c r="W194" s="643">
        <v>0</v>
      </c>
      <c r="X194" s="643">
        <v>0</v>
      </c>
      <c r="Y194" s="643">
        <v>0</v>
      </c>
    </row>
    <row r="195" spans="1:25" x14ac:dyDescent="0.15">
      <c r="A195" s="642">
        <f>EDATE(A194,1)</f>
        <v>43040</v>
      </c>
      <c r="B195" s="640" t="str">
        <f t="shared" ca="1" si="12"/>
        <v>00</v>
      </c>
      <c r="C195" s="639" t="s">
        <v>490</v>
      </c>
      <c r="D195" s="644">
        <f ca="1">IF(A195="","",IFERROR(GETPIVOTDATA("合計 / 合計",【ピボット】事業所売上!$A$3,"年月",$A195,"事業所コード",$B195,"事業所",$C195),0))</f>
        <v>0</v>
      </c>
      <c r="E195" s="643">
        <v>0</v>
      </c>
      <c r="F195" s="643">
        <v>935385</v>
      </c>
      <c r="G195" s="643">
        <v>0</v>
      </c>
      <c r="H195" s="643">
        <v>2500000</v>
      </c>
      <c r="I195" s="643">
        <v>360554</v>
      </c>
      <c r="J195" s="643">
        <v>669158</v>
      </c>
      <c r="K195" s="644">
        <f t="shared" si="13"/>
        <v>4465097</v>
      </c>
      <c r="L195" s="680">
        <v>2425654</v>
      </c>
      <c r="M195" s="643">
        <v>0</v>
      </c>
      <c r="N195" s="644">
        <f t="shared" ref="N195:N258" si="14">IF(A195="","",SUM(L195:M195))</f>
        <v>2425654</v>
      </c>
      <c r="O195" s="643">
        <v>519480</v>
      </c>
      <c r="P195" s="643">
        <v>0</v>
      </c>
      <c r="Q195" s="644">
        <f>IF($A195="","",IF(AND($C195="白金タクシー",$A195&gt;=DATE(2017,9,1)),ROUND(GETPIVOTDATA("合計 / タクシー運賃",【ピボット】事業所売上!$A$3,"年月",$A195,"事業所コード",$B195,"事業所",$C195)*5.1%,0),0))</f>
        <v>0</v>
      </c>
      <c r="R195" s="643">
        <v>0</v>
      </c>
      <c r="S195" s="643">
        <v>0</v>
      </c>
      <c r="T195" s="643">
        <v>0</v>
      </c>
      <c r="U195" s="644">
        <f t="shared" ref="U195:U258" si="15">IF(A195="","",R195-S195-T195)</f>
        <v>0</v>
      </c>
      <c r="V195" s="643">
        <v>162234</v>
      </c>
      <c r="W195" s="643">
        <v>398466</v>
      </c>
      <c r="X195" s="643">
        <v>0</v>
      </c>
      <c r="Y195" s="643">
        <v>0</v>
      </c>
    </row>
    <row r="196" spans="1:25" x14ac:dyDescent="0.15">
      <c r="A196" s="642">
        <v>43040</v>
      </c>
      <c r="B196" s="640" t="str">
        <f t="shared" ca="1" si="12"/>
        <v>01</v>
      </c>
      <c r="C196" s="639" t="s">
        <v>34</v>
      </c>
      <c r="D196" s="644">
        <f ca="1">IF(A196="","",IFERROR(GETPIVOTDATA("合計 / 合計",【ピボット】事業所売上!$A$3,"年月",$A196,"事業所コード",$B196,"事業所",$C196),0))</f>
        <v>9718481</v>
      </c>
      <c r="E196" s="643">
        <v>3514473</v>
      </c>
      <c r="F196" s="643">
        <v>1988138</v>
      </c>
      <c r="G196" s="643">
        <v>0</v>
      </c>
      <c r="H196" s="643">
        <v>0</v>
      </c>
      <c r="I196" s="643">
        <v>321067</v>
      </c>
      <c r="J196" s="643">
        <v>51243</v>
      </c>
      <c r="K196" s="644">
        <f t="shared" si="13"/>
        <v>5874921</v>
      </c>
      <c r="L196" s="680">
        <v>718518</v>
      </c>
      <c r="M196" s="643">
        <v>0</v>
      </c>
      <c r="N196" s="644">
        <f t="shared" si="14"/>
        <v>718518</v>
      </c>
      <c r="O196" s="643">
        <v>98400</v>
      </c>
      <c r="P196" s="643">
        <v>0</v>
      </c>
      <c r="Q196" s="644">
        <f>IF($A196="","",IF(AND($C196="白金タクシー",$A196&gt;=DATE(2017,9,1)),ROUND(GETPIVOTDATA("合計 / タクシー運賃",【ピボット】事業所売上!$A$3,"年月",$A196,"事業所コード",$B196,"事業所",$C196)*5.1%,0),0))</f>
        <v>0</v>
      </c>
      <c r="R196" s="643">
        <v>0</v>
      </c>
      <c r="S196" s="643">
        <v>0</v>
      </c>
      <c r="T196" s="643">
        <v>0</v>
      </c>
      <c r="U196" s="644">
        <f t="shared" si="15"/>
        <v>0</v>
      </c>
      <c r="V196" s="643">
        <v>0</v>
      </c>
      <c r="W196" s="643">
        <v>0</v>
      </c>
      <c r="X196" s="643">
        <v>0</v>
      </c>
      <c r="Y196" s="643">
        <v>0</v>
      </c>
    </row>
    <row r="197" spans="1:25" x14ac:dyDescent="0.15">
      <c r="A197" s="642">
        <v>43040</v>
      </c>
      <c r="B197" s="640" t="str">
        <f t="shared" ca="1" si="12"/>
        <v>02</v>
      </c>
      <c r="C197" s="639" t="s">
        <v>37</v>
      </c>
      <c r="D197" s="644">
        <f ca="1">IF(A197="","",IFERROR(GETPIVOTDATA("合計 / 合計",【ピボット】事業所売上!$A$3,"年月",$A197,"事業所コード",$B197,"事業所",$C197),0))</f>
        <v>5954408</v>
      </c>
      <c r="E197" s="643">
        <v>1346063</v>
      </c>
      <c r="F197" s="643">
        <v>2118936</v>
      </c>
      <c r="G197" s="643">
        <v>0</v>
      </c>
      <c r="H197" s="643">
        <v>0</v>
      </c>
      <c r="I197" s="643">
        <v>376349</v>
      </c>
      <c r="J197" s="643">
        <v>15553</v>
      </c>
      <c r="K197" s="644">
        <f t="shared" si="13"/>
        <v>3856901</v>
      </c>
      <c r="L197" s="680">
        <v>1009541</v>
      </c>
      <c r="M197" s="643">
        <v>0</v>
      </c>
      <c r="N197" s="644">
        <f t="shared" si="14"/>
        <v>1009541</v>
      </c>
      <c r="O197" s="643">
        <v>48600</v>
      </c>
      <c r="P197" s="643">
        <v>0</v>
      </c>
      <c r="Q197" s="644">
        <f>IF($A197="","",IF(AND($C197="白金タクシー",$A197&gt;=DATE(2017,9,1)),ROUND(GETPIVOTDATA("合計 / タクシー運賃",【ピボット】事業所売上!$A$3,"年月",$A197,"事業所コード",$B197,"事業所",$C197)*5.1%,0),0))</f>
        <v>0</v>
      </c>
      <c r="R197" s="643">
        <v>0</v>
      </c>
      <c r="S197" s="643">
        <v>0</v>
      </c>
      <c r="T197" s="643">
        <v>0</v>
      </c>
      <c r="U197" s="644">
        <f t="shared" si="15"/>
        <v>0</v>
      </c>
      <c r="V197" s="643">
        <v>0</v>
      </c>
      <c r="W197" s="643">
        <v>0</v>
      </c>
      <c r="X197" s="643">
        <v>0</v>
      </c>
      <c r="Y197" s="643">
        <v>0</v>
      </c>
    </row>
    <row r="198" spans="1:25" x14ac:dyDescent="0.15">
      <c r="A198" s="642">
        <v>43040</v>
      </c>
      <c r="B198" s="640" t="str">
        <f t="shared" ca="1" si="12"/>
        <v>03</v>
      </c>
      <c r="C198" s="639" t="s">
        <v>66</v>
      </c>
      <c r="D198" s="644">
        <f ca="1">IF(A198="","",IFERROR(GETPIVOTDATA("合計 / 合計",【ピボット】事業所売上!$A$3,"年月",$A198,"事業所コード",$B198,"事業所",$C198),0))</f>
        <v>5899891</v>
      </c>
      <c r="E198" s="643">
        <v>1878917</v>
      </c>
      <c r="F198" s="643">
        <v>1348645</v>
      </c>
      <c r="G198" s="643">
        <v>0</v>
      </c>
      <c r="H198" s="643">
        <v>0</v>
      </c>
      <c r="I198" s="643">
        <v>269819</v>
      </c>
      <c r="J198" s="643">
        <v>23071</v>
      </c>
      <c r="K198" s="644">
        <f t="shared" si="13"/>
        <v>3520452</v>
      </c>
      <c r="L198" s="680">
        <v>829374</v>
      </c>
      <c r="M198" s="643">
        <v>0</v>
      </c>
      <c r="N198" s="644">
        <f t="shared" si="14"/>
        <v>829374</v>
      </c>
      <c r="O198" s="643">
        <v>105300</v>
      </c>
      <c r="P198" s="643">
        <v>0</v>
      </c>
      <c r="Q198" s="644">
        <f>IF($A198="","",IF(AND($C198="白金タクシー",$A198&gt;=DATE(2017,9,1)),ROUND(GETPIVOTDATA("合計 / タクシー運賃",【ピボット】事業所売上!$A$3,"年月",$A198,"事業所コード",$B198,"事業所",$C198)*5.1%,0),0))</f>
        <v>0</v>
      </c>
      <c r="R198" s="643">
        <v>0</v>
      </c>
      <c r="S198" s="643">
        <v>0</v>
      </c>
      <c r="T198" s="643">
        <v>0</v>
      </c>
      <c r="U198" s="644">
        <f t="shared" si="15"/>
        <v>0</v>
      </c>
      <c r="V198" s="643">
        <v>0</v>
      </c>
      <c r="W198" s="643">
        <v>0</v>
      </c>
      <c r="X198" s="643">
        <v>0</v>
      </c>
      <c r="Y198" s="643">
        <v>0</v>
      </c>
    </row>
    <row r="199" spans="1:25" x14ac:dyDescent="0.15">
      <c r="A199" s="642">
        <v>43040</v>
      </c>
      <c r="B199" s="640" t="str">
        <f t="shared" ca="1" si="12"/>
        <v>04</v>
      </c>
      <c r="C199" s="639" t="s">
        <v>358</v>
      </c>
      <c r="D199" s="644">
        <f ca="1">IF(A199="","",IFERROR(GETPIVOTDATA("合計 / 合計",【ピボット】事業所売上!$A$3,"年月",$A199,"事業所コード",$B199,"事業所",$C199),0))</f>
        <v>3507733</v>
      </c>
      <c r="E199" s="643">
        <v>662686</v>
      </c>
      <c r="F199" s="643">
        <v>803939</v>
      </c>
      <c r="G199" s="643">
        <v>0</v>
      </c>
      <c r="H199" s="643">
        <v>0</v>
      </c>
      <c r="I199" s="643">
        <v>154166</v>
      </c>
      <c r="J199" s="643">
        <v>0</v>
      </c>
      <c r="K199" s="644">
        <f t="shared" si="13"/>
        <v>1620791</v>
      </c>
      <c r="L199" s="680">
        <v>859233</v>
      </c>
      <c r="M199" s="643">
        <v>0</v>
      </c>
      <c r="N199" s="644">
        <f t="shared" si="14"/>
        <v>859233</v>
      </c>
      <c r="O199" s="643">
        <v>1200</v>
      </c>
      <c r="P199" s="643">
        <v>0</v>
      </c>
      <c r="Q199" s="644">
        <f>IF($A199="","",IF(AND($C199="白金タクシー",$A199&gt;=DATE(2017,9,1)),ROUND(GETPIVOTDATA("合計 / タクシー運賃",【ピボット】事業所売上!$A$3,"年月",$A199,"事業所コード",$B199,"事業所",$C199)*5.1%,0),0))</f>
        <v>0</v>
      </c>
      <c r="R199" s="643">
        <v>0</v>
      </c>
      <c r="S199" s="643">
        <v>0</v>
      </c>
      <c r="T199" s="643">
        <v>0</v>
      </c>
      <c r="U199" s="644">
        <f t="shared" si="15"/>
        <v>0</v>
      </c>
      <c r="V199" s="643">
        <v>0</v>
      </c>
      <c r="W199" s="643">
        <v>0</v>
      </c>
      <c r="X199" s="643">
        <v>0</v>
      </c>
      <c r="Y199" s="643">
        <v>0</v>
      </c>
    </row>
    <row r="200" spans="1:25" x14ac:dyDescent="0.15">
      <c r="A200" s="642">
        <v>43040</v>
      </c>
      <c r="B200" s="640" t="str">
        <f t="shared" ca="1" si="12"/>
        <v>05</v>
      </c>
      <c r="C200" s="639" t="s">
        <v>38</v>
      </c>
      <c r="D200" s="644">
        <f ca="1">IF(A200="","",IFERROR(GETPIVOTDATA("合計 / 合計",【ピボット】事業所売上!$A$3,"年月",$A200,"事業所コード",$B200,"事業所",$C200),0))</f>
        <v>2574677</v>
      </c>
      <c r="E200" s="643">
        <v>1031028</v>
      </c>
      <c r="F200" s="643">
        <v>650000</v>
      </c>
      <c r="G200" s="643">
        <v>0</v>
      </c>
      <c r="H200" s="643">
        <v>0</v>
      </c>
      <c r="I200" s="643">
        <v>97264</v>
      </c>
      <c r="J200" s="643">
        <v>0</v>
      </c>
      <c r="K200" s="644">
        <f t="shared" si="13"/>
        <v>1778292</v>
      </c>
      <c r="L200" s="680">
        <v>604342</v>
      </c>
      <c r="M200" s="643">
        <v>0</v>
      </c>
      <c r="N200" s="644">
        <f t="shared" si="14"/>
        <v>604342</v>
      </c>
      <c r="O200" s="643">
        <v>0</v>
      </c>
      <c r="P200" s="643">
        <v>0</v>
      </c>
      <c r="Q200" s="644">
        <f>IF($A200="","",IF(AND($C200="白金タクシー",$A200&gt;=DATE(2017,9,1)),ROUND(GETPIVOTDATA("合計 / タクシー運賃",【ピボット】事業所売上!$A$3,"年月",$A200,"事業所コード",$B200,"事業所",$C200)*5.1%,0),0))</f>
        <v>0</v>
      </c>
      <c r="R200" s="643">
        <v>0</v>
      </c>
      <c r="S200" s="643">
        <v>0</v>
      </c>
      <c r="T200" s="643">
        <v>0</v>
      </c>
      <c r="U200" s="644">
        <f t="shared" si="15"/>
        <v>0</v>
      </c>
      <c r="V200" s="643">
        <v>0</v>
      </c>
      <c r="W200" s="643">
        <v>0</v>
      </c>
      <c r="X200" s="643">
        <v>0</v>
      </c>
      <c r="Y200" s="643">
        <v>0</v>
      </c>
    </row>
    <row r="201" spans="1:25" x14ac:dyDescent="0.15">
      <c r="A201" s="642">
        <v>43040</v>
      </c>
      <c r="B201" s="640" t="str">
        <f t="shared" ca="1" si="12"/>
        <v>07</v>
      </c>
      <c r="C201" s="639" t="s">
        <v>119</v>
      </c>
      <c r="D201" s="644">
        <f ca="1">IF(A201="","",IFERROR(GETPIVOTDATA("合計 / 合計",【ピボット】事業所売上!$A$3,"年月",$A201,"事業所コード",$B201,"事業所",$C201),0))</f>
        <v>1225409</v>
      </c>
      <c r="E201" s="643">
        <v>344537</v>
      </c>
      <c r="F201" s="643">
        <v>50000</v>
      </c>
      <c r="G201" s="643">
        <v>0</v>
      </c>
      <c r="H201" s="643">
        <v>0</v>
      </c>
      <c r="I201" s="643">
        <v>23522</v>
      </c>
      <c r="J201" s="643">
        <v>0</v>
      </c>
      <c r="K201" s="644">
        <f t="shared" si="13"/>
        <v>418059</v>
      </c>
      <c r="L201" s="680">
        <v>155938</v>
      </c>
      <c r="M201" s="643">
        <v>0</v>
      </c>
      <c r="N201" s="644">
        <f t="shared" si="14"/>
        <v>155938</v>
      </c>
      <c r="O201" s="643">
        <v>0</v>
      </c>
      <c r="P201" s="643">
        <v>0</v>
      </c>
      <c r="Q201" s="644">
        <f>IF($A201="","",IF(AND($C201="白金タクシー",$A201&gt;=DATE(2017,9,1)),ROUND(GETPIVOTDATA("合計 / タクシー運賃",【ピボット】事業所売上!$A$3,"年月",$A201,"事業所コード",$B201,"事業所",$C201)*5.1%,0),0))</f>
        <v>0</v>
      </c>
      <c r="R201" s="643">
        <v>0</v>
      </c>
      <c r="S201" s="643">
        <v>0</v>
      </c>
      <c r="T201" s="643">
        <v>0</v>
      </c>
      <c r="U201" s="644">
        <f t="shared" si="15"/>
        <v>0</v>
      </c>
      <c r="V201" s="643">
        <v>0</v>
      </c>
      <c r="W201" s="643">
        <v>0</v>
      </c>
      <c r="X201" s="643">
        <v>0</v>
      </c>
      <c r="Y201" s="643">
        <v>0</v>
      </c>
    </row>
    <row r="202" spans="1:25" x14ac:dyDescent="0.15">
      <c r="A202" s="642">
        <v>43040</v>
      </c>
      <c r="B202" s="640" t="str">
        <f t="shared" ca="1" si="12"/>
        <v>08</v>
      </c>
      <c r="C202" s="639" t="s">
        <v>189</v>
      </c>
      <c r="D202" s="644">
        <f ca="1">IF(A202="","",IFERROR(GETPIVOTDATA("合計 / 合計",【ピボット】事業所売上!$A$3,"年月",$A202,"事業所コード",$B202,"事業所",$C202),0))</f>
        <v>1000792</v>
      </c>
      <c r="E202" s="643">
        <v>282700</v>
      </c>
      <c r="F202" s="643">
        <v>50000</v>
      </c>
      <c r="G202" s="643">
        <v>0</v>
      </c>
      <c r="H202" s="643">
        <v>0</v>
      </c>
      <c r="I202" s="643">
        <v>0</v>
      </c>
      <c r="J202" s="643">
        <v>0</v>
      </c>
      <c r="K202" s="644">
        <f t="shared" si="13"/>
        <v>332700</v>
      </c>
      <c r="L202" s="680">
        <v>233991</v>
      </c>
      <c r="M202" s="643">
        <v>0</v>
      </c>
      <c r="N202" s="644">
        <f t="shared" si="14"/>
        <v>233991</v>
      </c>
      <c r="O202" s="643">
        <v>0</v>
      </c>
      <c r="P202" s="643">
        <v>0</v>
      </c>
      <c r="Q202" s="644">
        <f>IF($A202="","",IF(AND($C202="白金タクシー",$A202&gt;=DATE(2017,9,1)),ROUND(GETPIVOTDATA("合計 / タクシー運賃",【ピボット】事業所売上!$A$3,"年月",$A202,"事業所コード",$B202,"事業所",$C202)*5.1%,0),0))</f>
        <v>0</v>
      </c>
      <c r="R202" s="643">
        <v>0</v>
      </c>
      <c r="S202" s="643">
        <v>0</v>
      </c>
      <c r="T202" s="643">
        <v>0</v>
      </c>
      <c r="U202" s="644">
        <f t="shared" si="15"/>
        <v>0</v>
      </c>
      <c r="V202" s="643">
        <v>0</v>
      </c>
      <c r="W202" s="643">
        <v>0</v>
      </c>
      <c r="X202" s="643">
        <v>0</v>
      </c>
      <c r="Y202" s="643">
        <v>0</v>
      </c>
    </row>
    <row r="203" spans="1:25" x14ac:dyDescent="0.15">
      <c r="A203" s="642">
        <v>43040</v>
      </c>
      <c r="B203" s="640" t="str">
        <f t="shared" ca="1" si="12"/>
        <v>09</v>
      </c>
      <c r="C203" s="639" t="s">
        <v>329</v>
      </c>
      <c r="D203" s="644">
        <f ca="1">IF(A203="","",IFERROR(GETPIVOTDATA("合計 / 合計",【ピボット】事業所売上!$A$3,"年月",$A203,"事業所コード",$B203,"事業所",$C203),0))</f>
        <v>2705860</v>
      </c>
      <c r="E203" s="643">
        <v>680775</v>
      </c>
      <c r="F203" s="643">
        <v>0</v>
      </c>
      <c r="G203" s="643">
        <v>0</v>
      </c>
      <c r="H203" s="643">
        <v>0</v>
      </c>
      <c r="I203" s="643">
        <v>29775</v>
      </c>
      <c r="J203" s="643">
        <v>0</v>
      </c>
      <c r="K203" s="644">
        <f t="shared" si="13"/>
        <v>710550</v>
      </c>
      <c r="L203" s="680">
        <v>688081</v>
      </c>
      <c r="M203" s="643">
        <v>0</v>
      </c>
      <c r="N203" s="644">
        <f t="shared" si="14"/>
        <v>688081</v>
      </c>
      <c r="O203" s="643">
        <v>0</v>
      </c>
      <c r="P203" s="643">
        <v>0</v>
      </c>
      <c r="Q203" s="644">
        <f>IF($A203="","",IF(AND($C203="白金タクシー",$A203&gt;=DATE(2017,9,1)),ROUND(GETPIVOTDATA("合計 / タクシー運賃",【ピボット】事業所売上!$A$3,"年月",$A203,"事業所コード",$B203,"事業所",$C203)*5.1%,0),0))</f>
        <v>0</v>
      </c>
      <c r="R203" s="643">
        <v>0</v>
      </c>
      <c r="S203" s="643">
        <v>0</v>
      </c>
      <c r="T203" s="643">
        <v>0</v>
      </c>
      <c r="U203" s="644">
        <f t="shared" si="15"/>
        <v>0</v>
      </c>
      <c r="V203" s="643">
        <v>0</v>
      </c>
      <c r="W203" s="643">
        <v>0</v>
      </c>
      <c r="X203" s="643">
        <v>0</v>
      </c>
      <c r="Y203" s="643">
        <v>0</v>
      </c>
    </row>
    <row r="204" spans="1:25" x14ac:dyDescent="0.15">
      <c r="A204" s="642">
        <v>43040</v>
      </c>
      <c r="B204" s="640" t="str">
        <f t="shared" ca="1" si="12"/>
        <v>10</v>
      </c>
      <c r="C204" s="639" t="s">
        <v>336</v>
      </c>
      <c r="D204" s="644">
        <f ca="1">IF(A204="","",IFERROR(GETPIVOTDATA("合計 / 合計",【ピボット】事業所売上!$A$3,"年月",$A204,"事業所コード",$B204,"事業所",$C204),0))</f>
        <v>3133826</v>
      </c>
      <c r="E204" s="643">
        <v>596852</v>
      </c>
      <c r="F204" s="643">
        <v>950404</v>
      </c>
      <c r="G204" s="643">
        <v>0</v>
      </c>
      <c r="H204" s="643">
        <v>0</v>
      </c>
      <c r="I204" s="643">
        <v>147133</v>
      </c>
      <c r="J204" s="643">
        <v>0</v>
      </c>
      <c r="K204" s="644">
        <f t="shared" si="13"/>
        <v>1694389</v>
      </c>
      <c r="L204" s="680">
        <v>882358</v>
      </c>
      <c r="M204" s="643">
        <v>0</v>
      </c>
      <c r="N204" s="644">
        <f t="shared" si="14"/>
        <v>882358</v>
      </c>
      <c r="O204" s="643">
        <v>25500</v>
      </c>
      <c r="P204" s="643">
        <v>0</v>
      </c>
      <c r="Q204" s="644">
        <f ca="1">IF($A204="","",IF(AND($C204="白金タクシー",$A204&gt;=DATE(2017,9,1)),ROUND(GETPIVOTDATA("合計 / タクシー運賃",【ピボット】事業所売上!$A$3,"年月",$A204,"事業所コード",$B204,"事業所",$C204)*5.1%,0),0))</f>
        <v>78013</v>
      </c>
      <c r="R204" s="643">
        <v>0</v>
      </c>
      <c r="S204" s="643">
        <v>0</v>
      </c>
      <c r="T204" s="643">
        <v>0</v>
      </c>
      <c r="U204" s="644">
        <f t="shared" si="15"/>
        <v>0</v>
      </c>
      <c r="V204" s="643">
        <v>0</v>
      </c>
      <c r="W204" s="643">
        <v>0</v>
      </c>
      <c r="X204" s="643">
        <v>0</v>
      </c>
      <c r="Y204" s="643">
        <v>0</v>
      </c>
    </row>
    <row r="205" spans="1:25" x14ac:dyDescent="0.15">
      <c r="A205" s="642">
        <f>EDATE(A204,1)</f>
        <v>43070</v>
      </c>
      <c r="B205" s="640" t="str">
        <f t="shared" ca="1" si="12"/>
        <v>00</v>
      </c>
      <c r="C205" s="639" t="s">
        <v>490</v>
      </c>
      <c r="D205" s="644">
        <f ca="1">IF(A205="","",IFERROR(GETPIVOTDATA("合計 / 合計",【ピボット】事業所売上!$A$3,"年月",$A205,"事業所コード",$B205,"事業所",$C205),0))</f>
        <v>0</v>
      </c>
      <c r="E205" s="643">
        <v>0</v>
      </c>
      <c r="F205" s="643">
        <v>931293</v>
      </c>
      <c r="G205" s="643">
        <v>1398875</v>
      </c>
      <c r="H205" s="643">
        <v>2500000</v>
      </c>
      <c r="I205" s="643">
        <v>-52948.242243558198</v>
      </c>
      <c r="J205" s="643">
        <v>710430</v>
      </c>
      <c r="K205" s="644">
        <f t="shared" si="13"/>
        <v>5487649.7577564418</v>
      </c>
      <c r="L205" s="680">
        <v>2104595</v>
      </c>
      <c r="M205" s="643">
        <v>0</v>
      </c>
      <c r="N205" s="644">
        <f t="shared" si="14"/>
        <v>2104595</v>
      </c>
      <c r="O205" s="643">
        <v>0</v>
      </c>
      <c r="P205" s="643">
        <v>0</v>
      </c>
      <c r="Q205" s="644">
        <f>IF($A205="","",IF(AND($C205="白金タクシー",$A205&gt;=DATE(2017,9,1)),ROUND(GETPIVOTDATA("合計 / タクシー運賃",【ピボット】事業所売上!$A$3,"年月",$A205,"事業所コード",$B205,"事業所",$C205)*5.1%,0),0))</f>
        <v>0</v>
      </c>
      <c r="R205" s="643">
        <v>0</v>
      </c>
      <c r="S205" s="643">
        <v>0</v>
      </c>
      <c r="T205" s="643">
        <v>0</v>
      </c>
      <c r="U205" s="644">
        <f t="shared" si="15"/>
        <v>0</v>
      </c>
      <c r="V205" s="643">
        <v>210977</v>
      </c>
      <c r="W205" s="643">
        <v>353206</v>
      </c>
      <c r="X205" s="643">
        <v>0</v>
      </c>
      <c r="Y205" s="643">
        <v>0</v>
      </c>
    </row>
    <row r="206" spans="1:25" x14ac:dyDescent="0.15">
      <c r="A206" s="642">
        <v>43070</v>
      </c>
      <c r="B206" s="640" t="str">
        <f t="shared" ca="1" si="12"/>
        <v>01</v>
      </c>
      <c r="C206" s="639" t="s">
        <v>34</v>
      </c>
      <c r="D206" s="644">
        <f ca="1">IF(A206="","",IFERROR(GETPIVOTDATA("合計 / 合計",【ピボット】事業所売上!$A$3,"年月",$A206,"事業所コード",$B206,"事業所",$C206),0))</f>
        <v>10007332</v>
      </c>
      <c r="E206" s="643">
        <v>3446593</v>
      </c>
      <c r="F206" s="643">
        <v>1976032</v>
      </c>
      <c r="G206" s="643">
        <v>3800875</v>
      </c>
      <c r="H206" s="643">
        <v>0</v>
      </c>
      <c r="I206" s="643">
        <v>-50421.419093419929</v>
      </c>
      <c r="J206" s="643">
        <v>73335</v>
      </c>
      <c r="K206" s="644">
        <f t="shared" si="13"/>
        <v>9246413.5809065793</v>
      </c>
      <c r="L206" s="680">
        <v>1226343</v>
      </c>
      <c r="M206" s="643">
        <v>0</v>
      </c>
      <c r="N206" s="644">
        <f t="shared" si="14"/>
        <v>1226343</v>
      </c>
      <c r="O206" s="643">
        <v>48600</v>
      </c>
      <c r="P206" s="643">
        <v>0</v>
      </c>
      <c r="Q206" s="644">
        <f>IF($A206="","",IF(AND($C206="白金タクシー",$A206&gt;=DATE(2017,9,1)),ROUND(GETPIVOTDATA("合計 / タクシー運賃",【ピボット】事業所売上!$A$3,"年月",$A206,"事業所コード",$B206,"事業所",$C206)*5.1%,0),0))</f>
        <v>0</v>
      </c>
      <c r="R206" s="643">
        <v>0</v>
      </c>
      <c r="S206" s="643">
        <v>0</v>
      </c>
      <c r="T206" s="643">
        <v>0</v>
      </c>
      <c r="U206" s="644">
        <f t="shared" si="15"/>
        <v>0</v>
      </c>
      <c r="V206" s="643">
        <v>0</v>
      </c>
      <c r="W206" s="643">
        <v>0</v>
      </c>
      <c r="X206" s="643">
        <v>0</v>
      </c>
      <c r="Y206" s="643">
        <v>0</v>
      </c>
    </row>
    <row r="207" spans="1:25" x14ac:dyDescent="0.15">
      <c r="A207" s="642">
        <v>43070</v>
      </c>
      <c r="B207" s="640" t="str">
        <f t="shared" ca="1" si="12"/>
        <v>02</v>
      </c>
      <c r="C207" s="639" t="s">
        <v>37</v>
      </c>
      <c r="D207" s="644">
        <f ca="1">IF(A207="","",IFERROR(GETPIVOTDATA("合計 / 合計",【ピボット】事業所売上!$A$3,"年月",$A207,"事業所コード",$B207,"事業所",$C207),0))</f>
        <v>5963920</v>
      </c>
      <c r="E207" s="643">
        <v>1316877</v>
      </c>
      <c r="F207" s="643">
        <v>2260418</v>
      </c>
      <c r="G207" s="643">
        <v>3385000</v>
      </c>
      <c r="H207" s="643">
        <v>0</v>
      </c>
      <c r="I207" s="643">
        <v>-66173.033578658826</v>
      </c>
      <c r="J207" s="643">
        <v>0</v>
      </c>
      <c r="K207" s="644">
        <f t="shared" si="13"/>
        <v>6896121.9664213415</v>
      </c>
      <c r="L207" s="680">
        <v>894494</v>
      </c>
      <c r="M207" s="643">
        <v>0</v>
      </c>
      <c r="N207" s="644">
        <f t="shared" si="14"/>
        <v>894494</v>
      </c>
      <c r="O207" s="643">
        <v>47952</v>
      </c>
      <c r="P207" s="643">
        <v>0</v>
      </c>
      <c r="Q207" s="644">
        <f>IF($A207="","",IF(AND($C207="白金タクシー",$A207&gt;=DATE(2017,9,1)),ROUND(GETPIVOTDATA("合計 / タクシー運賃",【ピボット】事業所売上!$A$3,"年月",$A207,"事業所コード",$B207,"事業所",$C207)*5.1%,0),0))</f>
        <v>0</v>
      </c>
      <c r="R207" s="643">
        <v>0</v>
      </c>
      <c r="S207" s="643">
        <v>0</v>
      </c>
      <c r="T207" s="643">
        <v>0</v>
      </c>
      <c r="U207" s="644">
        <f t="shared" si="15"/>
        <v>0</v>
      </c>
      <c r="V207" s="643">
        <v>0</v>
      </c>
      <c r="W207" s="643">
        <v>0</v>
      </c>
      <c r="X207" s="643">
        <v>0</v>
      </c>
      <c r="Y207" s="643">
        <v>0</v>
      </c>
    </row>
    <row r="208" spans="1:25" x14ac:dyDescent="0.15">
      <c r="A208" s="642">
        <v>43070</v>
      </c>
      <c r="B208" s="640" t="str">
        <f t="shared" ca="1" si="12"/>
        <v>03</v>
      </c>
      <c r="C208" s="639" t="s">
        <v>66</v>
      </c>
      <c r="D208" s="644">
        <f ca="1">IF(A208="","",IFERROR(GETPIVOTDATA("合計 / 合計",【ピボット】事業所売上!$A$3,"年月",$A208,"事業所コード",$B208,"事業所",$C208),0))</f>
        <v>5629984</v>
      </c>
      <c r="E208" s="643">
        <v>1864962</v>
      </c>
      <c r="F208" s="643">
        <v>1333245</v>
      </c>
      <c r="G208" s="643">
        <v>2770000</v>
      </c>
      <c r="H208" s="643">
        <v>0</v>
      </c>
      <c r="I208" s="643">
        <v>-39239.055500687333</v>
      </c>
      <c r="J208" s="643">
        <v>123018</v>
      </c>
      <c r="K208" s="644">
        <f t="shared" si="13"/>
        <v>6051985.9444993129</v>
      </c>
      <c r="L208" s="680">
        <v>997975</v>
      </c>
      <c r="M208" s="643">
        <v>0</v>
      </c>
      <c r="N208" s="644">
        <f t="shared" si="14"/>
        <v>997975</v>
      </c>
      <c r="O208" s="643">
        <v>32400</v>
      </c>
      <c r="P208" s="643">
        <v>0</v>
      </c>
      <c r="Q208" s="644">
        <f>IF($A208="","",IF(AND($C208="白金タクシー",$A208&gt;=DATE(2017,9,1)),ROUND(GETPIVOTDATA("合計 / タクシー運賃",【ピボット】事業所売上!$A$3,"年月",$A208,"事業所コード",$B208,"事業所",$C208)*5.1%,0),0))</f>
        <v>0</v>
      </c>
      <c r="R208" s="643">
        <v>0</v>
      </c>
      <c r="S208" s="643">
        <v>0</v>
      </c>
      <c r="T208" s="643">
        <v>0</v>
      </c>
      <c r="U208" s="644">
        <f t="shared" si="15"/>
        <v>0</v>
      </c>
      <c r="V208" s="643">
        <v>0</v>
      </c>
      <c r="W208" s="643">
        <v>0</v>
      </c>
      <c r="X208" s="643">
        <v>0</v>
      </c>
      <c r="Y208" s="643">
        <v>0</v>
      </c>
    </row>
    <row r="209" spans="1:25" x14ac:dyDescent="0.15">
      <c r="A209" s="642">
        <v>43070</v>
      </c>
      <c r="B209" s="640" t="str">
        <f t="shared" ca="1" si="12"/>
        <v>04</v>
      </c>
      <c r="C209" s="639" t="s">
        <v>358</v>
      </c>
      <c r="D209" s="644">
        <f ca="1">IF(A209="","",IFERROR(GETPIVOTDATA("合計 / 合計",【ピボット】事業所売上!$A$3,"年月",$A209,"事業所コード",$B209,"事業所",$C209),0))</f>
        <v>3292348</v>
      </c>
      <c r="E209" s="643">
        <v>1239285</v>
      </c>
      <c r="F209" s="643">
        <v>824685</v>
      </c>
      <c r="G209" s="643">
        <v>180000</v>
      </c>
      <c r="H209" s="643">
        <v>0</v>
      </c>
      <c r="I209" s="643">
        <v>-22669.38640245752</v>
      </c>
      <c r="J209" s="643">
        <v>0</v>
      </c>
      <c r="K209" s="644">
        <f t="shared" si="13"/>
        <v>2221300.6135975425</v>
      </c>
      <c r="L209" s="680">
        <v>1042803</v>
      </c>
      <c r="M209" s="643">
        <v>0</v>
      </c>
      <c r="N209" s="644">
        <f t="shared" si="14"/>
        <v>1042803</v>
      </c>
      <c r="O209" s="643">
        <v>46440</v>
      </c>
      <c r="P209" s="643">
        <v>0</v>
      </c>
      <c r="Q209" s="644">
        <f>IF($A209="","",IF(AND($C209="白金タクシー",$A209&gt;=DATE(2017,9,1)),ROUND(GETPIVOTDATA("合計 / タクシー運賃",【ピボット】事業所売上!$A$3,"年月",$A209,"事業所コード",$B209,"事業所",$C209)*5.1%,0),0))</f>
        <v>0</v>
      </c>
      <c r="R209" s="643">
        <v>0</v>
      </c>
      <c r="S209" s="643">
        <v>0</v>
      </c>
      <c r="T209" s="643">
        <v>0</v>
      </c>
      <c r="U209" s="644">
        <f t="shared" si="15"/>
        <v>0</v>
      </c>
      <c r="V209" s="643">
        <v>0</v>
      </c>
      <c r="W209" s="643">
        <v>0</v>
      </c>
      <c r="X209" s="643">
        <v>0</v>
      </c>
      <c r="Y209" s="643">
        <v>0</v>
      </c>
    </row>
    <row r="210" spans="1:25" x14ac:dyDescent="0.15">
      <c r="A210" s="642">
        <v>43070</v>
      </c>
      <c r="B210" s="640" t="str">
        <f t="shared" ca="1" si="12"/>
        <v>05</v>
      </c>
      <c r="C210" s="639" t="s">
        <v>38</v>
      </c>
      <c r="D210" s="644">
        <f ca="1">IF(A210="","",IFERROR(GETPIVOTDATA("合計 / 合計",【ピボット】事業所売上!$A$3,"年月",$A210,"事業所コード",$B210,"事業所",$C210),0))</f>
        <v>2853536</v>
      </c>
      <c r="E210" s="643">
        <v>1212496</v>
      </c>
      <c r="F210" s="643">
        <v>658000</v>
      </c>
      <c r="G210" s="643">
        <v>475000</v>
      </c>
      <c r="H210" s="643">
        <v>0</v>
      </c>
      <c r="I210" s="643">
        <v>-14289.186507437851</v>
      </c>
      <c r="J210" s="643">
        <v>0</v>
      </c>
      <c r="K210" s="644">
        <f t="shared" si="13"/>
        <v>2331206.8134925622</v>
      </c>
      <c r="L210" s="680">
        <v>582653</v>
      </c>
      <c r="M210" s="643">
        <v>0</v>
      </c>
      <c r="N210" s="644">
        <f t="shared" si="14"/>
        <v>582653</v>
      </c>
      <c r="O210" s="643">
        <v>0</v>
      </c>
      <c r="P210" s="643">
        <v>0</v>
      </c>
      <c r="Q210" s="644">
        <f>IF($A210="","",IF(AND($C210="白金タクシー",$A210&gt;=DATE(2017,9,1)),ROUND(GETPIVOTDATA("合計 / タクシー運賃",【ピボット】事業所売上!$A$3,"年月",$A210,"事業所コード",$B210,"事業所",$C210)*5.1%,0),0))</f>
        <v>0</v>
      </c>
      <c r="R210" s="643">
        <v>0</v>
      </c>
      <c r="S210" s="643">
        <v>0</v>
      </c>
      <c r="T210" s="643">
        <v>0</v>
      </c>
      <c r="U210" s="644">
        <f t="shared" si="15"/>
        <v>0</v>
      </c>
      <c r="V210" s="643">
        <v>0</v>
      </c>
      <c r="W210" s="643">
        <v>0</v>
      </c>
      <c r="X210" s="643">
        <v>0</v>
      </c>
      <c r="Y210" s="643">
        <v>0</v>
      </c>
    </row>
    <row r="211" spans="1:25" x14ac:dyDescent="0.15">
      <c r="A211" s="642">
        <v>43070</v>
      </c>
      <c r="B211" s="640" t="str">
        <f t="shared" ca="1" si="12"/>
        <v>07</v>
      </c>
      <c r="C211" s="639" t="s">
        <v>119</v>
      </c>
      <c r="D211" s="644">
        <f ca="1">IF(A211="","",IFERROR(GETPIVOTDATA("合計 / 合計",【ピボット】事業所売上!$A$3,"年月",$A211,"事業所コード",$B211,"事業所",$C211),0))</f>
        <v>1036248</v>
      </c>
      <c r="E211" s="643">
        <v>371908</v>
      </c>
      <c r="F211" s="643">
        <v>50000</v>
      </c>
      <c r="G211" s="643">
        <v>0</v>
      </c>
      <c r="H211" s="643">
        <v>0</v>
      </c>
      <c r="I211" s="643">
        <v>-3461.9344628663694</v>
      </c>
      <c r="J211" s="643">
        <v>0</v>
      </c>
      <c r="K211" s="644">
        <f t="shared" si="13"/>
        <v>418446.0655371336</v>
      </c>
      <c r="L211" s="680">
        <v>154535</v>
      </c>
      <c r="M211" s="643">
        <v>0</v>
      </c>
      <c r="N211" s="644">
        <f t="shared" si="14"/>
        <v>154535</v>
      </c>
      <c r="O211" s="643">
        <v>0</v>
      </c>
      <c r="P211" s="643">
        <v>0</v>
      </c>
      <c r="Q211" s="644">
        <f>IF($A211="","",IF(AND($C211="白金タクシー",$A211&gt;=DATE(2017,9,1)),ROUND(GETPIVOTDATA("合計 / タクシー運賃",【ピボット】事業所売上!$A$3,"年月",$A211,"事業所コード",$B211,"事業所",$C211)*5.1%,0),0))</f>
        <v>0</v>
      </c>
      <c r="R211" s="643">
        <v>0</v>
      </c>
      <c r="S211" s="643">
        <v>0</v>
      </c>
      <c r="T211" s="643">
        <v>0</v>
      </c>
      <c r="U211" s="644">
        <f t="shared" si="15"/>
        <v>0</v>
      </c>
      <c r="V211" s="643">
        <v>0</v>
      </c>
      <c r="W211" s="643">
        <v>0</v>
      </c>
      <c r="X211" s="643">
        <v>0</v>
      </c>
      <c r="Y211" s="643">
        <v>0</v>
      </c>
    </row>
    <row r="212" spans="1:25" x14ac:dyDescent="0.15">
      <c r="A212" s="642">
        <v>43070</v>
      </c>
      <c r="B212" s="640" t="str">
        <f t="shared" ca="1" si="12"/>
        <v>08</v>
      </c>
      <c r="C212" s="639" t="s">
        <v>189</v>
      </c>
      <c r="D212" s="644">
        <f ca="1">IF(A212="","",IFERROR(GETPIVOTDATA("合計 / 合計",【ピボット】事業所売上!$A$3,"年月",$A212,"事業所コード",$B212,"事業所",$C212),0))</f>
        <v>1061492</v>
      </c>
      <c r="E212" s="643">
        <v>316550</v>
      </c>
      <c r="F212" s="643">
        <v>50000</v>
      </c>
      <c r="G212" s="643">
        <v>0</v>
      </c>
      <c r="H212" s="643">
        <v>0</v>
      </c>
      <c r="I212" s="643">
        <v>0</v>
      </c>
      <c r="J212" s="643">
        <v>0</v>
      </c>
      <c r="K212" s="644">
        <f t="shared" si="13"/>
        <v>366550</v>
      </c>
      <c r="L212" s="680">
        <v>175504</v>
      </c>
      <c r="M212" s="643">
        <v>0</v>
      </c>
      <c r="N212" s="644">
        <f t="shared" si="14"/>
        <v>175504</v>
      </c>
      <c r="O212" s="643">
        <v>0</v>
      </c>
      <c r="P212" s="643">
        <v>0</v>
      </c>
      <c r="Q212" s="644">
        <f>IF($A212="","",IF(AND($C212="白金タクシー",$A212&gt;=DATE(2017,9,1)),ROUND(GETPIVOTDATA("合計 / タクシー運賃",【ピボット】事業所売上!$A$3,"年月",$A212,"事業所コード",$B212,"事業所",$C212)*5.1%,0),0))</f>
        <v>0</v>
      </c>
      <c r="R212" s="643">
        <v>0</v>
      </c>
      <c r="S212" s="643">
        <v>0</v>
      </c>
      <c r="T212" s="643">
        <v>0</v>
      </c>
      <c r="U212" s="644">
        <f t="shared" si="15"/>
        <v>0</v>
      </c>
      <c r="V212" s="643">
        <v>0</v>
      </c>
      <c r="W212" s="643">
        <v>0</v>
      </c>
      <c r="X212" s="643">
        <v>0</v>
      </c>
      <c r="Y212" s="643">
        <v>0</v>
      </c>
    </row>
    <row r="213" spans="1:25" x14ac:dyDescent="0.15">
      <c r="A213" s="642">
        <v>43070</v>
      </c>
      <c r="B213" s="640" t="str">
        <f t="shared" ca="1" si="12"/>
        <v>09</v>
      </c>
      <c r="C213" s="639" t="s">
        <v>329</v>
      </c>
      <c r="D213" s="644">
        <f ca="1">IF(A213="","",IFERROR(GETPIVOTDATA("合計 / 合計",【ピボット】事業所売上!$A$3,"年月",$A213,"事業所コード",$B213,"事業所",$C213),0))</f>
        <v>2748469</v>
      </c>
      <c r="E213" s="643">
        <v>684955</v>
      </c>
      <c r="F213" s="643">
        <v>0</v>
      </c>
      <c r="G213" s="643">
        <v>0</v>
      </c>
      <c r="H213" s="643">
        <v>0</v>
      </c>
      <c r="I213" s="643">
        <v>-4366.7289966918415</v>
      </c>
      <c r="J213" s="643">
        <v>0</v>
      </c>
      <c r="K213" s="644">
        <f t="shared" si="13"/>
        <v>680588.27100330812</v>
      </c>
      <c r="L213" s="680">
        <v>606874</v>
      </c>
      <c r="M213" s="643">
        <v>0</v>
      </c>
      <c r="N213" s="644">
        <f t="shared" si="14"/>
        <v>606874</v>
      </c>
      <c r="O213" s="643">
        <v>0</v>
      </c>
      <c r="P213" s="643">
        <v>0</v>
      </c>
      <c r="Q213" s="644">
        <f>IF($A213="","",IF(AND($C213="白金タクシー",$A213&gt;=DATE(2017,9,1)),ROUND(GETPIVOTDATA("合計 / タクシー運賃",【ピボット】事業所売上!$A$3,"年月",$A213,"事業所コード",$B213,"事業所",$C213)*5.1%,0),0))</f>
        <v>0</v>
      </c>
      <c r="R213" s="643">
        <v>0</v>
      </c>
      <c r="S213" s="643">
        <v>0</v>
      </c>
      <c r="T213" s="643">
        <v>0</v>
      </c>
      <c r="U213" s="644">
        <f t="shared" si="15"/>
        <v>0</v>
      </c>
      <c r="V213" s="643">
        <v>0</v>
      </c>
      <c r="W213" s="643">
        <v>0</v>
      </c>
      <c r="X213" s="643">
        <v>0</v>
      </c>
      <c r="Y213" s="643">
        <v>0</v>
      </c>
    </row>
    <row r="214" spans="1:25" x14ac:dyDescent="0.15">
      <c r="A214" s="642">
        <v>43070</v>
      </c>
      <c r="B214" s="640" t="str">
        <f t="shared" ca="1" si="12"/>
        <v>10</v>
      </c>
      <c r="C214" s="639" t="s">
        <v>336</v>
      </c>
      <c r="D214" s="644">
        <f ca="1">IF(A214="","",IFERROR(GETPIVOTDATA("合計 / 合計",【ピボット】事業所売上!$A$3,"年月",$A214,"事業所コード",$B214,"事業所",$C214),0))</f>
        <v>3119675</v>
      </c>
      <c r="E214" s="643">
        <v>581761</v>
      </c>
      <c r="F214" s="643">
        <v>922255</v>
      </c>
      <c r="G214" s="643">
        <v>380000</v>
      </c>
      <c r="H214" s="643">
        <v>0</v>
      </c>
      <c r="I214" s="643">
        <v>-21590.013214222141</v>
      </c>
      <c r="J214" s="643">
        <v>0</v>
      </c>
      <c r="K214" s="644">
        <f t="shared" si="13"/>
        <v>1862425.9867857778</v>
      </c>
      <c r="L214" s="680">
        <v>1022330</v>
      </c>
      <c r="M214" s="643">
        <v>0</v>
      </c>
      <c r="N214" s="644">
        <f t="shared" si="14"/>
        <v>1022330</v>
      </c>
      <c r="O214" s="643">
        <v>24300</v>
      </c>
      <c r="P214" s="643">
        <v>0</v>
      </c>
      <c r="Q214" s="644">
        <f ca="1">IF($A214="","",IF(AND($C214="白金タクシー",$A214&gt;=DATE(2017,9,1)),ROUND(GETPIVOTDATA("合計 / タクシー運賃",【ピボット】事業所売上!$A$3,"年月",$A214,"事業所コード",$B214,"事業所",$C214)*5.1%,0),0))</f>
        <v>77744</v>
      </c>
      <c r="R214" s="643">
        <v>0</v>
      </c>
      <c r="S214" s="643">
        <v>0</v>
      </c>
      <c r="T214" s="643">
        <v>0</v>
      </c>
      <c r="U214" s="644">
        <f t="shared" si="15"/>
        <v>0</v>
      </c>
      <c r="V214" s="643">
        <v>0</v>
      </c>
      <c r="W214" s="643">
        <v>0</v>
      </c>
      <c r="X214" s="643">
        <v>0</v>
      </c>
      <c r="Y214" s="643">
        <v>0</v>
      </c>
    </row>
    <row r="215" spans="1:25" x14ac:dyDescent="0.15">
      <c r="A215" s="642">
        <v>43101</v>
      </c>
      <c r="B215" s="640" t="str">
        <f t="shared" ca="1" si="12"/>
        <v>00</v>
      </c>
      <c r="C215" s="639" t="s">
        <v>490</v>
      </c>
      <c r="D215" s="644">
        <f ca="1">IF(A215="","",IFERROR(GETPIVOTDATA("合計 / 合計",【ピボット】事業所売上!$A$3,"年月",$A215,"事業所コード",$B215,"事業所",$C215),0))</f>
        <v>0</v>
      </c>
      <c r="E215" s="643">
        <v>0</v>
      </c>
      <c r="F215" s="643">
        <v>938933</v>
      </c>
      <c r="G215" s="643">
        <v>0</v>
      </c>
      <c r="H215" s="643">
        <v>2500000</v>
      </c>
      <c r="I215" s="643">
        <v>1133738</v>
      </c>
      <c r="J215" s="643">
        <v>-62860</v>
      </c>
      <c r="K215" s="644">
        <f t="shared" si="13"/>
        <v>4509811</v>
      </c>
      <c r="L215" s="680">
        <v>2318665</v>
      </c>
      <c r="M215" s="643">
        <v>0</v>
      </c>
      <c r="N215" s="644">
        <f t="shared" si="14"/>
        <v>2318665</v>
      </c>
      <c r="O215" s="643">
        <v>81000</v>
      </c>
      <c r="P215" s="643">
        <v>0</v>
      </c>
      <c r="Q215" s="644">
        <f>IF($A215="","",IF(AND($C215="白金タクシー",$A215&gt;=DATE(2017,9,1)),ROUND(GETPIVOTDATA("合計 / タクシー運賃",【ピボット】事業所売上!$A$3,"年月",$A215,"事業所コード",$B215,"事業所",$C215)*5.1%,0),0))</f>
        <v>0</v>
      </c>
      <c r="R215" s="643">
        <v>0</v>
      </c>
      <c r="S215" s="643">
        <v>0</v>
      </c>
      <c r="T215" s="643">
        <v>0</v>
      </c>
      <c r="U215" s="644">
        <f t="shared" si="15"/>
        <v>0</v>
      </c>
      <c r="V215" s="643">
        <v>111637</v>
      </c>
      <c r="W215" s="643">
        <v>490477</v>
      </c>
      <c r="X215" s="643">
        <v>0</v>
      </c>
      <c r="Y215" s="643">
        <v>0</v>
      </c>
    </row>
    <row r="216" spans="1:25" x14ac:dyDescent="0.15">
      <c r="A216" s="642">
        <v>43101</v>
      </c>
      <c r="B216" s="640" t="str">
        <f t="shared" ca="1" si="12"/>
        <v>01</v>
      </c>
      <c r="C216" s="639" t="s">
        <v>34</v>
      </c>
      <c r="D216" s="644">
        <f ca="1">IF(A216="","",IFERROR(GETPIVOTDATA("合計 / 合計",【ピボット】事業所売上!$A$3,"年月",$A216,"事業所コード",$B216,"事業所",$C216),0))</f>
        <v>10050857</v>
      </c>
      <c r="E216" s="643">
        <v>3471506</v>
      </c>
      <c r="F216" s="745">
        <f>1875046-300000</f>
        <v>1575046</v>
      </c>
      <c r="G216" s="643">
        <v>0</v>
      </c>
      <c r="H216" s="643">
        <v>0</v>
      </c>
      <c r="I216" s="745">
        <f>1078250-64914</f>
        <v>1013336</v>
      </c>
      <c r="J216" s="643">
        <v>58110</v>
      </c>
      <c r="K216" s="644">
        <f t="shared" si="13"/>
        <v>6117998</v>
      </c>
      <c r="L216" s="680">
        <v>748654</v>
      </c>
      <c r="M216" s="643">
        <v>0</v>
      </c>
      <c r="N216" s="644">
        <f t="shared" si="14"/>
        <v>748654</v>
      </c>
      <c r="O216" s="643">
        <v>25920</v>
      </c>
      <c r="P216" s="643">
        <v>0</v>
      </c>
      <c r="Q216" s="644">
        <f>IF($A216="","",IF(AND($C216="白金タクシー",$A216&gt;=DATE(2017,9,1)),ROUND(GETPIVOTDATA("合計 / タクシー運賃",【ピボット】事業所売上!$A$3,"年月",$A216,"事業所コード",$B216,"事業所",$C216)*5.1%,0),0))</f>
        <v>0</v>
      </c>
      <c r="R216" s="643">
        <v>0</v>
      </c>
      <c r="S216" s="643">
        <v>0</v>
      </c>
      <c r="T216" s="643">
        <v>0</v>
      </c>
      <c r="U216" s="644">
        <f t="shared" si="15"/>
        <v>0</v>
      </c>
      <c r="V216" s="643">
        <v>0</v>
      </c>
      <c r="W216" s="643">
        <v>0</v>
      </c>
      <c r="X216" s="643">
        <v>0</v>
      </c>
      <c r="Y216" s="643">
        <v>0</v>
      </c>
    </row>
    <row r="217" spans="1:25" x14ac:dyDescent="0.15">
      <c r="A217" s="642">
        <v>43101</v>
      </c>
      <c r="B217" s="640" t="str">
        <f t="shared" ca="1" si="12"/>
        <v>02</v>
      </c>
      <c r="C217" s="639" t="s">
        <v>37</v>
      </c>
      <c r="D217" s="644">
        <f ca="1">IF(A217="","",IFERROR(GETPIVOTDATA("合計 / 合計",【ピボット】事業所売上!$A$3,"年月",$A217,"事業所コード",$B217,"事業所",$C217),0))</f>
        <v>5489569</v>
      </c>
      <c r="E217" s="643">
        <v>1289087</v>
      </c>
      <c r="F217" s="643">
        <v>2246591</v>
      </c>
      <c r="G217" s="643">
        <v>0</v>
      </c>
      <c r="H217" s="643">
        <v>0</v>
      </c>
      <c r="I217" s="643">
        <v>1338312</v>
      </c>
      <c r="J217" s="643">
        <v>0</v>
      </c>
      <c r="K217" s="644">
        <f t="shared" si="13"/>
        <v>4873990</v>
      </c>
      <c r="L217" s="680">
        <v>973495</v>
      </c>
      <c r="M217" s="643">
        <v>0</v>
      </c>
      <c r="N217" s="644">
        <f t="shared" si="14"/>
        <v>973495</v>
      </c>
      <c r="O217" s="643">
        <v>47952</v>
      </c>
      <c r="P217" s="643">
        <v>0</v>
      </c>
      <c r="Q217" s="644">
        <f>IF($A217="","",IF(AND($C217="白金タクシー",$A217&gt;=DATE(2017,9,1)),ROUND(GETPIVOTDATA("合計 / タクシー運賃",【ピボット】事業所売上!$A$3,"年月",$A217,"事業所コード",$B217,"事業所",$C217)*5.1%,0),0))</f>
        <v>0</v>
      </c>
      <c r="R217" s="643">
        <v>0</v>
      </c>
      <c r="S217" s="643">
        <v>0</v>
      </c>
      <c r="T217" s="643">
        <v>0</v>
      </c>
      <c r="U217" s="644">
        <f t="shared" si="15"/>
        <v>0</v>
      </c>
      <c r="V217" s="643">
        <v>0</v>
      </c>
      <c r="W217" s="643">
        <v>0</v>
      </c>
      <c r="X217" s="643">
        <v>0</v>
      </c>
      <c r="Y217" s="643">
        <v>0</v>
      </c>
    </row>
    <row r="218" spans="1:25" x14ac:dyDescent="0.15">
      <c r="A218" s="642">
        <v>43101</v>
      </c>
      <c r="B218" s="640" t="str">
        <f t="shared" ca="1" si="12"/>
        <v>03</v>
      </c>
      <c r="C218" s="639" t="s">
        <v>66</v>
      </c>
      <c r="D218" s="644">
        <f ca="1">IF(A218="","",IFERROR(GETPIVOTDATA("合計 / 合計",【ピボット】事業所売上!$A$3,"年月",$A218,"事業所コード",$B218,"事業所",$C218),0))</f>
        <v>6168362</v>
      </c>
      <c r="E218" s="643">
        <v>2029268</v>
      </c>
      <c r="F218" s="643">
        <v>1339385</v>
      </c>
      <c r="G218" s="643">
        <v>0</v>
      </c>
      <c r="H218" s="643">
        <v>0</v>
      </c>
      <c r="I218" s="643">
        <v>839406</v>
      </c>
      <c r="J218" s="643">
        <v>996</v>
      </c>
      <c r="K218" s="644">
        <f t="shared" si="13"/>
        <v>4209055</v>
      </c>
      <c r="L218" s="680">
        <v>927618</v>
      </c>
      <c r="M218" s="643">
        <v>0</v>
      </c>
      <c r="N218" s="644">
        <f t="shared" si="14"/>
        <v>927618</v>
      </c>
      <c r="O218" s="643">
        <v>51840</v>
      </c>
      <c r="P218" s="643">
        <v>0</v>
      </c>
      <c r="Q218" s="644">
        <f>IF($A218="","",IF(AND($C218="白金タクシー",$A218&gt;=DATE(2017,9,1)),ROUND(GETPIVOTDATA("合計 / タクシー運賃",【ピボット】事業所売上!$A$3,"年月",$A218,"事業所コード",$B218,"事業所",$C218)*5.1%,0),0))</f>
        <v>0</v>
      </c>
      <c r="R218" s="643">
        <v>0</v>
      </c>
      <c r="S218" s="643">
        <v>0</v>
      </c>
      <c r="T218" s="643">
        <v>0</v>
      </c>
      <c r="U218" s="644">
        <f t="shared" si="15"/>
        <v>0</v>
      </c>
      <c r="V218" s="643">
        <v>0</v>
      </c>
      <c r="W218" s="643">
        <v>0</v>
      </c>
      <c r="X218" s="643">
        <v>0</v>
      </c>
      <c r="Y218" s="643">
        <v>0</v>
      </c>
    </row>
    <row r="219" spans="1:25" x14ac:dyDescent="0.15">
      <c r="A219" s="642">
        <v>43101</v>
      </c>
      <c r="B219" s="640" t="str">
        <f t="shared" ca="1" si="12"/>
        <v>04</v>
      </c>
      <c r="C219" s="639" t="s">
        <v>358</v>
      </c>
      <c r="D219" s="644">
        <f ca="1">IF(A219="","",IFERROR(GETPIVOTDATA("合計 / 合計",【ピボット】事業所売上!$A$3,"年月",$A219,"事業所コード",$B219,"事業所",$C219),0))</f>
        <v>3313516</v>
      </c>
      <c r="E219" s="643">
        <v>889857</v>
      </c>
      <c r="F219" s="643">
        <v>768212</v>
      </c>
      <c r="G219" s="643">
        <v>0</v>
      </c>
      <c r="H219" s="643">
        <v>0</v>
      </c>
      <c r="I219" s="643">
        <v>484249</v>
      </c>
      <c r="J219" s="643">
        <v>0</v>
      </c>
      <c r="K219" s="644">
        <f t="shared" si="13"/>
        <v>2142318</v>
      </c>
      <c r="L219" s="680">
        <v>1015011</v>
      </c>
      <c r="M219" s="643">
        <v>0</v>
      </c>
      <c r="N219" s="644">
        <f t="shared" si="14"/>
        <v>1015011</v>
      </c>
      <c r="O219" s="643">
        <v>0</v>
      </c>
      <c r="P219" s="643">
        <v>0</v>
      </c>
      <c r="Q219" s="644">
        <f>IF($A219="","",IF(AND($C219="白金タクシー",$A219&gt;=DATE(2017,9,1)),ROUND(GETPIVOTDATA("合計 / タクシー運賃",【ピボット】事業所売上!$A$3,"年月",$A219,"事業所コード",$B219,"事業所",$C219)*5.1%,0),0))</f>
        <v>0</v>
      </c>
      <c r="R219" s="643">
        <v>0</v>
      </c>
      <c r="S219" s="643">
        <v>0</v>
      </c>
      <c r="T219" s="643">
        <v>0</v>
      </c>
      <c r="U219" s="644">
        <f t="shared" si="15"/>
        <v>0</v>
      </c>
      <c r="V219" s="643">
        <v>0</v>
      </c>
      <c r="W219" s="643">
        <v>0</v>
      </c>
      <c r="X219" s="643">
        <v>0</v>
      </c>
      <c r="Y219" s="643">
        <v>0</v>
      </c>
    </row>
    <row r="220" spans="1:25" x14ac:dyDescent="0.15">
      <c r="A220" s="642">
        <v>43101</v>
      </c>
      <c r="B220" s="640" t="str">
        <f t="shared" ca="1" si="12"/>
        <v>05</v>
      </c>
      <c r="C220" s="639" t="s">
        <v>38</v>
      </c>
      <c r="D220" s="644">
        <f ca="1">IF(A220="","",IFERROR(GETPIVOTDATA("合計 / 合計",【ピボット】事業所売上!$A$3,"年月",$A220,"事業所コード",$B220,"事業所",$C220),0))</f>
        <v>2617181</v>
      </c>
      <c r="E220" s="643">
        <v>1143586</v>
      </c>
      <c r="F220" s="643">
        <v>693438</v>
      </c>
      <c r="G220" s="643">
        <v>0</v>
      </c>
      <c r="H220" s="643">
        <v>0</v>
      </c>
      <c r="I220" s="643">
        <v>305844</v>
      </c>
      <c r="J220" s="643">
        <v>0</v>
      </c>
      <c r="K220" s="644">
        <f t="shared" si="13"/>
        <v>2142868</v>
      </c>
      <c r="L220" s="680">
        <v>573594</v>
      </c>
      <c r="M220" s="643">
        <v>0</v>
      </c>
      <c r="N220" s="644">
        <f t="shared" si="14"/>
        <v>573594</v>
      </c>
      <c r="O220" s="643">
        <v>0</v>
      </c>
      <c r="P220" s="643">
        <v>0</v>
      </c>
      <c r="Q220" s="644">
        <f>IF($A220="","",IF(AND($C220="白金タクシー",$A220&gt;=DATE(2017,9,1)),ROUND(GETPIVOTDATA("合計 / タクシー運賃",【ピボット】事業所売上!$A$3,"年月",$A220,"事業所コード",$B220,"事業所",$C220)*5.1%,0),0))</f>
        <v>0</v>
      </c>
      <c r="R220" s="643">
        <v>0</v>
      </c>
      <c r="S220" s="643">
        <v>0</v>
      </c>
      <c r="T220" s="643">
        <v>0</v>
      </c>
      <c r="U220" s="644">
        <f t="shared" si="15"/>
        <v>0</v>
      </c>
      <c r="V220" s="643">
        <v>0</v>
      </c>
      <c r="W220" s="643">
        <v>0</v>
      </c>
      <c r="X220" s="643">
        <v>0</v>
      </c>
      <c r="Y220" s="643">
        <v>0</v>
      </c>
    </row>
    <row r="221" spans="1:25" x14ac:dyDescent="0.15">
      <c r="A221" s="642">
        <v>43101</v>
      </c>
      <c r="B221" s="640" t="str">
        <f t="shared" ca="1" si="12"/>
        <v>07</v>
      </c>
      <c r="C221" s="639" t="s">
        <v>119</v>
      </c>
      <c r="D221" s="644">
        <f ca="1">IF(A221="","",IFERROR(GETPIVOTDATA("合計 / 合計",【ピボット】事業所売上!$A$3,"年月",$A221,"事業所コード",$B221,"事業所",$C221),0))</f>
        <v>809040</v>
      </c>
      <c r="E221" s="643">
        <v>367250</v>
      </c>
      <c r="F221" s="643">
        <v>0</v>
      </c>
      <c r="G221" s="643">
        <v>0</v>
      </c>
      <c r="H221" s="643">
        <v>0</v>
      </c>
      <c r="I221" s="643">
        <v>73871</v>
      </c>
      <c r="J221" s="643">
        <v>0</v>
      </c>
      <c r="K221" s="644">
        <f t="shared" si="13"/>
        <v>441121</v>
      </c>
      <c r="L221" s="680">
        <v>134184</v>
      </c>
      <c r="M221" s="643">
        <v>0</v>
      </c>
      <c r="N221" s="644">
        <f t="shared" si="14"/>
        <v>134184</v>
      </c>
      <c r="O221" s="643">
        <v>0</v>
      </c>
      <c r="P221" s="643">
        <v>0</v>
      </c>
      <c r="Q221" s="644">
        <f>IF($A221="","",IF(AND($C221="白金タクシー",$A221&gt;=DATE(2017,9,1)),ROUND(GETPIVOTDATA("合計 / タクシー運賃",【ピボット】事業所売上!$A$3,"年月",$A221,"事業所コード",$B221,"事業所",$C221)*5.1%,0),0))</f>
        <v>0</v>
      </c>
      <c r="R221" s="643">
        <v>0</v>
      </c>
      <c r="S221" s="643">
        <v>0</v>
      </c>
      <c r="T221" s="643">
        <v>0</v>
      </c>
      <c r="U221" s="644">
        <f t="shared" si="15"/>
        <v>0</v>
      </c>
      <c r="V221" s="643">
        <v>0</v>
      </c>
      <c r="W221" s="643">
        <v>0</v>
      </c>
      <c r="X221" s="643">
        <v>0</v>
      </c>
      <c r="Y221" s="643">
        <v>0</v>
      </c>
    </row>
    <row r="222" spans="1:25" x14ac:dyDescent="0.15">
      <c r="A222" s="642">
        <v>43101</v>
      </c>
      <c r="B222" s="640" t="str">
        <f t="shared" ca="1" si="12"/>
        <v>08</v>
      </c>
      <c r="C222" s="639" t="s">
        <v>189</v>
      </c>
      <c r="D222" s="644">
        <f ca="1">IF(A222="","",IFERROR(GETPIVOTDATA("合計 / 合計",【ピボット】事業所売上!$A$3,"年月",$A222,"事業所コード",$B222,"事業所",$C222),0))</f>
        <v>1016092</v>
      </c>
      <c r="E222" s="643">
        <v>285100</v>
      </c>
      <c r="F222" s="643">
        <v>0</v>
      </c>
      <c r="G222" s="643">
        <v>0</v>
      </c>
      <c r="H222" s="643">
        <v>0</v>
      </c>
      <c r="I222" s="643">
        <v>0</v>
      </c>
      <c r="J222" s="643">
        <v>0</v>
      </c>
      <c r="K222" s="644">
        <f t="shared" si="13"/>
        <v>285100</v>
      </c>
      <c r="L222" s="680">
        <v>179603</v>
      </c>
      <c r="M222" s="643">
        <v>0</v>
      </c>
      <c r="N222" s="644">
        <f t="shared" si="14"/>
        <v>179603</v>
      </c>
      <c r="O222" s="643">
        <v>0</v>
      </c>
      <c r="P222" s="643">
        <v>0</v>
      </c>
      <c r="Q222" s="644">
        <f>IF($A222="","",IF(AND($C222="白金タクシー",$A222&gt;=DATE(2017,9,1)),ROUND(GETPIVOTDATA("合計 / タクシー運賃",【ピボット】事業所売上!$A$3,"年月",$A222,"事業所コード",$B222,"事業所",$C222)*5.1%,0),0))</f>
        <v>0</v>
      </c>
      <c r="R222" s="643">
        <v>0</v>
      </c>
      <c r="S222" s="643">
        <v>0</v>
      </c>
      <c r="T222" s="643">
        <v>0</v>
      </c>
      <c r="U222" s="644">
        <f t="shared" si="15"/>
        <v>0</v>
      </c>
      <c r="V222" s="643">
        <v>0</v>
      </c>
      <c r="W222" s="643">
        <v>0</v>
      </c>
      <c r="X222" s="643">
        <v>0</v>
      </c>
      <c r="Y222" s="643">
        <v>0</v>
      </c>
    </row>
    <row r="223" spans="1:25" x14ac:dyDescent="0.15">
      <c r="A223" s="642">
        <v>43101</v>
      </c>
      <c r="B223" s="640" t="str">
        <f t="shared" ca="1" si="12"/>
        <v>09</v>
      </c>
      <c r="C223" s="639" t="s">
        <v>329</v>
      </c>
      <c r="D223" s="644">
        <f ca="1">IF(A223="","",IFERROR(GETPIVOTDATA("合計 / 合計",【ピボット】事業所売上!$A$3,"年月",$A223,"事業所コード",$B223,"事業所",$C223),0))</f>
        <v>2696635</v>
      </c>
      <c r="E223" s="643">
        <v>713725</v>
      </c>
      <c r="F223" s="643">
        <v>0</v>
      </c>
      <c r="G223" s="643">
        <v>0</v>
      </c>
      <c r="H223" s="643">
        <v>0</v>
      </c>
      <c r="I223" s="643">
        <v>94146</v>
      </c>
      <c r="J223" s="643">
        <v>0</v>
      </c>
      <c r="K223" s="644">
        <f t="shared" si="13"/>
        <v>807871</v>
      </c>
      <c r="L223" s="680">
        <v>769409</v>
      </c>
      <c r="M223" s="680">
        <v>0</v>
      </c>
      <c r="N223" s="644">
        <f t="shared" si="14"/>
        <v>769409</v>
      </c>
      <c r="O223" s="643">
        <v>0</v>
      </c>
      <c r="P223" s="643">
        <v>0</v>
      </c>
      <c r="Q223" s="644">
        <f>IF($A223="","",IF(AND($C223="白金タクシー",$A223&gt;=DATE(2017,9,1)),ROUND(GETPIVOTDATA("合計 / タクシー運賃",【ピボット】事業所売上!$A$3,"年月",$A223,"事業所コード",$B223,"事業所",$C223)*5.1%,0),0))</f>
        <v>0</v>
      </c>
      <c r="R223" s="643">
        <v>0</v>
      </c>
      <c r="S223" s="643">
        <v>0</v>
      </c>
      <c r="T223" s="643">
        <v>0</v>
      </c>
      <c r="U223" s="644">
        <f t="shared" si="15"/>
        <v>0</v>
      </c>
      <c r="V223" s="643">
        <v>0</v>
      </c>
      <c r="W223" s="643">
        <v>0</v>
      </c>
      <c r="X223" s="643">
        <v>0</v>
      </c>
      <c r="Y223" s="643">
        <v>0</v>
      </c>
    </row>
    <row r="224" spans="1:25" x14ac:dyDescent="0.15">
      <c r="A224" s="642">
        <v>43101</v>
      </c>
      <c r="B224" s="640" t="str">
        <f t="shared" ca="1" si="12"/>
        <v>10</v>
      </c>
      <c r="C224" s="639" t="s">
        <v>336</v>
      </c>
      <c r="D224" s="644">
        <f ca="1">IF(A224="","",IFERROR(GETPIVOTDATA("合計 / 合計",【ピボット】事業所売上!$A$3,"年月",$A224,"事業所コード",$B224,"事業所",$C224),0))</f>
        <v>2345767</v>
      </c>
      <c r="E224" s="643">
        <v>660281</v>
      </c>
      <c r="F224" s="745">
        <f>803227+300000</f>
        <v>1103227</v>
      </c>
      <c r="G224" s="643">
        <v>0</v>
      </c>
      <c r="H224" s="643">
        <v>0</v>
      </c>
      <c r="I224" s="745">
        <f>459856+64914</f>
        <v>524770</v>
      </c>
      <c r="J224" s="643">
        <v>217455</v>
      </c>
      <c r="K224" s="644">
        <f t="shared" si="13"/>
        <v>2505733</v>
      </c>
      <c r="L224" s="680">
        <v>1003296</v>
      </c>
      <c r="M224" s="680">
        <v>0</v>
      </c>
      <c r="N224" s="644">
        <f t="shared" si="14"/>
        <v>1003296</v>
      </c>
      <c r="O224" s="643">
        <v>25920</v>
      </c>
      <c r="P224" s="643">
        <v>0</v>
      </c>
      <c r="Q224" s="644">
        <f ca="1">IF($A224="","",IF(AND($C224="白金タクシー",$A224&gt;=DATE(2017,9,1)),ROUND(GETPIVOTDATA("合計 / タクシー運賃",【ピボット】事業所売上!$A$3,"年月",$A224,"事業所コード",$B224,"事業所",$C224)*5.1%,0),0))</f>
        <v>59544</v>
      </c>
      <c r="R224" s="643">
        <v>0</v>
      </c>
      <c r="S224" s="643">
        <v>0</v>
      </c>
      <c r="T224" s="643">
        <v>0</v>
      </c>
      <c r="U224" s="644">
        <f t="shared" si="15"/>
        <v>0</v>
      </c>
      <c r="V224" s="643">
        <v>0</v>
      </c>
      <c r="W224" s="643">
        <v>0</v>
      </c>
      <c r="X224" s="643">
        <v>0</v>
      </c>
      <c r="Y224" s="643">
        <v>0</v>
      </c>
    </row>
    <row r="225" spans="1:25" x14ac:dyDescent="0.15">
      <c r="A225" s="642">
        <v>43132</v>
      </c>
      <c r="B225" s="640" t="str">
        <f t="shared" ca="1" si="12"/>
        <v>00</v>
      </c>
      <c r="C225" s="639" t="s">
        <v>490</v>
      </c>
      <c r="D225" s="644">
        <f ca="1">IF(A225="","",IFERROR(GETPIVOTDATA("合計 / 合計",【ピボット】事業所売上!$A$3,"年月",$A225,"事業所コード",$B225,"事業所",$C225),0))</f>
        <v>0</v>
      </c>
      <c r="E225" s="643">
        <v>0</v>
      </c>
      <c r="F225" s="643">
        <v>880331</v>
      </c>
      <c r="G225" s="643">
        <v>0</v>
      </c>
      <c r="H225" s="643">
        <v>2500000</v>
      </c>
      <c r="I225" s="643">
        <v>274561</v>
      </c>
      <c r="J225" s="643">
        <v>0</v>
      </c>
      <c r="K225" s="644">
        <f t="shared" si="13"/>
        <v>3654892</v>
      </c>
      <c r="L225" s="680">
        <v>1654867</v>
      </c>
      <c r="M225" s="680">
        <v>0</v>
      </c>
      <c r="N225" s="644">
        <f t="shared" si="14"/>
        <v>1654867</v>
      </c>
      <c r="O225" s="643">
        <v>0</v>
      </c>
      <c r="P225" s="643">
        <v>0</v>
      </c>
      <c r="Q225" s="644">
        <f>IF($A225="","",IF(AND($C225="白金タクシー",$A225&gt;=DATE(2017,9,1)),ROUND(GETPIVOTDATA("合計 / タクシー運賃",【ピボット】事業所売上!$A$3,"年月",$A225,"事業所コード",$B225,"事業所",$C225)*5.1%,0),0))</f>
        <v>0</v>
      </c>
      <c r="R225" s="643">
        <v>0</v>
      </c>
      <c r="S225" s="643">
        <v>0</v>
      </c>
      <c r="T225" s="643">
        <v>0</v>
      </c>
      <c r="U225" s="644">
        <f t="shared" si="15"/>
        <v>0</v>
      </c>
      <c r="V225" s="643">
        <v>12196</v>
      </c>
      <c r="W225" s="643">
        <v>375068</v>
      </c>
      <c r="X225" s="643">
        <v>0</v>
      </c>
      <c r="Y225" s="643">
        <v>0</v>
      </c>
    </row>
    <row r="226" spans="1:25" x14ac:dyDescent="0.15">
      <c r="A226" s="642">
        <v>43132</v>
      </c>
      <c r="B226" s="640" t="str">
        <f t="shared" ca="1" si="12"/>
        <v>01</v>
      </c>
      <c r="C226" s="639" t="s">
        <v>34</v>
      </c>
      <c r="D226" s="644">
        <f ca="1">IF(A226="","",IFERROR(GETPIVOTDATA("合計 / 合計",【ピボット】事業所売上!$A$3,"年月",$A226,"事業所コード",$B226,"事業所",$C226),0))</f>
        <v>9647827</v>
      </c>
      <c r="E226" s="643">
        <v>3312925</v>
      </c>
      <c r="F226" s="745">
        <f>1516081</f>
        <v>1516081</v>
      </c>
      <c r="G226" s="643">
        <v>0</v>
      </c>
      <c r="H226" s="643">
        <v>0</v>
      </c>
      <c r="I226" s="745">
        <f>257023</f>
        <v>257023</v>
      </c>
      <c r="J226" s="643">
        <v>13705</v>
      </c>
      <c r="K226" s="644">
        <f t="shared" si="13"/>
        <v>5099734</v>
      </c>
      <c r="L226" s="680">
        <v>830339</v>
      </c>
      <c r="M226" s="680">
        <v>34992</v>
      </c>
      <c r="N226" s="644">
        <f t="shared" si="14"/>
        <v>865331</v>
      </c>
      <c r="O226" s="643">
        <v>97200</v>
      </c>
      <c r="P226" s="643">
        <v>0</v>
      </c>
      <c r="Q226" s="644">
        <f>IF($A226="","",IF(AND($C226="白金タクシー",$A226&gt;=DATE(2017,9,1)),ROUND(GETPIVOTDATA("合計 / タクシー運賃",【ピボット】事業所売上!$A$3,"年月",$A226,"事業所コード",$B226,"事業所",$C226)*5.1%,0),0))</f>
        <v>0</v>
      </c>
      <c r="R226" s="643">
        <v>0</v>
      </c>
      <c r="S226" s="643">
        <v>0</v>
      </c>
      <c r="T226" s="643">
        <v>0</v>
      </c>
      <c r="U226" s="644">
        <f t="shared" si="15"/>
        <v>0</v>
      </c>
      <c r="V226" s="643">
        <v>0</v>
      </c>
      <c r="W226" s="643">
        <v>0</v>
      </c>
      <c r="X226" s="643">
        <v>0</v>
      </c>
      <c r="Y226" s="643">
        <v>0</v>
      </c>
    </row>
    <row r="227" spans="1:25" x14ac:dyDescent="0.15">
      <c r="A227" s="642">
        <v>43132</v>
      </c>
      <c r="B227" s="640" t="str">
        <f t="shared" ca="1" si="12"/>
        <v>02</v>
      </c>
      <c r="C227" s="639" t="s">
        <v>37</v>
      </c>
      <c r="D227" s="644">
        <f ca="1">IF(A227="","",IFERROR(GETPIVOTDATA("合計 / 合計",【ピボット】事業所売上!$A$3,"年月",$A227,"事業所コード",$B227,"事業所",$C227),0))</f>
        <v>5383737</v>
      </c>
      <c r="E227" s="643">
        <v>1305453</v>
      </c>
      <c r="F227" s="643">
        <v>2541385</v>
      </c>
      <c r="G227" s="643">
        <v>0</v>
      </c>
      <c r="H227" s="643">
        <v>0</v>
      </c>
      <c r="I227" s="643">
        <v>341038</v>
      </c>
      <c r="J227" s="643">
        <v>3005</v>
      </c>
      <c r="K227" s="644">
        <f t="shared" si="13"/>
        <v>4190881</v>
      </c>
      <c r="L227" s="680">
        <v>981443</v>
      </c>
      <c r="M227" s="680">
        <v>0</v>
      </c>
      <c r="N227" s="644">
        <f t="shared" si="14"/>
        <v>981443</v>
      </c>
      <c r="O227" s="643">
        <v>47952</v>
      </c>
      <c r="P227" s="643">
        <v>0</v>
      </c>
      <c r="Q227" s="644">
        <f>IF($A227="","",IF(AND($C227="白金タクシー",$A227&gt;=DATE(2017,9,1)),ROUND(GETPIVOTDATA("合計 / タクシー運賃",【ピボット】事業所売上!$A$3,"年月",$A227,"事業所コード",$B227,"事業所",$C227)*5.1%,0),0))</f>
        <v>0</v>
      </c>
      <c r="R227" s="643">
        <v>0</v>
      </c>
      <c r="S227" s="643">
        <v>0</v>
      </c>
      <c r="T227" s="643">
        <v>0</v>
      </c>
      <c r="U227" s="644">
        <f t="shared" si="15"/>
        <v>0</v>
      </c>
      <c r="V227" s="643">
        <v>0</v>
      </c>
      <c r="W227" s="643">
        <v>0</v>
      </c>
      <c r="X227" s="643">
        <v>0</v>
      </c>
      <c r="Y227" s="643">
        <v>0</v>
      </c>
    </row>
    <row r="228" spans="1:25" x14ac:dyDescent="0.15">
      <c r="A228" s="642">
        <v>43132</v>
      </c>
      <c r="B228" s="640" t="str">
        <f t="shared" ca="1" si="12"/>
        <v>03</v>
      </c>
      <c r="C228" s="639" t="s">
        <v>66</v>
      </c>
      <c r="D228" s="644">
        <f ca="1">IF(A228="","",IFERROR(GETPIVOTDATA("合計 / 合計",【ピボット】事業所売上!$A$3,"年月",$A228,"事業所コード",$B228,"事業所",$C228),0))</f>
        <v>5709957</v>
      </c>
      <c r="E228" s="643">
        <v>1811119</v>
      </c>
      <c r="F228" s="643">
        <v>1828831</v>
      </c>
      <c r="G228" s="643">
        <v>0</v>
      </c>
      <c r="H228" s="643">
        <v>0</v>
      </c>
      <c r="I228" s="643">
        <v>312594</v>
      </c>
      <c r="J228" s="643">
        <v>16901</v>
      </c>
      <c r="K228" s="644">
        <f t="shared" si="13"/>
        <v>3969445</v>
      </c>
      <c r="L228" s="680">
        <v>785358</v>
      </c>
      <c r="M228" s="680">
        <v>0</v>
      </c>
      <c r="N228" s="644">
        <f t="shared" si="14"/>
        <v>785358</v>
      </c>
      <c r="O228" s="643">
        <v>0</v>
      </c>
      <c r="P228" s="643">
        <v>0</v>
      </c>
      <c r="Q228" s="644">
        <f>IF($A228="","",IF(AND($C228="白金タクシー",$A228&gt;=DATE(2017,9,1)),ROUND(GETPIVOTDATA("合計 / タクシー運賃",【ピボット】事業所売上!$A$3,"年月",$A228,"事業所コード",$B228,"事業所",$C228)*5.1%,0),0))</f>
        <v>0</v>
      </c>
      <c r="R228" s="643">
        <v>0</v>
      </c>
      <c r="S228" s="643">
        <v>0</v>
      </c>
      <c r="T228" s="643">
        <v>0</v>
      </c>
      <c r="U228" s="644">
        <f t="shared" si="15"/>
        <v>0</v>
      </c>
      <c r="V228" s="643">
        <v>0</v>
      </c>
      <c r="W228" s="643">
        <v>0</v>
      </c>
      <c r="X228" s="643">
        <v>0</v>
      </c>
      <c r="Y228" s="643">
        <v>0</v>
      </c>
    </row>
    <row r="229" spans="1:25" x14ac:dyDescent="0.15">
      <c r="A229" s="642">
        <v>43132</v>
      </c>
      <c r="B229" s="640" t="str">
        <f t="shared" ca="1" si="12"/>
        <v>04</v>
      </c>
      <c r="C229" s="639" t="s">
        <v>358</v>
      </c>
      <c r="D229" s="644">
        <f ca="1">IF(A229="","",IFERROR(GETPIVOTDATA("合計 / 合計",【ピボット】事業所売上!$A$3,"年月",$A229,"事業所コード",$B229,"事業所",$C229),0))</f>
        <v>3497339</v>
      </c>
      <c r="E229" s="643">
        <v>1088483</v>
      </c>
      <c r="F229" s="643">
        <v>975211</v>
      </c>
      <c r="G229" s="643">
        <v>0</v>
      </c>
      <c r="H229" s="643">
        <v>0</v>
      </c>
      <c r="I229" s="643">
        <v>205964</v>
      </c>
      <c r="J229" s="643">
        <v>2501</v>
      </c>
      <c r="K229" s="644">
        <f t="shared" si="13"/>
        <v>2272159</v>
      </c>
      <c r="L229" s="680">
        <v>1024904</v>
      </c>
      <c r="M229" s="680">
        <v>0</v>
      </c>
      <c r="N229" s="644">
        <f t="shared" si="14"/>
        <v>1024904</v>
      </c>
      <c r="O229" s="643">
        <v>113400</v>
      </c>
      <c r="P229" s="643">
        <v>0</v>
      </c>
      <c r="Q229" s="644">
        <f>IF($A229="","",IF(AND($C229="白金タクシー",$A229&gt;=DATE(2017,9,1)),ROUND(GETPIVOTDATA("合計 / タクシー運賃",【ピボット】事業所売上!$A$3,"年月",$A229,"事業所コード",$B229,"事業所",$C229)*5.1%,0),0))</f>
        <v>0</v>
      </c>
      <c r="R229" s="643">
        <v>0</v>
      </c>
      <c r="S229" s="643">
        <v>0</v>
      </c>
      <c r="T229" s="643">
        <v>0</v>
      </c>
      <c r="U229" s="644">
        <f t="shared" si="15"/>
        <v>0</v>
      </c>
      <c r="V229" s="643">
        <v>0</v>
      </c>
      <c r="W229" s="643">
        <v>0</v>
      </c>
      <c r="X229" s="643">
        <v>0</v>
      </c>
      <c r="Y229" s="643">
        <v>0</v>
      </c>
    </row>
    <row r="230" spans="1:25" x14ac:dyDescent="0.15">
      <c r="A230" s="642">
        <v>43132</v>
      </c>
      <c r="B230" s="640" t="str">
        <f t="shared" ca="1" si="12"/>
        <v>05</v>
      </c>
      <c r="C230" s="639" t="s">
        <v>38</v>
      </c>
      <c r="D230" s="644">
        <f ca="1">IF(A230="","",IFERROR(GETPIVOTDATA("合計 / 合計",【ピボット】事業所売上!$A$3,"年月",$A230,"事業所コード",$B230,"事業所",$C230),0))</f>
        <v>3057960</v>
      </c>
      <c r="E230" s="643">
        <v>1053851</v>
      </c>
      <c r="F230" s="643">
        <v>450000</v>
      </c>
      <c r="G230" s="643">
        <v>0</v>
      </c>
      <c r="H230" s="643">
        <v>0</v>
      </c>
      <c r="I230" s="643">
        <v>38048</v>
      </c>
      <c r="J230" s="643">
        <v>2501</v>
      </c>
      <c r="K230" s="644">
        <f t="shared" si="13"/>
        <v>1544400</v>
      </c>
      <c r="L230" s="680">
        <v>616591</v>
      </c>
      <c r="M230" s="680">
        <v>0</v>
      </c>
      <c r="N230" s="644">
        <f t="shared" si="14"/>
        <v>616591</v>
      </c>
      <c r="O230" s="643">
        <v>24300</v>
      </c>
      <c r="P230" s="643">
        <v>0</v>
      </c>
      <c r="Q230" s="644">
        <f>IF($A230="","",IF(AND($C230="白金タクシー",$A230&gt;=DATE(2017,9,1)),ROUND(GETPIVOTDATA("合計 / タクシー運賃",【ピボット】事業所売上!$A$3,"年月",$A230,"事業所コード",$B230,"事業所",$C230)*5.1%,0),0))</f>
        <v>0</v>
      </c>
      <c r="R230" s="643">
        <v>0</v>
      </c>
      <c r="S230" s="643">
        <v>0</v>
      </c>
      <c r="T230" s="643">
        <v>0</v>
      </c>
      <c r="U230" s="644">
        <f t="shared" si="15"/>
        <v>0</v>
      </c>
      <c r="V230" s="643">
        <v>0</v>
      </c>
      <c r="W230" s="643">
        <v>0</v>
      </c>
      <c r="X230" s="643">
        <v>0</v>
      </c>
      <c r="Y230" s="643">
        <v>0</v>
      </c>
    </row>
    <row r="231" spans="1:25" x14ac:dyDescent="0.15">
      <c r="A231" s="642">
        <v>43132</v>
      </c>
      <c r="B231" s="640" t="str">
        <f t="shared" ca="1" si="12"/>
        <v>07</v>
      </c>
      <c r="C231" s="639" t="s">
        <v>119</v>
      </c>
      <c r="D231" s="644">
        <f ca="1">IF(A231="","",IFERROR(GETPIVOTDATA("合計 / 合計",【ピボット】事業所売上!$A$3,"年月",$A231,"事業所コード",$B231,"事業所",$C231),0))</f>
        <v>741413</v>
      </c>
      <c r="E231" s="643">
        <v>309333</v>
      </c>
      <c r="F231" s="643">
        <v>0</v>
      </c>
      <c r="G231" s="643">
        <v>0</v>
      </c>
      <c r="H231" s="643">
        <v>0</v>
      </c>
      <c r="I231" s="643">
        <v>17857</v>
      </c>
      <c r="J231" s="643">
        <v>0</v>
      </c>
      <c r="K231" s="644">
        <f t="shared" si="13"/>
        <v>327190</v>
      </c>
      <c r="L231" s="680">
        <v>126910</v>
      </c>
      <c r="M231" s="680">
        <v>0</v>
      </c>
      <c r="N231" s="644">
        <f t="shared" si="14"/>
        <v>126910</v>
      </c>
      <c r="O231" s="643">
        <v>0</v>
      </c>
      <c r="P231" s="643">
        <v>0</v>
      </c>
      <c r="Q231" s="644">
        <f>IF($A231="","",IF(AND($C231="白金タクシー",$A231&gt;=DATE(2017,9,1)),ROUND(GETPIVOTDATA("合計 / タクシー運賃",【ピボット】事業所売上!$A$3,"年月",$A231,"事業所コード",$B231,"事業所",$C231)*5.1%,0),0))</f>
        <v>0</v>
      </c>
      <c r="R231" s="643">
        <v>0</v>
      </c>
      <c r="S231" s="643">
        <v>0</v>
      </c>
      <c r="T231" s="643">
        <v>0</v>
      </c>
      <c r="U231" s="644">
        <f t="shared" si="15"/>
        <v>0</v>
      </c>
      <c r="V231" s="643">
        <v>0</v>
      </c>
      <c r="W231" s="643">
        <v>0</v>
      </c>
      <c r="X231" s="643">
        <v>0</v>
      </c>
      <c r="Y231" s="643">
        <v>0</v>
      </c>
    </row>
    <row r="232" spans="1:25" x14ac:dyDescent="0.15">
      <c r="A232" s="642">
        <v>43132</v>
      </c>
      <c r="B232" s="640" t="str">
        <f t="shared" ca="1" si="12"/>
        <v>08</v>
      </c>
      <c r="C232" s="639" t="s">
        <v>189</v>
      </c>
      <c r="D232" s="644">
        <f ca="1">IF(A232="","",IFERROR(GETPIVOTDATA("合計 / 合計",【ピボット】事業所売上!$A$3,"年月",$A232,"事業所コード",$B232,"事業所",$C232),0))</f>
        <v>939922</v>
      </c>
      <c r="E232" s="643">
        <v>254875</v>
      </c>
      <c r="F232" s="643">
        <v>0</v>
      </c>
      <c r="G232" s="643">
        <v>0</v>
      </c>
      <c r="H232" s="643">
        <v>0</v>
      </c>
      <c r="I232" s="643">
        <f>I202*F232/F202</f>
        <v>0</v>
      </c>
      <c r="J232" s="643">
        <v>0</v>
      </c>
      <c r="K232" s="644">
        <f t="shared" si="13"/>
        <v>254875</v>
      </c>
      <c r="L232" s="680">
        <v>178705</v>
      </c>
      <c r="M232" s="680">
        <v>0</v>
      </c>
      <c r="N232" s="644">
        <f t="shared" si="14"/>
        <v>178705</v>
      </c>
      <c r="O232" s="643">
        <v>0</v>
      </c>
      <c r="P232" s="643">
        <v>0</v>
      </c>
      <c r="Q232" s="644">
        <f>IF($A232="","",IF(AND($C232="白金タクシー",$A232&gt;=DATE(2017,9,1)),ROUND(GETPIVOTDATA("合計 / タクシー運賃",【ピボット】事業所売上!$A$3,"年月",$A232,"事業所コード",$B232,"事業所",$C232)*5.1%,0),0))</f>
        <v>0</v>
      </c>
      <c r="R232" s="643">
        <v>0</v>
      </c>
      <c r="S232" s="643">
        <v>0</v>
      </c>
      <c r="T232" s="643">
        <v>0</v>
      </c>
      <c r="U232" s="644">
        <f t="shared" si="15"/>
        <v>0</v>
      </c>
      <c r="V232" s="643">
        <v>0</v>
      </c>
      <c r="W232" s="643">
        <v>0</v>
      </c>
      <c r="X232" s="643">
        <v>0</v>
      </c>
      <c r="Y232" s="643">
        <v>0</v>
      </c>
    </row>
    <row r="233" spans="1:25" x14ac:dyDescent="0.15">
      <c r="A233" s="642">
        <v>43132</v>
      </c>
      <c r="B233" s="640" t="str">
        <f t="shared" ca="1" si="12"/>
        <v>09</v>
      </c>
      <c r="C233" s="639" t="s">
        <v>329</v>
      </c>
      <c r="D233" s="644">
        <f ca="1">IF(A233="","",IFERROR(GETPIVOTDATA("合計 / 合計",【ピボット】事業所売上!$A$3,"年月",$A233,"事業所コード",$B233,"事業所",$C233),0))</f>
        <v>2570319</v>
      </c>
      <c r="E233" s="643">
        <v>614310</v>
      </c>
      <c r="F233" s="643">
        <v>0</v>
      </c>
      <c r="G233" s="643">
        <v>0</v>
      </c>
      <c r="H233" s="643">
        <v>0</v>
      </c>
      <c r="I233" s="643">
        <v>23315</v>
      </c>
      <c r="J233" s="643">
        <v>0</v>
      </c>
      <c r="K233" s="644">
        <f t="shared" si="13"/>
        <v>637625</v>
      </c>
      <c r="L233" s="680">
        <v>616496</v>
      </c>
      <c r="M233" s="680">
        <v>0</v>
      </c>
      <c r="N233" s="644">
        <f t="shared" si="14"/>
        <v>616496</v>
      </c>
      <c r="O233" s="643">
        <v>0</v>
      </c>
      <c r="P233" s="643">
        <v>0</v>
      </c>
      <c r="Q233" s="644">
        <f>IF($A233="","",IF(AND($C233="白金タクシー",$A233&gt;=DATE(2017,9,1)),ROUND(GETPIVOTDATA("合計 / タクシー運賃",【ピボット】事業所売上!$A$3,"年月",$A233,"事業所コード",$B233,"事業所",$C233)*5.1%,0),0))</f>
        <v>0</v>
      </c>
      <c r="R233" s="643">
        <v>0</v>
      </c>
      <c r="S233" s="643">
        <v>0</v>
      </c>
      <c r="T233" s="643">
        <v>0</v>
      </c>
      <c r="U233" s="644">
        <f t="shared" si="15"/>
        <v>0</v>
      </c>
      <c r="V233" s="643">
        <v>0</v>
      </c>
      <c r="W233" s="643">
        <v>0</v>
      </c>
      <c r="X233" s="643">
        <v>0</v>
      </c>
      <c r="Y233" s="643">
        <v>0</v>
      </c>
    </row>
    <row r="234" spans="1:25" x14ac:dyDescent="0.15">
      <c r="A234" s="642">
        <v>43132</v>
      </c>
      <c r="B234" s="640" t="str">
        <f t="shared" ca="1" si="12"/>
        <v>10</v>
      </c>
      <c r="C234" s="639" t="s">
        <v>336</v>
      </c>
      <c r="D234" s="644">
        <f ca="1">IF(A234="","",IFERROR(GETPIVOTDATA("合計 / 合計",【ピボット】事業所売上!$A$3,"年月",$A234,"事業所コード",$B234,"事業所",$C234),0))</f>
        <v>2169663</v>
      </c>
      <c r="E234" s="643">
        <v>566140</v>
      </c>
      <c r="F234" s="745">
        <f>697207</f>
        <v>697207</v>
      </c>
      <c r="G234" s="643">
        <v>0</v>
      </c>
      <c r="H234" s="643">
        <v>0</v>
      </c>
      <c r="I234" s="745">
        <f>50562</f>
        <v>50562</v>
      </c>
      <c r="J234" s="643">
        <v>0</v>
      </c>
      <c r="K234" s="644">
        <f t="shared" si="13"/>
        <v>1313909</v>
      </c>
      <c r="L234" s="680">
        <v>1081985</v>
      </c>
      <c r="M234" s="680">
        <v>0</v>
      </c>
      <c r="N234" s="644">
        <f t="shared" si="14"/>
        <v>1081985</v>
      </c>
      <c r="O234" s="643">
        <v>72900</v>
      </c>
      <c r="P234" s="643">
        <v>0</v>
      </c>
      <c r="Q234" s="644">
        <f ca="1">IF($A234="","",IF(AND($C234="白金タクシー",$A234&gt;=DATE(2017,9,1)),ROUND(GETPIVOTDATA("合計 / タクシー運賃",【ピボット】事業所売上!$A$3,"年月",$A234,"事業所コード",$B234,"事業所",$C234)*5.1%,0),0))</f>
        <v>58427</v>
      </c>
      <c r="R234" s="643">
        <v>0</v>
      </c>
      <c r="S234" s="643">
        <v>0</v>
      </c>
      <c r="T234" s="643">
        <v>0</v>
      </c>
      <c r="U234" s="644">
        <f t="shared" si="15"/>
        <v>0</v>
      </c>
      <c r="V234" s="643">
        <v>0</v>
      </c>
      <c r="W234" s="643">
        <v>0</v>
      </c>
      <c r="X234" s="643">
        <v>0</v>
      </c>
      <c r="Y234" s="643">
        <v>0</v>
      </c>
    </row>
    <row r="235" spans="1:25" x14ac:dyDescent="0.15">
      <c r="A235" s="642">
        <v>43160</v>
      </c>
      <c r="B235" s="640" t="str">
        <f t="shared" ca="1" si="12"/>
        <v>00</v>
      </c>
      <c r="C235" s="639" t="s">
        <v>490</v>
      </c>
      <c r="D235" s="644">
        <f ca="1">IF(A235="","",IFERROR(GETPIVOTDATA("合計 / 合計",【ピボット】事業所売上!$A$3,"年月",$A235,"事業所コード",$B235,"事業所",$C235),0))</f>
        <v>0</v>
      </c>
      <c r="E235" s="643">
        <v>0</v>
      </c>
      <c r="F235" s="643">
        <v>881470</v>
      </c>
      <c r="G235" s="643">
        <v>0</v>
      </c>
      <c r="H235" s="643">
        <v>2500000</v>
      </c>
      <c r="I235" s="643">
        <v>380812</v>
      </c>
      <c r="J235" s="643">
        <v>0</v>
      </c>
      <c r="K235" s="644">
        <f t="shared" si="13"/>
        <v>3762282</v>
      </c>
      <c r="L235" s="680">
        <v>2685780</v>
      </c>
      <c r="M235" s="680">
        <v>0</v>
      </c>
      <c r="N235" s="644">
        <f t="shared" si="14"/>
        <v>2685780</v>
      </c>
      <c r="O235" s="643">
        <v>0</v>
      </c>
      <c r="P235" s="643">
        <v>0</v>
      </c>
      <c r="Q235" s="644">
        <f>IF($A235="","",IF(AND($C235="白金タクシー",$A235&gt;=DATE(2017,9,1)),ROUND(GETPIVOTDATA("合計 / タクシー運賃",【ピボット】事業所売上!$A$3,"年月",$A235,"事業所コード",$B235,"事業所",$C235)*5.1%,0),0))</f>
        <v>0</v>
      </c>
      <c r="R235" s="643">
        <v>0</v>
      </c>
      <c r="S235" s="643">
        <v>0</v>
      </c>
      <c r="T235" s="643">
        <v>0</v>
      </c>
      <c r="U235" s="644">
        <f t="shared" si="15"/>
        <v>0</v>
      </c>
      <c r="V235" s="643">
        <v>235621</v>
      </c>
      <c r="W235" s="643">
        <v>386869</v>
      </c>
      <c r="X235" s="643">
        <v>0</v>
      </c>
      <c r="Y235" s="643">
        <v>0</v>
      </c>
    </row>
    <row r="236" spans="1:25" x14ac:dyDescent="0.15">
      <c r="A236" s="642">
        <v>43160</v>
      </c>
      <c r="B236" s="640" t="str">
        <f t="shared" ca="1" si="12"/>
        <v>01</v>
      </c>
      <c r="C236" s="639" t="s">
        <v>34</v>
      </c>
      <c r="D236" s="644">
        <f ca="1">IF(A236="","",IFERROR(GETPIVOTDATA("合計 / 合計",【ピボット】事業所売上!$A$3,"年月",$A236,"事業所コード",$B236,"事業所",$C236),0))</f>
        <v>10237581</v>
      </c>
      <c r="E236" s="643">
        <f>3715630-74514</f>
        <v>3641116</v>
      </c>
      <c r="F236" s="745">
        <f>1504051</f>
        <v>1504051</v>
      </c>
      <c r="G236" s="643">
        <v>0</v>
      </c>
      <c r="H236" s="643">
        <v>0</v>
      </c>
      <c r="I236" s="745">
        <f>314706</f>
        <v>314706</v>
      </c>
      <c r="J236" s="643">
        <v>69849</v>
      </c>
      <c r="K236" s="644">
        <f t="shared" si="13"/>
        <v>5529722</v>
      </c>
      <c r="L236" s="680">
        <v>955471</v>
      </c>
      <c r="M236" s="680">
        <v>54136</v>
      </c>
      <c r="N236" s="644">
        <f t="shared" si="14"/>
        <v>1009607</v>
      </c>
      <c r="O236" s="643">
        <v>48600</v>
      </c>
      <c r="P236" s="643">
        <v>0</v>
      </c>
      <c r="Q236" s="644">
        <f>IF($A236="","",IF(AND($C236="白金タクシー",$A236&gt;=DATE(2017,9,1)),ROUND(GETPIVOTDATA("合計 / タクシー運賃",【ピボット】事業所売上!$A$3,"年月",$A236,"事業所コード",$B236,"事業所",$C236)*5.1%,0),0))</f>
        <v>0</v>
      </c>
      <c r="R236" s="643">
        <v>0</v>
      </c>
      <c r="S236" s="643">
        <v>0</v>
      </c>
      <c r="T236" s="643">
        <v>0</v>
      </c>
      <c r="U236" s="644">
        <f t="shared" si="15"/>
        <v>0</v>
      </c>
      <c r="V236" s="643">
        <v>0</v>
      </c>
      <c r="W236" s="643">
        <v>0</v>
      </c>
      <c r="X236" s="643">
        <v>0</v>
      </c>
      <c r="Y236" s="643">
        <v>0</v>
      </c>
    </row>
    <row r="237" spans="1:25" x14ac:dyDescent="0.15">
      <c r="A237" s="642">
        <v>43160</v>
      </c>
      <c r="B237" s="640" t="str">
        <f t="shared" ca="1" si="12"/>
        <v>02</v>
      </c>
      <c r="C237" s="639" t="s">
        <v>37</v>
      </c>
      <c r="D237" s="644">
        <f ca="1">IF(A237="","",IFERROR(GETPIVOTDATA("合計 / 合計",【ピボット】事業所売上!$A$3,"年月",$A237,"事業所コード",$B237,"事業所",$C237),0))</f>
        <v>5385437</v>
      </c>
      <c r="E237" s="643">
        <v>1522073</v>
      </c>
      <c r="F237" s="643">
        <v>2285024</v>
      </c>
      <c r="G237" s="643">
        <v>0</v>
      </c>
      <c r="H237" s="643">
        <v>0</v>
      </c>
      <c r="I237" s="643">
        <v>379398</v>
      </c>
      <c r="J237" s="643">
        <v>2869</v>
      </c>
      <c r="K237" s="644">
        <f t="shared" si="13"/>
        <v>4189364</v>
      </c>
      <c r="L237" s="680">
        <v>1138983</v>
      </c>
      <c r="M237" s="680">
        <v>0</v>
      </c>
      <c r="N237" s="644">
        <f t="shared" si="14"/>
        <v>1138983</v>
      </c>
      <c r="O237" s="643">
        <v>112752</v>
      </c>
      <c r="P237" s="643">
        <v>0</v>
      </c>
      <c r="Q237" s="644">
        <f>IF($A237="","",IF(AND($C237="白金タクシー",$A237&gt;=DATE(2017,9,1)),ROUND(GETPIVOTDATA("合計 / タクシー運賃",【ピボット】事業所売上!$A$3,"年月",$A237,"事業所コード",$B237,"事業所",$C237)*5.1%,0),0))</f>
        <v>0</v>
      </c>
      <c r="R237" s="643">
        <v>0</v>
      </c>
      <c r="S237" s="643">
        <v>0</v>
      </c>
      <c r="T237" s="643">
        <v>0</v>
      </c>
      <c r="U237" s="644">
        <f t="shared" si="15"/>
        <v>0</v>
      </c>
      <c r="V237" s="643">
        <v>0</v>
      </c>
      <c r="W237" s="643">
        <v>0</v>
      </c>
      <c r="X237" s="643">
        <v>0</v>
      </c>
      <c r="Y237" s="643">
        <v>0</v>
      </c>
    </row>
    <row r="238" spans="1:25" x14ac:dyDescent="0.15">
      <c r="A238" s="642">
        <v>43160</v>
      </c>
      <c r="B238" s="640" t="str">
        <f t="shared" ref="B238:B301" ca="1" si="16">IF(C238="","",VLOOKUP(C238,事業所コード2,2,FALSE))</f>
        <v>03</v>
      </c>
      <c r="C238" s="639" t="s">
        <v>66</v>
      </c>
      <c r="D238" s="644">
        <f ca="1">IF(A238="","",IFERROR(GETPIVOTDATA("合計 / 合計",【ピボット】事業所売上!$A$3,"年月",$A238,"事業所コード",$B238,"事業所",$C238),0))</f>
        <v>5793244</v>
      </c>
      <c r="E238" s="643">
        <v>1857613</v>
      </c>
      <c r="F238" s="643">
        <v>1642018</v>
      </c>
      <c r="G238" s="643">
        <v>0</v>
      </c>
      <c r="H238" s="643">
        <v>0</v>
      </c>
      <c r="I238" s="643">
        <v>325425</v>
      </c>
      <c r="J238" s="643">
        <v>3621</v>
      </c>
      <c r="K238" s="644">
        <f t="shared" si="13"/>
        <v>3828677</v>
      </c>
      <c r="L238" s="680">
        <v>859073</v>
      </c>
      <c r="M238" s="680">
        <v>0</v>
      </c>
      <c r="N238" s="644">
        <f t="shared" si="14"/>
        <v>859073</v>
      </c>
      <c r="O238" s="643">
        <v>51840</v>
      </c>
      <c r="P238" s="643">
        <v>0</v>
      </c>
      <c r="Q238" s="644">
        <f>IF($A238="","",IF(AND($C238="白金タクシー",$A238&gt;=DATE(2017,9,1)),ROUND(GETPIVOTDATA("合計 / タクシー運賃",【ピボット】事業所売上!$A$3,"年月",$A238,"事業所コード",$B238,"事業所",$C238)*5.1%,0),0))</f>
        <v>0</v>
      </c>
      <c r="R238" s="643">
        <v>0</v>
      </c>
      <c r="S238" s="643">
        <v>0</v>
      </c>
      <c r="T238" s="643">
        <v>0</v>
      </c>
      <c r="U238" s="644">
        <f t="shared" si="15"/>
        <v>0</v>
      </c>
      <c r="V238" s="643">
        <v>0</v>
      </c>
      <c r="W238" s="643">
        <v>0</v>
      </c>
      <c r="X238" s="643">
        <v>0</v>
      </c>
      <c r="Y238" s="643">
        <v>0</v>
      </c>
    </row>
    <row r="239" spans="1:25" x14ac:dyDescent="0.15">
      <c r="A239" s="642">
        <v>43160</v>
      </c>
      <c r="B239" s="640" t="str">
        <f t="shared" ca="1" si="16"/>
        <v>04</v>
      </c>
      <c r="C239" s="639" t="s">
        <v>358</v>
      </c>
      <c r="D239" s="644">
        <f ca="1">IF(A239="","",IFERROR(GETPIVOTDATA("合計 / 合計",【ピボット】事業所売上!$A$3,"年月",$A239,"事業所コード",$B239,"事業所",$C239),0))</f>
        <v>3458623</v>
      </c>
      <c r="E239" s="643">
        <v>1190810</v>
      </c>
      <c r="F239" s="643">
        <v>954889</v>
      </c>
      <c r="G239" s="643">
        <v>0</v>
      </c>
      <c r="H239" s="643">
        <v>0</v>
      </c>
      <c r="I239" s="643">
        <v>251605</v>
      </c>
      <c r="J239" s="643">
        <v>61454</v>
      </c>
      <c r="K239" s="644">
        <f t="shared" si="13"/>
        <v>2458758</v>
      </c>
      <c r="L239" s="680">
        <v>969911</v>
      </c>
      <c r="M239" s="680">
        <v>0</v>
      </c>
      <c r="N239" s="644">
        <f t="shared" si="14"/>
        <v>969911</v>
      </c>
      <c r="O239" s="643">
        <v>0</v>
      </c>
      <c r="P239" s="643">
        <v>0</v>
      </c>
      <c r="Q239" s="644">
        <f>IF($A239="","",IF(AND($C239="白金タクシー",$A239&gt;=DATE(2017,9,1)),ROUND(GETPIVOTDATA("合計 / タクシー運賃",【ピボット】事業所売上!$A$3,"年月",$A239,"事業所コード",$B239,"事業所",$C239)*5.1%,0),0))</f>
        <v>0</v>
      </c>
      <c r="R239" s="643">
        <v>0</v>
      </c>
      <c r="S239" s="643">
        <v>0</v>
      </c>
      <c r="T239" s="643">
        <v>0</v>
      </c>
      <c r="U239" s="644">
        <f t="shared" si="15"/>
        <v>0</v>
      </c>
      <c r="V239" s="643">
        <v>0</v>
      </c>
      <c r="W239" s="643">
        <v>0</v>
      </c>
      <c r="X239" s="643">
        <v>0</v>
      </c>
      <c r="Y239" s="643">
        <v>0</v>
      </c>
    </row>
    <row r="240" spans="1:25" x14ac:dyDescent="0.15">
      <c r="A240" s="642">
        <v>43160</v>
      </c>
      <c r="B240" s="640" t="str">
        <f t="shared" ca="1" si="16"/>
        <v>05</v>
      </c>
      <c r="C240" s="639" t="s">
        <v>38</v>
      </c>
      <c r="D240" s="644">
        <f ca="1">IF(A240="","",IFERROR(GETPIVOTDATA("合計 / 合計",【ピボット】事業所売上!$A$3,"年月",$A240,"事業所コード",$B240,"事業所",$C240),0))</f>
        <v>3056897</v>
      </c>
      <c r="E240" s="643">
        <v>1164519</v>
      </c>
      <c r="F240" s="643">
        <v>500000</v>
      </c>
      <c r="G240" s="643">
        <v>0</v>
      </c>
      <c r="H240" s="643">
        <v>0</v>
      </c>
      <c r="I240" s="643">
        <v>46737</v>
      </c>
      <c r="J240" s="643">
        <v>2377</v>
      </c>
      <c r="K240" s="644">
        <f t="shared" si="13"/>
        <v>1713633</v>
      </c>
      <c r="L240" s="680">
        <v>684050</v>
      </c>
      <c r="M240" s="680">
        <v>0</v>
      </c>
      <c r="N240" s="644">
        <f t="shared" si="14"/>
        <v>684050</v>
      </c>
      <c r="O240" s="643">
        <v>0</v>
      </c>
      <c r="P240" s="643">
        <v>0</v>
      </c>
      <c r="Q240" s="644">
        <f>IF($A240="","",IF(AND($C240="白金タクシー",$A240&gt;=DATE(2017,9,1)),ROUND(GETPIVOTDATA("合計 / タクシー運賃",【ピボット】事業所売上!$A$3,"年月",$A240,"事業所コード",$B240,"事業所",$C240)*5.1%,0),0))</f>
        <v>0</v>
      </c>
      <c r="R240" s="643">
        <v>0</v>
      </c>
      <c r="S240" s="643">
        <v>0</v>
      </c>
      <c r="T240" s="643">
        <v>0</v>
      </c>
      <c r="U240" s="644">
        <f t="shared" si="15"/>
        <v>0</v>
      </c>
      <c r="V240" s="643">
        <v>0</v>
      </c>
      <c r="W240" s="643">
        <v>0</v>
      </c>
      <c r="X240" s="643">
        <v>0</v>
      </c>
      <c r="Y240" s="643">
        <v>0</v>
      </c>
    </row>
    <row r="241" spans="1:25" x14ac:dyDescent="0.15">
      <c r="A241" s="642">
        <v>43160</v>
      </c>
      <c r="B241" s="640" t="str">
        <f t="shared" ca="1" si="16"/>
        <v>07</v>
      </c>
      <c r="C241" s="639" t="s">
        <v>119</v>
      </c>
      <c r="D241" s="644">
        <f ca="1">IF(A241="","",IFERROR(GETPIVOTDATA("合計 / 合計",【ピボット】事業所売上!$A$3,"年月",$A241,"事業所コード",$B241,"事業所",$C241),0))</f>
        <v>820390</v>
      </c>
      <c r="E241" s="643">
        <v>344078</v>
      </c>
      <c r="F241" s="643">
        <v>0</v>
      </c>
      <c r="G241" s="643">
        <v>0</v>
      </c>
      <c r="H241" s="643">
        <v>0</v>
      </c>
      <c r="I241" s="643">
        <v>21950</v>
      </c>
      <c r="J241" s="643">
        <v>0</v>
      </c>
      <c r="K241" s="644">
        <f t="shared" si="13"/>
        <v>366028</v>
      </c>
      <c r="L241" s="680">
        <v>167880</v>
      </c>
      <c r="M241" s="680">
        <v>0</v>
      </c>
      <c r="N241" s="644">
        <f t="shared" si="14"/>
        <v>167880</v>
      </c>
      <c r="O241" s="643">
        <v>32400</v>
      </c>
      <c r="P241" s="643">
        <v>0</v>
      </c>
      <c r="Q241" s="644">
        <f>IF($A241="","",IF(AND($C241="白金タクシー",$A241&gt;=DATE(2017,9,1)),ROUND(GETPIVOTDATA("合計 / タクシー運賃",【ピボット】事業所売上!$A$3,"年月",$A241,"事業所コード",$B241,"事業所",$C241)*5.1%,0),0))</f>
        <v>0</v>
      </c>
      <c r="R241" s="643">
        <v>0</v>
      </c>
      <c r="S241" s="643">
        <v>0</v>
      </c>
      <c r="T241" s="643">
        <v>0</v>
      </c>
      <c r="U241" s="644">
        <f t="shared" si="15"/>
        <v>0</v>
      </c>
      <c r="V241" s="643">
        <v>0</v>
      </c>
      <c r="W241" s="643">
        <v>0</v>
      </c>
      <c r="X241" s="643">
        <v>0</v>
      </c>
      <c r="Y241" s="643">
        <v>0</v>
      </c>
    </row>
    <row r="242" spans="1:25" x14ac:dyDescent="0.15">
      <c r="A242" s="642">
        <v>43160</v>
      </c>
      <c r="B242" s="640" t="str">
        <f t="shared" ca="1" si="16"/>
        <v>08</v>
      </c>
      <c r="C242" s="639" t="s">
        <v>189</v>
      </c>
      <c r="D242" s="644">
        <f ca="1">IF(A242="","",IFERROR(GETPIVOTDATA("合計 / 合計",【ピボット】事業所売上!$A$3,"年月",$A242,"事業所コード",$B242,"事業所",$C242),0))</f>
        <v>1205836</v>
      </c>
      <c r="E242" s="643">
        <v>301575</v>
      </c>
      <c r="F242" s="643">
        <v>0</v>
      </c>
      <c r="G242" s="643">
        <v>0</v>
      </c>
      <c r="H242" s="643">
        <v>0</v>
      </c>
      <c r="I242" s="643">
        <f>I212*F242/F212</f>
        <v>0</v>
      </c>
      <c r="J242" s="643">
        <v>0</v>
      </c>
      <c r="K242" s="644">
        <f t="shared" si="13"/>
        <v>301575</v>
      </c>
      <c r="L242" s="680">
        <v>322423</v>
      </c>
      <c r="M242" s="680">
        <v>0</v>
      </c>
      <c r="N242" s="644">
        <f t="shared" si="14"/>
        <v>322423</v>
      </c>
      <c r="O242" s="643">
        <v>17280</v>
      </c>
      <c r="P242" s="643">
        <v>0</v>
      </c>
      <c r="Q242" s="644">
        <f>IF($A242="","",IF(AND($C242="白金タクシー",$A242&gt;=DATE(2017,9,1)),ROUND(GETPIVOTDATA("合計 / タクシー運賃",【ピボット】事業所売上!$A$3,"年月",$A242,"事業所コード",$B242,"事業所",$C242)*5.1%,0),0))</f>
        <v>0</v>
      </c>
      <c r="R242" s="643">
        <v>0</v>
      </c>
      <c r="S242" s="643">
        <v>0</v>
      </c>
      <c r="T242" s="643">
        <v>0</v>
      </c>
      <c r="U242" s="644">
        <f t="shared" si="15"/>
        <v>0</v>
      </c>
      <c r="V242" s="643">
        <v>0</v>
      </c>
      <c r="W242" s="643">
        <v>0</v>
      </c>
      <c r="X242" s="643">
        <v>0</v>
      </c>
      <c r="Y242" s="643">
        <v>0</v>
      </c>
    </row>
    <row r="243" spans="1:25" x14ac:dyDescent="0.15">
      <c r="A243" s="642">
        <v>43160</v>
      </c>
      <c r="B243" s="640" t="str">
        <f t="shared" ca="1" si="16"/>
        <v>09</v>
      </c>
      <c r="C243" s="639" t="s">
        <v>329</v>
      </c>
      <c r="D243" s="644">
        <f ca="1">IF(A243="","",IFERROR(GETPIVOTDATA("合計 / 合計",【ピボット】事業所売上!$A$3,"年月",$A243,"事業所コード",$B243,"事業所",$C243),0))</f>
        <v>2819531</v>
      </c>
      <c r="E243" s="643">
        <v>688933</v>
      </c>
      <c r="F243" s="643">
        <v>0</v>
      </c>
      <c r="G243" s="643">
        <v>0</v>
      </c>
      <c r="H243" s="643">
        <v>0</v>
      </c>
      <c r="I243" s="643">
        <v>28024</v>
      </c>
      <c r="J243" s="643">
        <v>0</v>
      </c>
      <c r="K243" s="644">
        <f t="shared" si="13"/>
        <v>716957</v>
      </c>
      <c r="L243" s="680">
        <v>632985</v>
      </c>
      <c r="M243" s="680">
        <v>0</v>
      </c>
      <c r="N243" s="644">
        <f t="shared" si="14"/>
        <v>632985</v>
      </c>
      <c r="O243" s="643">
        <v>17280</v>
      </c>
      <c r="P243" s="643">
        <v>0</v>
      </c>
      <c r="Q243" s="644">
        <f>IF($A243="","",IF(AND($C243="白金タクシー",$A243&gt;=DATE(2017,9,1)),ROUND(GETPIVOTDATA("合計 / タクシー運賃",【ピボット】事業所売上!$A$3,"年月",$A243,"事業所コード",$B243,"事業所",$C243)*5.1%,0),0))</f>
        <v>0</v>
      </c>
      <c r="R243" s="643">
        <v>0</v>
      </c>
      <c r="S243" s="643">
        <v>0</v>
      </c>
      <c r="T243" s="643">
        <v>0</v>
      </c>
      <c r="U243" s="644">
        <f t="shared" si="15"/>
        <v>0</v>
      </c>
      <c r="V243" s="643">
        <v>0</v>
      </c>
      <c r="W243" s="643">
        <v>0</v>
      </c>
      <c r="X243" s="643">
        <v>0</v>
      </c>
      <c r="Y243" s="643">
        <v>0</v>
      </c>
    </row>
    <row r="244" spans="1:25" x14ac:dyDescent="0.15">
      <c r="A244" s="642">
        <v>43160</v>
      </c>
      <c r="B244" s="640" t="str">
        <f t="shared" ca="1" si="16"/>
        <v>10</v>
      </c>
      <c r="C244" s="639" t="s">
        <v>336</v>
      </c>
      <c r="D244" s="644">
        <f ca="1">IF(A244="","",IFERROR(GETPIVOTDATA("合計 / 合計",【ピボット】事業所売上!$A$3,"年月",$A244,"事業所コード",$B244,"事業所",$C244),0))</f>
        <v>2256558</v>
      </c>
      <c r="E244" s="643">
        <f>756070-85698</f>
        <v>670372</v>
      </c>
      <c r="F244" s="745">
        <f>694235</f>
        <v>694235</v>
      </c>
      <c r="G244" s="643">
        <v>0</v>
      </c>
      <c r="H244" s="643">
        <v>0</v>
      </c>
      <c r="I244" s="745">
        <f>55981</f>
        <v>55981</v>
      </c>
      <c r="J244" s="643">
        <v>0</v>
      </c>
      <c r="K244" s="644">
        <f t="shared" si="13"/>
        <v>1420588</v>
      </c>
      <c r="L244" s="680">
        <v>799757</v>
      </c>
      <c r="M244" s="680">
        <v>0</v>
      </c>
      <c r="N244" s="644">
        <f t="shared" si="14"/>
        <v>799757</v>
      </c>
      <c r="O244" s="643">
        <v>17280</v>
      </c>
      <c r="P244" s="643">
        <v>0</v>
      </c>
      <c r="Q244" s="644">
        <f ca="1">IF($A244="","",IF(AND($C244="白金タクシー",$A244&gt;=DATE(2017,9,1)),ROUND(GETPIVOTDATA("合計 / タクシー運賃",【ピボット】事業所売上!$A$3,"年月",$A244,"事業所コード",$B244,"事業所",$C244)*5.1%,0),0))</f>
        <v>61905</v>
      </c>
      <c r="R244" s="643">
        <v>0</v>
      </c>
      <c r="S244" s="643">
        <v>0</v>
      </c>
      <c r="T244" s="643">
        <v>0</v>
      </c>
      <c r="U244" s="644">
        <f t="shared" si="15"/>
        <v>0</v>
      </c>
      <c r="V244" s="643">
        <v>0</v>
      </c>
      <c r="W244" s="643">
        <v>0</v>
      </c>
      <c r="X244" s="643">
        <v>0</v>
      </c>
      <c r="Y244" s="643">
        <v>0</v>
      </c>
    </row>
    <row r="245" spans="1:25" x14ac:dyDescent="0.15">
      <c r="A245" s="642">
        <v>43160</v>
      </c>
      <c r="B245" s="640" t="str">
        <f t="shared" ca="1" si="16"/>
        <v>11</v>
      </c>
      <c r="C245" s="639" t="s">
        <v>967</v>
      </c>
      <c r="D245" s="644">
        <f ca="1">IF(A245="","",IFERROR(GETPIVOTDATA("合計 / 合計",【ピボット】事業所売上!$A$3,"年月",$A245,"事業所コード",$B245,"事業所",$C245),0))</f>
        <v>0</v>
      </c>
      <c r="E245" s="643">
        <v>0</v>
      </c>
      <c r="F245" s="643">
        <v>0</v>
      </c>
      <c r="G245" s="643">
        <v>0</v>
      </c>
      <c r="H245" s="643">
        <v>0</v>
      </c>
      <c r="I245" s="643">
        <v>0</v>
      </c>
      <c r="J245" s="643">
        <v>0</v>
      </c>
      <c r="K245" s="644">
        <f t="shared" si="13"/>
        <v>0</v>
      </c>
      <c r="L245" s="680">
        <v>793800</v>
      </c>
      <c r="M245" s="680">
        <v>0</v>
      </c>
      <c r="N245" s="644">
        <f t="shared" si="14"/>
        <v>793800</v>
      </c>
      <c r="O245" s="643">
        <v>0</v>
      </c>
      <c r="P245" s="643">
        <v>0</v>
      </c>
      <c r="Q245" s="644">
        <f>IF($A245="","",IF(AND($C245="白金タクシー",$A245&gt;=DATE(2017,9,1)),ROUND(GETPIVOTDATA("合計 / タクシー運賃",【ピボット】事業所売上!$A$3,"年月",$A245,"事業所コード",$B245,"事業所",$C245)*5.1%,0),0))</f>
        <v>0</v>
      </c>
      <c r="R245" s="643">
        <v>0</v>
      </c>
      <c r="S245" s="643">
        <v>0</v>
      </c>
      <c r="T245" s="643">
        <v>0</v>
      </c>
      <c r="U245" s="644">
        <f t="shared" si="15"/>
        <v>0</v>
      </c>
      <c r="V245" s="643">
        <v>0</v>
      </c>
      <c r="W245" s="643">
        <v>0</v>
      </c>
      <c r="X245" s="643">
        <v>0</v>
      </c>
      <c r="Y245" s="643">
        <v>0</v>
      </c>
    </row>
    <row r="246" spans="1:25" x14ac:dyDescent="0.15">
      <c r="A246" s="642">
        <v>43191</v>
      </c>
      <c r="B246" s="640" t="str">
        <f t="shared" ca="1" si="16"/>
        <v>00</v>
      </c>
      <c r="C246" s="639" t="s">
        <v>490</v>
      </c>
      <c r="D246" s="644">
        <f ca="1">IF(A246="","",IFERROR(GETPIVOTDATA("合計 / 合計",【ピボット】事業所売上!$A$3,"年月",$A246,"事業所コード",$B246,"事業所",$C246),0))</f>
        <v>0</v>
      </c>
      <c r="E246" s="643">
        <v>0</v>
      </c>
      <c r="F246" s="643">
        <v>885500</v>
      </c>
      <c r="G246" s="643">
        <v>0</v>
      </c>
      <c r="H246" s="643">
        <v>2500000</v>
      </c>
      <c r="I246" s="643">
        <v>364892</v>
      </c>
      <c r="J246" s="643">
        <v>5000</v>
      </c>
      <c r="K246" s="644">
        <f t="shared" si="13"/>
        <v>3755392</v>
      </c>
      <c r="L246" s="680">
        <v>3392629</v>
      </c>
      <c r="M246" s="680">
        <v>0</v>
      </c>
      <c r="N246" s="644">
        <f t="shared" si="14"/>
        <v>3392629</v>
      </c>
      <c r="O246" s="643">
        <v>359640</v>
      </c>
      <c r="P246" s="643">
        <v>0</v>
      </c>
      <c r="Q246" s="644">
        <f>IF($A246="","",IF(AND($C246="白金タクシー",$A246&gt;=DATE(2017,9,1)),ROUND(GETPIVOTDATA("合計 / タクシー運賃",【ピボット】事業所売上!$A$3,"年月",$A246,"事業所コード",$B246,"事業所",$C246)*5.1%,0),0))</f>
        <v>0</v>
      </c>
      <c r="R246" s="643">
        <v>0</v>
      </c>
      <c r="S246" s="643">
        <v>0</v>
      </c>
      <c r="T246" s="643">
        <v>0</v>
      </c>
      <c r="U246" s="644">
        <f t="shared" si="15"/>
        <v>0</v>
      </c>
      <c r="V246" s="643">
        <v>240455</v>
      </c>
      <c r="W246" s="643">
        <v>1728970</v>
      </c>
      <c r="X246" s="643">
        <v>0</v>
      </c>
      <c r="Y246" s="643">
        <v>-451900</v>
      </c>
    </row>
    <row r="247" spans="1:25" x14ac:dyDescent="0.15">
      <c r="A247" s="642">
        <v>43191</v>
      </c>
      <c r="B247" s="640" t="str">
        <f t="shared" ca="1" si="16"/>
        <v>01</v>
      </c>
      <c r="C247" s="639" t="s">
        <v>34</v>
      </c>
      <c r="D247" s="644">
        <f ca="1">IF(A247="","",IFERROR(GETPIVOTDATA("合計 / 合計",【ピボット】事業所売上!$A$3,"年月",$A247,"事業所コード",$B247,"事業所",$C247),0))</f>
        <v>10301194</v>
      </c>
      <c r="E247" s="643">
        <v>3701711</v>
      </c>
      <c r="F247" s="745">
        <f>1605173</f>
        <v>1605173</v>
      </c>
      <c r="G247" s="643">
        <v>0</v>
      </c>
      <c r="H247" s="643">
        <v>0</v>
      </c>
      <c r="I247" s="745">
        <f>293378</f>
        <v>293378</v>
      </c>
      <c r="J247" s="643">
        <v>9792</v>
      </c>
      <c r="K247" s="644">
        <f t="shared" si="13"/>
        <v>5610054</v>
      </c>
      <c r="L247" s="680">
        <v>853190</v>
      </c>
      <c r="M247" s="680">
        <v>69984</v>
      </c>
      <c r="N247" s="644">
        <f t="shared" si="14"/>
        <v>923174</v>
      </c>
      <c r="O247" s="643">
        <v>48600</v>
      </c>
      <c r="P247" s="643">
        <v>0</v>
      </c>
      <c r="Q247" s="644">
        <f>IF($A247="","",IF(AND($C247="白金タクシー",$A247&gt;=DATE(2017,9,1)),ROUND(GETPIVOTDATA("合計 / タクシー運賃",【ピボット】事業所売上!$A$3,"年月",$A247,"事業所コード",$B247,"事業所",$C247)*5.1%,0),0))</f>
        <v>0</v>
      </c>
      <c r="R247" s="643">
        <v>0</v>
      </c>
      <c r="S247" s="643">
        <v>0</v>
      </c>
      <c r="T247" s="643">
        <v>0</v>
      </c>
      <c r="U247" s="644">
        <f t="shared" si="15"/>
        <v>0</v>
      </c>
      <c r="V247" s="643">
        <v>0</v>
      </c>
      <c r="W247" s="643">
        <v>0</v>
      </c>
      <c r="X247" s="643">
        <v>0</v>
      </c>
      <c r="Y247" s="643">
        <v>0</v>
      </c>
    </row>
    <row r="248" spans="1:25" x14ac:dyDescent="0.15">
      <c r="A248" s="642">
        <v>43191</v>
      </c>
      <c r="B248" s="640" t="str">
        <f t="shared" ca="1" si="16"/>
        <v>02</v>
      </c>
      <c r="C248" s="639" t="s">
        <v>37</v>
      </c>
      <c r="D248" s="644">
        <f ca="1">IF(A248="","",IFERROR(GETPIVOTDATA("合計 / 合計",【ピボット】事業所売上!$A$3,"年月",$A248,"事業所コード",$B248,"事業所",$C248),0))</f>
        <v>7729590</v>
      </c>
      <c r="E248" s="643">
        <v>1506172</v>
      </c>
      <c r="F248" s="643">
        <v>2278943</v>
      </c>
      <c r="G248" s="643">
        <v>0</v>
      </c>
      <c r="H248" s="643">
        <v>0</v>
      </c>
      <c r="I248" s="643">
        <v>356215</v>
      </c>
      <c r="J248" s="643">
        <v>8990</v>
      </c>
      <c r="K248" s="644">
        <f t="shared" si="13"/>
        <v>4150320</v>
      </c>
      <c r="L248" s="680">
        <v>1027364</v>
      </c>
      <c r="M248" s="680">
        <v>0</v>
      </c>
      <c r="N248" s="644">
        <f t="shared" si="14"/>
        <v>1027364</v>
      </c>
      <c r="O248" s="643">
        <v>81000</v>
      </c>
      <c r="P248" s="643">
        <v>0</v>
      </c>
      <c r="Q248" s="644">
        <f>IF($A248="","",IF(AND($C248="白金タクシー",$A248&gt;=DATE(2017,9,1)),ROUND(GETPIVOTDATA("合計 / タクシー運賃",【ピボット】事業所売上!$A$3,"年月",$A248,"事業所コード",$B248,"事業所",$C248)*5.1%,0),0))</f>
        <v>0</v>
      </c>
      <c r="R248" s="643">
        <v>0</v>
      </c>
      <c r="S248" s="643">
        <v>0</v>
      </c>
      <c r="T248" s="643">
        <v>0</v>
      </c>
      <c r="U248" s="644">
        <f t="shared" si="15"/>
        <v>0</v>
      </c>
      <c r="V248" s="643">
        <v>0</v>
      </c>
      <c r="W248" s="643">
        <v>0</v>
      </c>
      <c r="X248" s="643">
        <v>0</v>
      </c>
      <c r="Y248" s="643">
        <v>0</v>
      </c>
    </row>
    <row r="249" spans="1:25" x14ac:dyDescent="0.15">
      <c r="A249" s="642">
        <v>43191</v>
      </c>
      <c r="B249" s="640" t="str">
        <f t="shared" ca="1" si="16"/>
        <v>03</v>
      </c>
      <c r="C249" s="639" t="s">
        <v>66</v>
      </c>
      <c r="D249" s="644">
        <f ca="1">IF(A249="","",IFERROR(GETPIVOTDATA("合計 / 合計",【ピボット】事業所売上!$A$3,"年月",$A249,"事業所コード",$B249,"事業所",$C249),0))</f>
        <v>6587828</v>
      </c>
      <c r="E249" s="643">
        <v>1806032</v>
      </c>
      <c r="F249" s="643">
        <v>1762060</v>
      </c>
      <c r="G249" s="643">
        <v>0</v>
      </c>
      <c r="H249" s="643">
        <v>0</v>
      </c>
      <c r="I249" s="643">
        <v>303341</v>
      </c>
      <c r="J249" s="643">
        <v>6952</v>
      </c>
      <c r="K249" s="644">
        <f t="shared" si="13"/>
        <v>3878385</v>
      </c>
      <c r="L249" s="680">
        <v>777798</v>
      </c>
      <c r="M249" s="680">
        <v>0</v>
      </c>
      <c r="N249" s="644">
        <f t="shared" si="14"/>
        <v>777798</v>
      </c>
      <c r="O249" s="643">
        <v>51840</v>
      </c>
      <c r="P249" s="643">
        <v>0</v>
      </c>
      <c r="Q249" s="644">
        <f>IF($A249="","",IF(AND($C249="白金タクシー",$A249&gt;=DATE(2017,9,1)),ROUND(GETPIVOTDATA("合計 / タクシー運賃",【ピボット】事業所売上!$A$3,"年月",$A249,"事業所コード",$B249,"事業所",$C249)*5.1%,0),0))</f>
        <v>0</v>
      </c>
      <c r="R249" s="643">
        <v>0</v>
      </c>
      <c r="S249" s="643">
        <v>0</v>
      </c>
      <c r="T249" s="643">
        <v>0</v>
      </c>
      <c r="U249" s="644">
        <f t="shared" si="15"/>
        <v>0</v>
      </c>
      <c r="V249" s="643">
        <v>0</v>
      </c>
      <c r="W249" s="643">
        <v>0</v>
      </c>
      <c r="X249" s="643">
        <v>0</v>
      </c>
      <c r="Y249" s="643">
        <v>0</v>
      </c>
    </row>
    <row r="250" spans="1:25" x14ac:dyDescent="0.15">
      <c r="A250" s="642">
        <v>43191</v>
      </c>
      <c r="B250" s="640" t="str">
        <f t="shared" ca="1" si="16"/>
        <v>11</v>
      </c>
      <c r="C250" s="639" t="s">
        <v>967</v>
      </c>
      <c r="D250" s="644">
        <f ca="1">IF(A250="","",IFERROR(GETPIVOTDATA("合計 / 合計",【ピボット】事業所売上!$A$3,"年月",$A250,"事業所コード",$B250,"事業所",$C250),0))</f>
        <v>0</v>
      </c>
      <c r="E250" s="643">
        <v>0</v>
      </c>
      <c r="F250" s="643">
        <v>0</v>
      </c>
      <c r="G250" s="643">
        <v>0</v>
      </c>
      <c r="H250" s="643">
        <v>0</v>
      </c>
      <c r="I250" s="643">
        <v>0</v>
      </c>
      <c r="J250" s="643">
        <v>0</v>
      </c>
      <c r="K250" s="644">
        <f t="shared" si="13"/>
        <v>0</v>
      </c>
      <c r="L250" s="680">
        <v>741095</v>
      </c>
      <c r="M250" s="680">
        <v>0</v>
      </c>
      <c r="N250" s="644">
        <f t="shared" si="14"/>
        <v>741095</v>
      </c>
      <c r="O250" s="643">
        <v>0</v>
      </c>
      <c r="P250" s="643">
        <v>0</v>
      </c>
      <c r="Q250" s="644">
        <f>IF($A250="","",IF(AND($C250="白金タクシー",$A250&gt;=DATE(2017,9,1)),ROUND(GETPIVOTDATA("合計 / タクシー運賃",【ピボット】事業所売上!$A$3,"年月",$A250,"事業所コード",$B250,"事業所",$C250)*5.1%,0),0))</f>
        <v>0</v>
      </c>
      <c r="R250" s="643">
        <v>0</v>
      </c>
      <c r="S250" s="643">
        <v>0</v>
      </c>
      <c r="T250" s="643">
        <v>0</v>
      </c>
      <c r="U250" s="644">
        <f t="shared" si="15"/>
        <v>0</v>
      </c>
      <c r="V250" s="643">
        <v>0</v>
      </c>
      <c r="W250" s="643">
        <v>0</v>
      </c>
      <c r="X250" s="643">
        <v>0</v>
      </c>
      <c r="Y250" s="643">
        <v>0</v>
      </c>
    </row>
    <row r="251" spans="1:25" x14ac:dyDescent="0.15">
      <c r="A251" s="642">
        <v>43191</v>
      </c>
      <c r="B251" s="640" t="str">
        <f t="shared" ca="1" si="16"/>
        <v>04</v>
      </c>
      <c r="C251" s="639" t="s">
        <v>358</v>
      </c>
      <c r="D251" s="644">
        <f ca="1">IF(A251="","",IFERROR(GETPIVOTDATA("合計 / 合計",【ピボット】事業所売上!$A$3,"年月",$A251,"事業所コード",$B251,"事業所",$C251),0))</f>
        <v>4706520</v>
      </c>
      <c r="E251" s="643">
        <v>1332891</v>
      </c>
      <c r="F251" s="643">
        <v>975349</v>
      </c>
      <c r="G251" s="643">
        <v>0</v>
      </c>
      <c r="H251" s="643">
        <v>0</v>
      </c>
      <c r="I251" s="643">
        <v>234380</v>
      </c>
      <c r="J251" s="643">
        <v>31530</v>
      </c>
      <c r="K251" s="644">
        <f t="shared" si="13"/>
        <v>2574150</v>
      </c>
      <c r="L251" s="680">
        <v>821057</v>
      </c>
      <c r="M251" s="680">
        <v>0</v>
      </c>
      <c r="N251" s="644">
        <f t="shared" si="14"/>
        <v>821057</v>
      </c>
      <c r="O251" s="643">
        <v>0</v>
      </c>
      <c r="P251" s="643">
        <v>0</v>
      </c>
      <c r="Q251" s="644">
        <f>IF($A251="","",IF(AND($C251="白金タクシー",$A251&gt;=DATE(2017,9,1)),ROUND(GETPIVOTDATA("合計 / タクシー運賃",【ピボット】事業所売上!$A$3,"年月",$A251,"事業所コード",$B251,"事業所",$C251)*5.1%,0),0))</f>
        <v>0</v>
      </c>
      <c r="R251" s="643">
        <v>0</v>
      </c>
      <c r="S251" s="643">
        <v>0</v>
      </c>
      <c r="T251" s="643">
        <v>0</v>
      </c>
      <c r="U251" s="644">
        <f t="shared" si="15"/>
        <v>0</v>
      </c>
      <c r="V251" s="643">
        <v>0</v>
      </c>
      <c r="W251" s="643">
        <v>0</v>
      </c>
      <c r="X251" s="643">
        <v>0</v>
      </c>
      <c r="Y251" s="643">
        <v>0</v>
      </c>
    </row>
    <row r="252" spans="1:25" x14ac:dyDescent="0.15">
      <c r="A252" s="642">
        <v>43191</v>
      </c>
      <c r="B252" s="640" t="str">
        <f t="shared" ca="1" si="16"/>
        <v>05</v>
      </c>
      <c r="C252" s="639" t="s">
        <v>38</v>
      </c>
      <c r="D252" s="644">
        <f ca="1">IF(A252="","",IFERROR(GETPIVOTDATA("合計 / 合計",【ピボット】事業所売上!$A$3,"年月",$A252,"事業所コード",$B252,"事業所",$C252),0))</f>
        <v>3183714</v>
      </c>
      <c r="E252" s="643">
        <v>1170128</v>
      </c>
      <c r="F252" s="643">
        <v>500000</v>
      </c>
      <c r="G252" s="643">
        <v>0</v>
      </c>
      <c r="H252" s="643">
        <v>0</v>
      </c>
      <c r="I252" s="643">
        <v>43513</v>
      </c>
      <c r="J252" s="643">
        <v>3617</v>
      </c>
      <c r="K252" s="644">
        <f t="shared" si="13"/>
        <v>1717258</v>
      </c>
      <c r="L252" s="680">
        <v>706946</v>
      </c>
      <c r="M252" s="680">
        <v>0</v>
      </c>
      <c r="N252" s="644">
        <f t="shared" si="14"/>
        <v>706946</v>
      </c>
      <c r="O252" s="643">
        <v>32400</v>
      </c>
      <c r="P252" s="643">
        <v>0</v>
      </c>
      <c r="Q252" s="644">
        <f>IF($A252="","",IF(AND($C252="白金タクシー",$A252&gt;=DATE(2017,9,1)),ROUND(GETPIVOTDATA("合計 / タクシー運賃",【ピボット】事業所売上!$A$3,"年月",$A252,"事業所コード",$B252,"事業所",$C252)*5.1%,0),0))</f>
        <v>0</v>
      </c>
      <c r="R252" s="643">
        <v>0</v>
      </c>
      <c r="S252" s="643">
        <v>0</v>
      </c>
      <c r="T252" s="643">
        <v>0</v>
      </c>
      <c r="U252" s="644">
        <f t="shared" si="15"/>
        <v>0</v>
      </c>
      <c r="V252" s="643">
        <v>0</v>
      </c>
      <c r="W252" s="643">
        <v>0</v>
      </c>
      <c r="X252" s="643">
        <v>0</v>
      </c>
      <c r="Y252" s="643">
        <v>0</v>
      </c>
    </row>
    <row r="253" spans="1:25" x14ac:dyDescent="0.15">
      <c r="A253" s="642">
        <v>43191</v>
      </c>
      <c r="B253" s="640" t="str">
        <f t="shared" ca="1" si="16"/>
        <v>07</v>
      </c>
      <c r="C253" s="639" t="s">
        <v>119</v>
      </c>
      <c r="D253" s="644">
        <f ca="1">IF(A253="","",IFERROR(GETPIVOTDATA("合計 / 合計",【ピボット】事業所売上!$A$3,"年月",$A253,"事業所コード",$B253,"事業所",$C253),0))</f>
        <v>859760</v>
      </c>
      <c r="E253" s="643">
        <v>327918</v>
      </c>
      <c r="F253" s="643">
        <v>0</v>
      </c>
      <c r="G253" s="643">
        <v>0</v>
      </c>
      <c r="H253" s="643">
        <v>0</v>
      </c>
      <c r="I253" s="643">
        <v>20375</v>
      </c>
      <c r="J253" s="643">
        <v>0</v>
      </c>
      <c r="K253" s="644">
        <f t="shared" si="13"/>
        <v>348293</v>
      </c>
      <c r="L253" s="680">
        <v>129954</v>
      </c>
      <c r="M253" s="680">
        <v>0</v>
      </c>
      <c r="N253" s="644">
        <f t="shared" si="14"/>
        <v>129954</v>
      </c>
      <c r="O253" s="643">
        <v>0</v>
      </c>
      <c r="P253" s="643">
        <v>0</v>
      </c>
      <c r="Q253" s="644">
        <f>IF($A253="","",IF(AND($C253="白金タクシー",$A253&gt;=DATE(2017,9,1)),ROUND(GETPIVOTDATA("合計 / タクシー運賃",【ピボット】事業所売上!$A$3,"年月",$A253,"事業所コード",$B253,"事業所",$C253)*5.1%,0),0))</f>
        <v>0</v>
      </c>
      <c r="R253" s="643">
        <v>0</v>
      </c>
      <c r="S253" s="643">
        <v>0</v>
      </c>
      <c r="T253" s="643">
        <v>0</v>
      </c>
      <c r="U253" s="644">
        <f t="shared" si="15"/>
        <v>0</v>
      </c>
      <c r="V253" s="643">
        <v>0</v>
      </c>
      <c r="W253" s="643">
        <v>0</v>
      </c>
      <c r="X253" s="643">
        <v>0</v>
      </c>
      <c r="Y253" s="643">
        <v>0</v>
      </c>
    </row>
    <row r="254" spans="1:25" x14ac:dyDescent="0.15">
      <c r="A254" s="642">
        <v>43191</v>
      </c>
      <c r="B254" s="640" t="str">
        <f t="shared" ca="1" si="16"/>
        <v>08</v>
      </c>
      <c r="C254" s="639" t="s">
        <v>189</v>
      </c>
      <c r="D254" s="644">
        <f ca="1">IF(A254="","",IFERROR(GETPIVOTDATA("合計 / 合計",【ピボット】事業所売上!$A$3,"年月",$A254,"事業所コード",$B254,"事業所",$C254),0))</f>
        <v>1038460</v>
      </c>
      <c r="E254" s="643">
        <v>285775</v>
      </c>
      <c r="F254" s="643">
        <v>0</v>
      </c>
      <c r="G254" s="643">
        <v>0</v>
      </c>
      <c r="H254" s="643">
        <v>0</v>
      </c>
      <c r="I254" s="643">
        <f>I224*F254/F224</f>
        <v>0</v>
      </c>
      <c r="J254" s="643">
        <v>0</v>
      </c>
      <c r="K254" s="644">
        <f t="shared" si="13"/>
        <v>285775</v>
      </c>
      <c r="L254" s="680">
        <v>182111</v>
      </c>
      <c r="M254" s="680">
        <v>0</v>
      </c>
      <c r="N254" s="644">
        <f t="shared" si="14"/>
        <v>182111</v>
      </c>
      <c r="O254" s="643">
        <v>0</v>
      </c>
      <c r="P254" s="643">
        <v>0</v>
      </c>
      <c r="Q254" s="644">
        <f>IF($A254="","",IF(AND($C254="白金タクシー",$A254&gt;=DATE(2017,9,1)),ROUND(GETPIVOTDATA("合計 / タクシー運賃",【ピボット】事業所売上!$A$3,"年月",$A254,"事業所コード",$B254,"事業所",$C254)*5.1%,0),0))</f>
        <v>0</v>
      </c>
      <c r="R254" s="643">
        <v>0</v>
      </c>
      <c r="S254" s="643">
        <v>0</v>
      </c>
      <c r="T254" s="643">
        <v>0</v>
      </c>
      <c r="U254" s="644">
        <f t="shared" si="15"/>
        <v>0</v>
      </c>
      <c r="V254" s="643">
        <v>0</v>
      </c>
      <c r="W254" s="643">
        <v>0</v>
      </c>
      <c r="X254" s="643">
        <v>0</v>
      </c>
      <c r="Y254" s="643">
        <v>0</v>
      </c>
    </row>
    <row r="255" spans="1:25" x14ac:dyDescent="0.15">
      <c r="A255" s="642">
        <v>43191</v>
      </c>
      <c r="B255" s="640" t="str">
        <f t="shared" ca="1" si="16"/>
        <v>09</v>
      </c>
      <c r="C255" s="639" t="s">
        <v>329</v>
      </c>
      <c r="D255" s="644">
        <f ca="1">IF(A255="","",IFERROR(GETPIVOTDATA("合計 / 合計",【ピボット】事業所売上!$A$3,"年月",$A255,"事業所コード",$B255,"事業所",$C255),0))</f>
        <v>2754232</v>
      </c>
      <c r="E255" s="643">
        <v>635210</v>
      </c>
      <c r="F255" s="643">
        <v>0</v>
      </c>
      <c r="G255" s="643">
        <v>0</v>
      </c>
      <c r="H255" s="643">
        <v>0</v>
      </c>
      <c r="I255" s="643">
        <v>25914</v>
      </c>
      <c r="J255" s="643">
        <v>0</v>
      </c>
      <c r="K255" s="644">
        <f t="shared" si="13"/>
        <v>661124</v>
      </c>
      <c r="L255" s="680">
        <v>658790</v>
      </c>
      <c r="M255" s="680">
        <v>0</v>
      </c>
      <c r="N255" s="644">
        <f t="shared" si="14"/>
        <v>658790</v>
      </c>
      <c r="O255" s="643">
        <v>0</v>
      </c>
      <c r="P255" s="643">
        <v>0</v>
      </c>
      <c r="Q255" s="644">
        <f>IF($A255="","",IF(AND($C255="白金タクシー",$A255&gt;=DATE(2017,9,1)),ROUND(GETPIVOTDATA("合計 / タクシー運賃",【ピボット】事業所売上!$A$3,"年月",$A255,"事業所コード",$B255,"事業所",$C255)*5.1%,0),0))</f>
        <v>0</v>
      </c>
      <c r="R255" s="643">
        <v>0</v>
      </c>
      <c r="S255" s="643">
        <v>0</v>
      </c>
      <c r="T255" s="643">
        <v>0</v>
      </c>
      <c r="U255" s="644">
        <f t="shared" si="15"/>
        <v>0</v>
      </c>
      <c r="V255" s="643">
        <v>0</v>
      </c>
      <c r="W255" s="643">
        <v>0</v>
      </c>
      <c r="X255" s="643">
        <v>0</v>
      </c>
      <c r="Y255" s="643">
        <v>0</v>
      </c>
    </row>
    <row r="256" spans="1:25" x14ac:dyDescent="0.15">
      <c r="A256" s="642">
        <v>43191</v>
      </c>
      <c r="B256" s="640" t="str">
        <f t="shared" ca="1" si="16"/>
        <v>10</v>
      </c>
      <c r="C256" s="639" t="s">
        <v>336</v>
      </c>
      <c r="D256" s="644">
        <f ca="1">IF(A256="","",IFERROR(GETPIVOTDATA("合計 / 合計",【ピボット】事業所売上!$A$3,"年月",$A256,"事業所コード",$B256,"事業所",$C256),0))</f>
        <v>1960949</v>
      </c>
      <c r="E256" s="643">
        <f>526864-18816</f>
        <v>508048</v>
      </c>
      <c r="F256" s="745">
        <f>677000</f>
        <v>677000</v>
      </c>
      <c r="G256" s="643">
        <v>0</v>
      </c>
      <c r="H256" s="643">
        <v>0</v>
      </c>
      <c r="I256" s="745">
        <f>46590</f>
        <v>46590</v>
      </c>
      <c r="J256" s="643">
        <v>0</v>
      </c>
      <c r="K256" s="644">
        <f t="shared" si="13"/>
        <v>1231638</v>
      </c>
      <c r="L256" s="680">
        <v>870969</v>
      </c>
      <c r="M256" s="680">
        <v>0</v>
      </c>
      <c r="N256" s="644">
        <f t="shared" si="14"/>
        <v>870969</v>
      </c>
      <c r="O256" s="643">
        <v>48600</v>
      </c>
      <c r="P256" s="643">
        <v>0</v>
      </c>
      <c r="Q256" s="644">
        <f ca="1">IF($A256="","",IF(AND($C256="白金タクシー",$A256&gt;=DATE(2017,9,1)),ROUND(GETPIVOTDATA("合計 / タクシー運賃",【ピボット】事業所売上!$A$3,"年月",$A256,"事業所コード",$B256,"事業所",$C256)*5.1%,0),0))</f>
        <v>45399</v>
      </c>
      <c r="R256" s="643">
        <v>0</v>
      </c>
      <c r="S256" s="643">
        <v>0</v>
      </c>
      <c r="T256" s="643">
        <v>0</v>
      </c>
      <c r="U256" s="644">
        <f t="shared" si="15"/>
        <v>0</v>
      </c>
      <c r="V256" s="643">
        <v>0</v>
      </c>
      <c r="W256" s="643">
        <v>0</v>
      </c>
      <c r="X256" s="643">
        <v>0</v>
      </c>
      <c r="Y256" s="643">
        <v>0</v>
      </c>
    </row>
    <row r="257" spans="1:25" x14ac:dyDescent="0.15">
      <c r="A257" s="642">
        <v>43221</v>
      </c>
      <c r="B257" s="640" t="str">
        <f t="shared" ca="1" si="16"/>
        <v>00</v>
      </c>
      <c r="C257" s="639" t="s">
        <v>490</v>
      </c>
      <c r="D257" s="644">
        <f ca="1">IF(A257="","",IFERROR(GETPIVOTDATA("合計 / 合計",【ピボット】事業所売上!$A$3,"年月",$A257,"事業所コード",$B257,"事業所",$C257),0))</f>
        <v>0</v>
      </c>
      <c r="E257" s="643">
        <v>0</v>
      </c>
      <c r="F257" s="643">
        <v>886645</v>
      </c>
      <c r="G257" s="643">
        <v>0</v>
      </c>
      <c r="H257" s="643">
        <v>2500000</v>
      </c>
      <c r="I257" s="643">
        <v>375143</v>
      </c>
      <c r="J257" s="643">
        <v>702</v>
      </c>
      <c r="K257" s="644">
        <f t="shared" si="13"/>
        <v>3762490</v>
      </c>
      <c r="L257" s="680">
        <v>2776985</v>
      </c>
      <c r="M257" s="680">
        <v>0</v>
      </c>
      <c r="N257" s="644">
        <f t="shared" si="14"/>
        <v>2776985</v>
      </c>
      <c r="O257" s="643">
        <v>216000</v>
      </c>
      <c r="P257" s="643">
        <v>0</v>
      </c>
      <c r="Q257" s="644">
        <f>IF($A257="","",IF(AND($C257="白金タクシー",$A257&gt;=DATE(2017,9,1)),ROUND(GETPIVOTDATA("合計 / タクシー運賃",【ピボット】事業所売上!$A$3,"年月",$A257,"事業所コード",$B257,"事業所",$C257)*5.1%,0),0))</f>
        <v>0</v>
      </c>
      <c r="R257" s="643">
        <v>0</v>
      </c>
      <c r="S257" s="643">
        <v>0</v>
      </c>
      <c r="T257" s="643">
        <v>0</v>
      </c>
      <c r="U257" s="644">
        <f t="shared" si="15"/>
        <v>0</v>
      </c>
      <c r="V257" s="643">
        <v>131692</v>
      </c>
      <c r="W257" s="643">
        <v>523134</v>
      </c>
      <c r="X257" s="643">
        <v>0</v>
      </c>
      <c r="Y257" s="643">
        <v>0</v>
      </c>
    </row>
    <row r="258" spans="1:25" x14ac:dyDescent="0.15">
      <c r="A258" s="642">
        <v>43221</v>
      </c>
      <c r="B258" s="640" t="str">
        <f t="shared" ca="1" si="16"/>
        <v>01</v>
      </c>
      <c r="C258" s="639" t="s">
        <v>34</v>
      </c>
      <c r="D258" s="644">
        <f ca="1">IF(A258="","",IFERROR(GETPIVOTDATA("合計 / 合計",【ピボット】事業所売上!$A$3,"年月",$A258,"事業所コード",$B258,"事業所",$C258),0))</f>
        <v>10772827</v>
      </c>
      <c r="E258" s="643">
        <v>3683627</v>
      </c>
      <c r="F258" s="745">
        <v>1603715</v>
      </c>
      <c r="G258" s="643">
        <v>0</v>
      </c>
      <c r="H258" s="643">
        <v>0</v>
      </c>
      <c r="I258" s="643">
        <v>300544</v>
      </c>
      <c r="J258" s="643">
        <v>9765</v>
      </c>
      <c r="K258" s="644">
        <f t="shared" ref="K258:K323" si="17">IF(A258="","",SUM(E258:J258))</f>
        <v>5597651</v>
      </c>
      <c r="L258" s="680">
        <v>1030679</v>
      </c>
      <c r="M258" s="680">
        <v>69984</v>
      </c>
      <c r="N258" s="644">
        <f t="shared" si="14"/>
        <v>1100663</v>
      </c>
      <c r="O258" s="643">
        <v>194400</v>
      </c>
      <c r="P258" s="643">
        <v>0</v>
      </c>
      <c r="Q258" s="644">
        <f>IF($A258="","",IF(AND($C258="白金タクシー",$A258&gt;=DATE(2017,9,1)),ROUND(GETPIVOTDATA("合計 / タクシー運賃",【ピボット】事業所売上!$A$3,"年月",$A258,"事業所コード",$B258,"事業所",$C258)*5.1%,0),0))</f>
        <v>0</v>
      </c>
      <c r="R258" s="643">
        <v>0</v>
      </c>
      <c r="S258" s="643">
        <v>0</v>
      </c>
      <c r="T258" s="643">
        <v>0</v>
      </c>
      <c r="U258" s="644">
        <f t="shared" si="15"/>
        <v>0</v>
      </c>
      <c r="V258" s="643">
        <v>0</v>
      </c>
      <c r="W258" s="643">
        <v>0</v>
      </c>
      <c r="X258" s="643">
        <v>0</v>
      </c>
      <c r="Y258" s="643">
        <v>0</v>
      </c>
    </row>
    <row r="259" spans="1:25" x14ac:dyDescent="0.15">
      <c r="A259" s="642">
        <v>43221</v>
      </c>
      <c r="B259" s="640" t="str">
        <f t="shared" ca="1" si="16"/>
        <v>02</v>
      </c>
      <c r="C259" s="639" t="s">
        <v>37</v>
      </c>
      <c r="D259" s="644">
        <f ca="1">IF(A259="","",IFERROR(GETPIVOTDATA("合計 / 合計",【ピボット】事業所売上!$A$3,"年月",$A259,"事業所コード",$B259,"事業所",$C259),0))</f>
        <v>6731026</v>
      </c>
      <c r="E259" s="643">
        <v>1344542</v>
      </c>
      <c r="F259" s="643">
        <v>2271244</v>
      </c>
      <c r="G259" s="643">
        <v>0</v>
      </c>
      <c r="H259" s="643">
        <v>0</v>
      </c>
      <c r="I259" s="643">
        <v>332605</v>
      </c>
      <c r="J259" s="643">
        <v>2500</v>
      </c>
      <c r="K259" s="644">
        <f t="shared" si="17"/>
        <v>3950891</v>
      </c>
      <c r="L259" s="680">
        <v>1004094</v>
      </c>
      <c r="M259" s="680">
        <v>0</v>
      </c>
      <c r="N259" s="644">
        <f t="shared" ref="N259:N323" si="18">IF(A259="","",SUM(L259:M259))</f>
        <v>1004094</v>
      </c>
      <c r="O259" s="643">
        <v>1000</v>
      </c>
      <c r="P259" s="643">
        <v>0</v>
      </c>
      <c r="Q259" s="644">
        <f>IF($A259="","",IF(AND($C259="白金タクシー",$A259&gt;=DATE(2017,9,1)),ROUND(GETPIVOTDATA("合計 / タクシー運賃",【ピボット】事業所売上!$A$3,"年月",$A259,"事業所コード",$B259,"事業所",$C259)*5.1%,0),0))</f>
        <v>0</v>
      </c>
      <c r="R259" s="643">
        <v>0</v>
      </c>
      <c r="S259" s="643">
        <v>0</v>
      </c>
      <c r="T259" s="643">
        <v>0</v>
      </c>
      <c r="U259" s="644">
        <f t="shared" ref="U259:U323" si="19">IF(A259="","",R259-S259-T259)</f>
        <v>0</v>
      </c>
      <c r="V259" s="643">
        <v>0</v>
      </c>
      <c r="W259" s="643">
        <v>0</v>
      </c>
      <c r="X259" s="643">
        <v>0</v>
      </c>
      <c r="Y259" s="643">
        <v>0</v>
      </c>
    </row>
    <row r="260" spans="1:25" x14ac:dyDescent="0.15">
      <c r="A260" s="642">
        <v>43221</v>
      </c>
      <c r="B260" s="640" t="str">
        <f t="shared" ca="1" si="16"/>
        <v>03</v>
      </c>
      <c r="C260" s="639" t="s">
        <v>66</v>
      </c>
      <c r="D260" s="644">
        <f ca="1">IF(A260="","",IFERROR(GETPIVOTDATA("合計 / 合計",【ピボット】事業所売上!$A$3,"年月",$A260,"事業所コード",$B260,"事業所",$C260),0))</f>
        <v>6479560</v>
      </c>
      <c r="E260" s="643">
        <v>1756736</v>
      </c>
      <c r="F260" s="643">
        <v>1764224</v>
      </c>
      <c r="G260" s="643">
        <v>0</v>
      </c>
      <c r="H260" s="643">
        <v>0</v>
      </c>
      <c r="I260" s="643">
        <v>310574</v>
      </c>
      <c r="J260" s="643">
        <v>8768</v>
      </c>
      <c r="K260" s="644">
        <f t="shared" si="17"/>
        <v>3840302</v>
      </c>
      <c r="L260" s="680">
        <v>870485</v>
      </c>
      <c r="M260" s="680">
        <v>0</v>
      </c>
      <c r="N260" s="644">
        <f t="shared" si="18"/>
        <v>870485</v>
      </c>
      <c r="O260" s="643">
        <v>0</v>
      </c>
      <c r="P260" s="643">
        <v>0</v>
      </c>
      <c r="Q260" s="644">
        <f>IF($A260="","",IF(AND($C260="白金タクシー",$A260&gt;=DATE(2017,9,1)),ROUND(GETPIVOTDATA("合計 / タクシー運賃",【ピボット】事業所売上!$A$3,"年月",$A260,"事業所コード",$B260,"事業所",$C260)*5.1%,0),0))</f>
        <v>0</v>
      </c>
      <c r="R260" s="643">
        <v>0</v>
      </c>
      <c r="S260" s="643">
        <v>0</v>
      </c>
      <c r="T260" s="643">
        <v>0</v>
      </c>
      <c r="U260" s="644">
        <f t="shared" si="19"/>
        <v>0</v>
      </c>
      <c r="V260" s="643">
        <v>0</v>
      </c>
      <c r="W260" s="643">
        <v>0</v>
      </c>
      <c r="X260" s="643">
        <v>0</v>
      </c>
      <c r="Y260" s="643">
        <v>0</v>
      </c>
    </row>
    <row r="261" spans="1:25" x14ac:dyDescent="0.15">
      <c r="A261" s="642">
        <v>43221</v>
      </c>
      <c r="B261" s="640" t="str">
        <f t="shared" ca="1" si="16"/>
        <v>11</v>
      </c>
      <c r="C261" s="639" t="s">
        <v>967</v>
      </c>
      <c r="D261" s="644">
        <f ca="1">IF(A261="","",IFERROR(GETPIVOTDATA("合計 / 合計",【ピボット】事業所売上!$A$3,"年月",$A261,"事業所コード",$B261,"事業所",$C261),0))</f>
        <v>0</v>
      </c>
      <c r="E261" s="643">
        <v>0</v>
      </c>
      <c r="F261" s="643">
        <v>350000</v>
      </c>
      <c r="G261" s="643">
        <v>0</v>
      </c>
      <c r="H261" s="643">
        <v>0</v>
      </c>
      <c r="I261" s="643">
        <v>42363</v>
      </c>
      <c r="J261" s="643">
        <v>2500</v>
      </c>
      <c r="K261" s="644">
        <f t="shared" si="17"/>
        <v>394863</v>
      </c>
      <c r="L261" s="680">
        <v>690320</v>
      </c>
      <c r="M261" s="680">
        <v>0</v>
      </c>
      <c r="N261" s="644">
        <f t="shared" si="18"/>
        <v>690320</v>
      </c>
      <c r="O261" s="643">
        <v>129600</v>
      </c>
      <c r="P261" s="643">
        <v>0</v>
      </c>
      <c r="Q261" s="644">
        <f>IF($A261="","",IF(AND($C261="白金タクシー",$A261&gt;=DATE(2017,9,1)),ROUND(GETPIVOTDATA("合計 / タクシー運賃",【ピボット】事業所売上!$A$3,"年月",$A261,"事業所コード",$B261,"事業所",$C261)*5.1%,0),0))</f>
        <v>0</v>
      </c>
      <c r="R261" s="643">
        <v>0</v>
      </c>
      <c r="S261" s="643">
        <v>0</v>
      </c>
      <c r="T261" s="643">
        <v>0</v>
      </c>
      <c r="U261" s="644">
        <f t="shared" si="19"/>
        <v>0</v>
      </c>
      <c r="V261" s="643">
        <v>0</v>
      </c>
      <c r="W261" s="643">
        <v>0</v>
      </c>
      <c r="X261" s="643">
        <v>0</v>
      </c>
      <c r="Y261" s="643">
        <v>0</v>
      </c>
    </row>
    <row r="262" spans="1:25" x14ac:dyDescent="0.15">
      <c r="A262" s="642">
        <v>43221</v>
      </c>
      <c r="B262" s="640" t="str">
        <f t="shared" ca="1" si="16"/>
        <v>04</v>
      </c>
      <c r="C262" s="639" t="s">
        <v>358</v>
      </c>
      <c r="D262" s="644">
        <f ca="1">IF(A262="","",IFERROR(GETPIVOTDATA("合計 / 合計",【ピボット】事業所売上!$A$3,"年月",$A262,"事業所コード",$B262,"事業所",$C262),0))</f>
        <v>4419633</v>
      </c>
      <c r="E262" s="643">
        <v>1559210</v>
      </c>
      <c r="F262" s="643">
        <v>762550</v>
      </c>
      <c r="G262" s="643">
        <v>0</v>
      </c>
      <c r="H262" s="643">
        <v>0</v>
      </c>
      <c r="I262" s="643">
        <v>198006</v>
      </c>
      <c r="J262" s="643">
        <v>2500</v>
      </c>
      <c r="K262" s="644">
        <f t="shared" si="17"/>
        <v>2522266</v>
      </c>
      <c r="L262" s="680">
        <v>1282778</v>
      </c>
      <c r="M262" s="680">
        <v>0</v>
      </c>
      <c r="N262" s="644">
        <f t="shared" si="18"/>
        <v>1282778</v>
      </c>
      <c r="O262" s="643">
        <v>243000</v>
      </c>
      <c r="P262" s="643">
        <v>0</v>
      </c>
      <c r="Q262" s="644">
        <f>IF($A262="","",IF(AND($C262="白金タクシー",$A262&gt;=DATE(2017,9,1)),ROUND(GETPIVOTDATA("合計 / タクシー運賃",【ピボット】事業所売上!$A$3,"年月",$A262,"事業所コード",$B262,"事業所",$C262)*5.1%,0),0))</f>
        <v>0</v>
      </c>
      <c r="R262" s="643">
        <v>0</v>
      </c>
      <c r="S262" s="643">
        <v>0</v>
      </c>
      <c r="T262" s="643">
        <v>0</v>
      </c>
      <c r="U262" s="644">
        <f t="shared" si="19"/>
        <v>0</v>
      </c>
      <c r="V262" s="643">
        <v>0</v>
      </c>
      <c r="W262" s="643">
        <v>0</v>
      </c>
      <c r="X262" s="643">
        <v>0</v>
      </c>
      <c r="Y262" s="643">
        <v>0</v>
      </c>
    </row>
    <row r="263" spans="1:25" x14ac:dyDescent="0.15">
      <c r="A263" s="642">
        <v>43221</v>
      </c>
      <c r="B263" s="640" t="str">
        <f t="shared" ca="1" si="16"/>
        <v>05</v>
      </c>
      <c r="C263" s="639" t="s">
        <v>38</v>
      </c>
      <c r="D263" s="644">
        <f ca="1">IF(A263="","",IFERROR(GETPIVOTDATA("合計 / 合計",【ピボット】事業所売上!$A$3,"年月",$A263,"事業所コード",$B263,"事業所",$C263),0))</f>
        <v>3021707</v>
      </c>
      <c r="E263" s="1280">
        <v>1194309</v>
      </c>
      <c r="F263" s="643">
        <v>350000</v>
      </c>
      <c r="G263" s="643">
        <v>0</v>
      </c>
      <c r="H263" s="643">
        <v>0</v>
      </c>
      <c r="I263" s="643">
        <v>44530</v>
      </c>
      <c r="J263" s="643">
        <v>2500</v>
      </c>
      <c r="K263" s="644">
        <f t="shared" si="17"/>
        <v>1591339</v>
      </c>
      <c r="L263" s="680">
        <v>727124</v>
      </c>
      <c r="M263" s="680">
        <v>0</v>
      </c>
      <c r="N263" s="644">
        <f t="shared" si="18"/>
        <v>727124</v>
      </c>
      <c r="O263" s="643">
        <v>32400</v>
      </c>
      <c r="P263" s="643">
        <v>0</v>
      </c>
      <c r="Q263" s="644">
        <f>IF($A263="","",IF(AND($C263="白金タクシー",$A263&gt;=DATE(2017,9,1)),ROUND(GETPIVOTDATA("合計 / タクシー運賃",【ピボット】事業所売上!$A$3,"年月",$A263,"事業所コード",$B263,"事業所",$C263)*5.1%,0),0))</f>
        <v>0</v>
      </c>
      <c r="R263" s="643">
        <v>0</v>
      </c>
      <c r="S263" s="643">
        <v>0</v>
      </c>
      <c r="T263" s="643">
        <v>0</v>
      </c>
      <c r="U263" s="644">
        <f t="shared" si="19"/>
        <v>0</v>
      </c>
      <c r="V263" s="643">
        <v>0</v>
      </c>
      <c r="W263" s="643">
        <v>0</v>
      </c>
      <c r="X263" s="643">
        <v>0</v>
      </c>
      <c r="Y263" s="643">
        <v>0</v>
      </c>
    </row>
    <row r="264" spans="1:25" x14ac:dyDescent="0.15">
      <c r="A264" s="642">
        <v>43221</v>
      </c>
      <c r="B264" s="640" t="str">
        <f t="shared" ca="1" si="16"/>
        <v>07</v>
      </c>
      <c r="C264" s="639" t="s">
        <v>119</v>
      </c>
      <c r="D264" s="644">
        <f ca="1">IF(A264="","",IFERROR(GETPIVOTDATA("合計 / 合計",【ピボット】事業所売上!$A$3,"年月",$A264,"事業所コード",$B264,"事業所",$C264),0))</f>
        <v>1366814</v>
      </c>
      <c r="E264" s="643">
        <v>339463</v>
      </c>
      <c r="F264" s="643">
        <v>0</v>
      </c>
      <c r="G264" s="643">
        <v>0</v>
      </c>
      <c r="H264" s="643">
        <v>0</v>
      </c>
      <c r="I264" s="643">
        <v>20978</v>
      </c>
      <c r="J264" s="643">
        <v>0</v>
      </c>
      <c r="K264" s="644">
        <f t="shared" si="17"/>
        <v>360441</v>
      </c>
      <c r="L264" s="680">
        <v>129795</v>
      </c>
      <c r="M264" s="680">
        <v>0</v>
      </c>
      <c r="N264" s="644">
        <f t="shared" si="18"/>
        <v>129795</v>
      </c>
      <c r="O264" s="643">
        <v>0</v>
      </c>
      <c r="P264" s="643">
        <v>0</v>
      </c>
      <c r="Q264" s="644">
        <f>IF($A264="","",IF(AND($C264="白金タクシー",$A264&gt;=DATE(2017,9,1)),ROUND(GETPIVOTDATA("合計 / タクシー運賃",【ピボット】事業所売上!$A$3,"年月",$A264,"事業所コード",$B264,"事業所",$C264)*5.1%,0),0))</f>
        <v>0</v>
      </c>
      <c r="R264" s="643">
        <v>0</v>
      </c>
      <c r="S264" s="643">
        <v>0</v>
      </c>
      <c r="T264" s="643">
        <v>0</v>
      </c>
      <c r="U264" s="644">
        <f t="shared" si="19"/>
        <v>0</v>
      </c>
      <c r="V264" s="643">
        <v>0</v>
      </c>
      <c r="W264" s="643">
        <v>0</v>
      </c>
      <c r="X264" s="643">
        <v>0</v>
      </c>
      <c r="Y264" s="643">
        <v>0</v>
      </c>
    </row>
    <row r="265" spans="1:25" x14ac:dyDescent="0.15">
      <c r="A265" s="642">
        <v>43221</v>
      </c>
      <c r="B265" s="640" t="str">
        <f t="shared" ca="1" si="16"/>
        <v>08</v>
      </c>
      <c r="C265" s="639" t="s">
        <v>189</v>
      </c>
      <c r="D265" s="644">
        <f ca="1">IF(A265="","",IFERROR(GETPIVOTDATA("合計 / 合計",【ピボット】事業所売上!$A$3,"年月",$A265,"事業所コード",$B265,"事業所",$C265),0))</f>
        <v>1150795</v>
      </c>
      <c r="E265" s="643">
        <v>303275</v>
      </c>
      <c r="F265" s="643">
        <v>0</v>
      </c>
      <c r="G265" s="643">
        <v>0</v>
      </c>
      <c r="H265" s="643">
        <v>0</v>
      </c>
      <c r="I265" s="643">
        <v>0</v>
      </c>
      <c r="J265" s="643">
        <v>0</v>
      </c>
      <c r="K265" s="644">
        <f t="shared" si="17"/>
        <v>303275</v>
      </c>
      <c r="L265" s="680">
        <v>184675</v>
      </c>
      <c r="M265" s="680">
        <v>0</v>
      </c>
      <c r="N265" s="644">
        <f t="shared" si="18"/>
        <v>184675</v>
      </c>
      <c r="O265" s="643">
        <v>0</v>
      </c>
      <c r="P265" s="643">
        <v>0</v>
      </c>
      <c r="Q265" s="644">
        <f>IF($A265="","",IF(AND($C265="白金タクシー",$A265&gt;=DATE(2017,9,1)),ROUND(GETPIVOTDATA("合計 / タクシー運賃",【ピボット】事業所売上!$A$3,"年月",$A265,"事業所コード",$B265,"事業所",$C265)*5.1%,0),0))</f>
        <v>0</v>
      </c>
      <c r="R265" s="643">
        <v>0</v>
      </c>
      <c r="S265" s="643">
        <v>0</v>
      </c>
      <c r="T265" s="643">
        <v>0</v>
      </c>
      <c r="U265" s="644">
        <f t="shared" si="19"/>
        <v>0</v>
      </c>
      <c r="V265" s="643">
        <v>0</v>
      </c>
      <c r="W265" s="643">
        <v>0</v>
      </c>
      <c r="X265" s="643">
        <v>0</v>
      </c>
      <c r="Y265" s="643">
        <v>0</v>
      </c>
    </row>
    <row r="266" spans="1:25" x14ac:dyDescent="0.15">
      <c r="A266" s="642">
        <v>43221</v>
      </c>
      <c r="B266" s="640" t="str">
        <f t="shared" ca="1" si="16"/>
        <v>09</v>
      </c>
      <c r="C266" s="639" t="s">
        <v>329</v>
      </c>
      <c r="D266" s="644">
        <f ca="1">IF(A266="","",IFERROR(GETPIVOTDATA("合計 / 合計",【ピボット】事業所売上!$A$3,"年月",$A266,"事業所コード",$B266,"事業所",$C266),0))</f>
        <v>3771025</v>
      </c>
      <c r="E266" s="643">
        <v>641025</v>
      </c>
      <c r="F266" s="643">
        <v>0</v>
      </c>
      <c r="G266" s="643">
        <v>0</v>
      </c>
      <c r="H266" s="643">
        <v>0</v>
      </c>
      <c r="I266" s="643">
        <v>26538</v>
      </c>
      <c r="J266" s="643">
        <v>0</v>
      </c>
      <c r="K266" s="644">
        <f t="shared" si="17"/>
        <v>667563</v>
      </c>
      <c r="L266" s="680">
        <v>773088</v>
      </c>
      <c r="M266" s="680">
        <v>0</v>
      </c>
      <c r="N266" s="644">
        <f t="shared" si="18"/>
        <v>773088</v>
      </c>
      <c r="O266" s="643">
        <v>0</v>
      </c>
      <c r="P266" s="643">
        <v>0</v>
      </c>
      <c r="Q266" s="644">
        <f>IF($A266="","",IF(AND($C266="白金タクシー",$A266&gt;=DATE(2017,9,1)),ROUND(GETPIVOTDATA("合計 / タクシー運賃",【ピボット】事業所売上!$A$3,"年月",$A266,"事業所コード",$B266,"事業所",$C266)*5.1%,0),0))</f>
        <v>0</v>
      </c>
      <c r="R266" s="643">
        <v>0</v>
      </c>
      <c r="S266" s="643">
        <v>0</v>
      </c>
      <c r="T266" s="643">
        <v>0</v>
      </c>
      <c r="U266" s="644">
        <f t="shared" si="19"/>
        <v>0</v>
      </c>
      <c r="V266" s="643">
        <v>0</v>
      </c>
      <c r="W266" s="643">
        <v>0</v>
      </c>
      <c r="X266" s="643">
        <v>0</v>
      </c>
      <c r="Y266" s="643">
        <v>0</v>
      </c>
    </row>
    <row r="267" spans="1:25" x14ac:dyDescent="0.15">
      <c r="A267" s="642">
        <v>43221</v>
      </c>
      <c r="B267" s="640" t="str">
        <f t="shared" ca="1" si="16"/>
        <v>10</v>
      </c>
      <c r="C267" s="639" t="s">
        <v>336</v>
      </c>
      <c r="D267" s="644">
        <f ca="1">IF(A267="","",IFERROR(GETPIVOTDATA("合計 / 合計",【ピボット】事業所売上!$A$3,"年月",$A267,"事業所コード",$B267,"事業所",$C267),0))</f>
        <v>1955643</v>
      </c>
      <c r="E267" s="643">
        <v>616701</v>
      </c>
      <c r="F267" s="745">
        <v>300000</v>
      </c>
      <c r="G267" s="643">
        <v>0</v>
      </c>
      <c r="H267" s="643">
        <v>0</v>
      </c>
      <c r="I267" s="643">
        <v>0</v>
      </c>
      <c r="J267" s="643">
        <v>284</v>
      </c>
      <c r="K267" s="644">
        <f t="shared" si="17"/>
        <v>916985</v>
      </c>
      <c r="L267" s="680">
        <v>675648</v>
      </c>
      <c r="M267" s="680">
        <v>0</v>
      </c>
      <c r="N267" s="644">
        <f t="shared" si="18"/>
        <v>675648</v>
      </c>
      <c r="O267" s="643">
        <v>0</v>
      </c>
      <c r="P267" s="643">
        <v>0</v>
      </c>
      <c r="Q267" s="644">
        <f ca="1">IF($A267="","",IF(AND($C267="白金タクシー",$A267&gt;=DATE(2017,9,1)),ROUND(GETPIVOTDATA("合計 / タクシー運賃",【ピボット】事業所売上!$A$3,"年月",$A267,"事業所コード",$B267,"事業所",$C267)*5.1%,0),0))</f>
        <v>46251</v>
      </c>
      <c r="R267" s="643">
        <v>0</v>
      </c>
      <c r="S267" s="643">
        <v>0</v>
      </c>
      <c r="T267" s="643">
        <v>0</v>
      </c>
      <c r="U267" s="644">
        <f t="shared" si="19"/>
        <v>0</v>
      </c>
      <c r="V267" s="643">
        <v>0</v>
      </c>
      <c r="W267" s="643">
        <v>0</v>
      </c>
      <c r="X267" s="643">
        <v>0</v>
      </c>
      <c r="Y267" s="643">
        <v>0</v>
      </c>
    </row>
    <row r="268" spans="1:25" x14ac:dyDescent="0.15">
      <c r="A268" s="642">
        <v>43252</v>
      </c>
      <c r="B268" s="640" t="str">
        <f t="shared" ca="1" si="16"/>
        <v>00</v>
      </c>
      <c r="C268" s="639" t="s">
        <v>490</v>
      </c>
      <c r="D268" s="644">
        <f ca="1">IF(A268="","",IFERROR(GETPIVOTDATA("合計 / 合計",【ピボット】事業所売上!$A$3,"年月",$A268,"事業所コード",$B268,"事業所",$C268),0))</f>
        <v>0</v>
      </c>
      <c r="E268" s="643">
        <v>0</v>
      </c>
      <c r="F268" s="643">
        <v>882500</v>
      </c>
      <c r="G268" s="643">
        <v>1273500</v>
      </c>
      <c r="H268" s="643">
        <v>2500000</v>
      </c>
      <c r="I268" s="643">
        <v>326819</v>
      </c>
      <c r="J268" s="643">
        <v>0</v>
      </c>
      <c r="K268" s="644">
        <f t="shared" si="17"/>
        <v>4982819</v>
      </c>
      <c r="L268" s="680">
        <v>4225191</v>
      </c>
      <c r="M268" s="680">
        <v>0</v>
      </c>
      <c r="N268" s="644">
        <f t="shared" si="18"/>
        <v>4225191</v>
      </c>
      <c r="O268" s="643">
        <v>734400</v>
      </c>
      <c r="P268" s="643">
        <v>0</v>
      </c>
      <c r="Q268" s="644">
        <f>IF($A268="","",IF(AND($C268="白金タクシー",$A268&gt;=DATE(2017,9,1)),ROUND(GETPIVOTDATA("合計 / タクシー運賃",【ピボット】事業所売上!$A$3,"年月",$A268,"事業所コード",$B268,"事業所",$C268)*5.1%,0),0))</f>
        <v>0</v>
      </c>
      <c r="R268" s="643">
        <v>0</v>
      </c>
      <c r="S268" s="643">
        <v>0</v>
      </c>
      <c r="T268" s="643">
        <v>0</v>
      </c>
      <c r="U268" s="644">
        <f t="shared" si="19"/>
        <v>0</v>
      </c>
      <c r="V268" s="643">
        <v>138866</v>
      </c>
      <c r="W268" s="643">
        <v>507754</v>
      </c>
      <c r="X268" s="643">
        <v>0</v>
      </c>
      <c r="Y268" s="643">
        <v>0</v>
      </c>
    </row>
    <row r="269" spans="1:25" x14ac:dyDescent="0.15">
      <c r="A269" s="642">
        <v>43252</v>
      </c>
      <c r="B269" s="640" t="str">
        <f t="shared" ca="1" si="16"/>
        <v>01</v>
      </c>
      <c r="C269" s="639" t="s">
        <v>34</v>
      </c>
      <c r="D269" s="644">
        <f ca="1">IF(A269="","",IFERROR(GETPIVOTDATA("合計 / 合計",【ピボット】事業所売上!$A$3,"年月",$A269,"事業所コード",$B269,"事業所",$C269),0))</f>
        <v>9835106</v>
      </c>
      <c r="E269" s="643">
        <v>3691486</v>
      </c>
      <c r="F269" s="745">
        <v>1674777</v>
      </c>
      <c r="G269" s="643">
        <v>2730000</v>
      </c>
      <c r="H269" s="643">
        <v>0</v>
      </c>
      <c r="I269" s="643">
        <v>262532</v>
      </c>
      <c r="J269" s="643">
        <v>-14849</v>
      </c>
      <c r="K269" s="644">
        <f t="shared" si="17"/>
        <v>8343946</v>
      </c>
      <c r="L269" s="680">
        <v>722718</v>
      </c>
      <c r="M269" s="680">
        <v>93312</v>
      </c>
      <c r="N269" s="644">
        <f t="shared" si="18"/>
        <v>816030</v>
      </c>
      <c r="O269" s="643">
        <v>0</v>
      </c>
      <c r="P269" s="643">
        <v>0</v>
      </c>
      <c r="Q269" s="644">
        <f>IF($A269="","",IF(AND($C269="白金タクシー",$A269&gt;=DATE(2017,9,1)),ROUND(GETPIVOTDATA("合計 / タクシー運賃",【ピボット】事業所売上!$A$3,"年月",$A269,"事業所コード",$B269,"事業所",$C269)*5.1%,0),0))</f>
        <v>0</v>
      </c>
      <c r="R269" s="643">
        <v>0</v>
      </c>
      <c r="S269" s="643">
        <v>0</v>
      </c>
      <c r="T269" s="643">
        <v>0</v>
      </c>
      <c r="U269" s="644">
        <f t="shared" si="19"/>
        <v>0</v>
      </c>
      <c r="V269" s="643">
        <v>0</v>
      </c>
      <c r="W269" s="643">
        <v>0</v>
      </c>
      <c r="X269" s="643">
        <v>0</v>
      </c>
      <c r="Y269" s="643">
        <v>0</v>
      </c>
    </row>
    <row r="270" spans="1:25" x14ac:dyDescent="0.15">
      <c r="A270" s="642">
        <v>43252</v>
      </c>
      <c r="B270" s="640" t="str">
        <f t="shared" ca="1" si="16"/>
        <v>02</v>
      </c>
      <c r="C270" s="639" t="s">
        <v>37</v>
      </c>
      <c r="D270" s="644">
        <f ca="1">IF(A270="","",IFERROR(GETPIVOTDATA("合計 / 合計",【ピボット】事業所売上!$A$3,"年月",$A270,"事業所コード",$B270,"事業所",$C270),0))</f>
        <v>6530234</v>
      </c>
      <c r="E270" s="643">
        <v>1393370</v>
      </c>
      <c r="F270" s="643">
        <v>2330446</v>
      </c>
      <c r="G270" s="643">
        <v>650000</v>
      </c>
      <c r="H270" s="643">
        <v>0</v>
      </c>
      <c r="I270" s="643">
        <v>290376</v>
      </c>
      <c r="J270" s="643">
        <v>82228</v>
      </c>
      <c r="K270" s="644">
        <f t="shared" si="17"/>
        <v>4746420</v>
      </c>
      <c r="L270" s="680">
        <v>1000461</v>
      </c>
      <c r="M270" s="680">
        <v>0</v>
      </c>
      <c r="N270" s="644">
        <f t="shared" si="18"/>
        <v>1000461</v>
      </c>
      <c r="O270" s="643">
        <v>0</v>
      </c>
      <c r="P270" s="643">
        <v>0</v>
      </c>
      <c r="Q270" s="644">
        <f>IF($A270="","",IF(AND($C270="白金タクシー",$A270&gt;=DATE(2017,9,1)),ROUND(GETPIVOTDATA("合計 / タクシー運賃",【ピボット】事業所売上!$A$3,"年月",$A270,"事業所コード",$B270,"事業所",$C270)*5.1%,0),0))</f>
        <v>0</v>
      </c>
      <c r="R270" s="643">
        <v>0</v>
      </c>
      <c r="S270" s="643">
        <v>0</v>
      </c>
      <c r="T270" s="643">
        <v>0</v>
      </c>
      <c r="U270" s="644">
        <f t="shared" si="19"/>
        <v>0</v>
      </c>
      <c r="V270" s="643">
        <v>0</v>
      </c>
      <c r="W270" s="643">
        <v>0</v>
      </c>
      <c r="X270" s="643">
        <v>0</v>
      </c>
      <c r="Y270" s="643">
        <v>0</v>
      </c>
    </row>
    <row r="271" spans="1:25" x14ac:dyDescent="0.15">
      <c r="A271" s="642">
        <v>43252</v>
      </c>
      <c r="B271" s="640" t="str">
        <f t="shared" ca="1" si="16"/>
        <v>03</v>
      </c>
      <c r="C271" s="639" t="s">
        <v>66</v>
      </c>
      <c r="D271" s="644">
        <f ca="1">IF(A271="","",IFERROR(GETPIVOTDATA("合計 / 合計",【ピボット】事業所売上!$A$3,"年月",$A271,"事業所コード",$B271,"事業所",$C271),0))</f>
        <v>6806472</v>
      </c>
      <c r="E271" s="643">
        <v>2004093</v>
      </c>
      <c r="F271" s="643">
        <v>1804000</v>
      </c>
      <c r="G271" s="643">
        <v>1645000</v>
      </c>
      <c r="H271" s="643">
        <v>0</v>
      </c>
      <c r="I271" s="643">
        <v>271347</v>
      </c>
      <c r="J271" s="643">
        <v>6683</v>
      </c>
      <c r="K271" s="644">
        <f t="shared" si="17"/>
        <v>5731123</v>
      </c>
      <c r="L271" s="680">
        <v>946985</v>
      </c>
      <c r="M271" s="680">
        <v>0</v>
      </c>
      <c r="N271" s="644">
        <f t="shared" si="18"/>
        <v>946985</v>
      </c>
      <c r="O271" s="643">
        <v>149040</v>
      </c>
      <c r="P271" s="643">
        <v>0</v>
      </c>
      <c r="Q271" s="644">
        <f>IF($A271="","",IF(AND($C271="白金タクシー",$A271&gt;=DATE(2017,9,1)),ROUND(GETPIVOTDATA("合計 / タクシー運賃",【ピボット】事業所売上!$A$3,"年月",$A271,"事業所コード",$B271,"事業所",$C271)*5.1%,0),0))</f>
        <v>0</v>
      </c>
      <c r="R271" s="643">
        <v>0</v>
      </c>
      <c r="S271" s="643">
        <v>0</v>
      </c>
      <c r="T271" s="643">
        <v>0</v>
      </c>
      <c r="U271" s="644">
        <f t="shared" si="19"/>
        <v>0</v>
      </c>
      <c r="V271" s="643">
        <v>0</v>
      </c>
      <c r="W271" s="643">
        <v>0</v>
      </c>
      <c r="X271" s="643">
        <v>0</v>
      </c>
      <c r="Y271" s="643">
        <v>0</v>
      </c>
    </row>
    <row r="272" spans="1:25" x14ac:dyDescent="0.15">
      <c r="A272" s="642">
        <v>43252</v>
      </c>
      <c r="B272" s="640" t="str">
        <f t="shared" ca="1" si="16"/>
        <v>11</v>
      </c>
      <c r="C272" s="639" t="s">
        <v>967</v>
      </c>
      <c r="D272" s="644">
        <f ca="1">IF(A272="","",IFERROR(GETPIVOTDATA("合計 / 合計",【ピボット】事業所売上!$A$3,"年月",$A272,"事業所コード",$B272,"事業所",$C272),0))</f>
        <v>100885</v>
      </c>
      <c r="E272" s="643">
        <v>49610</v>
      </c>
      <c r="F272" s="643">
        <v>405592</v>
      </c>
      <c r="G272" s="643">
        <v>315000</v>
      </c>
      <c r="H272" s="643">
        <v>0</v>
      </c>
      <c r="I272" s="643">
        <v>37084</v>
      </c>
      <c r="J272" s="643">
        <v>38422</v>
      </c>
      <c r="K272" s="644">
        <f t="shared" si="17"/>
        <v>845708</v>
      </c>
      <c r="L272" s="680">
        <v>759192</v>
      </c>
      <c r="M272" s="680">
        <v>0</v>
      </c>
      <c r="N272" s="644">
        <f t="shared" si="18"/>
        <v>759192</v>
      </c>
      <c r="O272" s="643">
        <v>196560</v>
      </c>
      <c r="P272" s="643">
        <v>0</v>
      </c>
      <c r="Q272" s="644">
        <f>IF($A272="","",IF(AND($C272="白金タクシー",$A272&gt;=DATE(2017,9,1)),ROUND(GETPIVOTDATA("合計 / タクシー運賃",【ピボット】事業所売上!$A$3,"年月",$A272,"事業所コード",$B272,"事業所",$C272)*5.1%,0),0))</f>
        <v>0</v>
      </c>
      <c r="R272" s="643">
        <v>0</v>
      </c>
      <c r="S272" s="643">
        <v>0</v>
      </c>
      <c r="T272" s="643">
        <v>0</v>
      </c>
      <c r="U272" s="644">
        <f t="shared" si="19"/>
        <v>0</v>
      </c>
      <c r="V272" s="643">
        <v>0</v>
      </c>
      <c r="W272" s="643">
        <v>0</v>
      </c>
      <c r="X272" s="643">
        <v>0</v>
      </c>
      <c r="Y272" s="643">
        <v>0</v>
      </c>
    </row>
    <row r="273" spans="1:25" x14ac:dyDescent="0.15">
      <c r="A273" s="642">
        <v>43252</v>
      </c>
      <c r="B273" s="640" t="str">
        <f t="shared" ca="1" si="16"/>
        <v>04</v>
      </c>
      <c r="C273" s="639" t="s">
        <v>358</v>
      </c>
      <c r="D273" s="644">
        <f ca="1">IF(A273="","",IFERROR(GETPIVOTDATA("合計 / 合計",【ピボット】事業所売上!$A$3,"年月",$A273,"事業所コード",$B273,"事業所",$C273),0))</f>
        <v>4146272</v>
      </c>
      <c r="E273" s="643">
        <v>1098748</v>
      </c>
      <c r="F273" s="643">
        <v>1216925</v>
      </c>
      <c r="G273" s="643">
        <v>160000</v>
      </c>
      <c r="H273" s="643">
        <v>0</v>
      </c>
      <c r="I273" s="643">
        <v>195918</v>
      </c>
      <c r="J273" s="643">
        <v>3670</v>
      </c>
      <c r="K273" s="644">
        <f t="shared" si="17"/>
        <v>2675261</v>
      </c>
      <c r="L273" s="680">
        <v>1171971</v>
      </c>
      <c r="M273" s="680">
        <v>0</v>
      </c>
      <c r="N273" s="644">
        <f t="shared" si="18"/>
        <v>1171971</v>
      </c>
      <c r="O273" s="643">
        <v>0</v>
      </c>
      <c r="P273" s="643">
        <v>0</v>
      </c>
      <c r="Q273" s="644">
        <f>IF($A273="","",IF(AND($C273="白金タクシー",$A273&gt;=DATE(2017,9,1)),ROUND(GETPIVOTDATA("合計 / タクシー運賃",【ピボット】事業所売上!$A$3,"年月",$A273,"事業所コード",$B273,"事業所",$C273)*5.1%,0),0))</f>
        <v>0</v>
      </c>
      <c r="R273" s="643">
        <v>0</v>
      </c>
      <c r="S273" s="643">
        <v>0</v>
      </c>
      <c r="T273" s="643">
        <v>0</v>
      </c>
      <c r="U273" s="644">
        <f t="shared" si="19"/>
        <v>0</v>
      </c>
      <c r="V273" s="643">
        <v>0</v>
      </c>
      <c r="W273" s="643">
        <v>0</v>
      </c>
      <c r="X273" s="643">
        <v>0</v>
      </c>
      <c r="Y273" s="643">
        <v>0</v>
      </c>
    </row>
    <row r="274" spans="1:25" x14ac:dyDescent="0.15">
      <c r="A274" s="642">
        <v>43252</v>
      </c>
      <c r="B274" s="640" t="str">
        <f t="shared" ca="1" si="16"/>
        <v>05</v>
      </c>
      <c r="C274" s="639" t="s">
        <v>38</v>
      </c>
      <c r="D274" s="644">
        <f ca="1">IF(A274="","",IFERROR(GETPIVOTDATA("合計 / 合計",【ピボット】事業所売上!$A$3,"年月",$A274,"事業所コード",$B274,"事業所",$C274),0))</f>
        <v>2692178</v>
      </c>
      <c r="E274" s="1280">
        <f>1243262-10000</f>
        <v>1233262</v>
      </c>
      <c r="F274" s="643">
        <v>350000</v>
      </c>
      <c r="G274" s="643">
        <v>451800</v>
      </c>
      <c r="H274" s="643">
        <v>0</v>
      </c>
      <c r="I274" s="643">
        <v>59494</v>
      </c>
      <c r="J274" s="643">
        <v>3670</v>
      </c>
      <c r="K274" s="644">
        <f t="shared" si="17"/>
        <v>2098226</v>
      </c>
      <c r="L274" s="680">
        <v>683680</v>
      </c>
      <c r="M274" s="680">
        <v>0</v>
      </c>
      <c r="N274" s="644">
        <f t="shared" si="18"/>
        <v>683680</v>
      </c>
      <c r="O274" s="643">
        <v>10171</v>
      </c>
      <c r="P274" s="643">
        <v>0</v>
      </c>
      <c r="Q274" s="644">
        <f>IF($A274="","",IF(AND($C274="白金タクシー",$A274&gt;=DATE(2017,9,1)),ROUND(GETPIVOTDATA("合計 / タクシー運賃",【ピボット】事業所売上!$A$3,"年月",$A274,"事業所コード",$B274,"事業所",$C274)*5.1%,0),0))</f>
        <v>0</v>
      </c>
      <c r="R274" s="643">
        <v>0</v>
      </c>
      <c r="S274" s="643">
        <v>0</v>
      </c>
      <c r="T274" s="643">
        <v>0</v>
      </c>
      <c r="U274" s="644">
        <f t="shared" si="19"/>
        <v>0</v>
      </c>
      <c r="V274" s="643">
        <v>0</v>
      </c>
      <c r="W274" s="643">
        <v>0</v>
      </c>
      <c r="X274" s="643">
        <v>0</v>
      </c>
      <c r="Y274" s="643">
        <v>0</v>
      </c>
    </row>
    <row r="275" spans="1:25" x14ac:dyDescent="0.15">
      <c r="A275" s="642">
        <v>43252</v>
      </c>
      <c r="B275" s="640" t="str">
        <f t="shared" ca="1" si="16"/>
        <v>07</v>
      </c>
      <c r="C275" s="639" t="s">
        <v>119</v>
      </c>
      <c r="D275" s="644">
        <f ca="1">IF(A275="","",IFERROR(GETPIVOTDATA("合計 / 合計",【ピボット】事業所売上!$A$3,"年月",$A275,"事業所コード",$B275,"事業所",$C275),0))</f>
        <v>548955</v>
      </c>
      <c r="E275" s="643">
        <v>340543</v>
      </c>
      <c r="F275" s="643">
        <v>0</v>
      </c>
      <c r="G275" s="643">
        <v>0</v>
      </c>
      <c r="H275" s="643">
        <v>0</v>
      </c>
      <c r="I275" s="643">
        <v>18298</v>
      </c>
      <c r="J275" s="643">
        <v>0</v>
      </c>
      <c r="K275" s="644">
        <f t="shared" si="17"/>
        <v>358841</v>
      </c>
      <c r="L275" s="680">
        <v>173077</v>
      </c>
      <c r="M275" s="680">
        <v>0</v>
      </c>
      <c r="N275" s="644">
        <f t="shared" si="18"/>
        <v>173077</v>
      </c>
      <c r="O275" s="643">
        <v>0</v>
      </c>
      <c r="P275" s="643">
        <v>0</v>
      </c>
      <c r="Q275" s="644">
        <f>IF($A275="","",IF(AND($C275="白金タクシー",$A275&gt;=DATE(2017,9,1)),ROUND(GETPIVOTDATA("合計 / タクシー運賃",【ピボット】事業所売上!$A$3,"年月",$A275,"事業所コード",$B275,"事業所",$C275)*5.1%,0),0))</f>
        <v>0</v>
      </c>
      <c r="R275" s="643">
        <v>0</v>
      </c>
      <c r="S275" s="643">
        <v>0</v>
      </c>
      <c r="T275" s="643">
        <v>0</v>
      </c>
      <c r="U275" s="644">
        <f t="shared" si="19"/>
        <v>0</v>
      </c>
      <c r="V275" s="643">
        <v>0</v>
      </c>
      <c r="W275" s="643">
        <v>0</v>
      </c>
      <c r="X275" s="643">
        <v>0</v>
      </c>
      <c r="Y275" s="643">
        <v>0</v>
      </c>
    </row>
    <row r="276" spans="1:25" x14ac:dyDescent="0.15">
      <c r="A276" s="642">
        <v>43252</v>
      </c>
      <c r="B276" s="640" t="str">
        <f t="shared" ca="1" si="16"/>
        <v>08</v>
      </c>
      <c r="C276" s="639" t="s">
        <v>189</v>
      </c>
      <c r="D276" s="644">
        <f ca="1">IF(A276="","",IFERROR(GETPIVOTDATA("合計 / 合計",【ピボット】事業所売上!$A$3,"年月",$A276,"事業所コード",$B276,"事業所",$C276),0))</f>
        <v>1054056</v>
      </c>
      <c r="E276" s="643">
        <v>299100</v>
      </c>
      <c r="F276" s="643">
        <v>0</v>
      </c>
      <c r="G276" s="643">
        <v>0</v>
      </c>
      <c r="H276" s="643">
        <v>0</v>
      </c>
      <c r="I276" s="643">
        <v>0</v>
      </c>
      <c r="J276" s="643">
        <v>0</v>
      </c>
      <c r="K276" s="644">
        <f t="shared" si="17"/>
        <v>299100</v>
      </c>
      <c r="L276" s="680">
        <v>176539</v>
      </c>
      <c r="M276" s="680">
        <v>0</v>
      </c>
      <c r="N276" s="644">
        <f t="shared" si="18"/>
        <v>176539</v>
      </c>
      <c r="O276" s="643">
        <v>0</v>
      </c>
      <c r="P276" s="643">
        <v>0</v>
      </c>
      <c r="Q276" s="644">
        <f>IF($A276="","",IF(AND($C276="白金タクシー",$A276&gt;=DATE(2017,9,1)),ROUND(GETPIVOTDATA("合計 / タクシー運賃",【ピボット】事業所売上!$A$3,"年月",$A276,"事業所コード",$B276,"事業所",$C276)*5.1%,0),0))</f>
        <v>0</v>
      </c>
      <c r="R276" s="643">
        <v>0</v>
      </c>
      <c r="S276" s="643">
        <v>0</v>
      </c>
      <c r="T276" s="643">
        <v>0</v>
      </c>
      <c r="U276" s="644">
        <f t="shared" si="19"/>
        <v>0</v>
      </c>
      <c r="V276" s="643">
        <v>0</v>
      </c>
      <c r="W276" s="643">
        <v>0</v>
      </c>
      <c r="X276" s="643">
        <v>0</v>
      </c>
      <c r="Y276" s="643">
        <v>0</v>
      </c>
    </row>
    <row r="277" spans="1:25" x14ac:dyDescent="0.15">
      <c r="A277" s="642">
        <v>43252</v>
      </c>
      <c r="B277" s="640" t="str">
        <f t="shared" ca="1" si="16"/>
        <v>09</v>
      </c>
      <c r="C277" s="639" t="s">
        <v>329</v>
      </c>
      <c r="D277" s="644">
        <f ca="1">IF(A277="","",IFERROR(GETPIVOTDATA("合計 / 合計",【ピボット】事業所売上!$A$3,"年月",$A277,"事業所コード",$B277,"事業所",$C277),0))</f>
        <v>2469018</v>
      </c>
      <c r="E277" s="643">
        <v>636965</v>
      </c>
      <c r="F277" s="643">
        <v>0</v>
      </c>
      <c r="G277" s="643">
        <v>0</v>
      </c>
      <c r="H277" s="643">
        <v>0</v>
      </c>
      <c r="I277" s="643">
        <v>23220</v>
      </c>
      <c r="J277" s="643">
        <v>0</v>
      </c>
      <c r="K277" s="644">
        <f t="shared" si="17"/>
        <v>660185</v>
      </c>
      <c r="L277" s="680">
        <v>589882</v>
      </c>
      <c r="M277" s="680">
        <v>0</v>
      </c>
      <c r="N277" s="644">
        <f t="shared" si="18"/>
        <v>589882</v>
      </c>
      <c r="O277" s="643">
        <v>0</v>
      </c>
      <c r="P277" s="643">
        <v>0</v>
      </c>
      <c r="Q277" s="644">
        <f>IF($A277="","",IF(AND($C277="白金タクシー",$A277&gt;=DATE(2017,9,1)),ROUND(GETPIVOTDATA("合計 / タクシー運賃",【ピボット】事業所売上!$A$3,"年月",$A277,"事業所コード",$B277,"事業所",$C277)*5.1%,0),0))</f>
        <v>0</v>
      </c>
      <c r="R277" s="643">
        <v>0</v>
      </c>
      <c r="S277" s="643">
        <v>0</v>
      </c>
      <c r="T277" s="643">
        <v>0</v>
      </c>
      <c r="U277" s="644">
        <f t="shared" si="19"/>
        <v>0</v>
      </c>
      <c r="V277" s="643">
        <v>0</v>
      </c>
      <c r="W277" s="643">
        <v>0</v>
      </c>
      <c r="X277" s="643">
        <v>0</v>
      </c>
      <c r="Y277" s="643">
        <v>0</v>
      </c>
    </row>
    <row r="278" spans="1:25" x14ac:dyDescent="0.15">
      <c r="A278" s="642">
        <v>43252</v>
      </c>
      <c r="B278" s="640" t="str">
        <f t="shared" ca="1" si="16"/>
        <v>10</v>
      </c>
      <c r="C278" s="639" t="s">
        <v>336</v>
      </c>
      <c r="D278" s="644">
        <f ca="1">IF(A278="","",IFERROR(GETPIVOTDATA("合計 / 合計",【ピボット】事業所売上!$A$3,"年月",$A278,"事業所コード",$B278,"事業所",$C278),0))</f>
        <v>1889542</v>
      </c>
      <c r="E278" s="643">
        <v>655449</v>
      </c>
      <c r="F278" s="745">
        <v>300000</v>
      </c>
      <c r="G278" s="643">
        <v>0</v>
      </c>
      <c r="H278" s="643">
        <v>0</v>
      </c>
      <c r="I278" s="643">
        <v>0</v>
      </c>
      <c r="J278" s="643">
        <v>85</v>
      </c>
      <c r="K278" s="644">
        <f t="shared" si="17"/>
        <v>955534</v>
      </c>
      <c r="L278" s="680">
        <v>709959</v>
      </c>
      <c r="M278" s="680">
        <v>0</v>
      </c>
      <c r="N278" s="644">
        <f t="shared" si="18"/>
        <v>709959</v>
      </c>
      <c r="O278" s="643">
        <v>0</v>
      </c>
      <c r="P278" s="643">
        <v>0</v>
      </c>
      <c r="Q278" s="644">
        <f ca="1">IF($A278="","",IF(AND($C278="白金タクシー",$A278&gt;=DATE(2017,9,1)),ROUND(GETPIVOTDATA("合計 / タクシー運賃",【ピボット】事業所売上!$A$3,"年月",$A278,"事業所コード",$B278,"事業所",$C278)*5.1%,0),0))</f>
        <v>42763</v>
      </c>
      <c r="R278" s="643">
        <v>0</v>
      </c>
      <c r="S278" s="643">
        <v>0</v>
      </c>
      <c r="T278" s="643">
        <v>0</v>
      </c>
      <c r="U278" s="644">
        <f t="shared" si="19"/>
        <v>0</v>
      </c>
      <c r="V278" s="643">
        <v>0</v>
      </c>
      <c r="W278" s="643">
        <v>0</v>
      </c>
      <c r="X278" s="643">
        <v>0</v>
      </c>
      <c r="Y278" s="643">
        <v>0</v>
      </c>
    </row>
    <row r="279" spans="1:25" x14ac:dyDescent="0.15">
      <c r="A279" s="642">
        <v>43282</v>
      </c>
      <c r="B279" s="640" t="str">
        <f t="shared" ca="1" si="16"/>
        <v>00</v>
      </c>
      <c r="C279" s="639" t="s">
        <v>490</v>
      </c>
      <c r="D279" s="644">
        <f ca="1">IF(A279="","",IFERROR(GETPIVOTDATA("合計 / 合計",【ピボット】事業所売上!$A$3,"年月",$A279,"事業所コード",$B279,"事業所",$C279),0))</f>
        <v>0</v>
      </c>
      <c r="E279" s="643">
        <v>0</v>
      </c>
      <c r="F279" s="643">
        <v>905500</v>
      </c>
      <c r="G279" s="643">
        <v>0</v>
      </c>
      <c r="H279" s="643">
        <v>2500000</v>
      </c>
      <c r="I279" s="643">
        <v>837837</v>
      </c>
      <c r="J279" s="643">
        <v>448470</v>
      </c>
      <c r="K279" s="644">
        <f t="shared" si="17"/>
        <v>4691807</v>
      </c>
      <c r="L279" s="680">
        <v>2631277</v>
      </c>
      <c r="M279" s="680">
        <v>0</v>
      </c>
      <c r="N279" s="644">
        <f t="shared" si="18"/>
        <v>2631277</v>
      </c>
      <c r="O279" s="643">
        <v>66960</v>
      </c>
      <c r="P279" s="643">
        <v>0</v>
      </c>
      <c r="Q279" s="644">
        <f>IF($A279="","",IF(AND($C279="白金タクシー",$A279&gt;=DATE(2017,9,1)),ROUND(GETPIVOTDATA("合計 / タクシー運賃",【ピボット】事業所売上!$A$3,"年月",$A279,"事業所コード",$B279,"事業所",$C279)*5.1%,0),0))</f>
        <v>0</v>
      </c>
      <c r="R279" s="643">
        <v>0</v>
      </c>
      <c r="S279" s="643">
        <v>0</v>
      </c>
      <c r="T279" s="643">
        <v>0</v>
      </c>
      <c r="U279" s="644">
        <f t="shared" si="19"/>
        <v>0</v>
      </c>
      <c r="V279" s="643">
        <v>135812</v>
      </c>
      <c r="W279" s="643">
        <v>677872</v>
      </c>
      <c r="X279" s="643">
        <v>0</v>
      </c>
      <c r="Y279" s="643">
        <v>0</v>
      </c>
    </row>
    <row r="280" spans="1:25" x14ac:dyDescent="0.15">
      <c r="A280" s="642">
        <v>43282</v>
      </c>
      <c r="B280" s="640" t="str">
        <f t="shared" ca="1" si="16"/>
        <v>01</v>
      </c>
      <c r="C280" s="639" t="s">
        <v>34</v>
      </c>
      <c r="D280" s="644">
        <f ca="1">IF(A280="","",IFERROR(GETPIVOTDATA("合計 / 合計",【ピボット】事業所売上!$A$3,"年月",$A280,"事業所コード",$B280,"事業所",$C280),0))</f>
        <v>11042771</v>
      </c>
      <c r="E280" s="643">
        <v>3888723</v>
      </c>
      <c r="F280" s="745">
        <v>1734830</v>
      </c>
      <c r="G280" s="643">
        <v>0</v>
      </c>
      <c r="H280" s="643">
        <v>0</v>
      </c>
      <c r="I280" s="643">
        <v>673537</v>
      </c>
      <c r="J280" s="643">
        <v>26707</v>
      </c>
      <c r="K280" s="644">
        <f t="shared" si="17"/>
        <v>6323797</v>
      </c>
      <c r="L280" s="680">
        <v>953691</v>
      </c>
      <c r="M280" s="680">
        <v>69984</v>
      </c>
      <c r="N280" s="644">
        <f t="shared" si="18"/>
        <v>1023675</v>
      </c>
      <c r="O280" s="643">
        <v>148500</v>
      </c>
      <c r="P280" s="643">
        <v>0</v>
      </c>
      <c r="Q280" s="644">
        <f>IF($A280="","",IF(AND($C280="白金タクシー",$A280&gt;=DATE(2017,9,1)),ROUND(GETPIVOTDATA("合計 / タクシー運賃",【ピボット】事業所売上!$A$3,"年月",$A280,"事業所コード",$B280,"事業所",$C280)*5.1%,0),0))</f>
        <v>0</v>
      </c>
      <c r="R280" s="643">
        <v>0</v>
      </c>
      <c r="S280" s="643">
        <v>0</v>
      </c>
      <c r="T280" s="643">
        <v>0</v>
      </c>
      <c r="U280" s="644">
        <f t="shared" si="19"/>
        <v>0</v>
      </c>
      <c r="V280" s="643">
        <v>0</v>
      </c>
      <c r="W280" s="643">
        <v>0</v>
      </c>
      <c r="X280" s="643">
        <v>0</v>
      </c>
      <c r="Y280" s="643">
        <v>0</v>
      </c>
    </row>
    <row r="281" spans="1:25" x14ac:dyDescent="0.15">
      <c r="A281" s="642">
        <v>43282</v>
      </c>
      <c r="B281" s="640" t="str">
        <f t="shared" ca="1" si="16"/>
        <v>02</v>
      </c>
      <c r="C281" s="639" t="s">
        <v>37</v>
      </c>
      <c r="D281" s="644">
        <f ca="1">IF(A281="","",IFERROR(GETPIVOTDATA("合計 / 合計",【ピボット】事業所売上!$A$3,"年月",$A281,"事業所コード",$B281,"事業所",$C281),0))</f>
        <v>6075758</v>
      </c>
      <c r="E281" s="643">
        <v>1478590</v>
      </c>
      <c r="F281" s="643">
        <v>2419865</v>
      </c>
      <c r="G281" s="643">
        <v>0</v>
      </c>
      <c r="H281" s="643">
        <v>0</v>
      </c>
      <c r="I281" s="643">
        <v>745189</v>
      </c>
      <c r="J281" s="643">
        <v>7595</v>
      </c>
      <c r="K281" s="644">
        <f t="shared" si="17"/>
        <v>4651239</v>
      </c>
      <c r="L281" s="680">
        <v>1024705</v>
      </c>
      <c r="M281" s="680">
        <v>0</v>
      </c>
      <c r="N281" s="644">
        <f t="shared" si="18"/>
        <v>1024705</v>
      </c>
      <c r="O281" s="643">
        <v>51840</v>
      </c>
      <c r="P281" s="643">
        <v>0</v>
      </c>
      <c r="Q281" s="644">
        <f>IF($A281="","",IF(AND($C281="白金タクシー",$A281&gt;=DATE(2017,9,1)),ROUND(GETPIVOTDATA("合計 / タクシー運賃",【ピボット】事業所売上!$A$3,"年月",$A281,"事業所コード",$B281,"事業所",$C281)*5.1%,0),0))</f>
        <v>0</v>
      </c>
      <c r="R281" s="643">
        <v>0</v>
      </c>
      <c r="S281" s="643">
        <v>0</v>
      </c>
      <c r="T281" s="643">
        <v>0</v>
      </c>
      <c r="U281" s="644">
        <f t="shared" si="19"/>
        <v>0</v>
      </c>
      <c r="V281" s="643">
        <v>0</v>
      </c>
      <c r="W281" s="643">
        <v>0</v>
      </c>
      <c r="X281" s="643">
        <v>0</v>
      </c>
      <c r="Y281" s="643">
        <v>0</v>
      </c>
    </row>
    <row r="282" spans="1:25" x14ac:dyDescent="0.15">
      <c r="A282" s="642">
        <v>43282</v>
      </c>
      <c r="B282" s="640" t="str">
        <f t="shared" ca="1" si="16"/>
        <v>03</v>
      </c>
      <c r="C282" s="639" t="s">
        <v>66</v>
      </c>
      <c r="D282" s="644">
        <f ca="1">IF(A282="","",IFERROR(GETPIVOTDATA("合計 / 合計",【ピボット】事業所売上!$A$3,"年月",$A282,"事業所コード",$B282,"事業所",$C282),0))</f>
        <v>6915528</v>
      </c>
      <c r="E282" s="643">
        <v>1955103</v>
      </c>
      <c r="F282" s="643">
        <v>1848415</v>
      </c>
      <c r="G282" s="643">
        <v>0</v>
      </c>
      <c r="H282" s="643">
        <v>0</v>
      </c>
      <c r="I282" s="643">
        <v>695963</v>
      </c>
      <c r="J282" s="643">
        <v>2571</v>
      </c>
      <c r="K282" s="644">
        <f t="shared" si="17"/>
        <v>4502052</v>
      </c>
      <c r="L282" s="680">
        <v>817228</v>
      </c>
      <c r="M282" s="680">
        <v>0</v>
      </c>
      <c r="N282" s="644">
        <f t="shared" si="18"/>
        <v>817228</v>
      </c>
      <c r="O282" s="643">
        <v>0</v>
      </c>
      <c r="P282" s="643">
        <v>0</v>
      </c>
      <c r="Q282" s="644">
        <f>IF($A282="","",IF(AND($C282="白金タクシー",$A282&gt;=DATE(2017,9,1)),ROUND(GETPIVOTDATA("合計 / タクシー運賃",【ピボット】事業所売上!$A$3,"年月",$A282,"事業所コード",$B282,"事業所",$C282)*5.1%,0),0))</f>
        <v>0</v>
      </c>
      <c r="R282" s="643">
        <v>0</v>
      </c>
      <c r="S282" s="643">
        <v>0</v>
      </c>
      <c r="T282" s="643">
        <v>0</v>
      </c>
      <c r="U282" s="644">
        <f t="shared" si="19"/>
        <v>0</v>
      </c>
      <c r="V282" s="643">
        <v>0</v>
      </c>
      <c r="W282" s="643">
        <v>0</v>
      </c>
      <c r="X282" s="643">
        <v>0</v>
      </c>
      <c r="Y282" s="643">
        <v>0</v>
      </c>
    </row>
    <row r="283" spans="1:25" x14ac:dyDescent="0.15">
      <c r="A283" s="642">
        <v>43282</v>
      </c>
      <c r="B283" s="640" t="str">
        <f t="shared" ca="1" si="16"/>
        <v>11</v>
      </c>
      <c r="C283" s="639" t="s">
        <v>967</v>
      </c>
      <c r="D283" s="644">
        <f ca="1">IF(A283="","",IFERROR(GETPIVOTDATA("合計 / 合計",【ピボット】事業所売上!$A$3,"年月",$A283,"事業所コード",$B283,"事業所",$C283),0))</f>
        <v>663080</v>
      </c>
      <c r="E283" s="643">
        <v>87952</v>
      </c>
      <c r="F283" s="643">
        <v>350000</v>
      </c>
      <c r="G283" s="643">
        <v>0</v>
      </c>
      <c r="H283" s="643">
        <v>0</v>
      </c>
      <c r="I283" s="643">
        <v>94565</v>
      </c>
      <c r="J283" s="643">
        <v>2181</v>
      </c>
      <c r="K283" s="644">
        <f>IF(A283="","",SUM(E283:J283))</f>
        <v>534698</v>
      </c>
      <c r="L283" s="680">
        <v>713868</v>
      </c>
      <c r="M283" s="680">
        <v>0</v>
      </c>
      <c r="N283" s="644">
        <f t="shared" si="18"/>
        <v>713868</v>
      </c>
      <c r="O283" s="643">
        <v>226800</v>
      </c>
      <c r="P283" s="643">
        <v>0</v>
      </c>
      <c r="Q283" s="644">
        <f>IF($A283="","",IF(AND($C283="白金タクシー",$A283&gt;=DATE(2017,9,1)),ROUND(GETPIVOTDATA("合計 / タクシー運賃",【ピボット】事業所売上!$A$3,"年月",$A283,"事業所コード",$B283,"事業所",$C283)*5.1%,0),0))</f>
        <v>0</v>
      </c>
      <c r="R283" s="643">
        <v>0</v>
      </c>
      <c r="S283" s="643">
        <v>0</v>
      </c>
      <c r="T283" s="643">
        <v>0</v>
      </c>
      <c r="U283" s="644">
        <f t="shared" si="19"/>
        <v>0</v>
      </c>
      <c r="V283" s="643">
        <v>0</v>
      </c>
      <c r="W283" s="643">
        <v>0</v>
      </c>
      <c r="X283" s="643">
        <v>0</v>
      </c>
      <c r="Y283" s="643">
        <v>0</v>
      </c>
    </row>
    <row r="284" spans="1:25" x14ac:dyDescent="0.15">
      <c r="A284" s="642">
        <v>43282</v>
      </c>
      <c r="B284" s="640" t="str">
        <f t="shared" ca="1" si="16"/>
        <v>12</v>
      </c>
      <c r="C284" s="639" t="s">
        <v>1143</v>
      </c>
      <c r="D284" s="644">
        <f ca="1">IF(A284="","",IFERROR(GETPIVOTDATA("合計 / 合計",【ピボット】事業所売上!$A$3,"年月",$A284,"事業所コード",$B284,"事業所",$C284),0))</f>
        <v>0</v>
      </c>
      <c r="E284" s="643">
        <v>0</v>
      </c>
      <c r="F284" s="643">
        <v>0</v>
      </c>
      <c r="G284" s="643">
        <v>0</v>
      </c>
      <c r="H284" s="643">
        <v>0</v>
      </c>
      <c r="I284" s="643">
        <v>0</v>
      </c>
      <c r="J284" s="643">
        <v>0</v>
      </c>
      <c r="K284" s="644">
        <f t="shared" si="17"/>
        <v>0</v>
      </c>
      <c r="L284" s="680">
        <v>835563</v>
      </c>
      <c r="M284" s="680">
        <v>0</v>
      </c>
      <c r="N284" s="644">
        <f t="shared" si="18"/>
        <v>835563</v>
      </c>
      <c r="O284" s="643">
        <v>0</v>
      </c>
      <c r="P284" s="643">
        <v>0</v>
      </c>
      <c r="Q284" s="644">
        <f>IF($A284="","",IF(AND($C284="白金タクシー",$A284&gt;=DATE(2017,9,1)),ROUND(GETPIVOTDATA("合計 / タクシー運賃",【ピボット】事業所売上!$A$3,"年月",$A284,"事業所コード",$B284,"事業所",$C284)*5.1%,0),0))</f>
        <v>0</v>
      </c>
      <c r="R284" s="643">
        <v>0</v>
      </c>
      <c r="S284" s="643">
        <v>0</v>
      </c>
      <c r="T284" s="643">
        <v>0</v>
      </c>
      <c r="U284" s="644">
        <f t="shared" si="19"/>
        <v>0</v>
      </c>
      <c r="V284" s="643">
        <v>0</v>
      </c>
      <c r="W284" s="643">
        <v>0</v>
      </c>
      <c r="X284" s="643">
        <v>0</v>
      </c>
      <c r="Y284" s="643">
        <v>0</v>
      </c>
    </row>
    <row r="285" spans="1:25" x14ac:dyDescent="0.15">
      <c r="A285" s="642">
        <v>43282</v>
      </c>
      <c r="B285" s="640" t="str">
        <f t="shared" ca="1" si="16"/>
        <v>04</v>
      </c>
      <c r="C285" s="639" t="s">
        <v>358</v>
      </c>
      <c r="D285" s="644">
        <f ca="1">IF(A285="","",IFERROR(GETPIVOTDATA("合計 / 合計",【ピボット】事業所売上!$A$3,"年月",$A285,"事業所コード",$B285,"事業所",$C285),0))</f>
        <v>4468494</v>
      </c>
      <c r="E285" s="643">
        <v>1068839</v>
      </c>
      <c r="F285" s="643">
        <v>1047902</v>
      </c>
      <c r="G285" s="643">
        <v>0</v>
      </c>
      <c r="H285" s="643">
        <v>0</v>
      </c>
      <c r="I285" s="643">
        <v>430990</v>
      </c>
      <c r="J285" s="643">
        <v>147479</v>
      </c>
      <c r="K285" s="644">
        <f t="shared" si="17"/>
        <v>2695210</v>
      </c>
      <c r="L285" s="680">
        <v>1095648</v>
      </c>
      <c r="M285" s="680">
        <v>0</v>
      </c>
      <c r="N285" s="644">
        <f t="shared" si="18"/>
        <v>1095648</v>
      </c>
      <c r="O285" s="643">
        <v>0</v>
      </c>
      <c r="P285" s="643">
        <v>0</v>
      </c>
      <c r="Q285" s="644">
        <f>IF($A285="","",IF(AND($C285="白金タクシー",$A285&gt;=DATE(2017,9,1)),ROUND(GETPIVOTDATA("合計 / タクシー運賃",【ピボット】事業所売上!$A$3,"年月",$A285,"事業所コード",$B285,"事業所",$C285)*5.1%,0),0))</f>
        <v>0</v>
      </c>
      <c r="R285" s="643">
        <v>0</v>
      </c>
      <c r="S285" s="643">
        <v>0</v>
      </c>
      <c r="T285" s="643">
        <v>0</v>
      </c>
      <c r="U285" s="644">
        <f t="shared" si="19"/>
        <v>0</v>
      </c>
      <c r="V285" s="643">
        <v>0</v>
      </c>
      <c r="W285" s="643">
        <v>0</v>
      </c>
      <c r="X285" s="643">
        <v>0</v>
      </c>
      <c r="Y285" s="643">
        <v>0</v>
      </c>
    </row>
    <row r="286" spans="1:25" x14ac:dyDescent="0.15">
      <c r="A286" s="642">
        <v>43282</v>
      </c>
      <c r="B286" s="640" t="str">
        <f t="shared" ca="1" si="16"/>
        <v>05</v>
      </c>
      <c r="C286" s="639" t="s">
        <v>38</v>
      </c>
      <c r="D286" s="644">
        <f ca="1">IF(A286="","",IFERROR(GETPIVOTDATA("合計 / 合計",【ピボット】事業所売上!$A$3,"年月",$A286,"事業所コード",$B286,"事業所",$C286),0))</f>
        <v>2546587</v>
      </c>
      <c r="E286" s="643">
        <v>1098247</v>
      </c>
      <c r="F286" s="643">
        <v>650000</v>
      </c>
      <c r="G286" s="643">
        <v>0</v>
      </c>
      <c r="H286" s="643">
        <v>0</v>
      </c>
      <c r="I286" s="643">
        <v>251816</v>
      </c>
      <c r="J286" s="643">
        <v>2189</v>
      </c>
      <c r="K286" s="644">
        <f t="shared" si="17"/>
        <v>2002252</v>
      </c>
      <c r="L286" s="680">
        <v>678728</v>
      </c>
      <c r="M286" s="680">
        <v>0</v>
      </c>
      <c r="N286" s="644">
        <f t="shared" si="18"/>
        <v>678728</v>
      </c>
      <c r="O286" s="643">
        <v>32400</v>
      </c>
      <c r="P286" s="643">
        <v>0</v>
      </c>
      <c r="Q286" s="644">
        <f>IF($A286="","",IF(AND($C286="白金タクシー",$A286&gt;=DATE(2017,9,1)),ROUND(GETPIVOTDATA("合計 / タクシー運賃",【ピボット】事業所売上!$A$3,"年月",$A286,"事業所コード",$B286,"事業所",$C286)*5.1%,0),0))</f>
        <v>0</v>
      </c>
      <c r="R286" s="643">
        <v>0</v>
      </c>
      <c r="S286" s="643">
        <v>0</v>
      </c>
      <c r="T286" s="643">
        <v>0</v>
      </c>
      <c r="U286" s="644">
        <f t="shared" si="19"/>
        <v>0</v>
      </c>
      <c r="V286" s="643">
        <v>0</v>
      </c>
      <c r="W286" s="643">
        <v>0</v>
      </c>
      <c r="X286" s="643">
        <v>0</v>
      </c>
      <c r="Y286" s="643">
        <v>0</v>
      </c>
    </row>
    <row r="287" spans="1:25" x14ac:dyDescent="0.15">
      <c r="A287" s="642">
        <v>43282</v>
      </c>
      <c r="B287" s="640" t="str">
        <f t="shared" ca="1" si="16"/>
        <v>07</v>
      </c>
      <c r="C287" s="639" t="s">
        <v>119</v>
      </c>
      <c r="D287" s="644">
        <f ca="1">IF(A287="","",IFERROR(GETPIVOTDATA("合計 / 合計",【ピボット】事業所売上!$A$3,"年月",$A287,"事業所コード",$B287,"事業所",$C287),0))</f>
        <v>1159974</v>
      </c>
      <c r="E287" s="643">
        <v>348048</v>
      </c>
      <c r="F287" s="643">
        <v>0</v>
      </c>
      <c r="G287" s="643">
        <v>0</v>
      </c>
      <c r="H287" s="643">
        <v>0</v>
      </c>
      <c r="I287" s="643">
        <v>46903</v>
      </c>
      <c r="J287" s="643">
        <v>0</v>
      </c>
      <c r="K287" s="644">
        <f t="shared" si="17"/>
        <v>394951</v>
      </c>
      <c r="L287" s="680">
        <v>127926</v>
      </c>
      <c r="M287" s="680">
        <v>0</v>
      </c>
      <c r="N287" s="644">
        <f t="shared" si="18"/>
        <v>127926</v>
      </c>
      <c r="O287" s="643">
        <v>0</v>
      </c>
      <c r="P287" s="643">
        <v>0</v>
      </c>
      <c r="Q287" s="644">
        <f>IF($A287="","",IF(AND($C287="白金タクシー",$A287&gt;=DATE(2017,9,1)),ROUND(GETPIVOTDATA("合計 / タクシー運賃",【ピボット】事業所売上!$A$3,"年月",$A287,"事業所コード",$B287,"事業所",$C287)*5.1%,0),0))</f>
        <v>0</v>
      </c>
      <c r="R287" s="643">
        <v>0</v>
      </c>
      <c r="S287" s="643">
        <v>0</v>
      </c>
      <c r="T287" s="643">
        <v>0</v>
      </c>
      <c r="U287" s="644">
        <f t="shared" si="19"/>
        <v>0</v>
      </c>
      <c r="V287" s="643">
        <v>0</v>
      </c>
      <c r="W287" s="643">
        <v>0</v>
      </c>
      <c r="X287" s="643">
        <v>0</v>
      </c>
      <c r="Y287" s="643">
        <v>0</v>
      </c>
    </row>
    <row r="288" spans="1:25" x14ac:dyDescent="0.15">
      <c r="A288" s="642">
        <v>43282</v>
      </c>
      <c r="B288" s="640" t="str">
        <f t="shared" ca="1" si="16"/>
        <v>08</v>
      </c>
      <c r="C288" s="639" t="s">
        <v>189</v>
      </c>
      <c r="D288" s="644">
        <f ca="1">IF(A288="","",IFERROR(GETPIVOTDATA("合計 / 合計",【ピボット】事業所売上!$A$3,"年月",$A288,"事業所コード",$B288,"事業所",$C288),0))</f>
        <v>1085268</v>
      </c>
      <c r="E288" s="643">
        <v>302725</v>
      </c>
      <c r="F288" s="643">
        <v>0</v>
      </c>
      <c r="G288" s="643">
        <v>0</v>
      </c>
      <c r="H288" s="643">
        <v>0</v>
      </c>
      <c r="I288" s="643">
        <v>0</v>
      </c>
      <c r="J288" s="643">
        <v>0</v>
      </c>
      <c r="K288" s="644">
        <f t="shared" si="17"/>
        <v>302725</v>
      </c>
      <c r="L288" s="680">
        <v>173186</v>
      </c>
      <c r="M288" s="680">
        <v>0</v>
      </c>
      <c r="N288" s="644">
        <f t="shared" si="18"/>
        <v>173186</v>
      </c>
      <c r="O288" s="643">
        <v>0</v>
      </c>
      <c r="P288" s="643">
        <v>0</v>
      </c>
      <c r="Q288" s="644">
        <f>IF($A288="","",IF(AND($C288="白金タクシー",$A288&gt;=DATE(2017,9,1)),ROUND(GETPIVOTDATA("合計 / タクシー運賃",【ピボット】事業所売上!$A$3,"年月",$A288,"事業所コード",$B288,"事業所",$C288)*5.1%,0),0))</f>
        <v>0</v>
      </c>
      <c r="R288" s="643">
        <v>0</v>
      </c>
      <c r="S288" s="643">
        <v>0</v>
      </c>
      <c r="T288" s="643">
        <v>0</v>
      </c>
      <c r="U288" s="644">
        <f t="shared" si="19"/>
        <v>0</v>
      </c>
      <c r="V288" s="643">
        <v>0</v>
      </c>
      <c r="W288" s="643">
        <v>0</v>
      </c>
      <c r="X288" s="643">
        <v>0</v>
      </c>
      <c r="Y288" s="643">
        <v>0</v>
      </c>
    </row>
    <row r="289" spans="1:26" x14ac:dyDescent="0.15">
      <c r="A289" s="642">
        <v>43282</v>
      </c>
      <c r="B289" s="640" t="str">
        <f t="shared" ca="1" si="16"/>
        <v>09</v>
      </c>
      <c r="C289" s="639" t="s">
        <v>329</v>
      </c>
      <c r="D289" s="644">
        <f ca="1">IF(A289="","",IFERROR(GETPIVOTDATA("合計 / 合計",【ピボット】事業所売上!$A$3,"年月",$A289,"事業所コード",$B289,"事業所",$C289),0))</f>
        <v>2977988</v>
      </c>
      <c r="E289" s="643">
        <v>617990</v>
      </c>
      <c r="F289" s="643">
        <v>0</v>
      </c>
      <c r="G289" s="643">
        <v>0</v>
      </c>
      <c r="H289" s="643">
        <v>0</v>
      </c>
      <c r="I289" s="643">
        <v>59224</v>
      </c>
      <c r="J289" s="643">
        <v>0</v>
      </c>
      <c r="K289" s="644">
        <f t="shared" si="17"/>
        <v>677214</v>
      </c>
      <c r="L289" s="680">
        <v>720815</v>
      </c>
      <c r="M289" s="680">
        <v>0</v>
      </c>
      <c r="N289" s="644">
        <f t="shared" si="18"/>
        <v>720815</v>
      </c>
      <c r="O289" s="643">
        <v>0</v>
      </c>
      <c r="P289" s="643">
        <v>0</v>
      </c>
      <c r="Q289" s="644">
        <f>IF($A289="","",IF(AND($C289="白金タクシー",$A289&gt;=DATE(2017,9,1)),ROUND(GETPIVOTDATA("合計 / タクシー運賃",【ピボット】事業所売上!$A$3,"年月",$A289,"事業所コード",$B289,"事業所",$C289)*5.1%,0),0))</f>
        <v>0</v>
      </c>
      <c r="R289" s="643">
        <v>0</v>
      </c>
      <c r="S289" s="643">
        <v>0</v>
      </c>
      <c r="T289" s="643">
        <v>0</v>
      </c>
      <c r="U289" s="644">
        <f t="shared" si="19"/>
        <v>0</v>
      </c>
      <c r="V289" s="643">
        <v>0</v>
      </c>
      <c r="W289" s="643">
        <v>0</v>
      </c>
      <c r="X289" s="643">
        <v>0</v>
      </c>
      <c r="Y289" s="643">
        <v>0</v>
      </c>
    </row>
    <row r="290" spans="1:26" x14ac:dyDescent="0.15">
      <c r="A290" s="642">
        <v>43282</v>
      </c>
      <c r="B290" s="640" t="str">
        <f t="shared" ca="1" si="16"/>
        <v>10</v>
      </c>
      <c r="C290" s="639" t="s">
        <v>336</v>
      </c>
      <c r="D290" s="644">
        <f ca="1">IF(A290="","",IFERROR(GETPIVOTDATA("合計 / 合計",【ピボット】事業所売上!$A$3,"年月",$A290,"事業所コード",$B290,"事業所",$C290),0))</f>
        <v>1614388</v>
      </c>
      <c r="E290" s="643">
        <v>529847</v>
      </c>
      <c r="F290" s="745">
        <v>300000</v>
      </c>
      <c r="G290" s="643">
        <v>0</v>
      </c>
      <c r="H290" s="643">
        <v>0</v>
      </c>
      <c r="I290" s="643">
        <v>0</v>
      </c>
      <c r="J290" s="643">
        <v>0</v>
      </c>
      <c r="K290" s="644">
        <f t="shared" si="17"/>
        <v>829847</v>
      </c>
      <c r="L290" s="680">
        <v>698763</v>
      </c>
      <c r="M290" s="680">
        <v>0</v>
      </c>
      <c r="N290" s="644">
        <f t="shared" si="18"/>
        <v>698763</v>
      </c>
      <c r="O290" s="643">
        <v>0</v>
      </c>
      <c r="P290" s="643">
        <v>0</v>
      </c>
      <c r="Q290" s="644">
        <f ca="1">IF($A290="","",IF(AND($C290="白金タクシー",$A290&gt;=DATE(2017,9,1)),ROUND(GETPIVOTDATA("合計 / タクシー運賃",【ピボット】事業所売上!$A$3,"年月",$A290,"事業所コード",$B290,"事業所",$C290)*5.1%,0),0))</f>
        <v>37757</v>
      </c>
      <c r="R290" s="643">
        <v>0</v>
      </c>
      <c r="S290" s="643">
        <v>0</v>
      </c>
      <c r="T290" s="643">
        <v>0</v>
      </c>
      <c r="U290" s="644">
        <f t="shared" si="19"/>
        <v>0</v>
      </c>
      <c r="V290" s="643">
        <v>0</v>
      </c>
      <c r="W290" s="643">
        <v>0</v>
      </c>
      <c r="X290" s="643">
        <v>0</v>
      </c>
      <c r="Y290" s="643">
        <v>0</v>
      </c>
    </row>
    <row r="291" spans="1:26" x14ac:dyDescent="0.15">
      <c r="A291" s="642">
        <v>43313</v>
      </c>
      <c r="B291" s="640" t="str">
        <f t="shared" ca="1" si="16"/>
        <v>00</v>
      </c>
      <c r="C291" s="639" t="s">
        <v>490</v>
      </c>
      <c r="D291" s="644">
        <f ca="1">IF(A291="","",IFERROR(GETPIVOTDATA("合計 / 合計",【ピボット】事業所売上!$A$3,"年月",$A291,"事業所コード",$B291,"事業所",$C291),0))</f>
        <v>0</v>
      </c>
      <c r="E291" s="643">
        <v>0</v>
      </c>
      <c r="F291" s="643">
        <v>921671</v>
      </c>
      <c r="G291" s="643">
        <v>200000</v>
      </c>
      <c r="H291" s="643">
        <v>2500000</v>
      </c>
      <c r="I291" s="643">
        <v>315318</v>
      </c>
      <c r="J291" s="643">
        <v>120275</v>
      </c>
      <c r="K291" s="644">
        <f t="shared" si="17"/>
        <v>4057264</v>
      </c>
      <c r="L291" s="680">
        <v>3953352</v>
      </c>
      <c r="M291" s="680">
        <v>0</v>
      </c>
      <c r="N291" s="644">
        <f t="shared" si="18"/>
        <v>3953352</v>
      </c>
      <c r="O291" s="643">
        <v>359640</v>
      </c>
      <c r="P291" s="643">
        <v>0</v>
      </c>
      <c r="Q291" s="644">
        <f>IF($A291="","",IF(AND($C291="白金タクシー",$A291&gt;=DATE(2017,9,1)),ROUND(GETPIVOTDATA("合計 / タクシー運賃",【ピボット】事業所売上!$A$3,"年月",$A291,"事業所コード",$B291,"事業所",$C291)*5.1%,0),0))</f>
        <v>0</v>
      </c>
      <c r="R291" s="643">
        <v>-138670</v>
      </c>
      <c r="S291" s="643">
        <v>335171</v>
      </c>
      <c r="T291" s="643">
        <v>596523</v>
      </c>
      <c r="U291" s="644">
        <f t="shared" si="19"/>
        <v>-1070364</v>
      </c>
      <c r="V291" s="643">
        <f>140321+29936</f>
        <v>170257</v>
      </c>
      <c r="W291" s="643">
        <f>659953+488774</f>
        <v>1148727</v>
      </c>
      <c r="X291" s="643">
        <v>-8673</v>
      </c>
      <c r="Y291" s="643">
        <v>-471000</v>
      </c>
    </row>
    <row r="292" spans="1:26" x14ac:dyDescent="0.15">
      <c r="A292" s="642">
        <v>43313</v>
      </c>
      <c r="B292" s="640" t="str">
        <f t="shared" ca="1" si="16"/>
        <v>01</v>
      </c>
      <c r="C292" s="639" t="s">
        <v>34</v>
      </c>
      <c r="D292" s="644">
        <f ca="1">IF(A292="","",IFERROR(GETPIVOTDATA("合計 / 合計",【ピボット】事業所売上!$A$3,"年月",$A292,"事業所コード",$B292,"事業所",$C292),0))</f>
        <v>9842755</v>
      </c>
      <c r="E292" s="643">
        <v>3352850</v>
      </c>
      <c r="F292" s="745">
        <v>1946584</v>
      </c>
      <c r="G292" s="643">
        <v>400000</v>
      </c>
      <c r="H292" s="643">
        <v>0</v>
      </c>
      <c r="I292" s="643">
        <v>283190</v>
      </c>
      <c r="J292" s="643">
        <v>30192</v>
      </c>
      <c r="K292" s="644">
        <f t="shared" si="17"/>
        <v>6012816</v>
      </c>
      <c r="L292" s="680">
        <v>964877</v>
      </c>
      <c r="M292" s="680">
        <v>93312</v>
      </c>
      <c r="N292" s="644">
        <f t="shared" si="18"/>
        <v>1058189</v>
      </c>
      <c r="O292" s="643">
        <v>97200</v>
      </c>
      <c r="P292" s="643">
        <v>0</v>
      </c>
      <c r="Q292" s="644">
        <f>IF($A292="","",IF(AND($C292="白金タクシー",$A292&gt;=DATE(2017,9,1)),ROUND(GETPIVOTDATA("合計 / タクシー運賃",【ピボット】事業所売上!$A$3,"年月",$A292,"事業所コード",$B292,"事業所",$C292)*5.1%,0),0))</f>
        <v>0</v>
      </c>
      <c r="R292" s="643">
        <v>58203</v>
      </c>
      <c r="S292" s="643">
        <v>9999</v>
      </c>
      <c r="T292" s="643">
        <f>-71256-7480-30618</f>
        <v>-109354</v>
      </c>
      <c r="U292" s="644">
        <f t="shared" si="19"/>
        <v>157558</v>
      </c>
      <c r="V292" s="643">
        <v>0</v>
      </c>
      <c r="W292" s="643">
        <v>0</v>
      </c>
      <c r="X292" s="643">
        <v>0</v>
      </c>
      <c r="Y292" s="643">
        <v>0</v>
      </c>
    </row>
    <row r="293" spans="1:26" x14ac:dyDescent="0.15">
      <c r="A293" s="642">
        <v>43313</v>
      </c>
      <c r="B293" s="640" t="str">
        <f t="shared" ca="1" si="16"/>
        <v>02</v>
      </c>
      <c r="C293" s="639" t="s">
        <v>37</v>
      </c>
      <c r="D293" s="644">
        <f ca="1">IF(A293="","",IFERROR(GETPIVOTDATA("合計 / 合計",【ピボット】事業所売上!$A$3,"年月",$A293,"事業所コード",$B293,"事業所",$C293),0))</f>
        <v>6170804</v>
      </c>
      <c r="E293" s="643">
        <v>1216831</v>
      </c>
      <c r="F293" s="643">
        <v>2767327</v>
      </c>
      <c r="G293" s="643">
        <v>500000</v>
      </c>
      <c r="H293" s="643">
        <v>0</v>
      </c>
      <c r="I293" s="643">
        <v>353085</v>
      </c>
      <c r="J293" s="643">
        <v>11277</v>
      </c>
      <c r="K293" s="644">
        <f t="shared" si="17"/>
        <v>4848520</v>
      </c>
      <c r="L293" s="680">
        <v>972141</v>
      </c>
      <c r="M293" s="680">
        <v>0</v>
      </c>
      <c r="N293" s="644">
        <f t="shared" si="18"/>
        <v>972141</v>
      </c>
      <c r="O293" s="643">
        <v>0</v>
      </c>
      <c r="P293" s="643">
        <v>0</v>
      </c>
      <c r="Q293" s="644">
        <f>IF($A293="","",IF(AND($C293="白金タクシー",$A293&gt;=DATE(2017,9,1)),ROUND(GETPIVOTDATA("合計 / タクシー運賃",【ピボット】事業所売上!$A$3,"年月",$A293,"事業所コード",$B293,"事業所",$C293)*5.1%,0),0))</f>
        <v>0</v>
      </c>
      <c r="R293" s="643">
        <v>591588</v>
      </c>
      <c r="S293" s="643">
        <v>0</v>
      </c>
      <c r="T293" s="643">
        <v>5316</v>
      </c>
      <c r="U293" s="644">
        <f t="shared" si="19"/>
        <v>586272</v>
      </c>
      <c r="V293" s="643">
        <v>0</v>
      </c>
      <c r="W293" s="643">
        <v>0</v>
      </c>
      <c r="X293" s="643">
        <v>0</v>
      </c>
      <c r="Y293" s="643">
        <v>0</v>
      </c>
    </row>
    <row r="294" spans="1:26" x14ac:dyDescent="0.15">
      <c r="A294" s="642">
        <v>43313</v>
      </c>
      <c r="B294" s="640" t="str">
        <f t="shared" ca="1" si="16"/>
        <v>03</v>
      </c>
      <c r="C294" s="639" t="s">
        <v>66</v>
      </c>
      <c r="D294" s="644">
        <f ca="1">IF(A294="","",IFERROR(GETPIVOTDATA("合計 / 合計",【ピボット】事業所売上!$A$3,"年月",$A294,"事業所コード",$B294,"事業所",$C294),0))</f>
        <v>7519354</v>
      </c>
      <c r="E294" s="643">
        <v>1913718</v>
      </c>
      <c r="F294" s="643">
        <v>1894373</v>
      </c>
      <c r="G294" s="643">
        <v>350000</v>
      </c>
      <c r="H294" s="643">
        <v>0</v>
      </c>
      <c r="I294" s="643">
        <v>292839</v>
      </c>
      <c r="J294" s="643">
        <v>56664</v>
      </c>
      <c r="K294" s="644">
        <f t="shared" si="17"/>
        <v>4507594</v>
      </c>
      <c r="L294" s="680">
        <v>1126297</v>
      </c>
      <c r="M294" s="680">
        <v>0</v>
      </c>
      <c r="N294" s="644">
        <f t="shared" si="18"/>
        <v>1126297</v>
      </c>
      <c r="O294" s="643">
        <v>211140</v>
      </c>
      <c r="P294" s="643">
        <v>0</v>
      </c>
      <c r="Q294" s="644">
        <f>IF($A294="","",IF(AND($C294="白金タクシー",$A294&gt;=DATE(2017,9,1)),ROUND(GETPIVOTDATA("合計 / タクシー運賃",【ピボット】事業所売上!$A$3,"年月",$A294,"事業所コード",$B294,"事業所",$C294)*5.1%,0),0))</f>
        <v>0</v>
      </c>
      <c r="R294" s="643">
        <v>35870</v>
      </c>
      <c r="S294" s="643">
        <v>0</v>
      </c>
      <c r="T294" s="643">
        <v>4320</v>
      </c>
      <c r="U294" s="644">
        <f t="shared" si="19"/>
        <v>31550</v>
      </c>
      <c r="V294" s="643">
        <v>0</v>
      </c>
      <c r="W294" s="643">
        <v>0</v>
      </c>
      <c r="X294" s="643">
        <v>0</v>
      </c>
      <c r="Y294" s="643">
        <v>0</v>
      </c>
    </row>
    <row r="295" spans="1:26" x14ac:dyDescent="0.15">
      <c r="A295" s="642">
        <v>43313</v>
      </c>
      <c r="B295" s="640" t="str">
        <f t="shared" ca="1" si="16"/>
        <v>11</v>
      </c>
      <c r="C295" s="639" t="s">
        <v>967</v>
      </c>
      <c r="D295" s="644">
        <f ca="1">IF(A295="","",IFERROR(GETPIVOTDATA("合計 / 合計",【ピボット】事業所売上!$A$3,"年月",$A295,"事業所コード",$B295,"事業所",$C295),0))</f>
        <v>624826</v>
      </c>
      <c r="E295" s="643">
        <v>184245</v>
      </c>
      <c r="F295" s="643">
        <v>359094</v>
      </c>
      <c r="G295" s="643">
        <v>50000</v>
      </c>
      <c r="H295" s="643">
        <v>0</v>
      </c>
      <c r="I295" s="643">
        <v>42952</v>
      </c>
      <c r="J295" s="643">
        <v>0</v>
      </c>
      <c r="K295" s="644">
        <f t="shared" si="17"/>
        <v>636291</v>
      </c>
      <c r="L295" s="680">
        <v>683798</v>
      </c>
      <c r="M295" s="680">
        <v>0</v>
      </c>
      <c r="N295" s="644">
        <f t="shared" si="18"/>
        <v>683798</v>
      </c>
      <c r="O295" s="643">
        <v>184680</v>
      </c>
      <c r="P295" s="643">
        <v>0</v>
      </c>
      <c r="Q295" s="644">
        <f>IF($A295="","",IF(AND($C295="白金タクシー",$A295&gt;=DATE(2017,9,1)),ROUND(GETPIVOTDATA("合計 / タクシー運賃",【ピボット】事業所売上!$A$3,"年月",$A295,"事業所コード",$B295,"事業所",$C295)*5.1%,0),0))</f>
        <v>0</v>
      </c>
      <c r="R295" s="643">
        <v>32744</v>
      </c>
      <c r="S295" s="643">
        <v>0</v>
      </c>
      <c r="T295" s="643">
        <v>-194400</v>
      </c>
      <c r="U295" s="644">
        <f t="shared" si="19"/>
        <v>227144</v>
      </c>
      <c r="V295" s="643">
        <v>0</v>
      </c>
      <c r="W295" s="643">
        <v>0</v>
      </c>
      <c r="X295" s="643">
        <v>0</v>
      </c>
      <c r="Y295" s="643">
        <v>0</v>
      </c>
    </row>
    <row r="296" spans="1:26" x14ac:dyDescent="0.15">
      <c r="A296" s="642">
        <v>43313</v>
      </c>
      <c r="B296" s="640" t="str">
        <f t="shared" ca="1" si="16"/>
        <v>12</v>
      </c>
      <c r="C296" s="639" t="s">
        <v>1143</v>
      </c>
      <c r="D296" s="644">
        <f ca="1">IF(A296="","",IFERROR(GETPIVOTDATA("合計 / 合計",【ピボット】事業所売上!$A$3,"年月",$A296,"事業所コード",$B296,"事業所",$C296),0))</f>
        <v>0</v>
      </c>
      <c r="E296" s="643">
        <v>0</v>
      </c>
      <c r="F296" s="643">
        <v>0</v>
      </c>
      <c r="G296" s="643">
        <v>0</v>
      </c>
      <c r="H296" s="643">
        <v>0</v>
      </c>
      <c r="I296" s="643">
        <v>0</v>
      </c>
      <c r="J296" s="643">
        <v>0</v>
      </c>
      <c r="K296" s="644">
        <f t="shared" si="17"/>
        <v>0</v>
      </c>
      <c r="L296" s="680">
        <v>752125</v>
      </c>
      <c r="M296" s="680">
        <v>0</v>
      </c>
      <c r="N296" s="644">
        <f t="shared" si="18"/>
        <v>752125</v>
      </c>
      <c r="O296" s="643">
        <v>246240</v>
      </c>
      <c r="P296" s="643">
        <v>0</v>
      </c>
      <c r="Q296" s="644">
        <f>IF($A296="","",IF(AND($C296="白金タクシー",$A296&gt;=DATE(2017,9,1)),ROUND(GETPIVOTDATA("合計 / タクシー運賃",【ピボット】事業所売上!$A$3,"年月",$A296,"事業所コード",$B296,"事業所",$C296)*5.1%,0),0))</f>
        <v>0</v>
      </c>
      <c r="R296" s="643">
        <v>0</v>
      </c>
      <c r="S296" s="643">
        <v>0</v>
      </c>
      <c r="T296" s="643">
        <v>-198006</v>
      </c>
      <c r="U296" s="644">
        <f t="shared" si="19"/>
        <v>198006</v>
      </c>
      <c r="V296" s="643">
        <v>0</v>
      </c>
      <c r="W296" s="643">
        <v>0</v>
      </c>
      <c r="X296" s="643">
        <v>0</v>
      </c>
      <c r="Y296" s="643">
        <v>0</v>
      </c>
    </row>
    <row r="297" spans="1:26" x14ac:dyDescent="0.15">
      <c r="A297" s="642">
        <v>43313</v>
      </c>
      <c r="B297" s="640" t="str">
        <f t="shared" ca="1" si="16"/>
        <v>04</v>
      </c>
      <c r="C297" s="639" t="s">
        <v>358</v>
      </c>
      <c r="D297" s="644">
        <f ca="1">IF(A297="","",IFERROR(GETPIVOTDATA("合計 / 合計",【ピボット】事業所売上!$A$3,"年月",$A297,"事業所コード",$B297,"事業所",$C297),0))</f>
        <v>4494230</v>
      </c>
      <c r="E297" s="643">
        <v>1147860</v>
      </c>
      <c r="F297" s="643">
        <v>1055568</v>
      </c>
      <c r="G297" s="643">
        <v>100000</v>
      </c>
      <c r="H297" s="643">
        <v>0</v>
      </c>
      <c r="I297" s="643">
        <v>169145</v>
      </c>
      <c r="J297" s="643">
        <v>0</v>
      </c>
      <c r="K297" s="644">
        <f t="shared" si="17"/>
        <v>2472573</v>
      </c>
      <c r="L297" s="680">
        <v>1218671</v>
      </c>
      <c r="M297" s="680">
        <v>0</v>
      </c>
      <c r="N297" s="644">
        <f t="shared" si="18"/>
        <v>1218671</v>
      </c>
      <c r="O297" s="643">
        <v>129600</v>
      </c>
      <c r="P297" s="643">
        <v>0</v>
      </c>
      <c r="Q297" s="644">
        <f>IF($A297="","",IF(AND($C297="白金タクシー",$A297&gt;=DATE(2017,9,1)),ROUND(GETPIVOTDATA("合計 / タクシー運賃",【ピボット】事業所売上!$A$3,"年月",$A297,"事業所コード",$B297,"事業所",$C297)*5.1%,0),0))</f>
        <v>0</v>
      </c>
      <c r="R297" s="643">
        <v>-241323</v>
      </c>
      <c r="S297" s="643">
        <v>0</v>
      </c>
      <c r="T297" s="643">
        <v>-69000</v>
      </c>
      <c r="U297" s="644">
        <f t="shared" si="19"/>
        <v>-172323</v>
      </c>
      <c r="V297" s="643">
        <v>0</v>
      </c>
      <c r="W297" s="643">
        <v>0</v>
      </c>
      <c r="X297" s="643">
        <v>0</v>
      </c>
      <c r="Y297" s="643">
        <v>0</v>
      </c>
    </row>
    <row r="298" spans="1:26" x14ac:dyDescent="0.15">
      <c r="A298" s="642">
        <v>43313</v>
      </c>
      <c r="B298" s="640" t="str">
        <f t="shared" ca="1" si="16"/>
        <v>05</v>
      </c>
      <c r="C298" s="639" t="s">
        <v>38</v>
      </c>
      <c r="D298" s="644">
        <f ca="1">IF(A298="","",IFERROR(GETPIVOTDATA("合計 / 合計",【ピボット】事業所売上!$A$3,"年月",$A298,"事業所コード",$B298,"事業所",$C298),0))</f>
        <v>2351469</v>
      </c>
      <c r="E298" s="643">
        <v>953709</v>
      </c>
      <c r="F298" s="643">
        <v>656000</v>
      </c>
      <c r="G298" s="643">
        <v>100000</v>
      </c>
      <c r="H298" s="643">
        <v>0</v>
      </c>
      <c r="I298" s="643">
        <v>103097</v>
      </c>
      <c r="J298" s="643">
        <v>0</v>
      </c>
      <c r="K298" s="644">
        <f t="shared" si="17"/>
        <v>1812806</v>
      </c>
      <c r="L298" s="680">
        <v>942554</v>
      </c>
      <c r="M298" s="680">
        <v>0</v>
      </c>
      <c r="N298" s="644">
        <f t="shared" si="18"/>
        <v>942554</v>
      </c>
      <c r="O298" s="643">
        <v>0</v>
      </c>
      <c r="P298" s="643">
        <v>0</v>
      </c>
      <c r="Q298" s="644">
        <f>IF($A298="","",IF(AND($C298="白金タクシー",$A298&gt;=DATE(2017,9,1)),ROUND(GETPIVOTDATA("合計 / タクシー運賃",【ピボット】事業所売上!$A$3,"年月",$A298,"事業所コード",$B298,"事業所",$C298)*5.1%,0),0))</f>
        <v>0</v>
      </c>
      <c r="R298" s="643">
        <v>53692</v>
      </c>
      <c r="S298" s="643">
        <v>0</v>
      </c>
      <c r="T298" s="643">
        <v>-102384</v>
      </c>
      <c r="U298" s="644">
        <f t="shared" si="19"/>
        <v>156076</v>
      </c>
      <c r="V298" s="643">
        <v>0</v>
      </c>
      <c r="W298" s="643">
        <v>0</v>
      </c>
      <c r="X298" s="643">
        <v>0</v>
      </c>
      <c r="Y298" s="643">
        <v>0</v>
      </c>
    </row>
    <row r="299" spans="1:26" x14ac:dyDescent="0.15">
      <c r="A299" s="642">
        <v>43313</v>
      </c>
      <c r="B299" s="640" t="str">
        <f t="shared" ca="1" si="16"/>
        <v>07</v>
      </c>
      <c r="C299" s="639" t="s">
        <v>119</v>
      </c>
      <c r="D299" s="644">
        <f ca="1">IF(A299="","",IFERROR(GETPIVOTDATA("合計 / 合計",【ピボット】事業所売上!$A$3,"年月",$A299,"事業所コード",$B299,"事業所",$C299),0))</f>
        <v>870546</v>
      </c>
      <c r="E299" s="643">
        <v>326363</v>
      </c>
      <c r="F299" s="643">
        <v>0</v>
      </c>
      <c r="G299" s="643">
        <v>0</v>
      </c>
      <c r="H299" s="643">
        <v>0</v>
      </c>
      <c r="I299" s="643">
        <v>14996</v>
      </c>
      <c r="J299" s="643">
        <v>0</v>
      </c>
      <c r="K299" s="644">
        <f t="shared" si="17"/>
        <v>341359</v>
      </c>
      <c r="L299" s="680">
        <v>125559</v>
      </c>
      <c r="M299" s="680">
        <v>0</v>
      </c>
      <c r="N299" s="644">
        <f t="shared" si="18"/>
        <v>125559</v>
      </c>
      <c r="O299" s="643">
        <v>0</v>
      </c>
      <c r="P299" s="643">
        <v>0</v>
      </c>
      <c r="Q299" s="644">
        <f>IF($A299="","",IF(AND($C299="白金タクシー",$A299&gt;=DATE(2017,9,1)),ROUND(GETPIVOTDATA("合計 / タクシー運賃",【ピボット】事業所売上!$A$3,"年月",$A299,"事業所コード",$B299,"事業所",$C299)*5.1%,0),0))</f>
        <v>0</v>
      </c>
      <c r="R299" s="643">
        <v>76392</v>
      </c>
      <c r="S299" s="643">
        <v>0</v>
      </c>
      <c r="T299" s="643">
        <v>0</v>
      </c>
      <c r="U299" s="644">
        <f t="shared" si="19"/>
        <v>76392</v>
      </c>
      <c r="V299" s="643">
        <v>0</v>
      </c>
      <c r="W299" s="643">
        <v>0</v>
      </c>
      <c r="X299" s="643">
        <v>0</v>
      </c>
      <c r="Y299" s="643">
        <v>0</v>
      </c>
    </row>
    <row r="300" spans="1:26" x14ac:dyDescent="0.15">
      <c r="A300" s="642">
        <v>43313</v>
      </c>
      <c r="B300" s="640" t="str">
        <f t="shared" ca="1" si="16"/>
        <v>08</v>
      </c>
      <c r="C300" s="639" t="s">
        <v>189</v>
      </c>
      <c r="D300" s="644">
        <f ca="1">IF(A300="","",IFERROR(GETPIVOTDATA("合計 / 合計",【ピボット】事業所売上!$A$3,"年月",$A300,"事業所コード",$B300,"事業所",$C300),0))</f>
        <v>923999</v>
      </c>
      <c r="E300" s="643">
        <v>307500</v>
      </c>
      <c r="F300" s="643">
        <v>0</v>
      </c>
      <c r="G300" s="643">
        <v>0</v>
      </c>
      <c r="H300" s="643">
        <v>0</v>
      </c>
      <c r="I300" s="643">
        <v>0</v>
      </c>
      <c r="J300" s="643">
        <v>0</v>
      </c>
      <c r="K300" s="644">
        <f t="shared" si="17"/>
        <v>307500</v>
      </c>
      <c r="L300" s="680">
        <v>155590</v>
      </c>
      <c r="M300" s="680">
        <v>0</v>
      </c>
      <c r="N300" s="644">
        <f t="shared" si="18"/>
        <v>155590</v>
      </c>
      <c r="O300" s="643">
        <v>0</v>
      </c>
      <c r="P300" s="643">
        <v>0</v>
      </c>
      <c r="Q300" s="644">
        <f>IF($A300="","",IF(AND($C300="白金タクシー",$A300&gt;=DATE(2017,9,1)),ROUND(GETPIVOTDATA("合計 / タクシー運賃",【ピボット】事業所売上!$A$3,"年月",$A300,"事業所コード",$B300,"事業所",$C300)*5.1%,0),0))</f>
        <v>0</v>
      </c>
      <c r="R300" s="643">
        <v>0</v>
      </c>
      <c r="S300" s="643">
        <v>0</v>
      </c>
      <c r="T300" s="643">
        <v>42970</v>
      </c>
      <c r="U300" s="644">
        <f t="shared" si="19"/>
        <v>-42970</v>
      </c>
      <c r="V300" s="643">
        <v>0</v>
      </c>
      <c r="W300" s="643">
        <v>0</v>
      </c>
      <c r="X300" s="643">
        <v>0</v>
      </c>
      <c r="Y300" s="643">
        <v>0</v>
      </c>
    </row>
    <row r="301" spans="1:26" x14ac:dyDescent="0.15">
      <c r="A301" s="642">
        <v>43313</v>
      </c>
      <c r="B301" s="640" t="str">
        <f t="shared" ca="1" si="16"/>
        <v>09</v>
      </c>
      <c r="C301" s="639" t="s">
        <v>329</v>
      </c>
      <c r="D301" s="644">
        <f ca="1">IF(A301="","",IFERROR(GETPIVOTDATA("合計 / 合計",【ピボット】事業所売上!$A$3,"年月",$A301,"事業所コード",$B301,"事業所",$C301),0))</f>
        <v>2468275</v>
      </c>
      <c r="E301" s="643">
        <v>673138</v>
      </c>
      <c r="F301" s="643">
        <v>0</v>
      </c>
      <c r="G301" s="643">
        <v>0</v>
      </c>
      <c r="H301" s="643">
        <v>0</v>
      </c>
      <c r="I301" s="643">
        <v>22639</v>
      </c>
      <c r="J301" s="643">
        <v>0</v>
      </c>
      <c r="K301" s="644">
        <f t="shared" si="17"/>
        <v>695777</v>
      </c>
      <c r="L301" s="680">
        <v>501785</v>
      </c>
      <c r="M301" s="680">
        <v>0</v>
      </c>
      <c r="N301" s="644">
        <f t="shared" si="18"/>
        <v>501785</v>
      </c>
      <c r="O301" s="643">
        <v>0</v>
      </c>
      <c r="P301" s="643">
        <v>0</v>
      </c>
      <c r="Q301" s="644">
        <f>IF($A301="","",IF(AND($C301="白金タクシー",$A301&gt;=DATE(2017,9,1)),ROUND(GETPIVOTDATA("合計 / タクシー運賃",【ピボット】事業所売上!$A$3,"年月",$A301,"事業所コード",$B301,"事業所",$C301)*5.1%,0),0))</f>
        <v>0</v>
      </c>
      <c r="R301" s="643">
        <v>157117</v>
      </c>
      <c r="S301" s="643">
        <v>0</v>
      </c>
      <c r="T301" s="643">
        <v>0</v>
      </c>
      <c r="U301" s="644">
        <f t="shared" si="19"/>
        <v>157117</v>
      </c>
      <c r="V301" s="643">
        <v>0</v>
      </c>
      <c r="W301" s="643">
        <v>0</v>
      </c>
      <c r="X301" s="643">
        <v>0</v>
      </c>
      <c r="Y301" s="643">
        <v>0</v>
      </c>
    </row>
    <row r="302" spans="1:26" x14ac:dyDescent="0.15">
      <c r="A302" s="642">
        <v>43313</v>
      </c>
      <c r="B302" s="640" t="str">
        <f t="shared" ref="B302:B366" ca="1" si="20">IF(C302="","",VLOOKUP(C302,事業所コード2,2,FALSE))</f>
        <v>10</v>
      </c>
      <c r="C302" s="639" t="s">
        <v>336</v>
      </c>
      <c r="D302" s="644">
        <f ca="1">IF(A302="","",IFERROR(GETPIVOTDATA("合計 / 合計",【ピボット】事業所売上!$A$3,"年月",$A302,"事業所コード",$B302,"事業所",$C302),0))</f>
        <v>1444523</v>
      </c>
      <c r="E302" s="643">
        <v>527963</v>
      </c>
      <c r="F302" s="745">
        <v>300000</v>
      </c>
      <c r="G302" s="643">
        <v>0</v>
      </c>
      <c r="H302" s="643">
        <v>0</v>
      </c>
      <c r="I302" s="643">
        <v>0</v>
      </c>
      <c r="J302" s="643">
        <v>0</v>
      </c>
      <c r="K302" s="644">
        <f t="shared" si="17"/>
        <v>827963</v>
      </c>
      <c r="L302" s="680">
        <v>539944</v>
      </c>
      <c r="M302" s="680">
        <v>0</v>
      </c>
      <c r="N302" s="644">
        <f t="shared" si="18"/>
        <v>539944</v>
      </c>
      <c r="O302" s="643">
        <v>0</v>
      </c>
      <c r="P302" s="643">
        <v>0</v>
      </c>
      <c r="Q302" s="644">
        <f ca="1">IF($A302="","",IF(AND($C302="白金タクシー",$A302&gt;=DATE(2017,9,1)),ROUND(GETPIVOTDATA("合計 / タクシー運賃",【ピボット】事業所売上!$A$3,"年月",$A302,"事業所コード",$B302,"事業所",$C302)*5.1%,0),0))</f>
        <v>40332</v>
      </c>
      <c r="R302" s="643">
        <v>-12948</v>
      </c>
      <c r="S302" s="643">
        <v>0</v>
      </c>
      <c r="T302" s="643">
        <v>-440640</v>
      </c>
      <c r="U302" s="644">
        <f t="shared" si="19"/>
        <v>427692</v>
      </c>
      <c r="V302" s="643">
        <v>0</v>
      </c>
      <c r="W302" s="643">
        <v>0</v>
      </c>
      <c r="X302" s="643">
        <v>0</v>
      </c>
      <c r="Y302" s="643">
        <v>0</v>
      </c>
    </row>
    <row r="303" spans="1:26" x14ac:dyDescent="0.15">
      <c r="A303" s="642">
        <v>43344</v>
      </c>
      <c r="B303" s="640" t="str">
        <f t="shared" ca="1" si="20"/>
        <v>00</v>
      </c>
      <c r="C303" s="639" t="s">
        <v>490</v>
      </c>
      <c r="D303" s="644">
        <f ca="1">IF(A303="","",IFERROR(GETPIVOTDATA("合計 / 合計",【ピボット】事業所売上!$A$3,"年月",$A303,"事業所コード",$B303,"事業所",$C303),0))</f>
        <v>0</v>
      </c>
      <c r="E303" s="643">
        <v>0</v>
      </c>
      <c r="F303" s="643">
        <v>1301392</v>
      </c>
      <c r="G303" s="643">
        <v>0</v>
      </c>
      <c r="H303" s="643">
        <v>2500000</v>
      </c>
      <c r="I303" s="643">
        <v>450170</v>
      </c>
      <c r="J303" s="643">
        <v>24300</v>
      </c>
      <c r="K303" s="644">
        <f>SUM(E303:J303)</f>
        <v>4275862</v>
      </c>
      <c r="L303" s="643">
        <v>3234033</v>
      </c>
      <c r="M303" s="680">
        <v>0</v>
      </c>
      <c r="N303" s="644">
        <f>IF(A303="","",SUM(L303:M303))</f>
        <v>3234033</v>
      </c>
      <c r="O303" s="643">
        <v>216000</v>
      </c>
      <c r="P303" s="643">
        <v>0</v>
      </c>
      <c r="Q303" s="644">
        <f>IF($A303="","",IF(AND($C303="白金タクシー",$A303&gt;=DATE(2017,9,1)),ROUND(GETPIVOTDATA("合計 / タクシー運賃",【ピボット】事業所売上!$A$3,"年月",$A303,"事業所コード",$B303,"事業所",$C303)*5.1%,0),0))</f>
        <v>0</v>
      </c>
      <c r="R303" s="643">
        <v>0</v>
      </c>
      <c r="S303" s="643">
        <v>0</v>
      </c>
      <c r="T303" s="643">
        <v>0</v>
      </c>
      <c r="U303" s="644">
        <f t="shared" si="19"/>
        <v>0</v>
      </c>
      <c r="V303" s="643">
        <v>148771</v>
      </c>
      <c r="W303" s="643">
        <v>472801</v>
      </c>
      <c r="X303" s="643">
        <v>0</v>
      </c>
      <c r="Y303" s="643">
        <v>0</v>
      </c>
      <c r="Z303" s="939" t="s">
        <v>1397</v>
      </c>
    </row>
    <row r="304" spans="1:26" x14ac:dyDescent="0.15">
      <c r="A304" s="642">
        <v>43344</v>
      </c>
      <c r="B304" s="640" t="str">
        <f t="shared" ca="1" si="20"/>
        <v>01</v>
      </c>
      <c r="C304" s="639" t="s">
        <v>34</v>
      </c>
      <c r="D304" s="644">
        <f ca="1">IF(A304="","",IFERROR(GETPIVOTDATA("合計 / 合計",【ピボット】事業所売上!$A$3,"年月",$A304,"事業所コード",$B304,"事業所",$C304),0))</f>
        <v>11239510</v>
      </c>
      <c r="E304" s="643">
        <v>3676096</v>
      </c>
      <c r="F304" s="745">
        <v>1938036</v>
      </c>
      <c r="G304" s="643">
        <v>0</v>
      </c>
      <c r="H304" s="643">
        <v>0</v>
      </c>
      <c r="I304" s="643">
        <v>0</v>
      </c>
      <c r="J304" s="643">
        <v>114366</v>
      </c>
      <c r="K304" s="644">
        <f t="shared" ref="K304:K315" si="21">SUM(E304:J304)</f>
        <v>5728498</v>
      </c>
      <c r="L304" s="643">
        <v>719489</v>
      </c>
      <c r="M304" s="680">
        <v>110808</v>
      </c>
      <c r="N304" s="644">
        <f t="shared" si="18"/>
        <v>830297</v>
      </c>
      <c r="O304" s="643">
        <v>51574</v>
      </c>
      <c r="P304" s="643">
        <v>0</v>
      </c>
      <c r="Q304" s="644">
        <f>IF($A304="","",IF(AND($C304="白金タクシー",$A304&gt;=DATE(2017,9,1)),ROUND(GETPIVOTDATA("合計 / タクシー運賃",【ピボット】事業所売上!$A$3,"年月",$A304,"事業所コード",$B304,"事業所",$C304)*5.1%,0),0))</f>
        <v>0</v>
      </c>
      <c r="R304" s="643">
        <v>0</v>
      </c>
      <c r="S304" s="643">
        <v>0</v>
      </c>
      <c r="T304" s="643">
        <v>0</v>
      </c>
      <c r="U304" s="644">
        <f t="shared" si="19"/>
        <v>0</v>
      </c>
      <c r="V304" s="643">
        <v>0</v>
      </c>
      <c r="W304" s="643">
        <v>0</v>
      </c>
      <c r="X304" s="643">
        <v>0</v>
      </c>
      <c r="Y304" s="643">
        <v>0</v>
      </c>
    </row>
    <row r="305" spans="1:25" x14ac:dyDescent="0.15">
      <c r="A305" s="642">
        <v>43344</v>
      </c>
      <c r="B305" s="640" t="str">
        <f t="shared" ca="1" si="20"/>
        <v>02</v>
      </c>
      <c r="C305" s="639" t="s">
        <v>37</v>
      </c>
      <c r="D305" s="644">
        <f ca="1">IF(A305="","",IFERROR(GETPIVOTDATA("合計 / 合計",【ピボット】事業所売上!$A$3,"年月",$A305,"事業所コード",$B305,"事業所",$C305),0))</f>
        <v>6157056</v>
      </c>
      <c r="E305" s="643">
        <v>1309950</v>
      </c>
      <c r="F305" s="643">
        <v>2731021</v>
      </c>
      <c r="G305" s="643">
        <v>0</v>
      </c>
      <c r="H305" s="643">
        <v>0</v>
      </c>
      <c r="I305" s="643">
        <v>373120</v>
      </c>
      <c r="J305" s="643">
        <v>492</v>
      </c>
      <c r="K305" s="644">
        <f t="shared" si="21"/>
        <v>4414583</v>
      </c>
      <c r="L305" s="643">
        <v>1096851</v>
      </c>
      <c r="M305" s="680">
        <v>0</v>
      </c>
      <c r="N305" s="644">
        <f t="shared" si="18"/>
        <v>1096851</v>
      </c>
      <c r="O305" s="643">
        <v>52166</v>
      </c>
      <c r="P305" s="643">
        <v>0</v>
      </c>
      <c r="Q305" s="644">
        <f>IF($A305="","",IF(AND($C305="白金タクシー",$A305&gt;=DATE(2017,9,1)),ROUND(GETPIVOTDATA("合計 / タクシー運賃",【ピボット】事業所売上!$A$3,"年月",$A305,"事業所コード",$B305,"事業所",$C305)*5.1%,0),0))</f>
        <v>0</v>
      </c>
      <c r="R305" s="643">
        <v>0</v>
      </c>
      <c r="S305" s="643">
        <v>0</v>
      </c>
      <c r="T305" s="643">
        <v>0</v>
      </c>
      <c r="U305" s="644">
        <f t="shared" si="19"/>
        <v>0</v>
      </c>
      <c r="V305" s="643">
        <v>0</v>
      </c>
      <c r="W305" s="643">
        <v>0</v>
      </c>
      <c r="X305" s="643">
        <v>0</v>
      </c>
      <c r="Y305" s="643">
        <v>0</v>
      </c>
    </row>
    <row r="306" spans="1:25" x14ac:dyDescent="0.15">
      <c r="A306" s="642">
        <v>43344</v>
      </c>
      <c r="B306" s="640" t="str">
        <f t="shared" ca="1" si="20"/>
        <v>03</v>
      </c>
      <c r="C306" s="639" t="s">
        <v>66</v>
      </c>
      <c r="D306" s="644">
        <f ca="1">IF(A306="","",IFERROR(GETPIVOTDATA("合計 / 合計",【ピボット】事業所売上!$A$3,"年月",$A306,"事業所コード",$B306,"事業所",$C306),0))</f>
        <v>6774361</v>
      </c>
      <c r="E306" s="643">
        <v>1972654</v>
      </c>
      <c r="F306" s="643">
        <v>1822022</v>
      </c>
      <c r="G306" s="643">
        <v>0</v>
      </c>
      <c r="H306" s="643">
        <v>0</v>
      </c>
      <c r="I306" s="643">
        <v>463913</v>
      </c>
      <c r="J306" s="643">
        <v>39170</v>
      </c>
      <c r="K306" s="644">
        <f t="shared" si="21"/>
        <v>4297759</v>
      </c>
      <c r="L306" s="643">
        <v>801389</v>
      </c>
      <c r="M306" s="680">
        <v>0</v>
      </c>
      <c r="N306" s="644">
        <f t="shared" si="18"/>
        <v>801389</v>
      </c>
      <c r="O306" s="643">
        <v>47520</v>
      </c>
      <c r="P306" s="643">
        <v>0</v>
      </c>
      <c r="Q306" s="644">
        <f>IF($A306="","",IF(AND($C306="白金タクシー",$A306&gt;=DATE(2017,9,1)),ROUND(GETPIVOTDATA("合計 / タクシー運賃",【ピボット】事業所売上!$A$3,"年月",$A306,"事業所コード",$B306,"事業所",$C306)*5.1%,0),0))</f>
        <v>0</v>
      </c>
      <c r="R306" s="643">
        <v>0</v>
      </c>
      <c r="S306" s="643">
        <v>0</v>
      </c>
      <c r="T306" s="643">
        <v>0</v>
      </c>
      <c r="U306" s="644">
        <f t="shared" si="19"/>
        <v>0</v>
      </c>
      <c r="V306" s="643">
        <v>0</v>
      </c>
      <c r="W306" s="643">
        <v>0</v>
      </c>
      <c r="X306" s="643">
        <v>0</v>
      </c>
      <c r="Y306" s="643">
        <v>0</v>
      </c>
    </row>
    <row r="307" spans="1:25" x14ac:dyDescent="0.15">
      <c r="A307" s="642">
        <v>43344</v>
      </c>
      <c r="B307" s="640" t="str">
        <f t="shared" ca="1" si="20"/>
        <v>11</v>
      </c>
      <c r="C307" s="639" t="s">
        <v>967</v>
      </c>
      <c r="D307" s="644">
        <f ca="1">IF(A307="","",IFERROR(GETPIVOTDATA("合計 / 合計",【ピボット】事業所売上!$A$3,"年月",$A307,"事業所コード",$B307,"事業所",$C307),0))</f>
        <v>1193278</v>
      </c>
      <c r="E307" s="643">
        <v>358716</v>
      </c>
      <c r="F307" s="643">
        <v>356070</v>
      </c>
      <c r="G307" s="643">
        <v>0</v>
      </c>
      <c r="H307" s="643">
        <v>0</v>
      </c>
      <c r="I307" s="643">
        <v>382917</v>
      </c>
      <c r="J307" s="643">
        <v>0</v>
      </c>
      <c r="K307" s="644">
        <f t="shared" si="21"/>
        <v>1097703</v>
      </c>
      <c r="L307" s="643">
        <v>600303</v>
      </c>
      <c r="M307" s="680">
        <v>0</v>
      </c>
      <c r="N307" s="644">
        <f t="shared" si="18"/>
        <v>600303</v>
      </c>
      <c r="O307" s="643">
        <v>64800</v>
      </c>
      <c r="P307" s="643">
        <v>0</v>
      </c>
      <c r="Q307" s="644">
        <f>IF($A307="","",IF(AND($C307="白金タクシー",$A307&gt;=DATE(2017,9,1)),ROUND(GETPIVOTDATA("合計 / タクシー運賃",【ピボット】事業所売上!$A$3,"年月",$A307,"事業所コード",$B307,"事業所",$C307)*5.1%,0),0))</f>
        <v>0</v>
      </c>
      <c r="R307" s="643">
        <v>0</v>
      </c>
      <c r="S307" s="643">
        <v>0</v>
      </c>
      <c r="T307" s="643">
        <v>0</v>
      </c>
      <c r="U307" s="644">
        <f t="shared" si="19"/>
        <v>0</v>
      </c>
      <c r="V307" s="643">
        <v>0</v>
      </c>
      <c r="W307" s="643">
        <v>0</v>
      </c>
      <c r="X307" s="643">
        <v>0</v>
      </c>
      <c r="Y307" s="643">
        <v>0</v>
      </c>
    </row>
    <row r="308" spans="1:25" x14ac:dyDescent="0.15">
      <c r="A308" s="642">
        <v>43344</v>
      </c>
      <c r="B308" s="640" t="str">
        <f t="shared" ca="1" si="20"/>
        <v>12</v>
      </c>
      <c r="C308" s="639" t="s">
        <v>1143</v>
      </c>
      <c r="D308" s="644">
        <f ca="1">IF(A308="","",IFERROR(GETPIVOTDATA("合計 / 合計",【ピボット】事業所売上!$A$3,"年月",$A308,"事業所コード",$B308,"事業所",$C308),0))</f>
        <v>0</v>
      </c>
      <c r="E308" s="643">
        <v>0</v>
      </c>
      <c r="F308" s="643">
        <v>0</v>
      </c>
      <c r="G308" s="643">
        <v>0</v>
      </c>
      <c r="H308" s="643">
        <v>0</v>
      </c>
      <c r="I308" s="643">
        <v>56395</v>
      </c>
      <c r="J308" s="643">
        <v>0</v>
      </c>
      <c r="K308" s="644">
        <f t="shared" si="21"/>
        <v>56395</v>
      </c>
      <c r="L308" s="643">
        <v>740398</v>
      </c>
      <c r="M308" s="680">
        <v>0</v>
      </c>
      <c r="N308" s="644">
        <f t="shared" si="18"/>
        <v>740398</v>
      </c>
      <c r="O308" s="643">
        <v>138000</v>
      </c>
      <c r="P308" s="643">
        <v>0</v>
      </c>
      <c r="Q308" s="644">
        <f>IF($A308="","",IF(AND($C308="白金タクシー",$A308&gt;=DATE(2017,9,1)),ROUND(GETPIVOTDATA("合計 / タクシー運賃",【ピボット】事業所売上!$A$3,"年月",$A308,"事業所コード",$B308,"事業所",$C308)*5.1%,0),0))</f>
        <v>0</v>
      </c>
      <c r="R308" s="643">
        <v>0</v>
      </c>
      <c r="S308" s="643">
        <v>0</v>
      </c>
      <c r="T308" s="643">
        <v>0</v>
      </c>
      <c r="U308" s="644">
        <f t="shared" si="19"/>
        <v>0</v>
      </c>
      <c r="V308" s="643">
        <v>0</v>
      </c>
      <c r="W308" s="643">
        <v>0</v>
      </c>
      <c r="X308" s="643">
        <v>0</v>
      </c>
      <c r="Y308" s="643">
        <v>0</v>
      </c>
    </row>
    <row r="309" spans="1:25" x14ac:dyDescent="0.15">
      <c r="A309" s="642">
        <v>43344</v>
      </c>
      <c r="B309" s="640" t="str">
        <f t="shared" ca="1" si="20"/>
        <v>04</v>
      </c>
      <c r="C309" s="639" t="s">
        <v>358</v>
      </c>
      <c r="D309" s="644">
        <f ca="1">IF(A309="","",IFERROR(GETPIVOTDATA("合計 / 合計",【ピボット】事業所売上!$A$3,"年月",$A309,"事業所コード",$B309,"事業所",$C309),0))</f>
        <v>4417151</v>
      </c>
      <c r="E309" s="643">
        <v>1270090</v>
      </c>
      <c r="F309" s="643">
        <v>856370</v>
      </c>
      <c r="G309" s="643">
        <v>0</v>
      </c>
      <c r="H309" s="643">
        <v>0</v>
      </c>
      <c r="I309" s="643">
        <v>222254</v>
      </c>
      <c r="J309" s="643">
        <v>1512</v>
      </c>
      <c r="K309" s="644">
        <f t="shared" si="21"/>
        <v>2350226</v>
      </c>
      <c r="L309" s="643">
        <v>1089344</v>
      </c>
      <c r="M309" s="680">
        <v>0</v>
      </c>
      <c r="N309" s="644">
        <f t="shared" si="18"/>
        <v>1089344</v>
      </c>
      <c r="O309" s="643">
        <v>0</v>
      </c>
      <c r="P309" s="643">
        <v>0</v>
      </c>
      <c r="Q309" s="644">
        <f>IF($A309="","",IF(AND($C309="白金タクシー",$A309&gt;=DATE(2017,9,1)),ROUND(GETPIVOTDATA("合計 / タクシー運賃",【ピボット】事業所売上!$A$3,"年月",$A309,"事業所コード",$B309,"事業所",$C309)*5.1%,0),0))</f>
        <v>0</v>
      </c>
      <c r="R309" s="643">
        <v>0</v>
      </c>
      <c r="S309" s="643">
        <v>0</v>
      </c>
      <c r="T309" s="643">
        <v>0</v>
      </c>
      <c r="U309" s="644">
        <f t="shared" si="19"/>
        <v>0</v>
      </c>
      <c r="V309" s="643">
        <v>0</v>
      </c>
      <c r="W309" s="643">
        <v>0</v>
      </c>
      <c r="X309" s="643">
        <v>0</v>
      </c>
      <c r="Y309" s="643">
        <v>0</v>
      </c>
    </row>
    <row r="310" spans="1:25" x14ac:dyDescent="0.15">
      <c r="A310" s="642">
        <v>43344</v>
      </c>
      <c r="B310" s="640" t="str">
        <f t="shared" ca="1" si="20"/>
        <v>05</v>
      </c>
      <c r="C310" s="639" t="s">
        <v>38</v>
      </c>
      <c r="D310" s="644">
        <f ca="1">IF(A310="","",IFERROR(GETPIVOTDATA("合計 / 合計",【ピボット】事業所売上!$A$3,"年月",$A310,"事業所コード",$B310,"事業所",$C310),0))</f>
        <v>2112073</v>
      </c>
      <c r="E310" s="643">
        <v>905804</v>
      </c>
      <c r="F310" s="643">
        <v>302770</v>
      </c>
      <c r="G310" s="643">
        <v>0</v>
      </c>
      <c r="H310" s="643">
        <v>0</v>
      </c>
      <c r="I310" s="643">
        <v>75671</v>
      </c>
      <c r="J310" s="643">
        <v>32400</v>
      </c>
      <c r="K310" s="644">
        <f t="shared" si="21"/>
        <v>1316645</v>
      </c>
      <c r="L310" s="643">
        <v>309334</v>
      </c>
      <c r="M310" s="680">
        <v>0</v>
      </c>
      <c r="N310" s="644">
        <f t="shared" si="18"/>
        <v>309334</v>
      </c>
      <c r="O310" s="643">
        <v>0</v>
      </c>
      <c r="P310" s="643">
        <v>0</v>
      </c>
      <c r="Q310" s="644">
        <f>IF($A310="","",IF(AND($C310="白金タクシー",$A310&gt;=DATE(2017,9,1)),ROUND(GETPIVOTDATA("合計 / タクシー運賃",【ピボット】事業所売上!$A$3,"年月",$A310,"事業所コード",$B310,"事業所",$C310)*5.1%,0),0))</f>
        <v>0</v>
      </c>
      <c r="R310" s="643">
        <v>0</v>
      </c>
      <c r="S310" s="643">
        <v>0</v>
      </c>
      <c r="T310" s="643">
        <v>0</v>
      </c>
      <c r="U310" s="644">
        <f t="shared" si="19"/>
        <v>0</v>
      </c>
      <c r="V310" s="643">
        <v>0</v>
      </c>
      <c r="W310" s="643">
        <v>0</v>
      </c>
      <c r="X310" s="643">
        <v>0</v>
      </c>
      <c r="Y310" s="643">
        <v>0</v>
      </c>
    </row>
    <row r="311" spans="1:25" x14ac:dyDescent="0.15">
      <c r="A311" s="642">
        <v>43344</v>
      </c>
      <c r="B311" s="640" t="str">
        <f t="shared" ca="1" si="20"/>
        <v>07</v>
      </c>
      <c r="C311" s="639" t="s">
        <v>119</v>
      </c>
      <c r="D311" s="644">
        <f ca="1">IF(A311="","",IFERROR(GETPIVOTDATA("合計 / 合計",【ピボット】事業所売上!$A$3,"年月",$A311,"事業所コード",$B311,"事業所",$C311),0))</f>
        <v>861636</v>
      </c>
      <c r="E311" s="643">
        <v>348020</v>
      </c>
      <c r="F311" s="643">
        <v>0</v>
      </c>
      <c r="G311" s="643">
        <v>0</v>
      </c>
      <c r="H311" s="643">
        <v>0</v>
      </c>
      <c r="I311" s="643">
        <v>19982</v>
      </c>
      <c r="J311" s="643">
        <v>0</v>
      </c>
      <c r="K311" s="644">
        <f t="shared" si="21"/>
        <v>368002</v>
      </c>
      <c r="L311" s="643">
        <v>121814</v>
      </c>
      <c r="M311" s="680">
        <v>0</v>
      </c>
      <c r="N311" s="644">
        <f t="shared" si="18"/>
        <v>121814</v>
      </c>
      <c r="O311" s="643">
        <v>0</v>
      </c>
      <c r="P311" s="643">
        <v>0</v>
      </c>
      <c r="Q311" s="644">
        <f>IF($A311="","",IF(AND($C311="白金タクシー",$A311&gt;=DATE(2017,9,1)),ROUND(GETPIVOTDATA("合計 / タクシー運賃",【ピボット】事業所売上!$A$3,"年月",$A311,"事業所コード",$B311,"事業所",$C311)*5.1%,0),0))</f>
        <v>0</v>
      </c>
      <c r="R311" s="643">
        <v>0</v>
      </c>
      <c r="S311" s="643">
        <v>0</v>
      </c>
      <c r="T311" s="643">
        <v>0</v>
      </c>
      <c r="U311" s="644">
        <f t="shared" si="19"/>
        <v>0</v>
      </c>
      <c r="V311" s="643">
        <v>0</v>
      </c>
      <c r="W311" s="643">
        <v>0</v>
      </c>
      <c r="X311" s="643">
        <v>0</v>
      </c>
      <c r="Y311" s="643">
        <v>0</v>
      </c>
    </row>
    <row r="312" spans="1:25" x14ac:dyDescent="0.15">
      <c r="A312" s="642">
        <v>43344</v>
      </c>
      <c r="B312" s="640" t="str">
        <f t="shared" ca="1" si="20"/>
        <v>08</v>
      </c>
      <c r="C312" s="639" t="s">
        <v>189</v>
      </c>
      <c r="D312" s="644">
        <f ca="1">IF(A312="","",IFERROR(GETPIVOTDATA("合計 / 合計",【ピボット】事業所売上!$A$3,"年月",$A312,"事業所コード",$B312,"事業所",$C312),0))</f>
        <v>1050085</v>
      </c>
      <c r="E312" s="643">
        <v>290550</v>
      </c>
      <c r="F312" s="643">
        <v>0</v>
      </c>
      <c r="G312" s="643">
        <v>0</v>
      </c>
      <c r="H312" s="643">
        <v>0</v>
      </c>
      <c r="I312" s="643">
        <v>0</v>
      </c>
      <c r="J312" s="643">
        <v>0</v>
      </c>
      <c r="K312" s="644">
        <f t="shared" si="21"/>
        <v>290550</v>
      </c>
      <c r="L312" s="643">
        <v>155385</v>
      </c>
      <c r="M312" s="643">
        <v>0</v>
      </c>
      <c r="N312" s="644">
        <f t="shared" si="18"/>
        <v>155385</v>
      </c>
      <c r="O312" s="643">
        <v>0</v>
      </c>
      <c r="P312" s="643">
        <v>0</v>
      </c>
      <c r="Q312" s="644">
        <f>IF($A312="","",IF(AND($C312="白金タクシー",$A312&gt;=DATE(2017,9,1)),ROUND(GETPIVOTDATA("合計 / タクシー運賃",【ピボット】事業所売上!$A$3,"年月",$A312,"事業所コード",$B312,"事業所",$C312)*5.1%,0),0))</f>
        <v>0</v>
      </c>
      <c r="R312" s="643">
        <v>0</v>
      </c>
      <c r="S312" s="643">
        <v>0</v>
      </c>
      <c r="T312" s="643">
        <v>0</v>
      </c>
      <c r="U312" s="644">
        <f t="shared" si="19"/>
        <v>0</v>
      </c>
      <c r="V312" s="643">
        <v>0</v>
      </c>
      <c r="W312" s="643">
        <v>0</v>
      </c>
      <c r="X312" s="643">
        <v>0</v>
      </c>
      <c r="Y312" s="643">
        <v>0</v>
      </c>
    </row>
    <row r="313" spans="1:25" x14ac:dyDescent="0.15">
      <c r="A313" s="642">
        <v>43344</v>
      </c>
      <c r="B313" s="640" t="str">
        <f t="shared" ca="1" si="20"/>
        <v>09</v>
      </c>
      <c r="C313" s="639" t="s">
        <v>329</v>
      </c>
      <c r="D313" s="644">
        <f ca="1">IF(A313="","",IFERROR(GETPIVOTDATA("合計 / 合計",【ピボット】事業所売上!$A$3,"年月",$A313,"事業所コード",$B313,"事業所",$C313),0))</f>
        <v>2587385</v>
      </c>
      <c r="E313" s="643">
        <v>667010</v>
      </c>
      <c r="F313" s="643">
        <v>0</v>
      </c>
      <c r="G313" s="643">
        <v>0</v>
      </c>
      <c r="H313" s="643">
        <v>0</v>
      </c>
      <c r="I313" s="643">
        <v>29928</v>
      </c>
      <c r="J313" s="643">
        <v>0</v>
      </c>
      <c r="K313" s="644">
        <f t="shared" si="21"/>
        <v>696938</v>
      </c>
      <c r="L313" s="643">
        <v>603836</v>
      </c>
      <c r="M313" s="643">
        <v>0</v>
      </c>
      <c r="N313" s="644">
        <f t="shared" si="18"/>
        <v>603836</v>
      </c>
      <c r="O313" s="643">
        <v>0</v>
      </c>
      <c r="P313" s="643">
        <v>0</v>
      </c>
      <c r="Q313" s="644">
        <f>IF($A313="","",IF(AND($C313="白金タクシー",$A313&gt;=DATE(2017,9,1)),ROUND(GETPIVOTDATA("合計 / タクシー運賃",【ピボット】事業所売上!$A$3,"年月",$A313,"事業所コード",$B313,"事業所",$C313)*5.1%,0),0))</f>
        <v>0</v>
      </c>
      <c r="R313" s="643">
        <v>0</v>
      </c>
      <c r="S313" s="643">
        <v>0</v>
      </c>
      <c r="T313" s="643">
        <v>0</v>
      </c>
      <c r="U313" s="644">
        <f t="shared" si="19"/>
        <v>0</v>
      </c>
      <c r="V313" s="643">
        <v>0</v>
      </c>
      <c r="W313" s="643">
        <v>0</v>
      </c>
      <c r="X313" s="643">
        <v>0</v>
      </c>
      <c r="Y313" s="643">
        <v>0</v>
      </c>
    </row>
    <row r="314" spans="1:25" x14ac:dyDescent="0.15">
      <c r="A314" s="642">
        <v>43344</v>
      </c>
      <c r="B314" s="640" t="str">
        <f t="shared" ca="1" si="20"/>
        <v>13</v>
      </c>
      <c r="C314" s="639" t="s">
        <v>1385</v>
      </c>
      <c r="D314" s="644">
        <f ca="1">IF(A314="","",IFERROR(GETPIVOTDATA("合計 / 合計",【ピボット】事業所売上!$A$3,"年月",$A314,"事業所コード",$B314,"事業所",$C314),0))</f>
        <v>0</v>
      </c>
      <c r="E314" s="643">
        <v>0</v>
      </c>
      <c r="F314" s="643">
        <v>0</v>
      </c>
      <c r="G314" s="643">
        <v>0</v>
      </c>
      <c r="H314" s="643">
        <v>0</v>
      </c>
      <c r="I314" s="643">
        <v>0</v>
      </c>
      <c r="J314" s="643">
        <v>0</v>
      </c>
      <c r="K314" s="644">
        <f t="shared" si="21"/>
        <v>0</v>
      </c>
      <c r="L314" s="643">
        <v>30864</v>
      </c>
      <c r="M314" s="643">
        <v>0</v>
      </c>
      <c r="N314" s="644">
        <f t="shared" si="18"/>
        <v>30864</v>
      </c>
      <c r="O314" s="643">
        <v>0</v>
      </c>
      <c r="P314" s="643">
        <v>0</v>
      </c>
      <c r="Q314" s="644">
        <f>IF($A314="","",IF(AND($C314="白金タクシー",$A314&gt;=DATE(2017,9,1)),ROUND(GETPIVOTDATA("合計 / タクシー運賃",【ピボット】事業所売上!$A$3,"年月",$A314,"事業所コード",$B314,"事業所",$C314)*5.1%,0),0))</f>
        <v>0</v>
      </c>
      <c r="R314" s="643">
        <v>0</v>
      </c>
      <c r="S314" s="643">
        <v>0</v>
      </c>
      <c r="T314" s="643">
        <v>0</v>
      </c>
      <c r="U314" s="644">
        <f t="shared" si="19"/>
        <v>0</v>
      </c>
      <c r="V314" s="643">
        <v>0</v>
      </c>
      <c r="W314" s="643">
        <v>0</v>
      </c>
      <c r="X314" s="643">
        <v>0</v>
      </c>
      <c r="Y314" s="643">
        <v>0</v>
      </c>
    </row>
    <row r="315" spans="1:25" x14ac:dyDescent="0.15">
      <c r="A315" s="642">
        <v>43344</v>
      </c>
      <c r="B315" s="640" t="str">
        <f ca="1">IF(C315="","",VLOOKUP(C315,事業所コード2,2,FALSE))</f>
        <v>10</v>
      </c>
      <c r="C315" s="639" t="s">
        <v>336</v>
      </c>
      <c r="D315" s="644">
        <f ca="1">IF(A315="","",IFERROR(GETPIVOTDATA("合計 / 合計",【ピボット】事業所売上!$A$3,"年月",$A315,"事業所コード",$B315,"事業所",$C315),0))</f>
        <v>1128956</v>
      </c>
      <c r="E315" s="643">
        <v>385027</v>
      </c>
      <c r="F315" s="745">
        <v>300000</v>
      </c>
      <c r="G315" s="643">
        <v>0</v>
      </c>
      <c r="H315" s="643">
        <v>0</v>
      </c>
      <c r="I315" s="643">
        <v>0</v>
      </c>
      <c r="J315" s="643">
        <v>0</v>
      </c>
      <c r="K315" s="644">
        <f t="shared" si="21"/>
        <v>685027</v>
      </c>
      <c r="L315" s="643">
        <v>540758</v>
      </c>
      <c r="M315" s="643">
        <v>0</v>
      </c>
      <c r="N315" s="644">
        <f t="shared" si="18"/>
        <v>540758</v>
      </c>
      <c r="O315" s="643">
        <v>0</v>
      </c>
      <c r="P315" s="643">
        <v>0</v>
      </c>
      <c r="Q315" s="644">
        <f ca="1">IF($A315="","",IF(AND($C315="白金タクシー",$A315&gt;=DATE(2017,9,1)),ROUND(GETPIVOTDATA("合計 / タクシー運賃",【ピボット】事業所売上!$A$3,"年月",$A315,"事業所コード",$B315,"事業所",$C315)*5.1%,0),0))</f>
        <v>34830</v>
      </c>
      <c r="R315" s="643">
        <v>0</v>
      </c>
      <c r="S315" s="643">
        <v>0</v>
      </c>
      <c r="T315" s="643">
        <v>0</v>
      </c>
      <c r="U315" s="644">
        <f t="shared" si="19"/>
        <v>0</v>
      </c>
      <c r="V315" s="643">
        <v>0</v>
      </c>
      <c r="W315" s="643">
        <v>0</v>
      </c>
      <c r="X315" s="643">
        <v>0</v>
      </c>
      <c r="Y315" s="643">
        <v>0</v>
      </c>
    </row>
    <row r="316" spans="1:25" x14ac:dyDescent="0.15">
      <c r="A316" s="642">
        <v>43374</v>
      </c>
      <c r="B316" s="640" t="str">
        <f t="shared" ca="1" si="20"/>
        <v>00</v>
      </c>
      <c r="C316" s="639" t="s">
        <v>490</v>
      </c>
      <c r="D316" s="644">
        <f ca="1">IF(A316="","",IFERROR(GETPIVOTDATA("合計 / 合計",【ピボット】事業所売上!$A$3,"年月",$A316,"事業所コード",$B316,"事業所",$C316),0))</f>
        <v>0</v>
      </c>
      <c r="E316" s="643">
        <v>0</v>
      </c>
      <c r="F316" s="643">
        <v>1284136</v>
      </c>
      <c r="G316" s="643">
        <v>0</v>
      </c>
      <c r="H316" s="643">
        <v>3000000</v>
      </c>
      <c r="I316" s="643">
        <v>458326</v>
      </c>
      <c r="J316" s="643">
        <v>0</v>
      </c>
      <c r="K316" s="644">
        <f t="shared" si="17"/>
        <v>4742462</v>
      </c>
      <c r="L316" s="643">
        <v>5282133</v>
      </c>
      <c r="M316" s="643">
        <v>0</v>
      </c>
      <c r="N316" s="644">
        <f t="shared" si="18"/>
        <v>5282133</v>
      </c>
      <c r="O316" s="643">
        <v>0</v>
      </c>
      <c r="P316" s="643">
        <v>0</v>
      </c>
      <c r="Q316" s="644">
        <f>IF($A316="","",IF(AND($C316="白金タクシー",$A316&gt;=DATE(2017,9,1)),ROUND(GETPIVOTDATA("合計 / タクシー運賃",【ピボット】事業所売上!$A$3,"年月",$A316,"事業所コード",$B316,"事業所",$C316)*5.1%,0),0))</f>
        <v>0</v>
      </c>
      <c r="R316" s="643">
        <v>0</v>
      </c>
      <c r="S316" s="643">
        <v>0</v>
      </c>
      <c r="T316" s="643">
        <v>0</v>
      </c>
      <c r="U316" s="644">
        <f t="shared" si="19"/>
        <v>0</v>
      </c>
      <c r="V316" s="643">
        <v>142298</v>
      </c>
      <c r="W316" s="643">
        <v>972358</v>
      </c>
      <c r="X316" s="643">
        <v>0</v>
      </c>
      <c r="Y316" s="643">
        <v>0</v>
      </c>
    </row>
    <row r="317" spans="1:25" x14ac:dyDescent="0.15">
      <c r="A317" s="642">
        <v>43374</v>
      </c>
      <c r="B317" s="640" t="str">
        <f t="shared" ca="1" si="20"/>
        <v>01</v>
      </c>
      <c r="C317" s="639" t="s">
        <v>34</v>
      </c>
      <c r="D317" s="644">
        <f ca="1">IF(A317="","",IFERROR(GETPIVOTDATA("合計 / 合計",【ピボット】事業所売上!$A$3,"年月",$A317,"事業所コード",$B317,"事業所",$C317),0))</f>
        <v>12511332</v>
      </c>
      <c r="E317" s="643">
        <f>3677827+262352</f>
        <v>3940179</v>
      </c>
      <c r="F317" s="643">
        <v>2473417</v>
      </c>
      <c r="G317" s="643">
        <v>0</v>
      </c>
      <c r="H317" s="643">
        <v>0</v>
      </c>
      <c r="I317" s="643">
        <v>379848</v>
      </c>
      <c r="J317" s="643">
        <v>57078</v>
      </c>
      <c r="K317" s="644">
        <f t="shared" si="17"/>
        <v>6850522</v>
      </c>
      <c r="L317" s="643">
        <f>1322342+424387</f>
        <v>1746729</v>
      </c>
      <c r="M317" s="643">
        <v>107892</v>
      </c>
      <c r="N317" s="644">
        <f t="shared" si="18"/>
        <v>1854621</v>
      </c>
      <c r="O317" s="643">
        <v>56700</v>
      </c>
      <c r="P317" s="643">
        <v>0</v>
      </c>
      <c r="Q317" s="644">
        <f>IF($A317="","",IF(AND($C317="白金タクシー",$A317&gt;=DATE(2017,9,1)),ROUND(GETPIVOTDATA("合計 / タクシー運賃",【ピボット】事業所売上!$A$3,"年月",$A317,"事業所コード",$B317,"事業所",$C317)*5.1%,0),0))</f>
        <v>0</v>
      </c>
      <c r="R317" s="643">
        <v>0</v>
      </c>
      <c r="S317" s="643">
        <v>0</v>
      </c>
      <c r="T317" s="643">
        <v>0</v>
      </c>
      <c r="U317" s="644">
        <f t="shared" si="19"/>
        <v>0</v>
      </c>
      <c r="V317" s="643">
        <v>0</v>
      </c>
      <c r="W317" s="643">
        <v>0</v>
      </c>
      <c r="X317" s="643">
        <v>0</v>
      </c>
      <c r="Y317" s="643">
        <v>0</v>
      </c>
    </row>
    <row r="318" spans="1:25" x14ac:dyDescent="0.15">
      <c r="A318" s="642">
        <v>43374</v>
      </c>
      <c r="B318" s="640" t="str">
        <f t="shared" ca="1" si="20"/>
        <v>02</v>
      </c>
      <c r="C318" s="639" t="s">
        <v>37</v>
      </c>
      <c r="D318" s="644">
        <f ca="1">IF(A318="","",IFERROR(GETPIVOTDATA("合計 / 合計",【ピボット】事業所売上!$A$3,"年月",$A318,"事業所コード",$B318,"事業所",$C318),0))</f>
        <v>7557882</v>
      </c>
      <c r="E318" s="643">
        <v>1568464</v>
      </c>
      <c r="F318" s="643">
        <f>2308355-5000</f>
        <v>2303355</v>
      </c>
      <c r="G318" s="643">
        <v>0</v>
      </c>
      <c r="H318" s="643">
        <v>0</v>
      </c>
      <c r="I318" s="643">
        <v>421567</v>
      </c>
      <c r="J318" s="643">
        <v>20664</v>
      </c>
      <c r="K318" s="644">
        <f t="shared" si="17"/>
        <v>4314050</v>
      </c>
      <c r="L318" s="643">
        <v>1080585</v>
      </c>
      <c r="M318" s="643">
        <v>0</v>
      </c>
      <c r="N318" s="644">
        <f t="shared" si="18"/>
        <v>1080585</v>
      </c>
      <c r="O318" s="643">
        <v>108000</v>
      </c>
      <c r="P318" s="643">
        <v>0</v>
      </c>
      <c r="Q318" s="644">
        <f>IF($A318="","",IF(AND($C318="白金タクシー",$A318&gt;=DATE(2017,9,1)),ROUND(GETPIVOTDATA("合計 / タクシー運賃",【ピボット】事業所売上!$A$3,"年月",$A318,"事業所コード",$B318,"事業所",$C318)*5.1%,0),0))</f>
        <v>0</v>
      </c>
      <c r="R318" s="643">
        <v>0</v>
      </c>
      <c r="S318" s="643">
        <v>0</v>
      </c>
      <c r="T318" s="643">
        <v>0</v>
      </c>
      <c r="U318" s="644">
        <f t="shared" si="19"/>
        <v>0</v>
      </c>
      <c r="V318" s="643">
        <v>0</v>
      </c>
      <c r="W318" s="643">
        <v>0</v>
      </c>
      <c r="X318" s="643">
        <v>0</v>
      </c>
      <c r="Y318" s="643">
        <v>0</v>
      </c>
    </row>
    <row r="319" spans="1:25" x14ac:dyDescent="0.15">
      <c r="A319" s="642">
        <v>43374</v>
      </c>
      <c r="B319" s="640" t="str">
        <f t="shared" ca="1" si="20"/>
        <v>03</v>
      </c>
      <c r="C319" s="639" t="s">
        <v>66</v>
      </c>
      <c r="D319" s="644">
        <f ca="1">IF(A319="","",IFERROR(GETPIVOTDATA("合計 / 合計",【ピボット】事業所売上!$A$3,"年月",$A319,"事業所コード",$B319,"事業所",$C319),0))</f>
        <v>7419604</v>
      </c>
      <c r="E319" s="643">
        <v>2165081</v>
      </c>
      <c r="F319" s="643">
        <v>1959643</v>
      </c>
      <c r="G319" s="643">
        <v>0</v>
      </c>
      <c r="H319" s="643">
        <v>0</v>
      </c>
      <c r="I319" s="643">
        <v>391763</v>
      </c>
      <c r="J319" s="643">
        <v>5122</v>
      </c>
      <c r="K319" s="644">
        <f t="shared" si="17"/>
        <v>4521609</v>
      </c>
      <c r="L319" s="643">
        <v>1522750</v>
      </c>
      <c r="M319" s="643">
        <v>0</v>
      </c>
      <c r="N319" s="644">
        <f t="shared" si="18"/>
        <v>1522750</v>
      </c>
      <c r="O319" s="643">
        <v>100440</v>
      </c>
      <c r="P319" s="643">
        <v>0</v>
      </c>
      <c r="Q319" s="644">
        <f>IF($A319="","",IF(AND($C319="白金タクシー",$A319&gt;=DATE(2017,9,1)),ROUND(GETPIVOTDATA("合計 / タクシー運賃",【ピボット】事業所売上!$A$3,"年月",$A319,"事業所コード",$B319,"事業所",$C319)*5.1%,0),0))</f>
        <v>0</v>
      </c>
      <c r="R319" s="643">
        <v>0</v>
      </c>
      <c r="S319" s="643">
        <v>0</v>
      </c>
      <c r="T319" s="643">
        <v>0</v>
      </c>
      <c r="U319" s="644">
        <f t="shared" si="19"/>
        <v>0</v>
      </c>
      <c r="V319" s="643">
        <v>0</v>
      </c>
      <c r="W319" s="643">
        <v>0</v>
      </c>
      <c r="X319" s="643">
        <v>0</v>
      </c>
      <c r="Y319" s="643">
        <v>0</v>
      </c>
    </row>
    <row r="320" spans="1:25" x14ac:dyDescent="0.15">
      <c r="A320" s="642">
        <v>43374</v>
      </c>
      <c r="B320" s="640" t="str">
        <f t="shared" ca="1" si="20"/>
        <v>11</v>
      </c>
      <c r="C320" s="639" t="s">
        <v>967</v>
      </c>
      <c r="D320" s="644">
        <f ca="1">IF(A320="","",IFERROR(GETPIVOTDATA("合計 / 合計",【ピボット】事業所売上!$A$3,"年月",$A320,"事業所コード",$B320,"事業所",$C320),0))</f>
        <v>1631546</v>
      </c>
      <c r="E320" s="643">
        <v>411567</v>
      </c>
      <c r="F320" s="643">
        <v>365311</v>
      </c>
      <c r="G320" s="643">
        <v>0</v>
      </c>
      <c r="H320" s="643">
        <v>0</v>
      </c>
      <c r="I320" s="643">
        <v>57454</v>
      </c>
      <c r="J320" s="643">
        <v>0</v>
      </c>
      <c r="K320" s="644">
        <f t="shared" si="17"/>
        <v>834332</v>
      </c>
      <c r="L320" s="643">
        <v>606856</v>
      </c>
      <c r="M320" s="643">
        <v>0</v>
      </c>
      <c r="N320" s="644">
        <f t="shared" si="18"/>
        <v>606856</v>
      </c>
      <c r="O320" s="643">
        <v>103680</v>
      </c>
      <c r="P320" s="643">
        <v>0</v>
      </c>
      <c r="Q320" s="644">
        <f>IF($A320="","",IF(AND($C320="白金タクシー",$A320&gt;=DATE(2017,9,1)),ROUND(GETPIVOTDATA("合計 / タクシー運賃",【ピボット】事業所売上!$A$3,"年月",$A320,"事業所コード",$B320,"事業所",$C320)*5.1%,0),0))</f>
        <v>0</v>
      </c>
      <c r="R320" s="643">
        <v>0</v>
      </c>
      <c r="S320" s="643">
        <v>0</v>
      </c>
      <c r="T320" s="643">
        <v>0</v>
      </c>
      <c r="U320" s="644">
        <f t="shared" si="19"/>
        <v>0</v>
      </c>
      <c r="V320" s="643">
        <v>0</v>
      </c>
      <c r="W320" s="643">
        <v>0</v>
      </c>
      <c r="X320" s="643">
        <v>0</v>
      </c>
      <c r="Y320" s="643">
        <v>0</v>
      </c>
    </row>
    <row r="321" spans="1:25" x14ac:dyDescent="0.15">
      <c r="A321" s="642">
        <v>43374</v>
      </c>
      <c r="B321" s="640" t="str">
        <f t="shared" ca="1" si="20"/>
        <v>12</v>
      </c>
      <c r="C321" s="639" t="s">
        <v>1143</v>
      </c>
      <c r="D321" s="644">
        <f ca="1">IF(A321="","",IFERROR(GETPIVOTDATA("合計 / 合計",【ピボット】事業所売上!$A$3,"年月",$A321,"事業所コード",$B321,"事業所",$C321),0))</f>
        <v>234284</v>
      </c>
      <c r="E321" s="643">
        <v>27512</v>
      </c>
      <c r="F321" s="643">
        <v>355817</v>
      </c>
      <c r="G321" s="643">
        <v>0</v>
      </c>
      <c r="H321" s="643">
        <v>0</v>
      </c>
      <c r="I321" s="643">
        <v>48772</v>
      </c>
      <c r="J321" s="643">
        <v>1479</v>
      </c>
      <c r="K321" s="644">
        <f t="shared" si="17"/>
        <v>433580</v>
      </c>
      <c r="L321" s="643">
        <v>704776</v>
      </c>
      <c r="M321" s="643">
        <v>0</v>
      </c>
      <c r="N321" s="644">
        <f t="shared" si="18"/>
        <v>704776</v>
      </c>
      <c r="O321" s="643">
        <v>271080</v>
      </c>
      <c r="P321" s="643">
        <v>0</v>
      </c>
      <c r="Q321" s="644">
        <f>IF($A321="","",IF(AND($C321="白金タクシー",$A321&gt;=DATE(2017,9,1)),ROUND(GETPIVOTDATA("合計 / タクシー運賃",【ピボット】事業所売上!$A$3,"年月",$A321,"事業所コード",$B321,"事業所",$C321)*5.1%,0),0))</f>
        <v>0</v>
      </c>
      <c r="R321" s="643">
        <v>0</v>
      </c>
      <c r="S321" s="643">
        <v>0</v>
      </c>
      <c r="T321" s="643">
        <v>0</v>
      </c>
      <c r="U321" s="644">
        <f t="shared" si="19"/>
        <v>0</v>
      </c>
      <c r="V321" s="643">
        <v>0</v>
      </c>
      <c r="W321" s="643">
        <v>0</v>
      </c>
      <c r="X321" s="643">
        <v>0</v>
      </c>
      <c r="Y321" s="643">
        <v>0</v>
      </c>
    </row>
    <row r="322" spans="1:25" x14ac:dyDescent="0.15">
      <c r="A322" s="642">
        <v>43374</v>
      </c>
      <c r="B322" s="640" t="str">
        <f t="shared" ca="1" si="20"/>
        <v>04</v>
      </c>
      <c r="C322" s="639" t="s">
        <v>358</v>
      </c>
      <c r="D322" s="644">
        <f ca="1">IF(A322="","",IFERROR(GETPIVOTDATA("合計 / 合計",【ピボット】事業所売上!$A$3,"年月",$A322,"事業所コード",$B322,"事業所",$C322),0))</f>
        <v>4442200</v>
      </c>
      <c r="E322" s="643">
        <v>1235375</v>
      </c>
      <c r="F322" s="643">
        <v>656604</v>
      </c>
      <c r="G322" s="643">
        <v>0</v>
      </c>
      <c r="H322" s="643">
        <v>0</v>
      </c>
      <c r="I322" s="643">
        <v>191004</v>
      </c>
      <c r="J322" s="643">
        <v>3367</v>
      </c>
      <c r="K322" s="644">
        <f t="shared" si="17"/>
        <v>2086350</v>
      </c>
      <c r="L322" s="643">
        <v>1207486</v>
      </c>
      <c r="M322" s="643">
        <v>0</v>
      </c>
      <c r="N322" s="644">
        <f t="shared" si="18"/>
        <v>1207486</v>
      </c>
      <c r="O322" s="643">
        <v>113400</v>
      </c>
      <c r="P322" s="643">
        <v>0</v>
      </c>
      <c r="Q322" s="644">
        <f>IF($A322="","",IF(AND($C322="白金タクシー",$A322&gt;=DATE(2017,9,1)),ROUND(GETPIVOTDATA("合計 / タクシー運賃",【ピボット】事業所売上!$A$3,"年月",$A322,"事業所コード",$B322,"事業所",$C322)*5.1%,0),0))</f>
        <v>0</v>
      </c>
      <c r="R322" s="643">
        <v>0</v>
      </c>
      <c r="S322" s="643">
        <v>0</v>
      </c>
      <c r="T322" s="643">
        <v>0</v>
      </c>
      <c r="U322" s="644">
        <f t="shared" si="19"/>
        <v>0</v>
      </c>
      <c r="V322" s="643">
        <v>0</v>
      </c>
      <c r="W322" s="643">
        <v>0</v>
      </c>
      <c r="X322" s="643">
        <v>0</v>
      </c>
      <c r="Y322" s="643">
        <v>0</v>
      </c>
    </row>
    <row r="323" spans="1:25" x14ac:dyDescent="0.15">
      <c r="A323" s="642">
        <v>43374</v>
      </c>
      <c r="B323" s="640" t="str">
        <f t="shared" ca="1" si="20"/>
        <v>05</v>
      </c>
      <c r="C323" s="639" t="s">
        <v>38</v>
      </c>
      <c r="D323" s="644">
        <f ca="1">IF(A323="","",IFERROR(GETPIVOTDATA("合計 / 合計",【ピボット】事業所売上!$A$3,"年月",$A323,"事業所コード",$B323,"事業所",$C323),0))</f>
        <v>2397265</v>
      </c>
      <c r="E323" s="643">
        <v>952522</v>
      </c>
      <c r="F323" s="643">
        <v>305886</v>
      </c>
      <c r="G323" s="643">
        <v>0</v>
      </c>
      <c r="H323" s="643">
        <v>0</v>
      </c>
      <c r="I323" s="643">
        <v>77028</v>
      </c>
      <c r="J323" s="643">
        <v>40500</v>
      </c>
      <c r="K323" s="644">
        <f t="shared" si="17"/>
        <v>1375936</v>
      </c>
      <c r="L323" s="643">
        <v>691457</v>
      </c>
      <c r="M323" s="643">
        <v>0</v>
      </c>
      <c r="N323" s="644">
        <f t="shared" si="18"/>
        <v>691457</v>
      </c>
      <c r="O323" s="643">
        <v>0</v>
      </c>
      <c r="P323" s="643">
        <v>0</v>
      </c>
      <c r="Q323" s="644">
        <f>IF($A323="","",IF(AND($C323="白金タクシー",$A323&gt;=DATE(2017,9,1)),ROUND(GETPIVOTDATA("合計 / タクシー運賃",【ピボット】事業所売上!$A$3,"年月",$A323,"事業所コード",$B323,"事業所",$C323)*5.1%,0),0))</f>
        <v>0</v>
      </c>
      <c r="R323" s="643">
        <v>0</v>
      </c>
      <c r="S323" s="643">
        <v>0</v>
      </c>
      <c r="T323" s="643">
        <v>0</v>
      </c>
      <c r="U323" s="644">
        <f t="shared" si="19"/>
        <v>0</v>
      </c>
      <c r="V323" s="643">
        <v>0</v>
      </c>
      <c r="W323" s="643">
        <v>0</v>
      </c>
      <c r="X323" s="643">
        <v>0</v>
      </c>
      <c r="Y323" s="643">
        <v>0</v>
      </c>
    </row>
    <row r="324" spans="1:25" x14ac:dyDescent="0.15">
      <c r="A324" s="642">
        <v>43374</v>
      </c>
      <c r="B324" s="640" t="str">
        <f t="shared" ca="1" si="20"/>
        <v>07</v>
      </c>
      <c r="C324" s="639" t="s">
        <v>119</v>
      </c>
      <c r="D324" s="644">
        <f ca="1">IF(A324="","",IFERROR(GETPIVOTDATA("合計 / 合計",【ピボット】事業所売上!$A$3,"年月",$A324,"事業所コード",$B324,"事業所",$C324),0))</f>
        <v>1139110</v>
      </c>
      <c r="E324" s="643">
        <v>366703</v>
      </c>
      <c r="F324" s="643">
        <v>0</v>
      </c>
      <c r="G324" s="643">
        <v>0</v>
      </c>
      <c r="H324" s="643">
        <v>0</v>
      </c>
      <c r="I324" s="643">
        <v>20453</v>
      </c>
      <c r="J324" s="643">
        <v>24300</v>
      </c>
      <c r="K324" s="644">
        <f t="shared" ref="K324:K335" si="22">IF(A324="","",SUM(E324:J324))</f>
        <v>411456</v>
      </c>
      <c r="L324" s="643">
        <v>184298</v>
      </c>
      <c r="M324" s="643">
        <v>0</v>
      </c>
      <c r="N324" s="644">
        <f t="shared" ref="N324:N387" si="23">IF(A324="","",SUM(L324:M324))</f>
        <v>184298</v>
      </c>
      <c r="O324" s="643">
        <v>16200</v>
      </c>
      <c r="P324" s="643">
        <v>0</v>
      </c>
      <c r="Q324" s="644">
        <f>IF($A324="","",IF(AND($C324="白金タクシー",$A324&gt;=DATE(2017,9,1)),ROUND(GETPIVOTDATA("合計 / タクシー運賃",【ピボット】事業所売上!$A$3,"年月",$A324,"事業所コード",$B324,"事業所",$C324)*5.1%,0),0))</f>
        <v>0</v>
      </c>
      <c r="R324" s="643">
        <v>0</v>
      </c>
      <c r="S324" s="643">
        <v>0</v>
      </c>
      <c r="T324" s="643">
        <v>0</v>
      </c>
      <c r="U324" s="644">
        <f t="shared" ref="U324:U387" si="24">IF(A324="","",R324-S324-T324)</f>
        <v>0</v>
      </c>
      <c r="V324" s="643">
        <v>0</v>
      </c>
      <c r="W324" s="643">
        <v>0</v>
      </c>
      <c r="X324" s="643">
        <v>0</v>
      </c>
      <c r="Y324" s="643">
        <v>0</v>
      </c>
    </row>
    <row r="325" spans="1:25" x14ac:dyDescent="0.15">
      <c r="A325" s="642">
        <v>43374</v>
      </c>
      <c r="B325" s="640" t="str">
        <f t="shared" ca="1" si="20"/>
        <v>08</v>
      </c>
      <c r="C325" s="639" t="s">
        <v>189</v>
      </c>
      <c r="D325" s="644">
        <f ca="1">IF(A325="","",IFERROR(GETPIVOTDATA("合計 / 合計",【ピボット】事業所売上!$A$3,"年月",$A325,"事業所コード",$B325,"事業所",$C325),0))</f>
        <v>1087657</v>
      </c>
      <c r="E325" s="643">
        <v>290975</v>
      </c>
      <c r="F325" s="643">
        <v>0</v>
      </c>
      <c r="G325" s="643">
        <v>0</v>
      </c>
      <c r="H325" s="643">
        <v>0</v>
      </c>
      <c r="I325" s="643">
        <v>0</v>
      </c>
      <c r="J325" s="643">
        <v>24300</v>
      </c>
      <c r="K325" s="644">
        <f t="shared" si="22"/>
        <v>315275</v>
      </c>
      <c r="L325" s="643">
        <v>192786</v>
      </c>
      <c r="M325" s="643">
        <v>0</v>
      </c>
      <c r="N325" s="644">
        <f t="shared" si="23"/>
        <v>192786</v>
      </c>
      <c r="O325" s="643">
        <v>16200</v>
      </c>
      <c r="P325" s="643">
        <v>0</v>
      </c>
      <c r="Q325" s="644">
        <f>IF($A325="","",IF(AND($C325="白金タクシー",$A325&gt;=DATE(2017,9,1)),ROUND(GETPIVOTDATA("合計 / タクシー運賃",【ピボット】事業所売上!$A$3,"年月",$A325,"事業所コード",$B325,"事業所",$C325)*5.1%,0),0))</f>
        <v>0</v>
      </c>
      <c r="R325" s="643">
        <v>0</v>
      </c>
      <c r="S325" s="643">
        <v>0</v>
      </c>
      <c r="T325" s="643">
        <v>0</v>
      </c>
      <c r="U325" s="644">
        <f t="shared" si="24"/>
        <v>0</v>
      </c>
      <c r="V325" s="643">
        <v>0</v>
      </c>
      <c r="W325" s="643">
        <v>0</v>
      </c>
      <c r="X325" s="643">
        <v>0</v>
      </c>
      <c r="Y325" s="643">
        <v>0</v>
      </c>
    </row>
    <row r="326" spans="1:25" x14ac:dyDescent="0.15">
      <c r="A326" s="642">
        <v>43374</v>
      </c>
      <c r="B326" s="640" t="str">
        <f t="shared" ca="1" si="20"/>
        <v>09</v>
      </c>
      <c r="C326" s="639" t="s">
        <v>329</v>
      </c>
      <c r="D326" s="644">
        <f ca="1">IF(A326="","",IFERROR(GETPIVOTDATA("合計 / 合計",【ピボット】事業所売上!$A$3,"年月",$A326,"事業所コード",$B326,"事業所",$C326),0))</f>
        <v>2800912</v>
      </c>
      <c r="E326" s="643">
        <v>619825</v>
      </c>
      <c r="F326" s="643">
        <v>334455</v>
      </c>
      <c r="G326" s="643">
        <v>0</v>
      </c>
      <c r="H326" s="643">
        <v>0</v>
      </c>
      <c r="I326" s="643">
        <v>61717</v>
      </c>
      <c r="J326" s="643">
        <v>16200</v>
      </c>
      <c r="K326" s="644">
        <f t="shared" si="22"/>
        <v>1032197</v>
      </c>
      <c r="L326" s="643">
        <v>822996</v>
      </c>
      <c r="M326" s="643">
        <v>0</v>
      </c>
      <c r="N326" s="644">
        <f t="shared" si="23"/>
        <v>822996</v>
      </c>
      <c r="O326" s="643">
        <v>16200</v>
      </c>
      <c r="P326" s="643">
        <v>0</v>
      </c>
      <c r="Q326" s="644">
        <f>IF($A326="","",IF(AND($C326="白金タクシー",$A326&gt;=DATE(2017,9,1)),ROUND(GETPIVOTDATA("合計 / タクシー運賃",【ピボット】事業所売上!$A$3,"年月",$A326,"事業所コード",$B326,"事業所",$C326)*5.1%,0),0))</f>
        <v>0</v>
      </c>
      <c r="R326" s="643">
        <v>0</v>
      </c>
      <c r="S326" s="643">
        <v>0</v>
      </c>
      <c r="T326" s="643">
        <v>0</v>
      </c>
      <c r="U326" s="644">
        <f t="shared" si="24"/>
        <v>0</v>
      </c>
      <c r="V326" s="643">
        <v>0</v>
      </c>
      <c r="W326" s="643">
        <v>0</v>
      </c>
      <c r="X326" s="643">
        <v>0</v>
      </c>
      <c r="Y326" s="643">
        <v>0</v>
      </c>
    </row>
    <row r="327" spans="1:25" x14ac:dyDescent="0.15">
      <c r="A327" s="642">
        <v>43405</v>
      </c>
      <c r="B327" s="640" t="str">
        <f t="shared" ca="1" si="20"/>
        <v>00</v>
      </c>
      <c r="C327" s="639" t="s">
        <v>490</v>
      </c>
      <c r="D327" s="644">
        <f ca="1">IF(A327="","",IFERROR(GETPIVOTDATA("合計 / 合計",【ピボット】事業所売上!$A$3,"年月",$A327,"事業所コード",$B327,"事業所",$C327),0))</f>
        <v>0</v>
      </c>
      <c r="E327" s="643">
        <v>0</v>
      </c>
      <c r="F327" s="643">
        <v>1458305</v>
      </c>
      <c r="G327" s="643">
        <v>0</v>
      </c>
      <c r="H327" s="643">
        <v>3000000</v>
      </c>
      <c r="I327" s="643">
        <v>382710</v>
      </c>
      <c r="J327" s="643">
        <v>910656</v>
      </c>
      <c r="K327" s="644">
        <f t="shared" si="22"/>
        <v>5751671</v>
      </c>
      <c r="L327" s="643">
        <v>2864700</v>
      </c>
      <c r="M327" s="643">
        <v>0</v>
      </c>
      <c r="N327" s="644">
        <f t="shared" si="23"/>
        <v>2864700</v>
      </c>
      <c r="O327" s="643">
        <v>348840</v>
      </c>
      <c r="P327" s="643">
        <v>0</v>
      </c>
      <c r="Q327" s="644">
        <f>IF($A327="","",IF(AND($C327="白金タクシー",$A327&gt;=DATE(2017,9,1)),ROUND(GETPIVOTDATA("合計 / タクシー運賃",【ピボット】事業所売上!$A$3,"年月",$A327,"事業所コード",$B327,"事業所",$C327)*5.1%,0),0))</f>
        <v>0</v>
      </c>
      <c r="R327" s="643">
        <v>0</v>
      </c>
      <c r="S327" s="643">
        <v>0</v>
      </c>
      <c r="T327" s="643">
        <v>0</v>
      </c>
      <c r="U327" s="644">
        <f t="shared" si="24"/>
        <v>0</v>
      </c>
      <c r="V327" s="643">
        <v>146805</v>
      </c>
      <c r="W327" s="643">
        <v>874139</v>
      </c>
      <c r="X327" s="643">
        <v>0</v>
      </c>
      <c r="Y327" s="643">
        <v>0</v>
      </c>
    </row>
    <row r="328" spans="1:25" x14ac:dyDescent="0.15">
      <c r="A328" s="642">
        <v>43405</v>
      </c>
      <c r="B328" s="640" t="str">
        <f t="shared" ca="1" si="20"/>
        <v>01</v>
      </c>
      <c r="C328" s="639" t="s">
        <v>34</v>
      </c>
      <c r="D328" s="644">
        <f ca="1">IF(A328="","",IFERROR(GETPIVOTDATA("合計 / 合計",【ピボット】事業所売上!$A$3,"年月",$A328,"事業所コード",$B328,"事業所",$C328),0))</f>
        <v>12778671</v>
      </c>
      <c r="E328" s="643">
        <v>3988130</v>
      </c>
      <c r="F328" s="643">
        <v>2563994</v>
      </c>
      <c r="G328" s="643">
        <v>0</v>
      </c>
      <c r="H328" s="643">
        <v>0</v>
      </c>
      <c r="I328" s="643">
        <v>319575</v>
      </c>
      <c r="J328" s="643">
        <v>26550</v>
      </c>
      <c r="K328" s="644">
        <f t="shared" si="22"/>
        <v>6898249</v>
      </c>
      <c r="L328" s="643">
        <f>1105311+172750</f>
        <v>1278061</v>
      </c>
      <c r="M328" s="643">
        <v>87480</v>
      </c>
      <c r="N328" s="644">
        <f t="shared" si="23"/>
        <v>1365541</v>
      </c>
      <c r="O328" s="643">
        <v>97740</v>
      </c>
      <c r="P328" s="643">
        <v>0</v>
      </c>
      <c r="Q328" s="644">
        <f>IF($A328="","",IF(AND($C328="白金タクシー",$A328&gt;=DATE(2017,9,1)),ROUND(GETPIVOTDATA("合計 / タクシー運賃",【ピボット】事業所売上!$A$3,"年月",$A328,"事業所コード",$B328,"事業所",$C328)*5.1%,0),0))</f>
        <v>0</v>
      </c>
      <c r="R328" s="643">
        <v>27</v>
      </c>
      <c r="S328" s="643">
        <v>0</v>
      </c>
      <c r="T328" s="643">
        <v>0</v>
      </c>
      <c r="U328" s="644">
        <f t="shared" si="24"/>
        <v>27</v>
      </c>
      <c r="V328" s="643">
        <v>0</v>
      </c>
      <c r="W328" s="643">
        <v>0</v>
      </c>
      <c r="X328" s="643">
        <v>0</v>
      </c>
      <c r="Y328" s="643">
        <v>0</v>
      </c>
    </row>
    <row r="329" spans="1:25" x14ac:dyDescent="0.15">
      <c r="A329" s="642">
        <v>43405</v>
      </c>
      <c r="B329" s="640" t="str">
        <f t="shared" ca="1" si="20"/>
        <v>02</v>
      </c>
      <c r="C329" s="639" t="s">
        <v>37</v>
      </c>
      <c r="D329" s="644">
        <f ca="1">IF(A329="","",IFERROR(GETPIVOTDATA("合計 / 合計",【ピボット】事業所売上!$A$3,"年月",$A329,"事業所コード",$B329,"事業所",$C329),0))</f>
        <v>7285298</v>
      </c>
      <c r="E329" s="643">
        <v>1559609</v>
      </c>
      <c r="F329" s="643">
        <v>2437257</v>
      </c>
      <c r="G329" s="643">
        <v>0</v>
      </c>
      <c r="H329" s="643">
        <v>0</v>
      </c>
      <c r="I329" s="643">
        <v>354571</v>
      </c>
      <c r="J329" s="643">
        <v>24569</v>
      </c>
      <c r="K329" s="644">
        <f t="shared" si="22"/>
        <v>4376006</v>
      </c>
      <c r="L329" s="643">
        <v>906143</v>
      </c>
      <c r="M329" s="643">
        <v>0</v>
      </c>
      <c r="N329" s="644">
        <f t="shared" si="23"/>
        <v>906143</v>
      </c>
      <c r="O329" s="643">
        <v>0</v>
      </c>
      <c r="P329" s="643">
        <v>0</v>
      </c>
      <c r="Q329" s="644">
        <f>IF($A329="","",IF(AND($C329="白金タクシー",$A329&gt;=DATE(2017,9,1)),ROUND(GETPIVOTDATA("合計 / タクシー運賃",【ピボット】事業所売上!$A$3,"年月",$A329,"事業所コード",$B329,"事業所",$C329)*5.1%,0),0))</f>
        <v>0</v>
      </c>
      <c r="R329" s="643">
        <v>0</v>
      </c>
      <c r="S329" s="643">
        <v>0</v>
      </c>
      <c r="T329" s="643">
        <v>0</v>
      </c>
      <c r="U329" s="644">
        <f t="shared" si="24"/>
        <v>0</v>
      </c>
      <c r="V329" s="643">
        <v>0</v>
      </c>
      <c r="W329" s="643">
        <v>0</v>
      </c>
      <c r="X329" s="643">
        <v>0</v>
      </c>
      <c r="Y329" s="643">
        <v>0</v>
      </c>
    </row>
    <row r="330" spans="1:25" x14ac:dyDescent="0.15">
      <c r="A330" s="642">
        <v>43405</v>
      </c>
      <c r="B330" s="640" t="str">
        <f t="shared" ca="1" si="20"/>
        <v>03</v>
      </c>
      <c r="C330" s="639" t="s">
        <v>66</v>
      </c>
      <c r="D330" s="644">
        <f ca="1">IF(A330="","",IFERROR(GETPIVOTDATA("合計 / 合計",【ピボット】事業所売上!$A$3,"年月",$A330,"事業所コード",$B330,"事業所",$C330),0))</f>
        <v>7099035</v>
      </c>
      <c r="E330" s="643">
        <v>2058665</v>
      </c>
      <c r="F330" s="643">
        <v>2274286</v>
      </c>
      <c r="G330" s="643">
        <v>0</v>
      </c>
      <c r="H330" s="643">
        <v>0</v>
      </c>
      <c r="I330" s="643">
        <v>359020</v>
      </c>
      <c r="J330" s="643">
        <v>133821</v>
      </c>
      <c r="K330" s="644">
        <f t="shared" si="22"/>
        <v>4825792</v>
      </c>
      <c r="L330" s="643">
        <v>937541</v>
      </c>
      <c r="M330" s="643">
        <v>0</v>
      </c>
      <c r="N330" s="644">
        <f t="shared" si="23"/>
        <v>937541</v>
      </c>
      <c r="O330" s="643">
        <v>64800</v>
      </c>
      <c r="P330" s="643">
        <v>0</v>
      </c>
      <c r="Q330" s="644">
        <f>IF($A330="","",IF(AND($C330="白金タクシー",$A330&gt;=DATE(2017,9,1)),ROUND(GETPIVOTDATA("合計 / タクシー運賃",【ピボット】事業所売上!$A$3,"年月",$A330,"事業所コード",$B330,"事業所",$C330)*5.1%,0),0))</f>
        <v>0</v>
      </c>
      <c r="R330" s="643">
        <v>0</v>
      </c>
      <c r="S330" s="643">
        <v>0</v>
      </c>
      <c r="T330" s="643">
        <v>0</v>
      </c>
      <c r="U330" s="644">
        <f t="shared" si="24"/>
        <v>0</v>
      </c>
      <c r="V330" s="643">
        <v>0</v>
      </c>
      <c r="W330" s="643">
        <v>0</v>
      </c>
      <c r="X330" s="643">
        <v>0</v>
      </c>
      <c r="Y330" s="643">
        <v>0</v>
      </c>
    </row>
    <row r="331" spans="1:25" x14ac:dyDescent="0.15">
      <c r="A331" s="642">
        <v>43405</v>
      </c>
      <c r="B331" s="640" t="str">
        <f t="shared" ca="1" si="20"/>
        <v>11</v>
      </c>
      <c r="C331" s="639" t="s">
        <v>967</v>
      </c>
      <c r="D331" s="644">
        <f ca="1">IF(A331="","",IFERROR(GETPIVOTDATA("合計 / 合計",【ピボット】事業所売上!$A$3,"年月",$A331,"事業所コード",$B331,"事業所",$C331),0))</f>
        <v>1296114</v>
      </c>
      <c r="E331" s="643">
        <v>304379</v>
      </c>
      <c r="F331" s="643">
        <v>313556</v>
      </c>
      <c r="G331" s="643">
        <v>0</v>
      </c>
      <c r="H331" s="643">
        <v>0</v>
      </c>
      <c r="I331" s="643">
        <v>39713</v>
      </c>
      <c r="J331" s="643">
        <v>0</v>
      </c>
      <c r="K331" s="644">
        <f t="shared" si="22"/>
        <v>657648</v>
      </c>
      <c r="L331" s="643">
        <v>530155</v>
      </c>
      <c r="M331" s="643">
        <v>0</v>
      </c>
      <c r="N331" s="644">
        <f t="shared" si="23"/>
        <v>530155</v>
      </c>
      <c r="O331" s="643">
        <v>125604</v>
      </c>
      <c r="P331" s="643">
        <v>190000</v>
      </c>
      <c r="Q331" s="644">
        <f t="shared" ref="Q331:Q380" si="25">IF($A331="","",0)</f>
        <v>0</v>
      </c>
      <c r="R331" s="643">
        <v>0</v>
      </c>
      <c r="S331" s="643">
        <v>0</v>
      </c>
      <c r="T331" s="643">
        <v>0</v>
      </c>
      <c r="U331" s="644">
        <f t="shared" si="24"/>
        <v>0</v>
      </c>
      <c r="V331" s="643">
        <v>0</v>
      </c>
      <c r="W331" s="643">
        <v>0</v>
      </c>
      <c r="X331" s="643">
        <v>0</v>
      </c>
      <c r="Y331" s="643">
        <v>0</v>
      </c>
    </row>
    <row r="332" spans="1:25" x14ac:dyDescent="0.15">
      <c r="A332" s="642">
        <v>43405</v>
      </c>
      <c r="B332" s="640" t="str">
        <f t="shared" ca="1" si="20"/>
        <v>12</v>
      </c>
      <c r="C332" s="639" t="s">
        <v>1143</v>
      </c>
      <c r="D332" s="644">
        <f ca="1">IF(A332="","",IFERROR(GETPIVOTDATA("合計 / 合計",【ピボット】事業所売上!$A$3,"年月",$A332,"事業所コード",$B332,"事業所",$C332),0))</f>
        <v>485638</v>
      </c>
      <c r="E332" s="643">
        <v>81995</v>
      </c>
      <c r="F332" s="643">
        <v>353125</v>
      </c>
      <c r="G332" s="643">
        <v>0</v>
      </c>
      <c r="H332" s="643">
        <v>0</v>
      </c>
      <c r="I332" s="643">
        <v>40884</v>
      </c>
      <c r="J332" s="643">
        <v>12246</v>
      </c>
      <c r="K332" s="644">
        <f t="shared" si="22"/>
        <v>488250</v>
      </c>
      <c r="L332" s="643">
        <v>533896</v>
      </c>
      <c r="M332" s="643">
        <v>0</v>
      </c>
      <c r="N332" s="644">
        <f t="shared" si="23"/>
        <v>533896</v>
      </c>
      <c r="O332" s="643">
        <v>100737</v>
      </c>
      <c r="P332" s="643">
        <v>0</v>
      </c>
      <c r="Q332" s="644">
        <f t="shared" si="25"/>
        <v>0</v>
      </c>
      <c r="R332" s="643">
        <v>0</v>
      </c>
      <c r="S332" s="643">
        <v>0</v>
      </c>
      <c r="T332" s="643">
        <v>0</v>
      </c>
      <c r="U332" s="644">
        <f t="shared" si="24"/>
        <v>0</v>
      </c>
      <c r="V332" s="643">
        <v>0</v>
      </c>
      <c r="W332" s="643">
        <v>0</v>
      </c>
      <c r="X332" s="643">
        <v>0</v>
      </c>
      <c r="Y332" s="643">
        <v>0</v>
      </c>
    </row>
    <row r="333" spans="1:25" x14ac:dyDescent="0.15">
      <c r="A333" s="642">
        <v>43405</v>
      </c>
      <c r="B333" s="640" t="str">
        <f t="shared" ca="1" si="20"/>
        <v>04</v>
      </c>
      <c r="C333" s="639" t="s">
        <v>358</v>
      </c>
      <c r="D333" s="644">
        <f ca="1">IF(A333="","",IFERROR(GETPIVOTDATA("合計 / 合計",【ピボット】事業所売上!$A$3,"年月",$A333,"事業所コード",$B333,"事業所",$C333),0))</f>
        <v>4833081</v>
      </c>
      <c r="E333" s="643">
        <v>1383679</v>
      </c>
      <c r="F333" s="643">
        <v>656604</v>
      </c>
      <c r="G333" s="643">
        <v>0</v>
      </c>
      <c r="H333" s="643">
        <v>0</v>
      </c>
      <c r="I333" s="643">
        <v>135028</v>
      </c>
      <c r="J333" s="643">
        <v>16200</v>
      </c>
      <c r="K333" s="644">
        <f t="shared" si="22"/>
        <v>2191511</v>
      </c>
      <c r="L333" s="643">
        <v>1037871</v>
      </c>
      <c r="M333" s="643">
        <v>0</v>
      </c>
      <c r="N333" s="644">
        <f t="shared" si="23"/>
        <v>1037871</v>
      </c>
      <c r="O333" s="643">
        <v>48600</v>
      </c>
      <c r="P333" s="643">
        <v>0</v>
      </c>
      <c r="Q333" s="644">
        <f t="shared" si="25"/>
        <v>0</v>
      </c>
      <c r="R333" s="643">
        <v>0</v>
      </c>
      <c r="S333" s="643">
        <v>0</v>
      </c>
      <c r="T333" s="643">
        <v>0</v>
      </c>
      <c r="U333" s="644">
        <f t="shared" si="24"/>
        <v>0</v>
      </c>
      <c r="V333" s="643">
        <v>0</v>
      </c>
      <c r="W333" s="643">
        <v>0</v>
      </c>
      <c r="X333" s="643">
        <v>0</v>
      </c>
      <c r="Y333" s="643">
        <v>0</v>
      </c>
    </row>
    <row r="334" spans="1:25" x14ac:dyDescent="0.15">
      <c r="A334" s="642">
        <v>43405</v>
      </c>
      <c r="B334" s="640" t="str">
        <f t="shared" ca="1" si="20"/>
        <v>05</v>
      </c>
      <c r="C334" s="639" t="s">
        <v>38</v>
      </c>
      <c r="D334" s="644">
        <f ca="1">IF(A334="","",IFERROR(GETPIVOTDATA("合計 / 合計",【ピボット】事業所売上!$A$3,"年月",$A334,"事業所コード",$B334,"事業所",$C334),0))</f>
        <v>3521977</v>
      </c>
      <c r="E334" s="643">
        <v>967647</v>
      </c>
      <c r="F334" s="643">
        <v>389829</v>
      </c>
      <c r="G334" s="643">
        <v>0</v>
      </c>
      <c r="H334" s="643">
        <v>0</v>
      </c>
      <c r="I334" s="643">
        <v>70665</v>
      </c>
      <c r="J334" s="643">
        <v>0</v>
      </c>
      <c r="K334" s="644">
        <f t="shared" si="22"/>
        <v>1428141</v>
      </c>
      <c r="L334" s="643">
        <v>568580</v>
      </c>
      <c r="M334" s="643">
        <v>0</v>
      </c>
      <c r="N334" s="644">
        <f t="shared" si="23"/>
        <v>568580</v>
      </c>
      <c r="O334" s="643">
        <v>0</v>
      </c>
      <c r="P334" s="643">
        <v>0</v>
      </c>
      <c r="Q334" s="644">
        <f t="shared" si="25"/>
        <v>0</v>
      </c>
      <c r="R334" s="643">
        <v>0</v>
      </c>
      <c r="S334" s="643">
        <v>0</v>
      </c>
      <c r="T334" s="643">
        <v>0</v>
      </c>
      <c r="U334" s="644">
        <f t="shared" si="24"/>
        <v>0</v>
      </c>
      <c r="V334" s="643">
        <v>0</v>
      </c>
      <c r="W334" s="643">
        <v>0</v>
      </c>
      <c r="X334" s="643">
        <v>0</v>
      </c>
      <c r="Y334" s="643">
        <v>0</v>
      </c>
    </row>
    <row r="335" spans="1:25" x14ac:dyDescent="0.15">
      <c r="A335" s="642">
        <v>43405</v>
      </c>
      <c r="B335" s="640" t="str">
        <f t="shared" ca="1" si="20"/>
        <v>07</v>
      </c>
      <c r="C335" s="639" t="s">
        <v>119</v>
      </c>
      <c r="D335" s="644">
        <f ca="1">IF(A335="","",IFERROR(GETPIVOTDATA("合計 / 合計",【ピボット】事業所売上!$A$3,"年月",$A335,"事業所コード",$B335,"事業所",$C335),0))</f>
        <v>1134937</v>
      </c>
      <c r="E335" s="643">
        <v>380218</v>
      </c>
      <c r="F335" s="643">
        <v>0</v>
      </c>
      <c r="G335" s="643">
        <v>0</v>
      </c>
      <c r="H335" s="643">
        <v>0</v>
      </c>
      <c r="I335" s="643">
        <v>16749</v>
      </c>
      <c r="J335" s="643">
        <v>0</v>
      </c>
      <c r="K335" s="644">
        <f t="shared" si="22"/>
        <v>396967</v>
      </c>
      <c r="L335" s="643">
        <v>142328</v>
      </c>
      <c r="M335" s="643">
        <v>0</v>
      </c>
      <c r="N335" s="644">
        <f t="shared" si="23"/>
        <v>142328</v>
      </c>
      <c r="O335" s="643">
        <v>0</v>
      </c>
      <c r="P335" s="643">
        <v>0</v>
      </c>
      <c r="Q335" s="644">
        <f t="shared" si="25"/>
        <v>0</v>
      </c>
      <c r="R335" s="643">
        <v>0</v>
      </c>
      <c r="S335" s="643">
        <v>0</v>
      </c>
      <c r="T335" s="643">
        <v>0</v>
      </c>
      <c r="U335" s="644">
        <f t="shared" si="24"/>
        <v>0</v>
      </c>
      <c r="V335" s="643">
        <v>0</v>
      </c>
      <c r="W335" s="643">
        <v>0</v>
      </c>
      <c r="X335" s="643">
        <v>0</v>
      </c>
      <c r="Y335" s="643">
        <v>0</v>
      </c>
    </row>
    <row r="336" spans="1:25" x14ac:dyDescent="0.15">
      <c r="A336" s="642">
        <v>43405</v>
      </c>
      <c r="B336" s="640" t="str">
        <f t="shared" ca="1" si="20"/>
        <v>08</v>
      </c>
      <c r="C336" s="639" t="s">
        <v>189</v>
      </c>
      <c r="D336" s="644">
        <f ca="1">IF(A336="","",IFERROR(GETPIVOTDATA("合計 / 合計",【ピボット】事業所売上!$A$3,"年月",$A336,"事業所コード",$B336,"事業所",$C336),0))</f>
        <v>1070236</v>
      </c>
      <c r="E336" s="643">
        <v>251250</v>
      </c>
      <c r="F336" s="643">
        <v>0</v>
      </c>
      <c r="G336" s="643">
        <v>0</v>
      </c>
      <c r="H336" s="643">
        <v>0</v>
      </c>
      <c r="I336" s="643">
        <v>0</v>
      </c>
      <c r="J336" s="643">
        <v>0</v>
      </c>
      <c r="K336" s="644">
        <f t="shared" ref="K336:K386" si="26">IF(A336="","",SUM(E336:J336))</f>
        <v>251250</v>
      </c>
      <c r="L336" s="643">
        <v>127769</v>
      </c>
      <c r="M336" s="643">
        <v>0</v>
      </c>
      <c r="N336" s="644">
        <f t="shared" si="23"/>
        <v>127769</v>
      </c>
      <c r="O336" s="643">
        <v>0</v>
      </c>
      <c r="P336" s="643">
        <v>0</v>
      </c>
      <c r="Q336" s="644">
        <f t="shared" si="25"/>
        <v>0</v>
      </c>
      <c r="R336" s="643">
        <v>0</v>
      </c>
      <c r="S336" s="643">
        <v>0</v>
      </c>
      <c r="T336" s="643">
        <v>0</v>
      </c>
      <c r="U336" s="644">
        <f t="shared" si="24"/>
        <v>0</v>
      </c>
      <c r="V336" s="643">
        <v>0</v>
      </c>
      <c r="W336" s="643">
        <v>0</v>
      </c>
      <c r="X336" s="643">
        <v>0</v>
      </c>
      <c r="Y336" s="643">
        <v>0</v>
      </c>
    </row>
    <row r="337" spans="1:25" x14ac:dyDescent="0.15">
      <c r="A337" s="642">
        <v>43405</v>
      </c>
      <c r="B337" s="640" t="str">
        <f t="shared" ca="1" si="20"/>
        <v>09</v>
      </c>
      <c r="C337" s="639" t="s">
        <v>329</v>
      </c>
      <c r="D337" s="644">
        <f ca="1">IF(A337="","",IFERROR(GETPIVOTDATA("合計 / 合計",【ピボット】事業所売上!$A$3,"年月",$A337,"事業所コード",$B337,"事業所",$C337),0))</f>
        <v>2743866</v>
      </c>
      <c r="E337" s="643">
        <v>450301</v>
      </c>
      <c r="F337" s="643">
        <v>492994</v>
      </c>
      <c r="G337" s="643">
        <v>0</v>
      </c>
      <c r="H337" s="643">
        <v>0</v>
      </c>
      <c r="I337" s="643">
        <v>81646</v>
      </c>
      <c r="J337" s="643">
        <v>864</v>
      </c>
      <c r="K337" s="644">
        <f t="shared" si="26"/>
        <v>1025805</v>
      </c>
      <c r="L337" s="643">
        <v>695910</v>
      </c>
      <c r="M337" s="643">
        <v>0</v>
      </c>
      <c r="N337" s="644">
        <f t="shared" si="23"/>
        <v>695910</v>
      </c>
      <c r="O337" s="643">
        <v>0</v>
      </c>
      <c r="P337" s="643">
        <v>0</v>
      </c>
      <c r="Q337" s="644">
        <f t="shared" si="25"/>
        <v>0</v>
      </c>
      <c r="R337" s="643">
        <v>0</v>
      </c>
      <c r="S337" s="643">
        <v>0</v>
      </c>
      <c r="T337" s="643">
        <v>0</v>
      </c>
      <c r="U337" s="644">
        <f t="shared" si="24"/>
        <v>0</v>
      </c>
      <c r="V337" s="643">
        <v>0</v>
      </c>
      <c r="W337" s="643">
        <v>0</v>
      </c>
      <c r="X337" s="643">
        <v>0</v>
      </c>
      <c r="Y337" s="643">
        <v>0</v>
      </c>
    </row>
    <row r="338" spans="1:25" x14ac:dyDescent="0.15">
      <c r="A338" s="642">
        <v>43405</v>
      </c>
      <c r="B338" s="640" t="str">
        <f t="shared" ca="1" si="20"/>
        <v>13</v>
      </c>
      <c r="C338" s="639" t="s">
        <v>1223</v>
      </c>
      <c r="D338" s="644">
        <f ca="1">IF(A338="","",IFERROR(GETPIVOTDATA("合計 / 合計",【ピボット】事業所売上!$A$3,"年月",$A338,"事業所コード",$B338,"事業所",$C338),0))</f>
        <v>16000</v>
      </c>
      <c r="E338" s="643">
        <v>0</v>
      </c>
      <c r="F338" s="643">
        <v>0</v>
      </c>
      <c r="G338" s="643">
        <v>0</v>
      </c>
      <c r="H338" s="643">
        <v>0</v>
      </c>
      <c r="I338" s="643"/>
      <c r="J338" s="643">
        <v>0</v>
      </c>
      <c r="K338" s="644">
        <f t="shared" si="26"/>
        <v>0</v>
      </c>
      <c r="L338" s="643">
        <v>17066</v>
      </c>
      <c r="M338" s="643">
        <v>0</v>
      </c>
      <c r="N338" s="644">
        <f t="shared" si="23"/>
        <v>17066</v>
      </c>
      <c r="O338" s="643">
        <v>0</v>
      </c>
      <c r="P338" s="643">
        <v>0</v>
      </c>
      <c r="Q338" s="644">
        <f t="shared" si="25"/>
        <v>0</v>
      </c>
      <c r="R338" s="643">
        <v>0</v>
      </c>
      <c r="S338" s="643">
        <v>0</v>
      </c>
      <c r="T338" s="643">
        <v>0</v>
      </c>
      <c r="U338" s="644">
        <f t="shared" si="24"/>
        <v>0</v>
      </c>
      <c r="V338" s="643">
        <v>0</v>
      </c>
      <c r="W338" s="643">
        <v>0</v>
      </c>
      <c r="X338" s="643">
        <v>0</v>
      </c>
      <c r="Y338" s="643">
        <v>0</v>
      </c>
    </row>
    <row r="339" spans="1:25" x14ac:dyDescent="0.15">
      <c r="A339" s="642">
        <v>43405</v>
      </c>
      <c r="B339" s="640" t="str">
        <f t="shared" ca="1" si="20"/>
        <v>10</v>
      </c>
      <c r="C339" s="639" t="s">
        <v>336</v>
      </c>
      <c r="D339" s="644">
        <f ca="1">IF(A339="","",IFERROR(GETPIVOTDATA("合計 / 合計",【ピボット】事業所売上!$A$3,"年月",$A339,"事業所コード",$B339,"事業所",$C339),0))</f>
        <v>0</v>
      </c>
      <c r="E339" s="643">
        <v>0</v>
      </c>
      <c r="F339" s="643">
        <v>0</v>
      </c>
      <c r="G339" s="643">
        <v>0</v>
      </c>
      <c r="H339" s="643">
        <v>0</v>
      </c>
      <c r="I339" s="643"/>
      <c r="J339" s="643">
        <v>0</v>
      </c>
      <c r="K339" s="644">
        <f t="shared" si="26"/>
        <v>0</v>
      </c>
      <c r="L339" s="643">
        <v>0</v>
      </c>
      <c r="M339" s="643">
        <v>0</v>
      </c>
      <c r="N339" s="644">
        <f t="shared" si="23"/>
        <v>0</v>
      </c>
      <c r="O339" s="643">
        <v>0</v>
      </c>
      <c r="P339" s="643">
        <v>0</v>
      </c>
      <c r="Q339" s="644">
        <f t="shared" si="25"/>
        <v>0</v>
      </c>
      <c r="R339" s="643">
        <v>4140</v>
      </c>
      <c r="S339" s="643">
        <v>0</v>
      </c>
      <c r="T339" s="643">
        <v>0</v>
      </c>
      <c r="U339" s="644">
        <f t="shared" si="24"/>
        <v>4140</v>
      </c>
      <c r="V339" s="643">
        <v>0</v>
      </c>
      <c r="W339" s="643">
        <v>0</v>
      </c>
      <c r="X339" s="643">
        <v>0</v>
      </c>
      <c r="Y339" s="643">
        <v>0</v>
      </c>
    </row>
    <row r="340" spans="1:25" x14ac:dyDescent="0.15">
      <c r="A340" s="642">
        <v>43435</v>
      </c>
      <c r="B340" s="640" t="str">
        <f t="shared" ca="1" si="20"/>
        <v>00</v>
      </c>
      <c r="C340" s="639" t="s">
        <v>490</v>
      </c>
      <c r="D340" s="644">
        <f ca="1">IF(A340="","",IFERROR(GETPIVOTDATA("合計 / 合計",【ピボット】事業所売上!$A$3,"年月",$A340,"事業所コード",$B340,"事業所",$C340),0))</f>
        <v>0</v>
      </c>
      <c r="E340" s="643">
        <v>0</v>
      </c>
      <c r="F340" s="643">
        <v>1297477</v>
      </c>
      <c r="G340" s="643">
        <v>2393500</v>
      </c>
      <c r="H340" s="643">
        <v>3000000</v>
      </c>
      <c r="I340" s="643">
        <v>767514</v>
      </c>
      <c r="J340" s="643">
        <v>818026</v>
      </c>
      <c r="K340" s="644">
        <f t="shared" si="26"/>
        <v>8276517</v>
      </c>
      <c r="L340" s="643">
        <v>1950921</v>
      </c>
      <c r="M340" s="643">
        <v>0</v>
      </c>
      <c r="N340" s="644">
        <f t="shared" si="23"/>
        <v>1950921</v>
      </c>
      <c r="O340" s="643">
        <v>0</v>
      </c>
      <c r="P340" s="643">
        <v>0</v>
      </c>
      <c r="Q340" s="644">
        <f t="shared" si="25"/>
        <v>0</v>
      </c>
      <c r="R340" s="643">
        <v>0</v>
      </c>
      <c r="S340" s="643">
        <v>0</v>
      </c>
      <c r="T340" s="643">
        <v>0</v>
      </c>
      <c r="U340" s="644">
        <f t="shared" si="24"/>
        <v>0</v>
      </c>
      <c r="V340" s="643">
        <v>369915</v>
      </c>
      <c r="W340" s="643">
        <v>703823</v>
      </c>
      <c r="X340" s="643">
        <v>0</v>
      </c>
      <c r="Y340" s="643">
        <v>0</v>
      </c>
    </row>
    <row r="341" spans="1:25" x14ac:dyDescent="0.15">
      <c r="A341" s="642">
        <v>43435</v>
      </c>
      <c r="B341" s="640" t="str">
        <f t="shared" ca="1" si="20"/>
        <v>01</v>
      </c>
      <c r="C341" s="639" t="s">
        <v>34</v>
      </c>
      <c r="D341" s="644">
        <f ca="1">IF(A341="","",IFERROR(GETPIVOTDATA("合計 / 合計",【ピボット】事業所売上!$A$3,"年月",$A341,"事業所コード",$B341,"事業所",$C341),0))</f>
        <v>12163091</v>
      </c>
      <c r="E341" s="643">
        <v>4039207</v>
      </c>
      <c r="F341" s="643">
        <v>2539827</v>
      </c>
      <c r="G341" s="643">
        <v>2990500</v>
      </c>
      <c r="H341" s="643">
        <v>0</v>
      </c>
      <c r="I341" s="643">
        <v>791423</v>
      </c>
      <c r="J341" s="643">
        <v>36004</v>
      </c>
      <c r="K341" s="644">
        <f t="shared" si="26"/>
        <v>10396961</v>
      </c>
      <c r="L341" s="643">
        <v>1291641</v>
      </c>
      <c r="M341" s="643">
        <v>69984</v>
      </c>
      <c r="N341" s="644">
        <f t="shared" si="23"/>
        <v>1361625</v>
      </c>
      <c r="O341" s="643">
        <v>68040</v>
      </c>
      <c r="P341" s="643">
        <v>0</v>
      </c>
      <c r="Q341" s="644">
        <f t="shared" si="25"/>
        <v>0</v>
      </c>
      <c r="R341" s="643">
        <v>0</v>
      </c>
      <c r="S341" s="643">
        <v>0</v>
      </c>
      <c r="T341" s="643">
        <v>0</v>
      </c>
      <c r="U341" s="644">
        <f t="shared" si="24"/>
        <v>0</v>
      </c>
      <c r="V341" s="643">
        <v>0</v>
      </c>
      <c r="W341" s="643">
        <v>0</v>
      </c>
      <c r="X341" s="643">
        <v>0</v>
      </c>
      <c r="Y341" s="643">
        <v>0</v>
      </c>
    </row>
    <row r="342" spans="1:25" x14ac:dyDescent="0.15">
      <c r="A342" s="642">
        <v>43435</v>
      </c>
      <c r="B342" s="640" t="str">
        <f t="shared" ca="1" si="20"/>
        <v>02</v>
      </c>
      <c r="C342" s="639" t="s">
        <v>37</v>
      </c>
      <c r="D342" s="644">
        <f ca="1">IF(A342="","",IFERROR(GETPIVOTDATA("合計 / 合計",【ピボット】事業所売上!$A$3,"年月",$A342,"事業所コード",$B342,"事業所",$C342),0))</f>
        <v>6678253</v>
      </c>
      <c r="E342" s="643">
        <v>1573342</v>
      </c>
      <c r="F342" s="643">
        <v>2489582</v>
      </c>
      <c r="G342" s="643">
        <v>2468595</v>
      </c>
      <c r="H342" s="643">
        <v>0</v>
      </c>
      <c r="I342" s="643">
        <v>758696</v>
      </c>
      <c r="J342" s="643">
        <v>17854</v>
      </c>
      <c r="K342" s="644">
        <f t="shared" si="26"/>
        <v>7308069</v>
      </c>
      <c r="L342" s="643">
        <v>864935</v>
      </c>
      <c r="M342" s="643">
        <v>0</v>
      </c>
      <c r="N342" s="644">
        <f t="shared" si="23"/>
        <v>864935</v>
      </c>
      <c r="O342" s="643">
        <v>0</v>
      </c>
      <c r="P342" s="643">
        <v>19999.999999999996</v>
      </c>
      <c r="Q342" s="644">
        <f t="shared" si="25"/>
        <v>0</v>
      </c>
      <c r="R342" s="643">
        <v>0</v>
      </c>
      <c r="S342" s="643">
        <v>0</v>
      </c>
      <c r="T342" s="643">
        <v>0</v>
      </c>
      <c r="U342" s="644">
        <f t="shared" si="24"/>
        <v>0</v>
      </c>
      <c r="V342" s="643">
        <v>0</v>
      </c>
      <c r="W342" s="643">
        <v>0</v>
      </c>
      <c r="X342" s="643">
        <v>0</v>
      </c>
      <c r="Y342" s="643">
        <v>0</v>
      </c>
    </row>
    <row r="343" spans="1:25" x14ac:dyDescent="0.15">
      <c r="A343" s="642">
        <v>43435</v>
      </c>
      <c r="B343" s="640" t="str">
        <f t="shared" ca="1" si="20"/>
        <v>03</v>
      </c>
      <c r="C343" s="639" t="s">
        <v>66</v>
      </c>
      <c r="D343" s="644">
        <f ca="1">IF(A343="","",IFERROR(GETPIVOTDATA("合計 / 合計",【ピボット】事業所売上!$A$3,"年月",$A343,"事業所コード",$B343,"事業所",$C343),0))</f>
        <v>7065580</v>
      </c>
      <c r="E343" s="643">
        <v>1972014</v>
      </c>
      <c r="F343" s="643">
        <v>2405521</v>
      </c>
      <c r="G343" s="643">
        <v>2905500</v>
      </c>
      <c r="H343" s="643">
        <v>0</v>
      </c>
      <c r="I343" s="643">
        <v>829363</v>
      </c>
      <c r="J343" s="643">
        <v>62926</v>
      </c>
      <c r="K343" s="644">
        <f t="shared" si="26"/>
        <v>8175324</v>
      </c>
      <c r="L343" s="643">
        <v>844228</v>
      </c>
      <c r="M343" s="643">
        <v>0</v>
      </c>
      <c r="N343" s="644">
        <f t="shared" si="23"/>
        <v>844228</v>
      </c>
      <c r="O343" s="643">
        <v>51840</v>
      </c>
      <c r="P343" s="643">
        <v>0</v>
      </c>
      <c r="Q343" s="644">
        <f t="shared" si="25"/>
        <v>0</v>
      </c>
      <c r="R343" s="643">
        <v>0</v>
      </c>
      <c r="S343" s="643">
        <v>0</v>
      </c>
      <c r="T343" s="643">
        <v>0</v>
      </c>
      <c r="U343" s="644">
        <f t="shared" si="24"/>
        <v>0</v>
      </c>
      <c r="V343" s="643">
        <v>0</v>
      </c>
      <c r="W343" s="643">
        <v>0</v>
      </c>
      <c r="X343" s="643">
        <v>0</v>
      </c>
      <c r="Y343" s="643">
        <v>0</v>
      </c>
    </row>
    <row r="344" spans="1:25" x14ac:dyDescent="0.15">
      <c r="A344" s="642">
        <v>43435</v>
      </c>
      <c r="B344" s="640" t="str">
        <f t="shared" ca="1" si="20"/>
        <v>11</v>
      </c>
      <c r="C344" s="639" t="s">
        <v>967</v>
      </c>
      <c r="D344" s="644">
        <f ca="1">IF(A344="","",IFERROR(GETPIVOTDATA("合計 / 合計",【ピボット】事業所売上!$A$3,"年月",$A344,"事業所コード",$B344,"事業所",$C344),0))</f>
        <v>1520846</v>
      </c>
      <c r="E344" s="643">
        <v>285948</v>
      </c>
      <c r="F344" s="643">
        <v>322174</v>
      </c>
      <c r="G344" s="643">
        <v>500000</v>
      </c>
      <c r="H344" s="643">
        <v>0</v>
      </c>
      <c r="I344" s="643">
        <v>114101</v>
      </c>
      <c r="J344" s="643">
        <v>2980</v>
      </c>
      <c r="K344" s="644">
        <f t="shared" si="26"/>
        <v>1225203</v>
      </c>
      <c r="L344" s="643">
        <v>544701</v>
      </c>
      <c r="M344" s="643">
        <v>0</v>
      </c>
      <c r="N344" s="644">
        <f t="shared" si="23"/>
        <v>544701</v>
      </c>
      <c r="O344" s="643">
        <v>106488</v>
      </c>
      <c r="P344" s="643">
        <v>125000</v>
      </c>
      <c r="Q344" s="644">
        <f t="shared" si="25"/>
        <v>0</v>
      </c>
      <c r="R344" s="643">
        <v>0</v>
      </c>
      <c r="S344" s="643">
        <v>0</v>
      </c>
      <c r="T344" s="643">
        <v>0</v>
      </c>
      <c r="U344" s="644">
        <f t="shared" si="24"/>
        <v>0</v>
      </c>
      <c r="V344" s="643">
        <v>0</v>
      </c>
      <c r="W344" s="643">
        <v>0</v>
      </c>
      <c r="X344" s="643">
        <v>0</v>
      </c>
      <c r="Y344" s="643">
        <v>0</v>
      </c>
    </row>
    <row r="345" spans="1:25" x14ac:dyDescent="0.15">
      <c r="A345" s="642">
        <v>43435</v>
      </c>
      <c r="B345" s="640" t="str">
        <f t="shared" ca="1" si="20"/>
        <v>12</v>
      </c>
      <c r="C345" s="639" t="s">
        <v>1143</v>
      </c>
      <c r="D345" s="644">
        <f ca="1">IF(A345="","",IFERROR(GETPIVOTDATA("合計 / 合計",【ピボット】事業所売上!$A$3,"年月",$A345,"事業所コード",$B345,"事業所",$C345),0))</f>
        <v>701720</v>
      </c>
      <c r="E345" s="643">
        <v>153695</v>
      </c>
      <c r="F345" s="643">
        <v>361318</v>
      </c>
      <c r="G345" s="643">
        <v>0</v>
      </c>
      <c r="H345" s="643">
        <v>0</v>
      </c>
      <c r="I345" s="643">
        <v>46736</v>
      </c>
      <c r="J345" s="643">
        <v>0</v>
      </c>
      <c r="K345" s="644">
        <f t="shared" si="26"/>
        <v>561749</v>
      </c>
      <c r="L345" s="643">
        <v>395245</v>
      </c>
      <c r="M345" s="643">
        <v>0</v>
      </c>
      <c r="N345" s="644">
        <f t="shared" si="23"/>
        <v>395245</v>
      </c>
      <c r="O345" s="643">
        <v>23042</v>
      </c>
      <c r="P345" s="643">
        <v>0</v>
      </c>
      <c r="Q345" s="644">
        <f t="shared" si="25"/>
        <v>0</v>
      </c>
      <c r="R345" s="643">
        <v>0</v>
      </c>
      <c r="S345" s="643">
        <v>0</v>
      </c>
      <c r="T345" s="643">
        <v>0</v>
      </c>
      <c r="U345" s="644">
        <f t="shared" si="24"/>
        <v>0</v>
      </c>
      <c r="V345" s="643">
        <v>0</v>
      </c>
      <c r="W345" s="643">
        <v>0</v>
      </c>
      <c r="X345" s="643">
        <v>0</v>
      </c>
      <c r="Y345" s="643">
        <v>0</v>
      </c>
    </row>
    <row r="346" spans="1:25" x14ac:dyDescent="0.15">
      <c r="A346" s="642">
        <v>43435</v>
      </c>
      <c r="B346" s="640" t="str">
        <f t="shared" ca="1" si="20"/>
        <v>04</v>
      </c>
      <c r="C346" s="639" t="s">
        <v>358</v>
      </c>
      <c r="D346" s="644">
        <f ca="1">IF(A346="","",IFERROR(GETPIVOTDATA("合計 / 合計",【ピボット】事業所売上!$A$3,"年月",$A346,"事業所コード",$B346,"事業所",$C346),0))</f>
        <v>4422644</v>
      </c>
      <c r="E346" s="643">
        <v>1261113</v>
      </c>
      <c r="F346" s="643">
        <v>979604</v>
      </c>
      <c r="G346" s="643">
        <v>762000</v>
      </c>
      <c r="H346" s="643">
        <v>0</v>
      </c>
      <c r="I346" s="643">
        <v>312105</v>
      </c>
      <c r="J346" s="643">
        <v>0</v>
      </c>
      <c r="K346" s="644">
        <f t="shared" si="26"/>
        <v>3314822</v>
      </c>
      <c r="L346" s="643">
        <v>1158080</v>
      </c>
      <c r="M346" s="643">
        <v>0</v>
      </c>
      <c r="N346" s="644">
        <f t="shared" si="23"/>
        <v>1158080</v>
      </c>
      <c r="O346" s="643">
        <v>0</v>
      </c>
      <c r="P346" s="643">
        <v>0</v>
      </c>
      <c r="Q346" s="644">
        <f t="shared" si="25"/>
        <v>0</v>
      </c>
      <c r="R346" s="643">
        <v>2198</v>
      </c>
      <c r="S346" s="643">
        <v>0</v>
      </c>
      <c r="T346" s="643">
        <v>0</v>
      </c>
      <c r="U346" s="644">
        <f t="shared" si="24"/>
        <v>2198</v>
      </c>
      <c r="V346" s="643">
        <v>0</v>
      </c>
      <c r="W346" s="643">
        <v>0</v>
      </c>
      <c r="X346" s="643">
        <v>0</v>
      </c>
      <c r="Y346" s="643">
        <v>0</v>
      </c>
    </row>
    <row r="347" spans="1:25" x14ac:dyDescent="0.15">
      <c r="A347" s="642">
        <v>43435</v>
      </c>
      <c r="B347" s="640" t="str">
        <f t="shared" ca="1" si="20"/>
        <v>05</v>
      </c>
      <c r="C347" s="639" t="s">
        <v>38</v>
      </c>
      <c r="D347" s="644">
        <f ca="1">IF(A347="","",IFERROR(GETPIVOTDATA("合計 / 合計",【ピボット】事業所売上!$A$3,"年月",$A347,"事業所コード",$B347,"事業所",$C347),0))</f>
        <v>2606315</v>
      </c>
      <c r="E347" s="643">
        <v>991529</v>
      </c>
      <c r="F347" s="643">
        <v>358000</v>
      </c>
      <c r="G347" s="643">
        <v>334000</v>
      </c>
      <c r="H347" s="643">
        <v>0</v>
      </c>
      <c r="I347" s="643">
        <v>128768</v>
      </c>
      <c r="J347" s="643">
        <v>0</v>
      </c>
      <c r="K347" s="644">
        <f t="shared" si="26"/>
        <v>1812297</v>
      </c>
      <c r="L347" s="643">
        <v>547437</v>
      </c>
      <c r="M347" s="643">
        <v>0</v>
      </c>
      <c r="N347" s="644">
        <f t="shared" si="23"/>
        <v>547437</v>
      </c>
      <c r="O347" s="643">
        <v>0</v>
      </c>
      <c r="P347" s="643">
        <v>0</v>
      </c>
      <c r="Q347" s="644">
        <f t="shared" si="25"/>
        <v>0</v>
      </c>
      <c r="R347" s="643">
        <v>0</v>
      </c>
      <c r="S347" s="643">
        <v>0</v>
      </c>
      <c r="T347" s="643">
        <v>0</v>
      </c>
      <c r="U347" s="644">
        <f t="shared" si="24"/>
        <v>0</v>
      </c>
      <c r="V347" s="643">
        <v>0</v>
      </c>
      <c r="W347" s="643">
        <v>0</v>
      </c>
      <c r="X347" s="643">
        <v>0</v>
      </c>
      <c r="Y347" s="643">
        <v>0</v>
      </c>
    </row>
    <row r="348" spans="1:25" x14ac:dyDescent="0.15">
      <c r="A348" s="642">
        <v>43435</v>
      </c>
      <c r="B348" s="640" t="str">
        <f t="shared" ca="1" si="20"/>
        <v>07</v>
      </c>
      <c r="C348" s="639" t="s">
        <v>119</v>
      </c>
      <c r="D348" s="644">
        <f ca="1">IF(A348="","",IFERROR(GETPIVOTDATA("合計 / 合計",【ピボット】事業所売上!$A$3,"年月",$A348,"事業所コード",$B348,"事業所",$C348),0))</f>
        <v>1175963</v>
      </c>
      <c r="E348" s="643">
        <v>401485</v>
      </c>
      <c r="F348" s="643">
        <v>0</v>
      </c>
      <c r="G348" s="643">
        <v>0</v>
      </c>
      <c r="H348" s="643">
        <v>0</v>
      </c>
      <c r="I348" s="643">
        <v>19409</v>
      </c>
      <c r="J348" s="643">
        <v>0</v>
      </c>
      <c r="K348" s="644">
        <f t="shared" si="26"/>
        <v>420894</v>
      </c>
      <c r="L348" s="643">
        <v>143912</v>
      </c>
      <c r="M348" s="643">
        <v>0</v>
      </c>
      <c r="N348" s="644">
        <f t="shared" si="23"/>
        <v>143912</v>
      </c>
      <c r="O348" s="643">
        <v>0</v>
      </c>
      <c r="P348" s="643">
        <v>0</v>
      </c>
      <c r="Q348" s="644">
        <f t="shared" si="25"/>
        <v>0</v>
      </c>
      <c r="R348" s="643">
        <v>0</v>
      </c>
      <c r="S348" s="643">
        <v>0</v>
      </c>
      <c r="T348" s="643">
        <v>0</v>
      </c>
      <c r="U348" s="644">
        <f t="shared" si="24"/>
        <v>0</v>
      </c>
      <c r="V348" s="643">
        <v>0</v>
      </c>
      <c r="W348" s="643">
        <v>0</v>
      </c>
      <c r="X348" s="643">
        <v>0</v>
      </c>
      <c r="Y348" s="643">
        <v>0</v>
      </c>
    </row>
    <row r="349" spans="1:25" x14ac:dyDescent="0.15">
      <c r="A349" s="642">
        <v>43435</v>
      </c>
      <c r="B349" s="640" t="str">
        <f t="shared" ca="1" si="20"/>
        <v>08</v>
      </c>
      <c r="C349" s="639" t="s">
        <v>189</v>
      </c>
      <c r="D349" s="644">
        <f ca="1">IF(A349="","",IFERROR(GETPIVOTDATA("合計 / 合計",【ピボット】事業所売上!$A$3,"年月",$A349,"事業所コード",$B349,"事業所",$C349),0))</f>
        <v>1102442</v>
      </c>
      <c r="E349" s="643">
        <v>227000</v>
      </c>
      <c r="F349" s="643">
        <v>0</v>
      </c>
      <c r="G349" s="643">
        <v>0</v>
      </c>
      <c r="H349" s="643">
        <v>0</v>
      </c>
      <c r="I349" s="643">
        <v>0</v>
      </c>
      <c r="J349" s="643">
        <v>0</v>
      </c>
      <c r="K349" s="644">
        <f t="shared" si="26"/>
        <v>227000</v>
      </c>
      <c r="L349" s="643">
        <v>124309</v>
      </c>
      <c r="M349" s="643">
        <v>0</v>
      </c>
      <c r="N349" s="644">
        <f t="shared" si="23"/>
        <v>124309</v>
      </c>
      <c r="O349" s="643">
        <v>0</v>
      </c>
      <c r="P349" s="643">
        <v>0</v>
      </c>
      <c r="Q349" s="644">
        <f t="shared" si="25"/>
        <v>0</v>
      </c>
      <c r="R349" s="643">
        <v>0</v>
      </c>
      <c r="S349" s="643">
        <v>0</v>
      </c>
      <c r="T349" s="643">
        <v>0</v>
      </c>
      <c r="U349" s="644">
        <f t="shared" si="24"/>
        <v>0</v>
      </c>
      <c r="V349" s="643">
        <v>0</v>
      </c>
      <c r="W349" s="643">
        <v>0</v>
      </c>
      <c r="X349" s="643">
        <v>0</v>
      </c>
      <c r="Y349" s="643">
        <v>0</v>
      </c>
    </row>
    <row r="350" spans="1:25" x14ac:dyDescent="0.15">
      <c r="A350" s="642">
        <v>43435</v>
      </c>
      <c r="B350" s="640" t="str">
        <f t="shared" ca="1" si="20"/>
        <v>09</v>
      </c>
      <c r="C350" s="639" t="s">
        <v>329</v>
      </c>
      <c r="D350" s="644">
        <f ca="1">IF(A350="","",IFERROR(GETPIVOTDATA("合計 / 合計",【ピボット】事業所売上!$A$3,"年月",$A350,"事業所コード",$B350,"事業所",$C350),0))</f>
        <v>2807684</v>
      </c>
      <c r="E350" s="643">
        <v>584532</v>
      </c>
      <c r="F350" s="643">
        <v>515075</v>
      </c>
      <c r="G350" s="643">
        <v>100000</v>
      </c>
      <c r="H350" s="643">
        <v>0</v>
      </c>
      <c r="I350" s="643">
        <v>81791</v>
      </c>
      <c r="J350" s="643">
        <v>0</v>
      </c>
      <c r="K350" s="644">
        <f t="shared" si="26"/>
        <v>1281398</v>
      </c>
      <c r="L350" s="643">
        <v>635256</v>
      </c>
      <c r="M350" s="643">
        <v>0</v>
      </c>
      <c r="N350" s="644">
        <f t="shared" si="23"/>
        <v>635256</v>
      </c>
      <c r="O350" s="643">
        <v>0</v>
      </c>
      <c r="P350" s="643">
        <v>0</v>
      </c>
      <c r="Q350" s="644">
        <f t="shared" si="25"/>
        <v>0</v>
      </c>
      <c r="R350" s="643">
        <v>0</v>
      </c>
      <c r="S350" s="643">
        <v>0</v>
      </c>
      <c r="T350" s="643">
        <v>0</v>
      </c>
      <c r="U350" s="644">
        <f t="shared" si="24"/>
        <v>0</v>
      </c>
      <c r="V350" s="643">
        <v>0</v>
      </c>
      <c r="W350" s="643">
        <v>0</v>
      </c>
      <c r="X350" s="643">
        <v>0</v>
      </c>
      <c r="Y350" s="643">
        <v>0</v>
      </c>
    </row>
    <row r="351" spans="1:25" x14ac:dyDescent="0.15">
      <c r="A351" s="642">
        <v>43435</v>
      </c>
      <c r="B351" s="640" t="str">
        <f t="shared" ca="1" si="20"/>
        <v>13</v>
      </c>
      <c r="C351" s="639" t="s">
        <v>1223</v>
      </c>
      <c r="D351" s="644">
        <f ca="1">IF(A351="","",IFERROR(GETPIVOTDATA("合計 / 合計",【ピボット】事業所売上!$A$3,"年月",$A351,"事業所コード",$B351,"事業所",$C351),0))</f>
        <v>40000</v>
      </c>
      <c r="E351" s="643">
        <v>0</v>
      </c>
      <c r="F351" s="643">
        <v>0</v>
      </c>
      <c r="G351" s="643">
        <v>0</v>
      </c>
      <c r="H351" s="643">
        <v>0</v>
      </c>
      <c r="I351" s="643">
        <v>0</v>
      </c>
      <c r="J351" s="643">
        <v>0</v>
      </c>
      <c r="K351" s="644">
        <f t="shared" si="26"/>
        <v>0</v>
      </c>
      <c r="L351" s="643">
        <v>18008</v>
      </c>
      <c r="M351" s="643">
        <v>0</v>
      </c>
      <c r="N351" s="644">
        <f t="shared" si="23"/>
        <v>18008</v>
      </c>
      <c r="O351" s="643">
        <v>0</v>
      </c>
      <c r="P351" s="643">
        <v>0</v>
      </c>
      <c r="Q351" s="644">
        <f t="shared" si="25"/>
        <v>0</v>
      </c>
      <c r="R351" s="643">
        <v>0</v>
      </c>
      <c r="S351" s="643">
        <v>0</v>
      </c>
      <c r="T351" s="643">
        <v>0</v>
      </c>
      <c r="U351" s="644">
        <f t="shared" si="24"/>
        <v>0</v>
      </c>
      <c r="V351" s="643">
        <v>0</v>
      </c>
      <c r="W351" s="643">
        <v>0</v>
      </c>
      <c r="X351" s="643">
        <v>0</v>
      </c>
      <c r="Y351" s="643">
        <v>0</v>
      </c>
    </row>
    <row r="352" spans="1:25" x14ac:dyDescent="0.15">
      <c r="A352" s="642">
        <v>43466</v>
      </c>
      <c r="B352" s="640" t="str">
        <f t="shared" ca="1" si="20"/>
        <v>00</v>
      </c>
      <c r="C352" s="639" t="s">
        <v>490</v>
      </c>
      <c r="D352" s="644">
        <f ca="1">IF(A352="","",IFERROR(GETPIVOTDATA("合計 / 合計",【ピボット】事業所売上!$A$3,"年月",$A352,"事業所コード",$B352,"事業所",$C352),0))</f>
        <v>0</v>
      </c>
      <c r="E352" s="643">
        <v>87400</v>
      </c>
      <c r="F352" s="643">
        <v>1295849</v>
      </c>
      <c r="G352" s="643">
        <v>0</v>
      </c>
      <c r="H352" s="643">
        <v>3000000</v>
      </c>
      <c r="I352" s="643">
        <v>399141</v>
      </c>
      <c r="J352" s="643">
        <v>22186</v>
      </c>
      <c r="K352" s="644">
        <f t="shared" si="26"/>
        <v>4804576</v>
      </c>
      <c r="L352" s="643">
        <v>1758723</v>
      </c>
      <c r="M352" s="643">
        <v>0</v>
      </c>
      <c r="N352" s="644">
        <f t="shared" si="23"/>
        <v>1758723</v>
      </c>
      <c r="O352" s="643">
        <v>0</v>
      </c>
      <c r="P352" s="643">
        <v>0</v>
      </c>
      <c r="Q352" s="644">
        <f t="shared" si="25"/>
        <v>0</v>
      </c>
      <c r="R352" s="643">
        <v>0</v>
      </c>
      <c r="S352" s="643">
        <v>0</v>
      </c>
      <c r="T352" s="643">
        <v>0</v>
      </c>
      <c r="U352" s="644">
        <f t="shared" si="24"/>
        <v>0</v>
      </c>
      <c r="V352" s="643">
        <v>316282</v>
      </c>
      <c r="W352" s="643">
        <v>1196977</v>
      </c>
      <c r="X352" s="643">
        <v>0</v>
      </c>
      <c r="Y352" s="643">
        <v>0</v>
      </c>
    </row>
    <row r="353" spans="1:25" x14ac:dyDescent="0.15">
      <c r="A353" s="642">
        <v>43466</v>
      </c>
      <c r="B353" s="640" t="str">
        <f t="shared" ca="1" si="20"/>
        <v>01</v>
      </c>
      <c r="C353" s="639" t="s">
        <v>34</v>
      </c>
      <c r="D353" s="644">
        <f ca="1">IF(A353="","",IFERROR(GETPIVOTDATA("合計 / 合計",【ピボット】事業所売上!$A$3,"年月",$A353,"事業所コード",$B353,"事業所",$C353),0))</f>
        <v>12668826</v>
      </c>
      <c r="E353" s="643">
        <v>4011359</v>
      </c>
      <c r="F353" s="643">
        <v>2678960</v>
      </c>
      <c r="G353" s="643">
        <v>0</v>
      </c>
      <c r="H353" s="643">
        <v>0</v>
      </c>
      <c r="I353" s="643">
        <v>343436</v>
      </c>
      <c r="J353" s="643">
        <v>72624</v>
      </c>
      <c r="K353" s="644">
        <f t="shared" si="26"/>
        <v>7106379</v>
      </c>
      <c r="L353" s="643">
        <v>1446783</v>
      </c>
      <c r="M353" s="643">
        <v>102060</v>
      </c>
      <c r="N353" s="644">
        <f t="shared" si="23"/>
        <v>1548843</v>
      </c>
      <c r="O353" s="643">
        <v>0</v>
      </c>
      <c r="P353" s="643">
        <v>0</v>
      </c>
      <c r="Q353" s="644">
        <f t="shared" si="25"/>
        <v>0</v>
      </c>
      <c r="R353" s="643">
        <v>0</v>
      </c>
      <c r="S353" s="643">
        <v>0</v>
      </c>
      <c r="T353" s="643">
        <v>0</v>
      </c>
      <c r="U353" s="644">
        <f t="shared" si="24"/>
        <v>0</v>
      </c>
      <c r="V353" s="643">
        <v>0</v>
      </c>
      <c r="W353" s="643">
        <v>0</v>
      </c>
      <c r="X353" s="643">
        <v>0</v>
      </c>
      <c r="Y353" s="643">
        <v>0</v>
      </c>
    </row>
    <row r="354" spans="1:25" x14ac:dyDescent="0.15">
      <c r="A354" s="642">
        <v>43466</v>
      </c>
      <c r="B354" s="640" t="str">
        <f t="shared" ca="1" si="20"/>
        <v>02</v>
      </c>
      <c r="C354" s="639" t="s">
        <v>37</v>
      </c>
      <c r="D354" s="644">
        <f ca="1">IF(A354="","",IFERROR(GETPIVOTDATA("合計 / 合計",【ピボット】事業所売上!$A$3,"年月",$A354,"事業所コード",$B354,"事業所",$C354),0))</f>
        <v>5940817</v>
      </c>
      <c r="E354" s="643">
        <v>1653712</v>
      </c>
      <c r="F354" s="643">
        <v>1864940</v>
      </c>
      <c r="G354" s="643">
        <v>0</v>
      </c>
      <c r="H354" s="643">
        <v>0</v>
      </c>
      <c r="I354" s="643">
        <v>282525</v>
      </c>
      <c r="J354" s="643">
        <v>206088</v>
      </c>
      <c r="K354" s="644">
        <f t="shared" si="26"/>
        <v>4007265</v>
      </c>
      <c r="L354" s="643">
        <v>894137</v>
      </c>
      <c r="M354" s="643">
        <v>0</v>
      </c>
      <c r="N354" s="644">
        <f t="shared" si="23"/>
        <v>894137</v>
      </c>
      <c r="O354" s="643">
        <v>51840</v>
      </c>
      <c r="P354" s="643">
        <v>25000.000000000007</v>
      </c>
      <c r="Q354" s="644">
        <f t="shared" si="25"/>
        <v>0</v>
      </c>
      <c r="R354" s="643">
        <v>0</v>
      </c>
      <c r="S354" s="643">
        <v>0</v>
      </c>
      <c r="T354" s="643">
        <v>0</v>
      </c>
      <c r="U354" s="644">
        <f t="shared" si="24"/>
        <v>0</v>
      </c>
      <c r="V354" s="643">
        <v>0</v>
      </c>
      <c r="W354" s="643">
        <v>0</v>
      </c>
      <c r="X354" s="643">
        <v>0</v>
      </c>
      <c r="Y354" s="643">
        <v>0</v>
      </c>
    </row>
    <row r="355" spans="1:25" x14ac:dyDescent="0.15">
      <c r="A355" s="642">
        <v>43466</v>
      </c>
      <c r="B355" s="640" t="str">
        <f t="shared" ca="1" si="20"/>
        <v>03</v>
      </c>
      <c r="C355" s="639" t="s">
        <v>66</v>
      </c>
      <c r="D355" s="644">
        <f ca="1">IF(A355="","",IFERROR(GETPIVOTDATA("合計 / 合計",【ピボット】事業所売上!$A$3,"年月",$A355,"事業所コード",$B355,"事業所",$C355),0))</f>
        <v>7041908</v>
      </c>
      <c r="E355" s="643">
        <v>2139316</v>
      </c>
      <c r="F355" s="643">
        <v>2408503</v>
      </c>
      <c r="G355" s="643">
        <v>0</v>
      </c>
      <c r="H355" s="643">
        <v>0</v>
      </c>
      <c r="I355" s="643">
        <v>385802</v>
      </c>
      <c r="J355" s="643">
        <v>8658</v>
      </c>
      <c r="K355" s="644">
        <f t="shared" si="26"/>
        <v>4942279</v>
      </c>
      <c r="L355" s="643">
        <v>1033335</v>
      </c>
      <c r="M355" s="643">
        <v>0</v>
      </c>
      <c r="N355" s="644">
        <f t="shared" si="23"/>
        <v>1033335</v>
      </c>
      <c r="O355" s="643">
        <v>0</v>
      </c>
      <c r="P355" s="643">
        <v>22499.999999999985</v>
      </c>
      <c r="Q355" s="644">
        <f t="shared" si="25"/>
        <v>0</v>
      </c>
      <c r="R355" s="643">
        <v>0</v>
      </c>
      <c r="S355" s="643">
        <v>0</v>
      </c>
      <c r="T355" s="643">
        <v>0</v>
      </c>
      <c r="U355" s="644">
        <f t="shared" si="24"/>
        <v>0</v>
      </c>
      <c r="V355" s="643">
        <v>0</v>
      </c>
      <c r="W355" s="643">
        <v>0</v>
      </c>
      <c r="X355" s="643">
        <v>0</v>
      </c>
      <c r="Y355" s="643">
        <v>0</v>
      </c>
    </row>
    <row r="356" spans="1:25" x14ac:dyDescent="0.15">
      <c r="A356" s="642">
        <v>43466</v>
      </c>
      <c r="B356" s="640" t="str">
        <f t="shared" ca="1" si="20"/>
        <v>11</v>
      </c>
      <c r="C356" s="639" t="s">
        <v>967</v>
      </c>
      <c r="D356" s="644">
        <f ca="1">IF(A356="","",IFERROR(GETPIVOTDATA("合計 / 合計",【ピボット】事業所売上!$A$3,"年月",$A356,"事業所コード",$B356,"事業所",$C356),0))</f>
        <v>1160774</v>
      </c>
      <c r="E356" s="643">
        <v>271753</v>
      </c>
      <c r="F356" s="643">
        <v>328566</v>
      </c>
      <c r="G356" s="643">
        <v>0</v>
      </c>
      <c r="H356" s="643">
        <v>0</v>
      </c>
      <c r="I356" s="643">
        <v>42695</v>
      </c>
      <c r="J356" s="643">
        <v>972</v>
      </c>
      <c r="K356" s="644">
        <f t="shared" si="26"/>
        <v>643986</v>
      </c>
      <c r="L356" s="643">
        <v>476615</v>
      </c>
      <c r="M356" s="643">
        <v>0</v>
      </c>
      <c r="N356" s="644">
        <f t="shared" si="23"/>
        <v>476615</v>
      </c>
      <c r="O356" s="643">
        <v>0</v>
      </c>
      <c r="P356" s="643">
        <v>130000</v>
      </c>
      <c r="Q356" s="644">
        <f t="shared" si="25"/>
        <v>0</v>
      </c>
      <c r="R356" s="643">
        <v>0</v>
      </c>
      <c r="S356" s="643">
        <v>0</v>
      </c>
      <c r="T356" s="643">
        <v>0</v>
      </c>
      <c r="U356" s="644">
        <f t="shared" si="24"/>
        <v>0</v>
      </c>
      <c r="V356" s="643">
        <v>0</v>
      </c>
      <c r="W356" s="643">
        <v>0</v>
      </c>
      <c r="X356" s="643">
        <v>0</v>
      </c>
      <c r="Y356" s="643">
        <v>0</v>
      </c>
    </row>
    <row r="357" spans="1:25" x14ac:dyDescent="0.15">
      <c r="A357" s="642">
        <v>43466</v>
      </c>
      <c r="B357" s="640" t="str">
        <f t="shared" ca="1" si="20"/>
        <v>12</v>
      </c>
      <c r="C357" s="639" t="s">
        <v>1143</v>
      </c>
      <c r="D357" s="644">
        <f ca="1">IF(A357="","",IFERROR(GETPIVOTDATA("合計 / 合計",【ピボット】事業所売上!$A$3,"年月",$A357,"事業所コード",$B357,"事業所",$C357),0))</f>
        <v>810680</v>
      </c>
      <c r="E357" s="643">
        <v>266169</v>
      </c>
      <c r="F357" s="643">
        <v>368671</v>
      </c>
      <c r="G357" s="643">
        <v>0</v>
      </c>
      <c r="H357" s="643">
        <v>0</v>
      </c>
      <c r="I357" s="643">
        <v>43924</v>
      </c>
      <c r="J357" s="643">
        <v>13640</v>
      </c>
      <c r="K357" s="644">
        <f t="shared" si="26"/>
        <v>692404</v>
      </c>
      <c r="L357" s="643">
        <v>438641</v>
      </c>
      <c r="M357" s="643">
        <v>0</v>
      </c>
      <c r="N357" s="644">
        <f t="shared" si="23"/>
        <v>438641</v>
      </c>
      <c r="O357" s="643">
        <v>0</v>
      </c>
      <c r="P357" s="643">
        <v>0</v>
      </c>
      <c r="Q357" s="644">
        <f t="shared" si="25"/>
        <v>0</v>
      </c>
      <c r="R357" s="643">
        <v>0</v>
      </c>
      <c r="S357" s="643">
        <v>0</v>
      </c>
      <c r="T357" s="643">
        <v>0</v>
      </c>
      <c r="U357" s="644">
        <f t="shared" si="24"/>
        <v>0</v>
      </c>
      <c r="V357" s="643">
        <v>0</v>
      </c>
      <c r="W357" s="643">
        <v>0</v>
      </c>
      <c r="X357" s="643">
        <v>0</v>
      </c>
      <c r="Y357" s="643">
        <v>0</v>
      </c>
    </row>
    <row r="358" spans="1:25" x14ac:dyDescent="0.15">
      <c r="A358" s="642">
        <v>43466</v>
      </c>
      <c r="B358" s="640" t="str">
        <f t="shared" ca="1" si="20"/>
        <v>04</v>
      </c>
      <c r="C358" s="639" t="s">
        <v>358</v>
      </c>
      <c r="D358" s="644">
        <f ca="1">IF(A358="","",IFERROR(GETPIVOTDATA("合計 / 合計",【ピボット】事業所売上!$A$3,"年月",$A358,"事業所コード",$B358,"事業所",$C358),0))</f>
        <v>4120917</v>
      </c>
      <c r="E358" s="643">
        <v>1146348</v>
      </c>
      <c r="F358" s="643">
        <v>899604</v>
      </c>
      <c r="G358" s="643">
        <v>0</v>
      </c>
      <c r="H358" s="643">
        <v>0</v>
      </c>
      <c r="I358" s="643">
        <v>187830</v>
      </c>
      <c r="J358" s="643">
        <v>99116</v>
      </c>
      <c r="K358" s="644">
        <f t="shared" si="26"/>
        <v>2332898</v>
      </c>
      <c r="L358" s="643">
        <v>1282667</v>
      </c>
      <c r="M358" s="643">
        <v>0</v>
      </c>
      <c r="N358" s="644">
        <f t="shared" si="23"/>
        <v>1282667</v>
      </c>
      <c r="O358" s="643">
        <v>0</v>
      </c>
      <c r="P358" s="643">
        <v>0</v>
      </c>
      <c r="Q358" s="644">
        <f t="shared" si="25"/>
        <v>0</v>
      </c>
      <c r="R358" s="643">
        <v>0</v>
      </c>
      <c r="S358" s="643">
        <v>0</v>
      </c>
      <c r="T358" s="643">
        <v>0</v>
      </c>
      <c r="U358" s="644">
        <f t="shared" si="24"/>
        <v>0</v>
      </c>
      <c r="V358" s="643">
        <v>0</v>
      </c>
      <c r="W358" s="643">
        <v>0</v>
      </c>
      <c r="X358" s="643">
        <v>0</v>
      </c>
      <c r="Y358" s="643">
        <v>0</v>
      </c>
    </row>
    <row r="359" spans="1:25" x14ac:dyDescent="0.15">
      <c r="A359" s="642">
        <v>43466</v>
      </c>
      <c r="B359" s="640" t="str">
        <f t="shared" ca="1" si="20"/>
        <v>05</v>
      </c>
      <c r="C359" s="639" t="s">
        <v>38</v>
      </c>
      <c r="D359" s="644">
        <f ca="1">IF(A359="","",IFERROR(GETPIVOTDATA("合計 / 合計",【ピボット】事業所売上!$A$3,"年月",$A359,"事業所コード",$B359,"事業所",$C359),0))</f>
        <v>2627069</v>
      </c>
      <c r="E359" s="643">
        <v>1035698</v>
      </c>
      <c r="F359" s="643">
        <v>359000</v>
      </c>
      <c r="G359" s="643">
        <v>0</v>
      </c>
      <c r="H359" s="643">
        <v>0</v>
      </c>
      <c r="I359" s="643">
        <v>75566</v>
      </c>
      <c r="J359" s="643">
        <v>0</v>
      </c>
      <c r="K359" s="644">
        <f t="shared" si="26"/>
        <v>1470264</v>
      </c>
      <c r="L359" s="643">
        <v>648199</v>
      </c>
      <c r="M359" s="643">
        <v>0</v>
      </c>
      <c r="N359" s="644">
        <f t="shared" si="23"/>
        <v>648199</v>
      </c>
      <c r="O359" s="643">
        <v>0</v>
      </c>
      <c r="P359" s="643">
        <v>0</v>
      </c>
      <c r="Q359" s="644">
        <f t="shared" si="25"/>
        <v>0</v>
      </c>
      <c r="R359" s="643">
        <v>0</v>
      </c>
      <c r="S359" s="643">
        <v>0</v>
      </c>
      <c r="T359" s="643">
        <v>0</v>
      </c>
      <c r="U359" s="644">
        <f t="shared" si="24"/>
        <v>0</v>
      </c>
      <c r="V359" s="643">
        <v>0</v>
      </c>
      <c r="W359" s="643">
        <v>0</v>
      </c>
      <c r="X359" s="643">
        <v>0</v>
      </c>
      <c r="Y359" s="643">
        <v>0</v>
      </c>
    </row>
    <row r="360" spans="1:25" x14ac:dyDescent="0.15">
      <c r="A360" s="642">
        <v>43466</v>
      </c>
      <c r="B360" s="640" t="str">
        <f t="shared" ca="1" si="20"/>
        <v>07</v>
      </c>
      <c r="C360" s="639" t="s">
        <v>119</v>
      </c>
      <c r="D360" s="644">
        <f ca="1">IF(A360="","",IFERROR(GETPIVOTDATA("合計 / 合計",【ピボット】事業所売上!$A$3,"年月",$A360,"事業所コード",$B360,"事業所",$C360),0))</f>
        <v>1272363</v>
      </c>
      <c r="E360" s="643">
        <v>370310</v>
      </c>
      <c r="F360" s="643">
        <v>0</v>
      </c>
      <c r="G360" s="643">
        <v>0</v>
      </c>
      <c r="H360" s="643">
        <v>0</v>
      </c>
      <c r="I360" s="643">
        <v>18168</v>
      </c>
      <c r="J360" s="643">
        <v>0</v>
      </c>
      <c r="K360" s="644">
        <f t="shared" si="26"/>
        <v>388478</v>
      </c>
      <c r="L360" s="643">
        <v>129440</v>
      </c>
      <c r="M360" s="643">
        <v>0</v>
      </c>
      <c r="N360" s="644">
        <f t="shared" si="23"/>
        <v>129440</v>
      </c>
      <c r="O360" s="643">
        <v>0</v>
      </c>
      <c r="P360" s="643">
        <v>0</v>
      </c>
      <c r="Q360" s="644">
        <f t="shared" si="25"/>
        <v>0</v>
      </c>
      <c r="R360" s="643">
        <v>0</v>
      </c>
      <c r="S360" s="643">
        <v>0</v>
      </c>
      <c r="T360" s="643">
        <v>0</v>
      </c>
      <c r="U360" s="644">
        <f t="shared" si="24"/>
        <v>0</v>
      </c>
      <c r="V360" s="643">
        <v>0</v>
      </c>
      <c r="W360" s="643">
        <v>0</v>
      </c>
      <c r="X360" s="643">
        <v>0</v>
      </c>
      <c r="Y360" s="643">
        <v>0</v>
      </c>
    </row>
    <row r="361" spans="1:25" x14ac:dyDescent="0.15">
      <c r="A361" s="642">
        <v>43466</v>
      </c>
      <c r="B361" s="640" t="str">
        <f t="shared" ca="1" si="20"/>
        <v>08</v>
      </c>
      <c r="C361" s="639" t="s">
        <v>189</v>
      </c>
      <c r="D361" s="644">
        <f ca="1">IF(A361="","",IFERROR(GETPIVOTDATA("合計 / 合計",【ピボット】事業所売上!$A$3,"年月",$A361,"事業所コード",$B361,"事業所",$C361),0))</f>
        <v>1356442</v>
      </c>
      <c r="E361" s="643">
        <v>238000</v>
      </c>
      <c r="F361" s="643">
        <v>0</v>
      </c>
      <c r="G361" s="643">
        <v>0</v>
      </c>
      <c r="H361" s="643">
        <v>0</v>
      </c>
      <c r="I361" s="643">
        <v>0</v>
      </c>
      <c r="J361" s="643">
        <v>0</v>
      </c>
      <c r="K361" s="644">
        <f t="shared" si="26"/>
        <v>238000</v>
      </c>
      <c r="L361" s="643">
        <v>123007</v>
      </c>
      <c r="M361" s="643">
        <v>0</v>
      </c>
      <c r="N361" s="644">
        <f t="shared" si="23"/>
        <v>123007</v>
      </c>
      <c r="O361" s="643">
        <v>0</v>
      </c>
      <c r="P361" s="643">
        <v>0</v>
      </c>
      <c r="Q361" s="644">
        <f t="shared" si="25"/>
        <v>0</v>
      </c>
      <c r="R361" s="643">
        <v>0</v>
      </c>
      <c r="S361" s="643">
        <v>0</v>
      </c>
      <c r="T361" s="643">
        <v>0</v>
      </c>
      <c r="U361" s="644">
        <f t="shared" si="24"/>
        <v>0</v>
      </c>
      <c r="V361" s="643">
        <v>0</v>
      </c>
      <c r="W361" s="643">
        <v>0</v>
      </c>
      <c r="X361" s="643">
        <v>0</v>
      </c>
      <c r="Y361" s="643">
        <v>0</v>
      </c>
    </row>
    <row r="362" spans="1:25" x14ac:dyDescent="0.15">
      <c r="A362" s="642">
        <v>43466</v>
      </c>
      <c r="B362" s="640" t="str">
        <f t="shared" ca="1" si="20"/>
        <v>09</v>
      </c>
      <c r="C362" s="639" t="s">
        <v>329</v>
      </c>
      <c r="D362" s="644">
        <f ca="1">IF(A362="","",IFERROR(GETPIVOTDATA("合計 / 合計",【ピボット】事業所売上!$A$3,"年月",$A362,"事業所コード",$B362,"事業所",$C362),0))</f>
        <v>2942481</v>
      </c>
      <c r="E362" s="643">
        <v>632926</v>
      </c>
      <c r="F362" s="643">
        <v>545872</v>
      </c>
      <c r="G362" s="643">
        <v>0</v>
      </c>
      <c r="H362" s="643">
        <v>0</v>
      </c>
      <c r="I362" s="643">
        <v>63614</v>
      </c>
      <c r="J362" s="643">
        <v>1131</v>
      </c>
      <c r="K362" s="644">
        <f t="shared" si="26"/>
        <v>1243543</v>
      </c>
      <c r="L362" s="643">
        <v>654503</v>
      </c>
      <c r="M362" s="643">
        <v>0</v>
      </c>
      <c r="N362" s="644">
        <f t="shared" si="23"/>
        <v>654503</v>
      </c>
      <c r="O362" s="643">
        <v>0</v>
      </c>
      <c r="P362" s="643">
        <v>0</v>
      </c>
      <c r="Q362" s="644">
        <f t="shared" si="25"/>
        <v>0</v>
      </c>
      <c r="R362" s="643">
        <v>0</v>
      </c>
      <c r="S362" s="643">
        <v>0</v>
      </c>
      <c r="T362" s="643">
        <v>0</v>
      </c>
      <c r="U362" s="644">
        <f t="shared" si="24"/>
        <v>0</v>
      </c>
      <c r="V362" s="643">
        <v>0</v>
      </c>
      <c r="W362" s="643">
        <v>0</v>
      </c>
      <c r="X362" s="643">
        <v>0</v>
      </c>
      <c r="Y362" s="643">
        <v>0</v>
      </c>
    </row>
    <row r="363" spans="1:25" x14ac:dyDescent="0.15">
      <c r="A363" s="642">
        <v>43466</v>
      </c>
      <c r="B363" s="640" t="str">
        <f t="shared" ca="1" si="20"/>
        <v>13</v>
      </c>
      <c r="C363" s="639" t="s">
        <v>1223</v>
      </c>
      <c r="D363" s="644">
        <f ca="1">IF(A363="","",IFERROR(GETPIVOTDATA("合計 / 合計",【ピボット】事業所売上!$A$3,"年月",$A363,"事業所コード",$B363,"事業所",$C363),0))</f>
        <v>40000</v>
      </c>
      <c r="E363" s="643">
        <v>0</v>
      </c>
      <c r="F363" s="643">
        <v>0</v>
      </c>
      <c r="G363" s="643">
        <v>0</v>
      </c>
      <c r="H363" s="643">
        <v>0</v>
      </c>
      <c r="I363" s="643">
        <v>0</v>
      </c>
      <c r="J363" s="643">
        <v>0</v>
      </c>
      <c r="K363" s="644">
        <f t="shared" si="26"/>
        <v>0</v>
      </c>
      <c r="L363" s="643">
        <v>185160</v>
      </c>
      <c r="M363" s="643">
        <v>0</v>
      </c>
      <c r="N363" s="644">
        <f t="shared" si="23"/>
        <v>185160</v>
      </c>
      <c r="O363" s="643">
        <v>0</v>
      </c>
      <c r="P363" s="643">
        <v>0</v>
      </c>
      <c r="Q363" s="644">
        <f t="shared" si="25"/>
        <v>0</v>
      </c>
      <c r="R363" s="643">
        <v>0</v>
      </c>
      <c r="S363" s="643">
        <v>0</v>
      </c>
      <c r="T363" s="643">
        <v>0</v>
      </c>
      <c r="U363" s="644">
        <f t="shared" si="24"/>
        <v>0</v>
      </c>
      <c r="V363" s="643">
        <v>0</v>
      </c>
      <c r="W363" s="643">
        <v>0</v>
      </c>
      <c r="X363" s="643">
        <v>0</v>
      </c>
      <c r="Y363" s="643">
        <v>0</v>
      </c>
    </row>
    <row r="364" spans="1:25" x14ac:dyDescent="0.15">
      <c r="A364" s="642">
        <v>43497</v>
      </c>
      <c r="B364" s="640" t="str">
        <f t="shared" ca="1" si="20"/>
        <v>00</v>
      </c>
      <c r="C364" s="639" t="s">
        <v>490</v>
      </c>
      <c r="D364" s="644">
        <f ca="1">IF(A364="","",IFERROR(GETPIVOTDATA("合計 / 合計",【ピボット】事業所売上!$A$3,"年月",$A364,"事業所コード",$B364,"事業所",$C364),0))</f>
        <v>0</v>
      </c>
      <c r="E364" s="643">
        <v>90600</v>
      </c>
      <c r="F364" s="643">
        <f>1485086+464946</f>
        <v>1950032</v>
      </c>
      <c r="G364" s="643">
        <v>0</v>
      </c>
      <c r="H364" s="643">
        <v>2850000</v>
      </c>
      <c r="I364" s="643">
        <v>456832</v>
      </c>
      <c r="J364" s="643">
        <v>8950</v>
      </c>
      <c r="K364" s="644">
        <f t="shared" si="26"/>
        <v>5356414</v>
      </c>
      <c r="L364" s="643">
        <v>2554606</v>
      </c>
      <c r="M364" s="643">
        <v>0</v>
      </c>
      <c r="N364" s="644">
        <f t="shared" si="23"/>
        <v>2554606</v>
      </c>
      <c r="O364" s="643">
        <v>297000</v>
      </c>
      <c r="P364" s="643">
        <v>0</v>
      </c>
      <c r="Q364" s="644">
        <f t="shared" si="25"/>
        <v>0</v>
      </c>
      <c r="R364" s="643">
        <v>-80616</v>
      </c>
      <c r="S364" s="643">
        <v>0</v>
      </c>
      <c r="T364" s="643">
        <v>0</v>
      </c>
      <c r="U364" s="644">
        <f t="shared" si="24"/>
        <v>-80616</v>
      </c>
      <c r="V364" s="643">
        <v>308518</v>
      </c>
      <c r="W364" s="643">
        <v>977248</v>
      </c>
      <c r="X364" s="643">
        <v>0</v>
      </c>
      <c r="Y364" s="643">
        <v>0</v>
      </c>
    </row>
    <row r="365" spans="1:25" x14ac:dyDescent="0.15">
      <c r="A365" s="642">
        <v>43497</v>
      </c>
      <c r="B365" s="640" t="str">
        <f t="shared" ca="1" si="20"/>
        <v>01</v>
      </c>
      <c r="C365" s="639" t="s">
        <v>34</v>
      </c>
      <c r="D365" s="644">
        <f ca="1">IF(A365="","",IFERROR(GETPIVOTDATA("合計 / 合計",【ピボット】事業所売上!$A$3,"年月",$A365,"事業所コード",$B365,"事業所",$C365),0))</f>
        <v>11458207</v>
      </c>
      <c r="E365" s="643">
        <v>3725142</v>
      </c>
      <c r="F365" s="643">
        <v>2819691</v>
      </c>
      <c r="G365" s="643">
        <v>0</v>
      </c>
      <c r="H365" s="643">
        <v>0</v>
      </c>
      <c r="I365" s="643">
        <v>382642</v>
      </c>
      <c r="J365" s="643">
        <v>49696</v>
      </c>
      <c r="K365" s="644">
        <f t="shared" si="26"/>
        <v>6977171</v>
      </c>
      <c r="L365" s="643">
        <v>1177658</v>
      </c>
      <c r="M365" s="643">
        <v>96228</v>
      </c>
      <c r="N365" s="644">
        <f t="shared" si="23"/>
        <v>1273886</v>
      </c>
      <c r="O365" s="643">
        <v>0</v>
      </c>
      <c r="P365" s="643">
        <v>0</v>
      </c>
      <c r="Q365" s="644">
        <f t="shared" si="25"/>
        <v>0</v>
      </c>
      <c r="R365" s="643">
        <v>0</v>
      </c>
      <c r="S365" s="643">
        <v>0</v>
      </c>
      <c r="T365" s="643">
        <v>0</v>
      </c>
      <c r="U365" s="644">
        <f t="shared" si="24"/>
        <v>0</v>
      </c>
      <c r="V365" s="643">
        <v>0</v>
      </c>
      <c r="W365" s="643">
        <v>0</v>
      </c>
      <c r="X365" s="643">
        <v>0</v>
      </c>
      <c r="Y365" s="643">
        <v>0</v>
      </c>
    </row>
    <row r="366" spans="1:25" x14ac:dyDescent="0.15">
      <c r="A366" s="642">
        <v>43497</v>
      </c>
      <c r="B366" s="640" t="str">
        <f t="shared" ca="1" si="20"/>
        <v>02</v>
      </c>
      <c r="C366" s="639" t="s">
        <v>37</v>
      </c>
      <c r="D366" s="644">
        <f ca="1">IF(A366="","",IFERROR(GETPIVOTDATA("合計 / 合計",【ピボット】事業所売上!$A$3,"年月",$A366,"事業所コード",$B366,"事業所",$C366),0))</f>
        <v>6270597</v>
      </c>
      <c r="E366" s="643">
        <v>1497153</v>
      </c>
      <c r="F366" s="643">
        <v>1768840</v>
      </c>
      <c r="G366" s="643">
        <v>0</v>
      </c>
      <c r="H366" s="643">
        <v>0</v>
      </c>
      <c r="I366" s="643">
        <v>290101</v>
      </c>
      <c r="J366" s="643">
        <v>7882</v>
      </c>
      <c r="K366" s="644">
        <f t="shared" si="26"/>
        <v>3563976</v>
      </c>
      <c r="L366" s="643">
        <v>861953</v>
      </c>
      <c r="M366" s="643">
        <v>0</v>
      </c>
      <c r="N366" s="644">
        <f t="shared" si="23"/>
        <v>861953</v>
      </c>
      <c r="O366" s="643">
        <v>0</v>
      </c>
      <c r="P366" s="643">
        <v>0</v>
      </c>
      <c r="Q366" s="644">
        <f t="shared" si="25"/>
        <v>0</v>
      </c>
      <c r="R366" s="643">
        <v>0</v>
      </c>
      <c r="S366" s="643">
        <v>0</v>
      </c>
      <c r="T366" s="643">
        <v>0</v>
      </c>
      <c r="U366" s="644">
        <f t="shared" si="24"/>
        <v>0</v>
      </c>
      <c r="V366" s="643">
        <v>0</v>
      </c>
      <c r="W366" s="643">
        <v>0</v>
      </c>
      <c r="X366" s="643">
        <v>0</v>
      </c>
      <c r="Y366" s="643">
        <v>0</v>
      </c>
    </row>
    <row r="367" spans="1:25" x14ac:dyDescent="0.15">
      <c r="A367" s="642">
        <v>43497</v>
      </c>
      <c r="B367" s="640" t="str">
        <f t="shared" ref="B367:B430" ca="1" si="27">IF(C367="","",VLOOKUP(C367,事業所コード2,2,FALSE))</f>
        <v>03</v>
      </c>
      <c r="C367" s="639" t="s">
        <v>66</v>
      </c>
      <c r="D367" s="644">
        <f ca="1">IF(A367="","",IFERROR(GETPIVOTDATA("合計 / 合計",【ピボット】事業所売上!$A$3,"年月",$A367,"事業所コード",$B367,"事業所",$C367),0))</f>
        <v>6369053</v>
      </c>
      <c r="E367" s="643">
        <v>1722646</v>
      </c>
      <c r="F367" s="643">
        <v>2220430</v>
      </c>
      <c r="G367" s="643">
        <v>0</v>
      </c>
      <c r="H367" s="643">
        <v>0</v>
      </c>
      <c r="I367" s="643">
        <v>330411</v>
      </c>
      <c r="J367" s="643">
        <v>0</v>
      </c>
      <c r="K367" s="644">
        <f t="shared" si="26"/>
        <v>4273487</v>
      </c>
      <c r="L367" s="643">
        <v>773129</v>
      </c>
      <c r="M367" s="643">
        <v>0</v>
      </c>
      <c r="N367" s="644">
        <f t="shared" si="23"/>
        <v>773129</v>
      </c>
      <c r="O367" s="643">
        <v>0</v>
      </c>
      <c r="P367" s="643">
        <v>0</v>
      </c>
      <c r="Q367" s="644">
        <f t="shared" si="25"/>
        <v>0</v>
      </c>
      <c r="R367" s="643">
        <v>0</v>
      </c>
      <c r="S367" s="643">
        <v>0</v>
      </c>
      <c r="T367" s="643">
        <v>0</v>
      </c>
      <c r="U367" s="644">
        <f t="shared" si="24"/>
        <v>0</v>
      </c>
      <c r="V367" s="643">
        <v>0</v>
      </c>
      <c r="W367" s="643">
        <v>0</v>
      </c>
      <c r="X367" s="643">
        <v>0</v>
      </c>
      <c r="Y367" s="643">
        <v>0</v>
      </c>
    </row>
    <row r="368" spans="1:25" x14ac:dyDescent="0.15">
      <c r="A368" s="642">
        <v>43497</v>
      </c>
      <c r="B368" s="640" t="str">
        <f t="shared" ca="1" si="27"/>
        <v>11</v>
      </c>
      <c r="C368" s="639" t="s">
        <v>967</v>
      </c>
      <c r="D368" s="644">
        <f ca="1">IF(A368="","",IFERROR(GETPIVOTDATA("合計 / 合計",【ピボット】事業所売上!$A$3,"年月",$A368,"事業所コード",$B368,"事業所",$C368),0))</f>
        <v>903949</v>
      </c>
      <c r="E368" s="643">
        <v>228440</v>
      </c>
      <c r="F368" s="643">
        <v>312778</v>
      </c>
      <c r="G368" s="643">
        <v>0</v>
      </c>
      <c r="H368" s="643">
        <v>0</v>
      </c>
      <c r="I368" s="643">
        <v>43910</v>
      </c>
      <c r="J368" s="643">
        <v>2904</v>
      </c>
      <c r="K368" s="644">
        <f t="shared" si="26"/>
        <v>588032</v>
      </c>
      <c r="L368" s="643">
        <v>364736</v>
      </c>
      <c r="M368" s="643">
        <v>0</v>
      </c>
      <c r="N368" s="644">
        <f t="shared" si="23"/>
        <v>364736</v>
      </c>
      <c r="O368" s="643">
        <v>0</v>
      </c>
      <c r="P368" s="643">
        <v>220000</v>
      </c>
      <c r="Q368" s="644">
        <f t="shared" si="25"/>
        <v>0</v>
      </c>
      <c r="R368" s="643">
        <v>0</v>
      </c>
      <c r="S368" s="643">
        <v>0</v>
      </c>
      <c r="T368" s="643">
        <v>0</v>
      </c>
      <c r="U368" s="644">
        <f t="shared" si="24"/>
        <v>0</v>
      </c>
      <c r="V368" s="643">
        <v>0</v>
      </c>
      <c r="W368" s="643">
        <v>0</v>
      </c>
      <c r="X368" s="643">
        <v>0</v>
      </c>
      <c r="Y368" s="643">
        <v>0</v>
      </c>
    </row>
    <row r="369" spans="1:25" x14ac:dyDescent="0.15">
      <c r="A369" s="642">
        <v>43497</v>
      </c>
      <c r="B369" s="640" t="str">
        <f t="shared" ca="1" si="27"/>
        <v>12</v>
      </c>
      <c r="C369" s="639" t="s">
        <v>1143</v>
      </c>
      <c r="D369" s="644">
        <f ca="1">IF(A369="","",IFERROR(GETPIVOTDATA("合計 / 合計",【ピボット】事業所売上!$A$3,"年月",$A369,"事業所コード",$B369,"事業所",$C369),0))</f>
        <v>1060746</v>
      </c>
      <c r="E369" s="643">
        <v>283293</v>
      </c>
      <c r="F369" s="643">
        <v>362513</v>
      </c>
      <c r="G369" s="643">
        <v>0</v>
      </c>
      <c r="H369" s="643">
        <v>0</v>
      </c>
      <c r="I369" s="643">
        <v>45370</v>
      </c>
      <c r="J369" s="643">
        <v>0</v>
      </c>
      <c r="K369" s="644">
        <f t="shared" si="26"/>
        <v>691176</v>
      </c>
      <c r="L369" s="643">
        <v>383687</v>
      </c>
      <c r="M369" s="643">
        <v>0</v>
      </c>
      <c r="N369" s="644">
        <f t="shared" si="23"/>
        <v>383687</v>
      </c>
      <c r="O369" s="643">
        <v>0</v>
      </c>
      <c r="P369" s="643">
        <v>0</v>
      </c>
      <c r="Q369" s="644">
        <f t="shared" si="25"/>
        <v>0</v>
      </c>
      <c r="R369" s="643">
        <v>0</v>
      </c>
      <c r="S369" s="643">
        <v>0</v>
      </c>
      <c r="T369" s="643">
        <v>0</v>
      </c>
      <c r="U369" s="644">
        <f t="shared" si="24"/>
        <v>0</v>
      </c>
      <c r="V369" s="643">
        <v>0</v>
      </c>
      <c r="W369" s="643">
        <v>0</v>
      </c>
      <c r="X369" s="643">
        <v>0</v>
      </c>
      <c r="Y369" s="643">
        <v>0</v>
      </c>
    </row>
    <row r="370" spans="1:25" x14ac:dyDescent="0.15">
      <c r="A370" s="642">
        <v>43497</v>
      </c>
      <c r="B370" s="640" t="str">
        <f t="shared" ca="1" si="27"/>
        <v>04</v>
      </c>
      <c r="C370" s="639" t="s">
        <v>358</v>
      </c>
      <c r="D370" s="644">
        <f ca="1">IF(A370="","",IFERROR(GETPIVOTDATA("合計 / 合計",【ピボット】事業所売上!$A$3,"年月",$A370,"事業所コード",$B370,"事業所",$C370),0))</f>
        <v>4475893</v>
      </c>
      <c r="E370" s="643">
        <v>1222020</v>
      </c>
      <c r="F370" s="643">
        <v>697856</v>
      </c>
      <c r="G370" s="643">
        <v>0</v>
      </c>
      <c r="H370" s="643">
        <v>0</v>
      </c>
      <c r="I370" s="643">
        <v>150053</v>
      </c>
      <c r="J370" s="643">
        <v>32400</v>
      </c>
      <c r="K370" s="644">
        <f t="shared" si="26"/>
        <v>2102329</v>
      </c>
      <c r="L370" s="643">
        <v>1149109</v>
      </c>
      <c r="M370" s="643">
        <v>0</v>
      </c>
      <c r="N370" s="644">
        <f t="shared" si="23"/>
        <v>1149109</v>
      </c>
      <c r="O370" s="643">
        <v>0</v>
      </c>
      <c r="P370" s="643">
        <v>0</v>
      </c>
      <c r="Q370" s="644">
        <f t="shared" si="25"/>
        <v>0</v>
      </c>
      <c r="R370" s="643">
        <v>0</v>
      </c>
      <c r="S370" s="643">
        <v>0</v>
      </c>
      <c r="T370" s="643">
        <v>0</v>
      </c>
      <c r="U370" s="644">
        <f t="shared" si="24"/>
        <v>0</v>
      </c>
      <c r="V370" s="643">
        <v>0</v>
      </c>
      <c r="W370" s="643">
        <v>0</v>
      </c>
      <c r="X370" s="643">
        <v>0</v>
      </c>
      <c r="Y370" s="643">
        <v>0</v>
      </c>
    </row>
    <row r="371" spans="1:25" x14ac:dyDescent="0.15">
      <c r="A371" s="642">
        <v>43497</v>
      </c>
      <c r="B371" s="640" t="str">
        <f t="shared" ca="1" si="27"/>
        <v>05</v>
      </c>
      <c r="C371" s="639" t="s">
        <v>38</v>
      </c>
      <c r="D371" s="644">
        <f ca="1">IF(A371="","",IFERROR(GETPIVOTDATA("合計 / 合計",【ピボット】事業所売上!$A$3,"年月",$A371,"事業所コード",$B371,"事業所",$C371),0))</f>
        <v>2515123</v>
      </c>
      <c r="E371" s="643">
        <v>951846</v>
      </c>
      <c r="F371" s="643">
        <v>150000</v>
      </c>
      <c r="G371" s="643">
        <v>0</v>
      </c>
      <c r="H371" s="643">
        <v>150000</v>
      </c>
      <c r="I371" s="643">
        <v>71120</v>
      </c>
      <c r="J371" s="643">
        <v>0</v>
      </c>
      <c r="K371" s="644">
        <f t="shared" si="26"/>
        <v>1322966</v>
      </c>
      <c r="L371" s="643">
        <v>588210</v>
      </c>
      <c r="M371" s="643">
        <v>0</v>
      </c>
      <c r="N371" s="644">
        <f t="shared" si="23"/>
        <v>588210</v>
      </c>
      <c r="O371" s="643">
        <v>0</v>
      </c>
      <c r="P371" s="643">
        <v>0</v>
      </c>
      <c r="Q371" s="644">
        <f t="shared" si="25"/>
        <v>0</v>
      </c>
      <c r="R371" s="643">
        <v>0</v>
      </c>
      <c r="S371" s="643">
        <v>0</v>
      </c>
      <c r="T371" s="643">
        <v>0</v>
      </c>
      <c r="U371" s="644">
        <f t="shared" si="24"/>
        <v>0</v>
      </c>
      <c r="V371" s="643">
        <v>0</v>
      </c>
      <c r="W371" s="643">
        <v>0</v>
      </c>
      <c r="X371" s="643">
        <v>0</v>
      </c>
      <c r="Y371" s="643">
        <v>0</v>
      </c>
    </row>
    <row r="372" spans="1:25" x14ac:dyDescent="0.15">
      <c r="A372" s="642">
        <v>43497</v>
      </c>
      <c r="B372" s="640" t="str">
        <f t="shared" ca="1" si="27"/>
        <v>07</v>
      </c>
      <c r="C372" s="639" t="s">
        <v>119</v>
      </c>
      <c r="D372" s="644">
        <f ca="1">IF(A372="","",IFERROR(GETPIVOTDATA("合計 / 合計",【ピボット】事業所売上!$A$3,"年月",$A372,"事業所コード",$B372,"事業所",$C372),0))</f>
        <v>1036423</v>
      </c>
      <c r="E372" s="643">
        <v>302020</v>
      </c>
      <c r="F372" s="643">
        <v>0</v>
      </c>
      <c r="G372" s="643">
        <v>0</v>
      </c>
      <c r="H372" s="643">
        <v>0</v>
      </c>
      <c r="I372" s="643">
        <v>18174</v>
      </c>
      <c r="J372" s="643">
        <v>0</v>
      </c>
      <c r="K372" s="644">
        <f t="shared" si="26"/>
        <v>320194</v>
      </c>
      <c r="L372" s="643">
        <v>122019</v>
      </c>
      <c r="M372" s="643">
        <v>0</v>
      </c>
      <c r="N372" s="644">
        <f t="shared" si="23"/>
        <v>122019</v>
      </c>
      <c r="O372" s="643">
        <v>0</v>
      </c>
      <c r="P372" s="643">
        <v>0</v>
      </c>
      <c r="Q372" s="644">
        <f t="shared" si="25"/>
        <v>0</v>
      </c>
      <c r="R372" s="643">
        <v>0</v>
      </c>
      <c r="S372" s="643">
        <v>0</v>
      </c>
      <c r="T372" s="643">
        <v>0</v>
      </c>
      <c r="U372" s="644">
        <f t="shared" si="24"/>
        <v>0</v>
      </c>
      <c r="V372" s="643">
        <v>0</v>
      </c>
      <c r="W372" s="643">
        <v>0</v>
      </c>
      <c r="X372" s="643">
        <v>0</v>
      </c>
      <c r="Y372" s="643">
        <v>0</v>
      </c>
    </row>
    <row r="373" spans="1:25" x14ac:dyDescent="0.15">
      <c r="A373" s="642">
        <v>43497</v>
      </c>
      <c r="B373" s="640" t="str">
        <f t="shared" ca="1" si="27"/>
        <v>08</v>
      </c>
      <c r="C373" s="639" t="s">
        <v>189</v>
      </c>
      <c r="D373" s="644">
        <f ca="1">IF(A373="","",IFERROR(GETPIVOTDATA("合計 / 合計",【ピボット】事業所売上!$A$3,"年月",$A373,"事業所コード",$B373,"事業所",$C373),0))</f>
        <v>1005836</v>
      </c>
      <c r="E373" s="643">
        <v>199000</v>
      </c>
      <c r="F373" s="643">
        <v>0</v>
      </c>
      <c r="G373" s="643">
        <v>0</v>
      </c>
      <c r="H373" s="643">
        <v>0</v>
      </c>
      <c r="I373" s="643">
        <v>0</v>
      </c>
      <c r="J373" s="643">
        <v>0</v>
      </c>
      <c r="K373" s="644">
        <f t="shared" si="26"/>
        <v>199000</v>
      </c>
      <c r="L373" s="643">
        <v>127781</v>
      </c>
      <c r="M373" s="643">
        <v>0</v>
      </c>
      <c r="N373" s="644">
        <f t="shared" si="23"/>
        <v>127781</v>
      </c>
      <c r="O373" s="643">
        <v>0</v>
      </c>
      <c r="P373" s="643">
        <v>0</v>
      </c>
      <c r="Q373" s="644">
        <f t="shared" si="25"/>
        <v>0</v>
      </c>
      <c r="R373" s="643">
        <v>0</v>
      </c>
      <c r="S373" s="643">
        <v>0</v>
      </c>
      <c r="T373" s="643">
        <v>0</v>
      </c>
      <c r="U373" s="644">
        <f t="shared" si="24"/>
        <v>0</v>
      </c>
      <c r="V373" s="643">
        <v>0</v>
      </c>
      <c r="W373" s="643">
        <v>0</v>
      </c>
      <c r="X373" s="643">
        <v>0</v>
      </c>
      <c r="Y373" s="643">
        <v>0</v>
      </c>
    </row>
    <row r="374" spans="1:25" x14ac:dyDescent="0.15">
      <c r="A374" s="642">
        <v>43497</v>
      </c>
      <c r="B374" s="640" t="str">
        <f t="shared" ca="1" si="27"/>
        <v>09</v>
      </c>
      <c r="C374" s="639" t="s">
        <v>329</v>
      </c>
      <c r="D374" s="644">
        <f ca="1">IF(A374="","",IFERROR(GETPIVOTDATA("合計 / 合計",【ピボット】事業所売上!$A$3,"年月",$A374,"事業所コード",$B374,"事業所",$C374),0))</f>
        <v>2118435</v>
      </c>
      <c r="E374" s="643">
        <v>517538</v>
      </c>
      <c r="F374" s="643">
        <v>497000</v>
      </c>
      <c r="G374" s="643">
        <v>0</v>
      </c>
      <c r="H374" s="643">
        <v>0</v>
      </c>
      <c r="I374" s="643">
        <v>64988</v>
      </c>
      <c r="J374" s="643">
        <v>300</v>
      </c>
      <c r="K374" s="644">
        <f t="shared" si="26"/>
        <v>1079826</v>
      </c>
      <c r="L374" s="643">
        <v>611780</v>
      </c>
      <c r="M374" s="643">
        <v>0</v>
      </c>
      <c r="N374" s="644">
        <f t="shared" si="23"/>
        <v>611780</v>
      </c>
      <c r="O374" s="643">
        <v>0</v>
      </c>
      <c r="P374" s="643">
        <v>0</v>
      </c>
      <c r="Q374" s="644">
        <f t="shared" si="25"/>
        <v>0</v>
      </c>
      <c r="R374" s="643">
        <v>0</v>
      </c>
      <c r="S374" s="643">
        <v>0</v>
      </c>
      <c r="T374" s="643">
        <v>0</v>
      </c>
      <c r="U374" s="644">
        <f t="shared" si="24"/>
        <v>0</v>
      </c>
      <c r="V374" s="643">
        <v>0</v>
      </c>
      <c r="W374" s="643">
        <v>0</v>
      </c>
      <c r="X374" s="643">
        <v>0</v>
      </c>
      <c r="Y374" s="643">
        <v>0</v>
      </c>
    </row>
    <row r="375" spans="1:25" x14ac:dyDescent="0.15">
      <c r="A375" s="642">
        <v>43497</v>
      </c>
      <c r="B375" s="640" t="str">
        <f t="shared" ca="1" si="27"/>
        <v>13</v>
      </c>
      <c r="C375" s="639" t="s">
        <v>1223</v>
      </c>
      <c r="D375" s="644">
        <f ca="1">IF(A375="","",IFERROR(GETPIVOTDATA("合計 / 合計",【ピボット】事業所売上!$A$3,"年月",$A375,"事業所コード",$B375,"事業所",$C375),0))</f>
        <v>1476188</v>
      </c>
      <c r="E375" s="643">
        <v>229400</v>
      </c>
      <c r="F375" s="643">
        <v>150000</v>
      </c>
      <c r="G375" s="643">
        <v>0</v>
      </c>
      <c r="H375" s="643">
        <v>0</v>
      </c>
      <c r="I375" s="643">
        <v>0</v>
      </c>
      <c r="J375" s="643">
        <v>0</v>
      </c>
      <c r="K375" s="644">
        <f t="shared" si="26"/>
        <v>379400</v>
      </c>
      <c r="L375" s="643">
        <v>188283</v>
      </c>
      <c r="M375" s="643">
        <v>0</v>
      </c>
      <c r="N375" s="644">
        <f t="shared" si="23"/>
        <v>188283</v>
      </c>
      <c r="O375" s="643">
        <v>0</v>
      </c>
      <c r="P375" s="643">
        <v>0</v>
      </c>
      <c r="Q375" s="644">
        <f t="shared" si="25"/>
        <v>0</v>
      </c>
      <c r="R375" s="643">
        <v>0</v>
      </c>
      <c r="S375" s="643">
        <v>0</v>
      </c>
      <c r="T375" s="643">
        <v>0</v>
      </c>
      <c r="U375" s="644">
        <f t="shared" si="24"/>
        <v>0</v>
      </c>
      <c r="V375" s="643">
        <v>0</v>
      </c>
      <c r="W375" s="643">
        <v>0</v>
      </c>
      <c r="X375" s="643">
        <v>0</v>
      </c>
      <c r="Y375" s="643">
        <v>0</v>
      </c>
    </row>
    <row r="376" spans="1:25" x14ac:dyDescent="0.15">
      <c r="A376" s="642">
        <v>43525</v>
      </c>
      <c r="B376" s="640" t="str">
        <f t="shared" ca="1" si="27"/>
        <v>00</v>
      </c>
      <c r="C376" s="639" t="s">
        <v>490</v>
      </c>
      <c r="D376" s="644">
        <f ca="1">IF(A376="","",IFERROR(GETPIVOTDATA("合計 / 合計",【ピボット】事業所売上!$A$3,"年月",$A376,"事業所コード",$B376,"事業所",$C376),0))</f>
        <v>142560</v>
      </c>
      <c r="E376" s="643">
        <v>90600</v>
      </c>
      <c r="F376" s="643">
        <v>1159230</v>
      </c>
      <c r="G376" s="643">
        <v>0</v>
      </c>
      <c r="H376" s="643">
        <v>2850000</v>
      </c>
      <c r="I376" s="643">
        <v>363500</v>
      </c>
      <c r="J376" s="643">
        <v>17400</v>
      </c>
      <c r="K376" s="644">
        <f t="shared" si="26"/>
        <v>4480730</v>
      </c>
      <c r="L376" s="643">
        <v>2293024</v>
      </c>
      <c r="M376" s="643">
        <v>0</v>
      </c>
      <c r="N376" s="644">
        <f t="shared" si="23"/>
        <v>2293024</v>
      </c>
      <c r="O376" s="643">
        <v>0</v>
      </c>
      <c r="P376" s="643">
        <v>0</v>
      </c>
      <c r="Q376" s="644">
        <f t="shared" si="25"/>
        <v>0</v>
      </c>
      <c r="R376" s="643">
        <v>0</v>
      </c>
      <c r="S376" s="643">
        <v>0</v>
      </c>
      <c r="T376" s="643">
        <v>0</v>
      </c>
      <c r="U376" s="644">
        <f t="shared" si="24"/>
        <v>0</v>
      </c>
      <c r="V376" s="643">
        <f>682245-142560</f>
        <v>539685</v>
      </c>
      <c r="W376" s="643">
        <v>532662</v>
      </c>
      <c r="X376" s="643">
        <v>0</v>
      </c>
      <c r="Y376" s="643">
        <v>0</v>
      </c>
    </row>
    <row r="377" spans="1:25" x14ac:dyDescent="0.15">
      <c r="A377" s="642">
        <v>43525</v>
      </c>
      <c r="B377" s="640" t="str">
        <f t="shared" ca="1" si="27"/>
        <v>01</v>
      </c>
      <c r="C377" s="639" t="s">
        <v>34</v>
      </c>
      <c r="D377" s="644">
        <f ca="1">IF(A377="","",IFERROR(GETPIVOTDATA("合計 / 合計",【ピボット】事業所売上!$A$3,"年月",$A377,"事業所コード",$B377,"事業所",$C377),0))</f>
        <v>12821396</v>
      </c>
      <c r="E377" s="643">
        <f>3721479+272575</f>
        <v>3994054</v>
      </c>
      <c r="F377" s="643">
        <v>2752108</v>
      </c>
      <c r="G377" s="643">
        <v>0</v>
      </c>
      <c r="H377" s="643">
        <v>0</v>
      </c>
      <c r="I377" s="643">
        <v>383094</v>
      </c>
      <c r="J377" s="643">
        <v>45927</v>
      </c>
      <c r="K377" s="644">
        <f t="shared" si="26"/>
        <v>7175183</v>
      </c>
      <c r="L377" s="643">
        <v>1123329</v>
      </c>
      <c r="M377" s="643">
        <v>32076</v>
      </c>
      <c r="N377" s="644">
        <f t="shared" si="23"/>
        <v>1155405</v>
      </c>
      <c r="O377" s="643">
        <v>0</v>
      </c>
      <c r="P377" s="643">
        <v>0</v>
      </c>
      <c r="Q377" s="644">
        <f t="shared" si="25"/>
        <v>0</v>
      </c>
      <c r="R377" s="643">
        <v>0</v>
      </c>
      <c r="S377" s="643">
        <v>0</v>
      </c>
      <c r="T377" s="643">
        <v>0</v>
      </c>
      <c r="U377" s="644">
        <f t="shared" si="24"/>
        <v>0</v>
      </c>
      <c r="V377" s="643">
        <v>0</v>
      </c>
      <c r="W377" s="643">
        <v>0</v>
      </c>
      <c r="X377" s="643">
        <v>0</v>
      </c>
      <c r="Y377" s="643">
        <v>0</v>
      </c>
    </row>
    <row r="378" spans="1:25" x14ac:dyDescent="0.15">
      <c r="A378" s="642">
        <v>43525</v>
      </c>
      <c r="B378" s="640" t="str">
        <f t="shared" ca="1" si="27"/>
        <v>02</v>
      </c>
      <c r="C378" s="639" t="s">
        <v>37</v>
      </c>
      <c r="D378" s="644">
        <f ca="1">IF(A378="","",IFERROR(GETPIVOTDATA("合計 / 合計",【ピボット】事業所売上!$A$3,"年月",$A378,"事業所コード",$B378,"事業所",$C378),0))</f>
        <v>5457771</v>
      </c>
      <c r="E378" s="643">
        <v>1672913</v>
      </c>
      <c r="F378" s="643">
        <v>1466687</v>
      </c>
      <c r="G378" s="643">
        <v>0</v>
      </c>
      <c r="H378" s="643">
        <v>0</v>
      </c>
      <c r="I378" s="643">
        <v>256001</v>
      </c>
      <c r="J378" s="643">
        <v>3831</v>
      </c>
      <c r="K378" s="644">
        <f t="shared" si="26"/>
        <v>3399432</v>
      </c>
      <c r="L378" s="643">
        <v>817415</v>
      </c>
      <c r="M378" s="643">
        <v>0</v>
      </c>
      <c r="N378" s="644">
        <f t="shared" si="23"/>
        <v>817415</v>
      </c>
      <c r="O378" s="643">
        <v>0</v>
      </c>
      <c r="P378" s="643">
        <v>0</v>
      </c>
      <c r="Q378" s="644">
        <f t="shared" si="25"/>
        <v>0</v>
      </c>
      <c r="R378" s="643">
        <v>0</v>
      </c>
      <c r="S378" s="643">
        <v>0</v>
      </c>
      <c r="T378" s="643">
        <v>0</v>
      </c>
      <c r="U378" s="644">
        <f t="shared" si="24"/>
        <v>0</v>
      </c>
      <c r="V378" s="643">
        <v>0</v>
      </c>
      <c r="W378" s="643">
        <v>0</v>
      </c>
      <c r="X378" s="643">
        <v>0</v>
      </c>
      <c r="Y378" s="643">
        <v>0</v>
      </c>
    </row>
    <row r="379" spans="1:25" x14ac:dyDescent="0.15">
      <c r="A379" s="642">
        <v>43525</v>
      </c>
      <c r="B379" s="640" t="str">
        <f t="shared" ca="1" si="27"/>
        <v>03</v>
      </c>
      <c r="C379" s="639" t="s">
        <v>66</v>
      </c>
      <c r="D379" s="644">
        <f ca="1">IF(A379="","",IFERROR(GETPIVOTDATA("合計 / 合計",【ピボット】事業所売上!$A$3,"年月",$A379,"事業所コード",$B379,"事業所",$C379),0))</f>
        <v>6979599</v>
      </c>
      <c r="E379" s="643">
        <v>1925498</v>
      </c>
      <c r="F379" s="643">
        <v>2252064</v>
      </c>
      <c r="G379" s="643">
        <v>0</v>
      </c>
      <c r="H379" s="643">
        <v>0</v>
      </c>
      <c r="I379" s="643">
        <v>333160</v>
      </c>
      <c r="J379" s="643">
        <v>5859</v>
      </c>
      <c r="K379" s="644">
        <f t="shared" si="26"/>
        <v>4516581</v>
      </c>
      <c r="L379" s="643">
        <v>726515</v>
      </c>
      <c r="M379" s="643">
        <v>0</v>
      </c>
      <c r="N379" s="644">
        <f t="shared" si="23"/>
        <v>726515</v>
      </c>
      <c r="O379" s="643">
        <v>0</v>
      </c>
      <c r="P379" s="643">
        <v>0</v>
      </c>
      <c r="Q379" s="644">
        <f t="shared" si="25"/>
        <v>0</v>
      </c>
      <c r="R379" s="643">
        <v>0</v>
      </c>
      <c r="S379" s="643">
        <v>0</v>
      </c>
      <c r="T379" s="643">
        <v>0</v>
      </c>
      <c r="U379" s="644">
        <f t="shared" si="24"/>
        <v>0</v>
      </c>
      <c r="V379" s="643">
        <v>0</v>
      </c>
      <c r="W379" s="643">
        <v>0</v>
      </c>
      <c r="X379" s="643">
        <v>0</v>
      </c>
      <c r="Y379" s="643">
        <v>0</v>
      </c>
    </row>
    <row r="380" spans="1:25" x14ac:dyDescent="0.15">
      <c r="A380" s="642">
        <v>43525</v>
      </c>
      <c r="B380" s="640" t="str">
        <f t="shared" ca="1" si="27"/>
        <v>11</v>
      </c>
      <c r="C380" s="639" t="s">
        <v>967</v>
      </c>
      <c r="D380" s="644">
        <f ca="1">IF(A380="","",IFERROR(GETPIVOTDATA("合計 / 合計",【ピボット】事業所売上!$A$3,"年月",$A380,"事業所コード",$B380,"事業所",$C380),0))</f>
        <v>0</v>
      </c>
      <c r="E380" s="643">
        <v>0</v>
      </c>
      <c r="F380" s="643">
        <v>0</v>
      </c>
      <c r="G380" s="643">
        <v>0</v>
      </c>
      <c r="H380" s="643">
        <v>0</v>
      </c>
      <c r="I380" s="643">
        <v>0</v>
      </c>
      <c r="J380" s="643">
        <v>0</v>
      </c>
      <c r="K380" s="644">
        <f t="shared" si="26"/>
        <v>0</v>
      </c>
      <c r="L380" s="643">
        <v>329510</v>
      </c>
      <c r="M380" s="643">
        <v>0</v>
      </c>
      <c r="N380" s="644">
        <f t="shared" si="23"/>
        <v>329510</v>
      </c>
      <c r="O380" s="643">
        <v>0</v>
      </c>
      <c r="P380" s="643">
        <v>0</v>
      </c>
      <c r="Q380" s="644">
        <f t="shared" si="25"/>
        <v>0</v>
      </c>
      <c r="R380" s="643">
        <v>0</v>
      </c>
      <c r="S380" s="643">
        <v>0</v>
      </c>
      <c r="T380" s="643">
        <v>0</v>
      </c>
      <c r="U380" s="644">
        <f t="shared" si="24"/>
        <v>0</v>
      </c>
      <c r="V380" s="643">
        <v>0</v>
      </c>
      <c r="W380" s="643">
        <v>0</v>
      </c>
      <c r="X380" s="643">
        <v>0</v>
      </c>
      <c r="Y380" s="643">
        <v>0</v>
      </c>
    </row>
    <row r="381" spans="1:25" x14ac:dyDescent="0.15">
      <c r="A381" s="642">
        <v>43525</v>
      </c>
      <c r="B381" s="640" t="str">
        <f t="shared" ca="1" si="27"/>
        <v>12</v>
      </c>
      <c r="C381" s="639" t="s">
        <v>1143</v>
      </c>
      <c r="D381" s="644">
        <f ca="1">IF(A381="","",IFERROR(GETPIVOTDATA("合計 / 合計",【ピボット】事業所売上!$A$3,"年月",$A381,"事業所コード",$B381,"事業所",$C381),0))</f>
        <v>1438607</v>
      </c>
      <c r="E381" s="643">
        <v>388602</v>
      </c>
      <c r="F381" s="643">
        <v>647173</v>
      </c>
      <c r="G381" s="643">
        <v>0</v>
      </c>
      <c r="H381" s="643">
        <v>0</v>
      </c>
      <c r="I381" s="643">
        <v>89057</v>
      </c>
      <c r="J381" s="643">
        <v>0</v>
      </c>
      <c r="K381" s="644">
        <f t="shared" si="26"/>
        <v>1124832</v>
      </c>
      <c r="L381" s="643">
        <v>410646</v>
      </c>
      <c r="M381" s="643">
        <v>0</v>
      </c>
      <c r="N381" s="644">
        <f t="shared" si="23"/>
        <v>410646</v>
      </c>
      <c r="O381" s="643">
        <v>0</v>
      </c>
      <c r="P381" s="643">
        <v>0</v>
      </c>
      <c r="Q381" s="644">
        <f t="shared" ref="Q381:Q444" si="28">IF($A381="","",0)</f>
        <v>0</v>
      </c>
      <c r="R381" s="643">
        <v>0</v>
      </c>
      <c r="S381" s="643">
        <v>0</v>
      </c>
      <c r="T381" s="643">
        <v>0</v>
      </c>
      <c r="U381" s="644">
        <f t="shared" si="24"/>
        <v>0</v>
      </c>
      <c r="V381" s="643">
        <v>0</v>
      </c>
      <c r="W381" s="643">
        <v>0</v>
      </c>
      <c r="X381" s="643">
        <v>0</v>
      </c>
      <c r="Y381" s="643">
        <v>0</v>
      </c>
    </row>
    <row r="382" spans="1:25" x14ac:dyDescent="0.15">
      <c r="A382" s="642">
        <v>43525</v>
      </c>
      <c r="B382" s="640" t="str">
        <f t="shared" ca="1" si="27"/>
        <v>04</v>
      </c>
      <c r="C382" s="639" t="s">
        <v>358</v>
      </c>
      <c r="D382" s="644">
        <f ca="1">IF(A382="","",IFERROR(GETPIVOTDATA("合計 / 合計",【ピボット】事業所売上!$A$3,"年月",$A382,"事業所コード",$B382,"事業所",$C382),0))</f>
        <v>4931183</v>
      </c>
      <c r="E382" s="643">
        <v>1307473</v>
      </c>
      <c r="F382" s="643">
        <v>720487</v>
      </c>
      <c r="G382" s="643">
        <v>0</v>
      </c>
      <c r="H382" s="643">
        <v>0</v>
      </c>
      <c r="I382" s="643">
        <v>151589</v>
      </c>
      <c r="J382" s="643">
        <v>700</v>
      </c>
      <c r="K382" s="644">
        <f t="shared" si="26"/>
        <v>2180249</v>
      </c>
      <c r="L382" s="643">
        <v>1064856</v>
      </c>
      <c r="M382" s="643">
        <v>0</v>
      </c>
      <c r="N382" s="644">
        <f t="shared" si="23"/>
        <v>1064856</v>
      </c>
      <c r="O382" s="643">
        <v>0</v>
      </c>
      <c r="P382" s="643">
        <v>0</v>
      </c>
      <c r="Q382" s="644">
        <f t="shared" si="28"/>
        <v>0</v>
      </c>
      <c r="R382" s="643">
        <v>0</v>
      </c>
      <c r="S382" s="643">
        <v>0</v>
      </c>
      <c r="T382" s="643">
        <v>0</v>
      </c>
      <c r="U382" s="644">
        <f t="shared" si="24"/>
        <v>0</v>
      </c>
      <c r="V382" s="643">
        <v>0</v>
      </c>
      <c r="W382" s="643">
        <v>0</v>
      </c>
      <c r="X382" s="643">
        <v>0</v>
      </c>
      <c r="Y382" s="643">
        <v>0</v>
      </c>
    </row>
    <row r="383" spans="1:25" x14ac:dyDescent="0.15">
      <c r="A383" s="642">
        <v>43525</v>
      </c>
      <c r="B383" s="640" t="str">
        <f t="shared" ca="1" si="27"/>
        <v>05</v>
      </c>
      <c r="C383" s="639" t="s">
        <v>38</v>
      </c>
      <c r="D383" s="644">
        <f ca="1">IF(A383="","",IFERROR(GETPIVOTDATA("合計 / 合計",【ピボット】事業所売上!$A$3,"年月",$A383,"事業所コード",$B383,"事業所",$C383),0))</f>
        <v>2498262</v>
      </c>
      <c r="E383" s="643">
        <v>1016604</v>
      </c>
      <c r="F383" s="643">
        <v>140000</v>
      </c>
      <c r="G383" s="643">
        <v>0</v>
      </c>
      <c r="H383" s="643">
        <v>150000</v>
      </c>
      <c r="I383" s="643">
        <v>71382</v>
      </c>
      <c r="J383" s="643">
        <v>0</v>
      </c>
      <c r="K383" s="644">
        <f t="shared" si="26"/>
        <v>1377986</v>
      </c>
      <c r="L383" s="643">
        <v>778041</v>
      </c>
      <c r="M383" s="643">
        <v>0</v>
      </c>
      <c r="N383" s="644">
        <f t="shared" si="23"/>
        <v>778041</v>
      </c>
      <c r="O383" s="643">
        <v>0</v>
      </c>
      <c r="P383" s="643">
        <v>0</v>
      </c>
      <c r="Q383" s="644">
        <f t="shared" si="28"/>
        <v>0</v>
      </c>
      <c r="R383" s="643">
        <v>0</v>
      </c>
      <c r="S383" s="643">
        <v>0</v>
      </c>
      <c r="T383" s="643">
        <v>0</v>
      </c>
      <c r="U383" s="644">
        <f t="shared" si="24"/>
        <v>0</v>
      </c>
      <c r="V383" s="643">
        <v>0</v>
      </c>
      <c r="W383" s="643">
        <v>0</v>
      </c>
      <c r="X383" s="643">
        <v>0</v>
      </c>
      <c r="Y383" s="643">
        <v>0</v>
      </c>
    </row>
    <row r="384" spans="1:25" x14ac:dyDescent="0.15">
      <c r="A384" s="642">
        <v>43525</v>
      </c>
      <c r="B384" s="640" t="str">
        <f t="shared" ca="1" si="27"/>
        <v>07</v>
      </c>
      <c r="C384" s="639" t="s">
        <v>119</v>
      </c>
      <c r="D384" s="644">
        <f ca="1">IF(A384="","",IFERROR(GETPIVOTDATA("合計 / 合計",【ピボット】事業所売上!$A$3,"年月",$A384,"事業所コード",$B384,"事業所",$C384),0))</f>
        <v>1027444</v>
      </c>
      <c r="E384" s="643">
        <v>285393</v>
      </c>
      <c r="F384" s="643">
        <v>0</v>
      </c>
      <c r="G384" s="643">
        <v>0</v>
      </c>
      <c r="H384" s="643">
        <v>0</v>
      </c>
      <c r="I384" s="643">
        <v>18155</v>
      </c>
      <c r="J384" s="643">
        <v>0</v>
      </c>
      <c r="K384" s="644">
        <f t="shared" si="26"/>
        <v>303548</v>
      </c>
      <c r="L384" s="643">
        <v>136143</v>
      </c>
      <c r="M384" s="643">
        <v>0</v>
      </c>
      <c r="N384" s="644">
        <f t="shared" si="23"/>
        <v>136143</v>
      </c>
      <c r="O384" s="643">
        <v>0</v>
      </c>
      <c r="P384" s="643">
        <v>0</v>
      </c>
      <c r="Q384" s="644">
        <f t="shared" si="28"/>
        <v>0</v>
      </c>
      <c r="R384" s="643">
        <v>0</v>
      </c>
      <c r="S384" s="643">
        <v>0</v>
      </c>
      <c r="T384" s="643">
        <v>0</v>
      </c>
      <c r="U384" s="644">
        <f t="shared" si="24"/>
        <v>0</v>
      </c>
      <c r="V384" s="643">
        <v>0</v>
      </c>
      <c r="W384" s="643">
        <v>0</v>
      </c>
      <c r="X384" s="643">
        <v>0</v>
      </c>
      <c r="Y384" s="643">
        <v>0</v>
      </c>
    </row>
    <row r="385" spans="1:25" x14ac:dyDescent="0.15">
      <c r="A385" s="642">
        <v>43525</v>
      </c>
      <c r="B385" s="640" t="str">
        <f t="shared" ca="1" si="27"/>
        <v>08</v>
      </c>
      <c r="C385" s="639" t="s">
        <v>189</v>
      </c>
      <c r="D385" s="644">
        <f ca="1">IF(A385="","",IFERROR(GETPIVOTDATA("合計 / 合計",【ピボット】事業所売上!$A$3,"年月",$A385,"事業所コード",$B385,"事業所",$C385),0))</f>
        <v>973793</v>
      </c>
      <c r="E385" s="643">
        <v>219000</v>
      </c>
      <c r="F385" s="643">
        <v>0</v>
      </c>
      <c r="G385" s="643">
        <v>0</v>
      </c>
      <c r="H385" s="643">
        <v>0</v>
      </c>
      <c r="I385" s="643">
        <v>0</v>
      </c>
      <c r="J385" s="643">
        <v>0</v>
      </c>
      <c r="K385" s="644">
        <f t="shared" si="26"/>
        <v>219000</v>
      </c>
      <c r="L385" s="643">
        <v>154379</v>
      </c>
      <c r="M385" s="643">
        <v>0</v>
      </c>
      <c r="N385" s="644">
        <f t="shared" si="23"/>
        <v>154379</v>
      </c>
      <c r="O385" s="643">
        <v>0</v>
      </c>
      <c r="P385" s="643">
        <v>0</v>
      </c>
      <c r="Q385" s="644">
        <f t="shared" si="28"/>
        <v>0</v>
      </c>
      <c r="R385" s="643">
        <v>0</v>
      </c>
      <c r="S385" s="643">
        <v>0</v>
      </c>
      <c r="T385" s="643">
        <v>0</v>
      </c>
      <c r="U385" s="644">
        <f t="shared" si="24"/>
        <v>0</v>
      </c>
      <c r="V385" s="643">
        <v>0</v>
      </c>
      <c r="W385" s="643">
        <v>0</v>
      </c>
      <c r="X385" s="643">
        <v>0</v>
      </c>
      <c r="Y385" s="643">
        <v>0</v>
      </c>
    </row>
    <row r="386" spans="1:25" x14ac:dyDescent="0.15">
      <c r="A386" s="642">
        <v>43525</v>
      </c>
      <c r="B386" s="640" t="str">
        <f t="shared" ca="1" si="27"/>
        <v>09</v>
      </c>
      <c r="C386" s="639" t="s">
        <v>329</v>
      </c>
      <c r="D386" s="644">
        <f ca="1">IF(A386="","",IFERROR(GETPIVOTDATA("合計 / 合計",【ピボット】事業所売上!$A$3,"年月",$A386,"事業所コード",$B386,"事業所",$C386),0))</f>
        <v>1999507</v>
      </c>
      <c r="E386" s="643">
        <v>962010</v>
      </c>
      <c r="F386" s="643">
        <v>498502</v>
      </c>
      <c r="G386" s="643">
        <v>0</v>
      </c>
      <c r="H386" s="643">
        <v>0</v>
      </c>
      <c r="I386" s="643">
        <v>65406</v>
      </c>
      <c r="J386" s="643">
        <v>0</v>
      </c>
      <c r="K386" s="644">
        <f t="shared" si="26"/>
        <v>1525918</v>
      </c>
      <c r="L386" s="643">
        <v>656722</v>
      </c>
      <c r="M386" s="643">
        <v>0</v>
      </c>
      <c r="N386" s="644">
        <f t="shared" si="23"/>
        <v>656722</v>
      </c>
      <c r="O386" s="643">
        <v>0</v>
      </c>
      <c r="P386" s="643">
        <v>0</v>
      </c>
      <c r="Q386" s="644">
        <f t="shared" si="28"/>
        <v>0</v>
      </c>
      <c r="R386" s="643">
        <v>0</v>
      </c>
      <c r="S386" s="643">
        <v>0</v>
      </c>
      <c r="T386" s="643">
        <v>0</v>
      </c>
      <c r="U386" s="644">
        <f t="shared" si="24"/>
        <v>0</v>
      </c>
      <c r="V386" s="643">
        <v>0</v>
      </c>
      <c r="W386" s="643">
        <v>0</v>
      </c>
      <c r="X386" s="643">
        <v>0</v>
      </c>
      <c r="Y386" s="643">
        <v>0</v>
      </c>
    </row>
    <row r="387" spans="1:25" x14ac:dyDescent="0.15">
      <c r="A387" s="642">
        <v>43525</v>
      </c>
      <c r="B387" s="640" t="str">
        <f t="shared" ca="1" si="27"/>
        <v>13</v>
      </c>
      <c r="C387" s="639" t="s">
        <v>1223</v>
      </c>
      <c r="D387" s="644">
        <f ca="1">IF(A387="","",IFERROR(GETPIVOTDATA("合計 / 合計",【ピボット】事業所売上!$A$3,"年月",$A387,"事業所コード",$B387,"事業所",$C387),0))</f>
        <v>1775131</v>
      </c>
      <c r="E387" s="643">
        <v>359200</v>
      </c>
      <c r="F387" s="643">
        <v>150000</v>
      </c>
      <c r="G387" s="643">
        <v>0</v>
      </c>
      <c r="H387" s="643">
        <v>0</v>
      </c>
      <c r="I387" s="643">
        <v>0</v>
      </c>
      <c r="J387" s="643">
        <v>0</v>
      </c>
      <c r="K387" s="644">
        <f t="shared" ref="K387:K450" si="29">IF(A387="","",SUM(E387:J387))</f>
        <v>509200</v>
      </c>
      <c r="L387" s="643">
        <v>133407</v>
      </c>
      <c r="M387" s="643">
        <v>0</v>
      </c>
      <c r="N387" s="644">
        <f t="shared" si="23"/>
        <v>133407</v>
      </c>
      <c r="O387" s="643">
        <v>0</v>
      </c>
      <c r="P387" s="643">
        <v>0</v>
      </c>
      <c r="Q387" s="644">
        <f t="shared" si="28"/>
        <v>0</v>
      </c>
      <c r="R387" s="643">
        <v>0</v>
      </c>
      <c r="S387" s="643">
        <v>0</v>
      </c>
      <c r="T387" s="643">
        <v>0</v>
      </c>
      <c r="U387" s="644">
        <f t="shared" si="24"/>
        <v>0</v>
      </c>
      <c r="V387" s="643">
        <v>0</v>
      </c>
      <c r="W387" s="643">
        <v>0</v>
      </c>
      <c r="X387" s="643">
        <v>0</v>
      </c>
      <c r="Y387" s="643">
        <v>0</v>
      </c>
    </row>
    <row r="388" spans="1:25" x14ac:dyDescent="0.15">
      <c r="A388" s="642">
        <v>43556</v>
      </c>
      <c r="B388" s="640" t="str">
        <f t="shared" ca="1" si="27"/>
        <v>00</v>
      </c>
      <c r="C388" s="639" t="s">
        <v>490</v>
      </c>
      <c r="D388" s="644">
        <f ca="1">IF(A388="","",IFERROR(GETPIVOTDATA("合計 / 合計",【ピボット】事業所売上!$A$3,"年月",$A388,"事業所コード",$B388,"事業所",$C388),0))</f>
        <v>0</v>
      </c>
      <c r="E388" s="643">
        <v>0</v>
      </c>
      <c r="F388" s="643">
        <v>1361630</v>
      </c>
      <c r="G388" s="643">
        <v>0</v>
      </c>
      <c r="H388" s="643">
        <v>3550000</v>
      </c>
      <c r="I388" s="643">
        <v>486301</v>
      </c>
      <c r="J388" s="643">
        <v>16900</v>
      </c>
      <c r="K388" s="644">
        <f t="shared" si="29"/>
        <v>5414831</v>
      </c>
      <c r="L388" s="643">
        <v>2444410</v>
      </c>
      <c r="M388" s="643">
        <v>0</v>
      </c>
      <c r="N388" s="644">
        <f t="shared" ref="N388:N451" si="30">IF(A388="","",SUM(L388:M388))</f>
        <v>2444410</v>
      </c>
      <c r="O388" s="643">
        <v>10800</v>
      </c>
      <c r="P388" s="643">
        <v>0</v>
      </c>
      <c r="Q388" s="644">
        <f t="shared" si="28"/>
        <v>0</v>
      </c>
      <c r="R388" s="643">
        <v>0</v>
      </c>
      <c r="S388" s="643">
        <v>0</v>
      </c>
      <c r="T388" s="643">
        <v>0</v>
      </c>
      <c r="U388" s="644">
        <f t="shared" ref="U388:U451" si="31">IF(A388="","",R388-S388-T388)</f>
        <v>0</v>
      </c>
      <c r="V388" s="643">
        <v>215222</v>
      </c>
      <c r="W388" s="643">
        <v>665619</v>
      </c>
      <c r="X388" s="643">
        <v>0</v>
      </c>
      <c r="Y388" s="643">
        <v>0</v>
      </c>
    </row>
    <row r="389" spans="1:25" x14ac:dyDescent="0.15">
      <c r="A389" s="642">
        <v>43556</v>
      </c>
      <c r="B389" s="640" t="str">
        <f t="shared" ca="1" si="27"/>
        <v>01</v>
      </c>
      <c r="C389" s="639" t="s">
        <v>34</v>
      </c>
      <c r="D389" s="644">
        <f ca="1">IF(A389="","",IFERROR(GETPIVOTDATA("合計 / 合計",【ピボット】事業所売上!$A$3,"年月",$A389,"事業所コード",$B389,"事業所",$C389),0))</f>
        <v>12901588</v>
      </c>
      <c r="E389" s="643">
        <f>3640886+251505</f>
        <v>3892391</v>
      </c>
      <c r="F389" s="643">
        <v>2306540</v>
      </c>
      <c r="G389" s="643">
        <v>0</v>
      </c>
      <c r="H389" s="643"/>
      <c r="I389" s="643">
        <v>343198</v>
      </c>
      <c r="J389" s="643">
        <v>49542</v>
      </c>
      <c r="K389" s="644">
        <f t="shared" si="29"/>
        <v>6591671</v>
      </c>
      <c r="L389" s="643">
        <v>1006425</v>
      </c>
      <c r="M389" s="643">
        <v>61236</v>
      </c>
      <c r="N389" s="644">
        <f t="shared" si="30"/>
        <v>1067661</v>
      </c>
      <c r="O389" s="643">
        <v>0</v>
      </c>
      <c r="P389" s="643">
        <v>0</v>
      </c>
      <c r="Q389" s="644">
        <f t="shared" si="28"/>
        <v>0</v>
      </c>
      <c r="R389" s="643">
        <v>0</v>
      </c>
      <c r="S389" s="643">
        <v>0</v>
      </c>
      <c r="T389" s="643">
        <v>0</v>
      </c>
      <c r="U389" s="644">
        <f t="shared" si="31"/>
        <v>0</v>
      </c>
      <c r="V389" s="643">
        <v>0</v>
      </c>
      <c r="W389" s="643">
        <v>0</v>
      </c>
      <c r="X389" s="643">
        <v>0</v>
      </c>
      <c r="Y389" s="643">
        <v>0</v>
      </c>
    </row>
    <row r="390" spans="1:25" x14ac:dyDescent="0.15">
      <c r="A390" s="642">
        <v>43556</v>
      </c>
      <c r="B390" s="640" t="str">
        <f t="shared" ca="1" si="27"/>
        <v>02</v>
      </c>
      <c r="C390" s="639" t="s">
        <v>37</v>
      </c>
      <c r="D390" s="644">
        <f ca="1">IF(A390="","",IFERROR(GETPIVOTDATA("合計 / 合計",【ピボット】事業所売上!$A$3,"年月",$A390,"事業所コード",$B390,"事業所",$C390),0))</f>
        <v>6262229</v>
      </c>
      <c r="E390" s="643">
        <v>1593804</v>
      </c>
      <c r="F390" s="643">
        <v>1672796</v>
      </c>
      <c r="G390" s="643">
        <v>0</v>
      </c>
      <c r="H390" s="643"/>
      <c r="I390" s="643">
        <v>303004</v>
      </c>
      <c r="J390" s="643">
        <v>15808</v>
      </c>
      <c r="K390" s="644">
        <f t="shared" si="29"/>
        <v>3585412</v>
      </c>
      <c r="L390" s="643">
        <v>946371</v>
      </c>
      <c r="M390" s="643">
        <v>0</v>
      </c>
      <c r="N390" s="644">
        <f t="shared" si="30"/>
        <v>946371</v>
      </c>
      <c r="O390" s="643">
        <v>0</v>
      </c>
      <c r="P390" s="643">
        <v>0</v>
      </c>
      <c r="Q390" s="644">
        <f t="shared" si="28"/>
        <v>0</v>
      </c>
      <c r="R390" s="643">
        <v>0</v>
      </c>
      <c r="S390" s="643">
        <v>0</v>
      </c>
      <c r="T390" s="643">
        <v>0</v>
      </c>
      <c r="U390" s="644">
        <f t="shared" si="31"/>
        <v>0</v>
      </c>
      <c r="V390" s="643">
        <v>0</v>
      </c>
      <c r="W390" s="643">
        <v>0</v>
      </c>
      <c r="X390" s="643">
        <v>0</v>
      </c>
      <c r="Y390" s="643">
        <v>0</v>
      </c>
    </row>
    <row r="391" spans="1:25" x14ac:dyDescent="0.15">
      <c r="A391" s="642">
        <v>43556</v>
      </c>
      <c r="B391" s="640" t="str">
        <f t="shared" ca="1" si="27"/>
        <v>03</v>
      </c>
      <c r="C391" s="639" t="s">
        <v>66</v>
      </c>
      <c r="D391" s="644">
        <f ca="1">IF(A391="","",IFERROR(GETPIVOTDATA("合計 / 合計",【ピボット】事業所売上!$A$3,"年月",$A391,"事業所コード",$B391,"事業所",$C391),0))</f>
        <v>7110420</v>
      </c>
      <c r="E391" s="643">
        <f>2009468+10234</f>
        <v>2019702</v>
      </c>
      <c r="F391" s="643">
        <v>2250088</v>
      </c>
      <c r="G391" s="643">
        <v>0</v>
      </c>
      <c r="H391" s="643"/>
      <c r="I391" s="643">
        <v>358588</v>
      </c>
      <c r="J391" s="643">
        <v>14946</v>
      </c>
      <c r="K391" s="644">
        <f t="shared" si="29"/>
        <v>4643324</v>
      </c>
      <c r="L391" s="643">
        <v>738059</v>
      </c>
      <c r="M391" s="643">
        <v>0</v>
      </c>
      <c r="N391" s="644">
        <f t="shared" si="30"/>
        <v>738059</v>
      </c>
      <c r="O391" s="643">
        <v>0</v>
      </c>
      <c r="P391" s="643">
        <v>0</v>
      </c>
      <c r="Q391" s="644">
        <f t="shared" si="28"/>
        <v>0</v>
      </c>
      <c r="R391" s="643">
        <v>0</v>
      </c>
      <c r="S391" s="643">
        <v>0</v>
      </c>
      <c r="T391" s="643">
        <v>0</v>
      </c>
      <c r="U391" s="644">
        <f t="shared" si="31"/>
        <v>0</v>
      </c>
      <c r="V391" s="643">
        <v>0</v>
      </c>
      <c r="W391" s="643">
        <v>0</v>
      </c>
      <c r="X391" s="643">
        <v>0</v>
      </c>
      <c r="Y391" s="643">
        <v>0</v>
      </c>
    </row>
    <row r="392" spans="1:25" x14ac:dyDescent="0.15">
      <c r="A392" s="642">
        <v>43556</v>
      </c>
      <c r="B392" s="640" t="str">
        <f t="shared" ca="1" si="27"/>
        <v>11</v>
      </c>
      <c r="C392" s="639" t="s">
        <v>967</v>
      </c>
      <c r="D392" s="644">
        <f ca="1">IF(A392="","",IFERROR(GETPIVOTDATA("合計 / 合計",【ピボット】事業所売上!$A$3,"年月",$A392,"事業所コード",$B392,"事業所",$C392),0))</f>
        <v>13148</v>
      </c>
      <c r="E392" s="643">
        <v>0</v>
      </c>
      <c r="F392" s="643">
        <v>0</v>
      </c>
      <c r="G392" s="643">
        <v>0</v>
      </c>
      <c r="H392" s="643"/>
      <c r="I392" s="643">
        <v>0</v>
      </c>
      <c r="J392" s="643">
        <v>0</v>
      </c>
      <c r="K392" s="644">
        <f t="shared" si="29"/>
        <v>0</v>
      </c>
      <c r="L392" s="643">
        <v>275106</v>
      </c>
      <c r="M392" s="643">
        <v>0</v>
      </c>
      <c r="N392" s="644">
        <f t="shared" si="30"/>
        <v>275106</v>
      </c>
      <c r="O392" s="643">
        <v>0</v>
      </c>
      <c r="P392" s="643">
        <v>0</v>
      </c>
      <c r="Q392" s="644">
        <f t="shared" si="28"/>
        <v>0</v>
      </c>
      <c r="R392" s="643">
        <v>0</v>
      </c>
      <c r="S392" s="643">
        <v>0</v>
      </c>
      <c r="T392" s="643">
        <v>0</v>
      </c>
      <c r="U392" s="644">
        <f t="shared" si="31"/>
        <v>0</v>
      </c>
      <c r="V392" s="643">
        <v>0</v>
      </c>
      <c r="W392" s="643">
        <v>0</v>
      </c>
      <c r="X392" s="643">
        <v>0</v>
      </c>
      <c r="Y392" s="643">
        <v>0</v>
      </c>
    </row>
    <row r="393" spans="1:25" x14ac:dyDescent="0.15">
      <c r="A393" s="642">
        <v>43556</v>
      </c>
      <c r="B393" s="640" t="str">
        <f t="shared" ca="1" si="27"/>
        <v>12</v>
      </c>
      <c r="C393" s="639" t="s">
        <v>1143</v>
      </c>
      <c r="D393" s="644">
        <f ca="1">IF(A393="","",IFERROR(GETPIVOTDATA("合計 / 合計",【ピボット】事業所売上!$A$3,"年月",$A393,"事業所コード",$B393,"事業所",$C393),0))</f>
        <v>1905194</v>
      </c>
      <c r="E393" s="643">
        <v>440879</v>
      </c>
      <c r="F393" s="643">
        <v>637172</v>
      </c>
      <c r="G393" s="643">
        <v>0</v>
      </c>
      <c r="H393" s="643"/>
      <c r="I393" s="643">
        <v>95710</v>
      </c>
      <c r="J393" s="643">
        <v>144828</v>
      </c>
      <c r="K393" s="644">
        <f t="shared" si="29"/>
        <v>1318589</v>
      </c>
      <c r="L393" s="643">
        <v>458741</v>
      </c>
      <c r="M393" s="643">
        <v>0</v>
      </c>
      <c r="N393" s="644">
        <f t="shared" si="30"/>
        <v>458741</v>
      </c>
      <c r="O393" s="643">
        <v>0</v>
      </c>
      <c r="P393" s="643">
        <v>0</v>
      </c>
      <c r="Q393" s="644">
        <f t="shared" si="28"/>
        <v>0</v>
      </c>
      <c r="R393" s="643">
        <v>0</v>
      </c>
      <c r="S393" s="643">
        <v>0</v>
      </c>
      <c r="T393" s="643">
        <v>0</v>
      </c>
      <c r="U393" s="644">
        <f t="shared" si="31"/>
        <v>0</v>
      </c>
      <c r="V393" s="643">
        <v>0</v>
      </c>
      <c r="W393" s="643">
        <v>0</v>
      </c>
      <c r="X393" s="643">
        <v>0</v>
      </c>
      <c r="Y393" s="643">
        <v>0</v>
      </c>
    </row>
    <row r="394" spans="1:25" x14ac:dyDescent="0.15">
      <c r="A394" s="642">
        <v>43556</v>
      </c>
      <c r="B394" s="640" t="str">
        <f t="shared" ca="1" si="27"/>
        <v>04</v>
      </c>
      <c r="C394" s="639" t="s">
        <v>358</v>
      </c>
      <c r="D394" s="644">
        <f ca="1">IF(A394="","",IFERROR(GETPIVOTDATA("合計 / 合計",【ピボット】事業所売上!$A$3,"年月",$A394,"事業所コード",$B394,"事業所",$C394),0))</f>
        <v>4425975</v>
      </c>
      <c r="E394" s="643">
        <v>1424258</v>
      </c>
      <c r="F394" s="643">
        <v>719604</v>
      </c>
      <c r="G394" s="643">
        <v>0</v>
      </c>
      <c r="H394" s="643"/>
      <c r="I394" s="643">
        <v>168463</v>
      </c>
      <c r="J394" s="643">
        <v>4000</v>
      </c>
      <c r="K394" s="644">
        <f t="shared" si="29"/>
        <v>2316325</v>
      </c>
      <c r="L394" s="643">
        <v>1085892</v>
      </c>
      <c r="M394" s="643">
        <v>0</v>
      </c>
      <c r="N394" s="644">
        <f t="shared" si="30"/>
        <v>1085892</v>
      </c>
      <c r="O394" s="643">
        <v>0</v>
      </c>
      <c r="P394" s="643">
        <v>0</v>
      </c>
      <c r="Q394" s="644">
        <f t="shared" si="28"/>
        <v>0</v>
      </c>
      <c r="R394" s="643">
        <v>0</v>
      </c>
      <c r="S394" s="643">
        <v>0</v>
      </c>
      <c r="T394" s="643">
        <v>0</v>
      </c>
      <c r="U394" s="644">
        <f t="shared" si="31"/>
        <v>0</v>
      </c>
      <c r="V394" s="643">
        <v>0</v>
      </c>
      <c r="W394" s="643">
        <v>0</v>
      </c>
      <c r="X394" s="643">
        <v>0</v>
      </c>
      <c r="Y394" s="643">
        <v>0</v>
      </c>
    </row>
    <row r="395" spans="1:25" x14ac:dyDescent="0.15">
      <c r="A395" s="642">
        <v>43556</v>
      </c>
      <c r="B395" s="640" t="str">
        <f t="shared" ca="1" si="27"/>
        <v>05</v>
      </c>
      <c r="C395" s="639" t="s">
        <v>38</v>
      </c>
      <c r="D395" s="644">
        <f ca="1">IF(A395="","",IFERROR(GETPIVOTDATA("合計 / 合計",【ピボット】事業所売上!$A$3,"年月",$A395,"事業所コード",$B395,"事業所",$C395),0))</f>
        <v>2462469</v>
      </c>
      <c r="E395" s="643">
        <v>913275</v>
      </c>
      <c r="F395" s="643">
        <v>290000</v>
      </c>
      <c r="G395" s="643">
        <v>0</v>
      </c>
      <c r="H395" s="643">
        <v>150000</v>
      </c>
      <c r="I395" s="643">
        <v>76804</v>
      </c>
      <c r="J395" s="643">
        <v>0</v>
      </c>
      <c r="K395" s="644">
        <f t="shared" si="29"/>
        <v>1430079</v>
      </c>
      <c r="L395" s="643">
        <v>601669</v>
      </c>
      <c r="M395" s="643">
        <v>0</v>
      </c>
      <c r="N395" s="644">
        <f t="shared" si="30"/>
        <v>601669</v>
      </c>
      <c r="O395" s="643">
        <v>0</v>
      </c>
      <c r="P395" s="643">
        <v>0</v>
      </c>
      <c r="Q395" s="644">
        <f t="shared" si="28"/>
        <v>0</v>
      </c>
      <c r="R395" s="643">
        <v>0</v>
      </c>
      <c r="S395" s="643">
        <v>0</v>
      </c>
      <c r="T395" s="643">
        <v>0</v>
      </c>
      <c r="U395" s="644">
        <f t="shared" si="31"/>
        <v>0</v>
      </c>
      <c r="V395" s="643">
        <v>0</v>
      </c>
      <c r="W395" s="643">
        <v>0</v>
      </c>
      <c r="X395" s="643">
        <v>0</v>
      </c>
      <c r="Y395" s="643">
        <v>0</v>
      </c>
    </row>
    <row r="396" spans="1:25" x14ac:dyDescent="0.15">
      <c r="A396" s="642">
        <v>43556</v>
      </c>
      <c r="B396" s="640" t="str">
        <f t="shared" ca="1" si="27"/>
        <v>07</v>
      </c>
      <c r="C396" s="639" t="s">
        <v>119</v>
      </c>
      <c r="D396" s="644">
        <f ca="1">IF(A396="","",IFERROR(GETPIVOTDATA("合計 / 合計",【ピボット】事業所売上!$A$3,"年月",$A396,"事業所コード",$B396,"事業所",$C396),0))</f>
        <v>1077061</v>
      </c>
      <c r="E396" s="643">
        <v>318565</v>
      </c>
      <c r="F396" s="643">
        <v>0</v>
      </c>
      <c r="G396" s="643">
        <v>0</v>
      </c>
      <c r="H396" s="643"/>
      <c r="I396" s="643">
        <v>19866</v>
      </c>
      <c r="J396" s="643">
        <v>0</v>
      </c>
      <c r="K396" s="644">
        <f t="shared" si="29"/>
        <v>338431</v>
      </c>
      <c r="L396" s="643">
        <v>116406</v>
      </c>
      <c r="M396" s="643">
        <v>0</v>
      </c>
      <c r="N396" s="644">
        <f t="shared" si="30"/>
        <v>116406</v>
      </c>
      <c r="O396" s="643">
        <v>0</v>
      </c>
      <c r="P396" s="643">
        <v>0</v>
      </c>
      <c r="Q396" s="644">
        <f t="shared" si="28"/>
        <v>0</v>
      </c>
      <c r="R396" s="643">
        <v>0</v>
      </c>
      <c r="S396" s="643">
        <v>0</v>
      </c>
      <c r="T396" s="643">
        <v>0</v>
      </c>
      <c r="U396" s="644">
        <f t="shared" si="31"/>
        <v>0</v>
      </c>
      <c r="V396" s="643">
        <v>0</v>
      </c>
      <c r="W396" s="643">
        <v>0</v>
      </c>
      <c r="X396" s="643">
        <v>0</v>
      </c>
      <c r="Y396" s="643">
        <v>0</v>
      </c>
    </row>
    <row r="397" spans="1:25" x14ac:dyDescent="0.15">
      <c r="A397" s="642">
        <v>43556</v>
      </c>
      <c r="B397" s="640" t="str">
        <f t="shared" ca="1" si="27"/>
        <v>08</v>
      </c>
      <c r="C397" s="639" t="s">
        <v>189</v>
      </c>
      <c r="D397" s="644">
        <f ca="1">IF(A397="","",IFERROR(GETPIVOTDATA("合計 / 合計",【ピボット】事業所売上!$A$3,"年月",$A397,"事業所コード",$B397,"事業所",$C397),0))</f>
        <v>797482</v>
      </c>
      <c r="E397" s="643">
        <v>209300</v>
      </c>
      <c r="F397" s="643">
        <v>0</v>
      </c>
      <c r="G397" s="643">
        <v>0</v>
      </c>
      <c r="H397" s="643"/>
      <c r="I397" s="643">
        <v>0</v>
      </c>
      <c r="J397" s="643">
        <v>0</v>
      </c>
      <c r="K397" s="644">
        <f t="shared" si="29"/>
        <v>209300</v>
      </c>
      <c r="L397" s="643">
        <v>121870</v>
      </c>
      <c r="M397" s="643">
        <v>0</v>
      </c>
      <c r="N397" s="644">
        <f t="shared" si="30"/>
        <v>121870</v>
      </c>
      <c r="O397" s="643">
        <v>0</v>
      </c>
      <c r="P397" s="643">
        <v>0</v>
      </c>
      <c r="Q397" s="644">
        <f t="shared" si="28"/>
        <v>0</v>
      </c>
      <c r="R397" s="643">
        <v>0</v>
      </c>
      <c r="S397" s="643">
        <v>0</v>
      </c>
      <c r="T397" s="643">
        <v>0</v>
      </c>
      <c r="U397" s="644">
        <f t="shared" si="31"/>
        <v>0</v>
      </c>
      <c r="V397" s="643">
        <v>0</v>
      </c>
      <c r="W397" s="643">
        <v>0</v>
      </c>
      <c r="X397" s="643">
        <v>0</v>
      </c>
      <c r="Y397" s="643">
        <v>0</v>
      </c>
    </row>
    <row r="398" spans="1:25" x14ac:dyDescent="0.15">
      <c r="A398" s="642">
        <v>43556</v>
      </c>
      <c r="B398" s="640" t="str">
        <f t="shared" ca="1" si="27"/>
        <v>09</v>
      </c>
      <c r="C398" s="639" t="s">
        <v>329</v>
      </c>
      <c r="D398" s="644">
        <f ca="1">IF(A398="","",IFERROR(GETPIVOTDATA("合計 / 合計",【ピボット】事業所売上!$A$3,"年月",$A398,"事業所コード",$B398,"事業所",$C398),0))</f>
        <v>2831820</v>
      </c>
      <c r="E398" s="643">
        <v>876775</v>
      </c>
      <c r="F398" s="643">
        <v>502460</v>
      </c>
      <c r="G398" s="643">
        <v>0</v>
      </c>
      <c r="H398" s="643"/>
      <c r="I398" s="643">
        <v>70457</v>
      </c>
      <c r="J398" s="643">
        <v>0</v>
      </c>
      <c r="K398" s="644">
        <f t="shared" si="29"/>
        <v>1449692</v>
      </c>
      <c r="L398" s="643">
        <v>638498</v>
      </c>
      <c r="M398" s="643">
        <v>0</v>
      </c>
      <c r="N398" s="644">
        <f t="shared" si="30"/>
        <v>638498</v>
      </c>
      <c r="O398" s="643">
        <v>0</v>
      </c>
      <c r="P398" s="643">
        <v>0</v>
      </c>
      <c r="Q398" s="644">
        <f t="shared" si="28"/>
        <v>0</v>
      </c>
      <c r="R398" s="643">
        <v>0</v>
      </c>
      <c r="S398" s="643">
        <v>0</v>
      </c>
      <c r="T398" s="643">
        <v>0</v>
      </c>
      <c r="U398" s="644">
        <f t="shared" si="31"/>
        <v>0</v>
      </c>
      <c r="V398" s="643">
        <v>0</v>
      </c>
      <c r="W398" s="643">
        <v>0</v>
      </c>
      <c r="X398" s="643">
        <v>0</v>
      </c>
      <c r="Y398" s="643">
        <v>0</v>
      </c>
    </row>
    <row r="399" spans="1:25" x14ac:dyDescent="0.15">
      <c r="A399" s="642">
        <v>43556</v>
      </c>
      <c r="B399" s="640" t="str">
        <f t="shared" ca="1" si="27"/>
        <v>13</v>
      </c>
      <c r="C399" s="639" t="s">
        <v>1223</v>
      </c>
      <c r="D399" s="644">
        <f ca="1">IF(A399="","",IFERROR(GETPIVOTDATA("合計 / 合計",【ピボット】事業所売上!$A$3,"年月",$A399,"事業所コード",$B399,"事業所",$C399),0))</f>
        <v>2077332</v>
      </c>
      <c r="E399" s="643">
        <v>418350</v>
      </c>
      <c r="F399" s="643">
        <v>0</v>
      </c>
      <c r="G399" s="643">
        <v>0</v>
      </c>
      <c r="H399" s="643"/>
      <c r="I399" s="643">
        <v>0</v>
      </c>
      <c r="J399" s="643">
        <v>0</v>
      </c>
      <c r="K399" s="644">
        <f t="shared" si="29"/>
        <v>418350</v>
      </c>
      <c r="L399" s="643">
        <v>153096</v>
      </c>
      <c r="M399" s="643">
        <v>0</v>
      </c>
      <c r="N399" s="644">
        <f t="shared" si="30"/>
        <v>153096</v>
      </c>
      <c r="O399" s="643">
        <v>0</v>
      </c>
      <c r="P399" s="643">
        <v>0</v>
      </c>
      <c r="Q399" s="644">
        <f t="shared" si="28"/>
        <v>0</v>
      </c>
      <c r="R399" s="643">
        <v>0</v>
      </c>
      <c r="S399" s="643">
        <v>0</v>
      </c>
      <c r="T399" s="643">
        <v>0</v>
      </c>
      <c r="U399" s="644">
        <f t="shared" si="31"/>
        <v>0</v>
      </c>
      <c r="V399" s="643">
        <v>0</v>
      </c>
      <c r="W399" s="643">
        <v>0</v>
      </c>
      <c r="X399" s="643">
        <v>0</v>
      </c>
      <c r="Y399" s="643">
        <v>0</v>
      </c>
    </row>
    <row r="400" spans="1:25" x14ac:dyDescent="0.15">
      <c r="A400" s="642"/>
      <c r="B400" s="640" t="str">
        <f t="shared" si="27"/>
        <v/>
      </c>
      <c r="C400" s="639"/>
      <c r="D400" s="644" t="str">
        <f>IF(A400="","",IFERROR(GETPIVOTDATA("合計 / 合計",【ピボット】事業所売上!$A$3,"年月",$A400,"事業所コード",$B400,"事業所",$C400),0))</f>
        <v/>
      </c>
      <c r="E400" s="643"/>
      <c r="F400" s="643"/>
      <c r="G400" s="643"/>
      <c r="H400" s="643"/>
      <c r="I400" s="643"/>
      <c r="J400" s="643"/>
      <c r="K400" s="644" t="str">
        <f t="shared" si="29"/>
        <v/>
      </c>
      <c r="L400" s="643"/>
      <c r="M400" s="643"/>
      <c r="N400" s="644" t="str">
        <f t="shared" si="30"/>
        <v/>
      </c>
      <c r="O400" s="643"/>
      <c r="P400" s="643"/>
      <c r="Q400" s="644" t="str">
        <f t="shared" si="28"/>
        <v/>
      </c>
      <c r="R400" s="643"/>
      <c r="S400" s="643"/>
      <c r="T400" s="643"/>
      <c r="U400" s="644" t="str">
        <f t="shared" si="31"/>
        <v/>
      </c>
      <c r="V400" s="643"/>
      <c r="W400" s="643"/>
      <c r="X400" s="643"/>
      <c r="Y400" s="643"/>
    </row>
    <row r="401" spans="1:25" x14ac:dyDescent="0.15">
      <c r="A401" s="642"/>
      <c r="B401" s="640" t="str">
        <f t="shared" si="27"/>
        <v/>
      </c>
      <c r="C401" s="639"/>
      <c r="D401" s="644" t="str">
        <f>IF(A401="","",IFERROR(GETPIVOTDATA("合計 / 合計",【ピボット】事業所売上!$A$3,"年月",$A401,"事業所コード",$B401,"事業所",$C401),0))</f>
        <v/>
      </c>
      <c r="E401" s="643"/>
      <c r="F401" s="643"/>
      <c r="G401" s="643"/>
      <c r="H401" s="643"/>
      <c r="I401" s="643"/>
      <c r="J401" s="643"/>
      <c r="K401" s="644" t="str">
        <f t="shared" si="29"/>
        <v/>
      </c>
      <c r="L401" s="643"/>
      <c r="M401" s="643"/>
      <c r="N401" s="644" t="str">
        <f t="shared" si="30"/>
        <v/>
      </c>
      <c r="O401" s="643"/>
      <c r="P401" s="643"/>
      <c r="Q401" s="644" t="str">
        <f t="shared" si="28"/>
        <v/>
      </c>
      <c r="R401" s="643"/>
      <c r="S401" s="643"/>
      <c r="T401" s="643"/>
      <c r="U401" s="644" t="str">
        <f t="shared" si="31"/>
        <v/>
      </c>
      <c r="V401" s="643"/>
      <c r="W401" s="643"/>
      <c r="X401" s="643"/>
      <c r="Y401" s="643"/>
    </row>
    <row r="402" spans="1:25" x14ac:dyDescent="0.15">
      <c r="A402" s="642"/>
      <c r="B402" s="640" t="str">
        <f t="shared" si="27"/>
        <v/>
      </c>
      <c r="C402" s="639"/>
      <c r="D402" s="644" t="str">
        <f>IF(A402="","",IFERROR(GETPIVOTDATA("合計 / 合計",【ピボット】事業所売上!$A$3,"年月",$A402,"事業所コード",$B402,"事業所",$C402),0))</f>
        <v/>
      </c>
      <c r="E402" s="643"/>
      <c r="F402" s="643"/>
      <c r="G402" s="643"/>
      <c r="H402" s="643"/>
      <c r="I402" s="643"/>
      <c r="J402" s="643"/>
      <c r="K402" s="644" t="str">
        <f t="shared" si="29"/>
        <v/>
      </c>
      <c r="L402" s="643"/>
      <c r="M402" s="643"/>
      <c r="N402" s="644" t="str">
        <f t="shared" si="30"/>
        <v/>
      </c>
      <c r="O402" s="643"/>
      <c r="P402" s="643"/>
      <c r="Q402" s="644" t="str">
        <f t="shared" si="28"/>
        <v/>
      </c>
      <c r="R402" s="643"/>
      <c r="S402" s="643"/>
      <c r="T402" s="643"/>
      <c r="U402" s="644" t="str">
        <f t="shared" si="31"/>
        <v/>
      </c>
      <c r="V402" s="643"/>
      <c r="W402" s="643"/>
      <c r="X402" s="643"/>
      <c r="Y402" s="643"/>
    </row>
    <row r="403" spans="1:25" x14ac:dyDescent="0.15">
      <c r="A403" s="642"/>
      <c r="B403" s="640" t="str">
        <f t="shared" si="27"/>
        <v/>
      </c>
      <c r="C403" s="639"/>
      <c r="D403" s="644" t="str">
        <f>IF(A403="","",IFERROR(GETPIVOTDATA("合計 / 合計",【ピボット】事業所売上!$A$3,"年月",$A403,"事業所コード",$B403,"事業所",$C403),0))</f>
        <v/>
      </c>
      <c r="E403" s="643"/>
      <c r="F403" s="643"/>
      <c r="G403" s="643"/>
      <c r="H403" s="643"/>
      <c r="I403" s="643"/>
      <c r="J403" s="643"/>
      <c r="K403" s="644" t="str">
        <f t="shared" si="29"/>
        <v/>
      </c>
      <c r="L403" s="643"/>
      <c r="M403" s="643"/>
      <c r="N403" s="644" t="str">
        <f t="shared" si="30"/>
        <v/>
      </c>
      <c r="O403" s="643"/>
      <c r="P403" s="643"/>
      <c r="Q403" s="644" t="str">
        <f t="shared" si="28"/>
        <v/>
      </c>
      <c r="R403" s="643"/>
      <c r="S403" s="643"/>
      <c r="T403" s="643"/>
      <c r="U403" s="644" t="str">
        <f t="shared" si="31"/>
        <v/>
      </c>
      <c r="V403" s="643"/>
      <c r="W403" s="643"/>
      <c r="X403" s="643"/>
      <c r="Y403" s="643"/>
    </row>
    <row r="404" spans="1:25" x14ac:dyDescent="0.15">
      <c r="A404" s="642"/>
      <c r="B404" s="640" t="str">
        <f t="shared" si="27"/>
        <v/>
      </c>
      <c r="C404" s="639"/>
      <c r="D404" s="644" t="str">
        <f>IF(A404="","",IFERROR(GETPIVOTDATA("合計 / 合計",【ピボット】事業所売上!$A$3,"年月",$A404,"事業所コード",$B404,"事業所",$C404),0))</f>
        <v/>
      </c>
      <c r="E404" s="643"/>
      <c r="F404" s="643"/>
      <c r="G404" s="643"/>
      <c r="H404" s="643"/>
      <c r="I404" s="643"/>
      <c r="J404" s="643"/>
      <c r="K404" s="644" t="str">
        <f t="shared" si="29"/>
        <v/>
      </c>
      <c r="L404" s="643"/>
      <c r="M404" s="643"/>
      <c r="N404" s="644" t="str">
        <f t="shared" si="30"/>
        <v/>
      </c>
      <c r="O404" s="643"/>
      <c r="P404" s="643"/>
      <c r="Q404" s="644" t="str">
        <f t="shared" si="28"/>
        <v/>
      </c>
      <c r="R404" s="643"/>
      <c r="S404" s="643"/>
      <c r="T404" s="643"/>
      <c r="U404" s="644" t="str">
        <f t="shared" si="31"/>
        <v/>
      </c>
      <c r="V404" s="643"/>
      <c r="W404" s="643"/>
      <c r="X404" s="643"/>
      <c r="Y404" s="643"/>
    </row>
    <row r="405" spans="1:25" x14ac:dyDescent="0.15">
      <c r="A405" s="642"/>
      <c r="B405" s="640" t="str">
        <f t="shared" si="27"/>
        <v/>
      </c>
      <c r="C405" s="639"/>
      <c r="D405" s="644" t="str">
        <f>IF(A405="","",IFERROR(GETPIVOTDATA("合計 / 合計",【ピボット】事業所売上!$A$3,"年月",$A405,"事業所コード",$B405,"事業所",$C405),0))</f>
        <v/>
      </c>
      <c r="E405" s="643"/>
      <c r="F405" s="643"/>
      <c r="G405" s="643"/>
      <c r="H405" s="643"/>
      <c r="I405" s="643"/>
      <c r="J405" s="643"/>
      <c r="K405" s="644" t="str">
        <f t="shared" si="29"/>
        <v/>
      </c>
      <c r="L405" s="643"/>
      <c r="M405" s="643"/>
      <c r="N405" s="644" t="str">
        <f t="shared" si="30"/>
        <v/>
      </c>
      <c r="O405" s="643"/>
      <c r="P405" s="643"/>
      <c r="Q405" s="644" t="str">
        <f t="shared" si="28"/>
        <v/>
      </c>
      <c r="R405" s="643"/>
      <c r="S405" s="643"/>
      <c r="T405" s="643"/>
      <c r="U405" s="644" t="str">
        <f t="shared" si="31"/>
        <v/>
      </c>
      <c r="V405" s="643"/>
      <c r="W405" s="643"/>
      <c r="X405" s="643"/>
      <c r="Y405" s="643"/>
    </row>
    <row r="406" spans="1:25" x14ac:dyDescent="0.15">
      <c r="A406" s="642"/>
      <c r="B406" s="640" t="str">
        <f t="shared" si="27"/>
        <v/>
      </c>
      <c r="C406" s="639"/>
      <c r="D406" s="644" t="str">
        <f>IF(A406="","",IFERROR(GETPIVOTDATA("合計 / 合計",【ピボット】事業所売上!$A$3,"年月",$A406,"事業所コード",$B406,"事業所",$C406),0))</f>
        <v/>
      </c>
      <c r="E406" s="643"/>
      <c r="F406" s="643"/>
      <c r="G406" s="643"/>
      <c r="H406" s="643"/>
      <c r="I406" s="643"/>
      <c r="J406" s="643"/>
      <c r="K406" s="644" t="str">
        <f t="shared" si="29"/>
        <v/>
      </c>
      <c r="L406" s="643"/>
      <c r="M406" s="643"/>
      <c r="N406" s="644" t="str">
        <f t="shared" si="30"/>
        <v/>
      </c>
      <c r="O406" s="643"/>
      <c r="P406" s="643"/>
      <c r="Q406" s="644" t="str">
        <f t="shared" si="28"/>
        <v/>
      </c>
      <c r="R406" s="643"/>
      <c r="S406" s="643"/>
      <c r="T406" s="643"/>
      <c r="U406" s="644" t="str">
        <f t="shared" si="31"/>
        <v/>
      </c>
      <c r="V406" s="643"/>
      <c r="W406" s="643"/>
      <c r="X406" s="643"/>
      <c r="Y406" s="643"/>
    </row>
    <row r="407" spans="1:25" x14ac:dyDescent="0.15">
      <c r="A407" s="642"/>
      <c r="B407" s="640" t="str">
        <f t="shared" si="27"/>
        <v/>
      </c>
      <c r="C407" s="639"/>
      <c r="D407" s="644" t="str">
        <f>IF(A407="","",IFERROR(GETPIVOTDATA("合計 / 合計",【ピボット】事業所売上!$A$3,"年月",$A407,"事業所コード",$B407,"事業所",$C407),0))</f>
        <v/>
      </c>
      <c r="E407" s="643"/>
      <c r="F407" s="643"/>
      <c r="G407" s="643"/>
      <c r="H407" s="643"/>
      <c r="I407" s="643"/>
      <c r="J407" s="643"/>
      <c r="K407" s="644" t="str">
        <f t="shared" si="29"/>
        <v/>
      </c>
      <c r="L407" s="643"/>
      <c r="M407" s="643"/>
      <c r="N407" s="644" t="str">
        <f t="shared" si="30"/>
        <v/>
      </c>
      <c r="O407" s="643"/>
      <c r="P407" s="643"/>
      <c r="Q407" s="644" t="str">
        <f t="shared" si="28"/>
        <v/>
      </c>
      <c r="R407" s="643"/>
      <c r="S407" s="643"/>
      <c r="T407" s="643"/>
      <c r="U407" s="644" t="str">
        <f t="shared" si="31"/>
        <v/>
      </c>
      <c r="V407" s="643"/>
      <c r="W407" s="643"/>
      <c r="X407" s="643"/>
      <c r="Y407" s="643"/>
    </row>
    <row r="408" spans="1:25" x14ac:dyDescent="0.15">
      <c r="A408" s="642"/>
      <c r="B408" s="640" t="str">
        <f t="shared" si="27"/>
        <v/>
      </c>
      <c r="C408" s="639"/>
      <c r="D408" s="644" t="str">
        <f>IF(A408="","",IFERROR(GETPIVOTDATA("合計 / 合計",【ピボット】事業所売上!$A$3,"年月",$A408,"事業所コード",$B408,"事業所",$C408),0))</f>
        <v/>
      </c>
      <c r="E408" s="643"/>
      <c r="F408" s="643"/>
      <c r="G408" s="643"/>
      <c r="H408" s="643"/>
      <c r="I408" s="643"/>
      <c r="J408" s="643"/>
      <c r="K408" s="644" t="str">
        <f t="shared" si="29"/>
        <v/>
      </c>
      <c r="L408" s="643"/>
      <c r="M408" s="643"/>
      <c r="N408" s="644" t="str">
        <f t="shared" si="30"/>
        <v/>
      </c>
      <c r="O408" s="643"/>
      <c r="P408" s="643"/>
      <c r="Q408" s="644" t="str">
        <f t="shared" si="28"/>
        <v/>
      </c>
      <c r="R408" s="643"/>
      <c r="S408" s="643"/>
      <c r="T408" s="643"/>
      <c r="U408" s="644" t="str">
        <f t="shared" si="31"/>
        <v/>
      </c>
      <c r="V408" s="643"/>
      <c r="W408" s="643"/>
      <c r="X408" s="643"/>
      <c r="Y408" s="643"/>
    </row>
    <row r="409" spans="1:25" x14ac:dyDescent="0.15">
      <c r="A409" s="642"/>
      <c r="B409" s="640" t="str">
        <f t="shared" si="27"/>
        <v/>
      </c>
      <c r="C409" s="639"/>
      <c r="D409" s="644" t="str">
        <f>IF(A409="","",IFERROR(GETPIVOTDATA("合計 / 合計",【ピボット】事業所売上!$A$3,"年月",$A409,"事業所コード",$B409,"事業所",$C409),0))</f>
        <v/>
      </c>
      <c r="E409" s="643"/>
      <c r="F409" s="643"/>
      <c r="G409" s="643"/>
      <c r="H409" s="643"/>
      <c r="I409" s="643"/>
      <c r="J409" s="643"/>
      <c r="K409" s="644" t="str">
        <f t="shared" si="29"/>
        <v/>
      </c>
      <c r="L409" s="643"/>
      <c r="M409" s="643"/>
      <c r="N409" s="644" t="str">
        <f t="shared" si="30"/>
        <v/>
      </c>
      <c r="O409" s="643"/>
      <c r="P409" s="643"/>
      <c r="Q409" s="644" t="str">
        <f t="shared" si="28"/>
        <v/>
      </c>
      <c r="R409" s="643"/>
      <c r="S409" s="643"/>
      <c r="T409" s="643"/>
      <c r="U409" s="644" t="str">
        <f t="shared" si="31"/>
        <v/>
      </c>
      <c r="V409" s="643"/>
      <c r="W409" s="643"/>
      <c r="X409" s="643"/>
      <c r="Y409" s="643"/>
    </row>
    <row r="410" spans="1:25" x14ac:dyDescent="0.15">
      <c r="A410" s="642"/>
      <c r="B410" s="640" t="str">
        <f t="shared" si="27"/>
        <v/>
      </c>
      <c r="C410" s="639"/>
      <c r="D410" s="644" t="str">
        <f>IF(A410="","",IFERROR(GETPIVOTDATA("合計 / 合計",【ピボット】事業所売上!$A$3,"年月",$A410,"事業所コード",$B410,"事業所",$C410),0))</f>
        <v/>
      </c>
      <c r="E410" s="643"/>
      <c r="F410" s="643"/>
      <c r="G410" s="643"/>
      <c r="H410" s="643"/>
      <c r="I410" s="643"/>
      <c r="J410" s="643"/>
      <c r="K410" s="644" t="str">
        <f t="shared" si="29"/>
        <v/>
      </c>
      <c r="L410" s="643"/>
      <c r="M410" s="643"/>
      <c r="N410" s="644" t="str">
        <f t="shared" si="30"/>
        <v/>
      </c>
      <c r="O410" s="643"/>
      <c r="P410" s="643"/>
      <c r="Q410" s="644" t="str">
        <f t="shared" si="28"/>
        <v/>
      </c>
      <c r="R410" s="643"/>
      <c r="S410" s="643"/>
      <c r="T410" s="643"/>
      <c r="U410" s="644" t="str">
        <f t="shared" si="31"/>
        <v/>
      </c>
      <c r="V410" s="643"/>
      <c r="W410" s="643"/>
      <c r="X410" s="643"/>
      <c r="Y410" s="643"/>
    </row>
    <row r="411" spans="1:25" x14ac:dyDescent="0.15">
      <c r="A411" s="642"/>
      <c r="B411" s="640" t="str">
        <f t="shared" si="27"/>
        <v/>
      </c>
      <c r="C411" s="639"/>
      <c r="D411" s="644" t="str">
        <f>IF(A411="","",IFERROR(GETPIVOTDATA("合計 / 合計",【ピボット】事業所売上!$A$3,"年月",$A411,"事業所コード",$B411,"事業所",$C411),0))</f>
        <v/>
      </c>
      <c r="E411" s="643"/>
      <c r="F411" s="643"/>
      <c r="G411" s="643"/>
      <c r="H411" s="643"/>
      <c r="I411" s="643"/>
      <c r="J411" s="643"/>
      <c r="K411" s="644" t="str">
        <f t="shared" si="29"/>
        <v/>
      </c>
      <c r="L411" s="643"/>
      <c r="M411" s="643"/>
      <c r="N411" s="644" t="str">
        <f t="shared" si="30"/>
        <v/>
      </c>
      <c r="O411" s="643"/>
      <c r="P411" s="643"/>
      <c r="Q411" s="644" t="str">
        <f t="shared" si="28"/>
        <v/>
      </c>
      <c r="R411" s="643"/>
      <c r="S411" s="643"/>
      <c r="T411" s="643"/>
      <c r="U411" s="644" t="str">
        <f t="shared" si="31"/>
        <v/>
      </c>
      <c r="V411" s="643"/>
      <c r="W411" s="643"/>
      <c r="X411" s="643"/>
      <c r="Y411" s="643"/>
    </row>
    <row r="412" spans="1:25" x14ac:dyDescent="0.15">
      <c r="A412" s="642"/>
      <c r="B412" s="640" t="str">
        <f t="shared" si="27"/>
        <v/>
      </c>
      <c r="C412" s="639"/>
      <c r="D412" s="644" t="str">
        <f>IF(A412="","",IFERROR(GETPIVOTDATA("合計 / 合計",【ピボット】事業所売上!$A$3,"年月",$A412,"事業所コード",$B412,"事業所",$C412),0))</f>
        <v/>
      </c>
      <c r="E412" s="643"/>
      <c r="F412" s="643"/>
      <c r="G412" s="643"/>
      <c r="H412" s="643"/>
      <c r="I412" s="643"/>
      <c r="J412" s="643"/>
      <c r="K412" s="644" t="str">
        <f t="shared" si="29"/>
        <v/>
      </c>
      <c r="L412" s="643"/>
      <c r="M412" s="643"/>
      <c r="N412" s="644" t="str">
        <f t="shared" si="30"/>
        <v/>
      </c>
      <c r="O412" s="643"/>
      <c r="P412" s="643"/>
      <c r="Q412" s="644" t="str">
        <f t="shared" si="28"/>
        <v/>
      </c>
      <c r="R412" s="643"/>
      <c r="S412" s="643"/>
      <c r="T412" s="643"/>
      <c r="U412" s="644" t="str">
        <f t="shared" si="31"/>
        <v/>
      </c>
      <c r="V412" s="643"/>
      <c r="W412" s="643"/>
      <c r="X412" s="643"/>
      <c r="Y412" s="643"/>
    </row>
    <row r="413" spans="1:25" x14ac:dyDescent="0.15">
      <c r="A413" s="642"/>
      <c r="B413" s="640" t="str">
        <f t="shared" si="27"/>
        <v/>
      </c>
      <c r="C413" s="639"/>
      <c r="D413" s="644" t="str">
        <f>IF(A413="","",IFERROR(GETPIVOTDATA("合計 / 合計",【ピボット】事業所売上!$A$3,"年月",$A413,"事業所コード",$B413,"事業所",$C413),0))</f>
        <v/>
      </c>
      <c r="E413" s="643"/>
      <c r="F413" s="643"/>
      <c r="G413" s="643"/>
      <c r="H413" s="643"/>
      <c r="I413" s="643"/>
      <c r="J413" s="643"/>
      <c r="K413" s="644" t="str">
        <f t="shared" si="29"/>
        <v/>
      </c>
      <c r="L413" s="643"/>
      <c r="M413" s="643"/>
      <c r="N413" s="644" t="str">
        <f t="shared" si="30"/>
        <v/>
      </c>
      <c r="O413" s="643"/>
      <c r="P413" s="643"/>
      <c r="Q413" s="644" t="str">
        <f t="shared" si="28"/>
        <v/>
      </c>
      <c r="R413" s="643"/>
      <c r="S413" s="643"/>
      <c r="T413" s="643"/>
      <c r="U413" s="644" t="str">
        <f t="shared" si="31"/>
        <v/>
      </c>
      <c r="V413" s="643"/>
      <c r="W413" s="643"/>
      <c r="X413" s="643"/>
      <c r="Y413" s="643"/>
    </row>
    <row r="414" spans="1:25" x14ac:dyDescent="0.15">
      <c r="A414" s="642"/>
      <c r="B414" s="640" t="str">
        <f t="shared" si="27"/>
        <v/>
      </c>
      <c r="C414" s="639"/>
      <c r="D414" s="644" t="str">
        <f>IF(A414="","",IFERROR(GETPIVOTDATA("合計 / 合計",【ピボット】事業所売上!$A$3,"年月",$A414,"事業所コード",$B414,"事業所",$C414),0))</f>
        <v/>
      </c>
      <c r="E414" s="643"/>
      <c r="F414" s="643"/>
      <c r="G414" s="643"/>
      <c r="H414" s="643"/>
      <c r="I414" s="643"/>
      <c r="J414" s="643"/>
      <c r="K414" s="644" t="str">
        <f t="shared" si="29"/>
        <v/>
      </c>
      <c r="L414" s="643"/>
      <c r="M414" s="643"/>
      <c r="N414" s="644" t="str">
        <f t="shared" si="30"/>
        <v/>
      </c>
      <c r="O414" s="643"/>
      <c r="P414" s="643"/>
      <c r="Q414" s="644" t="str">
        <f t="shared" si="28"/>
        <v/>
      </c>
      <c r="R414" s="643"/>
      <c r="S414" s="643"/>
      <c r="T414" s="643"/>
      <c r="U414" s="644" t="str">
        <f t="shared" si="31"/>
        <v/>
      </c>
      <c r="V414" s="643"/>
      <c r="W414" s="643"/>
      <c r="X414" s="643"/>
      <c r="Y414" s="643"/>
    </row>
    <row r="415" spans="1:25" x14ac:dyDescent="0.15">
      <c r="A415" s="642"/>
      <c r="B415" s="640" t="str">
        <f t="shared" si="27"/>
        <v/>
      </c>
      <c r="C415" s="639"/>
      <c r="D415" s="644" t="str">
        <f>IF(A415="","",IFERROR(GETPIVOTDATA("合計 / 合計",【ピボット】事業所売上!$A$3,"年月",$A415,"事業所コード",$B415,"事業所",$C415),0))</f>
        <v/>
      </c>
      <c r="E415" s="643"/>
      <c r="F415" s="643"/>
      <c r="G415" s="643"/>
      <c r="H415" s="643"/>
      <c r="I415" s="643"/>
      <c r="J415" s="643"/>
      <c r="K415" s="644" t="str">
        <f t="shared" si="29"/>
        <v/>
      </c>
      <c r="L415" s="643"/>
      <c r="M415" s="643"/>
      <c r="N415" s="644" t="str">
        <f t="shared" si="30"/>
        <v/>
      </c>
      <c r="O415" s="643"/>
      <c r="P415" s="643"/>
      <c r="Q415" s="644" t="str">
        <f t="shared" si="28"/>
        <v/>
      </c>
      <c r="R415" s="643"/>
      <c r="S415" s="643"/>
      <c r="T415" s="643"/>
      <c r="U415" s="644" t="str">
        <f t="shared" si="31"/>
        <v/>
      </c>
      <c r="V415" s="643"/>
      <c r="W415" s="643"/>
      <c r="X415" s="643"/>
      <c r="Y415" s="643"/>
    </row>
    <row r="416" spans="1:25" x14ac:dyDescent="0.15">
      <c r="A416" s="642"/>
      <c r="B416" s="640" t="str">
        <f t="shared" si="27"/>
        <v/>
      </c>
      <c r="C416" s="639"/>
      <c r="D416" s="644" t="str">
        <f>IF(A416="","",IFERROR(GETPIVOTDATA("合計 / 合計",【ピボット】事業所売上!$A$3,"年月",$A416,"事業所コード",$B416,"事業所",$C416),0))</f>
        <v/>
      </c>
      <c r="E416" s="643"/>
      <c r="F416" s="643"/>
      <c r="G416" s="643"/>
      <c r="H416" s="643"/>
      <c r="I416" s="643"/>
      <c r="J416" s="643"/>
      <c r="K416" s="644" t="str">
        <f t="shared" si="29"/>
        <v/>
      </c>
      <c r="L416" s="643"/>
      <c r="M416" s="643"/>
      <c r="N416" s="644" t="str">
        <f t="shared" si="30"/>
        <v/>
      </c>
      <c r="O416" s="643"/>
      <c r="P416" s="643"/>
      <c r="Q416" s="644" t="str">
        <f t="shared" si="28"/>
        <v/>
      </c>
      <c r="R416" s="643"/>
      <c r="S416" s="643"/>
      <c r="T416" s="643"/>
      <c r="U416" s="644" t="str">
        <f t="shared" si="31"/>
        <v/>
      </c>
      <c r="V416" s="643"/>
      <c r="W416" s="643"/>
      <c r="X416" s="643"/>
      <c r="Y416" s="643"/>
    </row>
    <row r="417" spans="1:25" x14ac:dyDescent="0.15">
      <c r="A417" s="642"/>
      <c r="B417" s="640" t="str">
        <f t="shared" si="27"/>
        <v/>
      </c>
      <c r="C417" s="639"/>
      <c r="D417" s="644" t="str">
        <f>IF(A417="","",IFERROR(GETPIVOTDATA("合計 / 合計",【ピボット】事業所売上!$A$3,"年月",$A417,"事業所コード",$B417,"事業所",$C417),0))</f>
        <v/>
      </c>
      <c r="E417" s="643"/>
      <c r="F417" s="643"/>
      <c r="G417" s="643"/>
      <c r="H417" s="643"/>
      <c r="I417" s="643"/>
      <c r="J417" s="643"/>
      <c r="K417" s="644" t="str">
        <f t="shared" si="29"/>
        <v/>
      </c>
      <c r="L417" s="643"/>
      <c r="M417" s="643"/>
      <c r="N417" s="644" t="str">
        <f t="shared" si="30"/>
        <v/>
      </c>
      <c r="O417" s="643"/>
      <c r="P417" s="643"/>
      <c r="Q417" s="644" t="str">
        <f t="shared" si="28"/>
        <v/>
      </c>
      <c r="R417" s="643"/>
      <c r="S417" s="643"/>
      <c r="T417" s="643"/>
      <c r="U417" s="644" t="str">
        <f t="shared" si="31"/>
        <v/>
      </c>
      <c r="V417" s="643"/>
      <c r="W417" s="643"/>
      <c r="X417" s="643"/>
      <c r="Y417" s="643"/>
    </row>
    <row r="418" spans="1:25" x14ac:dyDescent="0.15">
      <c r="A418" s="642"/>
      <c r="B418" s="640" t="str">
        <f t="shared" si="27"/>
        <v/>
      </c>
      <c r="C418" s="639"/>
      <c r="D418" s="644" t="str">
        <f>IF(A418="","",IFERROR(GETPIVOTDATA("合計 / 合計",【ピボット】事業所売上!$A$3,"年月",$A418,"事業所コード",$B418,"事業所",$C418),0))</f>
        <v/>
      </c>
      <c r="E418" s="643"/>
      <c r="F418" s="643"/>
      <c r="G418" s="643"/>
      <c r="H418" s="643"/>
      <c r="I418" s="643"/>
      <c r="J418" s="643"/>
      <c r="K418" s="644" t="str">
        <f t="shared" si="29"/>
        <v/>
      </c>
      <c r="L418" s="643"/>
      <c r="M418" s="643"/>
      <c r="N418" s="644" t="str">
        <f t="shared" si="30"/>
        <v/>
      </c>
      <c r="O418" s="643"/>
      <c r="P418" s="643"/>
      <c r="Q418" s="644" t="str">
        <f t="shared" si="28"/>
        <v/>
      </c>
      <c r="R418" s="643"/>
      <c r="S418" s="643"/>
      <c r="T418" s="643"/>
      <c r="U418" s="644" t="str">
        <f t="shared" si="31"/>
        <v/>
      </c>
      <c r="V418" s="643"/>
      <c r="W418" s="643"/>
      <c r="X418" s="643"/>
      <c r="Y418" s="643"/>
    </row>
    <row r="419" spans="1:25" x14ac:dyDescent="0.15">
      <c r="A419" s="642"/>
      <c r="B419" s="640" t="str">
        <f t="shared" si="27"/>
        <v/>
      </c>
      <c r="C419" s="639"/>
      <c r="D419" s="644" t="str">
        <f>IF(A419="","",IFERROR(GETPIVOTDATA("合計 / 合計",【ピボット】事業所売上!$A$3,"年月",$A419,"事業所コード",$B419,"事業所",$C419),0))</f>
        <v/>
      </c>
      <c r="E419" s="643"/>
      <c r="F419" s="643"/>
      <c r="G419" s="643"/>
      <c r="H419" s="643"/>
      <c r="I419" s="643"/>
      <c r="J419" s="643"/>
      <c r="K419" s="644" t="str">
        <f t="shared" si="29"/>
        <v/>
      </c>
      <c r="L419" s="643"/>
      <c r="M419" s="643"/>
      <c r="N419" s="644" t="str">
        <f t="shared" si="30"/>
        <v/>
      </c>
      <c r="O419" s="643"/>
      <c r="P419" s="643"/>
      <c r="Q419" s="644" t="str">
        <f t="shared" si="28"/>
        <v/>
      </c>
      <c r="R419" s="643"/>
      <c r="S419" s="643"/>
      <c r="T419" s="643"/>
      <c r="U419" s="644" t="str">
        <f t="shared" si="31"/>
        <v/>
      </c>
      <c r="V419" s="643"/>
      <c r="W419" s="643"/>
      <c r="X419" s="643"/>
      <c r="Y419" s="643"/>
    </row>
    <row r="420" spans="1:25" x14ac:dyDescent="0.15">
      <c r="A420" s="642"/>
      <c r="B420" s="640" t="str">
        <f t="shared" si="27"/>
        <v/>
      </c>
      <c r="C420" s="639"/>
      <c r="D420" s="644" t="str">
        <f>IF(A420="","",IFERROR(GETPIVOTDATA("合計 / 合計",【ピボット】事業所売上!$A$3,"年月",$A420,"事業所コード",$B420,"事業所",$C420),0))</f>
        <v/>
      </c>
      <c r="E420" s="643"/>
      <c r="F420" s="643"/>
      <c r="G420" s="643"/>
      <c r="H420" s="643"/>
      <c r="I420" s="643"/>
      <c r="J420" s="643"/>
      <c r="K420" s="644" t="str">
        <f t="shared" si="29"/>
        <v/>
      </c>
      <c r="L420" s="643"/>
      <c r="M420" s="643"/>
      <c r="N420" s="644" t="str">
        <f t="shared" si="30"/>
        <v/>
      </c>
      <c r="O420" s="643"/>
      <c r="P420" s="643"/>
      <c r="Q420" s="644" t="str">
        <f t="shared" si="28"/>
        <v/>
      </c>
      <c r="R420" s="643"/>
      <c r="S420" s="643"/>
      <c r="T420" s="643"/>
      <c r="U420" s="644" t="str">
        <f t="shared" si="31"/>
        <v/>
      </c>
      <c r="V420" s="643"/>
      <c r="W420" s="643"/>
      <c r="X420" s="643"/>
      <c r="Y420" s="643"/>
    </row>
    <row r="421" spans="1:25" x14ac:dyDescent="0.15">
      <c r="A421" s="642"/>
      <c r="B421" s="640" t="str">
        <f t="shared" si="27"/>
        <v/>
      </c>
      <c r="C421" s="639"/>
      <c r="D421" s="644" t="str">
        <f>IF(A421="","",IFERROR(GETPIVOTDATA("合計 / 合計",【ピボット】事業所売上!$A$3,"年月",$A421,"事業所コード",$B421,"事業所",$C421),0))</f>
        <v/>
      </c>
      <c r="E421" s="643"/>
      <c r="F421" s="643"/>
      <c r="G421" s="643"/>
      <c r="H421" s="643"/>
      <c r="I421" s="643"/>
      <c r="J421" s="643"/>
      <c r="K421" s="644" t="str">
        <f t="shared" si="29"/>
        <v/>
      </c>
      <c r="L421" s="643"/>
      <c r="M421" s="643"/>
      <c r="N421" s="644" t="str">
        <f t="shared" si="30"/>
        <v/>
      </c>
      <c r="O421" s="643"/>
      <c r="P421" s="643"/>
      <c r="Q421" s="644" t="str">
        <f t="shared" si="28"/>
        <v/>
      </c>
      <c r="R421" s="643"/>
      <c r="S421" s="643"/>
      <c r="T421" s="643"/>
      <c r="U421" s="644" t="str">
        <f t="shared" si="31"/>
        <v/>
      </c>
      <c r="V421" s="643"/>
      <c r="W421" s="643"/>
      <c r="X421" s="643"/>
      <c r="Y421" s="643"/>
    </row>
    <row r="422" spans="1:25" x14ac:dyDescent="0.15">
      <c r="A422" s="642"/>
      <c r="B422" s="640" t="str">
        <f t="shared" si="27"/>
        <v/>
      </c>
      <c r="C422" s="639"/>
      <c r="D422" s="644" t="str">
        <f>IF(A422="","",IFERROR(GETPIVOTDATA("合計 / 合計",【ピボット】事業所売上!$A$3,"年月",$A422,"事業所コード",$B422,"事業所",$C422),0))</f>
        <v/>
      </c>
      <c r="E422" s="643"/>
      <c r="F422" s="643"/>
      <c r="G422" s="643"/>
      <c r="H422" s="643"/>
      <c r="I422" s="643"/>
      <c r="J422" s="643"/>
      <c r="K422" s="644" t="str">
        <f t="shared" si="29"/>
        <v/>
      </c>
      <c r="L422" s="643"/>
      <c r="M422" s="643"/>
      <c r="N422" s="644" t="str">
        <f t="shared" si="30"/>
        <v/>
      </c>
      <c r="O422" s="643"/>
      <c r="P422" s="643"/>
      <c r="Q422" s="644" t="str">
        <f t="shared" si="28"/>
        <v/>
      </c>
      <c r="R422" s="643"/>
      <c r="S422" s="643"/>
      <c r="T422" s="643"/>
      <c r="U422" s="644" t="str">
        <f t="shared" si="31"/>
        <v/>
      </c>
      <c r="V422" s="643"/>
      <c r="W422" s="643"/>
      <c r="X422" s="643"/>
      <c r="Y422" s="643"/>
    </row>
    <row r="423" spans="1:25" x14ac:dyDescent="0.15">
      <c r="A423" s="642"/>
      <c r="B423" s="640" t="str">
        <f t="shared" si="27"/>
        <v/>
      </c>
      <c r="C423" s="639"/>
      <c r="D423" s="644" t="str">
        <f>IF(A423="","",IFERROR(GETPIVOTDATA("合計 / 合計",【ピボット】事業所売上!$A$3,"年月",$A423,"事業所コード",$B423,"事業所",$C423),0))</f>
        <v/>
      </c>
      <c r="E423" s="643"/>
      <c r="F423" s="643"/>
      <c r="G423" s="643"/>
      <c r="H423" s="643"/>
      <c r="I423" s="643"/>
      <c r="J423" s="643"/>
      <c r="K423" s="644" t="str">
        <f t="shared" si="29"/>
        <v/>
      </c>
      <c r="L423" s="643"/>
      <c r="M423" s="643"/>
      <c r="N423" s="644" t="str">
        <f t="shared" si="30"/>
        <v/>
      </c>
      <c r="O423" s="643"/>
      <c r="P423" s="643"/>
      <c r="Q423" s="644" t="str">
        <f t="shared" si="28"/>
        <v/>
      </c>
      <c r="R423" s="643"/>
      <c r="S423" s="643"/>
      <c r="T423" s="643"/>
      <c r="U423" s="644" t="str">
        <f t="shared" si="31"/>
        <v/>
      </c>
      <c r="V423" s="643"/>
      <c r="W423" s="643"/>
      <c r="X423" s="643"/>
      <c r="Y423" s="643"/>
    </row>
    <row r="424" spans="1:25" x14ac:dyDescent="0.15">
      <c r="A424" s="642"/>
      <c r="B424" s="640" t="str">
        <f t="shared" si="27"/>
        <v/>
      </c>
      <c r="C424" s="639"/>
      <c r="D424" s="644" t="str">
        <f>IF(A424="","",IFERROR(GETPIVOTDATA("合計 / 合計",【ピボット】事業所売上!$A$3,"年月",$A424,"事業所コード",$B424,"事業所",$C424),0))</f>
        <v/>
      </c>
      <c r="E424" s="643"/>
      <c r="F424" s="643"/>
      <c r="G424" s="643"/>
      <c r="H424" s="643"/>
      <c r="I424" s="643"/>
      <c r="J424" s="643"/>
      <c r="K424" s="644" t="str">
        <f t="shared" si="29"/>
        <v/>
      </c>
      <c r="L424" s="643"/>
      <c r="M424" s="643"/>
      <c r="N424" s="644" t="str">
        <f t="shared" si="30"/>
        <v/>
      </c>
      <c r="O424" s="643"/>
      <c r="P424" s="643"/>
      <c r="Q424" s="644" t="str">
        <f t="shared" si="28"/>
        <v/>
      </c>
      <c r="R424" s="643"/>
      <c r="S424" s="643"/>
      <c r="T424" s="643"/>
      <c r="U424" s="644" t="str">
        <f t="shared" si="31"/>
        <v/>
      </c>
      <c r="V424" s="643"/>
      <c r="W424" s="643"/>
      <c r="X424" s="643"/>
      <c r="Y424" s="643"/>
    </row>
    <row r="425" spans="1:25" x14ac:dyDescent="0.15">
      <c r="A425" s="642"/>
      <c r="B425" s="640" t="str">
        <f t="shared" si="27"/>
        <v/>
      </c>
      <c r="C425" s="639"/>
      <c r="D425" s="644" t="str">
        <f>IF(A425="","",IFERROR(GETPIVOTDATA("合計 / 合計",【ピボット】事業所売上!$A$3,"年月",$A425,"事業所コード",$B425,"事業所",$C425),0))</f>
        <v/>
      </c>
      <c r="E425" s="643"/>
      <c r="F425" s="643"/>
      <c r="G425" s="643"/>
      <c r="H425" s="643"/>
      <c r="I425" s="643"/>
      <c r="J425" s="643"/>
      <c r="K425" s="644" t="str">
        <f t="shared" si="29"/>
        <v/>
      </c>
      <c r="L425" s="643"/>
      <c r="M425" s="643"/>
      <c r="N425" s="644" t="str">
        <f t="shared" si="30"/>
        <v/>
      </c>
      <c r="O425" s="643"/>
      <c r="P425" s="643"/>
      <c r="Q425" s="644" t="str">
        <f t="shared" si="28"/>
        <v/>
      </c>
      <c r="R425" s="643"/>
      <c r="S425" s="643"/>
      <c r="T425" s="643"/>
      <c r="U425" s="644" t="str">
        <f t="shared" si="31"/>
        <v/>
      </c>
      <c r="V425" s="643"/>
      <c r="W425" s="643"/>
      <c r="X425" s="643"/>
      <c r="Y425" s="643"/>
    </row>
    <row r="426" spans="1:25" x14ac:dyDescent="0.15">
      <c r="A426" s="642"/>
      <c r="B426" s="640" t="str">
        <f t="shared" si="27"/>
        <v/>
      </c>
      <c r="C426" s="639"/>
      <c r="D426" s="644" t="str">
        <f>IF(A426="","",IFERROR(GETPIVOTDATA("合計 / 合計",【ピボット】事業所売上!$A$3,"年月",$A426,"事業所コード",$B426,"事業所",$C426),0))</f>
        <v/>
      </c>
      <c r="E426" s="643"/>
      <c r="F426" s="643"/>
      <c r="G426" s="643"/>
      <c r="H426" s="643"/>
      <c r="I426" s="643"/>
      <c r="J426" s="643"/>
      <c r="K426" s="644" t="str">
        <f t="shared" si="29"/>
        <v/>
      </c>
      <c r="L426" s="643"/>
      <c r="M426" s="643"/>
      <c r="N426" s="644" t="str">
        <f t="shared" si="30"/>
        <v/>
      </c>
      <c r="O426" s="643"/>
      <c r="P426" s="643"/>
      <c r="Q426" s="644" t="str">
        <f t="shared" si="28"/>
        <v/>
      </c>
      <c r="R426" s="643"/>
      <c r="S426" s="643"/>
      <c r="T426" s="643"/>
      <c r="U426" s="644" t="str">
        <f t="shared" si="31"/>
        <v/>
      </c>
      <c r="V426" s="643"/>
      <c r="W426" s="643"/>
      <c r="X426" s="643"/>
      <c r="Y426" s="643"/>
    </row>
    <row r="427" spans="1:25" x14ac:dyDescent="0.15">
      <c r="A427" s="642"/>
      <c r="B427" s="640" t="str">
        <f t="shared" si="27"/>
        <v/>
      </c>
      <c r="C427" s="639"/>
      <c r="D427" s="644" t="str">
        <f>IF(A427="","",IFERROR(GETPIVOTDATA("合計 / 合計",【ピボット】事業所売上!$A$3,"年月",$A427,"事業所コード",$B427,"事業所",$C427),0))</f>
        <v/>
      </c>
      <c r="E427" s="643"/>
      <c r="F427" s="643"/>
      <c r="G427" s="643"/>
      <c r="H427" s="643"/>
      <c r="I427" s="643"/>
      <c r="J427" s="643"/>
      <c r="K427" s="644" t="str">
        <f t="shared" si="29"/>
        <v/>
      </c>
      <c r="L427" s="643"/>
      <c r="M427" s="643"/>
      <c r="N427" s="644" t="str">
        <f t="shared" si="30"/>
        <v/>
      </c>
      <c r="O427" s="643"/>
      <c r="P427" s="643"/>
      <c r="Q427" s="644" t="str">
        <f t="shared" si="28"/>
        <v/>
      </c>
      <c r="R427" s="643"/>
      <c r="S427" s="643"/>
      <c r="T427" s="643"/>
      <c r="U427" s="644" t="str">
        <f t="shared" si="31"/>
        <v/>
      </c>
      <c r="V427" s="643"/>
      <c r="W427" s="643"/>
      <c r="X427" s="643"/>
      <c r="Y427" s="643"/>
    </row>
    <row r="428" spans="1:25" x14ac:dyDescent="0.15">
      <c r="A428" s="642"/>
      <c r="B428" s="640" t="str">
        <f t="shared" si="27"/>
        <v/>
      </c>
      <c r="C428" s="639"/>
      <c r="D428" s="644" t="str">
        <f>IF(A428="","",IFERROR(GETPIVOTDATA("合計 / 合計",【ピボット】事業所売上!$A$3,"年月",$A428,"事業所コード",$B428,"事業所",$C428),0))</f>
        <v/>
      </c>
      <c r="E428" s="643"/>
      <c r="F428" s="643"/>
      <c r="G428" s="643"/>
      <c r="H428" s="643"/>
      <c r="I428" s="643"/>
      <c r="J428" s="643"/>
      <c r="K428" s="644" t="str">
        <f t="shared" si="29"/>
        <v/>
      </c>
      <c r="L428" s="643"/>
      <c r="M428" s="643"/>
      <c r="N428" s="644" t="str">
        <f t="shared" si="30"/>
        <v/>
      </c>
      <c r="O428" s="643"/>
      <c r="P428" s="643"/>
      <c r="Q428" s="644" t="str">
        <f t="shared" si="28"/>
        <v/>
      </c>
      <c r="R428" s="643"/>
      <c r="S428" s="643"/>
      <c r="T428" s="643"/>
      <c r="U428" s="644" t="str">
        <f t="shared" si="31"/>
        <v/>
      </c>
      <c r="V428" s="643"/>
      <c r="W428" s="643"/>
      <c r="X428" s="643"/>
      <c r="Y428" s="643"/>
    </row>
    <row r="429" spans="1:25" x14ac:dyDescent="0.15">
      <c r="A429" s="642"/>
      <c r="B429" s="640" t="str">
        <f t="shared" si="27"/>
        <v/>
      </c>
      <c r="C429" s="639"/>
      <c r="D429" s="644" t="str">
        <f>IF(A429="","",IFERROR(GETPIVOTDATA("合計 / 合計",【ピボット】事業所売上!$A$3,"年月",$A429,"事業所コード",$B429,"事業所",$C429),0))</f>
        <v/>
      </c>
      <c r="E429" s="643"/>
      <c r="F429" s="643"/>
      <c r="G429" s="643"/>
      <c r="H429" s="643"/>
      <c r="I429" s="643"/>
      <c r="J429" s="643"/>
      <c r="K429" s="644" t="str">
        <f t="shared" si="29"/>
        <v/>
      </c>
      <c r="L429" s="643"/>
      <c r="M429" s="643"/>
      <c r="N429" s="644" t="str">
        <f t="shared" si="30"/>
        <v/>
      </c>
      <c r="O429" s="643"/>
      <c r="P429" s="643"/>
      <c r="Q429" s="644" t="str">
        <f t="shared" si="28"/>
        <v/>
      </c>
      <c r="R429" s="643"/>
      <c r="S429" s="643"/>
      <c r="T429" s="643"/>
      <c r="U429" s="644" t="str">
        <f t="shared" si="31"/>
        <v/>
      </c>
      <c r="V429" s="643"/>
      <c r="W429" s="643"/>
      <c r="X429" s="643"/>
      <c r="Y429" s="643"/>
    </row>
    <row r="430" spans="1:25" x14ac:dyDescent="0.15">
      <c r="A430" s="642"/>
      <c r="B430" s="640" t="str">
        <f t="shared" si="27"/>
        <v/>
      </c>
      <c r="C430" s="639"/>
      <c r="D430" s="644" t="str">
        <f>IF(A430="","",IFERROR(GETPIVOTDATA("合計 / 合計",【ピボット】事業所売上!$A$3,"年月",$A430,"事業所コード",$B430,"事業所",$C430),0))</f>
        <v/>
      </c>
      <c r="E430" s="643"/>
      <c r="F430" s="643"/>
      <c r="G430" s="643"/>
      <c r="H430" s="643"/>
      <c r="I430" s="643"/>
      <c r="J430" s="643"/>
      <c r="K430" s="644" t="str">
        <f t="shared" si="29"/>
        <v/>
      </c>
      <c r="L430" s="643"/>
      <c r="M430" s="643"/>
      <c r="N430" s="644" t="str">
        <f t="shared" si="30"/>
        <v/>
      </c>
      <c r="O430" s="643"/>
      <c r="P430" s="643"/>
      <c r="Q430" s="644" t="str">
        <f t="shared" si="28"/>
        <v/>
      </c>
      <c r="R430" s="643"/>
      <c r="S430" s="643"/>
      <c r="T430" s="643"/>
      <c r="U430" s="644" t="str">
        <f t="shared" si="31"/>
        <v/>
      </c>
      <c r="V430" s="643"/>
      <c r="W430" s="643"/>
      <c r="X430" s="643"/>
      <c r="Y430" s="643"/>
    </row>
    <row r="431" spans="1:25" x14ac:dyDescent="0.15">
      <c r="A431" s="642"/>
      <c r="B431" s="640" t="str">
        <f t="shared" ref="B431:B494" si="32">IF(C431="","",VLOOKUP(C431,事業所コード2,2,FALSE))</f>
        <v/>
      </c>
      <c r="C431" s="639"/>
      <c r="D431" s="644" t="str">
        <f>IF(A431="","",IFERROR(GETPIVOTDATA("合計 / 合計",【ピボット】事業所売上!$A$3,"年月",$A431,"事業所コード",$B431,"事業所",$C431),0))</f>
        <v/>
      </c>
      <c r="E431" s="643"/>
      <c r="F431" s="643"/>
      <c r="G431" s="643"/>
      <c r="H431" s="643"/>
      <c r="I431" s="643"/>
      <c r="J431" s="643"/>
      <c r="K431" s="644" t="str">
        <f t="shared" si="29"/>
        <v/>
      </c>
      <c r="L431" s="643"/>
      <c r="M431" s="643"/>
      <c r="N431" s="644" t="str">
        <f t="shared" si="30"/>
        <v/>
      </c>
      <c r="O431" s="643"/>
      <c r="P431" s="643"/>
      <c r="Q431" s="644" t="str">
        <f t="shared" si="28"/>
        <v/>
      </c>
      <c r="R431" s="643"/>
      <c r="S431" s="643"/>
      <c r="T431" s="643"/>
      <c r="U431" s="644" t="str">
        <f t="shared" si="31"/>
        <v/>
      </c>
      <c r="V431" s="643"/>
      <c r="W431" s="643"/>
      <c r="X431" s="643"/>
      <c r="Y431" s="643"/>
    </row>
    <row r="432" spans="1:25" x14ac:dyDescent="0.15">
      <c r="A432" s="642"/>
      <c r="B432" s="640" t="str">
        <f t="shared" si="32"/>
        <v/>
      </c>
      <c r="C432" s="639"/>
      <c r="D432" s="644" t="str">
        <f>IF(A432="","",IFERROR(GETPIVOTDATA("合計 / 合計",【ピボット】事業所売上!$A$3,"年月",$A432,"事業所コード",$B432,"事業所",$C432),0))</f>
        <v/>
      </c>
      <c r="E432" s="643"/>
      <c r="F432" s="643"/>
      <c r="G432" s="643"/>
      <c r="H432" s="643"/>
      <c r="I432" s="643"/>
      <c r="J432" s="643"/>
      <c r="K432" s="644" t="str">
        <f t="shared" si="29"/>
        <v/>
      </c>
      <c r="L432" s="643"/>
      <c r="M432" s="643"/>
      <c r="N432" s="644" t="str">
        <f t="shared" si="30"/>
        <v/>
      </c>
      <c r="O432" s="643"/>
      <c r="P432" s="643"/>
      <c r="Q432" s="644" t="str">
        <f t="shared" si="28"/>
        <v/>
      </c>
      <c r="R432" s="643"/>
      <c r="S432" s="643"/>
      <c r="T432" s="643"/>
      <c r="U432" s="644" t="str">
        <f t="shared" si="31"/>
        <v/>
      </c>
      <c r="V432" s="643"/>
      <c r="W432" s="643"/>
      <c r="X432" s="643"/>
      <c r="Y432" s="643"/>
    </row>
    <row r="433" spans="1:25" x14ac:dyDescent="0.15">
      <c r="A433" s="642"/>
      <c r="B433" s="640" t="str">
        <f t="shared" si="32"/>
        <v/>
      </c>
      <c r="C433" s="639"/>
      <c r="D433" s="644" t="str">
        <f>IF(A433="","",IFERROR(GETPIVOTDATA("合計 / 合計",【ピボット】事業所売上!$A$3,"年月",$A433,"事業所コード",$B433,"事業所",$C433),0))</f>
        <v/>
      </c>
      <c r="E433" s="643"/>
      <c r="F433" s="643"/>
      <c r="G433" s="643"/>
      <c r="H433" s="643"/>
      <c r="I433" s="643"/>
      <c r="J433" s="643"/>
      <c r="K433" s="644" t="str">
        <f t="shared" si="29"/>
        <v/>
      </c>
      <c r="L433" s="643"/>
      <c r="M433" s="643"/>
      <c r="N433" s="644" t="str">
        <f t="shared" si="30"/>
        <v/>
      </c>
      <c r="O433" s="643"/>
      <c r="P433" s="643"/>
      <c r="Q433" s="644" t="str">
        <f t="shared" si="28"/>
        <v/>
      </c>
      <c r="R433" s="643"/>
      <c r="S433" s="643"/>
      <c r="T433" s="643"/>
      <c r="U433" s="644" t="str">
        <f t="shared" si="31"/>
        <v/>
      </c>
      <c r="V433" s="643"/>
      <c r="W433" s="643"/>
      <c r="X433" s="643"/>
      <c r="Y433" s="643"/>
    </row>
    <row r="434" spans="1:25" x14ac:dyDescent="0.15">
      <c r="A434" s="642"/>
      <c r="B434" s="640" t="str">
        <f t="shared" si="32"/>
        <v/>
      </c>
      <c r="C434" s="639"/>
      <c r="D434" s="644" t="str">
        <f>IF(A434="","",IFERROR(GETPIVOTDATA("合計 / 合計",【ピボット】事業所売上!$A$3,"年月",$A434,"事業所コード",$B434,"事業所",$C434),0))</f>
        <v/>
      </c>
      <c r="E434" s="643"/>
      <c r="F434" s="643"/>
      <c r="G434" s="643"/>
      <c r="H434" s="643"/>
      <c r="I434" s="643"/>
      <c r="J434" s="643"/>
      <c r="K434" s="644" t="str">
        <f t="shared" si="29"/>
        <v/>
      </c>
      <c r="L434" s="643"/>
      <c r="M434" s="643"/>
      <c r="N434" s="644" t="str">
        <f t="shared" si="30"/>
        <v/>
      </c>
      <c r="O434" s="643"/>
      <c r="P434" s="643"/>
      <c r="Q434" s="644" t="str">
        <f t="shared" si="28"/>
        <v/>
      </c>
      <c r="R434" s="643"/>
      <c r="S434" s="643"/>
      <c r="T434" s="643"/>
      <c r="U434" s="644" t="str">
        <f t="shared" si="31"/>
        <v/>
      </c>
      <c r="V434" s="643"/>
      <c r="W434" s="643"/>
      <c r="X434" s="643"/>
      <c r="Y434" s="643"/>
    </row>
    <row r="435" spans="1:25" x14ac:dyDescent="0.15">
      <c r="A435" s="642"/>
      <c r="B435" s="640" t="str">
        <f t="shared" si="32"/>
        <v/>
      </c>
      <c r="C435" s="639"/>
      <c r="D435" s="644" t="str">
        <f>IF(A435="","",IFERROR(GETPIVOTDATA("合計 / 合計",【ピボット】事業所売上!$A$3,"年月",$A435,"事業所コード",$B435,"事業所",$C435),0))</f>
        <v/>
      </c>
      <c r="E435" s="643"/>
      <c r="F435" s="643"/>
      <c r="G435" s="643"/>
      <c r="H435" s="643"/>
      <c r="I435" s="643"/>
      <c r="J435" s="643"/>
      <c r="K435" s="644" t="str">
        <f t="shared" si="29"/>
        <v/>
      </c>
      <c r="L435" s="643"/>
      <c r="M435" s="643"/>
      <c r="N435" s="644" t="str">
        <f t="shared" si="30"/>
        <v/>
      </c>
      <c r="O435" s="643"/>
      <c r="P435" s="643"/>
      <c r="Q435" s="644" t="str">
        <f t="shared" si="28"/>
        <v/>
      </c>
      <c r="R435" s="643"/>
      <c r="S435" s="643"/>
      <c r="T435" s="643"/>
      <c r="U435" s="644" t="str">
        <f t="shared" si="31"/>
        <v/>
      </c>
      <c r="V435" s="643"/>
      <c r="W435" s="643"/>
      <c r="X435" s="643"/>
      <c r="Y435" s="643"/>
    </row>
    <row r="436" spans="1:25" x14ac:dyDescent="0.15">
      <c r="A436" s="642"/>
      <c r="B436" s="640" t="str">
        <f t="shared" si="32"/>
        <v/>
      </c>
      <c r="C436" s="639"/>
      <c r="D436" s="644" t="str">
        <f>IF(A436="","",IFERROR(GETPIVOTDATA("合計 / 合計",【ピボット】事業所売上!$A$3,"年月",$A436,"事業所コード",$B436,"事業所",$C436),0))</f>
        <v/>
      </c>
      <c r="E436" s="643"/>
      <c r="F436" s="643"/>
      <c r="G436" s="643"/>
      <c r="H436" s="643"/>
      <c r="I436" s="643"/>
      <c r="J436" s="643"/>
      <c r="K436" s="644" t="str">
        <f t="shared" si="29"/>
        <v/>
      </c>
      <c r="L436" s="643"/>
      <c r="M436" s="643"/>
      <c r="N436" s="644" t="str">
        <f t="shared" si="30"/>
        <v/>
      </c>
      <c r="O436" s="643"/>
      <c r="P436" s="643"/>
      <c r="Q436" s="644" t="str">
        <f t="shared" si="28"/>
        <v/>
      </c>
      <c r="R436" s="643"/>
      <c r="S436" s="643"/>
      <c r="T436" s="643"/>
      <c r="U436" s="644" t="str">
        <f t="shared" si="31"/>
        <v/>
      </c>
      <c r="V436" s="643"/>
      <c r="W436" s="643"/>
      <c r="X436" s="643"/>
      <c r="Y436" s="643"/>
    </row>
    <row r="437" spans="1:25" x14ac:dyDescent="0.15">
      <c r="A437" s="642"/>
      <c r="B437" s="640" t="str">
        <f t="shared" si="32"/>
        <v/>
      </c>
      <c r="C437" s="639"/>
      <c r="D437" s="644" t="str">
        <f>IF(A437="","",IFERROR(GETPIVOTDATA("合計 / 合計",【ピボット】事業所売上!$A$3,"年月",$A437,"事業所コード",$B437,"事業所",$C437),0))</f>
        <v/>
      </c>
      <c r="E437" s="643"/>
      <c r="F437" s="643"/>
      <c r="G437" s="643"/>
      <c r="H437" s="643"/>
      <c r="I437" s="643"/>
      <c r="J437" s="643"/>
      <c r="K437" s="644" t="str">
        <f t="shared" si="29"/>
        <v/>
      </c>
      <c r="L437" s="643"/>
      <c r="M437" s="643"/>
      <c r="N437" s="644" t="str">
        <f t="shared" si="30"/>
        <v/>
      </c>
      <c r="O437" s="643"/>
      <c r="P437" s="643"/>
      <c r="Q437" s="644" t="str">
        <f t="shared" si="28"/>
        <v/>
      </c>
      <c r="R437" s="643"/>
      <c r="S437" s="643"/>
      <c r="T437" s="643"/>
      <c r="U437" s="644" t="str">
        <f t="shared" si="31"/>
        <v/>
      </c>
      <c r="V437" s="643"/>
      <c r="W437" s="643"/>
      <c r="X437" s="643"/>
      <c r="Y437" s="643"/>
    </row>
    <row r="438" spans="1:25" x14ac:dyDescent="0.15">
      <c r="A438" s="642"/>
      <c r="B438" s="640" t="str">
        <f t="shared" si="32"/>
        <v/>
      </c>
      <c r="C438" s="639"/>
      <c r="D438" s="644" t="str">
        <f>IF(A438="","",IFERROR(GETPIVOTDATA("合計 / 合計",【ピボット】事業所売上!$A$3,"年月",$A438,"事業所コード",$B438,"事業所",$C438),0))</f>
        <v/>
      </c>
      <c r="E438" s="643"/>
      <c r="F438" s="643"/>
      <c r="G438" s="643"/>
      <c r="H438" s="643"/>
      <c r="I438" s="643"/>
      <c r="J438" s="643"/>
      <c r="K438" s="644" t="str">
        <f t="shared" si="29"/>
        <v/>
      </c>
      <c r="L438" s="643"/>
      <c r="M438" s="643"/>
      <c r="N438" s="644" t="str">
        <f t="shared" si="30"/>
        <v/>
      </c>
      <c r="O438" s="643"/>
      <c r="P438" s="643"/>
      <c r="Q438" s="644" t="str">
        <f t="shared" si="28"/>
        <v/>
      </c>
      <c r="R438" s="643"/>
      <c r="S438" s="643"/>
      <c r="T438" s="643"/>
      <c r="U438" s="644" t="str">
        <f t="shared" si="31"/>
        <v/>
      </c>
      <c r="V438" s="643"/>
      <c r="W438" s="643"/>
      <c r="X438" s="643"/>
      <c r="Y438" s="643"/>
    </row>
    <row r="439" spans="1:25" x14ac:dyDescent="0.15">
      <c r="A439" s="642"/>
      <c r="B439" s="640" t="str">
        <f t="shared" si="32"/>
        <v/>
      </c>
      <c r="C439" s="639"/>
      <c r="D439" s="644" t="str">
        <f>IF(A439="","",IFERROR(GETPIVOTDATA("合計 / 合計",【ピボット】事業所売上!$A$3,"年月",$A439,"事業所コード",$B439,"事業所",$C439),0))</f>
        <v/>
      </c>
      <c r="E439" s="643"/>
      <c r="F439" s="643"/>
      <c r="G439" s="643"/>
      <c r="H439" s="643"/>
      <c r="I439" s="643"/>
      <c r="J439" s="643"/>
      <c r="K439" s="644" t="str">
        <f t="shared" si="29"/>
        <v/>
      </c>
      <c r="L439" s="643"/>
      <c r="M439" s="643"/>
      <c r="N439" s="644" t="str">
        <f t="shared" si="30"/>
        <v/>
      </c>
      <c r="O439" s="643"/>
      <c r="P439" s="643"/>
      <c r="Q439" s="644" t="str">
        <f t="shared" si="28"/>
        <v/>
      </c>
      <c r="R439" s="643"/>
      <c r="S439" s="643"/>
      <c r="T439" s="643"/>
      <c r="U439" s="644" t="str">
        <f t="shared" si="31"/>
        <v/>
      </c>
      <c r="V439" s="643"/>
      <c r="W439" s="643"/>
      <c r="X439" s="643"/>
      <c r="Y439" s="643"/>
    </row>
    <row r="440" spans="1:25" x14ac:dyDescent="0.15">
      <c r="A440" s="642"/>
      <c r="B440" s="640" t="str">
        <f t="shared" si="32"/>
        <v/>
      </c>
      <c r="C440" s="639"/>
      <c r="D440" s="644" t="str">
        <f>IF(A440="","",IFERROR(GETPIVOTDATA("合計 / 合計",【ピボット】事業所売上!$A$3,"年月",$A440,"事業所コード",$B440,"事業所",$C440),0))</f>
        <v/>
      </c>
      <c r="E440" s="643"/>
      <c r="F440" s="643"/>
      <c r="G440" s="643"/>
      <c r="H440" s="643"/>
      <c r="I440" s="643"/>
      <c r="J440" s="643"/>
      <c r="K440" s="644" t="str">
        <f t="shared" si="29"/>
        <v/>
      </c>
      <c r="L440" s="643"/>
      <c r="M440" s="643"/>
      <c r="N440" s="644" t="str">
        <f t="shared" si="30"/>
        <v/>
      </c>
      <c r="O440" s="643"/>
      <c r="P440" s="643"/>
      <c r="Q440" s="644" t="str">
        <f t="shared" si="28"/>
        <v/>
      </c>
      <c r="R440" s="643"/>
      <c r="S440" s="643"/>
      <c r="T440" s="643"/>
      <c r="U440" s="644" t="str">
        <f t="shared" si="31"/>
        <v/>
      </c>
      <c r="V440" s="643"/>
      <c r="W440" s="643"/>
      <c r="X440" s="643"/>
      <c r="Y440" s="643"/>
    </row>
    <row r="441" spans="1:25" x14ac:dyDescent="0.15">
      <c r="A441" s="642"/>
      <c r="B441" s="640" t="str">
        <f t="shared" si="32"/>
        <v/>
      </c>
      <c r="C441" s="639"/>
      <c r="D441" s="644" t="str">
        <f>IF(A441="","",IFERROR(GETPIVOTDATA("合計 / 合計",【ピボット】事業所売上!$A$3,"年月",$A441,"事業所コード",$B441,"事業所",$C441),0))</f>
        <v/>
      </c>
      <c r="E441" s="643"/>
      <c r="F441" s="643"/>
      <c r="G441" s="643"/>
      <c r="H441" s="643"/>
      <c r="I441" s="643"/>
      <c r="J441" s="643"/>
      <c r="K441" s="644" t="str">
        <f t="shared" si="29"/>
        <v/>
      </c>
      <c r="L441" s="643"/>
      <c r="M441" s="643"/>
      <c r="N441" s="644" t="str">
        <f t="shared" si="30"/>
        <v/>
      </c>
      <c r="O441" s="643"/>
      <c r="P441" s="643"/>
      <c r="Q441" s="644" t="str">
        <f t="shared" si="28"/>
        <v/>
      </c>
      <c r="R441" s="643"/>
      <c r="S441" s="643"/>
      <c r="T441" s="643"/>
      <c r="U441" s="644" t="str">
        <f t="shared" si="31"/>
        <v/>
      </c>
      <c r="V441" s="643"/>
      <c r="W441" s="643"/>
      <c r="X441" s="643"/>
      <c r="Y441" s="643"/>
    </row>
    <row r="442" spans="1:25" x14ac:dyDescent="0.15">
      <c r="A442" s="642"/>
      <c r="B442" s="640" t="str">
        <f t="shared" si="32"/>
        <v/>
      </c>
      <c r="C442" s="639"/>
      <c r="D442" s="644" t="str">
        <f>IF(A442="","",IFERROR(GETPIVOTDATA("合計 / 合計",【ピボット】事業所売上!$A$3,"年月",$A442,"事業所コード",$B442,"事業所",$C442),0))</f>
        <v/>
      </c>
      <c r="E442" s="643"/>
      <c r="F442" s="643"/>
      <c r="G442" s="643"/>
      <c r="H442" s="643"/>
      <c r="I442" s="643"/>
      <c r="J442" s="643"/>
      <c r="K442" s="644" t="str">
        <f t="shared" si="29"/>
        <v/>
      </c>
      <c r="L442" s="643"/>
      <c r="M442" s="643"/>
      <c r="N442" s="644" t="str">
        <f t="shared" si="30"/>
        <v/>
      </c>
      <c r="O442" s="643"/>
      <c r="P442" s="643"/>
      <c r="Q442" s="644" t="str">
        <f t="shared" si="28"/>
        <v/>
      </c>
      <c r="R442" s="643"/>
      <c r="S442" s="643"/>
      <c r="T442" s="643"/>
      <c r="U442" s="644" t="str">
        <f t="shared" si="31"/>
        <v/>
      </c>
      <c r="V442" s="643"/>
      <c r="W442" s="643"/>
      <c r="X442" s="643"/>
      <c r="Y442" s="643"/>
    </row>
    <row r="443" spans="1:25" x14ac:dyDescent="0.15">
      <c r="A443" s="642"/>
      <c r="B443" s="640" t="str">
        <f t="shared" si="32"/>
        <v/>
      </c>
      <c r="C443" s="639"/>
      <c r="D443" s="644" t="str">
        <f>IF(A443="","",IFERROR(GETPIVOTDATA("合計 / 合計",【ピボット】事業所売上!$A$3,"年月",$A443,"事業所コード",$B443,"事業所",$C443),0))</f>
        <v/>
      </c>
      <c r="E443" s="643"/>
      <c r="F443" s="643"/>
      <c r="G443" s="643"/>
      <c r="H443" s="643"/>
      <c r="I443" s="643"/>
      <c r="J443" s="643"/>
      <c r="K443" s="644" t="str">
        <f t="shared" si="29"/>
        <v/>
      </c>
      <c r="L443" s="643"/>
      <c r="M443" s="643"/>
      <c r="N443" s="644" t="str">
        <f t="shared" si="30"/>
        <v/>
      </c>
      <c r="O443" s="643"/>
      <c r="P443" s="643"/>
      <c r="Q443" s="644" t="str">
        <f t="shared" si="28"/>
        <v/>
      </c>
      <c r="R443" s="643"/>
      <c r="S443" s="643"/>
      <c r="T443" s="643"/>
      <c r="U443" s="644" t="str">
        <f t="shared" si="31"/>
        <v/>
      </c>
      <c r="V443" s="643"/>
      <c r="W443" s="643"/>
      <c r="X443" s="643"/>
      <c r="Y443" s="643"/>
    </row>
    <row r="444" spans="1:25" x14ac:dyDescent="0.15">
      <c r="A444" s="642"/>
      <c r="B444" s="640" t="str">
        <f t="shared" si="32"/>
        <v/>
      </c>
      <c r="C444" s="639"/>
      <c r="D444" s="644" t="str">
        <f>IF(A444="","",IFERROR(GETPIVOTDATA("合計 / 合計",【ピボット】事業所売上!$A$3,"年月",$A444,"事業所コード",$B444,"事業所",$C444),0))</f>
        <v/>
      </c>
      <c r="E444" s="643"/>
      <c r="F444" s="643"/>
      <c r="G444" s="643"/>
      <c r="H444" s="643"/>
      <c r="I444" s="643"/>
      <c r="J444" s="643"/>
      <c r="K444" s="644" t="str">
        <f t="shared" si="29"/>
        <v/>
      </c>
      <c r="L444" s="643"/>
      <c r="M444" s="643"/>
      <c r="N444" s="644" t="str">
        <f t="shared" si="30"/>
        <v/>
      </c>
      <c r="O444" s="643"/>
      <c r="P444" s="643"/>
      <c r="Q444" s="644" t="str">
        <f t="shared" si="28"/>
        <v/>
      </c>
      <c r="R444" s="643"/>
      <c r="S444" s="643"/>
      <c r="T444" s="643"/>
      <c r="U444" s="644" t="str">
        <f t="shared" si="31"/>
        <v/>
      </c>
      <c r="V444" s="643"/>
      <c r="W444" s="643"/>
      <c r="X444" s="643"/>
      <c r="Y444" s="643"/>
    </row>
    <row r="445" spans="1:25" x14ac:dyDescent="0.15">
      <c r="A445" s="642"/>
      <c r="B445" s="640" t="str">
        <f t="shared" si="32"/>
        <v/>
      </c>
      <c r="C445" s="639"/>
      <c r="D445" s="644" t="str">
        <f>IF(A445="","",IFERROR(GETPIVOTDATA("合計 / 合計",【ピボット】事業所売上!$A$3,"年月",$A445,"事業所コード",$B445,"事業所",$C445),0))</f>
        <v/>
      </c>
      <c r="E445" s="643"/>
      <c r="F445" s="643"/>
      <c r="G445" s="643"/>
      <c r="H445" s="643"/>
      <c r="I445" s="643"/>
      <c r="J445" s="643"/>
      <c r="K445" s="644" t="str">
        <f t="shared" si="29"/>
        <v/>
      </c>
      <c r="L445" s="643"/>
      <c r="M445" s="643"/>
      <c r="N445" s="644" t="str">
        <f t="shared" si="30"/>
        <v/>
      </c>
      <c r="O445" s="643"/>
      <c r="P445" s="643"/>
      <c r="Q445" s="644" t="str">
        <f t="shared" ref="Q445:Q501" si="33">IF($A445="","",0)</f>
        <v/>
      </c>
      <c r="R445" s="643"/>
      <c r="S445" s="643"/>
      <c r="T445" s="643"/>
      <c r="U445" s="644" t="str">
        <f t="shared" si="31"/>
        <v/>
      </c>
      <c r="V445" s="643"/>
      <c r="W445" s="643"/>
      <c r="X445" s="643"/>
      <c r="Y445" s="643"/>
    </row>
    <row r="446" spans="1:25" x14ac:dyDescent="0.15">
      <c r="A446" s="642"/>
      <c r="B446" s="640" t="str">
        <f t="shared" si="32"/>
        <v/>
      </c>
      <c r="C446" s="639"/>
      <c r="D446" s="644" t="str">
        <f>IF(A446="","",IFERROR(GETPIVOTDATA("合計 / 合計",【ピボット】事業所売上!$A$3,"年月",$A446,"事業所コード",$B446,"事業所",$C446),0))</f>
        <v/>
      </c>
      <c r="E446" s="643"/>
      <c r="F446" s="643"/>
      <c r="G446" s="643"/>
      <c r="H446" s="643"/>
      <c r="I446" s="643"/>
      <c r="J446" s="643"/>
      <c r="K446" s="644" t="str">
        <f t="shared" si="29"/>
        <v/>
      </c>
      <c r="L446" s="643"/>
      <c r="M446" s="643"/>
      <c r="N446" s="644" t="str">
        <f t="shared" si="30"/>
        <v/>
      </c>
      <c r="O446" s="643"/>
      <c r="P446" s="643"/>
      <c r="Q446" s="644" t="str">
        <f t="shared" si="33"/>
        <v/>
      </c>
      <c r="R446" s="643"/>
      <c r="S446" s="643"/>
      <c r="T446" s="643"/>
      <c r="U446" s="644" t="str">
        <f t="shared" si="31"/>
        <v/>
      </c>
      <c r="V446" s="643"/>
      <c r="W446" s="643"/>
      <c r="X446" s="643"/>
      <c r="Y446" s="643"/>
    </row>
    <row r="447" spans="1:25" x14ac:dyDescent="0.15">
      <c r="A447" s="642"/>
      <c r="B447" s="640" t="str">
        <f t="shared" si="32"/>
        <v/>
      </c>
      <c r="C447" s="639"/>
      <c r="D447" s="644" t="str">
        <f>IF(A447="","",IFERROR(GETPIVOTDATA("合計 / 合計",【ピボット】事業所売上!$A$3,"年月",$A447,"事業所コード",$B447,"事業所",$C447),0))</f>
        <v/>
      </c>
      <c r="E447" s="643"/>
      <c r="F447" s="643"/>
      <c r="G447" s="643"/>
      <c r="H447" s="643"/>
      <c r="I447" s="643"/>
      <c r="J447" s="643"/>
      <c r="K447" s="644" t="str">
        <f t="shared" si="29"/>
        <v/>
      </c>
      <c r="L447" s="643"/>
      <c r="M447" s="643"/>
      <c r="N447" s="644" t="str">
        <f t="shared" si="30"/>
        <v/>
      </c>
      <c r="O447" s="643"/>
      <c r="P447" s="643"/>
      <c r="Q447" s="644" t="str">
        <f t="shared" si="33"/>
        <v/>
      </c>
      <c r="R447" s="643"/>
      <c r="S447" s="643"/>
      <c r="T447" s="643"/>
      <c r="U447" s="644" t="str">
        <f t="shared" si="31"/>
        <v/>
      </c>
      <c r="V447" s="643"/>
      <c r="W447" s="643"/>
      <c r="X447" s="643"/>
      <c r="Y447" s="643"/>
    </row>
    <row r="448" spans="1:25" x14ac:dyDescent="0.15">
      <c r="A448" s="642"/>
      <c r="B448" s="640" t="str">
        <f t="shared" si="32"/>
        <v/>
      </c>
      <c r="C448" s="639"/>
      <c r="D448" s="644" t="str">
        <f>IF(A448="","",IFERROR(GETPIVOTDATA("合計 / 合計",【ピボット】事業所売上!$A$3,"年月",$A448,"事業所コード",$B448,"事業所",$C448),0))</f>
        <v/>
      </c>
      <c r="E448" s="643"/>
      <c r="F448" s="643"/>
      <c r="G448" s="643"/>
      <c r="H448" s="643"/>
      <c r="I448" s="643"/>
      <c r="J448" s="643"/>
      <c r="K448" s="644" t="str">
        <f t="shared" si="29"/>
        <v/>
      </c>
      <c r="L448" s="643"/>
      <c r="M448" s="643"/>
      <c r="N448" s="644" t="str">
        <f t="shared" si="30"/>
        <v/>
      </c>
      <c r="O448" s="643"/>
      <c r="P448" s="643"/>
      <c r="Q448" s="644" t="str">
        <f t="shared" si="33"/>
        <v/>
      </c>
      <c r="R448" s="643"/>
      <c r="S448" s="643"/>
      <c r="T448" s="643"/>
      <c r="U448" s="644" t="str">
        <f t="shared" si="31"/>
        <v/>
      </c>
      <c r="V448" s="643"/>
      <c r="W448" s="643"/>
      <c r="X448" s="643"/>
      <c r="Y448" s="643"/>
    </row>
    <row r="449" spans="1:25" x14ac:dyDescent="0.15">
      <c r="A449" s="642"/>
      <c r="B449" s="640" t="str">
        <f t="shared" si="32"/>
        <v/>
      </c>
      <c r="C449" s="639"/>
      <c r="D449" s="644" t="str">
        <f>IF(A449="","",IFERROR(GETPIVOTDATA("合計 / 合計",【ピボット】事業所売上!$A$3,"年月",$A449,"事業所コード",$B449,"事業所",$C449),0))</f>
        <v/>
      </c>
      <c r="E449" s="643"/>
      <c r="F449" s="643"/>
      <c r="G449" s="643"/>
      <c r="H449" s="643"/>
      <c r="I449" s="643"/>
      <c r="J449" s="643"/>
      <c r="K449" s="644" t="str">
        <f t="shared" si="29"/>
        <v/>
      </c>
      <c r="L449" s="643"/>
      <c r="M449" s="643"/>
      <c r="N449" s="644" t="str">
        <f t="shared" si="30"/>
        <v/>
      </c>
      <c r="O449" s="643"/>
      <c r="P449" s="643"/>
      <c r="Q449" s="644" t="str">
        <f t="shared" si="33"/>
        <v/>
      </c>
      <c r="R449" s="643"/>
      <c r="S449" s="643"/>
      <c r="T449" s="643"/>
      <c r="U449" s="644" t="str">
        <f t="shared" si="31"/>
        <v/>
      </c>
      <c r="V449" s="643"/>
      <c r="W449" s="643"/>
      <c r="X449" s="643"/>
      <c r="Y449" s="643"/>
    </row>
    <row r="450" spans="1:25" x14ac:dyDescent="0.15">
      <c r="A450" s="642"/>
      <c r="B450" s="640" t="str">
        <f t="shared" si="32"/>
        <v/>
      </c>
      <c r="C450" s="639"/>
      <c r="D450" s="644" t="str">
        <f>IF(A450="","",IFERROR(GETPIVOTDATA("合計 / 合計",【ピボット】事業所売上!$A$3,"年月",$A450,"事業所コード",$B450,"事業所",$C450),0))</f>
        <v/>
      </c>
      <c r="E450" s="643"/>
      <c r="F450" s="643"/>
      <c r="G450" s="643"/>
      <c r="H450" s="643"/>
      <c r="I450" s="643"/>
      <c r="J450" s="643"/>
      <c r="K450" s="644" t="str">
        <f t="shared" si="29"/>
        <v/>
      </c>
      <c r="L450" s="643"/>
      <c r="M450" s="643"/>
      <c r="N450" s="644" t="str">
        <f t="shared" si="30"/>
        <v/>
      </c>
      <c r="O450" s="643"/>
      <c r="P450" s="643"/>
      <c r="Q450" s="644" t="str">
        <f t="shared" si="33"/>
        <v/>
      </c>
      <c r="R450" s="643"/>
      <c r="S450" s="643"/>
      <c r="T450" s="643"/>
      <c r="U450" s="644" t="str">
        <f t="shared" si="31"/>
        <v/>
      </c>
      <c r="V450" s="643"/>
      <c r="W450" s="643"/>
      <c r="X450" s="643"/>
      <c r="Y450" s="643"/>
    </row>
    <row r="451" spans="1:25" x14ac:dyDescent="0.15">
      <c r="A451" s="642"/>
      <c r="B451" s="640" t="str">
        <f t="shared" si="32"/>
        <v/>
      </c>
      <c r="C451" s="639"/>
      <c r="D451" s="644" t="str">
        <f>IF(A451="","",IFERROR(GETPIVOTDATA("合計 / 合計",【ピボット】事業所売上!$A$3,"年月",$A451,"事業所コード",$B451,"事業所",$C451),0))</f>
        <v/>
      </c>
      <c r="E451" s="643"/>
      <c r="F451" s="643"/>
      <c r="G451" s="643"/>
      <c r="H451" s="643"/>
      <c r="I451" s="643"/>
      <c r="J451" s="643"/>
      <c r="K451" s="644" t="str">
        <f t="shared" ref="K451:K501" si="34">IF(A451="","",SUM(E451:J451))</f>
        <v/>
      </c>
      <c r="L451" s="643"/>
      <c r="M451" s="643"/>
      <c r="N451" s="644" t="str">
        <f t="shared" si="30"/>
        <v/>
      </c>
      <c r="O451" s="643"/>
      <c r="P451" s="643"/>
      <c r="Q451" s="644" t="str">
        <f t="shared" si="33"/>
        <v/>
      </c>
      <c r="R451" s="643"/>
      <c r="S451" s="643"/>
      <c r="T451" s="643"/>
      <c r="U451" s="644" t="str">
        <f t="shared" si="31"/>
        <v/>
      </c>
      <c r="V451" s="643"/>
      <c r="W451" s="643"/>
      <c r="X451" s="643"/>
      <c r="Y451" s="643"/>
    </row>
    <row r="452" spans="1:25" x14ac:dyDescent="0.15">
      <c r="A452" s="642"/>
      <c r="B452" s="640" t="str">
        <f t="shared" si="32"/>
        <v/>
      </c>
      <c r="C452" s="639"/>
      <c r="D452" s="644" t="str">
        <f>IF(A452="","",IFERROR(GETPIVOTDATA("合計 / 合計",【ピボット】事業所売上!$A$3,"年月",$A452,"事業所コード",$B452,"事業所",$C452),0))</f>
        <v/>
      </c>
      <c r="E452" s="643"/>
      <c r="F452" s="643"/>
      <c r="G452" s="643"/>
      <c r="H452" s="643"/>
      <c r="I452" s="643"/>
      <c r="J452" s="643"/>
      <c r="K452" s="644" t="str">
        <f t="shared" si="34"/>
        <v/>
      </c>
      <c r="L452" s="643"/>
      <c r="M452" s="643"/>
      <c r="N452" s="644" t="str">
        <f t="shared" ref="N452:N501" si="35">IF(A452="","",SUM(L452:M452))</f>
        <v/>
      </c>
      <c r="O452" s="643"/>
      <c r="P452" s="643"/>
      <c r="Q452" s="644" t="str">
        <f t="shared" si="33"/>
        <v/>
      </c>
      <c r="R452" s="643"/>
      <c r="S452" s="643"/>
      <c r="T452" s="643"/>
      <c r="U452" s="644" t="str">
        <f t="shared" ref="U452:U501" si="36">IF(A452="","",R452-S452-T452)</f>
        <v/>
      </c>
      <c r="V452" s="643"/>
      <c r="W452" s="643"/>
      <c r="X452" s="643"/>
      <c r="Y452" s="643"/>
    </row>
    <row r="453" spans="1:25" x14ac:dyDescent="0.15">
      <c r="A453" s="642"/>
      <c r="B453" s="640" t="str">
        <f t="shared" si="32"/>
        <v/>
      </c>
      <c r="C453" s="639"/>
      <c r="D453" s="644" t="str">
        <f>IF(A453="","",IFERROR(GETPIVOTDATA("合計 / 合計",【ピボット】事業所売上!$A$3,"年月",$A453,"事業所コード",$B453,"事業所",$C453),0))</f>
        <v/>
      </c>
      <c r="E453" s="643"/>
      <c r="F453" s="643"/>
      <c r="G453" s="643"/>
      <c r="H453" s="643"/>
      <c r="I453" s="643"/>
      <c r="J453" s="643"/>
      <c r="K453" s="644" t="str">
        <f t="shared" si="34"/>
        <v/>
      </c>
      <c r="L453" s="643"/>
      <c r="M453" s="643"/>
      <c r="N453" s="644" t="str">
        <f t="shared" si="35"/>
        <v/>
      </c>
      <c r="O453" s="643"/>
      <c r="P453" s="643"/>
      <c r="Q453" s="644" t="str">
        <f t="shared" si="33"/>
        <v/>
      </c>
      <c r="R453" s="643"/>
      <c r="S453" s="643"/>
      <c r="T453" s="643"/>
      <c r="U453" s="644" t="str">
        <f t="shared" si="36"/>
        <v/>
      </c>
      <c r="V453" s="643"/>
      <c r="W453" s="643"/>
      <c r="X453" s="643"/>
      <c r="Y453" s="643"/>
    </row>
    <row r="454" spans="1:25" x14ac:dyDescent="0.15">
      <c r="A454" s="642"/>
      <c r="B454" s="640" t="str">
        <f t="shared" si="32"/>
        <v/>
      </c>
      <c r="C454" s="639"/>
      <c r="D454" s="644" t="str">
        <f>IF(A454="","",IFERROR(GETPIVOTDATA("合計 / 合計",【ピボット】事業所売上!$A$3,"年月",$A454,"事業所コード",$B454,"事業所",$C454),0))</f>
        <v/>
      </c>
      <c r="E454" s="643"/>
      <c r="F454" s="643"/>
      <c r="G454" s="643"/>
      <c r="H454" s="643"/>
      <c r="I454" s="643"/>
      <c r="J454" s="643"/>
      <c r="K454" s="644" t="str">
        <f t="shared" si="34"/>
        <v/>
      </c>
      <c r="L454" s="643"/>
      <c r="M454" s="643"/>
      <c r="N454" s="644" t="str">
        <f t="shared" si="35"/>
        <v/>
      </c>
      <c r="O454" s="643"/>
      <c r="P454" s="643"/>
      <c r="Q454" s="644" t="str">
        <f t="shared" si="33"/>
        <v/>
      </c>
      <c r="R454" s="643"/>
      <c r="S454" s="643"/>
      <c r="T454" s="643"/>
      <c r="U454" s="644" t="str">
        <f t="shared" si="36"/>
        <v/>
      </c>
      <c r="V454" s="643"/>
      <c r="W454" s="643"/>
      <c r="X454" s="643"/>
      <c r="Y454" s="643"/>
    </row>
    <row r="455" spans="1:25" x14ac:dyDescent="0.15">
      <c r="A455" s="642"/>
      <c r="B455" s="640" t="str">
        <f t="shared" si="32"/>
        <v/>
      </c>
      <c r="C455" s="639"/>
      <c r="D455" s="644" t="str">
        <f>IF(A455="","",IFERROR(GETPIVOTDATA("合計 / 合計",【ピボット】事業所売上!$A$3,"年月",$A455,"事業所コード",$B455,"事業所",$C455),0))</f>
        <v/>
      </c>
      <c r="E455" s="643"/>
      <c r="F455" s="643"/>
      <c r="G455" s="643"/>
      <c r="H455" s="643"/>
      <c r="I455" s="643"/>
      <c r="J455" s="643"/>
      <c r="K455" s="644" t="str">
        <f t="shared" si="34"/>
        <v/>
      </c>
      <c r="L455" s="643"/>
      <c r="M455" s="643"/>
      <c r="N455" s="644" t="str">
        <f t="shared" si="35"/>
        <v/>
      </c>
      <c r="O455" s="643"/>
      <c r="P455" s="643"/>
      <c r="Q455" s="644" t="str">
        <f t="shared" si="33"/>
        <v/>
      </c>
      <c r="R455" s="643"/>
      <c r="S455" s="643"/>
      <c r="T455" s="643"/>
      <c r="U455" s="644" t="str">
        <f t="shared" si="36"/>
        <v/>
      </c>
      <c r="V455" s="643"/>
      <c r="W455" s="643"/>
      <c r="X455" s="643"/>
      <c r="Y455" s="643"/>
    </row>
    <row r="456" spans="1:25" x14ac:dyDescent="0.15">
      <c r="A456" s="642"/>
      <c r="B456" s="640" t="str">
        <f t="shared" si="32"/>
        <v/>
      </c>
      <c r="C456" s="639"/>
      <c r="D456" s="644" t="str">
        <f>IF(A456="","",IFERROR(GETPIVOTDATA("合計 / 合計",【ピボット】事業所売上!$A$3,"年月",$A456,"事業所コード",$B456,"事業所",$C456),0))</f>
        <v/>
      </c>
      <c r="E456" s="643"/>
      <c r="F456" s="643"/>
      <c r="G456" s="643"/>
      <c r="H456" s="643"/>
      <c r="I456" s="643"/>
      <c r="J456" s="643"/>
      <c r="K456" s="644" t="str">
        <f t="shared" si="34"/>
        <v/>
      </c>
      <c r="L456" s="643"/>
      <c r="M456" s="643"/>
      <c r="N456" s="644" t="str">
        <f t="shared" si="35"/>
        <v/>
      </c>
      <c r="O456" s="643"/>
      <c r="P456" s="643"/>
      <c r="Q456" s="644" t="str">
        <f t="shared" si="33"/>
        <v/>
      </c>
      <c r="R456" s="643"/>
      <c r="S456" s="643"/>
      <c r="T456" s="643"/>
      <c r="U456" s="644" t="str">
        <f t="shared" si="36"/>
        <v/>
      </c>
      <c r="V456" s="643"/>
      <c r="W456" s="643"/>
      <c r="X456" s="643"/>
      <c r="Y456" s="643"/>
    </row>
    <row r="457" spans="1:25" x14ac:dyDescent="0.15">
      <c r="A457" s="642"/>
      <c r="B457" s="640" t="str">
        <f t="shared" si="32"/>
        <v/>
      </c>
      <c r="C457" s="639"/>
      <c r="D457" s="644" t="str">
        <f>IF(A457="","",IFERROR(GETPIVOTDATA("合計 / 合計",【ピボット】事業所売上!$A$3,"年月",$A457,"事業所コード",$B457,"事業所",$C457),0))</f>
        <v/>
      </c>
      <c r="E457" s="643"/>
      <c r="F457" s="643"/>
      <c r="G457" s="643"/>
      <c r="H457" s="643"/>
      <c r="I457" s="643"/>
      <c r="J457" s="643"/>
      <c r="K457" s="644" t="str">
        <f t="shared" si="34"/>
        <v/>
      </c>
      <c r="L457" s="643"/>
      <c r="M457" s="643"/>
      <c r="N457" s="644" t="str">
        <f t="shared" si="35"/>
        <v/>
      </c>
      <c r="O457" s="643"/>
      <c r="P457" s="643"/>
      <c r="Q457" s="644" t="str">
        <f t="shared" si="33"/>
        <v/>
      </c>
      <c r="R457" s="643"/>
      <c r="S457" s="643"/>
      <c r="T457" s="643"/>
      <c r="U457" s="644" t="str">
        <f t="shared" si="36"/>
        <v/>
      </c>
      <c r="V457" s="643"/>
      <c r="W457" s="643"/>
      <c r="X457" s="643"/>
      <c r="Y457" s="643"/>
    </row>
    <row r="458" spans="1:25" x14ac:dyDescent="0.15">
      <c r="A458" s="642"/>
      <c r="B458" s="640" t="str">
        <f t="shared" si="32"/>
        <v/>
      </c>
      <c r="C458" s="639"/>
      <c r="D458" s="644" t="str">
        <f>IF(A458="","",IFERROR(GETPIVOTDATA("合計 / 合計",【ピボット】事業所売上!$A$3,"年月",$A458,"事業所コード",$B458,"事業所",$C458),0))</f>
        <v/>
      </c>
      <c r="E458" s="643"/>
      <c r="F458" s="643"/>
      <c r="G458" s="643"/>
      <c r="H458" s="643"/>
      <c r="I458" s="643"/>
      <c r="J458" s="643"/>
      <c r="K458" s="644" t="str">
        <f t="shared" si="34"/>
        <v/>
      </c>
      <c r="L458" s="643"/>
      <c r="M458" s="643"/>
      <c r="N458" s="644" t="str">
        <f t="shared" si="35"/>
        <v/>
      </c>
      <c r="O458" s="643"/>
      <c r="P458" s="643"/>
      <c r="Q458" s="644" t="str">
        <f t="shared" si="33"/>
        <v/>
      </c>
      <c r="R458" s="643"/>
      <c r="S458" s="643"/>
      <c r="T458" s="643"/>
      <c r="U458" s="644" t="str">
        <f t="shared" si="36"/>
        <v/>
      </c>
      <c r="V458" s="643"/>
      <c r="W458" s="643"/>
      <c r="X458" s="643"/>
      <c r="Y458" s="643"/>
    </row>
    <row r="459" spans="1:25" x14ac:dyDescent="0.15">
      <c r="A459" s="642"/>
      <c r="B459" s="640" t="str">
        <f t="shared" si="32"/>
        <v/>
      </c>
      <c r="C459" s="639"/>
      <c r="D459" s="644" t="str">
        <f>IF(A459="","",IFERROR(GETPIVOTDATA("合計 / 合計",【ピボット】事業所売上!$A$3,"年月",$A459,"事業所コード",$B459,"事業所",$C459),0))</f>
        <v/>
      </c>
      <c r="E459" s="643"/>
      <c r="F459" s="643"/>
      <c r="G459" s="643"/>
      <c r="H459" s="643"/>
      <c r="I459" s="643"/>
      <c r="J459" s="643"/>
      <c r="K459" s="644" t="str">
        <f t="shared" si="34"/>
        <v/>
      </c>
      <c r="L459" s="643"/>
      <c r="M459" s="643"/>
      <c r="N459" s="644" t="str">
        <f t="shared" si="35"/>
        <v/>
      </c>
      <c r="O459" s="643"/>
      <c r="P459" s="643"/>
      <c r="Q459" s="644" t="str">
        <f t="shared" si="33"/>
        <v/>
      </c>
      <c r="R459" s="643"/>
      <c r="S459" s="643"/>
      <c r="T459" s="643"/>
      <c r="U459" s="644" t="str">
        <f t="shared" si="36"/>
        <v/>
      </c>
      <c r="V459" s="643"/>
      <c r="W459" s="643"/>
      <c r="X459" s="643"/>
      <c r="Y459" s="643"/>
    </row>
    <row r="460" spans="1:25" x14ac:dyDescent="0.15">
      <c r="A460" s="642"/>
      <c r="B460" s="640" t="str">
        <f t="shared" si="32"/>
        <v/>
      </c>
      <c r="C460" s="639"/>
      <c r="D460" s="644" t="str">
        <f>IF(A460="","",IFERROR(GETPIVOTDATA("合計 / 合計",【ピボット】事業所売上!$A$3,"年月",$A460,"事業所コード",$B460,"事業所",$C460),0))</f>
        <v/>
      </c>
      <c r="E460" s="643"/>
      <c r="F460" s="643"/>
      <c r="G460" s="643"/>
      <c r="H460" s="643"/>
      <c r="I460" s="643"/>
      <c r="J460" s="643"/>
      <c r="K460" s="644" t="str">
        <f t="shared" si="34"/>
        <v/>
      </c>
      <c r="L460" s="643"/>
      <c r="M460" s="643"/>
      <c r="N460" s="644" t="str">
        <f t="shared" si="35"/>
        <v/>
      </c>
      <c r="O460" s="643"/>
      <c r="P460" s="643"/>
      <c r="Q460" s="644" t="str">
        <f t="shared" si="33"/>
        <v/>
      </c>
      <c r="R460" s="643"/>
      <c r="S460" s="643"/>
      <c r="T460" s="643"/>
      <c r="U460" s="644" t="str">
        <f t="shared" si="36"/>
        <v/>
      </c>
      <c r="V460" s="643"/>
      <c r="W460" s="643"/>
      <c r="X460" s="643"/>
      <c r="Y460" s="643"/>
    </row>
    <row r="461" spans="1:25" x14ac:dyDescent="0.15">
      <c r="A461" s="642"/>
      <c r="B461" s="640" t="str">
        <f t="shared" si="32"/>
        <v/>
      </c>
      <c r="C461" s="639"/>
      <c r="D461" s="644" t="str">
        <f>IF(A461="","",IFERROR(GETPIVOTDATA("合計 / 合計",【ピボット】事業所売上!$A$3,"年月",$A461,"事業所コード",$B461,"事業所",$C461),0))</f>
        <v/>
      </c>
      <c r="E461" s="643"/>
      <c r="F461" s="643"/>
      <c r="G461" s="643"/>
      <c r="H461" s="643"/>
      <c r="I461" s="643"/>
      <c r="J461" s="643"/>
      <c r="K461" s="644" t="str">
        <f t="shared" si="34"/>
        <v/>
      </c>
      <c r="L461" s="643"/>
      <c r="M461" s="643"/>
      <c r="N461" s="644" t="str">
        <f t="shared" si="35"/>
        <v/>
      </c>
      <c r="O461" s="643"/>
      <c r="P461" s="643"/>
      <c r="Q461" s="644" t="str">
        <f t="shared" si="33"/>
        <v/>
      </c>
      <c r="R461" s="643"/>
      <c r="S461" s="643"/>
      <c r="T461" s="643"/>
      <c r="U461" s="644" t="str">
        <f t="shared" si="36"/>
        <v/>
      </c>
      <c r="V461" s="643"/>
      <c r="W461" s="643"/>
      <c r="X461" s="643"/>
      <c r="Y461" s="643"/>
    </row>
    <row r="462" spans="1:25" x14ac:dyDescent="0.15">
      <c r="A462" s="642"/>
      <c r="B462" s="640" t="str">
        <f t="shared" si="32"/>
        <v/>
      </c>
      <c r="C462" s="639"/>
      <c r="D462" s="644" t="str">
        <f>IF(A462="","",IFERROR(GETPIVOTDATA("合計 / 合計",【ピボット】事業所売上!$A$3,"年月",$A462,"事業所コード",$B462,"事業所",$C462),0))</f>
        <v/>
      </c>
      <c r="E462" s="643"/>
      <c r="F462" s="643"/>
      <c r="G462" s="643"/>
      <c r="H462" s="643"/>
      <c r="I462" s="643"/>
      <c r="J462" s="643"/>
      <c r="K462" s="644" t="str">
        <f t="shared" si="34"/>
        <v/>
      </c>
      <c r="L462" s="643"/>
      <c r="M462" s="643"/>
      <c r="N462" s="644" t="str">
        <f t="shared" si="35"/>
        <v/>
      </c>
      <c r="O462" s="643"/>
      <c r="P462" s="643"/>
      <c r="Q462" s="644" t="str">
        <f t="shared" si="33"/>
        <v/>
      </c>
      <c r="R462" s="643"/>
      <c r="S462" s="643"/>
      <c r="T462" s="643"/>
      <c r="U462" s="644" t="str">
        <f t="shared" si="36"/>
        <v/>
      </c>
      <c r="V462" s="643"/>
      <c r="W462" s="643"/>
      <c r="X462" s="643"/>
      <c r="Y462" s="643"/>
    </row>
    <row r="463" spans="1:25" x14ac:dyDescent="0.15">
      <c r="A463" s="642"/>
      <c r="B463" s="640" t="str">
        <f t="shared" si="32"/>
        <v/>
      </c>
      <c r="C463" s="639"/>
      <c r="D463" s="644" t="str">
        <f>IF(A463="","",IFERROR(GETPIVOTDATA("合計 / 合計",【ピボット】事業所売上!$A$3,"年月",$A463,"事業所コード",$B463,"事業所",$C463),0))</f>
        <v/>
      </c>
      <c r="E463" s="643"/>
      <c r="F463" s="643"/>
      <c r="G463" s="643"/>
      <c r="H463" s="643"/>
      <c r="I463" s="643"/>
      <c r="J463" s="643"/>
      <c r="K463" s="644" t="str">
        <f t="shared" si="34"/>
        <v/>
      </c>
      <c r="L463" s="643"/>
      <c r="M463" s="643"/>
      <c r="N463" s="644" t="str">
        <f t="shared" si="35"/>
        <v/>
      </c>
      <c r="O463" s="643"/>
      <c r="P463" s="643"/>
      <c r="Q463" s="644" t="str">
        <f t="shared" si="33"/>
        <v/>
      </c>
      <c r="R463" s="643"/>
      <c r="S463" s="643"/>
      <c r="T463" s="643"/>
      <c r="U463" s="644" t="str">
        <f t="shared" si="36"/>
        <v/>
      </c>
      <c r="V463" s="643"/>
      <c r="W463" s="643"/>
      <c r="X463" s="643"/>
      <c r="Y463" s="643"/>
    </row>
    <row r="464" spans="1:25" x14ac:dyDescent="0.15">
      <c r="A464" s="642"/>
      <c r="B464" s="640" t="str">
        <f t="shared" si="32"/>
        <v/>
      </c>
      <c r="C464" s="639"/>
      <c r="D464" s="644" t="str">
        <f>IF(A464="","",IFERROR(GETPIVOTDATA("合計 / 合計",【ピボット】事業所売上!$A$3,"年月",$A464,"事業所コード",$B464,"事業所",$C464),0))</f>
        <v/>
      </c>
      <c r="E464" s="643"/>
      <c r="F464" s="643"/>
      <c r="G464" s="643"/>
      <c r="H464" s="643"/>
      <c r="I464" s="643"/>
      <c r="J464" s="643"/>
      <c r="K464" s="644" t="str">
        <f t="shared" si="34"/>
        <v/>
      </c>
      <c r="L464" s="643"/>
      <c r="M464" s="643"/>
      <c r="N464" s="644" t="str">
        <f t="shared" si="35"/>
        <v/>
      </c>
      <c r="O464" s="643"/>
      <c r="P464" s="643"/>
      <c r="Q464" s="644" t="str">
        <f t="shared" si="33"/>
        <v/>
      </c>
      <c r="R464" s="643"/>
      <c r="S464" s="643"/>
      <c r="T464" s="643"/>
      <c r="U464" s="644" t="str">
        <f t="shared" si="36"/>
        <v/>
      </c>
      <c r="V464" s="643"/>
      <c r="W464" s="643"/>
      <c r="X464" s="643"/>
      <c r="Y464" s="643"/>
    </row>
    <row r="465" spans="1:25" x14ac:dyDescent="0.15">
      <c r="A465" s="642"/>
      <c r="B465" s="640" t="str">
        <f t="shared" si="32"/>
        <v/>
      </c>
      <c r="C465" s="639"/>
      <c r="D465" s="644" t="str">
        <f>IF(A465="","",IFERROR(GETPIVOTDATA("合計 / 合計",【ピボット】事業所売上!$A$3,"年月",$A465,"事業所コード",$B465,"事業所",$C465),0))</f>
        <v/>
      </c>
      <c r="E465" s="643"/>
      <c r="F465" s="643"/>
      <c r="G465" s="643"/>
      <c r="H465" s="643"/>
      <c r="I465" s="643"/>
      <c r="J465" s="643"/>
      <c r="K465" s="644" t="str">
        <f t="shared" si="34"/>
        <v/>
      </c>
      <c r="L465" s="643"/>
      <c r="M465" s="643"/>
      <c r="N465" s="644" t="str">
        <f t="shared" si="35"/>
        <v/>
      </c>
      <c r="O465" s="643"/>
      <c r="P465" s="643"/>
      <c r="Q465" s="644" t="str">
        <f t="shared" si="33"/>
        <v/>
      </c>
      <c r="R465" s="643"/>
      <c r="S465" s="643"/>
      <c r="T465" s="643"/>
      <c r="U465" s="644" t="str">
        <f t="shared" si="36"/>
        <v/>
      </c>
      <c r="V465" s="643"/>
      <c r="W465" s="643"/>
      <c r="X465" s="643"/>
      <c r="Y465" s="643"/>
    </row>
    <row r="466" spans="1:25" x14ac:dyDescent="0.15">
      <c r="A466" s="642"/>
      <c r="B466" s="640" t="str">
        <f t="shared" si="32"/>
        <v/>
      </c>
      <c r="C466" s="639"/>
      <c r="D466" s="644" t="str">
        <f>IF(A466="","",IFERROR(GETPIVOTDATA("合計 / 合計",【ピボット】事業所売上!$A$3,"年月",$A466,"事業所コード",$B466,"事業所",$C466),0))</f>
        <v/>
      </c>
      <c r="E466" s="643"/>
      <c r="F466" s="643"/>
      <c r="G466" s="643"/>
      <c r="H466" s="643"/>
      <c r="I466" s="643"/>
      <c r="J466" s="643"/>
      <c r="K466" s="644" t="str">
        <f t="shared" si="34"/>
        <v/>
      </c>
      <c r="L466" s="643"/>
      <c r="M466" s="643"/>
      <c r="N466" s="644" t="str">
        <f t="shared" si="35"/>
        <v/>
      </c>
      <c r="O466" s="643"/>
      <c r="P466" s="643"/>
      <c r="Q466" s="644" t="str">
        <f t="shared" si="33"/>
        <v/>
      </c>
      <c r="R466" s="643"/>
      <c r="S466" s="643"/>
      <c r="T466" s="643"/>
      <c r="U466" s="644" t="str">
        <f t="shared" si="36"/>
        <v/>
      </c>
      <c r="V466" s="643"/>
      <c r="W466" s="643"/>
      <c r="X466" s="643"/>
      <c r="Y466" s="643"/>
    </row>
    <row r="467" spans="1:25" x14ac:dyDescent="0.15">
      <c r="A467" s="642"/>
      <c r="B467" s="640" t="str">
        <f t="shared" si="32"/>
        <v/>
      </c>
      <c r="C467" s="639"/>
      <c r="D467" s="644" t="str">
        <f>IF(A467="","",IFERROR(GETPIVOTDATA("合計 / 合計",【ピボット】事業所売上!$A$3,"年月",$A467,"事業所コード",$B467,"事業所",$C467),0))</f>
        <v/>
      </c>
      <c r="E467" s="643"/>
      <c r="F467" s="643"/>
      <c r="G467" s="643"/>
      <c r="H467" s="643"/>
      <c r="I467" s="643"/>
      <c r="J467" s="643"/>
      <c r="K467" s="644" t="str">
        <f t="shared" si="34"/>
        <v/>
      </c>
      <c r="L467" s="643"/>
      <c r="M467" s="643"/>
      <c r="N467" s="644" t="str">
        <f t="shared" si="35"/>
        <v/>
      </c>
      <c r="O467" s="643"/>
      <c r="P467" s="643"/>
      <c r="Q467" s="644" t="str">
        <f t="shared" si="33"/>
        <v/>
      </c>
      <c r="R467" s="643"/>
      <c r="S467" s="643"/>
      <c r="T467" s="643"/>
      <c r="U467" s="644" t="str">
        <f t="shared" si="36"/>
        <v/>
      </c>
      <c r="V467" s="643"/>
      <c r="W467" s="643"/>
      <c r="X467" s="643"/>
      <c r="Y467" s="643"/>
    </row>
    <row r="468" spans="1:25" x14ac:dyDescent="0.15">
      <c r="A468" s="642"/>
      <c r="B468" s="640" t="str">
        <f t="shared" si="32"/>
        <v/>
      </c>
      <c r="C468" s="639"/>
      <c r="D468" s="644" t="str">
        <f>IF(A468="","",IFERROR(GETPIVOTDATA("合計 / 合計",【ピボット】事業所売上!$A$3,"年月",$A468,"事業所コード",$B468,"事業所",$C468),0))</f>
        <v/>
      </c>
      <c r="E468" s="643"/>
      <c r="F468" s="643"/>
      <c r="G468" s="643"/>
      <c r="H468" s="643"/>
      <c r="I468" s="643"/>
      <c r="J468" s="643"/>
      <c r="K468" s="644" t="str">
        <f t="shared" si="34"/>
        <v/>
      </c>
      <c r="L468" s="643"/>
      <c r="M468" s="643"/>
      <c r="N468" s="644" t="str">
        <f t="shared" si="35"/>
        <v/>
      </c>
      <c r="O468" s="643"/>
      <c r="P468" s="643"/>
      <c r="Q468" s="644" t="str">
        <f t="shared" si="33"/>
        <v/>
      </c>
      <c r="R468" s="643"/>
      <c r="S468" s="643"/>
      <c r="T468" s="643"/>
      <c r="U468" s="644" t="str">
        <f t="shared" si="36"/>
        <v/>
      </c>
      <c r="V468" s="643"/>
      <c r="W468" s="643"/>
      <c r="X468" s="643"/>
      <c r="Y468" s="643"/>
    </row>
    <row r="469" spans="1:25" x14ac:dyDescent="0.15">
      <c r="A469" s="642"/>
      <c r="B469" s="640" t="str">
        <f t="shared" si="32"/>
        <v/>
      </c>
      <c r="C469" s="639"/>
      <c r="D469" s="644" t="str">
        <f>IF(A469="","",IFERROR(GETPIVOTDATA("合計 / 合計",【ピボット】事業所売上!$A$3,"年月",$A469,"事業所コード",$B469,"事業所",$C469),0))</f>
        <v/>
      </c>
      <c r="E469" s="643"/>
      <c r="F469" s="643"/>
      <c r="G469" s="643"/>
      <c r="H469" s="643"/>
      <c r="I469" s="643"/>
      <c r="J469" s="643"/>
      <c r="K469" s="644" t="str">
        <f t="shared" si="34"/>
        <v/>
      </c>
      <c r="L469" s="643"/>
      <c r="M469" s="643"/>
      <c r="N469" s="644" t="str">
        <f t="shared" si="35"/>
        <v/>
      </c>
      <c r="O469" s="643"/>
      <c r="P469" s="643"/>
      <c r="Q469" s="644" t="str">
        <f t="shared" si="33"/>
        <v/>
      </c>
      <c r="R469" s="643"/>
      <c r="S469" s="643"/>
      <c r="T469" s="643"/>
      <c r="U469" s="644" t="str">
        <f t="shared" si="36"/>
        <v/>
      </c>
      <c r="V469" s="643"/>
      <c r="W469" s="643"/>
      <c r="X469" s="643"/>
      <c r="Y469" s="643"/>
    </row>
    <row r="470" spans="1:25" x14ac:dyDescent="0.15">
      <c r="A470" s="642"/>
      <c r="B470" s="640" t="str">
        <f t="shared" si="32"/>
        <v/>
      </c>
      <c r="C470" s="639"/>
      <c r="D470" s="644" t="str">
        <f>IF(A470="","",IFERROR(GETPIVOTDATA("合計 / 合計",【ピボット】事業所売上!$A$3,"年月",$A470,"事業所コード",$B470,"事業所",$C470),0))</f>
        <v/>
      </c>
      <c r="E470" s="643"/>
      <c r="F470" s="643"/>
      <c r="G470" s="643"/>
      <c r="H470" s="643"/>
      <c r="I470" s="643"/>
      <c r="J470" s="643"/>
      <c r="K470" s="644" t="str">
        <f t="shared" si="34"/>
        <v/>
      </c>
      <c r="L470" s="643"/>
      <c r="M470" s="643"/>
      <c r="N470" s="644" t="str">
        <f t="shared" si="35"/>
        <v/>
      </c>
      <c r="O470" s="643"/>
      <c r="P470" s="643"/>
      <c r="Q470" s="644" t="str">
        <f t="shared" si="33"/>
        <v/>
      </c>
      <c r="R470" s="643"/>
      <c r="S470" s="643"/>
      <c r="T470" s="643"/>
      <c r="U470" s="644" t="str">
        <f t="shared" si="36"/>
        <v/>
      </c>
      <c r="V470" s="643"/>
      <c r="W470" s="643"/>
      <c r="X470" s="643"/>
      <c r="Y470" s="643"/>
    </row>
    <row r="471" spans="1:25" x14ac:dyDescent="0.15">
      <c r="A471" s="642"/>
      <c r="B471" s="640" t="str">
        <f t="shared" si="32"/>
        <v/>
      </c>
      <c r="C471" s="639"/>
      <c r="D471" s="644" t="str">
        <f>IF(A471="","",IFERROR(GETPIVOTDATA("合計 / 合計",【ピボット】事業所売上!$A$3,"年月",$A471,"事業所コード",$B471,"事業所",$C471),0))</f>
        <v/>
      </c>
      <c r="E471" s="643"/>
      <c r="F471" s="643"/>
      <c r="G471" s="643"/>
      <c r="H471" s="643"/>
      <c r="I471" s="643"/>
      <c r="J471" s="643"/>
      <c r="K471" s="644" t="str">
        <f t="shared" si="34"/>
        <v/>
      </c>
      <c r="L471" s="643"/>
      <c r="M471" s="643"/>
      <c r="N471" s="644" t="str">
        <f t="shared" si="35"/>
        <v/>
      </c>
      <c r="O471" s="643"/>
      <c r="P471" s="643"/>
      <c r="Q471" s="644" t="str">
        <f t="shared" si="33"/>
        <v/>
      </c>
      <c r="R471" s="643"/>
      <c r="S471" s="643"/>
      <c r="T471" s="643"/>
      <c r="U471" s="644" t="str">
        <f t="shared" si="36"/>
        <v/>
      </c>
      <c r="V471" s="643"/>
      <c r="W471" s="643"/>
      <c r="X471" s="643"/>
      <c r="Y471" s="643"/>
    </row>
    <row r="472" spans="1:25" x14ac:dyDescent="0.15">
      <c r="A472" s="642"/>
      <c r="B472" s="640" t="str">
        <f t="shared" si="32"/>
        <v/>
      </c>
      <c r="C472" s="639"/>
      <c r="D472" s="644" t="str">
        <f>IF(A472="","",IFERROR(GETPIVOTDATA("合計 / 合計",【ピボット】事業所売上!$A$3,"年月",$A472,"事業所コード",$B472,"事業所",$C472),0))</f>
        <v/>
      </c>
      <c r="E472" s="643"/>
      <c r="F472" s="643"/>
      <c r="G472" s="643"/>
      <c r="H472" s="643"/>
      <c r="I472" s="643"/>
      <c r="J472" s="643"/>
      <c r="K472" s="644" t="str">
        <f t="shared" si="34"/>
        <v/>
      </c>
      <c r="L472" s="643"/>
      <c r="M472" s="643"/>
      <c r="N472" s="644" t="str">
        <f t="shared" si="35"/>
        <v/>
      </c>
      <c r="O472" s="643"/>
      <c r="P472" s="643"/>
      <c r="Q472" s="644" t="str">
        <f t="shared" si="33"/>
        <v/>
      </c>
      <c r="R472" s="643"/>
      <c r="S472" s="643"/>
      <c r="T472" s="643"/>
      <c r="U472" s="644" t="str">
        <f t="shared" si="36"/>
        <v/>
      </c>
      <c r="V472" s="643"/>
      <c r="W472" s="643"/>
      <c r="X472" s="643"/>
      <c r="Y472" s="643"/>
    </row>
    <row r="473" spans="1:25" x14ac:dyDescent="0.15">
      <c r="A473" s="642"/>
      <c r="B473" s="640" t="str">
        <f t="shared" si="32"/>
        <v/>
      </c>
      <c r="C473" s="639"/>
      <c r="D473" s="644" t="str">
        <f>IF(A473="","",IFERROR(GETPIVOTDATA("合計 / 合計",【ピボット】事業所売上!$A$3,"年月",$A473,"事業所コード",$B473,"事業所",$C473),0))</f>
        <v/>
      </c>
      <c r="E473" s="643"/>
      <c r="F473" s="643"/>
      <c r="G473" s="643"/>
      <c r="H473" s="643"/>
      <c r="I473" s="643"/>
      <c r="J473" s="643"/>
      <c r="K473" s="644" t="str">
        <f t="shared" si="34"/>
        <v/>
      </c>
      <c r="L473" s="643"/>
      <c r="M473" s="643"/>
      <c r="N473" s="644" t="str">
        <f t="shared" si="35"/>
        <v/>
      </c>
      <c r="O473" s="643"/>
      <c r="P473" s="643"/>
      <c r="Q473" s="644" t="str">
        <f t="shared" si="33"/>
        <v/>
      </c>
      <c r="R473" s="643"/>
      <c r="S473" s="643"/>
      <c r="T473" s="643"/>
      <c r="U473" s="644" t="str">
        <f t="shared" si="36"/>
        <v/>
      </c>
      <c r="V473" s="643"/>
      <c r="W473" s="643"/>
      <c r="X473" s="643"/>
      <c r="Y473" s="643"/>
    </row>
    <row r="474" spans="1:25" x14ac:dyDescent="0.15">
      <c r="A474" s="642"/>
      <c r="B474" s="640" t="str">
        <f t="shared" si="32"/>
        <v/>
      </c>
      <c r="C474" s="639"/>
      <c r="D474" s="644" t="str">
        <f>IF(A474="","",IFERROR(GETPIVOTDATA("合計 / 合計",【ピボット】事業所売上!$A$3,"年月",$A474,"事業所コード",$B474,"事業所",$C474),0))</f>
        <v/>
      </c>
      <c r="E474" s="643"/>
      <c r="F474" s="643"/>
      <c r="G474" s="643"/>
      <c r="H474" s="643"/>
      <c r="I474" s="643"/>
      <c r="J474" s="643"/>
      <c r="K474" s="644" t="str">
        <f t="shared" si="34"/>
        <v/>
      </c>
      <c r="L474" s="643"/>
      <c r="M474" s="643"/>
      <c r="N474" s="644" t="str">
        <f t="shared" si="35"/>
        <v/>
      </c>
      <c r="O474" s="643"/>
      <c r="P474" s="643"/>
      <c r="Q474" s="644" t="str">
        <f t="shared" si="33"/>
        <v/>
      </c>
      <c r="R474" s="643"/>
      <c r="S474" s="643"/>
      <c r="T474" s="643"/>
      <c r="U474" s="644" t="str">
        <f t="shared" si="36"/>
        <v/>
      </c>
      <c r="V474" s="643"/>
      <c r="W474" s="643"/>
      <c r="X474" s="643"/>
      <c r="Y474" s="643"/>
    </row>
    <row r="475" spans="1:25" x14ac:dyDescent="0.15">
      <c r="A475" s="642"/>
      <c r="B475" s="640" t="str">
        <f t="shared" si="32"/>
        <v/>
      </c>
      <c r="C475" s="639"/>
      <c r="D475" s="644" t="str">
        <f>IF(A475="","",IFERROR(GETPIVOTDATA("合計 / 合計",【ピボット】事業所売上!$A$3,"年月",$A475,"事業所コード",$B475,"事業所",$C475),0))</f>
        <v/>
      </c>
      <c r="E475" s="643"/>
      <c r="F475" s="643"/>
      <c r="G475" s="643"/>
      <c r="H475" s="643"/>
      <c r="I475" s="643"/>
      <c r="J475" s="643"/>
      <c r="K475" s="644" t="str">
        <f t="shared" si="34"/>
        <v/>
      </c>
      <c r="L475" s="643"/>
      <c r="M475" s="643"/>
      <c r="N475" s="644" t="str">
        <f t="shared" si="35"/>
        <v/>
      </c>
      <c r="O475" s="643"/>
      <c r="P475" s="643"/>
      <c r="Q475" s="644" t="str">
        <f t="shared" si="33"/>
        <v/>
      </c>
      <c r="R475" s="643"/>
      <c r="S475" s="643"/>
      <c r="T475" s="643"/>
      <c r="U475" s="644" t="str">
        <f t="shared" si="36"/>
        <v/>
      </c>
      <c r="V475" s="643"/>
      <c r="W475" s="643"/>
      <c r="X475" s="643"/>
      <c r="Y475" s="643"/>
    </row>
    <row r="476" spans="1:25" x14ac:dyDescent="0.15">
      <c r="A476" s="642"/>
      <c r="B476" s="640" t="str">
        <f t="shared" si="32"/>
        <v/>
      </c>
      <c r="C476" s="639"/>
      <c r="D476" s="644" t="str">
        <f>IF(A476="","",IFERROR(GETPIVOTDATA("合計 / 合計",【ピボット】事業所売上!$A$3,"年月",$A476,"事業所コード",$B476,"事業所",$C476),0))</f>
        <v/>
      </c>
      <c r="E476" s="643"/>
      <c r="F476" s="643"/>
      <c r="G476" s="643"/>
      <c r="H476" s="643"/>
      <c r="I476" s="643"/>
      <c r="J476" s="643"/>
      <c r="K476" s="644" t="str">
        <f t="shared" si="34"/>
        <v/>
      </c>
      <c r="L476" s="643"/>
      <c r="M476" s="643"/>
      <c r="N476" s="644" t="str">
        <f t="shared" si="35"/>
        <v/>
      </c>
      <c r="O476" s="643"/>
      <c r="P476" s="643"/>
      <c r="Q476" s="644" t="str">
        <f t="shared" si="33"/>
        <v/>
      </c>
      <c r="R476" s="643"/>
      <c r="S476" s="643"/>
      <c r="T476" s="643"/>
      <c r="U476" s="644" t="str">
        <f t="shared" si="36"/>
        <v/>
      </c>
      <c r="V476" s="643"/>
      <c r="W476" s="643"/>
      <c r="X476" s="643"/>
      <c r="Y476" s="643"/>
    </row>
    <row r="477" spans="1:25" x14ac:dyDescent="0.15">
      <c r="A477" s="642"/>
      <c r="B477" s="640" t="str">
        <f t="shared" si="32"/>
        <v/>
      </c>
      <c r="C477" s="639"/>
      <c r="D477" s="644" t="str">
        <f>IF(A477="","",IFERROR(GETPIVOTDATA("合計 / 合計",【ピボット】事業所売上!$A$3,"年月",$A477,"事業所コード",$B477,"事業所",$C477),0))</f>
        <v/>
      </c>
      <c r="E477" s="643"/>
      <c r="F477" s="643"/>
      <c r="G477" s="643"/>
      <c r="H477" s="643"/>
      <c r="I477" s="643"/>
      <c r="J477" s="643"/>
      <c r="K477" s="644" t="str">
        <f t="shared" si="34"/>
        <v/>
      </c>
      <c r="L477" s="643"/>
      <c r="M477" s="643"/>
      <c r="N477" s="644" t="str">
        <f t="shared" si="35"/>
        <v/>
      </c>
      <c r="O477" s="643"/>
      <c r="P477" s="643"/>
      <c r="Q477" s="644" t="str">
        <f t="shared" si="33"/>
        <v/>
      </c>
      <c r="R477" s="643"/>
      <c r="S477" s="643"/>
      <c r="T477" s="643"/>
      <c r="U477" s="644" t="str">
        <f t="shared" si="36"/>
        <v/>
      </c>
      <c r="V477" s="643"/>
      <c r="W477" s="643"/>
      <c r="X477" s="643"/>
      <c r="Y477" s="643"/>
    </row>
    <row r="478" spans="1:25" x14ac:dyDescent="0.15">
      <c r="A478" s="642"/>
      <c r="B478" s="640" t="str">
        <f t="shared" si="32"/>
        <v/>
      </c>
      <c r="C478" s="639"/>
      <c r="D478" s="644" t="str">
        <f>IF(A478="","",IFERROR(GETPIVOTDATA("合計 / 合計",【ピボット】事業所売上!$A$3,"年月",$A478,"事業所コード",$B478,"事業所",$C478),0))</f>
        <v/>
      </c>
      <c r="E478" s="643"/>
      <c r="F478" s="643"/>
      <c r="G478" s="643"/>
      <c r="H478" s="643"/>
      <c r="I478" s="643"/>
      <c r="J478" s="643"/>
      <c r="K478" s="644" t="str">
        <f t="shared" si="34"/>
        <v/>
      </c>
      <c r="L478" s="643"/>
      <c r="M478" s="643"/>
      <c r="N478" s="644" t="str">
        <f t="shared" si="35"/>
        <v/>
      </c>
      <c r="O478" s="643"/>
      <c r="P478" s="643"/>
      <c r="Q478" s="644" t="str">
        <f t="shared" si="33"/>
        <v/>
      </c>
      <c r="R478" s="643"/>
      <c r="S478" s="643"/>
      <c r="T478" s="643"/>
      <c r="U478" s="644" t="str">
        <f t="shared" si="36"/>
        <v/>
      </c>
      <c r="V478" s="643"/>
      <c r="W478" s="643"/>
      <c r="X478" s="643"/>
      <c r="Y478" s="643"/>
    </row>
    <row r="479" spans="1:25" x14ac:dyDescent="0.15">
      <c r="A479" s="642"/>
      <c r="B479" s="640" t="str">
        <f t="shared" si="32"/>
        <v/>
      </c>
      <c r="C479" s="639"/>
      <c r="D479" s="644" t="str">
        <f>IF(A479="","",IFERROR(GETPIVOTDATA("合計 / 合計",【ピボット】事業所売上!$A$3,"年月",$A479,"事業所コード",$B479,"事業所",$C479),0))</f>
        <v/>
      </c>
      <c r="E479" s="643"/>
      <c r="F479" s="643"/>
      <c r="G479" s="643"/>
      <c r="H479" s="643"/>
      <c r="I479" s="643"/>
      <c r="J479" s="643"/>
      <c r="K479" s="644" t="str">
        <f t="shared" si="34"/>
        <v/>
      </c>
      <c r="L479" s="643"/>
      <c r="M479" s="643"/>
      <c r="N479" s="644" t="str">
        <f t="shared" si="35"/>
        <v/>
      </c>
      <c r="O479" s="643"/>
      <c r="P479" s="643"/>
      <c r="Q479" s="644" t="str">
        <f t="shared" si="33"/>
        <v/>
      </c>
      <c r="R479" s="643"/>
      <c r="S479" s="643"/>
      <c r="T479" s="643"/>
      <c r="U479" s="644" t="str">
        <f t="shared" si="36"/>
        <v/>
      </c>
      <c r="V479" s="643"/>
      <c r="W479" s="643"/>
      <c r="X479" s="643"/>
      <c r="Y479" s="643"/>
    </row>
    <row r="480" spans="1:25" x14ac:dyDescent="0.15">
      <c r="A480" s="642"/>
      <c r="B480" s="640" t="str">
        <f t="shared" si="32"/>
        <v/>
      </c>
      <c r="C480" s="639"/>
      <c r="D480" s="644" t="str">
        <f>IF(A480="","",IFERROR(GETPIVOTDATA("合計 / 合計",【ピボット】事業所売上!$A$3,"年月",$A480,"事業所コード",$B480,"事業所",$C480),0))</f>
        <v/>
      </c>
      <c r="E480" s="643"/>
      <c r="F480" s="643"/>
      <c r="G480" s="643"/>
      <c r="H480" s="643"/>
      <c r="I480" s="643"/>
      <c r="J480" s="643"/>
      <c r="K480" s="644" t="str">
        <f t="shared" si="34"/>
        <v/>
      </c>
      <c r="L480" s="643"/>
      <c r="M480" s="643"/>
      <c r="N480" s="644" t="str">
        <f t="shared" si="35"/>
        <v/>
      </c>
      <c r="O480" s="643"/>
      <c r="P480" s="643"/>
      <c r="Q480" s="644" t="str">
        <f t="shared" si="33"/>
        <v/>
      </c>
      <c r="R480" s="643"/>
      <c r="S480" s="643"/>
      <c r="T480" s="643"/>
      <c r="U480" s="644" t="str">
        <f t="shared" si="36"/>
        <v/>
      </c>
      <c r="V480" s="643"/>
      <c r="W480" s="643"/>
      <c r="X480" s="643"/>
      <c r="Y480" s="643"/>
    </row>
    <row r="481" spans="1:25" x14ac:dyDescent="0.15">
      <c r="A481" s="642"/>
      <c r="B481" s="640" t="str">
        <f t="shared" si="32"/>
        <v/>
      </c>
      <c r="C481" s="639"/>
      <c r="D481" s="644" t="str">
        <f>IF(A481="","",IFERROR(GETPIVOTDATA("合計 / 合計",【ピボット】事業所売上!$A$3,"年月",$A481,"事業所コード",$B481,"事業所",$C481),0))</f>
        <v/>
      </c>
      <c r="E481" s="643"/>
      <c r="F481" s="643"/>
      <c r="G481" s="643"/>
      <c r="H481" s="643"/>
      <c r="I481" s="643"/>
      <c r="J481" s="643"/>
      <c r="K481" s="644" t="str">
        <f t="shared" si="34"/>
        <v/>
      </c>
      <c r="L481" s="643"/>
      <c r="M481" s="643"/>
      <c r="N481" s="644" t="str">
        <f t="shared" si="35"/>
        <v/>
      </c>
      <c r="O481" s="643"/>
      <c r="P481" s="643"/>
      <c r="Q481" s="644" t="str">
        <f t="shared" si="33"/>
        <v/>
      </c>
      <c r="R481" s="643"/>
      <c r="S481" s="643"/>
      <c r="T481" s="643"/>
      <c r="U481" s="644" t="str">
        <f t="shared" si="36"/>
        <v/>
      </c>
      <c r="V481" s="643"/>
      <c r="W481" s="643"/>
      <c r="X481" s="643"/>
      <c r="Y481" s="643"/>
    </row>
    <row r="482" spans="1:25" x14ac:dyDescent="0.15">
      <c r="A482" s="642"/>
      <c r="B482" s="640" t="str">
        <f t="shared" si="32"/>
        <v/>
      </c>
      <c r="C482" s="639"/>
      <c r="D482" s="644" t="str">
        <f>IF(A482="","",IFERROR(GETPIVOTDATA("合計 / 合計",【ピボット】事業所売上!$A$3,"年月",$A482,"事業所コード",$B482,"事業所",$C482),0))</f>
        <v/>
      </c>
      <c r="E482" s="643"/>
      <c r="F482" s="643"/>
      <c r="G482" s="643"/>
      <c r="H482" s="643"/>
      <c r="I482" s="643"/>
      <c r="J482" s="643"/>
      <c r="K482" s="644" t="str">
        <f t="shared" si="34"/>
        <v/>
      </c>
      <c r="L482" s="643"/>
      <c r="M482" s="643"/>
      <c r="N482" s="644" t="str">
        <f t="shared" si="35"/>
        <v/>
      </c>
      <c r="O482" s="643"/>
      <c r="P482" s="643"/>
      <c r="Q482" s="644" t="str">
        <f t="shared" si="33"/>
        <v/>
      </c>
      <c r="R482" s="643"/>
      <c r="S482" s="643"/>
      <c r="T482" s="643"/>
      <c r="U482" s="644" t="str">
        <f t="shared" si="36"/>
        <v/>
      </c>
      <c r="V482" s="643"/>
      <c r="W482" s="643"/>
      <c r="X482" s="643"/>
      <c r="Y482" s="643"/>
    </row>
    <row r="483" spans="1:25" x14ac:dyDescent="0.15">
      <c r="A483" s="642"/>
      <c r="B483" s="640" t="str">
        <f t="shared" si="32"/>
        <v/>
      </c>
      <c r="C483" s="639"/>
      <c r="D483" s="644" t="str">
        <f>IF(A483="","",IFERROR(GETPIVOTDATA("合計 / 合計",【ピボット】事業所売上!$A$3,"年月",$A483,"事業所コード",$B483,"事業所",$C483),0))</f>
        <v/>
      </c>
      <c r="E483" s="643"/>
      <c r="F483" s="643"/>
      <c r="G483" s="643"/>
      <c r="H483" s="643"/>
      <c r="I483" s="643"/>
      <c r="J483" s="643"/>
      <c r="K483" s="644" t="str">
        <f t="shared" si="34"/>
        <v/>
      </c>
      <c r="L483" s="643"/>
      <c r="M483" s="643"/>
      <c r="N483" s="644" t="str">
        <f t="shared" si="35"/>
        <v/>
      </c>
      <c r="O483" s="643"/>
      <c r="P483" s="643"/>
      <c r="Q483" s="644" t="str">
        <f t="shared" si="33"/>
        <v/>
      </c>
      <c r="R483" s="643"/>
      <c r="S483" s="643"/>
      <c r="T483" s="643"/>
      <c r="U483" s="644" t="str">
        <f t="shared" si="36"/>
        <v/>
      </c>
      <c r="V483" s="643"/>
      <c r="W483" s="643"/>
      <c r="X483" s="643"/>
      <c r="Y483" s="643"/>
    </row>
    <row r="484" spans="1:25" x14ac:dyDescent="0.15">
      <c r="A484" s="642"/>
      <c r="B484" s="640" t="str">
        <f t="shared" si="32"/>
        <v/>
      </c>
      <c r="C484" s="639"/>
      <c r="D484" s="644" t="str">
        <f>IF(A484="","",IFERROR(GETPIVOTDATA("合計 / 合計",【ピボット】事業所売上!$A$3,"年月",$A484,"事業所コード",$B484,"事業所",$C484),0))</f>
        <v/>
      </c>
      <c r="E484" s="643"/>
      <c r="F484" s="643"/>
      <c r="G484" s="643"/>
      <c r="H484" s="643"/>
      <c r="I484" s="643"/>
      <c r="J484" s="643"/>
      <c r="K484" s="644" t="str">
        <f t="shared" si="34"/>
        <v/>
      </c>
      <c r="L484" s="643"/>
      <c r="M484" s="643"/>
      <c r="N484" s="644" t="str">
        <f t="shared" si="35"/>
        <v/>
      </c>
      <c r="O484" s="643"/>
      <c r="P484" s="643"/>
      <c r="Q484" s="644" t="str">
        <f t="shared" si="33"/>
        <v/>
      </c>
      <c r="R484" s="643"/>
      <c r="S484" s="643"/>
      <c r="T484" s="643"/>
      <c r="U484" s="644" t="str">
        <f t="shared" si="36"/>
        <v/>
      </c>
      <c r="V484" s="643"/>
      <c r="W484" s="643"/>
      <c r="X484" s="643"/>
      <c r="Y484" s="643"/>
    </row>
    <row r="485" spans="1:25" x14ac:dyDescent="0.15">
      <c r="A485" s="642"/>
      <c r="B485" s="640" t="str">
        <f t="shared" si="32"/>
        <v/>
      </c>
      <c r="C485" s="639"/>
      <c r="D485" s="644" t="str">
        <f>IF(A485="","",IFERROR(GETPIVOTDATA("合計 / 合計",【ピボット】事業所売上!$A$3,"年月",$A485,"事業所コード",$B485,"事業所",$C485),0))</f>
        <v/>
      </c>
      <c r="E485" s="643"/>
      <c r="F485" s="643"/>
      <c r="G485" s="643"/>
      <c r="H485" s="643"/>
      <c r="I485" s="643"/>
      <c r="J485" s="643"/>
      <c r="K485" s="644" t="str">
        <f t="shared" si="34"/>
        <v/>
      </c>
      <c r="L485" s="643"/>
      <c r="M485" s="643"/>
      <c r="N485" s="644" t="str">
        <f t="shared" si="35"/>
        <v/>
      </c>
      <c r="O485" s="643"/>
      <c r="P485" s="643"/>
      <c r="Q485" s="644" t="str">
        <f t="shared" si="33"/>
        <v/>
      </c>
      <c r="R485" s="643"/>
      <c r="S485" s="643"/>
      <c r="T485" s="643"/>
      <c r="U485" s="644" t="str">
        <f t="shared" si="36"/>
        <v/>
      </c>
      <c r="V485" s="643"/>
      <c r="W485" s="643"/>
      <c r="X485" s="643"/>
      <c r="Y485" s="643"/>
    </row>
    <row r="486" spans="1:25" x14ac:dyDescent="0.15">
      <c r="A486" s="642"/>
      <c r="B486" s="640" t="str">
        <f t="shared" si="32"/>
        <v/>
      </c>
      <c r="C486" s="639"/>
      <c r="D486" s="644" t="str">
        <f>IF(A486="","",IFERROR(GETPIVOTDATA("合計 / 合計",【ピボット】事業所売上!$A$3,"年月",$A486,"事業所コード",$B486,"事業所",$C486),0))</f>
        <v/>
      </c>
      <c r="E486" s="643"/>
      <c r="F486" s="643"/>
      <c r="G486" s="643"/>
      <c r="H486" s="643"/>
      <c r="I486" s="643"/>
      <c r="J486" s="643"/>
      <c r="K486" s="644" t="str">
        <f t="shared" si="34"/>
        <v/>
      </c>
      <c r="L486" s="643"/>
      <c r="M486" s="643"/>
      <c r="N486" s="644" t="str">
        <f t="shared" si="35"/>
        <v/>
      </c>
      <c r="O486" s="643"/>
      <c r="P486" s="643"/>
      <c r="Q486" s="644" t="str">
        <f t="shared" si="33"/>
        <v/>
      </c>
      <c r="R486" s="643"/>
      <c r="S486" s="643"/>
      <c r="T486" s="643"/>
      <c r="U486" s="644" t="str">
        <f t="shared" si="36"/>
        <v/>
      </c>
      <c r="V486" s="643"/>
      <c r="W486" s="643"/>
      <c r="X486" s="643"/>
      <c r="Y486" s="643"/>
    </row>
    <row r="487" spans="1:25" x14ac:dyDescent="0.15">
      <c r="A487" s="642"/>
      <c r="B487" s="640" t="str">
        <f t="shared" si="32"/>
        <v/>
      </c>
      <c r="C487" s="639"/>
      <c r="D487" s="644" t="str">
        <f>IF(A487="","",IFERROR(GETPIVOTDATA("合計 / 合計",【ピボット】事業所売上!$A$3,"年月",$A487,"事業所コード",$B487,"事業所",$C487),0))</f>
        <v/>
      </c>
      <c r="E487" s="643"/>
      <c r="F487" s="643"/>
      <c r="G487" s="643"/>
      <c r="H487" s="643"/>
      <c r="I487" s="643"/>
      <c r="J487" s="643"/>
      <c r="K487" s="644" t="str">
        <f t="shared" si="34"/>
        <v/>
      </c>
      <c r="L487" s="643"/>
      <c r="M487" s="643"/>
      <c r="N487" s="644" t="str">
        <f t="shared" si="35"/>
        <v/>
      </c>
      <c r="O487" s="643"/>
      <c r="P487" s="643"/>
      <c r="Q487" s="644" t="str">
        <f t="shared" si="33"/>
        <v/>
      </c>
      <c r="R487" s="643"/>
      <c r="S487" s="643"/>
      <c r="T487" s="643"/>
      <c r="U487" s="644" t="str">
        <f t="shared" si="36"/>
        <v/>
      </c>
      <c r="V487" s="643"/>
      <c r="W487" s="643"/>
      <c r="X487" s="643"/>
      <c r="Y487" s="643"/>
    </row>
    <row r="488" spans="1:25" x14ac:dyDescent="0.15">
      <c r="A488" s="642"/>
      <c r="B488" s="640" t="str">
        <f t="shared" si="32"/>
        <v/>
      </c>
      <c r="C488" s="639"/>
      <c r="D488" s="644" t="str">
        <f>IF(A488="","",IFERROR(GETPIVOTDATA("合計 / 合計",【ピボット】事業所売上!$A$3,"年月",$A488,"事業所コード",$B488,"事業所",$C488),0))</f>
        <v/>
      </c>
      <c r="E488" s="643"/>
      <c r="F488" s="643"/>
      <c r="G488" s="643"/>
      <c r="H488" s="643"/>
      <c r="I488" s="643"/>
      <c r="J488" s="643"/>
      <c r="K488" s="644" t="str">
        <f t="shared" si="34"/>
        <v/>
      </c>
      <c r="L488" s="643"/>
      <c r="M488" s="643"/>
      <c r="N488" s="644" t="str">
        <f t="shared" si="35"/>
        <v/>
      </c>
      <c r="O488" s="643"/>
      <c r="P488" s="643"/>
      <c r="Q488" s="644" t="str">
        <f t="shared" si="33"/>
        <v/>
      </c>
      <c r="R488" s="643"/>
      <c r="S488" s="643"/>
      <c r="T488" s="643"/>
      <c r="U488" s="644" t="str">
        <f t="shared" si="36"/>
        <v/>
      </c>
      <c r="V488" s="643"/>
      <c r="W488" s="643"/>
      <c r="X488" s="643"/>
      <c r="Y488" s="643"/>
    </row>
    <row r="489" spans="1:25" x14ac:dyDescent="0.15">
      <c r="A489" s="642"/>
      <c r="B489" s="640" t="str">
        <f t="shared" si="32"/>
        <v/>
      </c>
      <c r="C489" s="639"/>
      <c r="D489" s="644" t="str">
        <f>IF(A489="","",IFERROR(GETPIVOTDATA("合計 / 合計",【ピボット】事業所売上!$A$3,"年月",$A489,"事業所コード",$B489,"事業所",$C489),0))</f>
        <v/>
      </c>
      <c r="E489" s="643"/>
      <c r="F489" s="643"/>
      <c r="G489" s="643"/>
      <c r="H489" s="643"/>
      <c r="I489" s="643"/>
      <c r="J489" s="643"/>
      <c r="K489" s="644" t="str">
        <f t="shared" si="34"/>
        <v/>
      </c>
      <c r="L489" s="643"/>
      <c r="M489" s="643"/>
      <c r="N489" s="644" t="str">
        <f t="shared" si="35"/>
        <v/>
      </c>
      <c r="O489" s="643"/>
      <c r="P489" s="643"/>
      <c r="Q489" s="644" t="str">
        <f t="shared" si="33"/>
        <v/>
      </c>
      <c r="R489" s="643"/>
      <c r="S489" s="643"/>
      <c r="T489" s="643"/>
      <c r="U489" s="644" t="str">
        <f t="shared" si="36"/>
        <v/>
      </c>
      <c r="V489" s="643"/>
      <c r="W489" s="643"/>
      <c r="X489" s="643"/>
      <c r="Y489" s="643"/>
    </row>
    <row r="490" spans="1:25" x14ac:dyDescent="0.15">
      <c r="A490" s="642"/>
      <c r="B490" s="640" t="str">
        <f t="shared" si="32"/>
        <v/>
      </c>
      <c r="C490" s="639"/>
      <c r="D490" s="644" t="str">
        <f>IF(A490="","",IFERROR(GETPIVOTDATA("合計 / 合計",【ピボット】事業所売上!$A$3,"年月",$A490,"事業所コード",$B490,"事業所",$C490),0))</f>
        <v/>
      </c>
      <c r="E490" s="643"/>
      <c r="F490" s="643"/>
      <c r="G490" s="643"/>
      <c r="H490" s="643"/>
      <c r="I490" s="643"/>
      <c r="J490" s="643"/>
      <c r="K490" s="644" t="str">
        <f t="shared" si="34"/>
        <v/>
      </c>
      <c r="L490" s="643"/>
      <c r="M490" s="643"/>
      <c r="N490" s="644" t="str">
        <f t="shared" si="35"/>
        <v/>
      </c>
      <c r="O490" s="643"/>
      <c r="P490" s="643"/>
      <c r="Q490" s="644" t="str">
        <f t="shared" si="33"/>
        <v/>
      </c>
      <c r="R490" s="643"/>
      <c r="S490" s="643"/>
      <c r="T490" s="643"/>
      <c r="U490" s="644" t="str">
        <f t="shared" si="36"/>
        <v/>
      </c>
      <c r="V490" s="643"/>
      <c r="W490" s="643"/>
      <c r="X490" s="643"/>
      <c r="Y490" s="643"/>
    </row>
    <row r="491" spans="1:25" x14ac:dyDescent="0.15">
      <c r="A491" s="642"/>
      <c r="B491" s="640" t="str">
        <f t="shared" si="32"/>
        <v/>
      </c>
      <c r="C491" s="639"/>
      <c r="D491" s="644" t="str">
        <f>IF(A491="","",IFERROR(GETPIVOTDATA("合計 / 合計",【ピボット】事業所売上!$A$3,"年月",$A491,"事業所コード",$B491,"事業所",$C491),0))</f>
        <v/>
      </c>
      <c r="E491" s="643"/>
      <c r="F491" s="643"/>
      <c r="G491" s="643"/>
      <c r="H491" s="643"/>
      <c r="I491" s="643"/>
      <c r="J491" s="643"/>
      <c r="K491" s="644" t="str">
        <f t="shared" si="34"/>
        <v/>
      </c>
      <c r="L491" s="643"/>
      <c r="M491" s="643"/>
      <c r="N491" s="644" t="str">
        <f t="shared" si="35"/>
        <v/>
      </c>
      <c r="O491" s="643"/>
      <c r="P491" s="643"/>
      <c r="Q491" s="644" t="str">
        <f t="shared" si="33"/>
        <v/>
      </c>
      <c r="R491" s="643"/>
      <c r="S491" s="643"/>
      <c r="T491" s="643"/>
      <c r="U491" s="644" t="str">
        <f t="shared" si="36"/>
        <v/>
      </c>
      <c r="V491" s="643"/>
      <c r="W491" s="643"/>
      <c r="X491" s="643"/>
      <c r="Y491" s="643"/>
    </row>
    <row r="492" spans="1:25" x14ac:dyDescent="0.15">
      <c r="A492" s="642"/>
      <c r="B492" s="640" t="str">
        <f t="shared" si="32"/>
        <v/>
      </c>
      <c r="C492" s="639"/>
      <c r="D492" s="644" t="str">
        <f>IF(A492="","",IFERROR(GETPIVOTDATA("合計 / 合計",【ピボット】事業所売上!$A$3,"年月",$A492,"事業所コード",$B492,"事業所",$C492),0))</f>
        <v/>
      </c>
      <c r="E492" s="643"/>
      <c r="F492" s="643"/>
      <c r="G492" s="643"/>
      <c r="H492" s="643"/>
      <c r="I492" s="643"/>
      <c r="J492" s="643"/>
      <c r="K492" s="644" t="str">
        <f t="shared" si="34"/>
        <v/>
      </c>
      <c r="L492" s="643"/>
      <c r="M492" s="643"/>
      <c r="N492" s="644" t="str">
        <f t="shared" si="35"/>
        <v/>
      </c>
      <c r="O492" s="643"/>
      <c r="P492" s="643"/>
      <c r="Q492" s="644" t="str">
        <f t="shared" si="33"/>
        <v/>
      </c>
      <c r="R492" s="643"/>
      <c r="S492" s="643"/>
      <c r="T492" s="643"/>
      <c r="U492" s="644" t="str">
        <f t="shared" si="36"/>
        <v/>
      </c>
      <c r="V492" s="643"/>
      <c r="W492" s="643"/>
      <c r="X492" s="643"/>
      <c r="Y492" s="643"/>
    </row>
    <row r="493" spans="1:25" x14ac:dyDescent="0.15">
      <c r="A493" s="642"/>
      <c r="B493" s="640" t="str">
        <f t="shared" si="32"/>
        <v/>
      </c>
      <c r="C493" s="639"/>
      <c r="D493" s="644" t="str">
        <f>IF(A493="","",IFERROR(GETPIVOTDATA("合計 / 合計",【ピボット】事業所売上!$A$3,"年月",$A493,"事業所コード",$B493,"事業所",$C493),0))</f>
        <v/>
      </c>
      <c r="E493" s="643"/>
      <c r="F493" s="643"/>
      <c r="G493" s="643"/>
      <c r="H493" s="643"/>
      <c r="I493" s="643"/>
      <c r="J493" s="643"/>
      <c r="K493" s="644" t="str">
        <f t="shared" si="34"/>
        <v/>
      </c>
      <c r="L493" s="643"/>
      <c r="M493" s="643"/>
      <c r="N493" s="644" t="str">
        <f t="shared" si="35"/>
        <v/>
      </c>
      <c r="O493" s="643"/>
      <c r="P493" s="643"/>
      <c r="Q493" s="644" t="str">
        <f t="shared" si="33"/>
        <v/>
      </c>
      <c r="R493" s="643"/>
      <c r="S493" s="643"/>
      <c r="T493" s="643"/>
      <c r="U493" s="644" t="str">
        <f t="shared" si="36"/>
        <v/>
      </c>
      <c r="V493" s="643"/>
      <c r="W493" s="643"/>
      <c r="X493" s="643"/>
      <c r="Y493" s="643"/>
    </row>
    <row r="494" spans="1:25" x14ac:dyDescent="0.15">
      <c r="A494" s="642"/>
      <c r="B494" s="640" t="str">
        <f t="shared" si="32"/>
        <v/>
      </c>
      <c r="C494" s="639"/>
      <c r="D494" s="644" t="str">
        <f>IF(A494="","",IFERROR(GETPIVOTDATA("合計 / 合計",【ピボット】事業所売上!$A$3,"年月",$A494,"事業所コード",$B494,"事業所",$C494),0))</f>
        <v/>
      </c>
      <c r="E494" s="643"/>
      <c r="F494" s="643"/>
      <c r="G494" s="643"/>
      <c r="H494" s="643"/>
      <c r="I494" s="643"/>
      <c r="J494" s="643"/>
      <c r="K494" s="644" t="str">
        <f t="shared" si="34"/>
        <v/>
      </c>
      <c r="L494" s="643"/>
      <c r="M494" s="643"/>
      <c r="N494" s="644" t="str">
        <f t="shared" si="35"/>
        <v/>
      </c>
      <c r="O494" s="643"/>
      <c r="P494" s="643"/>
      <c r="Q494" s="644" t="str">
        <f t="shared" si="33"/>
        <v/>
      </c>
      <c r="R494" s="643"/>
      <c r="S494" s="643"/>
      <c r="T494" s="643"/>
      <c r="U494" s="644" t="str">
        <f t="shared" si="36"/>
        <v/>
      </c>
      <c r="V494" s="643"/>
      <c r="W494" s="643"/>
      <c r="X494" s="643"/>
      <c r="Y494" s="643"/>
    </row>
    <row r="495" spans="1:25" x14ac:dyDescent="0.15">
      <c r="A495" s="642"/>
      <c r="B495" s="640" t="str">
        <f t="shared" ref="B495:B500" si="37">IF(C495="","",VLOOKUP(C495,事業所コード2,2,FALSE))</f>
        <v/>
      </c>
      <c r="C495" s="639"/>
      <c r="D495" s="644" t="str">
        <f>IF(A495="","",IFERROR(GETPIVOTDATA("合計 / 合計",【ピボット】事業所売上!$A$3,"年月",$A495,"事業所コード",$B495,"事業所",$C495),0))</f>
        <v/>
      </c>
      <c r="E495" s="643"/>
      <c r="F495" s="643"/>
      <c r="G495" s="643"/>
      <c r="H495" s="643"/>
      <c r="I495" s="643"/>
      <c r="J495" s="643"/>
      <c r="K495" s="644" t="str">
        <f t="shared" si="34"/>
        <v/>
      </c>
      <c r="L495" s="643"/>
      <c r="M495" s="643"/>
      <c r="N495" s="644" t="str">
        <f t="shared" si="35"/>
        <v/>
      </c>
      <c r="O495" s="643"/>
      <c r="P495" s="643"/>
      <c r="Q495" s="644" t="str">
        <f t="shared" si="33"/>
        <v/>
      </c>
      <c r="R495" s="643"/>
      <c r="S495" s="643"/>
      <c r="T495" s="643"/>
      <c r="U495" s="644" t="str">
        <f t="shared" si="36"/>
        <v/>
      </c>
      <c r="V495" s="643"/>
      <c r="W495" s="643"/>
      <c r="X495" s="643"/>
      <c r="Y495" s="643"/>
    </row>
    <row r="496" spans="1:25" x14ac:dyDescent="0.15">
      <c r="A496" s="642"/>
      <c r="B496" s="640" t="str">
        <f t="shared" si="37"/>
        <v/>
      </c>
      <c r="C496" s="639"/>
      <c r="D496" s="644" t="str">
        <f>IF(A496="","",IFERROR(GETPIVOTDATA("合計 / 合計",【ピボット】事業所売上!$A$3,"年月",$A496,"事業所コード",$B496,"事業所",$C496),0))</f>
        <v/>
      </c>
      <c r="E496" s="643"/>
      <c r="F496" s="643"/>
      <c r="G496" s="643"/>
      <c r="H496" s="643"/>
      <c r="I496" s="643"/>
      <c r="J496" s="643"/>
      <c r="K496" s="644" t="str">
        <f t="shared" si="34"/>
        <v/>
      </c>
      <c r="L496" s="643"/>
      <c r="M496" s="643"/>
      <c r="N496" s="644" t="str">
        <f t="shared" si="35"/>
        <v/>
      </c>
      <c r="O496" s="643"/>
      <c r="P496" s="643"/>
      <c r="Q496" s="644" t="str">
        <f t="shared" si="33"/>
        <v/>
      </c>
      <c r="R496" s="643"/>
      <c r="S496" s="643"/>
      <c r="T496" s="643"/>
      <c r="U496" s="644" t="str">
        <f t="shared" si="36"/>
        <v/>
      </c>
      <c r="V496" s="643"/>
      <c r="W496" s="643"/>
      <c r="X496" s="643"/>
      <c r="Y496" s="643"/>
    </row>
    <row r="497" spans="1:25" x14ac:dyDescent="0.15">
      <c r="A497" s="642"/>
      <c r="B497" s="640" t="str">
        <f t="shared" si="37"/>
        <v/>
      </c>
      <c r="C497" s="639"/>
      <c r="D497" s="644" t="str">
        <f>IF(A497="","",IFERROR(GETPIVOTDATA("合計 / 合計",【ピボット】事業所売上!$A$3,"年月",$A497,"事業所コード",$B497,"事業所",$C497),0))</f>
        <v/>
      </c>
      <c r="E497" s="643"/>
      <c r="F497" s="643"/>
      <c r="G497" s="643"/>
      <c r="H497" s="643"/>
      <c r="I497" s="643"/>
      <c r="J497" s="643"/>
      <c r="K497" s="644" t="str">
        <f t="shared" si="34"/>
        <v/>
      </c>
      <c r="L497" s="643"/>
      <c r="M497" s="643"/>
      <c r="N497" s="644" t="str">
        <f t="shared" si="35"/>
        <v/>
      </c>
      <c r="O497" s="643"/>
      <c r="P497" s="643"/>
      <c r="Q497" s="644" t="str">
        <f t="shared" si="33"/>
        <v/>
      </c>
      <c r="R497" s="643"/>
      <c r="S497" s="643"/>
      <c r="T497" s="643"/>
      <c r="U497" s="644" t="str">
        <f t="shared" si="36"/>
        <v/>
      </c>
      <c r="V497" s="643"/>
      <c r="W497" s="643"/>
      <c r="X497" s="643"/>
      <c r="Y497" s="643"/>
    </row>
    <row r="498" spans="1:25" x14ac:dyDescent="0.15">
      <c r="A498" s="642"/>
      <c r="B498" s="640" t="str">
        <f t="shared" si="37"/>
        <v/>
      </c>
      <c r="C498" s="639"/>
      <c r="D498" s="644" t="str">
        <f>IF(A498="","",IFERROR(GETPIVOTDATA("合計 / 合計",【ピボット】事業所売上!$A$3,"年月",$A498,"事業所コード",$B498,"事業所",$C498),0))</f>
        <v/>
      </c>
      <c r="E498" s="643"/>
      <c r="F498" s="643"/>
      <c r="G498" s="643"/>
      <c r="H498" s="643"/>
      <c r="I498" s="643"/>
      <c r="J498" s="643"/>
      <c r="K498" s="644" t="str">
        <f t="shared" si="34"/>
        <v/>
      </c>
      <c r="L498" s="643"/>
      <c r="M498" s="643"/>
      <c r="N498" s="644" t="str">
        <f t="shared" si="35"/>
        <v/>
      </c>
      <c r="O498" s="643"/>
      <c r="P498" s="643"/>
      <c r="Q498" s="644" t="str">
        <f t="shared" si="33"/>
        <v/>
      </c>
      <c r="R498" s="643"/>
      <c r="S498" s="643"/>
      <c r="T498" s="643"/>
      <c r="U498" s="644" t="str">
        <f t="shared" si="36"/>
        <v/>
      </c>
      <c r="V498" s="643"/>
      <c r="W498" s="643"/>
      <c r="X498" s="643"/>
      <c r="Y498" s="643"/>
    </row>
    <row r="499" spans="1:25" x14ac:dyDescent="0.15">
      <c r="A499" s="642"/>
      <c r="B499" s="640" t="str">
        <f t="shared" si="37"/>
        <v/>
      </c>
      <c r="C499" s="639"/>
      <c r="D499" s="644" t="str">
        <f>IF(A499="","",IFERROR(GETPIVOTDATA("合計 / 合計",【ピボット】事業所売上!$A$3,"年月",$A499,"事業所コード",$B499,"事業所",$C499),0))</f>
        <v/>
      </c>
      <c r="E499" s="643"/>
      <c r="F499" s="643"/>
      <c r="G499" s="643"/>
      <c r="H499" s="643"/>
      <c r="I499" s="643"/>
      <c r="J499" s="643"/>
      <c r="K499" s="644" t="str">
        <f t="shared" si="34"/>
        <v/>
      </c>
      <c r="L499" s="643"/>
      <c r="M499" s="643"/>
      <c r="N499" s="644" t="str">
        <f t="shared" si="35"/>
        <v/>
      </c>
      <c r="O499" s="643"/>
      <c r="P499" s="643"/>
      <c r="Q499" s="644" t="str">
        <f t="shared" si="33"/>
        <v/>
      </c>
      <c r="R499" s="643"/>
      <c r="S499" s="643"/>
      <c r="T499" s="643"/>
      <c r="U499" s="644" t="str">
        <f t="shared" si="36"/>
        <v/>
      </c>
      <c r="V499" s="643"/>
      <c r="W499" s="643"/>
      <c r="X499" s="643"/>
      <c r="Y499" s="643"/>
    </row>
    <row r="500" spans="1:25" x14ac:dyDescent="0.15">
      <c r="A500" s="642"/>
      <c r="B500" s="640" t="str">
        <f t="shared" si="37"/>
        <v/>
      </c>
      <c r="C500" s="639"/>
      <c r="D500" s="644" t="str">
        <f>IF(A500="","",IFERROR(GETPIVOTDATA("合計 / 合計",【ピボット】事業所売上!$A$3,"年月",$A500,"事業所コード",$B500,"事業所",$C500),0))</f>
        <v/>
      </c>
      <c r="E500" s="643"/>
      <c r="F500" s="643"/>
      <c r="G500" s="643"/>
      <c r="H500" s="643"/>
      <c r="I500" s="643"/>
      <c r="J500" s="643"/>
      <c r="K500" s="644" t="str">
        <f t="shared" si="34"/>
        <v/>
      </c>
      <c r="L500" s="643"/>
      <c r="M500" s="643"/>
      <c r="N500" s="644" t="str">
        <f t="shared" si="35"/>
        <v/>
      </c>
      <c r="O500" s="643"/>
      <c r="P500" s="643"/>
      <c r="Q500" s="644" t="str">
        <f t="shared" si="33"/>
        <v/>
      </c>
      <c r="R500" s="643"/>
      <c r="S500" s="643"/>
      <c r="T500" s="643"/>
      <c r="U500" s="644" t="str">
        <f t="shared" si="36"/>
        <v/>
      </c>
      <c r="V500" s="643"/>
      <c r="W500" s="643"/>
      <c r="X500" s="643"/>
      <c r="Y500" s="643"/>
    </row>
    <row r="501" spans="1:25" x14ac:dyDescent="0.15">
      <c r="A501" s="642"/>
      <c r="B501" s="647"/>
      <c r="C501" s="639" t="str">
        <f>IF(B501="","",VLOOKUP(B501,事業所コード2,2,FALSE))</f>
        <v/>
      </c>
      <c r="D501" s="644" t="str">
        <f>IF(A501="","",IFERROR(GETPIVOTDATA("合計 / 合計",【ピボット】事業所売上!$A$3,"年月",$A501,"事業所コード",$B501,"事業所",$C501),0))</f>
        <v/>
      </c>
      <c r="E501" s="643"/>
      <c r="F501" s="643"/>
      <c r="G501" s="643"/>
      <c r="H501" s="643"/>
      <c r="I501" s="643"/>
      <c r="J501" s="643"/>
      <c r="K501" s="644" t="str">
        <f t="shared" si="34"/>
        <v/>
      </c>
      <c r="L501" s="643"/>
      <c r="M501" s="643"/>
      <c r="N501" s="644" t="str">
        <f t="shared" si="35"/>
        <v/>
      </c>
      <c r="O501" s="643"/>
      <c r="P501" s="643"/>
      <c r="Q501" s="644" t="str">
        <f t="shared" si="33"/>
        <v/>
      </c>
      <c r="R501" s="643"/>
      <c r="S501" s="643"/>
      <c r="T501" s="643"/>
      <c r="U501" s="644" t="str">
        <f t="shared" si="36"/>
        <v/>
      </c>
      <c r="V501" s="643"/>
      <c r="W501" s="643"/>
      <c r="X501" s="643"/>
      <c r="Y501" s="643"/>
    </row>
    <row r="502" spans="1:25" x14ac:dyDescent="0.15">
      <c r="A502" s="634"/>
      <c r="B502" s="635"/>
      <c r="D502"/>
    </row>
    <row r="503" spans="1:25" x14ac:dyDescent="0.15">
      <c r="A503" s="634"/>
      <c r="B503" s="635"/>
      <c r="D503"/>
    </row>
    <row r="504" spans="1:25" x14ac:dyDescent="0.15">
      <c r="A504" s="634"/>
      <c r="B504" s="635"/>
    </row>
    <row r="505" spans="1:25" x14ac:dyDescent="0.15">
      <c r="A505" s="634"/>
      <c r="B505" s="635"/>
    </row>
    <row r="506" spans="1:25" x14ac:dyDescent="0.15">
      <c r="A506" s="634"/>
      <c r="B506" s="635"/>
    </row>
    <row r="507" spans="1:25" x14ac:dyDescent="0.15">
      <c r="A507" s="634"/>
      <c r="B507" s="635"/>
    </row>
    <row r="508" spans="1:25" x14ac:dyDescent="0.15">
      <c r="A508" s="634"/>
      <c r="B508" s="635"/>
    </row>
    <row r="509" spans="1:25" x14ac:dyDescent="0.15">
      <c r="A509" s="634"/>
      <c r="B509" s="635"/>
    </row>
    <row r="510" spans="1:25" x14ac:dyDescent="0.15">
      <c r="A510" s="634"/>
      <c r="B510" s="635"/>
    </row>
    <row r="511" spans="1:25" x14ac:dyDescent="0.15">
      <c r="A511" s="634"/>
      <c r="B511" s="635"/>
    </row>
    <row r="512" spans="1:25" x14ac:dyDescent="0.15">
      <c r="A512" s="634"/>
      <c r="B512" s="635"/>
    </row>
    <row r="513" spans="1:2" x14ac:dyDescent="0.15">
      <c r="A513" s="634"/>
      <c r="B513" s="635"/>
    </row>
    <row r="514" spans="1:2" x14ac:dyDescent="0.15">
      <c r="A514" s="634"/>
      <c r="B514" s="635"/>
    </row>
    <row r="515" spans="1:2" x14ac:dyDescent="0.15">
      <c r="A515" s="634"/>
      <c r="B515" s="635"/>
    </row>
    <row r="516" spans="1:2" x14ac:dyDescent="0.15">
      <c r="A516" s="634"/>
      <c r="B516" s="635"/>
    </row>
    <row r="517" spans="1:2" x14ac:dyDescent="0.15">
      <c r="A517" s="634"/>
      <c r="B517" s="635"/>
    </row>
    <row r="518" spans="1:2" x14ac:dyDescent="0.15">
      <c r="A518" s="634"/>
      <c r="B518" s="635"/>
    </row>
    <row r="519" spans="1:2" x14ac:dyDescent="0.15">
      <c r="A519" s="634"/>
      <c r="B519" s="635"/>
    </row>
    <row r="520" spans="1:2" x14ac:dyDescent="0.15">
      <c r="A520" s="634"/>
      <c r="B520" s="635"/>
    </row>
    <row r="521" spans="1:2" x14ac:dyDescent="0.15">
      <c r="A521" s="634"/>
      <c r="B521" s="635"/>
    </row>
    <row r="522" spans="1:2" x14ac:dyDescent="0.15">
      <c r="A522" s="634"/>
      <c r="B522" s="635"/>
    </row>
    <row r="523" spans="1:2" x14ac:dyDescent="0.15">
      <c r="A523" s="634"/>
      <c r="B523" s="635"/>
    </row>
    <row r="524" spans="1:2" x14ac:dyDescent="0.15">
      <c r="A524" s="634"/>
      <c r="B524" s="635"/>
    </row>
    <row r="525" spans="1:2" x14ac:dyDescent="0.15">
      <c r="A525" s="634"/>
      <c r="B525" s="635"/>
    </row>
    <row r="526" spans="1:2" x14ac:dyDescent="0.15">
      <c r="A526" s="634"/>
      <c r="B526" s="635"/>
    </row>
    <row r="527" spans="1:2" x14ac:dyDescent="0.15">
      <c r="A527" s="634"/>
      <c r="B527" s="635"/>
    </row>
    <row r="528" spans="1:2" x14ac:dyDescent="0.15">
      <c r="A528" s="634"/>
      <c r="B528" s="635"/>
    </row>
    <row r="529" spans="1:2" x14ac:dyDescent="0.15">
      <c r="A529" s="634"/>
      <c r="B529" s="635"/>
    </row>
    <row r="530" spans="1:2" x14ac:dyDescent="0.15">
      <c r="A530" s="634"/>
      <c r="B530" s="635"/>
    </row>
    <row r="531" spans="1:2" x14ac:dyDescent="0.15">
      <c r="A531" s="634"/>
      <c r="B531" s="635"/>
    </row>
    <row r="532" spans="1:2" x14ac:dyDescent="0.15">
      <c r="A532" s="634"/>
      <c r="B532" s="635"/>
    </row>
    <row r="533" spans="1:2" x14ac:dyDescent="0.15">
      <c r="A533" s="634"/>
      <c r="B533" s="635"/>
    </row>
    <row r="534" spans="1:2" x14ac:dyDescent="0.15">
      <c r="A534" s="634"/>
      <c r="B534" s="635"/>
    </row>
    <row r="535" spans="1:2" x14ac:dyDescent="0.15">
      <c r="A535" s="634"/>
      <c r="B535" s="635"/>
    </row>
    <row r="536" spans="1:2" x14ac:dyDescent="0.15">
      <c r="A536" s="634"/>
      <c r="B536" s="635"/>
    </row>
    <row r="537" spans="1:2" x14ac:dyDescent="0.15">
      <c r="A537" s="634"/>
      <c r="B537" s="635"/>
    </row>
    <row r="538" spans="1:2" x14ac:dyDescent="0.15">
      <c r="A538" s="634"/>
      <c r="B538" s="635"/>
    </row>
    <row r="539" spans="1:2" x14ac:dyDescent="0.15">
      <c r="A539" s="634"/>
      <c r="B539" s="635"/>
    </row>
    <row r="540" spans="1:2" x14ac:dyDescent="0.15">
      <c r="A540" s="634"/>
      <c r="B540" s="635"/>
    </row>
    <row r="541" spans="1:2" x14ac:dyDescent="0.15">
      <c r="A541" s="634"/>
      <c r="B541" s="635"/>
    </row>
    <row r="542" spans="1:2" x14ac:dyDescent="0.15">
      <c r="A542" s="634"/>
      <c r="B542" s="635"/>
    </row>
    <row r="543" spans="1:2" x14ac:dyDescent="0.15">
      <c r="A543" s="634"/>
      <c r="B543" s="635"/>
    </row>
    <row r="544" spans="1:2" x14ac:dyDescent="0.15">
      <c r="A544" s="634"/>
      <c r="B544" s="635"/>
    </row>
    <row r="545" spans="1:2" x14ac:dyDescent="0.15">
      <c r="A545" s="634"/>
      <c r="B545" s="635"/>
    </row>
    <row r="546" spans="1:2" x14ac:dyDescent="0.15">
      <c r="A546" s="634"/>
      <c r="B546" s="635"/>
    </row>
    <row r="547" spans="1:2" x14ac:dyDescent="0.15">
      <c r="A547" s="634"/>
      <c r="B547" s="635"/>
    </row>
    <row r="548" spans="1:2" x14ac:dyDescent="0.15">
      <c r="A548" s="634"/>
      <c r="B548" s="635"/>
    </row>
    <row r="549" spans="1:2" x14ac:dyDescent="0.15">
      <c r="A549" s="634"/>
      <c r="B549" s="635"/>
    </row>
    <row r="550" spans="1:2" x14ac:dyDescent="0.15">
      <c r="A550" s="634"/>
      <c r="B550" s="635"/>
    </row>
    <row r="551" spans="1:2" x14ac:dyDescent="0.15">
      <c r="A551" s="634"/>
      <c r="B551" s="635"/>
    </row>
    <row r="552" spans="1:2" x14ac:dyDescent="0.15">
      <c r="A552" s="634"/>
      <c r="B552" s="635"/>
    </row>
    <row r="553" spans="1:2" x14ac:dyDescent="0.15">
      <c r="A553" s="634"/>
      <c r="B553" s="635"/>
    </row>
    <row r="554" spans="1:2" x14ac:dyDescent="0.15">
      <c r="A554" s="634"/>
      <c r="B554" s="635"/>
    </row>
    <row r="555" spans="1:2" x14ac:dyDescent="0.15">
      <c r="A555" s="634"/>
      <c r="B555" s="635"/>
    </row>
    <row r="556" spans="1:2" x14ac:dyDescent="0.15">
      <c r="A556" s="634"/>
      <c r="B556" s="635"/>
    </row>
    <row r="557" spans="1:2" x14ac:dyDescent="0.15">
      <c r="A557" s="634"/>
      <c r="B557" s="635"/>
    </row>
    <row r="558" spans="1:2" x14ac:dyDescent="0.15">
      <c r="A558" s="634"/>
      <c r="B558" s="635"/>
    </row>
    <row r="559" spans="1:2" x14ac:dyDescent="0.15">
      <c r="A559" s="634"/>
      <c r="B559" s="635"/>
    </row>
    <row r="560" spans="1:2" x14ac:dyDescent="0.15">
      <c r="A560" s="634"/>
      <c r="B560" s="635"/>
    </row>
    <row r="561" spans="1:2" x14ac:dyDescent="0.15">
      <c r="A561" s="634"/>
      <c r="B561" s="635"/>
    </row>
    <row r="562" spans="1:2" x14ac:dyDescent="0.15">
      <c r="A562" s="634"/>
      <c r="B562" s="635"/>
    </row>
    <row r="563" spans="1:2" x14ac:dyDescent="0.15">
      <c r="A563" s="634"/>
      <c r="B563" s="635"/>
    </row>
    <row r="564" spans="1:2" x14ac:dyDescent="0.15">
      <c r="A564" s="634"/>
      <c r="B564" s="635"/>
    </row>
    <row r="565" spans="1:2" x14ac:dyDescent="0.15">
      <c r="A565" s="634"/>
      <c r="B565" s="635"/>
    </row>
    <row r="566" spans="1:2" x14ac:dyDescent="0.15">
      <c r="A566" s="634"/>
      <c r="B566" s="635"/>
    </row>
    <row r="567" spans="1:2" x14ac:dyDescent="0.15">
      <c r="A567" s="634"/>
      <c r="B567" s="635"/>
    </row>
    <row r="568" spans="1:2" x14ac:dyDescent="0.15">
      <c r="A568" s="634"/>
      <c r="B568" s="635"/>
    </row>
    <row r="569" spans="1:2" x14ac:dyDescent="0.15">
      <c r="A569" s="634"/>
      <c r="B569" s="635"/>
    </row>
    <row r="570" spans="1:2" x14ac:dyDescent="0.15">
      <c r="A570" s="634"/>
      <c r="B570" s="635"/>
    </row>
    <row r="571" spans="1:2" x14ac:dyDescent="0.15">
      <c r="A571" s="634"/>
      <c r="B571" s="635"/>
    </row>
    <row r="572" spans="1:2" x14ac:dyDescent="0.15">
      <c r="A572" s="634"/>
      <c r="B572" s="635"/>
    </row>
    <row r="573" spans="1:2" x14ac:dyDescent="0.15">
      <c r="A573" s="634"/>
      <c r="B573" s="635"/>
    </row>
    <row r="574" spans="1:2" x14ac:dyDescent="0.15">
      <c r="A574" s="634"/>
      <c r="B574" s="635"/>
    </row>
    <row r="575" spans="1:2" x14ac:dyDescent="0.15">
      <c r="A575" s="634"/>
      <c r="B575" s="635"/>
    </row>
    <row r="576" spans="1:2" x14ac:dyDescent="0.15">
      <c r="A576" s="634"/>
      <c r="B576" s="635"/>
    </row>
    <row r="577" spans="1:2" x14ac:dyDescent="0.15">
      <c r="A577" s="634"/>
      <c r="B577" s="635"/>
    </row>
    <row r="578" spans="1:2" x14ac:dyDescent="0.15">
      <c r="A578" s="634"/>
      <c r="B578" s="635"/>
    </row>
    <row r="579" spans="1:2" x14ac:dyDescent="0.15">
      <c r="A579" s="634"/>
      <c r="B579" s="635"/>
    </row>
    <row r="580" spans="1:2" x14ac:dyDescent="0.15">
      <c r="A580" s="634"/>
      <c r="B580" s="635"/>
    </row>
    <row r="581" spans="1:2" x14ac:dyDescent="0.15">
      <c r="A581" s="634"/>
      <c r="B581" s="635"/>
    </row>
    <row r="582" spans="1:2" x14ac:dyDescent="0.15">
      <c r="A582" s="634"/>
      <c r="B582" s="635"/>
    </row>
    <row r="583" spans="1:2" x14ac:dyDescent="0.15">
      <c r="A583" s="634"/>
      <c r="B583" s="635"/>
    </row>
    <row r="584" spans="1:2" x14ac:dyDescent="0.15">
      <c r="A584" s="634"/>
      <c r="B584" s="635"/>
    </row>
    <row r="585" spans="1:2" x14ac:dyDescent="0.15">
      <c r="A585" s="634"/>
      <c r="B585" s="635"/>
    </row>
    <row r="586" spans="1:2" x14ac:dyDescent="0.15">
      <c r="A586" s="634"/>
      <c r="B586" s="635"/>
    </row>
    <row r="587" spans="1:2" x14ac:dyDescent="0.15">
      <c r="A587" s="634"/>
      <c r="B587" s="635"/>
    </row>
    <row r="588" spans="1:2" x14ac:dyDescent="0.15">
      <c r="A588" s="634"/>
      <c r="B588" s="635"/>
    </row>
    <row r="589" spans="1:2" x14ac:dyDescent="0.15">
      <c r="A589" s="634"/>
      <c r="B589" s="635"/>
    </row>
    <row r="590" spans="1:2" x14ac:dyDescent="0.15">
      <c r="A590" s="634"/>
      <c r="B590" s="635"/>
    </row>
    <row r="591" spans="1:2" x14ac:dyDescent="0.15">
      <c r="A591" s="634"/>
      <c r="B591" s="635"/>
    </row>
    <row r="592" spans="1:2" x14ac:dyDescent="0.15">
      <c r="A592" s="634"/>
      <c r="B592" s="635"/>
    </row>
    <row r="593" spans="1:2" x14ac:dyDescent="0.15">
      <c r="A593" s="634"/>
      <c r="B593" s="635"/>
    </row>
    <row r="594" spans="1:2" x14ac:dyDescent="0.15">
      <c r="A594" s="634"/>
      <c r="B594" s="635"/>
    </row>
    <row r="595" spans="1:2" x14ac:dyDescent="0.15">
      <c r="A595" s="634"/>
      <c r="B595" s="635"/>
    </row>
    <row r="596" spans="1:2" x14ac:dyDescent="0.15">
      <c r="A596" s="634"/>
      <c r="B596" s="635"/>
    </row>
    <row r="597" spans="1:2" x14ac:dyDescent="0.15">
      <c r="A597" s="634"/>
      <c r="B597" s="635"/>
    </row>
    <row r="598" spans="1:2" x14ac:dyDescent="0.15">
      <c r="A598" s="634"/>
      <c r="B598" s="635"/>
    </row>
    <row r="599" spans="1:2" x14ac:dyDescent="0.15">
      <c r="A599" s="634"/>
      <c r="B599" s="635"/>
    </row>
    <row r="600" spans="1:2" x14ac:dyDescent="0.15">
      <c r="A600" s="634"/>
      <c r="B600" s="635"/>
    </row>
    <row r="601" spans="1:2" x14ac:dyDescent="0.15">
      <c r="A601" s="634"/>
      <c r="B601" s="635"/>
    </row>
    <row r="602" spans="1:2" x14ac:dyDescent="0.15">
      <c r="A602" s="634"/>
      <c r="B602" s="635"/>
    </row>
    <row r="603" spans="1:2" x14ac:dyDescent="0.15">
      <c r="A603" s="634"/>
      <c r="B603" s="635"/>
    </row>
    <row r="604" spans="1:2" x14ac:dyDescent="0.15">
      <c r="A604" s="634"/>
      <c r="B604" s="635"/>
    </row>
    <row r="605" spans="1:2" x14ac:dyDescent="0.15">
      <c r="A605" s="634"/>
      <c r="B605" s="635"/>
    </row>
    <row r="606" spans="1:2" x14ac:dyDescent="0.15">
      <c r="A606" s="634"/>
      <c r="B606" s="635"/>
    </row>
    <row r="607" spans="1:2" x14ac:dyDescent="0.15">
      <c r="A607" s="634"/>
      <c r="B607" s="635"/>
    </row>
    <row r="608" spans="1:2" x14ac:dyDescent="0.15">
      <c r="A608" s="634"/>
      <c r="B608" s="635"/>
    </row>
    <row r="609" spans="1:2" x14ac:dyDescent="0.15">
      <c r="A609" s="634"/>
      <c r="B609" s="635"/>
    </row>
    <row r="610" spans="1:2" x14ac:dyDescent="0.15">
      <c r="A610" s="634"/>
      <c r="B610" s="635"/>
    </row>
    <row r="611" spans="1:2" x14ac:dyDescent="0.15">
      <c r="A611" s="634"/>
      <c r="B611" s="635"/>
    </row>
    <row r="612" spans="1:2" x14ac:dyDescent="0.15">
      <c r="A612" s="634"/>
      <c r="B612" s="635"/>
    </row>
    <row r="613" spans="1:2" x14ac:dyDescent="0.15">
      <c r="A613" s="634"/>
      <c r="B613" s="635"/>
    </row>
    <row r="614" spans="1:2" x14ac:dyDescent="0.15">
      <c r="A614" s="634"/>
      <c r="B614" s="635"/>
    </row>
    <row r="615" spans="1:2" x14ac:dyDescent="0.15">
      <c r="A615" s="634"/>
      <c r="B615" s="635"/>
    </row>
    <row r="616" spans="1:2" x14ac:dyDescent="0.15">
      <c r="A616" s="634"/>
      <c r="B616" s="635"/>
    </row>
    <row r="617" spans="1:2" x14ac:dyDescent="0.15">
      <c r="A617" s="634"/>
      <c r="B617" s="635"/>
    </row>
    <row r="618" spans="1:2" x14ac:dyDescent="0.15">
      <c r="A618" s="634"/>
      <c r="B618" s="635"/>
    </row>
    <row r="619" spans="1:2" x14ac:dyDescent="0.15">
      <c r="A619" s="634"/>
      <c r="B619" s="635"/>
    </row>
    <row r="620" spans="1:2" x14ac:dyDescent="0.15">
      <c r="A620" s="634"/>
      <c r="B620" s="635"/>
    </row>
    <row r="621" spans="1:2" x14ac:dyDescent="0.15">
      <c r="A621" s="634"/>
      <c r="B621" s="635"/>
    </row>
    <row r="622" spans="1:2" x14ac:dyDescent="0.15">
      <c r="A622" s="634"/>
      <c r="B622" s="635"/>
    </row>
    <row r="623" spans="1:2" x14ac:dyDescent="0.15">
      <c r="A623" s="634"/>
      <c r="B623" s="635"/>
    </row>
    <row r="624" spans="1:2" x14ac:dyDescent="0.15">
      <c r="A624" s="634"/>
      <c r="B624" s="635"/>
    </row>
    <row r="625" spans="1:2" x14ac:dyDescent="0.15">
      <c r="A625" s="634"/>
      <c r="B625" s="635"/>
    </row>
    <row r="626" spans="1:2" x14ac:dyDescent="0.15">
      <c r="A626" s="634"/>
      <c r="B626" s="635"/>
    </row>
    <row r="627" spans="1:2" x14ac:dyDescent="0.15">
      <c r="A627" s="634"/>
      <c r="B627" s="635"/>
    </row>
    <row r="628" spans="1:2" x14ac:dyDescent="0.15">
      <c r="A628" s="634"/>
      <c r="B628" s="635"/>
    </row>
    <row r="629" spans="1:2" x14ac:dyDescent="0.15">
      <c r="A629" s="634"/>
      <c r="B629" s="635"/>
    </row>
    <row r="630" spans="1:2" x14ac:dyDescent="0.15">
      <c r="A630" s="634"/>
      <c r="B630" s="635"/>
    </row>
    <row r="631" spans="1:2" x14ac:dyDescent="0.15">
      <c r="A631" s="634"/>
      <c r="B631" s="635"/>
    </row>
    <row r="632" spans="1:2" x14ac:dyDescent="0.15">
      <c r="A632" s="634"/>
      <c r="B632" s="635"/>
    </row>
    <row r="633" spans="1:2" x14ac:dyDescent="0.15">
      <c r="A633" s="634"/>
      <c r="B633" s="635"/>
    </row>
    <row r="634" spans="1:2" x14ac:dyDescent="0.15">
      <c r="A634" s="634"/>
      <c r="B634" s="635"/>
    </row>
    <row r="635" spans="1:2" x14ac:dyDescent="0.15">
      <c r="A635" s="634"/>
      <c r="B635" s="635"/>
    </row>
    <row r="636" spans="1:2" x14ac:dyDescent="0.15">
      <c r="A636" s="634"/>
      <c r="B636" s="635"/>
    </row>
    <row r="637" spans="1:2" x14ac:dyDescent="0.15">
      <c r="A637" s="634"/>
      <c r="B637" s="635"/>
    </row>
    <row r="638" spans="1:2" x14ac:dyDescent="0.15">
      <c r="A638" s="634"/>
      <c r="B638" s="635"/>
    </row>
    <row r="639" spans="1:2" x14ac:dyDescent="0.15">
      <c r="A639" s="634"/>
      <c r="B639" s="635"/>
    </row>
    <row r="640" spans="1:2" x14ac:dyDescent="0.15">
      <c r="A640" s="634"/>
      <c r="B640" s="635"/>
    </row>
    <row r="641" spans="1:2" x14ac:dyDescent="0.15">
      <c r="A641" s="634"/>
      <c r="B641" s="635"/>
    </row>
    <row r="642" spans="1:2" x14ac:dyDescent="0.15">
      <c r="A642" s="634"/>
      <c r="B642" s="635"/>
    </row>
    <row r="643" spans="1:2" x14ac:dyDescent="0.15">
      <c r="A643" s="634"/>
      <c r="B643" s="635"/>
    </row>
    <row r="644" spans="1:2" x14ac:dyDescent="0.15">
      <c r="A644" s="634"/>
      <c r="B644" s="635"/>
    </row>
    <row r="645" spans="1:2" x14ac:dyDescent="0.15">
      <c r="A645" s="634"/>
      <c r="B645" s="635"/>
    </row>
    <row r="646" spans="1:2" x14ac:dyDescent="0.15">
      <c r="A646" s="634"/>
      <c r="B646" s="635"/>
    </row>
    <row r="647" spans="1:2" x14ac:dyDescent="0.15">
      <c r="A647" s="634"/>
      <c r="B647" s="635"/>
    </row>
    <row r="648" spans="1:2" x14ac:dyDescent="0.15">
      <c r="A648" s="634"/>
      <c r="B648" s="635"/>
    </row>
    <row r="649" spans="1:2" x14ac:dyDescent="0.15">
      <c r="A649" s="634"/>
      <c r="B649" s="635"/>
    </row>
    <row r="650" spans="1:2" x14ac:dyDescent="0.15">
      <c r="A650" s="634"/>
      <c r="B650" s="635"/>
    </row>
    <row r="651" spans="1:2" x14ac:dyDescent="0.15">
      <c r="A651" s="634"/>
      <c r="B651" s="635"/>
    </row>
    <row r="652" spans="1:2" x14ac:dyDescent="0.15">
      <c r="A652" s="634"/>
      <c r="B652" s="635"/>
    </row>
    <row r="653" spans="1:2" x14ac:dyDescent="0.15">
      <c r="A653" s="634"/>
      <c r="B653" s="635"/>
    </row>
    <row r="654" spans="1:2" x14ac:dyDescent="0.15">
      <c r="A654" s="634"/>
      <c r="B654" s="635"/>
    </row>
    <row r="655" spans="1:2" x14ac:dyDescent="0.15">
      <c r="A655" s="634"/>
      <c r="B655" s="635"/>
    </row>
    <row r="656" spans="1:2" x14ac:dyDescent="0.15">
      <c r="A656" s="634"/>
      <c r="B656" s="635"/>
    </row>
    <row r="657" spans="1:2" x14ac:dyDescent="0.15">
      <c r="A657" s="634"/>
      <c r="B657" s="635"/>
    </row>
    <row r="658" spans="1:2" x14ac:dyDescent="0.15">
      <c r="A658" s="634"/>
      <c r="B658" s="635"/>
    </row>
    <row r="659" spans="1:2" x14ac:dyDescent="0.15">
      <c r="A659" s="634"/>
      <c r="B659" s="635"/>
    </row>
    <row r="660" spans="1:2" x14ac:dyDescent="0.15">
      <c r="A660" s="634"/>
      <c r="B660" s="635"/>
    </row>
    <row r="661" spans="1:2" x14ac:dyDescent="0.15">
      <c r="A661" s="634"/>
      <c r="B661" s="635"/>
    </row>
    <row r="662" spans="1:2" x14ac:dyDescent="0.15">
      <c r="A662" s="634"/>
      <c r="B662" s="635"/>
    </row>
    <row r="663" spans="1:2" x14ac:dyDescent="0.15">
      <c r="A663" s="634"/>
      <c r="B663" s="635"/>
    </row>
    <row r="664" spans="1:2" x14ac:dyDescent="0.15">
      <c r="A664" s="634"/>
      <c r="B664" s="635"/>
    </row>
    <row r="665" spans="1:2" x14ac:dyDescent="0.15">
      <c r="A665" s="634"/>
      <c r="B665" s="635"/>
    </row>
    <row r="666" spans="1:2" x14ac:dyDescent="0.15">
      <c r="A666" s="634"/>
      <c r="B666" s="635"/>
    </row>
    <row r="667" spans="1:2" x14ac:dyDescent="0.15">
      <c r="A667" s="634"/>
      <c r="B667" s="635"/>
    </row>
    <row r="668" spans="1:2" x14ac:dyDescent="0.15">
      <c r="A668" s="634"/>
      <c r="B668" s="635"/>
    </row>
    <row r="669" spans="1:2" x14ac:dyDescent="0.15">
      <c r="A669" s="634"/>
      <c r="B669" s="635"/>
    </row>
    <row r="670" spans="1:2" x14ac:dyDescent="0.15">
      <c r="A670" s="634"/>
      <c r="B670" s="635"/>
    </row>
    <row r="671" spans="1:2" x14ac:dyDescent="0.15">
      <c r="A671" s="634"/>
      <c r="B671" s="635"/>
    </row>
    <row r="672" spans="1:2" x14ac:dyDescent="0.15">
      <c r="A672" s="634"/>
      <c r="B672" s="635"/>
    </row>
    <row r="673" spans="1:2" x14ac:dyDescent="0.15">
      <c r="A673" s="634"/>
      <c r="B673" s="635"/>
    </row>
    <row r="674" spans="1:2" x14ac:dyDescent="0.15">
      <c r="A674" s="634"/>
      <c r="B674" s="635"/>
    </row>
    <row r="675" spans="1:2" x14ac:dyDescent="0.15">
      <c r="A675" s="634"/>
      <c r="B675" s="635"/>
    </row>
    <row r="676" spans="1:2" x14ac:dyDescent="0.15">
      <c r="A676" s="634"/>
      <c r="B676" s="635"/>
    </row>
    <row r="677" spans="1:2" x14ac:dyDescent="0.15">
      <c r="A677" s="634"/>
      <c r="B677" s="635"/>
    </row>
    <row r="678" spans="1:2" x14ac:dyDescent="0.15">
      <c r="A678" s="634"/>
      <c r="B678" s="635"/>
    </row>
    <row r="679" spans="1:2" x14ac:dyDescent="0.15">
      <c r="A679" s="634"/>
      <c r="B679" s="635"/>
    </row>
    <row r="680" spans="1:2" x14ac:dyDescent="0.15">
      <c r="A680" s="634"/>
      <c r="B680" s="635"/>
    </row>
    <row r="681" spans="1:2" x14ac:dyDescent="0.15">
      <c r="A681" s="634"/>
      <c r="B681" s="635"/>
    </row>
    <row r="682" spans="1:2" x14ac:dyDescent="0.15">
      <c r="A682" s="634"/>
      <c r="B682" s="635"/>
    </row>
    <row r="683" spans="1:2" x14ac:dyDescent="0.15">
      <c r="A683" s="634"/>
      <c r="B683" s="635"/>
    </row>
    <row r="684" spans="1:2" x14ac:dyDescent="0.15">
      <c r="A684" s="634"/>
      <c r="B684" s="635"/>
    </row>
    <row r="685" spans="1:2" x14ac:dyDescent="0.15">
      <c r="A685" s="634"/>
      <c r="B685" s="635"/>
    </row>
    <row r="686" spans="1:2" x14ac:dyDescent="0.15">
      <c r="A686" s="634"/>
      <c r="B686" s="635"/>
    </row>
    <row r="687" spans="1:2" x14ac:dyDescent="0.15">
      <c r="A687" s="634"/>
      <c r="B687" s="635"/>
    </row>
    <row r="688" spans="1:2" x14ac:dyDescent="0.15">
      <c r="A688" s="634"/>
      <c r="B688" s="635"/>
    </row>
    <row r="689" spans="1:2" x14ac:dyDescent="0.15">
      <c r="A689" s="634"/>
      <c r="B689" s="635"/>
    </row>
    <row r="690" spans="1:2" x14ac:dyDescent="0.15">
      <c r="A690" s="634"/>
      <c r="B690" s="635"/>
    </row>
    <row r="691" spans="1:2" x14ac:dyDescent="0.15">
      <c r="A691" s="634"/>
      <c r="B691" s="635"/>
    </row>
    <row r="692" spans="1:2" x14ac:dyDescent="0.15">
      <c r="A692" s="634"/>
      <c r="B692" s="635"/>
    </row>
    <row r="693" spans="1:2" x14ac:dyDescent="0.15">
      <c r="A693" s="634"/>
      <c r="B693" s="635"/>
    </row>
    <row r="694" spans="1:2" x14ac:dyDescent="0.15">
      <c r="A694" s="634"/>
      <c r="B694" s="635"/>
    </row>
    <row r="695" spans="1:2" x14ac:dyDescent="0.15">
      <c r="A695" s="634"/>
      <c r="B695" s="635"/>
    </row>
    <row r="696" spans="1:2" x14ac:dyDescent="0.15">
      <c r="A696" s="634"/>
      <c r="B696" s="635"/>
    </row>
    <row r="697" spans="1:2" x14ac:dyDescent="0.15">
      <c r="A697" s="634"/>
      <c r="B697" s="635"/>
    </row>
    <row r="698" spans="1:2" x14ac:dyDescent="0.15">
      <c r="A698" s="634"/>
      <c r="B698" s="635"/>
    </row>
    <row r="699" spans="1:2" x14ac:dyDescent="0.15">
      <c r="A699" s="634"/>
      <c r="B699" s="635"/>
    </row>
    <row r="700" spans="1:2" x14ac:dyDescent="0.15">
      <c r="A700" s="634"/>
      <c r="B700" s="635"/>
    </row>
    <row r="701" spans="1:2" x14ac:dyDescent="0.15">
      <c r="A701" s="634"/>
      <c r="B701" s="635"/>
    </row>
    <row r="702" spans="1:2" x14ac:dyDescent="0.15">
      <c r="A702" s="634"/>
      <c r="B702" s="635"/>
    </row>
    <row r="703" spans="1:2" x14ac:dyDescent="0.15">
      <c r="A703" s="634"/>
      <c r="B703" s="635"/>
    </row>
    <row r="704" spans="1:2" x14ac:dyDescent="0.15">
      <c r="A704" s="634"/>
      <c r="B704" s="635"/>
    </row>
    <row r="705" spans="1:2" x14ac:dyDescent="0.15">
      <c r="A705" s="634"/>
      <c r="B705" s="635"/>
    </row>
    <row r="706" spans="1:2" x14ac:dyDescent="0.15">
      <c r="A706" s="634"/>
      <c r="B706" s="635"/>
    </row>
    <row r="707" spans="1:2" x14ac:dyDescent="0.15">
      <c r="A707" s="634"/>
      <c r="B707" s="635"/>
    </row>
    <row r="708" spans="1:2" x14ac:dyDescent="0.15">
      <c r="A708" s="634"/>
      <c r="B708" s="635"/>
    </row>
    <row r="709" spans="1:2" x14ac:dyDescent="0.15">
      <c r="A709" s="634"/>
      <c r="B709" s="635"/>
    </row>
    <row r="710" spans="1:2" x14ac:dyDescent="0.15">
      <c r="A710" s="634"/>
      <c r="B710" s="635"/>
    </row>
    <row r="711" spans="1:2" x14ac:dyDescent="0.15">
      <c r="A711" s="634"/>
      <c r="B711" s="635"/>
    </row>
    <row r="712" spans="1:2" x14ac:dyDescent="0.15">
      <c r="A712" s="634"/>
      <c r="B712" s="635"/>
    </row>
    <row r="713" spans="1:2" x14ac:dyDescent="0.15">
      <c r="A713" s="634"/>
      <c r="B713" s="635"/>
    </row>
    <row r="714" spans="1:2" x14ac:dyDescent="0.15">
      <c r="A714" s="634"/>
      <c r="B714" s="635"/>
    </row>
    <row r="715" spans="1:2" x14ac:dyDescent="0.15">
      <c r="A715" s="634"/>
      <c r="B715" s="635"/>
    </row>
    <row r="716" spans="1:2" x14ac:dyDescent="0.15">
      <c r="A716" s="634"/>
      <c r="B716" s="635"/>
    </row>
    <row r="717" spans="1:2" x14ac:dyDescent="0.15">
      <c r="A717" s="634"/>
      <c r="B717" s="635"/>
    </row>
    <row r="718" spans="1:2" x14ac:dyDescent="0.15">
      <c r="A718" s="634"/>
      <c r="B718" s="635"/>
    </row>
    <row r="719" spans="1:2" x14ac:dyDescent="0.15">
      <c r="A719" s="634"/>
      <c r="B719" s="635"/>
    </row>
    <row r="720" spans="1:2" x14ac:dyDescent="0.15">
      <c r="A720" s="634"/>
      <c r="B720" s="635"/>
    </row>
    <row r="721" spans="1:2" x14ac:dyDescent="0.15">
      <c r="A721" s="634"/>
      <c r="B721" s="635"/>
    </row>
    <row r="722" spans="1:2" x14ac:dyDescent="0.15">
      <c r="A722" s="634"/>
      <c r="B722" s="635"/>
    </row>
    <row r="723" spans="1:2" x14ac:dyDescent="0.15">
      <c r="A723" s="634"/>
      <c r="B723" s="635"/>
    </row>
    <row r="724" spans="1:2" x14ac:dyDescent="0.15">
      <c r="A724" s="634"/>
      <c r="B724" s="635"/>
    </row>
    <row r="725" spans="1:2" x14ac:dyDescent="0.15">
      <c r="A725" s="634"/>
      <c r="B725" s="635"/>
    </row>
    <row r="726" spans="1:2" x14ac:dyDescent="0.15">
      <c r="A726" s="634"/>
      <c r="B726" s="635"/>
    </row>
    <row r="727" spans="1:2" x14ac:dyDescent="0.15">
      <c r="A727" s="634"/>
      <c r="B727" s="635"/>
    </row>
    <row r="728" spans="1:2" x14ac:dyDescent="0.15">
      <c r="A728" s="634"/>
      <c r="B728" s="635"/>
    </row>
    <row r="729" spans="1:2" x14ac:dyDescent="0.15">
      <c r="A729" s="634"/>
      <c r="B729" s="635"/>
    </row>
    <row r="730" spans="1:2" x14ac:dyDescent="0.15">
      <c r="A730" s="634"/>
      <c r="B730" s="635"/>
    </row>
    <row r="731" spans="1:2" x14ac:dyDescent="0.15">
      <c r="A731" s="634"/>
      <c r="B731" s="635"/>
    </row>
    <row r="732" spans="1:2" x14ac:dyDescent="0.15">
      <c r="A732" s="634"/>
      <c r="B732" s="635"/>
    </row>
    <row r="733" spans="1:2" x14ac:dyDescent="0.15">
      <c r="A733" s="634"/>
      <c r="B733" s="635"/>
    </row>
    <row r="734" spans="1:2" x14ac:dyDescent="0.15">
      <c r="A734" s="634"/>
      <c r="B734" s="635"/>
    </row>
    <row r="735" spans="1:2" x14ac:dyDescent="0.15">
      <c r="A735" s="634"/>
      <c r="B735" s="635"/>
    </row>
    <row r="736" spans="1:2" x14ac:dyDescent="0.15">
      <c r="A736" s="634"/>
      <c r="B736" s="635"/>
    </row>
    <row r="737" spans="1:2" x14ac:dyDescent="0.15">
      <c r="A737" s="634"/>
      <c r="B737" s="635"/>
    </row>
    <row r="738" spans="1:2" x14ac:dyDescent="0.15">
      <c r="A738" s="634"/>
      <c r="B738" s="635"/>
    </row>
    <row r="739" spans="1:2" x14ac:dyDescent="0.15">
      <c r="A739" s="634"/>
      <c r="B739" s="635"/>
    </row>
    <row r="740" spans="1:2" x14ac:dyDescent="0.15">
      <c r="A740" s="634"/>
      <c r="B740" s="635"/>
    </row>
    <row r="741" spans="1:2" x14ac:dyDescent="0.15">
      <c r="A741" s="634"/>
      <c r="B741" s="635"/>
    </row>
    <row r="742" spans="1:2" x14ac:dyDescent="0.15">
      <c r="A742" s="634"/>
      <c r="B742" s="635"/>
    </row>
    <row r="743" spans="1:2" x14ac:dyDescent="0.15">
      <c r="A743" s="634"/>
      <c r="B743" s="635"/>
    </row>
    <row r="744" spans="1:2" x14ac:dyDescent="0.15">
      <c r="A744" s="634"/>
      <c r="B744" s="635"/>
    </row>
    <row r="745" spans="1:2" x14ac:dyDescent="0.15">
      <c r="A745" s="634"/>
      <c r="B745" s="635"/>
    </row>
    <row r="746" spans="1:2" x14ac:dyDescent="0.15">
      <c r="A746" s="634"/>
      <c r="B746" s="635"/>
    </row>
    <row r="747" spans="1:2" x14ac:dyDescent="0.15">
      <c r="A747" s="634"/>
      <c r="B747" s="635"/>
    </row>
    <row r="748" spans="1:2" x14ac:dyDescent="0.15">
      <c r="A748" s="634"/>
      <c r="B748" s="635"/>
    </row>
    <row r="749" spans="1:2" x14ac:dyDescent="0.15">
      <c r="A749" s="634"/>
      <c r="B749" s="635"/>
    </row>
    <row r="750" spans="1:2" x14ac:dyDescent="0.15">
      <c r="A750" s="634"/>
      <c r="B750" s="635"/>
    </row>
    <row r="751" spans="1:2" x14ac:dyDescent="0.15">
      <c r="A751" s="634"/>
      <c r="B751" s="635"/>
    </row>
    <row r="752" spans="1:2" x14ac:dyDescent="0.15">
      <c r="A752" s="634"/>
      <c r="B752" s="635"/>
    </row>
    <row r="753" spans="1:2" x14ac:dyDescent="0.15">
      <c r="A753" s="634"/>
      <c r="B753" s="635"/>
    </row>
    <row r="754" spans="1:2" x14ac:dyDescent="0.15">
      <c r="A754" s="634"/>
      <c r="B754" s="635"/>
    </row>
    <row r="755" spans="1:2" x14ac:dyDescent="0.15">
      <c r="A755" s="634"/>
      <c r="B755" s="635"/>
    </row>
    <row r="756" spans="1:2" x14ac:dyDescent="0.15">
      <c r="A756" s="634"/>
      <c r="B756" s="635"/>
    </row>
    <row r="757" spans="1:2" x14ac:dyDescent="0.15">
      <c r="A757" s="634"/>
      <c r="B757" s="635"/>
    </row>
    <row r="758" spans="1:2" x14ac:dyDescent="0.15">
      <c r="A758" s="634"/>
      <c r="B758" s="635"/>
    </row>
    <row r="759" spans="1:2" x14ac:dyDescent="0.15">
      <c r="A759" s="634"/>
      <c r="B759" s="635"/>
    </row>
    <row r="760" spans="1:2" x14ac:dyDescent="0.15">
      <c r="A760" s="634"/>
      <c r="B760" s="635"/>
    </row>
    <row r="761" spans="1:2" x14ac:dyDescent="0.15">
      <c r="A761" s="634"/>
      <c r="B761" s="635"/>
    </row>
    <row r="762" spans="1:2" x14ac:dyDescent="0.15">
      <c r="A762" s="634"/>
      <c r="B762" s="635"/>
    </row>
    <row r="763" spans="1:2" x14ac:dyDescent="0.15">
      <c r="A763" s="634"/>
      <c r="B763" s="635"/>
    </row>
    <row r="764" spans="1:2" x14ac:dyDescent="0.15">
      <c r="A764" s="634"/>
      <c r="B764" s="635"/>
    </row>
    <row r="765" spans="1:2" x14ac:dyDescent="0.15">
      <c r="A765" s="634"/>
      <c r="B765" s="635"/>
    </row>
    <row r="766" spans="1:2" x14ac:dyDescent="0.15">
      <c r="A766" s="634"/>
      <c r="B766" s="635"/>
    </row>
    <row r="767" spans="1:2" x14ac:dyDescent="0.15">
      <c r="A767" s="634"/>
      <c r="B767" s="635"/>
    </row>
    <row r="768" spans="1:2" x14ac:dyDescent="0.15">
      <c r="A768" s="634"/>
      <c r="B768" s="635"/>
    </row>
    <row r="769" spans="1:2" x14ac:dyDescent="0.15">
      <c r="A769" s="634"/>
      <c r="B769" s="635"/>
    </row>
    <row r="770" spans="1:2" x14ac:dyDescent="0.15">
      <c r="A770" s="634"/>
      <c r="B770" s="635"/>
    </row>
    <row r="771" spans="1:2" x14ac:dyDescent="0.15">
      <c r="A771" s="634"/>
      <c r="B771" s="635"/>
    </row>
    <row r="772" spans="1:2" x14ac:dyDescent="0.15">
      <c r="A772" s="634"/>
      <c r="B772" s="635"/>
    </row>
    <row r="773" spans="1:2" x14ac:dyDescent="0.15">
      <c r="A773" s="634"/>
      <c r="B773" s="635"/>
    </row>
    <row r="774" spans="1:2" x14ac:dyDescent="0.15">
      <c r="A774" s="634"/>
      <c r="B774" s="635"/>
    </row>
    <row r="775" spans="1:2" x14ac:dyDescent="0.15">
      <c r="A775" s="634"/>
      <c r="B775" s="635"/>
    </row>
    <row r="776" spans="1:2" x14ac:dyDescent="0.15">
      <c r="A776" s="634"/>
      <c r="B776" s="635"/>
    </row>
    <row r="777" spans="1:2" x14ac:dyDescent="0.15">
      <c r="A777" s="634"/>
      <c r="B777" s="635"/>
    </row>
    <row r="778" spans="1:2" x14ac:dyDescent="0.15">
      <c r="A778" s="634"/>
      <c r="B778" s="635"/>
    </row>
    <row r="779" spans="1:2" x14ac:dyDescent="0.15">
      <c r="A779" s="634"/>
      <c r="B779" s="635"/>
    </row>
    <row r="780" spans="1:2" x14ac:dyDescent="0.15">
      <c r="A780" s="634"/>
      <c r="B780" s="635"/>
    </row>
    <row r="781" spans="1:2" x14ac:dyDescent="0.15">
      <c r="A781" s="634"/>
      <c r="B781" s="635"/>
    </row>
    <row r="782" spans="1:2" x14ac:dyDescent="0.15">
      <c r="A782" s="634"/>
      <c r="B782" s="635"/>
    </row>
    <row r="783" spans="1:2" x14ac:dyDescent="0.15">
      <c r="A783" s="634"/>
      <c r="B783" s="635"/>
    </row>
    <row r="784" spans="1:2" x14ac:dyDescent="0.15">
      <c r="A784" s="634"/>
      <c r="B784" s="635"/>
    </row>
    <row r="785" spans="1:2" x14ac:dyDescent="0.15">
      <c r="A785" s="634"/>
      <c r="B785" s="635"/>
    </row>
    <row r="786" spans="1:2" x14ac:dyDescent="0.15">
      <c r="A786" s="634"/>
      <c r="B786" s="635"/>
    </row>
    <row r="787" spans="1:2" x14ac:dyDescent="0.15">
      <c r="A787" s="634"/>
      <c r="B787" s="635"/>
    </row>
    <row r="788" spans="1:2" x14ac:dyDescent="0.15">
      <c r="A788" s="634"/>
      <c r="B788" s="635"/>
    </row>
    <row r="789" spans="1:2" x14ac:dyDescent="0.15">
      <c r="A789" s="634"/>
      <c r="B789" s="635"/>
    </row>
    <row r="790" spans="1:2" x14ac:dyDescent="0.15">
      <c r="A790" s="634"/>
      <c r="B790" s="635"/>
    </row>
    <row r="791" spans="1:2" x14ac:dyDescent="0.15">
      <c r="A791" s="634"/>
      <c r="B791" s="635"/>
    </row>
    <row r="792" spans="1:2" x14ac:dyDescent="0.15">
      <c r="A792" s="634"/>
      <c r="B792" s="635"/>
    </row>
    <row r="793" spans="1:2" x14ac:dyDescent="0.15">
      <c r="A793" s="634"/>
      <c r="B793" s="635"/>
    </row>
    <row r="794" spans="1:2" x14ac:dyDescent="0.15">
      <c r="A794" s="634"/>
      <c r="B794" s="635"/>
    </row>
    <row r="795" spans="1:2" x14ac:dyDescent="0.15">
      <c r="A795" s="634"/>
      <c r="B795" s="635"/>
    </row>
    <row r="796" spans="1:2" x14ac:dyDescent="0.15">
      <c r="A796" s="634"/>
      <c r="B796" s="635"/>
    </row>
    <row r="797" spans="1:2" x14ac:dyDescent="0.15">
      <c r="A797" s="634"/>
      <c r="B797" s="635"/>
    </row>
    <row r="798" spans="1:2" x14ac:dyDescent="0.15">
      <c r="A798" s="634"/>
      <c r="B798" s="635"/>
    </row>
    <row r="799" spans="1:2" x14ac:dyDescent="0.15">
      <c r="A799" s="634"/>
      <c r="B799" s="635"/>
    </row>
    <row r="800" spans="1:2" x14ac:dyDescent="0.15">
      <c r="A800" s="634"/>
      <c r="B800" s="635"/>
    </row>
    <row r="801" spans="1:2" x14ac:dyDescent="0.15">
      <c r="A801" s="634"/>
      <c r="B801" s="635"/>
    </row>
    <row r="802" spans="1:2" x14ac:dyDescent="0.15">
      <c r="A802" s="634"/>
      <c r="B802" s="635"/>
    </row>
    <row r="803" spans="1:2" x14ac:dyDescent="0.15">
      <c r="A803" s="634"/>
      <c r="B803" s="635"/>
    </row>
    <row r="804" spans="1:2" x14ac:dyDescent="0.15">
      <c r="A804" s="634"/>
      <c r="B804" s="635"/>
    </row>
    <row r="805" spans="1:2" x14ac:dyDescent="0.15">
      <c r="A805" s="634"/>
      <c r="B805" s="635"/>
    </row>
    <row r="806" spans="1:2" x14ac:dyDescent="0.15">
      <c r="A806" s="634"/>
      <c r="B806" s="635"/>
    </row>
    <row r="807" spans="1:2" x14ac:dyDescent="0.15">
      <c r="A807" s="634"/>
      <c r="B807" s="635"/>
    </row>
    <row r="808" spans="1:2" x14ac:dyDescent="0.15">
      <c r="A808" s="634"/>
      <c r="B808" s="635"/>
    </row>
    <row r="809" spans="1:2" x14ac:dyDescent="0.15">
      <c r="A809" s="634"/>
      <c r="B809" s="635"/>
    </row>
    <row r="810" spans="1:2" x14ac:dyDescent="0.15">
      <c r="A810" s="634"/>
      <c r="B810" s="635"/>
    </row>
    <row r="811" spans="1:2" x14ac:dyDescent="0.15">
      <c r="A811" s="634"/>
      <c r="B811" s="635"/>
    </row>
    <row r="812" spans="1:2" x14ac:dyDescent="0.15">
      <c r="A812" s="634"/>
      <c r="B812" s="635"/>
    </row>
    <row r="813" spans="1:2" x14ac:dyDescent="0.15">
      <c r="A813" s="634"/>
      <c r="B813" s="635"/>
    </row>
    <row r="814" spans="1:2" x14ac:dyDescent="0.15">
      <c r="A814" s="634"/>
      <c r="B814" s="635"/>
    </row>
    <row r="815" spans="1:2" x14ac:dyDescent="0.15">
      <c r="A815" s="634"/>
      <c r="B815" s="635"/>
    </row>
    <row r="816" spans="1:2" x14ac:dyDescent="0.15">
      <c r="A816" s="634"/>
      <c r="B816" s="635"/>
    </row>
    <row r="817" spans="1:2" x14ac:dyDescent="0.15">
      <c r="A817" s="634"/>
      <c r="B817" s="635"/>
    </row>
    <row r="818" spans="1:2" x14ac:dyDescent="0.15">
      <c r="A818" s="634"/>
      <c r="B818" s="635"/>
    </row>
    <row r="819" spans="1:2" x14ac:dyDescent="0.15">
      <c r="A819" s="634"/>
      <c r="B819" s="635"/>
    </row>
    <row r="820" spans="1:2" x14ac:dyDescent="0.15">
      <c r="A820" s="634"/>
      <c r="B820" s="635"/>
    </row>
    <row r="821" spans="1:2" x14ac:dyDescent="0.15">
      <c r="A821" s="634"/>
      <c r="B821" s="635"/>
    </row>
    <row r="822" spans="1:2" x14ac:dyDescent="0.15">
      <c r="A822" s="634"/>
      <c r="B822" s="635"/>
    </row>
    <row r="823" spans="1:2" x14ac:dyDescent="0.15">
      <c r="A823" s="634"/>
      <c r="B823" s="635"/>
    </row>
    <row r="824" spans="1:2" x14ac:dyDescent="0.15">
      <c r="A824" s="634"/>
      <c r="B824" s="635"/>
    </row>
    <row r="825" spans="1:2" x14ac:dyDescent="0.15">
      <c r="A825" s="634"/>
      <c r="B825" s="635"/>
    </row>
    <row r="826" spans="1:2" x14ac:dyDescent="0.15">
      <c r="A826" s="634"/>
      <c r="B826" s="635"/>
    </row>
    <row r="827" spans="1:2" x14ac:dyDescent="0.15">
      <c r="A827" s="634"/>
      <c r="B827" s="635"/>
    </row>
    <row r="828" spans="1:2" x14ac:dyDescent="0.15">
      <c r="A828" s="634"/>
      <c r="B828" s="635"/>
    </row>
    <row r="829" spans="1:2" x14ac:dyDescent="0.15">
      <c r="A829" s="634"/>
      <c r="B829" s="635"/>
    </row>
    <row r="830" spans="1:2" x14ac:dyDescent="0.15">
      <c r="A830" s="634"/>
      <c r="B830" s="635"/>
    </row>
    <row r="831" spans="1:2" x14ac:dyDescent="0.15">
      <c r="A831" s="634"/>
      <c r="B831" s="635"/>
    </row>
    <row r="832" spans="1:2" x14ac:dyDescent="0.15">
      <c r="A832" s="634"/>
      <c r="B832" s="635"/>
    </row>
    <row r="833" spans="1:2" x14ac:dyDescent="0.15">
      <c r="A833" s="634"/>
      <c r="B833" s="635"/>
    </row>
    <row r="834" spans="1:2" x14ac:dyDescent="0.15">
      <c r="A834" s="634"/>
      <c r="B834" s="635"/>
    </row>
    <row r="835" spans="1:2" x14ac:dyDescent="0.15">
      <c r="A835" s="634"/>
      <c r="B835" s="635"/>
    </row>
    <row r="836" spans="1:2" x14ac:dyDescent="0.15">
      <c r="A836" s="634"/>
      <c r="B836" s="635"/>
    </row>
    <row r="837" spans="1:2" x14ac:dyDescent="0.15">
      <c r="A837" s="634"/>
      <c r="B837" s="635"/>
    </row>
    <row r="838" spans="1:2" x14ac:dyDescent="0.15">
      <c r="A838" s="634"/>
      <c r="B838" s="635"/>
    </row>
    <row r="839" spans="1:2" x14ac:dyDescent="0.15">
      <c r="A839" s="634"/>
      <c r="B839" s="635"/>
    </row>
    <row r="840" spans="1:2" x14ac:dyDescent="0.15">
      <c r="A840" s="634"/>
      <c r="B840" s="635"/>
    </row>
    <row r="841" spans="1:2" x14ac:dyDescent="0.15">
      <c r="A841" s="634"/>
      <c r="B841" s="635"/>
    </row>
    <row r="842" spans="1:2" x14ac:dyDescent="0.15">
      <c r="A842" s="634"/>
      <c r="B842" s="635"/>
    </row>
    <row r="843" spans="1:2" x14ac:dyDescent="0.15">
      <c r="A843" s="634"/>
      <c r="B843" s="635"/>
    </row>
    <row r="844" spans="1:2" x14ac:dyDescent="0.15">
      <c r="A844" s="634"/>
      <c r="B844" s="635"/>
    </row>
    <row r="845" spans="1:2" x14ac:dyDescent="0.15">
      <c r="A845" s="634"/>
      <c r="B845" s="635"/>
    </row>
    <row r="846" spans="1:2" x14ac:dyDescent="0.15">
      <c r="A846" s="634"/>
      <c r="B846" s="635"/>
    </row>
    <row r="847" spans="1:2" x14ac:dyDescent="0.15">
      <c r="A847" s="634"/>
      <c r="B847" s="635"/>
    </row>
    <row r="848" spans="1:2" x14ac:dyDescent="0.15">
      <c r="A848" s="634"/>
      <c r="B848" s="635"/>
    </row>
    <row r="849" spans="1:2" x14ac:dyDescent="0.15">
      <c r="A849" s="634"/>
      <c r="B849" s="635"/>
    </row>
    <row r="850" spans="1:2" x14ac:dyDescent="0.15">
      <c r="A850" s="634"/>
      <c r="B850" s="635"/>
    </row>
    <row r="851" spans="1:2" x14ac:dyDescent="0.15">
      <c r="A851" s="634"/>
      <c r="B851" s="635"/>
    </row>
    <row r="852" spans="1:2" x14ac:dyDescent="0.15">
      <c r="A852" s="634"/>
      <c r="B852" s="635"/>
    </row>
    <row r="853" spans="1:2" x14ac:dyDescent="0.15">
      <c r="A853" s="634"/>
      <c r="B853" s="635"/>
    </row>
    <row r="854" spans="1:2" x14ac:dyDescent="0.15">
      <c r="A854" s="634"/>
      <c r="B854" s="635"/>
    </row>
    <row r="855" spans="1:2" x14ac:dyDescent="0.15">
      <c r="A855" s="634"/>
      <c r="B855" s="635"/>
    </row>
    <row r="856" spans="1:2" x14ac:dyDescent="0.15">
      <c r="A856" s="634"/>
      <c r="B856" s="635"/>
    </row>
    <row r="857" spans="1:2" x14ac:dyDescent="0.15">
      <c r="A857" s="634"/>
      <c r="B857" s="635"/>
    </row>
    <row r="858" spans="1:2" x14ac:dyDescent="0.15">
      <c r="A858" s="634"/>
      <c r="B858" s="635"/>
    </row>
    <row r="859" spans="1:2" x14ac:dyDescent="0.15">
      <c r="A859" s="634"/>
      <c r="B859" s="635"/>
    </row>
    <row r="860" spans="1:2" x14ac:dyDescent="0.15">
      <c r="A860" s="634"/>
      <c r="B860" s="635"/>
    </row>
    <row r="861" spans="1:2" x14ac:dyDescent="0.15">
      <c r="A861" s="634"/>
      <c r="B861" s="635"/>
    </row>
    <row r="862" spans="1:2" x14ac:dyDescent="0.15">
      <c r="A862" s="634"/>
      <c r="B862" s="635"/>
    </row>
    <row r="863" spans="1:2" x14ac:dyDescent="0.15">
      <c r="A863" s="634"/>
      <c r="B863" s="635"/>
    </row>
    <row r="864" spans="1:2" x14ac:dyDescent="0.15">
      <c r="A864" s="634"/>
      <c r="B864" s="635"/>
    </row>
    <row r="865" spans="1:2" x14ac:dyDescent="0.15">
      <c r="A865" s="634"/>
      <c r="B865" s="635"/>
    </row>
    <row r="866" spans="1:2" x14ac:dyDescent="0.15">
      <c r="A866" s="634"/>
      <c r="B866" s="635"/>
    </row>
    <row r="867" spans="1:2" x14ac:dyDescent="0.15">
      <c r="A867" s="634"/>
      <c r="B867" s="635"/>
    </row>
    <row r="868" spans="1:2" x14ac:dyDescent="0.15">
      <c r="A868" s="634"/>
      <c r="B868" s="635"/>
    </row>
    <row r="869" spans="1:2" x14ac:dyDescent="0.15">
      <c r="A869" s="634"/>
      <c r="B869" s="635"/>
    </row>
    <row r="870" spans="1:2" x14ac:dyDescent="0.15">
      <c r="A870" s="634"/>
      <c r="B870" s="635"/>
    </row>
    <row r="871" spans="1:2" x14ac:dyDescent="0.15">
      <c r="A871" s="634"/>
      <c r="B871" s="635"/>
    </row>
    <row r="872" spans="1:2" x14ac:dyDescent="0.15">
      <c r="A872" s="634"/>
      <c r="B872" s="635"/>
    </row>
    <row r="873" spans="1:2" x14ac:dyDescent="0.15">
      <c r="A873" s="634"/>
      <c r="B873" s="635"/>
    </row>
    <row r="874" spans="1:2" x14ac:dyDescent="0.15">
      <c r="A874" s="634"/>
      <c r="B874" s="635"/>
    </row>
    <row r="875" spans="1:2" x14ac:dyDescent="0.15">
      <c r="A875" s="634"/>
      <c r="B875" s="635"/>
    </row>
    <row r="876" spans="1:2" x14ac:dyDescent="0.15">
      <c r="A876" s="634"/>
      <c r="B876" s="635"/>
    </row>
    <row r="877" spans="1:2" x14ac:dyDescent="0.15">
      <c r="A877" s="634"/>
      <c r="B877" s="635"/>
    </row>
    <row r="878" spans="1:2" x14ac:dyDescent="0.15">
      <c r="A878" s="634"/>
      <c r="B878" s="635"/>
    </row>
    <row r="879" spans="1:2" x14ac:dyDescent="0.15">
      <c r="A879" s="634"/>
      <c r="B879" s="635"/>
    </row>
    <row r="880" spans="1:2" x14ac:dyDescent="0.15">
      <c r="A880" s="634"/>
      <c r="B880" s="635"/>
    </row>
    <row r="881" spans="1:2" x14ac:dyDescent="0.15">
      <c r="A881" s="634"/>
      <c r="B881" s="635"/>
    </row>
    <row r="882" spans="1:2" x14ac:dyDescent="0.15">
      <c r="A882" s="634"/>
      <c r="B882" s="635"/>
    </row>
    <row r="883" spans="1:2" x14ac:dyDescent="0.15">
      <c r="A883" s="634"/>
      <c r="B883" s="635"/>
    </row>
    <row r="884" spans="1:2" x14ac:dyDescent="0.15">
      <c r="A884" s="634"/>
      <c r="B884" s="635"/>
    </row>
    <row r="885" spans="1:2" x14ac:dyDescent="0.15">
      <c r="A885" s="634"/>
      <c r="B885" s="635"/>
    </row>
    <row r="886" spans="1:2" x14ac:dyDescent="0.15">
      <c r="A886" s="634"/>
      <c r="B886" s="635"/>
    </row>
    <row r="887" spans="1:2" x14ac:dyDescent="0.15">
      <c r="A887" s="634"/>
      <c r="B887" s="635"/>
    </row>
    <row r="888" spans="1:2" x14ac:dyDescent="0.15">
      <c r="A888" s="634"/>
      <c r="B888" s="635"/>
    </row>
    <row r="889" spans="1:2" x14ac:dyDescent="0.15">
      <c r="A889" s="634"/>
      <c r="B889" s="635"/>
    </row>
    <row r="890" spans="1:2" x14ac:dyDescent="0.15">
      <c r="A890" s="634"/>
      <c r="B890" s="635"/>
    </row>
    <row r="891" spans="1:2" x14ac:dyDescent="0.15">
      <c r="A891" s="634"/>
      <c r="B891" s="635"/>
    </row>
    <row r="892" spans="1:2" x14ac:dyDescent="0.15">
      <c r="A892" s="634"/>
      <c r="B892" s="635"/>
    </row>
    <row r="893" spans="1:2" x14ac:dyDescent="0.15">
      <c r="A893" s="634"/>
      <c r="B893" s="635"/>
    </row>
    <row r="894" spans="1:2" x14ac:dyDescent="0.15">
      <c r="A894" s="634"/>
      <c r="B894" s="635"/>
    </row>
    <row r="895" spans="1:2" x14ac:dyDescent="0.15">
      <c r="A895" s="634"/>
      <c r="B895" s="635"/>
    </row>
    <row r="896" spans="1:2" x14ac:dyDescent="0.15">
      <c r="A896" s="634"/>
      <c r="B896" s="635"/>
    </row>
    <row r="897" spans="1:2" x14ac:dyDescent="0.15">
      <c r="A897" s="634"/>
      <c r="B897" s="635"/>
    </row>
    <row r="898" spans="1:2" x14ac:dyDescent="0.15">
      <c r="A898" s="634"/>
      <c r="B898" s="635"/>
    </row>
    <row r="899" spans="1:2" x14ac:dyDescent="0.15">
      <c r="A899" s="634"/>
      <c r="B899" s="635"/>
    </row>
    <row r="900" spans="1:2" x14ac:dyDescent="0.15">
      <c r="A900" s="634"/>
      <c r="B900" s="635"/>
    </row>
    <row r="901" spans="1:2" x14ac:dyDescent="0.15">
      <c r="A901" s="634"/>
      <c r="B901" s="635"/>
    </row>
    <row r="902" spans="1:2" x14ac:dyDescent="0.15">
      <c r="A902" s="634"/>
      <c r="B902" s="635"/>
    </row>
    <row r="903" spans="1:2" x14ac:dyDescent="0.15">
      <c r="A903" s="634"/>
      <c r="B903" s="635"/>
    </row>
    <row r="904" spans="1:2" x14ac:dyDescent="0.15">
      <c r="A904" s="634"/>
      <c r="B904" s="635"/>
    </row>
    <row r="905" spans="1:2" x14ac:dyDescent="0.15">
      <c r="A905" s="634"/>
      <c r="B905" s="635"/>
    </row>
    <row r="906" spans="1:2" x14ac:dyDescent="0.15">
      <c r="A906" s="634"/>
      <c r="B906" s="635"/>
    </row>
    <row r="907" spans="1:2" x14ac:dyDescent="0.15">
      <c r="A907" s="634"/>
      <c r="B907" s="635"/>
    </row>
    <row r="908" spans="1:2" x14ac:dyDescent="0.15">
      <c r="A908" s="634"/>
      <c r="B908" s="635"/>
    </row>
    <row r="909" spans="1:2" x14ac:dyDescent="0.15">
      <c r="A909" s="634"/>
      <c r="B909" s="635"/>
    </row>
    <row r="910" spans="1:2" x14ac:dyDescent="0.15">
      <c r="A910" s="634"/>
      <c r="B910" s="635"/>
    </row>
    <row r="911" spans="1:2" x14ac:dyDescent="0.15">
      <c r="A911" s="634"/>
      <c r="B911" s="635"/>
    </row>
    <row r="912" spans="1:2" x14ac:dyDescent="0.15">
      <c r="A912" s="634"/>
      <c r="B912" s="635"/>
    </row>
    <row r="913" spans="1:2" x14ac:dyDescent="0.15">
      <c r="A913" s="634"/>
      <c r="B913" s="635"/>
    </row>
    <row r="914" spans="1:2" x14ac:dyDescent="0.15">
      <c r="A914" s="634"/>
      <c r="B914" s="635"/>
    </row>
    <row r="915" spans="1:2" x14ac:dyDescent="0.15">
      <c r="A915" s="634"/>
      <c r="B915" s="635"/>
    </row>
    <row r="916" spans="1:2" x14ac:dyDescent="0.15">
      <c r="A916" s="634"/>
      <c r="B916" s="635"/>
    </row>
    <row r="917" spans="1:2" x14ac:dyDescent="0.15">
      <c r="A917" s="634"/>
      <c r="B917" s="635"/>
    </row>
    <row r="918" spans="1:2" x14ac:dyDescent="0.15">
      <c r="A918" s="634"/>
      <c r="B918" s="635"/>
    </row>
    <row r="919" spans="1:2" x14ac:dyDescent="0.15">
      <c r="A919" s="634"/>
      <c r="B919" s="635"/>
    </row>
    <row r="920" spans="1:2" x14ac:dyDescent="0.15">
      <c r="A920" s="634"/>
      <c r="B920" s="635"/>
    </row>
    <row r="921" spans="1:2" x14ac:dyDescent="0.15">
      <c r="A921" s="634"/>
      <c r="B921" s="635"/>
    </row>
    <row r="922" spans="1:2" x14ac:dyDescent="0.15">
      <c r="A922" s="634"/>
      <c r="B922" s="635"/>
    </row>
    <row r="923" spans="1:2" x14ac:dyDescent="0.15">
      <c r="A923" s="634"/>
      <c r="B923" s="635"/>
    </row>
    <row r="924" spans="1:2" x14ac:dyDescent="0.15">
      <c r="A924" s="634"/>
      <c r="B924" s="635"/>
    </row>
    <row r="925" spans="1:2" x14ac:dyDescent="0.15">
      <c r="A925" s="634"/>
      <c r="B925" s="635"/>
    </row>
    <row r="926" spans="1:2" x14ac:dyDescent="0.15">
      <c r="A926" s="634"/>
      <c r="B926" s="635"/>
    </row>
    <row r="927" spans="1:2" x14ac:dyDescent="0.15">
      <c r="A927" s="634"/>
      <c r="B927" s="635"/>
    </row>
    <row r="928" spans="1:2" x14ac:dyDescent="0.15">
      <c r="A928" s="634"/>
      <c r="B928" s="635"/>
    </row>
    <row r="929" spans="1:2" x14ac:dyDescent="0.15">
      <c r="A929" s="634"/>
      <c r="B929" s="635"/>
    </row>
    <row r="930" spans="1:2" x14ac:dyDescent="0.15">
      <c r="A930" s="634"/>
      <c r="B930" s="635"/>
    </row>
    <row r="931" spans="1:2" x14ac:dyDescent="0.15">
      <c r="A931" s="634"/>
      <c r="B931" s="635"/>
    </row>
    <row r="932" spans="1:2" x14ac:dyDescent="0.15">
      <c r="A932" s="634"/>
      <c r="B932" s="635"/>
    </row>
    <row r="933" spans="1:2" x14ac:dyDescent="0.15">
      <c r="A933" s="634"/>
      <c r="B933" s="635"/>
    </row>
    <row r="934" spans="1:2" x14ac:dyDescent="0.15">
      <c r="A934" s="634"/>
      <c r="B934" s="635"/>
    </row>
    <row r="935" spans="1:2" x14ac:dyDescent="0.15">
      <c r="A935" s="634"/>
      <c r="B935" s="635"/>
    </row>
    <row r="936" spans="1:2" x14ac:dyDescent="0.15">
      <c r="A936" s="634"/>
      <c r="B936" s="635"/>
    </row>
    <row r="937" spans="1:2" x14ac:dyDescent="0.15">
      <c r="A937" s="634"/>
      <c r="B937" s="635"/>
    </row>
    <row r="938" spans="1:2" x14ac:dyDescent="0.15">
      <c r="A938" s="634"/>
      <c r="B938" s="635"/>
    </row>
    <row r="939" spans="1:2" x14ac:dyDescent="0.15">
      <c r="A939" s="634"/>
      <c r="B939" s="635"/>
    </row>
    <row r="940" spans="1:2" x14ac:dyDescent="0.15">
      <c r="A940" s="634"/>
      <c r="B940" s="635"/>
    </row>
    <row r="941" spans="1:2" x14ac:dyDescent="0.15">
      <c r="A941" s="634"/>
      <c r="B941" s="635"/>
    </row>
    <row r="942" spans="1:2" x14ac:dyDescent="0.15">
      <c r="A942" s="634"/>
      <c r="B942" s="635"/>
    </row>
    <row r="943" spans="1:2" x14ac:dyDescent="0.15">
      <c r="A943" s="634"/>
      <c r="B943" s="635"/>
    </row>
    <row r="944" spans="1:2" x14ac:dyDescent="0.15">
      <c r="A944" s="634"/>
      <c r="B944" s="635"/>
    </row>
    <row r="945" spans="1:2" x14ac:dyDescent="0.15">
      <c r="A945" s="634"/>
      <c r="B945" s="635"/>
    </row>
    <row r="946" spans="1:2" x14ac:dyDescent="0.15">
      <c r="A946" s="634"/>
      <c r="B946" s="635"/>
    </row>
    <row r="947" spans="1:2" x14ac:dyDescent="0.15">
      <c r="A947" s="634"/>
      <c r="B947" s="635"/>
    </row>
    <row r="948" spans="1:2" x14ac:dyDescent="0.15">
      <c r="A948" s="634"/>
      <c r="B948" s="635"/>
    </row>
    <row r="949" spans="1:2" x14ac:dyDescent="0.15">
      <c r="A949" s="634"/>
      <c r="B949" s="635"/>
    </row>
    <row r="950" spans="1:2" x14ac:dyDescent="0.15">
      <c r="A950" s="634"/>
      <c r="B950" s="635"/>
    </row>
    <row r="951" spans="1:2" x14ac:dyDescent="0.15">
      <c r="A951" s="634"/>
      <c r="B951" s="635"/>
    </row>
    <row r="952" spans="1:2" x14ac:dyDescent="0.15">
      <c r="A952" s="634"/>
      <c r="B952" s="635"/>
    </row>
    <row r="953" spans="1:2" x14ac:dyDescent="0.15">
      <c r="A953" s="634"/>
      <c r="B953" s="635"/>
    </row>
    <row r="954" spans="1:2" x14ac:dyDescent="0.15">
      <c r="A954" s="634"/>
      <c r="B954" s="635"/>
    </row>
    <row r="955" spans="1:2" x14ac:dyDescent="0.15">
      <c r="A955" s="634"/>
      <c r="B955" s="635"/>
    </row>
    <row r="956" spans="1:2" x14ac:dyDescent="0.15">
      <c r="A956" s="634"/>
      <c r="B956" s="635"/>
    </row>
    <row r="957" spans="1:2" x14ac:dyDescent="0.15">
      <c r="A957" s="634"/>
      <c r="B957" s="635"/>
    </row>
    <row r="958" spans="1:2" x14ac:dyDescent="0.15">
      <c r="A958" s="634"/>
      <c r="B958" s="635"/>
    </row>
    <row r="959" spans="1:2" x14ac:dyDescent="0.15">
      <c r="A959" s="634"/>
      <c r="B959" s="635"/>
    </row>
    <row r="960" spans="1:2" x14ac:dyDescent="0.15">
      <c r="A960" s="634"/>
      <c r="B960" s="635"/>
    </row>
    <row r="961" spans="1:2" x14ac:dyDescent="0.15">
      <c r="A961" s="634"/>
      <c r="B961" s="635"/>
    </row>
    <row r="962" spans="1:2" x14ac:dyDescent="0.15">
      <c r="A962" s="634"/>
      <c r="B962" s="635"/>
    </row>
    <row r="963" spans="1:2" x14ac:dyDescent="0.15">
      <c r="A963" s="634"/>
      <c r="B963" s="635"/>
    </row>
    <row r="964" spans="1:2" x14ac:dyDescent="0.15">
      <c r="A964" s="634"/>
      <c r="B964" s="635"/>
    </row>
    <row r="965" spans="1:2" x14ac:dyDescent="0.15">
      <c r="A965" s="634"/>
      <c r="B965" s="635"/>
    </row>
    <row r="966" spans="1:2" x14ac:dyDescent="0.15">
      <c r="A966" s="634"/>
      <c r="B966" s="635"/>
    </row>
    <row r="967" spans="1:2" x14ac:dyDescent="0.15">
      <c r="A967" s="634"/>
      <c r="B967" s="635"/>
    </row>
    <row r="968" spans="1:2" x14ac:dyDescent="0.15">
      <c r="A968" s="634"/>
      <c r="B968" s="635"/>
    </row>
    <row r="969" spans="1:2" x14ac:dyDescent="0.15">
      <c r="A969" s="634"/>
      <c r="B969" s="635"/>
    </row>
    <row r="970" spans="1:2" x14ac:dyDescent="0.15">
      <c r="A970" s="634"/>
      <c r="B970" s="635"/>
    </row>
    <row r="971" spans="1:2" x14ac:dyDescent="0.15">
      <c r="A971" s="634"/>
      <c r="B971" s="635"/>
    </row>
    <row r="972" spans="1:2" x14ac:dyDescent="0.15">
      <c r="A972" s="634"/>
      <c r="B972" s="635"/>
    </row>
    <row r="973" spans="1:2" x14ac:dyDescent="0.15">
      <c r="A973" s="634"/>
      <c r="B973" s="635"/>
    </row>
    <row r="974" spans="1:2" x14ac:dyDescent="0.15">
      <c r="A974" s="634"/>
      <c r="B974" s="635"/>
    </row>
    <row r="975" spans="1:2" x14ac:dyDescent="0.15">
      <c r="A975" s="634"/>
      <c r="B975" s="635"/>
    </row>
    <row r="976" spans="1:2" x14ac:dyDescent="0.15">
      <c r="A976" s="634"/>
      <c r="B976" s="635"/>
    </row>
    <row r="977" spans="1:2" x14ac:dyDescent="0.15">
      <c r="A977" s="634"/>
      <c r="B977" s="635"/>
    </row>
    <row r="978" spans="1:2" x14ac:dyDescent="0.15">
      <c r="A978" s="634"/>
      <c r="B978" s="635"/>
    </row>
    <row r="979" spans="1:2" x14ac:dyDescent="0.15">
      <c r="A979" s="634"/>
      <c r="B979" s="635"/>
    </row>
    <row r="980" spans="1:2" x14ac:dyDescent="0.15">
      <c r="A980" s="634"/>
      <c r="B980" s="635"/>
    </row>
    <row r="981" spans="1:2" x14ac:dyDescent="0.15">
      <c r="A981" s="634"/>
      <c r="B981" s="635"/>
    </row>
    <row r="982" spans="1:2" x14ac:dyDescent="0.15">
      <c r="A982" s="634"/>
      <c r="B982" s="635"/>
    </row>
    <row r="983" spans="1:2" x14ac:dyDescent="0.15">
      <c r="A983" s="634"/>
      <c r="B983" s="635"/>
    </row>
    <row r="984" spans="1:2" x14ac:dyDescent="0.15">
      <c r="A984" s="634"/>
      <c r="B984" s="635"/>
    </row>
    <row r="985" spans="1:2" x14ac:dyDescent="0.15">
      <c r="A985" s="634"/>
      <c r="B985" s="635"/>
    </row>
    <row r="986" spans="1:2" x14ac:dyDescent="0.15">
      <c r="A986" s="634"/>
      <c r="B986" s="635"/>
    </row>
    <row r="987" spans="1:2" x14ac:dyDescent="0.15">
      <c r="A987" s="634"/>
      <c r="B987" s="635"/>
    </row>
    <row r="988" spans="1:2" x14ac:dyDescent="0.15">
      <c r="A988" s="634"/>
      <c r="B988" s="635"/>
    </row>
    <row r="989" spans="1:2" x14ac:dyDescent="0.15">
      <c r="A989" s="634"/>
      <c r="B989" s="635"/>
    </row>
    <row r="990" spans="1:2" x14ac:dyDescent="0.15">
      <c r="A990" s="634"/>
      <c r="B990" s="635"/>
    </row>
    <row r="991" spans="1:2" x14ac:dyDescent="0.15">
      <c r="A991" s="634"/>
      <c r="B991" s="635"/>
    </row>
    <row r="992" spans="1:2" x14ac:dyDescent="0.15">
      <c r="A992" s="634"/>
      <c r="B992" s="635"/>
    </row>
    <row r="993" spans="1:2" x14ac:dyDescent="0.15">
      <c r="A993" s="634"/>
      <c r="B993" s="635"/>
    </row>
    <row r="994" spans="1:2" x14ac:dyDescent="0.15">
      <c r="A994" s="634"/>
      <c r="B994" s="635"/>
    </row>
    <row r="995" spans="1:2" x14ac:dyDescent="0.15">
      <c r="A995" s="634"/>
      <c r="B995" s="635"/>
    </row>
    <row r="996" spans="1:2" x14ac:dyDescent="0.15">
      <c r="A996" s="634"/>
      <c r="B996" s="635"/>
    </row>
    <row r="997" spans="1:2" x14ac:dyDescent="0.15">
      <c r="A997" s="634"/>
      <c r="B997" s="635"/>
    </row>
    <row r="998" spans="1:2" x14ac:dyDescent="0.15">
      <c r="A998" s="634"/>
      <c r="B998" s="635"/>
    </row>
    <row r="999" spans="1:2" x14ac:dyDescent="0.15">
      <c r="A999" s="634"/>
      <c r="B999" s="635"/>
    </row>
    <row r="1000" spans="1:2" x14ac:dyDescent="0.15">
      <c r="A1000" s="634"/>
      <c r="B1000" s="635"/>
    </row>
    <row r="1001" spans="1:2" x14ac:dyDescent="0.15">
      <c r="A1001" s="634"/>
      <c r="B1001" s="635"/>
    </row>
  </sheetData>
  <autoFilter ref="A1:Y501"/>
  <phoneticPr fontId="40"/>
  <conditionalFormatting sqref="D2:Q299 D300:P302 K303:P315 S2:Y501 D331:Q501 Q300:Q330 D316:P330">
    <cfRule type="expression" dxfId="376" priority="5">
      <formula>D2=0</formula>
    </cfRule>
  </conditionalFormatting>
  <conditionalFormatting sqref="D303:J315">
    <cfRule type="expression" dxfId="375" priority="4">
      <formula>D303=0</formula>
    </cfRule>
  </conditionalFormatting>
  <conditionalFormatting sqref="A2:Y311 U314:U315 A331:Y501 R316:Y330 A312:P314 R312:Y314 Q312:Q330 A316:P330">
    <cfRule type="expression" dxfId="374" priority="3">
      <formula>AND($A2&lt;&gt;"",MONTH($A2)&lt;&gt;MONTH($A1))</formula>
    </cfRule>
  </conditionalFormatting>
  <conditionalFormatting sqref="R2:R501">
    <cfRule type="expression" dxfId="373" priority="2">
      <formula>R2=0</formula>
    </cfRule>
  </conditionalFormatting>
  <conditionalFormatting sqref="A315:P315 R315:Y315">
    <cfRule type="expression" dxfId="372" priority="312">
      <formula>AND($A315&lt;&gt;"",MONTH($A315)&lt;&gt;MONTH($A313))</formula>
    </cfRule>
  </conditionalFormatting>
  <dataValidations count="1">
    <dataValidation type="list" allowBlank="1" showInputMessage="1" showErrorMessage="1" sqref="B501 C46:C500">
      <formula1>事業所コード</formula1>
    </dataValidation>
  </dataValidations>
  <pageMargins left="0.7" right="0.7" top="0.75" bottom="0.75" header="0.3" footer="0.3"/>
  <pageSetup paperSize="9" orientation="portrait" verticalDpi="0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5">
    <pageSetUpPr fitToPage="1"/>
  </sheetPr>
  <dimension ref="A1:W108"/>
  <sheetViews>
    <sheetView topLeftCell="A16" zoomScale="80" zoomScaleNormal="80" workbookViewId="0">
      <selection activeCell="F58" sqref="F58"/>
    </sheetView>
  </sheetViews>
  <sheetFormatPr defaultRowHeight="13.5" x14ac:dyDescent="0.15"/>
  <cols>
    <col min="1" max="1" width="4.375" customWidth="1"/>
    <col min="2" max="15" width="13" customWidth="1"/>
    <col min="16" max="16" width="8.875" customWidth="1"/>
    <col min="17" max="22" width="12.625" customWidth="1"/>
    <col min="23" max="23" width="9" customWidth="1"/>
  </cols>
  <sheetData>
    <row r="1" spans="2:23" x14ac:dyDescent="0.15">
      <c r="B1" s="59" t="s">
        <v>437</v>
      </c>
    </row>
    <row r="2" spans="2:23" x14ac:dyDescent="0.15">
      <c r="B2" s="155" t="s">
        <v>26</v>
      </c>
      <c r="C2" s="155" t="s">
        <v>15</v>
      </c>
      <c r="D2" s="155" t="s">
        <v>35</v>
      </c>
      <c r="E2" s="155" t="s">
        <v>45</v>
      </c>
      <c r="G2" s="543"/>
      <c r="I2" s="714"/>
    </row>
    <row r="3" spans="2:23" x14ac:dyDescent="0.15">
      <c r="B3" s="60">
        <v>379474045</v>
      </c>
      <c r="C3" s="60">
        <v>271446225</v>
      </c>
      <c r="D3" s="60">
        <v>91987288</v>
      </c>
      <c r="E3" s="60">
        <v>16040532</v>
      </c>
    </row>
    <row r="4" spans="2:23" x14ac:dyDescent="0.15">
      <c r="N4" s="6"/>
    </row>
    <row r="5" spans="2:23" ht="14.25" thickBot="1" x14ac:dyDescent="0.2">
      <c r="B5" t="s">
        <v>436</v>
      </c>
      <c r="E5" s="6"/>
      <c r="N5" s="6" t="s">
        <v>191</v>
      </c>
      <c r="O5" s="6" t="s">
        <v>222</v>
      </c>
    </row>
    <row r="6" spans="2:23" x14ac:dyDescent="0.15">
      <c r="B6" s="133" t="s">
        <v>33</v>
      </c>
      <c r="C6" s="159" t="s">
        <v>197</v>
      </c>
      <c r="D6" s="146" t="s">
        <v>198</v>
      </c>
      <c r="E6" s="147" t="s">
        <v>173</v>
      </c>
      <c r="F6" s="146" t="s">
        <v>172</v>
      </c>
      <c r="G6" s="146" t="s">
        <v>171</v>
      </c>
      <c r="H6" s="147" t="s">
        <v>164</v>
      </c>
      <c r="I6" s="146" t="s">
        <v>166</v>
      </c>
      <c r="J6" s="146" t="s">
        <v>168</v>
      </c>
      <c r="K6" s="147" t="s">
        <v>210</v>
      </c>
      <c r="L6" s="146" t="s">
        <v>211</v>
      </c>
      <c r="M6" s="146" t="s">
        <v>212</v>
      </c>
      <c r="N6" s="147" t="s">
        <v>213</v>
      </c>
      <c r="O6" s="147" t="s">
        <v>96</v>
      </c>
      <c r="Q6" s="232" t="s">
        <v>1218</v>
      </c>
      <c r="R6" s="232" t="s">
        <v>1296</v>
      </c>
      <c r="S6" s="232"/>
      <c r="T6" s="232"/>
      <c r="U6" s="232"/>
      <c r="V6" s="232"/>
      <c r="W6" s="232"/>
    </row>
    <row r="7" spans="2:23" x14ac:dyDescent="0.15">
      <c r="B7" s="106" t="s">
        <v>438</v>
      </c>
      <c r="C7" s="171"/>
      <c r="D7" s="172">
        <v>14</v>
      </c>
      <c r="E7" s="173"/>
      <c r="F7" s="171"/>
      <c r="G7" s="172"/>
      <c r="H7" s="173"/>
      <c r="I7" s="171"/>
      <c r="J7" s="172"/>
      <c r="K7" s="173"/>
      <c r="L7" s="171"/>
      <c r="M7" s="172"/>
      <c r="N7" s="173"/>
      <c r="O7" s="58">
        <f t="shared" ref="O7:O17" si="0">SUM(C7:N7)</f>
        <v>14</v>
      </c>
      <c r="R7" s="1"/>
      <c r="S7" s="26"/>
      <c r="T7" s="26"/>
      <c r="V7" s="1"/>
      <c r="W7" s="1"/>
    </row>
    <row r="8" spans="2:23" x14ac:dyDescent="0.15">
      <c r="B8" s="105" t="s">
        <v>34</v>
      </c>
      <c r="C8" s="103">
        <v>1029</v>
      </c>
      <c r="D8" s="57">
        <v>1061</v>
      </c>
      <c r="E8" s="58">
        <v>968</v>
      </c>
      <c r="F8" s="57">
        <v>996</v>
      </c>
      <c r="G8" s="57">
        <v>1005</v>
      </c>
      <c r="H8" s="58">
        <v>965</v>
      </c>
      <c r="I8" s="57">
        <v>1022</v>
      </c>
      <c r="J8" s="57">
        <v>1029</v>
      </c>
      <c r="K8" s="58">
        <v>1069</v>
      </c>
      <c r="L8" s="57">
        <v>983</v>
      </c>
      <c r="M8" s="57">
        <v>1104</v>
      </c>
      <c r="N8" s="58">
        <v>1032</v>
      </c>
      <c r="O8" s="58">
        <f t="shared" si="0"/>
        <v>12263</v>
      </c>
      <c r="Q8" s="26">
        <v>11042771</v>
      </c>
      <c r="R8" s="26">
        <v>10316821</v>
      </c>
      <c r="S8" s="26"/>
      <c r="T8" s="26"/>
      <c r="U8" s="26"/>
      <c r="V8" s="26"/>
      <c r="W8" s="1"/>
    </row>
    <row r="9" spans="2:23" x14ac:dyDescent="0.15">
      <c r="B9" s="105" t="s">
        <v>37</v>
      </c>
      <c r="C9" s="103">
        <v>602</v>
      </c>
      <c r="D9" s="57">
        <v>629</v>
      </c>
      <c r="E9" s="58">
        <v>594</v>
      </c>
      <c r="F9" s="57">
        <v>596</v>
      </c>
      <c r="G9" s="57">
        <v>549</v>
      </c>
      <c r="H9" s="58">
        <v>538</v>
      </c>
      <c r="I9" s="57">
        <v>539</v>
      </c>
      <c r="J9" s="57">
        <v>774</v>
      </c>
      <c r="K9" s="58">
        <v>673</v>
      </c>
      <c r="L9" s="57">
        <v>657</v>
      </c>
      <c r="M9" s="57">
        <v>608</v>
      </c>
      <c r="N9" s="58">
        <v>616</v>
      </c>
      <c r="O9" s="58">
        <f t="shared" si="0"/>
        <v>7375</v>
      </c>
      <c r="Q9" s="26">
        <v>6075758</v>
      </c>
      <c r="R9" s="26">
        <v>6163462</v>
      </c>
      <c r="S9" s="26"/>
      <c r="T9" s="26"/>
      <c r="U9" s="26"/>
      <c r="V9" s="26"/>
      <c r="W9" s="1"/>
    </row>
    <row r="10" spans="2:23" x14ac:dyDescent="0.15">
      <c r="B10" s="105" t="s">
        <v>66</v>
      </c>
      <c r="C10" s="103">
        <v>582</v>
      </c>
      <c r="D10" s="57">
        <v>579</v>
      </c>
      <c r="E10" s="58">
        <v>591</v>
      </c>
      <c r="F10" s="57">
        <v>565</v>
      </c>
      <c r="G10" s="57">
        <v>616</v>
      </c>
      <c r="H10" s="58">
        <v>570</v>
      </c>
      <c r="I10" s="57">
        <v>577</v>
      </c>
      <c r="J10" s="57">
        <v>670</v>
      </c>
      <c r="K10" s="58">
        <v>643</v>
      </c>
      <c r="L10" s="57">
        <v>683</v>
      </c>
      <c r="M10" s="57">
        <v>690</v>
      </c>
      <c r="N10" s="58">
        <v>753</v>
      </c>
      <c r="O10" s="58">
        <f t="shared" si="0"/>
        <v>7519</v>
      </c>
      <c r="Q10" s="26">
        <v>6899448</v>
      </c>
      <c r="R10" s="26">
        <v>7526424</v>
      </c>
      <c r="S10" s="26"/>
      <c r="T10" s="26"/>
      <c r="U10" s="26"/>
      <c r="V10" s="26"/>
      <c r="W10" s="1"/>
    </row>
    <row r="11" spans="2:23" x14ac:dyDescent="0.15">
      <c r="B11" s="822" t="s">
        <v>967</v>
      </c>
      <c r="C11" s="103"/>
      <c r="D11" s="57"/>
      <c r="E11" s="58"/>
      <c r="F11" s="57"/>
      <c r="G11" s="57"/>
      <c r="H11" s="58"/>
      <c r="I11" s="57"/>
      <c r="J11" s="57"/>
      <c r="K11" s="58"/>
      <c r="L11" s="57">
        <v>10</v>
      </c>
      <c r="M11" s="57">
        <v>66</v>
      </c>
      <c r="N11" s="58">
        <v>63</v>
      </c>
      <c r="O11" s="58">
        <f>SUM(C11:N11)</f>
        <v>139</v>
      </c>
      <c r="Q11" s="1">
        <v>663080</v>
      </c>
      <c r="R11" s="1">
        <v>624826</v>
      </c>
      <c r="S11" s="1"/>
      <c r="T11" s="1"/>
      <c r="U11" s="1"/>
      <c r="V11" s="1"/>
      <c r="W11" s="1"/>
    </row>
    <row r="12" spans="2:23" x14ac:dyDescent="0.15">
      <c r="B12" s="105" t="s">
        <v>190</v>
      </c>
      <c r="C12" s="103">
        <v>313</v>
      </c>
      <c r="D12" s="57">
        <v>327</v>
      </c>
      <c r="E12" s="58">
        <v>351</v>
      </c>
      <c r="F12" s="57">
        <v>332</v>
      </c>
      <c r="G12" s="57">
        <v>331</v>
      </c>
      <c r="H12" s="58">
        <v>350</v>
      </c>
      <c r="I12" s="57">
        <v>346</v>
      </c>
      <c r="J12" s="57">
        <v>471</v>
      </c>
      <c r="K12" s="58">
        <v>442</v>
      </c>
      <c r="L12" s="57">
        <v>415</v>
      </c>
      <c r="M12" s="57">
        <v>447</v>
      </c>
      <c r="N12" s="58">
        <v>449</v>
      </c>
      <c r="O12" s="58">
        <f t="shared" si="0"/>
        <v>4574</v>
      </c>
      <c r="Q12" s="1">
        <v>4468494</v>
      </c>
      <c r="R12" s="1">
        <v>4494230</v>
      </c>
      <c r="S12" s="1"/>
      <c r="T12" s="1"/>
      <c r="U12" s="1"/>
      <c r="V12" s="1"/>
      <c r="W12" s="1"/>
    </row>
    <row r="13" spans="2:23" x14ac:dyDescent="0.15">
      <c r="B13" s="105" t="s">
        <v>38</v>
      </c>
      <c r="C13" s="103">
        <v>320</v>
      </c>
      <c r="D13" s="57">
        <v>298</v>
      </c>
      <c r="E13" s="58">
        <v>261</v>
      </c>
      <c r="F13" s="57">
        <v>289</v>
      </c>
      <c r="G13" s="57">
        <v>262</v>
      </c>
      <c r="H13" s="58">
        <v>323</v>
      </c>
      <c r="I13" s="57">
        <v>307</v>
      </c>
      <c r="J13" s="57">
        <v>318</v>
      </c>
      <c r="K13" s="58">
        <v>302</v>
      </c>
      <c r="L13" s="57">
        <v>274</v>
      </c>
      <c r="M13" s="57">
        <v>257</v>
      </c>
      <c r="N13" s="58">
        <v>235</v>
      </c>
      <c r="O13" s="58">
        <f t="shared" si="0"/>
        <v>3446</v>
      </c>
      <c r="Q13" s="26">
        <v>2570587</v>
      </c>
      <c r="R13" s="26">
        <v>2351289</v>
      </c>
      <c r="S13" s="26"/>
      <c r="T13" s="26"/>
      <c r="U13" s="26"/>
      <c r="V13" s="26"/>
      <c r="W13" s="1"/>
    </row>
    <row r="14" spans="2:23" x14ac:dyDescent="0.15">
      <c r="B14" s="105" t="s">
        <v>125</v>
      </c>
      <c r="C14" s="103">
        <v>124</v>
      </c>
      <c r="D14" s="57">
        <v>105</v>
      </c>
      <c r="E14" s="58">
        <v>123</v>
      </c>
      <c r="F14" s="57">
        <v>104</v>
      </c>
      <c r="G14" s="57">
        <v>81</v>
      </c>
      <c r="H14" s="58">
        <v>74</v>
      </c>
      <c r="I14" s="57">
        <v>82</v>
      </c>
      <c r="J14" s="57">
        <v>86</v>
      </c>
      <c r="K14" s="58">
        <v>137</v>
      </c>
      <c r="L14" s="57">
        <v>55</v>
      </c>
      <c r="M14" s="57">
        <v>116</v>
      </c>
      <c r="N14" s="58">
        <v>87</v>
      </c>
      <c r="O14" s="58">
        <f t="shared" si="0"/>
        <v>1174</v>
      </c>
      <c r="Q14" s="26">
        <v>1159974</v>
      </c>
      <c r="R14" s="26">
        <v>870546</v>
      </c>
      <c r="S14" s="26"/>
      <c r="T14" s="26"/>
      <c r="U14" s="26"/>
      <c r="V14" s="26"/>
      <c r="W14" s="1"/>
    </row>
    <row r="15" spans="2:23" x14ac:dyDescent="0.15">
      <c r="B15" s="105" t="s">
        <v>184</v>
      </c>
      <c r="C15" s="103">
        <v>102</v>
      </c>
      <c r="D15" s="57">
        <v>106</v>
      </c>
      <c r="E15" s="58">
        <v>100</v>
      </c>
      <c r="F15" s="57">
        <v>106</v>
      </c>
      <c r="G15" s="57">
        <v>102</v>
      </c>
      <c r="H15" s="58">
        <v>94</v>
      </c>
      <c r="I15" s="57">
        <v>120</v>
      </c>
      <c r="J15" s="57">
        <v>104</v>
      </c>
      <c r="K15" s="58">
        <v>115</v>
      </c>
      <c r="L15" s="57">
        <v>105</v>
      </c>
      <c r="M15" s="57">
        <v>108</v>
      </c>
      <c r="N15" s="58">
        <v>92</v>
      </c>
      <c r="O15" s="58">
        <f t="shared" si="0"/>
        <v>1254</v>
      </c>
      <c r="Q15" s="1">
        <v>1085268</v>
      </c>
      <c r="R15" s="26">
        <v>923999</v>
      </c>
      <c r="S15" s="26"/>
      <c r="T15" s="26"/>
      <c r="U15" s="26"/>
      <c r="V15" s="26"/>
      <c r="W15" s="1"/>
    </row>
    <row r="16" spans="2:23" x14ac:dyDescent="0.15">
      <c r="B16" s="136" t="s">
        <v>329</v>
      </c>
      <c r="C16" s="104">
        <v>213</v>
      </c>
      <c r="D16" s="65">
        <v>328</v>
      </c>
      <c r="E16" s="72">
        <v>270</v>
      </c>
      <c r="F16" s="65">
        <v>275</v>
      </c>
      <c r="G16" s="65">
        <v>270</v>
      </c>
      <c r="H16" s="72">
        <v>257</v>
      </c>
      <c r="I16" s="65">
        <v>282</v>
      </c>
      <c r="J16" s="65">
        <v>275</v>
      </c>
      <c r="K16" s="72">
        <v>377</v>
      </c>
      <c r="L16" s="65">
        <v>247</v>
      </c>
      <c r="M16" s="65">
        <v>298</v>
      </c>
      <c r="N16" s="72">
        <v>247</v>
      </c>
      <c r="O16" s="72">
        <f t="shared" si="0"/>
        <v>3339</v>
      </c>
      <c r="Q16" s="1">
        <v>2977988</v>
      </c>
      <c r="R16" s="1">
        <v>2468275</v>
      </c>
      <c r="S16" s="1"/>
      <c r="T16" s="1"/>
      <c r="U16" s="1"/>
      <c r="V16" s="1"/>
      <c r="W16" s="1"/>
    </row>
    <row r="17" spans="2:22" ht="14.25" thickBot="1" x14ac:dyDescent="0.2">
      <c r="B17" s="136" t="s">
        <v>336</v>
      </c>
      <c r="C17" s="104">
        <v>318</v>
      </c>
      <c r="D17" s="65">
        <v>321</v>
      </c>
      <c r="E17" s="72">
        <v>315</v>
      </c>
      <c r="F17" s="65">
        <v>312</v>
      </c>
      <c r="G17" s="65">
        <v>234</v>
      </c>
      <c r="H17" s="72">
        <v>217</v>
      </c>
      <c r="I17" s="65">
        <v>225</v>
      </c>
      <c r="J17" s="65">
        <v>196</v>
      </c>
      <c r="K17" s="72">
        <v>196</v>
      </c>
      <c r="L17" s="65">
        <v>189</v>
      </c>
      <c r="M17" s="65">
        <v>161</v>
      </c>
      <c r="N17" s="72">
        <v>144</v>
      </c>
      <c r="O17" s="72">
        <f t="shared" si="0"/>
        <v>2828</v>
      </c>
      <c r="Q17" s="1">
        <v>1614388</v>
      </c>
      <c r="R17" s="1">
        <v>1444523</v>
      </c>
      <c r="S17" s="1"/>
      <c r="T17" s="1"/>
      <c r="U17" s="1"/>
      <c r="V17" s="1"/>
    </row>
    <row r="18" spans="2:22" ht="14.25" thickBot="1" x14ac:dyDescent="0.2">
      <c r="B18" s="158" t="s">
        <v>96</v>
      </c>
      <c r="C18" s="160">
        <f t="shared" ref="C18:O18" si="1">SUM(C7:C17)</f>
        <v>3603</v>
      </c>
      <c r="D18" s="149">
        <f t="shared" si="1"/>
        <v>3768</v>
      </c>
      <c r="E18" s="131">
        <f t="shared" si="1"/>
        <v>3573</v>
      </c>
      <c r="F18" s="149">
        <f t="shared" si="1"/>
        <v>3575</v>
      </c>
      <c r="G18" s="149">
        <f t="shared" si="1"/>
        <v>3450</v>
      </c>
      <c r="H18" s="131">
        <f t="shared" si="1"/>
        <v>3388</v>
      </c>
      <c r="I18" s="149">
        <f t="shared" si="1"/>
        <v>3500</v>
      </c>
      <c r="J18" s="149">
        <f>SUM(J7:J17)</f>
        <v>3923</v>
      </c>
      <c r="K18" s="131">
        <f>SUM(K7:K17)</f>
        <v>3954</v>
      </c>
      <c r="L18" s="149">
        <f t="shared" si="1"/>
        <v>3618</v>
      </c>
      <c r="M18" s="149">
        <f>SUM(M7:M17)</f>
        <v>3855</v>
      </c>
      <c r="N18" s="131">
        <f t="shared" si="1"/>
        <v>3718</v>
      </c>
      <c r="O18" s="131">
        <f t="shared" si="1"/>
        <v>43925</v>
      </c>
      <c r="Q18" s="1">
        <f>SUM(Q7:Q17)</f>
        <v>38557756</v>
      </c>
      <c r="R18" s="1">
        <f>SUM(R7:R17)</f>
        <v>37184395</v>
      </c>
      <c r="S18" s="1"/>
      <c r="T18" s="1"/>
      <c r="U18" s="1"/>
      <c r="V18" s="1"/>
    </row>
    <row r="19" spans="2:22" ht="14.25" thickBot="1" x14ac:dyDescent="0.2">
      <c r="H19" s="203"/>
      <c r="I19" s="2235" t="str">
        <f>"平均売上" &amp; " " &amp; TEXT(ROUND(AVERAGE(I18:K18),0),"#,##0")</f>
        <v>平均売上 3,792</v>
      </c>
      <c r="J19" s="2236"/>
      <c r="K19" s="2237"/>
      <c r="L19" s="2235" t="str">
        <f>"平均売上" &amp; " " &amp; TEXT(ROUND(AVERAGE(L18:N18),0),"#,##0")</f>
        <v>平均売上 3,730</v>
      </c>
      <c r="M19" s="2236"/>
      <c r="N19" s="2237"/>
    </row>
    <row r="20" spans="2:22" x14ac:dyDescent="0.15">
      <c r="B20" s="176"/>
      <c r="C20" t="s">
        <v>231</v>
      </c>
      <c r="G20" s="4"/>
      <c r="N20" s="6" t="s">
        <v>227</v>
      </c>
    </row>
    <row r="21" spans="2:22" ht="14.25" thickBot="1" x14ac:dyDescent="0.2">
      <c r="B21" s="59" t="s">
        <v>872</v>
      </c>
      <c r="D21" s="6" t="s">
        <v>221</v>
      </c>
      <c r="E21" s="4">
        <f>B3</f>
        <v>379474045</v>
      </c>
      <c r="F21" s="6" t="s">
        <v>209</v>
      </c>
      <c r="G21" s="177" t="s">
        <v>205</v>
      </c>
      <c r="H21" s="6" t="s">
        <v>223</v>
      </c>
      <c r="J21" s="156" t="s">
        <v>217</v>
      </c>
      <c r="K21" s="157" t="s">
        <v>229</v>
      </c>
      <c r="L21" s="157" t="s">
        <v>228</v>
      </c>
      <c r="M21" s="157" t="s">
        <v>230</v>
      </c>
      <c r="N21" s="157" t="s">
        <v>218</v>
      </c>
    </row>
    <row r="22" spans="2:22" x14ac:dyDescent="0.15">
      <c r="B22" s="335" t="s">
        <v>208</v>
      </c>
      <c r="C22" s="338" t="s">
        <v>205</v>
      </c>
      <c r="D22" s="338" t="s">
        <v>206</v>
      </c>
      <c r="E22" s="338" t="s">
        <v>192</v>
      </c>
      <c r="F22" s="338" t="s">
        <v>124</v>
      </c>
      <c r="G22" s="338" t="s">
        <v>204</v>
      </c>
      <c r="H22" s="336" t="s">
        <v>214</v>
      </c>
      <c r="J22" s="161" t="s">
        <v>26</v>
      </c>
      <c r="K22" s="162">
        <f>G35</f>
        <v>438430657</v>
      </c>
      <c r="L22" s="162">
        <f>B3</f>
        <v>379474045</v>
      </c>
      <c r="M22" s="162">
        <f t="shared" ref="M22:M28" si="2">K22-L22</f>
        <v>58956612</v>
      </c>
      <c r="N22" s="163" t="str">
        <f>G21</f>
        <v>本部予測</v>
      </c>
    </row>
    <row r="23" spans="2:22" x14ac:dyDescent="0.15">
      <c r="B23" s="339" t="s">
        <v>197</v>
      </c>
      <c r="C23" s="57">
        <f>C$18*10000</f>
        <v>36030000</v>
      </c>
      <c r="D23" s="57">
        <f>'事業所損益管理(H29.9～H30.8)収支計画表'!$F$134</f>
        <v>37141000</v>
      </c>
      <c r="E23" s="57">
        <v>34998415</v>
      </c>
      <c r="F23" s="57">
        <f>'事業所損益管理(H29.9～H30.8)収支計画表'!$F$144</f>
        <v>35916200</v>
      </c>
      <c r="G23" s="57">
        <f t="shared" ref="G23:G34" si="3">IF(F23=0,IF(G$21=C$22,C23,IF(G$21=D$22,D23,IF(G$21=E$22,E23,C23))),F23)</f>
        <v>35916200</v>
      </c>
      <c r="H23" s="58">
        <f>G23</f>
        <v>35916200</v>
      </c>
      <c r="J23" s="164" t="s">
        <v>15</v>
      </c>
      <c r="K23" s="165">
        <f>G52</f>
        <v>315713634</v>
      </c>
      <c r="L23" s="165">
        <f>C3</f>
        <v>271446225</v>
      </c>
      <c r="M23" s="165">
        <f t="shared" si="2"/>
        <v>44267409</v>
      </c>
      <c r="N23" s="166" t="str">
        <f>G38</f>
        <v>本部予測</v>
      </c>
    </row>
    <row r="24" spans="2:22" x14ac:dyDescent="0.15">
      <c r="B24" s="339" t="s">
        <v>198</v>
      </c>
      <c r="C24" s="57">
        <f>D$18*10000</f>
        <v>37680000</v>
      </c>
      <c r="D24" s="57">
        <f>'事業所損益管理(H29.9～H30.8)収支計画表'!$G$134</f>
        <v>37741000</v>
      </c>
      <c r="E24" s="57">
        <v>36859349</v>
      </c>
      <c r="F24" s="57">
        <f>'事業所損益管理(H29.9～H30.8)収支計画表'!$G$144</f>
        <v>37696511</v>
      </c>
      <c r="G24" s="57">
        <f t="shared" si="3"/>
        <v>37696511</v>
      </c>
      <c r="H24" s="58">
        <f>H23+G24</f>
        <v>73612711</v>
      </c>
      <c r="J24" s="164" t="s">
        <v>35</v>
      </c>
      <c r="K24" s="165">
        <f>G69</f>
        <v>112728447</v>
      </c>
      <c r="L24" s="165">
        <f>D3</f>
        <v>91987288</v>
      </c>
      <c r="M24" s="165">
        <f t="shared" si="2"/>
        <v>20741159</v>
      </c>
      <c r="N24" s="166" t="str">
        <f>G55</f>
        <v>本部予測</v>
      </c>
    </row>
    <row r="25" spans="2:22" x14ac:dyDescent="0.15">
      <c r="B25" s="339" t="s">
        <v>199</v>
      </c>
      <c r="C25" s="57">
        <f>E$18*10000</f>
        <v>35730000</v>
      </c>
      <c r="D25" s="57">
        <f>'事業所損益管理(H29.9～H30.8)収支計画表'!$H$134</f>
        <v>37991000</v>
      </c>
      <c r="E25" s="57">
        <v>36333353</v>
      </c>
      <c r="F25" s="57">
        <f>'事業所損益管理(H29.9～H30.8)収支計画表'!$H$144</f>
        <v>35721077</v>
      </c>
      <c r="G25" s="57">
        <f t="shared" si="3"/>
        <v>35721077</v>
      </c>
      <c r="H25" s="58">
        <f t="shared" ref="H25:H34" si="4">H24+G25</f>
        <v>109333788</v>
      </c>
      <c r="J25" s="164" t="s">
        <v>53</v>
      </c>
      <c r="K25" s="165">
        <f>K23+K24</f>
        <v>428442081</v>
      </c>
      <c r="L25" s="165">
        <f>L23+L24</f>
        <v>363433513</v>
      </c>
      <c r="M25" s="165">
        <f t="shared" si="2"/>
        <v>65008568</v>
      </c>
      <c r="N25" s="169"/>
    </row>
    <row r="26" spans="2:22" x14ac:dyDescent="0.15">
      <c r="B26" s="339" t="s">
        <v>200</v>
      </c>
      <c r="C26" s="57">
        <f>F$18*10000</f>
        <v>35750000</v>
      </c>
      <c r="D26" s="57">
        <f>'事業所損益管理(H29.9～H30.8)収支計画表'!$I$134</f>
        <v>38091000</v>
      </c>
      <c r="E26" s="57">
        <v>37725970</v>
      </c>
      <c r="F26" s="57">
        <f>'事業所損益管理(H29.9～H30.8)収支計画表'!$I$144</f>
        <v>35713004</v>
      </c>
      <c r="G26" s="57">
        <f>IF(F26=0,IF(G$21=C$22,C26,IF(G$21=D$22,D26,IF(G$21=E$22,E26,C26))),F26)</f>
        <v>35713004</v>
      </c>
      <c r="H26" s="58">
        <f t="shared" si="4"/>
        <v>145046792</v>
      </c>
      <c r="J26" s="763" t="s">
        <v>1318</v>
      </c>
      <c r="K26" s="764">
        <f ca="1">'事業所損益管理(H29.9～H30.8)収支計画表'!S148</f>
        <v>895333</v>
      </c>
      <c r="L26" s="1283"/>
      <c r="M26" s="1283"/>
      <c r="N26" s="1282"/>
    </row>
    <row r="27" spans="2:22" ht="14.25" thickBot="1" x14ac:dyDescent="0.2">
      <c r="B27" s="339" t="s">
        <v>201</v>
      </c>
      <c r="C27" s="57">
        <f>G$18*10000</f>
        <v>34500000</v>
      </c>
      <c r="D27" s="57">
        <f>'事業所損益管理(H29.9～H30.8)収支計画表'!$J$134</f>
        <v>36711000</v>
      </c>
      <c r="E27" s="57">
        <v>35447776</v>
      </c>
      <c r="F27" s="57">
        <f>'事業所損益管理(H29.9～H30.8)収支計画表'!$J$144</f>
        <v>34507019</v>
      </c>
      <c r="G27" s="57">
        <f>IF(F27=0,IF(G$21=C$22,C27,IF(G$21=D$22,D27,IF(G$21=E$22,E27,C27))),F27)</f>
        <v>34507019</v>
      </c>
      <c r="H27" s="58">
        <f>H26+G27</f>
        <v>179553811</v>
      </c>
      <c r="J27" s="763" t="s">
        <v>45</v>
      </c>
      <c r="K27" s="764">
        <f ca="1">K22-K25+K26</f>
        <v>10883909</v>
      </c>
      <c r="L27" s="764">
        <f>L22-L25</f>
        <v>16040532</v>
      </c>
      <c r="M27" s="764">
        <f t="shared" ca="1" si="2"/>
        <v>-5156623</v>
      </c>
      <c r="N27" s="765"/>
    </row>
    <row r="28" spans="2:22" x14ac:dyDescent="0.15">
      <c r="B28" s="339" t="s">
        <v>202</v>
      </c>
      <c r="C28" s="57">
        <f>H$18*10000</f>
        <v>33880000</v>
      </c>
      <c r="D28" s="57">
        <f>'事業所損益管理(H29.9～H30.8)収支計画表'!$K$134</f>
        <v>36721000</v>
      </c>
      <c r="E28" s="57">
        <v>30228030</v>
      </c>
      <c r="F28" s="57">
        <f>'事業所損益管理(H29.9～H30.8)収支計画表'!$K$144</f>
        <v>33718137</v>
      </c>
      <c r="G28" s="57">
        <f t="shared" si="3"/>
        <v>33718137</v>
      </c>
      <c r="H28" s="58">
        <f t="shared" si="4"/>
        <v>213271948</v>
      </c>
      <c r="J28" s="161" t="s">
        <v>944</v>
      </c>
      <c r="K28" s="162">
        <f ca="1">'事業所損益管理(H29.9～H30.8)収支計画表'!W150</f>
        <v>1676866</v>
      </c>
      <c r="L28" s="162">
        <v>1502445</v>
      </c>
      <c r="M28" s="162">
        <f t="shared" ca="1" si="2"/>
        <v>174421</v>
      </c>
      <c r="N28" s="771"/>
    </row>
    <row r="29" spans="2:22" x14ac:dyDescent="0.15">
      <c r="B29" s="339" t="s">
        <v>165</v>
      </c>
      <c r="C29" s="57">
        <f>I$18*10000</f>
        <v>35000000</v>
      </c>
      <c r="D29" s="57">
        <f>'事業所損益管理(H29.9～H30.8)収支計画表'!$L$134</f>
        <v>37721000</v>
      </c>
      <c r="E29" s="57">
        <v>35395197</v>
      </c>
      <c r="F29" s="57">
        <f>'事業所損益管理(H29.9～H30.8)収支計画表'!$L$144</f>
        <v>35034097</v>
      </c>
      <c r="G29" s="57">
        <f t="shared" si="3"/>
        <v>35034097</v>
      </c>
      <c r="H29" s="58">
        <f t="shared" si="4"/>
        <v>248306045</v>
      </c>
      <c r="J29" s="768" t="s">
        <v>47</v>
      </c>
      <c r="K29" s="769">
        <f ca="1">'事業所損益管理(H29.9～H30.8)収支計画表'!W151</f>
        <v>7351199</v>
      </c>
      <c r="L29" s="769">
        <v>4683439</v>
      </c>
      <c r="M29" s="769">
        <f ca="1">K29-L29</f>
        <v>2667760</v>
      </c>
      <c r="N29" s="770"/>
    </row>
    <row r="30" spans="2:22" ht="14.25" thickBot="1" x14ac:dyDescent="0.2">
      <c r="B30" s="339" t="s">
        <v>167</v>
      </c>
      <c r="C30" s="57">
        <f>J$18*10000</f>
        <v>39230000</v>
      </c>
      <c r="D30" s="57">
        <f>'事業所損益管理(H29.9～H30.8)収支計画表'!$M$134</f>
        <v>38221000</v>
      </c>
      <c r="E30" s="57">
        <v>33352966</v>
      </c>
      <c r="F30" s="57">
        <f>'事業所損益管理(H29.9～H30.8)収支計画表'!$M$144</f>
        <v>39122247</v>
      </c>
      <c r="G30" s="57">
        <f t="shared" si="3"/>
        <v>39122247</v>
      </c>
      <c r="H30" s="58">
        <f t="shared" si="4"/>
        <v>287428292</v>
      </c>
      <c r="J30" s="167" t="s">
        <v>942</v>
      </c>
      <c r="K30" s="168">
        <f ca="1">K27-(K29-K28)</f>
        <v>5209576</v>
      </c>
      <c r="L30" s="168">
        <f>L27-(L29-L28)</f>
        <v>12859538</v>
      </c>
      <c r="M30" s="168">
        <f ca="1">K30-L30</f>
        <v>-7649962</v>
      </c>
      <c r="N30" s="170"/>
    </row>
    <row r="31" spans="2:22" ht="14.25" thickBot="1" x14ac:dyDescent="0.2">
      <c r="B31" s="339" t="s">
        <v>169</v>
      </c>
      <c r="C31" s="57">
        <f>K$18*10000</f>
        <v>39540000</v>
      </c>
      <c r="D31" s="57">
        <f>'事業所損益管理(H29.9～H30.8)収支計画表'!$N$134</f>
        <v>38321000</v>
      </c>
      <c r="E31" s="57">
        <v>36137317</v>
      </c>
      <c r="F31" s="57">
        <f>'事業所損益管理(H29.9～H30.8)収支計画表'!$N$144</f>
        <v>39669030</v>
      </c>
      <c r="G31" s="57">
        <f t="shared" si="3"/>
        <v>39669030</v>
      </c>
      <c r="H31" s="58">
        <f t="shared" si="4"/>
        <v>327097322</v>
      </c>
      <c r="J31" s="174" t="s">
        <v>177</v>
      </c>
      <c r="K31" s="175">
        <f ca="1">K30/K22</f>
        <v>1.1882326011704971E-2</v>
      </c>
      <c r="L31" s="175">
        <f>L30/L22</f>
        <v>3.3887793300856714E-2</v>
      </c>
      <c r="M31" s="766"/>
      <c r="N31" s="767"/>
      <c r="O31" t="s">
        <v>943</v>
      </c>
    </row>
    <row r="32" spans="2:22" ht="14.25" thickBot="1" x14ac:dyDescent="0.2">
      <c r="B32" s="339" t="s">
        <v>174</v>
      </c>
      <c r="C32" s="57">
        <f>L$18*10000</f>
        <v>36180000</v>
      </c>
      <c r="D32" s="57">
        <f>'事業所損益管理(H29.9～H30.8)収支計画表'!$O$134</f>
        <v>38701000</v>
      </c>
      <c r="E32" s="57">
        <v>38936590</v>
      </c>
      <c r="F32" s="57">
        <f>'事業所損益管理(H29.9～H30.8)収支計画表'!$O$144</f>
        <v>36072718</v>
      </c>
      <c r="G32" s="57">
        <f t="shared" si="3"/>
        <v>36072718</v>
      </c>
      <c r="H32" s="58">
        <f t="shared" si="4"/>
        <v>363170040</v>
      </c>
      <c r="J32" s="174" t="s">
        <v>342</v>
      </c>
      <c r="K32" s="175">
        <f>K23/K22</f>
        <v>0.72009935655571644</v>
      </c>
      <c r="L32" s="175">
        <f>L23/L22</f>
        <v>0.71532224292177871</v>
      </c>
      <c r="M32" s="766"/>
      <c r="N32" s="767"/>
    </row>
    <row r="33" spans="2:14" ht="14.25" thickBot="1" x14ac:dyDescent="0.2">
      <c r="B33" s="339" t="s">
        <v>175</v>
      </c>
      <c r="C33" s="57">
        <f>M$18*10000</f>
        <v>38550000</v>
      </c>
      <c r="D33" s="57">
        <f>'事業所損益管理(H29.9～H30.8)収支計画表'!$P$134</f>
        <v>39211000</v>
      </c>
      <c r="E33" s="57">
        <v>38235164</v>
      </c>
      <c r="F33" s="57">
        <f>'事業所損益管理(H29.9～H30.8)収支計画表'!$P$144</f>
        <v>38549836</v>
      </c>
      <c r="G33" s="57">
        <f t="shared" si="3"/>
        <v>38549836</v>
      </c>
      <c r="H33" s="58">
        <f t="shared" si="4"/>
        <v>401719876</v>
      </c>
      <c r="J33" s="174" t="s">
        <v>500</v>
      </c>
      <c r="K33" s="168">
        <f ca="1">'事業所損益管理(H29.9～H30.8)収支計画表'!W153</f>
        <v>699297</v>
      </c>
      <c r="L33" s="766"/>
      <c r="M33" s="766"/>
      <c r="N33" s="767"/>
    </row>
    <row r="34" spans="2:14" ht="14.25" thickBot="1" x14ac:dyDescent="0.2">
      <c r="B34" s="75" t="s">
        <v>203</v>
      </c>
      <c r="C34" s="65">
        <f>N$18*10000</f>
        <v>37180000</v>
      </c>
      <c r="D34" s="65">
        <f>'事業所損益管理(H29.9～H30.8)収支計画表'!$Q$134</f>
        <v>39346000</v>
      </c>
      <c r="E34" s="65">
        <v>37003205.666666672</v>
      </c>
      <c r="F34" s="65">
        <f>'事業所損益管理(H29.9～H30.8)収支計画表'!$Q$144</f>
        <v>36710781</v>
      </c>
      <c r="G34" s="65">
        <f t="shared" si="3"/>
        <v>36710781</v>
      </c>
      <c r="H34" s="72">
        <f t="shared" si="4"/>
        <v>438430657</v>
      </c>
    </row>
    <row r="35" spans="2:14" ht="15" thickTop="1" thickBot="1" x14ac:dyDescent="0.2">
      <c r="B35" s="76" t="s">
        <v>96</v>
      </c>
      <c r="C35" s="73">
        <f>SUM(C23:C34)</f>
        <v>439250000</v>
      </c>
      <c r="D35" s="73">
        <f>SUM(D23:D34)</f>
        <v>455917000</v>
      </c>
      <c r="E35" s="73">
        <f>SUM(E23:E34)</f>
        <v>430653332.66666669</v>
      </c>
      <c r="F35" s="73">
        <f>SUM(F23:F34)</f>
        <v>438430657</v>
      </c>
      <c r="G35" s="73">
        <f>SUM(G23:G34)</f>
        <v>438430657</v>
      </c>
      <c r="H35" s="74">
        <f>H34</f>
        <v>438430657</v>
      </c>
    </row>
    <row r="36" spans="2:14" x14ac:dyDescent="0.15">
      <c r="I36" s="989"/>
    </row>
    <row r="38" spans="2:14" ht="14.25" thickBot="1" x14ac:dyDescent="0.2">
      <c r="B38" s="59" t="s">
        <v>873</v>
      </c>
      <c r="D38" s="6" t="s">
        <v>221</v>
      </c>
      <c r="E38" s="4">
        <f>C3</f>
        <v>271446225</v>
      </c>
      <c r="F38" s="6" t="s">
        <v>209</v>
      </c>
      <c r="G38" s="177" t="s">
        <v>205</v>
      </c>
      <c r="H38" s="6" t="s">
        <v>224</v>
      </c>
    </row>
    <row r="39" spans="2:14" x14ac:dyDescent="0.15">
      <c r="B39" s="335" t="s">
        <v>208</v>
      </c>
      <c r="C39" s="338" t="s">
        <v>205</v>
      </c>
      <c r="D39" s="338" t="s">
        <v>206</v>
      </c>
      <c r="E39" s="338" t="s">
        <v>192</v>
      </c>
      <c r="F39" s="338" t="s">
        <v>124</v>
      </c>
      <c r="G39" s="338" t="s">
        <v>204</v>
      </c>
      <c r="H39" s="336" t="s">
        <v>215</v>
      </c>
    </row>
    <row r="40" spans="2:14" x14ac:dyDescent="0.15">
      <c r="B40" s="339" t="s">
        <v>197</v>
      </c>
      <c r="C40" s="57">
        <v>23720272.686999999</v>
      </c>
      <c r="D40" s="57">
        <f>'事業所損益管理(H29.9～H30.8)収支計画表'!$F$135</f>
        <v>24447000</v>
      </c>
      <c r="E40" s="57">
        <v>21380929</v>
      </c>
      <c r="F40" s="57">
        <f>'事業所損益管理(H29.9～H30.8)収支計画表'!$F$145</f>
        <v>22603261</v>
      </c>
      <c r="G40" s="57">
        <f>IF(F40=0,IF(G$38=C$39,C40,IF(G$38=D$39,D40,IF(G$38=E$39,E40,C40))),F40)</f>
        <v>22603261</v>
      </c>
      <c r="H40" s="58">
        <f>G40</f>
        <v>22603261</v>
      </c>
    </row>
    <row r="41" spans="2:14" x14ac:dyDescent="0.15">
      <c r="B41" s="339" t="s">
        <v>198</v>
      </c>
      <c r="C41" s="57">
        <v>23547152.686999999</v>
      </c>
      <c r="D41" s="57">
        <f>'事業所損益管理(H29.9～H30.8)収支計画表'!$G$135</f>
        <v>25170000</v>
      </c>
      <c r="E41" s="57">
        <v>26478131</v>
      </c>
      <c r="F41" s="57">
        <f>'事業所損益管理(H29.9～H30.8)収支計画表'!$G$145</f>
        <v>23743100</v>
      </c>
      <c r="G41" s="57">
        <f t="shared" ref="G41:G51" si="5">IF(F41=0,IF(G$38=C$39,C41,IF(G$38=D$39,D41,IF(G$38=E$39,E41,C41))),F41)</f>
        <v>23743100</v>
      </c>
      <c r="H41" s="58">
        <f>H40+G41</f>
        <v>46346361</v>
      </c>
      <c r="I41" s="26"/>
    </row>
    <row r="42" spans="2:14" x14ac:dyDescent="0.15">
      <c r="B42" s="339" t="s">
        <v>199</v>
      </c>
      <c r="C42" s="57">
        <v>24130152.686999999</v>
      </c>
      <c r="D42" s="57">
        <f>'事業所損益管理(H29.9～H30.8)収支計画表'!$H$135</f>
        <v>25145000</v>
      </c>
      <c r="E42" s="57">
        <v>24092829</v>
      </c>
      <c r="F42" s="57">
        <f>'事業所損益管理(H29.9～H30.8)収支計画表'!$H$145</f>
        <v>24272152</v>
      </c>
      <c r="G42" s="57">
        <f t="shared" si="5"/>
        <v>24272152</v>
      </c>
      <c r="H42" s="58">
        <f t="shared" ref="H42:H51" si="6">H41+G42</f>
        <v>70618513</v>
      </c>
      <c r="I42" s="26"/>
    </row>
    <row r="43" spans="2:14" x14ac:dyDescent="0.15">
      <c r="B43" s="339" t="s">
        <v>200</v>
      </c>
      <c r="C43" s="57">
        <v>36783662.686999999</v>
      </c>
      <c r="D43" s="57">
        <f>'事業所損益管理(H29.9～H30.8)収支計画表'!$I$135</f>
        <v>39947000</v>
      </c>
      <c r="E43" s="57">
        <v>34911104</v>
      </c>
      <c r="F43" s="57">
        <f>'事業所損益管理(H29.9～H30.8)収支計画表'!$I$145</f>
        <v>35562689</v>
      </c>
      <c r="G43" s="57">
        <f>IF(F43=0,IF(G$38=C$39,C43,IF(G$38=D$39,D43,IF(G$38=E$39,E43,C43))),F43)</f>
        <v>35562689</v>
      </c>
      <c r="H43" s="58">
        <f t="shared" si="6"/>
        <v>106181202</v>
      </c>
      <c r="I43" s="26"/>
    </row>
    <row r="44" spans="2:14" x14ac:dyDescent="0.15">
      <c r="B44" s="339" t="s">
        <v>201</v>
      </c>
      <c r="C44" s="57">
        <v>25004112.686999999</v>
      </c>
      <c r="D44" s="57">
        <f>'事業所損益管理(H29.9～H30.8)収支計画表'!$J$135</f>
        <v>24940000</v>
      </c>
      <c r="E44" s="57">
        <v>24770493</v>
      </c>
      <c r="F44" s="57">
        <f>'事業所損益管理(H29.9～H30.8)収支計画表'!$J$145</f>
        <v>28035865</v>
      </c>
      <c r="G44" s="57">
        <f t="shared" si="5"/>
        <v>28035865</v>
      </c>
      <c r="H44" s="58">
        <f t="shared" si="6"/>
        <v>134217067</v>
      </c>
      <c r="I44" s="26"/>
    </row>
    <row r="45" spans="2:14" x14ac:dyDescent="0.15">
      <c r="B45" s="339" t="s">
        <v>202</v>
      </c>
      <c r="C45" s="57">
        <v>24298892.686999999</v>
      </c>
      <c r="D45" s="57">
        <f>'事業所損益管理(H29.9～H30.8)収支計画表'!$K$135</f>
        <v>25090000</v>
      </c>
      <c r="E45" s="57">
        <v>30591832</v>
      </c>
      <c r="F45" s="57">
        <f>'事業所損益管理(H29.9～H30.8)収支計画表'!$K$145</f>
        <v>23265110</v>
      </c>
      <c r="G45" s="57">
        <f t="shared" si="5"/>
        <v>23265110</v>
      </c>
      <c r="H45" s="58">
        <f t="shared" si="6"/>
        <v>157482177</v>
      </c>
      <c r="I45" s="26"/>
    </row>
    <row r="46" spans="2:14" x14ac:dyDescent="0.15">
      <c r="B46" s="339" t="s">
        <v>165</v>
      </c>
      <c r="C46" s="57">
        <v>24321452.686999999</v>
      </c>
      <c r="D46" s="57">
        <f>'事業所損益管理(H29.9～H30.8)収支計画表'!$L$135</f>
        <v>25170000</v>
      </c>
      <c r="E46" s="57">
        <v>21845705</v>
      </c>
      <c r="F46" s="57">
        <f>'事業所損益管理(H29.9～H30.8)収支計画表'!$L$145</f>
        <v>24287584</v>
      </c>
      <c r="G46" s="57">
        <f t="shared" si="5"/>
        <v>24287584</v>
      </c>
      <c r="H46" s="58">
        <f t="shared" si="6"/>
        <v>181769761</v>
      </c>
      <c r="I46" s="26"/>
    </row>
    <row r="47" spans="2:14" x14ac:dyDescent="0.15">
      <c r="B47" s="339" t="s">
        <v>167</v>
      </c>
      <c r="C47" s="57">
        <v>24238992.686999999</v>
      </c>
      <c r="D47" s="57">
        <f>'事業所損益管理(H29.9～H30.8)収支計画表'!$M$135</f>
        <v>25030000</v>
      </c>
      <c r="E47" s="57">
        <v>24257466</v>
      </c>
      <c r="F47" s="57">
        <f>'事業所損益管理(H29.9～H30.8)収支計画表'!$M$145</f>
        <v>24212389</v>
      </c>
      <c r="G47" s="57">
        <f t="shared" si="5"/>
        <v>24212389</v>
      </c>
      <c r="H47" s="58">
        <f t="shared" si="6"/>
        <v>205982150</v>
      </c>
      <c r="I47" s="26"/>
    </row>
    <row r="48" spans="2:14" x14ac:dyDescent="0.15">
      <c r="B48" s="339" t="s">
        <v>169</v>
      </c>
      <c r="C48" s="57">
        <v>24336312.686999999</v>
      </c>
      <c r="D48" s="57">
        <f>'事業所損益管理(H29.9～H30.8)収支計画表'!$N$135</f>
        <v>25080000</v>
      </c>
      <c r="E48" s="57">
        <v>27606077</v>
      </c>
      <c r="F48" s="57">
        <f>'事業所損益管理(H29.9～H30.8)収支計画表'!$N$145</f>
        <v>23908066</v>
      </c>
      <c r="G48" s="57">
        <f t="shared" si="5"/>
        <v>23908066</v>
      </c>
      <c r="H48" s="58">
        <f t="shared" si="6"/>
        <v>229890216</v>
      </c>
      <c r="I48" s="26"/>
    </row>
    <row r="49" spans="2:10" x14ac:dyDescent="0.15">
      <c r="B49" s="339" t="s">
        <v>174</v>
      </c>
      <c r="C49" s="57">
        <v>31448630.804000001</v>
      </c>
      <c r="D49" s="57">
        <f>'事業所損益管理(H29.9～H30.8)収支計画表'!$O$135</f>
        <v>39381000</v>
      </c>
      <c r="E49" s="57">
        <v>29557719</v>
      </c>
      <c r="F49" s="57">
        <f>'事業所損益管理(H29.9～H30.8)収支計画表'!$O$145</f>
        <v>31697163</v>
      </c>
      <c r="G49" s="57">
        <f t="shared" si="5"/>
        <v>31697163</v>
      </c>
      <c r="H49" s="58">
        <f t="shared" si="6"/>
        <v>261587379</v>
      </c>
    </row>
    <row r="50" spans="2:10" x14ac:dyDescent="0.15">
      <c r="B50" s="339" t="s">
        <v>175</v>
      </c>
      <c r="C50" s="57">
        <v>25835711.66</v>
      </c>
      <c r="D50" s="57">
        <f>'事業所損益管理(H29.9～H30.8)収支計画表'!$P$135</f>
        <v>26371000</v>
      </c>
      <c r="E50" s="57">
        <v>30629909</v>
      </c>
      <c r="F50" s="57">
        <f>'事業所損益管理(H29.9～H30.8)収支計画表'!$P$145</f>
        <v>27605792</v>
      </c>
      <c r="G50" s="57">
        <f t="shared" si="5"/>
        <v>27605792</v>
      </c>
      <c r="H50" s="58">
        <f t="shared" si="6"/>
        <v>289193171</v>
      </c>
    </row>
    <row r="51" spans="2:10" ht="14.25" thickBot="1" x14ac:dyDescent="0.2">
      <c r="B51" s="75" t="s">
        <v>203</v>
      </c>
      <c r="C51" s="65">
        <v>26342491.66</v>
      </c>
      <c r="D51" s="65">
        <f>'事業所損益管理(H29.9～H30.8)収支計画表'!$Q$135</f>
        <v>26451000</v>
      </c>
      <c r="E51" s="65">
        <v>26932648</v>
      </c>
      <c r="F51" s="65">
        <f>'事業所損益管理(H29.9～H30.8)収支計画表'!$Q$145</f>
        <v>26520463</v>
      </c>
      <c r="G51" s="65">
        <f t="shared" si="5"/>
        <v>26520463</v>
      </c>
      <c r="H51" s="72">
        <f t="shared" si="6"/>
        <v>315713634</v>
      </c>
    </row>
    <row r="52" spans="2:10" ht="15" thickTop="1" thickBot="1" x14ac:dyDescent="0.2">
      <c r="B52" s="76" t="s">
        <v>96</v>
      </c>
      <c r="C52" s="73">
        <f>SUM(C40:C51)</f>
        <v>314007838.30700004</v>
      </c>
      <c r="D52" s="73">
        <f>SUM(D40:D51)</f>
        <v>332222000</v>
      </c>
      <c r="E52" s="73">
        <f>SUM(E40:E51)</f>
        <v>323054842</v>
      </c>
      <c r="F52" s="73">
        <f>SUM(F40:F51)</f>
        <v>315713634</v>
      </c>
      <c r="G52" s="73">
        <f>SUM(G40:G51)</f>
        <v>315713634</v>
      </c>
      <c r="H52" s="74">
        <f>H51</f>
        <v>315713634</v>
      </c>
    </row>
    <row r="53" spans="2:10" x14ac:dyDescent="0.15">
      <c r="E53" s="4"/>
      <c r="I53" s="26"/>
    </row>
    <row r="54" spans="2:10" x14ac:dyDescent="0.15">
      <c r="I54" s="26"/>
    </row>
    <row r="55" spans="2:10" ht="14.25" thickBot="1" x14ac:dyDescent="0.2">
      <c r="B55" s="59" t="s">
        <v>1009</v>
      </c>
      <c r="D55" s="6" t="s">
        <v>221</v>
      </c>
      <c r="E55" s="4">
        <f>D3</f>
        <v>91987288</v>
      </c>
      <c r="F55" s="6" t="s">
        <v>209</v>
      </c>
      <c r="G55" s="177" t="s">
        <v>205</v>
      </c>
      <c r="H55" s="6" t="s">
        <v>225</v>
      </c>
    </row>
    <row r="56" spans="2:10" x14ac:dyDescent="0.15">
      <c r="B56" s="335" t="s">
        <v>208</v>
      </c>
      <c r="C56" s="338" t="s">
        <v>205</v>
      </c>
      <c r="D56" s="338" t="s">
        <v>206</v>
      </c>
      <c r="E56" s="338" t="s">
        <v>192</v>
      </c>
      <c r="F56" s="338" t="s">
        <v>124</v>
      </c>
      <c r="G56" s="338" t="s">
        <v>204</v>
      </c>
      <c r="H56" s="336" t="s">
        <v>216</v>
      </c>
    </row>
    <row r="57" spans="2:10" x14ac:dyDescent="0.15">
      <c r="B57" s="339" t="s">
        <v>197</v>
      </c>
      <c r="C57" s="57">
        <v>7029178</v>
      </c>
      <c r="D57" s="57">
        <f>'事業所損益管理(H29.9～H30.8)収支計画表'!$F$137</f>
        <v>7270000</v>
      </c>
      <c r="E57" s="57">
        <v>7236052</v>
      </c>
      <c r="F57" s="57">
        <f>'事業所損益管理(H29.9～H30.8)収支計画表'!$F$147</f>
        <v>7294393</v>
      </c>
      <c r="G57" s="57">
        <f t="shared" ref="G57:G68" si="7">IF(F57=0,IF(G$55=C$56,C57,IF(G$55=D$56,D57,IF(G$55=E$56,E57,C57))),F57)</f>
        <v>7294393</v>
      </c>
      <c r="H57" s="58">
        <f>G57</f>
        <v>7294393</v>
      </c>
    </row>
    <row r="58" spans="2:10" x14ac:dyDescent="0.15">
      <c r="B58" s="339" t="s">
        <v>198</v>
      </c>
      <c r="C58" s="57">
        <v>7380908</v>
      </c>
      <c r="D58" s="57">
        <f>'事業所損益管理(H29.9～H30.8)収支計画表'!$G$137</f>
        <v>7225400</v>
      </c>
      <c r="E58" s="57">
        <v>7364200</v>
      </c>
      <c r="F58" s="57">
        <f>'事業所損益管理(H29.9～H30.8)収支計画表'!$G$147</f>
        <v>7306654</v>
      </c>
      <c r="G58" s="57">
        <f>IF(F58=0,IF(G$55=C$56,C58,IF(G$55=D$56,D58,IF(G$55=E$56,E58,C58))),F58)</f>
        <v>7306654</v>
      </c>
      <c r="H58" s="58">
        <f>H57+G58</f>
        <v>14601047</v>
      </c>
      <c r="I58" s="26"/>
    </row>
    <row r="59" spans="2:10" x14ac:dyDescent="0.15">
      <c r="B59" s="339" t="s">
        <v>199</v>
      </c>
      <c r="C59" s="57">
        <v>7040908</v>
      </c>
      <c r="D59" s="57">
        <f>'事業所損益管理(H29.9～H30.8)収支計画表'!$H$137</f>
        <v>7371800</v>
      </c>
      <c r="E59" s="57">
        <v>7973656</v>
      </c>
      <c r="F59" s="57">
        <f>'事業所損益管理(H29.9～H30.8)収支計画表'!$H$147</f>
        <v>8407030</v>
      </c>
      <c r="G59" s="57">
        <f t="shared" si="7"/>
        <v>8407030</v>
      </c>
      <c r="H59" s="58">
        <f t="shared" ref="H59:H68" si="8">H58+G59</f>
        <v>23008077</v>
      </c>
      <c r="I59" s="26"/>
    </row>
    <row r="60" spans="2:10" x14ac:dyDescent="0.15">
      <c r="B60" s="339" t="s">
        <v>200</v>
      </c>
      <c r="C60" s="57">
        <v>7413111.5</v>
      </c>
      <c r="D60" s="57">
        <f>'事業所損益管理(H29.9～H30.8)収支計画表'!$I$137</f>
        <v>7271800</v>
      </c>
      <c r="E60" s="57">
        <v>8102541</v>
      </c>
      <c r="F60" s="57">
        <f>'事業所損益管理(H29.9～H30.8)収支計画表'!$I$147</f>
        <v>8808106</v>
      </c>
      <c r="G60" s="57">
        <f t="shared" si="7"/>
        <v>8808106</v>
      </c>
      <c r="H60" s="58">
        <f t="shared" si="8"/>
        <v>31816183</v>
      </c>
      <c r="I60" s="26"/>
    </row>
    <row r="61" spans="2:10" x14ac:dyDescent="0.15">
      <c r="B61" s="339" t="s">
        <v>201</v>
      </c>
      <c r="C61" s="57">
        <v>8582435</v>
      </c>
      <c r="D61" s="57">
        <f>'事業所損益管理(H29.9～H30.8)収支計画表'!$J$137</f>
        <v>9071800</v>
      </c>
      <c r="E61" s="57">
        <v>8753169</v>
      </c>
      <c r="F61" s="57">
        <f>'事業所損益管理(H29.9～H30.8)収支計画表'!$J$147</f>
        <v>8643529</v>
      </c>
      <c r="G61" s="57">
        <f t="shared" si="7"/>
        <v>8643529</v>
      </c>
      <c r="H61" s="58">
        <f t="shared" si="8"/>
        <v>40459712</v>
      </c>
      <c r="I61" s="26"/>
    </row>
    <row r="62" spans="2:10" x14ac:dyDescent="0.15">
      <c r="B62" s="339" t="s">
        <v>202</v>
      </c>
      <c r="C62" s="57">
        <v>8607643.8000000007</v>
      </c>
      <c r="D62" s="57">
        <f>'事業所損益管理(H29.9～H30.8)収支計画表'!$K$137</f>
        <v>7321800</v>
      </c>
      <c r="E62" s="57">
        <v>8595026</v>
      </c>
      <c r="F62" s="57">
        <f>'事業所損益管理(H29.9～H30.8)収支計画表'!$K$147</f>
        <v>7932590</v>
      </c>
      <c r="G62" s="57">
        <f t="shared" si="7"/>
        <v>7932590</v>
      </c>
      <c r="H62" s="58">
        <f t="shared" si="8"/>
        <v>48392302</v>
      </c>
      <c r="I62" s="26"/>
      <c r="J62" s="4"/>
    </row>
    <row r="63" spans="2:10" x14ac:dyDescent="0.15">
      <c r="B63" s="339" t="s">
        <v>165</v>
      </c>
      <c r="C63" s="57">
        <v>8691876.0833333321</v>
      </c>
      <c r="D63" s="57">
        <f>'事業所損益管理(H29.9～H30.8)収支計画表'!$L$137</f>
        <v>7651800</v>
      </c>
      <c r="E63" s="57">
        <v>8815114</v>
      </c>
      <c r="F63" s="57">
        <f>'事業所損益管理(H29.9～H30.8)収支計画表'!$L$147</f>
        <v>10064249</v>
      </c>
      <c r="G63" s="57">
        <f>IF(F63=0,IF(G$55=C$56,C63,IF(G$55=D$56,D63,IF(G$55=E$56,E63,C63))),F63)</f>
        <v>10064249</v>
      </c>
      <c r="H63" s="58">
        <f t="shared" si="8"/>
        <v>58456551</v>
      </c>
      <c r="I63" s="26"/>
      <c r="J63" s="4"/>
    </row>
    <row r="64" spans="2:10" x14ac:dyDescent="0.15">
      <c r="B64" s="339" t="s">
        <v>167</v>
      </c>
      <c r="C64" s="57">
        <v>12526813</v>
      </c>
      <c r="D64" s="57">
        <f>'事業所損益管理(H29.9～H30.8)収支計画表'!$M$137</f>
        <v>7331800</v>
      </c>
      <c r="E64" s="57">
        <v>11833392</v>
      </c>
      <c r="F64" s="57">
        <f>'事業所損益管理(H29.9～H30.8)収支計画表'!$M$147</f>
        <v>10231887</v>
      </c>
      <c r="G64" s="57">
        <f t="shared" si="7"/>
        <v>10231887</v>
      </c>
      <c r="H64" s="58">
        <f t="shared" si="8"/>
        <v>68688438</v>
      </c>
      <c r="J64" s="4"/>
    </row>
    <row r="65" spans="2:14" x14ac:dyDescent="0.15">
      <c r="B65" s="339" t="s">
        <v>169</v>
      </c>
      <c r="C65" s="57">
        <v>10940011</v>
      </c>
      <c r="D65" s="57">
        <f>'事業所損益管理(H29.9～H30.8)収支計画表'!$N$137</f>
        <v>7541300</v>
      </c>
      <c r="E65" s="57">
        <v>10525308</v>
      </c>
      <c r="F65" s="57">
        <f>'事業所損益管理(H29.9～H30.8)収支計画表'!$N$147</f>
        <v>10215655</v>
      </c>
      <c r="G65" s="57">
        <f t="shared" si="7"/>
        <v>10215655</v>
      </c>
      <c r="H65" s="58">
        <f t="shared" si="8"/>
        <v>78904093</v>
      </c>
      <c r="J65" s="4"/>
    </row>
    <row r="66" spans="2:14" x14ac:dyDescent="0.15">
      <c r="B66" s="339" t="s">
        <v>174</v>
      </c>
      <c r="C66" s="57">
        <v>11691856</v>
      </c>
      <c r="D66" s="57">
        <f>'事業所損益管理(H29.9～H30.8)収支計画表'!$O$137</f>
        <v>8645393</v>
      </c>
      <c r="E66" s="57">
        <v>13501568</v>
      </c>
      <c r="F66" s="57">
        <f>'事業所損益管理(H29.9～H30.8)収支計画表'!$O$147</f>
        <v>11252967</v>
      </c>
      <c r="G66" s="57">
        <f t="shared" si="7"/>
        <v>11252967</v>
      </c>
      <c r="H66" s="58">
        <f t="shared" si="8"/>
        <v>90157060</v>
      </c>
      <c r="J66" s="4"/>
    </row>
    <row r="67" spans="2:14" x14ac:dyDescent="0.15">
      <c r="B67" s="339" t="s">
        <v>175</v>
      </c>
      <c r="C67" s="57">
        <v>10873965</v>
      </c>
      <c r="D67" s="57">
        <f>'事業所損益管理(H29.9～H30.8)収支計画表'!$P$137</f>
        <v>9298393</v>
      </c>
      <c r="E67" s="57">
        <v>11523160</v>
      </c>
      <c r="F67" s="57">
        <f>'事業所損益管理(H29.9～H30.8)収支計画表'!$P$147</f>
        <v>10541382</v>
      </c>
      <c r="G67" s="57">
        <f t="shared" si="7"/>
        <v>10541382</v>
      </c>
      <c r="H67" s="58">
        <f t="shared" si="8"/>
        <v>100698442</v>
      </c>
      <c r="J67" s="4"/>
    </row>
    <row r="68" spans="2:14" ht="14.25" thickBot="1" x14ac:dyDescent="0.2">
      <c r="B68" s="75" t="s">
        <v>203</v>
      </c>
      <c r="C68" s="65">
        <v>10864301</v>
      </c>
      <c r="D68" s="65">
        <f>'事業所損益管理(H29.9～H30.8)収支計画表'!$Q$137</f>
        <v>11731393</v>
      </c>
      <c r="E68" s="65">
        <v>10286903.333333332</v>
      </c>
      <c r="F68" s="65">
        <f>'事業所損益管理(H29.9～H30.8)収支計画表'!$Q$147</f>
        <v>12030005</v>
      </c>
      <c r="G68" s="65">
        <f t="shared" si="7"/>
        <v>12030005</v>
      </c>
      <c r="H68" s="72">
        <f t="shared" si="8"/>
        <v>112728447</v>
      </c>
      <c r="J68" s="4">
        <v>7087687</v>
      </c>
      <c r="K68">
        <v>7087687</v>
      </c>
      <c r="L68">
        <v>7087687</v>
      </c>
      <c r="M68">
        <v>7087687</v>
      </c>
      <c r="N68">
        <v>7087687</v>
      </c>
    </row>
    <row r="69" spans="2:14" ht="15" thickTop="1" thickBot="1" x14ac:dyDescent="0.2">
      <c r="B69" s="76" t="s">
        <v>96</v>
      </c>
      <c r="C69" s="73">
        <f>SUM(C57:C68)</f>
        <v>111643006.38333333</v>
      </c>
      <c r="D69" s="73">
        <f>SUM(D57:D68)</f>
        <v>97732679</v>
      </c>
      <c r="E69" s="73">
        <f>SUM(E57:E68)</f>
        <v>114510089.33333333</v>
      </c>
      <c r="F69" s="73">
        <f>SUM(F57:F68)</f>
        <v>112728447</v>
      </c>
      <c r="G69" s="73">
        <f>SUM(G57:G68)</f>
        <v>112728447</v>
      </c>
      <c r="H69" s="74">
        <f>H68</f>
        <v>112728447</v>
      </c>
      <c r="J69" s="4">
        <v>5934458.666666666</v>
      </c>
      <c r="K69">
        <v>5934458.666666666</v>
      </c>
      <c r="L69">
        <v>5934458.666666666</v>
      </c>
      <c r="M69">
        <v>5934458.666666666</v>
      </c>
      <c r="N69">
        <v>5934458.666666666</v>
      </c>
    </row>
    <row r="70" spans="2:14" x14ac:dyDescent="0.15">
      <c r="E70" s="4"/>
      <c r="I70" s="26"/>
      <c r="J70" s="4">
        <v>6054416.3333333321</v>
      </c>
      <c r="K70">
        <v>6054416.3333333321</v>
      </c>
      <c r="L70">
        <v>6054416.3333333321</v>
      </c>
      <c r="M70">
        <v>6054416.3333333321</v>
      </c>
      <c r="N70">
        <v>6054416.3333333321</v>
      </c>
    </row>
    <row r="71" spans="2:14" x14ac:dyDescent="0.15">
      <c r="J71" s="4">
        <v>6185192.666666666</v>
      </c>
      <c r="K71">
        <v>6185192.666666666</v>
      </c>
      <c r="L71">
        <v>6185192.666666666</v>
      </c>
      <c r="M71">
        <v>6185192.666666666</v>
      </c>
      <c r="N71">
        <v>6185192.666666666</v>
      </c>
    </row>
    <row r="72" spans="2:14" ht="14.25" thickBot="1" x14ac:dyDescent="0.2">
      <c r="B72" s="59" t="s">
        <v>874</v>
      </c>
      <c r="D72" s="6" t="s">
        <v>221</v>
      </c>
      <c r="E72" s="4">
        <f>E3</f>
        <v>16040532</v>
      </c>
      <c r="H72" s="6" t="s">
        <v>226</v>
      </c>
      <c r="J72" s="4">
        <v>6338764.0370370373</v>
      </c>
      <c r="K72">
        <v>6338764.0370370373</v>
      </c>
      <c r="L72">
        <v>6338764.0370370373</v>
      </c>
      <c r="M72">
        <v>6338764.0370370373</v>
      </c>
      <c r="N72">
        <v>6338764.0370370373</v>
      </c>
    </row>
    <row r="73" spans="2:14" x14ac:dyDescent="0.15">
      <c r="B73" s="335" t="s">
        <v>208</v>
      </c>
      <c r="C73" s="338" t="s">
        <v>205</v>
      </c>
      <c r="D73" s="338" t="s">
        <v>206</v>
      </c>
      <c r="E73" s="338" t="s">
        <v>192</v>
      </c>
      <c r="F73" s="338" t="s">
        <v>124</v>
      </c>
      <c r="G73" s="338" t="s">
        <v>220</v>
      </c>
      <c r="H73" s="336" t="s">
        <v>219</v>
      </c>
      <c r="J73" s="4">
        <v>6542979.2716049375</v>
      </c>
      <c r="K73">
        <v>6542979.2716049375</v>
      </c>
      <c r="L73">
        <v>6542979.2716049375</v>
      </c>
      <c r="M73">
        <v>6542979.2716049375</v>
      </c>
      <c r="N73">
        <v>6542979.2716049375</v>
      </c>
    </row>
    <row r="74" spans="2:14" x14ac:dyDescent="0.15">
      <c r="B74" s="339" t="s">
        <v>197</v>
      </c>
      <c r="C74" s="57">
        <f>C23-(C40+C57)</f>
        <v>5280549.313000001</v>
      </c>
      <c r="D74" s="57">
        <f>D23-(D40+D57)</f>
        <v>5424000</v>
      </c>
      <c r="E74" s="57">
        <f>E23-(E40+E57)</f>
        <v>6381434</v>
      </c>
      <c r="F74" s="57">
        <f>F23-(F40+F57)</f>
        <v>6018546</v>
      </c>
      <c r="G74" s="57">
        <f>G23-(G40+G57)</f>
        <v>6018546</v>
      </c>
      <c r="H74" s="58">
        <f>G74</f>
        <v>6018546</v>
      </c>
      <c r="J74" s="4"/>
    </row>
    <row r="75" spans="2:14" x14ac:dyDescent="0.15">
      <c r="B75" s="339" t="s">
        <v>198</v>
      </c>
      <c r="C75" s="57">
        <f t="shared" ref="C75:F85" si="9">C24-(C41+C58)</f>
        <v>6751939.313000001</v>
      </c>
      <c r="D75" s="57">
        <f t="shared" si="9"/>
        <v>5345600</v>
      </c>
      <c r="E75" s="57">
        <f t="shared" si="9"/>
        <v>3017018</v>
      </c>
      <c r="F75" s="57">
        <f t="shared" si="9"/>
        <v>6646757</v>
      </c>
      <c r="G75" s="57">
        <f t="shared" ref="G75:G85" si="10">G24-(G41+G58)</f>
        <v>6646757</v>
      </c>
      <c r="H75" s="58">
        <f>H74+G75</f>
        <v>12665303</v>
      </c>
    </row>
    <row r="76" spans="2:14" x14ac:dyDescent="0.15">
      <c r="B76" s="339" t="s">
        <v>199</v>
      </c>
      <c r="C76" s="57">
        <f t="shared" si="9"/>
        <v>4558939.313000001</v>
      </c>
      <c r="D76" s="57">
        <f t="shared" si="9"/>
        <v>5474200</v>
      </c>
      <c r="E76" s="57">
        <f t="shared" si="9"/>
        <v>4266868</v>
      </c>
      <c r="F76" s="57">
        <f t="shared" si="9"/>
        <v>3041895</v>
      </c>
      <c r="G76" s="57">
        <f t="shared" si="10"/>
        <v>3041895</v>
      </c>
      <c r="H76" s="58">
        <f t="shared" ref="H76:H85" si="11">H75+G76</f>
        <v>15707198</v>
      </c>
    </row>
    <row r="77" spans="2:14" x14ac:dyDescent="0.15">
      <c r="B77" s="339" t="s">
        <v>200</v>
      </c>
      <c r="C77" s="57">
        <f t="shared" si="9"/>
        <v>-8446774.186999999</v>
      </c>
      <c r="D77" s="57">
        <f t="shared" si="9"/>
        <v>-9127800</v>
      </c>
      <c r="E77" s="57">
        <f t="shared" si="9"/>
        <v>-5287675</v>
      </c>
      <c r="F77" s="57">
        <f t="shared" si="9"/>
        <v>-8657791</v>
      </c>
      <c r="G77" s="57">
        <f t="shared" si="10"/>
        <v>-8657791</v>
      </c>
      <c r="H77" s="58">
        <f t="shared" si="11"/>
        <v>7049407</v>
      </c>
    </row>
    <row r="78" spans="2:14" x14ac:dyDescent="0.15">
      <c r="B78" s="339" t="s">
        <v>201</v>
      </c>
      <c r="C78" s="57">
        <f t="shared" si="9"/>
        <v>913452.31300000101</v>
      </c>
      <c r="D78" s="57">
        <f t="shared" si="9"/>
        <v>2699200</v>
      </c>
      <c r="E78" s="57">
        <f t="shared" si="9"/>
        <v>1924114</v>
      </c>
      <c r="F78" s="57">
        <f t="shared" si="9"/>
        <v>-2172375</v>
      </c>
      <c r="G78" s="57">
        <f t="shared" si="10"/>
        <v>-2172375</v>
      </c>
      <c r="H78" s="58">
        <f t="shared" si="11"/>
        <v>4877032</v>
      </c>
    </row>
    <row r="79" spans="2:14" x14ac:dyDescent="0.15">
      <c r="B79" s="339" t="s">
        <v>202</v>
      </c>
      <c r="C79" s="57">
        <f t="shared" si="9"/>
        <v>973463.51300000027</v>
      </c>
      <c r="D79" s="57">
        <f t="shared" si="9"/>
        <v>4309200</v>
      </c>
      <c r="E79" s="57">
        <f t="shared" si="9"/>
        <v>-8958828</v>
      </c>
      <c r="F79" s="57">
        <f t="shared" si="9"/>
        <v>2520437</v>
      </c>
      <c r="G79" s="57">
        <f t="shared" si="10"/>
        <v>2520437</v>
      </c>
      <c r="H79" s="58">
        <f t="shared" si="11"/>
        <v>7397469</v>
      </c>
    </row>
    <row r="80" spans="2:14" x14ac:dyDescent="0.15">
      <c r="B80" s="339" t="s">
        <v>165</v>
      </c>
      <c r="C80" s="57">
        <f t="shared" si="9"/>
        <v>1986671.2296666689</v>
      </c>
      <c r="D80" s="57">
        <f t="shared" si="9"/>
        <v>4899200</v>
      </c>
      <c r="E80" s="57">
        <f t="shared" si="9"/>
        <v>4734378</v>
      </c>
      <c r="F80" s="57">
        <f t="shared" si="9"/>
        <v>682264</v>
      </c>
      <c r="G80" s="57">
        <f t="shared" si="10"/>
        <v>682264</v>
      </c>
      <c r="H80" s="58">
        <f t="shared" si="11"/>
        <v>8079733</v>
      </c>
    </row>
    <row r="81" spans="1:11" x14ac:dyDescent="0.15">
      <c r="B81" s="339" t="s">
        <v>167</v>
      </c>
      <c r="C81" s="57">
        <f t="shared" si="9"/>
        <v>2464194.313000001</v>
      </c>
      <c r="D81" s="57">
        <f t="shared" si="9"/>
        <v>5859200</v>
      </c>
      <c r="E81" s="57">
        <f t="shared" si="9"/>
        <v>-2737892</v>
      </c>
      <c r="F81" s="57">
        <f t="shared" si="9"/>
        <v>4677971</v>
      </c>
      <c r="G81" s="57">
        <f t="shared" si="10"/>
        <v>4677971</v>
      </c>
      <c r="H81" s="58">
        <f t="shared" si="11"/>
        <v>12757704</v>
      </c>
    </row>
    <row r="82" spans="1:11" x14ac:dyDescent="0.15">
      <c r="B82" s="339" t="s">
        <v>169</v>
      </c>
      <c r="C82" s="57">
        <f t="shared" si="9"/>
        <v>4263676.313000001</v>
      </c>
      <c r="D82" s="57">
        <f t="shared" si="9"/>
        <v>5699700</v>
      </c>
      <c r="E82" s="57">
        <f t="shared" si="9"/>
        <v>-1994068</v>
      </c>
      <c r="F82" s="57">
        <f t="shared" si="9"/>
        <v>5545309</v>
      </c>
      <c r="G82" s="57">
        <f t="shared" si="10"/>
        <v>5545309</v>
      </c>
      <c r="H82" s="58">
        <f t="shared" si="11"/>
        <v>18303013</v>
      </c>
    </row>
    <row r="83" spans="1:11" x14ac:dyDescent="0.15">
      <c r="B83" s="339" t="s">
        <v>174</v>
      </c>
      <c r="C83" s="57">
        <f t="shared" si="9"/>
        <v>-6960486.8040000051</v>
      </c>
      <c r="D83" s="57">
        <f t="shared" si="9"/>
        <v>-9325393</v>
      </c>
      <c r="E83" s="57">
        <f t="shared" si="9"/>
        <v>-4122697</v>
      </c>
      <c r="F83" s="57">
        <f t="shared" si="9"/>
        <v>-6877412</v>
      </c>
      <c r="G83" s="57">
        <f t="shared" si="10"/>
        <v>-6877412</v>
      </c>
      <c r="H83" s="58">
        <f t="shared" si="11"/>
        <v>11425601</v>
      </c>
    </row>
    <row r="84" spans="1:11" x14ac:dyDescent="0.15">
      <c r="B84" s="339" t="s">
        <v>175</v>
      </c>
      <c r="C84" s="57">
        <f t="shared" si="9"/>
        <v>1840323.3400000036</v>
      </c>
      <c r="D84" s="57">
        <f t="shared" si="9"/>
        <v>3541607</v>
      </c>
      <c r="E84" s="57">
        <f t="shared" si="9"/>
        <v>-3917905</v>
      </c>
      <c r="F84" s="57">
        <f t="shared" si="9"/>
        <v>402662</v>
      </c>
      <c r="G84" s="57">
        <f t="shared" si="10"/>
        <v>402662</v>
      </c>
      <c r="H84" s="58">
        <f t="shared" si="11"/>
        <v>11828263</v>
      </c>
    </row>
    <row r="85" spans="1:11" ht="14.25" thickBot="1" x14ac:dyDescent="0.2">
      <c r="B85" s="75" t="s">
        <v>203</v>
      </c>
      <c r="C85" s="65">
        <f>C34-(C51+C68)</f>
        <v>-26792.659999996424</v>
      </c>
      <c r="D85" s="65">
        <f t="shared" si="9"/>
        <v>1163607</v>
      </c>
      <c r="E85" s="65">
        <f t="shared" si="9"/>
        <v>-216345.66666665673</v>
      </c>
      <c r="F85" s="65">
        <f t="shared" si="9"/>
        <v>-1839687</v>
      </c>
      <c r="G85" s="65">
        <f t="shared" si="10"/>
        <v>-1839687</v>
      </c>
      <c r="H85" s="72">
        <f t="shared" si="11"/>
        <v>9988576</v>
      </c>
    </row>
    <row r="86" spans="1:11" ht="15" thickTop="1" thickBot="1" x14ac:dyDescent="0.2">
      <c r="B86" s="76" t="s">
        <v>96</v>
      </c>
      <c r="C86" s="73">
        <f>SUM(C73:C85)</f>
        <v>13599155.309666678</v>
      </c>
      <c r="D86" s="73">
        <f>SUM(D73:D85)</f>
        <v>25962321</v>
      </c>
      <c r="E86" s="73">
        <f>SUM(E73:E85)</f>
        <v>-6911598.6666666567</v>
      </c>
      <c r="F86" s="73">
        <f>SUM(F73:F85)</f>
        <v>9988576</v>
      </c>
      <c r="G86" s="73">
        <f>SUM(G74:G85)</f>
        <v>9988576</v>
      </c>
      <c r="H86" s="74">
        <f>H85</f>
        <v>9988576</v>
      </c>
    </row>
    <row r="87" spans="1:11" x14ac:dyDescent="0.15">
      <c r="A87" s="334"/>
    </row>
    <row r="88" spans="1:11" x14ac:dyDescent="0.15">
      <c r="K88" s="4"/>
    </row>
    <row r="89" spans="1:11" x14ac:dyDescent="0.15">
      <c r="K89" s="4"/>
    </row>
    <row r="90" spans="1:11" x14ac:dyDescent="0.15">
      <c r="K90" s="4"/>
    </row>
    <row r="91" spans="1:11" x14ac:dyDescent="0.15">
      <c r="B91" s="333" t="s">
        <v>207</v>
      </c>
      <c r="K91" s="26"/>
    </row>
    <row r="92" spans="1:11" x14ac:dyDescent="0.15">
      <c r="B92" s="334" t="s">
        <v>208</v>
      </c>
      <c r="C92" s="334" t="str">
        <f t="shared" ref="C92:C104" si="12">H22</f>
        <v>売上累計</v>
      </c>
      <c r="D92" s="334" t="str">
        <f t="shared" ref="D92:D104" si="13">H39</f>
        <v>人件費累計</v>
      </c>
      <c r="E92" s="334" t="str">
        <f t="shared" ref="E92:E104" si="14">H56</f>
        <v>経費累計</v>
      </c>
      <c r="F92" s="334" t="str">
        <f t="shared" ref="F92:F104" si="15">H73</f>
        <v xml:space="preserve">利益累計 </v>
      </c>
    </row>
    <row r="93" spans="1:11" x14ac:dyDescent="0.15">
      <c r="A93" s="1281">
        <v>42979</v>
      </c>
      <c r="B93" s="334" t="s">
        <v>197</v>
      </c>
      <c r="C93" s="4">
        <f t="shared" si="12"/>
        <v>35916200</v>
      </c>
      <c r="D93" s="51">
        <f t="shared" si="13"/>
        <v>22603261</v>
      </c>
      <c r="E93" s="51">
        <f t="shared" si="14"/>
        <v>7294393</v>
      </c>
      <c r="F93" s="51">
        <f t="shared" si="15"/>
        <v>6018546</v>
      </c>
    </row>
    <row r="94" spans="1:11" x14ac:dyDescent="0.15">
      <c r="A94">
        <f>EDATE(A93,1)</f>
        <v>43009</v>
      </c>
      <c r="B94" s="334" t="s">
        <v>198</v>
      </c>
      <c r="C94" s="4">
        <f t="shared" si="12"/>
        <v>73612711</v>
      </c>
      <c r="D94" s="51">
        <f t="shared" si="13"/>
        <v>46346361</v>
      </c>
      <c r="E94" s="51">
        <f t="shared" si="14"/>
        <v>14601047</v>
      </c>
      <c r="F94" s="51">
        <f t="shared" si="15"/>
        <v>12665303</v>
      </c>
    </row>
    <row r="95" spans="1:11" x14ac:dyDescent="0.15">
      <c r="A95">
        <f t="shared" ref="A95:A104" si="16">EDATE(A94,1)</f>
        <v>43040</v>
      </c>
      <c r="B95" s="334" t="s">
        <v>199</v>
      </c>
      <c r="C95" s="4">
        <f t="shared" si="12"/>
        <v>109333788</v>
      </c>
      <c r="D95" s="51">
        <f t="shared" si="13"/>
        <v>70618513</v>
      </c>
      <c r="E95" s="51">
        <f t="shared" si="14"/>
        <v>23008077</v>
      </c>
      <c r="F95" s="51">
        <f t="shared" si="15"/>
        <v>15707198</v>
      </c>
    </row>
    <row r="96" spans="1:11" x14ac:dyDescent="0.15">
      <c r="A96">
        <f t="shared" si="16"/>
        <v>43070</v>
      </c>
      <c r="B96" s="334" t="s">
        <v>200</v>
      </c>
      <c r="C96" s="4">
        <f t="shared" si="12"/>
        <v>145046792</v>
      </c>
      <c r="D96" s="51">
        <f t="shared" si="13"/>
        <v>106181202</v>
      </c>
      <c r="E96" s="51">
        <f t="shared" si="14"/>
        <v>31816183</v>
      </c>
      <c r="F96" s="51">
        <f t="shared" si="15"/>
        <v>7049407</v>
      </c>
    </row>
    <row r="97" spans="1:6" x14ac:dyDescent="0.15">
      <c r="A97">
        <f t="shared" si="16"/>
        <v>43101</v>
      </c>
      <c r="B97" s="334" t="s">
        <v>201</v>
      </c>
      <c r="C97" s="4">
        <f t="shared" si="12"/>
        <v>179553811</v>
      </c>
      <c r="D97" s="51">
        <f t="shared" si="13"/>
        <v>134217067</v>
      </c>
      <c r="E97" s="51">
        <f t="shared" si="14"/>
        <v>40459712</v>
      </c>
      <c r="F97" s="51">
        <f t="shared" si="15"/>
        <v>4877032</v>
      </c>
    </row>
    <row r="98" spans="1:6" x14ac:dyDescent="0.15">
      <c r="A98">
        <f t="shared" si="16"/>
        <v>43132</v>
      </c>
      <c r="B98" s="334" t="s">
        <v>202</v>
      </c>
      <c r="C98" s="4">
        <f t="shared" si="12"/>
        <v>213271948</v>
      </c>
      <c r="D98" s="51">
        <f t="shared" si="13"/>
        <v>157482177</v>
      </c>
      <c r="E98" s="51">
        <f t="shared" si="14"/>
        <v>48392302</v>
      </c>
      <c r="F98" s="51">
        <f t="shared" si="15"/>
        <v>7397469</v>
      </c>
    </row>
    <row r="99" spans="1:6" x14ac:dyDescent="0.15">
      <c r="A99">
        <f t="shared" si="16"/>
        <v>43160</v>
      </c>
      <c r="B99" s="334" t="s">
        <v>165</v>
      </c>
      <c r="C99" s="4">
        <f t="shared" si="12"/>
        <v>248306045</v>
      </c>
      <c r="D99" s="51">
        <f t="shared" si="13"/>
        <v>181769761</v>
      </c>
      <c r="E99" s="51">
        <f t="shared" si="14"/>
        <v>58456551</v>
      </c>
      <c r="F99" s="51">
        <f t="shared" si="15"/>
        <v>8079733</v>
      </c>
    </row>
    <row r="100" spans="1:6" x14ac:dyDescent="0.15">
      <c r="A100">
        <f t="shared" si="16"/>
        <v>43191</v>
      </c>
      <c r="B100" s="334" t="s">
        <v>167</v>
      </c>
      <c r="C100" s="4">
        <f t="shared" si="12"/>
        <v>287428292</v>
      </c>
      <c r="D100" s="51">
        <f t="shared" si="13"/>
        <v>205982150</v>
      </c>
      <c r="E100" s="51">
        <f t="shared" si="14"/>
        <v>68688438</v>
      </c>
      <c r="F100" s="51">
        <f t="shared" si="15"/>
        <v>12757704</v>
      </c>
    </row>
    <row r="101" spans="1:6" x14ac:dyDescent="0.15">
      <c r="A101">
        <f t="shared" si="16"/>
        <v>43221</v>
      </c>
      <c r="B101" s="334" t="s">
        <v>169</v>
      </c>
      <c r="C101" s="4">
        <f t="shared" si="12"/>
        <v>327097322</v>
      </c>
      <c r="D101" s="51">
        <f t="shared" si="13"/>
        <v>229890216</v>
      </c>
      <c r="E101" s="51">
        <f t="shared" si="14"/>
        <v>78904093</v>
      </c>
      <c r="F101" s="51">
        <f t="shared" si="15"/>
        <v>18303013</v>
      </c>
    </row>
    <row r="102" spans="1:6" x14ac:dyDescent="0.15">
      <c r="A102">
        <f t="shared" si="16"/>
        <v>43252</v>
      </c>
      <c r="B102" s="334" t="s">
        <v>174</v>
      </c>
      <c r="C102" s="4">
        <f t="shared" si="12"/>
        <v>363170040</v>
      </c>
      <c r="D102" s="51">
        <f t="shared" si="13"/>
        <v>261587379</v>
      </c>
      <c r="E102" s="51">
        <f t="shared" si="14"/>
        <v>90157060</v>
      </c>
      <c r="F102" s="51">
        <f t="shared" si="15"/>
        <v>11425601</v>
      </c>
    </row>
    <row r="103" spans="1:6" x14ac:dyDescent="0.15">
      <c r="A103">
        <f t="shared" si="16"/>
        <v>43282</v>
      </c>
      <c r="B103" s="334" t="s">
        <v>175</v>
      </c>
      <c r="C103" s="4">
        <f t="shared" si="12"/>
        <v>401719876</v>
      </c>
      <c r="D103" s="51">
        <f t="shared" si="13"/>
        <v>289193171</v>
      </c>
      <c r="E103" s="51">
        <f t="shared" si="14"/>
        <v>100698442</v>
      </c>
      <c r="F103" s="51">
        <f t="shared" si="15"/>
        <v>11828263</v>
      </c>
    </row>
    <row r="104" spans="1:6" x14ac:dyDescent="0.15">
      <c r="A104">
        <f t="shared" si="16"/>
        <v>43313</v>
      </c>
      <c r="B104" s="334" t="s">
        <v>203</v>
      </c>
      <c r="C104" s="4">
        <f t="shared" si="12"/>
        <v>438430657</v>
      </c>
      <c r="D104" s="51">
        <f t="shared" si="13"/>
        <v>315713634</v>
      </c>
      <c r="E104" s="51">
        <f t="shared" si="14"/>
        <v>112728447</v>
      </c>
      <c r="F104" s="51">
        <f t="shared" si="15"/>
        <v>9988576</v>
      </c>
    </row>
    <row r="108" spans="1:6" x14ac:dyDescent="0.15">
      <c r="D108">
        <f>A104</f>
        <v>43313</v>
      </c>
    </row>
  </sheetData>
  <mergeCells count="2">
    <mergeCell ref="I19:K19"/>
    <mergeCell ref="L19:N19"/>
  </mergeCells>
  <phoneticPr fontId="40"/>
  <dataValidations count="1">
    <dataValidation type="list" allowBlank="1" showInputMessage="1" showErrorMessage="1" sqref="G21 G38 G55">
      <formula1>$C$22:$E$22</formula1>
    </dataValidation>
  </dataValidations>
  <pageMargins left="0.39370078740157483" right="0.27559055118110237" top="0.55118110236220474" bottom="0.43307086614173229" header="0.31496062992125984" footer="0.23622047244094491"/>
  <pageSetup paperSize="8" scale="69" orientation="landscape" cellComments="asDisplayed" r:id="rId1"/>
  <headerFooter>
    <oddHeader>&amp;L&amp;A&amp;R日付 &amp;D</oddHeader>
    <oddFooter>&amp;L介護サービス友乃家&amp;C&amp;P／&amp;N&amp;R&amp;F</oddFooter>
  </headerFooter>
  <rowBreaks count="1" manualBreakCount="1">
    <brk id="90" max="16383" man="1"/>
  </rowBreaks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U110"/>
  <sheetViews>
    <sheetView zoomScale="80" zoomScaleNormal="80" workbookViewId="0">
      <selection activeCell="F33" sqref="F33"/>
    </sheetView>
  </sheetViews>
  <sheetFormatPr defaultColWidth="14.125" defaultRowHeight="13.5" outlineLevelRow="1" x14ac:dyDescent="0.15"/>
  <cols>
    <col min="1" max="1" width="4.375" customWidth="1"/>
  </cols>
  <sheetData>
    <row r="1" spans="2:20" x14ac:dyDescent="0.15">
      <c r="B1" s="59" t="s">
        <v>1299</v>
      </c>
    </row>
    <row r="2" spans="2:20" x14ac:dyDescent="0.15">
      <c r="B2" s="155" t="s">
        <v>26</v>
      </c>
      <c r="C2" s="155" t="s">
        <v>15</v>
      </c>
      <c r="D2" s="155" t="s">
        <v>35</v>
      </c>
      <c r="E2" s="155" t="s">
        <v>45</v>
      </c>
      <c r="F2" s="155" t="s">
        <v>942</v>
      </c>
      <c r="G2" s="543"/>
      <c r="I2" s="714"/>
    </row>
    <row r="3" spans="2:20" x14ac:dyDescent="0.15">
      <c r="B3" s="2030">
        <f>'H29収支予測(本部)'!$K22</f>
        <v>438430657</v>
      </c>
      <c r="C3" s="2030">
        <f>'H29収支予測(本部)'!$K23</f>
        <v>315713634</v>
      </c>
      <c r="D3" s="2030">
        <f>'H29収支予測(本部)'!$K24</f>
        <v>112728447</v>
      </c>
      <c r="E3" s="60">
        <f ca="1">'H29収支予測(本部)'!$K27</f>
        <v>10883909</v>
      </c>
      <c r="F3" s="60">
        <f ca="1">'H29収支予測(本部)'!$K30</f>
        <v>5209576</v>
      </c>
    </row>
    <row r="5" spans="2:20" ht="14.25" thickBot="1" x14ac:dyDescent="0.2">
      <c r="B5" t="s">
        <v>1313</v>
      </c>
      <c r="E5" s="6"/>
      <c r="N5" s="6" t="s">
        <v>191</v>
      </c>
      <c r="O5" s="6" t="s">
        <v>222</v>
      </c>
    </row>
    <row r="6" spans="2:20" x14ac:dyDescent="0.15">
      <c r="B6" s="1410" t="s">
        <v>33</v>
      </c>
      <c r="C6" s="159" t="s">
        <v>197</v>
      </c>
      <c r="D6" s="146" t="s">
        <v>198</v>
      </c>
      <c r="E6" s="147" t="s">
        <v>173</v>
      </c>
      <c r="F6" s="146" t="s">
        <v>172</v>
      </c>
      <c r="G6" s="146" t="s">
        <v>171</v>
      </c>
      <c r="H6" s="147" t="s">
        <v>164</v>
      </c>
      <c r="I6" s="146" t="s">
        <v>166</v>
      </c>
      <c r="J6" s="146" t="s">
        <v>168</v>
      </c>
      <c r="K6" s="147" t="s">
        <v>210</v>
      </c>
      <c r="L6" s="146" t="s">
        <v>211</v>
      </c>
      <c r="M6" s="146" t="s">
        <v>212</v>
      </c>
      <c r="N6" s="147" t="s">
        <v>213</v>
      </c>
      <c r="O6" s="147" t="s">
        <v>96</v>
      </c>
      <c r="Q6" s="232" t="s">
        <v>1541</v>
      </c>
      <c r="R6" s="232" t="s">
        <v>1532</v>
      </c>
      <c r="S6" s="232" t="s">
        <v>1533</v>
      </c>
      <c r="T6" s="232"/>
    </row>
    <row r="7" spans="2:20" x14ac:dyDescent="0.15">
      <c r="B7" s="1411" t="s">
        <v>438</v>
      </c>
      <c r="C7" s="171">
        <v>0</v>
      </c>
      <c r="D7" s="172">
        <v>0</v>
      </c>
      <c r="E7" s="173">
        <v>0</v>
      </c>
      <c r="F7" s="171">
        <v>0</v>
      </c>
      <c r="G7" s="172">
        <v>0</v>
      </c>
      <c r="H7" s="173">
        <v>0</v>
      </c>
      <c r="I7" s="171">
        <v>14</v>
      </c>
      <c r="J7" s="172">
        <v>0</v>
      </c>
      <c r="K7" s="173">
        <v>0</v>
      </c>
      <c r="L7" s="171">
        <v>0</v>
      </c>
      <c r="M7" s="172">
        <v>0</v>
      </c>
      <c r="N7" s="173">
        <v>0</v>
      </c>
      <c r="O7" s="58">
        <f>SUM(C7:N7)</f>
        <v>14</v>
      </c>
      <c r="Q7" s="4">
        <v>142560</v>
      </c>
      <c r="R7" s="4">
        <v>0</v>
      </c>
    </row>
    <row r="8" spans="2:20" x14ac:dyDescent="0.15">
      <c r="B8" s="1412" t="s">
        <v>34</v>
      </c>
      <c r="C8" s="103">
        <v>1123</v>
      </c>
      <c r="D8" s="57">
        <v>1251</v>
      </c>
      <c r="E8" s="58">
        <v>1277</v>
      </c>
      <c r="F8" s="57">
        <v>1207</v>
      </c>
      <c r="G8" s="57">
        <v>1267</v>
      </c>
      <c r="H8" s="58">
        <v>1146</v>
      </c>
      <c r="I8" s="57">
        <v>1282</v>
      </c>
      <c r="J8" s="57">
        <v>1290</v>
      </c>
      <c r="K8" s="58">
        <v>1199</v>
      </c>
      <c r="L8" s="57">
        <v>1200</v>
      </c>
      <c r="M8" s="57">
        <v>1200</v>
      </c>
      <c r="N8" s="58">
        <v>1200</v>
      </c>
      <c r="O8" s="58">
        <f>SUM(C8:N8)</f>
        <v>14642</v>
      </c>
      <c r="Q8" s="4">
        <v>12821396</v>
      </c>
      <c r="R8" s="4">
        <v>12901588</v>
      </c>
      <c r="S8" s="233">
        <v>11988272</v>
      </c>
      <c r="T8" s="4"/>
    </row>
    <row r="9" spans="2:20" x14ac:dyDescent="0.15">
      <c r="B9" s="1412" t="s">
        <v>37</v>
      </c>
      <c r="C9" s="103">
        <v>614</v>
      </c>
      <c r="D9" s="57">
        <v>756</v>
      </c>
      <c r="E9" s="58">
        <v>729</v>
      </c>
      <c r="F9" s="57">
        <v>667</v>
      </c>
      <c r="G9" s="57">
        <v>594</v>
      </c>
      <c r="H9" s="58">
        <v>627</v>
      </c>
      <c r="I9" s="57">
        <v>546</v>
      </c>
      <c r="J9" s="57">
        <v>626</v>
      </c>
      <c r="K9" s="58">
        <v>535</v>
      </c>
      <c r="L9" s="57">
        <v>580</v>
      </c>
      <c r="M9" s="57">
        <v>580</v>
      </c>
      <c r="N9" s="58">
        <v>580</v>
      </c>
      <c r="O9" s="58">
        <f>SUM(C9:N9)</f>
        <v>7434</v>
      </c>
      <c r="Q9" s="4">
        <v>5457771</v>
      </c>
      <c r="R9" s="4">
        <v>6262229</v>
      </c>
      <c r="S9" s="233">
        <v>5355221</v>
      </c>
      <c r="T9" s="4"/>
    </row>
    <row r="10" spans="2:20" x14ac:dyDescent="0.15">
      <c r="B10" s="1412" t="s">
        <v>66</v>
      </c>
      <c r="C10" s="103">
        <v>674</v>
      </c>
      <c r="D10" s="57">
        <v>739</v>
      </c>
      <c r="E10" s="58">
        <v>705</v>
      </c>
      <c r="F10" s="57">
        <v>707</v>
      </c>
      <c r="G10" s="57">
        <v>700</v>
      </c>
      <c r="H10" s="58">
        <v>637</v>
      </c>
      <c r="I10" s="57">
        <v>698</v>
      </c>
      <c r="J10" s="57">
        <v>711</v>
      </c>
      <c r="K10" s="58">
        <v>639</v>
      </c>
      <c r="L10" s="57">
        <v>680</v>
      </c>
      <c r="M10" s="57">
        <v>680</v>
      </c>
      <c r="N10" s="58">
        <v>680</v>
      </c>
      <c r="O10" s="58">
        <f>SUM(C10:N10)</f>
        <v>8250</v>
      </c>
      <c r="Q10" s="4">
        <v>6979599</v>
      </c>
      <c r="R10" s="4">
        <v>7110420</v>
      </c>
      <c r="S10" s="233">
        <v>6386765</v>
      </c>
      <c r="T10" s="4"/>
    </row>
    <row r="11" spans="2:20" x14ac:dyDescent="0.15">
      <c r="B11" s="1413" t="s">
        <v>967</v>
      </c>
      <c r="C11" s="103">
        <v>119</v>
      </c>
      <c r="D11" s="57">
        <v>164</v>
      </c>
      <c r="E11" s="58">
        <v>130</v>
      </c>
      <c r="F11" s="57">
        <v>152</v>
      </c>
      <c r="G11" s="57">
        <v>116</v>
      </c>
      <c r="H11" s="58">
        <v>90</v>
      </c>
      <c r="I11" s="57">
        <v>0</v>
      </c>
      <c r="J11" s="57">
        <v>1</v>
      </c>
      <c r="K11" s="58">
        <v>0</v>
      </c>
      <c r="L11" s="57">
        <v>0</v>
      </c>
      <c r="M11" s="57">
        <v>0</v>
      </c>
      <c r="N11" s="58">
        <v>0</v>
      </c>
      <c r="O11" s="58">
        <f>SUM(C11:N11)</f>
        <v>772</v>
      </c>
      <c r="Q11" s="4">
        <v>0</v>
      </c>
      <c r="R11" s="4">
        <v>13148</v>
      </c>
      <c r="S11" s="4"/>
      <c r="T11" s="4"/>
    </row>
    <row r="12" spans="2:20" x14ac:dyDescent="0.15">
      <c r="B12" s="1414" t="s">
        <v>1143</v>
      </c>
      <c r="C12" s="103">
        <v>0</v>
      </c>
      <c r="D12" s="57">
        <v>28</v>
      </c>
      <c r="E12" s="58">
        <v>49</v>
      </c>
      <c r="F12" s="57">
        <v>70</v>
      </c>
      <c r="G12" s="57">
        <v>81</v>
      </c>
      <c r="H12" s="58">
        <v>106</v>
      </c>
      <c r="I12" s="57">
        <v>144</v>
      </c>
      <c r="J12" s="57">
        <v>190</v>
      </c>
      <c r="K12" s="58">
        <v>193</v>
      </c>
      <c r="L12" s="57">
        <f>170+45</f>
        <v>215</v>
      </c>
      <c r="M12" s="57">
        <f>190+45</f>
        <v>235</v>
      </c>
      <c r="N12" s="58">
        <f>210+45</f>
        <v>255</v>
      </c>
      <c r="O12" s="58">
        <f t="shared" ref="O12:O21" si="0">SUM(C12:N12)</f>
        <v>1566</v>
      </c>
      <c r="Q12" s="4">
        <v>1438607</v>
      </c>
      <c r="R12" s="4">
        <v>1905194</v>
      </c>
      <c r="S12" s="4">
        <v>1927499</v>
      </c>
      <c r="T12" s="4"/>
    </row>
    <row r="13" spans="2:20" x14ac:dyDescent="0.15">
      <c r="B13" s="1412" t="s">
        <v>190</v>
      </c>
      <c r="C13" s="103">
        <v>442</v>
      </c>
      <c r="D13" s="57">
        <v>444</v>
      </c>
      <c r="E13" s="58">
        <v>483</v>
      </c>
      <c r="F13" s="57">
        <v>442</v>
      </c>
      <c r="G13" s="57">
        <v>412</v>
      </c>
      <c r="H13" s="58">
        <v>448</v>
      </c>
      <c r="I13" s="57">
        <v>493</v>
      </c>
      <c r="J13" s="57">
        <v>443</v>
      </c>
      <c r="K13" s="58">
        <v>421</v>
      </c>
      <c r="L13" s="57">
        <v>425</v>
      </c>
      <c r="M13" s="57">
        <v>440</v>
      </c>
      <c r="N13" s="58">
        <v>440</v>
      </c>
      <c r="O13" s="58">
        <f t="shared" si="0"/>
        <v>5333</v>
      </c>
      <c r="Q13" s="4">
        <v>4931183</v>
      </c>
      <c r="R13" s="4">
        <v>4425975</v>
      </c>
      <c r="S13" s="233">
        <v>4214621</v>
      </c>
      <c r="T13" s="4"/>
    </row>
    <row r="14" spans="2:20" x14ac:dyDescent="0.15">
      <c r="B14" s="1412" t="s">
        <v>38</v>
      </c>
      <c r="C14" s="103">
        <v>211</v>
      </c>
      <c r="D14" s="57">
        <v>240</v>
      </c>
      <c r="E14" s="58">
        <v>352</v>
      </c>
      <c r="F14" s="57">
        <v>261</v>
      </c>
      <c r="G14" s="57">
        <v>263</v>
      </c>
      <c r="H14" s="58">
        <v>251</v>
      </c>
      <c r="I14" s="57">
        <v>250</v>
      </c>
      <c r="J14" s="57">
        <v>246</v>
      </c>
      <c r="K14" s="58">
        <v>243</v>
      </c>
      <c r="L14" s="57">
        <v>250</v>
      </c>
      <c r="M14" s="57">
        <v>250</v>
      </c>
      <c r="N14" s="58">
        <v>250</v>
      </c>
      <c r="O14" s="58">
        <f t="shared" si="0"/>
        <v>3067</v>
      </c>
      <c r="Q14" s="4">
        <v>2498262</v>
      </c>
      <c r="R14" s="4">
        <v>2462469</v>
      </c>
      <c r="S14" s="233">
        <v>2431053</v>
      </c>
      <c r="T14" s="4"/>
    </row>
    <row r="15" spans="2:20" outlineLevel="1" x14ac:dyDescent="0.15">
      <c r="B15" s="1423" t="s">
        <v>125</v>
      </c>
      <c r="C15" s="1417">
        <v>86</v>
      </c>
      <c r="D15" s="1418">
        <v>114</v>
      </c>
      <c r="E15" s="1419">
        <v>113</v>
      </c>
      <c r="F15" s="1418">
        <v>117</v>
      </c>
      <c r="G15" s="1418">
        <v>127</v>
      </c>
      <c r="H15" s="1419">
        <v>104</v>
      </c>
      <c r="I15" s="1418">
        <v>103</v>
      </c>
      <c r="J15" s="1418">
        <v>108</v>
      </c>
      <c r="K15" s="1419">
        <v>120</v>
      </c>
      <c r="L15" s="1418">
        <v>105</v>
      </c>
      <c r="M15" s="1418">
        <v>105</v>
      </c>
      <c r="N15" s="1419">
        <v>105</v>
      </c>
      <c r="O15" s="1419">
        <f t="shared" si="0"/>
        <v>1307</v>
      </c>
      <c r="Q15" s="4">
        <v>1027444</v>
      </c>
      <c r="R15" s="4">
        <v>1077061</v>
      </c>
      <c r="S15" s="233">
        <v>1202029</v>
      </c>
      <c r="T15" s="4"/>
    </row>
    <row r="16" spans="2:20" outlineLevel="1" x14ac:dyDescent="0.15">
      <c r="B16" s="1423" t="s">
        <v>184</v>
      </c>
      <c r="C16" s="1417">
        <v>105</v>
      </c>
      <c r="D16" s="1418">
        <v>109</v>
      </c>
      <c r="E16" s="1419">
        <v>107</v>
      </c>
      <c r="F16" s="1418">
        <v>110</v>
      </c>
      <c r="G16" s="1418">
        <v>136</v>
      </c>
      <c r="H16" s="1419">
        <v>100</v>
      </c>
      <c r="I16" s="1418">
        <v>97</v>
      </c>
      <c r="J16" s="1418">
        <v>80</v>
      </c>
      <c r="K16" s="1419">
        <v>105</v>
      </c>
      <c r="L16" s="1418">
        <v>105</v>
      </c>
      <c r="M16" s="1418">
        <v>105</v>
      </c>
      <c r="N16" s="1419">
        <v>105</v>
      </c>
      <c r="O16" s="1419">
        <f t="shared" si="0"/>
        <v>1264</v>
      </c>
      <c r="Q16" s="4">
        <v>973793</v>
      </c>
      <c r="R16" s="4">
        <v>797482</v>
      </c>
      <c r="S16" s="233">
        <v>1047177</v>
      </c>
      <c r="T16" s="4"/>
    </row>
    <row r="17" spans="2:21" outlineLevel="1" x14ac:dyDescent="0.15">
      <c r="B17" s="1424" t="s">
        <v>329</v>
      </c>
      <c r="C17" s="1420">
        <v>259</v>
      </c>
      <c r="D17" s="1421">
        <v>280</v>
      </c>
      <c r="E17" s="1422">
        <v>274</v>
      </c>
      <c r="F17" s="1421">
        <v>281</v>
      </c>
      <c r="G17" s="1421">
        <v>294</v>
      </c>
      <c r="H17" s="1422">
        <v>212</v>
      </c>
      <c r="I17" s="1421">
        <v>200</v>
      </c>
      <c r="J17" s="1421">
        <v>283</v>
      </c>
      <c r="K17" s="1422">
        <v>221</v>
      </c>
      <c r="L17" s="1421">
        <v>230</v>
      </c>
      <c r="M17" s="1421">
        <v>230</v>
      </c>
      <c r="N17" s="1422">
        <v>230</v>
      </c>
      <c r="O17" s="1422">
        <f t="shared" si="0"/>
        <v>2994</v>
      </c>
      <c r="Q17" s="4">
        <v>1999507</v>
      </c>
      <c r="R17" s="4">
        <v>2831820</v>
      </c>
      <c r="S17" s="233">
        <v>2216466</v>
      </c>
      <c r="T17" s="4"/>
    </row>
    <row r="18" spans="2:21" outlineLevel="1" x14ac:dyDescent="0.15">
      <c r="B18" s="1425" t="s">
        <v>1223</v>
      </c>
      <c r="C18" s="1420">
        <v>0</v>
      </c>
      <c r="D18" s="1421">
        <v>0</v>
      </c>
      <c r="E18" s="1422">
        <v>2</v>
      </c>
      <c r="F18" s="1421">
        <v>4</v>
      </c>
      <c r="G18" s="1421">
        <v>4</v>
      </c>
      <c r="H18" s="1422">
        <v>148</v>
      </c>
      <c r="I18" s="1421">
        <v>177</v>
      </c>
      <c r="J18" s="1421">
        <v>208</v>
      </c>
      <c r="K18" s="1422">
        <v>205</v>
      </c>
      <c r="L18" s="1421">
        <v>234</v>
      </c>
      <c r="M18" s="1421">
        <v>241</v>
      </c>
      <c r="N18" s="1422">
        <v>241</v>
      </c>
      <c r="O18" s="1422">
        <f t="shared" si="0"/>
        <v>1464</v>
      </c>
      <c r="Q18" s="4">
        <v>1775131</v>
      </c>
      <c r="R18" s="4">
        <v>2077332</v>
      </c>
      <c r="S18" s="233">
        <v>2050803</v>
      </c>
      <c r="T18" s="4"/>
    </row>
    <row r="19" spans="2:21" outlineLevel="1" x14ac:dyDescent="0.15">
      <c r="B19" s="1425" t="s">
        <v>1300</v>
      </c>
      <c r="C19" s="1420">
        <v>0</v>
      </c>
      <c r="D19" s="1421">
        <v>0</v>
      </c>
      <c r="E19" s="1422">
        <v>0</v>
      </c>
      <c r="F19" s="1421">
        <v>0</v>
      </c>
      <c r="G19" s="1421">
        <v>0</v>
      </c>
      <c r="H19" s="1422">
        <v>0</v>
      </c>
      <c r="I19" s="1421">
        <v>0</v>
      </c>
      <c r="J19" s="1421">
        <v>0</v>
      </c>
      <c r="K19" s="1422">
        <v>0</v>
      </c>
      <c r="L19" s="1421">
        <v>239</v>
      </c>
      <c r="M19" s="1421">
        <v>247</v>
      </c>
      <c r="N19" s="1422">
        <v>247</v>
      </c>
      <c r="O19" s="1422">
        <f t="shared" si="0"/>
        <v>733</v>
      </c>
      <c r="Q19" s="4"/>
      <c r="R19" s="4"/>
    </row>
    <row r="20" spans="2:21" outlineLevel="1" x14ac:dyDescent="0.15">
      <c r="B20" s="1426" t="s">
        <v>1321</v>
      </c>
      <c r="C20" s="1420">
        <v>0</v>
      </c>
      <c r="D20" s="1421">
        <v>0</v>
      </c>
      <c r="E20" s="1422">
        <v>0</v>
      </c>
      <c r="F20" s="1421">
        <v>0</v>
      </c>
      <c r="G20" s="1421">
        <v>0</v>
      </c>
      <c r="H20" s="1422">
        <v>0</v>
      </c>
      <c r="I20" s="1421">
        <v>0</v>
      </c>
      <c r="J20" s="1421">
        <v>0</v>
      </c>
      <c r="K20" s="1422">
        <v>137</v>
      </c>
      <c r="L20" s="1421">
        <v>0</v>
      </c>
      <c r="M20" s="1421">
        <v>0</v>
      </c>
      <c r="N20" s="1422">
        <v>0</v>
      </c>
      <c r="O20" s="1422">
        <f t="shared" si="0"/>
        <v>137</v>
      </c>
      <c r="Q20" s="4"/>
      <c r="R20" s="4"/>
      <c r="S20" s="233">
        <v>1369568</v>
      </c>
    </row>
    <row r="21" spans="2:21" x14ac:dyDescent="0.15">
      <c r="B21" s="1415" t="s">
        <v>1320</v>
      </c>
      <c r="C21" s="104">
        <f>SUM(C15:C20)</f>
        <v>450</v>
      </c>
      <c r="D21" s="65">
        <f t="shared" ref="D21:N21" si="1">SUM(D15:D20)</f>
        <v>503</v>
      </c>
      <c r="E21" s="72">
        <f t="shared" si="1"/>
        <v>496</v>
      </c>
      <c r="F21" s="65">
        <f t="shared" si="1"/>
        <v>512</v>
      </c>
      <c r="G21" s="65">
        <f t="shared" si="1"/>
        <v>561</v>
      </c>
      <c r="H21" s="72">
        <f>SUM(H15:H20)</f>
        <v>564</v>
      </c>
      <c r="I21" s="65">
        <f t="shared" si="1"/>
        <v>577</v>
      </c>
      <c r="J21" s="65">
        <f t="shared" si="1"/>
        <v>679</v>
      </c>
      <c r="K21" s="72">
        <f t="shared" si="1"/>
        <v>788</v>
      </c>
      <c r="L21" s="65">
        <f t="shared" si="1"/>
        <v>913</v>
      </c>
      <c r="M21" s="65">
        <f t="shared" si="1"/>
        <v>928</v>
      </c>
      <c r="N21" s="72">
        <f t="shared" si="1"/>
        <v>928</v>
      </c>
      <c r="O21" s="72">
        <f t="shared" si="0"/>
        <v>7899</v>
      </c>
      <c r="Q21" s="4"/>
      <c r="R21" s="4"/>
    </row>
    <row r="22" spans="2:21" ht="14.25" thickBot="1" x14ac:dyDescent="0.2">
      <c r="B22" s="944" t="s">
        <v>336</v>
      </c>
      <c r="C22" s="104">
        <v>113</v>
      </c>
      <c r="D22" s="65">
        <v>0</v>
      </c>
      <c r="E22" s="72">
        <v>0</v>
      </c>
      <c r="F22" s="65">
        <v>0</v>
      </c>
      <c r="G22" s="65">
        <v>0</v>
      </c>
      <c r="H22" s="72">
        <v>0</v>
      </c>
      <c r="I22" s="65">
        <v>0</v>
      </c>
      <c r="J22" s="65">
        <v>0</v>
      </c>
      <c r="K22" s="72">
        <v>0</v>
      </c>
      <c r="L22" s="65">
        <v>0</v>
      </c>
      <c r="M22" s="65">
        <v>0</v>
      </c>
      <c r="N22" s="72">
        <v>0</v>
      </c>
      <c r="O22" s="72">
        <f>SUM(C22:N22)</f>
        <v>113</v>
      </c>
      <c r="Q22" s="4"/>
      <c r="R22" s="4"/>
    </row>
    <row r="23" spans="2:21" ht="14.25" thickBot="1" x14ac:dyDescent="0.2">
      <c r="B23" s="1408" t="s">
        <v>96</v>
      </c>
      <c r="C23" s="160">
        <f>SUM(C7:C14,C21,C22)</f>
        <v>3746</v>
      </c>
      <c r="D23" s="149">
        <f>SUM(D7:D14,D21,D22)</f>
        <v>4125</v>
      </c>
      <c r="E23" s="131">
        <f>SUM(E7:E14,E21,E22)</f>
        <v>4221</v>
      </c>
      <c r="F23" s="149">
        <f t="shared" ref="F23:O23" si="2">SUM(F7:F14,F21,F22)</f>
        <v>4018</v>
      </c>
      <c r="G23" s="149">
        <f t="shared" si="2"/>
        <v>3994</v>
      </c>
      <c r="H23" s="131">
        <f>SUM(H7:H14,H21,H22)</f>
        <v>3869</v>
      </c>
      <c r="I23" s="149">
        <f t="shared" si="2"/>
        <v>4004</v>
      </c>
      <c r="J23" s="149">
        <f t="shared" si="2"/>
        <v>4186</v>
      </c>
      <c r="K23" s="131">
        <f t="shared" si="2"/>
        <v>4018</v>
      </c>
      <c r="L23" s="149">
        <f t="shared" si="2"/>
        <v>4263</v>
      </c>
      <c r="M23" s="149">
        <f t="shared" si="2"/>
        <v>4313</v>
      </c>
      <c r="N23" s="131">
        <f t="shared" si="2"/>
        <v>4333</v>
      </c>
      <c r="O23" s="131">
        <f t="shared" si="2"/>
        <v>49090</v>
      </c>
      <c r="P23" s="4"/>
      <c r="Q23" s="4">
        <f>SUM(Q7:Q22)</f>
        <v>40045253</v>
      </c>
      <c r="R23" s="4">
        <f>SUM(R7:R22)</f>
        <v>41864718</v>
      </c>
      <c r="S23" s="4">
        <f>SUM(S7:S22)</f>
        <v>40189474</v>
      </c>
      <c r="T23" s="4"/>
    </row>
    <row r="24" spans="2:21" ht="14.25" thickBot="1" x14ac:dyDescent="0.2">
      <c r="C24" s="2235" t="str">
        <f>"平均売上" &amp; " " &amp; TEXT(ROUND(AVERAGE(C23:E23),0),"#,##0")</f>
        <v>平均売上 4,031</v>
      </c>
      <c r="D24" s="2236"/>
      <c r="E24" s="2237"/>
      <c r="F24" s="2235" t="str">
        <f>"平均売上" &amp; " " &amp; TEXT(ROUND(AVERAGE(F23:H23),0),"#,##0")</f>
        <v>平均売上 3,960</v>
      </c>
      <c r="G24" s="2236"/>
      <c r="H24" s="2237"/>
      <c r="I24" s="2235" t="str">
        <f>"平均売上" &amp; " " &amp; TEXT(ROUND(AVERAGE(I23:K23),0),"#,##0")</f>
        <v>平均売上 4,069</v>
      </c>
      <c r="J24" s="2236"/>
      <c r="K24" s="2237"/>
      <c r="L24" s="2235" t="str">
        <f>"平均売上" &amp; " " &amp; TEXT(ROUND(AVERAGE(L23:N23),0),"#,##0")</f>
        <v>平均売上 4,303</v>
      </c>
      <c r="M24" s="2236"/>
      <c r="N24" s="2237"/>
    </row>
    <row r="25" spans="2:21" x14ac:dyDescent="0.15">
      <c r="H25" s="101"/>
      <c r="I25" s="309"/>
      <c r="J25" s="309"/>
      <c r="K25" s="309"/>
      <c r="L25" s="309"/>
      <c r="M25" s="309"/>
      <c r="N25" s="309"/>
      <c r="Q25" s="4"/>
      <c r="R25" s="1"/>
      <c r="S25" s="1"/>
      <c r="T25" s="1"/>
      <c r="U25" s="1"/>
    </row>
    <row r="26" spans="2:21" x14ac:dyDescent="0.15">
      <c r="B26" s="176"/>
      <c r="C26" t="s">
        <v>231</v>
      </c>
      <c r="G26" s="4"/>
      <c r="N26" s="6" t="s">
        <v>227</v>
      </c>
    </row>
    <row r="27" spans="2:21" ht="14.25" thickBot="1" x14ac:dyDescent="0.2">
      <c r="B27" s="59" t="s">
        <v>1314</v>
      </c>
      <c r="D27" s="6" t="s">
        <v>221</v>
      </c>
      <c r="E27" s="4">
        <f>B3</f>
        <v>438430657</v>
      </c>
      <c r="F27" s="6" t="s">
        <v>209</v>
      </c>
      <c r="G27" s="177" t="s">
        <v>205</v>
      </c>
      <c r="H27" s="6" t="s">
        <v>223</v>
      </c>
      <c r="J27" s="156" t="s">
        <v>217</v>
      </c>
      <c r="K27" s="157" t="s">
        <v>229</v>
      </c>
      <c r="L27" s="157" t="s">
        <v>228</v>
      </c>
      <c r="M27" s="157" t="s">
        <v>230</v>
      </c>
      <c r="N27" s="157" t="s">
        <v>218</v>
      </c>
    </row>
    <row r="28" spans="2:21" x14ac:dyDescent="0.15">
      <c r="B28" s="335" t="s">
        <v>208</v>
      </c>
      <c r="C28" s="338" t="s">
        <v>205</v>
      </c>
      <c r="D28" s="338" t="s">
        <v>206</v>
      </c>
      <c r="E28" s="338" t="s">
        <v>192</v>
      </c>
      <c r="F28" s="338" t="s">
        <v>124</v>
      </c>
      <c r="G28" s="338" t="s">
        <v>204</v>
      </c>
      <c r="H28" s="336" t="s">
        <v>214</v>
      </c>
      <c r="J28" s="161" t="s">
        <v>26</v>
      </c>
      <c r="K28" s="2013">
        <f>G41</f>
        <v>491145372</v>
      </c>
      <c r="L28" s="2013">
        <f>B3</f>
        <v>438430657</v>
      </c>
      <c r="M28" s="2013">
        <f t="shared" ref="M28:M36" si="3">K28-L28</f>
        <v>52714715</v>
      </c>
      <c r="N28" s="2014" t="str">
        <f>G27</f>
        <v>本部予測</v>
      </c>
    </row>
    <row r="29" spans="2:21" x14ac:dyDescent="0.15">
      <c r="B29" s="339" t="s">
        <v>197</v>
      </c>
      <c r="C29" s="57">
        <f>C$23*10000</f>
        <v>37460000</v>
      </c>
      <c r="D29" s="57">
        <f>'☆事業所損益管理(H30.9～H31.8)(計画)'!$F$101</f>
        <v>38620000</v>
      </c>
      <c r="E29" s="57">
        <v>34230206</v>
      </c>
      <c r="F29" s="57">
        <f>IF('事業所損益管理(H30.9～H31.8)_査定'!$F$2&gt;'事業所損益管理(H30.9～H31.8)_査定'!$G$1,0,'事業所損益管理(H30.9～H31.8)_査定'!$F$108)</f>
        <v>37521491</v>
      </c>
      <c r="G29" s="57">
        <f t="shared" ref="G29:G40" si="4">IF(F29=0,IF(G$27=C$28,C29,IF(G$27=D$28,D29,IF(G$27=E$28,E29,C29))),F29)</f>
        <v>37521491</v>
      </c>
      <c r="H29" s="58">
        <f>G29</f>
        <v>37521491</v>
      </c>
      <c r="J29" s="164" t="s">
        <v>15</v>
      </c>
      <c r="K29" s="2015">
        <f>G58</f>
        <v>363311608</v>
      </c>
      <c r="L29" s="2015">
        <f>C3</f>
        <v>315713634</v>
      </c>
      <c r="M29" s="2015">
        <f t="shared" si="3"/>
        <v>47597974</v>
      </c>
      <c r="N29" s="2016" t="str">
        <f>G44</f>
        <v>本部予測</v>
      </c>
    </row>
    <row r="30" spans="2:21" x14ac:dyDescent="0.15">
      <c r="B30" s="339" t="s">
        <v>198</v>
      </c>
      <c r="C30" s="57">
        <f>D$23*10000</f>
        <v>41250000</v>
      </c>
      <c r="D30" s="57">
        <f>'☆事業所損益管理(H30.9～H31.8)(計画)'!$G$101</f>
        <v>39140000</v>
      </c>
      <c r="E30" s="57">
        <v>36691953</v>
      </c>
      <c r="F30" s="57">
        <f>IF('事業所損益管理(H30.9～H31.8)_査定'!$G$2&gt;'事業所損益管理(H30.9～H31.8)_査定'!$G$1,0,'事業所損益管理(H30.9～H31.8)_査定'!$G$108)</f>
        <v>41221792</v>
      </c>
      <c r="G30" s="57">
        <f t="shared" si="4"/>
        <v>41221792</v>
      </c>
      <c r="H30" s="58">
        <f>H29+G30</f>
        <v>78743283</v>
      </c>
      <c r="J30" s="164" t="s">
        <v>35</v>
      </c>
      <c r="K30" s="2015">
        <f>G75</f>
        <v>119396058</v>
      </c>
      <c r="L30" s="2015">
        <f>D3</f>
        <v>112728447</v>
      </c>
      <c r="M30" s="2015">
        <f t="shared" si="3"/>
        <v>6667611</v>
      </c>
      <c r="N30" s="2016" t="str">
        <f>G61</f>
        <v>本部予測</v>
      </c>
    </row>
    <row r="31" spans="2:21" x14ac:dyDescent="0.15">
      <c r="B31" s="339" t="s">
        <v>199</v>
      </c>
      <c r="C31" s="57">
        <f>E$23*10000</f>
        <v>42210000</v>
      </c>
      <c r="D31" s="57">
        <f>'☆事業所損益管理(H30.9～H31.8)(計画)'!$H$101</f>
        <v>39550000</v>
      </c>
      <c r="E31" s="57">
        <v>36311548</v>
      </c>
      <c r="F31" s="57">
        <f>IF('事業所損益管理(H30.9～H31.8)_査定'!$H$2&gt;'事業所損益管理(H30.9～H31.8)_査定'!$G$1,0,'事業所損益管理(H30.9～H31.8)_査定'!$H$108)</f>
        <v>42264853</v>
      </c>
      <c r="G31" s="57">
        <f t="shared" si="4"/>
        <v>42264853</v>
      </c>
      <c r="H31" s="58">
        <f t="shared" ref="H31:H40" si="5">H30+G31</f>
        <v>121008136</v>
      </c>
      <c r="J31" s="164" t="s">
        <v>53</v>
      </c>
      <c r="K31" s="2015">
        <f>K29+K30</f>
        <v>482707666</v>
      </c>
      <c r="L31" s="2015">
        <f>L29+L30</f>
        <v>428442081</v>
      </c>
      <c r="M31" s="2015">
        <f t="shared" si="3"/>
        <v>54265585</v>
      </c>
      <c r="N31" s="2017"/>
    </row>
    <row r="32" spans="2:21" x14ac:dyDescent="0.15">
      <c r="B32" s="339" t="s">
        <v>200</v>
      </c>
      <c r="C32" s="57">
        <f>F$23*10000</f>
        <v>40180000</v>
      </c>
      <c r="D32" s="57">
        <f>'☆事業所損益管理(H30.9～H31.8)(計画)'!$I$101</f>
        <v>39650000</v>
      </c>
      <c r="E32" s="57">
        <v>41036568</v>
      </c>
      <c r="F32" s="57">
        <f>IF('事業所損益管理(H30.9～H31.8)_査定'!$I$2&gt;'事業所損益管理(H30.9～H31.8)_査定'!$G$1,0,'事業所損益管理(H30.9～H31.8)_査定'!$I$108)</f>
        <v>40284538</v>
      </c>
      <c r="G32" s="57">
        <f>IF(F32=0,IF(G$27=C$28,C32,IF(G$27=D$28,D32,IF(G$27=E$28,E32,C32))),F32)</f>
        <v>40284538</v>
      </c>
      <c r="H32" s="58">
        <f t="shared" si="5"/>
        <v>161292674</v>
      </c>
      <c r="J32" s="763" t="s">
        <v>1318</v>
      </c>
      <c r="K32" s="2018">
        <f ca="1">'事業所損益管理(H30.9～H31.8)_査定'!U124</f>
        <v>-111376.5</v>
      </c>
      <c r="L32" s="2019"/>
      <c r="M32" s="2019"/>
      <c r="N32" s="2020"/>
    </row>
    <row r="33" spans="2:15" ht="14.25" thickBot="1" x14ac:dyDescent="0.2">
      <c r="B33" s="339" t="s">
        <v>201</v>
      </c>
      <c r="C33" s="57">
        <f>G$23*10000</f>
        <v>39940000</v>
      </c>
      <c r="D33" s="57">
        <f>'☆事業所損益管理(H30.9～H31.8)(計画)'!$J$101</f>
        <v>40350000</v>
      </c>
      <c r="E33" s="57">
        <v>38129544</v>
      </c>
      <c r="F33" s="57">
        <f>IF('事業所損益管理(H30.9～H31.8)_査定'!$J$2&gt;'事業所損益管理(H30.9～H31.8)_査定'!$G$1,0,'事業所損益管理(H30.9～H31.8)_査定'!$J$108)</f>
        <v>39982277</v>
      </c>
      <c r="G33" s="57">
        <f>IF(F33=0,IF(G$27=C$28,C33,IF(G$27=D$28,D33,IF(G$27=E$28,E33,C33))),F33)</f>
        <v>39982277</v>
      </c>
      <c r="H33" s="58">
        <f>H32+G33</f>
        <v>201274951</v>
      </c>
      <c r="J33" s="763" t="s">
        <v>45</v>
      </c>
      <c r="K33" s="2018">
        <f ca="1">K28-K31+K32</f>
        <v>8326329.5</v>
      </c>
      <c r="L33" s="2018">
        <f>L28-L31</f>
        <v>9988576</v>
      </c>
      <c r="M33" s="2018">
        <f t="shared" ca="1" si="3"/>
        <v>-1662246.5</v>
      </c>
      <c r="N33" s="2021"/>
    </row>
    <row r="34" spans="2:15" x14ac:dyDescent="0.15">
      <c r="B34" s="339" t="s">
        <v>202</v>
      </c>
      <c r="C34" s="57">
        <f>H$23*10000</f>
        <v>38690000</v>
      </c>
      <c r="D34" s="57">
        <f>'☆事業所損益管理(H30.9～H31.8)(計画)'!$K$101</f>
        <v>42300000</v>
      </c>
      <c r="E34" s="57">
        <v>40953363</v>
      </c>
      <c r="F34" s="57">
        <f>IF('事業所損益管理(H30.9～H31.8)_査定'!$K$2&gt;'事業所損益管理(H30.9～H31.8)_査定'!$G$1,0,'事業所損益管理(H30.9～H31.8)_査定'!$K$108)</f>
        <v>38690450</v>
      </c>
      <c r="G34" s="57">
        <f t="shared" si="4"/>
        <v>38690450</v>
      </c>
      <c r="H34" s="58">
        <f t="shared" si="5"/>
        <v>239965401</v>
      </c>
      <c r="J34" s="161" t="s">
        <v>944</v>
      </c>
      <c r="K34" s="2013">
        <f>'☆事業所損益管理(H30.9～H31.8)(計画)'!W108</f>
        <v>1728000</v>
      </c>
      <c r="L34" s="2013">
        <f ca="1">'H29収支予測(本部)'!K28</f>
        <v>1676866</v>
      </c>
      <c r="M34" s="2013">
        <f t="shared" ca="1" si="3"/>
        <v>51134</v>
      </c>
      <c r="N34" s="2022"/>
    </row>
    <row r="35" spans="2:15" x14ac:dyDescent="0.15">
      <c r="B35" s="339" t="s">
        <v>165</v>
      </c>
      <c r="C35" s="57">
        <f>I$23*10000</f>
        <v>40040000</v>
      </c>
      <c r="D35" s="57">
        <f>'☆事業所損益管理(H30.9～H31.8)(計画)'!$L$101</f>
        <v>41850000</v>
      </c>
      <c r="E35" s="57">
        <v>39359707</v>
      </c>
      <c r="F35" s="57">
        <f>IF('事業所損益管理(H30.9～H31.8)_査定'!$L$2&gt;'事業所損益管理(H30.9～H31.8)_査定'!$G$1,0,'事業所損益管理(H30.9～H31.8)_査定'!$L$108)</f>
        <v>40045253</v>
      </c>
      <c r="G35" s="57">
        <f t="shared" si="4"/>
        <v>40045253</v>
      </c>
      <c r="H35" s="58">
        <f t="shared" si="5"/>
        <v>280010654</v>
      </c>
      <c r="J35" s="768" t="s">
        <v>47</v>
      </c>
      <c r="K35" s="2023">
        <f>'☆事業所損益管理(H30.9～H31.8)(計画)'!W109</f>
        <v>11136000</v>
      </c>
      <c r="L35" s="2023">
        <f ca="1">'H29収支予測(本部)'!K29</f>
        <v>7351199</v>
      </c>
      <c r="M35" s="2023">
        <f t="shared" ca="1" si="3"/>
        <v>3784801</v>
      </c>
      <c r="N35" s="2024"/>
    </row>
    <row r="36" spans="2:15" ht="14.25" thickBot="1" x14ac:dyDescent="0.2">
      <c r="B36" s="339" t="s">
        <v>167</v>
      </c>
      <c r="C36" s="57">
        <f>J$23*10000</f>
        <v>41860000</v>
      </c>
      <c r="D36" s="57">
        <f>'☆事業所損益管理(H30.9～H31.8)(計画)'!$M$101</f>
        <v>42850000</v>
      </c>
      <c r="E36" s="57">
        <v>38460890</v>
      </c>
      <c r="F36" s="57">
        <f>IF('事業所損益管理(H30.9～H31.8)_査定'!$M$2&gt;'事業所損益管理(H30.9～H31.8)_査定'!$G$1,0,'事業所損益管理(H30.9～H31.8)_査定'!$M$108)</f>
        <v>41864718</v>
      </c>
      <c r="G36" s="57">
        <f t="shared" si="4"/>
        <v>41864718</v>
      </c>
      <c r="H36" s="58">
        <f t="shared" si="5"/>
        <v>321875372</v>
      </c>
      <c r="J36" s="167" t="s">
        <v>942</v>
      </c>
      <c r="K36" s="2025">
        <f ca="1">K33-(K35-K34)</f>
        <v>-1081670.5</v>
      </c>
      <c r="L36" s="2025">
        <f ca="1">L33-(L35-L34)</f>
        <v>4314243</v>
      </c>
      <c r="M36" s="2025">
        <f t="shared" ca="1" si="3"/>
        <v>-5395913.5</v>
      </c>
      <c r="N36" s="2026"/>
    </row>
    <row r="37" spans="2:15" ht="14.25" thickBot="1" x14ac:dyDescent="0.2">
      <c r="B37" s="339" t="s">
        <v>169</v>
      </c>
      <c r="C37" s="57">
        <f>K$23*10000</f>
        <v>40180000</v>
      </c>
      <c r="D37" s="57">
        <f>'☆事業所損益管理(H30.9～H31.8)(計画)'!$N$101</f>
        <v>45260000</v>
      </c>
      <c r="E37" s="57">
        <v>38620000</v>
      </c>
      <c r="F37" s="57">
        <f>IF('事業所損益管理(H30.9～H31.8)_査定'!$N$2&gt;'事業所損益管理(H30.9～H31.8)_査定'!$G$1,0,'事業所損益管理(H30.9～H31.8)_査定'!$N$108)</f>
        <v>0</v>
      </c>
      <c r="G37" s="57">
        <f t="shared" si="4"/>
        <v>40180000</v>
      </c>
      <c r="H37" s="58">
        <f t="shared" si="5"/>
        <v>362055372</v>
      </c>
      <c r="J37" s="174" t="s">
        <v>177</v>
      </c>
      <c r="K37" s="2027">
        <f ca="1">K36/K28</f>
        <v>-2.202342853390462E-3</v>
      </c>
      <c r="L37" s="2027">
        <f ca="1">L36/L28</f>
        <v>9.8401946376664995E-3</v>
      </c>
      <c r="M37" s="2028"/>
      <c r="N37" s="2029"/>
      <c r="O37" t="s">
        <v>943</v>
      </c>
    </row>
    <row r="38" spans="2:15" ht="14.25" thickBot="1" x14ac:dyDescent="0.2">
      <c r="B38" s="339" t="s">
        <v>174</v>
      </c>
      <c r="C38" s="57">
        <f>L$23*10000</f>
        <v>42630000</v>
      </c>
      <c r="D38" s="57">
        <f>'☆事業所損益管理(H30.9～H31.8)(計画)'!$O$101</f>
        <v>46700000</v>
      </c>
      <c r="E38" s="57">
        <v>39047500</v>
      </c>
      <c r="F38" s="57">
        <f>IF('事業所損益管理(H30.9～H31.8)_査定'!$O$2&gt;'事業所損益管理(H30.9～H31.8)_査定'!$G$1,0,'事業所損益管理(H30.9～H31.8)_査定'!$O$108)</f>
        <v>0</v>
      </c>
      <c r="G38" s="57">
        <f t="shared" si="4"/>
        <v>42630000</v>
      </c>
      <c r="H38" s="58">
        <f t="shared" si="5"/>
        <v>404685372</v>
      </c>
      <c r="J38" s="174" t="s">
        <v>342</v>
      </c>
      <c r="K38" s="2027">
        <f>K29/K28</f>
        <v>0.73972316286022133</v>
      </c>
      <c r="L38" s="2027">
        <f>L29/L28</f>
        <v>0.72009935655571644</v>
      </c>
      <c r="M38" s="2028"/>
      <c r="N38" s="2029"/>
    </row>
    <row r="39" spans="2:15" ht="14.25" thickBot="1" x14ac:dyDescent="0.2">
      <c r="B39" s="339" t="s">
        <v>175</v>
      </c>
      <c r="C39" s="57">
        <f>M$23*10000</f>
        <v>43130000</v>
      </c>
      <c r="D39" s="57">
        <f>'☆事業所損益管理(H30.9～H31.8)(計画)'!$P$101</f>
        <v>47350000</v>
      </c>
      <c r="E39" s="57">
        <v>41194500</v>
      </c>
      <c r="F39" s="57">
        <f>IF('事業所損益管理(H30.9～H31.8)_査定'!$P$2&gt;'事業所損益管理(H30.9～H31.8)_査定'!$G$1,0,'事業所損益管理(H30.9～H31.8)_査定'!$P$108)</f>
        <v>0</v>
      </c>
      <c r="G39" s="57">
        <f t="shared" si="4"/>
        <v>43130000</v>
      </c>
      <c r="H39" s="58">
        <f t="shared" si="5"/>
        <v>447815372</v>
      </c>
      <c r="J39" s="174" t="s">
        <v>500</v>
      </c>
      <c r="K39" s="2025">
        <f ca="1">'事業所損益管理(H29.9～H30.8)収支計画表'!W153</f>
        <v>699297</v>
      </c>
      <c r="L39" s="2028"/>
      <c r="M39" s="2028"/>
      <c r="N39" s="2029"/>
    </row>
    <row r="40" spans="2:15" ht="14.25" thickBot="1" x14ac:dyDescent="0.2">
      <c r="B40" s="75" t="s">
        <v>203</v>
      </c>
      <c r="C40" s="65">
        <f>N$23*10000</f>
        <v>43330000</v>
      </c>
      <c r="D40" s="65">
        <f>'☆事業所損益管理(H30.9～H31.8)(計画)'!$Q$101</f>
        <v>47700000</v>
      </c>
      <c r="E40" s="65">
        <v>42372500</v>
      </c>
      <c r="F40" s="57">
        <f>IF('事業所損益管理(H30.9～H31.8)_査定'!$Q$2&gt;'事業所損益管理(H30.9～H31.8)_査定'!$G$1,0,'事業所損益管理(H30.9～H31.8)_査定'!$Q$108)</f>
        <v>0</v>
      </c>
      <c r="G40" s="65">
        <f t="shared" si="4"/>
        <v>43330000</v>
      </c>
      <c r="H40" s="72">
        <f t="shared" si="5"/>
        <v>491145372</v>
      </c>
    </row>
    <row r="41" spans="2:15" ht="15" thickTop="1" thickBot="1" x14ac:dyDescent="0.2">
      <c r="B41" s="76" t="s">
        <v>96</v>
      </c>
      <c r="C41" s="73">
        <f>SUM(C29:C40)</f>
        <v>490900000</v>
      </c>
      <c r="D41" s="73">
        <f>SUM(D29:D40)</f>
        <v>511320000</v>
      </c>
      <c r="E41" s="73">
        <f>SUM(E29:E40)</f>
        <v>466408279</v>
      </c>
      <c r="F41" s="73">
        <f>SUM(F29:F40)</f>
        <v>321875372</v>
      </c>
      <c r="G41" s="73">
        <f>SUM(G29:G40)</f>
        <v>491145372</v>
      </c>
      <c r="H41" s="74">
        <f>H40</f>
        <v>491145372</v>
      </c>
      <c r="I41" s="989"/>
    </row>
    <row r="44" spans="2:15" ht="14.25" thickBot="1" x14ac:dyDescent="0.2">
      <c r="B44" s="59" t="s">
        <v>1315</v>
      </c>
      <c r="D44" s="6" t="s">
        <v>221</v>
      </c>
      <c r="E44" s="4">
        <f>C3</f>
        <v>315713634</v>
      </c>
      <c r="F44" s="6" t="s">
        <v>209</v>
      </c>
      <c r="G44" s="177" t="s">
        <v>205</v>
      </c>
      <c r="H44" s="6" t="s">
        <v>224</v>
      </c>
    </row>
    <row r="45" spans="2:15" x14ac:dyDescent="0.15">
      <c r="B45" s="335" t="s">
        <v>208</v>
      </c>
      <c r="C45" s="338" t="s">
        <v>205</v>
      </c>
      <c r="D45" s="338" t="s">
        <v>206</v>
      </c>
      <c r="E45" s="338" t="s">
        <v>192</v>
      </c>
      <c r="F45" s="338" t="s">
        <v>124</v>
      </c>
      <c r="G45" s="338" t="s">
        <v>204</v>
      </c>
      <c r="H45" s="336" t="s">
        <v>215</v>
      </c>
    </row>
    <row r="46" spans="2:15" x14ac:dyDescent="0.15">
      <c r="B46" s="339" t="s">
        <v>197</v>
      </c>
      <c r="C46" s="57">
        <v>25705390</v>
      </c>
      <c r="D46" s="57">
        <f>'☆事業所損益管理(H30.9～H31.8)(計画)'!$F$102</f>
        <v>25164000</v>
      </c>
      <c r="E46" s="57">
        <v>23176352</v>
      </c>
      <c r="F46" s="57">
        <f>IF('事業所損益管理(H30.9～H31.8)_査定'!$F$2&gt;'事業所損益管理(H30.9～H31.8)_査定'!$G$1,0,'事業所損益管理(H30.9～H31.8)_査定'!$F$109+'事業所損益管理(H30.9～H31.8)_査定'!$F$118)</f>
        <v>25578188</v>
      </c>
      <c r="G46" s="57">
        <f>IF(F46=0,IF(G$44=C$45,C46,IF(G$44=D$45,D46,IF(G$44=E$45,E46,C46))),F46)</f>
        <v>25578188</v>
      </c>
      <c r="H46" s="58">
        <f>G46</f>
        <v>25578188</v>
      </c>
      <c r="I46" s="26"/>
    </row>
    <row r="47" spans="2:15" x14ac:dyDescent="0.15">
      <c r="B47" s="339" t="s">
        <v>198</v>
      </c>
      <c r="C47" s="57">
        <v>26902272</v>
      </c>
      <c r="D47" s="57">
        <f>'☆事業所損益管理(H30.9～H31.8)(計画)'!$G$102</f>
        <v>25323000</v>
      </c>
      <c r="E47" s="57">
        <v>29776545</v>
      </c>
      <c r="F47" s="57">
        <f>IF('事業所損益管理(H30.9～H31.8)_査定'!$G$2&gt;'事業所損益管理(H30.9～H31.8)_査定'!$G$1,0,'事業所損益管理(H30.9～H31.8)_査定'!$G$109+'事業所損益管理(H30.9～H31.8)_査定'!$G$118)</f>
        <v>26917769</v>
      </c>
      <c r="G47" s="57">
        <f t="shared" ref="G47:G57" si="6">IF(F47=0,IF(G$44=C$45,C47,IF(G$44=D$45,D47,IF(G$44=E$45,E47,C47))),F47)</f>
        <v>26917769</v>
      </c>
      <c r="H47" s="58">
        <f>H46+G47</f>
        <v>52495957</v>
      </c>
      <c r="I47" s="26"/>
    </row>
    <row r="48" spans="2:15" x14ac:dyDescent="0.15">
      <c r="B48" s="339" t="s">
        <v>199</v>
      </c>
      <c r="C48" s="57">
        <v>26225161</v>
      </c>
      <c r="D48" s="57">
        <f>'☆事業所損益管理(H30.9～H31.8)(計画)'!$H$102</f>
        <v>27381000</v>
      </c>
      <c r="E48" s="57">
        <v>27625334</v>
      </c>
      <c r="F48" s="57">
        <f>IF('事業所損益管理(H30.9～H31.8)_査定'!$H$2&gt;'事業所損益管理(H30.9～H31.8)_査定'!$G$1,0,'事業所損益管理(H30.9～H31.8)_査定'!$H$109+'事業所損益管理(H30.9～H31.8)_査定'!$H$118)</f>
        <v>28291290</v>
      </c>
      <c r="G48" s="57">
        <f t="shared" si="6"/>
        <v>28291290</v>
      </c>
      <c r="H48" s="58">
        <f t="shared" ref="H48:H57" si="7">H47+G48</f>
        <v>80787247</v>
      </c>
      <c r="I48" s="26"/>
    </row>
    <row r="49" spans="2:9" x14ac:dyDescent="0.15">
      <c r="B49" s="339" t="s">
        <v>200</v>
      </c>
      <c r="C49" s="57">
        <v>43942558</v>
      </c>
      <c r="D49" s="57">
        <f>'☆事業所損益管理(H30.9～H31.8)(計画)'!$I$102</f>
        <v>45979000</v>
      </c>
      <c r="E49" s="57">
        <v>38714288</v>
      </c>
      <c r="F49" s="57">
        <f>IF('事業所損益管理(H30.9～H31.8)_査定'!$I$2&gt;'事業所損益管理(H30.9～H31.8)_査定'!$G$1,0,'事業所損益管理(H30.9～H31.8)_査定'!$I$109+'事業所損益管理(H30.9～H31.8)_査定'!$I$118)</f>
        <v>43000234</v>
      </c>
      <c r="G49" s="57">
        <f>IF(F49=0,IF(G$44=C$45,C49,IF(G$44=D$45,D49,IF(G$44=E$45,E49,C49))),F49)</f>
        <v>43000234</v>
      </c>
      <c r="H49" s="58">
        <f t="shared" si="7"/>
        <v>123787481</v>
      </c>
      <c r="I49" s="26"/>
    </row>
    <row r="50" spans="2:9" x14ac:dyDescent="0.15">
      <c r="B50" s="339" t="s">
        <v>201</v>
      </c>
      <c r="C50" s="57">
        <v>27585471</v>
      </c>
      <c r="D50" s="57">
        <f>'☆事業所損益管理(H30.9～H31.8)(計画)'!$J$102</f>
        <v>27774000</v>
      </c>
      <c r="E50" s="57">
        <v>38089430</v>
      </c>
      <c r="F50" s="57">
        <f>IF('事業所損益管理(H30.9～H31.8)_査定'!$J$2&gt;'事業所損益管理(H30.9～H31.8)_査定'!$G$1,0,'事業所損益管理(H30.9～H31.8)_査定'!$J$109+'事業所損益管理(H30.9～H31.8)_査定'!$J$118)</f>
        <v>27870072</v>
      </c>
      <c r="G50" s="57">
        <f t="shared" si="6"/>
        <v>27870072</v>
      </c>
      <c r="H50" s="58">
        <f t="shared" si="7"/>
        <v>151657553</v>
      </c>
      <c r="I50" s="26"/>
    </row>
    <row r="51" spans="2:9" x14ac:dyDescent="0.15">
      <c r="B51" s="339" t="s">
        <v>202</v>
      </c>
      <c r="C51" s="57">
        <v>25911001</v>
      </c>
      <c r="D51" s="57">
        <f>'☆事業所損益管理(H30.9～H31.8)(計画)'!$K$102</f>
        <v>28214000</v>
      </c>
      <c r="E51" s="57">
        <v>27482437</v>
      </c>
      <c r="F51" s="57">
        <f>IF('事業所損益管理(H30.9～H31.8)_査定'!$K$2&gt;'事業所損益管理(H30.9～H31.8)_査定'!$G$1,0,'事業所損益管理(H30.9～H31.8)_査定'!$K$109+'事業所損益管理(H30.9～H31.8)_査定'!$K$118)</f>
        <v>26853971</v>
      </c>
      <c r="G51" s="57">
        <f t="shared" si="6"/>
        <v>26853971</v>
      </c>
      <c r="H51" s="58">
        <f t="shared" si="7"/>
        <v>178511524</v>
      </c>
      <c r="I51" s="26"/>
    </row>
    <row r="52" spans="2:9" x14ac:dyDescent="0.15">
      <c r="B52" s="339" t="s">
        <v>165</v>
      </c>
      <c r="C52" s="57">
        <v>26230521</v>
      </c>
      <c r="D52" s="57">
        <f>'☆事業所損益管理(H30.9～H31.8)(計画)'!$L$102</f>
        <v>28354000</v>
      </c>
      <c r="E52" s="57">
        <v>24507009</v>
      </c>
      <c r="F52" s="57">
        <f>IF('事業所損益管理(H30.9～H31.8)_査定'!$L$2&gt;'事業所損益管理(H30.9～H31.8)_査定'!$G$1,0,'事業所損益管理(H30.9～H31.8)_査定'!$L$109+'事業所損益管理(H30.9～H31.8)_査定'!$L$118)</f>
        <v>26812659</v>
      </c>
      <c r="G52" s="57">
        <f t="shared" si="6"/>
        <v>26812659</v>
      </c>
      <c r="H52" s="58">
        <f t="shared" si="7"/>
        <v>205324183</v>
      </c>
      <c r="I52" s="26"/>
    </row>
    <row r="53" spans="2:9" x14ac:dyDescent="0.15">
      <c r="B53" s="339" t="s">
        <v>167</v>
      </c>
      <c r="C53" s="57">
        <v>25522340</v>
      </c>
      <c r="D53" s="57">
        <f>'☆事業所損益管理(H30.9～H31.8)(計画)'!$M$102</f>
        <v>29333000</v>
      </c>
      <c r="E53" s="57">
        <v>28784803</v>
      </c>
      <c r="F53" s="57">
        <f>IF('事業所損益管理(H30.9～H31.8)_査定'!$M$2&gt;'事業所損益管理(H30.9～H31.8)_査定'!$G$1,0,'事業所損益管理(H30.9～H31.8)_査定'!$M$109+'事業所損益管理(H30.9～H31.8)_査定'!$M$118)</f>
        <v>27716004</v>
      </c>
      <c r="G53" s="57">
        <f t="shared" si="6"/>
        <v>27716004</v>
      </c>
      <c r="H53" s="58">
        <f t="shared" si="7"/>
        <v>233040187</v>
      </c>
      <c r="I53" s="26"/>
    </row>
    <row r="54" spans="2:9" x14ac:dyDescent="0.15">
      <c r="B54" s="339" t="s">
        <v>169</v>
      </c>
      <c r="C54" s="57">
        <v>27268941</v>
      </c>
      <c r="D54" s="57">
        <f>'☆事業所損益管理(H30.9～H31.8)(計画)'!$N$102</f>
        <v>29373000</v>
      </c>
      <c r="E54" s="57">
        <v>30823829</v>
      </c>
      <c r="F54" s="57">
        <f>IF('事業所損益管理(H30.9～H31.8)_査定'!$N$2&gt;'事業所損益管理(H30.9～H31.8)_査定'!$G$1,0,'事業所損益管理(H30.9～H31.8)_査定'!$N$109+'事業所損益管理(H30.9～H31.8)_査定'!$N$118)</f>
        <v>0</v>
      </c>
      <c r="G54" s="57">
        <f t="shared" si="6"/>
        <v>27268941</v>
      </c>
      <c r="H54" s="58">
        <f t="shared" si="7"/>
        <v>260309128</v>
      </c>
    </row>
    <row r="55" spans="2:9" x14ac:dyDescent="0.15">
      <c r="B55" s="339" t="s">
        <v>174</v>
      </c>
      <c r="C55" s="57">
        <v>41458805</v>
      </c>
      <c r="D55" s="57">
        <f>'☆事業所損益管理(H30.9～H31.8)(計画)'!$O$102</f>
        <v>47664000</v>
      </c>
      <c r="E55" s="57">
        <v>40530598</v>
      </c>
      <c r="F55" s="57">
        <f>IF('事業所損益管理(H30.9～H31.8)_査定'!$O$2&gt;'事業所損益管理(H30.9～H31.8)_査定'!$G$1,0,'事業所損益管理(H30.9～H31.8)_査定'!$O$109+'事業所損益管理(H30.9～H31.8)_査定'!$O$118)</f>
        <v>0</v>
      </c>
      <c r="G55" s="57">
        <f t="shared" si="6"/>
        <v>41458805</v>
      </c>
      <c r="H55" s="58">
        <f t="shared" si="7"/>
        <v>301767933</v>
      </c>
    </row>
    <row r="56" spans="2:9" x14ac:dyDescent="0.15">
      <c r="B56" s="339" t="s">
        <v>175</v>
      </c>
      <c r="C56" s="57">
        <v>30121943</v>
      </c>
      <c r="D56" s="57">
        <f>'☆事業所損益管理(H30.9～H31.8)(計画)'!$P$102</f>
        <v>30613000</v>
      </c>
      <c r="E56" s="57">
        <v>33805858</v>
      </c>
      <c r="F56" s="57">
        <f>IF('事業所損益管理(H30.9～H31.8)_査定'!$P$2&gt;'事業所損益管理(H30.9～H31.8)_査定'!$G$1,0,'事業所損益管理(H30.9～H31.8)_査定'!$P$109+'事業所損益管理(H30.9～H31.8)_査定'!$P$118)</f>
        <v>0</v>
      </c>
      <c r="G56" s="57">
        <f t="shared" si="6"/>
        <v>30121943</v>
      </c>
      <c r="H56" s="58">
        <f t="shared" si="7"/>
        <v>331889876</v>
      </c>
    </row>
    <row r="57" spans="2:9" ht="14.25" thickBot="1" x14ac:dyDescent="0.2">
      <c r="B57" s="75" t="s">
        <v>203</v>
      </c>
      <c r="C57" s="65">
        <v>31421732</v>
      </c>
      <c r="D57" s="65">
        <f>'☆事業所損益管理(H30.9～H31.8)(計画)'!$Q$102</f>
        <v>32583000</v>
      </c>
      <c r="E57" s="65">
        <v>29469098</v>
      </c>
      <c r="F57" s="65">
        <f>IF('事業所損益管理(H30.9～H31.8)_査定'!$Q$2&gt;'事業所損益管理(H30.9～H31.8)_査定'!$G$1,0,'事業所損益管理(H30.9～H31.8)_査定'!$Q$109+'事業所損益管理(H30.9～H31.8)_査定'!$Q$118)</f>
        <v>0</v>
      </c>
      <c r="G57" s="65">
        <f t="shared" si="6"/>
        <v>31421732</v>
      </c>
      <c r="H57" s="72">
        <f t="shared" si="7"/>
        <v>363311608</v>
      </c>
    </row>
    <row r="58" spans="2:9" ht="15" thickTop="1" thickBot="1" x14ac:dyDescent="0.2">
      <c r="B58" s="76" t="s">
        <v>96</v>
      </c>
      <c r="C58" s="73">
        <f>SUM(C46:C57)</f>
        <v>358296135</v>
      </c>
      <c r="D58" s="73">
        <f>SUM(D46:D57)</f>
        <v>377755000</v>
      </c>
      <c r="E58" s="73">
        <f>SUM(E46:E57)</f>
        <v>372785581</v>
      </c>
      <c r="F58" s="73">
        <f>SUM(F46:F57)</f>
        <v>233040187</v>
      </c>
      <c r="G58" s="73">
        <f>SUM(G46:G57)</f>
        <v>363311608</v>
      </c>
      <c r="H58" s="74">
        <f>H57</f>
        <v>363311608</v>
      </c>
      <c r="I58" s="26"/>
    </row>
    <row r="59" spans="2:9" x14ac:dyDescent="0.15">
      <c r="E59" s="4"/>
      <c r="I59" s="26"/>
    </row>
    <row r="61" spans="2:9" ht="14.25" thickBot="1" x14ac:dyDescent="0.2">
      <c r="B61" s="59" t="s">
        <v>1316</v>
      </c>
      <c r="D61" s="6" t="s">
        <v>221</v>
      </c>
      <c r="E61" s="4">
        <f>D3</f>
        <v>112728447</v>
      </c>
      <c r="F61" s="6" t="s">
        <v>209</v>
      </c>
      <c r="G61" s="177" t="s">
        <v>205</v>
      </c>
      <c r="H61" s="6" t="s">
        <v>225</v>
      </c>
    </row>
    <row r="62" spans="2:9" x14ac:dyDescent="0.15">
      <c r="B62" s="335" t="s">
        <v>208</v>
      </c>
      <c r="C62" s="338" t="s">
        <v>205</v>
      </c>
      <c r="D62" s="338" t="s">
        <v>206</v>
      </c>
      <c r="E62" s="338" t="s">
        <v>192</v>
      </c>
      <c r="F62" s="338" t="s">
        <v>124</v>
      </c>
      <c r="G62" s="338" t="s">
        <v>204</v>
      </c>
      <c r="H62" s="336" t="s">
        <v>216</v>
      </c>
    </row>
    <row r="63" spans="2:9" x14ac:dyDescent="0.15">
      <c r="B63" s="339" t="s">
        <v>197</v>
      </c>
      <c r="C63" s="57">
        <v>12361630</v>
      </c>
      <c r="D63" s="57">
        <f>'☆事業所損益管理(H30.9～H31.8)(計画)'!$F$104</f>
        <v>11635000</v>
      </c>
      <c r="E63" s="57">
        <v>12107106</v>
      </c>
      <c r="F63" s="57">
        <f>IF('事業所損益管理(H30.9～H31.8)_査定'!$F$2&gt;'事業所損益管理(H30.9～H31.8)_査定'!$G$1,0,'事業所損益管理(H30.9～H31.8)_査定'!$F$111+'事業所損益管理(H30.9～H31.8)_査定'!$F$120)</f>
        <v>10154606</v>
      </c>
      <c r="G63" s="57">
        <f t="shared" ref="G63:G74" si="8">IF(F63=0,IF(G$61=C$62,C63,IF(G$61=D$62,D63,IF(G$61=E$62,E63,C63))),F63)</f>
        <v>10154606</v>
      </c>
      <c r="H63" s="58">
        <f>G63</f>
        <v>10154606</v>
      </c>
      <c r="I63" s="26"/>
    </row>
    <row r="64" spans="2:9" x14ac:dyDescent="0.15">
      <c r="B64" s="339" t="s">
        <v>198</v>
      </c>
      <c r="C64" s="57">
        <v>12391806</v>
      </c>
      <c r="D64" s="57">
        <f>'☆事業所損益管理(H30.9～H31.8)(計画)'!$G$104</f>
        <v>9909000</v>
      </c>
      <c r="E64" s="57">
        <v>16243587</v>
      </c>
      <c r="F64" s="57">
        <f>IF('事業所損益管理(H30.9～H31.8)_査定'!$G$2&gt;'事業所損益管理(H30.9～H31.8)_査定'!$G$1,0,'事業所損益管理(H30.9～H31.8)_査定'!$G$111+'事業所損益管理(H30.9～H31.8)_査定'!$G$120)</f>
        <v>14150744</v>
      </c>
      <c r="G64" s="57">
        <f>IF(F64=0,IF(G$61=C$62,C64,IF(G$61=D$62,D64,IF(G$61=E$62,E64,C64))),F64)</f>
        <v>14150744</v>
      </c>
      <c r="H64" s="58">
        <f>H63+G64</f>
        <v>24305350</v>
      </c>
      <c r="I64" s="26"/>
    </row>
    <row r="65" spans="2:14" x14ac:dyDescent="0.15">
      <c r="B65" s="339" t="s">
        <v>199</v>
      </c>
      <c r="C65" s="57">
        <v>11220133</v>
      </c>
      <c r="D65" s="57">
        <f>'☆事業所損益管理(H30.9～H31.8)(計画)'!$H$104</f>
        <v>10389000</v>
      </c>
      <c r="E65" s="57">
        <v>10960673</v>
      </c>
      <c r="F65" s="57">
        <f>IF('事業所損益管理(H30.9～H31.8)_査定'!$H$2&gt;'事業所損益管理(H30.9～H31.8)_査定'!$G$1,0,'事業所損益管理(H30.9～H31.8)_査定'!$H$111+'事業所損益管理(H30.9～H31.8)_査定'!$H$120)</f>
        <v>9727500</v>
      </c>
      <c r="G65" s="57">
        <f t="shared" si="8"/>
        <v>9727500</v>
      </c>
      <c r="H65" s="58">
        <f t="shared" ref="H65:H74" si="9">H64+G65</f>
        <v>34032850</v>
      </c>
      <c r="I65" s="26"/>
    </row>
    <row r="66" spans="2:14" x14ac:dyDescent="0.15">
      <c r="B66" s="339" t="s">
        <v>200</v>
      </c>
      <c r="C66" s="57">
        <v>10292676</v>
      </c>
      <c r="D66" s="57">
        <f>'☆事業所損益管理(H30.9～H31.8)(計画)'!$I$104</f>
        <v>9571000</v>
      </c>
      <c r="E66" s="57">
        <v>8828027</v>
      </c>
      <c r="F66" s="57">
        <f>IF('事業所損益管理(H30.9～H31.8)_査定'!$I$2&gt;'事業所損益管理(H30.9～H31.8)_査定'!$G$1,0,'事業所損益管理(H30.9～H31.8)_査定'!$I$111+'事業所損益管理(H30.9～H31.8)_査定'!$I$120)</f>
        <v>8588657</v>
      </c>
      <c r="G66" s="57">
        <f t="shared" si="8"/>
        <v>8588657</v>
      </c>
      <c r="H66" s="58">
        <f t="shared" si="9"/>
        <v>42621507</v>
      </c>
      <c r="I66" s="26"/>
    </row>
    <row r="67" spans="2:14" x14ac:dyDescent="0.15">
      <c r="B67" s="339" t="s">
        <v>201</v>
      </c>
      <c r="C67" s="57">
        <v>11009113</v>
      </c>
      <c r="D67" s="57">
        <f>'☆事業所損益管理(H30.9～H31.8)(計画)'!$J$104</f>
        <v>11382000</v>
      </c>
      <c r="E67" s="57">
        <v>9737200</v>
      </c>
      <c r="F67" s="57">
        <f>IF('事業所損益管理(H30.9～H31.8)_査定'!$J$2&gt;'事業所損益管理(H30.9～H31.8)_査定'!$G$1,0,'事業所損益管理(H30.9～H31.8)_査定'!$J$111+'事業所損益管理(H30.9～H31.8)_査定'!$J$120)</f>
        <v>9173270</v>
      </c>
      <c r="G67" s="57">
        <f t="shared" si="8"/>
        <v>9173270</v>
      </c>
      <c r="H67" s="58">
        <f t="shared" si="9"/>
        <v>51794777</v>
      </c>
      <c r="I67" s="26"/>
    </row>
    <row r="68" spans="2:14" x14ac:dyDescent="0.15">
      <c r="B68" s="339" t="s">
        <v>202</v>
      </c>
      <c r="C68" s="57">
        <v>9801189</v>
      </c>
      <c r="D68" s="57">
        <f>'☆事業所損益管理(H30.9～H31.8)(計画)'!$K$104</f>
        <v>10271000</v>
      </c>
      <c r="E68" s="57">
        <v>9288002</v>
      </c>
      <c r="F68" s="57">
        <f>IF('事業所損益管理(H30.9～H31.8)_査定'!$K$2&gt;'事業所損益管理(H30.9～H31.8)_査定'!$G$1,0,'事業所損益管理(H30.9～H31.8)_査定'!$K$111+'事業所損益管理(H30.9～H31.8)_査定'!$K$120)</f>
        <v>8999179</v>
      </c>
      <c r="G68" s="57">
        <f t="shared" si="8"/>
        <v>8999179</v>
      </c>
      <c r="H68" s="58">
        <f t="shared" si="9"/>
        <v>60793956</v>
      </c>
      <c r="I68" s="26"/>
      <c r="J68" s="4"/>
    </row>
    <row r="69" spans="2:14" x14ac:dyDescent="0.15">
      <c r="B69" s="339" t="s">
        <v>165</v>
      </c>
      <c r="C69" s="57">
        <v>9637604</v>
      </c>
      <c r="D69" s="57">
        <f>'☆事業所損益管理(H30.9～H31.8)(計画)'!$L$104</f>
        <v>10409000</v>
      </c>
      <c r="E69" s="57">
        <v>9175655</v>
      </c>
      <c r="F69" s="57">
        <f>IF('事業所損益管理(H30.9～H31.8)_査定'!$L$2&gt;'事業所損益管理(H30.9～H31.8)_査定'!$G$1,0,'事業所損益管理(H30.9～H31.8)_査定'!$L$111+'事業所損益管理(H30.9～H31.8)_査定'!$L$120)</f>
        <v>8656063</v>
      </c>
      <c r="G69" s="57">
        <f>IF(F69=0,IF(G$61=C$62,C69,IF(G$61=D$62,D69,IF(G$61=E$62,E69,C69))),F69)</f>
        <v>8656063</v>
      </c>
      <c r="H69" s="58">
        <f t="shared" si="9"/>
        <v>69450019</v>
      </c>
      <c r="J69" s="4"/>
    </row>
    <row r="70" spans="2:14" x14ac:dyDescent="0.15">
      <c r="B70" s="339" t="s">
        <v>167</v>
      </c>
      <c r="C70" s="57">
        <v>10221447</v>
      </c>
      <c r="D70" s="57">
        <f>'☆事業所損益管理(H30.9～H31.8)(計画)'!$M$104</f>
        <v>13118000</v>
      </c>
      <c r="E70" s="57">
        <v>7998095</v>
      </c>
      <c r="F70" s="57">
        <f>IF('事業所損益管理(H30.9～H31.8)_査定'!$M$2&gt;'事業所損益管理(H30.9～H31.8)_査定'!$G$1,0,'事業所損益管理(H30.9～H31.8)_査定'!$M$111+'事業所損益管理(H30.9～H31.8)_査定'!$M$120)</f>
        <v>8647779</v>
      </c>
      <c r="G70" s="57">
        <f t="shared" si="8"/>
        <v>8647779</v>
      </c>
      <c r="H70" s="58">
        <f t="shared" si="9"/>
        <v>78097798</v>
      </c>
      <c r="J70" s="4"/>
    </row>
    <row r="71" spans="2:14" x14ac:dyDescent="0.15">
      <c r="B71" s="339" t="s">
        <v>169</v>
      </c>
      <c r="C71" s="57">
        <v>9078197</v>
      </c>
      <c r="D71" s="57">
        <f>'☆事業所損益管理(H30.9～H31.8)(計画)'!$N$104</f>
        <v>11103000</v>
      </c>
      <c r="E71" s="57">
        <v>9676557.333333334</v>
      </c>
      <c r="F71" s="57">
        <f>IF('事業所損益管理(H30.9～H31.8)_査定'!$N$2&gt;'事業所損益管理(H30.9～H31.8)_査定'!$G$1,0,'事業所損益管理(H30.9～H31.8)_査定'!$N$111+'事業所損益管理(H30.9～H31.8)_査定'!$N$120)</f>
        <v>0</v>
      </c>
      <c r="G71" s="57">
        <f t="shared" si="8"/>
        <v>9078197</v>
      </c>
      <c r="H71" s="58">
        <f t="shared" si="9"/>
        <v>87175995</v>
      </c>
      <c r="J71" s="4"/>
    </row>
    <row r="72" spans="2:14" x14ac:dyDescent="0.15">
      <c r="B72" s="339" t="s">
        <v>174</v>
      </c>
      <c r="C72" s="57">
        <v>10236157</v>
      </c>
      <c r="D72" s="57">
        <f>'☆事業所損益管理(H30.9～H31.8)(計画)'!$O$104</f>
        <v>12042000</v>
      </c>
      <c r="E72" s="57">
        <v>9633426.1111111119</v>
      </c>
      <c r="F72" s="57">
        <f>IF('事業所損益管理(H30.9～H31.8)_査定'!$O$2&gt;'事業所損益管理(H30.9～H31.8)_査定'!$G$1,0,'事業所損益管理(H30.9～H31.8)_査定'!$O$111+'事業所損益管理(H30.9～H31.8)_査定'!$O$120)</f>
        <v>0</v>
      </c>
      <c r="G72" s="57">
        <f t="shared" si="8"/>
        <v>10236157</v>
      </c>
      <c r="H72" s="58">
        <f t="shared" si="9"/>
        <v>97412152</v>
      </c>
      <c r="J72" s="4"/>
    </row>
    <row r="73" spans="2:14" x14ac:dyDescent="0.15">
      <c r="B73" s="339" t="s">
        <v>175</v>
      </c>
      <c r="C73" s="57">
        <v>12310968</v>
      </c>
      <c r="D73" s="57">
        <f>'☆事業所損益管理(H30.9～H31.8)(計画)'!$P$104</f>
        <v>11447000</v>
      </c>
      <c r="E73" s="57">
        <v>9581768.4814814813</v>
      </c>
      <c r="F73" s="57">
        <f>IF('事業所損益管理(H30.9～H31.8)_査定'!$P$2&gt;'事業所損益管理(H30.9～H31.8)_査定'!$G$1,0,'事業所損益管理(H30.9～H31.8)_査定'!$P$111+'事業所損益管理(H30.9～H31.8)_査定'!$P$120)</f>
        <v>0</v>
      </c>
      <c r="G73" s="57">
        <f t="shared" si="8"/>
        <v>12310968</v>
      </c>
      <c r="H73" s="58">
        <f t="shared" si="9"/>
        <v>109723120</v>
      </c>
      <c r="J73" s="4"/>
    </row>
    <row r="74" spans="2:14" ht="14.25" thickBot="1" x14ac:dyDescent="0.2">
      <c r="B74" s="75" t="s">
        <v>203</v>
      </c>
      <c r="C74" s="65">
        <v>9672938</v>
      </c>
      <c r="D74" s="65">
        <f>'☆事業所損益管理(H30.9～H31.8)(計画)'!$Q$104</f>
        <v>10328000</v>
      </c>
      <c r="E74" s="65">
        <v>9485351.9753086418</v>
      </c>
      <c r="F74" s="65">
        <f>IF('事業所損益管理(H30.9～H31.8)_査定'!$Q$2&gt;'事業所損益管理(H30.9～H31.8)_査定'!$G$1,0,'事業所損益管理(H30.9～H31.8)_査定'!$Q$111+'事業所損益管理(H30.9～H31.8)_査定'!$Q$120)</f>
        <v>0</v>
      </c>
      <c r="G74" s="65">
        <f t="shared" si="8"/>
        <v>9672938</v>
      </c>
      <c r="H74" s="72">
        <f t="shared" si="9"/>
        <v>119396058</v>
      </c>
      <c r="J74" s="4">
        <v>7087687</v>
      </c>
      <c r="K74">
        <v>7087687</v>
      </c>
      <c r="L74">
        <v>7087687</v>
      </c>
      <c r="M74">
        <v>7087687</v>
      </c>
      <c r="N74">
        <v>7087687</v>
      </c>
    </row>
    <row r="75" spans="2:14" ht="15" thickTop="1" thickBot="1" x14ac:dyDescent="0.2">
      <c r="B75" s="76" t="s">
        <v>96</v>
      </c>
      <c r="C75" s="73">
        <f>SUM(C63:C74)</f>
        <v>128233858</v>
      </c>
      <c r="D75" s="73">
        <f>SUM(D63:D74)</f>
        <v>131604000</v>
      </c>
      <c r="E75" s="73">
        <f>SUM(E63:E74)</f>
        <v>122715448.90123457</v>
      </c>
      <c r="F75" s="73">
        <f>SUM(F63:F74)</f>
        <v>78097798</v>
      </c>
      <c r="G75" s="73">
        <f>SUM(G63:G74)</f>
        <v>119396058</v>
      </c>
      <c r="H75" s="74">
        <f>H74</f>
        <v>119396058</v>
      </c>
      <c r="I75" s="26"/>
      <c r="J75" s="4">
        <v>5934458.666666666</v>
      </c>
      <c r="K75">
        <v>5934458.666666666</v>
      </c>
      <c r="L75">
        <v>5934458.666666666</v>
      </c>
      <c r="M75">
        <v>5934458.666666666</v>
      </c>
      <c r="N75">
        <v>5934458.666666666</v>
      </c>
    </row>
    <row r="76" spans="2:14" x14ac:dyDescent="0.15">
      <c r="E76" s="4"/>
      <c r="J76" s="4">
        <v>6054416.3333333321</v>
      </c>
      <c r="K76">
        <v>6054416.3333333321</v>
      </c>
      <c r="L76">
        <v>6054416.3333333321</v>
      </c>
      <c r="M76">
        <v>6054416.3333333321</v>
      </c>
      <c r="N76">
        <v>6054416.3333333321</v>
      </c>
    </row>
    <row r="77" spans="2:14" x14ac:dyDescent="0.15">
      <c r="J77" s="4">
        <v>6185192.666666666</v>
      </c>
      <c r="K77">
        <v>6185192.666666666</v>
      </c>
      <c r="L77">
        <v>6185192.666666666</v>
      </c>
      <c r="M77">
        <v>6185192.666666666</v>
      </c>
      <c r="N77">
        <v>6185192.666666666</v>
      </c>
    </row>
    <row r="78" spans="2:14" ht="14.25" thickBot="1" x14ac:dyDescent="0.2">
      <c r="B78" s="59" t="s">
        <v>1375</v>
      </c>
      <c r="D78" s="6" t="s">
        <v>221</v>
      </c>
      <c r="E78" s="4">
        <f ca="1">E3</f>
        <v>10883909</v>
      </c>
      <c r="H78" s="6" t="s">
        <v>226</v>
      </c>
      <c r="J78" s="4">
        <v>6338764.0370370373</v>
      </c>
      <c r="K78">
        <v>6338764.0370370373</v>
      </c>
      <c r="L78">
        <v>6338764.0370370373</v>
      </c>
      <c r="M78">
        <v>6338764.0370370373</v>
      </c>
      <c r="N78">
        <v>6338764.0370370373</v>
      </c>
    </row>
    <row r="79" spans="2:14" x14ac:dyDescent="0.15">
      <c r="B79" s="335" t="s">
        <v>208</v>
      </c>
      <c r="C79" s="338" t="s">
        <v>205</v>
      </c>
      <c r="D79" s="338" t="s">
        <v>206</v>
      </c>
      <c r="E79" s="338" t="s">
        <v>192</v>
      </c>
      <c r="F79" s="338" t="s">
        <v>124</v>
      </c>
      <c r="G79" s="338" t="s">
        <v>220</v>
      </c>
      <c r="H79" s="336" t="s">
        <v>219</v>
      </c>
      <c r="J79" s="4">
        <v>6542979.2716049375</v>
      </c>
      <c r="K79">
        <v>6542979.2716049375</v>
      </c>
      <c r="L79">
        <v>6542979.2716049375</v>
      </c>
      <c r="M79">
        <v>6542979.2716049375</v>
      </c>
      <c r="N79">
        <v>6542979.2716049375</v>
      </c>
    </row>
    <row r="80" spans="2:14" x14ac:dyDescent="0.15">
      <c r="B80" s="339" t="s">
        <v>197</v>
      </c>
      <c r="C80" s="57">
        <f>C29-(C46+C63)</f>
        <v>-607020</v>
      </c>
      <c r="D80" s="57">
        <f>D29-(D46+D63)</f>
        <v>1821000</v>
      </c>
      <c r="E80" s="57">
        <f>E29-(E46+E63)</f>
        <v>-1053252</v>
      </c>
      <c r="F80" s="57">
        <f>F29-(F46+F63)</f>
        <v>1788697</v>
      </c>
      <c r="G80" s="57">
        <f>G29-(G46+G63)</f>
        <v>1788697</v>
      </c>
      <c r="H80" s="58">
        <f>G80</f>
        <v>1788697</v>
      </c>
      <c r="J80" s="4"/>
    </row>
    <row r="81" spans="1:11" x14ac:dyDescent="0.15">
      <c r="B81" s="339" t="s">
        <v>198</v>
      </c>
      <c r="C81" s="57">
        <f t="shared" ref="C81:G91" si="10">C30-(C47+C64)</f>
        <v>1955922</v>
      </c>
      <c r="D81" s="57">
        <f t="shared" si="10"/>
        <v>3908000</v>
      </c>
      <c r="E81" s="57">
        <f t="shared" si="10"/>
        <v>-9328179</v>
      </c>
      <c r="F81" s="57">
        <f t="shared" si="10"/>
        <v>153279</v>
      </c>
      <c r="G81" s="57">
        <f t="shared" si="10"/>
        <v>153279</v>
      </c>
      <c r="H81" s="58">
        <f>H80+G81</f>
        <v>1941976</v>
      </c>
    </row>
    <row r="82" spans="1:11" x14ac:dyDescent="0.15">
      <c r="B82" s="339" t="s">
        <v>199</v>
      </c>
      <c r="C82" s="57">
        <f t="shared" si="10"/>
        <v>4764706</v>
      </c>
      <c r="D82" s="57">
        <f t="shared" si="10"/>
        <v>1780000</v>
      </c>
      <c r="E82" s="57">
        <f t="shared" si="10"/>
        <v>-2274459</v>
      </c>
      <c r="F82" s="57">
        <f t="shared" si="10"/>
        <v>4246063</v>
      </c>
      <c r="G82" s="57">
        <f t="shared" si="10"/>
        <v>4246063</v>
      </c>
      <c r="H82" s="58">
        <f t="shared" ref="H82:H91" si="11">H81+G82</f>
        <v>6188039</v>
      </c>
    </row>
    <row r="83" spans="1:11" x14ac:dyDescent="0.15">
      <c r="B83" s="339" t="s">
        <v>200</v>
      </c>
      <c r="C83" s="57">
        <f t="shared" si="10"/>
        <v>-14055234</v>
      </c>
      <c r="D83" s="57">
        <f t="shared" si="10"/>
        <v>-15900000</v>
      </c>
      <c r="E83" s="57">
        <f t="shared" si="10"/>
        <v>-6505747</v>
      </c>
      <c r="F83" s="57">
        <f t="shared" si="10"/>
        <v>-11304353</v>
      </c>
      <c r="G83" s="57">
        <f t="shared" si="10"/>
        <v>-11304353</v>
      </c>
      <c r="H83" s="58">
        <f t="shared" si="11"/>
        <v>-5116314</v>
      </c>
    </row>
    <row r="84" spans="1:11" x14ac:dyDescent="0.15">
      <c r="B84" s="339" t="s">
        <v>201</v>
      </c>
      <c r="C84" s="57">
        <f t="shared" si="10"/>
        <v>1345416</v>
      </c>
      <c r="D84" s="57">
        <f t="shared" si="10"/>
        <v>1194000</v>
      </c>
      <c r="E84" s="57">
        <f t="shared" si="10"/>
        <v>-9697086</v>
      </c>
      <c r="F84" s="57">
        <f t="shared" si="10"/>
        <v>2938935</v>
      </c>
      <c r="G84" s="57">
        <f t="shared" si="10"/>
        <v>2938935</v>
      </c>
      <c r="H84" s="58">
        <f t="shared" si="11"/>
        <v>-2177379</v>
      </c>
    </row>
    <row r="85" spans="1:11" x14ac:dyDescent="0.15">
      <c r="B85" s="339" t="s">
        <v>202</v>
      </c>
      <c r="C85" s="57">
        <f t="shared" si="10"/>
        <v>2977810</v>
      </c>
      <c r="D85" s="57">
        <f t="shared" si="10"/>
        <v>3815000</v>
      </c>
      <c r="E85" s="57">
        <f t="shared" si="10"/>
        <v>4182924</v>
      </c>
      <c r="F85" s="57">
        <f>F34-(F51+F68)</f>
        <v>2837300</v>
      </c>
      <c r="G85" s="57">
        <f t="shared" si="10"/>
        <v>2837300</v>
      </c>
      <c r="H85" s="58">
        <f t="shared" si="11"/>
        <v>659921</v>
      </c>
    </row>
    <row r="86" spans="1:11" x14ac:dyDescent="0.15">
      <c r="B86" s="339" t="s">
        <v>165</v>
      </c>
      <c r="C86" s="57">
        <f t="shared" si="10"/>
        <v>4171875</v>
      </c>
      <c r="D86" s="57">
        <f t="shared" si="10"/>
        <v>3087000</v>
      </c>
      <c r="E86" s="57">
        <f t="shared" si="10"/>
        <v>5677043</v>
      </c>
      <c r="F86" s="57">
        <f t="shared" si="10"/>
        <v>4576531</v>
      </c>
      <c r="G86" s="57">
        <f t="shared" si="10"/>
        <v>4576531</v>
      </c>
      <c r="H86" s="58">
        <f t="shared" si="11"/>
        <v>5236452</v>
      </c>
    </row>
    <row r="87" spans="1:11" x14ac:dyDescent="0.15">
      <c r="B87" s="339" t="s">
        <v>167</v>
      </c>
      <c r="C87" s="57">
        <f t="shared" si="10"/>
        <v>6116213</v>
      </c>
      <c r="D87" s="57">
        <f t="shared" si="10"/>
        <v>399000</v>
      </c>
      <c r="E87" s="57">
        <f t="shared" si="10"/>
        <v>1677992</v>
      </c>
      <c r="F87" s="57">
        <f t="shared" si="10"/>
        <v>5500935</v>
      </c>
      <c r="G87" s="57">
        <f t="shared" si="10"/>
        <v>5500935</v>
      </c>
      <c r="H87" s="58">
        <f t="shared" si="11"/>
        <v>10737387</v>
      </c>
    </row>
    <row r="88" spans="1:11" x14ac:dyDescent="0.15">
      <c r="B88" s="339" t="s">
        <v>169</v>
      </c>
      <c r="C88" s="57">
        <f t="shared" si="10"/>
        <v>3832862</v>
      </c>
      <c r="D88" s="57">
        <f t="shared" si="10"/>
        <v>4784000</v>
      </c>
      <c r="E88" s="57">
        <f t="shared" si="10"/>
        <v>-1880386.3333333358</v>
      </c>
      <c r="F88" s="57">
        <f t="shared" si="10"/>
        <v>0</v>
      </c>
      <c r="G88" s="57">
        <f t="shared" si="10"/>
        <v>3832862</v>
      </c>
      <c r="H88" s="58">
        <f t="shared" si="11"/>
        <v>14570249</v>
      </c>
    </row>
    <row r="89" spans="1:11" x14ac:dyDescent="0.15">
      <c r="B89" s="339" t="s">
        <v>174</v>
      </c>
      <c r="C89" s="57">
        <f t="shared" si="10"/>
        <v>-9064962</v>
      </c>
      <c r="D89" s="57">
        <f t="shared" si="10"/>
        <v>-13006000</v>
      </c>
      <c r="E89" s="57">
        <f t="shared" si="10"/>
        <v>-11116524.111111112</v>
      </c>
      <c r="F89" s="57">
        <f>F38-(F55+F72)</f>
        <v>0</v>
      </c>
      <c r="G89" s="57">
        <f t="shared" si="10"/>
        <v>-9064962</v>
      </c>
      <c r="H89" s="58">
        <f t="shared" si="11"/>
        <v>5505287</v>
      </c>
    </row>
    <row r="90" spans="1:11" x14ac:dyDescent="0.15">
      <c r="B90" s="339" t="s">
        <v>175</v>
      </c>
      <c r="C90" s="57">
        <f t="shared" si="10"/>
        <v>697089</v>
      </c>
      <c r="D90" s="57">
        <f t="shared" si="10"/>
        <v>5290000</v>
      </c>
      <c r="E90" s="57">
        <f t="shared" si="10"/>
        <v>-2193126.4814814776</v>
      </c>
      <c r="F90" s="57">
        <f t="shared" si="10"/>
        <v>0</v>
      </c>
      <c r="G90" s="57">
        <f t="shared" si="10"/>
        <v>697089</v>
      </c>
      <c r="H90" s="58">
        <f t="shared" si="11"/>
        <v>6202376</v>
      </c>
    </row>
    <row r="91" spans="1:11" ht="14.25" thickBot="1" x14ac:dyDescent="0.2">
      <c r="B91" s="75" t="s">
        <v>203</v>
      </c>
      <c r="C91" s="65">
        <f>C40-(C57+C74)</f>
        <v>2235330</v>
      </c>
      <c r="D91" s="65">
        <f t="shared" si="10"/>
        <v>4789000</v>
      </c>
      <c r="E91" s="65">
        <f t="shared" si="10"/>
        <v>3418050.0246913582</v>
      </c>
      <c r="F91" s="65">
        <f t="shared" si="10"/>
        <v>0</v>
      </c>
      <c r="G91" s="65">
        <f t="shared" si="10"/>
        <v>2235330</v>
      </c>
      <c r="H91" s="72">
        <f t="shared" si="11"/>
        <v>8437706</v>
      </c>
    </row>
    <row r="92" spans="1:11" ht="15" thickTop="1" thickBot="1" x14ac:dyDescent="0.2">
      <c r="B92" s="76" t="s">
        <v>96</v>
      </c>
      <c r="C92" s="73">
        <f>SUM(C80:C91)</f>
        <v>4370007</v>
      </c>
      <c r="D92" s="73">
        <f>SUM(D80:D91)</f>
        <v>1961000</v>
      </c>
      <c r="E92" s="73">
        <f>SUM(E80:E91)</f>
        <v>-29092750.901234567</v>
      </c>
      <c r="F92" s="73">
        <f>SUM(F79:F91)</f>
        <v>10737387</v>
      </c>
      <c r="G92" s="73">
        <f>SUM(G80:G91)</f>
        <v>8437706</v>
      </c>
      <c r="H92" s="74">
        <f>H91</f>
        <v>8437706</v>
      </c>
    </row>
    <row r="93" spans="1:11" x14ac:dyDescent="0.15">
      <c r="A93" s="1275"/>
    </row>
    <row r="94" spans="1:11" x14ac:dyDescent="0.15">
      <c r="K94" s="4"/>
    </row>
    <row r="95" spans="1:11" x14ac:dyDescent="0.15">
      <c r="K95" s="4"/>
    </row>
    <row r="96" spans="1:11" x14ac:dyDescent="0.15">
      <c r="G96" s="4"/>
      <c r="H96" s="4"/>
      <c r="I96" s="4"/>
      <c r="J96" s="4"/>
      <c r="K96" s="4"/>
    </row>
    <row r="97" spans="2:11" x14ac:dyDescent="0.15">
      <c r="B97" s="650" t="s">
        <v>207</v>
      </c>
      <c r="G97" s="26"/>
      <c r="H97" s="26"/>
      <c r="I97" s="26"/>
      <c r="J97" s="26"/>
      <c r="K97" s="26"/>
    </row>
    <row r="98" spans="2:11" x14ac:dyDescent="0.15">
      <c r="B98" s="1275" t="s">
        <v>208</v>
      </c>
      <c r="C98" s="1275" t="str">
        <f t="shared" ref="C98:C110" si="12">H28</f>
        <v>売上累計</v>
      </c>
      <c r="D98" s="1275" t="str">
        <f t="shared" ref="D98:D110" si="13">H45</f>
        <v>人件費累計</v>
      </c>
      <c r="E98" s="1275" t="str">
        <f t="shared" ref="E98:E110" si="14">H62</f>
        <v>経費累計</v>
      </c>
      <c r="F98" s="1275" t="str">
        <f t="shared" ref="F98:F110" si="15">H79</f>
        <v xml:space="preserve">利益累計 </v>
      </c>
    </row>
    <row r="99" spans="2:11" x14ac:dyDescent="0.15">
      <c r="B99" s="1275" t="s">
        <v>197</v>
      </c>
      <c r="C99" s="4">
        <f t="shared" si="12"/>
        <v>37521491</v>
      </c>
      <c r="D99" s="51">
        <f t="shared" si="13"/>
        <v>25578188</v>
      </c>
      <c r="E99" s="51">
        <f t="shared" si="14"/>
        <v>10154606</v>
      </c>
      <c r="F99" s="51">
        <f t="shared" si="15"/>
        <v>1788697</v>
      </c>
    </row>
    <row r="100" spans="2:11" x14ac:dyDescent="0.15">
      <c r="B100" s="1275" t="s">
        <v>198</v>
      </c>
      <c r="C100" s="4">
        <f t="shared" si="12"/>
        <v>78743283</v>
      </c>
      <c r="D100" s="51">
        <f t="shared" si="13"/>
        <v>52495957</v>
      </c>
      <c r="E100" s="51">
        <f t="shared" si="14"/>
        <v>24305350</v>
      </c>
      <c r="F100" s="51">
        <f t="shared" si="15"/>
        <v>1941976</v>
      </c>
    </row>
    <row r="101" spans="2:11" x14ac:dyDescent="0.15">
      <c r="B101" s="1275" t="s">
        <v>199</v>
      </c>
      <c r="C101" s="4">
        <f t="shared" si="12"/>
        <v>121008136</v>
      </c>
      <c r="D101" s="51">
        <f t="shared" si="13"/>
        <v>80787247</v>
      </c>
      <c r="E101" s="51">
        <f t="shared" si="14"/>
        <v>34032850</v>
      </c>
      <c r="F101" s="51">
        <f t="shared" si="15"/>
        <v>6188039</v>
      </c>
    </row>
    <row r="102" spans="2:11" x14ac:dyDescent="0.15">
      <c r="B102" s="1275" t="s">
        <v>200</v>
      </c>
      <c r="C102" s="4">
        <f t="shared" si="12"/>
        <v>161292674</v>
      </c>
      <c r="D102" s="51">
        <f t="shared" si="13"/>
        <v>123787481</v>
      </c>
      <c r="E102" s="51">
        <f t="shared" si="14"/>
        <v>42621507</v>
      </c>
      <c r="F102" s="51">
        <f t="shared" si="15"/>
        <v>-5116314</v>
      </c>
    </row>
    <row r="103" spans="2:11" x14ac:dyDescent="0.15">
      <c r="B103" s="1275" t="s">
        <v>201</v>
      </c>
      <c r="C103" s="4">
        <f t="shared" si="12"/>
        <v>201274951</v>
      </c>
      <c r="D103" s="51">
        <f t="shared" si="13"/>
        <v>151657553</v>
      </c>
      <c r="E103" s="51">
        <f t="shared" si="14"/>
        <v>51794777</v>
      </c>
      <c r="F103" s="51">
        <f t="shared" si="15"/>
        <v>-2177379</v>
      </c>
    </row>
    <row r="104" spans="2:11" x14ac:dyDescent="0.15">
      <c r="B104" s="1275" t="s">
        <v>202</v>
      </c>
      <c r="C104" s="4">
        <f t="shared" si="12"/>
        <v>239965401</v>
      </c>
      <c r="D104" s="51">
        <f t="shared" si="13"/>
        <v>178511524</v>
      </c>
      <c r="E104" s="51">
        <f t="shared" si="14"/>
        <v>60793956</v>
      </c>
      <c r="F104" s="51">
        <f t="shared" si="15"/>
        <v>659921</v>
      </c>
    </row>
    <row r="105" spans="2:11" x14ac:dyDescent="0.15">
      <c r="B105" s="1275" t="s">
        <v>165</v>
      </c>
      <c r="C105" s="4">
        <f t="shared" si="12"/>
        <v>280010654</v>
      </c>
      <c r="D105" s="51">
        <f t="shared" si="13"/>
        <v>205324183</v>
      </c>
      <c r="E105" s="51">
        <f t="shared" si="14"/>
        <v>69450019</v>
      </c>
      <c r="F105" s="51">
        <f t="shared" si="15"/>
        <v>5236452</v>
      </c>
    </row>
    <row r="106" spans="2:11" x14ac:dyDescent="0.15">
      <c r="B106" s="1275" t="s">
        <v>167</v>
      </c>
      <c r="C106" s="4">
        <f t="shared" si="12"/>
        <v>321875372</v>
      </c>
      <c r="D106" s="51">
        <f t="shared" si="13"/>
        <v>233040187</v>
      </c>
      <c r="E106" s="51">
        <f t="shared" si="14"/>
        <v>78097798</v>
      </c>
      <c r="F106" s="51">
        <f t="shared" si="15"/>
        <v>10737387</v>
      </c>
    </row>
    <row r="107" spans="2:11" x14ac:dyDescent="0.15">
      <c r="B107" s="1275" t="s">
        <v>169</v>
      </c>
      <c r="C107" s="4">
        <f t="shared" si="12"/>
        <v>362055372</v>
      </c>
      <c r="D107" s="51">
        <f t="shared" si="13"/>
        <v>260309128</v>
      </c>
      <c r="E107" s="51">
        <f t="shared" si="14"/>
        <v>87175995</v>
      </c>
      <c r="F107" s="51">
        <f t="shared" si="15"/>
        <v>14570249</v>
      </c>
    </row>
    <row r="108" spans="2:11" x14ac:dyDescent="0.15">
      <c r="B108" s="1275" t="s">
        <v>174</v>
      </c>
      <c r="C108" s="4">
        <f t="shared" si="12"/>
        <v>404685372</v>
      </c>
      <c r="D108" s="51">
        <f t="shared" si="13"/>
        <v>301767933</v>
      </c>
      <c r="E108" s="51">
        <f t="shared" si="14"/>
        <v>97412152</v>
      </c>
      <c r="F108" s="51">
        <f t="shared" si="15"/>
        <v>5505287</v>
      </c>
    </row>
    <row r="109" spans="2:11" x14ac:dyDescent="0.15">
      <c r="B109" s="1275" t="s">
        <v>175</v>
      </c>
      <c r="C109" s="4">
        <f t="shared" si="12"/>
        <v>447815372</v>
      </c>
      <c r="D109" s="51">
        <f t="shared" si="13"/>
        <v>331889876</v>
      </c>
      <c r="E109" s="51">
        <f t="shared" si="14"/>
        <v>109723120</v>
      </c>
      <c r="F109" s="51">
        <f t="shared" si="15"/>
        <v>6202376</v>
      </c>
    </row>
    <row r="110" spans="2:11" x14ac:dyDescent="0.15">
      <c r="B110" s="1275" t="s">
        <v>203</v>
      </c>
      <c r="C110" s="4">
        <f t="shared" si="12"/>
        <v>491145372</v>
      </c>
      <c r="D110" s="51">
        <f t="shared" si="13"/>
        <v>363311608</v>
      </c>
      <c r="E110" s="51">
        <f t="shared" si="14"/>
        <v>119396058</v>
      </c>
      <c r="F110" s="51">
        <f t="shared" si="15"/>
        <v>8437706</v>
      </c>
    </row>
  </sheetData>
  <mergeCells count="4">
    <mergeCell ref="I24:K24"/>
    <mergeCell ref="L24:N24"/>
    <mergeCell ref="C24:E24"/>
    <mergeCell ref="F24:H24"/>
  </mergeCells>
  <phoneticPr fontId="40"/>
  <conditionalFormatting sqref="C7:N22">
    <cfRule type="expression" dxfId="60" priority="1">
      <formula>C7=0</formula>
    </cfRule>
  </conditionalFormatting>
  <dataValidations count="1">
    <dataValidation type="list" allowBlank="1" showInputMessage="1" showErrorMessage="1" sqref="G27 G44 G61">
      <formula1>$C$28:$E$28</formula1>
    </dataValidation>
  </dataValidations>
  <pageMargins left="0.39370078740157483" right="0.27559055118110237" top="0.55118110236220474" bottom="0.43307086614173229" header="0.31496062992125984" footer="0.23622047244094491"/>
  <pageSetup paperSize="8" scale="64" orientation="landscape" r:id="rId1"/>
  <headerFooter>
    <oddHeader>&amp;L&amp;A&amp;R日付 &amp;D</oddHeader>
    <oddFooter>&amp;L介護サービス友乃家&amp;C&amp;P／&amp;N&amp;R&amp;F</oddFooter>
  </headerFooter>
  <rowBreaks count="1" manualBreakCount="1">
    <brk id="96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workbookViewId="0">
      <selection activeCell="L40" sqref="L40"/>
    </sheetView>
  </sheetViews>
  <sheetFormatPr defaultRowHeight="13.5" x14ac:dyDescent="0.15"/>
  <cols>
    <col min="4" max="4" width="9.375" bestFit="1" customWidth="1"/>
  </cols>
  <sheetData>
    <row r="1" spans="1:12" ht="15.75" x14ac:dyDescent="0.15">
      <c r="A1" s="1943">
        <v>4</v>
      </c>
      <c r="B1" s="1945"/>
      <c r="C1">
        <v>2</v>
      </c>
      <c r="D1">
        <v>2</v>
      </c>
      <c r="E1">
        <v>292</v>
      </c>
      <c r="H1" t="s">
        <v>1520</v>
      </c>
      <c r="J1" t="s">
        <v>1521</v>
      </c>
      <c r="L1" t="s">
        <v>1522</v>
      </c>
    </row>
    <row r="2" spans="1:12" ht="15.75" x14ac:dyDescent="0.15">
      <c r="A2" s="1944">
        <v>5</v>
      </c>
      <c r="B2" s="1945"/>
      <c r="C2">
        <v>3</v>
      </c>
      <c r="D2">
        <v>4</v>
      </c>
      <c r="E2">
        <v>381</v>
      </c>
      <c r="H2">
        <v>336</v>
      </c>
      <c r="J2">
        <v>1.0740000000000001</v>
      </c>
      <c r="L2">
        <v>10.8</v>
      </c>
    </row>
    <row r="3" spans="1:12" ht="15.75" x14ac:dyDescent="0.15">
      <c r="A3" s="1943">
        <v>3</v>
      </c>
      <c r="B3" s="1945"/>
      <c r="C3">
        <v>4</v>
      </c>
      <c r="D3">
        <v>1</v>
      </c>
      <c r="E3">
        <v>467</v>
      </c>
    </row>
    <row r="4" spans="1:12" ht="15.75" x14ac:dyDescent="0.15">
      <c r="A4" s="1943">
        <v>3</v>
      </c>
      <c r="B4" s="1945"/>
      <c r="C4">
        <v>5</v>
      </c>
      <c r="D4">
        <v>1</v>
      </c>
      <c r="E4">
        <v>547</v>
      </c>
    </row>
    <row r="5" spans="1:12" ht="15.75" x14ac:dyDescent="0.15">
      <c r="A5" s="1943">
        <v>3</v>
      </c>
      <c r="B5" s="1945"/>
    </row>
    <row r="6" spans="1:12" ht="15.75" x14ac:dyDescent="0.15">
      <c r="A6" s="1943">
        <v>3</v>
      </c>
      <c r="B6" s="1945"/>
    </row>
    <row r="12" spans="1:12" x14ac:dyDescent="0.15">
      <c r="D12">
        <v>4</v>
      </c>
      <c r="E12">
        <v>5</v>
      </c>
      <c r="F12">
        <v>6</v>
      </c>
      <c r="G12">
        <v>7</v>
      </c>
      <c r="H12">
        <v>8</v>
      </c>
    </row>
    <row r="13" spans="1:12" x14ac:dyDescent="0.15">
      <c r="D13">
        <v>30</v>
      </c>
      <c r="E13">
        <v>31</v>
      </c>
      <c r="F13">
        <v>30</v>
      </c>
      <c r="G13">
        <v>31</v>
      </c>
      <c r="H13">
        <v>31</v>
      </c>
    </row>
    <row r="14" spans="1:12" x14ac:dyDescent="0.15">
      <c r="D14">
        <v>2021740.5600000003</v>
      </c>
      <c r="E14">
        <v>2089131.9120000002</v>
      </c>
      <c r="F14">
        <v>2021740.5600000003</v>
      </c>
      <c r="G14">
        <v>2089131.9120000002</v>
      </c>
      <c r="H14">
        <v>2089131.9120000002</v>
      </c>
    </row>
    <row r="15" spans="1:12" x14ac:dyDescent="0.15">
      <c r="D15">
        <v>320000</v>
      </c>
      <c r="E15">
        <v>320000</v>
      </c>
      <c r="F15">
        <v>320000</v>
      </c>
      <c r="G15">
        <v>320000</v>
      </c>
      <c r="H15">
        <v>320000</v>
      </c>
    </row>
    <row r="16" spans="1:12" x14ac:dyDescent="0.15">
      <c r="D16">
        <v>234</v>
      </c>
      <c r="E16">
        <v>241</v>
      </c>
      <c r="F16">
        <v>234</v>
      </c>
      <c r="G16">
        <v>241</v>
      </c>
      <c r="H16">
        <v>241</v>
      </c>
    </row>
  </sheetData>
  <phoneticPr fontId="40"/>
  <conditionalFormatting sqref="A1">
    <cfRule type="expression" dxfId="59" priority="14">
      <formula>$M1&lt;&gt;""</formula>
    </cfRule>
    <cfRule type="expression" dxfId="58" priority="15">
      <formula>$L1&lt;&gt;""</formula>
    </cfRule>
  </conditionalFormatting>
  <conditionalFormatting sqref="A1">
    <cfRule type="expression" dxfId="57" priority="13">
      <formula>$I1&lt;&gt;""</formula>
    </cfRule>
  </conditionalFormatting>
  <conditionalFormatting sqref="A2">
    <cfRule type="expression" dxfId="56" priority="11">
      <formula>$M2&lt;&gt;""</formula>
    </cfRule>
    <cfRule type="expression" dxfId="55" priority="12">
      <formula>$L2&lt;&gt;""</formula>
    </cfRule>
  </conditionalFormatting>
  <conditionalFormatting sqref="A2">
    <cfRule type="expression" dxfId="54" priority="10">
      <formula>$I2&lt;&gt;""</formula>
    </cfRule>
  </conditionalFormatting>
  <conditionalFormatting sqref="A4:B5 A3 B1:B3">
    <cfRule type="expression" dxfId="53" priority="5">
      <formula>$M1&lt;&gt;""</formula>
    </cfRule>
    <cfRule type="expression" dxfId="52" priority="6">
      <formula>$L1&lt;&gt;""</formula>
    </cfRule>
  </conditionalFormatting>
  <conditionalFormatting sqref="A4:B5 A3 B1:B3">
    <cfRule type="expression" dxfId="51" priority="4">
      <formula>$I1&lt;&gt;""</formula>
    </cfRule>
  </conditionalFormatting>
  <conditionalFormatting sqref="A6:B6">
    <cfRule type="expression" dxfId="50" priority="2">
      <formula>$M6&lt;&gt;""</formula>
    </cfRule>
    <cfRule type="expression" dxfId="49" priority="3">
      <formula>$L6&lt;&gt;""</formula>
    </cfRule>
  </conditionalFormatting>
  <conditionalFormatting sqref="A6:B6">
    <cfRule type="expression" dxfId="48" priority="1">
      <formula>$I6&lt;&gt;""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O101"/>
  <sheetViews>
    <sheetView topLeftCell="C1" zoomScale="50" zoomScaleNormal="50" zoomScaleSheetLayoutView="40" workbookViewId="0">
      <selection activeCell="AA24" sqref="AA24"/>
    </sheetView>
  </sheetViews>
  <sheetFormatPr defaultColWidth="9" defaultRowHeight="23.1" customHeight="1" x14ac:dyDescent="0.15"/>
  <cols>
    <col min="1" max="1" width="11.25" style="733" hidden="1" customWidth="1"/>
    <col min="2" max="2" width="9.25" style="733" hidden="1" customWidth="1"/>
    <col min="3" max="11" width="15.625" style="733" customWidth="1"/>
    <col min="12" max="12" width="18.625" style="733" customWidth="1"/>
    <col min="13" max="21" width="15.625" style="733" customWidth="1"/>
    <col min="22" max="22" width="18.625" style="733" customWidth="1"/>
    <col min="23" max="76" width="13.25" style="733" customWidth="1"/>
    <col min="77" max="16384" width="9" style="733"/>
  </cols>
  <sheetData>
    <row r="1" spans="1:61" s="946" customFormat="1" ht="35.1" customHeight="1" thickBot="1" x14ac:dyDescent="0.7">
      <c r="C1" s="946" t="s">
        <v>1101</v>
      </c>
      <c r="M1" s="946" t="s">
        <v>1417</v>
      </c>
      <c r="AZ1" s="733"/>
      <c r="BA1" s="733"/>
      <c r="BB1" s="733"/>
      <c r="BC1" s="733"/>
      <c r="BD1" s="733"/>
      <c r="BE1" s="733"/>
      <c r="BF1" s="733"/>
      <c r="BG1" s="733"/>
      <c r="BH1" s="733"/>
      <c r="BI1" s="733"/>
    </row>
    <row r="2" spans="1:61" s="1983" customFormat="1" ht="23.1" customHeight="1" thickBot="1" x14ac:dyDescent="0.2">
      <c r="C2" s="1984" t="s">
        <v>1007</v>
      </c>
      <c r="D2" s="2240">
        <f>EOMONTH(H2,-1)</f>
        <v>43555</v>
      </c>
      <c r="E2" s="2241"/>
      <c r="F2" s="2241"/>
      <c r="G2" s="2242"/>
      <c r="H2" s="2243">
        <v>43556</v>
      </c>
      <c r="I2" s="2243"/>
      <c r="J2" s="2243"/>
      <c r="K2" s="2244"/>
      <c r="L2" s="1985"/>
      <c r="M2" s="1984" t="s">
        <v>1007</v>
      </c>
      <c r="N2" s="2240">
        <f>EOMONTH(R2,-1)</f>
        <v>43555</v>
      </c>
      <c r="O2" s="2241"/>
      <c r="P2" s="2241"/>
      <c r="Q2" s="2242"/>
      <c r="R2" s="2238">
        <f>$H$2</f>
        <v>43556</v>
      </c>
      <c r="S2" s="2238"/>
      <c r="T2" s="2238"/>
      <c r="U2" s="2239"/>
      <c r="V2" s="1985"/>
    </row>
    <row r="3" spans="1:61" s="1983" customFormat="1" ht="23.1" customHeight="1" thickBot="1" x14ac:dyDescent="0.2">
      <c r="C3" s="1986" t="s">
        <v>361</v>
      </c>
      <c r="D3" s="1946" t="s">
        <v>26</v>
      </c>
      <c r="E3" s="1947" t="s">
        <v>903</v>
      </c>
      <c r="F3" s="1947" t="s">
        <v>15</v>
      </c>
      <c r="G3" s="1948" t="s">
        <v>954</v>
      </c>
      <c r="H3" s="1949" t="s">
        <v>26</v>
      </c>
      <c r="I3" s="1947" t="s">
        <v>903</v>
      </c>
      <c r="J3" s="1947" t="s">
        <v>15</v>
      </c>
      <c r="K3" s="1948" t="s">
        <v>954</v>
      </c>
      <c r="L3" s="1950"/>
      <c r="M3" s="1986" t="s">
        <v>361</v>
      </c>
      <c r="N3" s="1946" t="s">
        <v>26</v>
      </c>
      <c r="O3" s="1947" t="s">
        <v>903</v>
      </c>
      <c r="P3" s="1947" t="s">
        <v>15</v>
      </c>
      <c r="Q3" s="1948" t="s">
        <v>954</v>
      </c>
      <c r="R3" s="1949" t="s">
        <v>26</v>
      </c>
      <c r="S3" s="1947" t="s">
        <v>903</v>
      </c>
      <c r="T3" s="1947" t="s">
        <v>15</v>
      </c>
      <c r="U3" s="1948" t="s">
        <v>954</v>
      </c>
      <c r="V3" s="1950"/>
    </row>
    <row r="4" spans="1:61" s="1983" customFormat="1" ht="23.1" hidden="1" customHeight="1" x14ac:dyDescent="0.15">
      <c r="A4" s="1983" t="s">
        <v>900</v>
      </c>
      <c r="B4" s="1983" t="s">
        <v>892</v>
      </c>
      <c r="C4" s="1987" t="s">
        <v>159</v>
      </c>
      <c r="D4" s="1951">
        <f ca="1">VLOOKUP($A4,白金稼働データ,DATEDIF(社員・パート別稼働データ!$C$1,$D$2,"M")+2,FALSE)</f>
        <v>2528720</v>
      </c>
      <c r="E4" s="1952">
        <f ca="1">ROUND(D4/D8,3)</f>
        <v>0.214</v>
      </c>
      <c r="F4" s="1953">
        <f ca="1">VLOOKUP($B4,白金稼働データ,DATEDIF(社員・パート別稼働データ!$C$1,$D$2,"M")+2,FALSE)</f>
        <v>3181129</v>
      </c>
      <c r="G4" s="1954">
        <f ca="1">ROUND(F4/D4,3)</f>
        <v>1.258</v>
      </c>
      <c r="H4" s="1955">
        <f ca="1">VLOOKUP($A4,白金稼働データ,DATEDIF(社員・パート別稼働データ!$C$1,$H$2,"M")+2,FALSE)</f>
        <v>2915835</v>
      </c>
      <c r="I4" s="1952">
        <f ca="1">ROUND(H4/H8,3)</f>
        <v>0.24099999999999999</v>
      </c>
      <c r="J4" s="1953">
        <f ca="1">VLOOKUP($B4,白金稼働データ,DATEDIF(社員・パート別稼働データ!$C$1,$H$2,"M")+2,FALSE)</f>
        <v>2699280</v>
      </c>
      <c r="K4" s="1954">
        <f ca="1">ROUND(J4/H4,3)</f>
        <v>0.92600000000000005</v>
      </c>
      <c r="L4" s="1950"/>
      <c r="M4" s="1987" t="s">
        <v>159</v>
      </c>
      <c r="N4" s="1951">
        <f ca="1">VLOOKUP($A4,蘇我稼働データ,DATEDIF(社員・パート別稼働データ!$C$1,$D$2,"M")+2,FALSE)</f>
        <v>1821172</v>
      </c>
      <c r="O4" s="1952">
        <f ca="1">ROUND(N4/N8,3)</f>
        <v>0.34</v>
      </c>
      <c r="P4" s="1953">
        <f ca="1">VLOOKUP($B4,蘇我稼働データ,DATEDIF(社員・パート別稼働データ!$C$1,$D$2,"M")+2,FALSE)</f>
        <v>1694679</v>
      </c>
      <c r="Q4" s="1954">
        <f ca="1">ROUND(P4/N4,3)</f>
        <v>0.93100000000000005</v>
      </c>
      <c r="R4" s="1955">
        <f ca="1">VLOOKUP($A4,蘇我稼働データ,DATEDIF(社員・パート別稼働データ!$C$1,$H$2,"M")+2,FALSE)</f>
        <v>1751137</v>
      </c>
      <c r="S4" s="1952">
        <f ca="1">ROUND(R4/R8,3)</f>
        <v>0.33800000000000002</v>
      </c>
      <c r="T4" s="1953">
        <f ca="1">VLOOKUP($B4,蘇我稼働データ,DATEDIF(社員・パート別稼働データ!$C$1,$H$2,"M")+2,FALSE)</f>
        <v>1959917</v>
      </c>
      <c r="U4" s="1954">
        <f ca="1">ROUND(T4/R4,3)</f>
        <v>1.119</v>
      </c>
      <c r="V4" s="1950"/>
    </row>
    <row r="5" spans="1:61" s="1983" customFormat="1" ht="23.1" hidden="1" customHeight="1" x14ac:dyDescent="0.15">
      <c r="B5" s="1983" t="s">
        <v>905</v>
      </c>
      <c r="C5" s="1987" t="s">
        <v>904</v>
      </c>
      <c r="D5" s="1956"/>
      <c r="E5" s="1957"/>
      <c r="F5" s="1953">
        <f ca="1">VLOOKUP($B5,白金稼働データ,DATEDIF(社員・パート別稼働データ!$C$1,$D$2,"M")+2,FALSE)</f>
        <v>498417</v>
      </c>
      <c r="G5" s="1958"/>
      <c r="H5" s="1959"/>
      <c r="I5" s="1957"/>
      <c r="J5" s="1953">
        <f ca="1">VLOOKUP($B5,白金稼働データ,DATEDIF(社員・パート別稼働データ!$C$1,$H$2,"M")+2,FALSE)</f>
        <v>498417</v>
      </c>
      <c r="K5" s="1958"/>
      <c r="L5" s="1950"/>
      <c r="M5" s="1987" t="s">
        <v>904</v>
      </c>
      <c r="N5" s="1956"/>
      <c r="O5" s="1957"/>
      <c r="P5" s="1953">
        <f ca="1">VLOOKUP($B5,蘇我稼働データ,DATEDIF(社員・パート別稼働データ!$C$1,$D$2,"M")+2,FALSE)</f>
        <v>411433</v>
      </c>
      <c r="Q5" s="1958"/>
      <c r="R5" s="1959"/>
      <c r="S5" s="1957"/>
      <c r="T5" s="1953">
        <f ca="1">VLOOKUP($B5,蘇我稼働データ,DATEDIF(社員・パート別稼働データ!$C$1,$H$2,"M")+2,FALSE)</f>
        <v>411433</v>
      </c>
      <c r="U5" s="1958"/>
      <c r="V5" s="1950"/>
    </row>
    <row r="6" spans="1:61" s="1983" customFormat="1" ht="23.1" customHeight="1" x14ac:dyDescent="0.15">
      <c r="C6" s="1987" t="s">
        <v>159</v>
      </c>
      <c r="D6" s="1960">
        <f ca="1">D4</f>
        <v>2528720</v>
      </c>
      <c r="E6" s="1961">
        <f ca="1">ROUND(D6/D8,3)</f>
        <v>0.214</v>
      </c>
      <c r="F6" s="1962">
        <f ca="1">SUM(F4:F5)</f>
        <v>3679546</v>
      </c>
      <c r="G6" s="1963">
        <f ca="1">ROUND(F6/D6,3)</f>
        <v>1.4550000000000001</v>
      </c>
      <c r="H6" s="1964">
        <f ca="1">H4</f>
        <v>2915835</v>
      </c>
      <c r="I6" s="1961">
        <f ca="1">ROUND(H6/H8,3)</f>
        <v>0.24099999999999999</v>
      </c>
      <c r="J6" s="1962">
        <f ca="1">SUM(J4:J5)</f>
        <v>3197697</v>
      </c>
      <c r="K6" s="1963">
        <f ca="1">ROUND(J6/H6,3)</f>
        <v>1.097</v>
      </c>
      <c r="L6" s="1950"/>
      <c r="M6" s="1987" t="s">
        <v>159</v>
      </c>
      <c r="N6" s="1960">
        <f ca="1">N4</f>
        <v>1821172</v>
      </c>
      <c r="O6" s="1961">
        <f ca="1">ROUND(N6/N8,3)</f>
        <v>0.34</v>
      </c>
      <c r="P6" s="1962">
        <f ca="1">SUM(P4:P5)</f>
        <v>2106112</v>
      </c>
      <c r="Q6" s="1963">
        <f ca="1">ROUND(P6/N6,3)</f>
        <v>1.1559999999999999</v>
      </c>
      <c r="R6" s="1964">
        <f ca="1">R4</f>
        <v>1751137</v>
      </c>
      <c r="S6" s="1961">
        <f ca="1">ROUND(R6/R8,3)</f>
        <v>0.33800000000000002</v>
      </c>
      <c r="T6" s="1962">
        <f ca="1">SUM(T4:T5)</f>
        <v>2371350</v>
      </c>
      <c r="U6" s="1963">
        <f ca="1">ROUND(T6/R6,3)</f>
        <v>1.3540000000000001</v>
      </c>
      <c r="V6" s="1950"/>
    </row>
    <row r="7" spans="1:61" s="1983" customFormat="1" ht="23.1" customHeight="1" x14ac:dyDescent="0.15">
      <c r="A7" s="1983" t="s">
        <v>901</v>
      </c>
      <c r="B7" s="1983" t="s">
        <v>888</v>
      </c>
      <c r="C7" s="1988" t="s">
        <v>156</v>
      </c>
      <c r="D7" s="1951">
        <f ca="1">VLOOKUP($A7,白金稼働データ,DATEDIF(社員・パート別稼働データ!$C$1,$D$2,"M")+2,FALSE)</f>
        <v>9313485</v>
      </c>
      <c r="E7" s="1965">
        <f ca="1">ROUND(D7/D8,3)</f>
        <v>0.78600000000000003</v>
      </c>
      <c r="F7" s="1966">
        <f ca="1">VLOOKUP($B7,白金稼働データ,DATEDIF(社員・パート別稼働データ!$C$1,$D$2,"M")+2,FALSE)</f>
        <v>3994054</v>
      </c>
      <c r="G7" s="1967">
        <f ca="1">ROUND(F7/D7,3)</f>
        <v>0.42899999999999999</v>
      </c>
      <c r="H7" s="1955">
        <f ca="1">VLOOKUP($A7,白金稼働データ,DATEDIF(社員・パート別稼働データ!$C$1,$H$2,"M")+2,FALSE)</f>
        <v>9159012</v>
      </c>
      <c r="I7" s="1965">
        <f ca="1">ROUND(H7/H8,3)</f>
        <v>0.75900000000000001</v>
      </c>
      <c r="J7" s="1966">
        <f ca="1">VLOOKUP($B7,白金稼働データ,DATEDIF(社員・パート別稼働データ!$C$1,$H$2,"M")+2,FALSE)</f>
        <v>3892391</v>
      </c>
      <c r="K7" s="1967">
        <f ca="1">ROUND(J7/H7,3)</f>
        <v>0.42499999999999999</v>
      </c>
      <c r="L7" s="1968"/>
      <c r="M7" s="1988" t="s">
        <v>156</v>
      </c>
      <c r="N7" s="1951">
        <f ca="1">VLOOKUP($A7,蘇我稼働データ,DATEDIF(社員・パート別稼働データ!$C$1,$D$2,"M")+2,FALSE)</f>
        <v>3537087</v>
      </c>
      <c r="O7" s="1965">
        <f ca="1">ROUND(N7/N8,3)</f>
        <v>0.66</v>
      </c>
      <c r="P7" s="1966">
        <f ca="1">VLOOKUP($B7,蘇我稼働データ,DATEDIF(社員・パート別稼働データ!$C$1,$D$2,"M")+2,FALSE)</f>
        <v>1704753</v>
      </c>
      <c r="Q7" s="1967">
        <f ca="1">ROUND(P7/N7,3)</f>
        <v>0.48199999999999998</v>
      </c>
      <c r="R7" s="1955">
        <f ca="1">VLOOKUP($A7,蘇我稼働データ,DATEDIF(社員・パート別稼働データ!$C$1,$H$2,"M")+2,FALSE)</f>
        <v>3425212</v>
      </c>
      <c r="S7" s="1965">
        <f ca="1">ROUND(R7/R8,3)</f>
        <v>0.66200000000000003</v>
      </c>
      <c r="T7" s="1966">
        <f ca="1">VLOOKUP($B7,蘇我稼働データ,DATEDIF(社員・パート別稼働データ!$C$1,$H$2,"M")+2,FALSE)</f>
        <v>1625495</v>
      </c>
      <c r="U7" s="1967">
        <f ca="1">ROUND(T7/R7,3)</f>
        <v>0.47499999999999998</v>
      </c>
      <c r="V7" s="1968"/>
    </row>
    <row r="8" spans="1:61" s="1983" customFormat="1" ht="23.1" customHeight="1" thickBot="1" x14ac:dyDescent="0.2">
      <c r="C8" s="1989" t="s">
        <v>96</v>
      </c>
      <c r="D8" s="1969">
        <f ca="1">SUM(D6:D7)</f>
        <v>11842205</v>
      </c>
      <c r="E8" s="1970">
        <f ca="1">SUM(E6:E7)</f>
        <v>1</v>
      </c>
      <c r="F8" s="1971">
        <f ca="1">SUM(F6:F7)</f>
        <v>7673600</v>
      </c>
      <c r="G8" s="1972">
        <f ca="1">ROUND(F8/D8,3)</f>
        <v>0.64800000000000002</v>
      </c>
      <c r="H8" s="1973">
        <f ca="1">SUM(H6:H7)</f>
        <v>12074847</v>
      </c>
      <c r="I8" s="1970">
        <f ca="1">SUM(I6:I7)</f>
        <v>1</v>
      </c>
      <c r="J8" s="1971">
        <f ca="1">SUM(J6:J7)</f>
        <v>7090088</v>
      </c>
      <c r="K8" s="1972">
        <f ca="1">ROUND(J8/H8,3)</f>
        <v>0.58699999999999997</v>
      </c>
      <c r="L8" s="1968"/>
      <c r="M8" s="1989" t="s">
        <v>96</v>
      </c>
      <c r="N8" s="1969">
        <f ca="1">SUM(N6:N7)</f>
        <v>5358259</v>
      </c>
      <c r="O8" s="1970">
        <f ca="1">SUM(O6:O7)</f>
        <v>1</v>
      </c>
      <c r="P8" s="1971">
        <f ca="1">SUM(P6:P7)</f>
        <v>3810865</v>
      </c>
      <c r="Q8" s="1972">
        <f ca="1">ROUND(P8/N8,3)</f>
        <v>0.71099999999999997</v>
      </c>
      <c r="R8" s="1973">
        <f ca="1">SUM(R6:R7)</f>
        <v>5176349</v>
      </c>
      <c r="S8" s="1970">
        <f ca="1">SUM(S6:S7)</f>
        <v>1</v>
      </c>
      <c r="T8" s="1971">
        <f ca="1">SUM(T6:T7)</f>
        <v>3996845</v>
      </c>
      <c r="U8" s="1972">
        <f ca="1">ROUND(T8/R8,3)</f>
        <v>0.77200000000000002</v>
      </c>
      <c r="V8" s="1968"/>
    </row>
    <row r="32" spans="3:66" s="946" customFormat="1" ht="35.1" customHeight="1" thickBot="1" x14ac:dyDescent="0.7">
      <c r="C32" s="946" t="s">
        <v>1420</v>
      </c>
      <c r="M32" s="946" t="s">
        <v>1415</v>
      </c>
      <c r="AZ32" s="946" t="s">
        <v>1148</v>
      </c>
      <c r="BJ32" s="733"/>
      <c r="BK32" s="733"/>
      <c r="BL32" s="733"/>
      <c r="BM32" s="733"/>
      <c r="BN32" s="733"/>
    </row>
    <row r="33" spans="1:61" s="1983" customFormat="1" ht="23.1" customHeight="1" thickBot="1" x14ac:dyDescent="0.2">
      <c r="C33" s="1984" t="s">
        <v>1007</v>
      </c>
      <c r="D33" s="2240">
        <f>EOMONTH(H33,-1)</f>
        <v>43555</v>
      </c>
      <c r="E33" s="2241"/>
      <c r="F33" s="2241"/>
      <c r="G33" s="2242"/>
      <c r="H33" s="2238">
        <f>$H$2</f>
        <v>43556</v>
      </c>
      <c r="I33" s="2238"/>
      <c r="J33" s="2238"/>
      <c r="K33" s="2239"/>
      <c r="L33" s="1985"/>
      <c r="M33" s="1984" t="s">
        <v>182</v>
      </c>
      <c r="N33" s="2240">
        <f>EOMONTH(R33,-1)</f>
        <v>43555</v>
      </c>
      <c r="O33" s="2241"/>
      <c r="P33" s="2241"/>
      <c r="Q33" s="2242"/>
      <c r="R33" s="2238">
        <f>$H$2</f>
        <v>43556</v>
      </c>
      <c r="S33" s="2238"/>
      <c r="T33" s="2238"/>
      <c r="U33" s="2239"/>
      <c r="V33" s="1985"/>
      <c r="AZ33" s="1984" t="s">
        <v>1007</v>
      </c>
      <c r="BA33" s="2240">
        <f>EOMONTH(BE33,-1)</f>
        <v>43555</v>
      </c>
      <c r="BB33" s="2241"/>
      <c r="BC33" s="2241"/>
      <c r="BD33" s="2242"/>
      <c r="BE33" s="2238">
        <f>$H$2</f>
        <v>43556</v>
      </c>
      <c r="BF33" s="2238"/>
      <c r="BG33" s="2238"/>
      <c r="BH33" s="2239"/>
      <c r="BI33" s="1985"/>
    </row>
    <row r="34" spans="1:61" s="1983" customFormat="1" ht="23.1" customHeight="1" thickBot="1" x14ac:dyDescent="0.2">
      <c r="C34" s="1986" t="s">
        <v>361</v>
      </c>
      <c r="D34" s="1946" t="s">
        <v>26</v>
      </c>
      <c r="E34" s="1947" t="s">
        <v>903</v>
      </c>
      <c r="F34" s="1947" t="s">
        <v>15</v>
      </c>
      <c r="G34" s="1948" t="s">
        <v>954</v>
      </c>
      <c r="H34" s="1949" t="s">
        <v>26</v>
      </c>
      <c r="I34" s="1947" t="s">
        <v>903</v>
      </c>
      <c r="J34" s="1947" t="s">
        <v>15</v>
      </c>
      <c r="K34" s="1948" t="s">
        <v>954</v>
      </c>
      <c r="L34" s="1950"/>
      <c r="M34" s="1986" t="s">
        <v>361</v>
      </c>
      <c r="N34" s="1946" t="s">
        <v>26</v>
      </c>
      <c r="O34" s="1947" t="s">
        <v>903</v>
      </c>
      <c r="P34" s="1947" t="s">
        <v>15</v>
      </c>
      <c r="Q34" s="1948" t="s">
        <v>954</v>
      </c>
      <c r="R34" s="1949" t="s">
        <v>26</v>
      </c>
      <c r="S34" s="1947" t="s">
        <v>903</v>
      </c>
      <c r="T34" s="1947" t="s">
        <v>15</v>
      </c>
      <c r="U34" s="1948" t="s">
        <v>954</v>
      </c>
      <c r="V34" s="1950"/>
      <c r="AZ34" s="1986" t="s">
        <v>361</v>
      </c>
      <c r="BA34" s="1946" t="s">
        <v>26</v>
      </c>
      <c r="BB34" s="1947" t="s">
        <v>903</v>
      </c>
      <c r="BC34" s="1947" t="s">
        <v>15</v>
      </c>
      <c r="BD34" s="1948" t="s">
        <v>954</v>
      </c>
      <c r="BE34" s="1949" t="s">
        <v>26</v>
      </c>
      <c r="BF34" s="1947" t="s">
        <v>903</v>
      </c>
      <c r="BG34" s="1947" t="s">
        <v>15</v>
      </c>
      <c r="BH34" s="1948" t="s">
        <v>954</v>
      </c>
      <c r="BI34" s="1950"/>
    </row>
    <row r="35" spans="1:61" s="1983" customFormat="1" ht="23.1" hidden="1" customHeight="1" x14ac:dyDescent="0.15">
      <c r="A35" s="1983" t="s">
        <v>900</v>
      </c>
      <c r="B35" s="1983" t="s">
        <v>892</v>
      </c>
      <c r="C35" s="1987" t="s">
        <v>159</v>
      </c>
      <c r="D35" s="1951">
        <f ca="1">VLOOKUP($A35,誉田稼働データ,DATEDIF(社員・パート別稼働データ!$C$1,$D$2,"M")+2,FALSE)</f>
        <v>2507399</v>
      </c>
      <c r="E35" s="1952">
        <f ca="1">ROUND(D35/D39,3)</f>
        <v>0.371</v>
      </c>
      <c r="F35" s="1953">
        <f ca="1">VLOOKUP($B35,誉田稼働データ,DATEDIF(社員・パート別稼働データ!$C$1,$D$2,"M")+2,FALSE)</f>
        <v>2560235</v>
      </c>
      <c r="G35" s="1954">
        <f ca="1">ROUND(F35/D35,3)</f>
        <v>1.0209999999999999</v>
      </c>
      <c r="H35" s="1955">
        <f ca="1">VLOOKUP($A35,誉田稼働データ,DATEDIF(社員・パート別稼働データ!$C$1,$H$2,"M")+2,FALSE)</f>
        <v>2250553</v>
      </c>
      <c r="I35" s="1952">
        <f ca="1">ROUND(H35/H39,3)</f>
        <v>0.34499999999999997</v>
      </c>
      <c r="J35" s="1953">
        <f ca="1">VLOOKUP($B35,誉田稼働データ,DATEDIF(社員・パート別稼働データ!$C$1,$H$2,"M")+2,FALSE)</f>
        <v>2592764</v>
      </c>
      <c r="K35" s="1954">
        <f ca="1">ROUND(J35/H35,3)</f>
        <v>1.1519999999999999</v>
      </c>
      <c r="L35" s="1950"/>
      <c r="M35" s="1987" t="s">
        <v>159</v>
      </c>
      <c r="N35" s="1951">
        <f ca="1">VLOOKUP($A35,千葉西稼働データ,DATEDIF(社員・パート別稼働データ!$C$1,$D$2,"M")+2,FALSE)</f>
        <v>617087</v>
      </c>
      <c r="O35" s="1952">
        <f ca="1">ROUND(N35/N39,3)</f>
        <v>0.437</v>
      </c>
      <c r="P35" s="1953">
        <f ca="1">VLOOKUP($B35,千葉西稼働データ,DATEDIF(社員・パート別稼働データ!$C$1,$D$2,"M")+2,FALSE)</f>
        <v>736230</v>
      </c>
      <c r="Q35" s="1954">
        <f ca="1">ROUND(P35/N35,3)</f>
        <v>1.1930000000000001</v>
      </c>
      <c r="R35" s="1955">
        <f ca="1">VLOOKUP($A35,千葉西稼働データ,DATEDIF(社員・パート別稼働データ!$C$1,$H$2,"M")+2,FALSE)</f>
        <v>786417</v>
      </c>
      <c r="S35" s="1952">
        <f ca="1">ROUND(R35/R39,3)</f>
        <v>0.437</v>
      </c>
      <c r="T35" s="1953">
        <f ca="1">VLOOKUP($B35,千葉西稼働データ,DATEDIF(社員・パート別稼働データ!$C$1,$H$2,"M")+2,FALSE)</f>
        <v>877710</v>
      </c>
      <c r="U35" s="1954">
        <f ca="1">ROUND(T35/R35,3)</f>
        <v>1.1160000000000001</v>
      </c>
      <c r="V35" s="1950"/>
      <c r="AZ35" s="1987" t="s">
        <v>159</v>
      </c>
      <c r="BA35" s="1951" t="str">
        <f ca="1">VLOOKUP($A35,千葉東稼働データ,DATEDIF(社員・パート別稼働データ!$C$1,$D$2,"M")+2,FALSE)</f>
        <v/>
      </c>
      <c r="BB35" s="1952" t="e">
        <f ca="1">ROUND(BA35/BA39,3)</f>
        <v>#VALUE!</v>
      </c>
      <c r="BC35" s="1953" t="str">
        <f ca="1">VLOOKUP($B35,千葉東稼働データ,DATEDIF(社員・パート別稼働データ!$C$1,$D$2,"M")+2,FALSE)</f>
        <v/>
      </c>
      <c r="BD35" s="1954" t="e">
        <f ca="1">ROUND(BC35/BA35,3)</f>
        <v>#VALUE!</v>
      </c>
      <c r="BE35" s="1955" t="str">
        <f ca="1">VLOOKUP($A35,千葉東稼働データ,DATEDIF(社員・パート別稼働データ!$C$1,$H$2,"M")+2,FALSE)</f>
        <v/>
      </c>
      <c r="BF35" s="1952" t="e">
        <f ca="1">ROUND(BE35/BE39,3)</f>
        <v>#VALUE!</v>
      </c>
      <c r="BG35" s="1953" t="str">
        <f ca="1">VLOOKUP($B35,千葉東稼働データ,DATEDIF(社員・パート別稼働データ!$C$1,$H$2,"M")+2,FALSE)</f>
        <v/>
      </c>
      <c r="BH35" s="1954" t="e">
        <f ca="1">ROUND(BG35/BE35,3)</f>
        <v>#VALUE!</v>
      </c>
      <c r="BI35" s="1950"/>
    </row>
    <row r="36" spans="1:61" s="1983" customFormat="1" ht="23.1" hidden="1" customHeight="1" x14ac:dyDescent="0.15">
      <c r="B36" s="1983" t="s">
        <v>905</v>
      </c>
      <c r="C36" s="1987" t="s">
        <v>904</v>
      </c>
      <c r="D36" s="1956"/>
      <c r="E36" s="1957"/>
      <c r="F36" s="1953">
        <f ca="1">VLOOKUP($B36,誉田稼働データ,DATEDIF(社員・パート別稼働データ!$C$1,$D$2,"M")+2,FALSE)</f>
        <v>484250</v>
      </c>
      <c r="G36" s="1958"/>
      <c r="H36" s="1959"/>
      <c r="I36" s="1957"/>
      <c r="J36" s="1953">
        <f ca="1">VLOOKUP($B36,誉田稼働データ,DATEDIF(社員・パート別稼働データ!$C$1,$H$2,"M")+2,FALSE)</f>
        <v>484250</v>
      </c>
      <c r="K36" s="1958"/>
      <c r="L36" s="1950"/>
      <c r="M36" s="1987" t="s">
        <v>904</v>
      </c>
      <c r="N36" s="1956"/>
      <c r="O36" s="1957"/>
      <c r="P36" s="1953">
        <f ca="1">VLOOKUP($B36,千葉西稼働データ,DATEDIF(社員・パート別稼働データ!$C$1,$D$2,"M")+2,FALSE)</f>
        <v>0</v>
      </c>
      <c r="Q36" s="1958"/>
      <c r="R36" s="1959"/>
      <c r="S36" s="1957"/>
      <c r="T36" s="1953">
        <f ca="1">VLOOKUP($B36,千葉西稼働データ,DATEDIF(社員・パート別稼働データ!$C$1,$H$2,"M")+2,FALSE)</f>
        <v>0</v>
      </c>
      <c r="U36" s="1958"/>
      <c r="V36" s="1950"/>
      <c r="AZ36" s="1987" t="s">
        <v>904</v>
      </c>
      <c r="BA36" s="1956"/>
      <c r="BB36" s="1957"/>
      <c r="BC36" s="1953">
        <f ca="1">VLOOKUP($B36,千葉東稼働データ,DATEDIF(社員・パート別稼働データ!$C$1,$D$2,"M")+2,FALSE)</f>
        <v>83333</v>
      </c>
      <c r="BD36" s="1958"/>
      <c r="BE36" s="1959"/>
      <c r="BF36" s="1957"/>
      <c r="BG36" s="1953">
        <f ca="1">VLOOKUP($B36,千葉東稼働データ,DATEDIF(社員・パート別稼働データ!$C$1,$H$2,"M")+2,FALSE)</f>
        <v>83333</v>
      </c>
      <c r="BH36" s="1958"/>
      <c r="BI36" s="1950"/>
    </row>
    <row r="37" spans="1:61" s="1983" customFormat="1" ht="23.1" customHeight="1" x14ac:dyDescent="0.15">
      <c r="C37" s="1987" t="s">
        <v>159</v>
      </c>
      <c r="D37" s="1960">
        <f ca="1">D35</f>
        <v>2507399</v>
      </c>
      <c r="E37" s="1961">
        <f ca="1">ROUND(D37/D39,3)</f>
        <v>0.371</v>
      </c>
      <c r="F37" s="1962">
        <f ca="1">SUM(F35:F36)</f>
        <v>3044485</v>
      </c>
      <c r="G37" s="1963">
        <f ca="1">ROUND(F37/D37,3)</f>
        <v>1.214</v>
      </c>
      <c r="H37" s="1964">
        <f ca="1">H35</f>
        <v>2250553</v>
      </c>
      <c r="I37" s="1961">
        <f ca="1">ROUND(H37/H39,3)</f>
        <v>0.34499999999999997</v>
      </c>
      <c r="J37" s="1962">
        <f ca="1">SUM(J35:J36)</f>
        <v>3077014</v>
      </c>
      <c r="K37" s="1963">
        <f ca="1">ROUND(J37/H37,3)</f>
        <v>1.367</v>
      </c>
      <c r="L37" s="1950"/>
      <c r="M37" s="1987" t="s">
        <v>159</v>
      </c>
      <c r="N37" s="1960">
        <f ca="1">N35</f>
        <v>617087</v>
      </c>
      <c r="O37" s="1961">
        <f ca="1">ROUND(N37/N39,3)</f>
        <v>0.437</v>
      </c>
      <c r="P37" s="1962">
        <f ca="1">SUM(P35:P36)</f>
        <v>736230</v>
      </c>
      <c r="Q37" s="1963">
        <f ca="1">ROUND(P37/N37,3)</f>
        <v>1.1930000000000001</v>
      </c>
      <c r="R37" s="1964">
        <f ca="1">R35</f>
        <v>786417</v>
      </c>
      <c r="S37" s="1961">
        <f ca="1">ROUND(R37/R39,3)</f>
        <v>0.437</v>
      </c>
      <c r="T37" s="1962">
        <f ca="1">SUM(T35:T36)</f>
        <v>877710</v>
      </c>
      <c r="U37" s="1963">
        <f ca="1">ROUND(T37/R37,3)</f>
        <v>1.1160000000000001</v>
      </c>
      <c r="V37" s="1950"/>
      <c r="AZ37" s="1987" t="s">
        <v>159</v>
      </c>
      <c r="BA37" s="1960" t="str">
        <f ca="1">BA35</f>
        <v/>
      </c>
      <c r="BB37" s="1961" t="e">
        <f ca="1">ROUND(BA37/BA39,3)</f>
        <v>#VALUE!</v>
      </c>
      <c r="BC37" s="1962">
        <f ca="1">SUM(BC35:BC36)</f>
        <v>83333</v>
      </c>
      <c r="BD37" s="1963" t="e">
        <f ca="1">ROUND(BC37/BA37,3)</f>
        <v>#VALUE!</v>
      </c>
      <c r="BE37" s="1964" t="str">
        <f ca="1">BE35</f>
        <v/>
      </c>
      <c r="BF37" s="1961" t="e">
        <f ca="1">ROUND(BE37/BE39,3)</f>
        <v>#VALUE!</v>
      </c>
      <c r="BG37" s="1962">
        <f ca="1">SUM(BG35:BG36)</f>
        <v>83333</v>
      </c>
      <c r="BH37" s="1963" t="e">
        <f ca="1">ROUND(BG37/BE37,3)</f>
        <v>#VALUE!</v>
      </c>
      <c r="BI37" s="1950"/>
    </row>
    <row r="38" spans="1:61" s="1983" customFormat="1" ht="23.1" customHeight="1" x14ac:dyDescent="0.15">
      <c r="A38" s="1983" t="s">
        <v>901</v>
      </c>
      <c r="B38" s="1983" t="s">
        <v>888</v>
      </c>
      <c r="C38" s="1988" t="s">
        <v>156</v>
      </c>
      <c r="D38" s="1951">
        <f ca="1">VLOOKUP($A38,誉田稼働データ,DATEDIF(社員・パート別稼働データ!$C$1,$D$2,"M")+2,FALSE)</f>
        <v>4254545</v>
      </c>
      <c r="E38" s="1965">
        <f ca="1">ROUND(D38/D39,3)</f>
        <v>0.629</v>
      </c>
      <c r="F38" s="1966">
        <f ca="1">VLOOKUP($B38,誉田稼働データ,DATEDIF(社員・パート別稼働データ!$C$1,$D$2,"M")+2,FALSE)</f>
        <v>1956346</v>
      </c>
      <c r="G38" s="1967">
        <f ca="1">ROUND(F38/D38,3)</f>
        <v>0.46</v>
      </c>
      <c r="H38" s="1955">
        <f ca="1">VLOOKUP($A38,誉田稼働データ,DATEDIF(社員・パート別稼働データ!$C$1,$H$2,"M")+2,FALSE)</f>
        <v>4277149</v>
      </c>
      <c r="I38" s="1965">
        <f ca="1">ROUND(H38/H39,3)</f>
        <v>0.65500000000000003</v>
      </c>
      <c r="J38" s="1966">
        <f ca="1">VLOOKUP($B38,誉田稼働データ,DATEDIF(社員・パート別稼働データ!$C$1,$H$2,"M")+2,FALSE)</f>
        <v>2050560</v>
      </c>
      <c r="K38" s="1967">
        <f ca="1">ROUND(J38/H38,3)</f>
        <v>0.47899999999999998</v>
      </c>
      <c r="L38" s="1968"/>
      <c r="M38" s="1988" t="s">
        <v>156</v>
      </c>
      <c r="N38" s="1951">
        <f ca="1">VLOOKUP($A38,千葉西稼働データ,DATEDIF(社員・パート別稼働データ!$C$1,$D$2,"M")+2,FALSE)</f>
        <v>795360</v>
      </c>
      <c r="O38" s="1965">
        <f ca="1">ROUND(N38/N39,3)</f>
        <v>0.56299999999999994</v>
      </c>
      <c r="P38" s="1966">
        <f ca="1">VLOOKUP($B38,千葉西稼働データ,DATEDIF(社員・パート別稼働データ!$C$1,$D$2,"M")+2,FALSE)</f>
        <v>388602</v>
      </c>
      <c r="Q38" s="1967">
        <f ca="1">ROUND(P38/N38,3)</f>
        <v>0.48899999999999999</v>
      </c>
      <c r="R38" s="1955">
        <f ca="1">VLOOKUP($A38,千葉西稼働データ,DATEDIF(社員・パート別稼働データ!$C$1,$H$2,"M")+2,FALSE)</f>
        <v>1013102</v>
      </c>
      <c r="S38" s="1965">
        <f ca="1">ROUND(R38/R39,3)</f>
        <v>0.56299999999999994</v>
      </c>
      <c r="T38" s="1966">
        <f ca="1">VLOOKUP($B38,千葉西稼働データ,DATEDIF(社員・パート別稼働データ!$C$1,$H$2,"M")+2,FALSE)</f>
        <v>440879</v>
      </c>
      <c r="U38" s="1967">
        <f ca="1">ROUND(T38/R38,3)</f>
        <v>0.435</v>
      </c>
      <c r="V38" s="1968"/>
      <c r="AZ38" s="1988" t="s">
        <v>156</v>
      </c>
      <c r="BA38" s="1951" t="str">
        <f ca="1">VLOOKUP($A38,千葉東稼働データ,DATEDIF(社員・パート別稼働データ!$C$1,$D$2,"M")+2,FALSE)</f>
        <v/>
      </c>
      <c r="BB38" s="1965" t="e">
        <f ca="1">ROUND(BA38/BA39,3)</f>
        <v>#VALUE!</v>
      </c>
      <c r="BC38" s="1966" t="str">
        <f ca="1">VLOOKUP($B38,千葉東稼働データ,DATEDIF(社員・パート別稼働データ!$C$1,$D$2,"M")+2,FALSE)</f>
        <v/>
      </c>
      <c r="BD38" s="1967" t="e">
        <f ca="1">ROUND(BC38/BA38,3)</f>
        <v>#VALUE!</v>
      </c>
      <c r="BE38" s="1955" t="str">
        <f ca="1">VLOOKUP($A38,千葉東稼働データ,DATEDIF(社員・パート別稼働データ!$C$1,$H$2,"M")+2,FALSE)</f>
        <v/>
      </c>
      <c r="BF38" s="1965" t="e">
        <f ca="1">ROUND(BE38/BE39,3)</f>
        <v>#VALUE!</v>
      </c>
      <c r="BG38" s="1966" t="str">
        <f ca="1">VLOOKUP($B38,千葉東稼働データ,DATEDIF(社員・パート別稼働データ!$C$1,$H$2,"M")+2,FALSE)</f>
        <v/>
      </c>
      <c r="BH38" s="1967" t="e">
        <f ca="1">ROUND(BG38/BE38,3)</f>
        <v>#VALUE!</v>
      </c>
      <c r="BI38" s="1968"/>
    </row>
    <row r="39" spans="1:61" s="1983" customFormat="1" ht="23.1" customHeight="1" thickBot="1" x14ac:dyDescent="0.2">
      <c r="C39" s="1989" t="s">
        <v>96</v>
      </c>
      <c r="D39" s="1969">
        <f ca="1">SUM(D37:D38)</f>
        <v>6761944</v>
      </c>
      <c r="E39" s="1970">
        <f ca="1">SUM(E37:E38)</f>
        <v>1</v>
      </c>
      <c r="F39" s="1971">
        <f ca="1">SUM(F37:F38)</f>
        <v>5000831</v>
      </c>
      <c r="G39" s="1972">
        <f ca="1">ROUND(F39/D39,3)</f>
        <v>0.74</v>
      </c>
      <c r="H39" s="1973">
        <f ca="1">SUM(H37:H38)</f>
        <v>6527702</v>
      </c>
      <c r="I39" s="1970">
        <f ca="1">SUM(I37:I38)</f>
        <v>1</v>
      </c>
      <c r="J39" s="1971">
        <f ca="1">SUM(J37:J38)</f>
        <v>5127574</v>
      </c>
      <c r="K39" s="1972">
        <f ca="1">ROUND(J39/H39,3)</f>
        <v>0.78600000000000003</v>
      </c>
      <c r="L39" s="1968"/>
      <c r="M39" s="1989" t="s">
        <v>96</v>
      </c>
      <c r="N39" s="1969">
        <f ca="1">SUM(N37:N38)</f>
        <v>1412447</v>
      </c>
      <c r="O39" s="1970">
        <f ca="1">SUM(O37:O38)</f>
        <v>1</v>
      </c>
      <c r="P39" s="1971">
        <f ca="1">SUM(P37:P38)</f>
        <v>1124832</v>
      </c>
      <c r="Q39" s="1972">
        <f ca="1">ROUND(P39/N39,3)</f>
        <v>0.79600000000000004</v>
      </c>
      <c r="R39" s="1973">
        <f ca="1">SUM(R37:R38)</f>
        <v>1799519</v>
      </c>
      <c r="S39" s="1970">
        <f ca="1">SUM(S37:S38)</f>
        <v>1</v>
      </c>
      <c r="T39" s="1971">
        <f ca="1">SUM(T37:T38)</f>
        <v>1318589</v>
      </c>
      <c r="U39" s="1972">
        <f ca="1">ROUND(T39/R39,3)</f>
        <v>0.73299999999999998</v>
      </c>
      <c r="V39" s="1968"/>
      <c r="AZ39" s="1989" t="s">
        <v>96</v>
      </c>
      <c r="BA39" s="1969">
        <f ca="1">SUM(BA37:BA38)</f>
        <v>0</v>
      </c>
      <c r="BB39" s="1970" t="e">
        <f ca="1">SUM(BB37:BB38)</f>
        <v>#VALUE!</v>
      </c>
      <c r="BC39" s="1971">
        <f ca="1">SUM(BC37:BC38)</f>
        <v>83333</v>
      </c>
      <c r="BD39" s="1972" t="e">
        <f ca="1">ROUND(BC39/BA39,3)</f>
        <v>#DIV/0!</v>
      </c>
      <c r="BE39" s="1973">
        <f ca="1">SUM(BE37:BE38)</f>
        <v>0</v>
      </c>
      <c r="BF39" s="1970" t="e">
        <f ca="1">SUM(BF37:BF38)</f>
        <v>#VALUE!</v>
      </c>
      <c r="BG39" s="1971">
        <f ca="1">SUM(BG37:BG38)</f>
        <v>83333</v>
      </c>
      <c r="BH39" s="1972" t="e">
        <f ca="1">ROUND(BG39/BE39,3)</f>
        <v>#DIV/0!</v>
      </c>
      <c r="BI39" s="1968"/>
    </row>
    <row r="63" spans="3:66" s="946" customFormat="1" ht="35.1" customHeight="1" thickBot="1" x14ac:dyDescent="0.7">
      <c r="C63" s="946" t="s">
        <v>1102</v>
      </c>
      <c r="M63" s="946" t="s">
        <v>1418</v>
      </c>
      <c r="AZ63" s="946" t="s">
        <v>1149</v>
      </c>
      <c r="BJ63" s="733"/>
      <c r="BK63" s="733"/>
      <c r="BL63" s="733"/>
      <c r="BM63" s="733"/>
      <c r="BN63" s="733"/>
    </row>
    <row r="64" spans="3:66" s="1983" customFormat="1" ht="23.1" customHeight="1" thickBot="1" x14ac:dyDescent="0.2">
      <c r="C64" s="1984" t="s">
        <v>1007</v>
      </c>
      <c r="D64" s="2240">
        <f>EOMONTH(H64,-1)</f>
        <v>43555</v>
      </c>
      <c r="E64" s="2241"/>
      <c r="F64" s="2241"/>
      <c r="G64" s="2242"/>
      <c r="H64" s="2238">
        <f>$H$2</f>
        <v>43556</v>
      </c>
      <c r="I64" s="2238"/>
      <c r="J64" s="2238"/>
      <c r="K64" s="2239"/>
      <c r="M64" s="1984" t="s">
        <v>1007</v>
      </c>
      <c r="N64" s="2240">
        <f>EOMONTH(R64,-1)</f>
        <v>43555</v>
      </c>
      <c r="O64" s="2241"/>
      <c r="P64" s="2241"/>
      <c r="Q64" s="2242"/>
      <c r="R64" s="2238">
        <f>$H$2</f>
        <v>43556</v>
      </c>
      <c r="S64" s="2238"/>
      <c r="T64" s="2238"/>
      <c r="U64" s="2239"/>
      <c r="AZ64" s="1984" t="s">
        <v>1007</v>
      </c>
      <c r="BA64" s="2240">
        <f>EOMONTH(BE64,-1)</f>
        <v>43555</v>
      </c>
      <c r="BB64" s="2241"/>
      <c r="BC64" s="2241"/>
      <c r="BD64" s="2242"/>
      <c r="BE64" s="2238">
        <f>$H$2</f>
        <v>43556</v>
      </c>
      <c r="BF64" s="2238"/>
      <c r="BG64" s="2238"/>
      <c r="BH64" s="2239"/>
    </row>
    <row r="65" spans="1:60" s="1983" customFormat="1" ht="23.1" customHeight="1" thickBot="1" x14ac:dyDescent="0.2">
      <c r="C65" s="1990" t="s">
        <v>361</v>
      </c>
      <c r="D65" s="1947" t="s">
        <v>906</v>
      </c>
      <c r="E65" s="1947" t="s">
        <v>916</v>
      </c>
      <c r="F65" s="1947" t="s">
        <v>917</v>
      </c>
      <c r="G65" s="1948" t="s">
        <v>918</v>
      </c>
      <c r="H65" s="1947" t="s">
        <v>906</v>
      </c>
      <c r="I65" s="1947" t="s">
        <v>916</v>
      </c>
      <c r="J65" s="1947" t="s">
        <v>917</v>
      </c>
      <c r="K65" s="1948" t="s">
        <v>918</v>
      </c>
      <c r="M65" s="1990" t="s">
        <v>361</v>
      </c>
      <c r="N65" s="1947" t="s">
        <v>906</v>
      </c>
      <c r="O65" s="1947" t="s">
        <v>916</v>
      </c>
      <c r="P65" s="1947" t="s">
        <v>917</v>
      </c>
      <c r="Q65" s="1948" t="s">
        <v>918</v>
      </c>
      <c r="R65" s="1947" t="s">
        <v>906</v>
      </c>
      <c r="S65" s="1947" t="s">
        <v>916</v>
      </c>
      <c r="T65" s="1947" t="s">
        <v>917</v>
      </c>
      <c r="U65" s="1948" t="s">
        <v>918</v>
      </c>
      <c r="AZ65" s="1990" t="s">
        <v>361</v>
      </c>
      <c r="BA65" s="1947" t="s">
        <v>906</v>
      </c>
      <c r="BB65" s="1947" t="s">
        <v>916</v>
      </c>
      <c r="BC65" s="1947" t="s">
        <v>917</v>
      </c>
      <c r="BD65" s="1948" t="s">
        <v>918</v>
      </c>
      <c r="BE65" s="1947" t="s">
        <v>906</v>
      </c>
      <c r="BF65" s="1947" t="s">
        <v>916</v>
      </c>
      <c r="BG65" s="1947" t="s">
        <v>917</v>
      </c>
      <c r="BH65" s="1948" t="s">
        <v>918</v>
      </c>
    </row>
    <row r="66" spans="1:60" s="1983" customFormat="1" ht="23.1" hidden="1" customHeight="1" x14ac:dyDescent="0.15">
      <c r="A66" s="1983" t="s">
        <v>909</v>
      </c>
      <c r="B66" s="1983" t="s">
        <v>914</v>
      </c>
      <c r="C66" s="1991" t="s">
        <v>159</v>
      </c>
      <c r="D66" s="1974">
        <f ca="1">VLOOKUP($A66,白金稼働データ,DATEDIF(社員・パート別稼働データ!$C$1,$D$64,"M")+2,FALSE)</f>
        <v>7</v>
      </c>
      <c r="E66" s="1952">
        <f ca="1">ROUND(D66/D70,3)</f>
        <v>0.14599999999999999</v>
      </c>
      <c r="F66" s="1975">
        <f ca="1">VLOOKUP($B66,白金稼働データ,DATEDIF(社員・パート別稼働データ!$C$1,$D$64,"M")+2,FALSE)</f>
        <v>24.347222222222225</v>
      </c>
      <c r="G66" s="1954">
        <f ca="1">ROUND(F66/F$70,3)</f>
        <v>0.223</v>
      </c>
      <c r="H66" s="1974">
        <f ca="1">VLOOKUP($A66,白金稼働データ,DATEDIF(社員・パート別稼働データ!$C$1,$H$64,"M")+2,FALSE)</f>
        <v>7</v>
      </c>
      <c r="I66" s="1952">
        <f ca="1">ROUND(H66/H70,3)</f>
        <v>0.13700000000000001</v>
      </c>
      <c r="J66" s="1975">
        <f ca="1">VLOOKUP($B66,白金稼働データ,DATEDIF(社員・パート別稼働データ!$C$1,$H$64,"M")+2,FALSE)</f>
        <v>27.078472222222221</v>
      </c>
      <c r="K66" s="1954">
        <f ca="1">ROUND(J66/J$70,3)</f>
        <v>0.24399999999999999</v>
      </c>
      <c r="M66" s="1991" t="s">
        <v>159</v>
      </c>
      <c r="N66" s="1974">
        <f ca="1">VLOOKUP($A66,蘇我稼働データ,DATEDIF(社員・パート別稼働データ!$C$1,$D$64,"M")+2,FALSE)</f>
        <v>7</v>
      </c>
      <c r="O66" s="1952">
        <f ca="1">ROUND(N66/N70,3)</f>
        <v>0.25</v>
      </c>
      <c r="P66" s="1975">
        <f ca="1">VLOOKUP($B66,蘇我稼働データ,DATEDIF(社員・パート別稼働データ!$C$1,$D$64,"M")+2,FALSE)</f>
        <v>15.253472222222221</v>
      </c>
      <c r="Q66" s="1954">
        <f ca="1">ROUND(P66/F$70,3)</f>
        <v>0.14000000000000001</v>
      </c>
      <c r="R66" s="1974">
        <f ca="1">VLOOKUP($A66,蘇我稼働データ,DATEDIF(社員・パート別稼働データ!$C$1,$H$64,"M")+2,FALSE)</f>
        <v>5</v>
      </c>
      <c r="S66" s="1952">
        <f ca="1">ROUND(R66/R70,3)</f>
        <v>0.17899999999999999</v>
      </c>
      <c r="T66" s="1975">
        <f ca="1">VLOOKUP($B66,蘇我稼働データ,DATEDIF(社員・パート別稼働データ!$C$1,$H$64,"M")+2,FALSE)</f>
        <v>13.541666666666666</v>
      </c>
      <c r="U66" s="1954">
        <f ca="1">ROUND(T66/J$70,3)</f>
        <v>0.122</v>
      </c>
      <c r="AZ66" s="1991" t="s">
        <v>159</v>
      </c>
      <c r="BA66" s="1974">
        <f ca="1">VLOOKUP($A97,千葉東稼働データ,DATEDIF(社員・パート別稼働データ!$C$1,$D$64,"M")+2,FALSE)</f>
        <v>0</v>
      </c>
      <c r="BB66" s="1952" t="e">
        <f ca="1">ROUND(BA66/BA70,3)</f>
        <v>#DIV/0!</v>
      </c>
      <c r="BC66" s="1975">
        <f ca="1">VLOOKUP($B97,千葉東稼働データ,DATEDIF(社員・パート別稼働データ!$C$1,$D$64,"M")+2,FALSE)</f>
        <v>0</v>
      </c>
      <c r="BD66" s="1954">
        <f ca="1">ROUND(BC66/F$70,3)</f>
        <v>0</v>
      </c>
      <c r="BE66" s="1974">
        <f ca="1">VLOOKUP($A97,千葉東稼働データ,DATEDIF(社員・パート別稼働データ!$C$1,$H$64,"M")+2,FALSE)</f>
        <v>0</v>
      </c>
      <c r="BF66" s="1952" t="e">
        <f ca="1">ROUND(BE66/BE70,3)</f>
        <v>#DIV/0!</v>
      </c>
      <c r="BG66" s="1975">
        <f ca="1">VLOOKUP($B97,千葉東稼働データ,DATEDIF(社員・パート別稼働データ!$C$1,$H$64,"M")+2,FALSE)</f>
        <v>0</v>
      </c>
      <c r="BH66" s="1954">
        <f ca="1">ROUND(BG66/J$70,3)</f>
        <v>0</v>
      </c>
    </row>
    <row r="67" spans="1:60" s="1983" customFormat="1" ht="23.1" hidden="1" customHeight="1" x14ac:dyDescent="0.15">
      <c r="C67" s="1991" t="s">
        <v>904</v>
      </c>
      <c r="D67" s="1976"/>
      <c r="E67" s="1957"/>
      <c r="F67" s="1977"/>
      <c r="G67" s="1958"/>
      <c r="H67" s="1976"/>
      <c r="I67" s="1957"/>
      <c r="J67" s="1977"/>
      <c r="K67" s="1958"/>
      <c r="M67" s="1991" t="s">
        <v>904</v>
      </c>
      <c r="N67" s="1976"/>
      <c r="O67" s="1957"/>
      <c r="P67" s="1977"/>
      <c r="Q67" s="1958"/>
      <c r="R67" s="1976"/>
      <c r="S67" s="1957"/>
      <c r="T67" s="1977"/>
      <c r="U67" s="1958"/>
      <c r="AZ67" s="1991" t="s">
        <v>904</v>
      </c>
      <c r="BA67" s="1976"/>
      <c r="BB67" s="1957"/>
      <c r="BC67" s="1977"/>
      <c r="BD67" s="1958"/>
      <c r="BE67" s="1976"/>
      <c r="BF67" s="1957"/>
      <c r="BG67" s="1977"/>
      <c r="BH67" s="1958"/>
    </row>
    <row r="68" spans="1:60" s="1983" customFormat="1" ht="23.1" customHeight="1" x14ac:dyDescent="0.15">
      <c r="C68" s="1991" t="s">
        <v>159</v>
      </c>
      <c r="D68" s="1978">
        <f ca="1">D66</f>
        <v>7</v>
      </c>
      <c r="E68" s="1961">
        <f ca="1">ROUND(D68/D70,3)</f>
        <v>0.14599999999999999</v>
      </c>
      <c r="F68" s="1979">
        <f ca="1">F66</f>
        <v>24.347222222222225</v>
      </c>
      <c r="G68" s="1963">
        <f ca="1">ROUND(F68/F70,3)</f>
        <v>0.223</v>
      </c>
      <c r="H68" s="1978">
        <f ca="1">H66</f>
        <v>7</v>
      </c>
      <c r="I68" s="1961">
        <f ca="1">ROUND(H68/H70,3)</f>
        <v>0.13700000000000001</v>
      </c>
      <c r="J68" s="1979">
        <f ca="1">J66</f>
        <v>27.078472222222221</v>
      </c>
      <c r="K68" s="1963">
        <f ca="1">ROUND(J68/J70,3)</f>
        <v>0.24399999999999999</v>
      </c>
      <c r="M68" s="1991" t="s">
        <v>159</v>
      </c>
      <c r="N68" s="1978">
        <f ca="1">N66</f>
        <v>7</v>
      </c>
      <c r="O68" s="1961">
        <f ca="1">ROUND(N68/N70,3)</f>
        <v>0.25</v>
      </c>
      <c r="P68" s="1979">
        <f ca="1">P66</f>
        <v>15.253472222222221</v>
      </c>
      <c r="Q68" s="1963">
        <f ca="1">ROUND(P68/P70,3)</f>
        <v>0.32500000000000001</v>
      </c>
      <c r="R68" s="1978">
        <f ca="1">R66</f>
        <v>5</v>
      </c>
      <c r="S68" s="1961">
        <f ca="1">ROUND(R68/R70,3)</f>
        <v>0.17899999999999999</v>
      </c>
      <c r="T68" s="1979">
        <f ca="1">T66</f>
        <v>13.541666666666666</v>
      </c>
      <c r="U68" s="1963">
        <f ca="1">ROUND(T68/T70,3)</f>
        <v>0.309</v>
      </c>
      <c r="AZ68" s="1991" t="s">
        <v>159</v>
      </c>
      <c r="BA68" s="1978">
        <f ca="1">BA66</f>
        <v>0</v>
      </c>
      <c r="BB68" s="1961" t="e">
        <f ca="1">ROUND(BA68/BA70,3)</f>
        <v>#DIV/0!</v>
      </c>
      <c r="BC68" s="1979">
        <f ca="1">BC66</f>
        <v>0</v>
      </c>
      <c r="BD68" s="1963" t="e">
        <f ca="1">ROUND(BC68/BC70,3)</f>
        <v>#DIV/0!</v>
      </c>
      <c r="BE68" s="1978">
        <f ca="1">BE66</f>
        <v>0</v>
      </c>
      <c r="BF68" s="1961" t="e">
        <f ca="1">ROUND(BE68/BE70,3)</f>
        <v>#DIV/0!</v>
      </c>
      <c r="BG68" s="1979">
        <f ca="1">BG66</f>
        <v>0</v>
      </c>
      <c r="BH68" s="1963" t="e">
        <f ca="1">ROUND(BG68/BG70,3)</f>
        <v>#DIV/0!</v>
      </c>
    </row>
    <row r="69" spans="1:60" s="1983" customFormat="1" ht="23.1" customHeight="1" x14ac:dyDescent="0.15">
      <c r="A69" s="1983" t="s">
        <v>910</v>
      </c>
      <c r="B69" s="1983" t="s">
        <v>915</v>
      </c>
      <c r="C69" s="1992" t="s">
        <v>156</v>
      </c>
      <c r="D69" s="1974">
        <f ca="1">VLOOKUP($A69,白金稼働データ,DATEDIF(社員・パート別稼働データ!$C$1,$D$64,"M")+2,FALSE)</f>
        <v>41</v>
      </c>
      <c r="E69" s="1965">
        <f ca="1">ROUND(D69/D70,3)</f>
        <v>0.85399999999999998</v>
      </c>
      <c r="F69" s="1980">
        <f ca="1">VLOOKUP($B69,白金稼働データ,DATEDIF(社員・パート別稼働データ!$C$1,$D$64,"M")+2,FALSE)</f>
        <v>84.754861111111111</v>
      </c>
      <c r="G69" s="1967">
        <f ca="1">ROUND(F69/F$70,3)</f>
        <v>0.77700000000000002</v>
      </c>
      <c r="H69" s="1974">
        <f ca="1">VLOOKUP($A69,白金稼働データ,DATEDIF(社員・パート別稼働データ!$C$1,$H$64,"M")+2,FALSE)</f>
        <v>44</v>
      </c>
      <c r="I69" s="1965">
        <f ca="1">ROUND(H69/H70,3)</f>
        <v>0.86299999999999999</v>
      </c>
      <c r="J69" s="1980">
        <f ca="1">VLOOKUP($B69,白金稼働データ,DATEDIF(社員・パート別稼働データ!$C$1,$H$64,"M")+2,FALSE)</f>
        <v>84.031944444444449</v>
      </c>
      <c r="K69" s="1967">
        <f ca="1">ROUND(J69/J$70,3)</f>
        <v>0.75600000000000001</v>
      </c>
      <c r="M69" s="1992" t="s">
        <v>156</v>
      </c>
      <c r="N69" s="1974">
        <f ca="1">VLOOKUP($A69,蘇我稼働データ,DATEDIF(社員・パート別稼働データ!$C$1,$D$64,"M")+2,FALSE)</f>
        <v>21</v>
      </c>
      <c r="O69" s="1965">
        <f ca="1">ROUND(N69/N70,3)</f>
        <v>0.75</v>
      </c>
      <c r="P69" s="1980">
        <f ca="1">VLOOKUP($B69,蘇我稼働データ,DATEDIF(社員・パート別稼働データ!$C$1,$D$64,"M")+2,FALSE)</f>
        <v>31.690972222222225</v>
      </c>
      <c r="Q69" s="1967">
        <f ca="1">ROUND(P69/P$70,3)</f>
        <v>0.67500000000000004</v>
      </c>
      <c r="R69" s="1974">
        <f ca="1">VLOOKUP($A69,蘇我稼働データ,DATEDIF(社員・パート別稼働データ!$C$1,$H$64,"M")+2,FALSE)</f>
        <v>23</v>
      </c>
      <c r="S69" s="1965">
        <f ca="1">ROUND(R69/R70,3)</f>
        <v>0.82099999999999995</v>
      </c>
      <c r="T69" s="1980">
        <f ca="1">VLOOKUP($B69,蘇我稼働データ,DATEDIF(社員・パート別稼働データ!$C$1,$H$64,"M")+2,FALSE)</f>
        <v>30.288194444444443</v>
      </c>
      <c r="U69" s="1967">
        <f ca="1">ROUND(T69/T$70,3)</f>
        <v>0.69099999999999995</v>
      </c>
      <c r="AZ69" s="1992" t="s">
        <v>156</v>
      </c>
      <c r="BA69" s="1974">
        <f ca="1">VLOOKUP($A100,千葉東稼働データ,DATEDIF(社員・パート別稼働データ!$C$1,$D$64,"M")+2,FALSE)</f>
        <v>0</v>
      </c>
      <c r="BB69" s="1965" t="e">
        <f ca="1">ROUND(BA69/BA70,3)</f>
        <v>#DIV/0!</v>
      </c>
      <c r="BC69" s="1980">
        <f ca="1">VLOOKUP($B100,千葉東稼働データ,DATEDIF(社員・パート別稼働データ!$C$1,$D$64,"M")+2,FALSE)</f>
        <v>0</v>
      </c>
      <c r="BD69" s="1967" t="e">
        <f ca="1">ROUND(BC69/BC$70,3)</f>
        <v>#DIV/0!</v>
      </c>
      <c r="BE69" s="1974">
        <f ca="1">VLOOKUP($A100,千葉東稼働データ,DATEDIF(社員・パート別稼働データ!$C$1,$H$64,"M")+2,FALSE)</f>
        <v>0</v>
      </c>
      <c r="BF69" s="1965" t="e">
        <f ca="1">ROUND(BE69/BE70,3)</f>
        <v>#DIV/0!</v>
      </c>
      <c r="BG69" s="1980">
        <f ca="1">VLOOKUP($B100,千葉東稼働データ,DATEDIF(社員・パート別稼働データ!$C$1,$H$64,"M")+2,FALSE)</f>
        <v>0</v>
      </c>
      <c r="BH69" s="1967" t="e">
        <f ca="1">ROUND(BG69/BG$70,3)</f>
        <v>#DIV/0!</v>
      </c>
    </row>
    <row r="70" spans="1:60" s="1983" customFormat="1" ht="23.1" customHeight="1" thickBot="1" x14ac:dyDescent="0.2">
      <c r="C70" s="1993" t="s">
        <v>96</v>
      </c>
      <c r="D70" s="1981">
        <f t="shared" ref="D70:K70" ca="1" si="0">SUM(D68:D69)</f>
        <v>48</v>
      </c>
      <c r="E70" s="1970">
        <f t="shared" ca="1" si="0"/>
        <v>1</v>
      </c>
      <c r="F70" s="1982">
        <f t="shared" ca="1" si="0"/>
        <v>109.10208333333334</v>
      </c>
      <c r="G70" s="1972">
        <f t="shared" ca="1" si="0"/>
        <v>1</v>
      </c>
      <c r="H70" s="1981">
        <f t="shared" ca="1" si="0"/>
        <v>51</v>
      </c>
      <c r="I70" s="1970">
        <f t="shared" ca="1" si="0"/>
        <v>1</v>
      </c>
      <c r="J70" s="1982">
        <f t="shared" ca="1" si="0"/>
        <v>111.11041666666667</v>
      </c>
      <c r="K70" s="1972">
        <f t="shared" ca="1" si="0"/>
        <v>1</v>
      </c>
      <c r="M70" s="1993" t="s">
        <v>96</v>
      </c>
      <c r="N70" s="1981">
        <f t="shared" ref="N70:U70" ca="1" si="1">SUM(N68:N69)</f>
        <v>28</v>
      </c>
      <c r="O70" s="1970">
        <f t="shared" ca="1" si="1"/>
        <v>1</v>
      </c>
      <c r="P70" s="1982">
        <f t="shared" ca="1" si="1"/>
        <v>46.944444444444443</v>
      </c>
      <c r="Q70" s="1972">
        <f ca="1">SUM(Q68:Q69)</f>
        <v>1</v>
      </c>
      <c r="R70" s="1981">
        <f t="shared" ca="1" si="1"/>
        <v>28</v>
      </c>
      <c r="S70" s="1970">
        <f t="shared" ca="1" si="1"/>
        <v>1</v>
      </c>
      <c r="T70" s="1982">
        <f t="shared" ca="1" si="1"/>
        <v>43.829861111111107</v>
      </c>
      <c r="U70" s="1972">
        <f t="shared" ca="1" si="1"/>
        <v>1</v>
      </c>
      <c r="AZ70" s="1993" t="s">
        <v>96</v>
      </c>
      <c r="BA70" s="1981">
        <f t="shared" ref="BA70:BH70" ca="1" si="2">SUM(BA68:BA69)</f>
        <v>0</v>
      </c>
      <c r="BB70" s="1970" t="e">
        <f t="shared" ca="1" si="2"/>
        <v>#DIV/0!</v>
      </c>
      <c r="BC70" s="1982">
        <f t="shared" ca="1" si="2"/>
        <v>0</v>
      </c>
      <c r="BD70" s="1972" t="e">
        <f t="shared" ca="1" si="2"/>
        <v>#DIV/0!</v>
      </c>
      <c r="BE70" s="1981">
        <f t="shared" ca="1" si="2"/>
        <v>0</v>
      </c>
      <c r="BF70" s="1970" t="e">
        <f t="shared" ca="1" si="2"/>
        <v>#DIV/0!</v>
      </c>
      <c r="BG70" s="1982">
        <f t="shared" ca="1" si="2"/>
        <v>0</v>
      </c>
      <c r="BH70" s="1972" t="e">
        <f t="shared" ca="1" si="2"/>
        <v>#DIV/0!</v>
      </c>
    </row>
    <row r="94" spans="3:67" s="946" customFormat="1" ht="35.1" customHeight="1" thickBot="1" x14ac:dyDescent="0.7">
      <c r="C94" s="946" t="s">
        <v>1419</v>
      </c>
      <c r="M94" s="946" t="s">
        <v>1416</v>
      </c>
      <c r="AZ94" s="733"/>
      <c r="BA94" s="733"/>
      <c r="BB94" s="733"/>
      <c r="BC94" s="733"/>
      <c r="BD94" s="733"/>
      <c r="BE94" s="733"/>
      <c r="BF94" s="733"/>
      <c r="BG94" s="733"/>
      <c r="BH94" s="733"/>
      <c r="BI94" s="733"/>
      <c r="BJ94" s="733"/>
      <c r="BK94" s="733"/>
      <c r="BL94" s="733"/>
      <c r="BM94" s="733"/>
      <c r="BN94" s="733"/>
      <c r="BO94" s="733"/>
    </row>
    <row r="95" spans="3:67" s="1983" customFormat="1" ht="23.1" customHeight="1" thickBot="1" x14ac:dyDescent="0.2">
      <c r="C95" s="1984" t="s">
        <v>1007</v>
      </c>
      <c r="D95" s="2240">
        <f>EOMONTH(H95,-1)</f>
        <v>43555</v>
      </c>
      <c r="E95" s="2241"/>
      <c r="F95" s="2241"/>
      <c r="G95" s="2242"/>
      <c r="H95" s="2238">
        <f>$H$2</f>
        <v>43556</v>
      </c>
      <c r="I95" s="2238"/>
      <c r="J95" s="2238"/>
      <c r="K95" s="2239"/>
      <c r="M95" s="1984" t="s">
        <v>182</v>
      </c>
      <c r="N95" s="2240">
        <f>EOMONTH(R95,-1)</f>
        <v>43555</v>
      </c>
      <c r="O95" s="2241"/>
      <c r="P95" s="2241"/>
      <c r="Q95" s="2242"/>
      <c r="R95" s="2238">
        <f>$H$2</f>
        <v>43556</v>
      </c>
      <c r="S95" s="2238"/>
      <c r="T95" s="2238"/>
      <c r="U95" s="2239"/>
    </row>
    <row r="96" spans="3:67" s="1983" customFormat="1" ht="23.1" customHeight="1" thickBot="1" x14ac:dyDescent="0.2">
      <c r="C96" s="1990" t="s">
        <v>361</v>
      </c>
      <c r="D96" s="1947" t="s">
        <v>906</v>
      </c>
      <c r="E96" s="1947" t="s">
        <v>916</v>
      </c>
      <c r="F96" s="1947" t="s">
        <v>917</v>
      </c>
      <c r="G96" s="1948" t="s">
        <v>918</v>
      </c>
      <c r="H96" s="1947" t="s">
        <v>906</v>
      </c>
      <c r="I96" s="1947" t="s">
        <v>916</v>
      </c>
      <c r="J96" s="1947" t="s">
        <v>917</v>
      </c>
      <c r="K96" s="1948" t="s">
        <v>918</v>
      </c>
      <c r="M96" s="1990" t="s">
        <v>361</v>
      </c>
      <c r="N96" s="1947" t="s">
        <v>906</v>
      </c>
      <c r="O96" s="1947" t="s">
        <v>916</v>
      </c>
      <c r="P96" s="1947" t="s">
        <v>917</v>
      </c>
      <c r="Q96" s="1948" t="s">
        <v>918</v>
      </c>
      <c r="R96" s="1947" t="s">
        <v>906</v>
      </c>
      <c r="S96" s="1947" t="s">
        <v>916</v>
      </c>
      <c r="T96" s="1947" t="s">
        <v>917</v>
      </c>
      <c r="U96" s="1948" t="s">
        <v>918</v>
      </c>
    </row>
    <row r="97" spans="1:21" s="1983" customFormat="1" ht="23.1" hidden="1" customHeight="1" x14ac:dyDescent="0.15">
      <c r="A97" s="1983" t="s">
        <v>909</v>
      </c>
      <c r="B97" s="1983" t="s">
        <v>914</v>
      </c>
      <c r="C97" s="1991" t="s">
        <v>159</v>
      </c>
      <c r="D97" s="1974">
        <f ca="1">VLOOKUP($A97,誉田稼働データ,DATEDIF(社員・パート別稼働データ!$C$1,$D$64,"M")+2,FALSE)</f>
        <v>6</v>
      </c>
      <c r="E97" s="1952">
        <f ca="1">ROUND(D97/D101,3)</f>
        <v>0.17599999999999999</v>
      </c>
      <c r="F97" s="1975">
        <f ca="1">VLOOKUP($B97,誉田稼働データ,DATEDIF(社員・パート別稼働データ!$C$1,$D$64,"M")+2,FALSE)</f>
        <v>24.552083333333332</v>
      </c>
      <c r="G97" s="1954">
        <f ca="1">ROUND(F97/F$70,3)</f>
        <v>0.22500000000000001</v>
      </c>
      <c r="H97" s="1974">
        <f ca="1">VLOOKUP($A97,誉田稼働データ,DATEDIF(社員・パート別稼働データ!$C$1,$H$64,"M")+2,FALSE)</f>
        <v>6</v>
      </c>
      <c r="I97" s="1952">
        <f ca="1">ROUND(H97/H101,3)</f>
        <v>0.16200000000000001</v>
      </c>
      <c r="J97" s="1975">
        <f ca="1">VLOOKUP($B97,誉田稼働データ,DATEDIF(社員・パート別稼働データ!$C$1,$H$64,"M")+2,FALSE)</f>
        <v>22.213194444444444</v>
      </c>
      <c r="K97" s="1954">
        <f ca="1">ROUND(J97/J$70,3)</f>
        <v>0.2</v>
      </c>
      <c r="M97" s="1991" t="s">
        <v>159</v>
      </c>
      <c r="N97" s="1974">
        <f ca="1">VLOOKUP($A97,千葉西稼働データ,DATEDIF(社員・パート別稼働データ!$C$1,$D$64,"M")+2,FALSE)</f>
        <v>2</v>
      </c>
      <c r="O97" s="1952">
        <f ca="1">ROUND(N97/N101,3)</f>
        <v>0.16700000000000001</v>
      </c>
      <c r="P97" s="1975">
        <f ca="1">VLOOKUP($B97,千葉西稼働データ,DATEDIF(社員・パート別稼働データ!$C$1,$D$64,"M")+2,FALSE)</f>
        <v>8.2048611111111107</v>
      </c>
      <c r="Q97" s="1954">
        <f ca="1">ROUND(P97/P$70,3)</f>
        <v>0.17499999999999999</v>
      </c>
      <c r="R97" s="1974">
        <f ca="1">VLOOKUP($A97,千葉西稼働データ,DATEDIF(社員・パート別稼働データ!$C$1,$H$64,"M")+2,FALSE)</f>
        <v>2</v>
      </c>
      <c r="S97" s="1952">
        <f ca="1">ROUND(R97/R101,3)</f>
        <v>0.16700000000000001</v>
      </c>
      <c r="T97" s="1975">
        <f ca="1">VLOOKUP($B97,千葉西稼働データ,DATEDIF(社員・パート別稼働データ!$C$1,$H$64,"M")+2,FALSE)</f>
        <v>9.4201388888888893</v>
      </c>
      <c r="U97" s="1954">
        <f ca="1">ROUND(T97/T$70,3)</f>
        <v>0.215</v>
      </c>
    </row>
    <row r="98" spans="1:21" s="1983" customFormat="1" ht="23.1" hidden="1" customHeight="1" x14ac:dyDescent="0.15">
      <c r="C98" s="1991" t="s">
        <v>904</v>
      </c>
      <c r="D98" s="1976"/>
      <c r="E98" s="1957"/>
      <c r="F98" s="1977"/>
      <c r="G98" s="1958"/>
      <c r="H98" s="1976"/>
      <c r="I98" s="1957"/>
      <c r="J98" s="1977"/>
      <c r="K98" s="1958"/>
      <c r="M98" s="1991" t="s">
        <v>904</v>
      </c>
      <c r="N98" s="1976"/>
      <c r="O98" s="1957"/>
      <c r="P98" s="1977"/>
      <c r="Q98" s="1958"/>
      <c r="R98" s="1976"/>
      <c r="S98" s="1957"/>
      <c r="T98" s="1977"/>
      <c r="U98" s="1958"/>
    </row>
    <row r="99" spans="1:21" s="1983" customFormat="1" ht="23.1" customHeight="1" x14ac:dyDescent="0.15">
      <c r="C99" s="1991" t="s">
        <v>159</v>
      </c>
      <c r="D99" s="1978">
        <f ca="1">D97</f>
        <v>6</v>
      </c>
      <c r="E99" s="1961">
        <f ca="1">ROUND(D99/D101,3)</f>
        <v>0.17599999999999999</v>
      </c>
      <c r="F99" s="1979">
        <f ca="1">F97</f>
        <v>24.552083333333332</v>
      </c>
      <c r="G99" s="1963">
        <f ca="1">ROUND(F99/F101,3)</f>
        <v>0.35499999999999998</v>
      </c>
      <c r="H99" s="1978">
        <f ca="1">H97</f>
        <v>6</v>
      </c>
      <c r="I99" s="1961">
        <f ca="1">ROUND(H99/H101,3)</f>
        <v>0.16200000000000001</v>
      </c>
      <c r="J99" s="1979">
        <f ca="1">J97</f>
        <v>22.213194444444444</v>
      </c>
      <c r="K99" s="1963">
        <f ca="1">ROUND(J99/J101,3)</f>
        <v>0.32200000000000001</v>
      </c>
      <c r="M99" s="1991" t="s">
        <v>159</v>
      </c>
      <c r="N99" s="1978">
        <f ca="1">N97</f>
        <v>2</v>
      </c>
      <c r="O99" s="1961">
        <f ca="1">ROUND(N99/N101,3)</f>
        <v>0.16700000000000001</v>
      </c>
      <c r="P99" s="1979">
        <f ca="1">P97</f>
        <v>8.2048611111111107</v>
      </c>
      <c r="Q99" s="1963">
        <f ca="1">ROUND(P99/P101,3)</f>
        <v>0.499</v>
      </c>
      <c r="R99" s="1978">
        <f ca="1">R97</f>
        <v>2</v>
      </c>
      <c r="S99" s="1961">
        <f ca="1">ROUND(R99/R101,3)</f>
        <v>0.16700000000000001</v>
      </c>
      <c r="T99" s="1979">
        <f ca="1">T97</f>
        <v>9.4201388888888893</v>
      </c>
      <c r="U99" s="1963">
        <f ca="1">ROUND(T99/T101,3)</f>
        <v>0.50600000000000001</v>
      </c>
    </row>
    <row r="100" spans="1:21" s="1983" customFormat="1" ht="23.1" customHeight="1" x14ac:dyDescent="0.15">
      <c r="A100" s="1983" t="s">
        <v>910</v>
      </c>
      <c r="B100" s="1983" t="s">
        <v>915</v>
      </c>
      <c r="C100" s="1992" t="s">
        <v>156</v>
      </c>
      <c r="D100" s="1974">
        <f ca="1">VLOOKUP($A100,誉田稼働データ,DATEDIF(社員・パート別稼働データ!$C$1,$D$64,"M")+2,FALSE)</f>
        <v>28</v>
      </c>
      <c r="E100" s="1965">
        <f ca="1">ROUND(D100/D101,3)</f>
        <v>0.82399999999999995</v>
      </c>
      <c r="F100" s="1980">
        <f ca="1">VLOOKUP($B100,誉田稼働データ,DATEDIF(社員・パート別稼働データ!$C$1,$D$64,"M")+2,FALSE)</f>
        <v>44.5625</v>
      </c>
      <c r="G100" s="1967">
        <f ca="1">ROUND(F100/F$101,3)</f>
        <v>0.64500000000000002</v>
      </c>
      <c r="H100" s="1974">
        <f ca="1">VLOOKUP($A100,誉田稼働データ,DATEDIF(社員・パート別稼働データ!$C$1,$H$64,"M")+2,FALSE)</f>
        <v>31</v>
      </c>
      <c r="I100" s="1965">
        <f ca="1">ROUND(H100/H101,3)</f>
        <v>0.83799999999999997</v>
      </c>
      <c r="J100" s="1980">
        <f ca="1">VLOOKUP($B100,誉田稼働データ,DATEDIF(社員・パート別稼働データ!$C$1,$H$64,"M")+2,FALSE)</f>
        <v>46.756250000000001</v>
      </c>
      <c r="K100" s="1967">
        <f ca="1">ROUND(J100/J$101,3)</f>
        <v>0.67800000000000005</v>
      </c>
      <c r="M100" s="1992" t="s">
        <v>156</v>
      </c>
      <c r="N100" s="1974">
        <f ca="1">VLOOKUP($A100,千葉西稼働データ,DATEDIF(社員・パート別稼働データ!$C$1,$D$64,"M")+2,FALSE)</f>
        <v>10</v>
      </c>
      <c r="O100" s="1965">
        <f ca="1">ROUND(N100/N101,3)</f>
        <v>0.83299999999999996</v>
      </c>
      <c r="P100" s="1980">
        <f ca="1">VLOOKUP($B100,千葉西稼働データ,DATEDIF(社員・パート別稼働データ!$C$1,$D$64,"M")+2,FALSE)</f>
        <v>8.2395833333333339</v>
      </c>
      <c r="Q100" s="1967">
        <f ca="1">ROUND(P100/P$101,3)</f>
        <v>0.501</v>
      </c>
      <c r="R100" s="1974">
        <f ca="1">VLOOKUP($A100,千葉西稼働データ,DATEDIF(社員・パート別稼働データ!$C$1,$H$64,"M")+2,FALSE)</f>
        <v>10</v>
      </c>
      <c r="S100" s="1965">
        <f ca="1">ROUND(R100/R101,3)</f>
        <v>0.83299999999999996</v>
      </c>
      <c r="T100" s="1980">
        <f ca="1">VLOOKUP($B100,千葉西稼働データ,DATEDIF(社員・パート別稼働データ!$C$1,$H$64,"M")+2,FALSE)</f>
        <v>9.1840277777777768</v>
      </c>
      <c r="U100" s="1967">
        <f ca="1">ROUND(T100/T$101,3)</f>
        <v>0.49399999999999999</v>
      </c>
    </row>
    <row r="101" spans="1:21" s="1983" customFormat="1" ht="23.1" customHeight="1" thickBot="1" x14ac:dyDescent="0.2">
      <c r="C101" s="1993" t="s">
        <v>96</v>
      </c>
      <c r="D101" s="1981">
        <f t="shared" ref="D101:J101" ca="1" si="3">SUM(D99:D100)</f>
        <v>34</v>
      </c>
      <c r="E101" s="1970">
        <f t="shared" ca="1" si="3"/>
        <v>1</v>
      </c>
      <c r="F101" s="1982">
        <f t="shared" ca="1" si="3"/>
        <v>69.114583333333329</v>
      </c>
      <c r="G101" s="1972">
        <f ca="1">SUM(G99:G100)</f>
        <v>1</v>
      </c>
      <c r="H101" s="1981">
        <f t="shared" ca="1" si="3"/>
        <v>37</v>
      </c>
      <c r="I101" s="1970">
        <f t="shared" ca="1" si="3"/>
        <v>1</v>
      </c>
      <c r="J101" s="1982">
        <f t="shared" ca="1" si="3"/>
        <v>68.969444444444449</v>
      </c>
      <c r="K101" s="1972">
        <f ca="1">SUM(K99:K100)</f>
        <v>1</v>
      </c>
      <c r="M101" s="1993" t="s">
        <v>96</v>
      </c>
      <c r="N101" s="1981">
        <f t="shared" ref="N101:U101" ca="1" si="4">SUM(N99:N100)</f>
        <v>12</v>
      </c>
      <c r="O101" s="1970">
        <f t="shared" ca="1" si="4"/>
        <v>1</v>
      </c>
      <c r="P101" s="1982">
        <f t="shared" ca="1" si="4"/>
        <v>16.444444444444443</v>
      </c>
      <c r="Q101" s="1972">
        <f t="shared" ca="1" si="4"/>
        <v>1</v>
      </c>
      <c r="R101" s="1981">
        <f t="shared" ca="1" si="4"/>
        <v>12</v>
      </c>
      <c r="S101" s="1970">
        <f t="shared" ca="1" si="4"/>
        <v>1</v>
      </c>
      <c r="T101" s="1982">
        <f t="shared" ca="1" si="4"/>
        <v>18.604166666666664</v>
      </c>
      <c r="U101" s="1972">
        <f t="shared" ca="1" si="4"/>
        <v>1</v>
      </c>
    </row>
  </sheetData>
  <mergeCells count="20">
    <mergeCell ref="D2:G2"/>
    <mergeCell ref="H2:K2"/>
    <mergeCell ref="D64:G64"/>
    <mergeCell ref="D33:G33"/>
    <mergeCell ref="H33:K33"/>
    <mergeCell ref="N2:Q2"/>
    <mergeCell ref="R2:U2"/>
    <mergeCell ref="BA33:BD33"/>
    <mergeCell ref="BE33:BH33"/>
    <mergeCell ref="H64:K64"/>
    <mergeCell ref="N64:Q64"/>
    <mergeCell ref="R64:U64"/>
    <mergeCell ref="N33:Q33"/>
    <mergeCell ref="R33:U33"/>
    <mergeCell ref="R95:U95"/>
    <mergeCell ref="H95:K95"/>
    <mergeCell ref="BA64:BD64"/>
    <mergeCell ref="BE64:BH64"/>
    <mergeCell ref="D95:G95"/>
    <mergeCell ref="N95:Q95"/>
  </mergeCells>
  <phoneticPr fontId="40"/>
  <printOptions horizontalCentered="1"/>
  <pageMargins left="0.70866141732283472" right="0.70866141732283472" top="0.74803149606299213" bottom="0.35433070866141736" header="0.31496062992125984" footer="0.31496062992125984"/>
  <pageSetup paperSize="8" scale="60" fitToHeight="2" orientation="landscape" r:id="rId1"/>
  <headerFooter>
    <oddHeader>&amp;L&amp;A&amp;R&amp;D　印刷　</oddHeader>
    <oddFooter>&amp;L介護サービス友乃家&amp;C&amp;P/&amp;N&amp;R&amp;F</oddFooter>
  </headerFooter>
  <rowBreaks count="1" manualBreakCount="1">
    <brk id="62" min="2" max="21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AM227"/>
  <sheetViews>
    <sheetView workbookViewId="0">
      <selection activeCell="E4" sqref="E4"/>
    </sheetView>
  </sheetViews>
  <sheetFormatPr defaultRowHeight="13.5" x14ac:dyDescent="0.15"/>
  <cols>
    <col min="1" max="1" width="13.625" customWidth="1"/>
    <col min="2" max="15" width="13.125" customWidth="1"/>
    <col min="16" max="16" width="13.375" customWidth="1"/>
    <col min="18" max="18" width="15.25" bestFit="1" customWidth="1"/>
    <col min="19" max="19" width="9" hidden="1" customWidth="1"/>
  </cols>
  <sheetData>
    <row r="1" spans="1:19" ht="35.25" customHeight="1" thickBot="1" x14ac:dyDescent="0.2">
      <c r="A1" s="52"/>
      <c r="B1" s="1198"/>
      <c r="C1" s="1197" t="s">
        <v>1257</v>
      </c>
      <c r="D1" s="1196" t="s">
        <v>1266</v>
      </c>
      <c r="E1" s="1196" t="s">
        <v>1013</v>
      </c>
      <c r="F1" s="1196" t="s">
        <v>1014</v>
      </c>
      <c r="G1" s="1196" t="s">
        <v>1265</v>
      </c>
      <c r="H1" s="1196" t="s">
        <v>1264</v>
      </c>
      <c r="I1" s="1196" t="s">
        <v>1250</v>
      </c>
      <c r="J1" s="1196" t="s">
        <v>1249</v>
      </c>
      <c r="K1" s="1196" t="s">
        <v>1248</v>
      </c>
      <c r="L1" s="1196" t="s">
        <v>1247</v>
      </c>
      <c r="M1" s="1196" t="s">
        <v>1246</v>
      </c>
      <c r="N1" s="1195" t="s">
        <v>1245</v>
      </c>
      <c r="O1" s="1230" t="s">
        <v>1263</v>
      </c>
      <c r="P1" s="1229" t="s">
        <v>1262</v>
      </c>
      <c r="Q1" s="1228" t="s">
        <v>1253</v>
      </c>
      <c r="R1" s="1227" t="s">
        <v>1261</v>
      </c>
      <c r="S1" s="1231" t="s">
        <v>1267</v>
      </c>
    </row>
    <row r="2" spans="1:19" ht="24" customHeight="1" x14ac:dyDescent="0.15">
      <c r="A2" s="1189" t="s">
        <v>490</v>
      </c>
      <c r="B2" s="1188" t="s">
        <v>26</v>
      </c>
      <c r="C2" s="1187">
        <v>0</v>
      </c>
      <c r="D2" s="1186">
        <v>0</v>
      </c>
      <c r="E2" s="1186">
        <v>0</v>
      </c>
      <c r="F2" s="1186">
        <v>0</v>
      </c>
      <c r="G2" s="1186">
        <v>0</v>
      </c>
      <c r="H2" s="1186">
        <v>0</v>
      </c>
      <c r="I2" s="1186">
        <v>0</v>
      </c>
      <c r="J2" s="1186">
        <v>0</v>
      </c>
      <c r="K2" s="1186">
        <v>0</v>
      </c>
      <c r="L2" s="1186">
        <v>0</v>
      </c>
      <c r="M2" s="1186">
        <v>0</v>
      </c>
      <c r="N2" s="1185">
        <v>0</v>
      </c>
      <c r="O2" s="1220">
        <f t="shared" ref="O2:O29" si="0">SUM(C2:N2)</f>
        <v>0</v>
      </c>
      <c r="P2" s="1219">
        <f ca="1">'事業所損益管理(H29.9～H30.8)収支計画表'!W9</f>
        <v>140400</v>
      </c>
      <c r="Q2" s="1211">
        <f t="shared" ref="Q2:Q17" ca="1" si="1">O2/P2</f>
        <v>0</v>
      </c>
      <c r="R2" s="1210">
        <f t="shared" ref="R2:R29" ca="1" si="2">O2-P2</f>
        <v>-140400</v>
      </c>
      <c r="S2" s="1235"/>
    </row>
    <row r="3" spans="1:19" ht="24" customHeight="1" x14ac:dyDescent="0.15">
      <c r="A3" s="1175"/>
      <c r="B3" s="1174" t="s">
        <v>15</v>
      </c>
      <c r="C3" s="1173">
        <v>4110000</v>
      </c>
      <c r="D3" s="1172">
        <v>4110000</v>
      </c>
      <c r="E3" s="1172">
        <v>4110000</v>
      </c>
      <c r="F3" s="1172">
        <v>4110000</v>
      </c>
      <c r="G3" s="1172">
        <v>4110000</v>
      </c>
      <c r="H3" s="1172">
        <v>4110000</v>
      </c>
      <c r="I3" s="1172">
        <v>4110000</v>
      </c>
      <c r="J3" s="1172">
        <v>4110000</v>
      </c>
      <c r="K3" s="1172">
        <v>4110000</v>
      </c>
      <c r="L3" s="1172">
        <v>4110000</v>
      </c>
      <c r="M3" s="1172">
        <v>4110000</v>
      </c>
      <c r="N3" s="1171">
        <v>4110000</v>
      </c>
      <c r="O3" s="1207">
        <f t="shared" si="0"/>
        <v>49320000</v>
      </c>
      <c r="P3" s="1205">
        <f ca="1">'事業所損益管理(H29.9～H30.8)収支計画表'!W10</f>
        <v>49907779.757756442</v>
      </c>
      <c r="Q3" s="1226">
        <f t="shared" ca="1" si="1"/>
        <v>0.98822268270379043</v>
      </c>
      <c r="R3" s="1203">
        <f t="shared" ca="1" si="2"/>
        <v>-587779.75775644183</v>
      </c>
      <c r="S3" s="1232"/>
    </row>
    <row r="4" spans="1:19" ht="24" customHeight="1" x14ac:dyDescent="0.15">
      <c r="A4" s="1175"/>
      <c r="B4" s="1174" t="s">
        <v>35</v>
      </c>
      <c r="C4" s="1173">
        <v>2675000</v>
      </c>
      <c r="D4" s="1172">
        <v>2675000</v>
      </c>
      <c r="E4" s="1172">
        <v>2675000</v>
      </c>
      <c r="F4" s="1172">
        <v>2675000</v>
      </c>
      <c r="G4" s="1172">
        <v>2675000</v>
      </c>
      <c r="H4" s="1172">
        <v>2675000</v>
      </c>
      <c r="I4" s="1172">
        <v>2675000</v>
      </c>
      <c r="J4" s="1172">
        <v>2675000</v>
      </c>
      <c r="K4" s="1172">
        <v>2675000</v>
      </c>
      <c r="L4" s="1172">
        <v>2675000</v>
      </c>
      <c r="M4" s="1172">
        <v>2675000</v>
      </c>
      <c r="N4" s="1171">
        <v>2675000</v>
      </c>
      <c r="O4" s="1207">
        <f t="shared" si="0"/>
        <v>32100000</v>
      </c>
      <c r="P4" s="1205">
        <f ca="1">'事業所損益管理(H29.9～H30.8)収支計画表'!W12</f>
        <v>31388032</v>
      </c>
      <c r="Q4" s="1226">
        <f t="shared" ca="1" si="1"/>
        <v>1.0226827855916547</v>
      </c>
      <c r="R4" s="1203">
        <f t="shared" ca="1" si="2"/>
        <v>711968</v>
      </c>
      <c r="S4" s="1232"/>
    </row>
    <row r="5" spans="1:19" ht="24" customHeight="1" thickBot="1" x14ac:dyDescent="0.2">
      <c r="A5" s="1170"/>
      <c r="B5" s="1169" t="s">
        <v>45</v>
      </c>
      <c r="C5" s="1168">
        <f t="shared" ref="C5:N5" si="3">C2-(C3+C4)</f>
        <v>-6785000</v>
      </c>
      <c r="D5" s="1167">
        <f t="shared" si="3"/>
        <v>-6785000</v>
      </c>
      <c r="E5" s="1167">
        <f t="shared" si="3"/>
        <v>-6785000</v>
      </c>
      <c r="F5" s="1167">
        <f t="shared" si="3"/>
        <v>-6785000</v>
      </c>
      <c r="G5" s="1167">
        <f t="shared" si="3"/>
        <v>-6785000</v>
      </c>
      <c r="H5" s="1167">
        <f t="shared" si="3"/>
        <v>-6785000</v>
      </c>
      <c r="I5" s="1167">
        <f t="shared" si="3"/>
        <v>-6785000</v>
      </c>
      <c r="J5" s="1167">
        <f t="shared" si="3"/>
        <v>-6785000</v>
      </c>
      <c r="K5" s="1167">
        <f t="shared" si="3"/>
        <v>-6785000</v>
      </c>
      <c r="L5" s="1167">
        <f t="shared" si="3"/>
        <v>-6785000</v>
      </c>
      <c r="M5" s="1167">
        <f t="shared" si="3"/>
        <v>-6785000</v>
      </c>
      <c r="N5" s="1166">
        <f t="shared" si="3"/>
        <v>-6785000</v>
      </c>
      <c r="O5" s="1216">
        <f t="shared" si="0"/>
        <v>-81420000</v>
      </c>
      <c r="P5" s="1215">
        <f>SUM(D5:O5)</f>
        <v>-156055000</v>
      </c>
      <c r="Q5" s="1225">
        <f t="shared" si="1"/>
        <v>0.52173913043478259</v>
      </c>
      <c r="R5" s="1221">
        <f t="shared" si="2"/>
        <v>74635000</v>
      </c>
      <c r="S5" s="1233"/>
    </row>
    <row r="6" spans="1:19" ht="24" customHeight="1" x14ac:dyDescent="0.15">
      <c r="A6" s="1180" t="s">
        <v>34</v>
      </c>
      <c r="B6" s="1179" t="s">
        <v>26</v>
      </c>
      <c r="C6" s="1178">
        <f>C197</f>
        <v>10700000</v>
      </c>
      <c r="D6" s="1177">
        <f t="shared" ref="D6:N6" si="4">D197</f>
        <v>11000000</v>
      </c>
      <c r="E6" s="1177">
        <f t="shared" si="4"/>
        <v>11000000</v>
      </c>
      <c r="F6" s="1177">
        <f t="shared" si="4"/>
        <v>11000000</v>
      </c>
      <c r="G6" s="1177">
        <f t="shared" si="4"/>
        <v>12000000</v>
      </c>
      <c r="H6" s="1177">
        <f t="shared" si="4"/>
        <v>11500000</v>
      </c>
      <c r="I6" s="1177">
        <f t="shared" si="4"/>
        <v>12000000</v>
      </c>
      <c r="J6" s="1177">
        <f t="shared" si="4"/>
        <v>12000000</v>
      </c>
      <c r="K6" s="1177">
        <f t="shared" si="4"/>
        <v>12000000</v>
      </c>
      <c r="L6" s="1177">
        <f t="shared" si="4"/>
        <v>12000000</v>
      </c>
      <c r="M6" s="1177">
        <f t="shared" si="4"/>
        <v>12000000</v>
      </c>
      <c r="N6" s="1176">
        <f t="shared" si="4"/>
        <v>12000000</v>
      </c>
      <c r="O6" s="1213">
        <f t="shared" si="0"/>
        <v>139200000</v>
      </c>
      <c r="P6" s="1219">
        <f ca="1">'事業所損益管理(H29.9～H30.8)収支計画表'!W19</f>
        <v>122383162</v>
      </c>
      <c r="Q6" s="1224">
        <f t="shared" ca="1" si="1"/>
        <v>1.1374113703648219</v>
      </c>
      <c r="R6" s="1222">
        <f t="shared" ca="1" si="2"/>
        <v>16816838</v>
      </c>
      <c r="S6" s="1236"/>
    </row>
    <row r="7" spans="1:19" ht="24" customHeight="1" x14ac:dyDescent="0.15">
      <c r="A7" s="1175"/>
      <c r="B7" s="1174" t="s">
        <v>15</v>
      </c>
      <c r="C7" s="1173">
        <f>ROUND((C78+ROUND(C141*1.134,0))/1000,0)*1000</f>
        <v>5772000</v>
      </c>
      <c r="D7" s="1172">
        <f t="shared" ref="D7:N7" si="5">ROUND(D6*$C7/$C6/1000,0)*1000</f>
        <v>5934000</v>
      </c>
      <c r="E7" s="1172">
        <f t="shared" si="5"/>
        <v>5934000</v>
      </c>
      <c r="F7" s="1172">
        <f t="shared" si="5"/>
        <v>5934000</v>
      </c>
      <c r="G7" s="1172">
        <f t="shared" si="5"/>
        <v>6473000</v>
      </c>
      <c r="H7" s="1172">
        <f t="shared" si="5"/>
        <v>6204000</v>
      </c>
      <c r="I7" s="1172">
        <f t="shared" si="5"/>
        <v>6473000</v>
      </c>
      <c r="J7" s="1172">
        <f t="shared" si="5"/>
        <v>6473000</v>
      </c>
      <c r="K7" s="1172">
        <f t="shared" si="5"/>
        <v>6473000</v>
      </c>
      <c r="L7" s="1172">
        <f t="shared" si="5"/>
        <v>6473000</v>
      </c>
      <c r="M7" s="1172">
        <f t="shared" si="5"/>
        <v>6473000</v>
      </c>
      <c r="N7" s="1171">
        <f t="shared" si="5"/>
        <v>6473000</v>
      </c>
      <c r="O7" s="1207">
        <f t="shared" si="0"/>
        <v>75089000</v>
      </c>
      <c r="P7" s="1205">
        <f ca="1">'事業所損益管理(H29.9～H30.8)収支計画表'!W20</f>
        <v>75370655.58090657</v>
      </c>
      <c r="Q7" s="1204">
        <f t="shared" ca="1" si="1"/>
        <v>0.99626306048772217</v>
      </c>
      <c r="R7" s="1203">
        <f t="shared" ca="1" si="2"/>
        <v>-281655.58090656996</v>
      </c>
      <c r="S7" s="1232"/>
    </row>
    <row r="8" spans="1:19" ht="24" customHeight="1" x14ac:dyDescent="0.15">
      <c r="A8" s="1175"/>
      <c r="B8" s="1174" t="s">
        <v>35</v>
      </c>
      <c r="C8" s="1173">
        <v>929000</v>
      </c>
      <c r="D8" s="1172">
        <f>ROUND(D6*$S8/1000,0)*1000</f>
        <v>955000</v>
      </c>
      <c r="E8" s="1172">
        <f t="shared" ref="E8:N8" si="6">ROUND(E6*$S8/1000,0)*1000</f>
        <v>955000</v>
      </c>
      <c r="F8" s="1172">
        <f t="shared" si="6"/>
        <v>955000</v>
      </c>
      <c r="G8" s="1172">
        <f t="shared" si="6"/>
        <v>1042000</v>
      </c>
      <c r="H8" s="1172">
        <f t="shared" si="6"/>
        <v>998000</v>
      </c>
      <c r="I8" s="1172">
        <f t="shared" si="6"/>
        <v>1042000</v>
      </c>
      <c r="J8" s="1172">
        <f t="shared" si="6"/>
        <v>1042000</v>
      </c>
      <c r="K8" s="1172">
        <f t="shared" si="6"/>
        <v>1042000</v>
      </c>
      <c r="L8" s="1172">
        <f t="shared" si="6"/>
        <v>1042000</v>
      </c>
      <c r="M8" s="1172">
        <f t="shared" si="6"/>
        <v>1042000</v>
      </c>
      <c r="N8" s="1171">
        <f t="shared" si="6"/>
        <v>1042000</v>
      </c>
      <c r="O8" s="1207">
        <f t="shared" si="0"/>
        <v>12086000</v>
      </c>
      <c r="P8" s="1205">
        <f ca="1">'事業所損益管理(H29.9～H30.8)収支計画表'!W22</f>
        <v>10914893</v>
      </c>
      <c r="Q8" s="1204">
        <f t="shared" ca="1" si="1"/>
        <v>1.1072944095741479</v>
      </c>
      <c r="R8" s="1203">
        <f t="shared" ca="1" si="2"/>
        <v>1171107</v>
      </c>
      <c r="S8" s="1234">
        <f>C8/C6</f>
        <v>8.6822429906542056E-2</v>
      </c>
    </row>
    <row r="9" spans="1:19" ht="24" customHeight="1" thickBot="1" x14ac:dyDescent="0.2">
      <c r="A9" s="1194"/>
      <c r="B9" s="1193" t="s">
        <v>45</v>
      </c>
      <c r="C9" s="1192">
        <f t="shared" ref="C9:N9" si="7">C6-(C7+C8)</f>
        <v>3999000</v>
      </c>
      <c r="D9" s="1191">
        <f t="shared" si="7"/>
        <v>4111000</v>
      </c>
      <c r="E9" s="1191">
        <f t="shared" si="7"/>
        <v>4111000</v>
      </c>
      <c r="F9" s="1191">
        <f t="shared" si="7"/>
        <v>4111000</v>
      </c>
      <c r="G9" s="1191">
        <f t="shared" si="7"/>
        <v>4485000</v>
      </c>
      <c r="H9" s="1191">
        <f t="shared" si="7"/>
        <v>4298000</v>
      </c>
      <c r="I9" s="1191">
        <f t="shared" si="7"/>
        <v>4485000</v>
      </c>
      <c r="J9" s="1191">
        <f t="shared" si="7"/>
        <v>4485000</v>
      </c>
      <c r="K9" s="1191">
        <f t="shared" si="7"/>
        <v>4485000</v>
      </c>
      <c r="L9" s="1191">
        <f t="shared" si="7"/>
        <v>4485000</v>
      </c>
      <c r="M9" s="1191">
        <f t="shared" si="7"/>
        <v>4485000</v>
      </c>
      <c r="N9" s="1190">
        <f t="shared" si="7"/>
        <v>4485000</v>
      </c>
      <c r="O9" s="1206">
        <f t="shared" si="0"/>
        <v>52025000</v>
      </c>
      <c r="P9" s="1215">
        <f ca="1">P6-(P7+P8)</f>
        <v>36097613.41909343</v>
      </c>
      <c r="Q9" s="1200">
        <f t="shared" ca="1" si="1"/>
        <v>1.4412310142498772</v>
      </c>
      <c r="R9" s="1199">
        <f t="shared" ca="1" si="2"/>
        <v>15927386.58090657</v>
      </c>
      <c r="S9" s="1237"/>
    </row>
    <row r="10" spans="1:19" ht="24" customHeight="1" x14ac:dyDescent="0.15">
      <c r="A10" s="1189" t="s">
        <v>37</v>
      </c>
      <c r="B10" s="1188" t="s">
        <v>26</v>
      </c>
      <c r="C10" s="1187">
        <f>C198</f>
        <v>6500000</v>
      </c>
      <c r="D10" s="1186">
        <f t="shared" ref="D10:N10" si="8">D198</f>
        <v>6500000</v>
      </c>
      <c r="E10" s="1186">
        <f t="shared" si="8"/>
        <v>6500000</v>
      </c>
      <c r="F10" s="1186">
        <f t="shared" si="8"/>
        <v>6700000</v>
      </c>
      <c r="G10" s="1186">
        <f t="shared" si="8"/>
        <v>6700000</v>
      </c>
      <c r="H10" s="1186">
        <f t="shared" si="8"/>
        <v>6500000</v>
      </c>
      <c r="I10" s="1186">
        <f t="shared" si="8"/>
        <v>6700000</v>
      </c>
      <c r="J10" s="1186">
        <f t="shared" si="8"/>
        <v>6900000</v>
      </c>
      <c r="K10" s="1186">
        <f t="shared" si="8"/>
        <v>7000000</v>
      </c>
      <c r="L10" s="1186">
        <f t="shared" si="8"/>
        <v>7100000</v>
      </c>
      <c r="M10" s="1186">
        <f t="shared" si="8"/>
        <v>7500000</v>
      </c>
      <c r="N10" s="1185">
        <f t="shared" si="8"/>
        <v>7400000</v>
      </c>
      <c r="O10" s="1220">
        <f t="shared" si="0"/>
        <v>82000000</v>
      </c>
      <c r="P10" s="1219">
        <f ca="1">'事業所損益管理(H29.9～H30.8)収支計画表'!W29</f>
        <v>73729089</v>
      </c>
      <c r="Q10" s="1211">
        <f t="shared" ca="1" si="1"/>
        <v>1.1121797530958235</v>
      </c>
      <c r="R10" s="1210">
        <f t="shared" ca="1" si="2"/>
        <v>8270911</v>
      </c>
      <c r="S10" s="1235"/>
    </row>
    <row r="11" spans="1:19" ht="24" customHeight="1" x14ac:dyDescent="0.15">
      <c r="A11" s="1175"/>
      <c r="B11" s="1174" t="s">
        <v>15</v>
      </c>
      <c r="C11" s="1173">
        <v>4035000</v>
      </c>
      <c r="D11" s="1172">
        <f t="shared" ref="D11:N11" si="9">ROUND(D10*$C11/$C10/1000,0)*1000</f>
        <v>4035000</v>
      </c>
      <c r="E11" s="1172">
        <f t="shared" si="9"/>
        <v>4035000</v>
      </c>
      <c r="F11" s="1172">
        <f t="shared" si="9"/>
        <v>4159000</v>
      </c>
      <c r="G11" s="1172">
        <f t="shared" si="9"/>
        <v>4159000</v>
      </c>
      <c r="H11" s="1172">
        <f t="shared" si="9"/>
        <v>4035000</v>
      </c>
      <c r="I11" s="1172">
        <f t="shared" si="9"/>
        <v>4159000</v>
      </c>
      <c r="J11" s="1172">
        <f t="shared" si="9"/>
        <v>4283000</v>
      </c>
      <c r="K11" s="1172">
        <f t="shared" si="9"/>
        <v>4345000</v>
      </c>
      <c r="L11" s="1172">
        <f t="shared" si="9"/>
        <v>4407000</v>
      </c>
      <c r="M11" s="1172">
        <f t="shared" si="9"/>
        <v>4656000</v>
      </c>
      <c r="N11" s="1171">
        <f t="shared" si="9"/>
        <v>4594000</v>
      </c>
      <c r="O11" s="1207">
        <f t="shared" si="0"/>
        <v>50902000</v>
      </c>
      <c r="P11" s="1205">
        <f ca="1">'事業所損益管理(H29.9～H30.8)収支計画表'!W30</f>
        <v>53876637.966421343</v>
      </c>
      <c r="Q11" s="1204">
        <f t="shared" ca="1" si="1"/>
        <v>0.94478798086333282</v>
      </c>
      <c r="R11" s="1203">
        <f t="shared" ca="1" si="2"/>
        <v>-2974637.9664213434</v>
      </c>
      <c r="S11" s="1232"/>
    </row>
    <row r="12" spans="1:19" ht="24" customHeight="1" x14ac:dyDescent="0.15">
      <c r="A12" s="1175"/>
      <c r="B12" s="1174" t="s">
        <v>35</v>
      </c>
      <c r="C12" s="1173">
        <v>1025000</v>
      </c>
      <c r="D12" s="1172">
        <f>ROUND(D10*$S12/1000,0)*1000</f>
        <v>1025000</v>
      </c>
      <c r="E12" s="1172">
        <f t="shared" ref="E12:N12" si="10">ROUND(E10*$S12/1000,0)*1000</f>
        <v>1025000</v>
      </c>
      <c r="F12" s="1172">
        <f t="shared" si="10"/>
        <v>1057000</v>
      </c>
      <c r="G12" s="1172">
        <f t="shared" si="10"/>
        <v>1057000</v>
      </c>
      <c r="H12" s="1172">
        <f t="shared" si="10"/>
        <v>1025000</v>
      </c>
      <c r="I12" s="1172">
        <f t="shared" si="10"/>
        <v>1057000</v>
      </c>
      <c r="J12" s="1172">
        <f t="shared" si="10"/>
        <v>1088000</v>
      </c>
      <c r="K12" s="1172">
        <f t="shared" si="10"/>
        <v>1104000</v>
      </c>
      <c r="L12" s="1172">
        <f t="shared" si="10"/>
        <v>1120000</v>
      </c>
      <c r="M12" s="1172">
        <f t="shared" si="10"/>
        <v>1183000</v>
      </c>
      <c r="N12" s="1171">
        <f t="shared" si="10"/>
        <v>1167000</v>
      </c>
      <c r="O12" s="1207">
        <f t="shared" si="0"/>
        <v>12933000</v>
      </c>
      <c r="P12" s="1205">
        <f ca="1">'事業所損益管理(H29.9～H30.8)収支計画表'!W32</f>
        <v>11848747</v>
      </c>
      <c r="Q12" s="1204">
        <f t="shared" ca="1" si="1"/>
        <v>1.0915078193500123</v>
      </c>
      <c r="R12" s="1203">
        <f t="shared" ca="1" si="2"/>
        <v>1084253</v>
      </c>
      <c r="S12" s="1234">
        <f>C12/C10</f>
        <v>0.15769230769230769</v>
      </c>
    </row>
    <row r="13" spans="1:19" ht="24" customHeight="1" thickBot="1" x14ac:dyDescent="0.2">
      <c r="A13" s="1170"/>
      <c r="B13" s="1169" t="s">
        <v>45</v>
      </c>
      <c r="C13" s="1168">
        <f t="shared" ref="C13:N13" si="11">C10-(C11+C12)</f>
        <v>1440000</v>
      </c>
      <c r="D13" s="1167">
        <f t="shared" si="11"/>
        <v>1440000</v>
      </c>
      <c r="E13" s="1167">
        <f t="shared" si="11"/>
        <v>1440000</v>
      </c>
      <c r="F13" s="1167">
        <f t="shared" si="11"/>
        <v>1484000</v>
      </c>
      <c r="G13" s="1167">
        <f t="shared" si="11"/>
        <v>1484000</v>
      </c>
      <c r="H13" s="1167">
        <f t="shared" si="11"/>
        <v>1440000</v>
      </c>
      <c r="I13" s="1167">
        <f t="shared" si="11"/>
        <v>1484000</v>
      </c>
      <c r="J13" s="1167">
        <f t="shared" si="11"/>
        <v>1529000</v>
      </c>
      <c r="K13" s="1167">
        <f t="shared" si="11"/>
        <v>1551000</v>
      </c>
      <c r="L13" s="1167">
        <f t="shared" si="11"/>
        <v>1573000</v>
      </c>
      <c r="M13" s="1167">
        <f t="shared" si="11"/>
        <v>1661000</v>
      </c>
      <c r="N13" s="1166">
        <f t="shared" si="11"/>
        <v>1639000</v>
      </c>
      <c r="O13" s="1216">
        <f t="shared" si="0"/>
        <v>18165000</v>
      </c>
      <c r="P13" s="1215">
        <f ca="1">P10-(P11+P12)</f>
        <v>8003704.0335786566</v>
      </c>
      <c r="Q13" s="1223">
        <f t="shared" ca="1" si="1"/>
        <v>2.2695741776296008</v>
      </c>
      <c r="R13" s="1221">
        <f t="shared" ca="1" si="2"/>
        <v>10161295.966421343</v>
      </c>
      <c r="S13" s="1233"/>
    </row>
    <row r="14" spans="1:19" ht="24" customHeight="1" x14ac:dyDescent="0.15">
      <c r="A14" s="1180" t="s">
        <v>66</v>
      </c>
      <c r="B14" s="1179" t="s">
        <v>26</v>
      </c>
      <c r="C14" s="1178">
        <f>C199</f>
        <v>7000000</v>
      </c>
      <c r="D14" s="1177">
        <f t="shared" ref="D14:N14" si="12">D199</f>
        <v>7200000</v>
      </c>
      <c r="E14" s="1177">
        <f t="shared" si="12"/>
        <v>7000000</v>
      </c>
      <c r="F14" s="1177">
        <f t="shared" si="12"/>
        <v>7100000</v>
      </c>
      <c r="G14" s="1177">
        <f t="shared" si="12"/>
        <v>7000000</v>
      </c>
      <c r="H14" s="1177">
        <f t="shared" si="12"/>
        <v>6800000</v>
      </c>
      <c r="I14" s="1177">
        <f t="shared" si="12"/>
        <v>7200000</v>
      </c>
      <c r="J14" s="1177">
        <f t="shared" si="12"/>
        <v>7000000</v>
      </c>
      <c r="K14" s="1177">
        <f t="shared" si="12"/>
        <v>7200000</v>
      </c>
      <c r="L14" s="1177">
        <f t="shared" si="12"/>
        <v>7250000</v>
      </c>
      <c r="M14" s="1177">
        <f t="shared" si="12"/>
        <v>7400000</v>
      </c>
      <c r="N14" s="1176">
        <f t="shared" si="12"/>
        <v>7500000</v>
      </c>
      <c r="O14" s="1213">
        <f t="shared" si="0"/>
        <v>85650000</v>
      </c>
      <c r="P14" s="1219">
        <f ca="1">'事業所損益管理(H29.9～H30.8)収支計画表'!W39</f>
        <v>75115486</v>
      </c>
      <c r="Q14" s="1224">
        <f t="shared" ca="1" si="1"/>
        <v>1.1402442367210404</v>
      </c>
      <c r="R14" s="1222">
        <f t="shared" ca="1" si="2"/>
        <v>10534514</v>
      </c>
      <c r="S14" s="1236"/>
    </row>
    <row r="15" spans="1:19" ht="24" customHeight="1" x14ac:dyDescent="0.15">
      <c r="A15" s="1175"/>
      <c r="B15" s="1174" t="s">
        <v>15</v>
      </c>
      <c r="C15" s="1173">
        <v>4049000</v>
      </c>
      <c r="D15" s="1172">
        <f t="shared" ref="D15:N15" si="13">ROUND(D14*$C15/$C14/1000,0)*1000</f>
        <v>4165000</v>
      </c>
      <c r="E15" s="1172">
        <f t="shared" si="13"/>
        <v>4049000</v>
      </c>
      <c r="F15" s="1172">
        <f t="shared" si="13"/>
        <v>4107000</v>
      </c>
      <c r="G15" s="1172">
        <f t="shared" si="13"/>
        <v>4049000</v>
      </c>
      <c r="H15" s="1172">
        <f t="shared" si="13"/>
        <v>3933000</v>
      </c>
      <c r="I15" s="1172">
        <f t="shared" si="13"/>
        <v>4165000</v>
      </c>
      <c r="J15" s="1172">
        <f t="shared" si="13"/>
        <v>4049000</v>
      </c>
      <c r="K15" s="1172">
        <f t="shared" si="13"/>
        <v>4165000</v>
      </c>
      <c r="L15" s="1172">
        <f t="shared" si="13"/>
        <v>4194000</v>
      </c>
      <c r="M15" s="1172">
        <f t="shared" si="13"/>
        <v>4280000</v>
      </c>
      <c r="N15" s="1171">
        <f t="shared" si="13"/>
        <v>4338000</v>
      </c>
      <c r="O15" s="1207">
        <f t="shared" si="0"/>
        <v>49543000</v>
      </c>
      <c r="P15" s="1205">
        <f ca="1">'事業所損益管理(H29.9～H30.8)収支計画表'!W40</f>
        <v>50876526.944499314</v>
      </c>
      <c r="Q15" s="1204">
        <f t="shared" ca="1" si="1"/>
        <v>0.97378895485625339</v>
      </c>
      <c r="R15" s="1203">
        <f t="shared" ca="1" si="2"/>
        <v>-1333526.9444993138</v>
      </c>
      <c r="S15" s="1232"/>
    </row>
    <row r="16" spans="1:19" ht="24" customHeight="1" x14ac:dyDescent="0.15">
      <c r="A16" s="1175"/>
      <c r="B16" s="1174" t="s">
        <v>35</v>
      </c>
      <c r="C16" s="1173">
        <v>844000</v>
      </c>
      <c r="D16" s="1172">
        <f>ROUND(D14*$S16/1000,0)*1000</f>
        <v>868000</v>
      </c>
      <c r="E16" s="1172">
        <f t="shared" ref="E16:N16" si="14">ROUND(E14*$S16/1000,0)*1000</f>
        <v>844000</v>
      </c>
      <c r="F16" s="1172">
        <f t="shared" si="14"/>
        <v>856000</v>
      </c>
      <c r="G16" s="1172">
        <f t="shared" si="14"/>
        <v>844000</v>
      </c>
      <c r="H16" s="1172">
        <f t="shared" si="14"/>
        <v>820000</v>
      </c>
      <c r="I16" s="1172">
        <f t="shared" si="14"/>
        <v>868000</v>
      </c>
      <c r="J16" s="1172">
        <f t="shared" si="14"/>
        <v>844000</v>
      </c>
      <c r="K16" s="1172">
        <f t="shared" si="14"/>
        <v>868000</v>
      </c>
      <c r="L16" s="1172">
        <f t="shared" si="14"/>
        <v>874000</v>
      </c>
      <c r="M16" s="1172">
        <f t="shared" si="14"/>
        <v>892000</v>
      </c>
      <c r="N16" s="1171">
        <f t="shared" si="14"/>
        <v>904000</v>
      </c>
      <c r="O16" s="1207">
        <f t="shared" si="0"/>
        <v>10326000</v>
      </c>
      <c r="P16" s="1205">
        <f ca="1">'事業所損益管理(H29.9～H30.8)収支計画表'!W42</f>
        <v>10585033</v>
      </c>
      <c r="Q16" s="1204">
        <f t="shared" ca="1" si="1"/>
        <v>0.97552837104995327</v>
      </c>
      <c r="R16" s="1203">
        <f t="shared" ca="1" si="2"/>
        <v>-259033</v>
      </c>
      <c r="S16" s="1234">
        <f>C16/C14</f>
        <v>0.12057142857142857</v>
      </c>
    </row>
    <row r="17" spans="1:20" ht="24" customHeight="1" thickBot="1" x14ac:dyDescent="0.2">
      <c r="A17" s="1194"/>
      <c r="B17" s="1193" t="s">
        <v>45</v>
      </c>
      <c r="C17" s="1192">
        <f t="shared" ref="C17:N17" si="15">C14-(C15+C16)</f>
        <v>2107000</v>
      </c>
      <c r="D17" s="1191">
        <f t="shared" si="15"/>
        <v>2167000</v>
      </c>
      <c r="E17" s="1191">
        <f t="shared" si="15"/>
        <v>2107000</v>
      </c>
      <c r="F17" s="1191">
        <f t="shared" si="15"/>
        <v>2137000</v>
      </c>
      <c r="G17" s="1191">
        <f t="shared" si="15"/>
        <v>2107000</v>
      </c>
      <c r="H17" s="1191">
        <f t="shared" si="15"/>
        <v>2047000</v>
      </c>
      <c r="I17" s="1191">
        <f t="shared" si="15"/>
        <v>2167000</v>
      </c>
      <c r="J17" s="1191">
        <f t="shared" si="15"/>
        <v>2107000</v>
      </c>
      <c r="K17" s="1191">
        <f t="shared" si="15"/>
        <v>2167000</v>
      </c>
      <c r="L17" s="1191">
        <f t="shared" si="15"/>
        <v>2182000</v>
      </c>
      <c r="M17" s="1191">
        <f t="shared" si="15"/>
        <v>2228000</v>
      </c>
      <c r="N17" s="1190">
        <f t="shared" si="15"/>
        <v>2258000</v>
      </c>
      <c r="O17" s="1206">
        <f t="shared" si="0"/>
        <v>25781000</v>
      </c>
      <c r="P17" s="1215">
        <f ca="1">P14-(P15+P16)</f>
        <v>13653926.055500686</v>
      </c>
      <c r="Q17" s="1200">
        <f t="shared" ca="1" si="1"/>
        <v>1.8881748659839668</v>
      </c>
      <c r="R17" s="1199">
        <f t="shared" ca="1" si="2"/>
        <v>12127073.944499314</v>
      </c>
      <c r="S17" s="1237"/>
    </row>
    <row r="18" spans="1:20" ht="24" customHeight="1" x14ac:dyDescent="0.15">
      <c r="A18" s="1189" t="s">
        <v>967</v>
      </c>
      <c r="B18" s="1188" t="s">
        <v>26</v>
      </c>
      <c r="C18" s="1187">
        <f>C200</f>
        <v>1000000</v>
      </c>
      <c r="D18" s="1186">
        <f t="shared" ref="D18:N18" si="16">D200</f>
        <v>1200000</v>
      </c>
      <c r="E18" s="1186">
        <f t="shared" si="16"/>
        <v>1400000</v>
      </c>
      <c r="F18" s="1186">
        <f t="shared" si="16"/>
        <v>1600000</v>
      </c>
      <c r="G18" s="1186">
        <f t="shared" si="16"/>
        <v>1900000</v>
      </c>
      <c r="H18" s="1186">
        <f t="shared" si="16"/>
        <v>2100000</v>
      </c>
      <c r="I18" s="1186">
        <f t="shared" si="16"/>
        <v>2200000</v>
      </c>
      <c r="J18" s="1186">
        <f t="shared" si="16"/>
        <v>2400000</v>
      </c>
      <c r="K18" s="1186">
        <f t="shared" si="16"/>
        <v>2600000</v>
      </c>
      <c r="L18" s="1186">
        <f t="shared" si="16"/>
        <v>2800000</v>
      </c>
      <c r="M18" s="1186">
        <f t="shared" si="16"/>
        <v>3000000</v>
      </c>
      <c r="N18" s="1185">
        <f t="shared" si="16"/>
        <v>3200000</v>
      </c>
      <c r="O18" s="1220">
        <f t="shared" si="0"/>
        <v>25400000</v>
      </c>
      <c r="P18" s="1219"/>
      <c r="Q18" s="1224"/>
      <c r="R18" s="1210">
        <f t="shared" si="2"/>
        <v>25400000</v>
      </c>
      <c r="S18" s="1236"/>
    </row>
    <row r="19" spans="1:20" ht="24" customHeight="1" x14ac:dyDescent="0.15">
      <c r="A19" s="1175"/>
      <c r="B19" s="1174" t="s">
        <v>15</v>
      </c>
      <c r="C19" s="1173">
        <f>ROUND((C90+ROUND(C136*1.134,0))/1000,0)*1000</f>
        <v>1115000</v>
      </c>
      <c r="D19" s="1172">
        <f t="shared" ref="D19:N19" si="17">ROUND((D90+ROUND(D136*1.134,0))/1000,0)*1000</f>
        <v>1251000</v>
      </c>
      <c r="E19" s="1172">
        <f t="shared" si="17"/>
        <v>1281000</v>
      </c>
      <c r="F19" s="1172">
        <f t="shared" si="17"/>
        <v>1518000</v>
      </c>
      <c r="G19" s="1172">
        <f t="shared" si="17"/>
        <v>1453000</v>
      </c>
      <c r="H19" s="1172">
        <f t="shared" si="17"/>
        <v>1300000</v>
      </c>
      <c r="I19" s="1172">
        <f t="shared" si="17"/>
        <v>1319000</v>
      </c>
      <c r="J19" s="1172">
        <f t="shared" si="17"/>
        <v>1348000</v>
      </c>
      <c r="K19" s="1172">
        <f t="shared" si="17"/>
        <v>1594000</v>
      </c>
      <c r="L19" s="1172">
        <f t="shared" si="17"/>
        <v>1760000</v>
      </c>
      <c r="M19" s="1172">
        <f t="shared" si="17"/>
        <v>1657000</v>
      </c>
      <c r="N19" s="1171">
        <f t="shared" si="17"/>
        <v>1950000</v>
      </c>
      <c r="O19" s="1207">
        <f t="shared" si="0"/>
        <v>17546000</v>
      </c>
      <c r="P19" s="1205"/>
      <c r="Q19" s="1204"/>
      <c r="R19" s="1203">
        <f t="shared" si="2"/>
        <v>17546000</v>
      </c>
      <c r="S19" s="1232"/>
    </row>
    <row r="20" spans="1:20" ht="24" customHeight="1" x14ac:dyDescent="0.15">
      <c r="A20" s="1175"/>
      <c r="B20" s="1174" t="s">
        <v>35</v>
      </c>
      <c r="C20" s="1173">
        <v>449000</v>
      </c>
      <c r="D20" s="1172">
        <v>384000</v>
      </c>
      <c r="E20" s="1172">
        <v>489000</v>
      </c>
      <c r="F20" s="1172">
        <v>250000</v>
      </c>
      <c r="G20" s="1172">
        <v>554000</v>
      </c>
      <c r="H20" s="1172">
        <v>332000</v>
      </c>
      <c r="I20" s="1172">
        <v>341000</v>
      </c>
      <c r="J20" s="1172">
        <v>350000</v>
      </c>
      <c r="K20" s="1172">
        <v>432000</v>
      </c>
      <c r="L20" s="1172">
        <v>341000</v>
      </c>
      <c r="M20" s="1172">
        <v>306000</v>
      </c>
      <c r="N20" s="1171">
        <v>421000</v>
      </c>
      <c r="O20" s="1207">
        <f t="shared" si="0"/>
        <v>4649000</v>
      </c>
      <c r="P20" s="1205"/>
      <c r="Q20" s="1204"/>
      <c r="R20" s="1203">
        <f t="shared" si="2"/>
        <v>4649000</v>
      </c>
      <c r="S20" s="1232"/>
    </row>
    <row r="21" spans="1:20" ht="24" customHeight="1" thickBot="1" x14ac:dyDescent="0.2">
      <c r="A21" s="1170"/>
      <c r="B21" s="1169" t="s">
        <v>45</v>
      </c>
      <c r="C21" s="1168">
        <f t="shared" ref="C21:N21" si="18">C18-(C19+C20)</f>
        <v>-564000</v>
      </c>
      <c r="D21" s="1167">
        <f t="shared" si="18"/>
        <v>-435000</v>
      </c>
      <c r="E21" s="1167">
        <f t="shared" si="18"/>
        <v>-370000</v>
      </c>
      <c r="F21" s="1167">
        <f t="shared" si="18"/>
        <v>-168000</v>
      </c>
      <c r="G21" s="1167">
        <f t="shared" si="18"/>
        <v>-107000</v>
      </c>
      <c r="H21" s="1167">
        <f t="shared" si="18"/>
        <v>468000</v>
      </c>
      <c r="I21" s="1167">
        <f t="shared" si="18"/>
        <v>540000</v>
      </c>
      <c r="J21" s="1167">
        <f t="shared" si="18"/>
        <v>702000</v>
      </c>
      <c r="K21" s="1167">
        <f t="shared" si="18"/>
        <v>574000</v>
      </c>
      <c r="L21" s="1167">
        <f t="shared" si="18"/>
        <v>699000</v>
      </c>
      <c r="M21" s="1167">
        <f t="shared" si="18"/>
        <v>1037000</v>
      </c>
      <c r="N21" s="1166">
        <f t="shared" si="18"/>
        <v>829000</v>
      </c>
      <c r="O21" s="1216">
        <f t="shared" si="0"/>
        <v>3205000</v>
      </c>
      <c r="P21" s="1215"/>
      <c r="Q21" s="1200"/>
      <c r="R21" s="1199">
        <f t="shared" si="2"/>
        <v>3205000</v>
      </c>
      <c r="S21" s="1237"/>
    </row>
    <row r="22" spans="1:20" ht="24" customHeight="1" x14ac:dyDescent="0.15">
      <c r="A22" s="1180" t="s">
        <v>1143</v>
      </c>
      <c r="B22" s="1179" t="s">
        <v>26</v>
      </c>
      <c r="C22" s="1178">
        <f>C201</f>
        <v>0</v>
      </c>
      <c r="D22" s="1177">
        <f t="shared" ref="D22:N22" si="19">D201</f>
        <v>400000</v>
      </c>
      <c r="E22" s="1177">
        <f t="shared" si="19"/>
        <v>850000</v>
      </c>
      <c r="F22" s="1177">
        <f t="shared" si="19"/>
        <v>1000000</v>
      </c>
      <c r="G22" s="1177">
        <f t="shared" si="19"/>
        <v>1000000</v>
      </c>
      <c r="H22" s="1177">
        <f t="shared" si="19"/>
        <v>1200000</v>
      </c>
      <c r="I22" s="1177">
        <f t="shared" si="19"/>
        <v>1400000</v>
      </c>
      <c r="J22" s="1177">
        <f t="shared" si="19"/>
        <v>1600000</v>
      </c>
      <c r="K22" s="1177">
        <f t="shared" si="19"/>
        <v>1900000</v>
      </c>
      <c r="L22" s="1177">
        <f t="shared" si="19"/>
        <v>2100000</v>
      </c>
      <c r="M22" s="1177">
        <f t="shared" si="19"/>
        <v>2200000</v>
      </c>
      <c r="N22" s="1176">
        <f t="shared" si="19"/>
        <v>2400000</v>
      </c>
      <c r="O22" s="1213">
        <f t="shared" si="0"/>
        <v>16050000</v>
      </c>
      <c r="P22" s="1219"/>
      <c r="Q22" s="1224"/>
      <c r="R22" s="1210">
        <f t="shared" si="2"/>
        <v>16050000</v>
      </c>
      <c r="S22" s="1236"/>
    </row>
    <row r="23" spans="1:20" ht="24" customHeight="1" x14ac:dyDescent="0.15">
      <c r="A23" s="1175"/>
      <c r="B23" s="1174" t="s">
        <v>15</v>
      </c>
      <c r="C23" s="1173">
        <f>ROUND((C94+ROUND(C137*1.134,0))/1000,0)*1000</f>
        <v>396000</v>
      </c>
      <c r="D23" s="1172">
        <f t="shared" ref="D23:N23" si="20">ROUND((D94+ROUND(D137*1.134,0))/1000,0)*1000</f>
        <v>633000</v>
      </c>
      <c r="E23" s="1172">
        <f t="shared" si="20"/>
        <v>931000</v>
      </c>
      <c r="F23" s="1172">
        <f t="shared" si="20"/>
        <v>980000</v>
      </c>
      <c r="G23" s="1172">
        <f t="shared" si="20"/>
        <v>1140000</v>
      </c>
      <c r="H23" s="1172">
        <f t="shared" si="20"/>
        <v>1299000</v>
      </c>
      <c r="I23" s="1172">
        <f t="shared" si="20"/>
        <v>1306000</v>
      </c>
      <c r="J23" s="1172">
        <f t="shared" si="20"/>
        <v>1520000</v>
      </c>
      <c r="K23" s="1172">
        <f t="shared" si="20"/>
        <v>1455000</v>
      </c>
      <c r="L23" s="1172">
        <f t="shared" si="20"/>
        <v>1302000</v>
      </c>
      <c r="M23" s="1172">
        <f t="shared" si="20"/>
        <v>1322000</v>
      </c>
      <c r="N23" s="1171">
        <f t="shared" si="20"/>
        <v>1350000</v>
      </c>
      <c r="O23" s="1207">
        <f t="shared" si="0"/>
        <v>13634000</v>
      </c>
      <c r="P23" s="1205"/>
      <c r="Q23" s="1204"/>
      <c r="R23" s="1203">
        <f t="shared" si="2"/>
        <v>13634000</v>
      </c>
      <c r="S23" s="1232"/>
    </row>
    <row r="24" spans="1:20" ht="24" customHeight="1" x14ac:dyDescent="0.15">
      <c r="A24" s="1175"/>
      <c r="B24" s="1174" t="s">
        <v>35</v>
      </c>
      <c r="C24" s="1173">
        <v>660000</v>
      </c>
      <c r="D24" s="1172">
        <v>811000</v>
      </c>
      <c r="E24" s="1172">
        <v>525000</v>
      </c>
      <c r="F24" s="1172">
        <v>588000</v>
      </c>
      <c r="G24" s="1172">
        <v>590000</v>
      </c>
      <c r="H24" s="1172">
        <v>525000</v>
      </c>
      <c r="I24" s="1172">
        <v>630000</v>
      </c>
      <c r="J24" s="1172">
        <v>391000</v>
      </c>
      <c r="K24" s="1172">
        <v>694000</v>
      </c>
      <c r="L24" s="1172">
        <v>472000</v>
      </c>
      <c r="M24" s="1172">
        <v>482000</v>
      </c>
      <c r="N24" s="1171">
        <v>491000</v>
      </c>
      <c r="O24" s="1207">
        <f t="shared" si="0"/>
        <v>6859000</v>
      </c>
      <c r="P24" s="1205"/>
      <c r="Q24" s="1204"/>
      <c r="R24" s="1203">
        <f t="shared" si="2"/>
        <v>6859000</v>
      </c>
      <c r="S24" s="1232"/>
    </row>
    <row r="25" spans="1:20" ht="24" customHeight="1" thickBot="1" x14ac:dyDescent="0.2">
      <c r="A25" s="1194"/>
      <c r="B25" s="1193" t="s">
        <v>45</v>
      </c>
      <c r="C25" s="1192">
        <f t="shared" ref="C25:N25" si="21">C22-(C23+C24)</f>
        <v>-1056000</v>
      </c>
      <c r="D25" s="1191">
        <f t="shared" si="21"/>
        <v>-1044000</v>
      </c>
      <c r="E25" s="1191">
        <f t="shared" si="21"/>
        <v>-606000</v>
      </c>
      <c r="F25" s="1191">
        <f t="shared" si="21"/>
        <v>-568000</v>
      </c>
      <c r="G25" s="1191">
        <f t="shared" si="21"/>
        <v>-730000</v>
      </c>
      <c r="H25" s="1191">
        <f t="shared" si="21"/>
        <v>-624000</v>
      </c>
      <c r="I25" s="1191">
        <f t="shared" si="21"/>
        <v>-536000</v>
      </c>
      <c r="J25" s="1191">
        <f t="shared" si="21"/>
        <v>-311000</v>
      </c>
      <c r="K25" s="1191">
        <f t="shared" si="21"/>
        <v>-249000</v>
      </c>
      <c r="L25" s="1191">
        <f t="shared" si="21"/>
        <v>326000</v>
      </c>
      <c r="M25" s="1191">
        <f t="shared" si="21"/>
        <v>396000</v>
      </c>
      <c r="N25" s="1190">
        <f t="shared" si="21"/>
        <v>559000</v>
      </c>
      <c r="O25" s="1206">
        <f t="shared" si="0"/>
        <v>-4443000</v>
      </c>
      <c r="P25" s="1416"/>
      <c r="Q25" s="1223"/>
      <c r="R25" s="1221">
        <f t="shared" si="2"/>
        <v>-4443000</v>
      </c>
      <c r="S25" s="1237"/>
    </row>
    <row r="26" spans="1:20" ht="24" customHeight="1" x14ac:dyDescent="0.15">
      <c r="A26" s="1189" t="s">
        <v>358</v>
      </c>
      <c r="B26" s="1188" t="s">
        <v>26</v>
      </c>
      <c r="C26" s="1187">
        <f>C202</f>
        <v>4200000</v>
      </c>
      <c r="D26" s="1186">
        <f t="shared" ref="D26:N26" si="22">D202</f>
        <v>4200000</v>
      </c>
      <c r="E26" s="1186">
        <f t="shared" si="22"/>
        <v>4200000</v>
      </c>
      <c r="F26" s="1186">
        <f t="shared" si="22"/>
        <v>4200000</v>
      </c>
      <c r="G26" s="1186">
        <f t="shared" si="22"/>
        <v>4300000</v>
      </c>
      <c r="H26" s="1186">
        <f t="shared" si="22"/>
        <v>3900000</v>
      </c>
      <c r="I26" s="1186">
        <f t="shared" si="22"/>
        <v>4300000</v>
      </c>
      <c r="J26" s="1186">
        <f t="shared" si="22"/>
        <v>4250000</v>
      </c>
      <c r="K26" s="1186">
        <f t="shared" si="22"/>
        <v>4400000</v>
      </c>
      <c r="L26" s="1186">
        <f t="shared" si="22"/>
        <v>4250000</v>
      </c>
      <c r="M26" s="1186">
        <f t="shared" si="22"/>
        <v>4400000</v>
      </c>
      <c r="N26" s="1185">
        <f t="shared" si="22"/>
        <v>4400000</v>
      </c>
      <c r="O26" s="1220">
        <f t="shared" si="0"/>
        <v>51000000</v>
      </c>
      <c r="P26" s="1219">
        <f ca="1">'事業所損益管理(H29.9～H30.8)収支計画表'!W69</f>
        <v>45705797</v>
      </c>
      <c r="Q26" s="1224">
        <f t="shared" ref="Q26:Q41" ca="1" si="23">O26/P26</f>
        <v>1.115832199578535</v>
      </c>
      <c r="R26" s="1222">
        <f t="shared" ca="1" si="2"/>
        <v>5294203</v>
      </c>
      <c r="S26" s="1235"/>
    </row>
    <row r="27" spans="1:20" ht="24" customHeight="1" x14ac:dyDescent="0.15">
      <c r="A27" s="1175"/>
      <c r="B27" s="1174" t="s">
        <v>15</v>
      </c>
      <c r="C27" s="1173">
        <v>2481000</v>
      </c>
      <c r="D27" s="1172">
        <f t="shared" ref="D27:N27" si="24">ROUND(D26*$C27/$C26/1000,0)*1000</f>
        <v>2481000</v>
      </c>
      <c r="E27" s="1172">
        <f t="shared" si="24"/>
        <v>2481000</v>
      </c>
      <c r="F27" s="1172">
        <f t="shared" si="24"/>
        <v>2481000</v>
      </c>
      <c r="G27" s="1172">
        <f t="shared" si="24"/>
        <v>2540000</v>
      </c>
      <c r="H27" s="1172">
        <f t="shared" si="24"/>
        <v>2304000</v>
      </c>
      <c r="I27" s="1172">
        <f t="shared" si="24"/>
        <v>2540000</v>
      </c>
      <c r="J27" s="1172">
        <f t="shared" si="24"/>
        <v>2511000</v>
      </c>
      <c r="K27" s="1172">
        <f t="shared" si="24"/>
        <v>2599000</v>
      </c>
      <c r="L27" s="1172">
        <f t="shared" si="24"/>
        <v>2511000</v>
      </c>
      <c r="M27" s="1172">
        <f t="shared" si="24"/>
        <v>2599000</v>
      </c>
      <c r="N27" s="1171">
        <f t="shared" si="24"/>
        <v>2599000</v>
      </c>
      <c r="O27" s="1207">
        <f t="shared" si="0"/>
        <v>30127000</v>
      </c>
      <c r="P27" s="1205">
        <f ca="1">'事業所損益管理(H29.9～H30.8)収支計画表'!W70</f>
        <v>27386780.613597542</v>
      </c>
      <c r="Q27" s="1204">
        <f t="shared" ca="1" si="23"/>
        <v>1.1000562798915452</v>
      </c>
      <c r="R27" s="1203">
        <f t="shared" ca="1" si="2"/>
        <v>2740219.386402458</v>
      </c>
      <c r="S27" s="1232"/>
      <c r="T27" s="1232" t="s">
        <v>1252</v>
      </c>
    </row>
    <row r="28" spans="1:20" ht="24" customHeight="1" x14ac:dyDescent="0.15">
      <c r="A28" s="1175"/>
      <c r="B28" s="1174" t="s">
        <v>35</v>
      </c>
      <c r="C28" s="1173">
        <v>1023000</v>
      </c>
      <c r="D28" s="1172">
        <f>ROUND(D26*$S28/1000,0)*1000</f>
        <v>1023000</v>
      </c>
      <c r="E28" s="1172">
        <f t="shared" ref="E28:N28" si="25">ROUND(E26*$S28/1000,0)*1000</f>
        <v>1023000</v>
      </c>
      <c r="F28" s="1172">
        <f t="shared" si="25"/>
        <v>1023000</v>
      </c>
      <c r="G28" s="1172">
        <f t="shared" si="25"/>
        <v>1047000</v>
      </c>
      <c r="H28" s="1172">
        <f t="shared" si="25"/>
        <v>950000</v>
      </c>
      <c r="I28" s="1172">
        <f t="shared" si="25"/>
        <v>1047000</v>
      </c>
      <c r="J28" s="1172">
        <f t="shared" si="25"/>
        <v>1035000</v>
      </c>
      <c r="K28" s="1172">
        <f t="shared" si="25"/>
        <v>1072000</v>
      </c>
      <c r="L28" s="1172">
        <f t="shared" si="25"/>
        <v>1035000</v>
      </c>
      <c r="M28" s="1172">
        <f t="shared" si="25"/>
        <v>1072000</v>
      </c>
      <c r="N28" s="1171">
        <f t="shared" si="25"/>
        <v>1072000</v>
      </c>
      <c r="O28" s="1207">
        <f t="shared" si="0"/>
        <v>12422000</v>
      </c>
      <c r="P28" s="1205">
        <f ca="1">'事業所損益管理(H29.9～H30.8)収支計画表'!W72</f>
        <v>12292808</v>
      </c>
      <c r="Q28" s="1204">
        <f t="shared" ca="1" si="23"/>
        <v>1.0105095597360667</v>
      </c>
      <c r="R28" s="1203">
        <f t="shared" ca="1" si="2"/>
        <v>129192</v>
      </c>
      <c r="S28" s="1234">
        <f>C28/C26</f>
        <v>0.24357142857142858</v>
      </c>
    </row>
    <row r="29" spans="1:20" ht="24" customHeight="1" thickBot="1" x14ac:dyDescent="0.2">
      <c r="A29" s="1170"/>
      <c r="B29" s="1169" t="s">
        <v>45</v>
      </c>
      <c r="C29" s="1168">
        <f t="shared" ref="C29:N29" si="26">C26-(C27+C28)</f>
        <v>696000</v>
      </c>
      <c r="D29" s="1167">
        <f t="shared" si="26"/>
        <v>696000</v>
      </c>
      <c r="E29" s="1167">
        <f t="shared" si="26"/>
        <v>696000</v>
      </c>
      <c r="F29" s="1167">
        <f t="shared" si="26"/>
        <v>696000</v>
      </c>
      <c r="G29" s="1167">
        <f t="shared" si="26"/>
        <v>713000</v>
      </c>
      <c r="H29" s="1167">
        <f t="shared" si="26"/>
        <v>646000</v>
      </c>
      <c r="I29" s="1167">
        <f t="shared" si="26"/>
        <v>713000</v>
      </c>
      <c r="J29" s="1167">
        <f t="shared" si="26"/>
        <v>704000</v>
      </c>
      <c r="K29" s="1167">
        <f t="shared" si="26"/>
        <v>729000</v>
      </c>
      <c r="L29" s="1167">
        <f t="shared" si="26"/>
        <v>704000</v>
      </c>
      <c r="M29" s="1167">
        <f t="shared" si="26"/>
        <v>729000</v>
      </c>
      <c r="N29" s="1166">
        <f t="shared" si="26"/>
        <v>729000</v>
      </c>
      <c r="O29" s="1216">
        <f t="shared" si="0"/>
        <v>8451000</v>
      </c>
      <c r="P29" s="1215">
        <f ca="1">P26-(P27+P28)</f>
        <v>6026208.386402458</v>
      </c>
      <c r="Q29" s="1200">
        <f t="shared" ca="1" si="23"/>
        <v>1.4023743385756198</v>
      </c>
      <c r="R29" s="1199">
        <f t="shared" ca="1" si="2"/>
        <v>2424791.613597542</v>
      </c>
      <c r="S29" s="1233"/>
    </row>
    <row r="30" spans="1:20" ht="24" customHeight="1" x14ac:dyDescent="0.15">
      <c r="A30" s="1189" t="s">
        <v>38</v>
      </c>
      <c r="B30" s="1188" t="s">
        <v>26</v>
      </c>
      <c r="C30" s="1187">
        <f>C203</f>
        <v>2700000</v>
      </c>
      <c r="D30" s="1186">
        <f t="shared" ref="D30:N30" si="27">D203</f>
        <v>2700000</v>
      </c>
      <c r="E30" s="1186">
        <f t="shared" si="27"/>
        <v>2700000</v>
      </c>
      <c r="F30" s="1186">
        <f t="shared" si="27"/>
        <v>2700000</v>
      </c>
      <c r="G30" s="1186">
        <f t="shared" si="27"/>
        <v>2700000</v>
      </c>
      <c r="H30" s="1186">
        <f t="shared" si="27"/>
        <v>2700000</v>
      </c>
      <c r="I30" s="1186">
        <f t="shared" si="27"/>
        <v>2700000</v>
      </c>
      <c r="J30" s="1186">
        <f t="shared" si="27"/>
        <v>2700000</v>
      </c>
      <c r="K30" s="1186">
        <f t="shared" si="27"/>
        <v>2700000</v>
      </c>
      <c r="L30" s="1186">
        <f t="shared" si="27"/>
        <v>2700000</v>
      </c>
      <c r="M30" s="1186">
        <f t="shared" si="27"/>
        <v>2700000</v>
      </c>
      <c r="N30" s="1185">
        <f t="shared" si="27"/>
        <v>2700000</v>
      </c>
      <c r="O30" s="1220">
        <f t="shared" ref="O30:O61" si="28">SUM(C30:N30)</f>
        <v>32400000</v>
      </c>
      <c r="P30" s="1219">
        <f ca="1">'事業所損益管理(H29.9～H30.8)収支計画表'!W79</f>
        <v>34026391</v>
      </c>
      <c r="Q30" s="1224">
        <f t="shared" ca="1" si="23"/>
        <v>0.95220207162140702</v>
      </c>
      <c r="R30" s="1222">
        <f t="shared" ref="R30:R57" ca="1" si="29">O30-P30</f>
        <v>-1626391</v>
      </c>
      <c r="S30" s="1236"/>
    </row>
    <row r="31" spans="1:20" ht="24" customHeight="1" x14ac:dyDescent="0.15">
      <c r="A31" s="1175"/>
      <c r="B31" s="1174" t="s">
        <v>15</v>
      </c>
      <c r="C31" s="1173">
        <v>1639000</v>
      </c>
      <c r="D31" s="1172">
        <v>1639000</v>
      </c>
      <c r="E31" s="1172">
        <v>1639000</v>
      </c>
      <c r="F31" s="1172">
        <v>1639000</v>
      </c>
      <c r="G31" s="1172">
        <v>1639000</v>
      </c>
      <c r="H31" s="1172">
        <v>1639000</v>
      </c>
      <c r="I31" s="1172">
        <v>1639000</v>
      </c>
      <c r="J31" s="1172">
        <v>1639000</v>
      </c>
      <c r="K31" s="1172">
        <v>1639000</v>
      </c>
      <c r="L31" s="1172">
        <v>1639000</v>
      </c>
      <c r="M31" s="1172">
        <v>1639000</v>
      </c>
      <c r="N31" s="1171">
        <v>1639000</v>
      </c>
      <c r="O31" s="1207">
        <f t="shared" si="28"/>
        <v>19668000</v>
      </c>
      <c r="P31" s="1205">
        <f ca="1">'事業所損益管理(H29.9～H30.8)収支計画表'!W80</f>
        <v>22234348.813492563</v>
      </c>
      <c r="Q31" s="1204">
        <f t="shared" ca="1" si="23"/>
        <v>0.88457728917452194</v>
      </c>
      <c r="R31" s="1203">
        <f t="shared" ca="1" si="29"/>
        <v>-2566348.8134925626</v>
      </c>
      <c r="S31" s="1232"/>
    </row>
    <row r="32" spans="1:20" ht="24" customHeight="1" x14ac:dyDescent="0.15">
      <c r="A32" s="1175"/>
      <c r="B32" s="1174" t="s">
        <v>35</v>
      </c>
      <c r="C32" s="1173">
        <v>706000</v>
      </c>
      <c r="D32" s="1172">
        <v>706000</v>
      </c>
      <c r="E32" s="1172">
        <v>706000</v>
      </c>
      <c r="F32" s="1172">
        <v>706000</v>
      </c>
      <c r="G32" s="1172">
        <v>706000</v>
      </c>
      <c r="H32" s="1172">
        <v>706000</v>
      </c>
      <c r="I32" s="1172">
        <v>706000</v>
      </c>
      <c r="J32" s="1172">
        <v>706000</v>
      </c>
      <c r="K32" s="1172">
        <v>706000</v>
      </c>
      <c r="L32" s="1172">
        <v>706000</v>
      </c>
      <c r="M32" s="1172">
        <v>706000</v>
      </c>
      <c r="N32" s="1171">
        <v>706000</v>
      </c>
      <c r="O32" s="1207">
        <f t="shared" si="28"/>
        <v>8472000</v>
      </c>
      <c r="P32" s="1205">
        <f ca="1">'事業所損益管理(H29.9～H30.8)収支計画表'!W82</f>
        <v>7669119</v>
      </c>
      <c r="Q32" s="1204">
        <f t="shared" ca="1" si="23"/>
        <v>1.1046901215120015</v>
      </c>
      <c r="R32" s="1203">
        <f t="shared" ca="1" si="29"/>
        <v>802881</v>
      </c>
      <c r="S32" s="1232"/>
    </row>
    <row r="33" spans="1:39" ht="24" customHeight="1" thickBot="1" x14ac:dyDescent="0.2">
      <c r="A33" s="1170"/>
      <c r="B33" s="1169" t="s">
        <v>45</v>
      </c>
      <c r="C33" s="1168">
        <f t="shared" ref="C33:N33" si="30">C30-(C31+C32)</f>
        <v>355000</v>
      </c>
      <c r="D33" s="1167">
        <f t="shared" si="30"/>
        <v>355000</v>
      </c>
      <c r="E33" s="1167">
        <f t="shared" si="30"/>
        <v>355000</v>
      </c>
      <c r="F33" s="1167">
        <f t="shared" si="30"/>
        <v>355000</v>
      </c>
      <c r="G33" s="1167">
        <f t="shared" si="30"/>
        <v>355000</v>
      </c>
      <c r="H33" s="1167">
        <f t="shared" si="30"/>
        <v>355000</v>
      </c>
      <c r="I33" s="1167">
        <f t="shared" si="30"/>
        <v>355000</v>
      </c>
      <c r="J33" s="1167">
        <f t="shared" si="30"/>
        <v>355000</v>
      </c>
      <c r="K33" s="1167">
        <f t="shared" si="30"/>
        <v>355000</v>
      </c>
      <c r="L33" s="1167">
        <f t="shared" si="30"/>
        <v>355000</v>
      </c>
      <c r="M33" s="1167">
        <f t="shared" si="30"/>
        <v>355000</v>
      </c>
      <c r="N33" s="1166">
        <f t="shared" si="30"/>
        <v>355000</v>
      </c>
      <c r="O33" s="1216">
        <f t="shared" si="28"/>
        <v>4260000</v>
      </c>
      <c r="P33" s="1215">
        <f ca="1">P30-(P31+P32)</f>
        <v>4122923.1865074374</v>
      </c>
      <c r="Q33" s="1200">
        <f t="shared" ca="1" si="23"/>
        <v>1.0332474817724366</v>
      </c>
      <c r="R33" s="1199">
        <f t="shared" ca="1" si="29"/>
        <v>137076.81349256262</v>
      </c>
      <c r="S33" s="1237"/>
    </row>
    <row r="34" spans="1:39" ht="24" customHeight="1" x14ac:dyDescent="0.15">
      <c r="A34" s="1180" t="s">
        <v>125</v>
      </c>
      <c r="B34" s="1179" t="s">
        <v>26</v>
      </c>
      <c r="C34" s="1178">
        <f>C204</f>
        <v>1050000</v>
      </c>
      <c r="D34" s="1177">
        <f t="shared" ref="D34:N34" si="31">D204</f>
        <v>1050000</v>
      </c>
      <c r="E34" s="1177">
        <f t="shared" si="31"/>
        <v>1050000</v>
      </c>
      <c r="F34" s="1177">
        <f t="shared" si="31"/>
        <v>1050000</v>
      </c>
      <c r="G34" s="1177">
        <f t="shared" si="31"/>
        <v>1050000</v>
      </c>
      <c r="H34" s="1177">
        <f t="shared" si="31"/>
        <v>1050000</v>
      </c>
      <c r="I34" s="1177">
        <f t="shared" si="31"/>
        <v>1050000</v>
      </c>
      <c r="J34" s="1177">
        <f t="shared" si="31"/>
        <v>1050000</v>
      </c>
      <c r="K34" s="1177">
        <f t="shared" si="31"/>
        <v>1050000</v>
      </c>
      <c r="L34" s="1177">
        <f t="shared" si="31"/>
        <v>1050000</v>
      </c>
      <c r="M34" s="1177">
        <f t="shared" si="31"/>
        <v>1050000</v>
      </c>
      <c r="N34" s="1176">
        <f t="shared" si="31"/>
        <v>1050000</v>
      </c>
      <c r="O34" s="1213">
        <f t="shared" si="28"/>
        <v>12600000</v>
      </c>
      <c r="P34" s="1219">
        <f ca="1">'事業所損益管理(H29.9～H30.8)収支計画表'!W89</f>
        <v>11726207</v>
      </c>
      <c r="Q34" s="1211">
        <f t="shared" ca="1" si="23"/>
        <v>1.0745162523567937</v>
      </c>
      <c r="R34" s="1210">
        <f t="shared" ca="1" si="29"/>
        <v>873793</v>
      </c>
      <c r="S34" s="1235"/>
    </row>
    <row r="35" spans="1:39" ht="24" customHeight="1" x14ac:dyDescent="0.15">
      <c r="A35" s="1175"/>
      <c r="B35" s="1174" t="s">
        <v>15</v>
      </c>
      <c r="C35" s="1173">
        <v>369000</v>
      </c>
      <c r="D35" s="1172">
        <v>369000</v>
      </c>
      <c r="E35" s="1172">
        <v>369000</v>
      </c>
      <c r="F35" s="1172">
        <v>369000</v>
      </c>
      <c r="G35" s="1172">
        <v>369000</v>
      </c>
      <c r="H35" s="1172">
        <v>369000</v>
      </c>
      <c r="I35" s="1172">
        <v>369000</v>
      </c>
      <c r="J35" s="1172">
        <v>369000</v>
      </c>
      <c r="K35" s="1172">
        <v>369000</v>
      </c>
      <c r="L35" s="1172">
        <v>369000</v>
      </c>
      <c r="M35" s="1172">
        <v>369000</v>
      </c>
      <c r="N35" s="1171">
        <v>369000</v>
      </c>
      <c r="O35" s="1207">
        <f t="shared" si="28"/>
        <v>4428000</v>
      </c>
      <c r="P35" s="1205">
        <f ca="1">'事業所損益管理(H29.9～H30.8)収支計画表'!W90</f>
        <v>4618414.0655371342</v>
      </c>
      <c r="Q35" s="1204">
        <f t="shared" ca="1" si="23"/>
        <v>0.95877068126956944</v>
      </c>
      <c r="R35" s="1203">
        <f t="shared" ca="1" si="29"/>
        <v>-190414.06553713419</v>
      </c>
      <c r="S35" s="1232"/>
    </row>
    <row r="36" spans="1:39" ht="24" customHeight="1" x14ac:dyDescent="0.15">
      <c r="A36" s="1175"/>
      <c r="B36" s="1174" t="s">
        <v>35</v>
      </c>
      <c r="C36" s="1173">
        <v>138000</v>
      </c>
      <c r="D36" s="1172">
        <v>138000</v>
      </c>
      <c r="E36" s="1172">
        <v>138000</v>
      </c>
      <c r="F36" s="1172">
        <v>138000</v>
      </c>
      <c r="G36" s="1172">
        <v>138000</v>
      </c>
      <c r="H36" s="1172">
        <v>138000</v>
      </c>
      <c r="I36" s="1172">
        <v>138000</v>
      </c>
      <c r="J36" s="1172">
        <v>138000</v>
      </c>
      <c r="K36" s="1172">
        <v>138000</v>
      </c>
      <c r="L36" s="1172">
        <v>138000</v>
      </c>
      <c r="M36" s="1172">
        <v>138000</v>
      </c>
      <c r="N36" s="1171">
        <v>138000</v>
      </c>
      <c r="O36" s="1207">
        <f t="shared" si="28"/>
        <v>1656000</v>
      </c>
      <c r="P36" s="1205">
        <f ca="1">'事業所損益管理(H29.9～H30.8)収支計画表'!W92</f>
        <v>1677699</v>
      </c>
      <c r="Q36" s="1204">
        <f t="shared" ca="1" si="23"/>
        <v>0.98706621390368599</v>
      </c>
      <c r="R36" s="1203">
        <f t="shared" ca="1" si="29"/>
        <v>-21699</v>
      </c>
      <c r="S36" s="1232"/>
    </row>
    <row r="37" spans="1:39" ht="24" customHeight="1" thickBot="1" x14ac:dyDescent="0.2">
      <c r="A37" s="1194"/>
      <c r="B37" s="1193" t="s">
        <v>45</v>
      </c>
      <c r="C37" s="1192">
        <f t="shared" ref="C37:N37" si="32">C34-(C35+C36)</f>
        <v>543000</v>
      </c>
      <c r="D37" s="1191">
        <f t="shared" si="32"/>
        <v>543000</v>
      </c>
      <c r="E37" s="1191">
        <f t="shared" si="32"/>
        <v>543000</v>
      </c>
      <c r="F37" s="1191">
        <f t="shared" si="32"/>
        <v>543000</v>
      </c>
      <c r="G37" s="1191">
        <f t="shared" si="32"/>
        <v>543000</v>
      </c>
      <c r="H37" s="1191">
        <f t="shared" si="32"/>
        <v>543000</v>
      </c>
      <c r="I37" s="1191">
        <f t="shared" si="32"/>
        <v>543000</v>
      </c>
      <c r="J37" s="1191">
        <f t="shared" si="32"/>
        <v>543000</v>
      </c>
      <c r="K37" s="1191">
        <f t="shared" si="32"/>
        <v>543000</v>
      </c>
      <c r="L37" s="1191">
        <f t="shared" si="32"/>
        <v>543000</v>
      </c>
      <c r="M37" s="1191">
        <f t="shared" si="32"/>
        <v>543000</v>
      </c>
      <c r="N37" s="1190">
        <f t="shared" si="32"/>
        <v>543000</v>
      </c>
      <c r="O37" s="1206">
        <f t="shared" si="28"/>
        <v>6516000</v>
      </c>
      <c r="P37" s="1416">
        <f ca="1">P34-(P35+P36)</f>
        <v>5430093.9344628658</v>
      </c>
      <c r="Q37" s="1223">
        <f t="shared" ca="1" si="23"/>
        <v>1.1999792413617887</v>
      </c>
      <c r="R37" s="1221">
        <f t="shared" ca="1" si="29"/>
        <v>1085906.0655371342</v>
      </c>
      <c r="S37" s="1233"/>
    </row>
    <row r="38" spans="1:39" ht="24" customHeight="1" x14ac:dyDescent="0.15">
      <c r="A38" s="1189" t="s">
        <v>184</v>
      </c>
      <c r="B38" s="1188" t="s">
        <v>26</v>
      </c>
      <c r="C38" s="1187">
        <f>C205</f>
        <v>1050000</v>
      </c>
      <c r="D38" s="1186">
        <f t="shared" ref="D38:N38" si="33">D205</f>
        <v>1050000</v>
      </c>
      <c r="E38" s="1186">
        <f t="shared" si="33"/>
        <v>1050000</v>
      </c>
      <c r="F38" s="1186">
        <f t="shared" si="33"/>
        <v>1050000</v>
      </c>
      <c r="G38" s="1186">
        <f t="shared" si="33"/>
        <v>1050000</v>
      </c>
      <c r="H38" s="1186">
        <f t="shared" si="33"/>
        <v>1050000</v>
      </c>
      <c r="I38" s="1186">
        <f t="shared" si="33"/>
        <v>1050000</v>
      </c>
      <c r="J38" s="1186">
        <f t="shared" si="33"/>
        <v>1050000</v>
      </c>
      <c r="K38" s="1186">
        <f t="shared" si="33"/>
        <v>1050000</v>
      </c>
      <c r="L38" s="1186">
        <f t="shared" si="33"/>
        <v>1050000</v>
      </c>
      <c r="M38" s="1186">
        <f t="shared" si="33"/>
        <v>1050000</v>
      </c>
      <c r="N38" s="1185">
        <f t="shared" si="33"/>
        <v>1050000</v>
      </c>
      <c r="O38" s="1220">
        <f t="shared" si="28"/>
        <v>12600000</v>
      </c>
      <c r="P38" s="1219">
        <f ca="1">'事業所損益管理(H29.9～H30.8)収支計画表'!W99</f>
        <v>12553582</v>
      </c>
      <c r="Q38" s="1224">
        <f t="shared" ca="1" si="23"/>
        <v>1.0036975900583593</v>
      </c>
      <c r="R38" s="1222">
        <f t="shared" ca="1" si="29"/>
        <v>46418</v>
      </c>
      <c r="S38" s="1236"/>
      <c r="AB38" s="1173">
        <v>143754</v>
      </c>
      <c r="AC38" s="1172">
        <v>143754</v>
      </c>
      <c r="AD38" s="1172">
        <v>143754</v>
      </c>
      <c r="AE38" s="1172">
        <v>143754</v>
      </c>
      <c r="AF38" s="1172">
        <v>143754</v>
      </c>
      <c r="AG38" s="1172">
        <v>143754</v>
      </c>
      <c r="AH38" s="1172">
        <v>143754</v>
      </c>
      <c r="AI38" s="1172">
        <v>143754</v>
      </c>
      <c r="AJ38" s="1172">
        <v>143754</v>
      </c>
      <c r="AK38" s="1172">
        <v>143754</v>
      </c>
      <c r="AL38" s="1172">
        <v>143754</v>
      </c>
      <c r="AM38" s="1171">
        <v>143754</v>
      </c>
    </row>
    <row r="39" spans="1:39" ht="24" customHeight="1" x14ac:dyDescent="0.15">
      <c r="A39" s="1175"/>
      <c r="B39" s="1174" t="s">
        <v>15</v>
      </c>
      <c r="C39" s="1173">
        <v>303000</v>
      </c>
      <c r="D39" s="1172">
        <v>303000</v>
      </c>
      <c r="E39" s="1172">
        <v>303000</v>
      </c>
      <c r="F39" s="1172">
        <v>303000</v>
      </c>
      <c r="G39" s="1172">
        <v>303000</v>
      </c>
      <c r="H39" s="1172">
        <v>303000</v>
      </c>
      <c r="I39" s="1172">
        <v>303000</v>
      </c>
      <c r="J39" s="1172">
        <v>303000</v>
      </c>
      <c r="K39" s="1172">
        <v>303000</v>
      </c>
      <c r="L39" s="1172">
        <v>303000</v>
      </c>
      <c r="M39" s="1172">
        <v>303000</v>
      </c>
      <c r="N39" s="1171">
        <v>303000</v>
      </c>
      <c r="O39" s="1207">
        <f t="shared" si="28"/>
        <v>3636000</v>
      </c>
      <c r="P39" s="1205">
        <f ca="1">'事業所損益管理(H29.9～H30.8)収支計画表'!W100</f>
        <v>3752325</v>
      </c>
      <c r="Q39" s="1204">
        <f t="shared" ca="1" si="23"/>
        <v>0.96899922048330034</v>
      </c>
      <c r="R39" s="1203">
        <f t="shared" ca="1" si="29"/>
        <v>-116325</v>
      </c>
      <c r="S39" s="1232"/>
      <c r="AB39" s="1173">
        <v>714929</v>
      </c>
      <c r="AC39" s="1172">
        <v>722210</v>
      </c>
      <c r="AD39" s="1172">
        <v>736416</v>
      </c>
      <c r="AE39" s="1172">
        <v>734939</v>
      </c>
      <c r="AF39" s="1172">
        <v>735792</v>
      </c>
      <c r="AG39" s="1172">
        <v>735480</v>
      </c>
      <c r="AH39" s="1172">
        <v>751884</v>
      </c>
      <c r="AI39" s="1172">
        <v>754977</v>
      </c>
      <c r="AJ39" s="1172">
        <v>753550</v>
      </c>
      <c r="AK39" s="1172">
        <v>754353</v>
      </c>
      <c r="AL39" s="1172">
        <v>752946</v>
      </c>
      <c r="AM39" s="1171">
        <v>753729</v>
      </c>
    </row>
    <row r="40" spans="1:39" ht="24" customHeight="1" x14ac:dyDescent="0.15">
      <c r="A40" s="1175"/>
      <c r="B40" s="1174" t="s">
        <v>35</v>
      </c>
      <c r="C40" s="1173">
        <v>210000</v>
      </c>
      <c r="D40" s="1172">
        <v>210000</v>
      </c>
      <c r="E40" s="1172">
        <v>210000</v>
      </c>
      <c r="F40" s="1172">
        <v>210000</v>
      </c>
      <c r="G40" s="1172">
        <v>210000</v>
      </c>
      <c r="H40" s="1172">
        <v>210000</v>
      </c>
      <c r="I40" s="1172">
        <v>210000</v>
      </c>
      <c r="J40" s="1172">
        <v>210000</v>
      </c>
      <c r="K40" s="1172">
        <v>210000</v>
      </c>
      <c r="L40" s="1172">
        <v>210000</v>
      </c>
      <c r="M40" s="1172">
        <v>210000</v>
      </c>
      <c r="N40" s="1171">
        <v>210000</v>
      </c>
      <c r="O40" s="1207">
        <f t="shared" si="28"/>
        <v>2520000</v>
      </c>
      <c r="P40" s="1205">
        <f ca="1">'事業所損益管理(H29.9～H30.8)収支計画表'!W102</f>
        <v>2411146</v>
      </c>
      <c r="Q40" s="1204">
        <f t="shared" ca="1" si="23"/>
        <v>1.0451461670093807</v>
      </c>
      <c r="R40" s="1203">
        <f t="shared" ca="1" si="29"/>
        <v>108854</v>
      </c>
      <c r="S40" s="1232"/>
    </row>
    <row r="41" spans="1:39" ht="24" customHeight="1" thickBot="1" x14ac:dyDescent="0.2">
      <c r="A41" s="1170"/>
      <c r="B41" s="1169" t="s">
        <v>45</v>
      </c>
      <c r="C41" s="1168">
        <f t="shared" ref="C41:N41" si="34">C38-(C39+C40)</f>
        <v>537000</v>
      </c>
      <c r="D41" s="1167">
        <f t="shared" si="34"/>
        <v>537000</v>
      </c>
      <c r="E41" s="1167">
        <f t="shared" si="34"/>
        <v>537000</v>
      </c>
      <c r="F41" s="1167">
        <f t="shared" si="34"/>
        <v>537000</v>
      </c>
      <c r="G41" s="1167">
        <f t="shared" si="34"/>
        <v>537000</v>
      </c>
      <c r="H41" s="1167">
        <f t="shared" si="34"/>
        <v>537000</v>
      </c>
      <c r="I41" s="1167">
        <f t="shared" si="34"/>
        <v>537000</v>
      </c>
      <c r="J41" s="1167">
        <f t="shared" si="34"/>
        <v>537000</v>
      </c>
      <c r="K41" s="1167">
        <f t="shared" si="34"/>
        <v>537000</v>
      </c>
      <c r="L41" s="1167">
        <f t="shared" si="34"/>
        <v>537000</v>
      </c>
      <c r="M41" s="1167">
        <f t="shared" si="34"/>
        <v>537000</v>
      </c>
      <c r="N41" s="1166">
        <f t="shared" si="34"/>
        <v>537000</v>
      </c>
      <c r="O41" s="1216">
        <f t="shared" si="28"/>
        <v>6444000</v>
      </c>
      <c r="P41" s="1215">
        <f ca="1">P38-(P39+P40)</f>
        <v>6390111</v>
      </c>
      <c r="Q41" s="1200">
        <f t="shared" ca="1" si="23"/>
        <v>1.0084331868413554</v>
      </c>
      <c r="R41" s="1199">
        <f t="shared" ca="1" si="29"/>
        <v>53889</v>
      </c>
      <c r="S41" s="1237"/>
      <c r="AB41">
        <f t="shared" ref="AB41:AM41" si="35">ROUND(AB38/1000,0)*1000</f>
        <v>144000</v>
      </c>
      <c r="AC41">
        <f t="shared" si="35"/>
        <v>144000</v>
      </c>
      <c r="AD41">
        <f t="shared" si="35"/>
        <v>144000</v>
      </c>
      <c r="AE41">
        <f t="shared" si="35"/>
        <v>144000</v>
      </c>
      <c r="AF41">
        <f t="shared" si="35"/>
        <v>144000</v>
      </c>
      <c r="AG41">
        <f t="shared" si="35"/>
        <v>144000</v>
      </c>
      <c r="AH41">
        <f t="shared" si="35"/>
        <v>144000</v>
      </c>
      <c r="AI41">
        <f t="shared" si="35"/>
        <v>144000</v>
      </c>
      <c r="AJ41">
        <f t="shared" si="35"/>
        <v>144000</v>
      </c>
      <c r="AK41">
        <f t="shared" si="35"/>
        <v>144000</v>
      </c>
      <c r="AL41">
        <f t="shared" si="35"/>
        <v>144000</v>
      </c>
      <c r="AM41">
        <f t="shared" si="35"/>
        <v>144000</v>
      </c>
    </row>
    <row r="42" spans="1:39" ht="24" customHeight="1" x14ac:dyDescent="0.15">
      <c r="A42" s="1180" t="s">
        <v>329</v>
      </c>
      <c r="B42" s="1179" t="s">
        <v>26</v>
      </c>
      <c r="C42" s="1178">
        <f>C206</f>
        <v>2700000</v>
      </c>
      <c r="D42" s="1177">
        <f t="shared" ref="D42:N42" si="36">D206</f>
        <v>2700000</v>
      </c>
      <c r="E42" s="1177">
        <f t="shared" si="36"/>
        <v>2700000</v>
      </c>
      <c r="F42" s="1177">
        <f t="shared" si="36"/>
        <v>2700000</v>
      </c>
      <c r="G42" s="1177">
        <f t="shared" si="36"/>
        <v>2700000</v>
      </c>
      <c r="H42" s="1177">
        <f t="shared" si="36"/>
        <v>2700000</v>
      </c>
      <c r="I42" s="1177">
        <f t="shared" si="36"/>
        <v>2700000</v>
      </c>
      <c r="J42" s="1177">
        <f t="shared" si="36"/>
        <v>2700000</v>
      </c>
      <c r="K42" s="1177">
        <f t="shared" si="36"/>
        <v>2700000</v>
      </c>
      <c r="L42" s="1177">
        <f t="shared" si="36"/>
        <v>2700000</v>
      </c>
      <c r="M42" s="1177">
        <f t="shared" si="36"/>
        <v>2700000</v>
      </c>
      <c r="N42" s="1176">
        <f t="shared" si="36"/>
        <v>2700000</v>
      </c>
      <c r="O42" s="1213">
        <f t="shared" si="28"/>
        <v>32400000</v>
      </c>
      <c r="P42" s="1219">
        <f ca="1">'事業所損益管理(H29.9～H30.8)収支計画表'!W109</f>
        <v>33390398</v>
      </c>
      <c r="Q42" s="1224">
        <f t="shared" ref="Q42:Q57" ca="1" si="37">O42/P42</f>
        <v>0.97033883812945265</v>
      </c>
      <c r="R42" s="1210">
        <f t="shared" ca="1" si="29"/>
        <v>-990398</v>
      </c>
      <c r="S42" s="1236"/>
      <c r="AB42">
        <f t="shared" ref="AB42:AM42" si="38">ROUND(AB39/1000,0)*1000</f>
        <v>715000</v>
      </c>
      <c r="AC42">
        <f t="shared" si="38"/>
        <v>722000</v>
      </c>
      <c r="AD42">
        <f t="shared" si="38"/>
        <v>736000</v>
      </c>
      <c r="AE42">
        <f t="shared" si="38"/>
        <v>735000</v>
      </c>
      <c r="AF42">
        <f t="shared" si="38"/>
        <v>736000</v>
      </c>
      <c r="AG42">
        <f t="shared" si="38"/>
        <v>735000</v>
      </c>
      <c r="AH42">
        <f t="shared" si="38"/>
        <v>752000</v>
      </c>
      <c r="AI42">
        <f t="shared" si="38"/>
        <v>755000</v>
      </c>
      <c r="AJ42">
        <f t="shared" si="38"/>
        <v>754000</v>
      </c>
      <c r="AK42">
        <f t="shared" si="38"/>
        <v>754000</v>
      </c>
      <c r="AL42">
        <f t="shared" si="38"/>
        <v>753000</v>
      </c>
      <c r="AM42">
        <f t="shared" si="38"/>
        <v>754000</v>
      </c>
    </row>
    <row r="43" spans="1:39" ht="24" customHeight="1" x14ac:dyDescent="0.15">
      <c r="A43" s="1175"/>
      <c r="B43" s="1174" t="s">
        <v>15</v>
      </c>
      <c r="C43" s="1173">
        <v>698000</v>
      </c>
      <c r="D43" s="1172">
        <v>698000</v>
      </c>
      <c r="E43" s="1172">
        <v>698000</v>
      </c>
      <c r="F43" s="1172">
        <v>698000</v>
      </c>
      <c r="G43" s="1172">
        <v>698000</v>
      </c>
      <c r="H43" s="1172">
        <v>698000</v>
      </c>
      <c r="I43" s="1172">
        <v>698000</v>
      </c>
      <c r="J43" s="1172">
        <v>698000</v>
      </c>
      <c r="K43" s="1172">
        <v>698000</v>
      </c>
      <c r="L43" s="1172">
        <v>698000</v>
      </c>
      <c r="M43" s="1172">
        <v>698000</v>
      </c>
      <c r="N43" s="1171">
        <v>698000</v>
      </c>
      <c r="O43" s="1207">
        <f t="shared" si="28"/>
        <v>8376000</v>
      </c>
      <c r="P43" s="1205">
        <f ca="1">'事業所損益管理(H29.9～H30.8)収支計画表'!W110</f>
        <v>8296955.2710033078</v>
      </c>
      <c r="Q43" s="1204">
        <f t="shared" ca="1" si="37"/>
        <v>1.0095269561441342</v>
      </c>
      <c r="R43" s="1203">
        <f t="shared" ca="1" si="29"/>
        <v>79044.728996692225</v>
      </c>
      <c r="S43" s="1232"/>
    </row>
    <row r="44" spans="1:39" ht="24" customHeight="1" x14ac:dyDescent="0.15">
      <c r="A44" s="1175"/>
      <c r="B44" s="1174" t="s">
        <v>35</v>
      </c>
      <c r="C44" s="1173">
        <v>667000</v>
      </c>
      <c r="D44" s="1172">
        <v>667000</v>
      </c>
      <c r="E44" s="1172">
        <v>667000</v>
      </c>
      <c r="F44" s="1172">
        <v>667000</v>
      </c>
      <c r="G44" s="1172">
        <v>667000</v>
      </c>
      <c r="H44" s="1172">
        <v>667000</v>
      </c>
      <c r="I44" s="1172">
        <v>667000</v>
      </c>
      <c r="J44" s="1172">
        <v>667000</v>
      </c>
      <c r="K44" s="1172">
        <v>667000</v>
      </c>
      <c r="L44" s="1172">
        <v>667000</v>
      </c>
      <c r="M44" s="1172">
        <v>667000</v>
      </c>
      <c r="N44" s="1171">
        <v>667000</v>
      </c>
      <c r="O44" s="1207">
        <f t="shared" si="28"/>
        <v>8004000</v>
      </c>
      <c r="P44" s="1205">
        <f ca="1">'事業所損益管理(H29.9～H30.8)収支計画表'!W112</f>
        <v>7725986</v>
      </c>
      <c r="Q44" s="1204">
        <f t="shared" ca="1" si="37"/>
        <v>1.0359842743696404</v>
      </c>
      <c r="R44" s="1203">
        <f t="shared" ca="1" si="29"/>
        <v>278014</v>
      </c>
      <c r="S44" s="1232"/>
    </row>
    <row r="45" spans="1:39" ht="24" customHeight="1" thickBot="1" x14ac:dyDescent="0.2">
      <c r="A45" s="1194"/>
      <c r="B45" s="1193" t="s">
        <v>45</v>
      </c>
      <c r="C45" s="1192">
        <f t="shared" ref="C45:N45" si="39">C42-(C43+C44)</f>
        <v>1335000</v>
      </c>
      <c r="D45" s="1191">
        <f t="shared" si="39"/>
        <v>1335000</v>
      </c>
      <c r="E45" s="1191">
        <f t="shared" si="39"/>
        <v>1335000</v>
      </c>
      <c r="F45" s="1191">
        <f t="shared" si="39"/>
        <v>1335000</v>
      </c>
      <c r="G45" s="1191">
        <f t="shared" si="39"/>
        <v>1335000</v>
      </c>
      <c r="H45" s="1191">
        <f t="shared" si="39"/>
        <v>1335000</v>
      </c>
      <c r="I45" s="1191">
        <f t="shared" si="39"/>
        <v>1335000</v>
      </c>
      <c r="J45" s="1191">
        <f t="shared" si="39"/>
        <v>1335000</v>
      </c>
      <c r="K45" s="1191">
        <f t="shared" si="39"/>
        <v>1335000</v>
      </c>
      <c r="L45" s="1191">
        <f t="shared" si="39"/>
        <v>1335000</v>
      </c>
      <c r="M45" s="1191">
        <f t="shared" si="39"/>
        <v>1335000</v>
      </c>
      <c r="N45" s="1190">
        <f t="shared" si="39"/>
        <v>1335000</v>
      </c>
      <c r="O45" s="1206">
        <f t="shared" si="28"/>
        <v>16020000</v>
      </c>
      <c r="P45" s="1416">
        <f ca="1">P42-(P43+P44)</f>
        <v>17367456.728996694</v>
      </c>
      <c r="Q45" s="1223">
        <f t="shared" ca="1" si="37"/>
        <v>0.92241485037086746</v>
      </c>
      <c r="R45" s="1221">
        <f t="shared" ca="1" si="29"/>
        <v>-1347456.7289966941</v>
      </c>
      <c r="S45" s="1237"/>
    </row>
    <row r="46" spans="1:39" ht="24" customHeight="1" x14ac:dyDescent="0.15">
      <c r="A46" s="1189" t="s">
        <v>1268</v>
      </c>
      <c r="B46" s="1188" t="s">
        <v>1269</v>
      </c>
      <c r="C46" s="1187">
        <f>C207</f>
        <v>0</v>
      </c>
      <c r="D46" s="1186">
        <f t="shared" ref="D46:N46" si="40">D207</f>
        <v>0</v>
      </c>
      <c r="E46" s="1186">
        <f t="shared" si="40"/>
        <v>0</v>
      </c>
      <c r="F46" s="1186">
        <f t="shared" si="40"/>
        <v>550000</v>
      </c>
      <c r="G46" s="1186">
        <f t="shared" si="40"/>
        <v>1000000</v>
      </c>
      <c r="H46" s="1186">
        <f t="shared" si="40"/>
        <v>2100000</v>
      </c>
      <c r="I46" s="1186">
        <f t="shared" si="40"/>
        <v>2100000</v>
      </c>
      <c r="J46" s="1186">
        <f t="shared" si="40"/>
        <v>2100000</v>
      </c>
      <c r="K46" s="1186">
        <f t="shared" si="40"/>
        <v>2100000</v>
      </c>
      <c r="L46" s="1186">
        <f t="shared" si="40"/>
        <v>2100000</v>
      </c>
      <c r="M46" s="1186">
        <f t="shared" si="40"/>
        <v>2100000</v>
      </c>
      <c r="N46" s="1185">
        <f t="shared" si="40"/>
        <v>2100000</v>
      </c>
      <c r="O46" s="1220">
        <f t="shared" si="28"/>
        <v>16250000</v>
      </c>
      <c r="P46" s="1219"/>
      <c r="Q46" s="1224"/>
      <c r="R46" s="1222">
        <f t="shared" si="29"/>
        <v>16250000</v>
      </c>
      <c r="S46" s="1236"/>
    </row>
    <row r="47" spans="1:39" ht="24" customHeight="1" x14ac:dyDescent="0.15">
      <c r="A47" s="1175"/>
      <c r="B47" s="1174" t="s">
        <v>1270</v>
      </c>
      <c r="C47" s="1173">
        <v>0</v>
      </c>
      <c r="D47" s="1172">
        <v>0</v>
      </c>
      <c r="E47" s="1172">
        <v>0</v>
      </c>
      <c r="F47" s="1172">
        <v>100000</v>
      </c>
      <c r="G47" s="1172">
        <v>650000</v>
      </c>
      <c r="H47" s="1172">
        <v>700000</v>
      </c>
      <c r="I47" s="1172">
        <v>700000</v>
      </c>
      <c r="J47" s="1172">
        <v>700000</v>
      </c>
      <c r="K47" s="1172">
        <v>700000</v>
      </c>
      <c r="L47" s="1172">
        <v>700000</v>
      </c>
      <c r="M47" s="1172">
        <v>700000</v>
      </c>
      <c r="N47" s="1171">
        <v>700000</v>
      </c>
      <c r="O47" s="1207">
        <f t="shared" si="28"/>
        <v>5650000</v>
      </c>
      <c r="P47" s="1205"/>
      <c r="Q47" s="1204"/>
      <c r="R47" s="1203">
        <f t="shared" si="29"/>
        <v>5650000</v>
      </c>
      <c r="S47" s="1232"/>
    </row>
    <row r="48" spans="1:39" ht="24" customHeight="1" x14ac:dyDescent="0.15">
      <c r="A48" s="1175"/>
      <c r="B48" s="1174" t="s">
        <v>1271</v>
      </c>
      <c r="C48" s="1173">
        <v>0</v>
      </c>
      <c r="D48" s="1172">
        <v>0</v>
      </c>
      <c r="E48" s="1172">
        <v>520000</v>
      </c>
      <c r="F48" s="1172">
        <v>480000</v>
      </c>
      <c r="G48" s="1172">
        <v>430000</v>
      </c>
      <c r="H48" s="1172">
        <v>410000</v>
      </c>
      <c r="I48" s="1172">
        <v>410000</v>
      </c>
      <c r="J48" s="1172">
        <v>410000</v>
      </c>
      <c r="K48" s="1172">
        <v>410000</v>
      </c>
      <c r="L48" s="1172">
        <v>410000</v>
      </c>
      <c r="M48" s="1172">
        <v>410000</v>
      </c>
      <c r="N48" s="1171">
        <v>410000</v>
      </c>
      <c r="O48" s="1207">
        <f t="shared" si="28"/>
        <v>4300000</v>
      </c>
      <c r="P48" s="1205"/>
      <c r="Q48" s="1204"/>
      <c r="R48" s="1203">
        <f t="shared" si="29"/>
        <v>4300000</v>
      </c>
      <c r="S48" s="1232"/>
    </row>
    <row r="49" spans="1:19" ht="24" customHeight="1" thickBot="1" x14ac:dyDescent="0.2">
      <c r="A49" s="1170"/>
      <c r="B49" s="1169" t="s">
        <v>1272</v>
      </c>
      <c r="C49" s="1168">
        <f t="shared" ref="C49:N49" si="41">C46-(C47+C48)</f>
        <v>0</v>
      </c>
      <c r="D49" s="1167">
        <f t="shared" si="41"/>
        <v>0</v>
      </c>
      <c r="E49" s="1167">
        <f t="shared" si="41"/>
        <v>-520000</v>
      </c>
      <c r="F49" s="1167">
        <f t="shared" si="41"/>
        <v>-30000</v>
      </c>
      <c r="G49" s="1167">
        <f t="shared" si="41"/>
        <v>-80000</v>
      </c>
      <c r="H49" s="1167">
        <f t="shared" si="41"/>
        <v>990000</v>
      </c>
      <c r="I49" s="1167">
        <f t="shared" si="41"/>
        <v>990000</v>
      </c>
      <c r="J49" s="1167">
        <f t="shared" si="41"/>
        <v>990000</v>
      </c>
      <c r="K49" s="1167">
        <f t="shared" si="41"/>
        <v>990000</v>
      </c>
      <c r="L49" s="1167">
        <f t="shared" si="41"/>
        <v>990000</v>
      </c>
      <c r="M49" s="1167">
        <f t="shared" si="41"/>
        <v>990000</v>
      </c>
      <c r="N49" s="1166">
        <f t="shared" si="41"/>
        <v>990000</v>
      </c>
      <c r="O49" s="1216">
        <f t="shared" si="28"/>
        <v>6300000</v>
      </c>
      <c r="P49" s="1215"/>
      <c r="Q49" s="1200"/>
      <c r="R49" s="1199">
        <f t="shared" si="29"/>
        <v>6300000</v>
      </c>
      <c r="S49" s="1237"/>
    </row>
    <row r="50" spans="1:19" ht="24" customHeight="1" x14ac:dyDescent="0.15">
      <c r="A50" s="1189" t="s">
        <v>1024</v>
      </c>
      <c r="B50" s="1188" t="s">
        <v>26</v>
      </c>
      <c r="C50" s="1178">
        <f>C208</f>
        <v>0</v>
      </c>
      <c r="D50" s="1186">
        <f t="shared" ref="D50:N50" si="42">D208</f>
        <v>0</v>
      </c>
      <c r="E50" s="1186">
        <f t="shared" si="42"/>
        <v>0</v>
      </c>
      <c r="F50" s="1186">
        <f t="shared" si="42"/>
        <v>0</v>
      </c>
      <c r="G50" s="1186">
        <f t="shared" si="42"/>
        <v>0</v>
      </c>
      <c r="H50" s="1186">
        <f t="shared" si="42"/>
        <v>0</v>
      </c>
      <c r="I50" s="1186">
        <f t="shared" si="42"/>
        <v>0</v>
      </c>
      <c r="J50" s="1186">
        <f t="shared" si="42"/>
        <v>0</v>
      </c>
      <c r="K50" s="1186">
        <f t="shared" si="42"/>
        <v>2470000</v>
      </c>
      <c r="L50" s="1186">
        <f t="shared" si="42"/>
        <v>2390000</v>
      </c>
      <c r="M50" s="1186">
        <f t="shared" si="42"/>
        <v>2470000</v>
      </c>
      <c r="N50" s="1185">
        <f t="shared" si="42"/>
        <v>2470000</v>
      </c>
      <c r="O50" s="1220">
        <f t="shared" si="28"/>
        <v>9800000</v>
      </c>
      <c r="P50" s="1219"/>
      <c r="Q50" s="1224"/>
      <c r="R50" s="1222">
        <f t="shared" si="29"/>
        <v>9800000</v>
      </c>
      <c r="S50" s="1236"/>
    </row>
    <row r="51" spans="1:19" ht="24" customHeight="1" x14ac:dyDescent="0.15">
      <c r="A51" s="1175"/>
      <c r="B51" s="1174" t="s">
        <v>15</v>
      </c>
      <c r="C51" s="1173">
        <v>0</v>
      </c>
      <c r="D51" s="1172">
        <v>0</v>
      </c>
      <c r="E51" s="1172">
        <v>0</v>
      </c>
      <c r="F51" s="1172">
        <v>0</v>
      </c>
      <c r="G51" s="1172">
        <v>0</v>
      </c>
      <c r="H51" s="1172">
        <v>0</v>
      </c>
      <c r="I51" s="1172">
        <v>0</v>
      </c>
      <c r="J51" s="1172">
        <v>0</v>
      </c>
      <c r="K51" s="1172">
        <v>619000</v>
      </c>
      <c r="L51" s="1172">
        <v>743000</v>
      </c>
      <c r="M51" s="1172">
        <v>762000</v>
      </c>
      <c r="N51" s="1171">
        <v>687000</v>
      </c>
      <c r="O51" s="1207">
        <f t="shared" si="28"/>
        <v>2811000</v>
      </c>
      <c r="P51" s="1205"/>
      <c r="Q51" s="1204"/>
      <c r="R51" s="1203">
        <f t="shared" si="29"/>
        <v>2811000</v>
      </c>
      <c r="S51" s="1232"/>
    </row>
    <row r="52" spans="1:19" ht="24" customHeight="1" x14ac:dyDescent="0.15">
      <c r="A52" s="1175"/>
      <c r="B52" s="1174" t="s">
        <v>35</v>
      </c>
      <c r="C52" s="1173">
        <v>250000</v>
      </c>
      <c r="D52" s="1172">
        <v>250000</v>
      </c>
      <c r="E52" s="1172">
        <v>1191000</v>
      </c>
      <c r="F52" s="1172">
        <v>253000</v>
      </c>
      <c r="G52" s="1172">
        <v>253000</v>
      </c>
      <c r="H52" s="1172">
        <v>253000</v>
      </c>
      <c r="I52" s="1172">
        <v>694000</v>
      </c>
      <c r="J52" s="1172">
        <v>3253000</v>
      </c>
      <c r="K52" s="1172">
        <v>694000</v>
      </c>
      <c r="L52" s="1172">
        <v>520000</v>
      </c>
      <c r="M52" s="1172">
        <v>561000</v>
      </c>
      <c r="N52" s="1171">
        <v>543000</v>
      </c>
      <c r="O52" s="1207">
        <f t="shared" si="28"/>
        <v>8715000</v>
      </c>
      <c r="P52" s="1205"/>
      <c r="Q52" s="1204"/>
      <c r="R52" s="1203">
        <f t="shared" si="29"/>
        <v>8715000</v>
      </c>
      <c r="S52" s="1232"/>
    </row>
    <row r="53" spans="1:19" ht="24" customHeight="1" thickBot="1" x14ac:dyDescent="0.2">
      <c r="A53" s="1170"/>
      <c r="B53" s="1169" t="s">
        <v>45</v>
      </c>
      <c r="C53" s="1168">
        <f t="shared" ref="C53:N53" si="43">C50-(C51+C52)</f>
        <v>-250000</v>
      </c>
      <c r="D53" s="1167">
        <f t="shared" si="43"/>
        <v>-250000</v>
      </c>
      <c r="E53" s="1167">
        <f t="shared" si="43"/>
        <v>-1191000</v>
      </c>
      <c r="F53" s="1167">
        <f t="shared" si="43"/>
        <v>-253000</v>
      </c>
      <c r="G53" s="1167">
        <f t="shared" si="43"/>
        <v>-253000</v>
      </c>
      <c r="H53" s="1167">
        <f t="shared" si="43"/>
        <v>-253000</v>
      </c>
      <c r="I53" s="1167">
        <f t="shared" si="43"/>
        <v>-694000</v>
      </c>
      <c r="J53" s="1167">
        <f t="shared" si="43"/>
        <v>-3253000</v>
      </c>
      <c r="K53" s="1167">
        <f t="shared" si="43"/>
        <v>1157000</v>
      </c>
      <c r="L53" s="1167">
        <f t="shared" si="43"/>
        <v>1127000</v>
      </c>
      <c r="M53" s="1167">
        <f t="shared" si="43"/>
        <v>1147000</v>
      </c>
      <c r="N53" s="1166">
        <f t="shared" si="43"/>
        <v>1240000</v>
      </c>
      <c r="O53" s="1216">
        <f t="shared" si="28"/>
        <v>-1726000</v>
      </c>
      <c r="P53" s="1215"/>
      <c r="Q53" s="1200"/>
      <c r="R53" s="1199">
        <f t="shared" si="29"/>
        <v>-1726000</v>
      </c>
      <c r="S53" s="1237"/>
    </row>
    <row r="54" spans="1:19" ht="24" customHeight="1" x14ac:dyDescent="0.15">
      <c r="A54" s="1180" t="s">
        <v>336</v>
      </c>
      <c r="B54" s="1179" t="s">
        <v>26</v>
      </c>
      <c r="C54" s="1178">
        <f>C209</f>
        <v>1600000</v>
      </c>
      <c r="D54" s="1177">
        <f t="shared" ref="D54:N54" si="44">D209</f>
        <v>0</v>
      </c>
      <c r="E54" s="1177">
        <f t="shared" si="44"/>
        <v>0</v>
      </c>
      <c r="F54" s="1177">
        <f t="shared" si="44"/>
        <v>0</v>
      </c>
      <c r="G54" s="1177">
        <f t="shared" si="44"/>
        <v>0</v>
      </c>
      <c r="H54" s="1177">
        <f t="shared" si="44"/>
        <v>0</v>
      </c>
      <c r="I54" s="1177">
        <f t="shared" si="44"/>
        <v>0</v>
      </c>
      <c r="J54" s="1177">
        <f t="shared" si="44"/>
        <v>0</v>
      </c>
      <c r="K54" s="1177">
        <f t="shared" si="44"/>
        <v>0</v>
      </c>
      <c r="L54" s="1177">
        <f t="shared" si="44"/>
        <v>0</v>
      </c>
      <c r="M54" s="1177">
        <f t="shared" si="44"/>
        <v>0</v>
      </c>
      <c r="N54" s="1176">
        <f t="shared" si="44"/>
        <v>0</v>
      </c>
      <c r="O54" s="1213">
        <f t="shared" si="28"/>
        <v>1600000</v>
      </c>
      <c r="P54" s="1219">
        <f ca="1">'事業所損益管理(H29.9～H30.8)収支計画表'!W129</f>
        <v>28271354</v>
      </c>
      <c r="Q54" s="1224">
        <f t="shared" ca="1" si="37"/>
        <v>5.6594388793688478E-2</v>
      </c>
      <c r="R54" s="1210">
        <f t="shared" ca="1" si="29"/>
        <v>-26671354</v>
      </c>
      <c r="S54" s="1236"/>
    </row>
    <row r="55" spans="1:19" ht="24" customHeight="1" x14ac:dyDescent="0.15">
      <c r="A55" s="1175"/>
      <c r="B55" s="1174" t="s">
        <v>15</v>
      </c>
      <c r="C55" s="1173">
        <v>617000</v>
      </c>
      <c r="D55" s="1172">
        <v>0</v>
      </c>
      <c r="E55" s="1172">
        <v>0</v>
      </c>
      <c r="F55" s="1172">
        <v>0</v>
      </c>
      <c r="G55" s="1172">
        <v>0</v>
      </c>
      <c r="H55" s="1172">
        <v>0</v>
      </c>
      <c r="I55" s="1172">
        <v>0</v>
      </c>
      <c r="J55" s="1172">
        <v>0</v>
      </c>
      <c r="K55" s="1172">
        <v>0</v>
      </c>
      <c r="L55" s="1172">
        <v>0</v>
      </c>
      <c r="M55" s="1172">
        <v>0</v>
      </c>
      <c r="N55" s="1171">
        <v>0</v>
      </c>
      <c r="O55" s="1207">
        <f t="shared" si="28"/>
        <v>617000</v>
      </c>
      <c r="P55" s="1205">
        <f ca="1">'事業所損益管理(H29.9～H30.8)収支計画表'!W130</f>
        <v>16981649.986785777</v>
      </c>
      <c r="Q55" s="1204">
        <f t="shared" ca="1" si="37"/>
        <v>3.633333630596066E-2</v>
      </c>
      <c r="R55" s="1203">
        <f t="shared" ca="1" si="29"/>
        <v>-16364649.986785777</v>
      </c>
      <c r="S55" s="1232"/>
    </row>
    <row r="56" spans="1:19" ht="24" customHeight="1" x14ac:dyDescent="0.15">
      <c r="A56" s="1175"/>
      <c r="B56" s="1174" t="s">
        <v>35</v>
      </c>
      <c r="C56" s="1173">
        <v>676000</v>
      </c>
      <c r="D56" s="1172">
        <v>475000</v>
      </c>
      <c r="E56" s="1172">
        <v>475000</v>
      </c>
      <c r="F56" s="1172">
        <v>475000</v>
      </c>
      <c r="G56" s="1172">
        <v>475000</v>
      </c>
      <c r="H56" s="1172">
        <v>475000</v>
      </c>
      <c r="I56" s="1172">
        <v>475000</v>
      </c>
      <c r="J56" s="1172">
        <v>475000</v>
      </c>
      <c r="K56" s="1172">
        <v>475000</v>
      </c>
      <c r="L56" s="1172">
        <v>475000</v>
      </c>
      <c r="M56" s="1172">
        <v>475000</v>
      </c>
      <c r="N56" s="1171">
        <v>475000</v>
      </c>
      <c r="O56" s="1207">
        <f>SUM(C56:N56)</f>
        <v>5901000</v>
      </c>
      <c r="P56" s="1205">
        <f ca="1">'事業所損益管理(H29.9～H30.8)収支計画表'!W132</f>
        <v>10245223</v>
      </c>
      <c r="Q56" s="1204">
        <f t="shared" ca="1" si="37"/>
        <v>0.5759757498689877</v>
      </c>
      <c r="R56" s="1203">
        <f t="shared" ca="1" si="29"/>
        <v>-4344223</v>
      </c>
      <c r="S56" s="1232"/>
    </row>
    <row r="57" spans="1:19" ht="24" customHeight="1" thickBot="1" x14ac:dyDescent="0.2">
      <c r="A57" s="1194"/>
      <c r="B57" s="1193" t="s">
        <v>45</v>
      </c>
      <c r="C57" s="1192">
        <f t="shared" ref="C57:N57" si="45">C54-(C55+C56)</f>
        <v>307000</v>
      </c>
      <c r="D57" s="1191">
        <f t="shared" si="45"/>
        <v>-475000</v>
      </c>
      <c r="E57" s="1191">
        <f t="shared" si="45"/>
        <v>-475000</v>
      </c>
      <c r="F57" s="1191">
        <f t="shared" si="45"/>
        <v>-475000</v>
      </c>
      <c r="G57" s="1191">
        <f t="shared" si="45"/>
        <v>-475000</v>
      </c>
      <c r="H57" s="1191">
        <f t="shared" si="45"/>
        <v>-475000</v>
      </c>
      <c r="I57" s="1191">
        <f t="shared" si="45"/>
        <v>-475000</v>
      </c>
      <c r="J57" s="1191">
        <f t="shared" si="45"/>
        <v>-475000</v>
      </c>
      <c r="K57" s="1191">
        <f t="shared" si="45"/>
        <v>-475000</v>
      </c>
      <c r="L57" s="1191">
        <f t="shared" si="45"/>
        <v>-475000</v>
      </c>
      <c r="M57" s="1191">
        <f t="shared" si="45"/>
        <v>-475000</v>
      </c>
      <c r="N57" s="1190">
        <f t="shared" si="45"/>
        <v>-475000</v>
      </c>
      <c r="O57" s="1206">
        <f t="shared" si="28"/>
        <v>-4918000</v>
      </c>
      <c r="P57" s="1416">
        <f ca="1">P54-(P55+P56)</f>
        <v>1044481.0132142231</v>
      </c>
      <c r="Q57" s="1223">
        <f t="shared" ca="1" si="37"/>
        <v>-4.708558545133954</v>
      </c>
      <c r="R57" s="1221">
        <f t="shared" ca="1" si="29"/>
        <v>-5962481.0132142231</v>
      </c>
      <c r="S57" s="1237"/>
    </row>
    <row r="58" spans="1:19" ht="24" customHeight="1" x14ac:dyDescent="0.15">
      <c r="A58" s="1189" t="s">
        <v>1025</v>
      </c>
      <c r="B58" s="1188" t="s">
        <v>26</v>
      </c>
      <c r="C58" s="1187">
        <f>C210</f>
        <v>0</v>
      </c>
      <c r="D58" s="1186">
        <f t="shared" ref="D58:N58" si="46">D210</f>
        <v>0</v>
      </c>
      <c r="E58" s="1186">
        <f t="shared" si="46"/>
        <v>0</v>
      </c>
      <c r="F58" s="1186">
        <f t="shared" si="46"/>
        <v>0</v>
      </c>
      <c r="G58" s="1186">
        <f t="shared" si="46"/>
        <v>0</v>
      </c>
      <c r="H58" s="1186">
        <f t="shared" si="46"/>
        <v>0</v>
      </c>
      <c r="I58" s="1186">
        <f t="shared" si="46"/>
        <v>0</v>
      </c>
      <c r="J58" s="1186">
        <f t="shared" si="46"/>
        <v>0</v>
      </c>
      <c r="K58" s="1186">
        <f t="shared" si="46"/>
        <v>2500000</v>
      </c>
      <c r="L58" s="1186">
        <f t="shared" si="46"/>
        <v>0</v>
      </c>
      <c r="M58" s="1186">
        <f t="shared" si="46"/>
        <v>0</v>
      </c>
      <c r="N58" s="1185">
        <f t="shared" si="46"/>
        <v>0</v>
      </c>
      <c r="O58" s="1220">
        <f t="shared" si="28"/>
        <v>2500000</v>
      </c>
      <c r="P58" s="1219"/>
      <c r="Q58" s="1189"/>
      <c r="R58" s="1218"/>
      <c r="S58" s="1238"/>
    </row>
    <row r="59" spans="1:19" ht="24" customHeight="1" x14ac:dyDescent="0.15">
      <c r="A59" s="1175"/>
      <c r="B59" s="1174" t="s">
        <v>1260</v>
      </c>
      <c r="C59" s="1173">
        <f>ROUND((6000*10*1.134/1000),0)*1000</f>
        <v>68000</v>
      </c>
      <c r="D59" s="1172">
        <f t="shared" ref="D59:N59" si="47">ROUND((6000*10*1.134/1000),0)*1000</f>
        <v>68000</v>
      </c>
      <c r="E59" s="1172">
        <f t="shared" si="47"/>
        <v>68000</v>
      </c>
      <c r="F59" s="1172">
        <f t="shared" si="47"/>
        <v>68000</v>
      </c>
      <c r="G59" s="1172">
        <f t="shared" si="47"/>
        <v>68000</v>
      </c>
      <c r="H59" s="1172">
        <f t="shared" si="47"/>
        <v>68000</v>
      </c>
      <c r="I59" s="1172">
        <f t="shared" si="47"/>
        <v>68000</v>
      </c>
      <c r="J59" s="1172">
        <f t="shared" si="47"/>
        <v>68000</v>
      </c>
      <c r="K59" s="1172">
        <f t="shared" si="47"/>
        <v>68000</v>
      </c>
      <c r="L59" s="1172">
        <f t="shared" si="47"/>
        <v>68000</v>
      </c>
      <c r="M59" s="1172">
        <f t="shared" si="47"/>
        <v>68000</v>
      </c>
      <c r="N59" s="1171">
        <f t="shared" si="47"/>
        <v>68000</v>
      </c>
      <c r="O59" s="1207">
        <f t="shared" si="28"/>
        <v>816000</v>
      </c>
      <c r="P59" s="1205"/>
      <c r="Q59" s="1175"/>
      <c r="R59" s="1217"/>
      <c r="S59" s="1239"/>
    </row>
    <row r="60" spans="1:19" ht="24" customHeight="1" x14ac:dyDescent="0.15">
      <c r="A60" s="1175"/>
      <c r="B60" s="1184" t="s">
        <v>60</v>
      </c>
      <c r="C60" s="1183">
        <v>0</v>
      </c>
      <c r="D60" s="1182">
        <v>0</v>
      </c>
      <c r="E60" s="1182">
        <v>0</v>
      </c>
      <c r="F60" s="1182">
        <v>19590000</v>
      </c>
      <c r="G60" s="1182">
        <v>0</v>
      </c>
      <c r="H60" s="1182">
        <v>0</v>
      </c>
      <c r="I60" s="1182">
        <v>0</v>
      </c>
      <c r="J60" s="1182">
        <v>0</v>
      </c>
      <c r="K60" s="1182">
        <v>0</v>
      </c>
      <c r="L60" s="1182">
        <v>15000000</v>
      </c>
      <c r="M60" s="1182">
        <v>0</v>
      </c>
      <c r="N60" s="1181">
        <v>0</v>
      </c>
      <c r="O60" s="1209">
        <f t="shared" si="28"/>
        <v>34590000</v>
      </c>
      <c r="P60" s="1208"/>
      <c r="Q60" s="1175"/>
      <c r="R60" s="1217"/>
      <c r="S60" s="1239"/>
    </row>
    <row r="61" spans="1:19" ht="24" customHeight="1" x14ac:dyDescent="0.15">
      <c r="A61" s="1175"/>
      <c r="B61" s="1174" t="s">
        <v>1251</v>
      </c>
      <c r="C61" s="1173">
        <v>0</v>
      </c>
      <c r="D61" s="1172">
        <v>1000000</v>
      </c>
      <c r="E61" s="1172">
        <v>0</v>
      </c>
      <c r="F61" s="1172">
        <v>0</v>
      </c>
      <c r="G61" s="1172">
        <v>1000000</v>
      </c>
      <c r="H61" s="1172">
        <v>0</v>
      </c>
      <c r="I61" s="1172">
        <v>0</v>
      </c>
      <c r="J61" s="1172">
        <v>0</v>
      </c>
      <c r="K61" s="1172">
        <v>0</v>
      </c>
      <c r="L61" s="1172">
        <v>0</v>
      </c>
      <c r="M61" s="1172">
        <v>1000000</v>
      </c>
      <c r="N61" s="1171">
        <v>0</v>
      </c>
      <c r="O61" s="1207">
        <f t="shared" si="28"/>
        <v>3000000</v>
      </c>
      <c r="P61" s="1205"/>
      <c r="Q61" s="1175"/>
      <c r="R61" s="1217"/>
      <c r="S61" s="1239"/>
    </row>
    <row r="62" spans="1:19" ht="24" customHeight="1" x14ac:dyDescent="0.15">
      <c r="A62" s="1175"/>
      <c r="B62" s="1174" t="s">
        <v>35</v>
      </c>
      <c r="C62" s="1173">
        <v>1817822</v>
      </c>
      <c r="D62" s="1172">
        <v>1122036</v>
      </c>
      <c r="E62" s="1172">
        <v>95236</v>
      </c>
      <c r="F62" s="1172">
        <v>304486</v>
      </c>
      <c r="G62" s="1172">
        <v>95236</v>
      </c>
      <c r="H62" s="1172">
        <v>254486</v>
      </c>
      <c r="I62" s="1172">
        <v>95236</v>
      </c>
      <c r="J62" s="1172">
        <v>254486</v>
      </c>
      <c r="K62" s="1172">
        <v>361236</v>
      </c>
      <c r="L62" s="1172">
        <v>95236</v>
      </c>
      <c r="M62" s="1172">
        <v>254486</v>
      </c>
      <c r="N62" s="1171">
        <v>95236</v>
      </c>
      <c r="O62" s="1207">
        <f t="shared" ref="O62:O70" si="48">SUM(C62:N62)</f>
        <v>4845218</v>
      </c>
      <c r="P62" s="1205"/>
      <c r="Q62" s="1175"/>
      <c r="R62" s="1217"/>
      <c r="S62" s="1239"/>
    </row>
    <row r="63" spans="1:19" ht="24" customHeight="1" thickBot="1" x14ac:dyDescent="0.2">
      <c r="A63" s="1170"/>
      <c r="B63" s="1169" t="s">
        <v>1259</v>
      </c>
      <c r="C63" s="1168">
        <f t="shared" ref="C63:N63" si="49">C58-SUM(C59:C62)</f>
        <v>-1885822</v>
      </c>
      <c r="D63" s="1167">
        <f t="shared" si="49"/>
        <v>-2190036</v>
      </c>
      <c r="E63" s="1167">
        <f t="shared" si="49"/>
        <v>-163236</v>
      </c>
      <c r="F63" s="1167">
        <f t="shared" si="49"/>
        <v>-19962486</v>
      </c>
      <c r="G63" s="1167">
        <f t="shared" si="49"/>
        <v>-1163236</v>
      </c>
      <c r="H63" s="1167">
        <f t="shared" si="49"/>
        <v>-322486</v>
      </c>
      <c r="I63" s="1167">
        <f t="shared" si="49"/>
        <v>-163236</v>
      </c>
      <c r="J63" s="1167">
        <f t="shared" si="49"/>
        <v>-322486</v>
      </c>
      <c r="K63" s="1167">
        <f t="shared" si="49"/>
        <v>2070764</v>
      </c>
      <c r="L63" s="1167">
        <f t="shared" si="49"/>
        <v>-15163236</v>
      </c>
      <c r="M63" s="1167">
        <f t="shared" si="49"/>
        <v>-1322486</v>
      </c>
      <c r="N63" s="1166">
        <f t="shared" si="49"/>
        <v>-163236</v>
      </c>
      <c r="O63" s="1216">
        <f t="shared" si="48"/>
        <v>-40751218</v>
      </c>
      <c r="P63" s="1215"/>
      <c r="Q63" s="1170"/>
      <c r="R63" s="1214"/>
      <c r="S63" s="1240"/>
    </row>
    <row r="64" spans="1:19" ht="24" customHeight="1" x14ac:dyDescent="0.15">
      <c r="A64" s="1180" t="s">
        <v>56</v>
      </c>
      <c r="B64" s="1179" t="s">
        <v>26</v>
      </c>
      <c r="C64" s="1178">
        <f t="shared" ref="C64:N64" si="50">C2+C6+C10+C14+C18+C22+C26+C30+C34+C38+C42+C46+C50+C54+C58</f>
        <v>38500000</v>
      </c>
      <c r="D64" s="1177">
        <f t="shared" si="50"/>
        <v>38000000</v>
      </c>
      <c r="E64" s="1177">
        <f t="shared" si="50"/>
        <v>38450000</v>
      </c>
      <c r="F64" s="1177">
        <f t="shared" si="50"/>
        <v>39650000</v>
      </c>
      <c r="G64" s="1177">
        <f t="shared" si="50"/>
        <v>41400000</v>
      </c>
      <c r="H64" s="1177">
        <f t="shared" si="50"/>
        <v>41600000</v>
      </c>
      <c r="I64" s="1177">
        <f t="shared" si="50"/>
        <v>43400000</v>
      </c>
      <c r="J64" s="1177">
        <f t="shared" si="50"/>
        <v>43750000</v>
      </c>
      <c r="K64" s="1177">
        <f t="shared" si="50"/>
        <v>49670000</v>
      </c>
      <c r="L64" s="1177">
        <f t="shared" si="50"/>
        <v>47490000</v>
      </c>
      <c r="M64" s="1177">
        <f t="shared" si="50"/>
        <v>48570000</v>
      </c>
      <c r="N64" s="1176">
        <f t="shared" si="50"/>
        <v>48970000</v>
      </c>
      <c r="O64" s="1213">
        <f t="shared" si="48"/>
        <v>519450000</v>
      </c>
      <c r="P64" s="1212">
        <v>437082996</v>
      </c>
      <c r="Q64" s="1211">
        <f t="shared" ref="Q64:Q70" si="51">O64/P64</f>
        <v>1.1884470564029903</v>
      </c>
      <c r="R64" s="1210">
        <f t="shared" ref="R64:R70" si="52">O64-P64</f>
        <v>82367004</v>
      </c>
      <c r="S64" s="1235"/>
    </row>
    <row r="65" spans="1:19" ht="24" customHeight="1" x14ac:dyDescent="0.15">
      <c r="A65" s="1175"/>
      <c r="B65" s="1184" t="s">
        <v>15</v>
      </c>
      <c r="C65" s="1183">
        <f t="shared" ref="C65:N65" si="53">C3+C7+C11+C15+C19+C23+C27+C31+C35+C39+C43+C47+C51+C55+SUM(C59:C61)</f>
        <v>25652000</v>
      </c>
      <c r="D65" s="1182">
        <f t="shared" si="53"/>
        <v>26686000</v>
      </c>
      <c r="E65" s="1182">
        <f t="shared" si="53"/>
        <v>25898000</v>
      </c>
      <c r="F65" s="1182">
        <f t="shared" si="53"/>
        <v>46056000</v>
      </c>
      <c r="G65" s="1182">
        <f t="shared" si="53"/>
        <v>28651000</v>
      </c>
      <c r="H65" s="1182">
        <f t="shared" si="53"/>
        <v>26962000</v>
      </c>
      <c r="I65" s="1182">
        <f t="shared" si="53"/>
        <v>27849000</v>
      </c>
      <c r="J65" s="1182">
        <f t="shared" si="53"/>
        <v>28071000</v>
      </c>
      <c r="K65" s="1182">
        <f t="shared" si="53"/>
        <v>29137000</v>
      </c>
      <c r="L65" s="1182">
        <f t="shared" si="53"/>
        <v>44277000</v>
      </c>
      <c r="M65" s="1182">
        <f t="shared" si="53"/>
        <v>30636000</v>
      </c>
      <c r="N65" s="1181">
        <f t="shared" si="53"/>
        <v>29878000</v>
      </c>
      <c r="O65" s="1209">
        <f t="shared" si="48"/>
        <v>369753000</v>
      </c>
      <c r="P65" s="1208">
        <v>314758744.80000001</v>
      </c>
      <c r="Q65" s="1204">
        <f t="shared" si="51"/>
        <v>1.1747187524049372</v>
      </c>
      <c r="R65" s="1203">
        <f t="shared" si="52"/>
        <v>54994255.199999988</v>
      </c>
      <c r="S65" s="1232"/>
    </row>
    <row r="66" spans="1:19" ht="24" customHeight="1" x14ac:dyDescent="0.15">
      <c r="A66" s="1175"/>
      <c r="B66" s="1174" t="s">
        <v>35</v>
      </c>
      <c r="C66" s="1173">
        <f t="shared" ref="C66:N66" si="54">C4+C8+C12+C16+C20+C24+C28+C32+C36+C40+C44+C48+C52+C56+C62</f>
        <v>12069822</v>
      </c>
      <c r="D66" s="1172">
        <f t="shared" si="54"/>
        <v>11309036</v>
      </c>
      <c r="E66" s="1172">
        <f t="shared" si="54"/>
        <v>11538236</v>
      </c>
      <c r="F66" s="1172">
        <f t="shared" si="54"/>
        <v>10637486</v>
      </c>
      <c r="G66" s="1172">
        <f t="shared" si="54"/>
        <v>10783236</v>
      </c>
      <c r="H66" s="1172">
        <f t="shared" si="54"/>
        <v>10438486</v>
      </c>
      <c r="I66" s="1172">
        <f t="shared" si="54"/>
        <v>11055236</v>
      </c>
      <c r="J66" s="1172">
        <f t="shared" si="54"/>
        <v>13538486</v>
      </c>
      <c r="K66" s="1172">
        <f t="shared" si="54"/>
        <v>11548236</v>
      </c>
      <c r="L66" s="1172">
        <f t="shared" si="54"/>
        <v>10780236</v>
      </c>
      <c r="M66" s="1172">
        <f t="shared" si="54"/>
        <v>11073486</v>
      </c>
      <c r="N66" s="1171">
        <f t="shared" si="54"/>
        <v>11016236</v>
      </c>
      <c r="O66" s="1207">
        <f t="shared" si="48"/>
        <v>135788218</v>
      </c>
      <c r="P66" s="1205">
        <v>108233542.8</v>
      </c>
      <c r="Q66" s="1204">
        <f t="shared" si="51"/>
        <v>1.2545853576179897</v>
      </c>
      <c r="R66" s="1203">
        <f t="shared" si="52"/>
        <v>27554675.200000003</v>
      </c>
      <c r="S66" s="1232"/>
    </row>
    <row r="67" spans="1:19" ht="24" customHeight="1" x14ac:dyDescent="0.15">
      <c r="A67" s="1175"/>
      <c r="B67" s="1174" t="s">
        <v>1258</v>
      </c>
      <c r="C67" s="1173">
        <f t="shared" ref="C67:N67" si="55">C64-(C65+C66)</f>
        <v>778178</v>
      </c>
      <c r="D67" s="1172">
        <f t="shared" si="55"/>
        <v>4964</v>
      </c>
      <c r="E67" s="1172">
        <f t="shared" si="55"/>
        <v>1013764</v>
      </c>
      <c r="F67" s="1172">
        <f t="shared" si="55"/>
        <v>-17043486</v>
      </c>
      <c r="G67" s="1172">
        <f t="shared" si="55"/>
        <v>1965764</v>
      </c>
      <c r="H67" s="1172">
        <f t="shared" si="55"/>
        <v>4199514</v>
      </c>
      <c r="I67" s="1172">
        <f t="shared" si="55"/>
        <v>4495764</v>
      </c>
      <c r="J67" s="1172">
        <f t="shared" si="55"/>
        <v>2140514</v>
      </c>
      <c r="K67" s="1172">
        <f t="shared" si="55"/>
        <v>8984764</v>
      </c>
      <c r="L67" s="1172">
        <f t="shared" si="55"/>
        <v>-7567236</v>
      </c>
      <c r="M67" s="1172">
        <f t="shared" si="55"/>
        <v>6860514</v>
      </c>
      <c r="N67" s="1171">
        <f t="shared" si="55"/>
        <v>8075764</v>
      </c>
      <c r="O67" s="1207">
        <f t="shared" si="48"/>
        <v>13908782</v>
      </c>
      <c r="P67" s="1205">
        <v>14286528</v>
      </c>
      <c r="Q67" s="1204">
        <f t="shared" si="51"/>
        <v>0.97355928606306585</v>
      </c>
      <c r="R67" s="1203">
        <f t="shared" si="52"/>
        <v>-377746</v>
      </c>
      <c r="S67" s="1232"/>
    </row>
    <row r="68" spans="1:19" ht="24" customHeight="1" x14ac:dyDescent="0.15">
      <c r="A68" s="1175"/>
      <c r="B68" s="1174" t="s">
        <v>944</v>
      </c>
      <c r="C68" s="1173">
        <v>144000</v>
      </c>
      <c r="D68" s="1172">
        <v>144000</v>
      </c>
      <c r="E68" s="1172">
        <v>144000</v>
      </c>
      <c r="F68" s="1172">
        <v>144000</v>
      </c>
      <c r="G68" s="1172">
        <v>144000</v>
      </c>
      <c r="H68" s="1172">
        <v>144000</v>
      </c>
      <c r="I68" s="1172">
        <v>144000</v>
      </c>
      <c r="J68" s="1172">
        <v>144000</v>
      </c>
      <c r="K68" s="1172">
        <v>144000</v>
      </c>
      <c r="L68" s="1172">
        <v>144000</v>
      </c>
      <c r="M68" s="1172">
        <v>144000</v>
      </c>
      <c r="N68" s="1171">
        <v>144000</v>
      </c>
      <c r="O68" s="1207">
        <f t="shared" si="48"/>
        <v>1728000</v>
      </c>
      <c r="P68" s="1205">
        <v>1644956.4</v>
      </c>
      <c r="Q68" s="1204">
        <f t="shared" si="51"/>
        <v>1.0504837696610074</v>
      </c>
      <c r="R68" s="1203">
        <f t="shared" si="52"/>
        <v>83043.600000000093</v>
      </c>
      <c r="S68" s="1232"/>
    </row>
    <row r="69" spans="1:19" ht="24" customHeight="1" thickBot="1" x14ac:dyDescent="0.2">
      <c r="A69" s="1175"/>
      <c r="B69" s="1174" t="s">
        <v>47</v>
      </c>
      <c r="C69" s="1173">
        <v>715000</v>
      </c>
      <c r="D69" s="1172">
        <v>722000</v>
      </c>
      <c r="E69" s="1172">
        <v>736000</v>
      </c>
      <c r="F69" s="1172">
        <v>735000</v>
      </c>
      <c r="G69" s="1172">
        <v>736000</v>
      </c>
      <c r="H69" s="1172">
        <v>735000</v>
      </c>
      <c r="I69" s="1172">
        <v>752000</v>
      </c>
      <c r="J69" s="1172">
        <v>755000</v>
      </c>
      <c r="K69" s="1172">
        <v>754000</v>
      </c>
      <c r="L69" s="1172">
        <v>754000</v>
      </c>
      <c r="M69" s="1172">
        <v>753000</v>
      </c>
      <c r="N69" s="1171">
        <v>754000</v>
      </c>
      <c r="O69" s="1206">
        <f t="shared" si="48"/>
        <v>8901000</v>
      </c>
      <c r="P69" s="1205">
        <v>6629520</v>
      </c>
      <c r="Q69" s="1204">
        <f t="shared" si="51"/>
        <v>1.34263114071607</v>
      </c>
      <c r="R69" s="1203">
        <f t="shared" si="52"/>
        <v>2271480</v>
      </c>
      <c r="S69" s="1232"/>
    </row>
    <row r="70" spans="1:19" ht="24" customHeight="1" thickTop="1" thickBot="1" x14ac:dyDescent="0.2">
      <c r="A70" s="1170"/>
      <c r="B70" s="1169" t="s">
        <v>445</v>
      </c>
      <c r="C70" s="1168">
        <f t="shared" ref="C70:N70" si="56">C67+C68-C69</f>
        <v>207178</v>
      </c>
      <c r="D70" s="1167">
        <f t="shared" si="56"/>
        <v>-573036</v>
      </c>
      <c r="E70" s="1167">
        <f t="shared" si="56"/>
        <v>421764</v>
      </c>
      <c r="F70" s="1167">
        <f t="shared" si="56"/>
        <v>-17634486</v>
      </c>
      <c r="G70" s="1167">
        <f t="shared" si="56"/>
        <v>1373764</v>
      </c>
      <c r="H70" s="1167">
        <f t="shared" si="56"/>
        <v>3608514</v>
      </c>
      <c r="I70" s="1167">
        <f t="shared" si="56"/>
        <v>3887764</v>
      </c>
      <c r="J70" s="1167">
        <f t="shared" si="56"/>
        <v>1529514</v>
      </c>
      <c r="K70" s="1167">
        <f t="shared" si="56"/>
        <v>8374764</v>
      </c>
      <c r="L70" s="1167">
        <f t="shared" si="56"/>
        <v>-8177236</v>
      </c>
      <c r="M70" s="1167">
        <f t="shared" si="56"/>
        <v>6251514</v>
      </c>
      <c r="N70" s="1166">
        <f t="shared" si="56"/>
        <v>7465764</v>
      </c>
      <c r="O70" s="1202">
        <f t="shared" si="48"/>
        <v>6735782</v>
      </c>
      <c r="P70" s="1201">
        <v>9301964.4000000004</v>
      </c>
      <c r="Q70" s="1200">
        <f t="shared" si="51"/>
        <v>0.72412468058897317</v>
      </c>
      <c r="R70" s="1199">
        <f t="shared" si="52"/>
        <v>-2566182.4000000004</v>
      </c>
      <c r="S70" s="1237"/>
    </row>
    <row r="72" spans="1:19" x14ac:dyDescent="0.15">
      <c r="C72" s="1165" t="s">
        <v>1257</v>
      </c>
      <c r="D72" s="1165" t="s">
        <v>1256</v>
      </c>
      <c r="E72" s="1165" t="s">
        <v>1013</v>
      </c>
      <c r="F72" s="1165" t="s">
        <v>1014</v>
      </c>
      <c r="G72" s="1165" t="s">
        <v>1255</v>
      </c>
      <c r="H72" s="1165" t="s">
        <v>1254</v>
      </c>
      <c r="I72" s="1165" t="s">
        <v>1250</v>
      </c>
      <c r="J72" s="1165" t="s">
        <v>1249</v>
      </c>
      <c r="K72" s="1165" t="s">
        <v>1248</v>
      </c>
      <c r="L72" s="1165" t="s">
        <v>1247</v>
      </c>
      <c r="M72" s="1165" t="s">
        <v>1246</v>
      </c>
      <c r="N72" s="1165" t="s">
        <v>1245</v>
      </c>
    </row>
    <row r="73" spans="1:19" x14ac:dyDescent="0.15">
      <c r="A73" t="s">
        <v>490</v>
      </c>
      <c r="B73" t="s">
        <v>26</v>
      </c>
    </row>
    <row r="74" spans="1:19" x14ac:dyDescent="0.15">
      <c r="B74" t="s">
        <v>15</v>
      </c>
      <c r="C74">
        <v>3762490</v>
      </c>
      <c r="D74">
        <v>3762490</v>
      </c>
      <c r="E74">
        <v>3762490</v>
      </c>
      <c r="F74">
        <v>3762490</v>
      </c>
      <c r="G74">
        <v>3762490</v>
      </c>
      <c r="H74">
        <v>3762490</v>
      </c>
      <c r="I74">
        <v>3762490</v>
      </c>
      <c r="J74">
        <v>3762490</v>
      </c>
      <c r="K74">
        <v>3762490</v>
      </c>
      <c r="L74">
        <v>3762490</v>
      </c>
      <c r="M74">
        <v>3762490</v>
      </c>
      <c r="N74">
        <v>3762490</v>
      </c>
    </row>
    <row r="75" spans="1:19" x14ac:dyDescent="0.15">
      <c r="B75" t="s">
        <v>35</v>
      </c>
    </row>
    <row r="76" spans="1:19" x14ac:dyDescent="0.15">
      <c r="B76" t="s">
        <v>45</v>
      </c>
    </row>
    <row r="77" spans="1:19" x14ac:dyDescent="0.15">
      <c r="A77" t="s">
        <v>34</v>
      </c>
      <c r="B77" t="s">
        <v>26</v>
      </c>
      <c r="C77">
        <v>9760000</v>
      </c>
      <c r="D77">
        <v>10240000</v>
      </c>
      <c r="E77">
        <v>9910000</v>
      </c>
      <c r="F77">
        <v>10240000</v>
      </c>
      <c r="G77">
        <v>10300000</v>
      </c>
      <c r="H77">
        <v>9310000</v>
      </c>
      <c r="I77">
        <v>10300000</v>
      </c>
      <c r="J77">
        <v>10060000</v>
      </c>
      <c r="K77">
        <v>10400000</v>
      </c>
      <c r="L77">
        <v>10060000</v>
      </c>
      <c r="M77">
        <v>10400000</v>
      </c>
      <c r="N77">
        <v>10400000</v>
      </c>
    </row>
    <row r="78" spans="1:19" x14ac:dyDescent="0.15">
      <c r="B78" t="s">
        <v>15</v>
      </c>
      <c r="C78">
        <v>5591032</v>
      </c>
      <c r="D78">
        <v>5591032</v>
      </c>
      <c r="E78">
        <v>5591032</v>
      </c>
      <c r="F78">
        <v>5591032</v>
      </c>
      <c r="G78">
        <v>5591032</v>
      </c>
      <c r="H78">
        <v>5591032</v>
      </c>
      <c r="I78">
        <v>5591032</v>
      </c>
      <c r="J78">
        <v>5591032</v>
      </c>
      <c r="K78">
        <v>5591032</v>
      </c>
      <c r="L78">
        <v>5591032</v>
      </c>
      <c r="M78">
        <v>5591032</v>
      </c>
      <c r="N78">
        <v>5591032</v>
      </c>
    </row>
    <row r="79" spans="1:19" x14ac:dyDescent="0.15">
      <c r="B79" t="s">
        <v>35</v>
      </c>
    </row>
    <row r="80" spans="1:19" x14ac:dyDescent="0.15">
      <c r="B80" t="s">
        <v>45</v>
      </c>
    </row>
    <row r="81" spans="1:14" x14ac:dyDescent="0.15">
      <c r="A81" t="s">
        <v>37</v>
      </c>
      <c r="B81" t="s">
        <v>26</v>
      </c>
      <c r="C81">
        <v>6260000</v>
      </c>
      <c r="D81">
        <v>6530000</v>
      </c>
      <c r="E81">
        <v>6380000</v>
      </c>
      <c r="F81">
        <v>6650000</v>
      </c>
      <c r="G81">
        <v>6710000</v>
      </c>
      <c r="H81">
        <v>6150000</v>
      </c>
      <c r="I81">
        <v>6830000</v>
      </c>
      <c r="J81">
        <v>6680000</v>
      </c>
      <c r="K81">
        <v>6950000</v>
      </c>
      <c r="L81">
        <v>6800000</v>
      </c>
      <c r="M81">
        <v>7070000</v>
      </c>
      <c r="N81">
        <v>7130000</v>
      </c>
    </row>
    <row r="82" spans="1:14" x14ac:dyDescent="0.15">
      <c r="B82" t="s">
        <v>15</v>
      </c>
      <c r="C82">
        <v>3950891</v>
      </c>
      <c r="D82">
        <v>3950891</v>
      </c>
      <c r="E82">
        <v>3950891</v>
      </c>
      <c r="F82">
        <v>3950891</v>
      </c>
      <c r="G82">
        <v>3950891</v>
      </c>
      <c r="H82">
        <v>3950891</v>
      </c>
      <c r="I82">
        <v>3950891</v>
      </c>
      <c r="J82">
        <v>3950891</v>
      </c>
      <c r="K82">
        <v>3950891</v>
      </c>
      <c r="L82">
        <v>3950891</v>
      </c>
      <c r="M82">
        <v>3950891</v>
      </c>
      <c r="N82">
        <v>3950891</v>
      </c>
    </row>
    <row r="83" spans="1:14" x14ac:dyDescent="0.15">
      <c r="B83" t="s">
        <v>35</v>
      </c>
    </row>
    <row r="84" spans="1:14" x14ac:dyDescent="0.15">
      <c r="B84" t="s">
        <v>45</v>
      </c>
    </row>
    <row r="85" spans="1:14" x14ac:dyDescent="0.15">
      <c r="A85" t="s">
        <v>66</v>
      </c>
      <c r="B85" t="s">
        <v>26</v>
      </c>
      <c r="C85">
        <v>6160000</v>
      </c>
      <c r="D85">
        <v>6430000</v>
      </c>
      <c r="E85">
        <v>6280000</v>
      </c>
      <c r="F85">
        <v>6550000</v>
      </c>
      <c r="G85">
        <v>6610000</v>
      </c>
      <c r="H85">
        <v>6060000</v>
      </c>
      <c r="I85">
        <v>6730000</v>
      </c>
      <c r="J85">
        <v>6580000</v>
      </c>
      <c r="K85">
        <v>6850000</v>
      </c>
      <c r="L85">
        <v>6700000</v>
      </c>
      <c r="M85">
        <v>6970000</v>
      </c>
      <c r="N85">
        <v>7030000</v>
      </c>
    </row>
    <row r="86" spans="1:14" x14ac:dyDescent="0.15">
      <c r="B86" t="s">
        <v>15</v>
      </c>
      <c r="C86">
        <v>3840382</v>
      </c>
      <c r="D86">
        <v>3840382</v>
      </c>
      <c r="E86">
        <v>3840382</v>
      </c>
      <c r="F86">
        <v>3840382</v>
      </c>
      <c r="G86">
        <v>3840382</v>
      </c>
      <c r="H86">
        <v>3840382</v>
      </c>
      <c r="I86">
        <v>3840382</v>
      </c>
      <c r="J86">
        <v>3840382</v>
      </c>
      <c r="K86">
        <v>3840382</v>
      </c>
      <c r="L86">
        <v>3840382</v>
      </c>
      <c r="M86">
        <v>3840382</v>
      </c>
      <c r="N86">
        <v>3840382</v>
      </c>
    </row>
    <row r="87" spans="1:14" x14ac:dyDescent="0.15">
      <c r="B87" t="s">
        <v>35</v>
      </c>
    </row>
    <row r="88" spans="1:14" x14ac:dyDescent="0.15">
      <c r="B88" t="s">
        <v>45</v>
      </c>
    </row>
    <row r="89" spans="1:14" x14ac:dyDescent="0.15">
      <c r="A89" t="s">
        <v>967</v>
      </c>
      <c r="B89" t="s">
        <v>26</v>
      </c>
      <c r="C89">
        <v>850000</v>
      </c>
      <c r="D89">
        <v>1000000</v>
      </c>
      <c r="E89">
        <v>1250000</v>
      </c>
      <c r="F89">
        <v>1350000</v>
      </c>
      <c r="G89">
        <v>1500000</v>
      </c>
      <c r="H89">
        <v>1600000</v>
      </c>
      <c r="I89">
        <v>1800000</v>
      </c>
      <c r="J89">
        <v>1950000</v>
      </c>
      <c r="K89">
        <v>2150000</v>
      </c>
      <c r="L89">
        <v>2300000</v>
      </c>
      <c r="M89">
        <v>2500000</v>
      </c>
      <c r="N89">
        <v>2800000</v>
      </c>
    </row>
    <row r="90" spans="1:14" x14ac:dyDescent="0.15">
      <c r="B90" t="s">
        <v>15</v>
      </c>
      <c r="C90">
        <v>393685</v>
      </c>
      <c r="D90">
        <v>393685</v>
      </c>
      <c r="E90">
        <v>393685</v>
      </c>
      <c r="F90">
        <v>393685</v>
      </c>
      <c r="G90">
        <v>393685</v>
      </c>
      <c r="H90">
        <v>393685</v>
      </c>
      <c r="I90">
        <v>393685</v>
      </c>
      <c r="J90">
        <v>393685</v>
      </c>
      <c r="K90">
        <v>393685</v>
      </c>
      <c r="L90">
        <v>393685</v>
      </c>
      <c r="M90">
        <v>393685</v>
      </c>
      <c r="N90">
        <v>393685</v>
      </c>
    </row>
    <row r="91" spans="1:14" x14ac:dyDescent="0.15">
      <c r="B91" t="s">
        <v>35</v>
      </c>
    </row>
    <row r="92" spans="1:14" x14ac:dyDescent="0.15">
      <c r="B92" t="s">
        <v>45</v>
      </c>
    </row>
    <row r="93" spans="1:14" x14ac:dyDescent="0.15">
      <c r="A93" t="s">
        <v>1127</v>
      </c>
      <c r="B93" t="s">
        <v>26</v>
      </c>
      <c r="C93">
        <v>0</v>
      </c>
      <c r="D93">
        <v>100000</v>
      </c>
      <c r="E93">
        <v>300000</v>
      </c>
      <c r="F93">
        <v>450000</v>
      </c>
      <c r="G93">
        <v>650000</v>
      </c>
      <c r="H93">
        <v>850000</v>
      </c>
      <c r="I93">
        <v>1000000</v>
      </c>
      <c r="J93">
        <v>1250000</v>
      </c>
      <c r="K93">
        <v>1350000</v>
      </c>
      <c r="L93">
        <v>1500000</v>
      </c>
      <c r="M93">
        <v>1600000</v>
      </c>
      <c r="N93">
        <v>1800000</v>
      </c>
    </row>
    <row r="94" spans="1:14" x14ac:dyDescent="0.15">
      <c r="B94" t="s">
        <v>15</v>
      </c>
      <c r="C94">
        <v>395920</v>
      </c>
      <c r="D94">
        <v>395920</v>
      </c>
      <c r="E94">
        <v>395920</v>
      </c>
      <c r="F94">
        <v>395920</v>
      </c>
      <c r="G94">
        <v>395920</v>
      </c>
      <c r="H94">
        <v>395920</v>
      </c>
      <c r="I94">
        <v>395920</v>
      </c>
      <c r="J94">
        <v>395920</v>
      </c>
      <c r="K94">
        <v>395920</v>
      </c>
      <c r="L94">
        <v>395920</v>
      </c>
      <c r="M94">
        <v>395920</v>
      </c>
      <c r="N94">
        <v>395920</v>
      </c>
    </row>
    <row r="95" spans="1:14" x14ac:dyDescent="0.15">
      <c r="B95" t="s">
        <v>35</v>
      </c>
      <c r="C95">
        <v>660416</v>
      </c>
      <c r="D95">
        <v>811384</v>
      </c>
      <c r="E95">
        <v>524873</v>
      </c>
      <c r="F95">
        <v>588421</v>
      </c>
      <c r="G95">
        <v>589581</v>
      </c>
      <c r="H95">
        <v>524823</v>
      </c>
      <c r="I95">
        <v>629898</v>
      </c>
      <c r="J95">
        <v>390892</v>
      </c>
      <c r="K95">
        <v>694476</v>
      </c>
      <c r="L95">
        <v>472240</v>
      </c>
      <c r="M95">
        <v>481680</v>
      </c>
      <c r="N95">
        <v>490897</v>
      </c>
    </row>
    <row r="96" spans="1:14" x14ac:dyDescent="0.15">
      <c r="B96" t="s">
        <v>45</v>
      </c>
    </row>
    <row r="97" spans="1:14" x14ac:dyDescent="0.15">
      <c r="A97" t="s">
        <v>1122</v>
      </c>
      <c r="B97" t="s">
        <v>26</v>
      </c>
      <c r="C97">
        <v>0</v>
      </c>
      <c r="D97">
        <v>0</v>
      </c>
      <c r="E97">
        <v>0</v>
      </c>
      <c r="F97">
        <v>0</v>
      </c>
      <c r="G97">
        <v>100000</v>
      </c>
      <c r="H97">
        <v>300000</v>
      </c>
      <c r="I97">
        <v>450000</v>
      </c>
      <c r="J97">
        <v>650000</v>
      </c>
      <c r="K97">
        <v>850000</v>
      </c>
      <c r="L97">
        <v>1000000</v>
      </c>
      <c r="M97">
        <v>1250000</v>
      </c>
      <c r="N97">
        <v>1350000</v>
      </c>
    </row>
    <row r="98" spans="1:14" x14ac:dyDescent="0.15">
      <c r="B98" t="s">
        <v>15</v>
      </c>
      <c r="C98">
        <v>0</v>
      </c>
      <c r="D98">
        <v>0</v>
      </c>
      <c r="E98">
        <v>0</v>
      </c>
      <c r="F98">
        <v>348525</v>
      </c>
      <c r="G98">
        <v>348525</v>
      </c>
      <c r="H98">
        <v>348525</v>
      </c>
      <c r="I98">
        <v>348525</v>
      </c>
      <c r="J98">
        <v>348525</v>
      </c>
      <c r="K98">
        <v>348525</v>
      </c>
      <c r="L98">
        <v>348525</v>
      </c>
      <c r="M98">
        <v>348525</v>
      </c>
      <c r="N98">
        <v>348525</v>
      </c>
    </row>
    <row r="99" spans="1:14" x14ac:dyDescent="0.15">
      <c r="B99" t="s">
        <v>35</v>
      </c>
      <c r="C99">
        <v>0</v>
      </c>
      <c r="D99">
        <v>950000</v>
      </c>
      <c r="E99">
        <v>160416</v>
      </c>
      <c r="F99">
        <v>660416</v>
      </c>
      <c r="G99">
        <v>811384</v>
      </c>
      <c r="H99">
        <v>524873</v>
      </c>
      <c r="I99">
        <v>588421</v>
      </c>
      <c r="J99">
        <v>589581</v>
      </c>
      <c r="K99">
        <v>524823</v>
      </c>
      <c r="L99">
        <v>629898</v>
      </c>
      <c r="M99">
        <v>390892</v>
      </c>
      <c r="N99">
        <v>694476</v>
      </c>
    </row>
    <row r="100" spans="1:14" x14ac:dyDescent="0.15">
      <c r="B100" t="s">
        <v>45</v>
      </c>
    </row>
    <row r="101" spans="1:14" x14ac:dyDescent="0.15">
      <c r="A101" t="s">
        <v>358</v>
      </c>
      <c r="B101" t="s">
        <v>26</v>
      </c>
      <c r="C101">
        <v>4170000</v>
      </c>
      <c r="D101">
        <v>4330000</v>
      </c>
      <c r="E101">
        <v>4210000</v>
      </c>
      <c r="F101">
        <v>4370000</v>
      </c>
      <c r="G101">
        <v>4390000</v>
      </c>
      <c r="H101">
        <v>3990000</v>
      </c>
      <c r="I101">
        <v>4430000</v>
      </c>
      <c r="J101">
        <v>4310000</v>
      </c>
      <c r="K101">
        <v>4470000</v>
      </c>
      <c r="L101">
        <v>4350000</v>
      </c>
      <c r="M101">
        <v>4510000</v>
      </c>
      <c r="N101">
        <v>4530000</v>
      </c>
    </row>
    <row r="102" spans="1:14" x14ac:dyDescent="0.15">
      <c r="B102" t="s">
        <v>15</v>
      </c>
      <c r="C102">
        <v>2522266</v>
      </c>
      <c r="D102">
        <v>2522266</v>
      </c>
      <c r="E102">
        <v>2522266</v>
      </c>
      <c r="F102">
        <v>2522266</v>
      </c>
      <c r="G102">
        <v>2522266</v>
      </c>
      <c r="H102">
        <v>2522266</v>
      </c>
      <c r="I102">
        <v>2522266</v>
      </c>
      <c r="J102">
        <v>2522266</v>
      </c>
      <c r="K102">
        <v>2522266</v>
      </c>
      <c r="L102">
        <v>2522266</v>
      </c>
      <c r="M102">
        <v>2522266</v>
      </c>
      <c r="N102">
        <v>2522266</v>
      </c>
    </row>
    <row r="103" spans="1:14" x14ac:dyDescent="0.15">
      <c r="B103" t="s">
        <v>35</v>
      </c>
    </row>
    <row r="104" spans="1:14" x14ac:dyDescent="0.15">
      <c r="B104" t="s">
        <v>45</v>
      </c>
    </row>
    <row r="105" spans="1:14" x14ac:dyDescent="0.15">
      <c r="A105" t="s">
        <v>38</v>
      </c>
      <c r="B105" t="s">
        <v>26</v>
      </c>
      <c r="C105">
        <v>3100000</v>
      </c>
      <c r="D105">
        <v>3100000</v>
      </c>
      <c r="E105">
        <v>3100000</v>
      </c>
      <c r="F105">
        <v>3100000</v>
      </c>
      <c r="G105">
        <v>3100000</v>
      </c>
      <c r="H105">
        <v>3000000</v>
      </c>
      <c r="I105">
        <v>3100000</v>
      </c>
      <c r="J105">
        <v>3100000</v>
      </c>
      <c r="K105">
        <v>3100000</v>
      </c>
      <c r="L105">
        <v>3000000</v>
      </c>
      <c r="M105">
        <v>3100000</v>
      </c>
      <c r="N105">
        <v>3100000</v>
      </c>
    </row>
    <row r="106" spans="1:14" x14ac:dyDescent="0.15">
      <c r="B106" t="s">
        <v>15</v>
      </c>
      <c r="C106">
        <v>1639158</v>
      </c>
      <c r="D106">
        <v>1639158</v>
      </c>
      <c r="E106">
        <v>1639158</v>
      </c>
      <c r="F106">
        <v>1639158</v>
      </c>
      <c r="G106">
        <v>1639158</v>
      </c>
      <c r="H106">
        <v>1639158</v>
      </c>
      <c r="I106">
        <v>1639158</v>
      </c>
      <c r="J106">
        <v>1639158</v>
      </c>
      <c r="K106">
        <v>1639158</v>
      </c>
      <c r="L106">
        <v>1639158</v>
      </c>
      <c r="M106">
        <v>1639158</v>
      </c>
      <c r="N106">
        <v>1639158</v>
      </c>
    </row>
    <row r="107" spans="1:14" x14ac:dyDescent="0.15">
      <c r="B107" t="s">
        <v>35</v>
      </c>
    </row>
    <row r="108" spans="1:14" x14ac:dyDescent="0.15">
      <c r="B108" t="s">
        <v>45</v>
      </c>
    </row>
    <row r="109" spans="1:14" x14ac:dyDescent="0.15">
      <c r="A109" t="s">
        <v>125</v>
      </c>
      <c r="B109" t="s">
        <v>26</v>
      </c>
      <c r="C109">
        <v>790000</v>
      </c>
      <c r="D109">
        <v>810000</v>
      </c>
      <c r="E109">
        <v>1000000</v>
      </c>
      <c r="F109">
        <v>1040000</v>
      </c>
      <c r="G109">
        <v>1040000</v>
      </c>
      <c r="H109">
        <v>940000</v>
      </c>
      <c r="I109">
        <v>1040000</v>
      </c>
      <c r="J109">
        <v>1000000</v>
      </c>
      <c r="K109">
        <v>1040000</v>
      </c>
      <c r="L109">
        <v>1000000</v>
      </c>
      <c r="M109">
        <v>1040000</v>
      </c>
      <c r="N109">
        <v>1040000</v>
      </c>
    </row>
    <row r="110" spans="1:14" x14ac:dyDescent="0.15">
      <c r="B110" t="s">
        <v>15</v>
      </c>
      <c r="C110">
        <v>360441</v>
      </c>
      <c r="D110">
        <v>360441</v>
      </c>
      <c r="E110">
        <v>360441</v>
      </c>
      <c r="F110">
        <v>360441</v>
      </c>
      <c r="G110">
        <v>360441</v>
      </c>
      <c r="H110">
        <v>360441</v>
      </c>
      <c r="I110">
        <v>360441</v>
      </c>
      <c r="J110">
        <v>360441</v>
      </c>
      <c r="K110">
        <v>360441</v>
      </c>
      <c r="L110">
        <v>360441</v>
      </c>
      <c r="M110">
        <v>360441</v>
      </c>
      <c r="N110">
        <v>360441</v>
      </c>
    </row>
    <row r="111" spans="1:14" x14ac:dyDescent="0.15">
      <c r="B111" t="s">
        <v>35</v>
      </c>
    </row>
    <row r="112" spans="1:14" x14ac:dyDescent="0.15">
      <c r="B112" t="s">
        <v>45</v>
      </c>
    </row>
    <row r="113" spans="1:16" x14ac:dyDescent="0.15">
      <c r="A113" t="s">
        <v>184</v>
      </c>
      <c r="B113" t="s">
        <v>26</v>
      </c>
      <c r="C113">
        <v>1000000</v>
      </c>
      <c r="D113">
        <v>1040000</v>
      </c>
      <c r="E113">
        <v>1000000</v>
      </c>
      <c r="F113">
        <v>1040000</v>
      </c>
      <c r="G113">
        <v>1040000</v>
      </c>
      <c r="H113">
        <v>940000</v>
      </c>
      <c r="I113">
        <v>1040000</v>
      </c>
      <c r="J113">
        <v>1000000</v>
      </c>
      <c r="K113">
        <v>1040000</v>
      </c>
      <c r="L113">
        <v>1000000</v>
      </c>
      <c r="M113">
        <v>1040000</v>
      </c>
      <c r="N113">
        <v>1040000</v>
      </c>
    </row>
    <row r="114" spans="1:16" x14ac:dyDescent="0.15">
      <c r="B114" t="s">
        <v>15</v>
      </c>
      <c r="C114">
        <v>303275</v>
      </c>
      <c r="D114">
        <v>303275</v>
      </c>
      <c r="E114">
        <v>303275</v>
      </c>
      <c r="F114">
        <v>303275</v>
      </c>
      <c r="G114">
        <v>303275</v>
      </c>
      <c r="H114">
        <v>303275</v>
      </c>
      <c r="I114">
        <v>303275</v>
      </c>
      <c r="J114">
        <v>303275</v>
      </c>
      <c r="K114">
        <v>303275</v>
      </c>
      <c r="L114">
        <v>303275</v>
      </c>
      <c r="M114">
        <v>303275</v>
      </c>
      <c r="N114">
        <v>303275</v>
      </c>
    </row>
    <row r="115" spans="1:16" x14ac:dyDescent="0.15">
      <c r="B115" t="s">
        <v>35</v>
      </c>
    </row>
    <row r="116" spans="1:16" x14ac:dyDescent="0.15">
      <c r="B116" t="s">
        <v>45</v>
      </c>
    </row>
    <row r="117" spans="1:16" x14ac:dyDescent="0.15">
      <c r="A117" t="s">
        <v>329</v>
      </c>
      <c r="B117" t="s">
        <v>26</v>
      </c>
      <c r="C117">
        <v>2390000</v>
      </c>
      <c r="D117">
        <v>2470000</v>
      </c>
      <c r="E117">
        <v>2390000</v>
      </c>
      <c r="F117">
        <v>2470000</v>
      </c>
      <c r="G117">
        <v>2470000</v>
      </c>
      <c r="H117">
        <v>2230000</v>
      </c>
      <c r="I117">
        <v>2470000</v>
      </c>
      <c r="J117">
        <v>2390000</v>
      </c>
      <c r="K117">
        <v>2470000</v>
      </c>
      <c r="L117">
        <v>2390000</v>
      </c>
      <c r="M117">
        <v>2470000</v>
      </c>
      <c r="N117">
        <v>2470000</v>
      </c>
    </row>
    <row r="118" spans="1:16" x14ac:dyDescent="0.15">
      <c r="B118" t="s">
        <v>15</v>
      </c>
      <c r="C118">
        <v>667563</v>
      </c>
      <c r="D118">
        <v>667563</v>
      </c>
      <c r="E118">
        <v>667563</v>
      </c>
      <c r="F118">
        <v>667563</v>
      </c>
      <c r="G118">
        <v>667563</v>
      </c>
      <c r="H118">
        <v>667563</v>
      </c>
      <c r="I118">
        <v>667563</v>
      </c>
      <c r="J118">
        <v>667563</v>
      </c>
      <c r="K118">
        <v>667563</v>
      </c>
      <c r="L118">
        <v>667563</v>
      </c>
      <c r="M118">
        <v>667563</v>
      </c>
      <c r="N118">
        <v>667563</v>
      </c>
    </row>
    <row r="119" spans="1:16" x14ac:dyDescent="0.15">
      <c r="B119" t="s">
        <v>35</v>
      </c>
    </row>
    <row r="120" spans="1:16" x14ac:dyDescent="0.15">
      <c r="B120" t="s">
        <v>45</v>
      </c>
    </row>
    <row r="121" spans="1:16" x14ac:dyDescent="0.15">
      <c r="A121" t="s">
        <v>1024</v>
      </c>
      <c r="B121" t="s">
        <v>26</v>
      </c>
      <c r="C121" t="s">
        <v>1187</v>
      </c>
      <c r="D121" t="s">
        <v>1187</v>
      </c>
      <c r="E121" t="s">
        <v>1187</v>
      </c>
      <c r="F121" t="s">
        <v>1187</v>
      </c>
      <c r="G121" t="s">
        <v>1187</v>
      </c>
      <c r="H121" t="s">
        <v>1187</v>
      </c>
      <c r="I121" t="s">
        <v>1187</v>
      </c>
      <c r="J121" t="s">
        <v>1187</v>
      </c>
      <c r="K121">
        <v>2470000</v>
      </c>
      <c r="L121">
        <v>2390000</v>
      </c>
      <c r="M121">
        <v>2470000</v>
      </c>
      <c r="N121">
        <v>2470000</v>
      </c>
    </row>
    <row r="122" spans="1:16" x14ac:dyDescent="0.15">
      <c r="B122" t="s">
        <v>15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</row>
    <row r="123" spans="1:16" x14ac:dyDescent="0.15">
      <c r="B123" t="s">
        <v>35</v>
      </c>
    </row>
    <row r="124" spans="1:16" x14ac:dyDescent="0.15">
      <c r="B124" t="s">
        <v>45</v>
      </c>
    </row>
    <row r="125" spans="1:16" x14ac:dyDescent="0.15">
      <c r="A125" t="s">
        <v>336</v>
      </c>
      <c r="B125" t="s">
        <v>26</v>
      </c>
      <c r="C125">
        <v>1600000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</row>
    <row r="126" spans="1:16" x14ac:dyDescent="0.15">
      <c r="B126" t="s">
        <v>15</v>
      </c>
      <c r="C126">
        <v>916985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</row>
    <row r="127" spans="1:16" x14ac:dyDescent="0.15">
      <c r="B127" t="s">
        <v>35</v>
      </c>
      <c r="C127">
        <v>675649</v>
      </c>
      <c r="D127">
        <v>475000</v>
      </c>
      <c r="E127">
        <v>475000</v>
      </c>
      <c r="F127">
        <v>475000</v>
      </c>
      <c r="G127">
        <v>475000</v>
      </c>
      <c r="H127">
        <v>475000</v>
      </c>
      <c r="I127">
        <v>475000</v>
      </c>
      <c r="J127">
        <v>475000</v>
      </c>
      <c r="K127">
        <v>475000</v>
      </c>
      <c r="L127">
        <v>475000</v>
      </c>
      <c r="M127">
        <v>475000</v>
      </c>
      <c r="N127">
        <v>475000</v>
      </c>
      <c r="P127" t="s">
        <v>1292</v>
      </c>
    </row>
    <row r="128" spans="1:16" x14ac:dyDescent="0.15">
      <c r="B128" t="s">
        <v>45</v>
      </c>
    </row>
    <row r="129" spans="1:14" x14ac:dyDescent="0.15">
      <c r="A129" t="s">
        <v>1025</v>
      </c>
      <c r="B129" t="s">
        <v>26</v>
      </c>
      <c r="K129">
        <v>2139920</v>
      </c>
    </row>
    <row r="130" spans="1:14" x14ac:dyDescent="0.15">
      <c r="B130" t="s">
        <v>15</v>
      </c>
    </row>
    <row r="131" spans="1:14" x14ac:dyDescent="0.15">
      <c r="B131" t="s">
        <v>35</v>
      </c>
    </row>
    <row r="132" spans="1:14" x14ac:dyDescent="0.15">
      <c r="B132" t="s">
        <v>45</v>
      </c>
    </row>
    <row r="135" spans="1:14" x14ac:dyDescent="0.15">
      <c r="B135" t="s">
        <v>424</v>
      </c>
      <c r="C135">
        <v>600000</v>
      </c>
      <c r="D135">
        <v>650000</v>
      </c>
      <c r="E135">
        <v>700000</v>
      </c>
      <c r="F135">
        <v>700000</v>
      </c>
      <c r="G135">
        <v>700000</v>
      </c>
      <c r="H135">
        <v>700000</v>
      </c>
      <c r="I135">
        <v>700000</v>
      </c>
      <c r="J135">
        <v>700000</v>
      </c>
      <c r="K135">
        <v>700000</v>
      </c>
      <c r="L135">
        <v>700000</v>
      </c>
      <c r="M135">
        <v>700000</v>
      </c>
      <c r="N135">
        <v>700000</v>
      </c>
    </row>
    <row r="136" spans="1:14" x14ac:dyDescent="0.15">
      <c r="B136" t="s">
        <v>1244</v>
      </c>
      <c r="C136">
        <v>636245</v>
      </c>
      <c r="D136">
        <v>756125</v>
      </c>
      <c r="E136">
        <v>782419</v>
      </c>
      <c r="F136">
        <v>991419</v>
      </c>
      <c r="G136">
        <v>934184</v>
      </c>
      <c r="H136">
        <v>799034</v>
      </c>
      <c r="I136">
        <v>816383</v>
      </c>
      <c r="J136">
        <v>841762</v>
      </c>
      <c r="K136">
        <v>1058134</v>
      </c>
      <c r="L136">
        <v>1205062</v>
      </c>
      <c r="M136">
        <v>1113751</v>
      </c>
      <c r="N136">
        <v>1372162</v>
      </c>
    </row>
    <row r="137" spans="1:14" x14ac:dyDescent="0.15">
      <c r="B137" t="s">
        <v>1243</v>
      </c>
      <c r="C137">
        <v>0</v>
      </c>
      <c r="D137">
        <v>208890</v>
      </c>
      <c r="E137">
        <v>472200</v>
      </c>
      <c r="F137">
        <v>515385</v>
      </c>
      <c r="G137">
        <v>656245</v>
      </c>
      <c r="H137">
        <v>796125</v>
      </c>
      <c r="I137">
        <v>802419</v>
      </c>
      <c r="J137">
        <v>991419</v>
      </c>
      <c r="K137">
        <v>934184</v>
      </c>
      <c r="L137">
        <v>799034</v>
      </c>
      <c r="M137">
        <v>816383</v>
      </c>
      <c r="N137">
        <v>841762</v>
      </c>
    </row>
    <row r="138" spans="1:14" x14ac:dyDescent="0.15">
      <c r="B138" t="s">
        <v>1242</v>
      </c>
      <c r="C138">
        <v>0</v>
      </c>
      <c r="D138">
        <v>0</v>
      </c>
      <c r="E138">
        <v>0</v>
      </c>
      <c r="F138">
        <v>0</v>
      </c>
      <c r="G138">
        <v>208890</v>
      </c>
      <c r="H138">
        <v>472200</v>
      </c>
      <c r="I138">
        <v>515385</v>
      </c>
      <c r="J138">
        <v>656245</v>
      </c>
      <c r="K138">
        <v>796125</v>
      </c>
      <c r="L138">
        <v>802419</v>
      </c>
      <c r="M138">
        <v>991419</v>
      </c>
      <c r="N138">
        <v>934184</v>
      </c>
    </row>
    <row r="139" spans="1:14" x14ac:dyDescent="0.15">
      <c r="B139" t="s">
        <v>1037</v>
      </c>
      <c r="C139">
        <v>80000</v>
      </c>
      <c r="D139">
        <v>80000</v>
      </c>
      <c r="E139">
        <v>80000</v>
      </c>
      <c r="F139">
        <v>80000</v>
      </c>
      <c r="G139">
        <v>80000</v>
      </c>
      <c r="H139">
        <v>80000</v>
      </c>
      <c r="I139">
        <v>80000</v>
      </c>
      <c r="J139">
        <v>80000</v>
      </c>
      <c r="K139">
        <v>80000</v>
      </c>
      <c r="L139">
        <v>80000</v>
      </c>
      <c r="M139">
        <v>80000</v>
      </c>
      <c r="N139">
        <v>80000</v>
      </c>
    </row>
    <row r="140" spans="1:14" x14ac:dyDescent="0.15">
      <c r="B140" t="s">
        <v>1180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619301</v>
      </c>
      <c r="L140">
        <v>742925</v>
      </c>
      <c r="M140">
        <v>762323</v>
      </c>
      <c r="N140">
        <v>687112</v>
      </c>
    </row>
    <row r="141" spans="1:14" x14ac:dyDescent="0.15">
      <c r="B141" t="s">
        <v>1241</v>
      </c>
      <c r="C141">
        <v>160000</v>
      </c>
      <c r="D141">
        <v>160000</v>
      </c>
      <c r="E141">
        <v>180000</v>
      </c>
      <c r="F141">
        <v>180000</v>
      </c>
      <c r="G141">
        <v>180000</v>
      </c>
      <c r="H141">
        <v>180000</v>
      </c>
      <c r="I141">
        <v>180000</v>
      </c>
      <c r="J141">
        <v>180000</v>
      </c>
      <c r="K141">
        <v>180000</v>
      </c>
      <c r="L141">
        <v>180000</v>
      </c>
      <c r="M141">
        <v>180000</v>
      </c>
      <c r="N141">
        <v>180000</v>
      </c>
    </row>
    <row r="142" spans="1:14" x14ac:dyDescent="0.15">
      <c r="B142" t="s">
        <v>1240</v>
      </c>
      <c r="C142">
        <v>0</v>
      </c>
      <c r="D142">
        <v>210000</v>
      </c>
      <c r="E142">
        <v>210000</v>
      </c>
      <c r="F142">
        <v>210000</v>
      </c>
      <c r="G142">
        <v>230000</v>
      </c>
      <c r="H142">
        <v>230000</v>
      </c>
      <c r="I142">
        <v>230000</v>
      </c>
      <c r="J142">
        <v>230000</v>
      </c>
      <c r="K142">
        <v>230000</v>
      </c>
      <c r="L142">
        <v>230000</v>
      </c>
      <c r="M142">
        <v>230000</v>
      </c>
      <c r="N142">
        <v>230000</v>
      </c>
    </row>
    <row r="143" spans="1:14" x14ac:dyDescent="0.15">
      <c r="B143" t="s">
        <v>1239</v>
      </c>
      <c r="C143">
        <v>0</v>
      </c>
      <c r="D143">
        <v>0</v>
      </c>
      <c r="E143">
        <v>0</v>
      </c>
      <c r="F143">
        <v>210000</v>
      </c>
      <c r="G143">
        <v>210000</v>
      </c>
      <c r="H143">
        <v>210000</v>
      </c>
      <c r="I143">
        <v>230000</v>
      </c>
      <c r="J143">
        <v>230000</v>
      </c>
      <c r="K143">
        <v>230000</v>
      </c>
      <c r="L143">
        <v>230000</v>
      </c>
      <c r="M143">
        <v>230000</v>
      </c>
      <c r="N143">
        <v>230000</v>
      </c>
    </row>
    <row r="144" spans="1:14" x14ac:dyDescent="0.15">
      <c r="B144" t="s">
        <v>1238</v>
      </c>
      <c r="C144">
        <v>150000</v>
      </c>
      <c r="D144">
        <v>150000</v>
      </c>
      <c r="E144">
        <v>150000</v>
      </c>
      <c r="F144">
        <v>150000</v>
      </c>
      <c r="G144">
        <v>150000</v>
      </c>
      <c r="H144">
        <v>150000</v>
      </c>
      <c r="I144">
        <v>150000</v>
      </c>
      <c r="J144">
        <v>150000</v>
      </c>
      <c r="K144">
        <v>150000</v>
      </c>
      <c r="L144">
        <v>150000</v>
      </c>
      <c r="M144">
        <v>150000</v>
      </c>
      <c r="N144">
        <v>150000</v>
      </c>
    </row>
    <row r="173" spans="3:14" x14ac:dyDescent="0.15">
      <c r="C173">
        <v>12069822</v>
      </c>
      <c r="D173">
        <v>11309036</v>
      </c>
      <c r="E173">
        <v>11538236</v>
      </c>
      <c r="F173">
        <v>10637486</v>
      </c>
      <c r="G173">
        <v>10783236</v>
      </c>
      <c r="H173">
        <v>10438486</v>
      </c>
      <c r="I173">
        <v>11055236</v>
      </c>
      <c r="J173">
        <v>13538486</v>
      </c>
      <c r="K173">
        <v>11548236</v>
      </c>
      <c r="L173">
        <v>10780236</v>
      </c>
      <c r="M173">
        <v>11073486</v>
      </c>
      <c r="N173">
        <v>11016236</v>
      </c>
    </row>
    <row r="174" spans="3:14" x14ac:dyDescent="0.15">
      <c r="C174">
        <f>ROUND(C173/1000,0)*1000</f>
        <v>12070000</v>
      </c>
      <c r="D174">
        <f t="shared" ref="D174:N174" si="57">ROUND(D173/1000,0)*1000</f>
        <v>11309000</v>
      </c>
      <c r="E174">
        <f t="shared" si="57"/>
        <v>11538000</v>
      </c>
      <c r="F174">
        <f t="shared" si="57"/>
        <v>10637000</v>
      </c>
      <c r="G174">
        <f t="shared" si="57"/>
        <v>10783000</v>
      </c>
      <c r="H174">
        <f t="shared" si="57"/>
        <v>10438000</v>
      </c>
      <c r="I174">
        <f t="shared" si="57"/>
        <v>11055000</v>
      </c>
      <c r="J174">
        <f t="shared" si="57"/>
        <v>13538000</v>
      </c>
      <c r="K174">
        <f t="shared" si="57"/>
        <v>11548000</v>
      </c>
      <c r="L174">
        <f t="shared" si="57"/>
        <v>10780000</v>
      </c>
      <c r="M174">
        <f t="shared" si="57"/>
        <v>11073000</v>
      </c>
      <c r="N174">
        <f t="shared" si="57"/>
        <v>11016000</v>
      </c>
    </row>
    <row r="195" spans="1:14" ht="14.25" thickBot="1" x14ac:dyDescent="0.2"/>
    <row r="196" spans="1:14" x14ac:dyDescent="0.15">
      <c r="C196" s="1197" t="s">
        <v>1257</v>
      </c>
      <c r="D196" s="1196" t="s">
        <v>1266</v>
      </c>
      <c r="E196" s="1196" t="s">
        <v>1013</v>
      </c>
      <c r="F196" s="1196" t="s">
        <v>1014</v>
      </c>
      <c r="G196" s="1196" t="s">
        <v>1265</v>
      </c>
      <c r="H196" s="1196" t="s">
        <v>1264</v>
      </c>
      <c r="I196" s="1196" t="s">
        <v>1250</v>
      </c>
      <c r="J196" s="1196" t="s">
        <v>1249</v>
      </c>
      <c r="K196" s="1196" t="s">
        <v>1248</v>
      </c>
      <c r="L196" s="1196" t="s">
        <v>1247</v>
      </c>
      <c r="M196" s="1196" t="s">
        <v>1246</v>
      </c>
      <c r="N196" s="1195" t="s">
        <v>1245</v>
      </c>
    </row>
    <row r="197" spans="1:14" ht="14.25" thickBot="1" x14ac:dyDescent="0.2">
      <c r="A197" s="1180" t="s">
        <v>34</v>
      </c>
      <c r="B197" s="1179" t="s">
        <v>26</v>
      </c>
      <c r="C197" s="1178">
        <v>10700000</v>
      </c>
      <c r="D197" s="1177">
        <v>11000000</v>
      </c>
      <c r="E197" s="1177">
        <v>11000000</v>
      </c>
      <c r="F197" s="1177">
        <v>11000000</v>
      </c>
      <c r="G197" s="1177">
        <v>12000000</v>
      </c>
      <c r="H197" s="1177">
        <v>11500000</v>
      </c>
      <c r="I197" s="1177">
        <v>12000000</v>
      </c>
      <c r="J197" s="1177">
        <v>12000000</v>
      </c>
      <c r="K197" s="1177">
        <v>12000000</v>
      </c>
      <c r="L197" s="1177">
        <v>12000000</v>
      </c>
      <c r="M197" s="1177">
        <v>12000000</v>
      </c>
      <c r="N197" s="1176">
        <v>12000000</v>
      </c>
    </row>
    <row r="198" spans="1:14" x14ac:dyDescent="0.15">
      <c r="A198" s="1189" t="s">
        <v>37</v>
      </c>
      <c r="B198" s="1188" t="s">
        <v>26</v>
      </c>
      <c r="C198" s="1187">
        <v>6500000</v>
      </c>
      <c r="D198" s="1186">
        <v>6500000</v>
      </c>
      <c r="E198" s="1186">
        <v>6500000</v>
      </c>
      <c r="F198" s="1186">
        <v>6700000</v>
      </c>
      <c r="G198" s="1186">
        <v>6700000</v>
      </c>
      <c r="H198" s="1186">
        <v>6500000</v>
      </c>
      <c r="I198" s="1186">
        <v>6700000</v>
      </c>
      <c r="J198" s="1186">
        <v>6900000</v>
      </c>
      <c r="K198" s="1186">
        <v>7000000</v>
      </c>
      <c r="L198" s="1186">
        <v>7100000</v>
      </c>
      <c r="M198" s="1186">
        <v>7500000</v>
      </c>
      <c r="N198" s="1185">
        <v>7400000</v>
      </c>
    </row>
    <row r="199" spans="1:14" ht="14.25" thickBot="1" x14ac:dyDescent="0.2">
      <c r="A199" s="1180" t="s">
        <v>66</v>
      </c>
      <c r="B199" s="1179" t="s">
        <v>26</v>
      </c>
      <c r="C199" s="1178">
        <v>7000000</v>
      </c>
      <c r="D199" s="1177">
        <v>7200000</v>
      </c>
      <c r="E199" s="1177">
        <v>7000000</v>
      </c>
      <c r="F199" s="1177">
        <v>7100000</v>
      </c>
      <c r="G199" s="1177">
        <v>7000000</v>
      </c>
      <c r="H199" s="1177">
        <v>6800000</v>
      </c>
      <c r="I199" s="1177">
        <v>7200000</v>
      </c>
      <c r="J199" s="1177">
        <v>7000000</v>
      </c>
      <c r="K199" s="1177">
        <v>7200000</v>
      </c>
      <c r="L199" s="1177">
        <v>7250000</v>
      </c>
      <c r="M199" s="1177">
        <v>7400000</v>
      </c>
      <c r="N199" s="1176">
        <v>7500000</v>
      </c>
    </row>
    <row r="200" spans="1:14" x14ac:dyDescent="0.15">
      <c r="A200" s="1189" t="s">
        <v>967</v>
      </c>
      <c r="B200" s="1188" t="s">
        <v>26</v>
      </c>
      <c r="C200" s="1187">
        <v>1000000</v>
      </c>
      <c r="D200" s="1186">
        <v>1200000</v>
      </c>
      <c r="E200" s="1186">
        <v>1400000</v>
      </c>
      <c r="F200" s="1186">
        <v>1600000</v>
      </c>
      <c r="G200" s="1186">
        <v>1900000</v>
      </c>
      <c r="H200" s="1186">
        <v>2100000</v>
      </c>
      <c r="I200" s="1186">
        <v>2200000</v>
      </c>
      <c r="J200" s="1186">
        <v>2400000</v>
      </c>
      <c r="K200" s="1186">
        <v>2600000</v>
      </c>
      <c r="L200" s="1186">
        <v>2800000</v>
      </c>
      <c r="M200" s="1186">
        <v>3000000</v>
      </c>
      <c r="N200" s="1185">
        <v>3200000</v>
      </c>
    </row>
    <row r="201" spans="1:14" x14ac:dyDescent="0.15">
      <c r="A201" s="1180" t="s">
        <v>1143</v>
      </c>
      <c r="B201" s="1179" t="s">
        <v>26</v>
      </c>
      <c r="C201" s="1178">
        <v>0</v>
      </c>
      <c r="D201" s="1177">
        <v>400000</v>
      </c>
      <c r="E201" s="1177">
        <v>850000</v>
      </c>
      <c r="F201" s="1177">
        <v>1000000</v>
      </c>
      <c r="G201" s="1177">
        <v>1000000</v>
      </c>
      <c r="H201" s="1177">
        <v>1200000</v>
      </c>
      <c r="I201" s="1177">
        <v>1400000</v>
      </c>
      <c r="J201" s="1177">
        <v>1600000</v>
      </c>
      <c r="K201" s="1177">
        <v>1900000</v>
      </c>
      <c r="L201" s="1177">
        <v>2100000</v>
      </c>
      <c r="M201" s="1177">
        <v>2200000</v>
      </c>
      <c r="N201" s="1176">
        <v>2400000</v>
      </c>
    </row>
    <row r="202" spans="1:14" ht="14.25" thickBot="1" x14ac:dyDescent="0.2">
      <c r="A202" s="1180" t="s">
        <v>358</v>
      </c>
      <c r="B202" s="1179" t="s">
        <v>26</v>
      </c>
      <c r="C202" s="1178">
        <v>4200000</v>
      </c>
      <c r="D202" s="1177">
        <v>4200000</v>
      </c>
      <c r="E202" s="1177">
        <v>4200000</v>
      </c>
      <c r="F202" s="1177">
        <v>4200000</v>
      </c>
      <c r="G202" s="1177">
        <v>4300000</v>
      </c>
      <c r="H202" s="1177">
        <v>3900000</v>
      </c>
      <c r="I202" s="1177">
        <v>4300000</v>
      </c>
      <c r="J202" s="1177">
        <v>4250000</v>
      </c>
      <c r="K202" s="1177">
        <v>4400000</v>
      </c>
      <c r="L202" s="1177">
        <v>4250000</v>
      </c>
      <c r="M202" s="1177">
        <v>4400000</v>
      </c>
      <c r="N202" s="1176">
        <v>4400000</v>
      </c>
    </row>
    <row r="203" spans="1:14" x14ac:dyDescent="0.15">
      <c r="A203" s="1189" t="s">
        <v>38</v>
      </c>
      <c r="B203" s="1188" t="s">
        <v>26</v>
      </c>
      <c r="C203" s="1187">
        <v>2700000</v>
      </c>
      <c r="D203" s="1186">
        <v>2700000</v>
      </c>
      <c r="E203" s="1186">
        <v>2700000</v>
      </c>
      <c r="F203" s="1186">
        <v>2700000</v>
      </c>
      <c r="G203" s="1186">
        <v>2700000</v>
      </c>
      <c r="H203" s="1186">
        <v>2700000</v>
      </c>
      <c r="I203" s="1186">
        <v>2700000</v>
      </c>
      <c r="J203" s="1186">
        <v>2700000</v>
      </c>
      <c r="K203" s="1186">
        <v>2700000</v>
      </c>
      <c r="L203" s="1186">
        <v>2700000</v>
      </c>
      <c r="M203" s="1186">
        <v>2700000</v>
      </c>
      <c r="N203" s="1185">
        <v>2700000</v>
      </c>
    </row>
    <row r="204" spans="1:14" ht="14.25" thickBot="1" x14ac:dyDescent="0.2">
      <c r="A204" s="1180" t="s">
        <v>125</v>
      </c>
      <c r="B204" s="1179" t="s">
        <v>26</v>
      </c>
      <c r="C204" s="1178">
        <v>1050000</v>
      </c>
      <c r="D204" s="1177">
        <v>1050000</v>
      </c>
      <c r="E204" s="1177">
        <v>1050000</v>
      </c>
      <c r="F204" s="1177">
        <v>1050000</v>
      </c>
      <c r="G204" s="1177">
        <v>1050000</v>
      </c>
      <c r="H204" s="1177">
        <v>1050000</v>
      </c>
      <c r="I204" s="1177">
        <v>1050000</v>
      </c>
      <c r="J204" s="1177">
        <v>1050000</v>
      </c>
      <c r="K204" s="1177">
        <v>1050000</v>
      </c>
      <c r="L204" s="1177">
        <v>1050000</v>
      </c>
      <c r="M204" s="1177">
        <v>1050000</v>
      </c>
      <c r="N204" s="1176">
        <v>1050000</v>
      </c>
    </row>
    <row r="205" spans="1:14" x14ac:dyDescent="0.15">
      <c r="A205" s="1189" t="s">
        <v>184</v>
      </c>
      <c r="B205" s="1188" t="s">
        <v>26</v>
      </c>
      <c r="C205" s="1187">
        <v>1050000</v>
      </c>
      <c r="D205" s="1186">
        <v>1050000</v>
      </c>
      <c r="E205" s="1186">
        <v>1050000</v>
      </c>
      <c r="F205" s="1186">
        <v>1050000</v>
      </c>
      <c r="G205" s="1186">
        <v>1050000</v>
      </c>
      <c r="H205" s="1186">
        <v>1050000</v>
      </c>
      <c r="I205" s="1186">
        <v>1050000</v>
      </c>
      <c r="J205" s="1186">
        <v>1050000</v>
      </c>
      <c r="K205" s="1186">
        <v>1050000</v>
      </c>
      <c r="L205" s="1186">
        <v>1050000</v>
      </c>
      <c r="M205" s="1186">
        <v>1050000</v>
      </c>
      <c r="N205" s="1185">
        <v>1050000</v>
      </c>
    </row>
    <row r="206" spans="1:14" ht="14.25" thickBot="1" x14ac:dyDescent="0.2">
      <c r="A206" s="1180" t="s">
        <v>329</v>
      </c>
      <c r="B206" s="1179" t="s">
        <v>26</v>
      </c>
      <c r="C206" s="1178">
        <v>2700000</v>
      </c>
      <c r="D206" s="1177">
        <v>2700000</v>
      </c>
      <c r="E206" s="1177">
        <v>2700000</v>
      </c>
      <c r="F206" s="1177">
        <v>2700000</v>
      </c>
      <c r="G206" s="1177">
        <v>2700000</v>
      </c>
      <c r="H206" s="1177">
        <v>2700000</v>
      </c>
      <c r="I206" s="1177">
        <v>2700000</v>
      </c>
      <c r="J206" s="1177">
        <v>2700000</v>
      </c>
      <c r="K206" s="1177">
        <v>2700000</v>
      </c>
      <c r="L206" s="1177">
        <v>2700000</v>
      </c>
      <c r="M206" s="1177">
        <v>2700000</v>
      </c>
      <c r="N206" s="1176">
        <v>2700000</v>
      </c>
    </row>
    <row r="207" spans="1:14" ht="14.25" thickBot="1" x14ac:dyDescent="0.2">
      <c r="A207" s="1189" t="s">
        <v>1268</v>
      </c>
      <c r="B207" s="1188" t="s">
        <v>1269</v>
      </c>
      <c r="C207" s="1187">
        <v>0</v>
      </c>
      <c r="D207" s="1186">
        <v>0</v>
      </c>
      <c r="E207" s="1186">
        <v>0</v>
      </c>
      <c r="F207" s="1186">
        <v>550000</v>
      </c>
      <c r="G207" s="1186">
        <v>1000000</v>
      </c>
      <c r="H207" s="1186">
        <v>2100000</v>
      </c>
      <c r="I207" s="1186">
        <v>2100000</v>
      </c>
      <c r="J207" s="1186">
        <v>2100000</v>
      </c>
      <c r="K207" s="1186">
        <v>2100000</v>
      </c>
      <c r="L207" s="1186">
        <v>2100000</v>
      </c>
      <c r="M207" s="1186">
        <v>2100000</v>
      </c>
      <c r="N207" s="1185">
        <v>2100000</v>
      </c>
    </row>
    <row r="208" spans="1:14" x14ac:dyDescent="0.15">
      <c r="A208" s="1189" t="s">
        <v>1024</v>
      </c>
      <c r="B208" s="1188" t="s">
        <v>26</v>
      </c>
      <c r="C208" s="1187">
        <v>0</v>
      </c>
      <c r="D208" s="1186">
        <v>0</v>
      </c>
      <c r="E208" s="1186">
        <v>0</v>
      </c>
      <c r="F208" s="1186">
        <v>0</v>
      </c>
      <c r="G208" s="1186">
        <v>0</v>
      </c>
      <c r="H208" s="1186">
        <v>0</v>
      </c>
      <c r="I208" s="1186">
        <v>0</v>
      </c>
      <c r="J208" s="1186">
        <v>0</v>
      </c>
      <c r="K208" s="1186">
        <v>2470000</v>
      </c>
      <c r="L208" s="1186">
        <v>2390000</v>
      </c>
      <c r="M208" s="1186">
        <v>2470000</v>
      </c>
      <c r="N208" s="1185">
        <v>2470000</v>
      </c>
    </row>
    <row r="209" spans="1:14" ht="14.25" thickBot="1" x14ac:dyDescent="0.2">
      <c r="A209" s="1180" t="s">
        <v>336</v>
      </c>
      <c r="B209" s="1179" t="s">
        <v>26</v>
      </c>
      <c r="C209" s="1178">
        <v>1600000</v>
      </c>
      <c r="D209" s="1177">
        <v>0</v>
      </c>
      <c r="E209" s="1177">
        <v>0</v>
      </c>
      <c r="F209" s="1177">
        <v>0</v>
      </c>
      <c r="G209" s="1177">
        <v>0</v>
      </c>
      <c r="H209" s="1177">
        <v>0</v>
      </c>
      <c r="I209" s="1177">
        <v>0</v>
      </c>
      <c r="J209" s="1177">
        <v>0</v>
      </c>
      <c r="K209" s="1177">
        <v>0</v>
      </c>
      <c r="L209" s="1177">
        <v>0</v>
      </c>
      <c r="M209" s="1177">
        <v>0</v>
      </c>
      <c r="N209" s="1176">
        <v>0</v>
      </c>
    </row>
    <row r="210" spans="1:14" x14ac:dyDescent="0.15">
      <c r="A210" s="1189" t="s">
        <v>1025</v>
      </c>
      <c r="B210" s="1188" t="s">
        <v>26</v>
      </c>
      <c r="C210" s="1187">
        <v>0</v>
      </c>
      <c r="D210" s="1186">
        <v>0</v>
      </c>
      <c r="E210" s="1186">
        <v>0</v>
      </c>
      <c r="F210" s="1186">
        <v>0</v>
      </c>
      <c r="G210" s="1186">
        <v>0</v>
      </c>
      <c r="H210" s="1186">
        <v>0</v>
      </c>
      <c r="I210" s="1186">
        <v>0</v>
      </c>
      <c r="J210" s="1186">
        <v>0</v>
      </c>
      <c r="K210" s="1186">
        <v>2500000</v>
      </c>
      <c r="L210" s="1186">
        <v>0</v>
      </c>
      <c r="M210" s="1186">
        <v>0</v>
      </c>
      <c r="N210" s="1185">
        <v>0</v>
      </c>
    </row>
    <row r="213" spans="1:14" ht="14.25" thickBot="1" x14ac:dyDescent="0.2">
      <c r="A213" s="1180" t="s">
        <v>34</v>
      </c>
      <c r="B213" s="1179" t="s">
        <v>26</v>
      </c>
      <c r="C213">
        <f>ROUND(C197/10000,0)</f>
        <v>1070</v>
      </c>
      <c r="D213">
        <f t="shared" ref="D213:N213" si="58">ROUND(D197/10000,0)</f>
        <v>1100</v>
      </c>
      <c r="E213">
        <f t="shared" si="58"/>
        <v>1100</v>
      </c>
      <c r="F213">
        <f t="shared" si="58"/>
        <v>1100</v>
      </c>
      <c r="G213">
        <f t="shared" si="58"/>
        <v>1200</v>
      </c>
      <c r="H213">
        <f t="shared" si="58"/>
        <v>1150</v>
      </c>
      <c r="I213">
        <f t="shared" si="58"/>
        <v>1200</v>
      </c>
      <c r="J213">
        <f t="shared" si="58"/>
        <v>1200</v>
      </c>
      <c r="K213">
        <f t="shared" si="58"/>
        <v>1200</v>
      </c>
      <c r="L213">
        <f t="shared" si="58"/>
        <v>1200</v>
      </c>
      <c r="M213">
        <f t="shared" si="58"/>
        <v>1200</v>
      </c>
      <c r="N213">
        <f t="shared" si="58"/>
        <v>1200</v>
      </c>
    </row>
    <row r="214" spans="1:14" x14ac:dyDescent="0.15">
      <c r="A214" s="1189" t="s">
        <v>37</v>
      </c>
      <c r="B214" s="1188" t="s">
        <v>26</v>
      </c>
      <c r="C214">
        <f t="shared" ref="C214:N224" si="59">ROUND(C198/10000,0)</f>
        <v>650</v>
      </c>
      <c r="D214">
        <f t="shared" si="59"/>
        <v>650</v>
      </c>
      <c r="E214">
        <f t="shared" si="59"/>
        <v>650</v>
      </c>
      <c r="F214">
        <f t="shared" si="59"/>
        <v>670</v>
      </c>
      <c r="G214">
        <f t="shared" si="59"/>
        <v>670</v>
      </c>
      <c r="H214">
        <f t="shared" si="59"/>
        <v>650</v>
      </c>
      <c r="I214">
        <f t="shared" si="59"/>
        <v>670</v>
      </c>
      <c r="J214">
        <f t="shared" si="59"/>
        <v>690</v>
      </c>
      <c r="K214">
        <f t="shared" si="59"/>
        <v>700</v>
      </c>
      <c r="L214">
        <f t="shared" si="59"/>
        <v>710</v>
      </c>
      <c r="M214">
        <f t="shared" si="59"/>
        <v>750</v>
      </c>
      <c r="N214">
        <f t="shared" si="59"/>
        <v>740</v>
      </c>
    </row>
    <row r="215" spans="1:14" ht="14.25" thickBot="1" x14ac:dyDescent="0.2">
      <c r="A215" s="1180" t="s">
        <v>66</v>
      </c>
      <c r="B215" s="1179" t="s">
        <v>26</v>
      </c>
      <c r="C215">
        <f t="shared" si="59"/>
        <v>700</v>
      </c>
      <c r="D215">
        <f t="shared" si="59"/>
        <v>720</v>
      </c>
      <c r="E215">
        <f t="shared" si="59"/>
        <v>700</v>
      </c>
      <c r="F215">
        <f t="shared" si="59"/>
        <v>710</v>
      </c>
      <c r="G215">
        <f t="shared" si="59"/>
        <v>700</v>
      </c>
      <c r="H215">
        <f t="shared" si="59"/>
        <v>680</v>
      </c>
      <c r="I215">
        <f t="shared" si="59"/>
        <v>720</v>
      </c>
      <c r="J215">
        <f t="shared" si="59"/>
        <v>700</v>
      </c>
      <c r="K215">
        <f t="shared" si="59"/>
        <v>720</v>
      </c>
      <c r="L215">
        <f t="shared" si="59"/>
        <v>725</v>
      </c>
      <c r="M215">
        <f t="shared" si="59"/>
        <v>740</v>
      </c>
      <c r="N215">
        <f t="shared" si="59"/>
        <v>750</v>
      </c>
    </row>
    <row r="216" spans="1:14" x14ac:dyDescent="0.15">
      <c r="A216" s="1189" t="s">
        <v>967</v>
      </c>
      <c r="B216" s="1188" t="s">
        <v>26</v>
      </c>
      <c r="C216">
        <f t="shared" si="59"/>
        <v>100</v>
      </c>
      <c r="D216">
        <f t="shared" si="59"/>
        <v>120</v>
      </c>
      <c r="E216">
        <f t="shared" si="59"/>
        <v>140</v>
      </c>
      <c r="F216">
        <f t="shared" si="59"/>
        <v>160</v>
      </c>
      <c r="G216">
        <f t="shared" si="59"/>
        <v>190</v>
      </c>
      <c r="H216">
        <f t="shared" si="59"/>
        <v>210</v>
      </c>
      <c r="I216">
        <f t="shared" si="59"/>
        <v>220</v>
      </c>
      <c r="J216">
        <f t="shared" si="59"/>
        <v>240</v>
      </c>
      <c r="K216">
        <f t="shared" si="59"/>
        <v>260</v>
      </c>
      <c r="L216">
        <f t="shared" si="59"/>
        <v>280</v>
      </c>
      <c r="M216">
        <f t="shared" si="59"/>
        <v>300</v>
      </c>
      <c r="N216">
        <f t="shared" si="59"/>
        <v>320</v>
      </c>
    </row>
    <row r="217" spans="1:14" x14ac:dyDescent="0.15">
      <c r="A217" s="1180" t="s">
        <v>1143</v>
      </c>
      <c r="B217" s="1179" t="s">
        <v>26</v>
      </c>
      <c r="C217">
        <f t="shared" si="59"/>
        <v>0</v>
      </c>
      <c r="D217">
        <f t="shared" si="59"/>
        <v>40</v>
      </c>
      <c r="E217">
        <f t="shared" si="59"/>
        <v>85</v>
      </c>
      <c r="F217">
        <f t="shared" si="59"/>
        <v>100</v>
      </c>
      <c r="G217">
        <f t="shared" si="59"/>
        <v>100</v>
      </c>
      <c r="H217">
        <f t="shared" si="59"/>
        <v>120</v>
      </c>
      <c r="I217">
        <f t="shared" si="59"/>
        <v>140</v>
      </c>
      <c r="J217">
        <f t="shared" si="59"/>
        <v>160</v>
      </c>
      <c r="K217">
        <f t="shared" si="59"/>
        <v>190</v>
      </c>
      <c r="L217">
        <f t="shared" si="59"/>
        <v>210</v>
      </c>
      <c r="M217">
        <f t="shared" si="59"/>
        <v>220</v>
      </c>
      <c r="N217">
        <f t="shared" si="59"/>
        <v>240</v>
      </c>
    </row>
    <row r="218" spans="1:14" ht="14.25" thickBot="1" x14ac:dyDescent="0.2">
      <c r="A218" s="1180" t="s">
        <v>358</v>
      </c>
      <c r="B218" s="1179" t="s">
        <v>26</v>
      </c>
      <c r="C218">
        <f t="shared" si="59"/>
        <v>420</v>
      </c>
      <c r="D218">
        <f t="shared" si="59"/>
        <v>420</v>
      </c>
      <c r="E218">
        <f t="shared" si="59"/>
        <v>420</v>
      </c>
      <c r="F218">
        <f t="shared" si="59"/>
        <v>420</v>
      </c>
      <c r="G218">
        <f t="shared" si="59"/>
        <v>430</v>
      </c>
      <c r="H218">
        <f t="shared" si="59"/>
        <v>390</v>
      </c>
      <c r="I218">
        <f t="shared" si="59"/>
        <v>430</v>
      </c>
      <c r="J218">
        <f t="shared" si="59"/>
        <v>425</v>
      </c>
      <c r="K218">
        <f t="shared" si="59"/>
        <v>440</v>
      </c>
      <c r="L218">
        <f t="shared" si="59"/>
        <v>425</v>
      </c>
      <c r="M218">
        <f t="shared" si="59"/>
        <v>440</v>
      </c>
      <c r="N218">
        <f t="shared" si="59"/>
        <v>440</v>
      </c>
    </row>
    <row r="219" spans="1:14" x14ac:dyDescent="0.15">
      <c r="A219" s="1189" t="s">
        <v>38</v>
      </c>
      <c r="B219" s="1188" t="s">
        <v>26</v>
      </c>
      <c r="C219">
        <f t="shared" si="59"/>
        <v>270</v>
      </c>
      <c r="D219">
        <f t="shared" si="59"/>
        <v>270</v>
      </c>
      <c r="E219">
        <f t="shared" si="59"/>
        <v>270</v>
      </c>
      <c r="F219">
        <f t="shared" si="59"/>
        <v>270</v>
      </c>
      <c r="G219">
        <f t="shared" si="59"/>
        <v>270</v>
      </c>
      <c r="H219">
        <f t="shared" si="59"/>
        <v>270</v>
      </c>
      <c r="I219">
        <f t="shared" si="59"/>
        <v>270</v>
      </c>
      <c r="J219">
        <f t="shared" si="59"/>
        <v>270</v>
      </c>
      <c r="K219">
        <f t="shared" si="59"/>
        <v>270</v>
      </c>
      <c r="L219">
        <f t="shared" si="59"/>
        <v>270</v>
      </c>
      <c r="M219">
        <f t="shared" si="59"/>
        <v>270</v>
      </c>
      <c r="N219">
        <f t="shared" si="59"/>
        <v>270</v>
      </c>
    </row>
    <row r="220" spans="1:14" ht="14.25" thickBot="1" x14ac:dyDescent="0.2">
      <c r="A220" s="1180" t="s">
        <v>125</v>
      </c>
      <c r="B220" s="1179" t="s">
        <v>26</v>
      </c>
      <c r="C220">
        <f t="shared" si="59"/>
        <v>105</v>
      </c>
      <c r="D220">
        <f t="shared" si="59"/>
        <v>105</v>
      </c>
      <c r="E220">
        <f t="shared" si="59"/>
        <v>105</v>
      </c>
      <c r="F220">
        <f t="shared" si="59"/>
        <v>105</v>
      </c>
      <c r="G220">
        <f t="shared" si="59"/>
        <v>105</v>
      </c>
      <c r="H220">
        <f t="shared" si="59"/>
        <v>105</v>
      </c>
      <c r="I220">
        <f t="shared" si="59"/>
        <v>105</v>
      </c>
      <c r="J220">
        <f t="shared" si="59"/>
        <v>105</v>
      </c>
      <c r="K220">
        <f t="shared" si="59"/>
        <v>105</v>
      </c>
      <c r="L220">
        <f t="shared" si="59"/>
        <v>105</v>
      </c>
      <c r="M220">
        <f t="shared" si="59"/>
        <v>105</v>
      </c>
      <c r="N220">
        <f t="shared" si="59"/>
        <v>105</v>
      </c>
    </row>
    <row r="221" spans="1:14" x14ac:dyDescent="0.15">
      <c r="A221" s="1189" t="s">
        <v>184</v>
      </c>
      <c r="B221" s="1188" t="s">
        <v>26</v>
      </c>
      <c r="C221">
        <f t="shared" si="59"/>
        <v>105</v>
      </c>
      <c r="D221">
        <f t="shared" si="59"/>
        <v>105</v>
      </c>
      <c r="E221">
        <f t="shared" si="59"/>
        <v>105</v>
      </c>
      <c r="F221">
        <f t="shared" si="59"/>
        <v>105</v>
      </c>
      <c r="G221">
        <f t="shared" si="59"/>
        <v>105</v>
      </c>
      <c r="H221">
        <f t="shared" si="59"/>
        <v>105</v>
      </c>
      <c r="I221">
        <f t="shared" si="59"/>
        <v>105</v>
      </c>
      <c r="J221">
        <f t="shared" si="59"/>
        <v>105</v>
      </c>
      <c r="K221">
        <f t="shared" si="59"/>
        <v>105</v>
      </c>
      <c r="L221">
        <f t="shared" si="59"/>
        <v>105</v>
      </c>
      <c r="M221">
        <f t="shared" si="59"/>
        <v>105</v>
      </c>
      <c r="N221">
        <f t="shared" si="59"/>
        <v>105</v>
      </c>
    </row>
    <row r="222" spans="1:14" ht="14.25" thickBot="1" x14ac:dyDescent="0.2">
      <c r="A222" s="1180" t="s">
        <v>329</v>
      </c>
      <c r="B222" s="1179" t="s">
        <v>26</v>
      </c>
      <c r="C222">
        <f t="shared" si="59"/>
        <v>270</v>
      </c>
      <c r="D222">
        <f t="shared" si="59"/>
        <v>270</v>
      </c>
      <c r="E222">
        <f t="shared" si="59"/>
        <v>270</v>
      </c>
      <c r="F222">
        <f t="shared" si="59"/>
        <v>270</v>
      </c>
      <c r="G222">
        <f t="shared" si="59"/>
        <v>270</v>
      </c>
      <c r="H222">
        <f t="shared" si="59"/>
        <v>270</v>
      </c>
      <c r="I222">
        <f t="shared" si="59"/>
        <v>270</v>
      </c>
      <c r="J222">
        <f t="shared" si="59"/>
        <v>270</v>
      </c>
      <c r="K222">
        <f t="shared" si="59"/>
        <v>270</v>
      </c>
      <c r="L222">
        <f t="shared" si="59"/>
        <v>270</v>
      </c>
      <c r="M222">
        <f t="shared" si="59"/>
        <v>270</v>
      </c>
      <c r="N222">
        <f t="shared" si="59"/>
        <v>270</v>
      </c>
    </row>
    <row r="223" spans="1:14" ht="14.25" thickBot="1" x14ac:dyDescent="0.2">
      <c r="A223" s="1189" t="s">
        <v>1268</v>
      </c>
      <c r="B223" s="1188" t="s">
        <v>1269</v>
      </c>
      <c r="C223">
        <f t="shared" si="59"/>
        <v>0</v>
      </c>
      <c r="D223">
        <f t="shared" si="59"/>
        <v>0</v>
      </c>
      <c r="E223">
        <f t="shared" si="59"/>
        <v>0</v>
      </c>
      <c r="F223">
        <f t="shared" si="59"/>
        <v>55</v>
      </c>
      <c r="G223">
        <f t="shared" si="59"/>
        <v>100</v>
      </c>
      <c r="H223">
        <f t="shared" si="59"/>
        <v>210</v>
      </c>
      <c r="I223">
        <f t="shared" si="59"/>
        <v>210</v>
      </c>
      <c r="J223">
        <f t="shared" si="59"/>
        <v>210</v>
      </c>
      <c r="K223">
        <f t="shared" si="59"/>
        <v>210</v>
      </c>
      <c r="L223">
        <f t="shared" si="59"/>
        <v>210</v>
      </c>
      <c r="M223">
        <f t="shared" si="59"/>
        <v>210</v>
      </c>
      <c r="N223">
        <f t="shared" si="59"/>
        <v>210</v>
      </c>
    </row>
    <row r="224" spans="1:14" ht="14.25" thickBot="1" x14ac:dyDescent="0.2">
      <c r="A224" s="1189" t="s">
        <v>1024</v>
      </c>
      <c r="B224" s="1188" t="s">
        <v>26</v>
      </c>
      <c r="C224">
        <f>ROUND(C208/10000,0)</f>
        <v>0</v>
      </c>
      <c r="D224">
        <f t="shared" si="59"/>
        <v>0</v>
      </c>
      <c r="E224">
        <f t="shared" si="59"/>
        <v>0</v>
      </c>
      <c r="F224">
        <f t="shared" si="59"/>
        <v>0</v>
      </c>
      <c r="G224">
        <f t="shared" si="59"/>
        <v>0</v>
      </c>
      <c r="H224">
        <f t="shared" si="59"/>
        <v>0</v>
      </c>
      <c r="I224">
        <f t="shared" si="59"/>
        <v>0</v>
      </c>
      <c r="J224">
        <f t="shared" si="59"/>
        <v>0</v>
      </c>
      <c r="K224">
        <f t="shared" si="59"/>
        <v>247</v>
      </c>
      <c r="L224">
        <f t="shared" si="59"/>
        <v>239</v>
      </c>
      <c r="M224">
        <f t="shared" si="59"/>
        <v>247</v>
      </c>
      <c r="N224">
        <f t="shared" si="59"/>
        <v>247</v>
      </c>
    </row>
    <row r="225" spans="1:14" x14ac:dyDescent="0.15">
      <c r="A225" s="1189" t="s">
        <v>1025</v>
      </c>
      <c r="B225" s="1188" t="s">
        <v>26</v>
      </c>
      <c r="C225">
        <f>ROUND(C210/10000,0)</f>
        <v>0</v>
      </c>
      <c r="D225">
        <f t="shared" ref="D225:N225" si="60">ROUND(D210/10000,0)</f>
        <v>0</v>
      </c>
      <c r="E225">
        <f t="shared" si="60"/>
        <v>0</v>
      </c>
      <c r="F225">
        <f t="shared" si="60"/>
        <v>0</v>
      </c>
      <c r="G225">
        <f t="shared" si="60"/>
        <v>0</v>
      </c>
      <c r="H225">
        <f t="shared" si="60"/>
        <v>0</v>
      </c>
      <c r="I225">
        <f t="shared" si="60"/>
        <v>0</v>
      </c>
      <c r="J225">
        <f t="shared" si="60"/>
        <v>0</v>
      </c>
      <c r="K225">
        <f t="shared" si="60"/>
        <v>250</v>
      </c>
      <c r="L225">
        <f t="shared" si="60"/>
        <v>0</v>
      </c>
      <c r="M225">
        <f t="shared" si="60"/>
        <v>0</v>
      </c>
      <c r="N225">
        <f t="shared" si="60"/>
        <v>0</v>
      </c>
    </row>
    <row r="226" spans="1:14" x14ac:dyDescent="0.15">
      <c r="A226" s="1180" t="s">
        <v>1322</v>
      </c>
      <c r="B226" s="1179"/>
      <c r="C226">
        <f>SUM(C220:C225)</f>
        <v>480</v>
      </c>
      <c r="D226">
        <f t="shared" ref="D226:N226" si="61">SUM(D220:D225)</f>
        <v>480</v>
      </c>
      <c r="E226">
        <f t="shared" si="61"/>
        <v>480</v>
      </c>
      <c r="F226">
        <f t="shared" si="61"/>
        <v>535</v>
      </c>
      <c r="G226">
        <f t="shared" si="61"/>
        <v>580</v>
      </c>
      <c r="H226">
        <f t="shared" si="61"/>
        <v>690</v>
      </c>
      <c r="I226">
        <f t="shared" si="61"/>
        <v>690</v>
      </c>
      <c r="J226">
        <f t="shared" si="61"/>
        <v>690</v>
      </c>
      <c r="K226">
        <f t="shared" si="61"/>
        <v>1187</v>
      </c>
      <c r="L226">
        <f t="shared" si="61"/>
        <v>929</v>
      </c>
      <c r="M226">
        <f t="shared" si="61"/>
        <v>937</v>
      </c>
      <c r="N226">
        <f t="shared" si="61"/>
        <v>937</v>
      </c>
    </row>
    <row r="227" spans="1:14" x14ac:dyDescent="0.15">
      <c r="A227" s="1180" t="s">
        <v>336</v>
      </c>
      <c r="B227" s="1179" t="s">
        <v>26</v>
      </c>
      <c r="C227">
        <f t="shared" ref="C227:N227" si="62">ROUND(C209/10000,0)</f>
        <v>160</v>
      </c>
      <c r="D227">
        <f t="shared" si="62"/>
        <v>0</v>
      </c>
      <c r="E227">
        <f t="shared" si="62"/>
        <v>0</v>
      </c>
      <c r="F227">
        <f t="shared" si="62"/>
        <v>0</v>
      </c>
      <c r="G227">
        <f t="shared" si="62"/>
        <v>0</v>
      </c>
      <c r="H227">
        <f t="shared" si="62"/>
        <v>0</v>
      </c>
      <c r="I227">
        <f t="shared" si="62"/>
        <v>0</v>
      </c>
      <c r="J227">
        <f t="shared" si="62"/>
        <v>0</v>
      </c>
      <c r="K227">
        <f t="shared" si="62"/>
        <v>0</v>
      </c>
      <c r="L227">
        <f t="shared" si="62"/>
        <v>0</v>
      </c>
      <c r="M227">
        <f t="shared" si="62"/>
        <v>0</v>
      </c>
      <c r="N227">
        <f t="shared" si="62"/>
        <v>0</v>
      </c>
    </row>
  </sheetData>
  <phoneticPr fontId="40"/>
  <pageMargins left="0.32" right="0.2" top="0.57999999999999996" bottom="0.51" header="0.31496062992125984" footer="0.31496062992125984"/>
  <pageSetup paperSize="8" scale="61" orientation="portrait" r:id="rId1"/>
  <headerFooter>
    <oddHeader>&amp;LH31年度収支予測&amp;R日付 &amp;D</oddHeader>
    <oddFooter>&amp;L介護サービス友乃家&amp;R&amp;F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T259"/>
  <sheetViews>
    <sheetView view="pageBreakPreview" zoomScale="70" zoomScaleNormal="70" zoomScaleSheetLayoutView="70" workbookViewId="0">
      <selection activeCell="K28" sqref="K28"/>
    </sheetView>
  </sheetViews>
  <sheetFormatPr defaultRowHeight="28.5" customHeight="1" x14ac:dyDescent="0.15"/>
  <cols>
    <col min="1" max="1" width="1.875" style="1503" customWidth="1"/>
    <col min="2" max="4" width="18.625" customWidth="1"/>
    <col min="5" max="5" width="2.75" customWidth="1"/>
    <col min="6" max="8" width="18.625" customWidth="1"/>
    <col min="9" max="9" width="18.625" hidden="1" customWidth="1"/>
    <col min="10" max="10" width="18.625" customWidth="1"/>
    <col min="11" max="11" width="2.75" customWidth="1"/>
    <col min="12" max="14" width="18.625" customWidth="1"/>
    <col min="15" max="15" width="2.75" customWidth="1"/>
    <col min="16" max="19" width="18.625" customWidth="1"/>
    <col min="20" max="20" width="13.75" customWidth="1"/>
  </cols>
  <sheetData>
    <row r="1" spans="2:18" ht="28.5" customHeight="1" thickBot="1" x14ac:dyDescent="0.2">
      <c r="B1" s="1491" t="s">
        <v>19</v>
      </c>
    </row>
    <row r="2" spans="2:18" ht="28.5" customHeight="1" thickBot="1" x14ac:dyDescent="0.2">
      <c r="B2" s="1694" t="s">
        <v>1351</v>
      </c>
      <c r="C2" s="1695">
        <f>推移!AA2</f>
        <v>43556</v>
      </c>
      <c r="D2" s="1706">
        <f>EDATE(C2,-1)</f>
        <v>43525</v>
      </c>
      <c r="E2" s="2245" t="s">
        <v>1352</v>
      </c>
      <c r="F2" s="2250"/>
    </row>
    <row r="3" spans="2:18" ht="28.5" customHeight="1" x14ac:dyDescent="0.15">
      <c r="B3" s="1752" t="s">
        <v>26</v>
      </c>
      <c r="C3" s="1696">
        <f>推移!AA146</f>
        <v>41864718</v>
      </c>
      <c r="D3" s="1762">
        <f>推移!Z146</f>
        <v>40045253</v>
      </c>
      <c r="E3" s="1755">
        <f>IF(F3&gt;0,1,IF(F3=0,0,-1))</f>
        <v>1</v>
      </c>
      <c r="F3" s="1765">
        <f t="shared" ref="F3:F10" si="0">C3-D3</f>
        <v>1819465</v>
      </c>
    </row>
    <row r="4" spans="2:18" ht="28.5" customHeight="1" x14ac:dyDescent="0.15">
      <c r="B4" s="1715" t="s">
        <v>15</v>
      </c>
      <c r="C4" s="1698">
        <f>推移!AA151</f>
        <v>27716004</v>
      </c>
      <c r="D4" s="1720">
        <f>推移!Z151</f>
        <v>26812659</v>
      </c>
      <c r="E4" s="1497">
        <f t="shared" ref="E4:E10" si="1">IF(F4&gt;0,1,IF(F4=0,0,-1))</f>
        <v>1</v>
      </c>
      <c r="F4" s="1721">
        <f t="shared" si="0"/>
        <v>903345</v>
      </c>
    </row>
    <row r="5" spans="2:18" ht="28.5" customHeight="1" x14ac:dyDescent="0.15">
      <c r="B5" s="1715" t="s">
        <v>1364</v>
      </c>
      <c r="C5" s="1701">
        <f>経費推移!M62</f>
        <v>0.66203727921922229</v>
      </c>
      <c r="D5" s="1763">
        <f>経費推移!M61</f>
        <v>0.6695589861799599</v>
      </c>
      <c r="E5" s="1497">
        <f t="shared" si="1"/>
        <v>-1</v>
      </c>
      <c r="F5" s="1766">
        <f t="shared" si="0"/>
        <v>-7.5217069607376175E-3</v>
      </c>
    </row>
    <row r="6" spans="2:18" ht="28.5" customHeight="1" x14ac:dyDescent="0.15">
      <c r="B6" s="1715" t="s">
        <v>35</v>
      </c>
      <c r="C6" s="1698">
        <f>推移!AA154</f>
        <v>8647779</v>
      </c>
      <c r="D6" s="1720">
        <f>推移!Z154</f>
        <v>8656063</v>
      </c>
      <c r="E6" s="1497">
        <f t="shared" si="1"/>
        <v>-1</v>
      </c>
      <c r="F6" s="1721">
        <f t="shared" si="0"/>
        <v>-8284</v>
      </c>
    </row>
    <row r="7" spans="2:18" ht="28.5" customHeight="1" x14ac:dyDescent="0.15">
      <c r="B7" s="1722" t="s">
        <v>45</v>
      </c>
      <c r="C7" s="1702">
        <f>C3-(C4+C6)</f>
        <v>5500935</v>
      </c>
      <c r="D7" s="1727">
        <f>推移!Z160</f>
        <v>4576531</v>
      </c>
      <c r="E7" s="1498">
        <f t="shared" si="1"/>
        <v>1</v>
      </c>
      <c r="F7" s="1728">
        <f t="shared" si="0"/>
        <v>924404</v>
      </c>
    </row>
    <row r="8" spans="2:18" ht="28.5" customHeight="1" x14ac:dyDescent="0.15">
      <c r="B8" s="1715" t="s">
        <v>46</v>
      </c>
      <c r="C8" s="1698">
        <f>推移!AA161</f>
        <v>215222</v>
      </c>
      <c r="D8" s="1720">
        <f>推移!Z161</f>
        <v>539685</v>
      </c>
      <c r="E8" s="1497">
        <f t="shared" si="1"/>
        <v>-1</v>
      </c>
      <c r="F8" s="1721">
        <f t="shared" si="0"/>
        <v>-324463</v>
      </c>
    </row>
    <row r="9" spans="2:18" ht="28.5" customHeight="1" x14ac:dyDescent="0.15">
      <c r="B9" s="1715" t="s">
        <v>47</v>
      </c>
      <c r="C9" s="1698">
        <f>推移!AA162</f>
        <v>665619</v>
      </c>
      <c r="D9" s="1720">
        <f>推移!Z162</f>
        <v>532662</v>
      </c>
      <c r="E9" s="1497">
        <f t="shared" si="1"/>
        <v>1</v>
      </c>
      <c r="F9" s="1721">
        <f t="shared" si="0"/>
        <v>132957</v>
      </c>
    </row>
    <row r="10" spans="2:18" ht="28.5" customHeight="1" thickBot="1" x14ac:dyDescent="0.2">
      <c r="B10" s="1753" t="s">
        <v>44</v>
      </c>
      <c r="C10" s="1704">
        <f>推移!AA163</f>
        <v>5050538</v>
      </c>
      <c r="D10" s="1764">
        <f>推移!Z163</f>
        <v>4583554</v>
      </c>
      <c r="E10" s="1756">
        <f t="shared" si="1"/>
        <v>1</v>
      </c>
      <c r="F10" s="1767">
        <f t="shared" si="0"/>
        <v>466984</v>
      </c>
    </row>
    <row r="15" spans="2:18" ht="28.5" customHeight="1" thickBot="1" x14ac:dyDescent="0.2">
      <c r="B15" s="1491" t="s">
        <v>1361</v>
      </c>
      <c r="M15" s="20" t="s">
        <v>1472</v>
      </c>
    </row>
    <row r="16" spans="2:18" ht="28.5" customHeight="1" thickBot="1" x14ac:dyDescent="0.2">
      <c r="B16" s="1694" t="s">
        <v>4</v>
      </c>
      <c r="C16" s="1705">
        <f>C$2</f>
        <v>43556</v>
      </c>
      <c r="D16" s="1706" t="s">
        <v>1286</v>
      </c>
      <c r="E16" s="2251" t="s">
        <v>1422</v>
      </c>
      <c r="F16" s="2251"/>
      <c r="G16" s="1768" t="str">
        <f>TEXT(C16,"m") &amp; "月返戻"</f>
        <v>4月返戻</v>
      </c>
      <c r="H16" s="1769" t="s">
        <v>1358</v>
      </c>
      <c r="J16" s="1770" t="s">
        <v>1359</v>
      </c>
      <c r="K16" s="2246" t="s">
        <v>1362</v>
      </c>
      <c r="L16" s="2249"/>
      <c r="M16" s="1771" t="s">
        <v>1365</v>
      </c>
      <c r="N16" s="1770" t="s">
        <v>1366</v>
      </c>
      <c r="O16" s="2246" t="s">
        <v>1363</v>
      </c>
      <c r="P16" s="2247"/>
      <c r="Q16" s="1772" t="s">
        <v>1333</v>
      </c>
      <c r="R16" s="1773" t="s">
        <v>1410</v>
      </c>
    </row>
    <row r="17" spans="2:18" ht="28.5" customHeight="1" x14ac:dyDescent="0.15">
      <c r="B17" s="1707" t="s">
        <v>492</v>
      </c>
      <c r="C17" s="1708">
        <f>IFERROR(GETPIVOTDATA("合計 / 合計",【ピボット】事業所売上!$A$3,"年月",C$16,"事業所","管理部"),0)</f>
        <v>0</v>
      </c>
      <c r="D17" s="1710">
        <v>0</v>
      </c>
      <c r="E17" s="1496">
        <f t="shared" ref="E17:E30" si="2">IF(F17&gt;0,1,IF(F17=0,0,-1))</f>
        <v>0</v>
      </c>
      <c r="F17" s="1709">
        <f t="shared" ref="F17:F30" si="3">C17-D17</f>
        <v>0</v>
      </c>
      <c r="G17" s="1713">
        <v>0</v>
      </c>
      <c r="H17" s="1774">
        <f ca="1">'事業所損益管理(H30.9～H31.8)_査定'!R116</f>
        <v>142560</v>
      </c>
      <c r="J17" s="1713">
        <f ca="1">'☆事業所損益管理(H30.9～H31.8)(計画)'!S3</f>
        <v>0</v>
      </c>
      <c r="K17" s="1674">
        <f ca="1">IF(L17&gt;=0,1,-1)</f>
        <v>1</v>
      </c>
      <c r="L17" s="1714">
        <f t="shared" ref="L17:L30" ca="1" si="4">H17-J17</f>
        <v>142560</v>
      </c>
      <c r="M17" s="1711">
        <v>0</v>
      </c>
      <c r="N17" s="1713">
        <v>0</v>
      </c>
      <c r="O17" s="1674">
        <f>IF(P17&gt;=0,1,-1)</f>
        <v>1</v>
      </c>
      <c r="P17" s="1712">
        <f>M17-N17</f>
        <v>0</v>
      </c>
      <c r="Q17" s="1775">
        <f>IF(M17&lt;=0,0,M17)</f>
        <v>0</v>
      </c>
      <c r="R17" s="1776">
        <f t="shared" ref="R17:R29" si="5">ROUND(Q17/$Q$30,3)</f>
        <v>0</v>
      </c>
    </row>
    <row r="18" spans="2:18" ht="28.5" customHeight="1" x14ac:dyDescent="0.15">
      <c r="B18" s="1715" t="s">
        <v>3</v>
      </c>
      <c r="C18" s="1716">
        <f>IFERROR(GETPIVOTDATA("合計 / 合計",【ピボット】事業所売上!$A$3,"年月",C$16,"事業所",B18),0)</f>
        <v>12901588</v>
      </c>
      <c r="D18" s="1717">
        <f ca="1">OFFSET('☆事業所損益管理(H30.9～H31.8)(計画)'!F9,0,MATCH('H31.4月 月例報告'!C$16,'☆事業所損益管理(H30.9～H31.8)(計画)'!F$2:Q$2,0)-1)</f>
        <v>12500000</v>
      </c>
      <c r="E18" s="1497">
        <f t="shared" ca="1" si="2"/>
        <v>1</v>
      </c>
      <c r="F18" s="1699">
        <f t="shared" ca="1" si="3"/>
        <v>401588</v>
      </c>
      <c r="G18" s="1720">
        <f>IFERROR(GETPIVOTDATA("合計 / 返戻",【ピボット】国保連売上!$A$3,"年月",C$16,"事業所",B18,"請求区分","単月"),0)+
IFERROR(GETPIVOTDATA("合計 / 返戻",【ピボット】国保連売上!$A$3,"年月",C$16,"事業所",B18,"請求区分","再請求"),0)</f>
        <v>0</v>
      </c>
      <c r="H18" s="1777">
        <f ca="1">'事業所損益管理(H30.9～H31.8)_査定'!R3</f>
        <v>98542621</v>
      </c>
      <c r="J18" s="1720">
        <f ca="1">'☆事業所損益管理(H30.9～H31.8)(計画)'!S9</f>
        <v>93200000</v>
      </c>
      <c r="K18" s="1499">
        <f t="shared" ref="K18:K30" ca="1" si="6">IF(L18&gt;=0,1,-1)</f>
        <v>1</v>
      </c>
      <c r="L18" s="1721">
        <f t="shared" ca="1" si="4"/>
        <v>5342621</v>
      </c>
      <c r="M18" s="1718">
        <f>'事業所損益管理(H30.9～H31.8)_査定'!L200</f>
        <v>9273204</v>
      </c>
      <c r="N18" s="1720">
        <f>'事業所損益管理(H30.9～H31.8)_査定'!L199</f>
        <v>5350000</v>
      </c>
      <c r="O18" s="1499">
        <f t="shared" ref="O18:O30" si="7">IF(P18&gt;=0,1,-1)</f>
        <v>1</v>
      </c>
      <c r="P18" s="1719">
        <f>M18-N18</f>
        <v>3923204</v>
      </c>
      <c r="Q18" s="1777">
        <f t="shared" ref="Q18:Q29" si="8">IF(M18&lt;=0,0,M18)</f>
        <v>9273204</v>
      </c>
      <c r="R18" s="1766">
        <f t="shared" si="5"/>
        <v>0.45300000000000001</v>
      </c>
    </row>
    <row r="19" spans="2:18" ht="28.5" customHeight="1" x14ac:dyDescent="0.15">
      <c r="B19" s="1715" t="s">
        <v>2</v>
      </c>
      <c r="C19" s="1716">
        <f>IFERROR(GETPIVOTDATA("合計 / 合計",【ピボット】事業所売上!$A$3,"年月",C$16,"事業所",B19),0)</f>
        <v>6262229</v>
      </c>
      <c r="D19" s="1717">
        <f ca="1">OFFSET('☆事業所損益管理(H30.9～H31.8)(計画)'!F16,0,MATCH('H31.4月 月例報告'!C$16,'☆事業所損益管理(H30.9～H31.8)(計画)'!F$2:Q$2,0)-1)</f>
        <v>7000000</v>
      </c>
      <c r="E19" s="1497">
        <f t="shared" ca="1" si="2"/>
        <v>-1</v>
      </c>
      <c r="F19" s="1699">
        <f t="shared" ca="1" si="3"/>
        <v>-737771</v>
      </c>
      <c r="G19" s="1720">
        <f>IFERROR(GETPIVOTDATA("合計 / 返戻",【ピボット】国保連売上!$A$3,"年月",C$16,"事業所",B19,"請求区分","単月"),0)+
IFERROR(GETPIVOTDATA("合計 / 返戻",【ピボット】国保連売上!$A$3,"年月",C$16,"事業所",B19,"請求区分","再請求"),0)</f>
        <v>0</v>
      </c>
      <c r="H19" s="1777">
        <f ca="1">'事業所損益管理(H30.9～H31.8)_査定'!R11</f>
        <v>51609903</v>
      </c>
      <c r="J19" s="1720">
        <f ca="1">'☆事業所損益管理(H30.9～H31.8)(計画)'!S16</f>
        <v>55850000</v>
      </c>
      <c r="K19" s="1499">
        <f t="shared" ca="1" si="6"/>
        <v>-1</v>
      </c>
      <c r="L19" s="1721">
        <f t="shared" ca="1" si="4"/>
        <v>-4240097</v>
      </c>
      <c r="M19" s="1718">
        <f>'事業所損益管理(H30.9～H31.8)_査定'!L202</f>
        <v>2718851</v>
      </c>
      <c r="N19" s="1720">
        <f>'事業所損益管理(H30.9～H31.8)_査定'!L201</f>
        <v>3550000</v>
      </c>
      <c r="O19" s="1499">
        <f t="shared" si="7"/>
        <v>-1</v>
      </c>
      <c r="P19" s="1719">
        <f t="shared" ref="P19:P30" si="9">M19-N19</f>
        <v>-831149</v>
      </c>
      <c r="Q19" s="1777">
        <f t="shared" si="8"/>
        <v>2718851</v>
      </c>
      <c r="R19" s="1766">
        <f t="shared" si="5"/>
        <v>0.13300000000000001</v>
      </c>
    </row>
    <row r="20" spans="2:18" ht="28.5" customHeight="1" x14ac:dyDescent="0.15">
      <c r="B20" s="1715" t="s">
        <v>67</v>
      </c>
      <c r="C20" s="1716">
        <f>IFERROR(GETPIVOTDATA("合計 / 合計",【ピボット】事業所売上!$A$3,"年月",C$16,"事業所",B20),0)</f>
        <v>7110420</v>
      </c>
      <c r="D20" s="1717">
        <f ca="1">OFFSET('☆事業所損益管理(H30.9～H31.8)(計画)'!F23,0,MATCH('H31.4月 月例報告'!C$16,'☆事業所損益管理(H30.9～H31.8)(計画)'!F$2:Q$2,0)-1)</f>
        <v>7500000</v>
      </c>
      <c r="E20" s="1497">
        <f t="shared" ca="1" si="2"/>
        <v>-1</v>
      </c>
      <c r="F20" s="1699">
        <f t="shared" ca="1" si="3"/>
        <v>-389580</v>
      </c>
      <c r="G20" s="1720">
        <f>IFERROR(GETPIVOTDATA("合計 / 返戻",【ピボット】国保連売上!$A$3,"年月",C$16,"事業所",B20,"請求区分","単月"),0)+
IFERROR(GETPIVOTDATA("合計 / 返戻",【ピボット】国保連売上!$A$3,"年月",C$16,"事業所",B20,"請求区分","再請求"),0)</f>
        <v>0</v>
      </c>
      <c r="H20" s="1777">
        <f ca="1">'事業所損益管理(H30.9～H31.8)_査定'!R19</f>
        <v>55859560</v>
      </c>
      <c r="J20" s="1720">
        <f ca="1">'☆事業所損益管理(H30.9～H31.8)(計画)'!S23</f>
        <v>57800000</v>
      </c>
      <c r="K20" s="1499">
        <f t="shared" ca="1" si="6"/>
        <v>-1</v>
      </c>
      <c r="L20" s="1721">
        <f t="shared" ca="1" si="4"/>
        <v>-1940440</v>
      </c>
      <c r="M20" s="1718">
        <f>'事業所損益管理(H30.9～H31.8)_査定'!L204</f>
        <v>1613501</v>
      </c>
      <c r="N20" s="1720">
        <f>'事業所損益管理(H30.9～H31.8)_査定'!L203</f>
        <v>4700000</v>
      </c>
      <c r="O20" s="1499">
        <f t="shared" si="7"/>
        <v>-1</v>
      </c>
      <c r="P20" s="1719">
        <f t="shared" si="9"/>
        <v>-3086499</v>
      </c>
      <c r="Q20" s="1777">
        <f t="shared" si="8"/>
        <v>1613501</v>
      </c>
      <c r="R20" s="1766">
        <f t="shared" si="5"/>
        <v>7.9000000000000001E-2</v>
      </c>
    </row>
    <row r="21" spans="2:18" ht="28.5" customHeight="1" x14ac:dyDescent="0.15">
      <c r="B21" s="1715" t="s">
        <v>976</v>
      </c>
      <c r="C21" s="1716">
        <f>IFERROR(GETPIVOTDATA("合計 / 合計",【ピボット】事業所売上!$A$3,"年月",C$16,"事業所",B21),0)</f>
        <v>13148</v>
      </c>
      <c r="D21" s="1717">
        <f ca="1">OFFSET('☆事業所損益管理(H30.9～H31.8)(計画)'!F30,0,MATCH('H31.4月 月例報告'!C$16,'☆事業所損益管理(H30.9～H31.8)(計画)'!F$2:Q$2,0)-1)</f>
        <v>0</v>
      </c>
      <c r="E21" s="1497">
        <f t="shared" ca="1" si="2"/>
        <v>1</v>
      </c>
      <c r="F21" s="1699">
        <f t="shared" ca="1" si="3"/>
        <v>13148</v>
      </c>
      <c r="G21" s="1720">
        <f>IFERROR(GETPIVOTDATA("合計 / 返戻",【ピボット】国保連売上!$A$3,"年月",C$16,"事業所",B21,"請求区分","単月"),0)+
IFERROR(GETPIVOTDATA("合計 / 返戻",【ピボット】国保連売上!$A$3,"年月",C$16,"事業所",B21,"請求区分","再請求"),0)</f>
        <v>0</v>
      </c>
      <c r="H21" s="1777">
        <f ca="1">'事業所損益管理(H30.9～H31.8)_査定'!R27</f>
        <v>7719655</v>
      </c>
      <c r="J21" s="1720">
        <f ca="1">'☆事業所損益管理(H30.9～H31.8)(計画)'!S30</f>
        <v>6800000</v>
      </c>
      <c r="K21" s="1499">
        <f t="shared" ca="1" si="6"/>
        <v>1</v>
      </c>
      <c r="L21" s="1721">
        <f t="shared" ca="1" si="4"/>
        <v>919655</v>
      </c>
      <c r="M21" s="1718">
        <f>'事業所損益管理(H30.9～H31.8)_査定'!L206</f>
        <v>-5005861</v>
      </c>
      <c r="N21" s="1720">
        <f>'事業所損益管理(H30.9～H31.8)_査定'!L205</f>
        <v>-4865000</v>
      </c>
      <c r="O21" s="1499">
        <f t="shared" si="7"/>
        <v>-1</v>
      </c>
      <c r="P21" s="1719">
        <f t="shared" si="9"/>
        <v>-140861</v>
      </c>
      <c r="Q21" s="1777">
        <f t="shared" si="8"/>
        <v>0</v>
      </c>
      <c r="R21" s="1766">
        <f t="shared" si="5"/>
        <v>0</v>
      </c>
    </row>
    <row r="22" spans="2:18" ht="28.5" customHeight="1" x14ac:dyDescent="0.15">
      <c r="B22" s="1715" t="s">
        <v>1421</v>
      </c>
      <c r="C22" s="1716">
        <f>IFERROR(GETPIVOTDATA("合計 / 合計",【ピボット】事業所売上!$A$3,"年月",C$16,"事業所",B22),0)</f>
        <v>1905194</v>
      </c>
      <c r="D22" s="1717">
        <f ca="1">OFFSET('☆事業所損益管理(H30.9～H31.8)(計画)'!F37,0,MATCH('H31.4月 月例報告'!C$16,'☆事業所損益管理(H30.9～H31.8)(計画)'!F$2:Q$2,0)-1)</f>
        <v>1650000</v>
      </c>
      <c r="E22" s="1497">
        <f t="shared" ca="1" si="2"/>
        <v>1</v>
      </c>
      <c r="F22" s="1699">
        <f t="shared" ca="1" si="3"/>
        <v>255194</v>
      </c>
      <c r="G22" s="1720">
        <f>IFERROR(GETPIVOTDATA("合計 / 返戻",【ピボット】国保連売上!$A$3,"年月",C$16,"事業所",B22,"請求区分","単月"),0)+
IFERROR(GETPIVOTDATA("合計 / 返戻",【ピボット】国保連売上!$A$3,"年月",C$16,"事業所",B22,"請求区分","再請求"),0)</f>
        <v>0</v>
      </c>
      <c r="H22" s="1777">
        <f ca="1">'事業所損益管理(H30.9～H31.8)_査定'!R35</f>
        <v>6636869</v>
      </c>
      <c r="J22" s="1720">
        <f ca="1">'☆事業所損益管理(H30.9～H31.8)(計画)'!S37</f>
        <v>6850000</v>
      </c>
      <c r="K22" s="1499">
        <f t="shared" ca="1" si="6"/>
        <v>-1</v>
      </c>
      <c r="L22" s="1721">
        <f t="shared" ca="1" si="4"/>
        <v>-213131</v>
      </c>
      <c r="M22" s="1718">
        <f>'事業所損益管理(H30.9～H31.8)_査定'!L208</f>
        <v>-4695271</v>
      </c>
      <c r="N22" s="1720">
        <f>'事業所損益管理(H30.9～H31.8)_査定'!L207</f>
        <v>-6313000</v>
      </c>
      <c r="O22" s="1499">
        <f t="shared" si="7"/>
        <v>1</v>
      </c>
      <c r="P22" s="1719">
        <f t="shared" si="9"/>
        <v>1617729</v>
      </c>
      <c r="Q22" s="1777">
        <f t="shared" si="8"/>
        <v>0</v>
      </c>
      <c r="R22" s="1766">
        <f t="shared" si="5"/>
        <v>0</v>
      </c>
    </row>
    <row r="23" spans="2:18" ht="28.5" customHeight="1" x14ac:dyDescent="0.15">
      <c r="B23" s="1715" t="s">
        <v>677</v>
      </c>
      <c r="C23" s="1716">
        <f>IFERROR(GETPIVOTDATA("合計 / 合計",【ピボット】事業所売上!$A$3,"年月",C$16,"事業所",B23),0)</f>
        <v>4425975</v>
      </c>
      <c r="D23" s="1717">
        <f ca="1">OFFSET('☆事業所損益管理(H30.9～H31.8)(計画)'!F44,0,MATCH('H31.4月 月例報告'!C$16,'☆事業所損益管理(H30.9～H31.8)(計画)'!F$2:Q$2,0)-1)</f>
        <v>4500000</v>
      </c>
      <c r="E23" s="1497">
        <f t="shared" ca="1" si="2"/>
        <v>-1</v>
      </c>
      <c r="F23" s="1699">
        <f t="shared" ca="1" si="3"/>
        <v>-74025</v>
      </c>
      <c r="G23" s="1720">
        <f>IFERROR(GETPIVOTDATA("合計 / 返戻",【ピボット】国保連売上!$A$3,"年月",C$16,"事業所",B23,"請求区分","単月"),0)+
IFERROR(GETPIVOTDATA("合計 / 返戻",【ピボット】国保連売上!$A$3,"年月",C$16,"事業所",B23,"請求区分","再請求"),0)</f>
        <v>0</v>
      </c>
      <c r="H23" s="1777">
        <f ca="1">'事業所損益管理(H30.9～H31.8)_査定'!R43</f>
        <v>36069044</v>
      </c>
      <c r="J23" s="1720">
        <f ca="1">'☆事業所損益管理(H30.9～H31.8)(計画)'!S44</f>
        <v>36050000</v>
      </c>
      <c r="K23" s="1499">
        <f t="shared" ca="1" si="6"/>
        <v>1</v>
      </c>
      <c r="L23" s="1721">
        <f t="shared" ca="1" si="4"/>
        <v>19044</v>
      </c>
      <c r="M23" s="1718">
        <f>'事業所損益管理(H30.9～H31.8)_査定'!L210</f>
        <v>2993084</v>
      </c>
      <c r="N23" s="1720">
        <f>'事業所損益管理(H30.9～H31.8)_査定'!L209</f>
        <v>1050000</v>
      </c>
      <c r="O23" s="1499">
        <f t="shared" si="7"/>
        <v>1</v>
      </c>
      <c r="P23" s="1719">
        <f t="shared" si="9"/>
        <v>1943084</v>
      </c>
      <c r="Q23" s="1777">
        <f t="shared" si="8"/>
        <v>2993084</v>
      </c>
      <c r="R23" s="1766">
        <f t="shared" si="5"/>
        <v>0.14599999999999999</v>
      </c>
    </row>
    <row r="24" spans="2:18" ht="28.5" customHeight="1" x14ac:dyDescent="0.15">
      <c r="B24" s="1715" t="s">
        <v>63</v>
      </c>
      <c r="C24" s="1716">
        <f>IFERROR(GETPIVOTDATA("合計 / 合計",【ピボット】事業所売上!$A$3,"年月",C$16,"事業所",B24),0)</f>
        <v>2462469</v>
      </c>
      <c r="D24" s="1717">
        <f ca="1">OFFSET('☆事業所損益管理(H30.9～H31.8)(計画)'!F51,0,MATCH('H31.4月 月例報告'!C$16,'☆事業所損益管理(H30.9～H31.8)(計画)'!F$2:Q$2,0)-1)</f>
        <v>2850000</v>
      </c>
      <c r="E24" s="1497">
        <f t="shared" ca="1" si="2"/>
        <v>-1</v>
      </c>
      <c r="F24" s="1699">
        <f t="shared" ca="1" si="3"/>
        <v>-387531</v>
      </c>
      <c r="G24" s="1720">
        <f>IFERROR(GETPIVOTDATA("合計 / 返戻",【ピボット】国保連売上!$A$3,"年月",C$16,"事業所",B24,"請求区分","単月"),0)+
IFERROR(GETPIVOTDATA("合計 / 返戻",【ピボット】国保連売上!$A$3,"年月",C$16,"事業所",B24,"請求区分","再請求"),0)</f>
        <v>0</v>
      </c>
      <c r="H24" s="1777">
        <f ca="1">'事業所損益管理(H30.9～H31.8)_査定'!R51</f>
        <v>20740553</v>
      </c>
      <c r="J24" s="1720">
        <f ca="1">'☆事業所損益管理(H30.9～H31.8)(計画)'!S51</f>
        <v>23450000</v>
      </c>
      <c r="K24" s="1499">
        <f t="shared" ca="1" si="6"/>
        <v>-1</v>
      </c>
      <c r="L24" s="1721">
        <f t="shared" ca="1" si="4"/>
        <v>-2709447</v>
      </c>
      <c r="M24" s="1718">
        <f>'事業所損益管理(H30.9～H31.8)_査定'!L212</f>
        <v>-1742654</v>
      </c>
      <c r="N24" s="1720">
        <f>'事業所損益管理(H30.9～H31.8)_査定'!L211</f>
        <v>0</v>
      </c>
      <c r="O24" s="1499">
        <f t="shared" si="7"/>
        <v>-1</v>
      </c>
      <c r="P24" s="1719">
        <f t="shared" si="9"/>
        <v>-1742654</v>
      </c>
      <c r="Q24" s="1777">
        <f t="shared" si="8"/>
        <v>0</v>
      </c>
      <c r="R24" s="1766">
        <f t="shared" si="5"/>
        <v>0</v>
      </c>
    </row>
    <row r="25" spans="2:18" ht="28.5" customHeight="1" x14ac:dyDescent="0.15">
      <c r="B25" s="1715" t="s">
        <v>306</v>
      </c>
      <c r="C25" s="1716">
        <f>IFERROR(GETPIVOTDATA("合計 / 合計",【ピボット】事業所売上!$A$3,"年月",C$16,"事業所",B25),0)</f>
        <v>1077061</v>
      </c>
      <c r="D25" s="1717">
        <f ca="1">OFFSET('☆事業所損益管理(H30.9～H31.8)(計画)'!F58,0,MATCH('H31.4月 月例報告'!C$16,'☆事業所損益管理(H30.9～H31.8)(計画)'!F$2:Q$2,0)-1)</f>
        <v>1000000</v>
      </c>
      <c r="E25" s="1497">
        <f t="shared" ca="1" si="2"/>
        <v>1</v>
      </c>
      <c r="F25" s="1699">
        <f t="shared" ca="1" si="3"/>
        <v>77061</v>
      </c>
      <c r="G25" s="1720">
        <f>IFERROR(GETPIVOTDATA("合計 / 返戻",【ピボット】国保連売上!$A$3,"年月",C$16,"事業所",B25,"請求区分","単月"),0)+
IFERROR(GETPIVOTDATA("合計 / 返戻",【ピボット】国保連売上!$A$3,"年月",C$16,"事業所",B25,"請求区分","再請求"),0)</f>
        <v>0</v>
      </c>
      <c r="H25" s="1777">
        <f ca="1">'事業所損益管理(H30.9～H31.8)_査定'!R59</f>
        <v>8724937</v>
      </c>
      <c r="J25" s="1720">
        <f ca="1">'☆事業所損益管理(H30.9～H31.8)(計画)'!S58</f>
        <v>7460000</v>
      </c>
      <c r="K25" s="1499">
        <f t="shared" ca="1" si="6"/>
        <v>1</v>
      </c>
      <c r="L25" s="1721">
        <f t="shared" ca="1" si="4"/>
        <v>1264937</v>
      </c>
      <c r="M25" s="1718">
        <f>'事業所損益管理(H30.9～H31.8)_査定'!L216</f>
        <v>1365431</v>
      </c>
      <c r="N25" s="1720">
        <f>'事業所損益管理(H30.9～H31.8)_査定'!L215</f>
        <v>480000</v>
      </c>
      <c r="O25" s="1499">
        <f t="shared" si="7"/>
        <v>1</v>
      </c>
      <c r="P25" s="1719">
        <f t="shared" si="9"/>
        <v>885431</v>
      </c>
      <c r="Q25" s="1777">
        <f t="shared" si="8"/>
        <v>1365431</v>
      </c>
      <c r="R25" s="1766">
        <f t="shared" si="5"/>
        <v>6.7000000000000004E-2</v>
      </c>
    </row>
    <row r="26" spans="2:18" ht="28.5" customHeight="1" x14ac:dyDescent="0.15">
      <c r="B26" s="1715" t="s">
        <v>307</v>
      </c>
      <c r="C26" s="1716">
        <f>IFERROR(GETPIVOTDATA("合計 / 合計",【ピボット】事業所売上!$A$3,"年月",C$16,"事業所",B26),0)</f>
        <v>797482</v>
      </c>
      <c r="D26" s="1717">
        <f ca="1">OFFSET('☆事業所損益管理(H30.9～H31.8)(計画)'!F65,0,MATCH('H31.4月 月例報告'!C$16,'☆事業所損益管理(H30.9～H31.8)(計画)'!F$2:Q$2,0)-1)</f>
        <v>1000000</v>
      </c>
      <c r="E26" s="1497">
        <f t="shared" ca="1" si="2"/>
        <v>-1</v>
      </c>
      <c r="F26" s="1699">
        <f t="shared" ca="1" si="3"/>
        <v>-202518</v>
      </c>
      <c r="G26" s="1720">
        <f>IFERROR(GETPIVOTDATA("合計 / 返戻",【ピボット】国保連売上!$A$3,"年月",C$16,"事業所",B26,"請求区分","単月"),0)+
IFERROR(GETPIVOTDATA("合計 / 返戻",【ピボット】国保連売上!$A$3,"年月",C$16,"事業所",B26,"請求区分","再請求"),0)</f>
        <v>0</v>
      </c>
      <c r="H26" s="1777">
        <f ca="1">'事業所損益管理(H30.9～H31.8)_査定'!R67</f>
        <v>8443973</v>
      </c>
      <c r="J26" s="1720">
        <f ca="1">'☆事業所損益管理(H30.9～H31.8)(計画)'!S65</f>
        <v>8000000</v>
      </c>
      <c r="K26" s="1499">
        <f t="shared" ca="1" si="6"/>
        <v>1</v>
      </c>
      <c r="L26" s="1721">
        <f t="shared" ca="1" si="4"/>
        <v>443973</v>
      </c>
      <c r="M26" s="1718">
        <f>'事業所損益管理(H30.9～H31.8)_査定'!L218</f>
        <v>1783566</v>
      </c>
      <c r="N26" s="1720">
        <f>'事業所損益管理(H30.9～H31.8)_査定'!L217</f>
        <v>830000</v>
      </c>
      <c r="O26" s="1499">
        <f t="shared" si="7"/>
        <v>1</v>
      </c>
      <c r="P26" s="1719">
        <f t="shared" si="9"/>
        <v>953566</v>
      </c>
      <c r="Q26" s="1777">
        <f t="shared" si="8"/>
        <v>1783566</v>
      </c>
      <c r="R26" s="1766">
        <f t="shared" si="5"/>
        <v>8.6999999999999994E-2</v>
      </c>
    </row>
    <row r="27" spans="2:18" ht="28.5" customHeight="1" x14ac:dyDescent="0.15">
      <c r="B27" s="1715" t="s">
        <v>372</v>
      </c>
      <c r="C27" s="1716">
        <f>IFERROR(GETPIVOTDATA("合計 / 合計",【ピボット】事業所売上!$A$3,"年月",C$16,"事業所",B27),0)</f>
        <v>2831820</v>
      </c>
      <c r="D27" s="1717">
        <f ca="1">OFFSET('☆事業所損益管理(H30.9～H31.8)(計画)'!F72,0,MATCH('H31.4月 月例報告'!C$16,'☆事業所損益管理(H30.9～H31.8)(計画)'!F$2:Q$2,0)-1)</f>
        <v>2700000</v>
      </c>
      <c r="E27" s="1497">
        <f t="shared" ca="1" si="2"/>
        <v>1</v>
      </c>
      <c r="F27" s="1699">
        <f t="shared" ca="1" si="3"/>
        <v>131820</v>
      </c>
      <c r="G27" s="1720">
        <f>IFERROR(GETPIVOTDATA("合計 / 返戻",【ピボット】国保連売上!$A$3,"年月",C$16,"事業所",B27,"請求区分","単月"),0)+
IFERROR(GETPIVOTDATA("合計 / 返戻",【ピボット】国保連売上!$A$3,"年月",C$16,"事業所",B27,"請求区分","再請求"),0)</f>
        <v>0</v>
      </c>
      <c r="H27" s="1777">
        <f ca="1">'事業所損益管理(H30.9～H31.8)_査定'!R75</f>
        <v>20832090</v>
      </c>
      <c r="J27" s="1720">
        <f ca="1">'☆事業所損益管理(H30.9～H31.8)(計画)'!S72</f>
        <v>21600000</v>
      </c>
      <c r="K27" s="1499">
        <f t="shared" ca="1" si="6"/>
        <v>-1</v>
      </c>
      <c r="L27" s="1721">
        <f t="shared" ca="1" si="4"/>
        <v>-767910</v>
      </c>
      <c r="M27" s="1718">
        <f>'事業所損益管理(H30.9～H31.8)_査定'!L220</f>
        <v>-3255058</v>
      </c>
      <c r="N27" s="1720">
        <f>'事業所損益管理(H30.9～H31.8)_査定'!L219</f>
        <v>-200000</v>
      </c>
      <c r="O27" s="1499">
        <f t="shared" si="7"/>
        <v>-1</v>
      </c>
      <c r="P27" s="1719">
        <f t="shared" si="9"/>
        <v>-3055058</v>
      </c>
      <c r="Q27" s="1777">
        <f t="shared" si="8"/>
        <v>0</v>
      </c>
      <c r="R27" s="1766">
        <f t="shared" si="5"/>
        <v>0</v>
      </c>
    </row>
    <row r="28" spans="2:18" ht="28.5" customHeight="1" x14ac:dyDescent="0.15">
      <c r="B28" s="1715" t="s">
        <v>1493</v>
      </c>
      <c r="C28" s="1716">
        <f>IFERROR(GETPIVOTDATA("合計 / 合計",【ピボット】事業所売上!$A$3,"年月",C$16,"事業所",B28),0)</f>
        <v>2077332</v>
      </c>
      <c r="D28" s="1717">
        <f ca="1">OFFSET('☆事業所損益管理(H30.9～H31.8)(計画)'!F79,0,MATCH('H31.4月 月例報告'!C$16,'☆事業所損益管理(H30.9～H31.8)(計画)'!F$2:Q$2,0)-1)</f>
        <v>2150000</v>
      </c>
      <c r="E28" s="1497">
        <f t="shared" ref="E28" ca="1" si="10">IF(F28&gt;0,1,IF(F28=0,0,-1))</f>
        <v>-1</v>
      </c>
      <c r="F28" s="1699">
        <f ca="1">C28-D28</f>
        <v>-72668</v>
      </c>
      <c r="G28" s="1720">
        <f>IFERROR(GETPIVOTDATA("合計 / 返戻",【ピボット】国保連売上!$A$3,"年月",C$16,"事業所",B28,"請求区分","単月"),0)+
IFERROR(GETPIVOTDATA("合計 / 返戻",【ピボット】国保連売上!$A$3,"年月",C$16,"事業所",B28,"請求区分","再請求"),0)</f>
        <v>0</v>
      </c>
      <c r="H28" s="1777">
        <f ca="1">'事業所損益管理(H30.9～H31.8)_査定'!R83</f>
        <v>5424651</v>
      </c>
      <c r="J28" s="1720">
        <f ca="1">'☆事業所損益管理(H30.9～H31.8)(計画)'!S79</f>
        <v>6450000</v>
      </c>
      <c r="K28" s="1499">
        <f t="shared" ref="K28" ca="1" si="11">IF(L28&gt;=0,1,-1)</f>
        <v>-1</v>
      </c>
      <c r="L28" s="1721">
        <f t="shared" ref="L28" ca="1" si="12">H28-J28</f>
        <v>-1025349</v>
      </c>
      <c r="M28" s="1718">
        <f>'事業所損益管理(H30.9～H31.8)_査定'!L222</f>
        <v>722681</v>
      </c>
      <c r="N28" s="1720">
        <f>'事業所損益管理(H30.9～H31.8)_査定'!L221</f>
        <v>-435000</v>
      </c>
      <c r="O28" s="1499">
        <f t="shared" ref="O28" si="13">IF(P28&gt;=0,1,-1)</f>
        <v>1</v>
      </c>
      <c r="P28" s="1719">
        <f t="shared" ref="P28" si="14">M28-N28</f>
        <v>1157681</v>
      </c>
      <c r="Q28" s="1777">
        <f t="shared" ref="Q28" si="15">IF(M28&lt;=0,0,M28)</f>
        <v>722681</v>
      </c>
      <c r="R28" s="1766">
        <f t="shared" ref="R28" si="16">ROUND(Q28/$Q$30,3)</f>
        <v>3.5000000000000003E-2</v>
      </c>
    </row>
    <row r="29" spans="2:18" ht="28.5" customHeight="1" thickBot="1" x14ac:dyDescent="0.2">
      <c r="B29" s="1722" t="s">
        <v>339</v>
      </c>
      <c r="C29" s="1723">
        <f>IFERROR(GETPIVOTDATA("合計 / 合計",【ピボット】事業所売上!$A$3,"年月",C$16,"事業所",B29),0)</f>
        <v>0</v>
      </c>
      <c r="D29" s="1724">
        <f ca="1">OFFSET('☆事業所損益管理(H30.9～H31.8)(計画)'!F93,0,MATCH('H31.4月 月例報告'!C$16,'☆事業所損益管理(H30.9～H31.8)(計画)'!F$2:Q$2,0)-1)</f>
        <v>0</v>
      </c>
      <c r="E29" s="1498">
        <f t="shared" ca="1" si="2"/>
        <v>0</v>
      </c>
      <c r="F29" s="1703">
        <f t="shared" ca="1" si="3"/>
        <v>0</v>
      </c>
      <c r="G29" s="1727">
        <f>IFERROR(GETPIVOTDATA("合計 / 返戻",【ピボット】国保連売上!$A$3,"年月",C$16,"事業所",B29,"請求区分","単月"),0)+
IFERROR(GETPIVOTDATA("合計 / 返戻",【ピボット】国保連売上!$A$3,"年月",C$16,"事業所",B29,"請求区分","再請求"),0)</f>
        <v>0</v>
      </c>
      <c r="H29" s="1778">
        <f ca="1">'事業所損益管理(H30.9～H31.8)_査定'!R99</f>
        <v>1128956</v>
      </c>
      <c r="J29" s="1727">
        <f ca="1">'☆事業所損益管理(H30.9～H31.8)(計画)'!S93</f>
        <v>800000</v>
      </c>
      <c r="K29" s="1500">
        <f t="shared" ca="1" si="6"/>
        <v>1</v>
      </c>
      <c r="L29" s="1728">
        <f t="shared" ca="1" si="4"/>
        <v>328956</v>
      </c>
      <c r="M29" s="1725">
        <v>0</v>
      </c>
      <c r="N29" s="1727">
        <v>0</v>
      </c>
      <c r="O29" s="1500">
        <f>IF(P29&gt;=0,1,-1)</f>
        <v>1</v>
      </c>
      <c r="P29" s="1726">
        <f t="shared" si="9"/>
        <v>0</v>
      </c>
      <c r="Q29" s="1779">
        <f t="shared" si="8"/>
        <v>0</v>
      </c>
      <c r="R29" s="1780">
        <f t="shared" si="5"/>
        <v>0</v>
      </c>
    </row>
    <row r="30" spans="2:18" ht="28.5" customHeight="1" thickBot="1" x14ac:dyDescent="0.2">
      <c r="B30" s="1729" t="s">
        <v>14</v>
      </c>
      <c r="C30" s="1730">
        <f>SUM(C17:C29)</f>
        <v>41864718</v>
      </c>
      <c r="D30" s="1732">
        <f ca="1">SUM(D17:D29)</f>
        <v>42850000</v>
      </c>
      <c r="E30" s="1492">
        <f t="shared" ca="1" si="2"/>
        <v>-1</v>
      </c>
      <c r="F30" s="1731">
        <f t="shared" ca="1" si="3"/>
        <v>-985282</v>
      </c>
      <c r="G30" s="1736">
        <f>SUM(G17:G29)</f>
        <v>0</v>
      </c>
      <c r="H30" s="1781">
        <f ca="1">SUM(H17:H29)</f>
        <v>321875372</v>
      </c>
      <c r="J30" s="1736">
        <f ca="1">SUM(J17:J29)</f>
        <v>324310000</v>
      </c>
      <c r="K30" s="1501">
        <f t="shared" ca="1" si="6"/>
        <v>-1</v>
      </c>
      <c r="L30" s="1737">
        <f t="shared" ca="1" si="4"/>
        <v>-2434628</v>
      </c>
      <c r="M30" s="1734">
        <f>SUM(M17:M29)</f>
        <v>5771474</v>
      </c>
      <c r="N30" s="1736">
        <f>SUM(N17:N29)</f>
        <v>4147000</v>
      </c>
      <c r="O30" s="1501">
        <f t="shared" si="7"/>
        <v>1</v>
      </c>
      <c r="P30" s="1735">
        <f t="shared" si="9"/>
        <v>1624474</v>
      </c>
      <c r="Q30" s="1782">
        <f>SUM(Q17:Q29)</f>
        <v>20470318</v>
      </c>
      <c r="R30" s="1783"/>
    </row>
    <row r="31" spans="2:18" ht="28.5" customHeight="1" x14ac:dyDescent="0.15">
      <c r="R31" s="80"/>
    </row>
    <row r="32" spans="2:18" ht="28.5" customHeight="1" x14ac:dyDescent="0.15">
      <c r="R32" s="80"/>
    </row>
    <row r="33" spans="20:20" ht="28.5" customHeight="1" x14ac:dyDescent="0.15">
      <c r="T33" s="80"/>
    </row>
    <row r="34" spans="20:20" ht="28.5" customHeight="1" x14ac:dyDescent="0.15">
      <c r="T34" s="80"/>
    </row>
    <row r="35" spans="20:20" ht="28.5" customHeight="1" x14ac:dyDescent="0.15">
      <c r="T35" s="80"/>
    </row>
    <row r="36" spans="20:20" ht="28.5" customHeight="1" x14ac:dyDescent="0.15">
      <c r="T36" s="80"/>
    </row>
    <row r="37" spans="20:20" ht="28.5" customHeight="1" x14ac:dyDescent="0.15">
      <c r="T37" s="80"/>
    </row>
    <row r="38" spans="20:20" ht="28.5" customHeight="1" x14ac:dyDescent="0.15">
      <c r="T38" s="80"/>
    </row>
    <row r="39" spans="20:20" ht="28.5" customHeight="1" x14ac:dyDescent="0.15">
      <c r="T39" s="80"/>
    </row>
    <row r="40" spans="20:20" ht="28.5" customHeight="1" x14ac:dyDescent="0.15">
      <c r="T40" s="80"/>
    </row>
    <row r="41" spans="20:20" ht="28.5" customHeight="1" x14ac:dyDescent="0.15">
      <c r="T41" s="80"/>
    </row>
    <row r="42" spans="20:20" ht="28.5" customHeight="1" x14ac:dyDescent="0.15">
      <c r="T42" s="80"/>
    </row>
    <row r="43" spans="20:20" ht="28.5" customHeight="1" x14ac:dyDescent="0.15">
      <c r="T43" s="80"/>
    </row>
    <row r="44" spans="20:20" ht="28.5" customHeight="1" x14ac:dyDescent="0.15">
      <c r="T44" s="80"/>
    </row>
    <row r="45" spans="20:20" ht="28.5" customHeight="1" x14ac:dyDescent="0.15">
      <c r="T45" s="80"/>
    </row>
    <row r="46" spans="20:20" ht="28.5" customHeight="1" x14ac:dyDescent="0.15">
      <c r="T46" s="80"/>
    </row>
    <row r="47" spans="20:20" ht="28.5" customHeight="1" x14ac:dyDescent="0.15">
      <c r="T47" s="80"/>
    </row>
    <row r="48" spans="20:20" ht="28.5" customHeight="1" x14ac:dyDescent="0.15">
      <c r="T48" s="80"/>
    </row>
    <row r="49" spans="2:20" ht="28.5" customHeight="1" x14ac:dyDescent="0.15">
      <c r="T49" s="80"/>
    </row>
    <row r="50" spans="2:20" ht="28.5" customHeight="1" x14ac:dyDescent="0.15">
      <c r="T50" s="80"/>
    </row>
    <row r="51" spans="2:20" ht="28.5" customHeight="1" x14ac:dyDescent="0.15">
      <c r="T51" s="80"/>
    </row>
    <row r="52" spans="2:20" ht="28.5" customHeight="1" x14ac:dyDescent="0.15">
      <c r="T52" s="80"/>
    </row>
    <row r="53" spans="2:20" ht="28.5" customHeight="1" x14ac:dyDescent="0.15">
      <c r="T53" s="80"/>
    </row>
    <row r="54" spans="2:20" ht="28.5" customHeight="1" x14ac:dyDescent="0.15">
      <c r="T54" s="80"/>
    </row>
    <row r="55" spans="2:20" ht="28.5" customHeight="1" x14ac:dyDescent="0.15">
      <c r="T55" s="80"/>
    </row>
    <row r="56" spans="2:20" ht="28.5" customHeight="1" thickBot="1" x14ac:dyDescent="0.2">
      <c r="B56" s="1491" t="s">
        <v>1356</v>
      </c>
    </row>
    <row r="57" spans="2:20" ht="28.5" customHeight="1" thickBot="1" x14ac:dyDescent="0.2">
      <c r="B57" s="1738" t="s">
        <v>1282</v>
      </c>
      <c r="C57" s="1759" t="s">
        <v>1354</v>
      </c>
      <c r="D57" s="1758" t="s">
        <v>1353</v>
      </c>
      <c r="E57" s="2248" t="s">
        <v>1355</v>
      </c>
      <c r="F57" s="2248"/>
      <c r="G57" s="1760" t="s">
        <v>1357</v>
      </c>
      <c r="H57" s="1692"/>
      <c r="I57" s="1692"/>
    </row>
    <row r="58" spans="2:20" ht="28.5" customHeight="1" x14ac:dyDescent="0.15">
      <c r="B58" s="1739" t="s">
        <v>492</v>
      </c>
      <c r="C58" s="1740">
        <f ca="1">'事業所損益管理(H30.9～H31.8)_査定'!R119</f>
        <v>872640</v>
      </c>
      <c r="D58" s="1713">
        <f>'☆事業所損益管理(H30.9～H31.8)(計画)'!W5</f>
        <v>1050000</v>
      </c>
      <c r="E58" s="1496">
        <f ca="1">IF(F58&gt;=0,1,-1)</f>
        <v>1</v>
      </c>
      <c r="F58" s="1709">
        <f t="shared" ref="F58:F68" ca="1" si="17">D58-C58</f>
        <v>177360</v>
      </c>
      <c r="G58" s="1493">
        <v>3</v>
      </c>
      <c r="H58" s="1693"/>
      <c r="I58" s="1693"/>
    </row>
    <row r="59" spans="2:20" ht="28.5" customHeight="1" x14ac:dyDescent="0.15">
      <c r="B59" s="1741" t="s">
        <v>3</v>
      </c>
      <c r="C59" s="1698">
        <f ca="1">'事業所損益管理(H30.9～H31.8)_査定'!R5</f>
        <v>274054</v>
      </c>
      <c r="D59" s="1720">
        <f>'☆事業所損益管理(H30.9～H31.8)(計画)'!W11</f>
        <v>625000</v>
      </c>
      <c r="E59" s="1497">
        <f t="shared" ref="E59:E69" ca="1" si="18">IF(F59&gt;=0,1,-1)</f>
        <v>1</v>
      </c>
      <c r="F59" s="1699">
        <f t="shared" ca="1" si="17"/>
        <v>350946</v>
      </c>
      <c r="G59" s="1494">
        <v>5</v>
      </c>
      <c r="H59" s="1693"/>
      <c r="I59" s="1693"/>
    </row>
    <row r="60" spans="2:20" ht="28.5" customHeight="1" x14ac:dyDescent="0.15">
      <c r="B60" s="1741" t="s">
        <v>2</v>
      </c>
      <c r="C60" s="1698">
        <f ca="1">'事業所損益管理(H30.9～H31.8)_査定'!R13</f>
        <v>212006</v>
      </c>
      <c r="D60" s="1720">
        <f>'☆事業所損益管理(H30.9～H31.8)(計画)'!W18</f>
        <v>800000</v>
      </c>
      <c r="E60" s="1497">
        <f t="shared" ca="1" si="18"/>
        <v>1</v>
      </c>
      <c r="F60" s="1699">
        <f t="shared" ca="1" si="17"/>
        <v>587994</v>
      </c>
      <c r="G60" s="1494">
        <v>9</v>
      </c>
      <c r="H60" s="1693"/>
      <c r="I60" s="1693"/>
    </row>
    <row r="61" spans="2:20" ht="28.5" customHeight="1" x14ac:dyDescent="0.15">
      <c r="B61" s="1741" t="s">
        <v>67</v>
      </c>
      <c r="C61" s="1698">
        <f ca="1">'事業所損益管理(H30.9～H31.8)_査定'!R21</f>
        <v>264600</v>
      </c>
      <c r="D61" s="1720">
        <f>'☆事業所損益管理(H30.9～H31.8)(計画)'!W25</f>
        <v>500000</v>
      </c>
      <c r="E61" s="1497">
        <f t="shared" ca="1" si="18"/>
        <v>1</v>
      </c>
      <c r="F61" s="1699">
        <f t="shared" ca="1" si="17"/>
        <v>235400</v>
      </c>
      <c r="G61" s="1494">
        <v>12</v>
      </c>
      <c r="H61" s="1693"/>
      <c r="I61" s="1693"/>
    </row>
    <row r="62" spans="2:20" ht="28.5" customHeight="1" x14ac:dyDescent="0.15">
      <c r="B62" s="1741" t="s">
        <v>976</v>
      </c>
      <c r="C62" s="1698">
        <f ca="1">'事業所損益管理(H30.9～H31.8)_査定'!R29</f>
        <v>400572</v>
      </c>
      <c r="D62" s="1720">
        <f>'☆事業所損益管理(H30.9～H31.8)(計画)'!W32</f>
        <v>230000</v>
      </c>
      <c r="E62" s="1497">
        <f t="shared" ca="1" si="18"/>
        <v>-1</v>
      </c>
      <c r="F62" s="1699">
        <f t="shared" ca="1" si="17"/>
        <v>-170572</v>
      </c>
      <c r="G62" s="1494">
        <v>5</v>
      </c>
    </row>
    <row r="63" spans="2:20" ht="28.5" customHeight="1" x14ac:dyDescent="0.15">
      <c r="B63" s="1741" t="s">
        <v>1208</v>
      </c>
      <c r="C63" s="1698">
        <f ca="1">'事業所損益管理(H30.9～H31.8)_査定'!R37</f>
        <v>532859</v>
      </c>
      <c r="D63" s="1720">
        <f>'☆事業所損益管理(H30.9～H31.8)(計画)'!W39</f>
        <v>712160</v>
      </c>
      <c r="E63" s="1497">
        <f t="shared" ca="1" si="18"/>
        <v>1</v>
      </c>
      <c r="F63" s="1699">
        <f t="shared" ca="1" si="17"/>
        <v>179301</v>
      </c>
      <c r="G63" s="1494">
        <v>5</v>
      </c>
    </row>
    <row r="64" spans="2:20" ht="28.5" customHeight="1" x14ac:dyDescent="0.15">
      <c r="B64" s="1741" t="s">
        <v>677</v>
      </c>
      <c r="C64" s="1698">
        <f ca="1">'事業所損益管理(H30.9～H31.8)_査定'!R45</f>
        <v>162000</v>
      </c>
      <c r="D64" s="1720">
        <f>'☆事業所損益管理(H30.9～H31.8)(計画)'!W46</f>
        <v>150000</v>
      </c>
      <c r="E64" s="1497">
        <f t="shared" ca="1" si="18"/>
        <v>-1</v>
      </c>
      <c r="F64" s="1699">
        <f t="shared" ca="1" si="17"/>
        <v>-12000</v>
      </c>
      <c r="G64" s="1494">
        <v>12</v>
      </c>
    </row>
    <row r="65" spans="2:13" ht="28.5" customHeight="1" x14ac:dyDescent="0.15">
      <c r="B65" s="1741" t="s">
        <v>63</v>
      </c>
      <c r="C65" s="1698">
        <f ca="1">'事業所損益管理(H30.9～H31.8)_査定'!R53</f>
        <v>0</v>
      </c>
      <c r="D65" s="1720">
        <f>'☆事業所損益管理(H30.9～H31.8)(計画)'!W53</f>
        <v>90000</v>
      </c>
      <c r="E65" s="1497">
        <f t="shared" ca="1" si="18"/>
        <v>1</v>
      </c>
      <c r="F65" s="1699">
        <f t="shared" ca="1" si="17"/>
        <v>90000</v>
      </c>
      <c r="G65" s="1494">
        <v>0</v>
      </c>
    </row>
    <row r="66" spans="2:13" ht="28.5" customHeight="1" x14ac:dyDescent="0.15">
      <c r="B66" s="1741" t="s">
        <v>306</v>
      </c>
      <c r="C66" s="1698">
        <f ca="1">'事業所損益管理(H30.9～H31.8)_査定'!R61</f>
        <v>16200</v>
      </c>
      <c r="D66" s="1720">
        <f>'☆事業所損益管理(H30.9～H31.8)(計画)'!W60</f>
        <v>60000</v>
      </c>
      <c r="E66" s="1497">
        <f t="shared" ca="1" si="18"/>
        <v>1</v>
      </c>
      <c r="F66" s="1699">
        <f t="shared" ca="1" si="17"/>
        <v>43800</v>
      </c>
      <c r="G66" s="2252">
        <v>7</v>
      </c>
    </row>
    <row r="67" spans="2:13" ht="28.5" customHeight="1" x14ac:dyDescent="0.15">
      <c r="B67" s="1741" t="s">
        <v>307</v>
      </c>
      <c r="C67" s="1698">
        <f ca="1">'事業所損益管理(H30.9～H31.8)_査定'!R69</f>
        <v>16200</v>
      </c>
      <c r="D67" s="1720">
        <f>'☆事業所損益管理(H30.9～H31.8)(計画)'!W67</f>
        <v>60000</v>
      </c>
      <c r="E67" s="1497">
        <f t="shared" ca="1" si="18"/>
        <v>1</v>
      </c>
      <c r="F67" s="1699">
        <f t="shared" ca="1" si="17"/>
        <v>43800</v>
      </c>
      <c r="G67" s="2253"/>
      <c r="H67" s="1693"/>
      <c r="I67" s="1693"/>
    </row>
    <row r="68" spans="2:13" ht="28.5" customHeight="1" thickBot="1" x14ac:dyDescent="0.2">
      <c r="B68" s="1741" t="s">
        <v>372</v>
      </c>
      <c r="C68" s="1698">
        <f ca="1">'事業所損益管理(H30.9～H31.8)_査定'!R77</f>
        <v>16200</v>
      </c>
      <c r="D68" s="1720">
        <f>'☆事業所損益管理(H30.9～H31.8)(計画)'!W74</f>
        <v>60000</v>
      </c>
      <c r="E68" s="1497">
        <f t="shared" ca="1" si="18"/>
        <v>1</v>
      </c>
      <c r="F68" s="1699">
        <f t="shared" ca="1" si="17"/>
        <v>43800</v>
      </c>
      <c r="G68" s="2254"/>
      <c r="H68" s="1693"/>
      <c r="I68" s="1693"/>
    </row>
    <row r="69" spans="2:13" ht="28.5" customHeight="1" thickBot="1" x14ac:dyDescent="0.2">
      <c r="B69" s="1742" t="s">
        <v>14</v>
      </c>
      <c r="C69" s="1743">
        <f ca="1">SUM(C58:C68)</f>
        <v>2767331</v>
      </c>
      <c r="D69" s="1736">
        <f>SUM(D58:D68)</f>
        <v>4337160</v>
      </c>
      <c r="E69" s="1502">
        <f t="shared" ca="1" si="18"/>
        <v>1</v>
      </c>
      <c r="F69" s="1744">
        <f ca="1">SUM(F58:F68)</f>
        <v>1569829</v>
      </c>
      <c r="G69" s="1495">
        <f>SUM(G58:G68)</f>
        <v>58</v>
      </c>
      <c r="H69" s="1693"/>
      <c r="I69" s="1693"/>
      <c r="M69" s="1693"/>
    </row>
    <row r="70" spans="2:13" ht="28.5" customHeight="1" x14ac:dyDescent="0.15">
      <c r="G70" s="1745" t="str">
        <f>TEXT(C2,"mm") &amp; "月末現在"</f>
        <v>04月末現在</v>
      </c>
      <c r="H70" s="1994"/>
      <c r="I70" s="1786"/>
    </row>
    <row r="71" spans="2:13" ht="28.5" customHeight="1" thickBot="1" x14ac:dyDescent="0.2">
      <c r="B71" s="1491" t="s">
        <v>1360</v>
      </c>
      <c r="I71" s="55"/>
    </row>
    <row r="72" spans="2:13" ht="28.5" customHeight="1" thickBot="1" x14ac:dyDescent="0.2">
      <c r="B72" s="1694" t="s">
        <v>13</v>
      </c>
      <c r="C72" s="1705">
        <f>C$2</f>
        <v>43556</v>
      </c>
      <c r="D72" s="1706">
        <f>EDATE(C72,-1)</f>
        <v>43525</v>
      </c>
      <c r="E72" s="2245" t="s">
        <v>1352</v>
      </c>
      <c r="F72" s="2245"/>
      <c r="G72" s="1761" t="s">
        <v>1411</v>
      </c>
      <c r="H72" s="1784"/>
      <c r="I72" s="1787" t="s">
        <v>1412</v>
      </c>
    </row>
    <row r="73" spans="2:13" ht="28.5" customHeight="1" x14ac:dyDescent="0.15">
      <c r="B73" s="1746" t="s">
        <v>10</v>
      </c>
      <c r="C73" s="1698">
        <f>推移!AA186</f>
        <v>25045639</v>
      </c>
      <c r="D73" s="1698">
        <f>推移!Z186</f>
        <v>25264366</v>
      </c>
      <c r="E73" s="1499">
        <f t="shared" ref="E73:E89" si="19">IF(F73&gt;0,1,IF(F73=0,0,-1))</f>
        <v>-1</v>
      </c>
      <c r="F73" s="1697">
        <f t="shared" ref="F73:F89" si="20">C73-D73</f>
        <v>-218727</v>
      </c>
      <c r="G73" s="1747">
        <f ca="1">推移!AB186</f>
        <v>204502945</v>
      </c>
      <c r="H73" s="1785"/>
      <c r="I73" s="1788">
        <f t="shared" ref="I73:I88" ca="1" si="21">IF(G73&lt;=0,0,ROUND(G73/G$89,3))</f>
        <v>0.63500000000000001</v>
      </c>
    </row>
    <row r="74" spans="2:13" ht="28.5" customHeight="1" x14ac:dyDescent="0.15">
      <c r="B74" s="1748" t="s">
        <v>9</v>
      </c>
      <c r="C74" s="1698">
        <f>推移!AA187</f>
        <v>1414552</v>
      </c>
      <c r="D74" s="1698">
        <f>推移!Z187</f>
        <v>1320816</v>
      </c>
      <c r="E74" s="1499">
        <f t="shared" si="19"/>
        <v>1</v>
      </c>
      <c r="F74" s="1699">
        <f t="shared" si="20"/>
        <v>93736</v>
      </c>
      <c r="G74" s="1747">
        <f ca="1">推移!AB187</f>
        <v>10336555</v>
      </c>
      <c r="H74" s="1785"/>
      <c r="I74" s="1788">
        <f t="shared" ca="1" si="21"/>
        <v>3.2000000000000001E-2</v>
      </c>
    </row>
    <row r="75" spans="2:13" ht="28.5" customHeight="1" x14ac:dyDescent="0.15">
      <c r="B75" s="1748" t="s">
        <v>8</v>
      </c>
      <c r="C75" s="1698">
        <f>推移!AA188</f>
        <v>6023304</v>
      </c>
      <c r="D75" s="1698">
        <f>推移!Z188</f>
        <v>5041171</v>
      </c>
      <c r="E75" s="1499">
        <f t="shared" si="19"/>
        <v>1</v>
      </c>
      <c r="F75" s="1699">
        <f t="shared" si="20"/>
        <v>982133</v>
      </c>
      <c r="G75" s="1747">
        <f ca="1">推移!AB188</f>
        <v>42485982</v>
      </c>
      <c r="H75" s="1785"/>
      <c r="I75" s="1788">
        <f t="shared" ca="1" si="21"/>
        <v>0.13200000000000001</v>
      </c>
    </row>
    <row r="76" spans="2:13" ht="28.5" customHeight="1" x14ac:dyDescent="0.15">
      <c r="B76" s="1748" t="s">
        <v>314</v>
      </c>
      <c r="C76" s="1698">
        <f>推移!AA189</f>
        <v>307309</v>
      </c>
      <c r="D76" s="1698">
        <f>推移!Z189</f>
        <v>255530</v>
      </c>
      <c r="E76" s="1499">
        <f t="shared" si="19"/>
        <v>1</v>
      </c>
      <c r="F76" s="1699">
        <f t="shared" si="20"/>
        <v>51779</v>
      </c>
      <c r="G76" s="1747">
        <f ca="1">推移!AB189</f>
        <v>1951625</v>
      </c>
      <c r="H76" s="1785"/>
      <c r="I76" s="1788">
        <f t="shared" ca="1" si="21"/>
        <v>6.0000000000000001E-3</v>
      </c>
    </row>
    <row r="77" spans="2:13" ht="28.5" customHeight="1" x14ac:dyDescent="0.15">
      <c r="B77" s="1748" t="s">
        <v>139</v>
      </c>
      <c r="C77" s="1698">
        <f>推移!AA190</f>
        <v>6149349</v>
      </c>
      <c r="D77" s="1698">
        <f>推移!Z190</f>
        <v>5184936</v>
      </c>
      <c r="E77" s="1499">
        <f t="shared" si="19"/>
        <v>1</v>
      </c>
      <c r="F77" s="1699">
        <f t="shared" si="20"/>
        <v>964413</v>
      </c>
      <c r="G77" s="1747">
        <f ca="1">推移!AB190</f>
        <v>38884453</v>
      </c>
      <c r="H77" s="1785"/>
      <c r="I77" s="1788">
        <f t="shared" ca="1" si="21"/>
        <v>0.121</v>
      </c>
    </row>
    <row r="78" spans="2:13" ht="28.5" customHeight="1" x14ac:dyDescent="0.15">
      <c r="B78" s="1748" t="s">
        <v>87</v>
      </c>
      <c r="C78" s="1698">
        <f>推移!AA191</f>
        <v>0</v>
      </c>
      <c r="D78" s="1698">
        <f>推移!Z191</f>
        <v>0</v>
      </c>
      <c r="E78" s="1499">
        <f t="shared" si="19"/>
        <v>0</v>
      </c>
      <c r="F78" s="1699">
        <f t="shared" si="20"/>
        <v>0</v>
      </c>
      <c r="G78" s="1747">
        <f ca="1">推移!AB191</f>
        <v>0</v>
      </c>
      <c r="H78" s="1785"/>
      <c r="I78" s="1788">
        <f t="shared" ca="1" si="21"/>
        <v>0</v>
      </c>
    </row>
    <row r="79" spans="2:13" ht="28.5" customHeight="1" x14ac:dyDescent="0.15">
      <c r="B79" s="1748" t="s">
        <v>7</v>
      </c>
      <c r="C79" s="1698">
        <f>推移!AA192</f>
        <v>582304</v>
      </c>
      <c r="D79" s="1698">
        <f>推移!Z192</f>
        <v>439539</v>
      </c>
      <c r="E79" s="1499">
        <f t="shared" si="19"/>
        <v>1</v>
      </c>
      <c r="F79" s="1699">
        <f t="shared" si="20"/>
        <v>142765</v>
      </c>
      <c r="G79" s="1747">
        <f ca="1">推移!AB192</f>
        <v>3954091</v>
      </c>
      <c r="H79" s="1785"/>
      <c r="I79" s="1788">
        <f t="shared" ca="1" si="21"/>
        <v>1.2E-2</v>
      </c>
    </row>
    <row r="80" spans="2:13" ht="28.5" customHeight="1" x14ac:dyDescent="0.15">
      <c r="B80" s="1748" t="s">
        <v>132</v>
      </c>
      <c r="C80" s="1698">
        <f>推移!AA193</f>
        <v>288000</v>
      </c>
      <c r="D80" s="1698">
        <f>推移!Z193</f>
        <v>330200</v>
      </c>
      <c r="E80" s="1499">
        <f t="shared" si="19"/>
        <v>-1</v>
      </c>
      <c r="F80" s="1699">
        <f t="shared" si="20"/>
        <v>-42200</v>
      </c>
      <c r="G80" s="1747">
        <f ca="1">推移!AB193</f>
        <v>2227150</v>
      </c>
      <c r="H80" s="1785"/>
      <c r="I80" s="1788">
        <f t="shared" ca="1" si="21"/>
        <v>7.0000000000000001E-3</v>
      </c>
    </row>
    <row r="81" spans="2:9" ht="28.5" customHeight="1" x14ac:dyDescent="0.15">
      <c r="B81" s="1748" t="s">
        <v>6</v>
      </c>
      <c r="C81" s="1698">
        <f>推移!AA194</f>
        <v>282800</v>
      </c>
      <c r="D81" s="1698">
        <f>推移!Z194</f>
        <v>272588</v>
      </c>
      <c r="E81" s="1499">
        <f t="shared" si="19"/>
        <v>1</v>
      </c>
      <c r="F81" s="1699">
        <f t="shared" si="20"/>
        <v>10212</v>
      </c>
      <c r="G81" s="1747">
        <f ca="1">推移!AB194</f>
        <v>2289490</v>
      </c>
      <c r="H81" s="1785"/>
      <c r="I81" s="1788">
        <f t="shared" ca="1" si="21"/>
        <v>7.0000000000000001E-3</v>
      </c>
    </row>
    <row r="82" spans="2:9" ht="28.5" customHeight="1" x14ac:dyDescent="0.15">
      <c r="B82" s="1748" t="s">
        <v>12</v>
      </c>
      <c r="C82" s="1698">
        <f>推移!AA195</f>
        <v>1617420</v>
      </c>
      <c r="D82" s="1698">
        <f>推移!Z195</f>
        <v>1558660</v>
      </c>
      <c r="E82" s="1499">
        <f t="shared" si="19"/>
        <v>1</v>
      </c>
      <c r="F82" s="1699">
        <f t="shared" si="20"/>
        <v>58760</v>
      </c>
      <c r="G82" s="1747">
        <f ca="1">推移!AB195</f>
        <v>11588510</v>
      </c>
      <c r="H82" s="1785"/>
      <c r="I82" s="1788">
        <f t="shared" ca="1" si="21"/>
        <v>3.5999999999999997E-2</v>
      </c>
    </row>
    <row r="83" spans="2:9" ht="28.5" customHeight="1" x14ac:dyDescent="0.15">
      <c r="B83" s="1748" t="s">
        <v>955</v>
      </c>
      <c r="C83" s="1698">
        <f>推移!AA196</f>
        <v>72000</v>
      </c>
      <c r="D83" s="1698">
        <f>推移!Z196</f>
        <v>103680</v>
      </c>
      <c r="E83" s="1499">
        <f t="shared" si="19"/>
        <v>-1</v>
      </c>
      <c r="F83" s="1699">
        <f t="shared" si="20"/>
        <v>-31680</v>
      </c>
      <c r="G83" s="1747">
        <f ca="1">推移!AB196</f>
        <v>749190</v>
      </c>
      <c r="H83" s="1785"/>
      <c r="I83" s="1788">
        <f t="shared" ca="1" si="21"/>
        <v>2E-3</v>
      </c>
    </row>
    <row r="84" spans="2:9" ht="28.5" customHeight="1" x14ac:dyDescent="0.15">
      <c r="B84" s="1748" t="s">
        <v>468</v>
      </c>
      <c r="C84" s="1698">
        <f>推移!AA197</f>
        <v>-240000</v>
      </c>
      <c r="D84" s="1698">
        <f>推移!Z197</f>
        <v>-230000</v>
      </c>
      <c r="E84" s="1499">
        <f t="shared" si="19"/>
        <v>-1</v>
      </c>
      <c r="F84" s="1699">
        <f t="shared" si="20"/>
        <v>-10000</v>
      </c>
      <c r="G84" s="1747">
        <f ca="1">推移!AB197</f>
        <v>-1560000</v>
      </c>
      <c r="H84" s="1785"/>
      <c r="I84" s="1788">
        <f t="shared" ca="1" si="21"/>
        <v>0</v>
      </c>
    </row>
    <row r="85" spans="2:9" ht="28.5" customHeight="1" x14ac:dyDescent="0.15">
      <c r="B85" s="1748" t="s">
        <v>401</v>
      </c>
      <c r="C85" s="1698">
        <f>推移!AA198</f>
        <v>35346</v>
      </c>
      <c r="D85" s="1698">
        <f>推移!Z198</f>
        <v>27939</v>
      </c>
      <c r="E85" s="1499">
        <f t="shared" si="19"/>
        <v>1</v>
      </c>
      <c r="F85" s="1699">
        <f t="shared" si="20"/>
        <v>7407</v>
      </c>
      <c r="G85" s="1747">
        <f ca="1">推移!AB198</f>
        <v>689548</v>
      </c>
      <c r="H85" s="1785"/>
      <c r="I85" s="1788">
        <f t="shared" ca="1" si="21"/>
        <v>2E-3</v>
      </c>
    </row>
    <row r="86" spans="2:9" ht="28.5" customHeight="1" x14ac:dyDescent="0.15">
      <c r="B86" s="1748" t="s">
        <v>315</v>
      </c>
      <c r="C86" s="1698">
        <f>推移!AA199</f>
        <v>270210</v>
      </c>
      <c r="D86" s="1698">
        <f>推移!Z199</f>
        <v>320930</v>
      </c>
      <c r="E86" s="1499">
        <f t="shared" si="19"/>
        <v>-1</v>
      </c>
      <c r="F86" s="1699">
        <f t="shared" si="20"/>
        <v>-50720</v>
      </c>
      <c r="G86" s="1747">
        <f ca="1">推移!AB199</f>
        <v>3522683</v>
      </c>
      <c r="H86" s="1785"/>
      <c r="I86" s="1788">
        <f t="shared" ca="1" si="21"/>
        <v>1.0999999999999999E-2</v>
      </c>
    </row>
    <row r="87" spans="2:9" ht="28.5" customHeight="1" x14ac:dyDescent="0.15">
      <c r="B87" s="1748" t="s">
        <v>390</v>
      </c>
      <c r="C87" s="1698">
        <f>推移!AA200</f>
        <v>16485</v>
      </c>
      <c r="D87" s="1698">
        <f>推移!Z200</f>
        <v>12338</v>
      </c>
      <c r="E87" s="1499">
        <f t="shared" si="19"/>
        <v>1</v>
      </c>
      <c r="F87" s="1699">
        <f t="shared" si="20"/>
        <v>4147</v>
      </c>
      <c r="G87" s="1747">
        <f ca="1">推移!AB200</f>
        <v>110590</v>
      </c>
      <c r="H87" s="1785"/>
      <c r="I87" s="1788">
        <f t="shared" ca="1" si="21"/>
        <v>0</v>
      </c>
    </row>
    <row r="88" spans="2:9" ht="28.5" customHeight="1" thickBot="1" x14ac:dyDescent="0.2">
      <c r="B88" s="1749" t="s">
        <v>688</v>
      </c>
      <c r="C88" s="1702">
        <f>推移!AA201</f>
        <v>0</v>
      </c>
      <c r="D88" s="1702">
        <f>推移!Z201</f>
        <v>142560</v>
      </c>
      <c r="E88" s="1500">
        <f t="shared" si="19"/>
        <v>-1</v>
      </c>
      <c r="F88" s="1703">
        <f t="shared" si="20"/>
        <v>-142560</v>
      </c>
      <c r="G88" s="1750">
        <f ca="1">推移!AB201</f>
        <v>142560</v>
      </c>
      <c r="H88" s="1785"/>
      <c r="I88" s="1788">
        <f t="shared" ca="1" si="21"/>
        <v>0</v>
      </c>
    </row>
    <row r="89" spans="2:9" ht="28.5" customHeight="1" thickBot="1" x14ac:dyDescent="0.2">
      <c r="B89" s="1754" t="s">
        <v>14</v>
      </c>
      <c r="C89" s="1743">
        <f>SUM(C73:C88)</f>
        <v>41864718</v>
      </c>
      <c r="D89" s="1743">
        <f>SUM(D73:D88)</f>
        <v>40045253</v>
      </c>
      <c r="E89" s="1501">
        <f t="shared" si="19"/>
        <v>1</v>
      </c>
      <c r="F89" s="1744">
        <f t="shared" si="20"/>
        <v>1819465</v>
      </c>
      <c r="G89" s="1751">
        <f ca="1">SUM(G73:G88)</f>
        <v>321875372</v>
      </c>
      <c r="H89" s="1785"/>
      <c r="I89" s="1788">
        <f ca="1">SUM(I73:I88)</f>
        <v>1.0030000000000001</v>
      </c>
    </row>
    <row r="90" spans="2:9" ht="28.5" customHeight="1" x14ac:dyDescent="0.15">
      <c r="I90" s="55"/>
    </row>
    <row r="91" spans="2:9" ht="28.5" customHeight="1" x14ac:dyDescent="0.15">
      <c r="I91" s="55"/>
    </row>
    <row r="92" spans="2:9" ht="28.5" customHeight="1" x14ac:dyDescent="0.15">
      <c r="I92" s="55"/>
    </row>
    <row r="93" spans="2:9" ht="28.5" customHeight="1" x14ac:dyDescent="0.15">
      <c r="I93" s="55"/>
    </row>
    <row r="94" spans="2:9" ht="28.5" customHeight="1" x14ac:dyDescent="0.15">
      <c r="I94" s="55"/>
    </row>
    <row r="95" spans="2:9" ht="28.5" customHeight="1" x14ac:dyDescent="0.15">
      <c r="I95" s="55"/>
    </row>
    <row r="96" spans="2:9" ht="28.5" customHeight="1" x14ac:dyDescent="0.15">
      <c r="I96" s="55"/>
    </row>
    <row r="97" spans="1:9" ht="28.5" customHeight="1" x14ac:dyDescent="0.15">
      <c r="I97" s="55"/>
    </row>
    <row r="98" spans="1:9" ht="28.5" customHeight="1" thickBot="1" x14ac:dyDescent="0.2">
      <c r="A98" s="1503" t="s">
        <v>1368</v>
      </c>
      <c r="B98" s="1491" t="str">
        <f>A98 &amp; "業種別売上"</f>
        <v>白金業種別売上</v>
      </c>
      <c r="I98" s="55"/>
    </row>
    <row r="99" spans="1:9" ht="28.5" customHeight="1" thickBot="1" x14ac:dyDescent="0.2">
      <c r="B99" s="1694" t="s">
        <v>13</v>
      </c>
      <c r="C99" s="1705">
        <f>$C$2</f>
        <v>43556</v>
      </c>
      <c r="D99" s="1706">
        <f>EDATE(C99,-1)</f>
        <v>43525</v>
      </c>
      <c r="E99" s="2245" t="s">
        <v>1352</v>
      </c>
      <c r="F99" s="2245"/>
      <c r="G99" s="1757" t="s">
        <v>1411</v>
      </c>
      <c r="H99" s="1784"/>
      <c r="I99" s="1787" t="s">
        <v>1413</v>
      </c>
    </row>
    <row r="100" spans="1:9" ht="28.5" customHeight="1" x14ac:dyDescent="0.15">
      <c r="B100" s="1746" t="str">
        <f t="array" ref="B100">VLOOKUP("*",IF(range_推移当月売上&lt;&gt;0,IF(range_推移事業所名=A98,range_推移事業所別売上)),3,FALSE)</f>
        <v>訪問</v>
      </c>
      <c r="C100" s="1698">
        <f>IF(B100="",NA(),SUMIFS(range_推移当月売上,range_推移事業所名,A98,range_推移事業名,B100))</f>
        <v>9202118</v>
      </c>
      <c r="D100" s="1698">
        <f>IF(B100="",NA(),SUMIFS(range_推移前月売上,range_推移事業所名,A98,range_推移事業名,B100))</f>
        <v>9308391</v>
      </c>
      <c r="E100" s="1499">
        <f>IF(ISERROR(C100),"",IF(F100&gt;0,1,IF(F100=0,0,-1)))</f>
        <v>-1</v>
      </c>
      <c r="F100" s="1697">
        <f t="shared" ref="F100:F109" si="22">IFERROR(C100,0)-IFERROR(D100,0)</f>
        <v>-106273</v>
      </c>
      <c r="G100" s="1700">
        <f ca="1">IF(B100="",NA(),SUMIFS(range_推移期累計,range_推移事業所名,A98,range_推移事業名,B100))</f>
        <v>71040397</v>
      </c>
      <c r="H100" s="1785"/>
      <c r="I100" s="1788">
        <f ca="1">IF(G100&lt;=0,0,ROUND(G100/G110,3))</f>
        <v>0.72099999999999997</v>
      </c>
    </row>
    <row r="101" spans="1:9" ht="28.5" customHeight="1" x14ac:dyDescent="0.15">
      <c r="B101" s="1746" t="str">
        <f t="array" ref="B101">IFERROR(VLOOKUP("*",IF(range_推移当月売上&lt;&gt;0,IF(COUNTIF(B100:B100,range_推移事業名)=0,
IF(range_推移事業所名=A98,range_推移事業所別売上))),3,FALSE),"")</f>
        <v>居宅</v>
      </c>
      <c r="C101" s="1698">
        <f>IF(B101="",NA(),SUMIFS(range_推移当月売上,range_推移事業所名,A98,range_推移事業名,B101))</f>
        <v>864993</v>
      </c>
      <c r="D101" s="1698">
        <f>IF(B101="",NA(),SUMIFS(range_推移前月売上,range_推移事業所名,A98,range_推移事業名,B101))</f>
        <v>839377</v>
      </c>
      <c r="E101" s="1499">
        <f t="shared" ref="E101:E109" si="23">IF(ISERROR(C101),"",IF(F101&gt;0,1,IF(F101=0,0,-1)))</f>
        <v>1</v>
      </c>
      <c r="F101" s="1699">
        <f t="shared" si="22"/>
        <v>25616</v>
      </c>
      <c r="G101" s="1700">
        <f ca="1">IF(B101="",NA(),SUMIFS(range_推移期累計,range_推移事業所名,A98,range_推移事業名,B101))</f>
        <v>6066927</v>
      </c>
      <c r="H101" s="1785"/>
      <c r="I101" s="1788">
        <f ca="1">IF(G101&lt;=0,0,ROUND(G101/G110,3))</f>
        <v>6.2E-2</v>
      </c>
    </row>
    <row r="102" spans="1:9" ht="28.5" customHeight="1" x14ac:dyDescent="0.15">
      <c r="B102" s="1746" t="str">
        <f t="array" ref="B102">IFERROR(VLOOKUP("*",IF(range_推移当月売上&lt;&gt;0,IF(COUNTIF(B100:B101,range_推移事業名)=0,
IF(range_推移事業所名=A98,range_推移事業所別売上))),3,FALSE),"")</f>
        <v>障害</v>
      </c>
      <c r="C102" s="1698">
        <f>IF(B102="",NA(),SUMIFS(range_推移当月売上,range_推移事業所名,A98,range_推移事業名,B102))</f>
        <v>2177773</v>
      </c>
      <c r="D102" s="1698">
        <f>IF(B102="",NA(),SUMIFS(range_推移前月売上,range_推移事業所名,A98,range_推移事業名,B102))</f>
        <v>2003636</v>
      </c>
      <c r="E102" s="1499">
        <f t="shared" si="23"/>
        <v>1</v>
      </c>
      <c r="F102" s="1699">
        <f t="shared" si="22"/>
        <v>174137</v>
      </c>
      <c r="G102" s="1700">
        <f ca="1">IF(B102="",NA(),SUMIFS(range_推移期累計,range_推移事業所名,A98,range_推移事業名,B102))</f>
        <v>15845554</v>
      </c>
      <c r="H102" s="1785"/>
      <c r="I102" s="1788">
        <f ca="1">IF(G102&lt;=0,0,ROUND(G102/G110,3))</f>
        <v>0.161</v>
      </c>
    </row>
    <row r="103" spans="1:9" ht="28.5" customHeight="1" x14ac:dyDescent="0.15">
      <c r="B103" s="1746" t="str">
        <f t="array" ref="B103">IFERROR(VLOOKUP("*",IF(range_推移当月売上&lt;&gt;0,IF(COUNTIF(B100:B102,range_推移事業名)=0,
IF(range_推移事業所名=A98,range_推移事業所別売上))),3,FALSE),"")</f>
        <v>移動支援</v>
      </c>
      <c r="C103" s="1698">
        <f>IF(B103="",NA(),SUMIFS(range_推移当月売上,range_推移事業所名,A98,range_推移事業名,B103))</f>
        <v>48039</v>
      </c>
      <c r="D103" s="1698">
        <f>IF(B103="",NA(),SUMIFS(range_推移前月売上,range_推移事業所名,A98,range_推移事業名,B103))</f>
        <v>40730</v>
      </c>
      <c r="E103" s="1499">
        <f t="shared" si="23"/>
        <v>1</v>
      </c>
      <c r="F103" s="1699">
        <f t="shared" si="22"/>
        <v>7309</v>
      </c>
      <c r="G103" s="1700">
        <f ca="1">IF(B103="",NA(),SUMIFS(range_推移期累計,range_推移事業所名,A98,range_推移事業名,B103))</f>
        <v>315350</v>
      </c>
      <c r="H103" s="1785"/>
      <c r="I103" s="1788">
        <f ca="1">IF(G103&lt;=0,0,ROUND(G103/G110,3))</f>
        <v>3.0000000000000001E-3</v>
      </c>
    </row>
    <row r="104" spans="1:9" ht="28.5" customHeight="1" x14ac:dyDescent="0.15">
      <c r="B104" s="1746" t="str">
        <f t="array" ref="B104">IFERROR(VLOOKUP("*",IF(range_推移当月売上&lt;&gt;0,IF(COUNTIF(B100:B103,range_推移事業名)=0,
IF(range_推移事業所名=A98,range_推移事業所別売上))),3,FALSE),"")</f>
        <v>自費</v>
      </c>
      <c r="C104" s="1698">
        <f>IF(B104="",NA(),SUMIFS(range_推移当月売上,range_推移事業所名,A98,range_推移事業名,B104))</f>
        <v>116900</v>
      </c>
      <c r="D104" s="1698">
        <f>IF(B104="",NA(),SUMIFS(range_推移前月売上,range_推移事業所名,A98,range_推移事業名,B104))</f>
        <v>87000</v>
      </c>
      <c r="E104" s="1499">
        <f t="shared" si="23"/>
        <v>1</v>
      </c>
      <c r="F104" s="1699">
        <f t="shared" si="22"/>
        <v>29900</v>
      </c>
      <c r="G104" s="1700">
        <f ca="1">IF(B104="",NA(),SUMIFS(range_推移期累計,range_推移事業所名,A98,range_推移事業名,B104))</f>
        <v>965031</v>
      </c>
      <c r="H104" s="1785"/>
      <c r="I104" s="1788">
        <f ca="1">IF(G104&lt;=0,0,ROUND(G104/G110,3))</f>
        <v>0.01</v>
      </c>
    </row>
    <row r="105" spans="1:9" ht="28.5" customHeight="1" x14ac:dyDescent="0.15">
      <c r="B105" s="1746" t="str">
        <f t="array" ref="B105">IFERROR(VLOOKUP("*",IF(range_推移当月売上&lt;&gt;0,IF(COUNTIF(B100:B104,range_推移事業名)=0,
IF(range_推移事業所名=A98,range_推移事業所別売上))),3,FALSE),"")</f>
        <v>カナミック</v>
      </c>
      <c r="C105" s="1698">
        <f>IF(B105="",NA(),SUMIFS(range_推移当月売上,range_推移事業所名,A98,range_推移事業名,B105))</f>
        <v>161440</v>
      </c>
      <c r="D105" s="1698">
        <f>IF(B105="",NA(),SUMIFS(range_推移前月売上,range_推移事業所名,A98,range_推移事業名,B105))</f>
        <v>154320</v>
      </c>
      <c r="E105" s="1499">
        <f t="shared" si="23"/>
        <v>1</v>
      </c>
      <c r="F105" s="1699">
        <f t="shared" si="22"/>
        <v>7120</v>
      </c>
      <c r="G105" s="1700">
        <f ca="1">IF(B105="",NA(),SUMIFS(range_推移期累計,range_推移事業所名,A98,range_推移事業名,B105))</f>
        <v>1190005</v>
      </c>
      <c r="H105" s="1785"/>
      <c r="I105" s="1788">
        <f ca="1">IF(G105&lt;=0,0,ROUND(G105/G110,3))</f>
        <v>1.2E-2</v>
      </c>
    </row>
    <row r="106" spans="1:9" ht="28.5" customHeight="1" x14ac:dyDescent="0.15">
      <c r="B106" s="1746" t="str">
        <f t="array" ref="B106">IFERROR(VLOOKUP("*",IF(range_推移当月売上&lt;&gt;0,IF(COUNTIF(B100:B105,range_推移事業名)=0,
IF(range_推移事業所名=A98,range_推移事業所別売上))),3,FALSE),"")</f>
        <v>買物交通費</v>
      </c>
      <c r="C106" s="1698">
        <f>IF(B106="",NA(),SUMIFS(range_推移当月売上,range_推移事業所名,A98,range_推移事業名,B106))</f>
        <v>8065</v>
      </c>
      <c r="D106" s="1698">
        <f>IF(B106="",NA(),SUMIFS(range_推移前月売上,range_推移事業所名,A98,range_推移事業名,B106))</f>
        <v>5982</v>
      </c>
      <c r="E106" s="1499">
        <f t="shared" si="23"/>
        <v>1</v>
      </c>
      <c r="F106" s="1699">
        <f t="shared" si="22"/>
        <v>2083</v>
      </c>
      <c r="G106" s="1700">
        <f ca="1">IF(B106="",NA(),SUMIFS(range_推移期累計,range_推移事業所名,A98,range_推移事業名,B106))</f>
        <v>55863</v>
      </c>
      <c r="H106" s="1785"/>
      <c r="I106" s="1788">
        <f ca="1">IF(G106&lt;=0,0,ROUND(G106/G110,3))</f>
        <v>1E-3</v>
      </c>
    </row>
    <row r="107" spans="1:9" ht="28.5" customHeight="1" x14ac:dyDescent="0.15">
      <c r="B107" s="1746" t="str">
        <f t="array" ref="B107">IFERROR(VLOOKUP("*",IF(range_推移当月売上&lt;&gt;0,IF(COUNTIF(B100:B106,range_推移事業名)=0,
IF(range_推移事業所名=A98,range_推移事業所別売上))),3,FALSE),"")</f>
        <v>弁当売上高</v>
      </c>
      <c r="C107" s="1698">
        <f>IF(B107="",NA(),SUMIFS(range_推移当月売上,range_推移事業所名,A98,range_推移事業名,B107))</f>
        <v>72000</v>
      </c>
      <c r="D107" s="1698">
        <f>IF(B107="",NA(),SUMIFS(range_推移前月売上,range_推移事業所名,A98,range_推移事業名,B107))</f>
        <v>103680</v>
      </c>
      <c r="E107" s="1499">
        <f t="shared" si="23"/>
        <v>-1</v>
      </c>
      <c r="F107" s="1699">
        <f t="shared" si="22"/>
        <v>-31680</v>
      </c>
      <c r="G107" s="1700">
        <f ca="1">IF(B107="",NA(),SUMIFS(range_推移期累計,range_推移事業所名,A98,range_推移事業名,B107))</f>
        <v>749190</v>
      </c>
      <c r="H107" s="1785"/>
      <c r="I107" s="1788">
        <f ca="1">IF(G107&lt;=0,0,ROUND(G107/G110,3))</f>
        <v>8.0000000000000002E-3</v>
      </c>
    </row>
    <row r="108" spans="1:9" ht="28.5" customHeight="1" x14ac:dyDescent="0.15">
      <c r="B108" s="1746" t="str">
        <f t="array" ref="B108">IFERROR(VLOOKUP("*",IF(range_推移当月売上&lt;&gt;0,IF(COUNTIF(B100:B107,range_推移事業名)=0,
IF(range_推移事業所名=A98,range_推移事業所別売上))),3,FALSE),"")</f>
        <v>タクシー運賃</v>
      </c>
      <c r="C108" s="1698">
        <f>IF(B108="",NA(),SUMIFS(range_推移当月売上,range_推移事業所名,A98,range_推移事業名,B108))</f>
        <v>250260</v>
      </c>
      <c r="D108" s="1698">
        <f>IF(B108="",NA(),SUMIFS(range_推移前月売上,range_推移事業所名,A98,range_推移事業名,B108))</f>
        <v>278280</v>
      </c>
      <c r="E108" s="1499">
        <f t="shared" si="23"/>
        <v>-1</v>
      </c>
      <c r="F108" s="1699">
        <f t="shared" si="22"/>
        <v>-28020</v>
      </c>
      <c r="G108" s="1700">
        <f ca="1">IF(B108="",NA(),SUMIFS(range_推移期累計,range_推移事業所名,A98,range_推移事業名,B108))</f>
        <v>2314304</v>
      </c>
      <c r="H108" s="1785"/>
      <c r="I108" s="1788">
        <f ca="1">IF(G108&lt;=0,0,ROUND(G108/G110,3))</f>
        <v>2.3E-2</v>
      </c>
    </row>
    <row r="109" spans="1:9" ht="28.5" customHeight="1" thickBot="1" x14ac:dyDescent="0.2">
      <c r="B109" s="1748" t="str">
        <f t="array" ref="B109">IFERROR(VLOOKUP("*",IF(range_推移当月売上&lt;&gt;0,IF(COUNTIF(B100:B108,range_推移事業名)=0,
IF(range_推移事業所名=A98,range_推移事業所別売上))),3,FALSE),"")</f>
        <v/>
      </c>
      <c r="C109" s="1698" t="e">
        <f>IF(B109="",NA(),SUMIFS(range_推移当月売上,range_推移事業所名,A98,range_推移事業名,B109))</f>
        <v>#N/A</v>
      </c>
      <c r="D109" s="1698" t="e">
        <f>IF(B109="",NA(),SUMIFS(range_推移前月売上,range_推移事業所名,A98,range_推移事業名,B109))</f>
        <v>#N/A</v>
      </c>
      <c r="E109" s="1500" t="str">
        <f t="shared" si="23"/>
        <v/>
      </c>
      <c r="F109" s="1699">
        <f t="shared" si="22"/>
        <v>0</v>
      </c>
      <c r="G109" s="1700" t="e">
        <f>IF(B109="",NA(),SUMIFS(range_推移期累計,range_推移事業所名,A98,range_推移事業名,B109))</f>
        <v>#N/A</v>
      </c>
      <c r="H109" s="1785"/>
      <c r="I109" s="1788" t="e">
        <f>IF(G109&lt;=0,0,ROUND(G109/G110,3))</f>
        <v>#N/A</v>
      </c>
    </row>
    <row r="110" spans="1:9" ht="28.5" customHeight="1" thickBot="1" x14ac:dyDescent="0.2">
      <c r="B110" s="1754" t="s">
        <v>14</v>
      </c>
      <c r="C110" s="1743">
        <f t="array" ref="C110">SUM(IF(ISERROR(C100:C109)=FALSE,C100:C109))</f>
        <v>12901588</v>
      </c>
      <c r="D110" s="1743">
        <f t="array" ref="D110">SUM(IF(ISERROR(D100:D109)=FALSE,D100:D109))</f>
        <v>12821396</v>
      </c>
      <c r="E110" s="1501">
        <f>IF(ISERROR(C110),"",IF(F110&gt;0,1,IF(F110=0,0,-1)))</f>
        <v>1</v>
      </c>
      <c r="F110" s="1744">
        <f t="array" ref="F110">SUM(IF(ISERROR(F100:F109)=FALSE,F100:F109))</f>
        <v>80192</v>
      </c>
      <c r="G110" s="1733">
        <f t="array" aca="1" ref="G110" ca="1">SUM(IF(ISERROR(G100:G109)=FALSE,G100:G109))</f>
        <v>98542621</v>
      </c>
      <c r="H110" s="1785"/>
      <c r="I110" s="1788">
        <f t="array" aca="1" ref="I110" ca="1">SUM(IF(ISERROR(I100:I109)=FALSE,I100:I109))</f>
        <v>1.0009999999999999</v>
      </c>
    </row>
    <row r="111" spans="1:9" ht="28.5" customHeight="1" x14ac:dyDescent="0.15">
      <c r="I111" s="55"/>
    </row>
    <row r="112" spans="1:9" ht="28.5" customHeight="1" x14ac:dyDescent="0.15">
      <c r="I112" s="55"/>
    </row>
    <row r="113" spans="1:9" ht="28.5" customHeight="1" x14ac:dyDescent="0.15">
      <c r="I113" s="55"/>
    </row>
    <row r="114" spans="1:9" ht="28.5" customHeight="1" x14ac:dyDescent="0.15">
      <c r="I114" s="55"/>
    </row>
    <row r="115" spans="1:9" ht="28.5" customHeight="1" x14ac:dyDescent="0.15">
      <c r="I115" s="55"/>
    </row>
    <row r="116" spans="1:9" ht="28.5" customHeight="1" x14ac:dyDescent="0.15">
      <c r="I116" s="55"/>
    </row>
    <row r="117" spans="1:9" ht="28.5" customHeight="1" x14ac:dyDescent="0.15">
      <c r="I117" s="55"/>
    </row>
    <row r="118" spans="1:9" ht="28.5" customHeight="1" x14ac:dyDescent="0.15">
      <c r="I118" s="55"/>
    </row>
    <row r="119" spans="1:9" ht="28.5" customHeight="1" x14ac:dyDescent="0.15">
      <c r="I119" s="55"/>
    </row>
    <row r="120" spans="1:9" ht="28.5" customHeight="1" x14ac:dyDescent="0.15">
      <c r="I120" s="55"/>
    </row>
    <row r="121" spans="1:9" ht="28.5" customHeight="1" x14ac:dyDescent="0.15">
      <c r="I121" s="55"/>
    </row>
    <row r="122" spans="1:9" ht="28.5" customHeight="1" thickBot="1" x14ac:dyDescent="0.2">
      <c r="A122" s="1503" t="s">
        <v>1369</v>
      </c>
      <c r="B122" s="1491" t="str">
        <f>A122 &amp; "業種別売上"</f>
        <v>蘇我業種別売上</v>
      </c>
      <c r="I122" s="55"/>
    </row>
    <row r="123" spans="1:9" ht="28.5" customHeight="1" thickBot="1" x14ac:dyDescent="0.2">
      <c r="B123" s="1694" t="s">
        <v>13</v>
      </c>
      <c r="C123" s="1705">
        <f>$C$2</f>
        <v>43556</v>
      </c>
      <c r="D123" s="1706">
        <f>EDATE(C123,-1)</f>
        <v>43525</v>
      </c>
      <c r="E123" s="2245" t="s">
        <v>1352</v>
      </c>
      <c r="F123" s="2245"/>
      <c r="G123" s="1757" t="s">
        <v>1411</v>
      </c>
      <c r="H123" s="1784"/>
      <c r="I123" s="1787" t="s">
        <v>1413</v>
      </c>
    </row>
    <row r="124" spans="1:9" ht="28.5" customHeight="1" x14ac:dyDescent="0.15">
      <c r="B124" s="1746" t="str">
        <f t="array" ref="B124">VLOOKUP("*",IF(range_推移当月売上&lt;&gt;0,IF(range_推移事業所名=A122,range_推移事業所別売上)),3,FALSE)</f>
        <v>訪問</v>
      </c>
      <c r="C124" s="1698">
        <f>IF(B124="",NA(),SUMIFS(range_推移当月売上,range_推移事業所名,A122,range_推移事業名,B124))</f>
        <v>3923238</v>
      </c>
      <c r="D124" s="1698">
        <f>IF(B124="",NA(),SUMIFS(range_推移前月売上,range_推移事業所名,A122,range_推移事業名,B124))</f>
        <v>3648265</v>
      </c>
      <c r="E124" s="1499">
        <f>IF(ISERROR(C124),"",IF(F124&gt;0,1,IF(F124=0,0,-1)))</f>
        <v>1</v>
      </c>
      <c r="F124" s="1697">
        <f t="shared" ref="F124:F133" si="24">IFERROR(C124,0)-IFERROR(D124,0)</f>
        <v>274973</v>
      </c>
      <c r="G124" s="1700">
        <f ca="1">IF(B124="",NA(),SUMIFS(range_推移期累計,range_推移事業所名,A122,range_推移事業名,B124))</f>
        <v>35039806</v>
      </c>
      <c r="H124" s="1785"/>
      <c r="I124" s="1788">
        <f ca="1">IF(G124&lt;=0,0,ROUND(G124/G134,3))</f>
        <v>0.67900000000000005</v>
      </c>
    </row>
    <row r="125" spans="1:9" ht="28.5" customHeight="1" x14ac:dyDescent="0.15">
      <c r="B125" s="1746" t="str">
        <f t="array" ref="B125">IFERROR(VLOOKUP("*",IF(range_推移当月売上&lt;&gt;0,IF(COUNTIF(B124:B124,range_推移事業名)=0,
IF(range_推移事業所名=A122,range_推移事業所別売上))),3,FALSE),"")</f>
        <v>居宅</v>
      </c>
      <c r="C125" s="1698">
        <f>IF(B125="",NA(),SUMIFS(range_推移当月売上,range_推移事業所名,A122,range_推移事業名,B125))</f>
        <v>549559</v>
      </c>
      <c r="D125" s="1698">
        <f>IF(B125="",NA(),SUMIFS(range_推移前月売上,range_推移事業所名,A122,range_推移事業名,B125))</f>
        <v>481439</v>
      </c>
      <c r="E125" s="1499">
        <f t="shared" ref="E125:E133" si="25">IF(ISERROR(C125),"",IF(F125&gt;0,1,IF(F125=0,0,-1)))</f>
        <v>1</v>
      </c>
      <c r="F125" s="1699">
        <f t="shared" si="24"/>
        <v>68120</v>
      </c>
      <c r="G125" s="1700">
        <f ca="1">IF(B125="",NA(),SUMIFS(range_推移期累計,range_推移事業所名,A122,range_推移事業名,B125))</f>
        <v>4269628</v>
      </c>
      <c r="H125" s="1785"/>
      <c r="I125" s="1788">
        <f ca="1">IF(G125&lt;=0,0,ROUND(G125/G134,3))</f>
        <v>8.3000000000000004E-2</v>
      </c>
    </row>
    <row r="126" spans="1:9" ht="28.5" customHeight="1" x14ac:dyDescent="0.15">
      <c r="B126" s="1746" t="str">
        <f t="array" ref="B126">IFERROR(VLOOKUP("*",IF(range_推移当月売上&lt;&gt;0,IF(COUNTIF(B124:B125,range_推移事業名)=0,
IF(range_推移事業所名=A122,range_推移事業所別売上))),3,FALSE),"")</f>
        <v>障害</v>
      </c>
      <c r="C126" s="1698">
        <f>IF(B126="",NA(),SUMIFS(range_推移当月売上,range_推移事業所名,A122,range_推移事業名,B126))</f>
        <v>1346991</v>
      </c>
      <c r="D126" s="1698">
        <f>IF(B126="",NA(),SUMIFS(range_推移前月売上,range_推移事業所名,A122,range_推移事業名,B126))</f>
        <v>960910</v>
      </c>
      <c r="E126" s="1499">
        <f t="shared" si="25"/>
        <v>1</v>
      </c>
      <c r="F126" s="1699">
        <f t="shared" si="24"/>
        <v>386081</v>
      </c>
      <c r="G126" s="1700">
        <f ca="1">IF(B126="",NA(),SUMIFS(range_推移期累計,range_推移事業所名,A122,range_推移事業名,B126))</f>
        <v>9383660</v>
      </c>
      <c r="H126" s="1785"/>
      <c r="I126" s="1788">
        <f ca="1">IF(G126&lt;=0,0,ROUND(G126/G134,3))</f>
        <v>0.182</v>
      </c>
    </row>
    <row r="127" spans="1:9" ht="28.5" customHeight="1" x14ac:dyDescent="0.15">
      <c r="B127" s="1746" t="str">
        <f t="array" ref="B127">IFERROR(VLOOKUP("*",IF(range_推移当月売上&lt;&gt;0,IF(COUNTIF(B124:B126,range_推移事業名)=0,
IF(range_推移事業所名=A122,range_推移事業所別売上))),3,FALSE),"")</f>
        <v>移動支援</v>
      </c>
      <c r="C127" s="1698">
        <f>IF(B127="",NA(),SUMIFS(range_推移当月売上,range_推移事業所名,A122,range_推移事業名,B127))</f>
        <v>8560</v>
      </c>
      <c r="D127" s="1698">
        <f>IF(B127="",NA(),SUMIFS(range_推移前月売上,range_推移事業所名,A122,range_推移事業名,B127))</f>
        <v>8560</v>
      </c>
      <c r="E127" s="1499">
        <f t="shared" si="25"/>
        <v>0</v>
      </c>
      <c r="F127" s="1699">
        <f t="shared" si="24"/>
        <v>0</v>
      </c>
      <c r="G127" s="1700">
        <f ca="1">IF(B127="",NA(),SUMIFS(range_推移期累計,range_推移事業所名,A122,range_推移事業名,B127))</f>
        <v>17120</v>
      </c>
      <c r="H127" s="1785"/>
      <c r="I127" s="1788">
        <f ca="1">IF(G127&lt;=0,0,ROUND(G127/G134,3))</f>
        <v>0</v>
      </c>
    </row>
    <row r="128" spans="1:9" ht="28.5" customHeight="1" x14ac:dyDescent="0.15">
      <c r="B128" s="1746" t="str">
        <f t="array" ref="B128">IFERROR(VLOOKUP("*",IF(range_推移当月売上&lt;&gt;0,IF(COUNTIF(B124:B127,range_推移事業名)=0,
IF(range_推移事業所名=A122,range_推移事業所別売上))),3,FALSE),"")</f>
        <v>自費</v>
      </c>
      <c r="C128" s="1698">
        <f>IF(B128="",NA(),SUMIFS(range_推移当月売上,range_推移事業所名,A122,range_推移事業名,B128))</f>
        <v>311054</v>
      </c>
      <c r="D128" s="1698">
        <f>IF(B128="",NA(),SUMIFS(range_推移前月売上,range_推移事業所名,A122,range_推移事業名,B128))</f>
        <v>236189</v>
      </c>
      <c r="E128" s="1499">
        <f t="shared" si="25"/>
        <v>1</v>
      </c>
      <c r="F128" s="1699">
        <f t="shared" si="24"/>
        <v>74865</v>
      </c>
      <c r="G128" s="1700">
        <f ca="1">IF(B128="",NA(),SUMIFS(range_推移期累計,range_推移事業所名,A122,range_推移事業名,B128))</f>
        <v>1784735</v>
      </c>
      <c r="H128" s="1785"/>
      <c r="I128" s="1788">
        <f ca="1">IF(G128&lt;=0,0,ROUND(G128/G134,3))</f>
        <v>3.5000000000000003E-2</v>
      </c>
    </row>
    <row r="129" spans="1:9" ht="28.5" customHeight="1" x14ac:dyDescent="0.15">
      <c r="B129" s="1746" t="str">
        <f t="array" ref="B129">IFERROR(VLOOKUP("*",IF(range_推移当月売上&lt;&gt;0,IF(COUNTIF(B124:B128,range_推移事業名)=0,
IF(range_推移事業所名=A122,range_推移事業所別売上))),3,FALSE),"")</f>
        <v>カナミック</v>
      </c>
      <c r="C129" s="1698">
        <f>IF(B129="",NA(),SUMIFS(range_推移当月売上,range_推移事業所名,A122,range_推移事業名,B129))</f>
        <v>121360</v>
      </c>
      <c r="D129" s="1698">
        <f>IF(B129="",NA(),SUMIFS(range_推移前月売上,range_推移事業所名,A122,range_推移事業名,B129))</f>
        <v>118268</v>
      </c>
      <c r="E129" s="1499">
        <f t="shared" si="25"/>
        <v>1</v>
      </c>
      <c r="F129" s="1699">
        <f t="shared" si="24"/>
        <v>3092</v>
      </c>
      <c r="G129" s="1700">
        <f ca="1">IF(B129="",NA(),SUMIFS(range_推移期累計,range_推移事業所名,A122,range_推移事業名,B129))</f>
        <v>1099485</v>
      </c>
      <c r="H129" s="1785"/>
      <c r="I129" s="1788">
        <f ca="1">IF(G129&lt;=0,0,ROUND(G129/G134,3))</f>
        <v>2.1000000000000001E-2</v>
      </c>
    </row>
    <row r="130" spans="1:9" ht="28.5" customHeight="1" x14ac:dyDescent="0.15">
      <c r="B130" s="1746" t="str">
        <f t="array" ref="B130">IFERROR(VLOOKUP("*",IF(range_推移当月売上&lt;&gt;0,IF(COUNTIF(B124:B129,range_推移事業名)=0,
IF(range_推移事業所名=A122,range_推移事業所別売上))),3,FALSE),"")</f>
        <v>買物交通費</v>
      </c>
      <c r="C130" s="1698">
        <f>IF(B130="",NA(),SUMIFS(range_推移当月売上,range_推移事業所名,A122,range_推移事業名,B130))</f>
        <v>1467</v>
      </c>
      <c r="D130" s="1698">
        <f>IF(B130="",NA(),SUMIFS(range_推移前月売上,range_推移事業所名,A122,range_推移事業名,B130))</f>
        <v>4140</v>
      </c>
      <c r="E130" s="1499">
        <f t="shared" si="25"/>
        <v>-1</v>
      </c>
      <c r="F130" s="1699">
        <f t="shared" si="24"/>
        <v>-2673</v>
      </c>
      <c r="G130" s="1700">
        <f ca="1">IF(B130="",NA(),SUMIFS(range_推移期累計,range_推移事業所名,A122,range_推移事業名,B130))</f>
        <v>15469</v>
      </c>
      <c r="H130" s="1785"/>
      <c r="I130" s="1788">
        <f ca="1">IF(G130&lt;=0,0,ROUND(G130/G134,3))</f>
        <v>0</v>
      </c>
    </row>
    <row r="131" spans="1:9" ht="28.5" customHeight="1" x14ac:dyDescent="0.15">
      <c r="A131" s="1503" t="str">
        <f>IF(ISERROR(C131),"",B131)</f>
        <v/>
      </c>
      <c r="B131" s="1746" t="str">
        <f t="array" ref="B131">IFERROR(VLOOKUP("*",IF(range_推移当月売上&lt;&gt;0,IF(COUNTIF(B124:B130,range_推移事業名)=0,
IF(range_推移事業所名=A122,range_推移事業所別売上))),3,FALSE),"")</f>
        <v/>
      </c>
      <c r="C131" s="1698" t="e">
        <f>IF(B131="",NA(),SUMIFS(range_推移当月売上,range_推移事業所名,A122,range_推移事業名,B131))</f>
        <v>#N/A</v>
      </c>
      <c r="D131" s="1698" t="e">
        <f>IF(B131="",NA(),SUMIFS(range_推移前月売上,range_推移事業所名,A122,range_推移事業名,B131))</f>
        <v>#N/A</v>
      </c>
      <c r="E131" s="1499" t="str">
        <f t="shared" si="25"/>
        <v/>
      </c>
      <c r="F131" s="1699">
        <f t="shared" si="24"/>
        <v>0</v>
      </c>
      <c r="G131" s="1700" t="e">
        <f>IF(B131="",NA(),SUMIFS(range_推移期累計,range_推移事業所名,A122,range_推移事業名,B131))</f>
        <v>#N/A</v>
      </c>
      <c r="H131" s="1785"/>
      <c r="I131" s="1788" t="e">
        <f>IF(G131&lt;=0,0,ROUND(G131/G134,3))</f>
        <v>#N/A</v>
      </c>
    </row>
    <row r="132" spans="1:9" ht="28.5" customHeight="1" x14ac:dyDescent="0.15">
      <c r="A132" s="1503" t="str">
        <f>IF(ISERROR(C132),"",B132)</f>
        <v/>
      </c>
      <c r="B132" s="1746" t="str">
        <f t="array" ref="B132">IFERROR(VLOOKUP("*",IF(range_推移当月売上&lt;&gt;0,IF(COUNTIF(B124:B131,range_推移事業名)=0,
IF(range_推移事業所名=A122,range_推移事業所別売上))),3,FALSE),"")</f>
        <v/>
      </c>
      <c r="C132" s="1698" t="e">
        <f>IF(B132="",NA(),SUMIFS(range_推移当月売上,range_推移事業所名,A122,range_推移事業名,B132))</f>
        <v>#N/A</v>
      </c>
      <c r="D132" s="1698" t="e">
        <f>IF(B132="",NA(),SUMIFS(range_推移前月売上,range_推移事業所名,A122,range_推移事業名,B132))</f>
        <v>#N/A</v>
      </c>
      <c r="E132" s="1499" t="str">
        <f t="shared" si="25"/>
        <v/>
      </c>
      <c r="F132" s="1699">
        <f t="shared" si="24"/>
        <v>0</v>
      </c>
      <c r="G132" s="1700" t="e">
        <f>IF(B132="",NA(),SUMIFS(range_推移期累計,range_推移事業所名,A122,range_推移事業名,B132))</f>
        <v>#N/A</v>
      </c>
      <c r="H132" s="1785"/>
      <c r="I132" s="1788" t="e">
        <f>IF(G132&lt;=0,0,ROUND(G132/G134,3))</f>
        <v>#N/A</v>
      </c>
    </row>
    <row r="133" spans="1:9" ht="28.5" customHeight="1" thickBot="1" x14ac:dyDescent="0.2">
      <c r="A133" s="1503" t="str">
        <f>IF(ISERROR(C133),"",B133)</f>
        <v/>
      </c>
      <c r="B133" s="1748" t="str">
        <f t="array" ref="B133">IFERROR(VLOOKUP("*",IF(range_推移当月売上&lt;&gt;0,IF(COUNTIF(B124:B132,range_推移事業名)=0,
IF(range_推移事業所名=A122,range_推移事業所別売上))),3,FALSE),"")</f>
        <v/>
      </c>
      <c r="C133" s="1698" t="e">
        <f>IF(B133="",NA(),SUMIFS(range_推移当月売上,range_推移事業所名,A122,range_推移事業名,B133))</f>
        <v>#N/A</v>
      </c>
      <c r="D133" s="1698" t="e">
        <f>IF(B133="",NA(),SUMIFS(range_推移前月売上,range_推移事業所名,A122,range_推移事業名,B133))</f>
        <v>#N/A</v>
      </c>
      <c r="E133" s="1499" t="str">
        <f t="shared" si="25"/>
        <v/>
      </c>
      <c r="F133" s="1699">
        <f t="shared" si="24"/>
        <v>0</v>
      </c>
      <c r="G133" s="1700" t="e">
        <f>IF(B133="",NA(),SUMIFS(range_推移期累計,range_推移事業所名,A122,range_推移事業名,B133))</f>
        <v>#N/A</v>
      </c>
      <c r="H133" s="1785"/>
      <c r="I133" s="1788" t="e">
        <f>IF(G133&lt;=0,0,ROUND(G133/G134,3))</f>
        <v>#N/A</v>
      </c>
    </row>
    <row r="134" spans="1:9" ht="28.5" customHeight="1" thickBot="1" x14ac:dyDescent="0.2">
      <c r="B134" s="1754" t="s">
        <v>14</v>
      </c>
      <c r="C134" s="1743">
        <f t="array" ref="C134">SUM(IF(ISERROR(C124:C133)=FALSE,C124:C133))</f>
        <v>6262229</v>
      </c>
      <c r="D134" s="1743">
        <f t="array" ref="D134">SUM(IF(ISERROR(D124:D133)=FALSE,D124:D133))</f>
        <v>5457771</v>
      </c>
      <c r="E134" s="1501">
        <f>IF(ISERROR(C134),"",IF(F134&gt;0,1,IF(F134=0,0,-1)))</f>
        <v>1</v>
      </c>
      <c r="F134" s="1744">
        <f t="array" ref="F134">SUM(IF(ISERROR(F124:F133)=FALSE,F124:F133))</f>
        <v>804458</v>
      </c>
      <c r="G134" s="1733">
        <f t="array" aca="1" ref="G134" ca="1">SUM(IF(ISERROR(G124:G133)=FALSE,G124:G133))</f>
        <v>51609903</v>
      </c>
      <c r="H134" s="1785"/>
      <c r="I134" s="1788">
        <f t="array" aca="1" ref="I134" ca="1">SUM(IF(ISERROR(I124:I133)=FALSE,I124:I133))</f>
        <v>1</v>
      </c>
    </row>
    <row r="135" spans="1:9" ht="28.5" customHeight="1" x14ac:dyDescent="0.15">
      <c r="I135" s="55"/>
    </row>
    <row r="136" spans="1:9" ht="28.5" customHeight="1" x14ac:dyDescent="0.15">
      <c r="D136" s="1468"/>
      <c r="I136" s="55"/>
    </row>
    <row r="137" spans="1:9" ht="28.5" customHeight="1" x14ac:dyDescent="0.15">
      <c r="I137" s="55"/>
    </row>
    <row r="138" spans="1:9" ht="28.5" customHeight="1" x14ac:dyDescent="0.15">
      <c r="I138" s="55"/>
    </row>
    <row r="139" spans="1:9" ht="28.5" customHeight="1" x14ac:dyDescent="0.15">
      <c r="I139" s="55"/>
    </row>
    <row r="140" spans="1:9" ht="28.5" customHeight="1" x14ac:dyDescent="0.15">
      <c r="I140" s="55"/>
    </row>
    <row r="141" spans="1:9" ht="28.5" customHeight="1" x14ac:dyDescent="0.15">
      <c r="I141" s="55"/>
    </row>
    <row r="142" spans="1:9" ht="28.5" customHeight="1" x14ac:dyDescent="0.15">
      <c r="I142" s="55"/>
    </row>
    <row r="143" spans="1:9" ht="28.5" customHeight="1" x14ac:dyDescent="0.15">
      <c r="I143" s="55"/>
    </row>
    <row r="144" spans="1:9" ht="28.5" customHeight="1" x14ac:dyDescent="0.15">
      <c r="I144" s="55"/>
    </row>
    <row r="145" spans="1:10" ht="28.5" customHeight="1" x14ac:dyDescent="0.15">
      <c r="I145" s="55"/>
    </row>
    <row r="146" spans="1:10" ht="28.5" customHeight="1" thickBot="1" x14ac:dyDescent="0.2">
      <c r="A146" s="1503" t="s">
        <v>1370</v>
      </c>
      <c r="B146" s="1491" t="str">
        <f>A146 &amp; "業種別売上"</f>
        <v>誉田業種別売上</v>
      </c>
      <c r="I146" s="55"/>
    </row>
    <row r="147" spans="1:10" ht="28.5" customHeight="1" thickBot="1" x14ac:dyDescent="0.2">
      <c r="B147" s="1694" t="s">
        <v>13</v>
      </c>
      <c r="C147" s="1705">
        <f>$C$2</f>
        <v>43556</v>
      </c>
      <c r="D147" s="1706">
        <f>EDATE(C147,-1)</f>
        <v>43525</v>
      </c>
      <c r="E147" s="2245" t="s">
        <v>1352</v>
      </c>
      <c r="F147" s="2245"/>
      <c r="G147" s="1757" t="s">
        <v>1411</v>
      </c>
      <c r="H147" s="1784"/>
      <c r="I147" s="1787" t="s">
        <v>1413</v>
      </c>
      <c r="J147" s="234"/>
    </row>
    <row r="148" spans="1:10" ht="28.5" customHeight="1" x14ac:dyDescent="0.15">
      <c r="B148" s="1746" t="str">
        <f t="array" ref="B148">VLOOKUP("*",IF(range_推移当月売上&lt;&gt;0,IF(range_推移事業所名=A146,range_推移事業所別売上)),3,FALSE)</f>
        <v>訪問</v>
      </c>
      <c r="C148" s="1698">
        <f>IF(B148="",NA(),SUMIFS(range_推移当月売上,range_推移事業所名,A146,range_推移事業名,B148))</f>
        <v>4769253</v>
      </c>
      <c r="D148" s="1698">
        <f>IF(B148="",NA(),SUMIFS(range_推移前月売上,range_推移事業所名,A146,range_推移事業名,B148))</f>
        <v>5036742</v>
      </c>
      <c r="E148" s="1499">
        <f>IF(ISERROR(C148),"",IF(F148&gt;0,1,IF(F148=0,0,-1)))</f>
        <v>-1</v>
      </c>
      <c r="F148" s="1697">
        <f t="shared" ref="F148:F157" si="26">IFERROR(C148,0)-IFERROR(D148,0)</f>
        <v>-267489</v>
      </c>
      <c r="G148" s="1700">
        <f ca="1">IF(B148="",NA(),SUMIFS(range_推移期累計,range_推移事業所名,A146,range_推移事業名,B148))</f>
        <v>38458854</v>
      </c>
      <c r="H148" s="1785"/>
      <c r="I148" s="1788">
        <f ca="1">IF(G148&lt;=0,0,ROUND(G148/G158,3))</f>
        <v>0.68799999999999994</v>
      </c>
    </row>
    <row r="149" spans="1:10" ht="28.5" customHeight="1" x14ac:dyDescent="0.15">
      <c r="B149" s="1746" t="str">
        <f t="array" ref="B149">IFERROR(VLOOKUP("*",IF(range_推移当月売上&lt;&gt;0,IF(COUNTIF(B148:B148,range_推移事業名)=0,
IF(range_推移事業所名=A146,range_推移事業所別売上))),3,FALSE),"")</f>
        <v>障害</v>
      </c>
      <c r="C149" s="1698">
        <f>IF(B149="",NA(),SUMIFS(range_推移当月売上,range_推移事業所名,A146,range_推移事業名,B149))</f>
        <v>1980862</v>
      </c>
      <c r="D149" s="1698">
        <f>IF(B149="",NA(),SUMIFS(range_推移前月売上,range_推移事業所名,A146,range_推移事業名,B149))</f>
        <v>1668036</v>
      </c>
      <c r="E149" s="1499">
        <f t="shared" ref="E149:E157" si="27">IF(ISERROR(C149),"",IF(F149&gt;0,1,IF(F149=0,0,-1)))</f>
        <v>1</v>
      </c>
      <c r="F149" s="1699">
        <f t="shared" si="26"/>
        <v>312826</v>
      </c>
      <c r="G149" s="1700">
        <f ca="1">IF(B149="",NA(),SUMIFS(range_推移期累計,range_推移事業所名,A146,range_推移事業名,B149))</f>
        <v>14592175</v>
      </c>
      <c r="H149" s="1785"/>
      <c r="I149" s="1788">
        <f ca="1">IF(G149&lt;=0,0,ROUND(G149/G158,3))</f>
        <v>0.26100000000000001</v>
      </c>
    </row>
    <row r="150" spans="1:10" ht="28.5" customHeight="1" x14ac:dyDescent="0.15">
      <c r="B150" s="1746" t="str">
        <f t="array" ref="B150">IFERROR(VLOOKUP("*",IF(range_推移当月売上&lt;&gt;0,IF(COUNTIF(B148:B149,range_推移事業名)=0,
IF(range_推移事業所名=A146,range_推移事業所別売上))),3,FALSE),"")</f>
        <v>移動支援</v>
      </c>
      <c r="C150" s="1698">
        <f>IF(B150="",NA(),SUMIFS(range_推移当月売上,range_推移事業所名,A146,range_推移事業名,B150))</f>
        <v>200620</v>
      </c>
      <c r="D150" s="1698">
        <f>IF(B150="",NA(),SUMIFS(range_推移前月売上,range_推移事業所名,A146,range_推移事業名,B150))</f>
        <v>153500</v>
      </c>
      <c r="E150" s="1499">
        <f t="shared" si="27"/>
        <v>1</v>
      </c>
      <c r="F150" s="1699">
        <f t="shared" si="26"/>
        <v>47120</v>
      </c>
      <c r="G150" s="1700">
        <f ca="1">IF(B150="",NA(),SUMIFS(range_推移期累計,range_推移事業所名,A146,range_推移事業名,B150))</f>
        <v>1301679</v>
      </c>
      <c r="H150" s="1785"/>
      <c r="I150" s="1788">
        <f ca="1">IF(G150&lt;=0,0,ROUND(G150/G158,3))</f>
        <v>2.3E-2</v>
      </c>
    </row>
    <row r="151" spans="1:10" ht="28.5" customHeight="1" x14ac:dyDescent="0.15">
      <c r="B151" s="1746" t="str">
        <f t="array" ref="B151">IFERROR(VLOOKUP("*",IF(range_推移当月売上&lt;&gt;0,IF(COUNTIF(B148:B150,range_推移事業名)=0,
IF(range_推移事業所名=A146,range_推移事業所別売上))),3,FALSE),"")</f>
        <v>自費</v>
      </c>
      <c r="C151" s="1698">
        <f>IF(B151="",NA(),SUMIFS(range_推移当月売上,range_推移事業所名,A146,range_推移事業名,B151))</f>
        <v>134300</v>
      </c>
      <c r="D151" s="1698">
        <f>IF(B151="",NA(),SUMIFS(range_推移前月売上,range_推移事業所名,A146,range_推移事業名,B151))</f>
        <v>77300</v>
      </c>
      <c r="E151" s="1499">
        <f t="shared" si="27"/>
        <v>1</v>
      </c>
      <c r="F151" s="1699">
        <f t="shared" si="26"/>
        <v>57000</v>
      </c>
      <c r="G151" s="1700">
        <f ca="1">IF(B151="",NA(),SUMIFS(range_推移期累計,range_推移事業所名,A146,range_推移事業名,B151))</f>
        <v>947575</v>
      </c>
      <c r="H151" s="1785"/>
      <c r="I151" s="1788">
        <f ca="1">IF(G151&lt;=0,0,ROUND(G151/G158,3))</f>
        <v>1.7000000000000001E-2</v>
      </c>
    </row>
    <row r="152" spans="1:10" ht="28.5" customHeight="1" x14ac:dyDescent="0.15">
      <c r="B152" s="1746" t="str">
        <f t="array" ref="B152">IFERROR(VLOOKUP("*",IF(range_推移当月売上&lt;&gt;0,IF(COUNTIF(B148:B151,range_推移事業名)=0,
IF(range_推移事業所名=A146,range_推移事業所別売上))),3,FALSE),"")</f>
        <v>買物交通費</v>
      </c>
      <c r="C152" s="1698">
        <f>IF(B152="",NA(),SUMIFS(range_推移当月売上,range_推移事業所名,A146,range_推移事業名,B152))</f>
        <v>5435</v>
      </c>
      <c r="D152" s="1698">
        <f>IF(B152="",NA(),SUMIFS(range_推移前月売上,range_推移事業所名,A146,range_推移事業名,B152))</f>
        <v>1371</v>
      </c>
      <c r="E152" s="1499">
        <f t="shared" si="27"/>
        <v>1</v>
      </c>
      <c r="F152" s="1699">
        <f t="shared" si="26"/>
        <v>4064</v>
      </c>
      <c r="G152" s="1700">
        <f ca="1">IF(B152="",NA(),SUMIFS(range_推移期累計,range_推移事業所名,A146,range_推移事業名,B152))</f>
        <v>33833</v>
      </c>
      <c r="H152" s="1785"/>
      <c r="I152" s="1788">
        <f ca="1">IF(G152&lt;=0,0,ROUND(G152/G158,3))</f>
        <v>1E-3</v>
      </c>
    </row>
    <row r="153" spans="1:10" ht="28.5" customHeight="1" x14ac:dyDescent="0.15">
      <c r="B153" s="1746" t="str">
        <f t="array" ref="B153">IFERROR(VLOOKUP("*",IF(range_推移当月売上&lt;&gt;0,IF(COUNTIF(B148:B152,range_推移事業名)=0,
IF(range_推移事業所名=A146,range_推移事業所別売上))),3,FALSE),"")</f>
        <v>タクシー運賃</v>
      </c>
      <c r="C153" s="1698">
        <f>IF(B153="",NA(),SUMIFS(range_推移当月売上,range_推移事業所名,A146,range_推移事業名,B153))</f>
        <v>19950</v>
      </c>
      <c r="D153" s="1698">
        <f>IF(B153="",NA(),SUMIFS(range_推移前月売上,range_推移事業所名,A146,range_推移事業名,B153))</f>
        <v>42650</v>
      </c>
      <c r="E153" s="1499">
        <f t="shared" si="27"/>
        <v>-1</v>
      </c>
      <c r="F153" s="1699">
        <f t="shared" si="26"/>
        <v>-22700</v>
      </c>
      <c r="G153" s="1700">
        <f ca="1">IF(B153="",NA(),SUMIFS(range_推移期累計,range_推移事業所名,A146,range_推移事業名,B153))</f>
        <v>525444</v>
      </c>
      <c r="H153" s="1785"/>
      <c r="I153" s="1788">
        <f ca="1">IF(G153&lt;=0,0,ROUND(G153/G158,3))</f>
        <v>8.9999999999999993E-3</v>
      </c>
    </row>
    <row r="154" spans="1:10" ht="28.5" customHeight="1" x14ac:dyDescent="0.15">
      <c r="B154" s="1746" t="str">
        <f t="array" ref="B154">IFERROR(VLOOKUP("*",IF(range_推移当月売上&lt;&gt;0,IF(COUNTIF(B148:B153,range_推移事業名)=0,
IF(range_推移事業所名=A146,range_推移事業所別売上))),3,FALSE),"")</f>
        <v/>
      </c>
      <c r="C154" s="1698" t="e">
        <f>IF(B154="",NA(),SUMIFS(range_推移当月売上,range_推移事業所名,A146,range_推移事業名,B154))</f>
        <v>#N/A</v>
      </c>
      <c r="D154" s="1698" t="e">
        <f>IF(B154="",NA(),SUMIFS(range_推移前月売上,range_推移事業所名,A146,range_推移事業名,B154))</f>
        <v>#N/A</v>
      </c>
      <c r="E154" s="1499" t="str">
        <f t="shared" si="27"/>
        <v/>
      </c>
      <c r="F154" s="1699">
        <f t="shared" si="26"/>
        <v>0</v>
      </c>
      <c r="G154" s="1700" t="e">
        <f>IF(B154="",NA(),SUMIFS(range_推移期累計,range_推移事業所名,A146,range_推移事業名,B154))</f>
        <v>#N/A</v>
      </c>
      <c r="H154" s="1785"/>
      <c r="I154" s="1788" t="e">
        <f>IF(G154&lt;=0,0,ROUND(G154/G158,3))</f>
        <v>#N/A</v>
      </c>
    </row>
    <row r="155" spans="1:10" ht="28.5" customHeight="1" x14ac:dyDescent="0.15">
      <c r="A155" s="1503" t="str">
        <f>IF(ISERROR(C155),"",B155)</f>
        <v/>
      </c>
      <c r="B155" s="1746" t="str">
        <f t="array" ref="B155">IFERROR(VLOOKUP("*",IF(range_推移当月売上&lt;&gt;0,IF(COUNTIF(B148:B154,range_推移事業名)=0,
IF(range_推移事業所名=A146,range_推移事業所別売上))),3,FALSE),"")</f>
        <v/>
      </c>
      <c r="C155" s="1698" t="e">
        <f>IF(B155="",NA(),SUMIFS(range_推移当月売上,range_推移事業所名,A146,range_推移事業名,B155))</f>
        <v>#N/A</v>
      </c>
      <c r="D155" s="1698" t="e">
        <f>IF(B155="",NA(),SUMIFS(range_推移前月売上,range_推移事業所名,A146,range_推移事業名,B155))</f>
        <v>#N/A</v>
      </c>
      <c r="E155" s="1499" t="str">
        <f t="shared" si="27"/>
        <v/>
      </c>
      <c r="F155" s="1699">
        <f t="shared" si="26"/>
        <v>0</v>
      </c>
      <c r="G155" s="1700" t="e">
        <f>IF(B155="",NA(),SUMIFS(range_推移期累計,range_推移事業所名,A146,range_推移事業名,B155))</f>
        <v>#N/A</v>
      </c>
      <c r="H155" s="1785"/>
      <c r="I155" s="1788" t="e">
        <f>IF(G155&lt;=0,0,ROUND(G155/G158,3))</f>
        <v>#N/A</v>
      </c>
    </row>
    <row r="156" spans="1:10" ht="28.5" customHeight="1" x14ac:dyDescent="0.15">
      <c r="A156" s="1503" t="str">
        <f>IF(ISERROR(C156),"",B156)</f>
        <v/>
      </c>
      <c r="B156" s="1746" t="str">
        <f t="array" ref="B156">IFERROR(VLOOKUP("*",IF(range_推移当月売上&lt;&gt;0,IF(COUNTIF(B148:B155,range_推移事業名)=0,
IF(range_推移事業所名=A146,range_推移事業所別売上))),3,FALSE),"")</f>
        <v/>
      </c>
      <c r="C156" s="1698" t="e">
        <f>IF(B156="",NA(),SUMIFS(range_推移当月売上,range_推移事業所名,A146,range_推移事業名,B156))</f>
        <v>#N/A</v>
      </c>
      <c r="D156" s="1698" t="e">
        <f>IF(B156="",NA(),SUMIFS(range_推移前月売上,range_推移事業所名,A146,range_推移事業名,B156))</f>
        <v>#N/A</v>
      </c>
      <c r="E156" s="1499" t="str">
        <f t="shared" si="27"/>
        <v/>
      </c>
      <c r="F156" s="1699">
        <f t="shared" si="26"/>
        <v>0</v>
      </c>
      <c r="G156" s="1700" t="e">
        <f>IF(B156="",NA(),SUMIFS(range_推移期累計,range_推移事業所名,A146,range_推移事業名,B156))</f>
        <v>#N/A</v>
      </c>
      <c r="H156" s="1785"/>
      <c r="I156" s="1788" t="e">
        <f>IF(G156&lt;=0,0,ROUND(G156/G158,3))</f>
        <v>#N/A</v>
      </c>
    </row>
    <row r="157" spans="1:10" ht="28.5" customHeight="1" thickBot="1" x14ac:dyDescent="0.2">
      <c r="A157" s="1503" t="str">
        <f>IF(ISERROR(C157),"",B157)</f>
        <v/>
      </c>
      <c r="B157" s="1748" t="str">
        <f t="array" ref="B157">IFERROR(VLOOKUP("*",IF(range_推移当月売上&lt;&gt;0,IF(COUNTIF(B148:B156,range_推移事業名)=0,
IF(range_推移事業所名=A146,range_推移事業所別売上))),3,FALSE),"")</f>
        <v/>
      </c>
      <c r="C157" s="1698" t="e">
        <f>IF(B157="",NA(),SUMIFS(range_推移当月売上,range_推移事業所名,A146,range_推移事業名,B157))</f>
        <v>#N/A</v>
      </c>
      <c r="D157" s="1698" t="e">
        <f>IF(B157="",NA(),SUMIFS(range_推移前月売上,range_推移事業所名,A146,range_推移事業名,B157))</f>
        <v>#N/A</v>
      </c>
      <c r="E157" s="1499" t="str">
        <f t="shared" si="27"/>
        <v/>
      </c>
      <c r="F157" s="1699">
        <f t="shared" si="26"/>
        <v>0</v>
      </c>
      <c r="G157" s="1700" t="e">
        <f>IF(B157="",NA(),SUMIFS(range_推移期累計,range_推移事業所名,A146,range_推移事業名,B157))</f>
        <v>#N/A</v>
      </c>
      <c r="H157" s="1785"/>
      <c r="I157" s="1788" t="e">
        <f>IF(G157&lt;=0,0,ROUND(G157/G158,3))</f>
        <v>#N/A</v>
      </c>
    </row>
    <row r="158" spans="1:10" ht="28.5" customHeight="1" thickBot="1" x14ac:dyDescent="0.2">
      <c r="B158" s="1754" t="s">
        <v>14</v>
      </c>
      <c r="C158" s="1743">
        <f t="array" ref="C158">SUM(IF(ISERROR(C148:C157)=FALSE,C148:C157))</f>
        <v>7110420</v>
      </c>
      <c r="D158" s="1743">
        <f t="array" ref="D158">SUM(IF(ISERROR(D148:D157)=FALSE,D148:D157))</f>
        <v>6979599</v>
      </c>
      <c r="E158" s="1501">
        <f>IF(ISERROR(C158),"",IF(F158&gt;0,1,IF(F158=0,0,-1)))</f>
        <v>1</v>
      </c>
      <c r="F158" s="1744">
        <f t="array" ref="F158">SUM(IF(ISERROR(F148:F157)=FALSE,F148:F157))</f>
        <v>130821</v>
      </c>
      <c r="G158" s="1733">
        <f t="array" aca="1" ref="G158" ca="1">SUM(IF(ISERROR(G148:G157)=FALSE,G148:G157))</f>
        <v>55859560</v>
      </c>
      <c r="H158" s="1785"/>
      <c r="I158" s="1788">
        <f t="array" aca="1" ref="I158" ca="1">SUM(IF(ISERROR(I148:I157)=FALSE,I148:I157))</f>
        <v>0.999</v>
      </c>
    </row>
    <row r="159" spans="1:10" ht="28.5" customHeight="1" x14ac:dyDescent="0.15">
      <c r="I159" s="55"/>
    </row>
    <row r="160" spans="1:10" ht="28.5" customHeight="1" x14ac:dyDescent="0.15">
      <c r="I160" s="55"/>
    </row>
    <row r="161" spans="1:9" ht="28.5" customHeight="1" x14ac:dyDescent="0.15">
      <c r="I161" s="55"/>
    </row>
    <row r="162" spans="1:9" ht="28.5" customHeight="1" x14ac:dyDescent="0.15">
      <c r="I162" s="55"/>
    </row>
    <row r="163" spans="1:9" ht="28.5" customHeight="1" x14ac:dyDescent="0.15">
      <c r="I163" s="55"/>
    </row>
    <row r="164" spans="1:9" ht="28.5" customHeight="1" x14ac:dyDescent="0.15">
      <c r="I164" s="55"/>
    </row>
    <row r="165" spans="1:9" ht="28.5" customHeight="1" x14ac:dyDescent="0.15">
      <c r="I165" s="55"/>
    </row>
    <row r="166" spans="1:9" ht="28.5" customHeight="1" x14ac:dyDescent="0.15">
      <c r="I166" s="55"/>
    </row>
    <row r="167" spans="1:9" ht="28.5" customHeight="1" x14ac:dyDescent="0.15">
      <c r="I167" s="55"/>
    </row>
    <row r="168" spans="1:9" ht="28.5" customHeight="1" x14ac:dyDescent="0.15">
      <c r="I168" s="55"/>
    </row>
    <row r="169" spans="1:9" ht="28.5" customHeight="1" x14ac:dyDescent="0.15">
      <c r="I169" s="55"/>
    </row>
    <row r="170" spans="1:9" ht="28.5" customHeight="1" thickBot="1" x14ac:dyDescent="0.2">
      <c r="A170" s="1503" t="s">
        <v>1371</v>
      </c>
      <c r="B170" s="1491" t="str">
        <f>A170 &amp; "業種別売上"</f>
        <v>千葉西業種別売上</v>
      </c>
      <c r="I170" s="55"/>
    </row>
    <row r="171" spans="1:9" ht="28.5" customHeight="1" thickBot="1" x14ac:dyDescent="0.2">
      <c r="B171" s="1694" t="s">
        <v>13</v>
      </c>
      <c r="C171" s="1705">
        <f>$C$2</f>
        <v>43556</v>
      </c>
      <c r="D171" s="1706">
        <f>EDATE(C171,-1)</f>
        <v>43525</v>
      </c>
      <c r="E171" s="2245" t="s">
        <v>1352</v>
      </c>
      <c r="F171" s="2245"/>
      <c r="G171" s="1757" t="s">
        <v>1411</v>
      </c>
      <c r="H171" s="1784"/>
      <c r="I171" s="1787" t="s">
        <v>1413</v>
      </c>
    </row>
    <row r="172" spans="1:9" ht="28.5" customHeight="1" x14ac:dyDescent="0.15">
      <c r="B172" s="1746" t="str">
        <f t="array" ref="B172">VLOOKUP("*",IF(range_推移当月売上&lt;&gt;0,IF(range_推移事業所名=A170,range_推移事業所別売上)),3,FALSE)</f>
        <v>訪問</v>
      </c>
      <c r="C172" s="1698">
        <f>IF(B172="",NA(),SUMIFS(range_推移当月売上,range_推移事業所名,A170,range_推移事業名,B172))</f>
        <v>1324858</v>
      </c>
      <c r="D172" s="1698">
        <f>IF(B172="",NA(),SUMIFS(range_推移前月売上,range_推移事業所名,A170,range_推移事業名,B172))</f>
        <v>965383</v>
      </c>
      <c r="E172" s="1499">
        <f>IF(ISERROR(C172),"",IF(F172&gt;0,1,IF(F172=0,0,-1)))</f>
        <v>1</v>
      </c>
      <c r="F172" s="1697">
        <f t="shared" ref="F172:F181" si="28">IFERROR(C172,0)-IFERROR(D172,0)</f>
        <v>359475</v>
      </c>
      <c r="G172" s="1700">
        <f ca="1">IF(B172="",NA(),SUMIFS(range_推移期累計,range_推移事業所名,A170,range_推移事業名,B172))</f>
        <v>4589686</v>
      </c>
      <c r="H172" s="1785"/>
      <c r="I172" s="1788">
        <f ca="1">IF(G172&lt;=0,0,ROUND(G172/G182,3))</f>
        <v>0.69199999999999995</v>
      </c>
    </row>
    <row r="173" spans="1:9" ht="28.5" customHeight="1" x14ac:dyDescent="0.15">
      <c r="B173" s="1746" t="str">
        <f t="array" ref="B173">IFERROR(VLOOKUP("*",IF(range_推移当月売上&lt;&gt;0,IF(COUNTIF(B172:B172,range_推移事業名)=0,
IF(range_推移事業所名=A170,range_推移事業所別売上))),3,FALSE),"")</f>
        <v>障害</v>
      </c>
      <c r="C173" s="1698">
        <f>IF(B173="",NA(),SUMIFS(range_推移当月売上,range_推移事業所名,A170,range_推移事業名,B173))</f>
        <v>517678</v>
      </c>
      <c r="D173" s="1698">
        <f>IF(B173="",NA(),SUMIFS(range_推移前月売上,range_推移事業所名,A170,range_推移事業名,B173))</f>
        <v>408589</v>
      </c>
      <c r="E173" s="1499">
        <f t="shared" ref="E173:E181" si="29">IF(ISERROR(C173),"",IF(F173&gt;0,1,IF(F173=0,0,-1)))</f>
        <v>1</v>
      </c>
      <c r="F173" s="1699">
        <f t="shared" si="28"/>
        <v>109089</v>
      </c>
      <c r="G173" s="1700">
        <f ca="1">IF(B173="",NA(),SUMIFS(range_推移期累計,range_推移事業所名,A170,range_推移事業名,B173))</f>
        <v>1765815</v>
      </c>
      <c r="H173" s="1785"/>
      <c r="I173" s="1788">
        <f ca="1">IF(G173&lt;=0,0,ROUND(G173/G182,3))</f>
        <v>0.26600000000000001</v>
      </c>
    </row>
    <row r="174" spans="1:9" ht="28.5" customHeight="1" x14ac:dyDescent="0.15">
      <c r="B174" s="1746" t="str">
        <f t="array" ref="B174">IFERROR(VLOOKUP("*",IF(range_推移当月売上&lt;&gt;0,IF(COUNTIF(B172:B173,range_推移事業名)=0,
IF(range_推移事業所名=A170,range_推移事業所別売上))),3,FALSE),"")</f>
        <v>移動支援</v>
      </c>
      <c r="C174" s="1698">
        <f>IF(B174="",NA(),SUMIFS(range_推移当月売上,range_推移事業所名,A170,range_推移事業名,B174))</f>
        <v>50090</v>
      </c>
      <c r="D174" s="1698">
        <f>IF(B174="",NA(),SUMIFS(range_推移前月売上,range_推移事業所名,A170,range_推移事業名,B174))</f>
        <v>52740</v>
      </c>
      <c r="E174" s="1499">
        <f t="shared" si="29"/>
        <v>-1</v>
      </c>
      <c r="F174" s="1699">
        <f t="shared" si="28"/>
        <v>-2650</v>
      </c>
      <c r="G174" s="1700">
        <f ca="1">IF(B174="",NA(),SUMIFS(range_推移期累計,range_推移事業所名,A170,range_推移事業名,B174))</f>
        <v>240206</v>
      </c>
      <c r="H174" s="1785"/>
      <c r="I174" s="1788">
        <f ca="1">IF(G174&lt;=0,0,ROUND(G174/G182,3))</f>
        <v>3.5999999999999997E-2</v>
      </c>
    </row>
    <row r="175" spans="1:9" ht="28.5" customHeight="1" x14ac:dyDescent="0.15">
      <c r="B175" s="1746" t="str">
        <f t="array" ref="B175">IFERROR(VLOOKUP("*",IF(range_推移当月売上&lt;&gt;0,IF(COUNTIF(B172:B174,range_推移事業名)=0,
IF(range_推移事業所名=A170,range_推移事業所別売上))),3,FALSE),"")</f>
        <v>自費</v>
      </c>
      <c r="C175" s="1698">
        <f>IF(B175="",NA(),SUMIFS(range_推移当月売上,range_推移事業所名,A170,range_推移事業名,B175))</f>
        <v>11050</v>
      </c>
      <c r="D175" s="1698">
        <f>IF(B175="",NA(),SUMIFS(range_推移前月売上,range_推移事業所名,A170,range_推移事業名,B175))</f>
        <v>11050</v>
      </c>
      <c r="E175" s="1499">
        <f t="shared" si="29"/>
        <v>0</v>
      </c>
      <c r="F175" s="1699">
        <f t="shared" si="28"/>
        <v>0</v>
      </c>
      <c r="G175" s="1700">
        <f ca="1">IF(B175="",NA(),SUMIFS(range_推移期累計,range_推移事業所名,A170,range_推移事業名,B175))</f>
        <v>36550</v>
      </c>
      <c r="H175" s="1785"/>
      <c r="I175" s="1788">
        <f ca="1">IF(G175&lt;=0,0,ROUND(G175/G182,3))</f>
        <v>6.0000000000000001E-3</v>
      </c>
    </row>
    <row r="176" spans="1:9" ht="28.5" customHeight="1" x14ac:dyDescent="0.15">
      <c r="B176" s="1746" t="str">
        <f t="array" ref="B176">IFERROR(VLOOKUP("*",IF(range_推移当月売上&lt;&gt;0,IF(COUNTIF(B172:B175,range_推移事業名)=0,
IF(range_推移事業所名=A170,range_推移事業所別売上))),3,FALSE),"")</f>
        <v>買物交通費</v>
      </c>
      <c r="C176" s="1698">
        <f>IF(B176="",NA(),SUMIFS(range_推移当月売上,range_推移事業所名,A170,range_推移事業名,B176))</f>
        <v>1518</v>
      </c>
      <c r="D176" s="1698">
        <f>IF(B176="",NA(),SUMIFS(range_推移前月売上,range_推移事業所名,A170,range_推移事業名,B176))</f>
        <v>845</v>
      </c>
      <c r="E176" s="1499">
        <f t="shared" si="29"/>
        <v>1</v>
      </c>
      <c r="F176" s="1699">
        <f t="shared" si="28"/>
        <v>673</v>
      </c>
      <c r="G176" s="1700">
        <f ca="1">IF(B176="",NA(),SUMIFS(range_推移期累計,range_推移事業所名,A170,range_推移事業名,B176))</f>
        <v>4612</v>
      </c>
      <c r="H176" s="1785"/>
      <c r="I176" s="1788">
        <f ca="1">IF(G176&lt;=0,0,ROUND(G176/G182,3))</f>
        <v>1E-3</v>
      </c>
    </row>
    <row r="177" spans="1:9" ht="28.5" customHeight="1" x14ac:dyDescent="0.15">
      <c r="A177" s="1503" t="str">
        <f>IF(ISERROR(C177),"",B177)</f>
        <v/>
      </c>
      <c r="B177" s="1746" t="str">
        <f t="array" ref="B177">IFERROR(VLOOKUP("*",IF(range_推移当月売上&lt;&gt;0,IF(COUNTIF(B172:B176,range_推移事業名)=0,
IF(range_推移事業所名=A170,range_推移事業所別売上))),3,FALSE),"")</f>
        <v/>
      </c>
      <c r="C177" s="1698" t="e">
        <f>IF(B177="",NA(),SUMIFS(range_推移当月売上,range_推移事業所名,A170,range_推移事業名,B177))</f>
        <v>#N/A</v>
      </c>
      <c r="D177" s="1698" t="e">
        <f>IF(B177="",NA(),SUMIFS(range_推移前月売上,range_推移事業所名,A170,range_推移事業名,B177))</f>
        <v>#N/A</v>
      </c>
      <c r="E177" s="1499" t="str">
        <f t="shared" si="29"/>
        <v/>
      </c>
      <c r="F177" s="1699">
        <f t="shared" si="28"/>
        <v>0</v>
      </c>
      <c r="G177" s="1700" t="e">
        <f>IF(B177="",NA(),SUMIFS(range_推移期累計,range_推移事業所名,A170,range_推移事業名,B177))</f>
        <v>#N/A</v>
      </c>
      <c r="H177" s="1785"/>
      <c r="I177" s="1788" t="e">
        <f>IF(G177&lt;=0,0,ROUND(G177/G182,3))</f>
        <v>#N/A</v>
      </c>
    </row>
    <row r="178" spans="1:9" ht="28.5" customHeight="1" x14ac:dyDescent="0.15">
      <c r="A178" s="1503" t="str">
        <f>IF(ISERROR(C178),"",B178)</f>
        <v/>
      </c>
      <c r="B178" s="1746" t="str">
        <f t="array" ref="B178">IFERROR(VLOOKUP("*",IF(range_推移当月売上&lt;&gt;0,IF(COUNTIF(B172:B177,range_推移事業名)=0,
IF(range_推移事業所名=A170,range_推移事業所別売上))),3,FALSE),"")</f>
        <v/>
      </c>
      <c r="C178" s="1698" t="e">
        <f>IF(B178="",NA(),SUMIFS(range_推移当月売上,range_推移事業所名,A170,range_推移事業名,B178))</f>
        <v>#N/A</v>
      </c>
      <c r="D178" s="1698" t="e">
        <f>IF(B178="",NA(),SUMIFS(range_推移前月売上,range_推移事業所名,A170,range_推移事業名,B178))</f>
        <v>#N/A</v>
      </c>
      <c r="E178" s="1499" t="str">
        <f t="shared" si="29"/>
        <v/>
      </c>
      <c r="F178" s="1699">
        <f t="shared" si="28"/>
        <v>0</v>
      </c>
      <c r="G178" s="1700" t="e">
        <f>IF(B178="",NA(),SUMIFS(range_推移期累計,range_推移事業所名,A170,range_推移事業名,B178))</f>
        <v>#N/A</v>
      </c>
      <c r="H178" s="1785"/>
      <c r="I178" s="1788" t="e">
        <f>IF(G178&lt;=0,0,ROUND(G178/G182,3))</f>
        <v>#N/A</v>
      </c>
    </row>
    <row r="179" spans="1:9" ht="28.5" customHeight="1" x14ac:dyDescent="0.15">
      <c r="A179" s="1503" t="str">
        <f>IF(ISERROR(C179),"",B179)</f>
        <v/>
      </c>
      <c r="B179" s="1746" t="str">
        <f t="array" ref="B179">IFERROR(VLOOKUP("*",IF(range_推移当月売上&lt;&gt;0,IF(COUNTIF(B172:B178,range_推移事業名)=0,
IF(range_推移事業所名=A170,range_推移事業所別売上))),3,FALSE),"")</f>
        <v/>
      </c>
      <c r="C179" s="1698" t="e">
        <f>IF(B179="",NA(),SUMIFS(range_推移当月売上,range_推移事業所名,A170,range_推移事業名,B179))</f>
        <v>#N/A</v>
      </c>
      <c r="D179" s="1698" t="e">
        <f>IF(B179="",NA(),SUMIFS(range_推移前月売上,range_推移事業所名,A170,range_推移事業名,B179))</f>
        <v>#N/A</v>
      </c>
      <c r="E179" s="1499" t="str">
        <f t="shared" si="29"/>
        <v/>
      </c>
      <c r="F179" s="1699">
        <f t="shared" si="28"/>
        <v>0</v>
      </c>
      <c r="G179" s="1700" t="e">
        <f>IF(B179="",NA(),SUMIFS(range_推移期累計,range_推移事業所名,A170,range_推移事業名,B179))</f>
        <v>#N/A</v>
      </c>
      <c r="H179" s="1785"/>
      <c r="I179" s="1788" t="e">
        <f>IF(G179&lt;=0,0,ROUND(G179/G182,3))</f>
        <v>#N/A</v>
      </c>
    </row>
    <row r="180" spans="1:9" ht="28.5" customHeight="1" x14ac:dyDescent="0.15">
      <c r="A180" s="1503" t="str">
        <f>IF(ISERROR(C180),"",B180)</f>
        <v/>
      </c>
      <c r="B180" s="1746" t="str">
        <f t="array" ref="B180">IFERROR(VLOOKUP("*",IF(range_推移当月売上&lt;&gt;0,IF(COUNTIF(B172:B179,range_推移事業名)=0,
IF(range_推移事業所名=A170,range_推移事業所別売上))),3,FALSE),"")</f>
        <v/>
      </c>
      <c r="C180" s="1698" t="e">
        <f>IF(B180="",NA(),SUMIFS(range_推移当月売上,range_推移事業所名,A170,range_推移事業名,B180))</f>
        <v>#N/A</v>
      </c>
      <c r="D180" s="1698" t="e">
        <f>IF(B180="",NA(),SUMIFS(range_推移前月売上,range_推移事業所名,A170,range_推移事業名,B180))</f>
        <v>#N/A</v>
      </c>
      <c r="E180" s="1499" t="str">
        <f t="shared" si="29"/>
        <v/>
      </c>
      <c r="F180" s="1699">
        <f t="shared" si="28"/>
        <v>0</v>
      </c>
      <c r="G180" s="1700" t="e">
        <f>IF(B180="",NA(),SUMIFS(range_推移期累計,range_推移事業所名,A170,range_推移事業名,B180))</f>
        <v>#N/A</v>
      </c>
      <c r="H180" s="1785"/>
      <c r="I180" s="1788" t="e">
        <f>IF(G180&lt;=0,0,ROUND(G180/G182,3))</f>
        <v>#N/A</v>
      </c>
    </row>
    <row r="181" spans="1:9" ht="28.5" customHeight="1" thickBot="1" x14ac:dyDescent="0.2">
      <c r="A181" s="1503" t="str">
        <f>IF(ISERROR(C181),"",B181)</f>
        <v/>
      </c>
      <c r="B181" s="1748" t="str">
        <f t="array" ref="B181">IFERROR(VLOOKUP("*",IF(range_推移当月売上&lt;&gt;0,IF(COUNTIF(B172:B180,range_推移事業名)=0,
IF(range_推移事業所名=A170,range_推移事業所別売上))),3,FALSE),"")</f>
        <v/>
      </c>
      <c r="C181" s="1698" t="e">
        <f>IF(B181="",NA(),SUMIFS(range_推移当月売上,range_推移事業所名,A170,range_推移事業名,B181))</f>
        <v>#N/A</v>
      </c>
      <c r="D181" s="1698" t="e">
        <f>IF(B181="",NA(),SUMIFS(range_推移前月売上,range_推移事業所名,A170,range_推移事業名,B181))</f>
        <v>#N/A</v>
      </c>
      <c r="E181" s="1499" t="str">
        <f t="shared" si="29"/>
        <v/>
      </c>
      <c r="F181" s="1699">
        <f t="shared" si="28"/>
        <v>0</v>
      </c>
      <c r="G181" s="1700" t="e">
        <f>IF(B181="",NA(),SUMIFS(range_推移期累計,range_推移事業所名,A170,range_推移事業名,B181))</f>
        <v>#N/A</v>
      </c>
      <c r="H181" s="1785"/>
      <c r="I181" s="1788" t="e">
        <f>IF(G181&lt;=0,0,ROUND(G181/G182,3))</f>
        <v>#N/A</v>
      </c>
    </row>
    <row r="182" spans="1:9" ht="28.5" customHeight="1" thickBot="1" x14ac:dyDescent="0.2">
      <c r="B182" s="1754" t="s">
        <v>14</v>
      </c>
      <c r="C182" s="1743">
        <f t="array" ref="C182">SUM(IF(ISERROR(C172:C181)=FALSE,C172:C181))</f>
        <v>1905194</v>
      </c>
      <c r="D182" s="1743">
        <f t="array" ref="D182">SUM(IF(ISERROR(D172:D181)=FALSE,D172:D181))</f>
        <v>1438607</v>
      </c>
      <c r="E182" s="1501">
        <f>IF(ISERROR(C182),"",IF(F182&gt;0,1,IF(F182=0,0,-1)))</f>
        <v>1</v>
      </c>
      <c r="F182" s="1744">
        <f t="array" ref="F182">SUM(IF(ISERROR(F172:F181)=FALSE,F172:F181))</f>
        <v>466587</v>
      </c>
      <c r="G182" s="1733">
        <f t="array" aca="1" ref="G182" ca="1">SUM(IF(ISERROR(G172:G181)=FALSE,G172:G181))</f>
        <v>6636869</v>
      </c>
      <c r="H182" s="1785"/>
      <c r="I182" s="1788">
        <f t="array" aca="1" ref="I182" ca="1">SUM(IF(ISERROR(I172:I181)=FALSE,I172:I181))</f>
        <v>1.0009999999999999</v>
      </c>
    </row>
    <row r="183" spans="1:9" ht="28.5" customHeight="1" x14ac:dyDescent="0.15">
      <c r="I183" s="55"/>
    </row>
    <row r="184" spans="1:9" ht="28.5" customHeight="1" x14ac:dyDescent="0.15">
      <c r="I184" s="55"/>
    </row>
    <row r="185" spans="1:9" ht="28.5" customHeight="1" x14ac:dyDescent="0.15">
      <c r="I185" s="55"/>
    </row>
    <row r="186" spans="1:9" ht="28.5" customHeight="1" x14ac:dyDescent="0.15">
      <c r="I186" s="55"/>
    </row>
    <row r="187" spans="1:9" ht="28.5" customHeight="1" x14ac:dyDescent="0.15">
      <c r="I187" s="55"/>
    </row>
    <row r="188" spans="1:9" ht="28.5" customHeight="1" x14ac:dyDescent="0.15">
      <c r="I188" s="55"/>
    </row>
    <row r="189" spans="1:9" ht="28.5" customHeight="1" x14ac:dyDescent="0.15">
      <c r="I189" s="55"/>
    </row>
    <row r="190" spans="1:9" ht="28.5" customHeight="1" x14ac:dyDescent="0.15">
      <c r="I190" s="55"/>
    </row>
    <row r="191" spans="1:9" ht="28.5" customHeight="1" x14ac:dyDescent="0.15">
      <c r="I191" s="55"/>
    </row>
    <row r="192" spans="1:9" ht="28.5" customHeight="1" x14ac:dyDescent="0.15">
      <c r="I192" s="55"/>
    </row>
    <row r="193" spans="1:9" ht="28.5" customHeight="1" x14ac:dyDescent="0.15">
      <c r="I193" s="55"/>
    </row>
    <row r="194" spans="1:9" ht="28.5" customHeight="1" thickBot="1" x14ac:dyDescent="0.2">
      <c r="A194" s="1503" t="s">
        <v>1372</v>
      </c>
      <c r="B194" s="1491" t="str">
        <f>A194 &amp; "業種別売上"</f>
        <v>白金デイ業種別売上</v>
      </c>
      <c r="I194" s="55"/>
    </row>
    <row r="195" spans="1:9" ht="28.5" customHeight="1" thickBot="1" x14ac:dyDescent="0.2">
      <c r="B195" s="1694" t="s">
        <v>13</v>
      </c>
      <c r="C195" s="1705">
        <f>$C$2</f>
        <v>43556</v>
      </c>
      <c r="D195" s="1706">
        <f>EDATE(C195,-1)</f>
        <v>43525</v>
      </c>
      <c r="E195" s="2245" t="s">
        <v>1352</v>
      </c>
      <c r="F195" s="2245"/>
      <c r="G195" s="1757" t="s">
        <v>1411</v>
      </c>
      <c r="H195" s="1784"/>
      <c r="I195" s="1787" t="s">
        <v>1413</v>
      </c>
    </row>
    <row r="196" spans="1:9" ht="28.5" customHeight="1" x14ac:dyDescent="0.15">
      <c r="B196" s="1746" t="str">
        <f t="array" ref="B196">VLOOKUP("*",IF(range_推移当月売上&lt;&gt;0,IF(range_推移事業所名=A194,range_推移事業所別売上)),3,FALSE)</f>
        <v>通所介護</v>
      </c>
      <c r="C196" s="1698">
        <f>IF(B196="",NA(),SUMIFS(range_推移当月売上,range_推移事業所名,A194,range_推移事業名,B196))</f>
        <v>4128975</v>
      </c>
      <c r="D196" s="1698">
        <f>IF(B196="",NA(),SUMIFS(range_推移前月売上,range_推移事業所名,A194,range_推移事業名,B196))</f>
        <v>4589983</v>
      </c>
      <c r="E196" s="1499">
        <f>IF(ISERROR(C196),"",IF(F196&gt;0,1,IF(F196=0,0,-1)))</f>
        <v>-1</v>
      </c>
      <c r="F196" s="1697">
        <f t="shared" ref="F196:F205" si="30">IFERROR(C196,0)-IFERROR(D196,0)</f>
        <v>-461008</v>
      </c>
      <c r="G196" s="1700">
        <f ca="1">IF(B196="",NA(),SUMIFS(range_推移期累計,range_推移事業所名,A194,range_推移事業名,B196))</f>
        <v>33788894</v>
      </c>
      <c r="H196" s="1785"/>
      <c r="I196" s="1788">
        <f ca="1">IF(G196&lt;=0,0,ROUND(G196/G206,3))</f>
        <v>0.93700000000000006</v>
      </c>
    </row>
    <row r="197" spans="1:9" ht="28.5" customHeight="1" x14ac:dyDescent="0.15">
      <c r="B197" s="1746" t="str">
        <f t="array" ref="B197">IFERROR(VLOOKUP("*",IF(range_推移当月売上&lt;&gt;0,IF(COUNTIF(B196:B196,range_推移事業名)=0,
IF(range_推移事業所名=A194,range_推移事業所別売上))),3,FALSE),"")</f>
        <v>自費</v>
      </c>
      <c r="C197" s="1698">
        <f>IF(B197="",NA(),SUMIFS(range_推移当月売上,range_推移事業所名,A194,range_推移事業名,B197))</f>
        <v>9000</v>
      </c>
      <c r="D197" s="1698">
        <f>IF(B197="",NA(),SUMIFS(range_推移前月売上,range_推移事業所名,A194,range_推移事業名,B197))</f>
        <v>11000</v>
      </c>
      <c r="E197" s="1499">
        <f t="shared" ref="E197:E205" si="31">IF(ISERROR(C197),"",IF(F197&gt;0,1,IF(F197=0,0,-1)))</f>
        <v>-1</v>
      </c>
      <c r="F197" s="1699">
        <f t="shared" si="30"/>
        <v>-2000</v>
      </c>
      <c r="G197" s="1700">
        <f ca="1">IF(B197="",NA(),SUMIFS(range_推移期累計,range_推移事業所名,A194,range_推移事業名,B197))</f>
        <v>53000</v>
      </c>
      <c r="H197" s="1785"/>
      <c r="I197" s="1788">
        <f ca="1">IF(G197&lt;=0,0,ROUND(G197/G206,3))</f>
        <v>1E-3</v>
      </c>
    </row>
    <row r="198" spans="1:9" ht="28.5" customHeight="1" x14ac:dyDescent="0.15">
      <c r="B198" s="1746" t="str">
        <f t="array" ref="B198">IFERROR(VLOOKUP("*",IF(range_推移当月売上&lt;&gt;0,IF(COUNTIF(B196:B197,range_推移事業名)=0,
IF(range_推移事業所名=A194,range_推移事業所別売上))),3,FALSE),"")</f>
        <v>昼食代</v>
      </c>
      <c r="C198" s="1698">
        <f>IF(B198="",NA(),SUMIFS(range_推移当月売上,range_推移事業所名,A194,range_推移事業名,B198))</f>
        <v>288000</v>
      </c>
      <c r="D198" s="1698">
        <f>IF(B198="",NA(),SUMIFS(range_推移前月売上,range_推移事業所名,A194,range_推移事業名,B198))</f>
        <v>330200</v>
      </c>
      <c r="E198" s="1499">
        <f t="shared" si="31"/>
        <v>-1</v>
      </c>
      <c r="F198" s="1699">
        <f t="shared" si="30"/>
        <v>-42200</v>
      </c>
      <c r="G198" s="1700">
        <f ca="1">IF(B198="",NA(),SUMIFS(range_推移期累計,range_推移事業所名,A194,range_推移事業名,B198))</f>
        <v>2227150</v>
      </c>
      <c r="H198" s="1785"/>
      <c r="I198" s="1788">
        <f ca="1">IF(G198&lt;=0,0,ROUND(G198/G206,3))</f>
        <v>6.2E-2</v>
      </c>
    </row>
    <row r="199" spans="1:9" ht="28.5" customHeight="1" x14ac:dyDescent="0.15">
      <c r="A199" s="1503" t="str">
        <f t="shared" ref="A199:A205" si="32">IF(ISERROR(C199),"",B199)</f>
        <v/>
      </c>
      <c r="B199" s="1746" t="str">
        <f t="array" ref="B199">IFERROR(VLOOKUP("*",IF(range_推移当月売上&lt;&gt;0,IF(COUNTIF(B196:B198,range_推移事業名)=0,
IF(range_推移事業所名=A194,range_推移事業所別売上))),3,FALSE),"")</f>
        <v/>
      </c>
      <c r="C199" s="1698" t="e">
        <f>IF(B199="",NA(),SUMIFS(range_推移当月売上,range_推移事業所名,A194,range_推移事業名,B199))</f>
        <v>#N/A</v>
      </c>
      <c r="D199" s="1698" t="e">
        <f>IF(B199="",NA(),SUMIFS(range_推移前月売上,range_推移事業所名,A194,range_推移事業名,B199))</f>
        <v>#N/A</v>
      </c>
      <c r="E199" s="1499" t="str">
        <f t="shared" si="31"/>
        <v/>
      </c>
      <c r="F199" s="1699">
        <f t="shared" si="30"/>
        <v>0</v>
      </c>
      <c r="G199" s="1700" t="e">
        <f>IF(B199="",NA(),SUMIFS(range_推移期累計,range_推移事業所名,A194,range_推移事業名,B199))</f>
        <v>#N/A</v>
      </c>
      <c r="H199" s="1785"/>
      <c r="I199" s="1788" t="e">
        <f>IF(G199&lt;=0,0,ROUND(G199/G206,3))</f>
        <v>#N/A</v>
      </c>
    </row>
    <row r="200" spans="1:9" ht="28.5" customHeight="1" x14ac:dyDescent="0.15">
      <c r="A200" s="1503" t="str">
        <f t="shared" si="32"/>
        <v/>
      </c>
      <c r="B200" s="1746" t="str">
        <f t="array" ref="B200">IFERROR(VLOOKUP("*",IF(range_推移当月売上&lt;&gt;0,IF(COUNTIF(B196:B199,range_推移事業名)=0,
IF(range_推移事業所名=A194,range_推移事業所別売上))),3,FALSE),"")</f>
        <v/>
      </c>
      <c r="C200" s="1698" t="e">
        <f>IF(B200="",NA(),SUMIFS(range_推移当月売上,range_推移事業所名,A194,range_推移事業名,B200))</f>
        <v>#N/A</v>
      </c>
      <c r="D200" s="1698" t="e">
        <f>IF(B200="",NA(),SUMIFS(range_推移前月売上,range_推移事業所名,A194,range_推移事業名,B200))</f>
        <v>#N/A</v>
      </c>
      <c r="E200" s="1499" t="str">
        <f t="shared" si="31"/>
        <v/>
      </c>
      <c r="F200" s="1699">
        <f t="shared" si="30"/>
        <v>0</v>
      </c>
      <c r="G200" s="1700" t="e">
        <f>IF(B200="",NA(),SUMIFS(range_推移期累計,range_推移事業所名,A194,range_推移事業名,B200))</f>
        <v>#N/A</v>
      </c>
      <c r="H200" s="1785"/>
      <c r="I200" s="1788" t="e">
        <f>IF(G200&lt;=0,0,ROUND(G200/G206,3))</f>
        <v>#N/A</v>
      </c>
    </row>
    <row r="201" spans="1:9" ht="28.5" customHeight="1" x14ac:dyDescent="0.15">
      <c r="A201" s="1503" t="str">
        <f t="shared" si="32"/>
        <v/>
      </c>
      <c r="B201" s="1746" t="str">
        <f t="array" ref="B201">IFERROR(VLOOKUP("*",IF(range_推移当月売上&lt;&gt;0,IF(COUNTIF(B196:B200,range_推移事業名)=0,
IF(range_推移事業所名=A194,range_推移事業所別売上))),3,FALSE),"")</f>
        <v/>
      </c>
      <c r="C201" s="1698" t="e">
        <f>IF(B201="",NA(),SUMIFS(range_推移当月売上,range_推移事業所名,A194,range_推移事業名,B201))</f>
        <v>#N/A</v>
      </c>
      <c r="D201" s="1698" t="e">
        <f>IF(B201="",NA(),SUMIFS(range_推移前月売上,range_推移事業所名,A194,range_推移事業名,B201))</f>
        <v>#N/A</v>
      </c>
      <c r="E201" s="1499" t="str">
        <f t="shared" si="31"/>
        <v/>
      </c>
      <c r="F201" s="1699">
        <f t="shared" si="30"/>
        <v>0</v>
      </c>
      <c r="G201" s="1700" t="e">
        <f>IF(B201="",NA(),SUMIFS(range_推移期累計,range_推移事業所名,A194,range_推移事業名,B201))</f>
        <v>#N/A</v>
      </c>
      <c r="H201" s="1785"/>
      <c r="I201" s="1788" t="e">
        <f>IF(G201&lt;=0,0,ROUND(G201/G206,3))</f>
        <v>#N/A</v>
      </c>
    </row>
    <row r="202" spans="1:9" ht="28.5" customHeight="1" x14ac:dyDescent="0.15">
      <c r="A202" s="1503" t="str">
        <f t="shared" si="32"/>
        <v/>
      </c>
      <c r="B202" s="1746" t="str">
        <f t="array" ref="B202">IFERROR(VLOOKUP("*",IF(range_推移当月売上&lt;&gt;0,IF(COUNTIF(B196:B201,range_推移事業名)=0,
IF(range_推移事業所名=A194,range_推移事業所別売上))),3,FALSE),"")</f>
        <v/>
      </c>
      <c r="C202" s="1698" t="e">
        <f>IF(B202="",NA(),SUMIFS(range_推移当月売上,range_推移事業所名,A194,range_推移事業名,B202))</f>
        <v>#N/A</v>
      </c>
      <c r="D202" s="1698" t="e">
        <f>IF(B202="",NA(),SUMIFS(range_推移前月売上,range_推移事業所名,A194,range_推移事業名,B202))</f>
        <v>#N/A</v>
      </c>
      <c r="E202" s="1499" t="str">
        <f t="shared" si="31"/>
        <v/>
      </c>
      <c r="F202" s="1699">
        <f t="shared" si="30"/>
        <v>0</v>
      </c>
      <c r="G202" s="1700" t="e">
        <f>IF(B202="",NA(),SUMIFS(range_推移期累計,range_推移事業所名,A194,range_推移事業名,B202))</f>
        <v>#N/A</v>
      </c>
      <c r="H202" s="1785"/>
      <c r="I202" s="1788" t="e">
        <f>IF(G202&lt;=0,0,ROUND(G202/G206,3))</f>
        <v>#N/A</v>
      </c>
    </row>
    <row r="203" spans="1:9" ht="28.5" customHeight="1" x14ac:dyDescent="0.15">
      <c r="A203" s="1503" t="str">
        <f t="shared" si="32"/>
        <v/>
      </c>
      <c r="B203" s="1746" t="str">
        <f t="array" ref="B203">IFERROR(VLOOKUP("*",IF(range_推移当月売上&lt;&gt;0,IF(COUNTIF(B196:B202,range_推移事業名)=0,
IF(range_推移事業所名=A194,range_推移事業所別売上))),3,FALSE),"")</f>
        <v/>
      </c>
      <c r="C203" s="1698" t="e">
        <f>IF(B203="",NA(),SUMIFS(range_推移当月売上,range_推移事業所名,A194,range_推移事業名,B203))</f>
        <v>#N/A</v>
      </c>
      <c r="D203" s="1698" t="e">
        <f>IF(B203="",NA(),SUMIFS(range_推移前月売上,range_推移事業所名,A194,range_推移事業名,B203))</f>
        <v>#N/A</v>
      </c>
      <c r="E203" s="1499" t="str">
        <f t="shared" si="31"/>
        <v/>
      </c>
      <c r="F203" s="1699">
        <f t="shared" si="30"/>
        <v>0</v>
      </c>
      <c r="G203" s="1700" t="e">
        <f>IF(B203="",NA(),SUMIFS(range_推移期累計,range_推移事業所名,A194,range_推移事業名,B203))</f>
        <v>#N/A</v>
      </c>
      <c r="H203" s="1785"/>
      <c r="I203" s="1788" t="e">
        <f>IF(G203&lt;=0,0,ROUND(G203/G206,3))</f>
        <v>#N/A</v>
      </c>
    </row>
    <row r="204" spans="1:9" ht="28.5" customHeight="1" x14ac:dyDescent="0.15">
      <c r="A204" s="1503" t="str">
        <f t="shared" si="32"/>
        <v/>
      </c>
      <c r="B204" s="1746" t="str">
        <f t="array" ref="B204">IFERROR(VLOOKUP("*",IF(range_推移当月売上&lt;&gt;0,IF(COUNTIF(B196:B203,range_推移事業名)=0,
IF(range_推移事業所名=A194,range_推移事業所別売上))),3,FALSE),"")</f>
        <v/>
      </c>
      <c r="C204" s="1698" t="e">
        <f>IF(B204="",NA(),SUMIFS(range_推移当月売上,range_推移事業所名,A194,range_推移事業名,B204))</f>
        <v>#N/A</v>
      </c>
      <c r="D204" s="1698" t="e">
        <f>IF(B204="",NA(),SUMIFS(range_推移前月売上,range_推移事業所名,A194,range_推移事業名,B204))</f>
        <v>#N/A</v>
      </c>
      <c r="E204" s="1499" t="str">
        <f t="shared" si="31"/>
        <v/>
      </c>
      <c r="F204" s="1699">
        <f t="shared" si="30"/>
        <v>0</v>
      </c>
      <c r="G204" s="1700" t="e">
        <f>IF(B204="",NA(),SUMIFS(range_推移期累計,range_推移事業所名,A194,range_推移事業名,B204))</f>
        <v>#N/A</v>
      </c>
      <c r="H204" s="1785"/>
      <c r="I204" s="1788" t="e">
        <f>IF(G204&lt;=0,0,ROUND(G204/G206,3))</f>
        <v>#N/A</v>
      </c>
    </row>
    <row r="205" spans="1:9" ht="28.5" customHeight="1" thickBot="1" x14ac:dyDescent="0.2">
      <c r="A205" s="1503" t="str">
        <f t="shared" si="32"/>
        <v/>
      </c>
      <c r="B205" s="1748" t="str">
        <f t="array" ref="B205">IFERROR(VLOOKUP("*",IF(range_推移当月売上&lt;&gt;0,IF(COUNTIF(B196:B204,range_推移事業名)=0,
IF(range_推移事業所名=A194,range_推移事業所別売上))),3,FALSE),"")</f>
        <v/>
      </c>
      <c r="C205" s="1698" t="e">
        <f>IF(B205="",NA(),SUMIFS(range_推移当月売上,range_推移事業所名,A194,range_推移事業名,B205))</f>
        <v>#N/A</v>
      </c>
      <c r="D205" s="1698" t="e">
        <f>IF(B205="",NA(),SUMIFS(range_推移前月売上,range_推移事業所名,A194,range_推移事業名,B205))</f>
        <v>#N/A</v>
      </c>
      <c r="E205" s="1499" t="str">
        <f t="shared" si="31"/>
        <v/>
      </c>
      <c r="F205" s="1699">
        <f t="shared" si="30"/>
        <v>0</v>
      </c>
      <c r="G205" s="1700" t="e">
        <f>IF(B205="",NA(),SUMIFS(range_推移期累計,range_推移事業所名,A194,range_推移事業名,B205))</f>
        <v>#N/A</v>
      </c>
      <c r="H205" s="1785"/>
      <c r="I205" s="1788" t="e">
        <f>IF(G205&lt;=0,0,ROUND(G205/G206,3))</f>
        <v>#N/A</v>
      </c>
    </row>
    <row r="206" spans="1:9" ht="28.5" customHeight="1" thickBot="1" x14ac:dyDescent="0.2">
      <c r="B206" s="1754" t="s">
        <v>14</v>
      </c>
      <c r="C206" s="1743">
        <f t="array" ref="C206">SUM(IF(ISERROR(C196:C205)=FALSE,C196:C205))</f>
        <v>4425975</v>
      </c>
      <c r="D206" s="1743">
        <f t="array" ref="D206">SUM(IF(ISERROR(D196:D205)=FALSE,D196:D205))</f>
        <v>4931183</v>
      </c>
      <c r="E206" s="1501">
        <f>IF(ISERROR(C206),"",IF(F206&gt;0,1,IF(F206=0,0,-1)))</f>
        <v>-1</v>
      </c>
      <c r="F206" s="1744">
        <f t="array" ref="F206">SUM(IF(ISERROR(F196:F205)=FALSE,F196:F205))</f>
        <v>-505208</v>
      </c>
      <c r="G206" s="1733">
        <f t="array" aca="1" ref="G206" ca="1">SUM(IF(ISERROR(G196:G205)=FALSE,G196:G205))</f>
        <v>36069044</v>
      </c>
      <c r="H206" s="1785"/>
      <c r="I206" s="1788">
        <f t="array" aca="1" ref="I206" ca="1">SUM(IF(ISERROR(I196:I205)=FALSE,I196:I205))</f>
        <v>1</v>
      </c>
    </row>
    <row r="207" spans="1:9" ht="28.5" customHeight="1" x14ac:dyDescent="0.15">
      <c r="I207" s="55"/>
    </row>
    <row r="208" spans="1:9" ht="28.5" customHeight="1" x14ac:dyDescent="0.15">
      <c r="I208" s="55"/>
    </row>
    <row r="209" spans="1:9" ht="28.5" customHeight="1" x14ac:dyDescent="0.15">
      <c r="I209" s="55"/>
    </row>
    <row r="210" spans="1:9" ht="28.5" customHeight="1" x14ac:dyDescent="0.15">
      <c r="I210" s="55"/>
    </row>
    <row r="211" spans="1:9" ht="28.5" customHeight="1" x14ac:dyDescent="0.15">
      <c r="I211" s="55"/>
    </row>
    <row r="212" spans="1:9" ht="28.5" customHeight="1" x14ac:dyDescent="0.15">
      <c r="I212" s="55"/>
    </row>
    <row r="213" spans="1:9" ht="28.5" customHeight="1" x14ac:dyDescent="0.15">
      <c r="I213" s="55"/>
    </row>
    <row r="214" spans="1:9" ht="28.5" customHeight="1" x14ac:dyDescent="0.15">
      <c r="I214" s="55"/>
    </row>
    <row r="215" spans="1:9" ht="28.5" customHeight="1" x14ac:dyDescent="0.15">
      <c r="I215" s="55"/>
    </row>
    <row r="216" spans="1:9" ht="28.5" customHeight="1" x14ac:dyDescent="0.15">
      <c r="I216" s="55"/>
    </row>
    <row r="217" spans="1:9" ht="28.5" customHeight="1" x14ac:dyDescent="0.15">
      <c r="I217" s="55"/>
    </row>
    <row r="218" spans="1:9" ht="28.5" customHeight="1" thickBot="1" x14ac:dyDescent="0.2">
      <c r="A218" s="1503" t="s">
        <v>1373</v>
      </c>
      <c r="B218" s="1491" t="str">
        <f>A218 &amp; "業種別売上"</f>
        <v>二日市場業種別売上</v>
      </c>
      <c r="I218" s="55"/>
    </row>
    <row r="219" spans="1:9" ht="28.5" customHeight="1" thickBot="1" x14ac:dyDescent="0.2">
      <c r="B219" s="1694" t="s">
        <v>13</v>
      </c>
      <c r="C219" s="1705">
        <f>$C$2</f>
        <v>43556</v>
      </c>
      <c r="D219" s="1706">
        <f>EDATE(C219,-1)</f>
        <v>43525</v>
      </c>
      <c r="E219" s="2245" t="s">
        <v>1352</v>
      </c>
      <c r="F219" s="2245"/>
      <c r="G219" s="1757" t="s">
        <v>1411</v>
      </c>
      <c r="H219" s="1784"/>
      <c r="I219" s="1787" t="s">
        <v>1413</v>
      </c>
    </row>
    <row r="220" spans="1:9" ht="28.5" customHeight="1" x14ac:dyDescent="0.15">
      <c r="B220" s="1746" t="str">
        <f t="array" ref="B220">VLOOKUP("*",IF(range_推移当月売上&lt;&gt;0,IF(range_推移事業所名=A218,range_推移事業所別売上)),3,FALSE)</f>
        <v>訪問</v>
      </c>
      <c r="C220" s="1698">
        <f>IF(B220="",NA(),SUMIFS(range_推移当月売上,range_推移事業所名,A218,range_推移事業名,B220))</f>
        <v>1684049</v>
      </c>
      <c r="D220" s="1698">
        <f>IF(B220="",NA(),SUMIFS(range_推移前月売上,range_推移事業所名,A218,range_推移事業名,B220))</f>
        <v>1715602</v>
      </c>
      <c r="E220" s="1499">
        <f>IF(ISERROR(C220),"",IF(F220&gt;0,1,IF(F220=0,0,-1)))</f>
        <v>-1</v>
      </c>
      <c r="F220" s="1697">
        <f t="shared" ref="F220:F229" si="33">IFERROR(C220,0)-IFERROR(D220,0)</f>
        <v>-31553</v>
      </c>
      <c r="G220" s="1700">
        <f ca="1">IF(B220="",NA(),SUMIFS(range_推移期累計,range_推移事業所名,A218,range_推移事業名,B220))</f>
        <v>14472393</v>
      </c>
      <c r="H220" s="1785"/>
      <c r="I220" s="1788">
        <f ca="1">IF(G220&lt;=0,0,ROUND(G220/G230,3))</f>
        <v>0.69799999999999995</v>
      </c>
    </row>
    <row r="221" spans="1:9" ht="28.5" customHeight="1" x14ac:dyDescent="0.15">
      <c r="B221" s="1746" t="str">
        <f t="array" ref="B221">IFERROR(VLOOKUP("*",IF(range_推移当月売上&lt;&gt;0,IF(COUNTIF(B220:B220,range_推移事業名)=0,
IF(range_推移事業所名=A218,range_推移事業所別売上))),3,FALSE),"")</f>
        <v>生活費</v>
      </c>
      <c r="C221" s="1698">
        <f>IF(B221="",NA(),SUMIFS(range_推移当月売上,range_推移事業所名,A218,range_推移事業名,B221))</f>
        <v>778420</v>
      </c>
      <c r="D221" s="1698">
        <f>IF(B221="",NA(),SUMIFS(range_推移前月売上,range_推移事業所名,A218,range_推移事業名,B221))</f>
        <v>782660</v>
      </c>
      <c r="E221" s="1499">
        <f t="shared" ref="E221:E229" si="34">IF(ISERROR(C221),"",IF(F221&gt;0,1,IF(F221=0,0,-1)))</f>
        <v>-1</v>
      </c>
      <c r="F221" s="1699">
        <f t="shared" si="33"/>
        <v>-4240</v>
      </c>
      <c r="G221" s="1700">
        <f ca="1">IF(B221="",NA(),SUMIFS(range_推移期累計,range_推移事業所名,A218,range_推移事業名,B221))</f>
        <v>6248260</v>
      </c>
      <c r="H221" s="1785"/>
      <c r="I221" s="1788">
        <f ca="1">IF(G221&lt;=0,0,ROUND(G221/G230,3))</f>
        <v>0.30199999999999999</v>
      </c>
    </row>
    <row r="222" spans="1:9" ht="28.5" customHeight="1" x14ac:dyDescent="0.15">
      <c r="B222" s="1746" t="str">
        <f t="array" ref="B222">IFERROR(VLOOKUP("*",IF(range_推移当月売上&lt;&gt;0,IF(COUNTIF(B220:B221,range_推移事業名)=0,
IF(range_推移事業所名=A218,range_推移事業所別売上))),3,FALSE),"")</f>
        <v/>
      </c>
      <c r="C222" s="1698" t="e">
        <f>IF(B222="",NA(),SUMIFS(range_推移当月売上,range_推移事業所名,A218,range_推移事業名,B222))</f>
        <v>#N/A</v>
      </c>
      <c r="D222" s="1698" t="e">
        <f>IF(B222="",NA(),SUMIFS(range_推移前月売上,range_推移事業所名,A218,range_推移事業名,B222))</f>
        <v>#N/A</v>
      </c>
      <c r="E222" s="1499" t="str">
        <f t="shared" si="34"/>
        <v/>
      </c>
      <c r="F222" s="1699">
        <f t="shared" si="33"/>
        <v>0</v>
      </c>
      <c r="G222" s="1700" t="e">
        <f>IF(B222="",NA(),SUMIFS(range_推移期累計,range_推移事業所名,A218,range_推移事業名,B222))</f>
        <v>#N/A</v>
      </c>
      <c r="H222" s="1785"/>
      <c r="I222" s="1788" t="e">
        <f>IF(G222&lt;=0,0,ROUND(G222/G230,3))</f>
        <v>#N/A</v>
      </c>
    </row>
    <row r="223" spans="1:9" ht="28.5" customHeight="1" x14ac:dyDescent="0.15">
      <c r="A223" s="1503" t="str">
        <f t="shared" ref="A223:A229" si="35">IF(ISERROR(C223),"",B223)</f>
        <v/>
      </c>
      <c r="B223" s="1746" t="str">
        <f t="array" ref="B223">IFERROR(VLOOKUP("*",IF(range_推移当月売上&lt;&gt;0,IF(COUNTIF(B220:B222,range_推移事業名)=0,
IF(range_推移事業所名=A218,range_推移事業所別売上))),3,FALSE),"")</f>
        <v/>
      </c>
      <c r="C223" s="1698" t="e">
        <f>IF(B223="",NA(),SUMIFS(range_推移当月売上,range_推移事業所名,A218,range_推移事業名,B223))</f>
        <v>#N/A</v>
      </c>
      <c r="D223" s="1698" t="e">
        <f>IF(B223="",NA(),SUMIFS(range_推移前月売上,range_推移事業所名,A218,range_推移事業名,B223))</f>
        <v>#N/A</v>
      </c>
      <c r="E223" s="1499" t="str">
        <f t="shared" si="34"/>
        <v/>
      </c>
      <c r="F223" s="1699">
        <f t="shared" si="33"/>
        <v>0</v>
      </c>
      <c r="G223" s="1700" t="e">
        <f>IF(B223="",NA(),SUMIFS(range_推移期累計,range_推移事業所名,A218,range_推移事業名,B223))</f>
        <v>#N/A</v>
      </c>
      <c r="H223" s="1785"/>
      <c r="I223" s="1788" t="e">
        <f>IF(G223&lt;=0,0,ROUND(G223/G230,3))</f>
        <v>#N/A</v>
      </c>
    </row>
    <row r="224" spans="1:9" ht="28.5" customHeight="1" x14ac:dyDescent="0.15">
      <c r="A224" s="1503" t="str">
        <f t="shared" si="35"/>
        <v/>
      </c>
      <c r="B224" s="1746" t="str">
        <f t="array" ref="B224">IFERROR(VLOOKUP("*",IF(range_推移当月売上&lt;&gt;0,IF(COUNTIF(B220:B223,range_推移事業名)=0,
IF(range_推移事業所名=A218,range_推移事業所別売上))),3,FALSE),"")</f>
        <v/>
      </c>
      <c r="C224" s="1698" t="e">
        <f>IF(B224="",NA(),SUMIFS(range_推移当月売上,range_推移事業所名,A218,range_推移事業名,B224))</f>
        <v>#N/A</v>
      </c>
      <c r="D224" s="1698" t="e">
        <f>IF(B224="",NA(),SUMIFS(range_推移前月売上,range_推移事業所名,A218,range_推移事業名,B224))</f>
        <v>#N/A</v>
      </c>
      <c r="E224" s="1499" t="str">
        <f t="shared" si="34"/>
        <v/>
      </c>
      <c r="F224" s="1699">
        <f t="shared" si="33"/>
        <v>0</v>
      </c>
      <c r="G224" s="1700" t="e">
        <f>IF(B224="",NA(),SUMIFS(range_推移期累計,range_推移事業所名,A218,range_推移事業名,B224))</f>
        <v>#N/A</v>
      </c>
      <c r="H224" s="1785"/>
      <c r="I224" s="1788" t="e">
        <f>IF(G224&lt;=0,0,ROUND(G224/G230,3))</f>
        <v>#N/A</v>
      </c>
    </row>
    <row r="225" spans="1:9" ht="28.5" customHeight="1" x14ac:dyDescent="0.15">
      <c r="A225" s="1503" t="str">
        <f t="shared" si="35"/>
        <v/>
      </c>
      <c r="B225" s="1746" t="str">
        <f t="array" ref="B225">IFERROR(VLOOKUP("*",IF(range_推移当月売上&lt;&gt;0,IF(COUNTIF(B220:B224,range_推移事業名)=0,
IF(range_推移事業所名=A218,range_推移事業所別売上))),3,FALSE),"")</f>
        <v/>
      </c>
      <c r="C225" s="1698" t="e">
        <f>IF(B225="",NA(),SUMIFS(range_推移当月売上,range_推移事業所名,A218,range_推移事業名,B225))</f>
        <v>#N/A</v>
      </c>
      <c r="D225" s="1698" t="e">
        <f>IF(B225="",NA(),SUMIFS(range_推移前月売上,range_推移事業所名,A218,range_推移事業名,B225))</f>
        <v>#N/A</v>
      </c>
      <c r="E225" s="1499" t="str">
        <f t="shared" si="34"/>
        <v/>
      </c>
      <c r="F225" s="1699">
        <f t="shared" si="33"/>
        <v>0</v>
      </c>
      <c r="G225" s="1700" t="e">
        <f>IF(B225="",NA(),SUMIFS(range_推移期累計,range_推移事業所名,A218,range_推移事業名,B225))</f>
        <v>#N/A</v>
      </c>
      <c r="H225" s="1785"/>
      <c r="I225" s="1788" t="e">
        <f>IF(G225&lt;=0,0,ROUND(G225/G230,3))</f>
        <v>#N/A</v>
      </c>
    </row>
    <row r="226" spans="1:9" ht="28.5" customHeight="1" x14ac:dyDescent="0.15">
      <c r="A226" s="1503" t="str">
        <f t="shared" si="35"/>
        <v/>
      </c>
      <c r="B226" s="1746" t="str">
        <f t="array" ref="B226">IFERROR(VLOOKUP("*",IF(range_推移当月売上&lt;&gt;0,IF(COUNTIF(B220:B225,range_推移事業名)=0,
IF(range_推移事業所名=A218,range_推移事業所別売上))),3,FALSE),"")</f>
        <v/>
      </c>
      <c r="C226" s="1698" t="e">
        <f>IF(B226="",NA(),SUMIFS(range_推移当月売上,range_推移事業所名,A218,range_推移事業名,B226))</f>
        <v>#N/A</v>
      </c>
      <c r="D226" s="1698" t="e">
        <f>IF(B226="",NA(),SUMIFS(range_推移前月売上,range_推移事業所名,A218,range_推移事業名,B226))</f>
        <v>#N/A</v>
      </c>
      <c r="E226" s="1499" t="str">
        <f t="shared" si="34"/>
        <v/>
      </c>
      <c r="F226" s="1699">
        <f t="shared" si="33"/>
        <v>0</v>
      </c>
      <c r="G226" s="1700" t="e">
        <f>IF(B226="",NA(),SUMIFS(range_推移期累計,range_推移事業所名,A218,range_推移事業名,B226))</f>
        <v>#N/A</v>
      </c>
      <c r="H226" s="1785"/>
      <c r="I226" s="1788" t="e">
        <f>IF(G226&lt;=0,0,ROUND(G226/G230,3))</f>
        <v>#N/A</v>
      </c>
    </row>
    <row r="227" spans="1:9" ht="28.5" customHeight="1" x14ac:dyDescent="0.15">
      <c r="A227" s="1503" t="str">
        <f t="shared" si="35"/>
        <v/>
      </c>
      <c r="B227" s="1746" t="str">
        <f t="array" ref="B227">IFERROR(VLOOKUP("*",IF(range_推移当月売上&lt;&gt;0,IF(COUNTIF(B220:B226,range_推移事業名)=0,
IF(range_推移事業所名=A218,range_推移事業所別売上))),3,FALSE),"")</f>
        <v/>
      </c>
      <c r="C227" s="1698" t="e">
        <f>IF(B227="",NA(),SUMIFS(range_推移当月売上,range_推移事業所名,A218,range_推移事業名,B227))</f>
        <v>#N/A</v>
      </c>
      <c r="D227" s="1698" t="e">
        <f>IF(B227="",NA(),SUMIFS(range_推移前月売上,range_推移事業所名,A218,range_推移事業名,B227))</f>
        <v>#N/A</v>
      </c>
      <c r="E227" s="1499" t="str">
        <f t="shared" si="34"/>
        <v/>
      </c>
      <c r="F227" s="1699">
        <f t="shared" si="33"/>
        <v>0</v>
      </c>
      <c r="G227" s="1700" t="e">
        <f>IF(B227="",NA(),SUMIFS(range_推移期累計,range_推移事業所名,A218,range_推移事業名,B227))</f>
        <v>#N/A</v>
      </c>
      <c r="H227" s="1785"/>
      <c r="I227" s="1788" t="e">
        <f>IF(G227&lt;=0,0,ROUND(G227/G230,3))</f>
        <v>#N/A</v>
      </c>
    </row>
    <row r="228" spans="1:9" ht="28.5" customHeight="1" x14ac:dyDescent="0.15">
      <c r="A228" s="1503" t="str">
        <f t="shared" si="35"/>
        <v/>
      </c>
      <c r="B228" s="1746" t="str">
        <f t="array" ref="B228">IFERROR(VLOOKUP("*",IF(range_推移当月売上&lt;&gt;0,IF(COUNTIF(B220:B227,range_推移事業名)=0,
IF(range_推移事業所名=A218,range_推移事業所別売上))),3,FALSE),"")</f>
        <v/>
      </c>
      <c r="C228" s="1698" t="e">
        <f>IF(B228="",NA(),SUMIFS(range_推移当月売上,range_推移事業所名,A218,range_推移事業名,B228))</f>
        <v>#N/A</v>
      </c>
      <c r="D228" s="1698" t="e">
        <f>IF(B228="",NA(),SUMIFS(range_推移前月売上,range_推移事業所名,A218,range_推移事業名,B228))</f>
        <v>#N/A</v>
      </c>
      <c r="E228" s="1499" t="str">
        <f t="shared" si="34"/>
        <v/>
      </c>
      <c r="F228" s="1699">
        <f t="shared" si="33"/>
        <v>0</v>
      </c>
      <c r="G228" s="1700" t="e">
        <f>IF(B228="",NA(),SUMIFS(range_推移期累計,range_推移事業所名,A218,range_推移事業名,B228))</f>
        <v>#N/A</v>
      </c>
      <c r="H228" s="1785"/>
      <c r="I228" s="1788" t="e">
        <f>IF(G228&lt;=0,0,ROUND(G228/G230,3))</f>
        <v>#N/A</v>
      </c>
    </row>
    <row r="229" spans="1:9" ht="28.5" customHeight="1" thickBot="1" x14ac:dyDescent="0.2">
      <c r="A229" s="1503" t="str">
        <f t="shared" si="35"/>
        <v/>
      </c>
      <c r="B229" s="1748" t="str">
        <f t="array" ref="B229">IFERROR(VLOOKUP("*",IF(range_推移当月売上&lt;&gt;0,IF(COUNTIF(B220:B228,range_推移事業名)=0,
IF(range_推移事業所名=A218,range_推移事業所別売上))),3,FALSE),"")</f>
        <v/>
      </c>
      <c r="C229" s="1698" t="e">
        <f>IF(B229="",NA(),SUMIFS(range_推移当月売上,range_推移事業所名,A218,range_推移事業名,B229))</f>
        <v>#N/A</v>
      </c>
      <c r="D229" s="1698" t="e">
        <f>IF(B229="",NA(),SUMIFS(range_推移前月売上,range_推移事業所名,A218,range_推移事業名,B229))</f>
        <v>#N/A</v>
      </c>
      <c r="E229" s="1499" t="str">
        <f t="shared" si="34"/>
        <v/>
      </c>
      <c r="F229" s="1699">
        <f t="shared" si="33"/>
        <v>0</v>
      </c>
      <c r="G229" s="1700" t="e">
        <f>IF(B229="",NA(),SUMIFS(range_推移期累計,range_推移事業所名,A218,range_推移事業名,B229))</f>
        <v>#N/A</v>
      </c>
      <c r="H229" s="1785"/>
      <c r="I229" s="1788" t="e">
        <f>IF(G229&lt;=0,0,ROUND(G229/G230,3))</f>
        <v>#N/A</v>
      </c>
    </row>
    <row r="230" spans="1:9" ht="28.5" customHeight="1" thickBot="1" x14ac:dyDescent="0.2">
      <c r="B230" s="1754" t="s">
        <v>14</v>
      </c>
      <c r="C230" s="1743">
        <f t="array" ref="C230">SUM(IF(ISERROR(C220:C229)=FALSE,C220:C229))</f>
        <v>2462469</v>
      </c>
      <c r="D230" s="1743">
        <f t="array" ref="D230">SUM(IF(ISERROR(D220:D229)=FALSE,D220:D229))</f>
        <v>2498262</v>
      </c>
      <c r="E230" s="1501">
        <f>IF(ISERROR(C230),"",IF(F230&gt;0,1,IF(F230=0,0,-1)))</f>
        <v>-1</v>
      </c>
      <c r="F230" s="1744">
        <f t="array" ref="F230">SUM(IF(ISERROR(F220:F229)=FALSE,F220:F229))</f>
        <v>-35793</v>
      </c>
      <c r="G230" s="1733">
        <f t="array" aca="1" ref="G230" ca="1">SUM(IF(ISERROR(G220:G229)=FALSE,G220:G229))</f>
        <v>20720653</v>
      </c>
      <c r="H230" s="1785"/>
      <c r="I230" s="1788">
        <f t="array" aca="1" ref="I230" ca="1">SUM(IF(ISERROR(I220:I229)=FALSE,I220:I229))</f>
        <v>1</v>
      </c>
    </row>
    <row r="231" spans="1:9" ht="28.5" customHeight="1" x14ac:dyDescent="0.15">
      <c r="I231" s="55"/>
    </row>
    <row r="232" spans="1:9" ht="28.5" customHeight="1" x14ac:dyDescent="0.15">
      <c r="I232" s="55"/>
    </row>
    <row r="233" spans="1:9" ht="28.5" customHeight="1" x14ac:dyDescent="0.15">
      <c r="I233" s="55"/>
    </row>
    <row r="234" spans="1:9" ht="28.5" customHeight="1" x14ac:dyDescent="0.15">
      <c r="I234" s="55"/>
    </row>
    <row r="235" spans="1:9" ht="28.5" customHeight="1" x14ac:dyDescent="0.15">
      <c r="I235" s="55"/>
    </row>
    <row r="236" spans="1:9" ht="28.5" customHeight="1" x14ac:dyDescent="0.15">
      <c r="I236" s="55"/>
    </row>
    <row r="237" spans="1:9" ht="28.5" customHeight="1" x14ac:dyDescent="0.15">
      <c r="I237" s="55"/>
    </row>
    <row r="238" spans="1:9" ht="28.5" customHeight="1" x14ac:dyDescent="0.15">
      <c r="I238" s="55"/>
    </row>
    <row r="239" spans="1:9" ht="28.5" customHeight="1" x14ac:dyDescent="0.15">
      <c r="I239" s="55"/>
    </row>
    <row r="240" spans="1:9" ht="28.5" customHeight="1" x14ac:dyDescent="0.15">
      <c r="I240" s="55"/>
    </row>
    <row r="241" spans="1:9" ht="28.5" customHeight="1" x14ac:dyDescent="0.15">
      <c r="I241" s="55"/>
    </row>
    <row r="242" spans="1:9" ht="28.5" customHeight="1" thickBot="1" x14ac:dyDescent="0.2">
      <c r="A242" s="1503" t="s">
        <v>1374</v>
      </c>
      <c r="B242" s="1491" t="str">
        <f>A242 &amp; "業種別売上"</f>
        <v>GH合計業種別売上</v>
      </c>
      <c r="I242" s="55"/>
    </row>
    <row r="243" spans="1:9" ht="28.5" customHeight="1" thickBot="1" x14ac:dyDescent="0.2">
      <c r="B243" s="1694" t="s">
        <v>13</v>
      </c>
      <c r="C243" s="1705">
        <f>$C$2</f>
        <v>43556</v>
      </c>
      <c r="D243" s="1706">
        <f>EDATE(C243,-1)</f>
        <v>43525</v>
      </c>
      <c r="E243" s="2245" t="s">
        <v>1352</v>
      </c>
      <c r="F243" s="2245"/>
      <c r="G243" s="1757" t="s">
        <v>1411</v>
      </c>
      <c r="H243" s="1784"/>
      <c r="I243" s="1787" t="s">
        <v>1413</v>
      </c>
    </row>
    <row r="244" spans="1:9" ht="28.5" customHeight="1" x14ac:dyDescent="0.15">
      <c r="B244" s="1746" t="str">
        <f t="array" ref="B244">VLOOKUP("*",IF(range_推移当月売上&lt;&gt;0,IF(range_推移事業所名=A242,range_推移事業所別売上)),3,FALSE)</f>
        <v>共同生活援助</v>
      </c>
      <c r="C244" s="1698">
        <f t="array" ref="C244">IF(B244="",NA(),SUMIFS(range_推移当月売上,range_推移事業所名,A242,range_推移事業名,B244))</f>
        <v>6149349</v>
      </c>
      <c r="D244" s="1698">
        <f>IF(B244="",NA(),SUMIFS(range_推移前月売上,range_推移事業所名,A242,range_推移事業名,B244))</f>
        <v>5184936</v>
      </c>
      <c r="E244" s="1499">
        <f>IF(ISERROR(C244),"",IF(F244&gt;0,1,IF(F244=0,0,-1)))</f>
        <v>1</v>
      </c>
      <c r="F244" s="1697">
        <f t="shared" ref="F244:F253" si="36">IFERROR(C244,0)-IFERROR(D244,0)</f>
        <v>964413</v>
      </c>
      <c r="G244" s="1700">
        <f ca="1">IF(B244="",NA(),SUMIFS(range_推移期累計,range_推移事業所名,A242,range_推移事業名,B244))</f>
        <v>38884453</v>
      </c>
      <c r="H244" s="1785"/>
      <c r="I244" s="1788">
        <f ca="1">IF(G244&lt;=0,0,ROUND(G244/G254,3))</f>
        <v>0.89700000000000002</v>
      </c>
    </row>
    <row r="245" spans="1:9" ht="28.5" customHeight="1" x14ac:dyDescent="0.15">
      <c r="B245" s="1746" t="str">
        <f t="array" ref="B245">IFERROR(VLOOKUP("*",IF(range_推移当月売上&lt;&gt;0,IF(COUNTIF(B244:B244,range_推移事業名)=0,
IF(range_推移事業所名=A242,range_推移事業所別売上))),3,FALSE),"")</f>
        <v>生活費</v>
      </c>
      <c r="C245" s="1698">
        <f>IF(B245="",NA(),SUMIFS(range_推移当月売上,range_推移事業所名,A242,range_推移事業名,B245))</f>
        <v>839000</v>
      </c>
      <c r="D245" s="1698">
        <f>IF(B245="",NA(),SUMIFS(range_推移前月売上,range_推移事業所名,A242,range_推移事業名,B245))</f>
        <v>776000</v>
      </c>
      <c r="E245" s="1499">
        <f t="shared" ref="E245:E253" si="37">IF(ISERROR(C245),"",IF(F245&gt;0,1,IF(F245=0,0,-1)))</f>
        <v>1</v>
      </c>
      <c r="F245" s="1699">
        <f t="shared" si="36"/>
        <v>63000</v>
      </c>
      <c r="G245" s="1700">
        <f ca="1">IF(B245="",NA(),SUMIFS(range_推移期累計,range_推移事業所名,A242,range_推移事業名,B245))</f>
        <v>5340250</v>
      </c>
      <c r="H245" s="1785"/>
      <c r="I245" s="1788">
        <f ca="1">IF(G245&lt;=0,0,ROUND(G245/G254,3))</f>
        <v>0.123</v>
      </c>
    </row>
    <row r="246" spans="1:9" ht="28.5" customHeight="1" x14ac:dyDescent="0.15">
      <c r="B246" s="1746" t="str">
        <f t="array" ref="B246">IFERROR(VLOOKUP("*",IF(range_推移当月売上&lt;&gt;0,IF(COUNTIF(B244:B245,range_推移事業名)=0,
IF(range_推移事業所名=A242,range_推移事業所別売上))),3,FALSE),"")</f>
        <v>家賃助成返金分</v>
      </c>
      <c r="C246" s="1698">
        <f>IF(B246="",NA(),SUMIFS(range_推移当月売上,range_推移事業所名,A242,range_推移事業名,B246))</f>
        <v>-240000</v>
      </c>
      <c r="D246" s="1698">
        <f>IF(B246="",NA(),SUMIFS(range_推移前月売上,range_推移事業所名,A242,range_推移事業名,B246))</f>
        <v>-230000</v>
      </c>
      <c r="E246" s="1499">
        <f t="shared" si="37"/>
        <v>-1</v>
      </c>
      <c r="F246" s="1699">
        <f t="shared" si="36"/>
        <v>-10000</v>
      </c>
      <c r="G246" s="1700">
        <f ca="1">IF(B246="",NA(),SUMIFS(range_推移期累計,range_推移事業所名,A242,range_推移事業名,B246))</f>
        <v>-1560000</v>
      </c>
      <c r="H246" s="1785"/>
      <c r="I246" s="1788">
        <f ca="1">IF(G246&lt;=0,0,ROUND(G246/G254,3))</f>
        <v>0</v>
      </c>
    </row>
    <row r="247" spans="1:9" ht="28.5" customHeight="1" x14ac:dyDescent="0.15">
      <c r="B247" s="1746" t="str">
        <f t="array" ref="B247">IFERROR(VLOOKUP("*",IF(range_推移当月売上&lt;&gt;0,IF(COUNTIF(B244:B246,range_推移事業名)=0,
IF(range_推移事業所名=A242,range_推移事業所別売上))),3,FALSE),"")</f>
        <v>運営費助成金</v>
      </c>
      <c r="C247" s="1698">
        <f>IF(B247="",NA(),SUMIFS(range_推移当月売上,range_推移事業所名,A242,range_推移事業名,B247))</f>
        <v>35346</v>
      </c>
      <c r="D247" s="1698">
        <f>IF(B247="",NA(),SUMIFS(range_推移前月売上,range_推移事業所名,A242,range_推移事業名,B247))</f>
        <v>27939</v>
      </c>
      <c r="E247" s="1499">
        <f t="shared" si="37"/>
        <v>1</v>
      </c>
      <c r="F247" s="1699">
        <f t="shared" si="36"/>
        <v>7407</v>
      </c>
      <c r="G247" s="1700">
        <f ca="1">IF(B247="",NA(),SUMIFS(range_推移期累計,range_推移事業所名,A242,range_推移事業名,B247))</f>
        <v>689548</v>
      </c>
      <c r="H247" s="1785"/>
      <c r="I247" s="1788">
        <f ca="1">IF(G247&lt;=0,0,ROUND(G247/G254,3))</f>
        <v>1.6E-2</v>
      </c>
    </row>
    <row r="248" spans="1:9" ht="28.5" customHeight="1" x14ac:dyDescent="0.15">
      <c r="B248" s="1746" t="str">
        <f t="array" ref="B248">IFERROR(VLOOKUP("*",IF(range_推移当月売上&lt;&gt;0,IF(COUNTIF(B244:B247,range_推移事業名)=0,
IF(range_推移事業所名=A242,range_推移事業所別売上))),3,FALSE),"")</f>
        <v/>
      </c>
      <c r="C248" s="1698" t="e">
        <f>IF(B248="",NA(),SUMIFS(range_推移当月売上,range_推移事業所名,A242,range_推移事業名,B248))</f>
        <v>#N/A</v>
      </c>
      <c r="D248" s="1698" t="e">
        <f>IF(B248="",NA(),SUMIFS(range_推移前月売上,range_推移事業所名,A242,range_推移事業名,B248))</f>
        <v>#N/A</v>
      </c>
      <c r="E248" s="1499" t="str">
        <f t="shared" si="37"/>
        <v/>
      </c>
      <c r="F248" s="1699">
        <f t="shared" si="36"/>
        <v>0</v>
      </c>
      <c r="G248" s="1700" t="e">
        <f>IF(B248="",NA(),SUMIFS(range_推移期累計,range_推移事業所名,A242,range_推移事業名,B248))</f>
        <v>#N/A</v>
      </c>
      <c r="H248" s="1785"/>
      <c r="I248" s="1788" t="e">
        <f>IF(G248&lt;=0,0,ROUND(G248/G254,3))</f>
        <v>#N/A</v>
      </c>
    </row>
    <row r="249" spans="1:9" ht="28.5" customHeight="1" x14ac:dyDescent="0.15">
      <c r="B249" s="1746" t="str">
        <f t="array" ref="B249">IFERROR(VLOOKUP("*",IF(range_推移当月売上&lt;&gt;0,IF(COUNTIF(B244:B248,range_推移事業名)=0,
IF(range_推移事業所名=A242,range_推移事業所別売上))),3,FALSE),"")</f>
        <v/>
      </c>
      <c r="C249" s="1698" t="e">
        <f>IF(B249="",NA(),SUMIFS(range_推移当月売上,range_推移事業所名,A242,range_推移事業名,B249))</f>
        <v>#N/A</v>
      </c>
      <c r="D249" s="1698" t="e">
        <f>IF(B249="",NA(),SUMIFS(range_推移前月売上,range_推移事業所名,A242,range_推移事業名,B249))</f>
        <v>#N/A</v>
      </c>
      <c r="E249" s="1499" t="str">
        <f t="shared" si="37"/>
        <v/>
      </c>
      <c r="F249" s="1699">
        <f t="shared" si="36"/>
        <v>0</v>
      </c>
      <c r="G249" s="1700" t="e">
        <f>IF(B249="",NA(),SUMIFS(range_推移期累計,range_推移事業所名,A242,range_推移事業名,B249))</f>
        <v>#N/A</v>
      </c>
      <c r="H249" s="1785"/>
      <c r="I249" s="1788" t="e">
        <f>IF(G249&lt;=0,0,ROUND(G249/G254,3))</f>
        <v>#N/A</v>
      </c>
    </row>
    <row r="250" spans="1:9" ht="28.5" customHeight="1" x14ac:dyDescent="0.15">
      <c r="A250" s="1503" t="str">
        <f>IF(ISERROR(C250),"",B250)</f>
        <v/>
      </c>
      <c r="B250" s="1746" t="str">
        <f t="array" ref="B250">IFERROR(VLOOKUP("*",IF(range_推移当月売上&lt;&gt;0,IF(COUNTIF(B244:B249,range_推移事業名)=0,
IF(range_推移事業所名=A242,range_推移事業所別売上))),3,FALSE),"")</f>
        <v/>
      </c>
      <c r="C250" s="1698" t="e">
        <f>IF(B250="",NA(),SUMIFS(range_推移当月売上,range_推移事業所名,A242,range_推移事業名,B250))</f>
        <v>#N/A</v>
      </c>
      <c r="D250" s="1698" t="e">
        <f>IF(B250="",NA(),SUMIFS(range_推移前月売上,range_推移事業所名,A242,range_推移事業名,B250))</f>
        <v>#N/A</v>
      </c>
      <c r="E250" s="1499" t="str">
        <f t="shared" si="37"/>
        <v/>
      </c>
      <c r="F250" s="1699">
        <f t="shared" si="36"/>
        <v>0</v>
      </c>
      <c r="G250" s="1700" t="e">
        <f>IF(B250="",NA(),SUMIFS(range_推移期累計,range_推移事業所名,A242,range_推移事業名,B250))</f>
        <v>#N/A</v>
      </c>
      <c r="H250" s="1785"/>
      <c r="I250" s="1788" t="e">
        <f>IF(G250&lt;=0,0,ROUND(G250/G254,3))</f>
        <v>#N/A</v>
      </c>
    </row>
    <row r="251" spans="1:9" ht="28.5" customHeight="1" x14ac:dyDescent="0.15">
      <c r="A251" s="1503" t="str">
        <f>IF(ISERROR(C251),"",B251)</f>
        <v/>
      </c>
      <c r="B251" s="1746" t="str">
        <f t="array" ref="B251">IFERROR(VLOOKUP("*",IF(range_推移当月売上&lt;&gt;0,IF(COUNTIF(B244:B250,range_推移事業名)=0,
IF(range_推移事業所名=A242,range_推移事業所別売上))),3,FALSE),"")</f>
        <v/>
      </c>
      <c r="C251" s="1698" t="e">
        <f>IF(B251="",NA(),SUMIFS(range_推移当月売上,range_推移事業所名,A242,range_推移事業名,B251))</f>
        <v>#N/A</v>
      </c>
      <c r="D251" s="1698" t="e">
        <f>IF(B251="",NA(),SUMIFS(range_推移前月売上,range_推移事業所名,A242,range_推移事業名,B251))</f>
        <v>#N/A</v>
      </c>
      <c r="E251" s="1499" t="str">
        <f t="shared" si="37"/>
        <v/>
      </c>
      <c r="F251" s="1699">
        <f t="shared" si="36"/>
        <v>0</v>
      </c>
      <c r="G251" s="1700" t="e">
        <f>IF(B251="",NA(),SUMIFS(range_推移期累計,range_推移事業所名,A242,range_推移事業名,B251))</f>
        <v>#N/A</v>
      </c>
      <c r="H251" s="1785"/>
      <c r="I251" s="1788" t="e">
        <f>IF(G251&lt;=0,0,ROUND(G251/G254,3))</f>
        <v>#N/A</v>
      </c>
    </row>
    <row r="252" spans="1:9" ht="28.5" customHeight="1" x14ac:dyDescent="0.15">
      <c r="A252" s="1503" t="str">
        <f>IF(ISERROR(C252),"",B252)</f>
        <v/>
      </c>
      <c r="B252" s="1746" t="str">
        <f t="array" ref="B252">IFERROR(VLOOKUP("*",IF(range_推移当月売上&lt;&gt;0,IF(COUNTIF(B244:B251,range_推移事業名)=0,
IF(range_推移事業所名=A242,range_推移事業所別売上))),3,FALSE),"")</f>
        <v/>
      </c>
      <c r="C252" s="1698" t="e">
        <f>IF(B252="",NA(),SUMIFS(range_推移当月売上,range_推移事業所名,A242,range_推移事業名,B252))</f>
        <v>#N/A</v>
      </c>
      <c r="D252" s="1698" t="e">
        <f>IF(B252="",NA(),SUMIFS(range_推移前月売上,range_推移事業所名,A242,range_推移事業名,B252))</f>
        <v>#N/A</v>
      </c>
      <c r="E252" s="1499" t="str">
        <f t="shared" si="37"/>
        <v/>
      </c>
      <c r="F252" s="1699">
        <f t="shared" si="36"/>
        <v>0</v>
      </c>
      <c r="G252" s="1700" t="e">
        <f>IF(B252="",NA(),SUMIFS(range_推移期累計,range_推移事業所名,A242,range_推移事業名,B252))</f>
        <v>#N/A</v>
      </c>
      <c r="H252" s="1785"/>
      <c r="I252" s="1788" t="e">
        <f>IF(G252&lt;=0,0,ROUND(G252/G254,3))</f>
        <v>#N/A</v>
      </c>
    </row>
    <row r="253" spans="1:9" ht="28.5" customHeight="1" thickBot="1" x14ac:dyDescent="0.2">
      <c r="A253" s="1503" t="str">
        <f>IF(ISERROR(C253),"",B253)</f>
        <v/>
      </c>
      <c r="B253" s="1748" t="str">
        <f t="array" ref="B253">IFERROR(VLOOKUP("*",IF(range_推移当月売上&lt;&gt;0,IF(COUNTIF(B244:B252,range_推移事業名)=0,
IF(range_推移事業所名=A242,range_推移事業所別売上))),3,FALSE),"")</f>
        <v/>
      </c>
      <c r="C253" s="1698" t="e">
        <f>IF(B253="",NA(),SUMIFS(range_推移当月売上,range_推移事業所名,A242,range_推移事業名,B253))</f>
        <v>#N/A</v>
      </c>
      <c r="D253" s="1698" t="e">
        <f>IF(B253="",NA(),SUMIFS(range_推移前月売上,range_推移事業所名,A242,range_推移事業名,B253))</f>
        <v>#N/A</v>
      </c>
      <c r="E253" s="1499" t="str">
        <f t="shared" si="37"/>
        <v/>
      </c>
      <c r="F253" s="1699">
        <f t="shared" si="36"/>
        <v>0</v>
      </c>
      <c r="G253" s="1700" t="e">
        <f>IF(B253="",NA(),SUMIFS(range_推移期累計,range_推移事業所名,A242,range_推移事業名,B253))</f>
        <v>#N/A</v>
      </c>
      <c r="H253" s="1785"/>
      <c r="I253" s="1788" t="e">
        <f>IF(G253&lt;=0,0,ROUND(G253/G254,3))</f>
        <v>#N/A</v>
      </c>
    </row>
    <row r="254" spans="1:9" ht="28.5" customHeight="1" thickBot="1" x14ac:dyDescent="0.2">
      <c r="B254" s="1754" t="s">
        <v>14</v>
      </c>
      <c r="C254" s="1743">
        <f t="array" ref="C254">SUM(IF(ISERROR(C244:C253)=FALSE,C244:C253))</f>
        <v>6783695</v>
      </c>
      <c r="D254" s="1743">
        <f t="array" ref="D254">SUM(IF(ISERROR(D244:D253)=FALSE,D244:D253))</f>
        <v>5758875</v>
      </c>
      <c r="E254" s="1501">
        <f>IF(ISERROR(C254),"",IF(F254&gt;0,1,IF(F254=0,0,-1)))</f>
        <v>1</v>
      </c>
      <c r="F254" s="1744">
        <f t="array" ref="F254">SUM(IF(ISERROR(F244:F253)=FALSE,F244:F253))</f>
        <v>1024820</v>
      </c>
      <c r="G254" s="1733">
        <f t="array" aca="1" ref="G254" ca="1">SUM(IF(ISERROR(G244:G253)=FALSE,G244:G253))</f>
        <v>43354251</v>
      </c>
      <c r="H254" s="1785"/>
      <c r="I254" s="1788">
        <f t="array" aca="1" ref="I254" ca="1">SUM(IF(ISERROR(I244:I253)=FALSE,I244:I253))</f>
        <v>1.036</v>
      </c>
    </row>
    <row r="255" spans="1:9" ht="28.5" customHeight="1" x14ac:dyDescent="0.15">
      <c r="I255" s="55"/>
    </row>
    <row r="256" spans="1:9" ht="28.5" customHeight="1" x14ac:dyDescent="0.15">
      <c r="I256" s="55"/>
    </row>
    <row r="257" spans="9:9" ht="28.5" customHeight="1" x14ac:dyDescent="0.15">
      <c r="I257" s="55"/>
    </row>
    <row r="258" spans="9:9" ht="28.5" customHeight="1" x14ac:dyDescent="0.15">
      <c r="I258" s="55"/>
    </row>
    <row r="259" spans="9:9" ht="28.5" customHeight="1" x14ac:dyDescent="0.15">
      <c r="I259" s="55"/>
    </row>
  </sheetData>
  <mergeCells count="14">
    <mergeCell ref="O16:P16"/>
    <mergeCell ref="E72:F72"/>
    <mergeCell ref="E57:F57"/>
    <mergeCell ref="K16:L16"/>
    <mergeCell ref="E2:F2"/>
    <mergeCell ref="E16:F16"/>
    <mergeCell ref="G66:G68"/>
    <mergeCell ref="E171:F171"/>
    <mergeCell ref="E195:F195"/>
    <mergeCell ref="E219:F219"/>
    <mergeCell ref="E243:F243"/>
    <mergeCell ref="E99:F99"/>
    <mergeCell ref="E123:F123"/>
    <mergeCell ref="E147:F147"/>
  </mergeCells>
  <phoneticPr fontId="41"/>
  <conditionalFormatting sqref="E73:E89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B58:F69 G69:I69 G58:I61 G62:G65">
    <cfRule type="expression" dxfId="47" priority="69">
      <formula>$E58&lt;0</formula>
    </cfRule>
  </conditionalFormatting>
  <conditionalFormatting sqref="E100:E110">
    <cfRule type="iconSet" priority="352">
      <iconSet iconSet="3Arrows">
        <cfvo type="percent" val="0"/>
        <cfvo type="num" val="0"/>
        <cfvo type="num" val="0" gte="0"/>
      </iconSet>
    </cfRule>
  </conditionalFormatting>
  <conditionalFormatting sqref="E124:E133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D124:F133 D148:F157 D172:F181 D196:F205 D220:F229 D244:F253 B100:I109">
    <cfRule type="expression" dxfId="46" priority="63">
      <formula>ISERROR($C100)</formula>
    </cfRule>
  </conditionalFormatting>
  <conditionalFormatting sqref="B124:C133">
    <cfRule type="expression" dxfId="45" priority="62">
      <formula>ISERROR($C124)</formula>
    </cfRule>
  </conditionalFormatting>
  <conditionalFormatting sqref="E148:E157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B148:C157">
    <cfRule type="expression" dxfId="44" priority="59">
      <formula>ISERROR($C148)</formula>
    </cfRule>
  </conditionalFormatting>
  <conditionalFormatting sqref="E172:E181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B172:C181">
    <cfRule type="expression" dxfId="43" priority="53">
      <formula>ISERROR($C172)</formula>
    </cfRule>
  </conditionalFormatting>
  <conditionalFormatting sqref="E196:E205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B196:C205">
    <cfRule type="expression" dxfId="42" priority="50">
      <formula>ISERROR($C196)</formula>
    </cfRule>
  </conditionalFormatting>
  <conditionalFormatting sqref="E220:E229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B220:C229">
    <cfRule type="expression" dxfId="41" priority="47">
      <formula>ISERROR($C220)</formula>
    </cfRule>
  </conditionalFormatting>
  <conditionalFormatting sqref="E244:E253">
    <cfRule type="iconSet" priority="45">
      <iconSet iconSet="3Arrows">
        <cfvo type="percent" val="0"/>
        <cfvo type="num" val="0"/>
        <cfvo type="num" val="0" gte="0"/>
      </iconSet>
    </cfRule>
  </conditionalFormatting>
  <conditionalFormatting sqref="B244:C253">
    <cfRule type="expression" dxfId="40" priority="44">
      <formula>ISERROR($C244)</formula>
    </cfRule>
  </conditionalFormatting>
  <conditionalFormatting sqref="G66">
    <cfRule type="expression" dxfId="39" priority="356">
      <formula>$E68&lt;0</formula>
    </cfRule>
  </conditionalFormatting>
  <conditionalFormatting sqref="E3 E7:E8 E10">
    <cfRule type="iconSet" priority="41">
      <iconSet showValue="0">
        <cfvo type="percent" val="0"/>
        <cfvo type="num" val="0"/>
        <cfvo type="num" val="0" gte="0"/>
      </iconSet>
    </cfRule>
  </conditionalFormatting>
  <conditionalFormatting sqref="E4:E6 E9">
    <cfRule type="iconSet" priority="40">
      <iconSet showValue="0" reverse="1">
        <cfvo type="percent" val="0"/>
        <cfvo type="num" val="0"/>
        <cfvo type="num" val="0" gte="0"/>
      </iconSet>
    </cfRule>
  </conditionalFormatting>
  <conditionalFormatting sqref="G124:G133">
    <cfRule type="expression" dxfId="38" priority="39">
      <formula>ISERROR($C124)</formula>
    </cfRule>
  </conditionalFormatting>
  <conditionalFormatting sqref="G148:G157">
    <cfRule type="expression" dxfId="37" priority="38">
      <formula>ISERROR($C148)</formula>
    </cfRule>
  </conditionalFormatting>
  <conditionalFormatting sqref="G172:G181">
    <cfRule type="expression" dxfId="36" priority="36">
      <formula>ISERROR($C172)</formula>
    </cfRule>
  </conditionalFormatting>
  <conditionalFormatting sqref="G196:G205">
    <cfRule type="expression" dxfId="35" priority="35">
      <formula>ISERROR($C196)</formula>
    </cfRule>
  </conditionalFormatting>
  <conditionalFormatting sqref="G220:G229">
    <cfRule type="expression" dxfId="34" priority="34">
      <formula>ISERROR($C220)</formula>
    </cfRule>
  </conditionalFormatting>
  <conditionalFormatting sqref="G244:G253">
    <cfRule type="expression" dxfId="33" priority="33">
      <formula>ISERROR($C244)</formula>
    </cfRule>
  </conditionalFormatting>
  <conditionalFormatting sqref="I124:I133">
    <cfRule type="expression" dxfId="32" priority="27">
      <formula>ISERROR($C124)</formula>
    </cfRule>
  </conditionalFormatting>
  <conditionalFormatting sqref="I148:I157">
    <cfRule type="expression" dxfId="31" priority="26">
      <formula>ISERROR($C148)</formula>
    </cfRule>
  </conditionalFormatting>
  <conditionalFormatting sqref="I172:I181">
    <cfRule type="expression" dxfId="30" priority="24">
      <formula>ISERROR($C172)</formula>
    </cfRule>
  </conditionalFormatting>
  <conditionalFormatting sqref="I196:I205">
    <cfRule type="expression" dxfId="29" priority="23">
      <formula>ISERROR($C196)</formula>
    </cfRule>
  </conditionalFormatting>
  <conditionalFormatting sqref="I220:I229">
    <cfRule type="expression" dxfId="28" priority="22">
      <formula>ISERROR($C220)</formula>
    </cfRule>
  </conditionalFormatting>
  <conditionalFormatting sqref="I244:I253">
    <cfRule type="expression" dxfId="27" priority="21">
      <formula>ISERROR($C244)</formula>
    </cfRule>
  </conditionalFormatting>
  <conditionalFormatting sqref="E110">
    <cfRule type="expression" dxfId="26" priority="20">
      <formula>ISERROR($C110)</formula>
    </cfRule>
  </conditionalFormatting>
  <conditionalFormatting sqref="E254 E230 E206 E182 E158 E134">
    <cfRule type="iconSet" priority="19">
      <iconSet iconSet="3Arrows">
        <cfvo type="percent" val="0"/>
        <cfvo type="num" val="0"/>
        <cfvo type="num" val="0" gte="0"/>
      </iconSet>
    </cfRule>
  </conditionalFormatting>
  <conditionalFormatting sqref="E254 E230 E206 E182 E158 E134">
    <cfRule type="expression" dxfId="25" priority="18">
      <formula>ISERROR($C134)</formula>
    </cfRule>
  </conditionalFormatting>
  <conditionalFormatting sqref="H124:H133">
    <cfRule type="expression" dxfId="24" priority="17">
      <formula>ISERROR($C124)</formula>
    </cfRule>
  </conditionalFormatting>
  <conditionalFormatting sqref="H148:H157">
    <cfRule type="expression" dxfId="23" priority="16">
      <formula>ISERROR($C148)</formula>
    </cfRule>
  </conditionalFormatting>
  <conditionalFormatting sqref="H172:H181">
    <cfRule type="expression" dxfId="22" priority="14">
      <formula>ISERROR($C172)</formula>
    </cfRule>
  </conditionalFormatting>
  <conditionalFormatting sqref="H196:H205">
    <cfRule type="expression" dxfId="21" priority="13">
      <formula>ISERROR($C196)</formula>
    </cfRule>
  </conditionalFormatting>
  <conditionalFormatting sqref="H220:H229">
    <cfRule type="expression" dxfId="20" priority="12">
      <formula>ISERROR($C220)</formula>
    </cfRule>
  </conditionalFormatting>
  <conditionalFormatting sqref="H244:H253">
    <cfRule type="expression" dxfId="19" priority="11">
      <formula>ISERROR($C244)</formula>
    </cfRule>
  </conditionalFormatting>
  <conditionalFormatting sqref="C17:C21 C23:D30">
    <cfRule type="expression" dxfId="18" priority="6">
      <formula>C17=0</formula>
    </cfRule>
  </conditionalFormatting>
  <conditionalFormatting sqref="C22">
    <cfRule type="expression" dxfId="17" priority="5">
      <formula>C22=0</formula>
    </cfRule>
  </conditionalFormatting>
  <conditionalFormatting sqref="D17:D21">
    <cfRule type="expression" dxfId="16" priority="4">
      <formula>D17=0</formula>
    </cfRule>
  </conditionalFormatting>
  <conditionalFormatting sqref="D22">
    <cfRule type="expression" dxfId="15" priority="3">
      <formula>D22=0</formula>
    </cfRule>
  </conditionalFormatting>
  <conditionalFormatting sqref="E30:F30">
    <cfRule type="expression" dxfId="14" priority="2">
      <formula>E30=0</formula>
    </cfRule>
  </conditionalFormatting>
  <conditionalFormatting sqref="E17:E30">
    <cfRule type="iconSet" priority="7">
      <iconSet iconSet="3Arrows" showValue="0">
        <cfvo type="percent" val="0"/>
        <cfvo type="num" val="0"/>
        <cfvo type="num" val="0" gte="0"/>
      </iconSet>
    </cfRule>
  </conditionalFormatting>
  <conditionalFormatting sqref="M17:P30">
    <cfRule type="expression" dxfId="13" priority="9">
      <formula>$O17&lt;0</formula>
    </cfRule>
  </conditionalFormatting>
  <conditionalFormatting sqref="J17:L30 B17:H30">
    <cfRule type="expression" dxfId="12" priority="10">
      <formula>$K17&lt;0</formula>
    </cfRule>
  </conditionalFormatting>
  <conditionalFormatting sqref="M69">
    <cfRule type="expression" dxfId="11" priority="366">
      <formula>$E68&lt;0</formula>
    </cfRule>
  </conditionalFormatting>
  <printOptions horizontalCentered="1"/>
  <pageMargins left="0.11811023622047245" right="0.11811023622047245" top="0.55118110236220474" bottom="0.35433070866141736" header="0.31496062992125984" footer="0.23622047244094491"/>
  <pageSetup paperSize="9" scale="40" orientation="portrait" r:id="rId1"/>
  <headerFooter>
    <oddHeader xml:space="preserve">&amp;L&amp;20&amp;A&amp;R日付 &amp;D </oddHeader>
    <oddFooter>&amp;L&amp;18介護サービス友乃家&amp;R&amp;F</oddFooter>
  </headerFooter>
  <rowBreaks count="3" manualBreakCount="3">
    <brk id="70" max="16383" man="1"/>
    <brk id="145" max="16383" man="1"/>
    <brk id="217" max="17" man="1"/>
  </rowBreaks>
  <colBreaks count="1" manualBreakCount="1">
    <brk id="18" max="265" man="1"/>
  </col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5" id="{A91C0762-1171-4ACE-83AA-5CF77CB86D27}">
            <x14:iconSet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TrafficLights1" iconId="0"/>
              <x14:cfIcon iconSet="3TrafficLights1" iconId="2"/>
              <x14:cfIcon iconSet="3TrafficLights1" iconId="2"/>
            </x14:iconSet>
          </x14:cfRule>
          <xm:sqref>E58:E69</xm:sqref>
        </x14:conditionalFormatting>
        <x14:conditionalFormatting xmlns:xm="http://schemas.microsoft.com/office/excel/2006/main">
          <x14:cfRule type="iconSet" priority="8" id="{0E5EDC5E-7AA7-44F1-9527-00E1EC348B02}">
            <x14:iconSet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TrafficLights1" iconId="0"/>
              <x14:cfIcon iconSet="3TrafficLights1" iconId="2"/>
              <x14:cfIcon iconSet="3TrafficLights1" iconId="2"/>
            </x14:iconSet>
          </x14:cfRule>
          <xm:sqref>K17:K30</xm:sqref>
        </x14:conditionalFormatting>
        <x14:conditionalFormatting xmlns:xm="http://schemas.microsoft.com/office/excel/2006/main">
          <x14:cfRule type="iconSet" priority="1" id="{2C69C4E9-7519-42F1-A9AE-A2D6A079ABD1}">
            <x14:iconSet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TrafficLights1" iconId="0"/>
              <x14:cfIcon iconSet="3TrafficLights1" iconId="2"/>
              <x14:cfIcon iconSet="3TrafficLights1" iconId="2"/>
            </x14:iconSet>
          </x14:cfRule>
          <xm:sqref>O17:O30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9999"/>
    <pageSetUpPr fitToPage="1"/>
  </sheetPr>
  <dimension ref="A1:AA349"/>
  <sheetViews>
    <sheetView workbookViewId="0">
      <pane xSplit="2" ySplit="2" topLeftCell="C105" activePane="bottomRight" state="frozen"/>
      <selection activeCell="C130" sqref="C130:N130"/>
      <selection pane="topRight" activeCell="C130" sqref="C130:N130"/>
      <selection pane="bottomLeft" activeCell="C130" sqref="C130:N130"/>
      <selection pane="bottomRight" activeCell="G128" sqref="G128"/>
    </sheetView>
  </sheetViews>
  <sheetFormatPr defaultColWidth="11.625" defaultRowHeight="13.5" x14ac:dyDescent="0.15"/>
  <cols>
    <col min="1" max="1" width="3.875" customWidth="1"/>
    <col min="2" max="2" width="27.75" style="823" bestFit="1" customWidth="1"/>
    <col min="3" max="5" width="11.75" bestFit="1" customWidth="1"/>
    <col min="6" max="6" width="12.125" bestFit="1" customWidth="1"/>
    <col min="7" max="14" width="11.75" bestFit="1" customWidth="1"/>
    <col min="15" max="15" width="12.125" bestFit="1" customWidth="1"/>
  </cols>
  <sheetData>
    <row r="1" spans="1:16" ht="19.5" thickBot="1" x14ac:dyDescent="0.2">
      <c r="A1" s="20" t="s">
        <v>1085</v>
      </c>
      <c r="B1" s="911"/>
    </row>
    <row r="2" spans="1:16" ht="14.25" thickBot="1" x14ac:dyDescent="0.2">
      <c r="A2" s="2275" t="s">
        <v>33</v>
      </c>
      <c r="B2" s="2276"/>
      <c r="C2" s="858" t="s">
        <v>1011</v>
      </c>
      <c r="D2" s="857" t="s">
        <v>1012</v>
      </c>
      <c r="E2" s="857" t="s">
        <v>1013</v>
      </c>
      <c r="F2" s="857" t="s">
        <v>1014</v>
      </c>
      <c r="G2" s="857" t="s">
        <v>1015</v>
      </c>
      <c r="H2" s="857" t="s">
        <v>1016</v>
      </c>
      <c r="I2" s="857" t="s">
        <v>1017</v>
      </c>
      <c r="J2" s="857" t="s">
        <v>1018</v>
      </c>
      <c r="K2" s="857" t="s">
        <v>1019</v>
      </c>
      <c r="L2" s="857" t="s">
        <v>1020</v>
      </c>
      <c r="M2" s="857" t="s">
        <v>1021</v>
      </c>
      <c r="N2" s="859" t="s">
        <v>1022</v>
      </c>
      <c r="O2" s="862" t="s">
        <v>96</v>
      </c>
    </row>
    <row r="3" spans="1:16" x14ac:dyDescent="0.15">
      <c r="A3" s="2277" t="s">
        <v>34</v>
      </c>
      <c r="B3" s="2278"/>
      <c r="C3" s="827">
        <f>H30収支予測!C8*10000</f>
        <v>11230000</v>
      </c>
      <c r="D3" s="827">
        <f>H30収支予測!D8*10000</f>
        <v>12510000</v>
      </c>
      <c r="E3" s="827">
        <f>H30収支予測!E8*10000</f>
        <v>12770000</v>
      </c>
      <c r="F3" s="827">
        <f>H30収支予測!F8*10000</f>
        <v>12070000</v>
      </c>
      <c r="G3" s="827">
        <f>H30収支予測!G8*10000</f>
        <v>12670000</v>
      </c>
      <c r="H3" s="827">
        <f>H30収支予測!H8*10000</f>
        <v>11460000</v>
      </c>
      <c r="I3" s="827">
        <f>H30収支予測!I8*10000</f>
        <v>12820000</v>
      </c>
      <c r="J3" s="827">
        <f>H30収支予測!J8*10000</f>
        <v>12900000</v>
      </c>
      <c r="K3" s="827">
        <f>H30収支予測!K8*10000</f>
        <v>11990000</v>
      </c>
      <c r="L3" s="827">
        <f>H30収支予測!L8*10000</f>
        <v>12000000</v>
      </c>
      <c r="M3" s="827">
        <f>H30収支予測!M8*10000</f>
        <v>12000000</v>
      </c>
      <c r="N3" s="827">
        <f>H30収支予測!N8*10000</f>
        <v>12000000</v>
      </c>
      <c r="O3" s="863">
        <f>SUM(C3:N3)</f>
        <v>146420000</v>
      </c>
      <c r="P3" t="s">
        <v>1082</v>
      </c>
    </row>
    <row r="4" spans="1:16" x14ac:dyDescent="0.15">
      <c r="A4" s="2277" t="s">
        <v>37</v>
      </c>
      <c r="B4" s="2278"/>
      <c r="C4" s="826">
        <f>H30収支予測!C9*10000</f>
        <v>6140000</v>
      </c>
      <c r="D4" s="826">
        <f>H30収支予測!D9*10000</f>
        <v>7560000</v>
      </c>
      <c r="E4" s="826">
        <f>H30収支予測!E9*10000</f>
        <v>7290000</v>
      </c>
      <c r="F4" s="826">
        <f>H30収支予測!F9*10000</f>
        <v>6670000</v>
      </c>
      <c r="G4" s="826">
        <f>H30収支予測!G9*10000</f>
        <v>5940000</v>
      </c>
      <c r="H4" s="826">
        <f>H30収支予測!H9*10000</f>
        <v>6270000</v>
      </c>
      <c r="I4" s="826">
        <f>H30収支予測!I9*10000</f>
        <v>5460000</v>
      </c>
      <c r="J4" s="826">
        <f>H30収支予測!J9*10000</f>
        <v>6260000</v>
      </c>
      <c r="K4" s="826">
        <f>H30収支予測!K9*10000</f>
        <v>5350000</v>
      </c>
      <c r="L4" s="826">
        <f>H30収支予測!L9*10000</f>
        <v>5800000</v>
      </c>
      <c r="M4" s="826">
        <f>H30収支予測!M9*10000</f>
        <v>5800000</v>
      </c>
      <c r="N4" s="826">
        <f>H30収支予測!N9*10000</f>
        <v>5800000</v>
      </c>
      <c r="O4" s="864">
        <f t="shared" ref="O4:O16" si="0">SUM(C4:N4)</f>
        <v>74340000</v>
      </c>
      <c r="P4" t="s">
        <v>1100</v>
      </c>
    </row>
    <row r="5" spans="1:16" x14ac:dyDescent="0.15">
      <c r="A5" s="2277" t="s">
        <v>66</v>
      </c>
      <c r="B5" s="2278"/>
      <c r="C5" s="826">
        <f>H30収支予測!C10*10000</f>
        <v>6740000</v>
      </c>
      <c r="D5" s="826">
        <f>H30収支予測!D10*10000</f>
        <v>7390000</v>
      </c>
      <c r="E5" s="826">
        <f>H30収支予測!E10*10000</f>
        <v>7050000</v>
      </c>
      <c r="F5" s="826">
        <f>H30収支予測!F10*10000</f>
        <v>7070000</v>
      </c>
      <c r="G5" s="826">
        <f>H30収支予測!G10*10000</f>
        <v>7000000</v>
      </c>
      <c r="H5" s="826">
        <f>H30収支予測!H10*10000</f>
        <v>6370000</v>
      </c>
      <c r="I5" s="826">
        <f>H30収支予測!I10*10000</f>
        <v>6980000</v>
      </c>
      <c r="J5" s="826">
        <f>H30収支予測!J10*10000</f>
        <v>7110000</v>
      </c>
      <c r="K5" s="826">
        <f>H30収支予測!K10*10000</f>
        <v>6390000</v>
      </c>
      <c r="L5" s="826">
        <f>H30収支予測!L10*10000</f>
        <v>6800000</v>
      </c>
      <c r="M5" s="826">
        <f>H30収支予測!M10*10000</f>
        <v>6800000</v>
      </c>
      <c r="N5" s="826">
        <f>H30収支予測!N10*10000</f>
        <v>6800000</v>
      </c>
      <c r="O5" s="864">
        <f t="shared" si="0"/>
        <v>82500000</v>
      </c>
      <c r="P5" t="s">
        <v>1100</v>
      </c>
    </row>
    <row r="6" spans="1:16" x14ac:dyDescent="0.15">
      <c r="A6" s="2277" t="s">
        <v>967</v>
      </c>
      <c r="B6" s="2278"/>
      <c r="C6" s="826">
        <f>H30収支予測!C11*10000</f>
        <v>1190000</v>
      </c>
      <c r="D6" s="826">
        <f>H30収支予測!D11*10000</f>
        <v>1640000</v>
      </c>
      <c r="E6" s="826">
        <f>H30収支予測!E11*10000</f>
        <v>1300000</v>
      </c>
      <c r="F6" s="826">
        <f>H30収支予測!F11*10000</f>
        <v>1520000</v>
      </c>
      <c r="G6" s="826">
        <f>H30収支予測!G11*10000</f>
        <v>1160000</v>
      </c>
      <c r="H6" s="826">
        <f>H30収支予測!H11*10000</f>
        <v>900000</v>
      </c>
      <c r="I6" s="826">
        <f>H30収支予測!I11*10000</f>
        <v>0</v>
      </c>
      <c r="J6" s="826">
        <f>H30収支予測!J11*10000</f>
        <v>10000</v>
      </c>
      <c r="K6" s="826">
        <f>H30収支予測!K11*10000</f>
        <v>0</v>
      </c>
      <c r="L6" s="826">
        <f>H30収支予測!L11*10000</f>
        <v>0</v>
      </c>
      <c r="M6" s="826">
        <f>H30収支予測!M11*10000</f>
        <v>0</v>
      </c>
      <c r="N6" s="826">
        <f>H30収支予測!N11*10000</f>
        <v>0</v>
      </c>
      <c r="O6" s="864">
        <f t="shared" si="0"/>
        <v>7720000</v>
      </c>
      <c r="P6" t="s">
        <v>1067</v>
      </c>
    </row>
    <row r="7" spans="1:16" x14ac:dyDescent="0.15">
      <c r="A7" s="2263" t="s">
        <v>1143</v>
      </c>
      <c r="B7" s="2264"/>
      <c r="C7" s="826">
        <f>H30収支予測!C12*10000</f>
        <v>0</v>
      </c>
      <c r="D7" s="826">
        <f>H30収支予測!D12*10000</f>
        <v>280000</v>
      </c>
      <c r="E7" s="826">
        <f>H30収支予測!E12*10000</f>
        <v>490000</v>
      </c>
      <c r="F7" s="826">
        <f>H30収支予測!F12*10000</f>
        <v>700000</v>
      </c>
      <c r="G7" s="826">
        <f>H30収支予測!G12*10000</f>
        <v>810000</v>
      </c>
      <c r="H7" s="826">
        <f>H30収支予測!H12*10000</f>
        <v>1060000</v>
      </c>
      <c r="I7" s="826">
        <f>H30収支予測!I12*10000</f>
        <v>1440000</v>
      </c>
      <c r="J7" s="826">
        <f>H30収支予測!J12*10000</f>
        <v>1900000</v>
      </c>
      <c r="K7" s="826">
        <f>H30収支予測!K12*10000</f>
        <v>1930000</v>
      </c>
      <c r="L7" s="826">
        <f>H30収支予測!L12*10000</f>
        <v>2150000</v>
      </c>
      <c r="M7" s="826">
        <f>H30収支予測!M12*10000</f>
        <v>2350000</v>
      </c>
      <c r="N7" s="826">
        <f>H30収支予測!N12*10000</f>
        <v>2550000</v>
      </c>
      <c r="O7" s="864">
        <f>SUM(C7:N7)</f>
        <v>15660000</v>
      </c>
      <c r="P7" t="s">
        <v>1068</v>
      </c>
    </row>
    <row r="8" spans="1:16" x14ac:dyDescent="0.15">
      <c r="A8" s="2277" t="s">
        <v>358</v>
      </c>
      <c r="B8" s="2278"/>
      <c r="C8" s="826">
        <f>H30収支予測!C13*10000</f>
        <v>4420000</v>
      </c>
      <c r="D8" s="826">
        <f>H30収支予測!D13*10000</f>
        <v>4440000</v>
      </c>
      <c r="E8" s="826">
        <f>H30収支予測!E13*10000</f>
        <v>4830000</v>
      </c>
      <c r="F8" s="826">
        <f>H30収支予測!F13*10000</f>
        <v>4420000</v>
      </c>
      <c r="G8" s="826">
        <f>H30収支予測!G13*10000</f>
        <v>4120000</v>
      </c>
      <c r="H8" s="826">
        <f>H30収支予測!H13*10000</f>
        <v>4480000</v>
      </c>
      <c r="I8" s="826">
        <f>H30収支予測!I13*10000</f>
        <v>4930000</v>
      </c>
      <c r="J8" s="826">
        <f>H30収支予測!J13*10000</f>
        <v>4430000</v>
      </c>
      <c r="K8" s="826">
        <f>H30収支予測!K13*10000</f>
        <v>4210000</v>
      </c>
      <c r="L8" s="826">
        <f>H30収支予測!L13*10000</f>
        <v>4250000</v>
      </c>
      <c r="M8" s="826">
        <f>H30収支予測!M13*10000</f>
        <v>4400000</v>
      </c>
      <c r="N8" s="826">
        <f>H30収支予測!N13*10000</f>
        <v>4400000</v>
      </c>
      <c r="O8" s="864">
        <f>SUM(C8:N8)</f>
        <v>53330000</v>
      </c>
      <c r="P8" t="s">
        <v>1074</v>
      </c>
    </row>
    <row r="9" spans="1:16" x14ac:dyDescent="0.15">
      <c r="A9" s="2277" t="s">
        <v>38</v>
      </c>
      <c r="B9" s="2278"/>
      <c r="C9" s="826">
        <f>H30収支予測!C14*10000</f>
        <v>2110000</v>
      </c>
      <c r="D9" s="826">
        <f>H30収支予測!D14*10000</f>
        <v>2400000</v>
      </c>
      <c r="E9" s="826">
        <f>H30収支予測!E14*10000</f>
        <v>3520000</v>
      </c>
      <c r="F9" s="826">
        <f>H30収支予測!F14*10000</f>
        <v>2610000</v>
      </c>
      <c r="G9" s="826">
        <f>H30収支予測!G14*10000</f>
        <v>2630000</v>
      </c>
      <c r="H9" s="826">
        <f>H30収支予測!H14*10000</f>
        <v>2510000</v>
      </c>
      <c r="I9" s="826">
        <f>H30収支予測!I14*10000</f>
        <v>2500000</v>
      </c>
      <c r="J9" s="826">
        <f>H30収支予測!J14*10000</f>
        <v>2460000</v>
      </c>
      <c r="K9" s="826">
        <f>H30収支予測!K14*10000</f>
        <v>2430000</v>
      </c>
      <c r="L9" s="826">
        <f>H30収支予測!L14*10000</f>
        <v>2500000</v>
      </c>
      <c r="M9" s="826">
        <f>H30収支予測!M14*10000</f>
        <v>2500000</v>
      </c>
      <c r="N9" s="826">
        <f>H30収支予測!N14*10000</f>
        <v>2500000</v>
      </c>
      <c r="O9" s="864">
        <f t="shared" si="0"/>
        <v>30670000</v>
      </c>
      <c r="P9" t="s">
        <v>1072</v>
      </c>
    </row>
    <row r="10" spans="1:16" x14ac:dyDescent="0.15">
      <c r="A10" s="2277" t="s">
        <v>125</v>
      </c>
      <c r="B10" s="2278"/>
      <c r="C10" s="826">
        <f>H30収支予測!C15*10000</f>
        <v>860000</v>
      </c>
      <c r="D10" s="826">
        <f>H30収支予測!D15*10000</f>
        <v>1140000</v>
      </c>
      <c r="E10" s="826">
        <f>H30収支予測!E15*10000</f>
        <v>1130000</v>
      </c>
      <c r="F10" s="826">
        <f>H30収支予測!F15*10000</f>
        <v>1170000</v>
      </c>
      <c r="G10" s="826">
        <f>H30収支予測!G15*10000</f>
        <v>1270000</v>
      </c>
      <c r="H10" s="826">
        <f>H30収支予測!H15*10000</f>
        <v>1040000</v>
      </c>
      <c r="I10" s="826">
        <f>H30収支予測!I15*10000</f>
        <v>1030000</v>
      </c>
      <c r="J10" s="826">
        <f>H30収支予測!J15*10000</f>
        <v>1080000</v>
      </c>
      <c r="K10" s="826">
        <f>H30収支予測!K15*10000</f>
        <v>1200000</v>
      </c>
      <c r="L10" s="826">
        <f>H30収支予測!L15*10000</f>
        <v>1050000</v>
      </c>
      <c r="M10" s="826">
        <f>H30収支予測!M15*10000</f>
        <v>1050000</v>
      </c>
      <c r="N10" s="826">
        <f>H30収支予測!N15*10000</f>
        <v>1050000</v>
      </c>
      <c r="O10" s="864">
        <f t="shared" si="0"/>
        <v>13070000</v>
      </c>
      <c r="P10" t="s">
        <v>1069</v>
      </c>
    </row>
    <row r="11" spans="1:16" x14ac:dyDescent="0.15">
      <c r="A11" s="2277" t="s">
        <v>184</v>
      </c>
      <c r="B11" s="2278"/>
      <c r="C11" s="826">
        <f>H30収支予測!C16*10000</f>
        <v>1050000</v>
      </c>
      <c r="D11" s="826">
        <f>H30収支予測!D16*10000</f>
        <v>1090000</v>
      </c>
      <c r="E11" s="826">
        <f>H30収支予測!E16*10000</f>
        <v>1070000</v>
      </c>
      <c r="F11" s="826">
        <f>H30収支予測!F16*10000</f>
        <v>1100000</v>
      </c>
      <c r="G11" s="826">
        <f>H30収支予測!G16*10000</f>
        <v>1360000</v>
      </c>
      <c r="H11" s="826">
        <f>H30収支予測!H16*10000</f>
        <v>1000000</v>
      </c>
      <c r="I11" s="826">
        <f>H30収支予測!I16*10000</f>
        <v>970000</v>
      </c>
      <c r="J11" s="826">
        <f>H30収支予測!J16*10000</f>
        <v>800000</v>
      </c>
      <c r="K11" s="826">
        <f>H30収支予測!K16*10000</f>
        <v>1050000</v>
      </c>
      <c r="L11" s="826">
        <f>H30収支予測!L16*10000</f>
        <v>1050000</v>
      </c>
      <c r="M11" s="826">
        <f>H30収支予測!M16*10000</f>
        <v>1050000</v>
      </c>
      <c r="N11" s="826">
        <f>H30収支予測!N16*10000</f>
        <v>1050000</v>
      </c>
      <c r="O11" s="864">
        <f t="shared" si="0"/>
        <v>12640000</v>
      </c>
      <c r="P11" t="s">
        <v>1070</v>
      </c>
    </row>
    <row r="12" spans="1:16" x14ac:dyDescent="0.15">
      <c r="A12" s="2277" t="s">
        <v>329</v>
      </c>
      <c r="B12" s="2278"/>
      <c r="C12" s="826">
        <f>H30収支予測!C17*10000</f>
        <v>2590000</v>
      </c>
      <c r="D12" s="826">
        <f>H30収支予測!D17*10000</f>
        <v>2800000</v>
      </c>
      <c r="E12" s="826">
        <f>H30収支予測!E17*10000</f>
        <v>2740000</v>
      </c>
      <c r="F12" s="826">
        <f>H30収支予測!F17*10000</f>
        <v>2810000</v>
      </c>
      <c r="G12" s="826">
        <f>H30収支予測!G17*10000</f>
        <v>2940000</v>
      </c>
      <c r="H12" s="826">
        <f>H30収支予測!H17*10000</f>
        <v>2120000</v>
      </c>
      <c r="I12" s="826">
        <f>H30収支予測!I17*10000</f>
        <v>2000000</v>
      </c>
      <c r="J12" s="826">
        <f>H30収支予測!J17*10000</f>
        <v>2830000</v>
      </c>
      <c r="K12" s="826">
        <f>H30収支予測!K17*10000</f>
        <v>2210000</v>
      </c>
      <c r="L12" s="826">
        <f>H30収支予測!L17*10000</f>
        <v>2300000</v>
      </c>
      <c r="M12" s="826">
        <f>H30収支予測!M17*10000</f>
        <v>2300000</v>
      </c>
      <c r="N12" s="826">
        <f>H30収支予測!N17*10000</f>
        <v>2300000</v>
      </c>
      <c r="O12" s="864">
        <f t="shared" si="0"/>
        <v>29940000</v>
      </c>
      <c r="P12" t="s">
        <v>1070</v>
      </c>
    </row>
    <row r="13" spans="1:16" x14ac:dyDescent="0.15">
      <c r="A13" s="2277" t="s">
        <v>1223</v>
      </c>
      <c r="B13" s="2278"/>
      <c r="C13" s="826">
        <f>H30収支予測!C18*10000</f>
        <v>0</v>
      </c>
      <c r="D13" s="826">
        <f>H30収支予測!D18*10000</f>
        <v>0</v>
      </c>
      <c r="E13" s="826">
        <f>H30収支予測!E18*10000</f>
        <v>20000</v>
      </c>
      <c r="F13" s="826">
        <f>H30収支予測!F18*10000</f>
        <v>40000</v>
      </c>
      <c r="G13" s="826">
        <f>H30収支予測!G18*10000</f>
        <v>40000</v>
      </c>
      <c r="H13" s="826">
        <f>H30収支予測!H18*10000</f>
        <v>1480000</v>
      </c>
      <c r="I13" s="826">
        <f>H30収支予測!I18*10000</f>
        <v>1770000</v>
      </c>
      <c r="J13" s="826">
        <f>H30収支予測!J18*10000</f>
        <v>2080000</v>
      </c>
      <c r="K13" s="826">
        <f>H30収支予測!K18*10000</f>
        <v>2050000</v>
      </c>
      <c r="L13" s="826">
        <f>H30収支予測!L18*10000</f>
        <v>2340000</v>
      </c>
      <c r="M13" s="826">
        <f>H30収支予測!M18*10000</f>
        <v>2410000</v>
      </c>
      <c r="N13" s="826">
        <f>H30収支予測!N18*10000</f>
        <v>2410000</v>
      </c>
      <c r="O13" s="864">
        <f>SUM(C13:N13)</f>
        <v>14640000</v>
      </c>
    </row>
    <row r="14" spans="1:16" x14ac:dyDescent="0.15">
      <c r="A14" s="2277" t="s">
        <v>1024</v>
      </c>
      <c r="B14" s="2278"/>
      <c r="C14" s="826">
        <f>H30収支予測!C19*10000</f>
        <v>0</v>
      </c>
      <c r="D14" s="826">
        <f>H30収支予測!D19*10000</f>
        <v>0</v>
      </c>
      <c r="E14" s="826">
        <f>H30収支予測!E19*10000</f>
        <v>0</v>
      </c>
      <c r="F14" s="826">
        <f>H30収支予測!F19*10000</f>
        <v>0</v>
      </c>
      <c r="G14" s="826">
        <f>H30収支予測!G19*10000</f>
        <v>0</v>
      </c>
      <c r="H14" s="826">
        <f>H30収支予測!H19*10000</f>
        <v>0</v>
      </c>
      <c r="I14" s="826">
        <f>H30収支予測!I19*10000</f>
        <v>0</v>
      </c>
      <c r="J14" s="826">
        <f>H30収支予測!J19*10000</f>
        <v>0</v>
      </c>
      <c r="K14" s="826">
        <f>H30収支予測!K19*10000</f>
        <v>0</v>
      </c>
      <c r="L14" s="826">
        <f>H30収支予測!L19*10000</f>
        <v>2390000</v>
      </c>
      <c r="M14" s="826">
        <f>H30収支予測!M19*10000</f>
        <v>2470000</v>
      </c>
      <c r="N14" s="826">
        <f>H30収支予測!N19*10000</f>
        <v>2470000</v>
      </c>
      <c r="O14" s="864">
        <f t="shared" si="0"/>
        <v>7330000</v>
      </c>
      <c r="P14" t="s">
        <v>1071</v>
      </c>
    </row>
    <row r="15" spans="1:16" ht="14.25" thickBot="1" x14ac:dyDescent="0.2">
      <c r="A15" s="2344" t="s">
        <v>1078</v>
      </c>
      <c r="B15" s="2345"/>
      <c r="C15" s="826">
        <f>H30収支予測!C20*10000</f>
        <v>0</v>
      </c>
      <c r="D15" s="885">
        <f>H30収支予測!D20*10000</f>
        <v>0</v>
      </c>
      <c r="E15" s="885">
        <f>H30収支予測!E20*10000</f>
        <v>0</v>
      </c>
      <c r="F15" s="885">
        <f>H30収支予測!F20*10000</f>
        <v>0</v>
      </c>
      <c r="G15" s="885">
        <f>H30収支予測!G20*10000</f>
        <v>0</v>
      </c>
      <c r="H15" s="885">
        <f>H30収支予測!H20*10000</f>
        <v>0</v>
      </c>
      <c r="I15" s="885">
        <f>H30収支予測!I20*10000</f>
        <v>0</v>
      </c>
      <c r="J15" s="885">
        <f>H30収支予測!J20*10000</f>
        <v>0</v>
      </c>
      <c r="K15" s="885">
        <f>H30収支予測!K20*10000</f>
        <v>1370000</v>
      </c>
      <c r="L15" s="885">
        <f>H30収支予測!L20*10000</f>
        <v>0</v>
      </c>
      <c r="M15" s="885">
        <f>H30収支予測!M20*10000</f>
        <v>0</v>
      </c>
      <c r="N15" s="885">
        <f>H30収支予測!N20*10000</f>
        <v>0</v>
      </c>
      <c r="O15" s="864">
        <f t="shared" si="0"/>
        <v>1370000</v>
      </c>
      <c r="P15" t="s">
        <v>1079</v>
      </c>
    </row>
    <row r="16" spans="1:16" ht="14.25" thickBot="1" x14ac:dyDescent="0.2">
      <c r="A16" s="2279" t="s">
        <v>336</v>
      </c>
      <c r="B16" s="2280"/>
      <c r="C16" s="826">
        <f>H30収支予測!C22*10000</f>
        <v>1130000</v>
      </c>
      <c r="D16" s="885">
        <f>H30収支予測!D22*10000</f>
        <v>0</v>
      </c>
      <c r="E16" s="885">
        <f>H30収支予測!E22*10000</f>
        <v>0</v>
      </c>
      <c r="F16" s="885">
        <f>H30収支予測!F22*10000</f>
        <v>0</v>
      </c>
      <c r="G16" s="885">
        <f>H30収支予測!G22*10000</f>
        <v>0</v>
      </c>
      <c r="H16" s="885">
        <f>H30収支予測!H22*10000</f>
        <v>0</v>
      </c>
      <c r="I16" s="885">
        <f>H30収支予測!I22*10000</f>
        <v>0</v>
      </c>
      <c r="J16" s="885">
        <f>H30収支予測!J22*10000</f>
        <v>0</v>
      </c>
      <c r="K16" s="885">
        <f>H30収支予測!K22*10000</f>
        <v>0</v>
      </c>
      <c r="L16" s="885">
        <f>H30収支予測!L22*10000</f>
        <v>0</v>
      </c>
      <c r="M16" s="885">
        <f>H30収支予測!M22*10000</f>
        <v>0</v>
      </c>
      <c r="N16" s="885">
        <f>H30収支予測!N22*10000</f>
        <v>0</v>
      </c>
      <c r="O16" s="888">
        <f t="shared" si="0"/>
        <v>1130000</v>
      </c>
      <c r="P16" s="943" t="s">
        <v>1096</v>
      </c>
    </row>
    <row r="17" spans="1:16" ht="15" thickTop="1" thickBot="1" x14ac:dyDescent="0.2">
      <c r="A17" s="2281" t="s">
        <v>96</v>
      </c>
      <c r="B17" s="2282"/>
      <c r="C17" s="898">
        <f t="shared" ref="C17:N17" si="1">SUM(C3:C16)</f>
        <v>37460000</v>
      </c>
      <c r="D17" s="899">
        <f t="shared" si="1"/>
        <v>41250000</v>
      </c>
      <c r="E17" s="899">
        <f t="shared" si="1"/>
        <v>42210000</v>
      </c>
      <c r="F17" s="899">
        <f t="shared" si="1"/>
        <v>40180000</v>
      </c>
      <c r="G17" s="899">
        <f t="shared" si="1"/>
        <v>39940000</v>
      </c>
      <c r="H17" s="899">
        <f t="shared" si="1"/>
        <v>38690000</v>
      </c>
      <c r="I17" s="899">
        <f t="shared" si="1"/>
        <v>39900000</v>
      </c>
      <c r="J17" s="899">
        <f t="shared" si="1"/>
        <v>41860000</v>
      </c>
      <c r="K17" s="899">
        <f t="shared" si="1"/>
        <v>40180000</v>
      </c>
      <c r="L17" s="899">
        <f t="shared" si="1"/>
        <v>42630000</v>
      </c>
      <c r="M17" s="899">
        <f t="shared" si="1"/>
        <v>43130000</v>
      </c>
      <c r="N17" s="900">
        <f t="shared" si="1"/>
        <v>43330000</v>
      </c>
      <c r="O17" s="901">
        <f>SUM(C17:N17)</f>
        <v>490760000</v>
      </c>
      <c r="P17" s="942">
        <f>ROUND(AVERAGE(C17:N17),0)</f>
        <v>40896667</v>
      </c>
    </row>
    <row r="18" spans="1:16" x14ac:dyDescent="0.15">
      <c r="B18" s="82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</row>
    <row r="19" spans="1:16" ht="19.5" thickBot="1" x14ac:dyDescent="0.2">
      <c r="A19" s="20" t="s">
        <v>1086</v>
      </c>
      <c r="B19" s="824"/>
    </row>
    <row r="20" spans="1:16" s="824" customFormat="1" ht="14.25" thickBot="1" x14ac:dyDescent="0.2">
      <c r="A20" s="2275" t="s">
        <v>1088</v>
      </c>
      <c r="B20" s="2347"/>
      <c r="C20" s="834" t="s">
        <v>1011</v>
      </c>
      <c r="D20" s="830" t="s">
        <v>1012</v>
      </c>
      <c r="E20" s="830" t="s">
        <v>1013</v>
      </c>
      <c r="F20" s="830" t="s">
        <v>1014</v>
      </c>
      <c r="G20" s="830" t="s">
        <v>1015</v>
      </c>
      <c r="H20" s="830" t="s">
        <v>1016</v>
      </c>
      <c r="I20" s="830" t="s">
        <v>1017</v>
      </c>
      <c r="J20" s="830" t="s">
        <v>1018</v>
      </c>
      <c r="K20" s="830" t="s">
        <v>1019</v>
      </c>
      <c r="L20" s="830" t="s">
        <v>1020</v>
      </c>
      <c r="M20" s="830" t="s">
        <v>1021</v>
      </c>
      <c r="N20" s="865" t="s">
        <v>1022</v>
      </c>
      <c r="O20" s="874" t="s">
        <v>96</v>
      </c>
    </row>
    <row r="21" spans="1:16" s="824" customFormat="1" ht="13.5" customHeight="1" x14ac:dyDescent="0.15">
      <c r="A21" s="2285" t="s">
        <v>1035</v>
      </c>
      <c r="B21" s="837" t="s">
        <v>1401</v>
      </c>
      <c r="C21" s="838">
        <v>11050002</v>
      </c>
      <c r="D21" s="839">
        <v>11201134</v>
      </c>
      <c r="E21" s="839">
        <v>11228997</v>
      </c>
      <c r="F21" s="839">
        <v>11228997</v>
      </c>
      <c r="G21" s="839">
        <v>11228997</v>
      </c>
      <c r="H21" s="839">
        <v>11228997</v>
      </c>
      <c r="I21" s="839">
        <v>11228997</v>
      </c>
      <c r="J21" s="839">
        <v>11531613</v>
      </c>
      <c r="K21" s="839">
        <v>11531613</v>
      </c>
      <c r="L21" s="839">
        <v>11531613</v>
      </c>
      <c r="M21" s="839">
        <v>11531613</v>
      </c>
      <c r="N21" s="866">
        <v>11531613</v>
      </c>
      <c r="O21" s="875">
        <f>SUM(C21:N21)</f>
        <v>136054186</v>
      </c>
    </row>
    <row r="22" spans="1:16" s="1926" customFormat="1" ht="13.5" customHeight="1" x14ac:dyDescent="0.15">
      <c r="A22" s="2285"/>
      <c r="B22" s="1684" t="s">
        <v>1487</v>
      </c>
      <c r="C22" s="838"/>
      <c r="D22" s="839"/>
      <c r="E22" s="839"/>
      <c r="F22" s="839"/>
      <c r="G22" s="839">
        <v>90000</v>
      </c>
      <c r="H22" s="839">
        <v>90000</v>
      </c>
      <c r="I22" s="839">
        <v>90000</v>
      </c>
      <c r="J22" s="839"/>
      <c r="K22" s="839"/>
      <c r="L22" s="839"/>
      <c r="M22" s="839"/>
      <c r="N22" s="866"/>
      <c r="O22" s="875"/>
    </row>
    <row r="23" spans="1:16" ht="13.5" customHeight="1" x14ac:dyDescent="0.15">
      <c r="A23" s="2285"/>
      <c r="B23" s="840" t="s">
        <v>1036</v>
      </c>
      <c r="C23" s="841">
        <v>246245</v>
      </c>
      <c r="D23" s="842">
        <v>366125</v>
      </c>
      <c r="E23" s="842">
        <v>372419</v>
      </c>
      <c r="F23" s="842">
        <v>561419</v>
      </c>
      <c r="G23" s="842">
        <v>504184</v>
      </c>
      <c r="H23" s="842">
        <v>369034</v>
      </c>
      <c r="I23" s="842"/>
      <c r="J23" s="842"/>
      <c r="K23" s="842"/>
      <c r="L23" s="842"/>
      <c r="M23" s="842"/>
      <c r="N23" s="867"/>
      <c r="O23" s="876">
        <f t="shared" ref="O23:O67" si="2">SUM(C23:N23)</f>
        <v>2419426</v>
      </c>
      <c r="P23" t="s">
        <v>1062</v>
      </c>
    </row>
    <row r="24" spans="1:16" ht="13.5" customHeight="1" x14ac:dyDescent="0.15">
      <c r="A24" s="2285"/>
      <c r="B24" s="1162" t="s">
        <v>1224</v>
      </c>
      <c r="C24" s="841"/>
      <c r="D24" s="842"/>
      <c r="E24" s="842"/>
      <c r="F24" s="842"/>
      <c r="G24" s="842"/>
      <c r="H24" s="842">
        <v>100000</v>
      </c>
      <c r="I24" s="842">
        <v>650000</v>
      </c>
      <c r="J24" s="842">
        <v>400000</v>
      </c>
      <c r="K24" s="842">
        <v>400000</v>
      </c>
      <c r="L24" s="842">
        <v>400000</v>
      </c>
      <c r="M24" s="842">
        <v>400000</v>
      </c>
      <c r="N24" s="867">
        <v>400000</v>
      </c>
      <c r="O24" s="876">
        <f t="shared" si="2"/>
        <v>2750000</v>
      </c>
    </row>
    <row r="25" spans="1:16" x14ac:dyDescent="0.15">
      <c r="A25" s="2285"/>
      <c r="B25" s="940" t="s">
        <v>1024</v>
      </c>
      <c r="C25" s="841"/>
      <c r="D25" s="842"/>
      <c r="E25" s="842"/>
      <c r="F25" s="842"/>
      <c r="G25" s="842"/>
      <c r="H25" s="842"/>
      <c r="I25" s="842"/>
      <c r="J25" s="842"/>
      <c r="K25" s="842">
        <v>619301</v>
      </c>
      <c r="L25" s="842">
        <v>742925</v>
      </c>
      <c r="M25" s="842">
        <v>762323</v>
      </c>
      <c r="N25" s="867">
        <v>687112</v>
      </c>
      <c r="O25" s="876">
        <f t="shared" si="2"/>
        <v>2811661</v>
      </c>
      <c r="P25" t="s">
        <v>1063</v>
      </c>
    </row>
    <row r="26" spans="1:16" x14ac:dyDescent="0.15">
      <c r="A26" s="2285"/>
      <c r="B26" s="940" t="s">
        <v>1037</v>
      </c>
      <c r="C26" s="841">
        <v>80000</v>
      </c>
      <c r="D26" s="842"/>
      <c r="E26" s="842"/>
      <c r="F26" s="842"/>
      <c r="G26" s="842"/>
      <c r="H26" s="842"/>
      <c r="I26" s="842"/>
      <c r="J26" s="842"/>
      <c r="K26" s="842"/>
      <c r="L26" s="842"/>
      <c r="M26" s="842"/>
      <c r="N26" s="867"/>
      <c r="O26" s="876">
        <f t="shared" si="2"/>
        <v>80000</v>
      </c>
    </row>
    <row r="27" spans="1:16" x14ac:dyDescent="0.15">
      <c r="A27" s="2285"/>
      <c r="B27" s="990" t="s">
        <v>1127</v>
      </c>
      <c r="C27" s="841"/>
      <c r="D27" s="842">
        <v>28890</v>
      </c>
      <c r="E27" s="842">
        <v>82200</v>
      </c>
      <c r="F27" s="842">
        <v>125385</v>
      </c>
      <c r="G27" s="842">
        <v>246245</v>
      </c>
      <c r="H27" s="842">
        <v>366125</v>
      </c>
      <c r="I27" s="842">
        <v>372419</v>
      </c>
      <c r="J27" s="842"/>
      <c r="K27" s="842"/>
      <c r="L27" s="842"/>
      <c r="M27" s="842"/>
      <c r="N27" s="867"/>
      <c r="O27" s="876">
        <f>SUM(C27:N27)</f>
        <v>1221264</v>
      </c>
      <c r="P27" t="s">
        <v>1062</v>
      </c>
    </row>
    <row r="28" spans="1:16" x14ac:dyDescent="0.15">
      <c r="A28" s="2285"/>
      <c r="B28" s="940"/>
      <c r="C28" s="841"/>
      <c r="D28" s="842"/>
      <c r="E28" s="842"/>
      <c r="F28" s="842"/>
      <c r="G28" s="842"/>
      <c r="H28" s="842"/>
      <c r="I28" s="842"/>
      <c r="J28" s="842"/>
      <c r="K28" s="842"/>
      <c r="L28" s="842"/>
      <c r="M28" s="842"/>
      <c r="N28" s="867"/>
      <c r="O28" s="876">
        <f t="shared" si="2"/>
        <v>0</v>
      </c>
    </row>
    <row r="29" spans="1:16" x14ac:dyDescent="0.15">
      <c r="A29" s="2285"/>
      <c r="B29" s="940" t="s">
        <v>336</v>
      </c>
      <c r="C29" s="841"/>
      <c r="D29" s="842">
        <f>-601210</f>
        <v>-601210</v>
      </c>
      <c r="E29" s="842">
        <f t="shared" ref="E29:I29" si="3">-601210</f>
        <v>-601210</v>
      </c>
      <c r="F29" s="842">
        <f t="shared" si="3"/>
        <v>-601210</v>
      </c>
      <c r="G29" s="842">
        <f t="shared" si="3"/>
        <v>-601210</v>
      </c>
      <c r="H29" s="842">
        <f t="shared" si="3"/>
        <v>-601210</v>
      </c>
      <c r="I29" s="842">
        <f t="shared" si="3"/>
        <v>-601210</v>
      </c>
      <c r="J29" s="842"/>
      <c r="K29" s="842"/>
      <c r="L29" s="842"/>
      <c r="M29" s="842"/>
      <c r="N29" s="867"/>
      <c r="O29" s="876">
        <f t="shared" si="2"/>
        <v>-3607260</v>
      </c>
      <c r="P29" t="s">
        <v>1064</v>
      </c>
    </row>
    <row r="30" spans="1:16" x14ac:dyDescent="0.15">
      <c r="A30" s="2285"/>
      <c r="B30" s="940"/>
      <c r="C30" s="841"/>
      <c r="D30" s="842"/>
      <c r="E30" s="842"/>
      <c r="F30" s="842"/>
      <c r="G30" s="842"/>
      <c r="H30" s="842"/>
      <c r="I30" s="842"/>
      <c r="J30" s="842"/>
      <c r="K30" s="842"/>
      <c r="L30" s="842"/>
      <c r="M30" s="842"/>
      <c r="N30" s="867"/>
      <c r="O30" s="876">
        <f t="shared" si="2"/>
        <v>0</v>
      </c>
    </row>
    <row r="31" spans="1:16" x14ac:dyDescent="0.15">
      <c r="A31" s="2285"/>
      <c r="B31" s="940" t="s">
        <v>1038</v>
      </c>
      <c r="C31" s="841">
        <v>0</v>
      </c>
      <c r="D31" s="842">
        <v>313800</v>
      </c>
      <c r="E31" s="842">
        <v>117300</v>
      </c>
      <c r="F31" s="842">
        <v>378600</v>
      </c>
      <c r="G31" s="842">
        <v>432000</v>
      </c>
      <c r="H31" s="842">
        <v>-213800</v>
      </c>
      <c r="I31" s="842">
        <v>496800</v>
      </c>
      <c r="J31" s="842">
        <v>50000</v>
      </c>
      <c r="K31" s="842">
        <v>100000</v>
      </c>
      <c r="L31" s="842">
        <v>150000</v>
      </c>
      <c r="M31" s="842">
        <v>200000</v>
      </c>
      <c r="N31" s="867">
        <v>250000</v>
      </c>
      <c r="O31" s="876">
        <f>SUM(C31:N31)</f>
        <v>2274700</v>
      </c>
      <c r="P31" t="s">
        <v>1099</v>
      </c>
    </row>
    <row r="32" spans="1:16" x14ac:dyDescent="0.15">
      <c r="A32" s="2285"/>
      <c r="B32" s="843" t="s">
        <v>1047</v>
      </c>
      <c r="C32" s="844">
        <f>SUM(C21:C31)</f>
        <v>11376247</v>
      </c>
      <c r="D32" s="845">
        <f>SUM(D21:D31)</f>
        <v>11308739</v>
      </c>
      <c r="E32" s="845">
        <f t="shared" ref="E32:N32" si="4">SUM(E21:E31)</f>
        <v>11199706</v>
      </c>
      <c r="F32" s="845">
        <f t="shared" si="4"/>
        <v>11693191</v>
      </c>
      <c r="G32" s="845">
        <f t="shared" si="4"/>
        <v>11900216</v>
      </c>
      <c r="H32" s="845">
        <f t="shared" si="4"/>
        <v>11339146</v>
      </c>
      <c r="I32" s="845">
        <f t="shared" si="4"/>
        <v>12237006</v>
      </c>
      <c r="J32" s="845">
        <f t="shared" si="4"/>
        <v>11981613</v>
      </c>
      <c r="K32" s="845">
        <f t="shared" si="4"/>
        <v>12650914</v>
      </c>
      <c r="L32" s="845">
        <f t="shared" si="4"/>
        <v>12824538</v>
      </c>
      <c r="M32" s="845">
        <f t="shared" si="4"/>
        <v>12893936</v>
      </c>
      <c r="N32" s="868">
        <f t="shared" si="4"/>
        <v>12868725</v>
      </c>
      <c r="O32" s="877">
        <f t="shared" si="2"/>
        <v>144273977</v>
      </c>
    </row>
    <row r="33" spans="1:16" ht="13.5" customHeight="1" x14ac:dyDescent="0.15">
      <c r="A33" s="2285" t="s">
        <v>1041</v>
      </c>
      <c r="B33" s="837" t="s">
        <v>1401</v>
      </c>
      <c r="C33" s="846">
        <v>8597594</v>
      </c>
      <c r="D33" s="847">
        <v>9203486</v>
      </c>
      <c r="E33" s="847">
        <v>9553535</v>
      </c>
      <c r="F33" s="847">
        <v>9553535</v>
      </c>
      <c r="G33" s="847">
        <v>9553535</v>
      </c>
      <c r="H33" s="847">
        <v>9553535</v>
      </c>
      <c r="I33" s="847">
        <v>9553535</v>
      </c>
      <c r="J33" s="847">
        <v>9786251</v>
      </c>
      <c r="K33" s="847">
        <v>9786251</v>
      </c>
      <c r="L33" s="847">
        <v>9786251</v>
      </c>
      <c r="M33" s="847">
        <v>9786251</v>
      </c>
      <c r="N33" s="869">
        <v>9786251</v>
      </c>
      <c r="O33" s="878">
        <f t="shared" si="2"/>
        <v>114500010</v>
      </c>
    </row>
    <row r="34" spans="1:16" ht="13.5" customHeight="1" x14ac:dyDescent="0.15">
      <c r="A34" s="2285"/>
      <c r="B34" s="1684" t="s">
        <v>1538</v>
      </c>
      <c r="C34" s="838"/>
      <c r="D34" s="839"/>
      <c r="E34" s="839"/>
      <c r="F34" s="839"/>
      <c r="G34" s="839"/>
      <c r="H34" s="839"/>
      <c r="I34" s="839"/>
      <c r="J34" s="839">
        <v>-500000</v>
      </c>
      <c r="K34" s="839">
        <v>-500000</v>
      </c>
      <c r="L34" s="839">
        <v>-500000</v>
      </c>
      <c r="M34" s="839">
        <v>-500000</v>
      </c>
      <c r="N34" s="866">
        <v>-500000</v>
      </c>
      <c r="O34" s="875">
        <f t="shared" si="2"/>
        <v>-2500000</v>
      </c>
    </row>
    <row r="35" spans="1:16" ht="13.5" customHeight="1" x14ac:dyDescent="0.15">
      <c r="A35" s="2285"/>
      <c r="B35" s="1684" t="s">
        <v>1486</v>
      </c>
      <c r="C35" s="838"/>
      <c r="D35" s="839"/>
      <c r="E35" s="839"/>
      <c r="F35" s="839"/>
      <c r="G35" s="839"/>
      <c r="H35" s="839"/>
      <c r="I35" s="839"/>
      <c r="J35" s="839">
        <v>190000</v>
      </c>
      <c r="K35" s="839">
        <v>190000</v>
      </c>
      <c r="L35" s="839">
        <v>190000</v>
      </c>
      <c r="M35" s="839">
        <v>190000</v>
      </c>
      <c r="N35" s="866">
        <v>190000</v>
      </c>
      <c r="O35" s="875">
        <f t="shared" si="2"/>
        <v>950000</v>
      </c>
      <c r="P35" t="s">
        <v>1488</v>
      </c>
    </row>
    <row r="36" spans="1:16" ht="13.5" customHeight="1" x14ac:dyDescent="0.15">
      <c r="A36" s="2285"/>
      <c r="B36" s="1684" t="s">
        <v>1499</v>
      </c>
      <c r="C36" s="838"/>
      <c r="D36" s="839"/>
      <c r="E36" s="839"/>
      <c r="F36" s="839"/>
      <c r="G36" s="839"/>
      <c r="H36" s="839">
        <v>220000</v>
      </c>
      <c r="I36" s="839">
        <v>220000</v>
      </c>
      <c r="J36" s="839"/>
      <c r="K36" s="839"/>
      <c r="L36" s="839"/>
      <c r="M36" s="839"/>
      <c r="N36" s="866"/>
      <c r="O36" s="875">
        <f t="shared" si="2"/>
        <v>440000</v>
      </c>
    </row>
    <row r="37" spans="1:16" ht="13.5" customHeight="1" x14ac:dyDescent="0.15">
      <c r="A37" s="2285"/>
      <c r="B37" s="940" t="s">
        <v>424</v>
      </c>
      <c r="C37" s="838">
        <v>600000</v>
      </c>
      <c r="D37" s="839">
        <v>350000</v>
      </c>
      <c r="E37" s="839">
        <v>150000</v>
      </c>
      <c r="F37" s="839">
        <v>150000</v>
      </c>
      <c r="G37" s="839">
        <v>150000</v>
      </c>
      <c r="H37" s="839">
        <v>150000</v>
      </c>
      <c r="I37" s="839">
        <v>150000</v>
      </c>
      <c r="J37" s="839"/>
      <c r="K37" s="839"/>
      <c r="L37" s="839"/>
      <c r="M37" s="839"/>
      <c r="N37" s="866"/>
      <c r="O37" s="875">
        <f t="shared" si="2"/>
        <v>1700000</v>
      </c>
      <c r="P37" t="s">
        <v>1090</v>
      </c>
    </row>
    <row r="38" spans="1:16" ht="13.5" customHeight="1" x14ac:dyDescent="0.15">
      <c r="A38" s="2285"/>
      <c r="B38" s="1688" t="s">
        <v>1403</v>
      </c>
      <c r="C38" s="838"/>
      <c r="D38" s="838"/>
      <c r="E38" s="839"/>
      <c r="F38" s="839">
        <v>300000</v>
      </c>
      <c r="G38" s="839">
        <v>300000</v>
      </c>
      <c r="H38" s="839">
        <v>300000</v>
      </c>
      <c r="I38" s="839">
        <v>350000</v>
      </c>
      <c r="J38" s="839"/>
      <c r="K38" s="839"/>
      <c r="L38" s="839"/>
      <c r="M38" s="839"/>
      <c r="N38" s="866"/>
      <c r="O38" s="875">
        <f t="shared" si="2"/>
        <v>1250000</v>
      </c>
    </row>
    <row r="39" spans="1:16" ht="13.5" customHeight="1" x14ac:dyDescent="0.15">
      <c r="A39" s="2285"/>
      <c r="B39" s="1932" t="s">
        <v>1500</v>
      </c>
      <c r="C39" s="838"/>
      <c r="D39" s="838"/>
      <c r="E39" s="839"/>
      <c r="F39" s="839"/>
      <c r="G39" s="839"/>
      <c r="H39" s="839"/>
      <c r="I39" s="839"/>
      <c r="J39" s="839">
        <v>300000</v>
      </c>
      <c r="K39" s="839">
        <v>600000</v>
      </c>
      <c r="L39" s="839">
        <v>600000</v>
      </c>
      <c r="M39" s="839">
        <v>650000</v>
      </c>
      <c r="N39" s="866">
        <v>700000</v>
      </c>
      <c r="O39" s="875">
        <f t="shared" si="2"/>
        <v>2850000</v>
      </c>
    </row>
    <row r="40" spans="1:16" ht="13.5" customHeight="1" x14ac:dyDescent="0.15">
      <c r="A40" s="2285"/>
      <c r="B40" s="1488" t="s">
        <v>1346</v>
      </c>
      <c r="C40" s="838"/>
      <c r="D40" s="838">
        <v>240000</v>
      </c>
      <c r="E40" s="839">
        <v>420000</v>
      </c>
      <c r="F40" s="839">
        <v>420000</v>
      </c>
      <c r="G40" s="839">
        <v>420000</v>
      </c>
      <c r="H40" s="839">
        <v>420000</v>
      </c>
      <c r="I40" s="839">
        <v>420000</v>
      </c>
      <c r="J40" s="839"/>
      <c r="K40" s="839"/>
      <c r="L40" s="839"/>
      <c r="M40" s="839"/>
      <c r="N40" s="866"/>
      <c r="O40" s="875">
        <f t="shared" si="2"/>
        <v>2340000</v>
      </c>
      <c r="P40" t="s">
        <v>1347</v>
      </c>
    </row>
    <row r="41" spans="1:16" x14ac:dyDescent="0.15">
      <c r="A41" s="2285"/>
      <c r="B41" s="1995" t="s">
        <v>1529</v>
      </c>
      <c r="C41" s="841"/>
      <c r="D41" s="842"/>
      <c r="E41" s="842"/>
      <c r="F41" s="842"/>
      <c r="G41" s="842"/>
      <c r="H41" s="842"/>
      <c r="I41" s="842"/>
      <c r="J41" s="842"/>
      <c r="K41" s="842">
        <v>640000</v>
      </c>
      <c r="L41" s="842">
        <v>640000</v>
      </c>
      <c r="M41" s="842">
        <v>640000</v>
      </c>
      <c r="N41" s="867">
        <v>700000</v>
      </c>
      <c r="O41" s="875">
        <f t="shared" si="2"/>
        <v>2620000</v>
      </c>
    </row>
    <row r="42" spans="1:16" x14ac:dyDescent="0.15">
      <c r="A42" s="2285"/>
      <c r="B42" s="1995"/>
      <c r="C42" s="841"/>
      <c r="D42" s="842"/>
      <c r="E42" s="842"/>
      <c r="F42" s="842"/>
      <c r="G42" s="842"/>
      <c r="H42" s="842"/>
      <c r="I42" s="842"/>
      <c r="J42" s="842"/>
      <c r="K42" s="842"/>
      <c r="L42" s="842"/>
      <c r="M42" s="842"/>
      <c r="N42" s="867"/>
      <c r="O42" s="875">
        <f t="shared" si="2"/>
        <v>0</v>
      </c>
    </row>
    <row r="43" spans="1:16" x14ac:dyDescent="0.15">
      <c r="A43" s="2285"/>
      <c r="B43" s="940"/>
      <c r="C43" s="841"/>
      <c r="D43" s="842"/>
      <c r="E43" s="842"/>
      <c r="F43" s="842"/>
      <c r="G43" s="842"/>
      <c r="H43" s="842"/>
      <c r="I43" s="842"/>
      <c r="J43" s="842"/>
      <c r="K43" s="842"/>
      <c r="L43" s="842"/>
      <c r="M43" s="842"/>
      <c r="N43" s="867"/>
      <c r="O43" s="875">
        <f t="shared" si="2"/>
        <v>0</v>
      </c>
    </row>
    <row r="44" spans="1:16" x14ac:dyDescent="0.15">
      <c r="A44" s="2285"/>
      <c r="B44" s="990" t="s">
        <v>1145</v>
      </c>
      <c r="C44" s="841"/>
      <c r="D44" s="842"/>
      <c r="E44" s="842"/>
      <c r="F44" s="842"/>
      <c r="G44" s="842"/>
      <c r="H44" s="842"/>
      <c r="I44" s="842"/>
      <c r="J44" s="842"/>
      <c r="K44" s="842"/>
      <c r="L44" s="842">
        <v>180000</v>
      </c>
      <c r="M44" s="842">
        <v>180000</v>
      </c>
      <c r="N44" s="867">
        <v>180000</v>
      </c>
      <c r="O44" s="875">
        <f t="shared" si="2"/>
        <v>540000</v>
      </c>
    </row>
    <row r="45" spans="1:16" x14ac:dyDescent="0.15">
      <c r="A45" s="2285"/>
      <c r="B45" s="990" t="s">
        <v>1146</v>
      </c>
      <c r="C45" s="841"/>
      <c r="D45" s="842"/>
      <c r="E45" s="842"/>
      <c r="F45" s="842"/>
      <c r="G45" s="842"/>
      <c r="H45" s="842"/>
      <c r="I45" s="842"/>
      <c r="J45" s="842"/>
      <c r="K45" s="842"/>
      <c r="L45" s="842"/>
      <c r="M45" s="842">
        <v>210000</v>
      </c>
      <c r="N45" s="867">
        <v>210000</v>
      </c>
      <c r="O45" s="876">
        <f t="shared" si="2"/>
        <v>420000</v>
      </c>
      <c r="P45" t="s">
        <v>1066</v>
      </c>
    </row>
    <row r="46" spans="1:16" x14ac:dyDescent="0.15">
      <c r="A46" s="2285"/>
      <c r="B46" s="940" t="s">
        <v>471</v>
      </c>
      <c r="C46" s="841"/>
      <c r="D46" s="842"/>
      <c r="E46" s="842"/>
      <c r="F46" s="842"/>
      <c r="G46" s="842"/>
      <c r="H46" s="842"/>
      <c r="I46" s="842"/>
      <c r="J46" s="842"/>
      <c r="K46" s="842"/>
      <c r="L46" s="842"/>
      <c r="M46" s="842">
        <v>170000</v>
      </c>
      <c r="N46" s="867">
        <v>170000</v>
      </c>
      <c r="O46" s="876">
        <f t="shared" si="2"/>
        <v>340000</v>
      </c>
    </row>
    <row r="47" spans="1:16" x14ac:dyDescent="0.15">
      <c r="A47" s="2285"/>
      <c r="B47" s="940" t="s">
        <v>1124</v>
      </c>
      <c r="C47" s="841"/>
      <c r="D47" s="842"/>
      <c r="E47" s="842"/>
      <c r="F47" s="842"/>
      <c r="G47" s="842"/>
      <c r="H47" s="842"/>
      <c r="I47" s="842"/>
      <c r="J47" s="842"/>
      <c r="K47" s="842"/>
      <c r="L47" s="842"/>
      <c r="M47" s="842"/>
      <c r="N47" s="867"/>
      <c r="O47" s="876">
        <f t="shared" si="2"/>
        <v>0</v>
      </c>
      <c r="P47" t="s">
        <v>1066</v>
      </c>
    </row>
    <row r="48" spans="1:16" x14ac:dyDescent="0.15">
      <c r="A48" s="2285"/>
      <c r="B48" s="940" t="s">
        <v>988</v>
      </c>
      <c r="C48" s="841">
        <v>160000</v>
      </c>
      <c r="D48" s="842">
        <v>80000</v>
      </c>
      <c r="E48" s="842">
        <v>102000</v>
      </c>
      <c r="F48" s="842">
        <v>102000</v>
      </c>
      <c r="G48" s="842">
        <v>102000</v>
      </c>
      <c r="H48" s="842">
        <v>102000</v>
      </c>
      <c r="I48" s="842">
        <v>102000</v>
      </c>
      <c r="J48" s="842"/>
      <c r="K48" s="842"/>
      <c r="L48" s="842"/>
      <c r="M48" s="842"/>
      <c r="N48" s="867"/>
      <c r="O48" s="876">
        <f t="shared" si="2"/>
        <v>750000</v>
      </c>
      <c r="P48" t="s">
        <v>1083</v>
      </c>
    </row>
    <row r="49" spans="1:16" x14ac:dyDescent="0.15">
      <c r="A49" s="2285"/>
      <c r="B49" s="940" t="s">
        <v>1125</v>
      </c>
      <c r="C49" s="841"/>
      <c r="D49" s="842"/>
      <c r="E49" s="842"/>
      <c r="F49" s="842"/>
      <c r="G49" s="842"/>
      <c r="H49" s="842"/>
      <c r="I49" s="842"/>
      <c r="J49" s="842"/>
      <c r="K49" s="842"/>
      <c r="L49" s="867"/>
      <c r="M49" s="842"/>
      <c r="N49" s="867">
        <v>210000</v>
      </c>
      <c r="O49" s="876">
        <f t="shared" si="2"/>
        <v>210000</v>
      </c>
      <c r="P49" t="s">
        <v>1126</v>
      </c>
    </row>
    <row r="50" spans="1:16" x14ac:dyDescent="0.15">
      <c r="A50" s="2285"/>
      <c r="B50" s="990" t="s">
        <v>1345</v>
      </c>
      <c r="C50" s="841"/>
      <c r="D50" s="842"/>
      <c r="E50" s="842"/>
      <c r="F50" s="842"/>
      <c r="G50" s="842"/>
      <c r="H50" s="842"/>
      <c r="I50" s="842"/>
      <c r="J50" s="842"/>
      <c r="K50" s="842"/>
      <c r="L50" s="842">
        <v>180000</v>
      </c>
      <c r="M50" s="842">
        <v>180000</v>
      </c>
      <c r="N50" s="867">
        <v>180000</v>
      </c>
      <c r="O50" s="876">
        <f t="shared" si="2"/>
        <v>540000</v>
      </c>
    </row>
    <row r="51" spans="1:16" x14ac:dyDescent="0.15">
      <c r="A51" s="2285"/>
      <c r="B51" s="940" t="s">
        <v>1031</v>
      </c>
      <c r="C51" s="841">
        <v>60000</v>
      </c>
      <c r="D51" s="842">
        <v>60000</v>
      </c>
      <c r="E51" s="842">
        <v>60000</v>
      </c>
      <c r="F51" s="842">
        <v>60000</v>
      </c>
      <c r="G51" s="842">
        <v>60000</v>
      </c>
      <c r="H51" s="842">
        <v>60000</v>
      </c>
      <c r="I51" s="842">
        <v>60000</v>
      </c>
      <c r="J51" s="842"/>
      <c r="K51" s="842"/>
      <c r="L51" s="842"/>
      <c r="M51" s="842"/>
      <c r="N51" s="867"/>
      <c r="O51" s="876">
        <f t="shared" si="2"/>
        <v>420000</v>
      </c>
    </row>
    <row r="52" spans="1:16" x14ac:dyDescent="0.15">
      <c r="A52" s="2285"/>
      <c r="B52" s="940" t="s">
        <v>1032</v>
      </c>
      <c r="C52" s="841"/>
      <c r="D52" s="842"/>
      <c r="E52" s="842"/>
      <c r="F52" s="842"/>
      <c r="G52" s="842"/>
      <c r="H52" s="842"/>
      <c r="I52" s="842"/>
      <c r="J52" s="842"/>
      <c r="K52" s="842"/>
      <c r="L52" s="842"/>
      <c r="M52" s="842">
        <v>180000</v>
      </c>
      <c r="N52" s="867">
        <v>180000</v>
      </c>
      <c r="O52" s="876">
        <f t="shared" si="2"/>
        <v>360000</v>
      </c>
      <c r="P52" t="s">
        <v>1065</v>
      </c>
    </row>
    <row r="53" spans="1:16" x14ac:dyDescent="0.15">
      <c r="A53" s="2285"/>
      <c r="B53" s="940" t="s">
        <v>1033</v>
      </c>
      <c r="C53" s="841"/>
      <c r="D53" s="842"/>
      <c r="E53" s="842"/>
      <c r="F53" s="842"/>
      <c r="G53" s="842"/>
      <c r="H53" s="842"/>
      <c r="I53" s="842"/>
      <c r="J53" s="842"/>
      <c r="K53" s="842"/>
      <c r="L53" s="842"/>
      <c r="M53" s="842"/>
      <c r="N53" s="867">
        <v>180000</v>
      </c>
      <c r="O53" s="876">
        <f t="shared" si="2"/>
        <v>180000</v>
      </c>
      <c r="P53" t="s">
        <v>1065</v>
      </c>
    </row>
    <row r="54" spans="1:16" x14ac:dyDescent="0.15">
      <c r="A54" s="2285"/>
      <c r="B54" s="940" t="s">
        <v>1034</v>
      </c>
      <c r="C54" s="841"/>
      <c r="D54" s="842"/>
      <c r="E54" s="842"/>
      <c r="F54" s="842"/>
      <c r="G54" s="842"/>
      <c r="H54" s="842"/>
      <c r="I54" s="842"/>
      <c r="J54" s="842"/>
      <c r="K54" s="842"/>
      <c r="L54" s="842"/>
      <c r="M54" s="842"/>
      <c r="N54" s="867"/>
      <c r="O54" s="876">
        <f t="shared" si="2"/>
        <v>0</v>
      </c>
      <c r="P54" t="s">
        <v>1065</v>
      </c>
    </row>
    <row r="55" spans="1:16" x14ac:dyDescent="0.15">
      <c r="A55" s="2285"/>
      <c r="B55" s="1488" t="s">
        <v>1348</v>
      </c>
      <c r="C55" s="841"/>
      <c r="D55" s="842"/>
      <c r="E55" s="842">
        <v>180000</v>
      </c>
      <c r="F55" s="842">
        <v>180000</v>
      </c>
      <c r="G55" s="842">
        <v>180000</v>
      </c>
      <c r="H55" s="842">
        <v>210000</v>
      </c>
      <c r="I55" s="842">
        <v>210000</v>
      </c>
      <c r="J55" s="842">
        <v>210000</v>
      </c>
      <c r="K55" s="842">
        <v>220000</v>
      </c>
      <c r="L55" s="842">
        <v>220000</v>
      </c>
      <c r="M55" s="842">
        <v>220000</v>
      </c>
      <c r="N55" s="867">
        <v>220000</v>
      </c>
      <c r="O55" s="876">
        <f t="shared" si="2"/>
        <v>2050000</v>
      </c>
    </row>
    <row r="56" spans="1:16" x14ac:dyDescent="0.15">
      <c r="A56" s="2285"/>
      <c r="B56" s="840" t="s">
        <v>1350</v>
      </c>
      <c r="C56" s="841"/>
      <c r="D56" s="842">
        <v>-200000</v>
      </c>
      <c r="E56" s="842">
        <f>-420000+40000</f>
        <v>-380000</v>
      </c>
      <c r="F56" s="842">
        <f>-420000+40000</f>
        <v>-380000</v>
      </c>
      <c r="G56" s="842">
        <f>-420000+40000-350000-250000</f>
        <v>-980000</v>
      </c>
      <c r="H56" s="842">
        <f>-420000+40000-350000-250000-350000</f>
        <v>-1330000</v>
      </c>
      <c r="I56" s="842">
        <f>-420000+40000-350000-250000-350000-350000-210000</f>
        <v>-1890000</v>
      </c>
      <c r="J56" s="842">
        <f t="shared" ref="J56:N56" si="5">-420000+40000-350000-250000-350000-350000-210000</f>
        <v>-1890000</v>
      </c>
      <c r="K56" s="842">
        <f t="shared" si="5"/>
        <v>-1890000</v>
      </c>
      <c r="L56" s="842">
        <f t="shared" si="5"/>
        <v>-1890000</v>
      </c>
      <c r="M56" s="842">
        <f t="shared" si="5"/>
        <v>-1890000</v>
      </c>
      <c r="N56" s="867">
        <f t="shared" si="5"/>
        <v>-1890000</v>
      </c>
      <c r="O56" s="876">
        <f t="shared" si="2"/>
        <v>-14610000</v>
      </c>
    </row>
    <row r="57" spans="1:16" x14ac:dyDescent="0.15">
      <c r="A57" s="2285"/>
      <c r="B57" s="843" t="s">
        <v>1047</v>
      </c>
      <c r="C57" s="844">
        <f t="shared" ref="C57:N57" si="6">SUM(C33:C56)</f>
        <v>9417594</v>
      </c>
      <c r="D57" s="845">
        <f t="shared" si="6"/>
        <v>9733486</v>
      </c>
      <c r="E57" s="845">
        <f t="shared" si="6"/>
        <v>10085535</v>
      </c>
      <c r="F57" s="845">
        <f t="shared" si="6"/>
        <v>10385535</v>
      </c>
      <c r="G57" s="845">
        <f t="shared" si="6"/>
        <v>9785535</v>
      </c>
      <c r="H57" s="845">
        <f>SUM(H33:H56)</f>
        <v>9685535</v>
      </c>
      <c r="I57" s="845">
        <f t="shared" si="6"/>
        <v>9175535</v>
      </c>
      <c r="J57" s="845">
        <f t="shared" si="6"/>
        <v>8096251</v>
      </c>
      <c r="K57" s="845">
        <f t="shared" si="6"/>
        <v>9046251</v>
      </c>
      <c r="L57" s="845">
        <f t="shared" si="6"/>
        <v>9406251</v>
      </c>
      <c r="M57" s="845">
        <f t="shared" si="6"/>
        <v>10016251</v>
      </c>
      <c r="N57" s="868">
        <f t="shared" si="6"/>
        <v>10516251</v>
      </c>
      <c r="O57" s="877">
        <f t="shared" si="2"/>
        <v>115350010</v>
      </c>
    </row>
    <row r="58" spans="1:16" x14ac:dyDescent="0.15">
      <c r="A58" s="2287" t="s">
        <v>60</v>
      </c>
      <c r="B58" s="2288"/>
      <c r="C58" s="835"/>
      <c r="D58" s="836"/>
      <c r="E58" s="836"/>
      <c r="F58" s="836">
        <v>13054420</v>
      </c>
      <c r="G58" s="836"/>
      <c r="H58" s="836"/>
      <c r="I58" s="836"/>
      <c r="J58" s="836"/>
      <c r="K58" s="836"/>
      <c r="L58" s="836">
        <v>12000000</v>
      </c>
      <c r="M58" s="836"/>
      <c r="N58" s="870">
        <v>2000000</v>
      </c>
      <c r="O58" s="879">
        <f t="shared" si="2"/>
        <v>27054420</v>
      </c>
    </row>
    <row r="59" spans="1:16" x14ac:dyDescent="0.15">
      <c r="A59" s="2287" t="s">
        <v>1042</v>
      </c>
      <c r="B59" s="2288"/>
      <c r="C59" s="835">
        <v>2500000</v>
      </c>
      <c r="D59" s="836">
        <v>3000000</v>
      </c>
      <c r="E59" s="836">
        <v>3000000</v>
      </c>
      <c r="F59" s="836">
        <v>3000000</v>
      </c>
      <c r="G59" s="836">
        <v>3000000</v>
      </c>
      <c r="H59" s="836">
        <v>3000000</v>
      </c>
      <c r="I59" s="836">
        <v>3000000</v>
      </c>
      <c r="J59" s="836">
        <v>3680000</v>
      </c>
      <c r="K59" s="836">
        <v>3680000</v>
      </c>
      <c r="L59" s="836">
        <v>3680000</v>
      </c>
      <c r="M59" s="836">
        <v>3680000</v>
      </c>
      <c r="N59" s="870">
        <v>3680000</v>
      </c>
      <c r="O59" s="879">
        <f t="shared" si="2"/>
        <v>38900000</v>
      </c>
    </row>
    <row r="60" spans="1:16" ht="13.5" customHeight="1" x14ac:dyDescent="0.15">
      <c r="A60" s="2286" t="s">
        <v>1043</v>
      </c>
      <c r="B60" s="837" t="s">
        <v>1402</v>
      </c>
      <c r="C60" s="846">
        <v>114591</v>
      </c>
      <c r="D60" s="847">
        <v>153760</v>
      </c>
      <c r="E60" s="847">
        <v>186458</v>
      </c>
      <c r="F60" s="847">
        <v>186458</v>
      </c>
      <c r="G60" s="847">
        <v>186458</v>
      </c>
      <c r="H60" s="847">
        <v>186458</v>
      </c>
      <c r="I60" s="847">
        <v>186458</v>
      </c>
      <c r="J60" s="847">
        <v>186458</v>
      </c>
      <c r="K60" s="847">
        <v>186458</v>
      </c>
      <c r="L60" s="847">
        <v>186458</v>
      </c>
      <c r="M60" s="847">
        <v>186458</v>
      </c>
      <c r="N60" s="869">
        <v>186458</v>
      </c>
      <c r="O60" s="878">
        <f t="shared" si="2"/>
        <v>2132931</v>
      </c>
    </row>
    <row r="61" spans="1:16" x14ac:dyDescent="0.15">
      <c r="A61" s="2286"/>
      <c r="B61" s="2284" t="s">
        <v>1044</v>
      </c>
      <c r="C61" s="841">
        <v>700000</v>
      </c>
      <c r="D61" s="842"/>
      <c r="E61" s="842"/>
      <c r="F61" s="842">
        <v>80000</v>
      </c>
      <c r="G61" s="842"/>
      <c r="H61" s="842"/>
      <c r="I61" s="842"/>
      <c r="J61" s="842"/>
      <c r="K61" s="842"/>
      <c r="L61" s="842"/>
      <c r="M61" s="842">
        <v>10000</v>
      </c>
      <c r="N61" s="867"/>
      <c r="O61" s="876">
        <f t="shared" si="2"/>
        <v>790000</v>
      </c>
    </row>
    <row r="62" spans="1:16" x14ac:dyDescent="0.15">
      <c r="A62" s="2286"/>
      <c r="B62" s="2284"/>
      <c r="C62" s="841"/>
      <c r="D62" s="842"/>
      <c r="E62" s="842"/>
      <c r="F62" s="842">
        <v>2000000</v>
      </c>
      <c r="G62" s="842"/>
      <c r="H62" s="842"/>
      <c r="I62" s="842"/>
      <c r="J62" s="842"/>
      <c r="K62" s="842"/>
      <c r="L62" s="842"/>
      <c r="M62" s="842">
        <v>500000</v>
      </c>
      <c r="N62" s="867"/>
      <c r="O62" s="876">
        <f t="shared" si="2"/>
        <v>2500000</v>
      </c>
    </row>
    <row r="63" spans="1:16" x14ac:dyDescent="0.15">
      <c r="A63" s="2286"/>
      <c r="B63" s="843" t="s">
        <v>1047</v>
      </c>
      <c r="C63" s="844">
        <f>SUM(C60:C62)</f>
        <v>814591</v>
      </c>
      <c r="D63" s="845">
        <f t="shared" ref="D63:N63" si="7">SUM(D60:D62)</f>
        <v>153760</v>
      </c>
      <c r="E63" s="845">
        <f t="shared" si="7"/>
        <v>186458</v>
      </c>
      <c r="F63" s="845">
        <f t="shared" si="7"/>
        <v>2266458</v>
      </c>
      <c r="G63" s="845">
        <f t="shared" si="7"/>
        <v>186458</v>
      </c>
      <c r="H63" s="845">
        <f t="shared" si="7"/>
        <v>186458</v>
      </c>
      <c r="I63" s="845">
        <f t="shared" si="7"/>
        <v>186458</v>
      </c>
      <c r="J63" s="845">
        <f t="shared" si="7"/>
        <v>186458</v>
      </c>
      <c r="K63" s="845">
        <f t="shared" si="7"/>
        <v>186458</v>
      </c>
      <c r="L63" s="845">
        <f t="shared" si="7"/>
        <v>186458</v>
      </c>
      <c r="M63" s="845">
        <f t="shared" si="7"/>
        <v>696458</v>
      </c>
      <c r="N63" s="868">
        <f t="shared" si="7"/>
        <v>186458</v>
      </c>
      <c r="O63" s="877">
        <f t="shared" si="2"/>
        <v>5422931</v>
      </c>
    </row>
    <row r="64" spans="1:16" x14ac:dyDescent="0.15">
      <c r="A64" s="2289" t="s">
        <v>1050</v>
      </c>
      <c r="B64" s="837" t="s">
        <v>1046</v>
      </c>
      <c r="C64" s="846">
        <f>ROUND((C57+C58+C59)*13.4%,0)</f>
        <v>1596958</v>
      </c>
      <c r="D64" s="847">
        <f t="shared" ref="D64:N64" si="8">ROUND((D57+D58+D59)*13.4%,0)</f>
        <v>1706287</v>
      </c>
      <c r="E64" s="847">
        <f t="shared" si="8"/>
        <v>1753462</v>
      </c>
      <c r="F64" s="847">
        <f t="shared" si="8"/>
        <v>3542954</v>
      </c>
      <c r="G64" s="847">
        <f t="shared" si="8"/>
        <v>1713262</v>
      </c>
      <c r="H64" s="847">
        <f t="shared" si="8"/>
        <v>1699862</v>
      </c>
      <c r="I64" s="847">
        <f t="shared" si="8"/>
        <v>1631522</v>
      </c>
      <c r="J64" s="847">
        <f t="shared" si="8"/>
        <v>1578018</v>
      </c>
      <c r="K64" s="847">
        <f t="shared" si="8"/>
        <v>1705318</v>
      </c>
      <c r="L64" s="847">
        <f>ROUND((L57+L58+L59)*13.4%,0)</f>
        <v>3361558</v>
      </c>
      <c r="M64" s="847">
        <f t="shared" si="8"/>
        <v>1835298</v>
      </c>
      <c r="N64" s="869">
        <f t="shared" si="8"/>
        <v>2170298</v>
      </c>
      <c r="O64" s="878">
        <f t="shared" si="2"/>
        <v>24294797</v>
      </c>
    </row>
    <row r="65" spans="1:16" ht="14.25" thickBot="1" x14ac:dyDescent="0.2">
      <c r="A65" s="2289"/>
      <c r="B65" s="840" t="s">
        <v>1048</v>
      </c>
      <c r="C65" s="841"/>
      <c r="D65" s="842">
        <v>1000000</v>
      </c>
      <c r="E65" s="842"/>
      <c r="F65" s="842"/>
      <c r="G65" s="842">
        <v>1000000</v>
      </c>
      <c r="H65" s="842"/>
      <c r="I65" s="842"/>
      <c r="J65" s="842"/>
      <c r="K65" s="842"/>
      <c r="L65" s="842"/>
      <c r="M65" s="842">
        <v>1000000</v>
      </c>
      <c r="N65" s="867"/>
      <c r="O65" s="876">
        <f t="shared" si="2"/>
        <v>3000000</v>
      </c>
    </row>
    <row r="66" spans="1:16" ht="14.25" thickBot="1" x14ac:dyDescent="0.2">
      <c r="A66" s="2290"/>
      <c r="B66" s="889" t="s">
        <v>1047</v>
      </c>
      <c r="C66" s="890">
        <f>SUM(C64:C65)</f>
        <v>1596958</v>
      </c>
      <c r="D66" s="891">
        <f t="shared" ref="D66:N66" si="9">SUM(D64:D65)</f>
        <v>2706287</v>
      </c>
      <c r="E66" s="891">
        <f t="shared" si="9"/>
        <v>1753462</v>
      </c>
      <c r="F66" s="891">
        <f t="shared" si="9"/>
        <v>3542954</v>
      </c>
      <c r="G66" s="891">
        <f t="shared" si="9"/>
        <v>2713262</v>
      </c>
      <c r="H66" s="891">
        <f t="shared" si="9"/>
        <v>1699862</v>
      </c>
      <c r="I66" s="891">
        <f t="shared" si="9"/>
        <v>1631522</v>
      </c>
      <c r="J66" s="891">
        <f t="shared" si="9"/>
        <v>1578018</v>
      </c>
      <c r="K66" s="891">
        <f t="shared" si="9"/>
        <v>1705318</v>
      </c>
      <c r="L66" s="891">
        <f t="shared" si="9"/>
        <v>3361558</v>
      </c>
      <c r="M66" s="891">
        <f t="shared" si="9"/>
        <v>2835298</v>
      </c>
      <c r="N66" s="892">
        <f t="shared" si="9"/>
        <v>2170298</v>
      </c>
      <c r="O66" s="893">
        <f t="shared" si="2"/>
        <v>27294797</v>
      </c>
      <c r="P66" s="943" t="s">
        <v>1096</v>
      </c>
    </row>
    <row r="67" spans="1:16" ht="15" thickTop="1" thickBot="1" x14ac:dyDescent="0.2">
      <c r="A67" s="2291" t="s">
        <v>1049</v>
      </c>
      <c r="B67" s="2292"/>
      <c r="C67" s="902">
        <f t="shared" ref="C67:N67" si="10">SUM(C32,C57,C58,C59,C63,C66)</f>
        <v>25705390</v>
      </c>
      <c r="D67" s="903">
        <f t="shared" si="10"/>
        <v>26902272</v>
      </c>
      <c r="E67" s="903">
        <f t="shared" si="10"/>
        <v>26225161</v>
      </c>
      <c r="F67" s="903">
        <f t="shared" si="10"/>
        <v>43942558</v>
      </c>
      <c r="G67" s="903">
        <f t="shared" si="10"/>
        <v>27585471</v>
      </c>
      <c r="H67" s="903">
        <f t="shared" si="10"/>
        <v>25911001</v>
      </c>
      <c r="I67" s="903">
        <f t="shared" si="10"/>
        <v>26230521</v>
      </c>
      <c r="J67" s="903">
        <f t="shared" si="10"/>
        <v>25522340</v>
      </c>
      <c r="K67" s="903">
        <f t="shared" si="10"/>
        <v>27268941</v>
      </c>
      <c r="L67" s="903">
        <f t="shared" si="10"/>
        <v>41458805</v>
      </c>
      <c r="M67" s="903">
        <f t="shared" si="10"/>
        <v>30121943</v>
      </c>
      <c r="N67" s="904">
        <f t="shared" si="10"/>
        <v>31421732</v>
      </c>
      <c r="O67" s="941">
        <f t="shared" si="2"/>
        <v>358296135</v>
      </c>
      <c r="P67" s="942">
        <f>ROUND(AVERAGE(C67:N67),0)</f>
        <v>29858011</v>
      </c>
    </row>
    <row r="68" spans="1:16" ht="14.25" thickBot="1" x14ac:dyDescent="0.2">
      <c r="A68" s="2299" t="s">
        <v>1057</v>
      </c>
      <c r="B68" s="2300"/>
      <c r="C68" s="854" t="s">
        <v>1011</v>
      </c>
      <c r="D68" s="855" t="s">
        <v>1012</v>
      </c>
      <c r="E68" s="855" t="s">
        <v>1013</v>
      </c>
      <c r="F68" s="855" t="s">
        <v>1014</v>
      </c>
      <c r="G68" s="855" t="s">
        <v>1015</v>
      </c>
      <c r="H68" s="855" t="s">
        <v>1016</v>
      </c>
      <c r="I68" s="855" t="s">
        <v>1017</v>
      </c>
      <c r="J68" s="855" t="s">
        <v>1018</v>
      </c>
      <c r="K68" s="855" t="s">
        <v>1019</v>
      </c>
      <c r="L68" s="855" t="s">
        <v>1020</v>
      </c>
      <c r="M68" s="855" t="s">
        <v>1021</v>
      </c>
      <c r="N68" s="856" t="s">
        <v>1022</v>
      </c>
    </row>
    <row r="69" spans="1:16" x14ac:dyDescent="0.15">
      <c r="A69" s="2303" t="s">
        <v>1051</v>
      </c>
      <c r="B69" s="2304"/>
      <c r="C69" s="2307"/>
      <c r="D69" s="2283" t="s">
        <v>1060</v>
      </c>
      <c r="E69" s="2271"/>
      <c r="F69" s="2283" t="s">
        <v>1058</v>
      </c>
      <c r="G69" s="2271" t="s">
        <v>1237</v>
      </c>
      <c r="H69" s="2271"/>
      <c r="I69" s="2271"/>
      <c r="J69" s="2271"/>
      <c r="K69" s="2283" t="s">
        <v>1059</v>
      </c>
      <c r="L69" s="2271"/>
      <c r="M69" s="2271"/>
      <c r="N69" s="2269"/>
    </row>
    <row r="70" spans="1:16" x14ac:dyDescent="0.15">
      <c r="A70" s="2305"/>
      <c r="B70" s="2306"/>
      <c r="C70" s="2308"/>
      <c r="D70" s="2272"/>
      <c r="E70" s="2272"/>
      <c r="F70" s="2272"/>
      <c r="G70" s="2272"/>
      <c r="H70" s="2272"/>
      <c r="I70" s="2272"/>
      <c r="J70" s="2272"/>
      <c r="K70" s="2272"/>
      <c r="L70" s="2272"/>
      <c r="M70" s="2272"/>
      <c r="N70" s="2270"/>
    </row>
    <row r="71" spans="1:16" ht="13.5" customHeight="1" x14ac:dyDescent="0.15">
      <c r="A71" s="2301" t="s">
        <v>1054</v>
      </c>
      <c r="B71" s="2302"/>
      <c r="C71" s="2298" t="s">
        <v>1404</v>
      </c>
      <c r="D71" s="2257" t="s">
        <v>1084</v>
      </c>
      <c r="E71" s="2257"/>
      <c r="F71" s="2257"/>
      <c r="G71" s="2257"/>
      <c r="H71" s="2257"/>
      <c r="I71" s="2257"/>
      <c r="J71" s="2257" t="s">
        <v>1539</v>
      </c>
      <c r="K71" s="2257"/>
      <c r="L71" s="2257"/>
      <c r="M71" s="2257"/>
      <c r="N71" s="2261"/>
    </row>
    <row r="72" spans="1:16" ht="13.5" customHeight="1" x14ac:dyDescent="0.15">
      <c r="A72" s="2301"/>
      <c r="B72" s="2302"/>
      <c r="C72" s="2298"/>
      <c r="D72" s="2257"/>
      <c r="E72" s="2257"/>
      <c r="F72" s="2257"/>
      <c r="G72" s="2257"/>
      <c r="H72" s="2257"/>
      <c r="I72" s="2257"/>
      <c r="J72" s="2257"/>
      <c r="K72" s="2257"/>
      <c r="L72" s="2257"/>
      <c r="M72" s="2257"/>
      <c r="N72" s="2261"/>
    </row>
    <row r="73" spans="1:16" ht="13.5" customHeight="1" x14ac:dyDescent="0.15">
      <c r="A73" s="2301"/>
      <c r="B73" s="2302"/>
      <c r="C73" s="2298"/>
      <c r="D73" s="2257"/>
      <c r="E73" s="2257"/>
      <c r="F73" s="2257"/>
      <c r="G73" s="2257"/>
      <c r="H73" s="2257"/>
      <c r="I73" s="2257"/>
      <c r="J73" s="2257"/>
      <c r="K73" s="2257"/>
      <c r="L73" s="2257"/>
      <c r="M73" s="2257"/>
      <c r="N73" s="2261"/>
    </row>
    <row r="74" spans="1:16" ht="13.5" customHeight="1" x14ac:dyDescent="0.15">
      <c r="A74" s="2301"/>
      <c r="B74" s="2302"/>
      <c r="C74" s="2298"/>
      <c r="D74" s="2257"/>
      <c r="E74" s="2257"/>
      <c r="F74" s="2257"/>
      <c r="G74" s="2257"/>
      <c r="H74" s="2257"/>
      <c r="I74" s="2257"/>
      <c r="J74" s="2257"/>
      <c r="K74" s="2257"/>
      <c r="L74" s="2257"/>
      <c r="M74" s="2257"/>
      <c r="N74" s="2261"/>
    </row>
    <row r="75" spans="1:16" x14ac:dyDescent="0.15">
      <c r="A75" s="2301" t="s">
        <v>1052</v>
      </c>
      <c r="B75" s="2302"/>
      <c r="C75" s="2298"/>
      <c r="D75" s="2257"/>
      <c r="E75" s="2257"/>
      <c r="F75" s="2257" t="s">
        <v>1414</v>
      </c>
      <c r="G75" s="2257"/>
      <c r="H75" s="2257"/>
      <c r="I75" s="2257"/>
      <c r="J75" s="2257"/>
      <c r="K75" s="2257"/>
      <c r="L75" s="2257" t="s">
        <v>1534</v>
      </c>
      <c r="M75" s="2257"/>
      <c r="N75" s="2261"/>
    </row>
    <row r="76" spans="1:16" x14ac:dyDescent="0.15">
      <c r="A76" s="2301"/>
      <c r="B76" s="2302"/>
      <c r="C76" s="2298"/>
      <c r="D76" s="2257"/>
      <c r="E76" s="2257"/>
      <c r="F76" s="2257"/>
      <c r="G76" s="2257"/>
      <c r="H76" s="2257"/>
      <c r="I76" s="2257"/>
      <c r="J76" s="2257"/>
      <c r="K76" s="2257"/>
      <c r="L76" s="2257"/>
      <c r="M76" s="2257"/>
      <c r="N76" s="2261"/>
    </row>
    <row r="77" spans="1:16" x14ac:dyDescent="0.15">
      <c r="A77" s="2301"/>
      <c r="B77" s="2302"/>
      <c r="C77" s="2298"/>
      <c r="D77" s="2257"/>
      <c r="E77" s="2257"/>
      <c r="F77" s="2257"/>
      <c r="G77" s="2257"/>
      <c r="H77" s="2257"/>
      <c r="I77" s="2257"/>
      <c r="J77" s="2257"/>
      <c r="K77" s="2257"/>
      <c r="L77" s="2257"/>
      <c r="M77" s="2257"/>
      <c r="N77" s="2261"/>
    </row>
    <row r="78" spans="1:16" x14ac:dyDescent="0.15">
      <c r="A78" s="2301"/>
      <c r="B78" s="2302"/>
      <c r="C78" s="2298"/>
      <c r="D78" s="2257"/>
      <c r="E78" s="2257"/>
      <c r="F78" s="2257"/>
      <c r="G78" s="2257"/>
      <c r="H78" s="2257"/>
      <c r="I78" s="2257"/>
      <c r="J78" s="2257"/>
      <c r="K78" s="2257"/>
      <c r="L78" s="2257"/>
      <c r="M78" s="2257"/>
      <c r="N78" s="2261"/>
    </row>
    <row r="79" spans="1:16" x14ac:dyDescent="0.15">
      <c r="A79" s="2301" t="s">
        <v>1053</v>
      </c>
      <c r="B79" s="2302"/>
      <c r="C79" s="2298" t="s">
        <v>1055</v>
      </c>
      <c r="D79" s="2257"/>
      <c r="E79" s="2257"/>
      <c r="F79" s="2257" t="s">
        <v>1395</v>
      </c>
      <c r="G79" s="2257"/>
      <c r="H79" s="2257"/>
      <c r="I79" s="2257"/>
      <c r="J79" s="2257"/>
      <c r="K79" s="2257"/>
      <c r="L79" s="2257"/>
      <c r="M79" s="2257" t="s">
        <v>1543</v>
      </c>
      <c r="N79" s="2261"/>
    </row>
    <row r="80" spans="1:16" x14ac:dyDescent="0.15">
      <c r="A80" s="2301"/>
      <c r="B80" s="2302"/>
      <c r="C80" s="2298"/>
      <c r="D80" s="2257"/>
      <c r="E80" s="2257"/>
      <c r="F80" s="2257"/>
      <c r="G80" s="2257"/>
      <c r="H80" s="2257"/>
      <c r="I80" s="2257"/>
      <c r="J80" s="2257"/>
      <c r="K80" s="2257"/>
      <c r="L80" s="2257"/>
      <c r="M80" s="2257"/>
      <c r="N80" s="2261"/>
    </row>
    <row r="81" spans="1:16" x14ac:dyDescent="0.15">
      <c r="A81" s="2301"/>
      <c r="B81" s="2302"/>
      <c r="C81" s="2298"/>
      <c r="D81" s="2257"/>
      <c r="E81" s="2257"/>
      <c r="F81" s="2257"/>
      <c r="G81" s="2257"/>
      <c r="H81" s="2257"/>
      <c r="I81" s="2257"/>
      <c r="J81" s="2257"/>
      <c r="K81" s="2257"/>
      <c r="L81" s="2257"/>
      <c r="M81" s="2257"/>
      <c r="N81" s="2261"/>
    </row>
    <row r="82" spans="1:16" x14ac:dyDescent="0.15">
      <c r="A82" s="2301"/>
      <c r="B82" s="2302"/>
      <c r="C82" s="2298"/>
      <c r="D82" s="2257"/>
      <c r="E82" s="2257"/>
      <c r="F82" s="2257"/>
      <c r="G82" s="2257"/>
      <c r="H82" s="2257"/>
      <c r="I82" s="2257"/>
      <c r="J82" s="2257"/>
      <c r="K82" s="2257"/>
      <c r="L82" s="2257"/>
      <c r="M82" s="2257"/>
      <c r="N82" s="2261"/>
    </row>
    <row r="83" spans="1:16" x14ac:dyDescent="0.15">
      <c r="A83" s="2301"/>
      <c r="B83" s="2302"/>
      <c r="C83" s="2298"/>
      <c r="D83" s="2257"/>
      <c r="E83" s="2257"/>
      <c r="F83" s="2257"/>
      <c r="G83" s="2257"/>
      <c r="H83" s="2257"/>
      <c r="I83" s="2257"/>
      <c r="J83" s="2257"/>
      <c r="K83" s="2257"/>
      <c r="L83" s="2257"/>
      <c r="M83" s="2257"/>
      <c r="N83" s="2261"/>
    </row>
    <row r="84" spans="1:16" x14ac:dyDescent="0.15">
      <c r="A84" s="2301" t="s">
        <v>1045</v>
      </c>
      <c r="B84" s="2302"/>
      <c r="C84" s="2298"/>
      <c r="D84" s="2257" t="s">
        <v>1089</v>
      </c>
      <c r="E84" s="2257"/>
      <c r="F84" s="2257"/>
      <c r="G84" s="2257" t="s">
        <v>1056</v>
      </c>
      <c r="H84" s="2257"/>
      <c r="I84" s="2257"/>
      <c r="J84" s="2257"/>
      <c r="K84" s="2257"/>
      <c r="L84" s="2257"/>
      <c r="M84" s="2257" t="s">
        <v>1056</v>
      </c>
      <c r="N84" s="2261"/>
    </row>
    <row r="85" spans="1:16" ht="14.25" thickBot="1" x14ac:dyDescent="0.2">
      <c r="A85" s="2318"/>
      <c r="B85" s="2319"/>
      <c r="C85" s="2317"/>
      <c r="D85" s="2273"/>
      <c r="E85" s="2273"/>
      <c r="F85" s="2273"/>
      <c r="G85" s="2273"/>
      <c r="H85" s="2273"/>
      <c r="I85" s="2273"/>
      <c r="J85" s="2273"/>
      <c r="K85" s="2273"/>
      <c r="L85" s="2273"/>
      <c r="M85" s="2273"/>
      <c r="N85" s="2274"/>
    </row>
    <row r="87" spans="1:16" ht="19.5" thickBot="1" x14ac:dyDescent="0.2">
      <c r="A87" s="20" t="s">
        <v>1087</v>
      </c>
      <c r="B87" s="824"/>
    </row>
    <row r="88" spans="1:16" s="823" customFormat="1" ht="14.25" thickBot="1" x14ac:dyDescent="0.2">
      <c r="A88" s="2348" t="s">
        <v>1088</v>
      </c>
      <c r="B88" s="2349"/>
      <c r="C88" s="829" t="s">
        <v>1011</v>
      </c>
      <c r="D88" s="830" t="s">
        <v>1012</v>
      </c>
      <c r="E88" s="830" t="s">
        <v>1013</v>
      </c>
      <c r="F88" s="830" t="s">
        <v>1014</v>
      </c>
      <c r="G88" s="830" t="s">
        <v>1015</v>
      </c>
      <c r="H88" s="830" t="s">
        <v>1016</v>
      </c>
      <c r="I88" s="830" t="s">
        <v>1017</v>
      </c>
      <c r="J88" s="830" t="s">
        <v>1018</v>
      </c>
      <c r="K88" s="830" t="s">
        <v>1019</v>
      </c>
      <c r="L88" s="830" t="s">
        <v>1020</v>
      </c>
      <c r="M88" s="830" t="s">
        <v>1021</v>
      </c>
      <c r="N88" s="865" t="s">
        <v>1022</v>
      </c>
      <c r="O88" s="874" t="s">
        <v>96</v>
      </c>
    </row>
    <row r="89" spans="1:16" x14ac:dyDescent="0.15">
      <c r="A89" s="2295" t="s">
        <v>1039</v>
      </c>
      <c r="B89" s="2296"/>
      <c r="C89" s="827">
        <v>9421619</v>
      </c>
      <c r="D89" s="828">
        <v>9981142</v>
      </c>
      <c r="E89" s="828">
        <v>10602954</v>
      </c>
      <c r="F89" s="828">
        <v>9466247</v>
      </c>
      <c r="G89" s="828">
        <v>9466247</v>
      </c>
      <c r="H89" s="828">
        <v>8979641</v>
      </c>
      <c r="I89" s="828">
        <v>9014214</v>
      </c>
      <c r="J89" s="828">
        <v>8932907</v>
      </c>
      <c r="K89" s="828">
        <v>8932907</v>
      </c>
      <c r="L89" s="828">
        <v>8932907</v>
      </c>
      <c r="M89" s="828">
        <v>8932907</v>
      </c>
      <c r="N89" s="860">
        <v>8932907</v>
      </c>
      <c r="O89" s="880">
        <f>SUM(C89:N89)</f>
        <v>111596599</v>
      </c>
    </row>
    <row r="90" spans="1:16" x14ac:dyDescent="0.15">
      <c r="A90" s="2293" t="s">
        <v>1029</v>
      </c>
      <c r="B90" s="2294"/>
      <c r="C90" s="848">
        <f>-190303+639165</f>
        <v>448862</v>
      </c>
      <c r="D90" s="849"/>
      <c r="E90" s="849"/>
      <c r="F90" s="849"/>
      <c r="G90" s="849"/>
      <c r="H90" s="849"/>
      <c r="I90" s="849"/>
      <c r="J90" s="849"/>
      <c r="K90" s="849"/>
      <c r="L90" s="849"/>
      <c r="M90" s="849">
        <v>900000</v>
      </c>
      <c r="N90" s="871"/>
      <c r="O90" s="882">
        <f t="shared" ref="O90:O131" si="11">SUM(C90:N90)</f>
        <v>1348862</v>
      </c>
      <c r="P90" t="s">
        <v>1128</v>
      </c>
    </row>
    <row r="91" spans="1:16" x14ac:dyDescent="0.15">
      <c r="A91" s="2295"/>
      <c r="B91" s="2296"/>
      <c r="C91" s="852"/>
      <c r="D91" s="853"/>
      <c r="E91" s="853"/>
      <c r="F91" s="853"/>
      <c r="G91" s="853"/>
      <c r="H91" s="853"/>
      <c r="I91" s="853">
        <v>-350000</v>
      </c>
      <c r="J91" s="853">
        <v>-350000</v>
      </c>
      <c r="K91" s="853">
        <v>-350000</v>
      </c>
      <c r="L91" s="853">
        <v>-350000</v>
      </c>
      <c r="M91" s="853">
        <v>-350000</v>
      </c>
      <c r="N91" s="873">
        <v>-550000</v>
      </c>
      <c r="O91" s="884">
        <f t="shared" si="11"/>
        <v>-2300000</v>
      </c>
      <c r="P91" t="s">
        <v>1497</v>
      </c>
    </row>
    <row r="92" spans="1:16" x14ac:dyDescent="0.15">
      <c r="A92" s="2309" t="s">
        <v>1144</v>
      </c>
      <c r="B92" s="2294"/>
      <c r="C92" s="885">
        <v>500000</v>
      </c>
      <c r="D92" s="886"/>
      <c r="E92" s="886"/>
      <c r="F92" s="886"/>
      <c r="G92" s="886"/>
      <c r="H92" s="886"/>
      <c r="I92" s="886"/>
      <c r="J92" s="886"/>
      <c r="K92" s="886"/>
      <c r="L92" s="886"/>
      <c r="M92" s="886"/>
      <c r="N92" s="887"/>
      <c r="O92" s="921">
        <f t="shared" si="11"/>
        <v>500000</v>
      </c>
      <c r="P92" t="s">
        <v>1133</v>
      </c>
    </row>
    <row r="93" spans="1:16" x14ac:dyDescent="0.15">
      <c r="A93" s="2310"/>
      <c r="B93" s="2311"/>
      <c r="C93" s="894"/>
      <c r="D93" s="895">
        <v>690826</v>
      </c>
      <c r="E93" s="895"/>
      <c r="F93" s="895"/>
      <c r="G93" s="895"/>
      <c r="H93" s="895"/>
      <c r="I93" s="895"/>
      <c r="J93" s="895"/>
      <c r="K93" s="895"/>
      <c r="L93" s="895"/>
      <c r="M93" s="895"/>
      <c r="N93" s="896"/>
      <c r="O93" s="897">
        <f t="shared" si="11"/>
        <v>690826</v>
      </c>
    </row>
    <row r="94" spans="1:16" x14ac:dyDescent="0.15">
      <c r="A94" s="2310"/>
      <c r="B94" s="2311"/>
      <c r="C94" s="894">
        <v>10416</v>
      </c>
      <c r="D94" s="895"/>
      <c r="E94" s="895"/>
      <c r="F94" s="895"/>
      <c r="G94" s="895"/>
      <c r="H94" s="895"/>
      <c r="I94" s="895"/>
      <c r="J94" s="895"/>
      <c r="K94" s="895"/>
      <c r="L94" s="895"/>
      <c r="M94" s="895"/>
      <c r="N94" s="896"/>
      <c r="O94" s="897">
        <f t="shared" si="11"/>
        <v>10416</v>
      </c>
      <c r="P94" t="s">
        <v>1132</v>
      </c>
    </row>
    <row r="95" spans="1:16" x14ac:dyDescent="0.15">
      <c r="A95" s="2295"/>
      <c r="B95" s="2296"/>
      <c r="C95" s="852">
        <v>194000</v>
      </c>
      <c r="D95" s="853"/>
      <c r="E95" s="853"/>
      <c r="F95" s="853"/>
      <c r="G95" s="853"/>
      <c r="H95" s="853"/>
      <c r="I95" s="853"/>
      <c r="J95" s="853"/>
      <c r="K95" s="853"/>
      <c r="L95" s="853"/>
      <c r="M95" s="853"/>
      <c r="N95" s="853"/>
      <c r="O95" s="884">
        <f t="shared" si="11"/>
        <v>194000</v>
      </c>
      <c r="P95" t="s">
        <v>1186</v>
      </c>
    </row>
    <row r="96" spans="1:16" x14ac:dyDescent="0.15">
      <c r="A96" s="2309" t="s">
        <v>1135</v>
      </c>
      <c r="B96" s="2294"/>
      <c r="C96" s="848"/>
      <c r="D96" s="849"/>
      <c r="E96" s="849"/>
      <c r="F96" s="849"/>
      <c r="G96" s="849"/>
      <c r="H96" s="849"/>
      <c r="I96" s="849"/>
      <c r="J96" s="849"/>
      <c r="K96" s="849"/>
      <c r="L96" s="849"/>
      <c r="M96" s="849"/>
      <c r="N96" s="871"/>
      <c r="O96" s="882">
        <f t="shared" si="11"/>
        <v>0</v>
      </c>
    </row>
    <row r="97" spans="1:16" x14ac:dyDescent="0.15">
      <c r="A97" s="2310"/>
      <c r="B97" s="2311"/>
      <c r="C97" s="913"/>
      <c r="D97" s="914"/>
      <c r="E97" s="914"/>
      <c r="F97" s="914"/>
      <c r="G97" s="914"/>
      <c r="H97" s="914"/>
      <c r="I97" s="914"/>
      <c r="J97" s="914"/>
      <c r="K97" s="914"/>
      <c r="L97" s="914"/>
      <c r="M97" s="914"/>
      <c r="N97" s="915"/>
      <c r="O97" s="916">
        <f t="shared" si="11"/>
        <v>0</v>
      </c>
    </row>
    <row r="98" spans="1:16" x14ac:dyDescent="0.15">
      <c r="A98" s="2310"/>
      <c r="B98" s="2311"/>
      <c r="C98" s="991"/>
      <c r="D98" s="992"/>
      <c r="E98" s="992"/>
      <c r="F98" s="992"/>
      <c r="G98" s="992"/>
      <c r="H98" s="992"/>
      <c r="I98" s="992"/>
      <c r="J98" s="992"/>
      <c r="K98" s="992"/>
      <c r="L98" s="992"/>
      <c r="M98" s="992"/>
      <c r="N98" s="993"/>
      <c r="O98" s="994">
        <f t="shared" si="11"/>
        <v>0</v>
      </c>
    </row>
    <row r="99" spans="1:16" x14ac:dyDescent="0.15">
      <c r="A99" s="2295"/>
      <c r="B99" s="2296"/>
      <c r="C99" s="852"/>
      <c r="D99" s="853"/>
      <c r="E99" s="853"/>
      <c r="F99" s="853"/>
      <c r="G99" s="853"/>
      <c r="H99" s="853"/>
      <c r="I99" s="853"/>
      <c r="J99" s="853"/>
      <c r="K99" s="853"/>
      <c r="L99" s="853"/>
      <c r="M99" s="853"/>
      <c r="N99" s="853"/>
      <c r="O99" s="884">
        <f t="shared" si="11"/>
        <v>0</v>
      </c>
    </row>
    <row r="100" spans="1:16" x14ac:dyDescent="0.15">
      <c r="A100" s="2309" t="s">
        <v>1225</v>
      </c>
      <c r="B100" s="2294"/>
      <c r="C100" s="848"/>
      <c r="D100" s="849">
        <v>766890</v>
      </c>
      <c r="E100" s="849"/>
      <c r="F100" s="849"/>
      <c r="G100" s="849">
        <v>100000</v>
      </c>
      <c r="H100" s="849"/>
      <c r="I100" s="849"/>
      <c r="J100" s="849"/>
      <c r="K100" s="849"/>
      <c r="L100" s="849"/>
      <c r="M100" s="849"/>
      <c r="N100" s="871"/>
      <c r="O100" s="882">
        <f t="shared" si="11"/>
        <v>866890</v>
      </c>
    </row>
    <row r="101" spans="1:16" x14ac:dyDescent="0.15">
      <c r="A101" s="2310"/>
      <c r="B101" s="2311"/>
      <c r="C101" s="913"/>
      <c r="D101" s="914"/>
      <c r="E101" s="914"/>
      <c r="F101" s="914"/>
      <c r="G101" s="914">
        <v>14583</v>
      </c>
      <c r="H101" s="914"/>
      <c r="I101" s="914"/>
      <c r="J101" s="914"/>
      <c r="K101" s="914"/>
      <c r="L101" s="914"/>
      <c r="M101" s="914"/>
      <c r="N101" s="915"/>
      <c r="O101" s="916">
        <f t="shared" si="11"/>
        <v>14583</v>
      </c>
    </row>
    <row r="102" spans="1:16" x14ac:dyDescent="0.15">
      <c r="A102" s="2310"/>
      <c r="B102" s="2311"/>
      <c r="C102" s="991"/>
      <c r="D102" s="992"/>
      <c r="E102" s="992"/>
      <c r="F102" s="992"/>
      <c r="G102" s="992"/>
      <c r="H102" s="992">
        <v>200000</v>
      </c>
      <c r="I102" s="992">
        <v>200000</v>
      </c>
      <c r="J102" s="992">
        <v>200000</v>
      </c>
      <c r="K102" s="992">
        <v>200000</v>
      </c>
      <c r="L102" s="992">
        <v>200000</v>
      </c>
      <c r="M102" s="992">
        <v>200000</v>
      </c>
      <c r="N102" s="992">
        <v>200000</v>
      </c>
      <c r="O102" s="994">
        <f t="shared" si="11"/>
        <v>1400000</v>
      </c>
    </row>
    <row r="103" spans="1:16" x14ac:dyDescent="0.15">
      <c r="A103" s="2295"/>
      <c r="B103" s="2296"/>
      <c r="C103" s="852"/>
      <c r="D103" s="853"/>
      <c r="E103" s="853"/>
      <c r="F103" s="853"/>
      <c r="G103" s="853"/>
      <c r="H103" s="853"/>
      <c r="I103" s="853"/>
      <c r="J103" s="853"/>
      <c r="K103" s="853"/>
      <c r="L103" s="853"/>
      <c r="M103" s="853"/>
      <c r="N103" s="853"/>
      <c r="O103" s="884">
        <f t="shared" si="11"/>
        <v>0</v>
      </c>
    </row>
    <row r="104" spans="1:16" x14ac:dyDescent="0.15">
      <c r="A104" s="2316" t="s">
        <v>1134</v>
      </c>
      <c r="B104" s="2264"/>
      <c r="C104" s="848"/>
      <c r="D104" s="849"/>
      <c r="E104" s="849"/>
      <c r="F104" s="849"/>
      <c r="G104" s="849"/>
      <c r="H104" s="849"/>
      <c r="I104" s="849"/>
      <c r="J104" s="849"/>
      <c r="K104" s="849">
        <v>250000</v>
      </c>
      <c r="L104" s="849">
        <v>250000</v>
      </c>
      <c r="M104" s="849">
        <v>250000</v>
      </c>
      <c r="N104" s="871">
        <v>250000</v>
      </c>
      <c r="O104" s="882">
        <f t="shared" si="11"/>
        <v>1000000</v>
      </c>
      <c r="P104" t="s">
        <v>1136</v>
      </c>
    </row>
    <row r="105" spans="1:16" x14ac:dyDescent="0.15">
      <c r="A105" s="2316"/>
      <c r="B105" s="2264"/>
      <c r="C105" s="913"/>
      <c r="D105" s="914"/>
      <c r="E105" s="914"/>
      <c r="F105" s="914"/>
      <c r="G105" s="914"/>
      <c r="H105" s="914"/>
      <c r="I105" s="914"/>
      <c r="J105" s="914"/>
      <c r="K105" s="914"/>
      <c r="L105" s="914">
        <v>693960</v>
      </c>
      <c r="M105" s="914">
        <v>519521</v>
      </c>
      <c r="N105" s="915">
        <v>560741</v>
      </c>
      <c r="O105" s="916">
        <f t="shared" si="11"/>
        <v>1774222</v>
      </c>
      <c r="P105" t="s">
        <v>1137</v>
      </c>
    </row>
    <row r="106" spans="1:16" x14ac:dyDescent="0.15">
      <c r="A106" s="2263"/>
      <c r="B106" s="2264"/>
      <c r="C106" s="913"/>
      <c r="D106" s="914"/>
      <c r="E106" s="914"/>
      <c r="F106" s="914"/>
      <c r="G106" s="914">
        <v>2697</v>
      </c>
      <c r="H106" s="914"/>
      <c r="I106" s="914"/>
      <c r="J106" s="914"/>
      <c r="K106" s="914"/>
      <c r="L106" s="914"/>
      <c r="M106" s="914"/>
      <c r="N106" s="915"/>
      <c r="O106" s="916">
        <f t="shared" si="11"/>
        <v>2697</v>
      </c>
      <c r="P106" t="s">
        <v>1075</v>
      </c>
    </row>
    <row r="107" spans="1:16" x14ac:dyDescent="0.15">
      <c r="A107" s="2263"/>
      <c r="B107" s="2264"/>
      <c r="C107" s="850"/>
      <c r="D107" s="851">
        <v>30000</v>
      </c>
      <c r="E107" s="851"/>
      <c r="F107" s="851"/>
      <c r="G107" s="851"/>
      <c r="H107" s="851"/>
      <c r="I107" s="851">
        <v>45738</v>
      </c>
      <c r="J107" s="851">
        <v>1000000</v>
      </c>
      <c r="K107" s="851"/>
      <c r="L107" s="851"/>
      <c r="M107" s="851"/>
      <c r="N107" s="872"/>
      <c r="O107" s="883">
        <f t="shared" si="11"/>
        <v>1075738</v>
      </c>
    </row>
    <row r="108" spans="1:16" x14ac:dyDescent="0.15">
      <c r="A108" s="2263"/>
      <c r="B108" s="2264"/>
      <c r="C108" s="850"/>
      <c r="D108" s="851">
        <v>450658</v>
      </c>
      <c r="E108" s="851"/>
      <c r="F108" s="851"/>
      <c r="G108" s="851"/>
      <c r="H108" s="851"/>
      <c r="I108" s="851">
        <v>42000</v>
      </c>
      <c r="J108" s="851"/>
      <c r="K108" s="851"/>
      <c r="L108" s="851"/>
      <c r="M108" s="851"/>
      <c r="N108" s="872"/>
      <c r="O108" s="883">
        <f t="shared" si="11"/>
        <v>492658</v>
      </c>
    </row>
    <row r="109" spans="1:16" x14ac:dyDescent="0.15">
      <c r="A109" s="2263"/>
      <c r="B109" s="2264"/>
      <c r="C109" s="850"/>
      <c r="D109" s="851"/>
      <c r="E109" s="851"/>
      <c r="F109" s="851"/>
      <c r="G109" s="851">
        <v>908407</v>
      </c>
      <c r="H109" s="851"/>
      <c r="I109" s="851">
        <v>304637</v>
      </c>
      <c r="J109" s="851"/>
      <c r="K109" s="851"/>
      <c r="L109" s="851"/>
      <c r="M109" s="851"/>
      <c r="N109" s="872"/>
      <c r="O109" s="883">
        <f t="shared" si="11"/>
        <v>1213044</v>
      </c>
    </row>
    <row r="110" spans="1:16" x14ac:dyDescent="0.15">
      <c r="A110" s="2263"/>
      <c r="B110" s="2264"/>
      <c r="C110" s="852"/>
      <c r="D110" s="853"/>
      <c r="E110" s="853"/>
      <c r="F110" s="853"/>
      <c r="G110" s="853"/>
      <c r="H110" s="853"/>
      <c r="I110" s="853">
        <v>48600</v>
      </c>
      <c r="J110" s="853"/>
      <c r="K110" s="853"/>
      <c r="L110" s="853"/>
      <c r="M110" s="853"/>
      <c r="N110" s="873"/>
      <c r="O110" s="884">
        <f t="shared" si="11"/>
        <v>48600</v>
      </c>
    </row>
    <row r="111" spans="1:16" x14ac:dyDescent="0.15">
      <c r="A111" s="2263" t="s">
        <v>1028</v>
      </c>
      <c r="B111" s="2264"/>
      <c r="C111" s="826"/>
      <c r="D111" s="825">
        <f>-97710-30000</f>
        <v>-127710</v>
      </c>
      <c r="E111" s="825">
        <f t="shared" ref="E111:N111" si="12">-97710-30000</f>
        <v>-127710</v>
      </c>
      <c r="F111" s="825">
        <f t="shared" si="12"/>
        <v>-127710</v>
      </c>
      <c r="G111" s="825">
        <f t="shared" si="12"/>
        <v>-127710</v>
      </c>
      <c r="H111" s="825">
        <f t="shared" si="12"/>
        <v>-127710</v>
      </c>
      <c r="I111" s="825">
        <f t="shared" si="12"/>
        <v>-127710</v>
      </c>
      <c r="J111" s="825">
        <f t="shared" si="12"/>
        <v>-127710</v>
      </c>
      <c r="K111" s="825">
        <f>-97710-30000</f>
        <v>-127710</v>
      </c>
      <c r="L111" s="825">
        <f t="shared" si="12"/>
        <v>-127710</v>
      </c>
      <c r="M111" s="825">
        <f t="shared" si="12"/>
        <v>-127710</v>
      </c>
      <c r="N111" s="861">
        <f t="shared" si="12"/>
        <v>-127710</v>
      </c>
      <c r="O111" s="881">
        <f t="shared" si="11"/>
        <v>-1404810</v>
      </c>
      <c r="P111" s="939" t="s">
        <v>1095</v>
      </c>
    </row>
    <row r="112" spans="1:16" x14ac:dyDescent="0.15">
      <c r="A112" s="2309" t="s">
        <v>1040</v>
      </c>
      <c r="B112" s="2326"/>
      <c r="C112" s="848">
        <v>-20702</v>
      </c>
      <c r="D112" s="849"/>
      <c r="E112" s="849"/>
      <c r="F112" s="849"/>
      <c r="G112" s="849"/>
      <c r="H112" s="849"/>
      <c r="I112" s="849"/>
      <c r="J112" s="849"/>
      <c r="K112" s="849"/>
      <c r="L112" s="849"/>
      <c r="M112" s="849"/>
      <c r="N112" s="871"/>
      <c r="O112" s="882">
        <f t="shared" si="11"/>
        <v>-20702</v>
      </c>
      <c r="P112" t="s">
        <v>1098</v>
      </c>
    </row>
    <row r="113" spans="1:15" ht="13.5" customHeight="1" x14ac:dyDescent="0.15">
      <c r="A113" s="2327"/>
      <c r="B113" s="2328"/>
      <c r="C113" s="850">
        <v>7435</v>
      </c>
      <c r="D113" s="851"/>
      <c r="E113" s="851"/>
      <c r="F113" s="851"/>
      <c r="G113" s="851"/>
      <c r="H113" s="851"/>
      <c r="I113" s="851"/>
      <c r="J113" s="851"/>
      <c r="K113" s="851"/>
      <c r="L113" s="851"/>
      <c r="M113" s="851"/>
      <c r="N113" s="872"/>
      <c r="O113" s="883">
        <f t="shared" si="11"/>
        <v>7435</v>
      </c>
    </row>
    <row r="114" spans="1:15" ht="13.5" customHeight="1" x14ac:dyDescent="0.15">
      <c r="A114" s="2327"/>
      <c r="B114" s="2328"/>
      <c r="C114" s="850"/>
      <c r="D114" s="851"/>
      <c r="E114" s="851"/>
      <c r="F114" s="851"/>
      <c r="G114" s="851"/>
      <c r="H114" s="851"/>
      <c r="I114" s="851"/>
      <c r="J114" s="851"/>
      <c r="K114" s="851"/>
      <c r="L114" s="851"/>
      <c r="M114" s="851"/>
      <c r="N114" s="872"/>
      <c r="O114" s="883">
        <f t="shared" si="11"/>
        <v>0</v>
      </c>
    </row>
    <row r="115" spans="1:15" x14ac:dyDescent="0.15">
      <c r="A115" s="2327"/>
      <c r="B115" s="2328"/>
      <c r="C115" s="850">
        <v>1800000</v>
      </c>
      <c r="D115" s="851">
        <v>600000</v>
      </c>
      <c r="E115" s="851">
        <v>600000</v>
      </c>
      <c r="F115" s="851">
        <v>600000</v>
      </c>
      <c r="G115" s="851"/>
      <c r="H115" s="851"/>
      <c r="I115" s="851"/>
      <c r="J115" s="851"/>
      <c r="K115" s="851"/>
      <c r="L115" s="851"/>
      <c r="M115" s="851"/>
      <c r="N115" s="872"/>
      <c r="O115" s="883">
        <f t="shared" si="11"/>
        <v>3600000</v>
      </c>
    </row>
    <row r="116" spans="1:15" x14ac:dyDescent="0.15">
      <c r="A116" s="2327"/>
      <c r="B116" s="2328"/>
      <c r="C116" s="850"/>
      <c r="D116" s="851"/>
      <c r="E116" s="851"/>
      <c r="F116" s="895"/>
      <c r="G116" s="851">
        <v>500000</v>
      </c>
      <c r="H116" s="851">
        <v>500000</v>
      </c>
      <c r="I116" s="851">
        <v>500000</v>
      </c>
      <c r="J116" s="851">
        <v>500000</v>
      </c>
      <c r="K116" s="851"/>
      <c r="L116" s="851">
        <v>600000</v>
      </c>
      <c r="M116" s="851">
        <v>1300000</v>
      </c>
      <c r="N116" s="872">
        <v>500000</v>
      </c>
      <c r="O116" s="883">
        <f t="shared" si="11"/>
        <v>4400000</v>
      </c>
    </row>
    <row r="117" spans="1:15" x14ac:dyDescent="0.15">
      <c r="A117" s="2327"/>
      <c r="B117" s="2328"/>
      <c r="C117" s="850"/>
      <c r="D117" s="851"/>
      <c r="E117" s="851"/>
      <c r="F117" s="895"/>
      <c r="G117" s="851"/>
      <c r="H117" s="851">
        <v>75600</v>
      </c>
      <c r="I117" s="851"/>
      <c r="J117" s="851"/>
      <c r="K117" s="851"/>
      <c r="L117" s="851"/>
      <c r="M117" s="851">
        <v>140000</v>
      </c>
      <c r="N117" s="872"/>
      <c r="O117" s="883">
        <f t="shared" si="11"/>
        <v>215600</v>
      </c>
    </row>
    <row r="118" spans="1:15" x14ac:dyDescent="0.15">
      <c r="A118" s="2327"/>
      <c r="B118" s="2328"/>
      <c r="C118" s="850"/>
      <c r="D118" s="851"/>
      <c r="E118" s="851"/>
      <c r="F118" s="895"/>
      <c r="G118" s="851"/>
      <c r="H118" s="851"/>
      <c r="I118" s="851"/>
      <c r="J118" s="851"/>
      <c r="K118" s="851"/>
      <c r="L118" s="851"/>
      <c r="M118" s="851">
        <v>480000</v>
      </c>
      <c r="N118" s="872"/>
      <c r="O118" s="883">
        <f t="shared" si="11"/>
        <v>480000</v>
      </c>
    </row>
    <row r="119" spans="1:15" x14ac:dyDescent="0.15">
      <c r="A119" s="2327"/>
      <c r="B119" s="2328"/>
      <c r="C119" s="850"/>
      <c r="D119" s="851"/>
      <c r="E119" s="851"/>
      <c r="F119" s="895">
        <v>159250</v>
      </c>
      <c r="G119" s="851"/>
      <c r="H119" s="851">
        <v>159250</v>
      </c>
      <c r="I119" s="851"/>
      <c r="J119" s="851">
        <v>159250</v>
      </c>
      <c r="K119" s="851">
        <v>266000</v>
      </c>
      <c r="L119" s="851"/>
      <c r="M119" s="851">
        <v>159250</v>
      </c>
      <c r="N119" s="872"/>
      <c r="O119" s="883">
        <f t="shared" si="11"/>
        <v>903000</v>
      </c>
    </row>
    <row r="120" spans="1:15" x14ac:dyDescent="0.15">
      <c r="A120" s="2327"/>
      <c r="B120" s="2328"/>
      <c r="C120" s="894"/>
      <c r="D120" s="895"/>
      <c r="E120" s="895"/>
      <c r="F120" s="895">
        <v>50000</v>
      </c>
      <c r="G120" s="895"/>
      <c r="H120" s="895"/>
      <c r="I120" s="895"/>
      <c r="J120" s="895"/>
      <c r="K120" s="895"/>
      <c r="L120" s="895"/>
      <c r="M120" s="895"/>
      <c r="N120" s="896"/>
      <c r="O120" s="883">
        <f t="shared" si="11"/>
        <v>50000</v>
      </c>
    </row>
    <row r="121" spans="1:15" x14ac:dyDescent="0.15">
      <c r="A121" s="2327"/>
      <c r="B121" s="2328"/>
      <c r="C121" s="894"/>
      <c r="D121" s="895"/>
      <c r="E121" s="895">
        <v>19935</v>
      </c>
      <c r="F121" s="895">
        <v>19935</v>
      </c>
      <c r="G121" s="895">
        <v>19935</v>
      </c>
      <c r="H121" s="895"/>
      <c r="I121" s="895"/>
      <c r="J121" s="895"/>
      <c r="K121" s="895"/>
      <c r="L121" s="895"/>
      <c r="M121" s="895"/>
      <c r="N121" s="896"/>
      <c r="O121" s="883">
        <f t="shared" si="11"/>
        <v>59805</v>
      </c>
    </row>
    <row r="122" spans="1:15" x14ac:dyDescent="0.15">
      <c r="A122" s="2327"/>
      <c r="B122" s="2328"/>
      <c r="C122" s="894"/>
      <c r="D122" s="895"/>
      <c r="E122" s="895">
        <v>4214</v>
      </c>
      <c r="F122" s="895">
        <v>4214</v>
      </c>
      <c r="G122" s="895">
        <v>4214</v>
      </c>
      <c r="H122" s="895"/>
      <c r="I122" s="895"/>
      <c r="J122" s="895"/>
      <c r="K122" s="895"/>
      <c r="L122" s="895"/>
      <c r="M122" s="895"/>
      <c r="N122" s="896"/>
      <c r="O122" s="883">
        <f t="shared" si="11"/>
        <v>12642</v>
      </c>
    </row>
    <row r="123" spans="1:15" x14ac:dyDescent="0.15">
      <c r="A123" s="2327"/>
      <c r="B123" s="2328"/>
      <c r="C123" s="894"/>
      <c r="D123" s="895"/>
      <c r="E123" s="895"/>
      <c r="F123" s="895"/>
      <c r="G123" s="895"/>
      <c r="H123" s="895">
        <v>14408</v>
      </c>
      <c r="I123" s="895"/>
      <c r="J123" s="895"/>
      <c r="K123" s="895"/>
      <c r="L123" s="895"/>
      <c r="M123" s="895"/>
      <c r="N123" s="896"/>
      <c r="O123" s="883">
        <f t="shared" si="11"/>
        <v>14408</v>
      </c>
    </row>
    <row r="124" spans="1:15" x14ac:dyDescent="0.15">
      <c r="A124" s="2327"/>
      <c r="B124" s="2328"/>
      <c r="C124" s="894"/>
      <c r="D124" s="895"/>
      <c r="E124" s="895"/>
      <c r="F124" s="895"/>
      <c r="G124" s="895"/>
      <c r="H124" s="895"/>
      <c r="I124" s="895">
        <v>3125</v>
      </c>
      <c r="J124" s="895"/>
      <c r="K124" s="895"/>
      <c r="L124" s="895"/>
      <c r="M124" s="895"/>
      <c r="N124" s="896"/>
      <c r="O124" s="883">
        <f t="shared" si="11"/>
        <v>3125</v>
      </c>
    </row>
    <row r="125" spans="1:15" x14ac:dyDescent="0.15">
      <c r="A125" s="2327"/>
      <c r="B125" s="2328"/>
      <c r="C125" s="894"/>
      <c r="D125" s="895"/>
      <c r="E125" s="895"/>
      <c r="F125" s="895"/>
      <c r="G125" s="895"/>
      <c r="H125" s="895"/>
      <c r="I125" s="895">
        <v>-43000</v>
      </c>
      <c r="J125" s="895">
        <v>-43000</v>
      </c>
      <c r="K125" s="895">
        <v>-43000</v>
      </c>
      <c r="L125" s="895">
        <v>-43000</v>
      </c>
      <c r="M125" s="895">
        <v>-43000</v>
      </c>
      <c r="N125" s="896">
        <v>-43000</v>
      </c>
      <c r="O125" s="883">
        <f t="shared" si="11"/>
        <v>-258000</v>
      </c>
    </row>
    <row r="126" spans="1:15" x14ac:dyDescent="0.15">
      <c r="A126" s="2327"/>
      <c r="B126" s="2328"/>
      <c r="C126" s="894"/>
      <c r="D126" s="895"/>
      <c r="E126" s="895"/>
      <c r="F126" s="895"/>
      <c r="G126" s="895"/>
      <c r="H126" s="895"/>
      <c r="I126" s="895"/>
      <c r="J126" s="895">
        <v>-50000</v>
      </c>
      <c r="K126" s="895">
        <v>-50000</v>
      </c>
      <c r="L126" s="895">
        <v>-50000</v>
      </c>
      <c r="M126" s="895">
        <v>-50000</v>
      </c>
      <c r="N126" s="896">
        <v>-50000</v>
      </c>
      <c r="O126" s="883">
        <f t="shared" si="11"/>
        <v>-250000</v>
      </c>
    </row>
    <row r="127" spans="1:15" x14ac:dyDescent="0.15">
      <c r="A127" s="2327"/>
      <c r="B127" s="2328"/>
      <c r="C127" s="894"/>
      <c r="D127" s="895"/>
      <c r="E127" s="895"/>
      <c r="F127" s="895"/>
      <c r="G127" s="895"/>
      <c r="H127" s="895"/>
      <c r="I127" s="895"/>
      <c r="J127" s="895"/>
      <c r="K127" s="895"/>
      <c r="L127" s="895">
        <v>130000</v>
      </c>
      <c r="M127" s="895"/>
      <c r="N127" s="896"/>
      <c r="O127" s="883">
        <f t="shared" si="11"/>
        <v>130000</v>
      </c>
    </row>
    <row r="128" spans="1:15" x14ac:dyDescent="0.15">
      <c r="A128" s="2327"/>
      <c r="B128" s="2328"/>
      <c r="C128" s="894"/>
      <c r="D128" s="895"/>
      <c r="E128" s="895"/>
      <c r="F128" s="895"/>
      <c r="G128" s="895"/>
      <c r="H128" s="895"/>
      <c r="I128" s="895"/>
      <c r="J128" s="895"/>
      <c r="K128" s="895"/>
      <c r="L128" s="895"/>
      <c r="M128" s="895"/>
      <c r="N128" s="896"/>
      <c r="O128" s="883">
        <f t="shared" si="11"/>
        <v>0</v>
      </c>
    </row>
    <row r="129" spans="1:27" x14ac:dyDescent="0.15">
      <c r="A129" s="2327"/>
      <c r="B129" s="2328"/>
      <c r="C129" s="894"/>
      <c r="D129" s="895"/>
      <c r="E129" s="895"/>
      <c r="F129" s="895"/>
      <c r="G129" s="895"/>
      <c r="H129" s="895"/>
      <c r="I129" s="895"/>
      <c r="J129" s="895"/>
      <c r="K129" s="895"/>
      <c r="L129" s="895"/>
      <c r="M129" s="895"/>
      <c r="N129" s="896"/>
      <c r="O129" s="883">
        <f t="shared" si="11"/>
        <v>0</v>
      </c>
    </row>
    <row r="130" spans="1:27" ht="14.25" thickBot="1" x14ac:dyDescent="0.2">
      <c r="A130" s="2327"/>
      <c r="B130" s="2328"/>
      <c r="C130" s="894"/>
      <c r="D130" s="895"/>
      <c r="E130" s="895">
        <v>120740</v>
      </c>
      <c r="F130" s="895">
        <v>120740</v>
      </c>
      <c r="G130" s="895">
        <v>120740</v>
      </c>
      <c r="H130" s="895"/>
      <c r="I130" s="895"/>
      <c r="J130" s="895"/>
      <c r="K130" s="895"/>
      <c r="L130" s="895"/>
      <c r="M130" s="895"/>
      <c r="N130" s="896"/>
      <c r="O130" s="883">
        <f t="shared" si="11"/>
        <v>362220</v>
      </c>
    </row>
    <row r="131" spans="1:27" ht="14.25" thickBot="1" x14ac:dyDescent="0.2">
      <c r="A131" s="2329"/>
      <c r="B131" s="2330"/>
      <c r="C131" s="894"/>
      <c r="D131" s="895"/>
      <c r="E131" s="895"/>
      <c r="F131" s="895"/>
      <c r="G131" s="895"/>
      <c r="H131" s="895"/>
      <c r="I131" s="895"/>
      <c r="J131" s="895"/>
      <c r="K131" s="895"/>
      <c r="L131" s="895"/>
      <c r="M131" s="895"/>
      <c r="N131" s="896"/>
      <c r="O131" s="897">
        <f t="shared" si="11"/>
        <v>0</v>
      </c>
      <c r="P131" s="943" t="s">
        <v>1096</v>
      </c>
    </row>
    <row r="132" spans="1:27" ht="15" thickTop="1" thickBot="1" x14ac:dyDescent="0.2">
      <c r="A132" s="2350" t="s">
        <v>53</v>
      </c>
      <c r="B132" s="2351"/>
      <c r="C132" s="905">
        <f t="shared" ref="C132:N132" si="13">SUM(C89:C131)</f>
        <v>12361630</v>
      </c>
      <c r="D132" s="906">
        <f t="shared" si="13"/>
        <v>12391806</v>
      </c>
      <c r="E132" s="906">
        <f t="shared" si="13"/>
        <v>11220133</v>
      </c>
      <c r="F132" s="906">
        <f t="shared" si="13"/>
        <v>10292676</v>
      </c>
      <c r="G132" s="906">
        <f t="shared" si="13"/>
        <v>11009113</v>
      </c>
      <c r="H132" s="906">
        <f t="shared" si="13"/>
        <v>9801189</v>
      </c>
      <c r="I132" s="906">
        <f t="shared" si="13"/>
        <v>9637604</v>
      </c>
      <c r="J132" s="906">
        <f t="shared" si="13"/>
        <v>10221447</v>
      </c>
      <c r="K132" s="906">
        <f t="shared" si="13"/>
        <v>9078197</v>
      </c>
      <c r="L132" s="906">
        <f t="shared" si="13"/>
        <v>10236157</v>
      </c>
      <c r="M132" s="906">
        <f t="shared" si="13"/>
        <v>12310968</v>
      </c>
      <c r="N132" s="907">
        <f t="shared" si="13"/>
        <v>9672938</v>
      </c>
      <c r="O132" s="908">
        <f>SUM(C132:N132)</f>
        <v>128233858</v>
      </c>
      <c r="P132" s="942">
        <f>ROUND(AVERAGE(C132:N132),0)</f>
        <v>10686155</v>
      </c>
    </row>
    <row r="133" spans="1:27" ht="14.25" thickBot="1" x14ac:dyDescent="0.2">
      <c r="A133" s="2320" t="s">
        <v>1030</v>
      </c>
      <c r="B133" s="2321"/>
      <c r="C133" s="831" t="s">
        <v>1011</v>
      </c>
      <c r="D133" s="832" t="s">
        <v>1012</v>
      </c>
      <c r="E133" s="832" t="s">
        <v>1013</v>
      </c>
      <c r="F133" s="832" t="s">
        <v>1014</v>
      </c>
      <c r="G133" s="832" t="s">
        <v>1015</v>
      </c>
      <c r="H133" s="832" t="s">
        <v>1016</v>
      </c>
      <c r="I133" s="832" t="s">
        <v>1017</v>
      </c>
      <c r="J133" s="832" t="s">
        <v>1018</v>
      </c>
      <c r="K133" s="832" t="s">
        <v>1019</v>
      </c>
      <c r="L133" s="832" t="s">
        <v>1020</v>
      </c>
      <c r="M133" s="832" t="s">
        <v>1021</v>
      </c>
      <c r="N133" s="833" t="s">
        <v>1022</v>
      </c>
    </row>
    <row r="134" spans="1:27" x14ac:dyDescent="0.15">
      <c r="A134" s="2303" t="s">
        <v>1143</v>
      </c>
      <c r="B134" s="2304"/>
      <c r="C134" s="2255" t="s">
        <v>1185</v>
      </c>
      <c r="D134" s="2265" t="s">
        <v>1027</v>
      </c>
      <c r="E134" s="2255"/>
      <c r="F134" s="2267"/>
      <c r="G134" s="2255"/>
      <c r="H134" s="2255"/>
      <c r="I134" s="2255"/>
      <c r="J134" s="2255"/>
      <c r="K134" s="2255"/>
      <c r="L134" s="2255"/>
      <c r="M134" s="2255"/>
      <c r="N134" s="2259"/>
    </row>
    <row r="135" spans="1:27" x14ac:dyDescent="0.15">
      <c r="A135" s="2331"/>
      <c r="B135" s="2332"/>
      <c r="C135" s="2256"/>
      <c r="D135" s="2266"/>
      <c r="E135" s="2256"/>
      <c r="F135" s="2266"/>
      <c r="G135" s="2256"/>
      <c r="H135" s="2256"/>
      <c r="I135" s="2256"/>
      <c r="J135" s="2256"/>
      <c r="K135" s="2256"/>
      <c r="L135" s="2256"/>
      <c r="M135" s="2256"/>
      <c r="N135" s="2260"/>
      <c r="P135" s="4">
        <f t="shared" ref="P135:AA135" si="14">SUM(C112:C131)</f>
        <v>1786733</v>
      </c>
      <c r="Q135" s="4">
        <f t="shared" si="14"/>
        <v>600000</v>
      </c>
      <c r="R135" s="4">
        <f t="shared" si="14"/>
        <v>744889</v>
      </c>
      <c r="S135" s="4">
        <f t="shared" si="14"/>
        <v>954139</v>
      </c>
      <c r="T135" s="4">
        <f t="shared" si="14"/>
        <v>644889</v>
      </c>
      <c r="U135" s="4">
        <f t="shared" si="14"/>
        <v>749258</v>
      </c>
      <c r="V135" s="4">
        <f t="shared" si="14"/>
        <v>460125</v>
      </c>
      <c r="W135" s="4">
        <f t="shared" si="14"/>
        <v>566250</v>
      </c>
      <c r="X135" s="4">
        <f t="shared" si="14"/>
        <v>173000</v>
      </c>
      <c r="Y135" s="4">
        <f t="shared" si="14"/>
        <v>637000</v>
      </c>
      <c r="Z135" s="4">
        <f t="shared" si="14"/>
        <v>1986250</v>
      </c>
      <c r="AA135" s="4">
        <f t="shared" si="14"/>
        <v>407000</v>
      </c>
    </row>
    <row r="136" spans="1:27" x14ac:dyDescent="0.15">
      <c r="A136" s="2331"/>
      <c r="B136" s="2332"/>
      <c r="C136" s="2256"/>
      <c r="D136" s="2266"/>
      <c r="E136" s="2256"/>
      <c r="F136" s="2266"/>
      <c r="G136" s="2256"/>
      <c r="H136" s="2256"/>
      <c r="I136" s="2256"/>
      <c r="J136" s="2256"/>
      <c r="K136" s="2256"/>
      <c r="L136" s="2256"/>
      <c r="M136" s="2256"/>
      <c r="N136" s="2260"/>
    </row>
    <row r="137" spans="1:27" x14ac:dyDescent="0.15">
      <c r="A137" s="2331"/>
      <c r="B137" s="2332"/>
      <c r="C137" s="2256"/>
      <c r="D137" s="2266"/>
      <c r="E137" s="2256"/>
      <c r="F137" s="2266"/>
      <c r="G137" s="2256"/>
      <c r="H137" s="2256"/>
      <c r="I137" s="2256"/>
      <c r="J137" s="2256"/>
      <c r="K137" s="2256"/>
      <c r="L137" s="2256"/>
      <c r="M137" s="2256"/>
      <c r="N137" s="2260"/>
    </row>
    <row r="138" spans="1:27" x14ac:dyDescent="0.15">
      <c r="A138" s="2331"/>
      <c r="B138" s="2332"/>
      <c r="C138" s="2256"/>
      <c r="D138" s="2266"/>
      <c r="E138" s="2256"/>
      <c r="F138" s="2266"/>
      <c r="G138" s="2256"/>
      <c r="H138" s="2256"/>
      <c r="I138" s="2256"/>
      <c r="J138" s="2256"/>
      <c r="K138" s="2256"/>
      <c r="L138" s="2256"/>
      <c r="M138" s="2256"/>
      <c r="N138" s="2260"/>
    </row>
    <row r="139" spans="1:27" x14ac:dyDescent="0.15">
      <c r="A139" s="2331"/>
      <c r="B139" s="2332"/>
      <c r="C139" s="2256"/>
      <c r="D139" s="2266"/>
      <c r="E139" s="2256"/>
      <c r="F139" s="2266"/>
      <c r="G139" s="2256"/>
      <c r="H139" s="2256"/>
      <c r="I139" s="2256"/>
      <c r="J139" s="2256"/>
      <c r="K139" s="2256"/>
      <c r="L139" s="2256"/>
      <c r="M139" s="2256"/>
      <c r="N139" s="2260"/>
    </row>
    <row r="140" spans="1:27" x14ac:dyDescent="0.15">
      <c r="A140" s="2331"/>
      <c r="B140" s="2332"/>
      <c r="C140" s="2257"/>
      <c r="D140" s="2265"/>
      <c r="E140" s="2257"/>
      <c r="F140" s="2265"/>
      <c r="G140" s="2257"/>
      <c r="H140" s="2257"/>
      <c r="I140" s="2257"/>
      <c r="J140" s="2257"/>
      <c r="K140" s="2257"/>
      <c r="L140" s="2257"/>
      <c r="M140" s="2257"/>
      <c r="N140" s="2261"/>
    </row>
    <row r="141" spans="1:27" x14ac:dyDescent="0.15">
      <c r="A141" s="2331"/>
      <c r="B141" s="2332"/>
      <c r="C141" s="2258"/>
      <c r="D141" s="2265"/>
      <c r="E141" s="2258"/>
      <c r="F141" s="2268"/>
      <c r="G141" s="2258"/>
      <c r="H141" s="2258"/>
      <c r="I141" s="2258"/>
      <c r="J141" s="2258"/>
      <c r="K141" s="2258"/>
      <c r="L141" s="2258"/>
      <c r="M141" s="2258"/>
      <c r="N141" s="2262"/>
    </row>
    <row r="142" spans="1:27" ht="14.25" customHeight="1" x14ac:dyDescent="0.15">
      <c r="A142" s="2322" t="s">
        <v>1123</v>
      </c>
      <c r="B142" s="2323"/>
      <c r="C142" s="2298"/>
      <c r="D142" s="2257" t="s">
        <v>1131</v>
      </c>
      <c r="E142" s="2257" t="s">
        <v>1023</v>
      </c>
      <c r="F142" s="2265" t="s">
        <v>1027</v>
      </c>
      <c r="G142" s="2257"/>
      <c r="H142" s="2257"/>
      <c r="I142" s="2257"/>
      <c r="J142" s="2257"/>
      <c r="K142" s="2257"/>
      <c r="L142" s="2257"/>
      <c r="M142" s="2257"/>
      <c r="N142" s="2261"/>
    </row>
    <row r="143" spans="1:27" ht="14.25" customHeight="1" x14ac:dyDescent="0.15">
      <c r="A143" s="2324"/>
      <c r="B143" s="2325"/>
      <c r="C143" s="2339"/>
      <c r="D143" s="2256"/>
      <c r="E143" s="2256"/>
      <c r="F143" s="2266"/>
      <c r="G143" s="2256"/>
      <c r="H143" s="2256"/>
      <c r="I143" s="2256"/>
      <c r="J143" s="2256"/>
      <c r="K143" s="2256"/>
      <c r="L143" s="2256"/>
      <c r="M143" s="2256"/>
      <c r="N143" s="2260"/>
    </row>
    <row r="144" spans="1:27" ht="14.25" customHeight="1" x14ac:dyDescent="0.15">
      <c r="A144" s="2324"/>
      <c r="B144" s="2325"/>
      <c r="C144" s="2339"/>
      <c r="D144" s="2256"/>
      <c r="E144" s="2256"/>
      <c r="F144" s="2266"/>
      <c r="G144" s="2256"/>
      <c r="H144" s="2256"/>
      <c r="I144" s="2256"/>
      <c r="J144" s="2256"/>
      <c r="K144" s="2256"/>
      <c r="L144" s="2256"/>
      <c r="M144" s="2256"/>
      <c r="N144" s="2260"/>
    </row>
    <row r="145" spans="1:14" ht="14.25" customHeight="1" x14ac:dyDescent="0.15">
      <c r="A145" s="2324"/>
      <c r="B145" s="2325"/>
      <c r="C145" s="2339"/>
      <c r="D145" s="2256"/>
      <c r="E145" s="2256"/>
      <c r="F145" s="2266"/>
      <c r="G145" s="2256"/>
      <c r="H145" s="2256"/>
      <c r="I145" s="2256"/>
      <c r="J145" s="2256"/>
      <c r="K145" s="2256"/>
      <c r="L145" s="2256"/>
      <c r="M145" s="2256"/>
      <c r="N145" s="2260"/>
    </row>
    <row r="146" spans="1:14" ht="14.25" customHeight="1" x14ac:dyDescent="0.15">
      <c r="A146" s="2324"/>
      <c r="B146" s="2325"/>
      <c r="C146" s="2339"/>
      <c r="D146" s="2256"/>
      <c r="E146" s="2256"/>
      <c r="F146" s="2266"/>
      <c r="G146" s="2256"/>
      <c r="H146" s="2256"/>
      <c r="I146" s="2256"/>
      <c r="J146" s="2256"/>
      <c r="K146" s="2256"/>
      <c r="L146" s="2256"/>
      <c r="M146" s="2256"/>
      <c r="N146" s="2260"/>
    </row>
    <row r="147" spans="1:14" ht="14.25" customHeight="1" x14ac:dyDescent="0.15">
      <c r="A147" s="2324"/>
      <c r="B147" s="2325"/>
      <c r="C147" s="2339"/>
      <c r="D147" s="2256"/>
      <c r="E147" s="2256"/>
      <c r="F147" s="2266"/>
      <c r="G147" s="2256"/>
      <c r="H147" s="2256"/>
      <c r="I147" s="2256"/>
      <c r="J147" s="2256"/>
      <c r="K147" s="2256"/>
      <c r="L147" s="2256"/>
      <c r="M147" s="2256"/>
      <c r="N147" s="2260"/>
    </row>
    <row r="148" spans="1:14" x14ac:dyDescent="0.15">
      <c r="A148" s="2322"/>
      <c r="B148" s="2323"/>
      <c r="C148" s="2298"/>
      <c r="D148" s="2257"/>
      <c r="E148" s="2257"/>
      <c r="F148" s="2265"/>
      <c r="G148" s="2257"/>
      <c r="H148" s="2257"/>
      <c r="I148" s="2257"/>
      <c r="J148" s="2257"/>
      <c r="K148" s="2257"/>
      <c r="L148" s="2257"/>
      <c r="M148" s="2257"/>
      <c r="N148" s="2261"/>
    </row>
    <row r="149" spans="1:14" x14ac:dyDescent="0.15">
      <c r="A149" s="2322"/>
      <c r="B149" s="2323"/>
      <c r="C149" s="2298"/>
      <c r="D149" s="2257"/>
      <c r="E149" s="2257"/>
      <c r="F149" s="2265"/>
      <c r="G149" s="2257"/>
      <c r="H149" s="2257"/>
      <c r="I149" s="2257"/>
      <c r="J149" s="2257"/>
      <c r="K149" s="2257"/>
      <c r="L149" s="2257"/>
      <c r="M149" s="2257"/>
      <c r="N149" s="2261"/>
    </row>
    <row r="150" spans="1:14" ht="14.25" customHeight="1" x14ac:dyDescent="0.15">
      <c r="A150" s="2333" t="s">
        <v>1224</v>
      </c>
      <c r="B150" s="2313"/>
      <c r="C150" s="2335"/>
      <c r="D150" s="2258" t="s">
        <v>1405</v>
      </c>
      <c r="E150" s="2258"/>
      <c r="F150" s="2258"/>
      <c r="G150" s="2258" t="s">
        <v>1483</v>
      </c>
      <c r="H150" s="2268" t="s">
        <v>1027</v>
      </c>
      <c r="I150" s="2258"/>
      <c r="J150" s="2258"/>
      <c r="K150" s="2268"/>
      <c r="L150" s="2258"/>
      <c r="M150" s="2258"/>
      <c r="N150" s="2262"/>
    </row>
    <row r="151" spans="1:14" x14ac:dyDescent="0.15">
      <c r="A151" s="2312"/>
      <c r="B151" s="2313"/>
      <c r="C151" s="2336"/>
      <c r="D151" s="2297"/>
      <c r="E151" s="2297"/>
      <c r="F151" s="2297"/>
      <c r="G151" s="2297"/>
      <c r="H151" s="2297"/>
      <c r="I151" s="2297"/>
      <c r="J151" s="2297"/>
      <c r="K151" s="2297"/>
      <c r="L151" s="2297"/>
      <c r="M151" s="2297"/>
      <c r="N151" s="2334"/>
    </row>
    <row r="152" spans="1:14" x14ac:dyDescent="0.15">
      <c r="A152" s="2312"/>
      <c r="B152" s="2313"/>
      <c r="C152" s="2336"/>
      <c r="D152" s="2297"/>
      <c r="E152" s="2297"/>
      <c r="F152" s="2297"/>
      <c r="G152" s="2297"/>
      <c r="H152" s="2297"/>
      <c r="I152" s="2297"/>
      <c r="J152" s="2297"/>
      <c r="K152" s="2297"/>
      <c r="L152" s="2297"/>
      <c r="M152" s="2297"/>
      <c r="N152" s="2334"/>
    </row>
    <row r="153" spans="1:14" x14ac:dyDescent="0.15">
      <c r="A153" s="2312"/>
      <c r="B153" s="2313"/>
      <c r="C153" s="2336"/>
      <c r="D153" s="2297"/>
      <c r="E153" s="2297"/>
      <c r="F153" s="2297"/>
      <c r="G153" s="2297"/>
      <c r="H153" s="2297"/>
      <c r="I153" s="2297"/>
      <c r="J153" s="2297"/>
      <c r="K153" s="2297"/>
      <c r="L153" s="2297"/>
      <c r="M153" s="2297"/>
      <c r="N153" s="2334"/>
    </row>
    <row r="154" spans="1:14" x14ac:dyDescent="0.15">
      <c r="A154" s="2312"/>
      <c r="B154" s="2313"/>
      <c r="C154" s="2336"/>
      <c r="D154" s="2297"/>
      <c r="E154" s="2297"/>
      <c r="F154" s="2297"/>
      <c r="G154" s="2297"/>
      <c r="H154" s="2297"/>
      <c r="I154" s="2297"/>
      <c r="J154" s="2297"/>
      <c r="K154" s="2297"/>
      <c r="L154" s="2297"/>
      <c r="M154" s="2297"/>
      <c r="N154" s="2334"/>
    </row>
    <row r="155" spans="1:14" x14ac:dyDescent="0.15">
      <c r="A155" s="2312"/>
      <c r="B155" s="2313"/>
      <c r="C155" s="2336"/>
      <c r="D155" s="2297"/>
      <c r="E155" s="2297"/>
      <c r="F155" s="2297"/>
      <c r="G155" s="2297"/>
      <c r="H155" s="2297"/>
      <c r="I155" s="2297"/>
      <c r="J155" s="2297"/>
      <c r="K155" s="2297"/>
      <c r="L155" s="2297"/>
      <c r="M155" s="2297"/>
      <c r="N155" s="2334"/>
    </row>
    <row r="156" spans="1:14" x14ac:dyDescent="0.15">
      <c r="A156" s="2312"/>
      <c r="B156" s="2313"/>
      <c r="C156" s="2339"/>
      <c r="D156" s="2256"/>
      <c r="E156" s="2256"/>
      <c r="F156" s="2256"/>
      <c r="G156" s="2256"/>
      <c r="H156" s="2256"/>
      <c r="I156" s="2256"/>
      <c r="J156" s="2256"/>
      <c r="K156" s="2256"/>
      <c r="L156" s="2256"/>
      <c r="M156" s="2256"/>
      <c r="N156" s="2260"/>
    </row>
    <row r="157" spans="1:14" ht="14.25" customHeight="1" x14ac:dyDescent="0.15">
      <c r="A157" s="2312" t="s">
        <v>1024</v>
      </c>
      <c r="B157" s="2313"/>
      <c r="C157" s="2335"/>
      <c r="D157" s="2258" t="s">
        <v>1406</v>
      </c>
      <c r="E157" s="2258" t="s">
        <v>1349</v>
      </c>
      <c r="F157" s="2258"/>
      <c r="G157" s="2258"/>
      <c r="H157" s="2258"/>
      <c r="I157" s="2258" t="s">
        <v>1026</v>
      </c>
      <c r="J157" s="2258" t="s">
        <v>1530</v>
      </c>
      <c r="K157" s="2258" t="s">
        <v>1398</v>
      </c>
      <c r="L157" s="2268" t="s">
        <v>1061</v>
      </c>
      <c r="M157" s="2258"/>
      <c r="N157" s="2262"/>
    </row>
    <row r="158" spans="1:14" x14ac:dyDescent="0.15">
      <c r="A158" s="2312"/>
      <c r="B158" s="2313"/>
      <c r="C158" s="2336"/>
      <c r="D158" s="2297"/>
      <c r="E158" s="2297"/>
      <c r="F158" s="2297"/>
      <c r="G158" s="2297"/>
      <c r="H158" s="2297"/>
      <c r="I158" s="2297"/>
      <c r="J158" s="2297"/>
      <c r="K158" s="2297"/>
      <c r="L158" s="2297"/>
      <c r="M158" s="2297"/>
      <c r="N158" s="2334"/>
    </row>
    <row r="159" spans="1:14" x14ac:dyDescent="0.15">
      <c r="A159" s="2312"/>
      <c r="B159" s="2313"/>
      <c r="C159" s="2336"/>
      <c r="D159" s="2297"/>
      <c r="E159" s="2297"/>
      <c r="F159" s="2297"/>
      <c r="G159" s="2297"/>
      <c r="H159" s="2297"/>
      <c r="I159" s="2297"/>
      <c r="J159" s="2297"/>
      <c r="K159" s="2297"/>
      <c r="L159" s="2297"/>
      <c r="M159" s="2297"/>
      <c r="N159" s="2334"/>
    </row>
    <row r="160" spans="1:14" x14ac:dyDescent="0.15">
      <c r="A160" s="2312"/>
      <c r="B160" s="2313"/>
      <c r="C160" s="2336"/>
      <c r="D160" s="2297"/>
      <c r="E160" s="2297"/>
      <c r="F160" s="2297"/>
      <c r="G160" s="2297"/>
      <c r="H160" s="2297"/>
      <c r="I160" s="2297"/>
      <c r="J160" s="2297"/>
      <c r="K160" s="2297"/>
      <c r="L160" s="2297"/>
      <c r="M160" s="2297"/>
      <c r="N160" s="2334"/>
    </row>
    <row r="161" spans="1:15" x14ac:dyDescent="0.15">
      <c r="A161" s="2312"/>
      <c r="B161" s="2313"/>
      <c r="C161" s="2336"/>
      <c r="D161" s="2297"/>
      <c r="E161" s="2297"/>
      <c r="F161" s="2297"/>
      <c r="G161" s="2297"/>
      <c r="H161" s="2297"/>
      <c r="I161" s="2297"/>
      <c r="J161" s="2297"/>
      <c r="K161" s="2297"/>
      <c r="L161" s="2297"/>
      <c r="M161" s="2297"/>
      <c r="N161" s="2334"/>
    </row>
    <row r="162" spans="1:15" x14ac:dyDescent="0.15">
      <c r="A162" s="2312"/>
      <c r="B162" s="2313"/>
      <c r="C162" s="2336"/>
      <c r="D162" s="2297"/>
      <c r="E162" s="2297"/>
      <c r="F162" s="2297"/>
      <c r="G162" s="2297"/>
      <c r="H162" s="2297"/>
      <c r="I162" s="2297"/>
      <c r="J162" s="2297"/>
      <c r="K162" s="2297"/>
      <c r="L162" s="2297"/>
      <c r="M162" s="2297"/>
      <c r="N162" s="2334"/>
    </row>
    <row r="163" spans="1:15" x14ac:dyDescent="0.15">
      <c r="A163" s="2312"/>
      <c r="B163" s="2313"/>
      <c r="C163" s="2339"/>
      <c r="D163" s="2256"/>
      <c r="E163" s="2256"/>
      <c r="F163" s="2256"/>
      <c r="G163" s="2256"/>
      <c r="H163" s="2256"/>
      <c r="I163" s="2256"/>
      <c r="J163" s="2256"/>
      <c r="K163" s="2256"/>
      <c r="L163" s="2256"/>
      <c r="M163" s="2256"/>
      <c r="N163" s="2260"/>
    </row>
    <row r="164" spans="1:15" ht="14.25" customHeight="1" x14ac:dyDescent="0.15">
      <c r="A164" s="2312" t="s">
        <v>1025</v>
      </c>
      <c r="B164" s="2313"/>
      <c r="C164" s="2335" t="s">
        <v>1344</v>
      </c>
      <c r="D164" s="2258" t="s">
        <v>1399</v>
      </c>
      <c r="E164" s="2258" t="s">
        <v>1400</v>
      </c>
      <c r="F164" s="2258" t="s">
        <v>1396</v>
      </c>
      <c r="G164" s="2258" t="s">
        <v>1482</v>
      </c>
      <c r="H164" s="2258" t="s">
        <v>1517</v>
      </c>
      <c r="I164" s="2258" t="s">
        <v>1498</v>
      </c>
      <c r="J164" s="2258" t="s">
        <v>1519</v>
      </c>
      <c r="K164" s="2258" t="s">
        <v>1535</v>
      </c>
      <c r="L164" s="2258" t="s">
        <v>1542</v>
      </c>
      <c r="M164" s="2258" t="s">
        <v>1536</v>
      </c>
      <c r="N164" s="2262" t="s">
        <v>1537</v>
      </c>
    </row>
    <row r="165" spans="1:15" x14ac:dyDescent="0.15">
      <c r="A165" s="2312"/>
      <c r="B165" s="2313"/>
      <c r="C165" s="2336"/>
      <c r="D165" s="2297"/>
      <c r="E165" s="2297"/>
      <c r="F165" s="2297"/>
      <c r="G165" s="2297"/>
      <c r="H165" s="2297"/>
      <c r="I165" s="2297"/>
      <c r="J165" s="2297"/>
      <c r="K165" s="2297"/>
      <c r="L165" s="2297"/>
      <c r="M165" s="2297"/>
      <c r="N165" s="2334"/>
    </row>
    <row r="166" spans="1:15" x14ac:dyDescent="0.15">
      <c r="A166" s="2312"/>
      <c r="B166" s="2313"/>
      <c r="C166" s="2336"/>
      <c r="D166" s="2297"/>
      <c r="E166" s="2297"/>
      <c r="F166" s="2297"/>
      <c r="G166" s="2297"/>
      <c r="H166" s="2297"/>
      <c r="I166" s="2297"/>
      <c r="J166" s="2297"/>
      <c r="K166" s="2297"/>
      <c r="L166" s="2297"/>
      <c r="M166" s="2297"/>
      <c r="N166" s="2334"/>
    </row>
    <row r="167" spans="1:15" x14ac:dyDescent="0.15">
      <c r="A167" s="2312"/>
      <c r="B167" s="2313"/>
      <c r="C167" s="2336"/>
      <c r="D167" s="2297"/>
      <c r="E167" s="2297"/>
      <c r="F167" s="2297"/>
      <c r="G167" s="2297"/>
      <c r="H167" s="2297"/>
      <c r="I167" s="2297"/>
      <c r="J167" s="2297"/>
      <c r="K167" s="2297"/>
      <c r="L167" s="2297"/>
      <c r="M167" s="2297"/>
      <c r="N167" s="2334"/>
      <c r="O167" s="1160"/>
    </row>
    <row r="168" spans="1:15" x14ac:dyDescent="0.15">
      <c r="A168" s="2312"/>
      <c r="B168" s="2313"/>
      <c r="C168" s="2336"/>
      <c r="D168" s="2297"/>
      <c r="E168" s="2297"/>
      <c r="F168" s="2297"/>
      <c r="G168" s="2297"/>
      <c r="H168" s="2297"/>
      <c r="I168" s="2297"/>
      <c r="J168" s="2297"/>
      <c r="K168" s="2297"/>
      <c r="L168" s="2297"/>
      <c r="M168" s="2297"/>
      <c r="N168" s="2334"/>
    </row>
    <row r="169" spans="1:15" x14ac:dyDescent="0.15">
      <c r="A169" s="2312"/>
      <c r="B169" s="2313"/>
      <c r="C169" s="2336"/>
      <c r="D169" s="2297"/>
      <c r="E169" s="2297"/>
      <c r="F169" s="2297"/>
      <c r="G169" s="2297"/>
      <c r="H169" s="2297"/>
      <c r="I169" s="2297"/>
      <c r="J169" s="2297"/>
      <c r="K169" s="2297"/>
      <c r="L169" s="2297"/>
      <c r="M169" s="2297"/>
      <c r="N169" s="2334"/>
    </row>
    <row r="170" spans="1:15" x14ac:dyDescent="0.15">
      <c r="A170" s="2312"/>
      <c r="B170" s="2313"/>
      <c r="C170" s="2336"/>
      <c r="D170" s="2297"/>
      <c r="E170" s="2297"/>
      <c r="F170" s="2297"/>
      <c r="G170" s="2297"/>
      <c r="H170" s="2297"/>
      <c r="I170" s="2297"/>
      <c r="J170" s="2297"/>
      <c r="K170" s="2297"/>
      <c r="L170" s="2297"/>
      <c r="M170" s="2297"/>
      <c r="N170" s="2334"/>
    </row>
    <row r="171" spans="1:15" x14ac:dyDescent="0.15">
      <c r="A171" s="2312"/>
      <c r="B171" s="2313"/>
      <c r="C171" s="2336"/>
      <c r="D171" s="2297"/>
      <c r="E171" s="2297"/>
      <c r="F171" s="2297"/>
      <c r="G171" s="2297"/>
      <c r="H171" s="2297"/>
      <c r="I171" s="2297"/>
      <c r="J171" s="2297"/>
      <c r="K171" s="2297"/>
      <c r="L171" s="2297"/>
      <c r="M171" s="2297"/>
      <c r="N171" s="2334"/>
    </row>
    <row r="172" spans="1:15" x14ac:dyDescent="0.15">
      <c r="A172" s="2312"/>
      <c r="B172" s="2313"/>
      <c r="C172" s="2336"/>
      <c r="D172" s="2297"/>
      <c r="E172" s="2297"/>
      <c r="F172" s="2297"/>
      <c r="G172" s="2297"/>
      <c r="H172" s="2297"/>
      <c r="I172" s="2297"/>
      <c r="J172" s="2297"/>
      <c r="K172" s="2297"/>
      <c r="L172" s="2297"/>
      <c r="M172" s="2297"/>
      <c r="N172" s="2334"/>
    </row>
    <row r="173" spans="1:15" x14ac:dyDescent="0.15">
      <c r="A173" s="2312"/>
      <c r="B173" s="2313"/>
      <c r="C173" s="2336"/>
      <c r="D173" s="2297"/>
      <c r="E173" s="2297"/>
      <c r="F173" s="2297"/>
      <c r="G173" s="2297"/>
      <c r="H173" s="2297"/>
      <c r="I173" s="2297"/>
      <c r="J173" s="2297"/>
      <c r="K173" s="2297"/>
      <c r="L173" s="2297"/>
      <c r="M173" s="2297"/>
      <c r="N173" s="2334"/>
    </row>
    <row r="174" spans="1:15" x14ac:dyDescent="0.15">
      <c r="A174" s="2312"/>
      <c r="B174" s="2313"/>
      <c r="C174" s="2336"/>
      <c r="D174" s="2297"/>
      <c r="E174" s="2297"/>
      <c r="F174" s="2297"/>
      <c r="G174" s="2297"/>
      <c r="H174" s="2297"/>
      <c r="I174" s="2297"/>
      <c r="J174" s="2297"/>
      <c r="K174" s="2297"/>
      <c r="L174" s="2297"/>
      <c r="M174" s="2297"/>
      <c r="N174" s="2334"/>
    </row>
    <row r="175" spans="1:15" x14ac:dyDescent="0.15">
      <c r="A175" s="2312"/>
      <c r="B175" s="2313"/>
      <c r="C175" s="2336"/>
      <c r="D175" s="2297"/>
      <c r="E175" s="2297"/>
      <c r="F175" s="2297"/>
      <c r="G175" s="2297"/>
      <c r="H175" s="2297"/>
      <c r="I175" s="2297"/>
      <c r="J175" s="2297"/>
      <c r="K175" s="2297"/>
      <c r="L175" s="2297"/>
      <c r="M175" s="2297"/>
      <c r="N175" s="2334"/>
    </row>
    <row r="176" spans="1:15" ht="14.25" thickBot="1" x14ac:dyDescent="0.2">
      <c r="A176" s="2314"/>
      <c r="B176" s="2315"/>
      <c r="C176" s="2337"/>
      <c r="D176" s="2338"/>
      <c r="E176" s="2338"/>
      <c r="F176" s="2338"/>
      <c r="G176" s="2338"/>
      <c r="H176" s="2338"/>
      <c r="I176" s="2338"/>
      <c r="J176" s="2338"/>
      <c r="K176" s="2338"/>
      <c r="L176" s="2338"/>
      <c r="M176" s="2338"/>
      <c r="N176" s="2346"/>
    </row>
    <row r="178" spans="1:15" ht="19.5" thickBot="1" x14ac:dyDescent="0.2">
      <c r="A178" s="20" t="s">
        <v>1094</v>
      </c>
      <c r="B178" s="824"/>
    </row>
    <row r="179" spans="1:15" ht="14.25" thickBot="1" x14ac:dyDescent="0.2">
      <c r="A179" s="2275" t="s">
        <v>1088</v>
      </c>
      <c r="B179" s="2347"/>
      <c r="C179" s="834" t="s">
        <v>1011</v>
      </c>
      <c r="D179" s="830" t="s">
        <v>1012</v>
      </c>
      <c r="E179" s="830" t="s">
        <v>1013</v>
      </c>
      <c r="F179" s="830" t="s">
        <v>1014</v>
      </c>
      <c r="G179" s="830" t="s">
        <v>1015</v>
      </c>
      <c r="H179" s="830" t="s">
        <v>1016</v>
      </c>
      <c r="I179" s="830" t="s">
        <v>1017</v>
      </c>
      <c r="J179" s="830" t="s">
        <v>1018</v>
      </c>
      <c r="K179" s="830" t="s">
        <v>1019</v>
      </c>
      <c r="L179" s="830" t="s">
        <v>1020</v>
      </c>
      <c r="M179" s="830" t="s">
        <v>1021</v>
      </c>
      <c r="N179" s="910" t="s">
        <v>1022</v>
      </c>
      <c r="O179" s="909" t="s">
        <v>96</v>
      </c>
    </row>
    <row r="180" spans="1:15" x14ac:dyDescent="0.15">
      <c r="A180" s="2342" t="s">
        <v>1077</v>
      </c>
      <c r="B180" s="2343"/>
      <c r="C180" s="926">
        <f t="shared" ref="C180:N180" si="15">C17</f>
        <v>37460000</v>
      </c>
      <c r="D180" s="927">
        <f t="shared" si="15"/>
        <v>41250000</v>
      </c>
      <c r="E180" s="927">
        <f t="shared" si="15"/>
        <v>42210000</v>
      </c>
      <c r="F180" s="927">
        <f t="shared" si="15"/>
        <v>40180000</v>
      </c>
      <c r="G180" s="927">
        <f t="shared" si="15"/>
        <v>39940000</v>
      </c>
      <c r="H180" s="927">
        <f t="shared" si="15"/>
        <v>38690000</v>
      </c>
      <c r="I180" s="927">
        <f t="shared" si="15"/>
        <v>39900000</v>
      </c>
      <c r="J180" s="927">
        <f t="shared" si="15"/>
        <v>41860000</v>
      </c>
      <c r="K180" s="927">
        <f t="shared" si="15"/>
        <v>40180000</v>
      </c>
      <c r="L180" s="927">
        <f t="shared" si="15"/>
        <v>42630000</v>
      </c>
      <c r="M180" s="927">
        <f t="shared" si="15"/>
        <v>43130000</v>
      </c>
      <c r="N180" s="928">
        <f t="shared" si="15"/>
        <v>43330000</v>
      </c>
      <c r="O180" s="929">
        <f>SUM(C180:N180)</f>
        <v>490760000</v>
      </c>
    </row>
    <row r="181" spans="1:15" x14ac:dyDescent="0.15">
      <c r="A181" s="2352" t="s">
        <v>1076</v>
      </c>
      <c r="B181" s="912" t="s">
        <v>1080</v>
      </c>
      <c r="C181" s="930">
        <f t="shared" ref="C181:N181" si="16">C67</f>
        <v>25705390</v>
      </c>
      <c r="D181" s="931">
        <f t="shared" si="16"/>
        <v>26902272</v>
      </c>
      <c r="E181" s="931">
        <f t="shared" si="16"/>
        <v>26225161</v>
      </c>
      <c r="F181" s="931">
        <f t="shared" si="16"/>
        <v>43942558</v>
      </c>
      <c r="G181" s="931">
        <f t="shared" si="16"/>
        <v>27585471</v>
      </c>
      <c r="H181" s="931">
        <f t="shared" si="16"/>
        <v>25911001</v>
      </c>
      <c r="I181" s="931">
        <f t="shared" si="16"/>
        <v>26230521</v>
      </c>
      <c r="J181" s="931">
        <f t="shared" si="16"/>
        <v>25522340</v>
      </c>
      <c r="K181" s="931">
        <f t="shared" si="16"/>
        <v>27268941</v>
      </c>
      <c r="L181" s="931">
        <f t="shared" si="16"/>
        <v>41458805</v>
      </c>
      <c r="M181" s="931">
        <f t="shared" si="16"/>
        <v>30121943</v>
      </c>
      <c r="N181" s="932">
        <f t="shared" si="16"/>
        <v>31421732</v>
      </c>
      <c r="O181" s="933">
        <f>SUM(C181:N181)</f>
        <v>358296135</v>
      </c>
    </row>
    <row r="182" spans="1:15" ht="14.25" thickBot="1" x14ac:dyDescent="0.2">
      <c r="A182" s="2353"/>
      <c r="B182" s="938" t="s">
        <v>1081</v>
      </c>
      <c r="C182" s="934">
        <f>C132</f>
        <v>12361630</v>
      </c>
      <c r="D182" s="935">
        <f t="shared" ref="D182:N182" si="17">D132</f>
        <v>12391806</v>
      </c>
      <c r="E182" s="935">
        <f t="shared" si="17"/>
        <v>11220133</v>
      </c>
      <c r="F182" s="935">
        <f t="shared" si="17"/>
        <v>10292676</v>
      </c>
      <c r="G182" s="935">
        <f t="shared" si="17"/>
        <v>11009113</v>
      </c>
      <c r="H182" s="935">
        <f t="shared" si="17"/>
        <v>9801189</v>
      </c>
      <c r="I182" s="935">
        <f t="shared" si="17"/>
        <v>9637604</v>
      </c>
      <c r="J182" s="935">
        <f t="shared" si="17"/>
        <v>10221447</v>
      </c>
      <c r="K182" s="935">
        <f t="shared" si="17"/>
        <v>9078197</v>
      </c>
      <c r="L182" s="935">
        <f t="shared" si="17"/>
        <v>10236157</v>
      </c>
      <c r="M182" s="935">
        <f t="shared" si="17"/>
        <v>12310968</v>
      </c>
      <c r="N182" s="936">
        <f t="shared" si="17"/>
        <v>9672938</v>
      </c>
      <c r="O182" s="937">
        <f>SUM(C182:N182)</f>
        <v>128233858</v>
      </c>
    </row>
    <row r="183" spans="1:15" ht="15" thickTop="1" thickBot="1" x14ac:dyDescent="0.2">
      <c r="A183" s="2340" t="s">
        <v>1073</v>
      </c>
      <c r="B183" s="2341"/>
      <c r="C183" s="922">
        <f>C180-C181-C182</f>
        <v>-607020</v>
      </c>
      <c r="D183" s="923">
        <f t="shared" ref="D183:N183" si="18">D180-D181-D182</f>
        <v>1955922</v>
      </c>
      <c r="E183" s="923">
        <f t="shared" si="18"/>
        <v>4764706</v>
      </c>
      <c r="F183" s="923">
        <f t="shared" si="18"/>
        <v>-14055234</v>
      </c>
      <c r="G183" s="923">
        <f t="shared" si="18"/>
        <v>1345416</v>
      </c>
      <c r="H183" s="923">
        <f t="shared" si="18"/>
        <v>2977810</v>
      </c>
      <c r="I183" s="923">
        <f t="shared" si="18"/>
        <v>4031875</v>
      </c>
      <c r="J183" s="923">
        <f t="shared" si="18"/>
        <v>6116213</v>
      </c>
      <c r="K183" s="923">
        <f t="shared" si="18"/>
        <v>3832862</v>
      </c>
      <c r="L183" s="923">
        <f t="shared" si="18"/>
        <v>-9064962</v>
      </c>
      <c r="M183" s="923">
        <f t="shared" si="18"/>
        <v>697089</v>
      </c>
      <c r="N183" s="924">
        <f t="shared" si="18"/>
        <v>2235330</v>
      </c>
      <c r="O183" s="925">
        <f>SUM(C183:N183)</f>
        <v>4230007</v>
      </c>
    </row>
    <row r="185" spans="1:15" ht="19.5" thickBot="1" x14ac:dyDescent="0.2">
      <c r="A185" s="20" t="s">
        <v>1092</v>
      </c>
      <c r="B185" s="917"/>
    </row>
    <row r="186" spans="1:15" ht="14.25" thickBot="1" x14ac:dyDescent="0.2">
      <c r="A186" s="2275" t="s">
        <v>361</v>
      </c>
      <c r="B186" s="2347"/>
      <c r="C186" s="918" t="s">
        <v>1011</v>
      </c>
      <c r="D186" s="830" t="s">
        <v>1012</v>
      </c>
      <c r="E186" s="830" t="s">
        <v>1013</v>
      </c>
      <c r="F186" s="830" t="s">
        <v>1014</v>
      </c>
      <c r="G186" s="830" t="s">
        <v>1015</v>
      </c>
      <c r="H186" s="830" t="s">
        <v>1016</v>
      </c>
      <c r="I186" s="830" t="s">
        <v>1017</v>
      </c>
      <c r="J186" s="830" t="s">
        <v>1018</v>
      </c>
      <c r="K186" s="830" t="s">
        <v>1019</v>
      </c>
      <c r="L186" s="830" t="s">
        <v>1020</v>
      </c>
      <c r="M186" s="830" t="s">
        <v>1021</v>
      </c>
      <c r="N186" s="910" t="s">
        <v>1022</v>
      </c>
      <c r="O186" s="920" t="s">
        <v>96</v>
      </c>
    </row>
    <row r="187" spans="1:15" x14ac:dyDescent="0.15">
      <c r="A187" s="2342" t="s">
        <v>26</v>
      </c>
      <c r="B187" s="2343"/>
      <c r="C187" s="926">
        <f>★H30経費計算用!B202</f>
        <v>34230206</v>
      </c>
      <c r="D187" s="927">
        <f>★H30経費計算用!C202</f>
        <v>36691953</v>
      </c>
      <c r="E187" s="927">
        <f>★H30経費計算用!D202</f>
        <v>36311548</v>
      </c>
      <c r="F187" s="927">
        <f>★H30経費計算用!E202</f>
        <v>41036568</v>
      </c>
      <c r="G187" s="927">
        <f>★H30経費計算用!F202</f>
        <v>38129544</v>
      </c>
      <c r="H187" s="927">
        <f>★H30経費計算用!G202</f>
        <v>40953363</v>
      </c>
      <c r="I187" s="927">
        <f>★H30経費計算用!H202</f>
        <v>39359707</v>
      </c>
      <c r="J187" s="927">
        <f>★H30経費計算用!I202</f>
        <v>38460890</v>
      </c>
      <c r="K187" s="927">
        <f>★H30経費計算用!J202</f>
        <v>38620000</v>
      </c>
      <c r="L187" s="927">
        <f>★H30経費計算用!K202</f>
        <v>39047500</v>
      </c>
      <c r="M187" s="927">
        <f>★H30経費計算用!L202</f>
        <v>41194500</v>
      </c>
      <c r="N187" s="928">
        <f>★H30経費計算用!M202</f>
        <v>42372500</v>
      </c>
      <c r="O187" s="929">
        <f>SUM(C187:N187)</f>
        <v>466408279</v>
      </c>
    </row>
    <row r="188" spans="1:15" x14ac:dyDescent="0.15">
      <c r="A188" s="2352" t="s">
        <v>1076</v>
      </c>
      <c r="B188" s="919" t="s">
        <v>15</v>
      </c>
      <c r="C188" s="930">
        <f>★H30経費計算用!B204</f>
        <v>23176352</v>
      </c>
      <c r="D188" s="931">
        <f>★H30経費計算用!C204</f>
        <v>29776545</v>
      </c>
      <c r="E188" s="931">
        <f>★H30経費計算用!D204</f>
        <v>27625334</v>
      </c>
      <c r="F188" s="931">
        <f>★H30経費計算用!E204</f>
        <v>38714288</v>
      </c>
      <c r="G188" s="931">
        <f>★H30経費計算用!F204</f>
        <v>38089430</v>
      </c>
      <c r="H188" s="931">
        <f>★H30経費計算用!G204</f>
        <v>27482437</v>
      </c>
      <c r="I188" s="931">
        <f>★H30経費計算用!H204</f>
        <v>24507009</v>
      </c>
      <c r="J188" s="931">
        <f>★H30経費計算用!I204</f>
        <v>28784803</v>
      </c>
      <c r="K188" s="931">
        <f>★H30経費計算用!J204</f>
        <v>30823829</v>
      </c>
      <c r="L188" s="931">
        <f>★H30経費計算用!K204</f>
        <v>40530598</v>
      </c>
      <c r="M188" s="931">
        <f>★H30経費計算用!L204</f>
        <v>33805858</v>
      </c>
      <c r="N188" s="932">
        <f>★H30経費計算用!M204</f>
        <v>29469098</v>
      </c>
      <c r="O188" s="933">
        <f>SUM(C188:N188)</f>
        <v>372785581</v>
      </c>
    </row>
    <row r="189" spans="1:15" ht="14.25" thickBot="1" x14ac:dyDescent="0.2">
      <c r="A189" s="2353"/>
      <c r="B189" s="938" t="s">
        <v>35</v>
      </c>
      <c r="C189" s="934">
        <f>★H30経費計算用!B211</f>
        <v>12107106</v>
      </c>
      <c r="D189" s="935">
        <f>★H30経費計算用!C211</f>
        <v>16243587</v>
      </c>
      <c r="E189" s="935">
        <f>★H30経費計算用!D211</f>
        <v>10960673</v>
      </c>
      <c r="F189" s="935">
        <f>★H30経費計算用!E211</f>
        <v>8828027</v>
      </c>
      <c r="G189" s="935">
        <f>★H30経費計算用!F211</f>
        <v>9737200</v>
      </c>
      <c r="H189" s="935">
        <f>★H30経費計算用!G211</f>
        <v>9288002</v>
      </c>
      <c r="I189" s="935">
        <f>★H30経費計算用!H211</f>
        <v>9175655</v>
      </c>
      <c r="J189" s="935">
        <f>★H30経費計算用!I211</f>
        <v>7998095</v>
      </c>
      <c r="K189" s="935">
        <f>★H30経費計算用!J211</f>
        <v>9676557.333333334</v>
      </c>
      <c r="L189" s="935">
        <f>★H30経費計算用!K211</f>
        <v>9633426.1111111119</v>
      </c>
      <c r="M189" s="935">
        <f>★H30経費計算用!L211</f>
        <v>9581768.4814814813</v>
      </c>
      <c r="N189" s="936">
        <f>★H30経費計算用!M211</f>
        <v>9485351.9753086418</v>
      </c>
      <c r="O189" s="937">
        <f>SUM(C189:N189)</f>
        <v>122715448.90123457</v>
      </c>
    </row>
    <row r="190" spans="1:15" ht="15" thickTop="1" thickBot="1" x14ac:dyDescent="0.2">
      <c r="A190" s="2340" t="s">
        <v>1073</v>
      </c>
      <c r="B190" s="2341"/>
      <c r="C190" s="922">
        <f>C187-C188-C189</f>
        <v>-1053252</v>
      </c>
      <c r="D190" s="923">
        <f t="shared" ref="D190:N190" si="19">D187-D188-D189</f>
        <v>-9328179</v>
      </c>
      <c r="E190" s="923">
        <f t="shared" si="19"/>
        <v>-2274459</v>
      </c>
      <c r="F190" s="923">
        <f t="shared" si="19"/>
        <v>-6505747</v>
      </c>
      <c r="G190" s="923">
        <f t="shared" si="19"/>
        <v>-9697086</v>
      </c>
      <c r="H190" s="923">
        <f t="shared" si="19"/>
        <v>4182924</v>
      </c>
      <c r="I190" s="923">
        <f t="shared" si="19"/>
        <v>5677043</v>
      </c>
      <c r="J190" s="923">
        <f t="shared" si="19"/>
        <v>1677992</v>
      </c>
      <c r="K190" s="923">
        <f t="shared" si="19"/>
        <v>-1880386.333333334</v>
      </c>
      <c r="L190" s="923">
        <f t="shared" si="19"/>
        <v>-11116524.111111112</v>
      </c>
      <c r="M190" s="923">
        <f t="shared" si="19"/>
        <v>-2193126.4814814813</v>
      </c>
      <c r="N190" s="924">
        <f t="shared" si="19"/>
        <v>3418050.0246913582</v>
      </c>
      <c r="O190" s="925">
        <f>SUM(C190:N190)</f>
        <v>-29092750.901234571</v>
      </c>
    </row>
    <row r="192" spans="1:15" ht="19.5" thickBot="1" x14ac:dyDescent="0.2">
      <c r="A192" s="20" t="s">
        <v>1093</v>
      </c>
      <c r="B192" s="917"/>
    </row>
    <row r="193" spans="1:16" ht="14.25" thickBot="1" x14ac:dyDescent="0.2">
      <c r="A193" s="2275" t="s">
        <v>361</v>
      </c>
      <c r="B193" s="2347"/>
      <c r="C193" s="918" t="s">
        <v>1011</v>
      </c>
      <c r="D193" s="830" t="s">
        <v>1012</v>
      </c>
      <c r="E193" s="830" t="s">
        <v>1013</v>
      </c>
      <c r="F193" s="830" t="s">
        <v>1014</v>
      </c>
      <c r="G193" s="830" t="s">
        <v>1015</v>
      </c>
      <c r="H193" s="830" t="s">
        <v>1016</v>
      </c>
      <c r="I193" s="830" t="s">
        <v>1017</v>
      </c>
      <c r="J193" s="830" t="s">
        <v>1018</v>
      </c>
      <c r="K193" s="830" t="s">
        <v>1019</v>
      </c>
      <c r="L193" s="830" t="s">
        <v>1020</v>
      </c>
      <c r="M193" s="830" t="s">
        <v>1021</v>
      </c>
      <c r="N193" s="910" t="s">
        <v>1022</v>
      </c>
      <c r="O193" s="920" t="s">
        <v>96</v>
      </c>
    </row>
    <row r="194" spans="1:16" x14ac:dyDescent="0.15">
      <c r="A194" s="2342" t="s">
        <v>26</v>
      </c>
      <c r="B194" s="2343"/>
      <c r="C194" s="926">
        <f>C180-C187</f>
        <v>3229794</v>
      </c>
      <c r="D194" s="927">
        <f t="shared" ref="D194:N194" si="20">D180-D187</f>
        <v>4558047</v>
      </c>
      <c r="E194" s="927">
        <f t="shared" si="20"/>
        <v>5898452</v>
      </c>
      <c r="F194" s="927">
        <f t="shared" si="20"/>
        <v>-856568</v>
      </c>
      <c r="G194" s="927">
        <f t="shared" si="20"/>
        <v>1810456</v>
      </c>
      <c r="H194" s="927">
        <f t="shared" si="20"/>
        <v>-2263363</v>
      </c>
      <c r="I194" s="927">
        <f t="shared" si="20"/>
        <v>540293</v>
      </c>
      <c r="J194" s="927">
        <f t="shared" si="20"/>
        <v>3399110</v>
      </c>
      <c r="K194" s="927">
        <f t="shared" si="20"/>
        <v>1560000</v>
      </c>
      <c r="L194" s="927">
        <f t="shared" si="20"/>
        <v>3582500</v>
      </c>
      <c r="M194" s="927">
        <f t="shared" si="20"/>
        <v>1935500</v>
      </c>
      <c r="N194" s="928">
        <f t="shared" si="20"/>
        <v>957500</v>
      </c>
      <c r="O194" s="929">
        <f>SUM(C194:N194)</f>
        <v>24351721</v>
      </c>
    </row>
    <row r="195" spans="1:16" x14ac:dyDescent="0.15">
      <c r="A195" s="2352" t="s">
        <v>1076</v>
      </c>
      <c r="B195" s="919" t="s">
        <v>15</v>
      </c>
      <c r="C195" s="930">
        <f t="shared" ref="C195:N196" si="21">C181-C188</f>
        <v>2529038</v>
      </c>
      <c r="D195" s="931">
        <f t="shared" si="21"/>
        <v>-2874273</v>
      </c>
      <c r="E195" s="931">
        <f t="shared" si="21"/>
        <v>-1400173</v>
      </c>
      <c r="F195" s="931">
        <f t="shared" si="21"/>
        <v>5228270</v>
      </c>
      <c r="G195" s="931">
        <f t="shared" si="21"/>
        <v>-10503959</v>
      </c>
      <c r="H195" s="931">
        <f t="shared" si="21"/>
        <v>-1571436</v>
      </c>
      <c r="I195" s="931">
        <f t="shared" si="21"/>
        <v>1723512</v>
      </c>
      <c r="J195" s="931">
        <f t="shared" si="21"/>
        <v>-3262463</v>
      </c>
      <c r="K195" s="931">
        <f t="shared" si="21"/>
        <v>-3554888</v>
      </c>
      <c r="L195" s="931">
        <f t="shared" si="21"/>
        <v>928207</v>
      </c>
      <c r="M195" s="931">
        <f t="shared" si="21"/>
        <v>-3683915</v>
      </c>
      <c r="N195" s="932">
        <f t="shared" si="21"/>
        <v>1952634</v>
      </c>
      <c r="O195" s="933">
        <f>SUM(C195:N195)</f>
        <v>-14489446</v>
      </c>
    </row>
    <row r="196" spans="1:16" ht="14.25" thickBot="1" x14ac:dyDescent="0.2">
      <c r="A196" s="2353"/>
      <c r="B196" s="938" t="s">
        <v>35</v>
      </c>
      <c r="C196" s="934">
        <f t="shared" si="21"/>
        <v>254524</v>
      </c>
      <c r="D196" s="935">
        <f t="shared" si="21"/>
        <v>-3851781</v>
      </c>
      <c r="E196" s="935">
        <f t="shared" si="21"/>
        <v>259460</v>
      </c>
      <c r="F196" s="935">
        <f t="shared" si="21"/>
        <v>1464649</v>
      </c>
      <c r="G196" s="935">
        <f t="shared" si="21"/>
        <v>1271913</v>
      </c>
      <c r="H196" s="935">
        <f t="shared" si="21"/>
        <v>513187</v>
      </c>
      <c r="I196" s="935">
        <f t="shared" si="21"/>
        <v>461949</v>
      </c>
      <c r="J196" s="935">
        <f t="shared" si="21"/>
        <v>2223352</v>
      </c>
      <c r="K196" s="935">
        <f t="shared" si="21"/>
        <v>-598360.33333333395</v>
      </c>
      <c r="L196" s="935">
        <f t="shared" si="21"/>
        <v>602730.88888888806</v>
      </c>
      <c r="M196" s="935">
        <f t="shared" si="21"/>
        <v>2729199.5185185187</v>
      </c>
      <c r="N196" s="936">
        <f t="shared" si="21"/>
        <v>187586.02469135821</v>
      </c>
      <c r="O196" s="937">
        <f>SUM(C196:N196)</f>
        <v>5518409.098765431</v>
      </c>
    </row>
    <row r="197" spans="1:16" ht="15" thickTop="1" thickBot="1" x14ac:dyDescent="0.2">
      <c r="A197" s="2340" t="s">
        <v>1073</v>
      </c>
      <c r="B197" s="2341"/>
      <c r="C197" s="922">
        <f>C194-C195-C196</f>
        <v>446232</v>
      </c>
      <c r="D197" s="923">
        <f t="shared" ref="D197:N197" si="22">D194-D195-D196</f>
        <v>11284101</v>
      </c>
      <c r="E197" s="923">
        <f t="shared" si="22"/>
        <v>7039165</v>
      </c>
      <c r="F197" s="923">
        <f t="shared" si="22"/>
        <v>-7549487</v>
      </c>
      <c r="G197" s="923">
        <f t="shared" si="22"/>
        <v>11042502</v>
      </c>
      <c r="H197" s="923">
        <f t="shared" si="22"/>
        <v>-1205114</v>
      </c>
      <c r="I197" s="923">
        <f t="shared" si="22"/>
        <v>-1645168</v>
      </c>
      <c r="J197" s="923">
        <f t="shared" si="22"/>
        <v>4438221</v>
      </c>
      <c r="K197" s="923">
        <f t="shared" si="22"/>
        <v>5713248.333333334</v>
      </c>
      <c r="L197" s="923">
        <f t="shared" si="22"/>
        <v>2051562.1111111119</v>
      </c>
      <c r="M197" s="923">
        <f t="shared" si="22"/>
        <v>2890215.4814814813</v>
      </c>
      <c r="N197" s="924">
        <f t="shared" si="22"/>
        <v>-1182720.0246913582</v>
      </c>
      <c r="O197" s="925">
        <f>SUM(C197:N197)</f>
        <v>33322757.901234567</v>
      </c>
    </row>
    <row r="199" spans="1:16" ht="19.5" thickBot="1" x14ac:dyDescent="0.2">
      <c r="A199" s="20" t="s">
        <v>1103</v>
      </c>
      <c r="B199" s="947"/>
    </row>
    <row r="200" spans="1:16" ht="14.25" thickBot="1" x14ac:dyDescent="0.2">
      <c r="A200" s="2368" t="s">
        <v>361</v>
      </c>
      <c r="B200" s="2369"/>
      <c r="C200" s="955" t="s">
        <v>1011</v>
      </c>
      <c r="D200" s="956" t="s">
        <v>1012</v>
      </c>
      <c r="E200" s="956" t="s">
        <v>1013</v>
      </c>
      <c r="F200" s="956" t="s">
        <v>1014</v>
      </c>
      <c r="G200" s="956" t="s">
        <v>1015</v>
      </c>
      <c r="H200" s="956" t="s">
        <v>1016</v>
      </c>
      <c r="I200" s="956" t="s">
        <v>1017</v>
      </c>
      <c r="J200" s="956" t="s">
        <v>1018</v>
      </c>
      <c r="K200" s="956" t="s">
        <v>1019</v>
      </c>
      <c r="L200" s="956" t="s">
        <v>1020</v>
      </c>
      <c r="M200" s="956" t="s">
        <v>1021</v>
      </c>
      <c r="N200" s="963" t="s">
        <v>1022</v>
      </c>
      <c r="O200" s="968" t="s">
        <v>96</v>
      </c>
      <c r="P200" s="947"/>
    </row>
    <row r="201" spans="1:16" x14ac:dyDescent="0.15">
      <c r="A201" s="2362" t="s">
        <v>1112</v>
      </c>
      <c r="B201" s="2363"/>
      <c r="C201" s="957">
        <v>145078</v>
      </c>
      <c r="D201" s="957">
        <v>145078</v>
      </c>
      <c r="E201" s="957">
        <v>145078</v>
      </c>
      <c r="F201" s="957">
        <v>145078</v>
      </c>
      <c r="G201" s="957">
        <v>145078</v>
      </c>
      <c r="H201" s="957">
        <v>145078</v>
      </c>
      <c r="I201" s="957">
        <v>145078</v>
      </c>
      <c r="J201" s="957">
        <v>145078</v>
      </c>
      <c r="K201" s="957">
        <v>145078</v>
      </c>
      <c r="L201" s="957">
        <v>145078</v>
      </c>
      <c r="M201" s="957">
        <v>145078</v>
      </c>
      <c r="N201" s="957">
        <v>145078</v>
      </c>
      <c r="O201" s="969">
        <f>SUM(C201:N201)</f>
        <v>1740936</v>
      </c>
    </row>
    <row r="202" spans="1:16" x14ac:dyDescent="0.15">
      <c r="A202" s="2364"/>
      <c r="B202" s="2365"/>
      <c r="C202" s="959"/>
      <c r="D202" s="960"/>
      <c r="E202" s="960"/>
      <c r="F202" s="960"/>
      <c r="G202" s="960"/>
      <c r="H202" s="960"/>
      <c r="I202" s="960"/>
      <c r="J202" s="960"/>
      <c r="K202" s="960"/>
      <c r="L202" s="960"/>
      <c r="M202" s="960"/>
      <c r="N202" s="965"/>
      <c r="O202" s="970">
        <f t="shared" ref="O202:O207" si="23">SUM(C202:N202)</f>
        <v>0</v>
      </c>
    </row>
    <row r="203" spans="1:16" x14ac:dyDescent="0.15">
      <c r="A203" s="2364"/>
      <c r="B203" s="2365"/>
      <c r="C203" s="959"/>
      <c r="D203" s="960"/>
      <c r="E203" s="960"/>
      <c r="F203" s="960"/>
      <c r="G203" s="960"/>
      <c r="H203" s="960"/>
      <c r="I203" s="960"/>
      <c r="J203" s="960"/>
      <c r="K203" s="960"/>
      <c r="L203" s="960"/>
      <c r="M203" s="960"/>
      <c r="N203" s="965"/>
      <c r="O203" s="970">
        <f t="shared" si="23"/>
        <v>0</v>
      </c>
    </row>
    <row r="204" spans="1:16" x14ac:dyDescent="0.15">
      <c r="A204" s="2364"/>
      <c r="B204" s="2365"/>
      <c r="C204" s="959"/>
      <c r="D204" s="960"/>
      <c r="E204" s="960"/>
      <c r="F204" s="960"/>
      <c r="G204" s="960"/>
      <c r="H204" s="960"/>
      <c r="I204" s="960"/>
      <c r="J204" s="960"/>
      <c r="K204" s="960"/>
      <c r="L204" s="960"/>
      <c r="M204" s="960"/>
      <c r="N204" s="965"/>
      <c r="O204" s="970">
        <f t="shared" si="23"/>
        <v>0</v>
      </c>
    </row>
    <row r="205" spans="1:16" ht="14.25" thickBot="1" x14ac:dyDescent="0.2">
      <c r="A205" s="2364"/>
      <c r="B205" s="2365"/>
      <c r="C205" s="959"/>
      <c r="D205" s="960"/>
      <c r="E205" s="960"/>
      <c r="F205" s="960"/>
      <c r="G205" s="960"/>
      <c r="H205" s="960"/>
      <c r="I205" s="960"/>
      <c r="J205" s="960"/>
      <c r="K205" s="960"/>
      <c r="L205" s="960"/>
      <c r="M205" s="960"/>
      <c r="N205" s="965"/>
      <c r="O205" s="970">
        <f t="shared" si="23"/>
        <v>0</v>
      </c>
    </row>
    <row r="206" spans="1:16" ht="14.25" thickBot="1" x14ac:dyDescent="0.2">
      <c r="A206" s="2366"/>
      <c r="B206" s="2367"/>
      <c r="C206" s="961"/>
      <c r="D206" s="962"/>
      <c r="E206" s="962"/>
      <c r="F206" s="962"/>
      <c r="G206" s="962"/>
      <c r="H206" s="962"/>
      <c r="I206" s="962"/>
      <c r="J206" s="962"/>
      <c r="K206" s="962"/>
      <c r="L206" s="962"/>
      <c r="M206" s="962"/>
      <c r="N206" s="966"/>
      <c r="O206" s="971">
        <f t="shared" si="23"/>
        <v>0</v>
      </c>
      <c r="P206" s="951" t="s">
        <v>256</v>
      </c>
    </row>
    <row r="207" spans="1:16" ht="15" thickTop="1" thickBot="1" x14ac:dyDescent="0.2">
      <c r="A207" s="2370" t="s">
        <v>53</v>
      </c>
      <c r="B207" s="2371"/>
      <c r="C207" s="954">
        <f>SUM(C201:C206)</f>
        <v>145078</v>
      </c>
      <c r="D207" s="952">
        <f t="shared" ref="D207:N207" si="24">SUM(D201:D206)</f>
        <v>145078</v>
      </c>
      <c r="E207" s="952">
        <f t="shared" si="24"/>
        <v>145078</v>
      </c>
      <c r="F207" s="952">
        <f t="shared" si="24"/>
        <v>145078</v>
      </c>
      <c r="G207" s="952">
        <f t="shared" si="24"/>
        <v>145078</v>
      </c>
      <c r="H207" s="952">
        <f t="shared" si="24"/>
        <v>145078</v>
      </c>
      <c r="I207" s="952">
        <f t="shared" si="24"/>
        <v>145078</v>
      </c>
      <c r="J207" s="952">
        <f t="shared" si="24"/>
        <v>145078</v>
      </c>
      <c r="K207" s="952">
        <f t="shared" si="24"/>
        <v>145078</v>
      </c>
      <c r="L207" s="952">
        <f t="shared" si="24"/>
        <v>145078</v>
      </c>
      <c r="M207" s="952">
        <f t="shared" si="24"/>
        <v>145078</v>
      </c>
      <c r="N207" s="967">
        <f t="shared" si="24"/>
        <v>145078</v>
      </c>
      <c r="O207" s="972">
        <f t="shared" si="23"/>
        <v>1740936</v>
      </c>
      <c r="P207" s="953">
        <f>AVERAGE(C207:N207)</f>
        <v>145078</v>
      </c>
    </row>
    <row r="208" spans="1:16" ht="14.25" thickBot="1" x14ac:dyDescent="0.2">
      <c r="A208" s="2372" t="s">
        <v>1107</v>
      </c>
      <c r="B208" s="2373"/>
      <c r="C208" s="948" t="s">
        <v>1011</v>
      </c>
      <c r="D208" s="949" t="s">
        <v>1012</v>
      </c>
      <c r="E208" s="949" t="s">
        <v>1013</v>
      </c>
      <c r="F208" s="949" t="s">
        <v>1014</v>
      </c>
      <c r="G208" s="949" t="s">
        <v>1015</v>
      </c>
      <c r="H208" s="949" t="s">
        <v>1016</v>
      </c>
      <c r="I208" s="949" t="s">
        <v>1017</v>
      </c>
      <c r="J208" s="949" t="s">
        <v>1018</v>
      </c>
      <c r="K208" s="949" t="s">
        <v>1019</v>
      </c>
      <c r="L208" s="949" t="s">
        <v>1020</v>
      </c>
      <c r="M208" s="949" t="s">
        <v>1021</v>
      </c>
      <c r="N208" s="950" t="s">
        <v>1022</v>
      </c>
    </row>
    <row r="209" spans="1:16" x14ac:dyDescent="0.15">
      <c r="A209" s="2374" t="s">
        <v>1105</v>
      </c>
      <c r="B209" s="2375"/>
      <c r="C209" s="2380" t="s">
        <v>1168</v>
      </c>
      <c r="D209" s="2354"/>
      <c r="E209" s="2354"/>
      <c r="F209" s="2384"/>
      <c r="G209" s="2354"/>
      <c r="H209" s="2354"/>
      <c r="I209" s="2354"/>
      <c r="J209" s="2354"/>
      <c r="K209" s="2354"/>
      <c r="L209" s="2354"/>
      <c r="M209" s="2354"/>
      <c r="N209" s="2358"/>
    </row>
    <row r="210" spans="1:16" x14ac:dyDescent="0.15">
      <c r="A210" s="2374"/>
      <c r="B210" s="2375"/>
      <c r="C210" s="2381"/>
      <c r="D210" s="2355"/>
      <c r="E210" s="2355"/>
      <c r="F210" s="2385"/>
      <c r="G210" s="2355"/>
      <c r="H210" s="2355"/>
      <c r="I210" s="2355"/>
      <c r="J210" s="2355"/>
      <c r="K210" s="2355"/>
      <c r="L210" s="2355"/>
      <c r="M210" s="2355"/>
      <c r="N210" s="2359"/>
    </row>
    <row r="211" spans="1:16" x14ac:dyDescent="0.15">
      <c r="A211" s="2374"/>
      <c r="B211" s="2375"/>
      <c r="C211" s="2381"/>
      <c r="D211" s="2355"/>
      <c r="E211" s="2355"/>
      <c r="F211" s="2385"/>
      <c r="G211" s="2355"/>
      <c r="H211" s="2355"/>
      <c r="I211" s="2355"/>
      <c r="J211" s="2355"/>
      <c r="K211" s="2355"/>
      <c r="L211" s="2355"/>
      <c r="M211" s="2355"/>
      <c r="N211" s="2359"/>
    </row>
    <row r="212" spans="1:16" x14ac:dyDescent="0.15">
      <c r="A212" s="2374"/>
      <c r="B212" s="2375"/>
      <c r="C212" s="2381"/>
      <c r="D212" s="2355"/>
      <c r="E212" s="2355"/>
      <c r="F212" s="2385"/>
      <c r="G212" s="2355"/>
      <c r="H212" s="2355"/>
      <c r="I212" s="2355"/>
      <c r="J212" s="2355"/>
      <c r="K212" s="2355"/>
      <c r="L212" s="2355"/>
      <c r="M212" s="2355"/>
      <c r="N212" s="2359"/>
    </row>
    <row r="213" spans="1:16" x14ac:dyDescent="0.15">
      <c r="A213" s="2374"/>
      <c r="B213" s="2375"/>
      <c r="C213" s="2381"/>
      <c r="D213" s="2355"/>
      <c r="E213" s="2355"/>
      <c r="F213" s="2385"/>
      <c r="G213" s="2355"/>
      <c r="H213" s="2355"/>
      <c r="I213" s="2355"/>
      <c r="J213" s="2355"/>
      <c r="K213" s="2355"/>
      <c r="L213" s="2355"/>
      <c r="M213" s="2355"/>
      <c r="N213" s="2359"/>
    </row>
    <row r="214" spans="1:16" x14ac:dyDescent="0.15">
      <c r="A214" s="2374"/>
      <c r="B214" s="2375"/>
      <c r="C214" s="2381"/>
      <c r="D214" s="2355"/>
      <c r="E214" s="2355"/>
      <c r="F214" s="2385"/>
      <c r="G214" s="2355"/>
      <c r="H214" s="2355"/>
      <c r="I214" s="2355"/>
      <c r="J214" s="2355"/>
      <c r="K214" s="2355"/>
      <c r="L214" s="2355"/>
      <c r="M214" s="2355"/>
      <c r="N214" s="2359"/>
    </row>
    <row r="215" spans="1:16" x14ac:dyDescent="0.15">
      <c r="A215" s="2376"/>
      <c r="B215" s="2377"/>
      <c r="C215" s="2382"/>
      <c r="D215" s="2356"/>
      <c r="E215" s="2356"/>
      <c r="F215" s="2386"/>
      <c r="G215" s="2356"/>
      <c r="H215" s="2356"/>
      <c r="I215" s="2356"/>
      <c r="J215" s="2356"/>
      <c r="K215" s="2356"/>
      <c r="L215" s="2356"/>
      <c r="M215" s="2356"/>
      <c r="N215" s="2360"/>
    </row>
    <row r="216" spans="1:16" ht="14.25" thickBot="1" x14ac:dyDescent="0.2">
      <c r="A216" s="2378"/>
      <c r="B216" s="2379"/>
      <c r="C216" s="2383"/>
      <c r="D216" s="2357"/>
      <c r="E216" s="2357"/>
      <c r="F216" s="2387"/>
      <c r="G216" s="2357"/>
      <c r="H216" s="2357"/>
      <c r="I216" s="2357"/>
      <c r="J216" s="2357"/>
      <c r="K216" s="2357"/>
      <c r="L216" s="2357"/>
      <c r="M216" s="2357"/>
      <c r="N216" s="2361"/>
    </row>
    <row r="218" spans="1:16" ht="19.5" thickBot="1" x14ac:dyDescent="0.2">
      <c r="A218" s="20" t="s">
        <v>1104</v>
      </c>
      <c r="B218" s="947"/>
    </row>
    <row r="219" spans="1:16" ht="14.25" thickBot="1" x14ac:dyDescent="0.2">
      <c r="A219" s="2368" t="s">
        <v>361</v>
      </c>
      <c r="B219" s="2369"/>
      <c r="C219" s="955" t="s">
        <v>1011</v>
      </c>
      <c r="D219" s="956" t="s">
        <v>1012</v>
      </c>
      <c r="E219" s="956" t="s">
        <v>1013</v>
      </c>
      <c r="F219" s="956" t="s">
        <v>1014</v>
      </c>
      <c r="G219" s="956" t="s">
        <v>1015</v>
      </c>
      <c r="H219" s="956" t="s">
        <v>1016</v>
      </c>
      <c r="I219" s="956" t="s">
        <v>1017</v>
      </c>
      <c r="J219" s="956" t="s">
        <v>1018</v>
      </c>
      <c r="K219" s="956" t="s">
        <v>1019</v>
      </c>
      <c r="L219" s="956" t="s">
        <v>1020</v>
      </c>
      <c r="M219" s="956" t="s">
        <v>1021</v>
      </c>
      <c r="N219" s="963" t="s">
        <v>1022</v>
      </c>
      <c r="O219" s="968" t="s">
        <v>96</v>
      </c>
      <c r="P219" s="947"/>
    </row>
    <row r="220" spans="1:16" ht="13.5" customHeight="1" x14ac:dyDescent="0.15">
      <c r="A220" s="2362" t="s">
        <v>1121</v>
      </c>
      <c r="B220" s="2363"/>
      <c r="C220" s="957">
        <v>507754</v>
      </c>
      <c r="D220" s="958">
        <v>507754</v>
      </c>
      <c r="E220" s="958">
        <v>507754</v>
      </c>
      <c r="F220" s="958">
        <v>507754</v>
      </c>
      <c r="G220" s="958">
        <v>507754</v>
      </c>
      <c r="H220" s="958">
        <v>507754</v>
      </c>
      <c r="I220" s="958">
        <v>507754</v>
      </c>
      <c r="J220" s="958">
        <v>507754</v>
      </c>
      <c r="K220" s="958">
        <v>507754</v>
      </c>
      <c r="L220" s="958">
        <v>507754</v>
      </c>
      <c r="M220" s="958">
        <v>507754</v>
      </c>
      <c r="N220" s="964">
        <v>507754</v>
      </c>
      <c r="O220" s="969">
        <f t="shared" ref="O220:O226" si="25">SUM(C220:N220)</f>
        <v>6093048</v>
      </c>
    </row>
    <row r="221" spans="1:16" ht="13.5" customHeight="1" x14ac:dyDescent="0.15">
      <c r="A221" s="2396" t="s">
        <v>1113</v>
      </c>
      <c r="B221" s="2397"/>
      <c r="C221" s="959">
        <v>166761</v>
      </c>
      <c r="D221" s="960">
        <v>160703</v>
      </c>
      <c r="E221" s="960">
        <v>165359</v>
      </c>
      <c r="F221" s="960">
        <v>159346</v>
      </c>
      <c r="G221" s="960">
        <v>163956</v>
      </c>
      <c r="H221" s="960">
        <v>163255</v>
      </c>
      <c r="I221" s="960">
        <v>146822</v>
      </c>
      <c r="J221" s="960">
        <v>161852</v>
      </c>
      <c r="K221" s="960">
        <v>155952</v>
      </c>
      <c r="L221" s="960">
        <v>160449</v>
      </c>
      <c r="M221" s="960">
        <v>154595</v>
      </c>
      <c r="N221" s="965">
        <v>159047</v>
      </c>
      <c r="O221" s="970">
        <f t="shared" si="25"/>
        <v>1918097</v>
      </c>
      <c r="P221" t="s">
        <v>1180</v>
      </c>
    </row>
    <row r="222" spans="1:16" ht="13.5" customHeight="1" x14ac:dyDescent="0.15">
      <c r="A222" s="2398"/>
      <c r="B222" s="2399"/>
      <c r="C222" s="959">
        <v>48942</v>
      </c>
      <c r="D222" s="960">
        <v>51383</v>
      </c>
      <c r="E222" s="960">
        <v>56958</v>
      </c>
      <c r="F222" s="960">
        <v>41528</v>
      </c>
      <c r="G222" s="960">
        <v>45446</v>
      </c>
      <c r="H222" s="960">
        <v>49183</v>
      </c>
      <c r="I222" s="960">
        <v>43698</v>
      </c>
      <c r="J222" s="960">
        <v>44301</v>
      </c>
      <c r="K222" s="960">
        <v>46290</v>
      </c>
      <c r="L222" s="960">
        <v>41076</v>
      </c>
      <c r="M222" s="960">
        <v>42975</v>
      </c>
      <c r="N222" s="965">
        <v>42041</v>
      </c>
      <c r="O222" s="970">
        <f t="shared" si="25"/>
        <v>553821</v>
      </c>
      <c r="P222" t="s">
        <v>1181</v>
      </c>
    </row>
    <row r="223" spans="1:16" ht="13.5" customHeight="1" x14ac:dyDescent="0.15">
      <c r="A223" s="2398"/>
      <c r="B223" s="2399"/>
      <c r="C223" s="959">
        <v>37057</v>
      </c>
      <c r="D223" s="960">
        <v>35560</v>
      </c>
      <c r="E223" s="960">
        <v>36433</v>
      </c>
      <c r="F223" s="960">
        <v>34956</v>
      </c>
      <c r="G223" s="960">
        <v>35809</v>
      </c>
      <c r="H223" s="960">
        <v>35497</v>
      </c>
      <c r="I223" s="960">
        <v>31780</v>
      </c>
      <c r="J223" s="960">
        <v>34873</v>
      </c>
      <c r="K223" s="960">
        <v>33446</v>
      </c>
      <c r="L223" s="960">
        <v>34249</v>
      </c>
      <c r="M223" s="960">
        <v>32842</v>
      </c>
      <c r="N223" s="965">
        <v>33625</v>
      </c>
      <c r="O223" s="970">
        <f t="shared" si="25"/>
        <v>416127</v>
      </c>
      <c r="P223" t="s">
        <v>1182</v>
      </c>
    </row>
    <row r="224" spans="1:16" ht="14.25" thickBot="1" x14ac:dyDescent="0.2">
      <c r="A224" s="2398"/>
      <c r="B224" s="2399"/>
      <c r="C224" s="959"/>
      <c r="D224" s="960"/>
      <c r="E224" s="960"/>
      <c r="F224" s="960"/>
      <c r="G224" s="960">
        <v>100000</v>
      </c>
      <c r="H224" s="960">
        <v>100000</v>
      </c>
      <c r="I224" s="960">
        <v>90000</v>
      </c>
      <c r="J224" s="960">
        <v>90000</v>
      </c>
      <c r="K224" s="960">
        <v>90000</v>
      </c>
      <c r="L224" s="960">
        <v>90000</v>
      </c>
      <c r="M224" s="960">
        <v>90000</v>
      </c>
      <c r="N224" s="965">
        <v>90000</v>
      </c>
      <c r="O224" s="970">
        <f t="shared" si="25"/>
        <v>740000</v>
      </c>
    </row>
    <row r="225" spans="1:16" ht="14.25" thickBot="1" x14ac:dyDescent="0.2">
      <c r="A225" s="2400"/>
      <c r="B225" s="2401"/>
      <c r="C225" s="959"/>
      <c r="D225" s="960"/>
      <c r="E225" s="960"/>
      <c r="F225" s="960"/>
      <c r="G225" s="960"/>
      <c r="H225" s="960"/>
      <c r="I225" s="960">
        <v>6787</v>
      </c>
      <c r="J225" s="960">
        <v>6787</v>
      </c>
      <c r="K225" s="960">
        <v>6787</v>
      </c>
      <c r="L225" s="960">
        <v>6787</v>
      </c>
      <c r="M225" s="960">
        <v>6787</v>
      </c>
      <c r="N225" s="985">
        <v>6787</v>
      </c>
      <c r="O225" s="970">
        <f t="shared" si="25"/>
        <v>40722</v>
      </c>
      <c r="P225" s="951" t="s">
        <v>256</v>
      </c>
    </row>
    <row r="226" spans="1:16" ht="15" thickTop="1" thickBot="1" x14ac:dyDescent="0.2">
      <c r="A226" s="2370" t="s">
        <v>53</v>
      </c>
      <c r="B226" s="2371"/>
      <c r="C226" s="954">
        <f t="shared" ref="C226:N226" si="26">SUM(C220:C225)</f>
        <v>760514</v>
      </c>
      <c r="D226" s="952">
        <f t="shared" si="26"/>
        <v>755400</v>
      </c>
      <c r="E226" s="952">
        <f t="shared" si="26"/>
        <v>766504</v>
      </c>
      <c r="F226" s="952">
        <f t="shared" si="26"/>
        <v>743584</v>
      </c>
      <c r="G226" s="952">
        <f t="shared" si="26"/>
        <v>852965</v>
      </c>
      <c r="H226" s="952">
        <f t="shared" si="26"/>
        <v>855689</v>
      </c>
      <c r="I226" s="952">
        <f t="shared" si="26"/>
        <v>826841</v>
      </c>
      <c r="J226" s="952">
        <f t="shared" si="26"/>
        <v>845567</v>
      </c>
      <c r="K226" s="952">
        <f t="shared" si="26"/>
        <v>840229</v>
      </c>
      <c r="L226" s="952">
        <f t="shared" si="26"/>
        <v>840315</v>
      </c>
      <c r="M226" s="952">
        <f t="shared" si="26"/>
        <v>834953</v>
      </c>
      <c r="N226" s="986">
        <f t="shared" si="26"/>
        <v>839254</v>
      </c>
      <c r="O226" s="972">
        <f t="shared" si="25"/>
        <v>9761815</v>
      </c>
      <c r="P226" s="953">
        <f>AVERAGE(C226:N226)</f>
        <v>813484.58333333337</v>
      </c>
    </row>
    <row r="227" spans="1:16" ht="14.25" thickBot="1" x14ac:dyDescent="0.2">
      <c r="A227" s="2372" t="s">
        <v>1108</v>
      </c>
      <c r="B227" s="2373"/>
      <c r="C227" s="948" t="s">
        <v>1011</v>
      </c>
      <c r="D227" s="949" t="s">
        <v>1012</v>
      </c>
      <c r="E227" s="949" t="s">
        <v>1013</v>
      </c>
      <c r="F227" s="949" t="s">
        <v>1014</v>
      </c>
      <c r="G227" s="949" t="s">
        <v>1015</v>
      </c>
      <c r="H227" s="949" t="s">
        <v>1016</v>
      </c>
      <c r="I227" s="949" t="s">
        <v>1017</v>
      </c>
      <c r="J227" s="949" t="s">
        <v>1018</v>
      </c>
      <c r="K227" s="949" t="s">
        <v>1019</v>
      </c>
      <c r="L227" s="949" t="s">
        <v>1020</v>
      </c>
      <c r="M227" s="949" t="s">
        <v>1021</v>
      </c>
      <c r="N227" s="950" t="s">
        <v>1022</v>
      </c>
    </row>
    <row r="228" spans="1:16" x14ac:dyDescent="0.15">
      <c r="A228" s="2374" t="s">
        <v>1106</v>
      </c>
      <c r="B228" s="2375"/>
      <c r="C228" s="2380" t="s">
        <v>1183</v>
      </c>
      <c r="D228" s="2354"/>
      <c r="E228" s="2354"/>
      <c r="F228" s="2384"/>
      <c r="G228" s="2354" t="s">
        <v>1297</v>
      </c>
      <c r="H228" s="2354"/>
      <c r="I228" s="2354" t="s">
        <v>1120</v>
      </c>
      <c r="J228" s="2354"/>
      <c r="K228" s="2354"/>
      <c r="L228" s="2354"/>
      <c r="M228" s="2354"/>
      <c r="N228" s="2358"/>
    </row>
    <row r="229" spans="1:16" x14ac:dyDescent="0.15">
      <c r="A229" s="2374"/>
      <c r="B229" s="2375"/>
      <c r="C229" s="2381"/>
      <c r="D229" s="2355"/>
      <c r="E229" s="2355"/>
      <c r="F229" s="2385"/>
      <c r="G229" s="2355"/>
      <c r="H229" s="2355"/>
      <c r="I229" s="2355"/>
      <c r="J229" s="2355"/>
      <c r="K229" s="2355"/>
      <c r="L229" s="2355"/>
      <c r="M229" s="2355"/>
      <c r="N229" s="2359"/>
    </row>
    <row r="230" spans="1:16" x14ac:dyDescent="0.15">
      <c r="A230" s="2374"/>
      <c r="B230" s="2375"/>
      <c r="C230" s="2381"/>
      <c r="D230" s="2355"/>
      <c r="E230" s="2355"/>
      <c r="F230" s="2385"/>
      <c r="G230" s="2355"/>
      <c r="H230" s="2355"/>
      <c r="I230" s="2355"/>
      <c r="J230" s="2355"/>
      <c r="K230" s="2355"/>
      <c r="L230" s="2355"/>
      <c r="M230" s="2355"/>
      <c r="N230" s="2359"/>
    </row>
    <row r="231" spans="1:16" x14ac:dyDescent="0.15">
      <c r="A231" s="2374"/>
      <c r="B231" s="2375"/>
      <c r="C231" s="2381"/>
      <c r="D231" s="2355"/>
      <c r="E231" s="2355"/>
      <c r="F231" s="2385"/>
      <c r="G231" s="2355"/>
      <c r="H231" s="2355"/>
      <c r="I231" s="2355"/>
      <c r="J231" s="2355"/>
      <c r="K231" s="2355"/>
      <c r="L231" s="2355"/>
      <c r="M231" s="2355"/>
      <c r="N231" s="2359"/>
    </row>
    <row r="232" spans="1:16" x14ac:dyDescent="0.15">
      <c r="A232" s="2374"/>
      <c r="B232" s="2375"/>
      <c r="C232" s="2381"/>
      <c r="D232" s="2355"/>
      <c r="E232" s="2355"/>
      <c r="F232" s="2385"/>
      <c r="G232" s="2355"/>
      <c r="H232" s="2355"/>
      <c r="I232" s="2355"/>
      <c r="J232" s="2355"/>
      <c r="K232" s="2355"/>
      <c r="L232" s="2355"/>
      <c r="M232" s="2355"/>
      <c r="N232" s="2359"/>
    </row>
    <row r="233" spans="1:16" x14ac:dyDescent="0.15">
      <c r="A233" s="2374"/>
      <c r="B233" s="2375"/>
      <c r="C233" s="2381"/>
      <c r="D233" s="2355"/>
      <c r="E233" s="2355"/>
      <c r="F233" s="2385"/>
      <c r="G233" s="2355"/>
      <c r="H233" s="2355"/>
      <c r="I233" s="2355"/>
      <c r="J233" s="2355"/>
      <c r="K233" s="2355"/>
      <c r="L233" s="2355"/>
      <c r="M233" s="2355"/>
      <c r="N233" s="2359"/>
    </row>
    <row r="234" spans="1:16" x14ac:dyDescent="0.15">
      <c r="A234" s="2376"/>
      <c r="B234" s="2377"/>
      <c r="C234" s="2382"/>
      <c r="D234" s="2356"/>
      <c r="E234" s="2356"/>
      <c r="F234" s="2386"/>
      <c r="G234" s="2356"/>
      <c r="H234" s="2356"/>
      <c r="I234" s="2356"/>
      <c r="J234" s="2356"/>
      <c r="K234" s="2356"/>
      <c r="L234" s="2356"/>
      <c r="M234" s="2356"/>
      <c r="N234" s="2360"/>
    </row>
    <row r="235" spans="1:16" ht="14.25" thickBot="1" x14ac:dyDescent="0.2">
      <c r="A235" s="2378"/>
      <c r="B235" s="2379"/>
      <c r="C235" s="2383"/>
      <c r="D235" s="2357"/>
      <c r="E235" s="2357"/>
      <c r="F235" s="2387"/>
      <c r="G235" s="2357"/>
      <c r="H235" s="2357"/>
      <c r="I235" s="2357"/>
      <c r="J235" s="2357"/>
      <c r="K235" s="2357"/>
      <c r="L235" s="2357"/>
      <c r="M235" s="2357"/>
      <c r="N235" s="2361"/>
    </row>
    <row r="237" spans="1:16" ht="19.5" thickBot="1" x14ac:dyDescent="0.2">
      <c r="A237" s="20" t="s">
        <v>1109</v>
      </c>
      <c r="B237" s="947"/>
    </row>
    <row r="238" spans="1:16" ht="14.25" thickBot="1" x14ac:dyDescent="0.2">
      <c r="A238" s="2368" t="s">
        <v>361</v>
      </c>
      <c r="B238" s="2369"/>
      <c r="C238" s="956" t="s">
        <v>1011</v>
      </c>
      <c r="D238" s="956" t="s">
        <v>1012</v>
      </c>
      <c r="E238" s="956" t="s">
        <v>1013</v>
      </c>
      <c r="F238" s="956" t="s">
        <v>1014</v>
      </c>
      <c r="G238" s="956" t="s">
        <v>1015</v>
      </c>
      <c r="H238" s="956" t="s">
        <v>1016</v>
      </c>
      <c r="I238" s="956" t="s">
        <v>1017</v>
      </c>
      <c r="J238" s="956" t="s">
        <v>1018</v>
      </c>
      <c r="K238" s="956" t="s">
        <v>1019</v>
      </c>
      <c r="L238" s="956" t="s">
        <v>1020</v>
      </c>
      <c r="M238" s="956" t="s">
        <v>1021</v>
      </c>
      <c r="N238" s="963" t="s">
        <v>1022</v>
      </c>
      <c r="O238" s="968" t="s">
        <v>96</v>
      </c>
    </row>
    <row r="239" spans="1:16" x14ac:dyDescent="0.15">
      <c r="A239" s="2388" t="s">
        <v>1111</v>
      </c>
      <c r="B239" s="2389"/>
      <c r="C239" s="975">
        <f t="shared" ref="C239:N239" si="27">C183</f>
        <v>-607020</v>
      </c>
      <c r="D239" s="975">
        <f t="shared" si="27"/>
        <v>1955922</v>
      </c>
      <c r="E239" s="975">
        <f t="shared" si="27"/>
        <v>4764706</v>
      </c>
      <c r="F239" s="975">
        <f t="shared" si="27"/>
        <v>-14055234</v>
      </c>
      <c r="G239" s="975">
        <f t="shared" si="27"/>
        <v>1345416</v>
      </c>
      <c r="H239" s="975">
        <f t="shared" si="27"/>
        <v>2977810</v>
      </c>
      <c r="I239" s="975">
        <f t="shared" si="27"/>
        <v>4031875</v>
      </c>
      <c r="J239" s="975">
        <f t="shared" si="27"/>
        <v>6116213</v>
      </c>
      <c r="K239" s="975">
        <f t="shared" si="27"/>
        <v>3832862</v>
      </c>
      <c r="L239" s="975">
        <f t="shared" si="27"/>
        <v>-9064962</v>
      </c>
      <c r="M239" s="975">
        <f t="shared" si="27"/>
        <v>697089</v>
      </c>
      <c r="N239" s="977">
        <f t="shared" si="27"/>
        <v>2235330</v>
      </c>
      <c r="O239" s="981">
        <f>SUM(C239:N239)</f>
        <v>4230007</v>
      </c>
    </row>
    <row r="240" spans="1:16" ht="13.5" customHeight="1" x14ac:dyDescent="0.15">
      <c r="A240" s="2392" t="s">
        <v>944</v>
      </c>
      <c r="B240" s="2393"/>
      <c r="C240" s="973">
        <f t="shared" ref="C240:N240" si="28">C207</f>
        <v>145078</v>
      </c>
      <c r="D240" s="973">
        <f t="shared" si="28"/>
        <v>145078</v>
      </c>
      <c r="E240" s="973">
        <f t="shared" si="28"/>
        <v>145078</v>
      </c>
      <c r="F240" s="973">
        <f t="shared" si="28"/>
        <v>145078</v>
      </c>
      <c r="G240" s="973">
        <f t="shared" si="28"/>
        <v>145078</v>
      </c>
      <c r="H240" s="973">
        <f t="shared" si="28"/>
        <v>145078</v>
      </c>
      <c r="I240" s="973">
        <f t="shared" si="28"/>
        <v>145078</v>
      </c>
      <c r="J240" s="973">
        <f t="shared" si="28"/>
        <v>145078</v>
      </c>
      <c r="K240" s="973">
        <f t="shared" si="28"/>
        <v>145078</v>
      </c>
      <c r="L240" s="973">
        <f t="shared" si="28"/>
        <v>145078</v>
      </c>
      <c r="M240" s="973">
        <f t="shared" si="28"/>
        <v>145078</v>
      </c>
      <c r="N240" s="978">
        <f t="shared" si="28"/>
        <v>145078</v>
      </c>
      <c r="O240" s="982">
        <f>SUM(C240:N240)</f>
        <v>1740936</v>
      </c>
    </row>
    <row r="241" spans="1:15" ht="14.25" thickBot="1" x14ac:dyDescent="0.2">
      <c r="A241" s="2394" t="s">
        <v>1110</v>
      </c>
      <c r="B241" s="2395"/>
      <c r="C241" s="976">
        <f>C226</f>
        <v>760514</v>
      </c>
      <c r="D241" s="976">
        <f t="shared" ref="D241:N241" si="29">D226</f>
        <v>755400</v>
      </c>
      <c r="E241" s="976">
        <f t="shared" si="29"/>
        <v>766504</v>
      </c>
      <c r="F241" s="976">
        <f t="shared" si="29"/>
        <v>743584</v>
      </c>
      <c r="G241" s="976">
        <f t="shared" si="29"/>
        <v>852965</v>
      </c>
      <c r="H241" s="976">
        <f t="shared" si="29"/>
        <v>855689</v>
      </c>
      <c r="I241" s="976">
        <f t="shared" si="29"/>
        <v>826841</v>
      </c>
      <c r="J241" s="976">
        <f t="shared" si="29"/>
        <v>845567</v>
      </c>
      <c r="K241" s="976">
        <f t="shared" si="29"/>
        <v>840229</v>
      </c>
      <c r="L241" s="976">
        <f t="shared" si="29"/>
        <v>840315</v>
      </c>
      <c r="M241" s="976">
        <f t="shared" si="29"/>
        <v>834953</v>
      </c>
      <c r="N241" s="979">
        <f t="shared" si="29"/>
        <v>839254</v>
      </c>
      <c r="O241" s="983">
        <f>SUM(C241:N241)</f>
        <v>9761815</v>
      </c>
    </row>
    <row r="242" spans="1:15" ht="15" thickTop="1" thickBot="1" x14ac:dyDescent="0.2">
      <c r="A242" s="2390" t="s">
        <v>942</v>
      </c>
      <c r="B242" s="2391"/>
      <c r="C242" s="974">
        <f>C239+C240-C241</f>
        <v>-1222456</v>
      </c>
      <c r="D242" s="974">
        <f t="shared" ref="D242:N242" si="30">D239+D240-D241</f>
        <v>1345600</v>
      </c>
      <c r="E242" s="974">
        <f t="shared" si="30"/>
        <v>4143280</v>
      </c>
      <c r="F242" s="974">
        <f t="shared" si="30"/>
        <v>-14653740</v>
      </c>
      <c r="G242" s="974">
        <f t="shared" si="30"/>
        <v>637529</v>
      </c>
      <c r="H242" s="974">
        <f t="shared" si="30"/>
        <v>2267199</v>
      </c>
      <c r="I242" s="974">
        <f t="shared" si="30"/>
        <v>3350112</v>
      </c>
      <c r="J242" s="974">
        <f t="shared" si="30"/>
        <v>5415724</v>
      </c>
      <c r="K242" s="974">
        <f t="shared" si="30"/>
        <v>3137711</v>
      </c>
      <c r="L242" s="974">
        <f t="shared" si="30"/>
        <v>-9760199</v>
      </c>
      <c r="M242" s="974">
        <f t="shared" si="30"/>
        <v>7214</v>
      </c>
      <c r="N242" s="980">
        <f t="shared" si="30"/>
        <v>1541154</v>
      </c>
      <c r="O242" s="984">
        <f>SUM(C242:N242)</f>
        <v>-3790872</v>
      </c>
    </row>
    <row r="244" spans="1:15" x14ac:dyDescent="0.15">
      <c r="B244" s="823" t="s">
        <v>1287</v>
      </c>
      <c r="C244" s="848">
        <v>-20702</v>
      </c>
      <c r="D244" s="849">
        <v>-20702</v>
      </c>
      <c r="E244" s="849">
        <v>-20702</v>
      </c>
      <c r="F244" s="849">
        <v>-20702</v>
      </c>
      <c r="G244" s="849">
        <v>-20702</v>
      </c>
      <c r="H244" s="849">
        <v>-20702</v>
      </c>
      <c r="I244" s="849">
        <v>-20702</v>
      </c>
      <c r="J244" s="849">
        <v>-20702</v>
      </c>
      <c r="K244" s="849">
        <v>-20702</v>
      </c>
      <c r="L244" s="849">
        <v>-20702</v>
      </c>
      <c r="M244" s="849">
        <v>-20702</v>
      </c>
      <c r="N244" s="871">
        <v>-20702</v>
      </c>
    </row>
    <row r="245" spans="1:15" x14ac:dyDescent="0.15">
      <c r="B245" s="823" t="s">
        <v>1288</v>
      </c>
      <c r="C245" s="850">
        <v>18589</v>
      </c>
      <c r="D245" s="851">
        <v>18589</v>
      </c>
      <c r="E245" s="851">
        <v>18589</v>
      </c>
      <c r="F245" s="851">
        <v>18589</v>
      </c>
      <c r="G245" s="851">
        <v>18589</v>
      </c>
      <c r="H245" s="851">
        <v>18589</v>
      </c>
      <c r="I245" s="851">
        <v>18589</v>
      </c>
      <c r="J245" s="851">
        <v>18589</v>
      </c>
      <c r="K245" s="851">
        <v>18589</v>
      </c>
      <c r="L245" s="851">
        <v>18589</v>
      </c>
      <c r="M245" s="851">
        <v>18589</v>
      </c>
      <c r="N245" s="872">
        <v>18589</v>
      </c>
    </row>
    <row r="246" spans="1:15" x14ac:dyDescent="0.15">
      <c r="C246" s="850"/>
      <c r="D246" s="851"/>
      <c r="E246" s="851"/>
      <c r="F246" s="851"/>
      <c r="G246" s="851"/>
      <c r="H246" s="851"/>
      <c r="I246" s="851"/>
      <c r="J246" s="851"/>
      <c r="K246" s="851"/>
      <c r="L246" s="851"/>
      <c r="M246" s="851"/>
      <c r="N246" s="872"/>
    </row>
    <row r="247" spans="1:15" x14ac:dyDescent="0.15">
      <c r="B247" s="823" t="s">
        <v>1289</v>
      </c>
      <c r="C247" s="850">
        <v>1800000</v>
      </c>
      <c r="D247" s="851">
        <v>1800000</v>
      </c>
      <c r="E247" s="851"/>
      <c r="F247" s="851"/>
      <c r="G247" s="851"/>
      <c r="H247" s="851"/>
      <c r="I247" s="851"/>
      <c r="J247" s="851"/>
      <c r="K247" s="851"/>
      <c r="L247" s="851"/>
      <c r="M247" s="851"/>
      <c r="N247" s="872"/>
    </row>
    <row r="248" spans="1:15" x14ac:dyDescent="0.15">
      <c r="B248" s="1245" t="s">
        <v>1290</v>
      </c>
      <c r="C248" s="850"/>
      <c r="D248" s="851"/>
      <c r="E248" s="851"/>
      <c r="F248" s="851">
        <v>50000</v>
      </c>
      <c r="G248" s="851"/>
      <c r="H248" s="851"/>
      <c r="I248" s="851"/>
      <c r="J248" s="851"/>
      <c r="K248" s="851">
        <v>266000</v>
      </c>
      <c r="L248" s="851"/>
      <c r="M248" s="851"/>
      <c r="N248" s="872"/>
    </row>
    <row r="249" spans="1:15" x14ac:dyDescent="0.15">
      <c r="B249" s="823" t="s">
        <v>1291</v>
      </c>
      <c r="C249" s="850"/>
      <c r="D249" s="851"/>
      <c r="E249" s="851"/>
      <c r="F249" s="851">
        <v>159250</v>
      </c>
      <c r="G249" s="851"/>
      <c r="H249" s="851">
        <v>159250</v>
      </c>
      <c r="I249" s="851"/>
      <c r="J249" s="851">
        <v>159250</v>
      </c>
      <c r="K249" s="851"/>
      <c r="L249" s="851"/>
      <c r="M249" s="851">
        <v>159250</v>
      </c>
      <c r="N249" s="872"/>
    </row>
    <row r="250" spans="1:15" x14ac:dyDescent="0.15">
      <c r="C250" s="4">
        <f>SUM(C244:C249)</f>
        <v>1797887</v>
      </c>
      <c r="D250" s="4">
        <f t="shared" ref="D250:N250" si="31">SUM(D244:D249)</f>
        <v>1797887</v>
      </c>
      <c r="E250" s="4">
        <f t="shared" si="31"/>
        <v>-2113</v>
      </c>
      <c r="F250" s="4">
        <f t="shared" si="31"/>
        <v>207137</v>
      </c>
      <c r="G250" s="4">
        <f t="shared" si="31"/>
        <v>-2113</v>
      </c>
      <c r="H250" s="4">
        <f t="shared" si="31"/>
        <v>157137</v>
      </c>
      <c r="I250" s="4">
        <f t="shared" si="31"/>
        <v>-2113</v>
      </c>
      <c r="J250" s="4">
        <f t="shared" si="31"/>
        <v>157137</v>
      </c>
      <c r="K250" s="4">
        <f t="shared" si="31"/>
        <v>263887</v>
      </c>
      <c r="L250" s="4">
        <f t="shared" si="31"/>
        <v>-2113</v>
      </c>
      <c r="M250" s="4">
        <f t="shared" si="31"/>
        <v>157137</v>
      </c>
      <c r="N250" s="4">
        <f t="shared" si="31"/>
        <v>-2113</v>
      </c>
    </row>
    <row r="261" spans="2:11" ht="14.25" x14ac:dyDescent="0.15">
      <c r="C261" s="1073" t="s">
        <v>1169</v>
      </c>
      <c r="D261" s="1073"/>
      <c r="E261" s="1074" t="s">
        <v>1170</v>
      </c>
      <c r="F261" s="1074"/>
      <c r="G261" s="1073" t="s">
        <v>1169</v>
      </c>
      <c r="I261" s="1075" t="s">
        <v>1171</v>
      </c>
      <c r="K261" s="1075" t="s">
        <v>1171</v>
      </c>
    </row>
    <row r="262" spans="2:11" x14ac:dyDescent="0.15">
      <c r="C262" s="1076">
        <v>88000000</v>
      </c>
      <c r="D262" s="1076"/>
      <c r="E262" s="1077">
        <v>30000000</v>
      </c>
      <c r="F262" s="1077"/>
      <c r="G262" s="1077">
        <v>20000000</v>
      </c>
      <c r="I262" s="1077">
        <v>65000000</v>
      </c>
      <c r="K262" s="1077">
        <v>40000000</v>
      </c>
    </row>
    <row r="263" spans="2:11" x14ac:dyDescent="0.15">
      <c r="C263" s="1078" t="s">
        <v>1172</v>
      </c>
      <c r="D263" s="1078"/>
      <c r="E263" s="1078" t="s">
        <v>1173</v>
      </c>
      <c r="F263" s="1078"/>
      <c r="G263" s="1078" t="s">
        <v>1174</v>
      </c>
      <c r="I263" s="1078"/>
      <c r="K263" s="1078"/>
    </row>
    <row r="264" spans="2:11" x14ac:dyDescent="0.15">
      <c r="C264" s="1079" t="s">
        <v>1175</v>
      </c>
      <c r="D264" s="1079"/>
      <c r="E264" s="1079" t="s">
        <v>1176</v>
      </c>
      <c r="F264" s="1079"/>
      <c r="G264" s="1079" t="s">
        <v>1175</v>
      </c>
      <c r="I264" s="1079"/>
      <c r="K264" s="1079"/>
    </row>
    <row r="265" spans="2:11" ht="14.25" x14ac:dyDescent="0.15">
      <c r="C265" s="1080" t="s">
        <v>1177</v>
      </c>
      <c r="D265" s="1080"/>
      <c r="E265" s="1080" t="s">
        <v>1178</v>
      </c>
      <c r="F265" s="1080"/>
      <c r="G265" s="1080" t="s">
        <v>1179</v>
      </c>
      <c r="I265" s="1080"/>
      <c r="K265" s="1080"/>
    </row>
    <row r="266" spans="2:11" x14ac:dyDescent="0.15">
      <c r="C266" s="1076">
        <v>367000</v>
      </c>
      <c r="D266" s="1076"/>
      <c r="E266" s="1077">
        <v>500000</v>
      </c>
      <c r="F266" s="1077"/>
      <c r="G266" s="1077">
        <v>167000</v>
      </c>
      <c r="I266" s="1077"/>
      <c r="K266" s="1077"/>
    </row>
    <row r="267" spans="2:11" x14ac:dyDescent="0.15">
      <c r="B267" s="1066"/>
      <c r="C267" s="1076"/>
      <c r="D267" s="1076"/>
      <c r="E267" s="1077"/>
      <c r="F267" s="1077"/>
      <c r="G267" s="1077"/>
    </row>
    <row r="268" spans="2:11" ht="16.5" x14ac:dyDescent="0.15">
      <c r="B268" s="1071">
        <v>43282</v>
      </c>
      <c r="C268" s="1067">
        <v>421246</v>
      </c>
      <c r="D268" s="1067">
        <f t="shared" ref="D268:D281" si="32">C268-C$266</f>
        <v>54246</v>
      </c>
      <c r="E268" s="1067">
        <v>1103972</v>
      </c>
      <c r="F268" s="1067">
        <f>E268-E$266</f>
        <v>603972</v>
      </c>
      <c r="G268" s="1068"/>
    </row>
    <row r="269" spans="2:11" ht="16.5" x14ac:dyDescent="0.15">
      <c r="B269" s="1072">
        <v>43313</v>
      </c>
      <c r="C269" s="1069">
        <v>534463</v>
      </c>
      <c r="D269" s="1067">
        <f t="shared" si="32"/>
        <v>167463</v>
      </c>
      <c r="E269" s="1069">
        <v>554969</v>
      </c>
      <c r="F269" s="1067">
        <f>E269-E$266</f>
        <v>54969</v>
      </c>
      <c r="G269" s="1069">
        <v>179054</v>
      </c>
      <c r="H269" s="1067">
        <f t="shared" ref="H269:H281" si="33">G269-G$266</f>
        <v>12054</v>
      </c>
    </row>
    <row r="270" spans="2:11" ht="16.5" x14ac:dyDescent="0.15">
      <c r="B270" s="1071">
        <v>43344</v>
      </c>
      <c r="C270" s="1067">
        <v>533761</v>
      </c>
      <c r="D270" s="1067">
        <f t="shared" si="32"/>
        <v>166761</v>
      </c>
      <c r="E270" s="1067">
        <v>548942</v>
      </c>
      <c r="F270" s="1067">
        <f t="shared" ref="F270:F281" si="34">E270-E$266</f>
        <v>48942</v>
      </c>
      <c r="G270" s="1067">
        <v>204057</v>
      </c>
      <c r="H270" s="1067">
        <f t="shared" si="33"/>
        <v>37057</v>
      </c>
    </row>
    <row r="271" spans="2:11" ht="16.5" x14ac:dyDescent="0.15">
      <c r="B271" s="1072">
        <v>43374</v>
      </c>
      <c r="C271" s="1069">
        <v>527703</v>
      </c>
      <c r="D271" s="1069">
        <f t="shared" si="32"/>
        <v>160703</v>
      </c>
      <c r="E271" s="1069">
        <v>551383</v>
      </c>
      <c r="F271" s="1069">
        <f t="shared" si="34"/>
        <v>51383</v>
      </c>
      <c r="G271" s="1069">
        <v>202560</v>
      </c>
      <c r="H271" s="1069">
        <f t="shared" si="33"/>
        <v>35560</v>
      </c>
    </row>
    <row r="272" spans="2:11" ht="16.5" x14ac:dyDescent="0.15">
      <c r="B272" s="1071">
        <v>43405</v>
      </c>
      <c r="C272" s="1067">
        <v>532359</v>
      </c>
      <c r="D272" s="1067">
        <f t="shared" si="32"/>
        <v>165359</v>
      </c>
      <c r="E272" s="1067">
        <v>556958</v>
      </c>
      <c r="F272" s="1067">
        <f t="shared" si="34"/>
        <v>56958</v>
      </c>
      <c r="G272" s="1067">
        <v>203433</v>
      </c>
      <c r="H272" s="1067">
        <f t="shared" si="33"/>
        <v>36433</v>
      </c>
    </row>
    <row r="273" spans="2:16" ht="16.5" x14ac:dyDescent="0.15">
      <c r="B273" s="1072">
        <v>43435</v>
      </c>
      <c r="C273" s="1069">
        <v>526346</v>
      </c>
      <c r="D273" s="1069">
        <f t="shared" si="32"/>
        <v>159346</v>
      </c>
      <c r="E273" s="1069">
        <v>541528</v>
      </c>
      <c r="F273" s="1069">
        <f t="shared" si="34"/>
        <v>41528</v>
      </c>
      <c r="G273" s="1069">
        <v>201956</v>
      </c>
      <c r="H273" s="1069">
        <f t="shared" si="33"/>
        <v>34956</v>
      </c>
    </row>
    <row r="274" spans="2:16" ht="16.5" x14ac:dyDescent="0.15">
      <c r="B274" s="1071">
        <v>43466</v>
      </c>
      <c r="C274" s="1067">
        <v>530956</v>
      </c>
      <c r="D274" s="1067">
        <f t="shared" si="32"/>
        <v>163956</v>
      </c>
      <c r="E274" s="1067">
        <v>545446</v>
      </c>
      <c r="F274" s="1067">
        <f t="shared" si="34"/>
        <v>45446</v>
      </c>
      <c r="G274" s="1067">
        <v>202809</v>
      </c>
      <c r="H274" s="1067">
        <f t="shared" si="33"/>
        <v>35809</v>
      </c>
    </row>
    <row r="275" spans="2:16" ht="16.5" x14ac:dyDescent="0.15">
      <c r="B275" s="1072">
        <v>43497</v>
      </c>
      <c r="C275" s="1069">
        <v>530255</v>
      </c>
      <c r="D275" s="1069">
        <f t="shared" si="32"/>
        <v>163255</v>
      </c>
      <c r="E275" s="1069">
        <v>549183</v>
      </c>
      <c r="F275" s="1069">
        <f t="shared" si="34"/>
        <v>49183</v>
      </c>
      <c r="G275" s="1069">
        <v>202497</v>
      </c>
      <c r="H275" s="1069">
        <f t="shared" si="33"/>
        <v>35497</v>
      </c>
    </row>
    <row r="276" spans="2:16" ht="16.5" x14ac:dyDescent="0.15">
      <c r="B276" s="1071">
        <v>43525</v>
      </c>
      <c r="C276" s="1067">
        <v>513822</v>
      </c>
      <c r="D276" s="1067">
        <f t="shared" si="32"/>
        <v>146822</v>
      </c>
      <c r="E276" s="1067">
        <v>543698</v>
      </c>
      <c r="F276" s="1067">
        <f t="shared" si="34"/>
        <v>43698</v>
      </c>
      <c r="G276" s="1067">
        <v>198780</v>
      </c>
      <c r="H276" s="1067">
        <f t="shared" si="33"/>
        <v>31780</v>
      </c>
      <c r="I276" s="1068">
        <v>253000</v>
      </c>
      <c r="K276" s="1068"/>
    </row>
    <row r="277" spans="2:16" ht="16.5" x14ac:dyDescent="0.15">
      <c r="B277" s="1072">
        <v>43556</v>
      </c>
      <c r="C277" s="1069">
        <v>528852</v>
      </c>
      <c r="D277" s="1069">
        <f t="shared" si="32"/>
        <v>161852</v>
      </c>
      <c r="E277" s="1069">
        <v>544301</v>
      </c>
      <c r="F277" s="1069">
        <f t="shared" si="34"/>
        <v>44301</v>
      </c>
      <c r="G277" s="1069">
        <v>201873</v>
      </c>
      <c r="H277" s="1069">
        <f t="shared" si="33"/>
        <v>34873</v>
      </c>
      <c r="I277" s="1070">
        <v>253000</v>
      </c>
      <c r="K277" s="1070">
        <v>684000</v>
      </c>
    </row>
    <row r="278" spans="2:16" ht="16.5" x14ac:dyDescent="0.15">
      <c r="B278" s="1071">
        <v>43586</v>
      </c>
      <c r="C278" s="1067">
        <v>522952</v>
      </c>
      <c r="D278" s="1067">
        <f t="shared" si="32"/>
        <v>155952</v>
      </c>
      <c r="E278" s="1067">
        <v>546290</v>
      </c>
      <c r="F278" s="1067">
        <f t="shared" si="34"/>
        <v>46290</v>
      </c>
      <c r="G278" s="1067">
        <v>200446</v>
      </c>
      <c r="H278" s="1067">
        <f t="shared" si="33"/>
        <v>33446</v>
      </c>
      <c r="I278" s="1068">
        <v>253000</v>
      </c>
      <c r="K278" s="1068">
        <v>684000</v>
      </c>
    </row>
    <row r="279" spans="2:16" ht="16.5" x14ac:dyDescent="0.15">
      <c r="B279" s="1072">
        <v>43617</v>
      </c>
      <c r="C279" s="1069">
        <v>527449</v>
      </c>
      <c r="D279" s="1069">
        <f t="shared" si="32"/>
        <v>160449</v>
      </c>
      <c r="E279" s="1069">
        <v>541076</v>
      </c>
      <c r="F279" s="1069">
        <f t="shared" si="34"/>
        <v>41076</v>
      </c>
      <c r="G279" s="1069">
        <v>201249</v>
      </c>
      <c r="H279" s="1069">
        <f t="shared" si="33"/>
        <v>34249</v>
      </c>
      <c r="I279" s="1070">
        <v>253000</v>
      </c>
      <c r="K279" s="1070">
        <v>684000</v>
      </c>
    </row>
    <row r="280" spans="2:16" ht="16.5" x14ac:dyDescent="0.15">
      <c r="B280" s="1071">
        <v>43647</v>
      </c>
      <c r="C280" s="1067">
        <v>521595</v>
      </c>
      <c r="D280" s="1067">
        <f t="shared" si="32"/>
        <v>154595</v>
      </c>
      <c r="E280" s="1067">
        <v>542975</v>
      </c>
      <c r="F280" s="1067">
        <f t="shared" si="34"/>
        <v>42975</v>
      </c>
      <c r="G280" s="1067">
        <v>199842</v>
      </c>
      <c r="H280" s="1067">
        <f t="shared" si="33"/>
        <v>32842</v>
      </c>
      <c r="I280" s="1068">
        <v>253000</v>
      </c>
      <c r="K280" s="1068">
        <v>684000</v>
      </c>
    </row>
    <row r="281" spans="2:16" ht="16.5" x14ac:dyDescent="0.15">
      <c r="B281" s="1072">
        <v>43678</v>
      </c>
      <c r="C281" s="1069">
        <v>526047</v>
      </c>
      <c r="D281" s="1069">
        <f t="shared" si="32"/>
        <v>159047</v>
      </c>
      <c r="E281" s="1069">
        <v>542041</v>
      </c>
      <c r="F281" s="1069">
        <f t="shared" si="34"/>
        <v>42041</v>
      </c>
      <c r="G281" s="1069">
        <v>200625</v>
      </c>
      <c r="H281" s="1069">
        <f t="shared" si="33"/>
        <v>33625</v>
      </c>
      <c r="I281" s="1070">
        <v>253000</v>
      </c>
      <c r="K281" s="1070">
        <v>684000</v>
      </c>
    </row>
    <row r="288" spans="2:16" x14ac:dyDescent="0.15">
      <c r="J288">
        <v>264</v>
      </c>
      <c r="L288">
        <v>144</v>
      </c>
      <c r="N288">
        <v>60</v>
      </c>
      <c r="P288">
        <v>60</v>
      </c>
    </row>
    <row r="289" spans="2:20" ht="14.25" x14ac:dyDescent="0.15">
      <c r="C289" s="1073" t="s">
        <v>1273</v>
      </c>
      <c r="D289" s="1073"/>
      <c r="E289" s="1074" t="s">
        <v>1274</v>
      </c>
      <c r="F289" s="1074"/>
      <c r="G289" s="1074"/>
      <c r="H289" s="1073" t="s">
        <v>1273</v>
      </c>
      <c r="I289" s="1073"/>
      <c r="J289" s="1075" t="s">
        <v>1171</v>
      </c>
      <c r="K289" s="1075"/>
      <c r="L289" s="1075" t="s">
        <v>1171</v>
      </c>
      <c r="M289" s="1075"/>
      <c r="N289" s="1075" t="s">
        <v>1171</v>
      </c>
      <c r="O289" s="1075"/>
      <c r="P289" s="1075" t="s">
        <v>1171</v>
      </c>
    </row>
    <row r="290" spans="2:20" x14ac:dyDescent="0.15">
      <c r="C290" s="1076">
        <v>88000000</v>
      </c>
      <c r="D290" s="1076"/>
      <c r="E290" s="1077">
        <v>30000000</v>
      </c>
      <c r="F290" s="1077"/>
      <c r="G290" s="1077"/>
      <c r="H290" s="1077">
        <v>20000000</v>
      </c>
      <c r="I290" s="1077"/>
      <c r="J290" s="1077">
        <v>65000000</v>
      </c>
      <c r="K290" s="1077"/>
      <c r="L290" s="1077">
        <v>50000000</v>
      </c>
      <c r="M290" s="1077"/>
      <c r="N290" s="1077">
        <v>40000000</v>
      </c>
      <c r="O290" s="1077"/>
      <c r="P290" s="1077">
        <v>40000000</v>
      </c>
    </row>
    <row r="291" spans="2:20" x14ac:dyDescent="0.15">
      <c r="C291" s="1078" t="s">
        <v>1275</v>
      </c>
      <c r="D291" s="1078"/>
      <c r="E291" s="1078" t="s">
        <v>1276</v>
      </c>
      <c r="F291" s="1078"/>
      <c r="G291" s="1078"/>
      <c r="H291" s="1078" t="s">
        <v>1275</v>
      </c>
      <c r="I291" s="1078"/>
      <c r="J291" s="1078"/>
      <c r="K291" s="1078"/>
      <c r="L291" s="1078"/>
      <c r="M291" s="1078"/>
      <c r="N291" s="1078"/>
      <c r="O291" s="1078"/>
      <c r="P291" s="1078"/>
    </row>
    <row r="292" spans="2:20" x14ac:dyDescent="0.15">
      <c r="C292" s="1079" t="s">
        <v>1175</v>
      </c>
      <c r="D292" s="1079"/>
      <c r="E292" s="1079" t="s">
        <v>1277</v>
      </c>
      <c r="F292" s="1079"/>
      <c r="G292" s="1079"/>
      <c r="H292" s="1079" t="s">
        <v>1175</v>
      </c>
      <c r="I292" s="1079"/>
      <c r="J292" s="1079"/>
      <c r="K292" s="1079"/>
      <c r="L292" s="1079"/>
      <c r="M292" s="1079"/>
      <c r="N292" s="1079"/>
      <c r="O292" s="1079"/>
      <c r="P292" s="1079"/>
    </row>
    <row r="293" spans="2:20" ht="14.25" x14ac:dyDescent="0.15">
      <c r="C293" s="1080" t="s">
        <v>1177</v>
      </c>
      <c r="D293" s="1080"/>
      <c r="E293" s="1080" t="s">
        <v>1178</v>
      </c>
      <c r="F293" s="1080"/>
      <c r="G293" s="1080"/>
      <c r="H293" s="1080" t="s">
        <v>1179</v>
      </c>
      <c r="I293" s="1080"/>
      <c r="J293" s="1080" t="s">
        <v>1179</v>
      </c>
      <c r="K293" s="1080"/>
      <c r="L293" s="1080" t="s">
        <v>1179</v>
      </c>
      <c r="M293" s="1080"/>
      <c r="N293" s="1080" t="s">
        <v>1179</v>
      </c>
      <c r="O293" s="1080"/>
      <c r="P293" s="1080" t="s">
        <v>1179</v>
      </c>
    </row>
    <row r="294" spans="2:20" x14ac:dyDescent="0.15">
      <c r="C294" s="1076">
        <v>367000</v>
      </c>
      <c r="D294" s="1076"/>
      <c r="E294" s="1077">
        <v>500000</v>
      </c>
      <c r="F294" s="1077"/>
      <c r="G294" s="1077"/>
      <c r="H294" s="1077">
        <v>167000</v>
      </c>
      <c r="I294" s="1077"/>
      <c r="J294" s="1077">
        <f>ROUND(J290/J288,0)</f>
        <v>246212</v>
      </c>
      <c r="K294" s="1077"/>
      <c r="L294" s="1077">
        <f>ROUND(L290/L288,0)</f>
        <v>347222</v>
      </c>
      <c r="M294" s="1077"/>
      <c r="N294" s="1077">
        <f>ROUND(N290/N288,0)</f>
        <v>666667</v>
      </c>
      <c r="O294" s="1077"/>
      <c r="P294" s="1077">
        <f>ROUND(P290/P288,0)</f>
        <v>666667</v>
      </c>
      <c r="R294" s="1165" t="s">
        <v>1278</v>
      </c>
      <c r="S294" s="1241" t="s">
        <v>1279</v>
      </c>
      <c r="T294">
        <v>677872</v>
      </c>
    </row>
    <row r="295" spans="2:20" ht="16.5" x14ac:dyDescent="0.15">
      <c r="B295" s="1072">
        <v>43252</v>
      </c>
      <c r="C295" s="1069"/>
      <c r="D295" s="1070"/>
      <c r="E295" s="1070"/>
      <c r="F295" s="1070"/>
      <c r="G295" s="1070"/>
      <c r="H295" s="1070"/>
      <c r="I295" s="1070"/>
      <c r="J295" s="1070"/>
      <c r="K295" s="1077"/>
      <c r="L295" s="1077"/>
      <c r="M295" s="1077"/>
      <c r="N295" s="1077"/>
      <c r="O295" s="1077"/>
      <c r="P295" s="1077"/>
      <c r="Q295" s="1077"/>
      <c r="R295" s="1077"/>
      <c r="S295" s="1160"/>
    </row>
    <row r="296" spans="2:20" ht="16.5" x14ac:dyDescent="0.15">
      <c r="B296" s="1071">
        <v>43282</v>
      </c>
      <c r="C296" s="1067">
        <v>421246</v>
      </c>
      <c r="D296" s="1067">
        <f>C296-C$294</f>
        <v>54246</v>
      </c>
      <c r="E296" s="1067">
        <v>1103972</v>
      </c>
      <c r="F296" s="1067">
        <f>E296-E$294</f>
        <v>603972</v>
      </c>
      <c r="G296" s="1067"/>
      <c r="H296" s="1068"/>
      <c r="I296" s="1067"/>
      <c r="J296" s="1068"/>
      <c r="K296" s="1067"/>
      <c r="L296" s="1068"/>
      <c r="M296" s="1067"/>
      <c r="N296" s="1068"/>
      <c r="O296" s="1067"/>
      <c r="P296" s="1068"/>
      <c r="Q296" s="1067"/>
      <c r="R296" s="1067"/>
      <c r="S296" s="1160"/>
    </row>
    <row r="297" spans="2:20" ht="16.5" x14ac:dyDescent="0.15">
      <c r="B297" s="1072">
        <v>43313</v>
      </c>
      <c r="C297" s="1069">
        <v>534463</v>
      </c>
      <c r="D297" s="1069">
        <f t="shared" ref="D297:F309" si="35">C297-C$294</f>
        <v>167463</v>
      </c>
      <c r="E297" s="1069">
        <v>554969</v>
      </c>
      <c r="F297" s="1069">
        <f t="shared" si="35"/>
        <v>54969</v>
      </c>
      <c r="G297" s="1069"/>
      <c r="H297" s="1069">
        <v>179054</v>
      </c>
      <c r="I297" s="1069">
        <f t="shared" ref="I297:I309" si="36">H297-H$294</f>
        <v>12054</v>
      </c>
      <c r="J297" s="1070"/>
      <c r="K297" s="1069"/>
      <c r="L297" s="1070"/>
      <c r="M297" s="1069"/>
      <c r="N297" s="1070"/>
      <c r="O297" s="1069"/>
      <c r="P297" s="1070"/>
      <c r="Q297" s="1069"/>
      <c r="R297" s="1069">
        <f>I297+K297+M297+O297+Q297</f>
        <v>12054</v>
      </c>
      <c r="S297" s="1160">
        <f>R297+T$294</f>
        <v>689926</v>
      </c>
    </row>
    <row r="298" spans="2:20" ht="16.5" x14ac:dyDescent="0.15">
      <c r="B298" s="1071">
        <v>43344</v>
      </c>
      <c r="C298" s="1067">
        <v>533761</v>
      </c>
      <c r="D298" s="1067">
        <f t="shared" si="35"/>
        <v>166761</v>
      </c>
      <c r="E298" s="1067">
        <v>548942</v>
      </c>
      <c r="F298" s="1067">
        <f t="shared" si="35"/>
        <v>48942</v>
      </c>
      <c r="G298" s="1067"/>
      <c r="H298" s="1067">
        <v>204057</v>
      </c>
      <c r="I298" s="1067">
        <f t="shared" si="36"/>
        <v>37057</v>
      </c>
      <c r="J298" s="1068"/>
      <c r="K298" s="1067"/>
      <c r="L298" s="1068"/>
      <c r="M298" s="1067"/>
      <c r="N298" s="1068"/>
      <c r="O298" s="1067"/>
      <c r="P298" s="1068"/>
      <c r="Q298" s="1067"/>
      <c r="R298" s="1067">
        <f t="shared" ref="R298:R309" si="37">I298+K298+M298+O298+Q298</f>
        <v>37057</v>
      </c>
      <c r="S298" s="1242">
        <f t="shared" ref="S298:S309" si="38">R298+T$294</f>
        <v>714929</v>
      </c>
    </row>
    <row r="299" spans="2:20" ht="16.5" x14ac:dyDescent="0.15">
      <c r="B299" s="1072">
        <v>43374</v>
      </c>
      <c r="C299" s="1069">
        <v>527703</v>
      </c>
      <c r="D299" s="1069">
        <f t="shared" si="35"/>
        <v>160703</v>
      </c>
      <c r="E299" s="1069">
        <v>551383</v>
      </c>
      <c r="F299" s="1069">
        <f t="shared" si="35"/>
        <v>51383</v>
      </c>
      <c r="G299" s="1069"/>
      <c r="H299" s="1069">
        <v>202560</v>
      </c>
      <c r="I299" s="1069">
        <f t="shared" si="36"/>
        <v>35560</v>
      </c>
      <c r="J299" s="1070"/>
      <c r="K299" s="1069"/>
      <c r="L299" s="1070">
        <v>356000</v>
      </c>
      <c r="M299" s="1069">
        <f t="shared" ref="M299:M309" si="39">L299-L$294</f>
        <v>8778</v>
      </c>
      <c r="N299" s="1070"/>
      <c r="O299" s="1069"/>
      <c r="P299" s="1070"/>
      <c r="Q299" s="1069"/>
      <c r="R299" s="1069">
        <f t="shared" si="37"/>
        <v>44338</v>
      </c>
      <c r="S299" s="1242">
        <f t="shared" si="38"/>
        <v>722210</v>
      </c>
    </row>
    <row r="300" spans="2:20" ht="16.5" x14ac:dyDescent="0.15">
      <c r="B300" s="1071">
        <v>43405</v>
      </c>
      <c r="C300" s="1067">
        <v>532359</v>
      </c>
      <c r="D300" s="1067">
        <f t="shared" si="35"/>
        <v>165359</v>
      </c>
      <c r="E300" s="1067">
        <v>556958</v>
      </c>
      <c r="F300" s="1067">
        <f t="shared" si="35"/>
        <v>56958</v>
      </c>
      <c r="G300" s="1067"/>
      <c r="H300" s="1067">
        <v>203433</v>
      </c>
      <c r="I300" s="1067">
        <f t="shared" si="36"/>
        <v>36433</v>
      </c>
      <c r="J300" s="1068"/>
      <c r="K300" s="1067"/>
      <c r="L300" s="1068">
        <v>356000</v>
      </c>
      <c r="M300" s="1067">
        <f t="shared" si="39"/>
        <v>8778</v>
      </c>
      <c r="N300" s="1068">
        <v>680000</v>
      </c>
      <c r="O300" s="1067">
        <f t="shared" ref="O300:O309" si="40">N300-N$294</f>
        <v>13333</v>
      </c>
      <c r="P300" s="1068"/>
      <c r="Q300" s="1067"/>
      <c r="R300" s="1067">
        <f t="shared" si="37"/>
        <v>58544</v>
      </c>
      <c r="S300" s="1242">
        <f t="shared" si="38"/>
        <v>736416</v>
      </c>
    </row>
    <row r="301" spans="2:20" ht="16.5" x14ac:dyDescent="0.15">
      <c r="B301" s="1072">
        <v>43435</v>
      </c>
      <c r="C301" s="1069">
        <v>526346</v>
      </c>
      <c r="D301" s="1069">
        <f t="shared" si="35"/>
        <v>159346</v>
      </c>
      <c r="E301" s="1069">
        <v>541528</v>
      </c>
      <c r="F301" s="1069">
        <f t="shared" si="35"/>
        <v>41528</v>
      </c>
      <c r="G301" s="1069"/>
      <c r="H301" s="1069">
        <v>201956</v>
      </c>
      <c r="I301" s="1069">
        <f t="shared" si="36"/>
        <v>34956</v>
      </c>
      <c r="J301" s="1070"/>
      <c r="K301" s="1069"/>
      <c r="L301" s="1070">
        <v>356000</v>
      </c>
      <c r="M301" s="1069">
        <f t="shared" si="39"/>
        <v>8778</v>
      </c>
      <c r="N301" s="1070">
        <v>680000</v>
      </c>
      <c r="O301" s="1069">
        <f t="shared" si="40"/>
        <v>13333</v>
      </c>
      <c r="P301" s="1070"/>
      <c r="Q301" s="1069"/>
      <c r="R301" s="1069">
        <f t="shared" si="37"/>
        <v>57067</v>
      </c>
      <c r="S301" s="1242">
        <f t="shared" si="38"/>
        <v>734939</v>
      </c>
    </row>
    <row r="302" spans="2:20" ht="16.5" x14ac:dyDescent="0.15">
      <c r="B302" s="1071">
        <v>43466</v>
      </c>
      <c r="C302" s="1067">
        <v>530956</v>
      </c>
      <c r="D302" s="1067">
        <f t="shared" si="35"/>
        <v>163956</v>
      </c>
      <c r="E302" s="1067">
        <v>545446</v>
      </c>
      <c r="F302" s="1067">
        <f t="shared" si="35"/>
        <v>45446</v>
      </c>
      <c r="G302" s="1067"/>
      <c r="H302" s="1067">
        <v>202809</v>
      </c>
      <c r="I302" s="1067">
        <f t="shared" si="36"/>
        <v>35809</v>
      </c>
      <c r="J302" s="1068"/>
      <c r="K302" s="1067"/>
      <c r="L302" s="1068">
        <v>356000</v>
      </c>
      <c r="M302" s="1067">
        <f t="shared" si="39"/>
        <v>8778</v>
      </c>
      <c r="N302" s="1068">
        <v>680000</v>
      </c>
      <c r="O302" s="1067">
        <f t="shared" si="40"/>
        <v>13333</v>
      </c>
      <c r="P302" s="1068"/>
      <c r="Q302" s="1067"/>
      <c r="R302" s="1067">
        <f t="shared" si="37"/>
        <v>57920</v>
      </c>
      <c r="S302" s="1242">
        <f t="shared" si="38"/>
        <v>735792</v>
      </c>
    </row>
    <row r="303" spans="2:20" ht="16.5" x14ac:dyDescent="0.15">
      <c r="B303" s="1072">
        <v>43497</v>
      </c>
      <c r="C303" s="1069">
        <v>530255</v>
      </c>
      <c r="D303" s="1069">
        <f t="shared" si="35"/>
        <v>163255</v>
      </c>
      <c r="E303" s="1069">
        <v>549183</v>
      </c>
      <c r="F303" s="1069">
        <f t="shared" si="35"/>
        <v>49183</v>
      </c>
      <c r="G303" s="1069"/>
      <c r="H303" s="1069">
        <v>202497</v>
      </c>
      <c r="I303" s="1069">
        <f t="shared" si="36"/>
        <v>35497</v>
      </c>
      <c r="J303" s="1070"/>
      <c r="K303" s="1069"/>
      <c r="L303" s="1070">
        <v>356000</v>
      </c>
      <c r="M303" s="1069">
        <f t="shared" si="39"/>
        <v>8778</v>
      </c>
      <c r="N303" s="1070">
        <v>680000</v>
      </c>
      <c r="O303" s="1069">
        <f t="shared" si="40"/>
        <v>13333</v>
      </c>
      <c r="P303" s="1070"/>
      <c r="Q303" s="1069"/>
      <c r="R303" s="1069">
        <f t="shared" si="37"/>
        <v>57608</v>
      </c>
      <c r="S303" s="1242">
        <f t="shared" si="38"/>
        <v>735480</v>
      </c>
    </row>
    <row r="304" spans="2:20" ht="16.5" x14ac:dyDescent="0.15">
      <c r="B304" s="1071">
        <v>43525</v>
      </c>
      <c r="C304" s="1067">
        <v>513822</v>
      </c>
      <c r="D304" s="1067">
        <f t="shared" si="35"/>
        <v>146822</v>
      </c>
      <c r="E304" s="1067">
        <v>543698</v>
      </c>
      <c r="F304" s="1067">
        <f t="shared" si="35"/>
        <v>43698</v>
      </c>
      <c r="G304" s="1067"/>
      <c r="H304" s="1067">
        <v>198780</v>
      </c>
      <c r="I304" s="1067">
        <f t="shared" si="36"/>
        <v>31780</v>
      </c>
      <c r="J304" s="1068">
        <v>253000</v>
      </c>
      <c r="K304" s="1067">
        <f t="shared" ref="K304:K309" si="41">J304-J$294</f>
        <v>6788</v>
      </c>
      <c r="L304" s="1068">
        <v>356000</v>
      </c>
      <c r="M304" s="1067">
        <f t="shared" si="39"/>
        <v>8778</v>
      </c>
      <c r="N304" s="1068">
        <v>680000</v>
      </c>
      <c r="O304" s="1067">
        <f t="shared" si="40"/>
        <v>13333</v>
      </c>
      <c r="P304" s="1068">
        <v>680000</v>
      </c>
      <c r="Q304" s="1067">
        <f t="shared" ref="Q304:Q309" si="42">P304-P$294</f>
        <v>13333</v>
      </c>
      <c r="R304" s="1067">
        <f t="shared" si="37"/>
        <v>74012</v>
      </c>
      <c r="S304" s="1242">
        <f t="shared" si="38"/>
        <v>751884</v>
      </c>
    </row>
    <row r="305" spans="2:19" ht="16.5" x14ac:dyDescent="0.15">
      <c r="B305" s="1072">
        <v>43556</v>
      </c>
      <c r="C305" s="1069">
        <v>528852</v>
      </c>
      <c r="D305" s="1069">
        <f t="shared" si="35"/>
        <v>161852</v>
      </c>
      <c r="E305" s="1069">
        <v>544301</v>
      </c>
      <c r="F305" s="1069">
        <f t="shared" si="35"/>
        <v>44301</v>
      </c>
      <c r="G305" s="1069"/>
      <c r="H305" s="1069">
        <v>201873</v>
      </c>
      <c r="I305" s="1069">
        <f t="shared" si="36"/>
        <v>34873</v>
      </c>
      <c r="J305" s="1070">
        <v>253000</v>
      </c>
      <c r="K305" s="1069">
        <f t="shared" si="41"/>
        <v>6788</v>
      </c>
      <c r="L305" s="1070">
        <v>356000</v>
      </c>
      <c r="M305" s="1069">
        <f t="shared" si="39"/>
        <v>8778</v>
      </c>
      <c r="N305" s="1070">
        <v>680000</v>
      </c>
      <c r="O305" s="1069">
        <f t="shared" si="40"/>
        <v>13333</v>
      </c>
      <c r="P305" s="1070">
        <v>680000</v>
      </c>
      <c r="Q305" s="1069">
        <f t="shared" si="42"/>
        <v>13333</v>
      </c>
      <c r="R305" s="1069">
        <f t="shared" si="37"/>
        <v>77105</v>
      </c>
      <c r="S305" s="1242">
        <f t="shared" si="38"/>
        <v>754977</v>
      </c>
    </row>
    <row r="306" spans="2:19" ht="16.5" x14ac:dyDescent="0.15">
      <c r="B306" s="1071">
        <v>43586</v>
      </c>
      <c r="C306" s="1067">
        <v>522952</v>
      </c>
      <c r="D306" s="1067">
        <f t="shared" si="35"/>
        <v>155952</v>
      </c>
      <c r="E306" s="1067">
        <v>546290</v>
      </c>
      <c r="F306" s="1067">
        <f t="shared" si="35"/>
        <v>46290</v>
      </c>
      <c r="G306" s="1067"/>
      <c r="H306" s="1067">
        <v>200446</v>
      </c>
      <c r="I306" s="1067">
        <f t="shared" si="36"/>
        <v>33446</v>
      </c>
      <c r="J306" s="1068">
        <v>253000</v>
      </c>
      <c r="K306" s="1067">
        <f t="shared" si="41"/>
        <v>6788</v>
      </c>
      <c r="L306" s="1068">
        <v>356000</v>
      </c>
      <c r="M306" s="1067">
        <f t="shared" si="39"/>
        <v>8778</v>
      </c>
      <c r="N306" s="1068">
        <v>680000</v>
      </c>
      <c r="O306" s="1067">
        <f t="shared" si="40"/>
        <v>13333</v>
      </c>
      <c r="P306" s="1068">
        <v>680000</v>
      </c>
      <c r="Q306" s="1067">
        <f t="shared" si="42"/>
        <v>13333</v>
      </c>
      <c r="R306" s="1067">
        <f t="shared" si="37"/>
        <v>75678</v>
      </c>
      <c r="S306" s="1242">
        <f t="shared" si="38"/>
        <v>753550</v>
      </c>
    </row>
    <row r="307" spans="2:19" ht="16.5" x14ac:dyDescent="0.15">
      <c r="B307" s="1072">
        <v>43617</v>
      </c>
      <c r="C307" s="1069">
        <v>527449</v>
      </c>
      <c r="D307" s="1069">
        <f t="shared" si="35"/>
        <v>160449</v>
      </c>
      <c r="E307" s="1069">
        <v>541076</v>
      </c>
      <c r="F307" s="1069">
        <f t="shared" si="35"/>
        <v>41076</v>
      </c>
      <c r="G307" s="1069"/>
      <c r="H307" s="1069">
        <v>201249</v>
      </c>
      <c r="I307" s="1069">
        <f t="shared" si="36"/>
        <v>34249</v>
      </c>
      <c r="J307" s="1070">
        <v>253000</v>
      </c>
      <c r="K307" s="1069">
        <f t="shared" si="41"/>
        <v>6788</v>
      </c>
      <c r="L307" s="1070">
        <v>356000</v>
      </c>
      <c r="M307" s="1069">
        <f t="shared" si="39"/>
        <v>8778</v>
      </c>
      <c r="N307" s="1070">
        <v>680000</v>
      </c>
      <c r="O307" s="1069">
        <f t="shared" si="40"/>
        <v>13333</v>
      </c>
      <c r="P307" s="1070">
        <v>680000</v>
      </c>
      <c r="Q307" s="1069">
        <f t="shared" si="42"/>
        <v>13333</v>
      </c>
      <c r="R307" s="1069">
        <f t="shared" si="37"/>
        <v>76481</v>
      </c>
      <c r="S307" s="1242">
        <f t="shared" si="38"/>
        <v>754353</v>
      </c>
    </row>
    <row r="308" spans="2:19" ht="16.5" x14ac:dyDescent="0.15">
      <c r="B308" s="1071">
        <v>43647</v>
      </c>
      <c r="C308" s="1067">
        <v>521595</v>
      </c>
      <c r="D308" s="1067">
        <f t="shared" si="35"/>
        <v>154595</v>
      </c>
      <c r="E308" s="1067">
        <v>542975</v>
      </c>
      <c r="F308" s="1067">
        <f t="shared" si="35"/>
        <v>42975</v>
      </c>
      <c r="G308" s="1067"/>
      <c r="H308" s="1067">
        <v>199842</v>
      </c>
      <c r="I308" s="1067">
        <f t="shared" si="36"/>
        <v>32842</v>
      </c>
      <c r="J308" s="1068">
        <v>253000</v>
      </c>
      <c r="K308" s="1067">
        <f t="shared" si="41"/>
        <v>6788</v>
      </c>
      <c r="L308" s="1068">
        <v>356000</v>
      </c>
      <c r="M308" s="1067">
        <f t="shared" si="39"/>
        <v>8778</v>
      </c>
      <c r="N308" s="1068">
        <v>680000</v>
      </c>
      <c r="O308" s="1067">
        <f t="shared" si="40"/>
        <v>13333</v>
      </c>
      <c r="P308" s="1068">
        <v>680000</v>
      </c>
      <c r="Q308" s="1067">
        <f t="shared" si="42"/>
        <v>13333</v>
      </c>
      <c r="R308" s="1067">
        <f t="shared" si="37"/>
        <v>75074</v>
      </c>
      <c r="S308" s="1242">
        <f t="shared" si="38"/>
        <v>752946</v>
      </c>
    </row>
    <row r="309" spans="2:19" ht="16.5" x14ac:dyDescent="0.15">
      <c r="B309" s="1072">
        <v>43678</v>
      </c>
      <c r="C309" s="1069">
        <v>526047</v>
      </c>
      <c r="D309" s="1069">
        <f t="shared" si="35"/>
        <v>159047</v>
      </c>
      <c r="E309" s="1069">
        <v>542041</v>
      </c>
      <c r="F309" s="1069">
        <f t="shared" si="35"/>
        <v>42041</v>
      </c>
      <c r="G309" s="1069"/>
      <c r="H309" s="1069">
        <v>200625</v>
      </c>
      <c r="I309" s="1069">
        <f t="shared" si="36"/>
        <v>33625</v>
      </c>
      <c r="J309" s="1070">
        <v>253000</v>
      </c>
      <c r="K309" s="1069">
        <f t="shared" si="41"/>
        <v>6788</v>
      </c>
      <c r="L309" s="1070">
        <v>356000</v>
      </c>
      <c r="M309" s="1069">
        <f t="shared" si="39"/>
        <v>8778</v>
      </c>
      <c r="N309" s="1070">
        <v>680000</v>
      </c>
      <c r="O309" s="1069">
        <f t="shared" si="40"/>
        <v>13333</v>
      </c>
      <c r="P309" s="1070">
        <v>680000</v>
      </c>
      <c r="Q309" s="1069">
        <f t="shared" si="42"/>
        <v>13333</v>
      </c>
      <c r="R309" s="1069">
        <f t="shared" si="37"/>
        <v>75857</v>
      </c>
      <c r="S309" s="1242">
        <f t="shared" si="38"/>
        <v>753729</v>
      </c>
    </row>
    <row r="314" spans="2:19" x14ac:dyDescent="0.15">
      <c r="B314"/>
    </row>
    <row r="315" spans="2:19" x14ac:dyDescent="0.15">
      <c r="B315"/>
    </row>
    <row r="316" spans="2:19" x14ac:dyDescent="0.15">
      <c r="B316"/>
    </row>
    <row r="317" spans="2:19" x14ac:dyDescent="0.15">
      <c r="B317"/>
    </row>
    <row r="318" spans="2:19" x14ac:dyDescent="0.15">
      <c r="B318"/>
    </row>
    <row r="319" spans="2:19" x14ac:dyDescent="0.15">
      <c r="B319"/>
    </row>
    <row r="320" spans="2:19" x14ac:dyDescent="0.15">
      <c r="B320"/>
    </row>
    <row r="339" spans="2:14" x14ac:dyDescent="0.15">
      <c r="C339">
        <v>145078</v>
      </c>
      <c r="D339">
        <v>145078</v>
      </c>
      <c r="E339">
        <v>145078</v>
      </c>
      <c r="F339">
        <v>145078</v>
      </c>
      <c r="G339">
        <v>145078</v>
      </c>
      <c r="H339">
        <v>145078</v>
      </c>
      <c r="I339">
        <v>145078</v>
      </c>
      <c r="J339">
        <v>145078</v>
      </c>
      <c r="K339">
        <v>145078</v>
      </c>
      <c r="L339">
        <v>145078</v>
      </c>
      <c r="M339">
        <v>145078</v>
      </c>
      <c r="N339">
        <v>145078</v>
      </c>
    </row>
    <row r="340" spans="2:14" x14ac:dyDescent="0.15">
      <c r="B340" s="1245"/>
      <c r="C340">
        <f>ROUND(C339/1000,0)*1000</f>
        <v>145000</v>
      </c>
      <c r="D340">
        <f t="shared" ref="D340:N340" si="43">ROUND(D339/1000,0)*1000</f>
        <v>145000</v>
      </c>
      <c r="E340">
        <f t="shared" si="43"/>
        <v>145000</v>
      </c>
      <c r="F340">
        <f t="shared" si="43"/>
        <v>145000</v>
      </c>
      <c r="G340">
        <f t="shared" si="43"/>
        <v>145000</v>
      </c>
      <c r="H340">
        <f t="shared" si="43"/>
        <v>145000</v>
      </c>
      <c r="I340">
        <f t="shared" si="43"/>
        <v>145000</v>
      </c>
      <c r="J340">
        <f t="shared" si="43"/>
        <v>145000</v>
      </c>
      <c r="K340">
        <f t="shared" si="43"/>
        <v>145000</v>
      </c>
      <c r="L340">
        <f t="shared" si="43"/>
        <v>145000</v>
      </c>
      <c r="M340">
        <f t="shared" si="43"/>
        <v>145000</v>
      </c>
      <c r="N340">
        <f t="shared" si="43"/>
        <v>145000</v>
      </c>
    </row>
    <row r="341" spans="2:14" x14ac:dyDescent="0.15">
      <c r="B341" s="1245"/>
    </row>
    <row r="342" spans="2:14" x14ac:dyDescent="0.15">
      <c r="B342" s="1245"/>
    </row>
    <row r="343" spans="2:14" x14ac:dyDescent="0.15">
      <c r="B343" s="1245"/>
    </row>
    <row r="344" spans="2:14" x14ac:dyDescent="0.15">
      <c r="B344" s="1245"/>
    </row>
    <row r="345" spans="2:14" x14ac:dyDescent="0.15">
      <c r="B345" s="1245"/>
    </row>
    <row r="346" spans="2:14" x14ac:dyDescent="0.15">
      <c r="B346" s="1245"/>
    </row>
    <row r="347" spans="2:14" x14ac:dyDescent="0.15">
      <c r="B347" s="1245"/>
    </row>
    <row r="348" spans="2:14" x14ac:dyDescent="0.15">
      <c r="C348">
        <v>760514</v>
      </c>
      <c r="D348">
        <v>755400</v>
      </c>
      <c r="E348">
        <v>766504</v>
      </c>
      <c r="F348">
        <v>743584</v>
      </c>
      <c r="G348">
        <v>852965</v>
      </c>
      <c r="H348">
        <v>855689</v>
      </c>
      <c r="I348">
        <v>826841</v>
      </c>
      <c r="J348">
        <v>845567</v>
      </c>
      <c r="K348">
        <v>840229</v>
      </c>
      <c r="L348">
        <v>840315</v>
      </c>
      <c r="M348">
        <v>834953</v>
      </c>
      <c r="N348">
        <v>839254</v>
      </c>
    </row>
    <row r="349" spans="2:14" x14ac:dyDescent="0.15">
      <c r="C349">
        <f t="shared" ref="C349:N349" si="44">ROUND(C348/1000,0)*1000</f>
        <v>761000</v>
      </c>
      <c r="D349">
        <f t="shared" si="44"/>
        <v>755000</v>
      </c>
      <c r="E349">
        <f t="shared" si="44"/>
        <v>767000</v>
      </c>
      <c r="F349">
        <f t="shared" si="44"/>
        <v>744000</v>
      </c>
      <c r="G349">
        <f t="shared" si="44"/>
        <v>853000</v>
      </c>
      <c r="H349">
        <f t="shared" si="44"/>
        <v>856000</v>
      </c>
      <c r="I349">
        <f t="shared" si="44"/>
        <v>827000</v>
      </c>
      <c r="J349">
        <f t="shared" si="44"/>
        <v>846000</v>
      </c>
      <c r="K349">
        <f t="shared" si="44"/>
        <v>840000</v>
      </c>
      <c r="L349">
        <f t="shared" si="44"/>
        <v>840000</v>
      </c>
      <c r="M349">
        <f t="shared" si="44"/>
        <v>835000</v>
      </c>
      <c r="N349">
        <f t="shared" si="44"/>
        <v>839000</v>
      </c>
    </row>
  </sheetData>
  <mergeCells count="224">
    <mergeCell ref="G150:G156"/>
    <mergeCell ref="H150:H156"/>
    <mergeCell ref="I150:I156"/>
    <mergeCell ref="J150:J156"/>
    <mergeCell ref="K150:K156"/>
    <mergeCell ref="L150:L156"/>
    <mergeCell ref="M150:M156"/>
    <mergeCell ref="N150:N156"/>
    <mergeCell ref="A238:B238"/>
    <mergeCell ref="K228:K235"/>
    <mergeCell ref="L228:L235"/>
    <mergeCell ref="M228:M235"/>
    <mergeCell ref="N228:N235"/>
    <mergeCell ref="F228:F235"/>
    <mergeCell ref="G228:G235"/>
    <mergeCell ref="H228:H235"/>
    <mergeCell ref="I228:I235"/>
    <mergeCell ref="J228:J235"/>
    <mergeCell ref="G209:G216"/>
    <mergeCell ref="H209:H216"/>
    <mergeCell ref="I209:I216"/>
    <mergeCell ref="J209:J216"/>
    <mergeCell ref="K209:K216"/>
    <mergeCell ref="L209:L216"/>
    <mergeCell ref="A239:B239"/>
    <mergeCell ref="A242:B242"/>
    <mergeCell ref="A240:B240"/>
    <mergeCell ref="A241:B241"/>
    <mergeCell ref="A228:B235"/>
    <mergeCell ref="C228:C235"/>
    <mergeCell ref="D228:D235"/>
    <mergeCell ref="E228:E235"/>
    <mergeCell ref="A219:B219"/>
    <mergeCell ref="A220:B220"/>
    <mergeCell ref="A226:B226"/>
    <mergeCell ref="A227:B227"/>
    <mergeCell ref="A221:B225"/>
    <mergeCell ref="M209:M216"/>
    <mergeCell ref="N209:N216"/>
    <mergeCell ref="A201:B201"/>
    <mergeCell ref="A202:B202"/>
    <mergeCell ref="A203:B203"/>
    <mergeCell ref="A204:B204"/>
    <mergeCell ref="A205:B205"/>
    <mergeCell ref="A206:B206"/>
    <mergeCell ref="A200:B200"/>
    <mergeCell ref="A207:B207"/>
    <mergeCell ref="A208:B208"/>
    <mergeCell ref="A209:B216"/>
    <mergeCell ref="C209:C216"/>
    <mergeCell ref="D209:D216"/>
    <mergeCell ref="E209:E216"/>
    <mergeCell ref="F209:F216"/>
    <mergeCell ref="A181:A182"/>
    <mergeCell ref="A183:B183"/>
    <mergeCell ref="A186:B186"/>
    <mergeCell ref="A187:B187"/>
    <mergeCell ref="A188:A189"/>
    <mergeCell ref="A190:B190"/>
    <mergeCell ref="A193:B193"/>
    <mergeCell ref="A194:B194"/>
    <mergeCell ref="A195:A196"/>
    <mergeCell ref="A197:B197"/>
    <mergeCell ref="A180:B180"/>
    <mergeCell ref="A15:B15"/>
    <mergeCell ref="L164:L176"/>
    <mergeCell ref="M164:M176"/>
    <mergeCell ref="N164:N176"/>
    <mergeCell ref="F164:F176"/>
    <mergeCell ref="G164:G176"/>
    <mergeCell ref="H164:H176"/>
    <mergeCell ref="I164:I176"/>
    <mergeCell ref="G157:G163"/>
    <mergeCell ref="H157:H163"/>
    <mergeCell ref="I157:I163"/>
    <mergeCell ref="J157:J163"/>
    <mergeCell ref="K157:K163"/>
    <mergeCell ref="J164:J176"/>
    <mergeCell ref="K164:K176"/>
    <mergeCell ref="A20:B20"/>
    <mergeCell ref="C142:C149"/>
    <mergeCell ref="A88:B88"/>
    <mergeCell ref="A89:B89"/>
    <mergeCell ref="A111:B111"/>
    <mergeCell ref="A132:B132"/>
    <mergeCell ref="A179:B179"/>
    <mergeCell ref="F150:F156"/>
    <mergeCell ref="L157:L163"/>
    <mergeCell ref="J142:J149"/>
    <mergeCell ref="K142:K149"/>
    <mergeCell ref="L142:L149"/>
    <mergeCell ref="M142:M149"/>
    <mergeCell ref="M157:M163"/>
    <mergeCell ref="N157:N163"/>
    <mergeCell ref="C164:C176"/>
    <mergeCell ref="D164:D176"/>
    <mergeCell ref="E164:E176"/>
    <mergeCell ref="N142:N149"/>
    <mergeCell ref="C157:C163"/>
    <mergeCell ref="D157:D163"/>
    <mergeCell ref="E157:E163"/>
    <mergeCell ref="F157:F163"/>
    <mergeCell ref="D142:D149"/>
    <mergeCell ref="E142:E149"/>
    <mergeCell ref="F142:F149"/>
    <mergeCell ref="G142:G149"/>
    <mergeCell ref="H142:H149"/>
    <mergeCell ref="I142:I149"/>
    <mergeCell ref="C150:C156"/>
    <mergeCell ref="D150:D156"/>
    <mergeCell ref="E150:E156"/>
    <mergeCell ref="C71:C74"/>
    <mergeCell ref="A68:B68"/>
    <mergeCell ref="A71:B74"/>
    <mergeCell ref="A69:B70"/>
    <mergeCell ref="C69:C70"/>
    <mergeCell ref="A96:B99"/>
    <mergeCell ref="A164:B176"/>
    <mergeCell ref="A104:B110"/>
    <mergeCell ref="C75:C78"/>
    <mergeCell ref="C79:C83"/>
    <mergeCell ref="C84:C85"/>
    <mergeCell ref="A75:B78"/>
    <mergeCell ref="A79:B83"/>
    <mergeCell ref="A84:B85"/>
    <mergeCell ref="A133:B133"/>
    <mergeCell ref="A142:B149"/>
    <mergeCell ref="A112:B131"/>
    <mergeCell ref="A157:B163"/>
    <mergeCell ref="A134:B141"/>
    <mergeCell ref="A92:B95"/>
    <mergeCell ref="C134:C141"/>
    <mergeCell ref="A100:B103"/>
    <mergeCell ref="A150:B156"/>
    <mergeCell ref="A90:B91"/>
    <mergeCell ref="N71:N74"/>
    <mergeCell ref="M75:M78"/>
    <mergeCell ref="N75:N78"/>
    <mergeCell ref="I71:I74"/>
    <mergeCell ref="J71:J74"/>
    <mergeCell ref="K71:K74"/>
    <mergeCell ref="L71:L74"/>
    <mergeCell ref="M71:M74"/>
    <mergeCell ref="D71:D74"/>
    <mergeCell ref="E71:E74"/>
    <mergeCell ref="F71:F74"/>
    <mergeCell ref="G71:G74"/>
    <mergeCell ref="H71:H74"/>
    <mergeCell ref="D75:D78"/>
    <mergeCell ref="E75:E78"/>
    <mergeCell ref="F75:F78"/>
    <mergeCell ref="G75:G78"/>
    <mergeCell ref="H75:H78"/>
    <mergeCell ref="I75:I78"/>
    <mergeCell ref="J75:J78"/>
    <mergeCell ref="K75:K78"/>
    <mergeCell ref="L75:L78"/>
    <mergeCell ref="M84:M85"/>
    <mergeCell ref="A12:B12"/>
    <mergeCell ref="A14:B14"/>
    <mergeCell ref="A16:B16"/>
    <mergeCell ref="A17:B17"/>
    <mergeCell ref="I69:I70"/>
    <mergeCell ref="J69:J70"/>
    <mergeCell ref="K69:K70"/>
    <mergeCell ref="L69:L70"/>
    <mergeCell ref="D69:D70"/>
    <mergeCell ref="E69:E70"/>
    <mergeCell ref="F69:F70"/>
    <mergeCell ref="G69:G70"/>
    <mergeCell ref="H69:H70"/>
    <mergeCell ref="B61:B62"/>
    <mergeCell ref="A21:A32"/>
    <mergeCell ref="A33:A57"/>
    <mergeCell ref="A60:A63"/>
    <mergeCell ref="A58:B58"/>
    <mergeCell ref="A59:B59"/>
    <mergeCell ref="A64:A66"/>
    <mergeCell ref="A67:B67"/>
    <mergeCell ref="A13:B13"/>
    <mergeCell ref="A2:B2"/>
    <mergeCell ref="A3:B3"/>
    <mergeCell ref="A4:B4"/>
    <mergeCell ref="A5:B5"/>
    <mergeCell ref="A6:B6"/>
    <mergeCell ref="A8:B8"/>
    <mergeCell ref="A9:B9"/>
    <mergeCell ref="A10:B10"/>
    <mergeCell ref="A11:B11"/>
    <mergeCell ref="N84:N85"/>
    <mergeCell ref="I79:I83"/>
    <mergeCell ref="J79:J83"/>
    <mergeCell ref="K79:K83"/>
    <mergeCell ref="L79:L83"/>
    <mergeCell ref="M79:M83"/>
    <mergeCell ref="D79:D83"/>
    <mergeCell ref="E79:E83"/>
    <mergeCell ref="F79:F83"/>
    <mergeCell ref="G79:G83"/>
    <mergeCell ref="H79:H83"/>
    <mergeCell ref="M134:M141"/>
    <mergeCell ref="N134:N141"/>
    <mergeCell ref="A7:B7"/>
    <mergeCell ref="D134:D141"/>
    <mergeCell ref="E134:E141"/>
    <mergeCell ref="F134:F141"/>
    <mergeCell ref="G134:G141"/>
    <mergeCell ref="H134:H141"/>
    <mergeCell ref="I134:I141"/>
    <mergeCell ref="J134:J141"/>
    <mergeCell ref="K134:K141"/>
    <mergeCell ref="L134:L141"/>
    <mergeCell ref="N69:N70"/>
    <mergeCell ref="M69:M70"/>
    <mergeCell ref="N79:N83"/>
    <mergeCell ref="D84:D85"/>
    <mergeCell ref="E84:E85"/>
    <mergeCell ref="F84:F85"/>
    <mergeCell ref="G84:G85"/>
    <mergeCell ref="H84:H85"/>
    <mergeCell ref="I84:I85"/>
    <mergeCell ref="J84:J85"/>
    <mergeCell ref="K84:K85"/>
    <mergeCell ref="L84:L85"/>
  </mergeCells>
  <phoneticPr fontId="40"/>
  <conditionalFormatting sqref="C3:N16">
    <cfRule type="expression" dxfId="10" priority="1">
      <formula>C3=0</formula>
    </cfRule>
  </conditionalFormatting>
  <pageMargins left="0.23622047244094491" right="0.23622047244094491" top="0.35433070866141736" bottom="0.35433070866141736" header="0.31496062992125984" footer="0.31496062992125984"/>
  <pageSetup paperSize="9" scale="18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7">
    <tabColor rgb="FFFF9999"/>
    <pageSetUpPr fitToPage="1"/>
  </sheetPr>
  <dimension ref="A1:BC274"/>
  <sheetViews>
    <sheetView topLeftCell="A193" workbookViewId="0">
      <selection activeCell="B211" sqref="B211:M211"/>
    </sheetView>
  </sheetViews>
  <sheetFormatPr defaultRowHeight="13.5" x14ac:dyDescent="0.15"/>
  <cols>
    <col min="1" max="40" width="12.125" customWidth="1"/>
    <col min="41" max="41" width="12.125" bestFit="1" customWidth="1"/>
    <col min="42" max="42" width="12.75" bestFit="1" customWidth="1"/>
    <col min="43" max="43" width="12.125" bestFit="1" customWidth="1"/>
    <col min="44" max="44" width="12.75" bestFit="1" customWidth="1"/>
    <col min="45" max="45" width="12.125" bestFit="1" customWidth="1"/>
  </cols>
  <sheetData>
    <row r="1" spans="1:53" ht="18.75" x14ac:dyDescent="0.15">
      <c r="A1" s="43" t="s">
        <v>343</v>
      </c>
    </row>
    <row r="2" spans="1:53" ht="18.75" x14ac:dyDescent="0.15">
      <c r="A2" s="204" t="s">
        <v>1484</v>
      </c>
      <c r="B2" s="205"/>
      <c r="C2" s="206"/>
      <c r="L2" t="s">
        <v>1518</v>
      </c>
      <c r="Q2" t="s">
        <v>1502</v>
      </c>
      <c r="R2" t="s">
        <v>1502</v>
      </c>
      <c r="AH2" s="26"/>
    </row>
    <row r="3" spans="1:53" x14ac:dyDescent="0.15">
      <c r="A3" s="207" t="s">
        <v>300</v>
      </c>
      <c r="B3" s="207" t="s">
        <v>301</v>
      </c>
      <c r="C3" s="710">
        <v>4</v>
      </c>
      <c r="D3" s="710">
        <v>5</v>
      </c>
      <c r="E3" s="710">
        <v>6</v>
      </c>
      <c r="F3" s="710">
        <v>7</v>
      </c>
      <c r="G3" s="710">
        <v>8</v>
      </c>
      <c r="H3" s="710">
        <v>9</v>
      </c>
      <c r="I3" s="710">
        <v>10</v>
      </c>
      <c r="J3" s="710">
        <v>11</v>
      </c>
      <c r="K3" s="710">
        <v>12</v>
      </c>
      <c r="L3" s="710">
        <v>1</v>
      </c>
      <c r="M3" s="710">
        <v>2</v>
      </c>
      <c r="N3" s="710">
        <v>3</v>
      </c>
      <c r="O3" s="332" t="s">
        <v>235</v>
      </c>
      <c r="P3" t="s">
        <v>960</v>
      </c>
      <c r="Q3" t="s">
        <v>880</v>
      </c>
      <c r="R3" t="s">
        <v>993</v>
      </c>
      <c r="AT3" s="414" t="s">
        <v>458</v>
      </c>
      <c r="AU3" s="32">
        <v>6</v>
      </c>
      <c r="AV3" s="32">
        <v>7</v>
      </c>
      <c r="AW3" s="414" t="s">
        <v>462</v>
      </c>
      <c r="AX3">
        <v>8</v>
      </c>
      <c r="AY3" t="s">
        <v>96</v>
      </c>
      <c r="AZ3" t="s">
        <v>256</v>
      </c>
      <c r="BA3" t="s">
        <v>461</v>
      </c>
    </row>
    <row r="4" spans="1:53" x14ac:dyDescent="0.15">
      <c r="A4" s="208">
        <v>501</v>
      </c>
      <c r="B4" s="257" t="s">
        <v>297</v>
      </c>
      <c r="C4" s="100">
        <v>19957910</v>
      </c>
      <c r="D4" s="100">
        <v>19727266</v>
      </c>
      <c r="E4" s="100">
        <v>20376866</v>
      </c>
      <c r="F4" s="100">
        <v>20632576</v>
      </c>
      <c r="G4" s="100">
        <v>20504794</v>
      </c>
      <c r="H4" s="100">
        <v>20791598</v>
      </c>
      <c r="I4" s="100">
        <v>21616827</v>
      </c>
      <c r="J4" s="100">
        <v>22365823</v>
      </c>
      <c r="K4" s="100">
        <v>22758443</v>
      </c>
      <c r="L4" s="100">
        <v>22602956</v>
      </c>
      <c r="M4" s="100">
        <v>21433292</v>
      </c>
      <c r="N4" s="100">
        <v>22007598</v>
      </c>
      <c r="O4" s="100">
        <f>SUM(C4:N4)</f>
        <v>254775949</v>
      </c>
      <c r="P4" s="4">
        <f>AVERAGE(C4:N4)</f>
        <v>21231329.083333332</v>
      </c>
      <c r="Q4" s="4">
        <f>AVERAGE(H4:N4)</f>
        <v>21939505.285714287</v>
      </c>
      <c r="R4" s="4">
        <f>SUM(H4:N4)</f>
        <v>153576537</v>
      </c>
      <c r="S4" s="4"/>
      <c r="T4" s="4"/>
      <c r="U4" s="4"/>
      <c r="V4" s="4"/>
      <c r="W4" s="4"/>
      <c r="X4" s="4"/>
      <c r="AQ4" s="4"/>
      <c r="AR4" s="4"/>
      <c r="AS4" s="4"/>
      <c r="AT4" s="35" t="s">
        <v>102</v>
      </c>
      <c r="AU4" s="36">
        <v>9227912</v>
      </c>
      <c r="AV4" s="36">
        <v>9227912</v>
      </c>
      <c r="AW4" s="32">
        <v>417475</v>
      </c>
      <c r="AX4" s="26">
        <v>9800458.6551724132</v>
      </c>
      <c r="AY4" s="4">
        <f t="shared" ref="AY4:AY12" si="0">SUM(AU4:AX4)</f>
        <v>28673757.655172415</v>
      </c>
      <c r="AZ4">
        <f t="shared" ref="AZ4:AZ12" si="1">ROUND(AY4/3,0)</f>
        <v>9557919</v>
      </c>
      <c r="BA4">
        <f t="shared" ref="BA4:BA12" si="2">ROUND(AZ4/10000,0)</f>
        <v>956</v>
      </c>
    </row>
    <row r="5" spans="1:53" x14ac:dyDescent="0.15">
      <c r="A5" s="208">
        <v>502</v>
      </c>
      <c r="B5" s="257" t="s">
        <v>298</v>
      </c>
      <c r="C5" s="100">
        <v>0</v>
      </c>
      <c r="D5" s="100">
        <v>0</v>
      </c>
      <c r="E5" s="100">
        <v>7065300</v>
      </c>
      <c r="F5" s="100">
        <v>0</v>
      </c>
      <c r="G5" s="100">
        <v>1700000</v>
      </c>
      <c r="H5" s="100">
        <v>0</v>
      </c>
      <c r="I5" s="100">
        <v>0</v>
      </c>
      <c r="J5" s="100">
        <v>0</v>
      </c>
      <c r="K5" s="100">
        <v>12454095</v>
      </c>
      <c r="L5" s="100">
        <v>0</v>
      </c>
      <c r="M5" s="100">
        <v>0</v>
      </c>
      <c r="N5" s="100">
        <v>0</v>
      </c>
      <c r="O5" s="100">
        <f t="shared" ref="O5:O29" si="3">SUM(C5:N5)</f>
        <v>21219395</v>
      </c>
      <c r="P5" s="4">
        <f t="shared" ref="P5:P29" si="4">AVERAGE(C5:N5)</f>
        <v>1768282.9166666667</v>
      </c>
      <c r="Q5" s="4">
        <f t="shared" ref="Q5:Q29" si="5">AVERAGE(H5:N5)</f>
        <v>1779156.4285714286</v>
      </c>
      <c r="R5" s="4">
        <f t="shared" ref="R5:R29" si="6">SUM(H5:N5)</f>
        <v>12454095</v>
      </c>
      <c r="S5" s="4"/>
      <c r="T5" s="4"/>
      <c r="U5" s="4"/>
      <c r="V5" s="4"/>
      <c r="W5" s="4"/>
      <c r="X5" s="4"/>
      <c r="AQ5" s="4"/>
      <c r="AR5" s="4"/>
      <c r="AS5" s="4"/>
      <c r="AT5" s="35" t="s">
        <v>104</v>
      </c>
      <c r="AU5" s="36">
        <v>5409924</v>
      </c>
      <c r="AV5" s="36">
        <v>5409924</v>
      </c>
      <c r="AW5" s="32">
        <v>765514</v>
      </c>
      <c r="AX5" s="26">
        <v>5486618.3793103443</v>
      </c>
      <c r="AY5" s="4">
        <f t="shared" si="0"/>
        <v>17071980.379310343</v>
      </c>
      <c r="AZ5">
        <f t="shared" si="1"/>
        <v>5690660</v>
      </c>
      <c r="BA5">
        <f t="shared" si="2"/>
        <v>569</v>
      </c>
    </row>
    <row r="6" spans="1:53" x14ac:dyDescent="0.15">
      <c r="A6" s="208">
        <v>505</v>
      </c>
      <c r="B6" s="257" t="s">
        <v>299</v>
      </c>
      <c r="C6" s="100">
        <v>65881</v>
      </c>
      <c r="D6" s="100">
        <v>29519</v>
      </c>
      <c r="E6" s="100">
        <v>119909</v>
      </c>
      <c r="F6" s="100">
        <v>637192</v>
      </c>
      <c r="G6" s="100">
        <v>218408</v>
      </c>
      <c r="H6" s="100">
        <v>212240</v>
      </c>
      <c r="I6" s="100">
        <v>193010</v>
      </c>
      <c r="J6" s="100">
        <v>1124906</v>
      </c>
      <c r="K6" s="100">
        <v>937790</v>
      </c>
      <c r="L6" s="100">
        <v>424415</v>
      </c>
      <c r="M6" s="100">
        <v>102132</v>
      </c>
      <c r="N6" s="100">
        <v>73717</v>
      </c>
      <c r="O6" s="100">
        <f t="shared" si="3"/>
        <v>4139119</v>
      </c>
      <c r="P6" s="4">
        <f t="shared" si="4"/>
        <v>344926.58333333331</v>
      </c>
      <c r="Q6" s="4">
        <f t="shared" si="5"/>
        <v>438315.71428571426</v>
      </c>
      <c r="R6" s="4">
        <f t="shared" si="6"/>
        <v>3068210</v>
      </c>
      <c r="S6" s="4"/>
      <c r="T6" s="4"/>
      <c r="U6" s="4"/>
      <c r="V6" s="4"/>
      <c r="W6" s="4"/>
      <c r="X6" s="4"/>
      <c r="AQ6" s="4"/>
      <c r="AR6" s="4"/>
      <c r="AS6" s="4"/>
      <c r="AT6" s="35" t="s">
        <v>105</v>
      </c>
      <c r="AU6" s="36">
        <v>5204172</v>
      </c>
      <c r="AV6" s="36">
        <v>5204172</v>
      </c>
      <c r="AW6" s="32">
        <v>601561</v>
      </c>
      <c r="AX6" s="26">
        <v>5904801.9655172415</v>
      </c>
      <c r="AY6" s="4">
        <f t="shared" si="0"/>
        <v>16914706.965517242</v>
      </c>
      <c r="AZ6">
        <f t="shared" si="1"/>
        <v>5638236</v>
      </c>
      <c r="BA6">
        <f t="shared" si="2"/>
        <v>564</v>
      </c>
    </row>
    <row r="7" spans="1:53" x14ac:dyDescent="0.15">
      <c r="A7" s="208">
        <v>510</v>
      </c>
      <c r="B7" s="257" t="s">
        <v>236</v>
      </c>
      <c r="C7" s="100">
        <v>622080</v>
      </c>
      <c r="D7" s="100">
        <v>816400</v>
      </c>
      <c r="E7" s="100">
        <v>1090171</v>
      </c>
      <c r="F7" s="100">
        <v>526500</v>
      </c>
      <c r="G7" s="100">
        <v>1228500</v>
      </c>
      <c r="H7" s="100">
        <v>570060</v>
      </c>
      <c r="I7" s="100">
        <v>801900</v>
      </c>
      <c r="J7" s="100">
        <v>786321</v>
      </c>
      <c r="K7" s="100">
        <v>249410</v>
      </c>
      <c r="L7" s="100">
        <v>51840</v>
      </c>
      <c r="M7" s="100">
        <v>297000</v>
      </c>
      <c r="N7" s="100">
        <v>0</v>
      </c>
      <c r="O7" s="100">
        <f t="shared" si="3"/>
        <v>7040182</v>
      </c>
      <c r="P7" s="4">
        <f t="shared" si="4"/>
        <v>586681.83333333337</v>
      </c>
      <c r="Q7" s="4">
        <f t="shared" si="5"/>
        <v>393790.14285714284</v>
      </c>
      <c r="R7" s="4">
        <f t="shared" si="6"/>
        <v>2756531</v>
      </c>
      <c r="S7" s="4"/>
      <c r="T7" s="4"/>
      <c r="U7" s="4"/>
      <c r="V7" s="4"/>
      <c r="W7" s="4"/>
      <c r="X7" s="4"/>
      <c r="AQ7" s="4"/>
      <c r="AR7" s="4"/>
      <c r="AS7" s="4"/>
      <c r="AT7" s="35" t="s">
        <v>103</v>
      </c>
      <c r="AU7" s="36">
        <v>3136628</v>
      </c>
      <c r="AV7" s="36">
        <v>3136628</v>
      </c>
      <c r="AW7" s="32">
        <v>374550</v>
      </c>
      <c r="AX7" s="26">
        <v>3439323.8620689656</v>
      </c>
      <c r="AY7" s="4">
        <f t="shared" si="0"/>
        <v>10087129.862068966</v>
      </c>
      <c r="AZ7">
        <f t="shared" si="1"/>
        <v>3362377</v>
      </c>
      <c r="BA7">
        <f t="shared" si="2"/>
        <v>336</v>
      </c>
    </row>
    <row r="8" spans="1:53" x14ac:dyDescent="0.15">
      <c r="A8" s="208">
        <v>512</v>
      </c>
      <c r="B8" s="257" t="s">
        <v>237</v>
      </c>
      <c r="C8" s="100">
        <v>1692071</v>
      </c>
      <c r="D8" s="100">
        <v>1671615</v>
      </c>
      <c r="E8" s="100">
        <v>1625055</v>
      </c>
      <c r="F8" s="100">
        <v>2022731</v>
      </c>
      <c r="G8" s="100">
        <v>1840463</v>
      </c>
      <c r="H8" s="100">
        <v>1905491</v>
      </c>
      <c r="I8" s="100">
        <v>1873163</v>
      </c>
      <c r="J8" s="100">
        <v>1843163</v>
      </c>
      <c r="K8" s="100">
        <v>1859363</v>
      </c>
      <c r="L8" s="100">
        <v>1888063</v>
      </c>
      <c r="M8" s="100">
        <v>1731835</v>
      </c>
      <c r="N8" s="100">
        <v>1767423</v>
      </c>
      <c r="O8" s="100">
        <f t="shared" si="3"/>
        <v>21720436</v>
      </c>
      <c r="P8" s="4">
        <f t="shared" si="4"/>
        <v>1810036.3333333333</v>
      </c>
      <c r="Q8" s="4">
        <f t="shared" si="5"/>
        <v>1838357.2857142857</v>
      </c>
      <c r="R8" s="4">
        <f t="shared" si="6"/>
        <v>12868501</v>
      </c>
      <c r="S8" s="4"/>
      <c r="T8" s="4"/>
      <c r="U8" s="4"/>
      <c r="V8" s="4"/>
      <c r="W8" s="4"/>
      <c r="X8" s="4"/>
      <c r="AQ8" s="4"/>
      <c r="AR8" s="4"/>
      <c r="AS8" s="4"/>
      <c r="AT8" s="35" t="s">
        <v>106</v>
      </c>
      <c r="AU8" s="36">
        <v>2170929</v>
      </c>
      <c r="AV8" s="36">
        <v>2170929</v>
      </c>
      <c r="AW8" s="32">
        <v>1976563</v>
      </c>
      <c r="AX8" s="26">
        <v>3156101.0000000005</v>
      </c>
      <c r="AY8" s="4">
        <f t="shared" si="0"/>
        <v>9474522</v>
      </c>
      <c r="AZ8">
        <f t="shared" si="1"/>
        <v>3158174</v>
      </c>
      <c r="BA8">
        <f t="shared" si="2"/>
        <v>316</v>
      </c>
    </row>
    <row r="9" spans="1:53" ht="12.75" customHeight="1" x14ac:dyDescent="0.15">
      <c r="A9" s="208">
        <v>513</v>
      </c>
      <c r="B9" s="257" t="s">
        <v>393</v>
      </c>
      <c r="C9" s="100">
        <v>0</v>
      </c>
      <c r="D9" s="100">
        <v>0</v>
      </c>
      <c r="E9" s="100">
        <v>0</v>
      </c>
      <c r="F9" s="100">
        <v>0</v>
      </c>
      <c r="G9" s="100">
        <v>0</v>
      </c>
      <c r="H9" s="100">
        <v>0</v>
      </c>
      <c r="I9" s="100">
        <v>0</v>
      </c>
      <c r="J9" s="100">
        <v>0</v>
      </c>
      <c r="K9" s="100">
        <v>0</v>
      </c>
      <c r="L9" s="100">
        <v>0</v>
      </c>
      <c r="M9" s="100">
        <v>0</v>
      </c>
      <c r="N9" s="100">
        <v>0</v>
      </c>
      <c r="O9" s="100">
        <f t="shared" si="3"/>
        <v>0</v>
      </c>
      <c r="P9" s="4">
        <f>AVERAGE(C9:N9)</f>
        <v>0</v>
      </c>
      <c r="Q9" s="4">
        <f t="shared" si="5"/>
        <v>0</v>
      </c>
      <c r="R9" s="4">
        <f t="shared" si="6"/>
        <v>0</v>
      </c>
      <c r="S9" s="4"/>
      <c r="T9" s="4"/>
      <c r="U9" s="4"/>
      <c r="V9" s="4"/>
      <c r="W9" s="4"/>
      <c r="X9" s="4"/>
      <c r="AQ9" s="4"/>
      <c r="AR9" s="4"/>
      <c r="AS9" s="4"/>
      <c r="AT9" s="210" t="s">
        <v>308</v>
      </c>
      <c r="AU9" s="36">
        <v>978154</v>
      </c>
      <c r="AV9" s="36">
        <v>978154</v>
      </c>
      <c r="AW9" s="32">
        <v>156000</v>
      </c>
      <c r="AX9" s="26">
        <v>1051462</v>
      </c>
      <c r="AY9" s="4">
        <f t="shared" si="0"/>
        <v>3163770</v>
      </c>
      <c r="AZ9">
        <f t="shared" si="1"/>
        <v>1054590</v>
      </c>
      <c r="BA9">
        <f t="shared" si="2"/>
        <v>105</v>
      </c>
    </row>
    <row r="10" spans="1:53" x14ac:dyDescent="0.15">
      <c r="A10" s="208">
        <v>520</v>
      </c>
      <c r="B10" s="257" t="s">
        <v>238</v>
      </c>
      <c r="C10" s="100">
        <v>271756</v>
      </c>
      <c r="D10" s="100">
        <v>461367</v>
      </c>
      <c r="E10" s="100">
        <v>136433</v>
      </c>
      <c r="F10" s="100">
        <v>466771</v>
      </c>
      <c r="G10" s="100">
        <v>348872</v>
      </c>
      <c r="H10" s="100">
        <v>278764</v>
      </c>
      <c r="I10" s="100">
        <v>499070</v>
      </c>
      <c r="J10" s="100">
        <v>253672</v>
      </c>
      <c r="K10" s="100">
        <v>252114</v>
      </c>
      <c r="L10" s="100">
        <v>660287</v>
      </c>
      <c r="M10" s="100">
        <v>405500</v>
      </c>
      <c r="N10" s="100">
        <v>307907</v>
      </c>
      <c r="O10" s="100">
        <f t="shared" si="3"/>
        <v>4342513</v>
      </c>
      <c r="P10" s="4">
        <f t="shared" si="4"/>
        <v>361876.08333333331</v>
      </c>
      <c r="Q10" s="4">
        <f t="shared" si="5"/>
        <v>379616.28571428574</v>
      </c>
      <c r="R10" s="4">
        <f t="shared" si="6"/>
        <v>2657314</v>
      </c>
      <c r="S10" s="4"/>
      <c r="T10" s="4"/>
      <c r="U10" s="4"/>
      <c r="V10" s="4"/>
      <c r="W10" s="4"/>
      <c r="X10" s="4"/>
      <c r="AQ10" s="4"/>
      <c r="AR10" s="4"/>
      <c r="AS10" s="4"/>
      <c r="AT10" s="210" t="s">
        <v>309</v>
      </c>
      <c r="AU10" s="36">
        <v>943056</v>
      </c>
      <c r="AV10" s="36">
        <v>943056</v>
      </c>
      <c r="AW10" s="32">
        <v>236000</v>
      </c>
      <c r="AX10" s="26">
        <v>1041454</v>
      </c>
      <c r="AY10" s="4">
        <f t="shared" si="0"/>
        <v>3163566</v>
      </c>
      <c r="AZ10">
        <f t="shared" si="1"/>
        <v>1054522</v>
      </c>
      <c r="BA10">
        <f t="shared" si="2"/>
        <v>105</v>
      </c>
    </row>
    <row r="11" spans="1:53" x14ac:dyDescent="0.15">
      <c r="A11" s="208">
        <v>521</v>
      </c>
      <c r="B11" s="257" t="s">
        <v>239</v>
      </c>
      <c r="C11" s="100">
        <v>364398</v>
      </c>
      <c r="D11" s="100">
        <v>370135</v>
      </c>
      <c r="E11" s="100">
        <v>411717</v>
      </c>
      <c r="F11" s="100">
        <v>450084</v>
      </c>
      <c r="G11" s="100">
        <v>410824</v>
      </c>
      <c r="H11" s="100">
        <v>382299</v>
      </c>
      <c r="I11" s="100">
        <v>364159</v>
      </c>
      <c r="J11" s="100">
        <v>422512</v>
      </c>
      <c r="K11" s="100">
        <v>310749</v>
      </c>
      <c r="L11" s="100">
        <v>360315</v>
      </c>
      <c r="M11" s="100">
        <v>313664</v>
      </c>
      <c r="N11" s="100">
        <v>319473</v>
      </c>
      <c r="O11" s="100">
        <f t="shared" si="3"/>
        <v>4480329</v>
      </c>
      <c r="P11" s="4">
        <f>AVERAGE(C11:N11)</f>
        <v>373360.75</v>
      </c>
      <c r="Q11" s="4">
        <f t="shared" si="5"/>
        <v>353310.14285714284</v>
      </c>
      <c r="R11" s="4">
        <f t="shared" si="6"/>
        <v>2473171</v>
      </c>
      <c r="S11" s="4"/>
      <c r="T11" s="4"/>
      <c r="U11" s="4"/>
      <c r="V11" s="4"/>
      <c r="W11" s="4"/>
      <c r="X11" s="4"/>
      <c r="AQ11" s="4"/>
      <c r="AR11" s="4"/>
      <c r="AS11" s="4"/>
      <c r="AT11" s="310" t="s">
        <v>373</v>
      </c>
      <c r="AU11" s="36">
        <v>1647056</v>
      </c>
      <c r="AV11" s="36">
        <v>1647056</v>
      </c>
      <c r="AW11" s="32">
        <v>599720</v>
      </c>
      <c r="AX11" s="26">
        <v>2222382</v>
      </c>
      <c r="AY11" s="4">
        <f t="shared" si="0"/>
        <v>6116214</v>
      </c>
      <c r="AZ11">
        <f t="shared" si="1"/>
        <v>2038738</v>
      </c>
      <c r="BA11">
        <f t="shared" si="2"/>
        <v>204</v>
      </c>
    </row>
    <row r="12" spans="1:53" x14ac:dyDescent="0.15">
      <c r="A12" s="208">
        <v>522</v>
      </c>
      <c r="B12" s="257" t="s">
        <v>240</v>
      </c>
      <c r="C12" s="100">
        <v>671413</v>
      </c>
      <c r="D12" s="100">
        <v>153226</v>
      </c>
      <c r="E12" s="100">
        <v>361582</v>
      </c>
      <c r="F12" s="100">
        <v>344558</v>
      </c>
      <c r="G12" s="100">
        <v>504000</v>
      </c>
      <c r="H12" s="100">
        <v>349555</v>
      </c>
      <c r="I12" s="100">
        <v>619474</v>
      </c>
      <c r="J12" s="100">
        <v>174186</v>
      </c>
      <c r="K12" s="100">
        <v>174285</v>
      </c>
      <c r="L12" s="100">
        <v>351023</v>
      </c>
      <c r="M12" s="100">
        <v>155509</v>
      </c>
      <c r="N12" s="100">
        <v>169442</v>
      </c>
      <c r="O12" s="100">
        <f t="shared" si="3"/>
        <v>4028253</v>
      </c>
      <c r="P12" s="4">
        <f t="shared" si="4"/>
        <v>335687.75</v>
      </c>
      <c r="Q12" s="4">
        <f t="shared" si="5"/>
        <v>284782</v>
      </c>
      <c r="R12" s="4">
        <f t="shared" si="6"/>
        <v>1993474</v>
      </c>
      <c r="S12" s="4"/>
      <c r="T12" s="4"/>
      <c r="U12" s="4"/>
      <c r="V12" s="4"/>
      <c r="W12" s="4"/>
      <c r="X12" s="4"/>
      <c r="AQ12" s="4"/>
      <c r="AR12" s="4"/>
      <c r="AS12" s="4"/>
      <c r="AT12" s="235" t="s">
        <v>333</v>
      </c>
      <c r="AU12" s="36">
        <v>1067354</v>
      </c>
      <c r="AV12" s="36">
        <v>1067354</v>
      </c>
      <c r="AW12" s="32">
        <v>3823280</v>
      </c>
      <c r="AX12" s="26">
        <v>2947244.8275862071</v>
      </c>
      <c r="AY12" s="4">
        <f t="shared" si="0"/>
        <v>8905232.8275862075</v>
      </c>
      <c r="AZ12">
        <f t="shared" si="1"/>
        <v>2968411</v>
      </c>
      <c r="BA12">
        <f t="shared" si="2"/>
        <v>297</v>
      </c>
    </row>
    <row r="13" spans="1:53" x14ac:dyDescent="0.15">
      <c r="A13" s="208">
        <v>523</v>
      </c>
      <c r="B13" s="257" t="s">
        <v>241</v>
      </c>
      <c r="C13" s="100">
        <v>349704</v>
      </c>
      <c r="D13" s="100">
        <v>301865</v>
      </c>
      <c r="E13" s="100">
        <v>208908</v>
      </c>
      <c r="F13" s="100">
        <v>209234</v>
      </c>
      <c r="G13" s="100">
        <v>446913</v>
      </c>
      <c r="H13" s="100">
        <v>219123</v>
      </c>
      <c r="I13" s="100">
        <v>176556</v>
      </c>
      <c r="J13" s="100">
        <v>237503</v>
      </c>
      <c r="K13" s="100">
        <v>262922</v>
      </c>
      <c r="L13" s="100">
        <v>349300</v>
      </c>
      <c r="M13" s="100">
        <v>281596</v>
      </c>
      <c r="N13" s="100">
        <v>206203</v>
      </c>
      <c r="O13" s="100">
        <f t="shared" si="3"/>
        <v>3249827</v>
      </c>
      <c r="P13" s="4">
        <f t="shared" si="4"/>
        <v>270818.91666666669</v>
      </c>
      <c r="Q13" s="4">
        <f t="shared" si="5"/>
        <v>247600.42857142858</v>
      </c>
      <c r="R13" s="4">
        <f t="shared" si="6"/>
        <v>1733203</v>
      </c>
      <c r="S13" s="4"/>
      <c r="T13" s="4"/>
      <c r="U13" s="4"/>
      <c r="V13" s="4"/>
      <c r="W13" s="4"/>
      <c r="X13" s="4"/>
      <c r="AQ13" s="4"/>
      <c r="AR13" s="4"/>
      <c r="AS13" s="4"/>
      <c r="AT13" s="32"/>
      <c r="AU13" s="32"/>
      <c r="AV13" s="32"/>
      <c r="AW13" s="32"/>
    </row>
    <row r="14" spans="1:53" x14ac:dyDescent="0.15">
      <c r="A14" s="208">
        <v>524</v>
      </c>
      <c r="B14" s="257" t="s">
        <v>242</v>
      </c>
      <c r="C14" s="100">
        <v>640428</v>
      </c>
      <c r="D14" s="100">
        <v>1174214</v>
      </c>
      <c r="E14" s="100">
        <v>752696</v>
      </c>
      <c r="F14" s="100">
        <v>754204</v>
      </c>
      <c r="G14" s="100">
        <v>673636</v>
      </c>
      <c r="H14" s="100">
        <v>996571</v>
      </c>
      <c r="I14" s="100">
        <v>1790998</v>
      </c>
      <c r="J14" s="100">
        <v>1189916</v>
      </c>
      <c r="K14" s="100">
        <v>651099</v>
      </c>
      <c r="L14" s="100">
        <v>886147</v>
      </c>
      <c r="M14" s="100">
        <v>750824</v>
      </c>
      <c r="N14" s="100">
        <v>718632</v>
      </c>
      <c r="O14" s="100">
        <f t="shared" si="3"/>
        <v>10979365</v>
      </c>
      <c r="P14" s="4">
        <f t="shared" si="4"/>
        <v>914947.08333333337</v>
      </c>
      <c r="Q14" s="4">
        <f t="shared" si="5"/>
        <v>997741</v>
      </c>
      <c r="R14" s="4">
        <f t="shared" si="6"/>
        <v>6984187</v>
      </c>
      <c r="S14" s="4"/>
      <c r="T14" s="4"/>
      <c r="U14" s="4"/>
      <c r="V14" s="4"/>
      <c r="W14" s="4"/>
      <c r="X14" s="4"/>
      <c r="AQ14" s="4"/>
      <c r="AR14" s="4"/>
      <c r="AS14" s="4"/>
      <c r="AT14" s="32"/>
      <c r="AU14" s="32"/>
      <c r="AV14" s="32"/>
      <c r="AW14" s="32"/>
    </row>
    <row r="15" spans="1:53" x14ac:dyDescent="0.15">
      <c r="A15" s="208">
        <v>525</v>
      </c>
      <c r="B15" s="257" t="s">
        <v>243</v>
      </c>
      <c r="C15" s="100">
        <v>450047</v>
      </c>
      <c r="D15" s="100">
        <v>559983</v>
      </c>
      <c r="E15" s="100">
        <v>606427</v>
      </c>
      <c r="F15" s="100">
        <v>439077</v>
      </c>
      <c r="G15" s="100">
        <v>609397</v>
      </c>
      <c r="H15" s="100">
        <v>627887</v>
      </c>
      <c r="I15" s="100">
        <v>707797</v>
      </c>
      <c r="J15" s="100">
        <v>594287</v>
      </c>
      <c r="K15" s="100">
        <v>775503</v>
      </c>
      <c r="L15" s="100">
        <v>607407</v>
      </c>
      <c r="M15" s="100">
        <v>603707</v>
      </c>
      <c r="N15" s="100">
        <v>620337</v>
      </c>
      <c r="O15" s="100">
        <f t="shared" si="3"/>
        <v>7201856</v>
      </c>
      <c r="P15" s="4">
        <f t="shared" si="4"/>
        <v>600154.66666666663</v>
      </c>
      <c r="Q15" s="4">
        <f t="shared" si="5"/>
        <v>648132.14285714284</v>
      </c>
      <c r="R15" s="4">
        <f t="shared" si="6"/>
        <v>4536925</v>
      </c>
      <c r="S15" s="4"/>
      <c r="T15" s="4"/>
      <c r="U15" s="4"/>
      <c r="V15" s="4"/>
      <c r="W15" s="4"/>
      <c r="X15" s="4"/>
      <c r="AQ15" s="4"/>
      <c r="AR15" s="4"/>
      <c r="AS15" s="4"/>
      <c r="AT15" s="32"/>
      <c r="AU15" s="32"/>
      <c r="AV15" s="32"/>
      <c r="AW15" s="32"/>
    </row>
    <row r="16" spans="1:53" x14ac:dyDescent="0.15">
      <c r="A16" s="208">
        <v>526</v>
      </c>
      <c r="B16" s="257" t="s">
        <v>244</v>
      </c>
      <c r="C16" s="100">
        <v>99534</v>
      </c>
      <c r="D16" s="100">
        <v>125388</v>
      </c>
      <c r="E16" s="100">
        <v>289099</v>
      </c>
      <c r="F16" s="100">
        <v>27896</v>
      </c>
      <c r="G16" s="100">
        <v>77176</v>
      </c>
      <c r="H16" s="100">
        <v>69270</v>
      </c>
      <c r="I16" s="100">
        <v>226782</v>
      </c>
      <c r="J16" s="100">
        <v>215393</v>
      </c>
      <c r="K16" s="100">
        <v>65620</v>
      </c>
      <c r="L16" s="100">
        <v>72811</v>
      </c>
      <c r="M16" s="100">
        <v>23758</v>
      </c>
      <c r="N16" s="100">
        <v>24256</v>
      </c>
      <c r="O16" s="100">
        <f t="shared" si="3"/>
        <v>1316983</v>
      </c>
      <c r="P16" s="4">
        <f t="shared" si="4"/>
        <v>109748.58333333333</v>
      </c>
      <c r="Q16" s="4">
        <f t="shared" si="5"/>
        <v>99698.571428571435</v>
      </c>
      <c r="R16" s="4">
        <f t="shared" si="6"/>
        <v>697890</v>
      </c>
      <c r="S16" s="4"/>
      <c r="T16" s="4"/>
      <c r="U16" s="4"/>
      <c r="V16" s="4"/>
      <c r="W16" s="4"/>
      <c r="X16" s="4"/>
      <c r="AQ16" s="4"/>
      <c r="AR16" s="4"/>
      <c r="AS16" s="4"/>
      <c r="AT16" s="32"/>
      <c r="AU16" s="32"/>
      <c r="AV16" s="32"/>
      <c r="AW16" s="32"/>
    </row>
    <row r="17" spans="1:49" x14ac:dyDescent="0.15">
      <c r="A17" s="208">
        <v>527</v>
      </c>
      <c r="B17" s="257" t="s">
        <v>245</v>
      </c>
      <c r="C17" s="100">
        <v>626500</v>
      </c>
      <c r="D17" s="100">
        <v>573700</v>
      </c>
      <c r="E17" s="100">
        <v>1220350</v>
      </c>
      <c r="F17" s="100">
        <v>152300</v>
      </c>
      <c r="G17" s="100">
        <v>6400</v>
      </c>
      <c r="H17" s="100">
        <v>72900</v>
      </c>
      <c r="I17" s="100">
        <v>1146480</v>
      </c>
      <c r="J17" s="100">
        <v>29670</v>
      </c>
      <c r="K17" s="100">
        <v>135850</v>
      </c>
      <c r="L17" s="100">
        <v>4900</v>
      </c>
      <c r="M17" s="100">
        <v>132750</v>
      </c>
      <c r="N17" s="100">
        <v>12750</v>
      </c>
      <c r="O17" s="100">
        <f t="shared" si="3"/>
        <v>4114550</v>
      </c>
      <c r="P17" s="4">
        <f t="shared" si="4"/>
        <v>342879.16666666669</v>
      </c>
      <c r="Q17" s="4">
        <f t="shared" si="5"/>
        <v>219328.57142857142</v>
      </c>
      <c r="R17" s="4">
        <f t="shared" si="6"/>
        <v>1535300</v>
      </c>
      <c r="S17" s="4"/>
      <c r="T17" s="4"/>
      <c r="U17" s="4"/>
      <c r="V17" s="4"/>
      <c r="W17" s="4"/>
      <c r="X17" s="4"/>
      <c r="AQ17" s="4"/>
      <c r="AR17" s="4"/>
      <c r="AS17" s="4"/>
      <c r="AT17" s="32"/>
      <c r="AU17" s="32"/>
      <c r="AV17" s="32"/>
      <c r="AW17" s="32"/>
    </row>
    <row r="18" spans="1:49" x14ac:dyDescent="0.15">
      <c r="A18" s="208">
        <v>528</v>
      </c>
      <c r="B18" s="258" t="s">
        <v>246</v>
      </c>
      <c r="C18" s="1689">
        <v>1394401</v>
      </c>
      <c r="D18" s="1689">
        <v>1464207</v>
      </c>
      <c r="E18" s="1689">
        <v>1483102</v>
      </c>
      <c r="F18" s="1689">
        <v>1501503</v>
      </c>
      <c r="G18" s="1689">
        <v>1669498</v>
      </c>
      <c r="H18" s="1689">
        <v>1097816</v>
      </c>
      <c r="I18" s="1689">
        <v>1097816</v>
      </c>
      <c r="J18" s="1689">
        <v>1097816</v>
      </c>
      <c r="K18" s="1689">
        <v>1097816</v>
      </c>
      <c r="L18" s="1689">
        <v>1127666</v>
      </c>
      <c r="M18" s="1689">
        <v>1275899</v>
      </c>
      <c r="N18" s="1689">
        <v>1275899</v>
      </c>
      <c r="O18" s="1689">
        <f t="shared" si="3"/>
        <v>15583439</v>
      </c>
      <c r="P18" s="4">
        <f t="shared" si="4"/>
        <v>1298619.9166666667</v>
      </c>
      <c r="Q18" s="4">
        <f t="shared" si="5"/>
        <v>1152961.142857143</v>
      </c>
      <c r="R18" s="4">
        <f t="shared" si="6"/>
        <v>8070728</v>
      </c>
      <c r="S18" s="4"/>
      <c r="T18" s="4"/>
      <c r="U18" s="4"/>
      <c r="V18" s="4"/>
      <c r="W18" s="4"/>
      <c r="X18" s="4"/>
      <c r="AQ18" s="4"/>
      <c r="AR18" s="4"/>
      <c r="AS18" s="4"/>
      <c r="AT18" s="32"/>
      <c r="AU18" s="32"/>
      <c r="AV18" s="32"/>
      <c r="AW18" s="414" t="s">
        <v>96</v>
      </c>
    </row>
    <row r="19" spans="1:49" x14ac:dyDescent="0.15">
      <c r="A19" s="208">
        <v>529</v>
      </c>
      <c r="B19" s="257" t="s">
        <v>247</v>
      </c>
      <c r="C19" s="100">
        <v>83866</v>
      </c>
      <c r="D19" s="100">
        <v>149652</v>
      </c>
      <c r="E19" s="100">
        <v>37602</v>
      </c>
      <c r="F19" s="100">
        <v>124640</v>
      </c>
      <c r="G19" s="100">
        <v>75054</v>
      </c>
      <c r="H19" s="100">
        <v>207077</v>
      </c>
      <c r="I19" s="100">
        <v>115398</v>
      </c>
      <c r="J19" s="100">
        <v>25958</v>
      </c>
      <c r="K19" s="100">
        <v>105817</v>
      </c>
      <c r="L19" s="100">
        <v>66076</v>
      </c>
      <c r="M19" s="100">
        <v>15134</v>
      </c>
      <c r="N19" s="100">
        <v>48210</v>
      </c>
      <c r="O19" s="100">
        <f t="shared" si="3"/>
        <v>1054484</v>
      </c>
      <c r="P19" s="4">
        <f t="shared" si="4"/>
        <v>87873.666666666672</v>
      </c>
      <c r="Q19" s="4">
        <f t="shared" si="5"/>
        <v>83381.428571428565</v>
      </c>
      <c r="R19" s="4">
        <f t="shared" si="6"/>
        <v>583670</v>
      </c>
      <c r="S19" s="4"/>
      <c r="T19" s="4"/>
      <c r="U19" s="4"/>
      <c r="V19" s="4"/>
      <c r="W19" s="4"/>
      <c r="X19" s="4"/>
      <c r="AQ19" s="4"/>
      <c r="AR19" s="4"/>
      <c r="AS19" s="4"/>
      <c r="AT19" s="414" t="s">
        <v>34</v>
      </c>
      <c r="AU19" s="213">
        <v>20360</v>
      </c>
      <c r="AV19" s="213">
        <v>9850</v>
      </c>
      <c r="AW19" s="37">
        <f>SUM(AU19:AV19)</f>
        <v>30210</v>
      </c>
    </row>
    <row r="20" spans="1:49" x14ac:dyDescent="0.15">
      <c r="A20" s="208">
        <v>530</v>
      </c>
      <c r="B20" s="258" t="s">
        <v>248</v>
      </c>
      <c r="C20" s="1689">
        <v>1165047</v>
      </c>
      <c r="D20" s="1689">
        <v>885668</v>
      </c>
      <c r="E20" s="1689">
        <v>1441906</v>
      </c>
      <c r="F20" s="1689">
        <v>1496234</v>
      </c>
      <c r="G20" s="1689">
        <v>2201588</v>
      </c>
      <c r="H20" s="1689">
        <v>1869341</v>
      </c>
      <c r="I20" s="1689">
        <v>2022382</v>
      </c>
      <c r="J20" s="1689">
        <v>1306338</v>
      </c>
      <c r="K20" s="1689">
        <v>995409</v>
      </c>
      <c r="L20" s="1689">
        <v>1026078</v>
      </c>
      <c r="M20" s="1689">
        <v>1278500</v>
      </c>
      <c r="N20" s="1689">
        <v>1393557</v>
      </c>
      <c r="O20" s="1689">
        <f t="shared" si="3"/>
        <v>17082048</v>
      </c>
      <c r="P20" s="4">
        <f t="shared" si="4"/>
        <v>1423504</v>
      </c>
      <c r="Q20" s="4">
        <f t="shared" si="5"/>
        <v>1413086.4285714286</v>
      </c>
      <c r="R20" s="4">
        <f t="shared" si="6"/>
        <v>9891605</v>
      </c>
      <c r="S20" s="4"/>
      <c r="T20" s="4"/>
      <c r="U20" s="4"/>
      <c r="V20" s="4"/>
      <c r="W20" s="4"/>
      <c r="X20" s="4"/>
      <c r="AQ20" s="4"/>
      <c r="AR20" s="4"/>
      <c r="AS20" s="4"/>
      <c r="AT20" s="32"/>
      <c r="AU20" s="214">
        <v>62823</v>
      </c>
      <c r="AV20" s="214">
        <v>43522</v>
      </c>
      <c r="AW20" s="37">
        <f>SUM(AU20:AV20)</f>
        <v>106345</v>
      </c>
    </row>
    <row r="21" spans="1:49" x14ac:dyDescent="0.15">
      <c r="A21" s="208">
        <v>531</v>
      </c>
      <c r="B21" s="257" t="s">
        <v>249</v>
      </c>
      <c r="C21" s="100">
        <v>532415</v>
      </c>
      <c r="D21" s="100">
        <v>512347</v>
      </c>
      <c r="E21" s="100">
        <v>436370</v>
      </c>
      <c r="F21" s="100">
        <v>516362</v>
      </c>
      <c r="G21" s="100">
        <v>476747</v>
      </c>
      <c r="H21" s="100">
        <v>517242</v>
      </c>
      <c r="I21" s="100">
        <v>581227</v>
      </c>
      <c r="J21" s="100">
        <v>502161</v>
      </c>
      <c r="K21" s="100">
        <v>504976</v>
      </c>
      <c r="L21" s="100">
        <v>551622</v>
      </c>
      <c r="M21" s="100">
        <v>508543</v>
      </c>
      <c r="N21" s="100">
        <v>456158</v>
      </c>
      <c r="O21" s="100">
        <f t="shared" si="3"/>
        <v>6096170</v>
      </c>
      <c r="P21" s="4">
        <f t="shared" si="4"/>
        <v>508014.16666666669</v>
      </c>
      <c r="Q21" s="4">
        <f t="shared" si="5"/>
        <v>517418.42857142858</v>
      </c>
      <c r="R21" s="4">
        <f t="shared" si="6"/>
        <v>3621929</v>
      </c>
      <c r="S21" s="4"/>
      <c r="T21" s="4"/>
      <c r="U21" s="4"/>
      <c r="V21" s="4"/>
      <c r="W21" s="4"/>
      <c r="X21" s="4"/>
      <c r="AQ21" s="4"/>
      <c r="AR21" s="4"/>
      <c r="AS21" s="4"/>
      <c r="AT21" s="32"/>
      <c r="AU21" s="214">
        <v>4217</v>
      </c>
      <c r="AV21" s="214">
        <v>9263</v>
      </c>
      <c r="AW21" s="37">
        <f>SUM(AU21:AV21)</f>
        <v>13480</v>
      </c>
    </row>
    <row r="22" spans="1:49" x14ac:dyDescent="0.15">
      <c r="A22" s="208">
        <v>532</v>
      </c>
      <c r="B22" s="257" t="s">
        <v>250</v>
      </c>
      <c r="C22" s="100">
        <v>308059</v>
      </c>
      <c r="D22" s="100">
        <v>171857</v>
      </c>
      <c r="E22" s="100">
        <v>325729</v>
      </c>
      <c r="F22" s="100">
        <v>681207</v>
      </c>
      <c r="G22" s="100">
        <v>204783</v>
      </c>
      <c r="H22" s="100">
        <v>272467</v>
      </c>
      <c r="I22" s="100">
        <v>1085534</v>
      </c>
      <c r="J22" s="100">
        <v>250180</v>
      </c>
      <c r="K22" s="100">
        <v>280507</v>
      </c>
      <c r="L22" s="100">
        <v>257201</v>
      </c>
      <c r="M22" s="100">
        <v>320962</v>
      </c>
      <c r="N22" s="100">
        <v>254943</v>
      </c>
      <c r="O22" s="100">
        <f t="shared" si="3"/>
        <v>4413429</v>
      </c>
      <c r="P22" s="4">
        <f t="shared" si="4"/>
        <v>367785.75</v>
      </c>
      <c r="Q22" s="4">
        <f t="shared" si="5"/>
        <v>388827.71428571426</v>
      </c>
      <c r="R22" s="4">
        <f t="shared" si="6"/>
        <v>2721794</v>
      </c>
      <c r="S22" s="4"/>
      <c r="T22" s="4"/>
      <c r="U22" s="4"/>
      <c r="V22" s="4"/>
      <c r="W22" s="4"/>
      <c r="X22" s="4"/>
      <c r="AQ22" s="4"/>
      <c r="AR22" s="4"/>
      <c r="AS22" s="4"/>
      <c r="AT22" s="32"/>
      <c r="AU22" s="213">
        <v>129600</v>
      </c>
      <c r="AV22" s="213">
        <v>137840</v>
      </c>
      <c r="AW22" s="37">
        <f>SUM(AU22:AV22)</f>
        <v>267440</v>
      </c>
    </row>
    <row r="23" spans="1:49" x14ac:dyDescent="0.15">
      <c r="A23" s="208">
        <v>533</v>
      </c>
      <c r="B23" s="257" t="s">
        <v>251</v>
      </c>
      <c r="C23" s="100">
        <v>193260</v>
      </c>
      <c r="D23" s="100">
        <v>86028</v>
      </c>
      <c r="E23" s="100">
        <v>127360</v>
      </c>
      <c r="F23" s="100">
        <v>79247</v>
      </c>
      <c r="G23" s="100">
        <v>196864</v>
      </c>
      <c r="H23" s="100">
        <v>167396</v>
      </c>
      <c r="I23" s="100">
        <v>177805</v>
      </c>
      <c r="J23" s="100">
        <v>88095</v>
      </c>
      <c r="K23" s="100">
        <v>62649</v>
      </c>
      <c r="L23" s="100">
        <v>15215</v>
      </c>
      <c r="M23" s="100">
        <v>12329</v>
      </c>
      <c r="N23" s="100">
        <v>14020</v>
      </c>
      <c r="O23" s="100">
        <f t="shared" si="3"/>
        <v>1220268</v>
      </c>
      <c r="P23" s="4">
        <f t="shared" si="4"/>
        <v>101689</v>
      </c>
      <c r="Q23" s="4">
        <f t="shared" si="5"/>
        <v>76787</v>
      </c>
      <c r="R23" s="4">
        <f t="shared" si="6"/>
        <v>537509</v>
      </c>
      <c r="S23" s="4"/>
      <c r="T23" s="4"/>
      <c r="U23" s="4"/>
      <c r="V23" s="4"/>
      <c r="W23" s="4"/>
      <c r="X23" s="4"/>
      <c r="AQ23" s="4"/>
      <c r="AR23" s="4"/>
      <c r="AS23" s="4"/>
      <c r="AT23" s="32"/>
      <c r="AU23" s="189"/>
      <c r="AV23" s="189"/>
      <c r="AW23" s="415">
        <f>SUM(AW19:AW22)</f>
        <v>417475</v>
      </c>
    </row>
    <row r="24" spans="1:49" x14ac:dyDescent="0.15">
      <c r="A24" s="208">
        <v>534</v>
      </c>
      <c r="B24" s="257" t="s">
        <v>252</v>
      </c>
      <c r="C24" s="100">
        <v>79800</v>
      </c>
      <c r="D24" s="100">
        <v>16200</v>
      </c>
      <c r="E24" s="100">
        <v>400</v>
      </c>
      <c r="F24" s="100">
        <v>46840</v>
      </c>
      <c r="G24" s="100">
        <v>20400</v>
      </c>
      <c r="H24" s="100">
        <v>4000</v>
      </c>
      <c r="I24" s="100">
        <v>15400</v>
      </c>
      <c r="J24" s="100">
        <v>8800</v>
      </c>
      <c r="K24" s="100">
        <v>400</v>
      </c>
      <c r="L24" s="100">
        <v>3300</v>
      </c>
      <c r="M24" s="100">
        <v>33400</v>
      </c>
      <c r="N24" s="100">
        <v>4700</v>
      </c>
      <c r="O24" s="100">
        <f t="shared" si="3"/>
        <v>233640</v>
      </c>
      <c r="P24" s="4">
        <f t="shared" si="4"/>
        <v>19470</v>
      </c>
      <c r="Q24" s="4">
        <f t="shared" si="5"/>
        <v>10000</v>
      </c>
      <c r="R24" s="4">
        <f t="shared" si="6"/>
        <v>70000</v>
      </c>
      <c r="S24" s="4"/>
      <c r="T24" s="4"/>
      <c r="U24" s="4"/>
      <c r="V24" s="4"/>
      <c r="W24" s="4"/>
      <c r="X24" s="4"/>
      <c r="AQ24" s="4"/>
      <c r="AR24" s="4"/>
      <c r="AS24" s="4"/>
      <c r="AT24" s="414" t="s">
        <v>37</v>
      </c>
      <c r="AU24" s="215">
        <v>300426</v>
      </c>
      <c r="AV24" s="215">
        <v>284477</v>
      </c>
      <c r="AW24" s="37">
        <f>SUM(AU24:AV24)</f>
        <v>584903</v>
      </c>
    </row>
    <row r="25" spans="1:49" x14ac:dyDescent="0.15">
      <c r="A25" s="208">
        <v>535</v>
      </c>
      <c r="B25" s="257" t="s">
        <v>253</v>
      </c>
      <c r="C25" s="100">
        <v>410475</v>
      </c>
      <c r="D25" s="100">
        <v>448410</v>
      </c>
      <c r="E25" s="100">
        <v>427215</v>
      </c>
      <c r="F25" s="100">
        <v>435579</v>
      </c>
      <c r="G25" s="100">
        <v>689142</v>
      </c>
      <c r="H25" s="100">
        <v>153505</v>
      </c>
      <c r="I25" s="100">
        <v>435672</v>
      </c>
      <c r="J25" s="100">
        <v>435962</v>
      </c>
      <c r="K25" s="100">
        <v>568403</v>
      </c>
      <c r="L25" s="100">
        <v>582463</v>
      </c>
      <c r="M25" s="100">
        <v>564672</v>
      </c>
      <c r="N25" s="100">
        <v>570494</v>
      </c>
      <c r="O25" s="100">
        <f t="shared" si="3"/>
        <v>5721992</v>
      </c>
      <c r="P25" s="4">
        <f t="shared" si="4"/>
        <v>476832.66666666669</v>
      </c>
      <c r="Q25" s="4">
        <f t="shared" si="5"/>
        <v>473024.42857142858</v>
      </c>
      <c r="R25" s="4">
        <f t="shared" si="6"/>
        <v>3311171</v>
      </c>
      <c r="S25" s="4"/>
      <c r="T25" s="4"/>
      <c r="U25" s="4"/>
      <c r="V25" s="4"/>
      <c r="W25" s="4"/>
      <c r="X25" s="4"/>
      <c r="AQ25" s="4"/>
      <c r="AR25" s="4"/>
      <c r="AS25" s="4"/>
      <c r="AT25" s="32"/>
      <c r="AU25" s="214">
        <v>2288</v>
      </c>
      <c r="AV25" s="214">
        <v>2251</v>
      </c>
      <c r="AW25" s="37">
        <f>SUM(AU25:AV25)</f>
        <v>4539</v>
      </c>
    </row>
    <row r="26" spans="1:49" x14ac:dyDescent="0.15">
      <c r="A26" s="208">
        <v>536</v>
      </c>
      <c r="B26" s="257" t="s">
        <v>254</v>
      </c>
      <c r="C26" s="100">
        <v>20885</v>
      </c>
      <c r="D26" s="100">
        <v>41405</v>
      </c>
      <c r="E26" s="100">
        <v>21749</v>
      </c>
      <c r="F26" s="100">
        <v>34535</v>
      </c>
      <c r="G26" s="100">
        <v>20885</v>
      </c>
      <c r="H26" s="100">
        <v>20885</v>
      </c>
      <c r="I26" s="100">
        <v>20885</v>
      </c>
      <c r="J26" s="100">
        <v>20885</v>
      </c>
      <c r="K26" s="100">
        <v>22397</v>
      </c>
      <c r="L26" s="100">
        <v>50268</v>
      </c>
      <c r="M26" s="100">
        <v>-535</v>
      </c>
      <c r="N26" s="100">
        <v>17465</v>
      </c>
      <c r="O26" s="100">
        <f t="shared" si="3"/>
        <v>291709</v>
      </c>
      <c r="P26" s="4">
        <f t="shared" si="4"/>
        <v>24309.083333333332</v>
      </c>
      <c r="Q26" s="4">
        <f t="shared" si="5"/>
        <v>21750</v>
      </c>
      <c r="R26" s="4">
        <f t="shared" si="6"/>
        <v>152250</v>
      </c>
      <c r="S26" s="4"/>
      <c r="T26" s="4"/>
      <c r="U26" s="4"/>
      <c r="V26" s="4"/>
      <c r="W26" s="4"/>
      <c r="X26" s="4"/>
      <c r="AQ26" s="4"/>
      <c r="AR26" s="4"/>
      <c r="AS26" s="4"/>
      <c r="AT26" s="32"/>
      <c r="AU26" s="189">
        <v>94004</v>
      </c>
      <c r="AV26" s="189">
        <v>82068</v>
      </c>
      <c r="AW26" s="37">
        <f>SUM(AU26:AV26)</f>
        <v>176072</v>
      </c>
    </row>
    <row r="27" spans="1:49" x14ac:dyDescent="0.15">
      <c r="A27" s="208">
        <v>539</v>
      </c>
      <c r="B27" s="257" t="s">
        <v>255</v>
      </c>
      <c r="C27" s="100">
        <v>185764</v>
      </c>
      <c r="D27" s="100">
        <v>162004</v>
      </c>
      <c r="E27" s="100">
        <v>155784</v>
      </c>
      <c r="F27" s="100">
        <v>161896</v>
      </c>
      <c r="G27" s="100">
        <v>235551</v>
      </c>
      <c r="H27" s="100">
        <v>262149</v>
      </c>
      <c r="I27" s="100">
        <v>284354</v>
      </c>
      <c r="J27" s="100">
        <v>157202</v>
      </c>
      <c r="K27" s="100">
        <v>143384</v>
      </c>
      <c r="L27" s="100">
        <v>159228</v>
      </c>
      <c r="M27" s="100">
        <v>197904</v>
      </c>
      <c r="N27" s="100">
        <v>442118</v>
      </c>
      <c r="O27" s="100">
        <f t="shared" si="3"/>
        <v>2547338</v>
      </c>
      <c r="P27" s="4">
        <f t="shared" si="4"/>
        <v>212278.16666666666</v>
      </c>
      <c r="Q27" s="4">
        <f t="shared" si="5"/>
        <v>235191.28571428571</v>
      </c>
      <c r="R27" s="4">
        <f t="shared" si="6"/>
        <v>1646339</v>
      </c>
      <c r="S27" s="4"/>
      <c r="T27" s="4"/>
      <c r="U27" s="4"/>
      <c r="V27" s="4"/>
      <c r="W27" s="4"/>
      <c r="X27" s="4"/>
      <c r="AQ27" s="4"/>
      <c r="AR27" s="4"/>
      <c r="AS27" s="4"/>
      <c r="AT27" s="32"/>
      <c r="AU27" s="32"/>
      <c r="AV27" s="32"/>
      <c r="AW27" s="415">
        <f>SUM(AW24:AW26)</f>
        <v>765514</v>
      </c>
    </row>
    <row r="28" spans="1:49" x14ac:dyDescent="0.15">
      <c r="A28" s="2464" t="s">
        <v>302</v>
      </c>
      <c r="B28" s="2465"/>
      <c r="C28" s="100">
        <f>SUM(C7:C27)</f>
        <v>10161903</v>
      </c>
      <c r="D28" s="100">
        <f>SUM(D7:D27)</f>
        <v>10145671</v>
      </c>
      <c r="E28" s="100">
        <f>SUM(E7:E27)</f>
        <v>11159655</v>
      </c>
      <c r="F28" s="100">
        <f t="shared" ref="F28:L28" si="7">SUM(F7:F27)</f>
        <v>10471398</v>
      </c>
      <c r="G28" s="100">
        <f t="shared" si="7"/>
        <v>11936693</v>
      </c>
      <c r="H28" s="100">
        <f t="shared" si="7"/>
        <v>10043798</v>
      </c>
      <c r="I28" s="100">
        <f t="shared" si="7"/>
        <v>14042852</v>
      </c>
      <c r="J28" s="100">
        <f t="shared" si="7"/>
        <v>9640020</v>
      </c>
      <c r="K28" s="100">
        <f>SUM(K7:K27)</f>
        <v>8518673</v>
      </c>
      <c r="L28" s="100">
        <f t="shared" si="7"/>
        <v>9071210</v>
      </c>
      <c r="M28" s="100">
        <f>SUM(M7:M27)</f>
        <v>8902951</v>
      </c>
      <c r="N28" s="100">
        <f>SUM(N7:N27)</f>
        <v>8623987</v>
      </c>
      <c r="O28" s="100">
        <f t="shared" si="3"/>
        <v>122718811</v>
      </c>
      <c r="P28" s="4">
        <f t="shared" si="4"/>
        <v>10226567.583333334</v>
      </c>
      <c r="Q28" s="4">
        <f t="shared" si="5"/>
        <v>9834784.4285714291</v>
      </c>
      <c r="R28" s="4">
        <f t="shared" si="6"/>
        <v>68843491</v>
      </c>
      <c r="S28" s="4"/>
      <c r="T28" s="4"/>
      <c r="U28" s="4"/>
      <c r="V28" s="4"/>
      <c r="W28" s="4"/>
      <c r="X28" s="4"/>
      <c r="AQ28" s="4"/>
      <c r="AR28" s="4"/>
      <c r="AS28" s="4"/>
      <c r="AT28" s="414" t="s">
        <v>66</v>
      </c>
      <c r="AU28" s="32">
        <v>127670</v>
      </c>
      <c r="AV28" s="32">
        <v>181060</v>
      </c>
      <c r="AW28" s="37">
        <f>SUM(AU28:AV28)</f>
        <v>308730</v>
      </c>
    </row>
    <row r="29" spans="1:49" x14ac:dyDescent="0.15">
      <c r="A29" s="2464" t="s">
        <v>303</v>
      </c>
      <c r="B29" s="2465"/>
      <c r="C29" s="209">
        <f>SUM(C4:C27)</f>
        <v>30185694</v>
      </c>
      <c r="D29" s="209">
        <f>SUM(D4:D27)</f>
        <v>29902456</v>
      </c>
      <c r="E29" s="209">
        <f>SUM(E4:E27)</f>
        <v>38721730</v>
      </c>
      <c r="F29" s="209">
        <f t="shared" ref="F29:L29" si="8">SUM(F4:F27)</f>
        <v>31741166</v>
      </c>
      <c r="G29" s="209">
        <f t="shared" si="8"/>
        <v>34359895</v>
      </c>
      <c r="H29" s="209">
        <f t="shared" si="8"/>
        <v>31047636</v>
      </c>
      <c r="I29" s="209">
        <f t="shared" si="8"/>
        <v>35852689</v>
      </c>
      <c r="J29" s="209">
        <f t="shared" si="8"/>
        <v>33130749</v>
      </c>
      <c r="K29" s="209">
        <f>SUM(K4:K27)</f>
        <v>44669001</v>
      </c>
      <c r="L29" s="209">
        <f t="shared" si="8"/>
        <v>32098581</v>
      </c>
      <c r="M29" s="209">
        <f>SUM(M4:M27)</f>
        <v>30438375</v>
      </c>
      <c r="N29" s="209">
        <f>SUM(N4:N27)</f>
        <v>30705302</v>
      </c>
      <c r="O29" s="209">
        <f t="shared" si="3"/>
        <v>402853274</v>
      </c>
      <c r="P29" s="4">
        <f t="shared" si="4"/>
        <v>33571106.166666664</v>
      </c>
      <c r="Q29" s="4">
        <f t="shared" si="5"/>
        <v>33991761.857142858</v>
      </c>
      <c r="R29" s="4">
        <f t="shared" si="6"/>
        <v>237942333</v>
      </c>
      <c r="S29" s="4"/>
      <c r="T29" s="4"/>
      <c r="U29" s="4"/>
      <c r="V29" s="4"/>
      <c r="W29" s="4"/>
      <c r="X29" s="4"/>
      <c r="AQ29" s="4"/>
      <c r="AR29" s="4"/>
      <c r="AS29" s="4"/>
      <c r="AT29" s="32"/>
      <c r="AU29" s="32">
        <v>90400</v>
      </c>
      <c r="AV29" s="32">
        <v>58500</v>
      </c>
      <c r="AW29" s="37">
        <f>SUM(AU29:AV29)</f>
        <v>148900</v>
      </c>
    </row>
    <row r="30" spans="1:49" x14ac:dyDescent="0.15">
      <c r="AT30" s="32"/>
      <c r="AU30" s="32">
        <v>4382</v>
      </c>
      <c r="AV30" s="32">
        <v>5319</v>
      </c>
      <c r="AW30" s="37">
        <f>SUM(AU30:AV30)</f>
        <v>9701</v>
      </c>
    </row>
    <row r="31" spans="1:49" x14ac:dyDescent="0.15">
      <c r="AT31" s="32"/>
      <c r="AU31" s="32">
        <v>72910</v>
      </c>
      <c r="AV31" s="32">
        <v>61320</v>
      </c>
      <c r="AW31" s="37">
        <f>SUM(AU31:AV31)</f>
        <v>134230</v>
      </c>
    </row>
    <row r="32" spans="1:49" x14ac:dyDescent="0.15">
      <c r="AT32" s="32"/>
      <c r="AU32" s="32"/>
      <c r="AV32" s="32"/>
      <c r="AW32" s="415">
        <f>SUM(AW28:AW31)</f>
        <v>601561</v>
      </c>
    </row>
    <row r="33" spans="1:55" x14ac:dyDescent="0.15">
      <c r="AT33" s="414" t="s">
        <v>330</v>
      </c>
      <c r="AU33" s="32">
        <v>182050</v>
      </c>
      <c r="AV33" s="32">
        <v>192500</v>
      </c>
      <c r="AW33" s="415">
        <f>SUM(AU33:AV33)</f>
        <v>374550</v>
      </c>
    </row>
    <row r="34" spans="1:55" x14ac:dyDescent="0.15">
      <c r="AU34" s="32"/>
      <c r="AV34" s="32"/>
      <c r="AW34" s="32"/>
      <c r="AX34" s="37">
        <f>SUM(AV34:AW34)</f>
        <v>0</v>
      </c>
    </row>
    <row r="35" spans="1:55" x14ac:dyDescent="0.15">
      <c r="AW35" s="414" t="s">
        <v>391</v>
      </c>
      <c r="AX35" s="32">
        <v>19000</v>
      </c>
      <c r="AY35" s="32"/>
      <c r="AZ35" s="37">
        <f>SUM(AX35:AY35)</f>
        <v>19000</v>
      </c>
    </row>
    <row r="36" spans="1:55" x14ac:dyDescent="0.15">
      <c r="AW36" s="32"/>
      <c r="AX36" s="32">
        <v>703500</v>
      </c>
      <c r="AY36" s="32">
        <v>879513</v>
      </c>
      <c r="AZ36" s="37">
        <f>SUM(AX36:AY36)</f>
        <v>1583013</v>
      </c>
    </row>
    <row r="37" spans="1:55" x14ac:dyDescent="0.15">
      <c r="AW37" s="32"/>
      <c r="AX37" s="32"/>
      <c r="AY37" s="32"/>
      <c r="AZ37" s="415">
        <f>SUM(AY33:AY36)</f>
        <v>879513</v>
      </c>
    </row>
    <row r="38" spans="1:55" x14ac:dyDescent="0.15">
      <c r="AX38" s="414" t="s">
        <v>459</v>
      </c>
      <c r="AY38" s="32">
        <v>78000</v>
      </c>
      <c r="AZ38" s="32">
        <v>78000</v>
      </c>
      <c r="BA38" s="415">
        <f>SUM(AY38:AZ38)</f>
        <v>156000</v>
      </c>
    </row>
    <row r="39" spans="1:55" ht="14.25" thickBot="1" x14ac:dyDescent="0.2">
      <c r="AX39" s="32"/>
      <c r="AY39" s="32"/>
      <c r="AZ39" s="32"/>
      <c r="BA39" s="37">
        <f>SUM(AY39:AZ39)</f>
        <v>0</v>
      </c>
    </row>
    <row r="40" spans="1:55" ht="14.25" customHeight="1" x14ac:dyDescent="0.15">
      <c r="A40" s="26"/>
      <c r="B40" s="260" t="s">
        <v>236</v>
      </c>
      <c r="C40" s="261">
        <f>Q7</f>
        <v>393790.14285714284</v>
      </c>
      <c r="D40" s="2466" t="s">
        <v>1526</v>
      </c>
      <c r="E40" s="2467"/>
      <c r="F40" s="295"/>
      <c r="H40" s="269"/>
      <c r="I40" s="270" t="s">
        <v>344</v>
      </c>
      <c r="J40" s="2468" t="s">
        <v>346</v>
      </c>
      <c r="K40" s="2469"/>
      <c r="L40" s="2469"/>
      <c r="M40" s="2469"/>
      <c r="N40" s="2469"/>
      <c r="O40" s="2469"/>
      <c r="P40" s="2469"/>
      <c r="Q40" s="2469"/>
      <c r="R40" s="2469"/>
      <c r="S40" s="2469"/>
      <c r="T40" s="2469"/>
      <c r="U40" s="2469"/>
      <c r="V40" s="2469"/>
      <c r="W40" s="446" t="s">
        <v>475</v>
      </c>
      <c r="X40" s="273" t="s">
        <v>53</v>
      </c>
      <c r="AZ40" s="414" t="s">
        <v>34</v>
      </c>
      <c r="BA40" s="32">
        <v>20000</v>
      </c>
      <c r="BB40" s="32">
        <v>20000</v>
      </c>
      <c r="BC40" s="37">
        <f>SUM(BA40:BB40)</f>
        <v>40000</v>
      </c>
    </row>
    <row r="41" spans="1:55" ht="13.5" customHeight="1" x14ac:dyDescent="0.15">
      <c r="A41" s="26"/>
      <c r="B41" s="262" t="s">
        <v>237</v>
      </c>
      <c r="C41" s="263">
        <f>N8</f>
        <v>1767423</v>
      </c>
      <c r="D41" s="2457" t="s">
        <v>1527</v>
      </c>
      <c r="E41" s="2458"/>
      <c r="F41" s="296"/>
      <c r="H41" s="271" t="s">
        <v>418</v>
      </c>
      <c r="I41" s="274">
        <v>6864991</v>
      </c>
      <c r="J41" s="274">
        <v>19614</v>
      </c>
      <c r="K41" s="274">
        <v>4690</v>
      </c>
      <c r="L41" s="274">
        <v>59883</v>
      </c>
      <c r="O41" s="274"/>
      <c r="P41" s="2453" t="s">
        <v>941</v>
      </c>
      <c r="Q41" s="2453" t="s">
        <v>992</v>
      </c>
      <c r="R41" s="2453" t="s">
        <v>989</v>
      </c>
      <c r="S41" s="2472" t="s">
        <v>1130</v>
      </c>
      <c r="T41" s="2473" t="s">
        <v>539</v>
      </c>
      <c r="U41" s="2472" t="s">
        <v>879</v>
      </c>
      <c r="V41" s="2472" t="s">
        <v>1097</v>
      </c>
      <c r="W41" s="274">
        <v>80000</v>
      </c>
      <c r="X41" s="277">
        <f t="shared" ref="X41:X50" si="9">SUM(I41:W41)</f>
        <v>7029178</v>
      </c>
      <c r="Y41" s="26"/>
      <c r="Z41" s="26"/>
      <c r="AZ41" s="32"/>
      <c r="BA41" s="32">
        <v>98000</v>
      </c>
      <c r="BB41" s="32">
        <v>98000</v>
      </c>
      <c r="BC41" s="37">
        <f>SUM(BA41:BB41)</f>
        <v>196000</v>
      </c>
    </row>
    <row r="42" spans="1:55" ht="13.5" customHeight="1" x14ac:dyDescent="0.15">
      <c r="A42" s="26"/>
      <c r="B42" s="262" t="s">
        <v>394</v>
      </c>
      <c r="C42" s="263">
        <f>N9</f>
        <v>0</v>
      </c>
      <c r="D42" s="2457" t="s">
        <v>1527</v>
      </c>
      <c r="E42" s="2458"/>
      <c r="F42" s="296"/>
      <c r="H42" s="271" t="s">
        <v>407</v>
      </c>
      <c r="I42" s="274">
        <v>6864991</v>
      </c>
      <c r="J42" s="274">
        <v>19614</v>
      </c>
      <c r="K42" s="274">
        <v>4690</v>
      </c>
      <c r="L42" s="274">
        <v>59883</v>
      </c>
      <c r="M42" s="274">
        <v>11730</v>
      </c>
      <c r="N42" s="274">
        <v>250000</v>
      </c>
      <c r="O42" s="274">
        <v>90000</v>
      </c>
      <c r="P42" s="2470"/>
      <c r="Q42" s="2470"/>
      <c r="R42" s="2470"/>
      <c r="S42" s="2423"/>
      <c r="T42" s="2444"/>
      <c r="U42" s="2423"/>
      <c r="V42" s="2423"/>
      <c r="W42" s="274">
        <v>80000</v>
      </c>
      <c r="X42" s="277">
        <f t="shared" si="9"/>
        <v>7380908</v>
      </c>
      <c r="Y42" s="26"/>
      <c r="Z42" s="26"/>
      <c r="AZ42" s="32"/>
      <c r="BA42" s="32"/>
      <c r="BB42" s="32"/>
      <c r="BC42" s="415">
        <f>SUM(BC40:BC41)</f>
        <v>236000</v>
      </c>
    </row>
    <row r="43" spans="1:55" x14ac:dyDescent="0.15">
      <c r="A43" s="26"/>
      <c r="B43" s="262" t="s">
        <v>238</v>
      </c>
      <c r="C43" s="263">
        <f>P10</f>
        <v>361876.08333333331</v>
      </c>
      <c r="D43" s="2457" t="s">
        <v>961</v>
      </c>
      <c r="E43" s="2458"/>
      <c r="F43" s="296"/>
      <c r="H43" s="271" t="s">
        <v>408</v>
      </c>
      <c r="I43" s="274">
        <v>6864991</v>
      </c>
      <c r="J43" s="274">
        <v>19614</v>
      </c>
      <c r="K43" s="274">
        <v>4690</v>
      </c>
      <c r="L43" s="274">
        <v>59883</v>
      </c>
      <c r="M43" s="274">
        <v>11730</v>
      </c>
      <c r="N43" s="274"/>
      <c r="O43" s="274"/>
      <c r="P43" s="2470"/>
      <c r="Q43" s="2470"/>
      <c r="R43" s="2470"/>
      <c r="S43" s="2423"/>
      <c r="T43" s="2445"/>
      <c r="U43" s="2424"/>
      <c r="V43" s="2423"/>
      <c r="W43" s="274">
        <v>80000</v>
      </c>
      <c r="X43" s="277">
        <f t="shared" si="9"/>
        <v>7040908</v>
      </c>
      <c r="Y43" s="26"/>
      <c r="Z43" s="26"/>
      <c r="AZ43" s="414" t="s">
        <v>460</v>
      </c>
      <c r="BA43" s="32">
        <v>291333</v>
      </c>
      <c r="BB43" s="32">
        <v>308387</v>
      </c>
      <c r="BC43" s="415">
        <f>SUM(BA43:BB43)</f>
        <v>599720</v>
      </c>
    </row>
    <row r="44" spans="1:55" x14ac:dyDescent="0.15">
      <c r="A44" s="26"/>
      <c r="B44" s="262" t="s">
        <v>239</v>
      </c>
      <c r="C44" s="263">
        <f>Q11</f>
        <v>353310.14285714284</v>
      </c>
      <c r="D44" s="2457" t="s">
        <v>1526</v>
      </c>
      <c r="E44" s="2458"/>
      <c r="F44" s="296"/>
      <c r="H44" s="271" t="s">
        <v>409</v>
      </c>
      <c r="I44" s="274">
        <v>7333111.5</v>
      </c>
      <c r="J44" s="274"/>
      <c r="K44" s="274"/>
      <c r="L44" s="274"/>
      <c r="M44" s="274"/>
      <c r="N44" s="274"/>
      <c r="O44" s="274"/>
      <c r="P44" s="2470"/>
      <c r="Q44" s="2470"/>
      <c r="R44" s="2470"/>
      <c r="S44" s="2423"/>
      <c r="T44" s="274"/>
      <c r="U44" s="274"/>
      <c r="V44" s="2423"/>
      <c r="W44" s="274">
        <v>80000</v>
      </c>
      <c r="X44" s="277">
        <f t="shared" si="9"/>
        <v>7413111.5</v>
      </c>
      <c r="Y44" s="26"/>
      <c r="Z44" s="26"/>
      <c r="AZ44" s="32"/>
      <c r="BA44" s="32"/>
      <c r="BB44" s="32"/>
      <c r="BC44" s="37">
        <f>SUM(BA44:BB44)</f>
        <v>0</v>
      </c>
    </row>
    <row r="45" spans="1:55" x14ac:dyDescent="0.15">
      <c r="A45" s="26"/>
      <c r="B45" s="262" t="s">
        <v>240</v>
      </c>
      <c r="C45" s="263">
        <f>P12</f>
        <v>335687.75</v>
      </c>
      <c r="D45" s="2457" t="s">
        <v>961</v>
      </c>
      <c r="E45" s="2458"/>
      <c r="F45" s="296"/>
      <c r="H45" s="271" t="s">
        <v>421</v>
      </c>
      <c r="I45" s="274">
        <v>8229748</v>
      </c>
      <c r="J45" s="274"/>
      <c r="K45" s="274"/>
      <c r="L45" s="274"/>
      <c r="M45" s="274"/>
      <c r="N45" s="274">
        <v>50000</v>
      </c>
      <c r="O45" s="274"/>
      <c r="P45" s="2470"/>
      <c r="Q45" s="2470"/>
      <c r="R45" s="2470"/>
      <c r="S45" s="2423"/>
      <c r="T45" s="274">
        <v>322687</v>
      </c>
      <c r="U45" s="274">
        <v>-100000</v>
      </c>
      <c r="V45" s="2423"/>
      <c r="W45" s="274">
        <v>80000</v>
      </c>
      <c r="X45" s="277">
        <f t="shared" si="9"/>
        <v>8582435</v>
      </c>
      <c r="Y45" s="26"/>
      <c r="Z45" s="26"/>
      <c r="AZ45" s="414" t="s">
        <v>338</v>
      </c>
      <c r="BA45" s="32">
        <v>9360</v>
      </c>
      <c r="BB45" s="32">
        <v>92040</v>
      </c>
      <c r="BC45" s="37">
        <f>SUM(BA45:BB45)</f>
        <v>101400</v>
      </c>
    </row>
    <row r="46" spans="1:55" x14ac:dyDescent="0.15">
      <c r="A46" s="26"/>
      <c r="B46" s="262" t="s">
        <v>241</v>
      </c>
      <c r="C46" s="263">
        <f>P13</f>
        <v>270818.91666666669</v>
      </c>
      <c r="D46" s="2457" t="s">
        <v>961</v>
      </c>
      <c r="E46" s="2458"/>
      <c r="F46" s="296"/>
      <c r="H46" s="271" t="s">
        <v>411</v>
      </c>
      <c r="I46" s="274">
        <v>8603643.8000000007</v>
      </c>
      <c r="J46" s="274"/>
      <c r="K46" s="274"/>
      <c r="L46" s="274"/>
      <c r="M46" s="274"/>
      <c r="N46" s="274">
        <v>24000</v>
      </c>
      <c r="O46" s="274"/>
      <c r="P46" s="2470"/>
      <c r="Q46" s="2470"/>
      <c r="R46" s="2470"/>
      <c r="S46" s="2423"/>
      <c r="T46" s="274"/>
      <c r="U46" s="274">
        <v>-100000</v>
      </c>
      <c r="V46" s="2423"/>
      <c r="W46" s="274">
        <v>80000</v>
      </c>
      <c r="X46" s="277">
        <f t="shared" si="9"/>
        <v>8607643.8000000007</v>
      </c>
      <c r="Y46" s="26"/>
      <c r="Z46" s="26"/>
      <c r="AZ46" s="32"/>
      <c r="BA46" s="32">
        <v>1438850</v>
      </c>
      <c r="BB46" s="32">
        <v>1653530</v>
      </c>
      <c r="BC46" s="37">
        <f>SUM(BA46:BB46)</f>
        <v>3092380</v>
      </c>
    </row>
    <row r="47" spans="1:55" ht="13.5" customHeight="1" x14ac:dyDescent="0.15">
      <c r="A47" s="26"/>
      <c r="B47" s="266" t="s">
        <v>242</v>
      </c>
      <c r="C47" s="267">
        <f>N14-C48</f>
        <v>610557</v>
      </c>
      <c r="D47" s="2474" t="s">
        <v>1528</v>
      </c>
      <c r="E47" s="2475"/>
      <c r="F47" s="2476"/>
      <c r="H47" s="271" t="s">
        <v>412</v>
      </c>
      <c r="I47" s="274">
        <v>8611876.0833333321</v>
      </c>
      <c r="J47" s="274"/>
      <c r="K47" s="274"/>
      <c r="L47" s="274"/>
      <c r="M47" s="274"/>
      <c r="N47" s="274"/>
      <c r="O47" s="274"/>
      <c r="P47" s="2471"/>
      <c r="Q47" s="2470"/>
      <c r="R47" s="2470"/>
      <c r="S47" s="2423"/>
      <c r="T47" s="274"/>
      <c r="U47" s="274"/>
      <c r="V47" s="2423"/>
      <c r="W47" s="274">
        <v>80000</v>
      </c>
      <c r="X47" s="277">
        <f t="shared" si="9"/>
        <v>8691876.0833333321</v>
      </c>
      <c r="Y47" s="26"/>
      <c r="Z47" s="26"/>
      <c r="AX47" s="32"/>
      <c r="AY47" s="32">
        <v>281600</v>
      </c>
      <c r="AZ47" s="32">
        <v>347900</v>
      </c>
      <c r="BA47" s="37">
        <f>SUM(AY47:AZ47)</f>
        <v>629500</v>
      </c>
    </row>
    <row r="48" spans="1:55" x14ac:dyDescent="0.15">
      <c r="B48" s="268"/>
      <c r="C48" s="323">
        <f>ROUND((401807+354716)/7,0)</f>
        <v>108075</v>
      </c>
      <c r="D48" s="2477"/>
      <c r="E48" s="2478"/>
      <c r="F48" s="2479"/>
      <c r="H48" s="271" t="s">
        <v>413</v>
      </c>
      <c r="I48" s="274">
        <v>8768694</v>
      </c>
      <c r="J48" s="274">
        <v>1200000</v>
      </c>
      <c r="K48" s="274"/>
      <c r="L48" s="274"/>
      <c r="M48" s="274"/>
      <c r="N48" s="274"/>
      <c r="O48" s="274"/>
      <c r="P48" s="274">
        <f>878081+40000+35000+108000</f>
        <v>1061081</v>
      </c>
      <c r="Q48" s="2471"/>
      <c r="R48" s="2471"/>
      <c r="S48" s="2423"/>
      <c r="T48" s="274">
        <v>1417038</v>
      </c>
      <c r="U48" s="274"/>
      <c r="V48" s="2423"/>
      <c r="W48" s="274">
        <v>80000</v>
      </c>
      <c r="X48" s="277">
        <f t="shared" si="9"/>
        <v>12526813</v>
      </c>
      <c r="Y48" s="26"/>
      <c r="Z48" s="26"/>
      <c r="AX48" s="32"/>
      <c r="AY48" s="32"/>
      <c r="AZ48" s="32"/>
      <c r="BA48" s="415">
        <f>SUM(BA45:BA47)</f>
        <v>2077710</v>
      </c>
    </row>
    <row r="49" spans="1:42" x14ac:dyDescent="0.15">
      <c r="A49" s="26"/>
      <c r="B49" s="262" t="s">
        <v>243</v>
      </c>
      <c r="C49" s="263">
        <f>N15</f>
        <v>620337</v>
      </c>
      <c r="D49" s="2457" t="s">
        <v>1527</v>
      </c>
      <c r="E49" s="2458"/>
      <c r="F49" s="296"/>
      <c r="H49" s="271" t="s">
        <v>414</v>
      </c>
      <c r="I49" s="274">
        <v>8799221</v>
      </c>
      <c r="J49" s="274">
        <v>600000</v>
      </c>
      <c r="K49" s="274"/>
      <c r="L49" s="274"/>
      <c r="M49" s="274"/>
      <c r="N49" s="274">
        <v>263200</v>
      </c>
      <c r="O49" s="274">
        <v>25920</v>
      </c>
      <c r="P49" s="274">
        <f>878081+40000+35000</f>
        <v>953081</v>
      </c>
      <c r="Q49" s="274">
        <v>18589</v>
      </c>
      <c r="R49" s="274">
        <v>200000</v>
      </c>
      <c r="S49" s="2424"/>
      <c r="T49" s="274"/>
      <c r="U49" s="274"/>
      <c r="V49" s="2423"/>
      <c r="W49" s="274">
        <v>80000</v>
      </c>
      <c r="X49" s="277">
        <f t="shared" si="9"/>
        <v>10940011</v>
      </c>
      <c r="Y49" s="26"/>
      <c r="Z49" s="26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</row>
    <row r="50" spans="1:42" x14ac:dyDescent="0.15">
      <c r="A50" s="26"/>
      <c r="B50" s="262" t="s">
        <v>244</v>
      </c>
      <c r="C50" s="263">
        <f>P16</f>
        <v>109748.58333333333</v>
      </c>
      <c r="D50" s="2457" t="s">
        <v>961</v>
      </c>
      <c r="E50" s="2458"/>
      <c r="F50" s="296"/>
      <c r="H50" s="271" t="s">
        <v>415</v>
      </c>
      <c r="I50" s="274">
        <v>9421619</v>
      </c>
      <c r="J50" s="274">
        <v>1494572</v>
      </c>
      <c r="K50" s="274"/>
      <c r="L50" s="274"/>
      <c r="M50" s="274"/>
      <c r="N50" s="274"/>
      <c r="O50" s="274"/>
      <c r="P50" s="274">
        <f>-190303+810968+40000+35000</f>
        <v>695665</v>
      </c>
      <c r="Q50" s="274"/>
      <c r="R50" s="274"/>
      <c r="S50" s="274"/>
      <c r="T50" s="274"/>
      <c r="U50" s="274"/>
      <c r="V50" s="2424"/>
      <c r="W50" s="274">
        <v>80000</v>
      </c>
      <c r="X50" s="277">
        <f t="shared" si="9"/>
        <v>11691856</v>
      </c>
      <c r="Y50" s="26"/>
      <c r="Z50" s="26"/>
      <c r="AE50" s="32"/>
      <c r="AF50" s="32"/>
      <c r="AG50" s="32"/>
      <c r="AH50" s="32"/>
      <c r="AI50" s="32"/>
      <c r="AJ50" s="32"/>
      <c r="AK50" s="32"/>
      <c r="AL50" s="32"/>
    </row>
    <row r="51" spans="1:42" x14ac:dyDescent="0.15">
      <c r="A51" s="26"/>
      <c r="B51" s="262" t="s">
        <v>245</v>
      </c>
      <c r="C51" s="263">
        <f>P17</f>
        <v>342879.16666666669</v>
      </c>
      <c r="D51" s="2457" t="s">
        <v>961</v>
      </c>
      <c r="E51" s="2458"/>
      <c r="F51" s="296"/>
      <c r="H51" s="271" t="s">
        <v>416</v>
      </c>
      <c r="I51" s="274">
        <v>9357690</v>
      </c>
      <c r="J51" s="274"/>
      <c r="K51" s="274"/>
      <c r="L51" s="274"/>
      <c r="M51" s="274"/>
      <c r="N51" s="274"/>
      <c r="O51" s="274"/>
      <c r="P51" s="274">
        <v>356977</v>
      </c>
      <c r="Q51" s="274"/>
      <c r="R51" s="274"/>
      <c r="S51" s="274">
        <v>1100000</v>
      </c>
      <c r="T51" s="274"/>
      <c r="U51" s="274"/>
      <c r="V51" s="274">
        <f>-14312-6390</f>
        <v>-20702</v>
      </c>
      <c r="W51" s="274">
        <v>80000</v>
      </c>
      <c r="X51" s="277">
        <f>SUM(I51:W51)</f>
        <v>10873965</v>
      </c>
      <c r="Y51" s="26"/>
      <c r="Z51" s="26"/>
    </row>
    <row r="52" spans="1:42" ht="14.25" thickBot="1" x14ac:dyDescent="0.2">
      <c r="A52" s="26"/>
      <c r="B52" s="262" t="s">
        <v>246</v>
      </c>
      <c r="C52" s="263">
        <f>N18</f>
        <v>1275899</v>
      </c>
      <c r="D52" s="2457" t="s">
        <v>1527</v>
      </c>
      <c r="E52" s="2458"/>
      <c r="F52" s="296"/>
      <c r="H52" s="272" t="s">
        <v>417</v>
      </c>
      <c r="I52" s="312">
        <v>9357690</v>
      </c>
      <c r="J52" s="312">
        <v>500000</v>
      </c>
      <c r="K52" s="312"/>
      <c r="L52" s="312"/>
      <c r="M52" s="312"/>
      <c r="N52" s="312">
        <v>25920</v>
      </c>
      <c r="O52" s="312">
        <v>160000</v>
      </c>
      <c r="P52" s="312">
        <v>356977</v>
      </c>
      <c r="Q52" s="312"/>
      <c r="R52" s="312">
        <v>200000</v>
      </c>
      <c r="S52" s="312">
        <v>204416</v>
      </c>
      <c r="T52" s="312"/>
      <c r="U52" s="312"/>
      <c r="V52" s="312">
        <f>-14312-6390</f>
        <v>-20702</v>
      </c>
      <c r="W52" s="312">
        <v>80000</v>
      </c>
      <c r="X52" s="781">
        <f>SUM(I52:W52)</f>
        <v>10864301</v>
      </c>
      <c r="Y52" s="26"/>
      <c r="Z52" s="26"/>
    </row>
    <row r="53" spans="1:42" x14ac:dyDescent="0.15">
      <c r="A53" s="26"/>
      <c r="B53" s="262" t="s">
        <v>247</v>
      </c>
      <c r="C53" s="263">
        <f>Q19</f>
        <v>83381.428571428565</v>
      </c>
      <c r="D53" s="2457" t="s">
        <v>1526</v>
      </c>
      <c r="E53" s="2458"/>
      <c r="F53" s="296"/>
      <c r="J53" s="650"/>
      <c r="W53" s="26" t="s">
        <v>451</v>
      </c>
      <c r="X53" s="408">
        <f>SUM(X41:X52)</f>
        <v>111643006.38333333</v>
      </c>
    </row>
    <row r="54" spans="1:42" x14ac:dyDescent="0.15">
      <c r="A54" s="26"/>
      <c r="B54" s="266" t="s">
        <v>248</v>
      </c>
      <c r="C54" s="314">
        <f>ROUND((R20-C55)/(12-MATCH(9,C3:N3,0)+1),0)</f>
        <v>935966</v>
      </c>
      <c r="D54" s="2459" t="s">
        <v>995</v>
      </c>
      <c r="E54" s="2460"/>
      <c r="F54" s="2461"/>
    </row>
    <row r="55" spans="1:42" x14ac:dyDescent="0.15">
      <c r="A55" s="26"/>
      <c r="B55" s="268"/>
      <c r="C55" s="323">
        <f>2366227+973614</f>
        <v>3339841</v>
      </c>
      <c r="D55" s="2462" t="s">
        <v>994</v>
      </c>
      <c r="E55" s="2463"/>
      <c r="F55" s="782"/>
    </row>
    <row r="56" spans="1:42" x14ac:dyDescent="0.15">
      <c r="A56" s="26"/>
      <c r="B56" s="262" t="s">
        <v>249</v>
      </c>
      <c r="C56" s="263">
        <f t="shared" ref="C56:C61" si="10">Q21</f>
        <v>517418.42857142858</v>
      </c>
      <c r="D56" s="2457" t="s">
        <v>1526</v>
      </c>
      <c r="E56" s="2458"/>
      <c r="F56" s="296"/>
    </row>
    <row r="57" spans="1:42" x14ac:dyDescent="0.15">
      <c r="A57" s="26"/>
      <c r="B57" s="262" t="s">
        <v>250</v>
      </c>
      <c r="C57" s="263">
        <f t="shared" si="10"/>
        <v>388827.71428571426</v>
      </c>
      <c r="D57" s="2457" t="s">
        <v>1526</v>
      </c>
      <c r="E57" s="2458"/>
      <c r="F57" s="296"/>
    </row>
    <row r="58" spans="1:42" x14ac:dyDescent="0.15">
      <c r="A58" s="26"/>
      <c r="B58" s="262" t="s">
        <v>251</v>
      </c>
      <c r="C58" s="263">
        <f t="shared" si="10"/>
        <v>76787</v>
      </c>
      <c r="D58" s="2457" t="s">
        <v>1526</v>
      </c>
      <c r="E58" s="2458"/>
      <c r="F58" s="296"/>
    </row>
    <row r="59" spans="1:42" x14ac:dyDescent="0.15">
      <c r="A59" s="26"/>
      <c r="B59" s="262" t="s">
        <v>252</v>
      </c>
      <c r="C59" s="263">
        <f t="shared" si="10"/>
        <v>10000</v>
      </c>
      <c r="D59" s="2457" t="s">
        <v>1526</v>
      </c>
      <c r="E59" s="2458"/>
      <c r="F59" s="296"/>
    </row>
    <row r="60" spans="1:42" x14ac:dyDescent="0.15">
      <c r="A60" s="26"/>
      <c r="B60" s="262" t="s">
        <v>253</v>
      </c>
      <c r="C60" s="263">
        <f t="shared" si="10"/>
        <v>473024.42857142858</v>
      </c>
      <c r="D60" s="2457" t="s">
        <v>1526</v>
      </c>
      <c r="E60" s="2458"/>
      <c r="F60" s="296"/>
    </row>
    <row r="61" spans="1:42" x14ac:dyDescent="0.15">
      <c r="A61" s="26"/>
      <c r="B61" s="262" t="s">
        <v>254</v>
      </c>
      <c r="C61" s="263">
        <f t="shared" si="10"/>
        <v>21750</v>
      </c>
      <c r="D61" s="2457" t="s">
        <v>1526</v>
      </c>
      <c r="E61" s="2458"/>
      <c r="F61" s="296"/>
    </row>
    <row r="62" spans="1:42" x14ac:dyDescent="0.15">
      <c r="A62" s="26"/>
      <c r="B62" s="262" t="s">
        <v>255</v>
      </c>
      <c r="C62" s="263">
        <f>P27</f>
        <v>212278.16666666666</v>
      </c>
      <c r="D62" s="2457" t="s">
        <v>961</v>
      </c>
      <c r="E62" s="2458"/>
      <c r="F62" s="296"/>
    </row>
    <row r="63" spans="1:42" ht="14.25" thickBot="1" x14ac:dyDescent="0.2">
      <c r="A63" s="26"/>
      <c r="B63" s="264" t="s">
        <v>994</v>
      </c>
      <c r="C63" s="265">
        <f>ROUND((2131953+226541)/7,0)</f>
        <v>336928</v>
      </c>
      <c r="D63" s="2402" t="s">
        <v>1485</v>
      </c>
      <c r="E63" s="2403"/>
      <c r="F63" s="297"/>
    </row>
    <row r="64" spans="1:42" x14ac:dyDescent="0.15">
      <c r="A64" s="26"/>
      <c r="B64" s="254"/>
      <c r="C64" s="1"/>
      <c r="D64" s="1"/>
    </row>
    <row r="65" spans="2:28" x14ac:dyDescent="0.15">
      <c r="B65" s="254" t="s">
        <v>302</v>
      </c>
      <c r="C65" s="1">
        <f>ROUND(SUM(C40:C54,C56:C62)-C63,0)</f>
        <v>8932907</v>
      </c>
      <c r="Y65" s="4"/>
    </row>
    <row r="66" spans="2:28" x14ac:dyDescent="0.15">
      <c r="Y66" s="4"/>
    </row>
    <row r="67" spans="2:28" ht="14.25" thickBot="1" x14ac:dyDescent="0.2">
      <c r="Y67" s="4"/>
    </row>
    <row r="68" spans="2:28" ht="14.25" thickBot="1" x14ac:dyDescent="0.2">
      <c r="B68" s="259"/>
      <c r="C68" s="148" t="s">
        <v>422</v>
      </c>
      <c r="D68" s="762" t="s">
        <v>420</v>
      </c>
      <c r="E68" s="762" t="s">
        <v>408</v>
      </c>
      <c r="F68" s="762" t="s">
        <v>409</v>
      </c>
      <c r="G68" s="762" t="s">
        <v>421</v>
      </c>
      <c r="H68" s="762" t="s">
        <v>411</v>
      </c>
      <c r="I68" s="762" t="s">
        <v>412</v>
      </c>
      <c r="J68" s="762" t="s">
        <v>413</v>
      </c>
      <c r="K68" s="762" t="s">
        <v>414</v>
      </c>
      <c r="L68" s="762" t="s">
        <v>415</v>
      </c>
      <c r="M68" s="762" t="s">
        <v>416</v>
      </c>
      <c r="N68" s="255" t="s">
        <v>417</v>
      </c>
      <c r="P68" s="2" t="s">
        <v>944</v>
      </c>
      <c r="Q68" s="2411" t="s">
        <v>950</v>
      </c>
      <c r="R68" s="2411"/>
      <c r="S68" s="2411" t="s">
        <v>951</v>
      </c>
      <c r="T68" s="2411"/>
      <c r="W68" t="s">
        <v>1114</v>
      </c>
      <c r="X68" s="987">
        <v>88000000</v>
      </c>
      <c r="Y68" s="987">
        <v>30000000</v>
      </c>
    </row>
    <row r="69" spans="2:28" ht="13.5" customHeight="1" thickBot="1" x14ac:dyDescent="0.2">
      <c r="B69" s="2455" t="s">
        <v>345</v>
      </c>
      <c r="C69" s="2456" t="s">
        <v>463</v>
      </c>
      <c r="D69" s="2421" t="s">
        <v>464</v>
      </c>
      <c r="E69" s="2421"/>
      <c r="F69" s="2421" t="s">
        <v>497</v>
      </c>
      <c r="G69" s="2421" t="s">
        <v>498</v>
      </c>
      <c r="H69" s="2421" t="s">
        <v>540</v>
      </c>
      <c r="I69" s="2421" t="s">
        <v>926</v>
      </c>
      <c r="J69" s="2454" t="s">
        <v>962</v>
      </c>
      <c r="K69" s="2421" t="s">
        <v>991</v>
      </c>
      <c r="L69" s="2454" t="s">
        <v>1000</v>
      </c>
      <c r="M69" s="2421" t="s">
        <v>1219</v>
      </c>
      <c r="N69" s="2422" t="s">
        <v>1220</v>
      </c>
      <c r="Q69" t="s">
        <v>945</v>
      </c>
      <c r="R69" s="4">
        <v>100000</v>
      </c>
      <c r="S69" t="s">
        <v>953</v>
      </c>
      <c r="T69" s="4"/>
      <c r="W69" t="s">
        <v>952</v>
      </c>
      <c r="X69" s="988">
        <v>2.5000000000000001E-2</v>
      </c>
      <c r="Y69" s="988">
        <v>2.5000000000000001E-2</v>
      </c>
      <c r="Z69" s="80"/>
      <c r="AA69" s="80"/>
      <c r="AB69" s="4"/>
    </row>
    <row r="70" spans="2:28" ht="14.25" thickBot="1" x14ac:dyDescent="0.2">
      <c r="B70" s="2455"/>
      <c r="C70" s="2456"/>
      <c r="D70" s="2421"/>
      <c r="E70" s="2421"/>
      <c r="F70" s="2421"/>
      <c r="G70" s="2421"/>
      <c r="H70" s="2421"/>
      <c r="I70" s="2421"/>
      <c r="J70" s="2421"/>
      <c r="K70" s="2421"/>
      <c r="L70" s="2421"/>
      <c r="M70" s="2421"/>
      <c r="N70" s="2422"/>
      <c r="Q70" t="s">
        <v>946</v>
      </c>
      <c r="R70" s="4">
        <v>10000</v>
      </c>
      <c r="S70" t="s">
        <v>1001</v>
      </c>
      <c r="T70" s="4"/>
      <c r="W70" s="4" t="s">
        <v>1115</v>
      </c>
      <c r="X70" s="4">
        <f>X68+ROUND(X68*X69,0)</f>
        <v>90200000</v>
      </c>
      <c r="Y70" s="4">
        <f>Y68+ROUND(Y68*Y69,0)</f>
        <v>30750000</v>
      </c>
      <c r="Z70" s="4"/>
      <c r="AA70" s="4"/>
      <c r="AB70" s="4"/>
    </row>
    <row r="71" spans="2:28" ht="14.25" thickBot="1" x14ac:dyDescent="0.2">
      <c r="B71" s="2455"/>
      <c r="C71" s="2456"/>
      <c r="D71" s="2421"/>
      <c r="E71" s="2421"/>
      <c r="F71" s="2421"/>
      <c r="G71" s="2421"/>
      <c r="H71" s="2421"/>
      <c r="I71" s="2421"/>
      <c r="J71" s="2421"/>
      <c r="K71" s="2421"/>
      <c r="L71" s="2421"/>
      <c r="M71" s="2421"/>
      <c r="N71" s="2422"/>
      <c r="Q71" t="s">
        <v>947</v>
      </c>
      <c r="R71" s="4">
        <v>6000</v>
      </c>
      <c r="T71" s="4"/>
      <c r="W71" s="4" t="s">
        <v>1116</v>
      </c>
      <c r="X71" s="987">
        <v>240</v>
      </c>
      <c r="Y71" s="987">
        <v>60</v>
      </c>
      <c r="Z71" s="4"/>
      <c r="AA71" s="4"/>
      <c r="AB71" s="4"/>
    </row>
    <row r="72" spans="2:28" ht="14.25" thickBot="1" x14ac:dyDescent="0.2">
      <c r="B72" s="2455"/>
      <c r="C72" s="2456"/>
      <c r="D72" s="2421"/>
      <c r="E72" s="2421"/>
      <c r="F72" s="2421"/>
      <c r="G72" s="2421"/>
      <c r="H72" s="2421"/>
      <c r="I72" s="2421"/>
      <c r="J72" s="2421"/>
      <c r="K72" s="2421"/>
      <c r="L72" s="2421"/>
      <c r="M72" s="2421"/>
      <c r="N72" s="2422"/>
      <c r="Q72" t="s">
        <v>948</v>
      </c>
      <c r="R72" s="4">
        <v>7488</v>
      </c>
      <c r="T72" s="4"/>
      <c r="W72" s="4" t="s">
        <v>1117</v>
      </c>
      <c r="X72" s="4">
        <f>ROUND(X68/X71,0)</f>
        <v>366667</v>
      </c>
      <c r="Y72" s="4">
        <f>ROUND(Y68/Y71,0)</f>
        <v>500000</v>
      </c>
      <c r="Z72" s="4"/>
      <c r="AA72" s="4"/>
      <c r="AB72" s="4"/>
    </row>
    <row r="73" spans="2:28" ht="14.25" thickBot="1" x14ac:dyDescent="0.2">
      <c r="B73" s="2455"/>
      <c r="C73" s="2456"/>
      <c r="D73" s="2421"/>
      <c r="E73" s="2421"/>
      <c r="F73" s="2421"/>
      <c r="G73" s="2421"/>
      <c r="H73" s="2421"/>
      <c r="I73" s="2421"/>
      <c r="J73" s="2421"/>
      <c r="K73" s="2421"/>
      <c r="L73" s="2421"/>
      <c r="M73" s="2421"/>
      <c r="N73" s="2422"/>
      <c r="Q73" t="s">
        <v>949</v>
      </c>
      <c r="R73" s="4">
        <v>12000</v>
      </c>
      <c r="T73" s="4"/>
      <c r="W73" s="4" t="s">
        <v>1118</v>
      </c>
      <c r="X73" s="4">
        <f>ROUND(X70/X71,0)</f>
        <v>375833</v>
      </c>
      <c r="Y73" s="4">
        <f>ROUND(Y70/Y71,0)</f>
        <v>512500</v>
      </c>
      <c r="Z73" s="4"/>
      <c r="AA73" s="4"/>
      <c r="AB73" s="4"/>
    </row>
    <row r="74" spans="2:28" ht="14.25" thickBot="1" x14ac:dyDescent="0.2">
      <c r="B74" s="2455"/>
      <c r="C74" s="2456"/>
      <c r="D74" s="2421"/>
      <c r="E74" s="2421"/>
      <c r="F74" s="2421"/>
      <c r="G74" s="2421"/>
      <c r="H74" s="2421"/>
      <c r="I74" s="2421"/>
      <c r="J74" s="2421"/>
      <c r="K74" s="2421"/>
      <c r="L74" s="2421"/>
      <c r="M74" s="2421"/>
      <c r="N74" s="2422"/>
      <c r="Q74" t="s">
        <v>952</v>
      </c>
      <c r="R74" s="4">
        <v>48</v>
      </c>
      <c r="T74" t="s">
        <v>96</v>
      </c>
      <c r="W74" s="4" t="s">
        <v>1119</v>
      </c>
      <c r="X74" s="4">
        <f>X73-X72</f>
        <v>9166</v>
      </c>
      <c r="Y74" s="4">
        <f>Y73-Y72</f>
        <v>12500</v>
      </c>
      <c r="Z74" s="4"/>
      <c r="AA74" s="4"/>
      <c r="AB74" s="4"/>
    </row>
    <row r="75" spans="2:28" ht="14.25" thickBot="1" x14ac:dyDescent="0.2">
      <c r="B75" s="2455"/>
      <c r="C75" s="2456"/>
      <c r="D75" s="2421"/>
      <c r="E75" s="2421"/>
      <c r="F75" s="2421"/>
      <c r="G75" s="2421"/>
      <c r="H75" s="2421"/>
      <c r="I75" s="2421"/>
      <c r="J75" s="2421"/>
      <c r="K75" s="2421"/>
      <c r="L75" s="2421"/>
      <c r="M75" s="2421"/>
      <c r="N75" s="2422"/>
      <c r="R75" s="4">
        <f>SUM(R69:R74)</f>
        <v>135536</v>
      </c>
      <c r="T75" s="772">
        <f>R75*12+SUM(T69:T70)</f>
        <v>1626432</v>
      </c>
      <c r="W75" s="4"/>
      <c r="X75" s="4"/>
      <c r="Y75" s="4"/>
      <c r="Z75" s="4"/>
      <c r="AA75" s="4"/>
      <c r="AB75" s="4"/>
    </row>
    <row r="76" spans="2:28" ht="14.25" thickBot="1" x14ac:dyDescent="0.2">
      <c r="B76" s="2455"/>
      <c r="C76" s="2456"/>
      <c r="D76" s="2421"/>
      <c r="E76" s="2421"/>
      <c r="F76" s="2421"/>
      <c r="G76" s="2421"/>
      <c r="H76" s="2421"/>
      <c r="I76" s="2421"/>
      <c r="J76" s="2421"/>
      <c r="K76" s="2421"/>
      <c r="L76" s="2421"/>
      <c r="M76" s="2421"/>
      <c r="N76" s="2422"/>
    </row>
    <row r="77" spans="2:28" ht="14.25" thickBot="1" x14ac:dyDescent="0.2">
      <c r="B77" s="2455"/>
      <c r="C77" s="2456"/>
      <c r="D77" s="2421"/>
      <c r="E77" s="2421"/>
      <c r="F77" s="2421"/>
      <c r="G77" s="2421"/>
      <c r="H77" s="2421"/>
      <c r="I77" s="2421"/>
      <c r="J77" s="2421"/>
      <c r="K77" s="2421"/>
      <c r="L77" s="2421"/>
      <c r="M77" s="2421"/>
      <c r="N77" s="2422"/>
    </row>
    <row r="78" spans="2:28" ht="14.25" thickBot="1" x14ac:dyDescent="0.2">
      <c r="B78" s="2455"/>
      <c r="C78" s="2456"/>
      <c r="D78" s="2421"/>
      <c r="E78" s="2421"/>
      <c r="F78" s="2421"/>
      <c r="G78" s="2421"/>
      <c r="H78" s="2421"/>
      <c r="I78" s="2421"/>
      <c r="J78" s="2421"/>
      <c r="K78" s="2421"/>
      <c r="L78" s="2421"/>
      <c r="M78" s="2421"/>
      <c r="N78" s="2422"/>
      <c r="X78">
        <v>43334</v>
      </c>
    </row>
    <row r="79" spans="2:28" ht="14.25" thickBot="1" x14ac:dyDescent="0.2">
      <c r="B79" s="2455"/>
      <c r="C79" s="2456"/>
      <c r="D79" s="2421"/>
      <c r="E79" s="2421"/>
      <c r="F79" s="2421"/>
      <c r="G79" s="2421"/>
      <c r="H79" s="2421"/>
      <c r="I79" s="2421"/>
      <c r="J79" s="2421"/>
      <c r="K79" s="2421"/>
      <c r="L79" s="2421"/>
      <c r="M79" s="2421"/>
      <c r="N79" s="2422"/>
      <c r="X79">
        <v>43334</v>
      </c>
    </row>
    <row r="80" spans="2:28" ht="14.25" thickBot="1" x14ac:dyDescent="0.2">
      <c r="B80" s="2455"/>
      <c r="C80" s="2456"/>
      <c r="D80" s="2421"/>
      <c r="E80" s="2421"/>
      <c r="F80" s="2421"/>
      <c r="G80" s="2421"/>
      <c r="H80" s="2421"/>
      <c r="I80" s="2421"/>
      <c r="J80" s="2421"/>
      <c r="K80" s="2421"/>
      <c r="L80" s="2421"/>
      <c r="M80" s="2421"/>
      <c r="N80" s="2422"/>
      <c r="X80">
        <v>43334</v>
      </c>
      <c r="Y80">
        <v>12500</v>
      </c>
    </row>
    <row r="81" spans="1:42" ht="14.25" thickBot="1" x14ac:dyDescent="0.2">
      <c r="B81" s="2455"/>
      <c r="C81" s="2456"/>
      <c r="D81" s="2421"/>
      <c r="E81" s="2421"/>
      <c r="F81" s="2421"/>
      <c r="G81" s="2421"/>
      <c r="H81" s="2421"/>
      <c r="I81" s="2421"/>
      <c r="J81" s="2421"/>
      <c r="K81" s="2421"/>
      <c r="L81" s="2421"/>
      <c r="M81" s="2421"/>
      <c r="N81" s="2422"/>
    </row>
    <row r="82" spans="1:42" x14ac:dyDescent="0.15">
      <c r="B82" s="132"/>
      <c r="C82" s="256"/>
      <c r="D82" s="256"/>
      <c r="E82" s="256"/>
      <c r="F82" s="256"/>
      <c r="G82" s="256"/>
      <c r="H82" s="256"/>
      <c r="I82" s="256"/>
      <c r="J82" s="256"/>
      <c r="K82" s="256"/>
      <c r="L82" s="256"/>
      <c r="M82" s="256"/>
      <c r="N82" s="256"/>
    </row>
    <row r="83" spans="1:42" ht="203.25" hidden="1" customHeight="1" thickBot="1" x14ac:dyDescent="0.2">
      <c r="C83" s="308" t="s">
        <v>367</v>
      </c>
      <c r="D83" s="754" t="s">
        <v>368</v>
      </c>
      <c r="E83" s="308"/>
      <c r="F83" s="308"/>
      <c r="G83" s="308" t="s">
        <v>369</v>
      </c>
      <c r="H83" s="308" t="s">
        <v>370</v>
      </c>
      <c r="I83" s="308" t="s">
        <v>364</v>
      </c>
      <c r="J83" s="308">
        <v>0</v>
      </c>
      <c r="K83" s="308" t="s">
        <v>365</v>
      </c>
      <c r="L83" s="308"/>
      <c r="M83" s="308"/>
      <c r="N83" s="308" t="s">
        <v>366</v>
      </c>
    </row>
    <row r="84" spans="1:42" x14ac:dyDescent="0.15">
      <c r="B84" s="132"/>
      <c r="C84" s="256"/>
      <c r="D84" s="256"/>
      <c r="E84" s="256"/>
      <c r="F84" s="256"/>
      <c r="G84" s="256"/>
      <c r="H84" s="256"/>
      <c r="I84" s="256"/>
      <c r="J84" s="256"/>
      <c r="K84" s="256"/>
      <c r="L84" s="256"/>
      <c r="M84" s="256">
        <v>1100000</v>
      </c>
      <c r="N84" s="256">
        <v>194000</v>
      </c>
      <c r="O84" s="256"/>
    </row>
    <row r="86" spans="1:42" ht="19.5" thickBot="1" x14ac:dyDescent="0.2">
      <c r="A86" s="43" t="s">
        <v>348</v>
      </c>
    </row>
    <row r="87" spans="1:42" s="1486" customFormat="1" x14ac:dyDescent="0.15">
      <c r="A87" s="299" t="s">
        <v>68</v>
      </c>
      <c r="B87" s="678" t="s">
        <v>341</v>
      </c>
      <c r="C87" s="324"/>
      <c r="D87" s="761"/>
      <c r="E87" s="678"/>
      <c r="F87" s="678"/>
      <c r="G87" s="678"/>
      <c r="H87" s="678"/>
      <c r="I87" s="678"/>
      <c r="J87" s="678"/>
      <c r="K87" s="678"/>
      <c r="L87" s="678"/>
      <c r="M87" s="678" t="s">
        <v>70</v>
      </c>
      <c r="N87" s="678"/>
      <c r="O87" s="678"/>
      <c r="P87" s="678"/>
      <c r="Q87" s="678"/>
      <c r="R87" s="678"/>
      <c r="S87" s="678"/>
      <c r="T87" s="678"/>
      <c r="U87" s="678"/>
      <c r="V87" s="678"/>
      <c r="W87" s="678"/>
      <c r="X87" s="678"/>
      <c r="Y87" s="678"/>
      <c r="Z87" s="678"/>
      <c r="AA87" s="678"/>
      <c r="AB87" s="678"/>
      <c r="AC87" s="678"/>
      <c r="AD87" s="678"/>
      <c r="AE87" s="678"/>
      <c r="AF87" s="678" t="s">
        <v>71</v>
      </c>
      <c r="AG87" s="678" t="s">
        <v>72</v>
      </c>
      <c r="AH87" s="678" t="s">
        <v>73</v>
      </c>
      <c r="AI87" s="678"/>
      <c r="AJ87" s="678"/>
      <c r="AK87" s="678"/>
      <c r="AL87" s="678" t="s">
        <v>74</v>
      </c>
      <c r="AM87" s="678"/>
      <c r="AN87" s="678"/>
      <c r="AO87" s="678"/>
      <c r="AP87" s="273" t="s">
        <v>340</v>
      </c>
    </row>
    <row r="88" spans="1:42" x14ac:dyDescent="0.15">
      <c r="A88" s="300" t="s">
        <v>332</v>
      </c>
      <c r="B88" s="274">
        <v>9248008</v>
      </c>
      <c r="C88" s="275"/>
      <c r="D88" s="758"/>
      <c r="E88" s="274"/>
      <c r="F88" s="274"/>
      <c r="G88" s="274"/>
      <c r="H88" s="274"/>
      <c r="I88" s="274"/>
      <c r="J88" s="274"/>
      <c r="K88" s="274"/>
      <c r="L88" s="274"/>
      <c r="M88" s="274">
        <v>8350476</v>
      </c>
      <c r="N88" s="274"/>
      <c r="O88" s="274"/>
      <c r="P88" s="274"/>
      <c r="Q88" s="274"/>
      <c r="R88" s="274"/>
      <c r="S88" s="274"/>
      <c r="T88" s="274"/>
      <c r="U88" s="274"/>
      <c r="V88" s="274"/>
      <c r="W88" s="274"/>
      <c r="X88" s="274"/>
      <c r="Y88" s="274"/>
      <c r="Z88" s="274"/>
      <c r="AA88" s="274"/>
      <c r="AB88" s="274"/>
      <c r="AC88" s="274"/>
      <c r="AD88" s="274"/>
      <c r="AE88" s="274"/>
      <c r="AF88" s="274"/>
      <c r="AG88" s="274">
        <v>2000000</v>
      </c>
      <c r="AH88" s="274">
        <v>86091</v>
      </c>
      <c r="AI88" s="274"/>
      <c r="AJ88" s="274"/>
      <c r="AK88" s="274"/>
      <c r="AL88" s="274">
        <v>3971571</v>
      </c>
      <c r="AM88" s="274"/>
      <c r="AN88" s="274"/>
      <c r="AO88" s="274"/>
      <c r="AP88" s="277">
        <f t="shared" ref="AP88:AP96" si="11">SUM(B88:AO88)</f>
        <v>23656146</v>
      </c>
    </row>
    <row r="89" spans="1:42" x14ac:dyDescent="0.15">
      <c r="A89" s="300" t="s">
        <v>325</v>
      </c>
      <c r="B89" s="274">
        <v>8581832</v>
      </c>
      <c r="C89" s="275"/>
      <c r="D89" s="758"/>
      <c r="E89" s="274"/>
      <c r="F89" s="274"/>
      <c r="G89" s="274"/>
      <c r="H89" s="274"/>
      <c r="I89" s="274"/>
      <c r="J89" s="274"/>
      <c r="K89" s="274"/>
      <c r="L89" s="274"/>
      <c r="M89" s="274">
        <v>8110340</v>
      </c>
      <c r="N89" s="274"/>
      <c r="O89" s="274"/>
      <c r="P89" s="274"/>
      <c r="Q89" s="274"/>
      <c r="R89" s="274"/>
      <c r="S89" s="274"/>
      <c r="T89" s="274"/>
      <c r="U89" s="274"/>
      <c r="V89" s="274"/>
      <c r="W89" s="274"/>
      <c r="X89" s="274"/>
      <c r="Y89" s="274"/>
      <c r="Z89" s="274"/>
      <c r="AA89" s="274"/>
      <c r="AB89" s="274"/>
      <c r="AC89" s="274"/>
      <c r="AD89" s="274"/>
      <c r="AE89" s="274"/>
      <c r="AF89" s="274"/>
      <c r="AG89" s="274">
        <v>2000000</v>
      </c>
      <c r="AH89" s="274">
        <v>130746</v>
      </c>
      <c r="AI89" s="274"/>
      <c r="AJ89" s="274"/>
      <c r="AK89" s="274"/>
      <c r="AL89" s="274">
        <v>1387414</v>
      </c>
      <c r="AM89" s="274"/>
      <c r="AN89" s="274"/>
      <c r="AO89" s="274"/>
      <c r="AP89" s="277">
        <f t="shared" si="11"/>
        <v>20210332</v>
      </c>
    </row>
    <row r="90" spans="1:42" x14ac:dyDescent="0.15">
      <c r="A90" s="300" t="s">
        <v>324</v>
      </c>
      <c r="B90" s="274">
        <v>9496637</v>
      </c>
      <c r="C90" s="275"/>
      <c r="D90" s="758"/>
      <c r="E90" s="274"/>
      <c r="F90" s="274"/>
      <c r="G90" s="274"/>
      <c r="H90" s="274"/>
      <c r="I90" s="274"/>
      <c r="J90" s="274"/>
      <c r="K90" s="274"/>
      <c r="L90" s="274"/>
      <c r="M90" s="274">
        <v>8561138</v>
      </c>
      <c r="N90" s="274"/>
      <c r="O90" s="274"/>
      <c r="P90" s="274"/>
      <c r="Q90" s="274"/>
      <c r="R90" s="274"/>
      <c r="S90" s="274"/>
      <c r="T90" s="274"/>
      <c r="U90" s="274"/>
      <c r="V90" s="274"/>
      <c r="W90" s="274"/>
      <c r="X90" s="274"/>
      <c r="Y90" s="274"/>
      <c r="Z90" s="274"/>
      <c r="AA90" s="274"/>
      <c r="AB90" s="274"/>
      <c r="AC90" s="274"/>
      <c r="AD90" s="274"/>
      <c r="AE90" s="274"/>
      <c r="AF90" s="274"/>
      <c r="AG90" s="274">
        <v>2000000</v>
      </c>
      <c r="AH90" s="274">
        <v>196885</v>
      </c>
      <c r="AI90" s="274"/>
      <c r="AJ90" s="274"/>
      <c r="AK90" s="274"/>
      <c r="AL90" s="274">
        <v>1422229</v>
      </c>
      <c r="AM90" s="274"/>
      <c r="AN90" s="274"/>
      <c r="AO90" s="274"/>
      <c r="AP90" s="277">
        <f t="shared" si="11"/>
        <v>21676889</v>
      </c>
    </row>
    <row r="91" spans="1:42" x14ac:dyDescent="0.15">
      <c r="A91" s="300" t="s">
        <v>323</v>
      </c>
      <c r="B91" s="274">
        <v>9162799</v>
      </c>
      <c r="C91" s="275"/>
      <c r="D91" s="758"/>
      <c r="E91" s="274"/>
      <c r="F91" s="274"/>
      <c r="G91" s="274"/>
      <c r="H91" s="274"/>
      <c r="I91" s="274"/>
      <c r="J91" s="274"/>
      <c r="K91" s="274"/>
      <c r="L91" s="274"/>
      <c r="M91" s="274">
        <v>8027584</v>
      </c>
      <c r="N91" s="274"/>
      <c r="O91" s="274"/>
      <c r="P91" s="274"/>
      <c r="Q91" s="274"/>
      <c r="R91" s="274"/>
      <c r="S91" s="274"/>
      <c r="T91" s="274"/>
      <c r="U91" s="274"/>
      <c r="V91" s="274"/>
      <c r="W91" s="274"/>
      <c r="X91" s="274"/>
      <c r="Y91" s="274"/>
      <c r="Z91" s="274"/>
      <c r="AA91" s="274"/>
      <c r="AB91" s="274"/>
      <c r="AC91" s="274"/>
      <c r="AD91" s="274"/>
      <c r="AE91" s="274"/>
      <c r="AF91" s="274"/>
      <c r="AG91" s="274">
        <v>2000000</v>
      </c>
      <c r="AH91" s="274">
        <v>69822</v>
      </c>
      <c r="AI91" s="274"/>
      <c r="AJ91" s="274"/>
      <c r="AK91" s="274"/>
      <c r="AL91" s="274">
        <v>1432802</v>
      </c>
      <c r="AM91" s="274"/>
      <c r="AN91" s="274"/>
      <c r="AO91" s="274"/>
      <c r="AP91" s="277">
        <f t="shared" si="11"/>
        <v>20693007</v>
      </c>
    </row>
    <row r="92" spans="1:42" x14ac:dyDescent="0.15">
      <c r="A92" s="300" t="s">
        <v>322</v>
      </c>
      <c r="B92" s="274">
        <v>9509943</v>
      </c>
      <c r="C92" s="275"/>
      <c r="D92" s="758"/>
      <c r="E92" s="274"/>
      <c r="F92" s="274"/>
      <c r="G92" s="274"/>
      <c r="H92" s="274"/>
      <c r="I92" s="274"/>
      <c r="J92" s="274"/>
      <c r="K92" s="274"/>
      <c r="L92" s="274"/>
      <c r="M92" s="274">
        <v>8385335</v>
      </c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274"/>
      <c r="AE92" s="274"/>
      <c r="AF92" s="274"/>
      <c r="AG92" s="274">
        <v>2000000</v>
      </c>
      <c r="AH92" s="274">
        <v>62525</v>
      </c>
      <c r="AI92" s="274"/>
      <c r="AJ92" s="274"/>
      <c r="AK92" s="274"/>
      <c r="AL92" s="274">
        <v>1475579</v>
      </c>
      <c r="AM92" s="274"/>
      <c r="AN92" s="274"/>
      <c r="AO92" s="274"/>
      <c r="AP92" s="277">
        <f t="shared" si="11"/>
        <v>21433382</v>
      </c>
    </row>
    <row r="93" spans="1:42" x14ac:dyDescent="0.15">
      <c r="A93" s="300" t="s">
        <v>321</v>
      </c>
      <c r="B93" s="274">
        <v>10064298</v>
      </c>
      <c r="C93" s="275"/>
      <c r="D93" s="758"/>
      <c r="E93" s="274"/>
      <c r="F93" s="274"/>
      <c r="G93" s="274"/>
      <c r="H93" s="274"/>
      <c r="I93" s="274"/>
      <c r="J93" s="274"/>
      <c r="K93" s="274"/>
      <c r="L93" s="274"/>
      <c r="M93" s="274">
        <v>8544718</v>
      </c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4"/>
      <c r="AD93" s="274"/>
      <c r="AE93" s="274"/>
      <c r="AF93" s="274">
        <v>4031000</v>
      </c>
      <c r="AG93" s="274">
        <v>2000000</v>
      </c>
      <c r="AH93" s="274">
        <v>207374</v>
      </c>
      <c r="AI93" s="274"/>
      <c r="AJ93" s="274"/>
      <c r="AK93" s="274"/>
      <c r="AL93" s="274">
        <v>2347606</v>
      </c>
      <c r="AM93" s="274"/>
      <c r="AN93" s="274"/>
      <c r="AO93" s="274"/>
      <c r="AP93" s="277">
        <f t="shared" si="11"/>
        <v>27194996</v>
      </c>
    </row>
    <row r="94" spans="1:42" x14ac:dyDescent="0.15">
      <c r="A94" s="300" t="s">
        <v>419</v>
      </c>
      <c r="B94" s="274">
        <v>10753859</v>
      </c>
      <c r="C94" s="275"/>
      <c r="D94" s="758"/>
      <c r="E94" s="274"/>
      <c r="F94" s="274"/>
      <c r="G94" s="274"/>
      <c r="H94" s="274"/>
      <c r="I94" s="274"/>
      <c r="J94" s="274"/>
      <c r="K94" s="274"/>
      <c r="L94" s="274"/>
      <c r="M94" s="274">
        <v>8579143</v>
      </c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274"/>
      <c r="AE94" s="274"/>
      <c r="AF94" s="274"/>
      <c r="AG94" s="274">
        <v>2000000</v>
      </c>
      <c r="AH94" s="274">
        <v>400236</v>
      </c>
      <c r="AI94" s="274"/>
      <c r="AJ94" s="274"/>
      <c r="AK94" s="274"/>
      <c r="AL94" s="274">
        <v>2742730</v>
      </c>
      <c r="AM94" s="274"/>
      <c r="AN94" s="274"/>
      <c r="AO94" s="274"/>
      <c r="AP94" s="277">
        <f t="shared" si="11"/>
        <v>24475968</v>
      </c>
    </row>
    <row r="95" spans="1:42" x14ac:dyDescent="0.15">
      <c r="A95" s="300" t="s">
        <v>320</v>
      </c>
      <c r="B95" s="274"/>
      <c r="C95" s="275"/>
      <c r="D95" s="758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274"/>
      <c r="AE95" s="274"/>
      <c r="AF95" s="274"/>
      <c r="AG95" s="274"/>
      <c r="AH95" s="274"/>
      <c r="AI95" s="274"/>
      <c r="AJ95" s="274"/>
      <c r="AK95" s="274"/>
      <c r="AL95" s="274"/>
      <c r="AM95" s="274"/>
      <c r="AN95" s="274"/>
      <c r="AO95" s="274"/>
      <c r="AP95" s="277">
        <f t="shared" si="11"/>
        <v>0</v>
      </c>
    </row>
    <row r="96" spans="1:42" x14ac:dyDescent="0.15">
      <c r="A96" s="300" t="s">
        <v>418</v>
      </c>
      <c r="B96" s="274"/>
      <c r="C96" s="275"/>
      <c r="D96" s="758"/>
      <c r="E96" s="274"/>
      <c r="F96" s="274"/>
      <c r="G96" s="274"/>
      <c r="H96" s="274"/>
      <c r="I96" s="274"/>
      <c r="J96" s="274"/>
      <c r="K96" s="274"/>
      <c r="L96" s="274"/>
      <c r="M96" s="313"/>
      <c r="N96" s="274"/>
      <c r="O96" s="274"/>
      <c r="P96" s="274"/>
      <c r="Q96" s="274"/>
      <c r="R96" s="274"/>
      <c r="S96" s="274"/>
      <c r="T96" s="274"/>
      <c r="U96" s="274"/>
      <c r="V96" s="274"/>
      <c r="W96" s="274"/>
      <c r="X96" s="274"/>
      <c r="Y96" s="274"/>
      <c r="Z96" s="274"/>
      <c r="AA96" s="274"/>
      <c r="AB96" s="274"/>
      <c r="AC96" s="274"/>
      <c r="AD96" s="274"/>
      <c r="AE96" s="274"/>
      <c r="AF96" s="313"/>
      <c r="AG96" s="313"/>
      <c r="AH96" s="313"/>
      <c r="AI96" s="274"/>
      <c r="AJ96" s="274"/>
      <c r="AK96" s="274"/>
      <c r="AL96" s="313"/>
      <c r="AM96" s="274"/>
      <c r="AN96" s="274"/>
      <c r="AO96" s="274"/>
      <c r="AP96" s="277">
        <f t="shared" si="11"/>
        <v>0</v>
      </c>
    </row>
    <row r="97" spans="1:46" x14ac:dyDescent="0.15">
      <c r="A97" s="300" t="s">
        <v>425</v>
      </c>
      <c r="B97" s="313">
        <f>AVERAGE(B93:B96)</f>
        <v>10409078.5</v>
      </c>
      <c r="C97" s="275"/>
      <c r="D97" s="758"/>
      <c r="E97" s="274"/>
      <c r="F97" s="274"/>
      <c r="G97" s="274"/>
      <c r="H97" s="274"/>
      <c r="I97" s="274"/>
      <c r="J97" s="274"/>
      <c r="K97" s="274"/>
      <c r="L97" s="274"/>
      <c r="M97" s="313">
        <f>AVERAGE(M93:M96)</f>
        <v>8561930.5</v>
      </c>
      <c r="N97" s="274"/>
      <c r="O97" s="274"/>
      <c r="P97" s="274"/>
      <c r="Q97" s="274"/>
      <c r="R97" s="274"/>
      <c r="S97" s="274"/>
      <c r="T97" s="274"/>
      <c r="U97" s="274"/>
      <c r="V97" s="274"/>
      <c r="W97" s="274"/>
      <c r="X97" s="274"/>
      <c r="Y97" s="274"/>
      <c r="Z97" s="274"/>
      <c r="AA97" s="274"/>
      <c r="AB97" s="274"/>
      <c r="AC97" s="274"/>
      <c r="AD97" s="274"/>
      <c r="AE97" s="274"/>
      <c r="AF97" s="313">
        <f>AVERAGE(AF93:AF96)</f>
        <v>4031000</v>
      </c>
      <c r="AG97" s="313">
        <f>AVERAGE(AG93:AG96)</f>
        <v>2000000</v>
      </c>
      <c r="AH97" s="313">
        <f>AVERAGE(AH93:AH96)</f>
        <v>303805</v>
      </c>
      <c r="AI97" s="274"/>
      <c r="AJ97" s="274"/>
      <c r="AK97" s="274"/>
      <c r="AL97" s="313">
        <f>AVERAGE(AL93:AL96)</f>
        <v>2545168</v>
      </c>
      <c r="AM97" s="274"/>
      <c r="AN97" s="274"/>
      <c r="AO97" s="274"/>
      <c r="AP97" s="277">
        <f>AVERAGE(AP88:AP96)</f>
        <v>17704524.444444444</v>
      </c>
    </row>
    <row r="98" spans="1:46" x14ac:dyDescent="0.15">
      <c r="A98" s="325"/>
      <c r="B98" s="325"/>
      <c r="C98" s="343"/>
      <c r="D98" s="758"/>
      <c r="E98" s="325"/>
      <c r="F98" s="343"/>
      <c r="G98" s="325"/>
      <c r="H98" s="343"/>
      <c r="I98" s="325"/>
      <c r="J98" s="631"/>
      <c r="K98" s="343"/>
      <c r="L98" s="325"/>
      <c r="M98" s="343"/>
      <c r="N98" s="631"/>
      <c r="O98" s="631"/>
      <c r="P98" s="631"/>
      <c r="Q98" s="343"/>
      <c r="R98" s="314"/>
      <c r="S98" s="314"/>
      <c r="T98" s="5"/>
      <c r="U98" s="5"/>
      <c r="V98" s="5"/>
      <c r="W98" s="5"/>
      <c r="X98" s="5"/>
      <c r="Y98" s="5"/>
      <c r="Z98" s="4"/>
      <c r="AA98" s="4"/>
      <c r="AB98" s="4"/>
      <c r="AC98" s="4"/>
      <c r="AD98" s="4"/>
      <c r="AE98" s="314"/>
      <c r="AF98" s="314"/>
      <c r="AG98" s="314"/>
      <c r="AH98" s="314"/>
      <c r="AI98" s="315"/>
      <c r="AJ98" s="315"/>
      <c r="AK98" s="314"/>
      <c r="AL98" s="314"/>
      <c r="AM98" s="315"/>
      <c r="AN98" s="316"/>
      <c r="AO98" s="314"/>
      <c r="AP98" s="317"/>
    </row>
    <row r="99" spans="1:46" ht="13.5" customHeight="1" x14ac:dyDescent="0.15">
      <c r="A99" s="302"/>
      <c r="B99" s="318"/>
      <c r="C99" s="2427" t="s">
        <v>427</v>
      </c>
      <c r="D99" s="2427" t="s">
        <v>885</v>
      </c>
      <c r="E99" s="2423" t="s">
        <v>450</v>
      </c>
      <c r="F99" s="2423" t="s">
        <v>884</v>
      </c>
      <c r="G99" s="2423" t="s">
        <v>330</v>
      </c>
      <c r="H99" s="2423" t="s">
        <v>940</v>
      </c>
      <c r="I99" s="2423" t="s">
        <v>988</v>
      </c>
      <c r="J99" s="2423" t="s">
        <v>1004</v>
      </c>
      <c r="K99" s="2423" t="s">
        <v>352</v>
      </c>
      <c r="L99" s="2442" t="s">
        <v>353</v>
      </c>
      <c r="M99" s="318"/>
      <c r="N99" s="2423" t="s">
        <v>537</v>
      </c>
      <c r="O99" s="2423" t="s">
        <v>538</v>
      </c>
      <c r="P99" s="2423" t="s">
        <v>1091</v>
      </c>
      <c r="Q99" s="2427" t="s">
        <v>424</v>
      </c>
      <c r="R99" s="2429" t="s">
        <v>471</v>
      </c>
      <c r="S99" s="2423" t="s">
        <v>988</v>
      </c>
      <c r="T99" s="2423" t="s">
        <v>590</v>
      </c>
      <c r="U99" s="2423" t="s">
        <v>818</v>
      </c>
      <c r="V99" s="2423" t="s">
        <v>1006</v>
      </c>
      <c r="W99" s="2423" t="s">
        <v>1003</v>
      </c>
      <c r="X99" s="2423" t="s">
        <v>1002</v>
      </c>
      <c r="Y99" s="2423" t="s">
        <v>1003</v>
      </c>
      <c r="Z99" s="2425" t="s">
        <v>987</v>
      </c>
      <c r="AA99" s="2425" t="s">
        <v>886</v>
      </c>
      <c r="AB99" s="2452" t="s">
        <v>589</v>
      </c>
      <c r="AC99" s="2453" t="s">
        <v>588</v>
      </c>
      <c r="AD99" s="2452" t="s">
        <v>426</v>
      </c>
      <c r="AE99" s="2442" t="s">
        <v>354</v>
      </c>
      <c r="AF99" s="2442" t="s">
        <v>60</v>
      </c>
      <c r="AG99" s="318"/>
      <c r="AH99" s="318"/>
      <c r="AI99" s="2442" t="s">
        <v>349</v>
      </c>
      <c r="AJ99" s="2442" t="s">
        <v>349</v>
      </c>
      <c r="AK99" s="2444" t="s">
        <v>355</v>
      </c>
      <c r="AL99" s="318"/>
      <c r="AM99" s="2446" t="s">
        <v>349</v>
      </c>
      <c r="AN99" s="2447"/>
      <c r="AO99" s="2444" t="s">
        <v>356</v>
      </c>
      <c r="AP99" s="2450" t="s">
        <v>340</v>
      </c>
      <c r="AS99" s="2429" t="s">
        <v>449</v>
      </c>
      <c r="AT99" s="2423" t="s">
        <v>453</v>
      </c>
    </row>
    <row r="100" spans="1:46" s="130" customFormat="1" ht="13.5" customHeight="1" x14ac:dyDescent="0.15">
      <c r="A100" s="303"/>
      <c r="B100" s="280"/>
      <c r="C100" s="2428"/>
      <c r="D100" s="2428"/>
      <c r="E100" s="2445"/>
      <c r="F100" s="2445"/>
      <c r="G100" s="2445"/>
      <c r="H100" s="2445"/>
      <c r="I100" s="2445"/>
      <c r="J100" s="2445"/>
      <c r="K100" s="2445"/>
      <c r="L100" s="2443"/>
      <c r="M100" s="280"/>
      <c r="N100" s="2424"/>
      <c r="O100" s="2424"/>
      <c r="P100" s="2424"/>
      <c r="Q100" s="2428"/>
      <c r="R100" s="2430"/>
      <c r="S100" s="2424"/>
      <c r="T100" s="2424"/>
      <c r="U100" s="2424"/>
      <c r="V100" s="2424"/>
      <c r="W100" s="2424"/>
      <c r="X100" s="2424"/>
      <c r="Y100" s="2424"/>
      <c r="Z100" s="2426"/>
      <c r="AA100" s="2426"/>
      <c r="AB100" s="2443"/>
      <c r="AC100" s="2443"/>
      <c r="AD100" s="2443"/>
      <c r="AE100" s="2443"/>
      <c r="AF100" s="2443"/>
      <c r="AG100" s="280"/>
      <c r="AH100" s="280"/>
      <c r="AI100" s="2443"/>
      <c r="AJ100" s="2443"/>
      <c r="AK100" s="2445"/>
      <c r="AL100" s="280"/>
      <c r="AM100" s="2448"/>
      <c r="AN100" s="2449"/>
      <c r="AO100" s="2445"/>
      <c r="AP100" s="2451"/>
      <c r="AS100" s="2430"/>
      <c r="AT100" s="2424"/>
    </row>
    <row r="101" spans="1:46" s="130" customFormat="1" x14ac:dyDescent="0.15">
      <c r="A101" s="303" t="s">
        <v>418</v>
      </c>
      <c r="B101" s="274">
        <v>10409078.5</v>
      </c>
      <c r="C101" s="773">
        <v>110000</v>
      </c>
      <c r="D101" s="773"/>
      <c r="E101" s="340"/>
      <c r="F101" s="340"/>
      <c r="G101" s="340"/>
      <c r="H101" s="340"/>
      <c r="I101" s="340"/>
      <c r="J101" s="340"/>
      <c r="K101" s="340"/>
      <c r="L101" s="319">
        <f t="shared" ref="L101:L112" si="12">SUM(B101:K101)</f>
        <v>10519078.5</v>
      </c>
      <c r="M101" s="274">
        <v>8561930.5</v>
      </c>
      <c r="N101" s="632"/>
      <c r="O101" s="632"/>
      <c r="P101" s="632"/>
      <c r="Q101" s="341"/>
      <c r="R101" s="342"/>
      <c r="S101" s="760"/>
      <c r="T101" s="760"/>
      <c r="U101" s="760"/>
      <c r="V101" s="760"/>
      <c r="W101" s="760"/>
      <c r="X101" s="760"/>
      <c r="Y101" s="760"/>
      <c r="Z101" s="1487"/>
      <c r="AA101" s="1487"/>
      <c r="AB101" s="274">
        <v>-160000</v>
      </c>
      <c r="AC101" s="274"/>
      <c r="AD101" s="274"/>
      <c r="AE101" s="319">
        <f t="shared" ref="AE101:AE109" si="13">SUM(M101:AD101)</f>
        <v>8401930.5</v>
      </c>
      <c r="AF101" s="319"/>
      <c r="AG101" s="319">
        <v>2000000</v>
      </c>
      <c r="AH101" s="751">
        <v>303805</v>
      </c>
      <c r="AI101" s="755">
        <v>1101600</v>
      </c>
      <c r="AJ101" s="755"/>
      <c r="AK101" s="319">
        <f t="shared" ref="AK101:AK112" si="14">SUM(AH101:AJ101)</f>
        <v>1405405</v>
      </c>
      <c r="AL101" s="755">
        <f>SUM(AE101:AG101)*13.4%</f>
        <v>1393858.6870000002</v>
      </c>
      <c r="AM101" s="345"/>
      <c r="AN101" s="346"/>
      <c r="AO101" s="319">
        <f>SUM(AL101:AN101)</f>
        <v>1393858.6870000002</v>
      </c>
      <c r="AP101" s="320">
        <f t="shared" ref="AP101:AP112" si="15">L101+AE101+AF101+AG101+AK101+AO101</f>
        <v>23720272.686999999</v>
      </c>
      <c r="AS101" s="342"/>
      <c r="AT101" s="760"/>
    </row>
    <row r="102" spans="1:46" x14ac:dyDescent="0.15">
      <c r="A102" s="300" t="s">
        <v>420</v>
      </c>
      <c r="B102" s="274">
        <v>10409078.5</v>
      </c>
      <c r="C102" s="773">
        <v>110000</v>
      </c>
      <c r="D102" s="773"/>
      <c r="E102" s="751"/>
      <c r="F102" s="751"/>
      <c r="G102" s="751"/>
      <c r="H102" s="751"/>
      <c r="I102" s="751"/>
      <c r="J102" s="751"/>
      <c r="K102" s="751">
        <v>79000</v>
      </c>
      <c r="L102" s="319">
        <f t="shared" si="12"/>
        <v>10598078.5</v>
      </c>
      <c r="M102" s="274">
        <v>8561930.5</v>
      </c>
      <c r="N102" s="773"/>
      <c r="O102" s="773"/>
      <c r="P102" s="773"/>
      <c r="Q102" s="325">
        <v>300000</v>
      </c>
      <c r="R102" s="343">
        <v>140000</v>
      </c>
      <c r="S102" s="274"/>
      <c r="T102" s="274"/>
      <c r="U102" s="274"/>
      <c r="V102" s="274"/>
      <c r="W102" s="274"/>
      <c r="X102" s="274"/>
      <c r="Y102" s="274"/>
      <c r="Z102" s="274"/>
      <c r="AA102" s="274"/>
      <c r="AB102" s="274">
        <v>-160000</v>
      </c>
      <c r="AC102" s="274"/>
      <c r="AD102" s="274">
        <v>-220000</v>
      </c>
      <c r="AE102" s="319">
        <f t="shared" si="13"/>
        <v>8621930.5</v>
      </c>
      <c r="AF102" s="319"/>
      <c r="AG102" s="319">
        <v>2000000</v>
      </c>
      <c r="AH102" s="751">
        <v>303805</v>
      </c>
      <c r="AI102" s="751"/>
      <c r="AJ102" s="751"/>
      <c r="AK102" s="319">
        <f t="shared" si="14"/>
        <v>303805</v>
      </c>
      <c r="AL102" s="751">
        <f t="shared" ref="AL102:AL109" si="16">SUM(AE102:AG102)*13.4%</f>
        <v>1423338.6870000002</v>
      </c>
      <c r="AM102" s="751">
        <v>600000</v>
      </c>
      <c r="AN102" s="751"/>
      <c r="AO102" s="319">
        <f>SUM(AL102:AN102)</f>
        <v>2023338.6870000002</v>
      </c>
      <c r="AP102" s="320">
        <f t="shared" si="15"/>
        <v>23547152.686999999</v>
      </c>
      <c r="AS102" s="343"/>
      <c r="AT102" s="274"/>
    </row>
    <row r="103" spans="1:46" x14ac:dyDescent="0.15">
      <c r="A103" s="300" t="s">
        <v>408</v>
      </c>
      <c r="B103" s="274">
        <v>10409078.5</v>
      </c>
      <c r="C103" s="751"/>
      <c r="D103" s="773"/>
      <c r="E103" s="751"/>
      <c r="F103" s="751"/>
      <c r="G103" s="751"/>
      <c r="H103" s="751"/>
      <c r="I103" s="751"/>
      <c r="J103" s="751"/>
      <c r="K103" s="751">
        <v>105000</v>
      </c>
      <c r="L103" s="319">
        <f t="shared" si="12"/>
        <v>10514078.5</v>
      </c>
      <c r="M103" s="274">
        <v>8561930.5</v>
      </c>
      <c r="N103" s="773"/>
      <c r="O103" s="773"/>
      <c r="P103" s="773"/>
      <c r="Q103" s="325">
        <v>300000</v>
      </c>
      <c r="R103" s="343">
        <v>140000</v>
      </c>
      <c r="S103" s="274"/>
      <c r="T103" s="274"/>
      <c r="U103" s="274"/>
      <c r="V103" s="274"/>
      <c r="W103" s="274"/>
      <c r="X103" s="274"/>
      <c r="Y103" s="274"/>
      <c r="Z103" s="274"/>
      <c r="AA103" s="274"/>
      <c r="AB103" s="274">
        <v>-160000</v>
      </c>
      <c r="AC103" s="274"/>
      <c r="AD103" s="274">
        <v>-220000</v>
      </c>
      <c r="AE103" s="319">
        <f t="shared" si="13"/>
        <v>8621930.5</v>
      </c>
      <c r="AF103" s="319"/>
      <c r="AG103" s="319">
        <v>2500000</v>
      </c>
      <c r="AH103" s="751">
        <v>303805</v>
      </c>
      <c r="AI103" s="751"/>
      <c r="AJ103" s="751">
        <v>700000</v>
      </c>
      <c r="AK103" s="319">
        <f t="shared" si="14"/>
        <v>1003805</v>
      </c>
      <c r="AL103" s="751">
        <f>SUM(AE103:AG103)*13.4%</f>
        <v>1490338.6870000002</v>
      </c>
      <c r="AM103" s="751"/>
      <c r="AN103" s="751"/>
      <c r="AO103" s="319">
        <f t="shared" ref="AO103:AO112" si="17">SUM(AL103:AN103)</f>
        <v>1490338.6870000002</v>
      </c>
      <c r="AP103" s="320">
        <f t="shared" si="15"/>
        <v>24130152.686999999</v>
      </c>
      <c r="AS103" s="343">
        <v>210000</v>
      </c>
      <c r="AT103" s="274"/>
    </row>
    <row r="104" spans="1:46" x14ac:dyDescent="0.15">
      <c r="A104" s="300" t="s">
        <v>409</v>
      </c>
      <c r="B104" s="274">
        <v>10409078.5</v>
      </c>
      <c r="C104" s="751"/>
      <c r="D104" s="773"/>
      <c r="E104" s="751"/>
      <c r="F104" s="751"/>
      <c r="G104" s="751"/>
      <c r="H104" s="751"/>
      <c r="I104" s="751"/>
      <c r="J104" s="751"/>
      <c r="K104" s="751">
        <v>130000</v>
      </c>
      <c r="L104" s="319">
        <f t="shared" si="12"/>
        <v>10539078.5</v>
      </c>
      <c r="M104" s="274">
        <v>8561930.5</v>
      </c>
      <c r="N104" s="773"/>
      <c r="O104" s="773"/>
      <c r="P104" s="773"/>
      <c r="Q104" s="325">
        <v>300000</v>
      </c>
      <c r="R104" s="343">
        <v>280000</v>
      </c>
      <c r="S104" s="274"/>
      <c r="T104" s="274"/>
      <c r="U104" s="274"/>
      <c r="V104" s="274"/>
      <c r="W104" s="274"/>
      <c r="X104" s="274"/>
      <c r="Y104" s="274"/>
      <c r="Z104" s="274"/>
      <c r="AA104" s="274"/>
      <c r="AB104" s="274">
        <v>-160000</v>
      </c>
      <c r="AC104" s="274"/>
      <c r="AD104" s="274">
        <v>-220000</v>
      </c>
      <c r="AE104" s="319">
        <f t="shared" si="13"/>
        <v>8761930.5</v>
      </c>
      <c r="AF104" s="319">
        <v>12389750</v>
      </c>
      <c r="AG104" s="319">
        <v>2500000</v>
      </c>
      <c r="AH104" s="751">
        <v>303805</v>
      </c>
      <c r="AI104" s="751">
        <v>80000</v>
      </c>
      <c r="AJ104" s="751">
        <v>700000</v>
      </c>
      <c r="AK104" s="319">
        <f t="shared" si="14"/>
        <v>1083805</v>
      </c>
      <c r="AL104" s="751">
        <f>SUM(AE104,AG104)*13.4%</f>
        <v>1509098.6870000002</v>
      </c>
      <c r="AM104" s="751"/>
      <c r="AN104" s="751"/>
      <c r="AO104" s="319">
        <f t="shared" si="17"/>
        <v>1509098.6870000002</v>
      </c>
      <c r="AP104" s="320">
        <f t="shared" si="15"/>
        <v>36783662.686999999</v>
      </c>
      <c r="AS104" s="343">
        <v>210000</v>
      </c>
      <c r="AT104" s="274"/>
    </row>
    <row r="105" spans="1:46" x14ac:dyDescent="0.15">
      <c r="A105" s="300" t="s">
        <v>410</v>
      </c>
      <c r="B105" s="274">
        <v>10409078.5</v>
      </c>
      <c r="C105" s="751"/>
      <c r="D105" s="773">
        <v>80000</v>
      </c>
      <c r="E105" s="751"/>
      <c r="F105" s="751"/>
      <c r="G105" s="751"/>
      <c r="H105" s="751"/>
      <c r="I105" s="751"/>
      <c r="J105" s="751"/>
      <c r="K105" s="751">
        <v>157000</v>
      </c>
      <c r="L105" s="319">
        <f t="shared" si="12"/>
        <v>10646078.5</v>
      </c>
      <c r="M105" s="274">
        <v>8561930.5</v>
      </c>
      <c r="N105" s="773"/>
      <c r="O105" s="773"/>
      <c r="P105" s="773"/>
      <c r="Q105" s="325">
        <v>350000</v>
      </c>
      <c r="R105" s="343">
        <v>140000</v>
      </c>
      <c r="S105" s="274"/>
      <c r="T105" s="274"/>
      <c r="U105" s="274"/>
      <c r="V105" s="274"/>
      <c r="W105" s="274"/>
      <c r="X105" s="274"/>
      <c r="Y105" s="274"/>
      <c r="Z105" s="274"/>
      <c r="AA105" s="274"/>
      <c r="AB105" s="274">
        <v>-160000</v>
      </c>
      <c r="AC105" s="274">
        <f>-110000</f>
        <v>-110000</v>
      </c>
      <c r="AD105" s="274">
        <v>-220000</v>
      </c>
      <c r="AE105" s="319">
        <f t="shared" si="13"/>
        <v>8561930.5</v>
      </c>
      <c r="AF105" s="319"/>
      <c r="AG105" s="319">
        <v>2500000</v>
      </c>
      <c r="AH105" s="751">
        <v>303805</v>
      </c>
      <c r="AI105" s="751"/>
      <c r="AJ105" s="751"/>
      <c r="AK105" s="319">
        <f t="shared" si="14"/>
        <v>303805</v>
      </c>
      <c r="AL105" s="751">
        <f t="shared" si="16"/>
        <v>1482298.6870000002</v>
      </c>
      <c r="AM105" s="751">
        <v>610000</v>
      </c>
      <c r="AN105" s="751">
        <v>900000</v>
      </c>
      <c r="AO105" s="319">
        <f>SUM(AL105:AN105)</f>
        <v>2992298.6869999999</v>
      </c>
      <c r="AP105" s="320">
        <f t="shared" si="15"/>
        <v>25004112.686999999</v>
      </c>
      <c r="AS105" s="343">
        <v>210000</v>
      </c>
      <c r="AT105" s="274">
        <v>189000</v>
      </c>
    </row>
    <row r="106" spans="1:46" x14ac:dyDescent="0.15">
      <c r="A106" s="300" t="s">
        <v>411</v>
      </c>
      <c r="B106" s="274">
        <v>10409078.5</v>
      </c>
      <c r="C106" s="751"/>
      <c r="D106" s="773"/>
      <c r="E106" s="751"/>
      <c r="F106" s="751">
        <v>55000</v>
      </c>
      <c r="G106" s="751">
        <f>30000+40000</f>
        <v>70000</v>
      </c>
      <c r="H106" s="751"/>
      <c r="I106" s="751"/>
      <c r="J106" s="751"/>
      <c r="K106" s="751">
        <v>157000</v>
      </c>
      <c r="L106" s="319">
        <f t="shared" si="12"/>
        <v>10691078.5</v>
      </c>
      <c r="M106" s="274">
        <v>8561930.5</v>
      </c>
      <c r="N106" s="773">
        <v>210000</v>
      </c>
      <c r="O106" s="773">
        <v>210000</v>
      </c>
      <c r="P106" s="773"/>
      <c r="Q106" s="325">
        <v>350000</v>
      </c>
      <c r="R106" s="343">
        <v>140000</v>
      </c>
      <c r="S106" s="274"/>
      <c r="T106" s="274">
        <v>320000</v>
      </c>
      <c r="U106" s="274">
        <v>300000</v>
      </c>
      <c r="V106" s="274"/>
      <c r="W106" s="274"/>
      <c r="X106" s="274"/>
      <c r="Y106" s="274"/>
      <c r="Z106" s="274"/>
      <c r="AA106" s="274">
        <v>-60000</v>
      </c>
      <c r="AB106" s="274">
        <v>-160000</v>
      </c>
      <c r="AC106" s="274">
        <f>-220000-200000</f>
        <v>-420000</v>
      </c>
      <c r="AD106" s="274">
        <v>-220000</v>
      </c>
      <c r="AE106" s="319">
        <f t="shared" si="13"/>
        <v>9231930.5</v>
      </c>
      <c r="AF106" s="319"/>
      <c r="AG106" s="319">
        <v>2500000</v>
      </c>
      <c r="AH106" s="751">
        <v>303805</v>
      </c>
      <c r="AI106" s="751"/>
      <c r="AJ106" s="751"/>
      <c r="AK106" s="319">
        <f t="shared" si="14"/>
        <v>303805</v>
      </c>
      <c r="AL106" s="751">
        <f t="shared" si="16"/>
        <v>1572078.6870000002</v>
      </c>
      <c r="AM106" s="751"/>
      <c r="AN106" s="751"/>
      <c r="AO106" s="319">
        <f t="shared" si="17"/>
        <v>1572078.6870000002</v>
      </c>
      <c r="AP106" s="320">
        <f t="shared" si="15"/>
        <v>24298892.686999999</v>
      </c>
      <c r="AS106" s="343">
        <v>455000</v>
      </c>
      <c r="AT106" s="274">
        <v>189000</v>
      </c>
    </row>
    <row r="107" spans="1:46" x14ac:dyDescent="0.15">
      <c r="A107" s="300" t="s">
        <v>412</v>
      </c>
      <c r="B107" s="274">
        <v>10409078.5</v>
      </c>
      <c r="C107" s="751"/>
      <c r="D107" s="773"/>
      <c r="E107" s="751"/>
      <c r="F107" s="751">
        <v>55000</v>
      </c>
      <c r="G107" s="751">
        <v>30000</v>
      </c>
      <c r="H107" s="751"/>
      <c r="I107" s="751"/>
      <c r="J107" s="751"/>
      <c r="K107" s="751">
        <v>401000</v>
      </c>
      <c r="L107" s="319">
        <f t="shared" si="12"/>
        <v>10895078.5</v>
      </c>
      <c r="M107" s="274">
        <v>8561930.5</v>
      </c>
      <c r="N107" s="773">
        <v>210000</v>
      </c>
      <c r="O107" s="773">
        <v>210000</v>
      </c>
      <c r="P107" s="773"/>
      <c r="Q107" s="325">
        <v>350000</v>
      </c>
      <c r="R107" s="343">
        <v>160000</v>
      </c>
      <c r="S107" s="274"/>
      <c r="T107" s="274">
        <v>320000</v>
      </c>
      <c r="U107" s="274">
        <v>300000</v>
      </c>
      <c r="V107" s="274"/>
      <c r="W107" s="274"/>
      <c r="X107" s="274"/>
      <c r="Y107" s="274"/>
      <c r="Z107" s="274"/>
      <c r="AA107" s="274">
        <v>-60000</v>
      </c>
      <c r="AB107" s="274">
        <f t="shared" ref="AB107:AB112" si="18">-160000-180000</f>
        <v>-340000</v>
      </c>
      <c r="AC107" s="274">
        <f>-220000-200000</f>
        <v>-420000</v>
      </c>
      <c r="AD107" s="274">
        <v>-220000</v>
      </c>
      <c r="AE107" s="319">
        <f t="shared" si="13"/>
        <v>9071930.5</v>
      </c>
      <c r="AF107" s="319"/>
      <c r="AG107" s="319">
        <v>2500000</v>
      </c>
      <c r="AH107" s="751">
        <v>303805</v>
      </c>
      <c r="AI107" s="751"/>
      <c r="AJ107" s="751"/>
      <c r="AK107" s="319">
        <f t="shared" si="14"/>
        <v>303805</v>
      </c>
      <c r="AL107" s="751">
        <f t="shared" si="16"/>
        <v>1550638.6870000002</v>
      </c>
      <c r="AM107" s="751"/>
      <c r="AN107" s="751"/>
      <c r="AO107" s="319">
        <f t="shared" si="17"/>
        <v>1550638.6870000002</v>
      </c>
      <c r="AP107" s="320">
        <f t="shared" si="15"/>
        <v>24321452.686999999</v>
      </c>
      <c r="AS107" s="343">
        <v>455000</v>
      </c>
      <c r="AT107" s="274">
        <v>189000</v>
      </c>
    </row>
    <row r="108" spans="1:46" x14ac:dyDescent="0.15">
      <c r="A108" s="300" t="s">
        <v>413</v>
      </c>
      <c r="B108" s="274">
        <v>10409078.5</v>
      </c>
      <c r="C108" s="751"/>
      <c r="D108" s="773"/>
      <c r="E108" s="751"/>
      <c r="F108" s="751">
        <v>55000</v>
      </c>
      <c r="G108" s="751">
        <v>110000</v>
      </c>
      <c r="H108" s="751"/>
      <c r="I108" s="751"/>
      <c r="J108" s="751"/>
      <c r="K108" s="751">
        <v>454000</v>
      </c>
      <c r="L108" s="319">
        <f t="shared" si="12"/>
        <v>11028078.5</v>
      </c>
      <c r="M108" s="274">
        <v>8561930.5</v>
      </c>
      <c r="N108" s="773">
        <v>210000</v>
      </c>
      <c r="O108" s="773">
        <v>210000</v>
      </c>
      <c r="P108" s="773"/>
      <c r="Q108" s="325">
        <v>350000</v>
      </c>
      <c r="R108" s="343">
        <v>160000</v>
      </c>
      <c r="S108" s="274"/>
      <c r="T108" s="274">
        <v>320000</v>
      </c>
      <c r="U108" s="274">
        <v>300000</v>
      </c>
      <c r="V108" s="274"/>
      <c r="W108" s="274"/>
      <c r="X108" s="274"/>
      <c r="Y108" s="274"/>
      <c r="Z108" s="274"/>
      <c r="AA108" s="274">
        <v>-50000</v>
      </c>
      <c r="AB108" s="274">
        <f t="shared" si="18"/>
        <v>-340000</v>
      </c>
      <c r="AC108" s="274">
        <f>-220000-200000-200000</f>
        <v>-620000</v>
      </c>
      <c r="AD108" s="274">
        <v>-220000</v>
      </c>
      <c r="AE108" s="319">
        <f t="shared" si="13"/>
        <v>8881930.5</v>
      </c>
      <c r="AF108" s="319"/>
      <c r="AG108" s="319">
        <v>2500000</v>
      </c>
      <c r="AH108" s="751">
        <v>303805</v>
      </c>
      <c r="AI108" s="751"/>
      <c r="AJ108" s="751"/>
      <c r="AK108" s="319">
        <f t="shared" si="14"/>
        <v>303805</v>
      </c>
      <c r="AL108" s="751">
        <f>SUM(AE108:AG108)*13.4%</f>
        <v>1525178.6870000002</v>
      </c>
      <c r="AM108" s="751"/>
      <c r="AN108" s="751"/>
      <c r="AO108" s="319">
        <f t="shared" si="17"/>
        <v>1525178.6870000002</v>
      </c>
      <c r="AP108" s="320">
        <f t="shared" si="15"/>
        <v>24238992.686999999</v>
      </c>
      <c r="AS108" s="343">
        <v>455000</v>
      </c>
      <c r="AT108" s="274">
        <v>398000</v>
      </c>
    </row>
    <row r="109" spans="1:46" x14ac:dyDescent="0.15">
      <c r="A109" s="300" t="s">
        <v>414</v>
      </c>
      <c r="B109" s="274">
        <v>10409078.5</v>
      </c>
      <c r="C109" s="751"/>
      <c r="D109" s="773"/>
      <c r="E109" s="751">
        <v>70000</v>
      </c>
      <c r="F109" s="751">
        <v>55000</v>
      </c>
      <c r="G109" s="751">
        <v>110000</v>
      </c>
      <c r="H109" s="751"/>
      <c r="I109" s="751">
        <v>50000</v>
      </c>
      <c r="J109" s="751"/>
      <c r="K109" s="751">
        <v>454000</v>
      </c>
      <c r="L109" s="319">
        <f t="shared" si="12"/>
        <v>11148078.5</v>
      </c>
      <c r="M109" s="274">
        <v>8561930.5</v>
      </c>
      <c r="N109" s="773">
        <v>240000</v>
      </c>
      <c r="O109" s="773">
        <v>240000</v>
      </c>
      <c r="P109" s="773"/>
      <c r="Q109" s="325">
        <v>350000</v>
      </c>
      <c r="R109" s="343">
        <v>160000</v>
      </c>
      <c r="S109" s="274"/>
      <c r="T109" s="274">
        <v>360000</v>
      </c>
      <c r="U109" s="274">
        <v>350000</v>
      </c>
      <c r="V109" s="274"/>
      <c r="W109" s="274"/>
      <c r="X109" s="274"/>
      <c r="Y109" s="274"/>
      <c r="Z109" s="274">
        <v>-170000</v>
      </c>
      <c r="AA109" s="274">
        <v>-50000</v>
      </c>
      <c r="AB109" s="274">
        <f t="shared" si="18"/>
        <v>-340000</v>
      </c>
      <c r="AC109" s="274">
        <f>-220000-200000-200000</f>
        <v>-620000</v>
      </c>
      <c r="AD109" s="274">
        <v>-220000</v>
      </c>
      <c r="AE109" s="319">
        <f t="shared" si="13"/>
        <v>8861930.5</v>
      </c>
      <c r="AF109" s="319"/>
      <c r="AG109" s="319">
        <v>2500000</v>
      </c>
      <c r="AH109" s="751">
        <v>303805</v>
      </c>
      <c r="AI109" s="751"/>
      <c r="AJ109" s="751"/>
      <c r="AK109" s="319">
        <f>SUM(AH109:AJ109)</f>
        <v>303805</v>
      </c>
      <c r="AL109" s="751">
        <f t="shared" si="16"/>
        <v>1522498.6870000002</v>
      </c>
      <c r="AM109" s="751"/>
      <c r="AN109" s="751"/>
      <c r="AO109" s="319">
        <f t="shared" si="17"/>
        <v>1522498.6870000002</v>
      </c>
      <c r="AP109" s="320">
        <f t="shared" si="15"/>
        <v>24336312.686999999</v>
      </c>
      <c r="AS109" s="343">
        <v>700000</v>
      </c>
      <c r="AT109" s="274">
        <v>398000</v>
      </c>
    </row>
    <row r="110" spans="1:46" x14ac:dyDescent="0.15">
      <c r="A110" s="300" t="s">
        <v>415</v>
      </c>
      <c r="B110" s="274">
        <v>10409078.5</v>
      </c>
      <c r="C110" s="751"/>
      <c r="D110" s="773"/>
      <c r="E110" s="751">
        <v>70000</v>
      </c>
      <c r="F110" s="751">
        <v>55000</v>
      </c>
      <c r="G110" s="751">
        <v>110000</v>
      </c>
      <c r="H110" s="751"/>
      <c r="I110" s="751">
        <v>20000</v>
      </c>
      <c r="J110" s="751">
        <v>-225000</v>
      </c>
      <c r="K110" s="751">
        <v>480000</v>
      </c>
      <c r="L110" s="319">
        <f t="shared" si="12"/>
        <v>10919078.5</v>
      </c>
      <c r="M110" s="274">
        <v>8561930.5</v>
      </c>
      <c r="N110" s="773">
        <v>240000</v>
      </c>
      <c r="O110" s="773">
        <v>240000</v>
      </c>
      <c r="P110" s="773"/>
      <c r="Q110" s="325">
        <v>350000</v>
      </c>
      <c r="R110" s="343">
        <v>160000</v>
      </c>
      <c r="S110" s="274"/>
      <c r="T110" s="274">
        <v>360000</v>
      </c>
      <c r="U110" s="274">
        <v>350000</v>
      </c>
      <c r="V110" s="274"/>
      <c r="W110" s="274">
        <v>170000</v>
      </c>
      <c r="X110" s="274">
        <f>300000+90000</f>
        <v>390000</v>
      </c>
      <c r="Y110" s="274"/>
      <c r="Z110" s="274">
        <v>-170000</v>
      </c>
      <c r="AA110" s="274">
        <v>-50000</v>
      </c>
      <c r="AB110" s="274">
        <f t="shared" si="18"/>
        <v>-340000</v>
      </c>
      <c r="AC110" s="274">
        <f>-220000-200000-200000</f>
        <v>-620000</v>
      </c>
      <c r="AD110" s="274">
        <v>-220000</v>
      </c>
      <c r="AE110" s="319">
        <v>8964240</v>
      </c>
      <c r="AF110" s="319">
        <v>6371516</v>
      </c>
      <c r="AG110" s="319">
        <v>2500000</v>
      </c>
      <c r="AH110" s="751">
        <v>303805</v>
      </c>
      <c r="AI110" s="751"/>
      <c r="AJ110" s="751"/>
      <c r="AK110" s="319">
        <f t="shared" si="14"/>
        <v>303805</v>
      </c>
      <c r="AL110" s="751">
        <f>SUM(AE110:AG110)*13.4%</f>
        <v>2389991.304</v>
      </c>
      <c r="AM110" s="751"/>
      <c r="AN110" s="751"/>
      <c r="AO110" s="319">
        <f>SUM(AL110:AN110)</f>
        <v>2389991.304</v>
      </c>
      <c r="AP110" s="320">
        <f t="shared" si="15"/>
        <v>31448630.804000001</v>
      </c>
      <c r="AS110" s="343">
        <v>700000</v>
      </c>
      <c r="AT110" s="274">
        <v>398000</v>
      </c>
    </row>
    <row r="111" spans="1:46" x14ac:dyDescent="0.15">
      <c r="A111" s="300" t="s">
        <v>416</v>
      </c>
      <c r="B111" s="274">
        <v>10409078.5</v>
      </c>
      <c r="C111" s="751"/>
      <c r="D111" s="773"/>
      <c r="E111" s="751">
        <v>70000</v>
      </c>
      <c r="F111" s="751">
        <v>55000</v>
      </c>
      <c r="G111" s="751">
        <v>110000</v>
      </c>
      <c r="H111" s="751">
        <v>50000</v>
      </c>
      <c r="I111" s="751">
        <v>40000</v>
      </c>
      <c r="J111" s="751">
        <v>-225000</v>
      </c>
      <c r="K111" s="751">
        <v>533000</v>
      </c>
      <c r="L111" s="319">
        <f t="shared" si="12"/>
        <v>11042078.5</v>
      </c>
      <c r="M111" s="274">
        <v>8561930.5</v>
      </c>
      <c r="N111" s="773">
        <v>240000</v>
      </c>
      <c r="O111" s="773">
        <v>240000</v>
      </c>
      <c r="P111" s="773">
        <v>300000</v>
      </c>
      <c r="Q111" s="325">
        <v>350000</v>
      </c>
      <c r="R111" s="343">
        <v>160000</v>
      </c>
      <c r="S111" s="274"/>
      <c r="T111" s="274">
        <v>360000</v>
      </c>
      <c r="U111" s="274">
        <v>350000</v>
      </c>
      <c r="V111" s="274"/>
      <c r="W111" s="274">
        <v>170000</v>
      </c>
      <c r="X111" s="274">
        <v>390000</v>
      </c>
      <c r="Y111" s="274">
        <v>-230000</v>
      </c>
      <c r="Z111" s="274">
        <v>-170000</v>
      </c>
      <c r="AA111" s="274">
        <v>-50000</v>
      </c>
      <c r="AB111" s="274">
        <f t="shared" si="18"/>
        <v>-340000</v>
      </c>
      <c r="AC111" s="274">
        <f>-220000-200000-200000</f>
        <v>-620000</v>
      </c>
      <c r="AD111" s="274">
        <v>-220000</v>
      </c>
      <c r="AE111" s="995">
        <f>AH121+AH122</f>
        <v>9034240</v>
      </c>
      <c r="AF111" s="319"/>
      <c r="AG111" s="319">
        <v>2500000</v>
      </c>
      <c r="AH111" s="751">
        <v>303805</v>
      </c>
      <c r="AI111" s="751">
        <v>10000</v>
      </c>
      <c r="AJ111" s="751">
        <v>400000</v>
      </c>
      <c r="AK111" s="319">
        <f>SUM(AH111:AJ111)</f>
        <v>713805</v>
      </c>
      <c r="AL111" s="751">
        <f>SUM(AE111:AG111)*13.4%</f>
        <v>1545588.1600000001</v>
      </c>
      <c r="AM111" s="751">
        <v>1000000</v>
      </c>
      <c r="AN111" s="751"/>
      <c r="AO111" s="319">
        <f t="shared" si="17"/>
        <v>2545588.16</v>
      </c>
      <c r="AP111" s="320">
        <f t="shared" si="15"/>
        <v>25835711.66</v>
      </c>
      <c r="AS111" s="343">
        <v>700000</v>
      </c>
      <c r="AT111" s="274">
        <v>607000</v>
      </c>
    </row>
    <row r="112" spans="1:46" ht="14.25" thickBot="1" x14ac:dyDescent="0.2">
      <c r="A112" s="301" t="s">
        <v>417</v>
      </c>
      <c r="B112" s="312">
        <v>10409078.5</v>
      </c>
      <c r="C112" s="751"/>
      <c r="D112" s="756"/>
      <c r="E112" s="752">
        <v>70000</v>
      </c>
      <c r="F112" s="752">
        <v>55000</v>
      </c>
      <c r="G112" s="752">
        <v>110000</v>
      </c>
      <c r="H112" s="752">
        <v>100000</v>
      </c>
      <c r="I112" s="752">
        <v>40000</v>
      </c>
      <c r="J112" s="752">
        <v>-225000</v>
      </c>
      <c r="K112" s="752">
        <v>506000</v>
      </c>
      <c r="L112" s="321">
        <f t="shared" si="12"/>
        <v>11065078.5</v>
      </c>
      <c r="M112" s="312">
        <v>8561930.5</v>
      </c>
      <c r="N112" s="633">
        <v>240000</v>
      </c>
      <c r="O112" s="633">
        <v>240000</v>
      </c>
      <c r="P112" s="633">
        <v>600000</v>
      </c>
      <c r="Q112" s="326">
        <v>350000</v>
      </c>
      <c r="R112" s="344">
        <v>160000</v>
      </c>
      <c r="S112" s="312">
        <v>160000</v>
      </c>
      <c r="T112" s="312">
        <v>360000</v>
      </c>
      <c r="U112" s="312">
        <v>350000</v>
      </c>
      <c r="V112" s="312">
        <v>210000</v>
      </c>
      <c r="W112" s="312">
        <v>170000</v>
      </c>
      <c r="X112" s="312">
        <f>300000+270000</f>
        <v>570000</v>
      </c>
      <c r="Y112" s="312">
        <v>-230000</v>
      </c>
      <c r="Z112" s="312">
        <v>-170000</v>
      </c>
      <c r="AA112" s="312">
        <v>-50000</v>
      </c>
      <c r="AB112" s="312">
        <f t="shared" si="18"/>
        <v>-340000</v>
      </c>
      <c r="AC112" s="312">
        <f>-220000-200000-200000</f>
        <v>-620000</v>
      </c>
      <c r="AD112" s="312">
        <v>-220000</v>
      </c>
      <c r="AE112" s="996">
        <f>AH121+AH123</f>
        <v>9704240</v>
      </c>
      <c r="AF112" s="321">
        <v>1000000</v>
      </c>
      <c r="AG112" s="321">
        <v>2500000</v>
      </c>
      <c r="AH112" s="752">
        <v>303805</v>
      </c>
      <c r="AI112" s="752"/>
      <c r="AJ112" s="752"/>
      <c r="AK112" s="321">
        <f t="shared" si="14"/>
        <v>303805</v>
      </c>
      <c r="AL112" s="752">
        <f>SUM(AE112:AG112)*13.4%</f>
        <v>1769368.1600000001</v>
      </c>
      <c r="AM112" s="752"/>
      <c r="AN112" s="752"/>
      <c r="AO112" s="321">
        <f t="shared" si="17"/>
        <v>1769368.1600000001</v>
      </c>
      <c r="AP112" s="322">
        <f t="shared" si="15"/>
        <v>26342491.66</v>
      </c>
      <c r="AS112" s="344">
        <v>735000</v>
      </c>
      <c r="AT112" s="312">
        <v>607000</v>
      </c>
    </row>
    <row r="113" spans="2:42" s="1486" customFormat="1" x14ac:dyDescent="0.15">
      <c r="B113" s="252"/>
      <c r="C113" s="327"/>
      <c r="D113" s="327"/>
      <c r="E113" s="252"/>
      <c r="F113" s="252"/>
      <c r="M113" s="253"/>
      <c r="N113" s="253"/>
      <c r="O113" s="253"/>
      <c r="P113" s="253"/>
      <c r="R113" s="298"/>
      <c r="S113" s="298"/>
      <c r="T113" s="298"/>
      <c r="U113" s="298"/>
      <c r="V113" s="298"/>
      <c r="W113" s="298"/>
      <c r="X113" s="298"/>
      <c r="Y113" s="298"/>
      <c r="Z113" s="298"/>
      <c r="AA113" s="298"/>
      <c r="AB113" s="298"/>
      <c r="AO113" s="1486" t="s">
        <v>452</v>
      </c>
      <c r="AP113" s="409">
        <f>SUM(AP101:AP112)</f>
        <v>314007838.30700004</v>
      </c>
    </row>
    <row r="114" spans="2:42" x14ac:dyDescent="0.15">
      <c r="C114" s="130"/>
      <c r="D114" s="130"/>
    </row>
    <row r="115" spans="2:42" x14ac:dyDescent="0.15">
      <c r="C115" s="130"/>
      <c r="D115" s="130"/>
      <c r="J115" s="4">
        <f>SUM(I109:J109)</f>
        <v>50000</v>
      </c>
      <c r="AD115" s="4">
        <f>SUM(W109:Z109)</f>
        <v>-170000</v>
      </c>
    </row>
    <row r="116" spans="2:42" x14ac:dyDescent="0.15">
      <c r="C116" s="101"/>
      <c r="D116" s="101"/>
      <c r="E116" s="304"/>
      <c r="F116" s="304"/>
      <c r="G116" s="304"/>
      <c r="H116" s="304"/>
      <c r="I116" s="304"/>
      <c r="J116" s="4">
        <f>SUM(I110:J110)</f>
        <v>-205000</v>
      </c>
      <c r="K116" s="305"/>
      <c r="L116" s="55"/>
      <c r="AD116" s="4">
        <f>SUM(W110:Z110)</f>
        <v>390000</v>
      </c>
      <c r="AI116" s="6" t="s">
        <v>351</v>
      </c>
    </row>
    <row r="117" spans="2:42" x14ac:dyDescent="0.15">
      <c r="D117" s="101"/>
      <c r="E117" s="306"/>
      <c r="F117" s="304"/>
      <c r="G117" s="304"/>
      <c r="H117" s="304"/>
      <c r="I117" s="304"/>
      <c r="J117" s="4">
        <f>SUM(I111:J111)</f>
        <v>-185000</v>
      </c>
      <c r="K117" s="304"/>
      <c r="L117" s="305"/>
      <c r="M117" s="55"/>
      <c r="AD117" s="4">
        <f>SUM(W111:Z111)</f>
        <v>160000</v>
      </c>
    </row>
    <row r="118" spans="2:42" x14ac:dyDescent="0.15">
      <c r="D118" s="101"/>
      <c r="E118" s="307"/>
      <c r="F118" s="304"/>
      <c r="G118" s="304"/>
      <c r="H118" s="304"/>
      <c r="I118" s="304"/>
      <c r="J118" s="4">
        <f>SUM(I112:J112)</f>
        <v>-185000</v>
      </c>
      <c r="K118" s="304"/>
      <c r="L118" s="305"/>
      <c r="M118" s="55"/>
      <c r="AD118" s="4">
        <f>SUM(W112:Z112)</f>
        <v>340000</v>
      </c>
    </row>
    <row r="119" spans="2:42" x14ac:dyDescent="0.15">
      <c r="D119" s="130"/>
      <c r="AJ119" t="s">
        <v>932</v>
      </c>
    </row>
    <row r="120" spans="2:42" x14ac:dyDescent="0.15">
      <c r="D120" s="130"/>
      <c r="AH120" s="4"/>
    </row>
    <row r="121" spans="2:42" x14ac:dyDescent="0.15">
      <c r="D121" s="130"/>
      <c r="AG121" t="s">
        <v>101</v>
      </c>
      <c r="AH121" s="4">
        <v>8964240</v>
      </c>
    </row>
    <row r="122" spans="2:42" x14ac:dyDescent="0.15">
      <c r="D122" s="1486"/>
      <c r="E122" s="130"/>
      <c r="AG122" t="s">
        <v>58</v>
      </c>
      <c r="AH122" s="4">
        <f>SUM(P111,Y111)</f>
        <v>70000</v>
      </c>
    </row>
    <row r="123" spans="2:42" ht="14.25" customHeight="1" x14ac:dyDescent="0.15">
      <c r="B123" s="2431" t="s">
        <v>357</v>
      </c>
      <c r="C123" s="2431"/>
      <c r="D123" s="2431"/>
      <c r="E123" s="130"/>
      <c r="AG123" t="s">
        <v>59</v>
      </c>
      <c r="AH123" s="4">
        <f>SUM(P112,S112,V112,Y112)</f>
        <v>740000</v>
      </c>
    </row>
    <row r="124" spans="2:42" ht="13.5" customHeight="1" thickBot="1" x14ac:dyDescent="0.2">
      <c r="B124" s="2432"/>
      <c r="C124" s="2432"/>
      <c r="D124" s="2432"/>
      <c r="E124" s="130"/>
    </row>
    <row r="125" spans="2:42" ht="14.25" thickBot="1" x14ac:dyDescent="0.2">
      <c r="B125" s="282" t="s">
        <v>34</v>
      </c>
      <c r="C125" s="283" t="s">
        <v>197</v>
      </c>
      <c r="D125" s="757" t="s">
        <v>198</v>
      </c>
      <c r="E125" s="284" t="s">
        <v>199</v>
      </c>
      <c r="F125" s="284" t="s">
        <v>200</v>
      </c>
      <c r="G125" s="284" t="s">
        <v>201</v>
      </c>
      <c r="H125" s="284" t="s">
        <v>202</v>
      </c>
      <c r="I125" s="284" t="s">
        <v>165</v>
      </c>
      <c r="J125" s="284" t="s">
        <v>167</v>
      </c>
      <c r="K125" s="284" t="s">
        <v>169</v>
      </c>
      <c r="L125" s="284" t="s">
        <v>174</v>
      </c>
      <c r="M125" s="284" t="s">
        <v>175</v>
      </c>
      <c r="N125" s="285" t="s">
        <v>203</v>
      </c>
      <c r="P125" s="1"/>
      <c r="Q125" s="158"/>
      <c r="R125" s="1489" t="s">
        <v>418</v>
      </c>
      <c r="S125" s="337" t="s">
        <v>407</v>
      </c>
      <c r="T125" s="337" t="s">
        <v>408</v>
      </c>
      <c r="U125" s="337" t="s">
        <v>409</v>
      </c>
      <c r="V125" s="337" t="s">
        <v>421</v>
      </c>
      <c r="W125" s="337" t="s">
        <v>411</v>
      </c>
      <c r="X125" s="337" t="s">
        <v>412</v>
      </c>
      <c r="Y125" s="337" t="s">
        <v>413</v>
      </c>
      <c r="Z125" s="337" t="s">
        <v>414</v>
      </c>
      <c r="AA125" s="337" t="s">
        <v>415</v>
      </c>
      <c r="AB125" s="337" t="s">
        <v>416</v>
      </c>
      <c r="AC125" s="1490" t="s">
        <v>417</v>
      </c>
    </row>
    <row r="126" spans="2:42" ht="13.5" customHeight="1" x14ac:dyDescent="0.15">
      <c r="B126" s="286" t="s">
        <v>26</v>
      </c>
      <c r="C126" s="279">
        <v>11230000</v>
      </c>
      <c r="D126" s="755">
        <v>12980000</v>
      </c>
      <c r="E126" s="280">
        <v>10700000</v>
      </c>
      <c r="F126" s="281">
        <v>11000000</v>
      </c>
      <c r="G126" s="281">
        <v>12000000</v>
      </c>
      <c r="H126" s="281">
        <v>11500000</v>
      </c>
      <c r="I126" s="281">
        <v>12000000</v>
      </c>
      <c r="J126" s="281">
        <v>12000000</v>
      </c>
      <c r="K126" s="281">
        <v>12000000</v>
      </c>
      <c r="L126" s="281">
        <v>12000000</v>
      </c>
      <c r="M126" s="281">
        <v>12000000</v>
      </c>
      <c r="N126" s="278">
        <v>12000000</v>
      </c>
      <c r="P126" s="1"/>
      <c r="Q126" s="2433" t="s">
        <v>347</v>
      </c>
      <c r="R126" s="2436" t="s">
        <v>467</v>
      </c>
      <c r="S126" s="2439" t="s">
        <v>465</v>
      </c>
      <c r="T126" s="2415"/>
      <c r="U126" s="2412" t="s">
        <v>423</v>
      </c>
      <c r="V126" s="2412" t="s">
        <v>466</v>
      </c>
      <c r="W126" s="2412"/>
      <c r="X126" s="2412"/>
      <c r="Y126" s="2415"/>
      <c r="Z126" s="2412"/>
      <c r="AA126" s="2412" t="s">
        <v>999</v>
      </c>
      <c r="AB126" s="2412" t="s">
        <v>1184</v>
      </c>
      <c r="AC126" s="2418"/>
    </row>
    <row r="127" spans="2:42" x14ac:dyDescent="0.15">
      <c r="B127" s="287" t="s">
        <v>350</v>
      </c>
      <c r="C127" s="751">
        <f>C126-$C126</f>
        <v>0</v>
      </c>
      <c r="D127" s="751">
        <f>D126-$C126</f>
        <v>1750000</v>
      </c>
      <c r="E127" s="275">
        <f>E126-$C126</f>
        <v>-530000</v>
      </c>
      <c r="F127" s="274">
        <f t="shared" ref="F127:N127" si="19">F126-$C126</f>
        <v>-230000</v>
      </c>
      <c r="G127" s="274">
        <f t="shared" si="19"/>
        <v>770000</v>
      </c>
      <c r="H127" s="274">
        <f t="shared" si="19"/>
        <v>270000</v>
      </c>
      <c r="I127" s="274">
        <f t="shared" si="19"/>
        <v>770000</v>
      </c>
      <c r="J127" s="274">
        <f t="shared" si="19"/>
        <v>770000</v>
      </c>
      <c r="K127" s="274">
        <f t="shared" si="19"/>
        <v>770000</v>
      </c>
      <c r="L127" s="274">
        <f t="shared" si="19"/>
        <v>770000</v>
      </c>
      <c r="M127" s="274">
        <f t="shared" si="19"/>
        <v>770000</v>
      </c>
      <c r="N127" s="277">
        <f t="shared" si="19"/>
        <v>770000</v>
      </c>
      <c r="P127" s="1"/>
      <c r="Q127" s="2434"/>
      <c r="R127" s="2437"/>
      <c r="S127" s="2440"/>
      <c r="T127" s="2416"/>
      <c r="U127" s="2413"/>
      <c r="V127" s="2413"/>
      <c r="W127" s="2413"/>
      <c r="X127" s="2413"/>
      <c r="Y127" s="2416"/>
      <c r="Z127" s="2413"/>
      <c r="AA127" s="2413"/>
      <c r="AB127" s="2413"/>
      <c r="AC127" s="2419"/>
    </row>
    <row r="128" spans="2:42" x14ac:dyDescent="0.15">
      <c r="B128" s="288" t="s">
        <v>433</v>
      </c>
      <c r="C128" s="276">
        <f>C127*33%</f>
        <v>0</v>
      </c>
      <c r="D128" s="751">
        <f>D127*33%</f>
        <v>577500</v>
      </c>
      <c r="E128" s="275">
        <f t="shared" ref="E128:N128" si="20">E127*33%</f>
        <v>-174900</v>
      </c>
      <c r="F128" s="275">
        <f t="shared" si="20"/>
        <v>-75900</v>
      </c>
      <c r="G128" s="275">
        <f t="shared" si="20"/>
        <v>254100</v>
      </c>
      <c r="H128" s="275">
        <f t="shared" si="20"/>
        <v>89100</v>
      </c>
      <c r="I128" s="275">
        <f t="shared" si="20"/>
        <v>254100</v>
      </c>
      <c r="J128" s="275">
        <f t="shared" si="20"/>
        <v>254100</v>
      </c>
      <c r="K128" s="275">
        <f t="shared" si="20"/>
        <v>254100</v>
      </c>
      <c r="L128" s="275">
        <f t="shared" si="20"/>
        <v>254100</v>
      </c>
      <c r="M128" s="275">
        <f t="shared" si="20"/>
        <v>254100</v>
      </c>
      <c r="N128" s="289">
        <f t="shared" si="20"/>
        <v>254100</v>
      </c>
      <c r="P128" s="1"/>
      <c r="Q128" s="2434"/>
      <c r="R128" s="2437"/>
      <c r="S128" s="2440"/>
      <c r="T128" s="2416"/>
      <c r="U128" s="2413"/>
      <c r="V128" s="2413"/>
      <c r="W128" s="2413"/>
      <c r="X128" s="2413"/>
      <c r="Y128" s="2416"/>
      <c r="Z128" s="2413"/>
      <c r="AA128" s="2413"/>
      <c r="AB128" s="2413"/>
      <c r="AC128" s="2419"/>
    </row>
    <row r="129" spans="2:30" x14ac:dyDescent="0.15">
      <c r="B129" s="288" t="s">
        <v>37</v>
      </c>
      <c r="C129" s="759" t="s">
        <v>197</v>
      </c>
      <c r="D129" s="750" t="s">
        <v>198</v>
      </c>
      <c r="E129" s="750" t="s">
        <v>199</v>
      </c>
      <c r="F129" s="750" t="s">
        <v>200</v>
      </c>
      <c r="G129" s="750" t="s">
        <v>201</v>
      </c>
      <c r="H129" s="750" t="s">
        <v>202</v>
      </c>
      <c r="I129" s="750" t="s">
        <v>165</v>
      </c>
      <c r="J129" s="750" t="s">
        <v>167</v>
      </c>
      <c r="K129" s="750" t="s">
        <v>169</v>
      </c>
      <c r="L129" s="750" t="s">
        <v>174</v>
      </c>
      <c r="M129" s="750" t="s">
        <v>175</v>
      </c>
      <c r="N129" s="290" t="s">
        <v>203</v>
      </c>
      <c r="O129" s="251"/>
      <c r="P129" s="1"/>
      <c r="Q129" s="2434"/>
      <c r="R129" s="2437"/>
      <c r="S129" s="2440"/>
      <c r="T129" s="2416"/>
      <c r="U129" s="2413"/>
      <c r="V129" s="2413"/>
      <c r="W129" s="2413"/>
      <c r="X129" s="2413"/>
      <c r="Y129" s="2416"/>
      <c r="Z129" s="2413"/>
      <c r="AA129" s="2413"/>
      <c r="AB129" s="2413"/>
      <c r="AC129" s="2419"/>
    </row>
    <row r="130" spans="2:30" x14ac:dyDescent="0.15">
      <c r="B130" s="288" t="s">
        <v>26</v>
      </c>
      <c r="C130" s="276">
        <v>6140000</v>
      </c>
      <c r="D130" s="751">
        <v>8160000</v>
      </c>
      <c r="E130" s="275">
        <v>6910000</v>
      </c>
      <c r="F130" s="274">
        <v>6700000</v>
      </c>
      <c r="G130" s="274">
        <v>6700000</v>
      </c>
      <c r="H130" s="274">
        <v>6500000</v>
      </c>
      <c r="I130" s="274">
        <v>6700000</v>
      </c>
      <c r="J130" s="274">
        <v>6900000</v>
      </c>
      <c r="K130" s="274">
        <v>7000000</v>
      </c>
      <c r="L130" s="274">
        <v>7100000</v>
      </c>
      <c r="M130" s="274">
        <v>7500000</v>
      </c>
      <c r="N130" s="277">
        <v>7400000</v>
      </c>
      <c r="O130" s="251"/>
      <c r="P130" s="1"/>
      <c r="Q130" s="2434"/>
      <c r="R130" s="2437"/>
      <c r="S130" s="2440"/>
      <c r="T130" s="2416"/>
      <c r="U130" s="2413"/>
      <c r="V130" s="2413"/>
      <c r="W130" s="2413"/>
      <c r="X130" s="2413"/>
      <c r="Y130" s="2416"/>
      <c r="Z130" s="2413"/>
      <c r="AA130" s="2413"/>
      <c r="AB130" s="2413"/>
      <c r="AC130" s="2419"/>
    </row>
    <row r="131" spans="2:30" x14ac:dyDescent="0.15">
      <c r="B131" s="287" t="s">
        <v>350</v>
      </c>
      <c r="C131" s="276">
        <f>C130-$C130</f>
        <v>0</v>
      </c>
      <c r="D131" s="751">
        <f>D130-$C130</f>
        <v>2020000</v>
      </c>
      <c r="E131" s="275">
        <f t="shared" ref="E131:N131" si="21">E130-$C130</f>
        <v>770000</v>
      </c>
      <c r="F131" s="274">
        <f t="shared" si="21"/>
        <v>560000</v>
      </c>
      <c r="G131" s="274">
        <f t="shared" si="21"/>
        <v>560000</v>
      </c>
      <c r="H131" s="274">
        <f t="shared" si="21"/>
        <v>360000</v>
      </c>
      <c r="I131" s="274">
        <f t="shared" si="21"/>
        <v>560000</v>
      </c>
      <c r="J131" s="274">
        <f t="shared" si="21"/>
        <v>760000</v>
      </c>
      <c r="K131" s="274">
        <f t="shared" si="21"/>
        <v>860000</v>
      </c>
      <c r="L131" s="274">
        <f t="shared" si="21"/>
        <v>960000</v>
      </c>
      <c r="M131" s="274">
        <f t="shared" si="21"/>
        <v>1360000</v>
      </c>
      <c r="N131" s="277">
        <f t="shared" si="21"/>
        <v>1260000</v>
      </c>
      <c r="O131" s="251"/>
      <c r="Q131" s="2434"/>
      <c r="R131" s="2437"/>
      <c r="S131" s="2440"/>
      <c r="T131" s="2416"/>
      <c r="U131" s="2413"/>
      <c r="V131" s="2413"/>
      <c r="W131" s="2413"/>
      <c r="X131" s="2413"/>
      <c r="Y131" s="2416"/>
      <c r="Z131" s="2413"/>
      <c r="AA131" s="2413"/>
      <c r="AB131" s="2413"/>
      <c r="AC131" s="2419"/>
    </row>
    <row r="132" spans="2:30" ht="14.25" thickBot="1" x14ac:dyDescent="0.2">
      <c r="B132" s="288" t="s">
        <v>434</v>
      </c>
      <c r="C132" s="276">
        <f>C131*27%</f>
        <v>0</v>
      </c>
      <c r="D132" s="751">
        <f>D131*27%</f>
        <v>545400</v>
      </c>
      <c r="E132" s="275">
        <f t="shared" ref="E132:N132" si="22">E131*27%</f>
        <v>207900</v>
      </c>
      <c r="F132" s="275">
        <f t="shared" si="22"/>
        <v>151200</v>
      </c>
      <c r="G132" s="275">
        <f t="shared" si="22"/>
        <v>151200</v>
      </c>
      <c r="H132" s="275">
        <f t="shared" si="22"/>
        <v>97200</v>
      </c>
      <c r="I132" s="275">
        <f t="shared" si="22"/>
        <v>151200</v>
      </c>
      <c r="J132" s="275">
        <f t="shared" si="22"/>
        <v>205200</v>
      </c>
      <c r="K132" s="275">
        <f t="shared" si="22"/>
        <v>232200.00000000003</v>
      </c>
      <c r="L132" s="275">
        <f t="shared" si="22"/>
        <v>259200.00000000003</v>
      </c>
      <c r="M132" s="275">
        <f t="shared" si="22"/>
        <v>367200</v>
      </c>
      <c r="N132" s="289">
        <f t="shared" si="22"/>
        <v>340200</v>
      </c>
      <c r="O132" s="251"/>
      <c r="Q132" s="2435"/>
      <c r="R132" s="2438"/>
      <c r="S132" s="2441"/>
      <c r="T132" s="2417"/>
      <c r="U132" s="2414"/>
      <c r="V132" s="2414"/>
      <c r="W132" s="2414"/>
      <c r="X132" s="2414"/>
      <c r="Y132" s="2417"/>
      <c r="Z132" s="2414"/>
      <c r="AA132" s="2414"/>
      <c r="AB132" s="2414"/>
      <c r="AC132" s="2420"/>
    </row>
    <row r="133" spans="2:30" x14ac:dyDescent="0.15">
      <c r="B133" s="288" t="s">
        <v>66</v>
      </c>
      <c r="C133" s="759" t="s">
        <v>197</v>
      </c>
      <c r="D133" s="750" t="s">
        <v>198</v>
      </c>
      <c r="E133" s="750" t="s">
        <v>199</v>
      </c>
      <c r="F133" s="750" t="s">
        <v>200</v>
      </c>
      <c r="G133" s="750" t="s">
        <v>201</v>
      </c>
      <c r="H133" s="750" t="s">
        <v>202</v>
      </c>
      <c r="I133" s="750" t="s">
        <v>165</v>
      </c>
      <c r="J133" s="750" t="s">
        <v>167</v>
      </c>
      <c r="K133" s="750" t="s">
        <v>169</v>
      </c>
      <c r="L133" s="750" t="s">
        <v>174</v>
      </c>
      <c r="M133" s="750" t="s">
        <v>175</v>
      </c>
      <c r="N133" s="290" t="s">
        <v>203</v>
      </c>
    </row>
    <row r="134" spans="2:30" x14ac:dyDescent="0.15">
      <c r="B134" s="288" t="s">
        <v>26</v>
      </c>
      <c r="C134" s="276">
        <v>6740000</v>
      </c>
      <c r="D134" s="751">
        <v>7730000</v>
      </c>
      <c r="E134" s="275">
        <v>6770000</v>
      </c>
      <c r="F134" s="274">
        <v>7100000</v>
      </c>
      <c r="G134" s="274">
        <v>7000000</v>
      </c>
      <c r="H134" s="274">
        <v>6800000</v>
      </c>
      <c r="I134" s="274">
        <v>7200000</v>
      </c>
      <c r="J134" s="274">
        <v>7000000</v>
      </c>
      <c r="K134" s="274">
        <v>7200000</v>
      </c>
      <c r="L134" s="274">
        <v>7250000</v>
      </c>
      <c r="M134" s="274">
        <v>7400000</v>
      </c>
      <c r="N134" s="277">
        <v>7500000</v>
      </c>
    </row>
    <row r="135" spans="2:30" x14ac:dyDescent="0.15">
      <c r="B135" s="287" t="s">
        <v>350</v>
      </c>
      <c r="C135" s="276">
        <f>C134-$C134</f>
        <v>0</v>
      </c>
      <c r="D135" s="751">
        <f>D134-$C134</f>
        <v>990000</v>
      </c>
      <c r="E135" s="275">
        <f t="shared" ref="E135:N135" si="23">E134-$C134</f>
        <v>30000</v>
      </c>
      <c r="F135" s="274">
        <f t="shared" si="23"/>
        <v>360000</v>
      </c>
      <c r="G135" s="274">
        <f t="shared" si="23"/>
        <v>260000</v>
      </c>
      <c r="H135" s="274">
        <f t="shared" si="23"/>
        <v>60000</v>
      </c>
      <c r="I135" s="274">
        <f t="shared" si="23"/>
        <v>460000</v>
      </c>
      <c r="J135" s="274">
        <f t="shared" si="23"/>
        <v>260000</v>
      </c>
      <c r="K135" s="274">
        <f t="shared" si="23"/>
        <v>460000</v>
      </c>
      <c r="L135" s="274">
        <f t="shared" si="23"/>
        <v>510000</v>
      </c>
      <c r="M135" s="274">
        <f t="shared" si="23"/>
        <v>660000</v>
      </c>
      <c r="N135" s="277">
        <f t="shared" si="23"/>
        <v>760000</v>
      </c>
    </row>
    <row r="136" spans="2:30" ht="14.25" thickBot="1" x14ac:dyDescent="0.2">
      <c r="B136" s="291" t="s">
        <v>435</v>
      </c>
      <c r="C136" s="292">
        <f>C135*26%</f>
        <v>0</v>
      </c>
      <c r="D136" s="752">
        <f>D135*26%</f>
        <v>257400</v>
      </c>
      <c r="E136" s="293">
        <f t="shared" ref="E136:N136" si="24">E135*26%</f>
        <v>7800</v>
      </c>
      <c r="F136" s="293">
        <f t="shared" si="24"/>
        <v>93600</v>
      </c>
      <c r="G136" s="293">
        <f t="shared" si="24"/>
        <v>67600</v>
      </c>
      <c r="H136" s="293">
        <f t="shared" si="24"/>
        <v>15600</v>
      </c>
      <c r="I136" s="293">
        <f t="shared" si="24"/>
        <v>119600</v>
      </c>
      <c r="J136" s="293">
        <f t="shared" si="24"/>
        <v>67600</v>
      </c>
      <c r="K136" s="293">
        <f t="shared" si="24"/>
        <v>119600</v>
      </c>
      <c r="L136" s="293">
        <f t="shared" si="24"/>
        <v>132600</v>
      </c>
      <c r="M136" s="293">
        <f t="shared" si="24"/>
        <v>171600</v>
      </c>
      <c r="N136" s="294">
        <f t="shared" si="24"/>
        <v>197600</v>
      </c>
      <c r="Q136" s="26"/>
      <c r="R136" s="26"/>
      <c r="S136" s="26"/>
    </row>
    <row r="137" spans="2:30" ht="14.25" thickBot="1" x14ac:dyDescent="0.2">
      <c r="W137" t="s">
        <v>454</v>
      </c>
      <c r="Z137" t="s">
        <v>457</v>
      </c>
      <c r="AC137" t="s">
        <v>56</v>
      </c>
    </row>
    <row r="138" spans="2:30" x14ac:dyDescent="0.15">
      <c r="B138" s="233" t="s">
        <v>96</v>
      </c>
      <c r="C138" s="753">
        <f>C128+C132+C136</f>
        <v>0</v>
      </c>
      <c r="D138" s="753">
        <f>D128+D132+D136</f>
        <v>1380300</v>
      </c>
      <c r="E138" s="753">
        <f>E128+E132+E136</f>
        <v>40800</v>
      </c>
      <c r="F138" s="753">
        <f t="shared" ref="F138:N138" si="25">F128+F132+F136</f>
        <v>168900</v>
      </c>
      <c r="G138" s="753">
        <f t="shared" si="25"/>
        <v>472900</v>
      </c>
      <c r="H138" s="753">
        <f t="shared" si="25"/>
        <v>201900</v>
      </c>
      <c r="I138" s="753">
        <f t="shared" si="25"/>
        <v>524900</v>
      </c>
      <c r="J138" s="753">
        <f t="shared" si="25"/>
        <v>526900</v>
      </c>
      <c r="K138" s="753">
        <f t="shared" si="25"/>
        <v>605900</v>
      </c>
      <c r="L138" s="753">
        <f t="shared" si="25"/>
        <v>645900</v>
      </c>
      <c r="M138" s="753">
        <f t="shared" si="25"/>
        <v>792900</v>
      </c>
      <c r="N138" s="753">
        <f t="shared" si="25"/>
        <v>791900</v>
      </c>
      <c r="W138" s="2404">
        <f>X53</f>
        <v>111643006.38333333</v>
      </c>
      <c r="X138" s="2405"/>
      <c r="Y138" s="2410" t="s">
        <v>455</v>
      </c>
      <c r="Z138" s="2404">
        <f>AP113</f>
        <v>314007838.30700004</v>
      </c>
      <c r="AA138" s="2405"/>
      <c r="AB138" s="2411" t="s">
        <v>456</v>
      </c>
      <c r="AC138" s="2404">
        <f>W138+Z138</f>
        <v>425650844.69033337</v>
      </c>
      <c r="AD138" s="2405"/>
    </row>
    <row r="139" spans="2:30" x14ac:dyDescent="0.15">
      <c r="W139" s="2406"/>
      <c r="X139" s="2407"/>
      <c r="Y139" s="2410"/>
      <c r="Z139" s="2406"/>
      <c r="AA139" s="2407"/>
      <c r="AB139" s="2411"/>
      <c r="AC139" s="2406"/>
      <c r="AD139" s="2407"/>
    </row>
    <row r="140" spans="2:30" ht="13.5" customHeight="1" thickBot="1" x14ac:dyDescent="0.2">
      <c r="W140" s="2408"/>
      <c r="X140" s="2409"/>
      <c r="Y140" s="2410"/>
      <c r="Z140" s="2408"/>
      <c r="AA140" s="2409"/>
      <c r="AB140" s="2411"/>
      <c r="AC140" s="2408"/>
      <c r="AD140" s="2409"/>
    </row>
    <row r="146" spans="5:17" ht="14.25" customHeight="1" x14ac:dyDescent="0.15"/>
    <row r="147" spans="5:17" x14ac:dyDescent="0.15">
      <c r="E147" s="10"/>
      <c r="F147" s="8" t="s">
        <v>49</v>
      </c>
      <c r="G147" s="8" t="s">
        <v>23</v>
      </c>
      <c r="H147" s="8" t="s">
        <v>24</v>
      </c>
      <c r="I147" s="8" t="s">
        <v>25</v>
      </c>
      <c r="J147" s="8" t="s">
        <v>78</v>
      </c>
      <c r="K147" s="8" t="s">
        <v>79</v>
      </c>
      <c r="L147" s="8" t="s">
        <v>40</v>
      </c>
      <c r="M147" s="8" t="s">
        <v>41</v>
      </c>
      <c r="N147" s="8" t="s">
        <v>42</v>
      </c>
      <c r="O147" s="8" t="s">
        <v>101</v>
      </c>
      <c r="P147" s="8" t="s">
        <v>58</v>
      </c>
      <c r="Q147" s="8" t="s">
        <v>96</v>
      </c>
    </row>
    <row r="148" spans="5:17" x14ac:dyDescent="0.15">
      <c r="E148" s="10" t="s">
        <v>428</v>
      </c>
      <c r="F148" s="10">
        <v>7954189</v>
      </c>
      <c r="G148" s="10">
        <v>10287585</v>
      </c>
      <c r="H148" s="10">
        <v>9291821</v>
      </c>
      <c r="I148" s="10">
        <v>9569094</v>
      </c>
      <c r="J148" s="10">
        <v>8940599</v>
      </c>
      <c r="K148" s="10">
        <v>8860873</v>
      </c>
      <c r="L148" s="10">
        <v>10013530</v>
      </c>
      <c r="M148" s="10">
        <v>10100892</v>
      </c>
      <c r="N148" s="10">
        <v>10155946</v>
      </c>
      <c r="O148" s="10">
        <v>9450249</v>
      </c>
      <c r="P148" s="10">
        <v>10313935</v>
      </c>
      <c r="Q148" s="10">
        <f>SUM(F148:P148)</f>
        <v>104938713</v>
      </c>
    </row>
    <row r="149" spans="5:17" x14ac:dyDescent="0.15">
      <c r="E149" s="10" t="s">
        <v>429</v>
      </c>
      <c r="F149" s="10">
        <v>3105095</v>
      </c>
      <c r="G149" s="10">
        <v>2853709</v>
      </c>
      <c r="H149" s="10">
        <v>2687115</v>
      </c>
      <c r="I149" s="10">
        <v>3180091</v>
      </c>
      <c r="J149" s="10">
        <v>3310378</v>
      </c>
      <c r="K149" s="10">
        <v>3132119</v>
      </c>
      <c r="L149" s="10">
        <v>3371587</v>
      </c>
      <c r="M149" s="10">
        <v>3164348</v>
      </c>
      <c r="N149" s="10">
        <v>3280321</v>
      </c>
      <c r="O149" s="10">
        <v>3117534</v>
      </c>
      <c r="P149" s="10">
        <v>3419849</v>
      </c>
      <c r="Q149" s="10">
        <f t="shared" ref="Q149:Q163" si="26">SUM(F149:P149)</f>
        <v>34622146</v>
      </c>
    </row>
    <row r="150" spans="5:17" x14ac:dyDescent="0.15">
      <c r="E150" s="10" t="s">
        <v>430</v>
      </c>
      <c r="F150" s="348">
        <f>F149/F148</f>
        <v>0.39037229314013033</v>
      </c>
      <c r="G150" s="348">
        <f t="shared" ref="G150:Q150" si="27">G149/G148</f>
        <v>0.27739347961645033</v>
      </c>
      <c r="H150" s="348">
        <f t="shared" si="27"/>
        <v>0.28919142975311296</v>
      </c>
      <c r="I150" s="348">
        <f t="shared" si="27"/>
        <v>0.332329372038774</v>
      </c>
      <c r="J150" s="348">
        <f t="shared" si="27"/>
        <v>0.37026355840363717</v>
      </c>
      <c r="K150" s="348">
        <f t="shared" si="27"/>
        <v>0.35347747338213742</v>
      </c>
      <c r="L150" s="348">
        <f t="shared" si="27"/>
        <v>0.33670314065069962</v>
      </c>
      <c r="M150" s="348">
        <f t="shared" si="27"/>
        <v>0.31327411480095024</v>
      </c>
      <c r="N150" s="348">
        <f t="shared" si="27"/>
        <v>0.32299512029701616</v>
      </c>
      <c r="O150" s="348">
        <f t="shared" si="27"/>
        <v>0.32988908546219259</v>
      </c>
      <c r="P150" s="348">
        <f t="shared" si="27"/>
        <v>0.3315755819675032</v>
      </c>
      <c r="Q150" s="348">
        <f t="shared" si="27"/>
        <v>0.32992729765992079</v>
      </c>
    </row>
    <row r="151" spans="5:17" x14ac:dyDescent="0.15">
      <c r="E151" s="10" t="s">
        <v>431</v>
      </c>
      <c r="F151" s="349"/>
      <c r="G151" s="349">
        <f>G148-$F148</f>
        <v>2333396</v>
      </c>
      <c r="H151" s="349">
        <f t="shared" ref="H151:P152" si="28">H148-$F148</f>
        <v>1337632</v>
      </c>
      <c r="I151" s="349">
        <f t="shared" si="28"/>
        <v>1614905</v>
      </c>
      <c r="J151" s="349">
        <f t="shared" si="28"/>
        <v>986410</v>
      </c>
      <c r="K151" s="349">
        <f t="shared" si="28"/>
        <v>906684</v>
      </c>
      <c r="L151" s="349">
        <f t="shared" si="28"/>
        <v>2059341</v>
      </c>
      <c r="M151" s="349">
        <f>M148-$F148</f>
        <v>2146703</v>
      </c>
      <c r="N151" s="349">
        <f t="shared" si="28"/>
        <v>2201757</v>
      </c>
      <c r="O151" s="349">
        <f t="shared" si="28"/>
        <v>1496060</v>
      </c>
      <c r="P151" s="349">
        <f t="shared" si="28"/>
        <v>2359746</v>
      </c>
      <c r="Q151" s="10">
        <f t="shared" si="26"/>
        <v>17442634</v>
      </c>
    </row>
    <row r="152" spans="5:17" x14ac:dyDescent="0.15">
      <c r="E152" s="10" t="s">
        <v>432</v>
      </c>
      <c r="F152" s="349"/>
      <c r="G152" s="349">
        <f>G149-$F149</f>
        <v>-251386</v>
      </c>
      <c r="H152" s="349">
        <f t="shared" si="28"/>
        <v>-417980</v>
      </c>
      <c r="I152" s="349">
        <f t="shared" si="28"/>
        <v>74996</v>
      </c>
      <c r="J152" s="349">
        <f t="shared" si="28"/>
        <v>205283</v>
      </c>
      <c r="K152" s="349">
        <f t="shared" si="28"/>
        <v>27024</v>
      </c>
      <c r="L152" s="349">
        <f t="shared" si="28"/>
        <v>266492</v>
      </c>
      <c r="M152" s="349">
        <f>M149-$F149</f>
        <v>59253</v>
      </c>
      <c r="N152" s="349">
        <f t="shared" si="28"/>
        <v>175226</v>
      </c>
      <c r="O152" s="349">
        <f t="shared" si="28"/>
        <v>12439</v>
      </c>
      <c r="P152" s="349">
        <f t="shared" si="28"/>
        <v>314754</v>
      </c>
      <c r="Q152" s="10">
        <f t="shared" si="26"/>
        <v>466101</v>
      </c>
    </row>
    <row r="153" spans="5:17" x14ac:dyDescent="0.15">
      <c r="E153" s="10" t="s">
        <v>430</v>
      </c>
      <c r="F153" s="349"/>
      <c r="G153" s="348">
        <f>G152/G151</f>
        <v>-0.10773396371640305</v>
      </c>
      <c r="H153" s="348">
        <f t="shared" ref="H153:Q153" si="29">H152/H151</f>
        <v>-0.31247757230688261</v>
      </c>
      <c r="I153" s="348">
        <f t="shared" si="29"/>
        <v>4.6439883460637002E-2</v>
      </c>
      <c r="J153" s="348">
        <f t="shared" si="29"/>
        <v>0.20811123163795989</v>
      </c>
      <c r="K153" s="348">
        <f t="shared" si="29"/>
        <v>2.9805312545495455E-2</v>
      </c>
      <c r="L153" s="348">
        <f t="shared" si="29"/>
        <v>0.12940644604269036</v>
      </c>
      <c r="M153" s="348">
        <f t="shared" si="29"/>
        <v>2.7601862018173915E-2</v>
      </c>
      <c r="N153" s="348">
        <f t="shared" si="29"/>
        <v>7.95846226445516E-2</v>
      </c>
      <c r="O153" s="348">
        <f t="shared" si="29"/>
        <v>8.3145061026964166E-3</v>
      </c>
      <c r="P153" s="348">
        <f t="shared" si="29"/>
        <v>0.13338469479342269</v>
      </c>
      <c r="Q153" s="348">
        <f t="shared" si="29"/>
        <v>2.6721938899824417E-2</v>
      </c>
    </row>
    <row r="154" spans="5:17" x14ac:dyDescent="0.15"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</row>
    <row r="155" spans="5:17" x14ac:dyDescent="0.15">
      <c r="E155" s="10" t="s">
        <v>428</v>
      </c>
      <c r="F155" s="10">
        <v>5108579</v>
      </c>
      <c r="G155" s="10">
        <v>5289724</v>
      </c>
      <c r="H155" s="10">
        <v>4935578</v>
      </c>
      <c r="I155" s="10">
        <v>5035609</v>
      </c>
      <c r="J155" s="10">
        <v>4875554</v>
      </c>
      <c r="K155" s="10">
        <v>4937478</v>
      </c>
      <c r="L155" s="10">
        <v>4864167</v>
      </c>
      <c r="M155" s="10">
        <v>4958130</v>
      </c>
      <c r="N155" s="10">
        <v>5374468</v>
      </c>
      <c r="O155" s="10">
        <v>5617941</v>
      </c>
      <c r="P155" s="10">
        <v>6052007</v>
      </c>
      <c r="Q155" s="10">
        <f t="shared" si="26"/>
        <v>57049235</v>
      </c>
    </row>
    <row r="156" spans="5:17" x14ac:dyDescent="0.15">
      <c r="E156" s="10" t="s">
        <v>429</v>
      </c>
      <c r="F156" s="10">
        <v>1745842</v>
      </c>
      <c r="G156" s="10">
        <v>1440239</v>
      </c>
      <c r="H156" s="10">
        <v>1544550</v>
      </c>
      <c r="I156" s="10">
        <v>1456597</v>
      </c>
      <c r="J156" s="10">
        <v>1415446</v>
      </c>
      <c r="K156" s="10">
        <v>1336510</v>
      </c>
      <c r="L156" s="10">
        <v>1375628</v>
      </c>
      <c r="M156" s="10">
        <v>1196416</v>
      </c>
      <c r="N156" s="10">
        <v>1191288</v>
      </c>
      <c r="O156" s="10">
        <v>1364384</v>
      </c>
      <c r="P156" s="10">
        <v>1356331</v>
      </c>
      <c r="Q156" s="10">
        <f t="shared" si="26"/>
        <v>15423231</v>
      </c>
    </row>
    <row r="157" spans="5:17" x14ac:dyDescent="0.15">
      <c r="E157" s="10" t="s">
        <v>430</v>
      </c>
      <c r="F157" s="348">
        <f t="shared" ref="F157:Q157" si="30">F156/F155</f>
        <v>0.34174708857394592</v>
      </c>
      <c r="G157" s="348">
        <f t="shared" si="30"/>
        <v>0.27227110525993414</v>
      </c>
      <c r="H157" s="348">
        <f t="shared" si="30"/>
        <v>0.31294207081723763</v>
      </c>
      <c r="I157" s="348">
        <f t="shared" si="30"/>
        <v>0.28925935274164455</v>
      </c>
      <c r="J157" s="348">
        <f t="shared" si="30"/>
        <v>0.29031490575224889</v>
      </c>
      <c r="K157" s="348">
        <f t="shared" si="30"/>
        <v>0.27068677571829181</v>
      </c>
      <c r="L157" s="348">
        <f t="shared" si="30"/>
        <v>0.28280854666379668</v>
      </c>
      <c r="M157" s="348">
        <f t="shared" si="30"/>
        <v>0.24130387868006689</v>
      </c>
      <c r="N157" s="348">
        <f t="shared" si="30"/>
        <v>0.22165691562402084</v>
      </c>
      <c r="O157" s="348">
        <f t="shared" si="30"/>
        <v>0.24286193108827595</v>
      </c>
      <c r="P157" s="348">
        <f t="shared" si="30"/>
        <v>0.22411259603632316</v>
      </c>
      <c r="Q157" s="348">
        <f t="shared" si="30"/>
        <v>0.2703494797081854</v>
      </c>
    </row>
    <row r="158" spans="5:17" x14ac:dyDescent="0.15">
      <c r="E158" s="10" t="s">
        <v>431</v>
      </c>
      <c r="F158" s="349"/>
      <c r="G158" s="349">
        <f t="shared" ref="G158:P159" si="31">G155-$F155</f>
        <v>181145</v>
      </c>
      <c r="H158" s="349">
        <f t="shared" si="31"/>
        <v>-173001</v>
      </c>
      <c r="I158" s="349">
        <f t="shared" si="31"/>
        <v>-72970</v>
      </c>
      <c r="J158" s="349">
        <f t="shared" si="31"/>
        <v>-233025</v>
      </c>
      <c r="K158" s="349">
        <f t="shared" si="31"/>
        <v>-171101</v>
      </c>
      <c r="L158" s="349">
        <f t="shared" si="31"/>
        <v>-244412</v>
      </c>
      <c r="M158" s="349">
        <f t="shared" si="31"/>
        <v>-150449</v>
      </c>
      <c r="N158" s="349">
        <f t="shared" si="31"/>
        <v>265889</v>
      </c>
      <c r="O158" s="349">
        <f t="shared" si="31"/>
        <v>509362</v>
      </c>
      <c r="P158" s="349">
        <f t="shared" si="31"/>
        <v>943428</v>
      </c>
      <c r="Q158" s="10">
        <f>SUM(F158:P158)</f>
        <v>854866</v>
      </c>
    </row>
    <row r="159" spans="5:17" x14ac:dyDescent="0.15">
      <c r="E159" s="10" t="s">
        <v>432</v>
      </c>
      <c r="F159" s="349"/>
      <c r="G159" s="349">
        <f t="shared" si="31"/>
        <v>-305603</v>
      </c>
      <c r="H159" s="349">
        <f t="shared" si="31"/>
        <v>-201292</v>
      </c>
      <c r="I159" s="349">
        <f t="shared" si="31"/>
        <v>-289245</v>
      </c>
      <c r="J159" s="349">
        <f t="shared" si="31"/>
        <v>-330396</v>
      </c>
      <c r="K159" s="349">
        <f t="shared" si="31"/>
        <v>-409332</v>
      </c>
      <c r="L159" s="349">
        <f t="shared" si="31"/>
        <v>-370214</v>
      </c>
      <c r="M159" s="349">
        <f t="shared" si="31"/>
        <v>-549426</v>
      </c>
      <c r="N159" s="349">
        <f t="shared" si="31"/>
        <v>-554554</v>
      </c>
      <c r="O159" s="349">
        <f t="shared" si="31"/>
        <v>-381458</v>
      </c>
      <c r="P159" s="349">
        <f t="shared" si="31"/>
        <v>-389511</v>
      </c>
      <c r="Q159" s="10">
        <f>SUM(F159:P159)</f>
        <v>-3781031</v>
      </c>
    </row>
    <row r="160" spans="5:17" x14ac:dyDescent="0.15">
      <c r="E160" s="10" t="s">
        <v>430</v>
      </c>
      <c r="F160" s="349"/>
      <c r="G160" s="348">
        <f t="shared" ref="G160:Q160" si="32">G159/G158</f>
        <v>-1.6870628502028762</v>
      </c>
      <c r="H160" s="348">
        <f t="shared" si="32"/>
        <v>1.1635308466425049</v>
      </c>
      <c r="I160" s="348">
        <f t="shared" si="32"/>
        <v>3.9638892695628338</v>
      </c>
      <c r="J160" s="348">
        <f t="shared" si="32"/>
        <v>1.4178564531702607</v>
      </c>
      <c r="K160" s="348">
        <f t="shared" si="32"/>
        <v>2.3923413656261507</v>
      </c>
      <c r="L160" s="348">
        <f t="shared" si="32"/>
        <v>1.5147128618889416</v>
      </c>
      <c r="M160" s="348">
        <f t="shared" si="32"/>
        <v>3.6519086201968776</v>
      </c>
      <c r="N160" s="348">
        <f t="shared" si="32"/>
        <v>-2.0856598054075195</v>
      </c>
      <c r="O160" s="348">
        <f t="shared" si="32"/>
        <v>-0.74889371409724326</v>
      </c>
      <c r="P160" s="348">
        <f t="shared" si="32"/>
        <v>-0.41286775461402458</v>
      </c>
      <c r="Q160" s="348">
        <f t="shared" si="32"/>
        <v>-4.4229516672788485</v>
      </c>
    </row>
    <row r="161" spans="3:19" x14ac:dyDescent="0.15">
      <c r="E161" s="10"/>
      <c r="F161" s="349"/>
      <c r="G161" s="348"/>
      <c r="H161" s="348"/>
      <c r="I161" s="348"/>
      <c r="J161" s="348"/>
      <c r="K161" s="348"/>
      <c r="L161" s="348"/>
      <c r="M161" s="348"/>
      <c r="N161" s="348"/>
      <c r="O161" s="348"/>
      <c r="P161" s="348"/>
      <c r="Q161" s="10"/>
    </row>
    <row r="162" spans="3:19" x14ac:dyDescent="0.15">
      <c r="E162" s="10" t="s">
        <v>428</v>
      </c>
      <c r="F162" s="10">
        <v>3384051</v>
      </c>
      <c r="G162" s="10">
        <v>4041800</v>
      </c>
      <c r="H162" s="10">
        <v>4150935</v>
      </c>
      <c r="I162" s="10">
        <v>4732217</v>
      </c>
      <c r="J162" s="10">
        <v>4179173</v>
      </c>
      <c r="K162" s="10">
        <v>4269147</v>
      </c>
      <c r="L162" s="10">
        <v>4865753</v>
      </c>
      <c r="M162" s="10">
        <v>4980848</v>
      </c>
      <c r="N162" s="10">
        <v>5404620</v>
      </c>
      <c r="O162" s="10">
        <v>5666952</v>
      </c>
      <c r="P162" s="10">
        <v>5984131</v>
      </c>
      <c r="Q162" s="10">
        <f t="shared" si="26"/>
        <v>51659627</v>
      </c>
    </row>
    <row r="163" spans="3:19" x14ac:dyDescent="0.15">
      <c r="E163" s="10" t="s">
        <v>429</v>
      </c>
      <c r="F163" s="10">
        <v>797842</v>
      </c>
      <c r="G163" s="10">
        <v>887740</v>
      </c>
      <c r="H163" s="10">
        <v>920992</v>
      </c>
      <c r="I163" s="10">
        <v>1086861</v>
      </c>
      <c r="J163" s="10">
        <v>1221540</v>
      </c>
      <c r="K163" s="10">
        <v>1144155</v>
      </c>
      <c r="L163" s="10">
        <v>1294864</v>
      </c>
      <c r="M163" s="10">
        <v>1359846</v>
      </c>
      <c r="N163" s="10">
        <v>1485376</v>
      </c>
      <c r="O163" s="10">
        <v>1523579</v>
      </c>
      <c r="P163" s="10">
        <v>1660664</v>
      </c>
      <c r="Q163" s="10">
        <f t="shared" si="26"/>
        <v>13383459</v>
      </c>
    </row>
    <row r="164" spans="3:19" x14ac:dyDescent="0.15">
      <c r="E164" s="10" t="s">
        <v>430</v>
      </c>
      <c r="F164" s="348">
        <f t="shared" ref="F164:Q164" si="33">F163/F162</f>
        <v>0.23576535932821344</v>
      </c>
      <c r="G164" s="348">
        <f t="shared" si="33"/>
        <v>0.21963976446137859</v>
      </c>
      <c r="H164" s="348">
        <f t="shared" si="33"/>
        <v>0.22187579424876563</v>
      </c>
      <c r="I164" s="348">
        <f t="shared" si="33"/>
        <v>0.22967268829810636</v>
      </c>
      <c r="J164" s="348">
        <f t="shared" si="33"/>
        <v>0.29229227887909881</v>
      </c>
      <c r="K164" s="348">
        <f t="shared" si="33"/>
        <v>0.26800552897335228</v>
      </c>
      <c r="L164" s="348">
        <f t="shared" si="33"/>
        <v>0.26611790610826319</v>
      </c>
      <c r="M164" s="348">
        <f t="shared" si="33"/>
        <v>0.27301495648933677</v>
      </c>
      <c r="N164" s="348">
        <f t="shared" si="33"/>
        <v>0.27483449345189859</v>
      </c>
      <c r="O164" s="348">
        <f t="shared" si="33"/>
        <v>0.26885334479628553</v>
      </c>
      <c r="P164" s="348">
        <f t="shared" si="33"/>
        <v>0.27751130448180361</v>
      </c>
      <c r="Q164" s="348">
        <f t="shared" si="33"/>
        <v>0.25906998902644029</v>
      </c>
    </row>
    <row r="165" spans="3:19" ht="14.25" x14ac:dyDescent="0.15">
      <c r="C165" s="328"/>
      <c r="D165" s="329"/>
      <c r="E165" s="10" t="s">
        <v>431</v>
      </c>
      <c r="F165" s="349"/>
      <c r="G165" s="349">
        <f t="shared" ref="G165:P166" si="34">G162-$F162</f>
        <v>657749</v>
      </c>
      <c r="H165" s="349">
        <f t="shared" si="34"/>
        <v>766884</v>
      </c>
      <c r="I165" s="349">
        <f t="shared" si="34"/>
        <v>1348166</v>
      </c>
      <c r="J165" s="349">
        <f t="shared" si="34"/>
        <v>795122</v>
      </c>
      <c r="K165" s="349">
        <f t="shared" si="34"/>
        <v>885096</v>
      </c>
      <c r="L165" s="349">
        <f t="shared" si="34"/>
        <v>1481702</v>
      </c>
      <c r="M165" s="349">
        <f t="shared" si="34"/>
        <v>1596797</v>
      </c>
      <c r="N165" s="349">
        <f t="shared" si="34"/>
        <v>2020569</v>
      </c>
      <c r="O165" s="349">
        <f t="shared" si="34"/>
        <v>2282901</v>
      </c>
      <c r="P165" s="349">
        <f t="shared" si="34"/>
        <v>2600080</v>
      </c>
      <c r="Q165" s="10">
        <f>SUM(F165:P165)</f>
        <v>14435066</v>
      </c>
    </row>
    <row r="166" spans="3:19" ht="14.25" x14ac:dyDescent="0.15">
      <c r="C166" s="328"/>
      <c r="D166" s="329"/>
      <c r="E166" s="10" t="s">
        <v>432</v>
      </c>
      <c r="F166" s="349"/>
      <c r="G166" s="348">
        <f t="shared" si="34"/>
        <v>89898</v>
      </c>
      <c r="H166" s="349">
        <f t="shared" si="34"/>
        <v>123150</v>
      </c>
      <c r="I166" s="349">
        <f t="shared" si="34"/>
        <v>289019</v>
      </c>
      <c r="J166" s="349">
        <f t="shared" si="34"/>
        <v>423698</v>
      </c>
      <c r="K166" s="349">
        <f t="shared" si="34"/>
        <v>346313</v>
      </c>
      <c r="L166" s="349">
        <f t="shared" si="34"/>
        <v>497022</v>
      </c>
      <c r="M166" s="349">
        <f t="shared" si="34"/>
        <v>562004</v>
      </c>
      <c r="N166" s="349">
        <f t="shared" si="34"/>
        <v>687534</v>
      </c>
      <c r="O166" s="349">
        <f t="shared" si="34"/>
        <v>725737</v>
      </c>
      <c r="P166" s="349">
        <f t="shared" si="34"/>
        <v>862822</v>
      </c>
      <c r="Q166" s="10">
        <f>SUM(F166:P166)</f>
        <v>4607197</v>
      </c>
    </row>
    <row r="167" spans="3:19" ht="14.25" x14ac:dyDescent="0.15">
      <c r="C167" s="328"/>
      <c r="D167" s="329"/>
      <c r="E167" s="10" t="s">
        <v>430</v>
      </c>
      <c r="F167" s="349"/>
      <c r="G167" s="348">
        <f t="shared" ref="G167:Q167" si="35">G166/G165</f>
        <v>0.1366752362983448</v>
      </c>
      <c r="H167" s="348">
        <f t="shared" si="35"/>
        <v>0.16058491245090523</v>
      </c>
      <c r="I167" s="348">
        <f t="shared" si="35"/>
        <v>0.21437938651471702</v>
      </c>
      <c r="J167" s="348">
        <f t="shared" si="35"/>
        <v>0.53287168509989657</v>
      </c>
      <c r="K167" s="348">
        <f t="shared" si="35"/>
        <v>0.39127168126395329</v>
      </c>
      <c r="L167" s="348">
        <f t="shared" si="35"/>
        <v>0.33543991976794252</v>
      </c>
      <c r="M167" s="348">
        <f t="shared" si="35"/>
        <v>0.3519570740676492</v>
      </c>
      <c r="N167" s="348">
        <f t="shared" si="35"/>
        <v>0.34026751870388983</v>
      </c>
      <c r="O167" s="348">
        <f t="shared" si="35"/>
        <v>0.31790121428831125</v>
      </c>
      <c r="P167" s="348">
        <f t="shared" si="35"/>
        <v>0.33184440478754501</v>
      </c>
      <c r="Q167" s="348">
        <f t="shared" si="35"/>
        <v>0.31916702008844294</v>
      </c>
    </row>
    <row r="168" spans="3:19" ht="14.25" x14ac:dyDescent="0.15">
      <c r="C168" s="328"/>
      <c r="D168" s="329"/>
      <c r="E168" s="328"/>
      <c r="F168" s="328"/>
      <c r="G168" s="328"/>
      <c r="H168" s="328"/>
      <c r="I168" s="328"/>
      <c r="J168" s="328"/>
      <c r="K168" s="328"/>
      <c r="L168" s="328"/>
      <c r="M168" s="328"/>
      <c r="N168" s="328"/>
    </row>
    <row r="169" spans="3:19" ht="14.25" x14ac:dyDescent="0.15">
      <c r="C169" s="328"/>
      <c r="D169" s="329"/>
      <c r="E169" s="328"/>
      <c r="F169" s="328"/>
      <c r="G169" s="328"/>
      <c r="H169" s="328"/>
      <c r="I169" s="328"/>
      <c r="J169" s="328"/>
      <c r="K169" s="328"/>
      <c r="L169" s="328"/>
      <c r="M169" s="328"/>
      <c r="N169" s="328"/>
      <c r="S169">
        <f>Q148+Q155+Q162</f>
        <v>213647575</v>
      </c>
    </row>
    <row r="170" spans="3:19" ht="14.25" x14ac:dyDescent="0.15">
      <c r="C170" s="328"/>
      <c r="D170" s="329"/>
      <c r="E170" s="328"/>
      <c r="F170" s="328"/>
      <c r="G170" s="328"/>
      <c r="H170" s="328"/>
      <c r="I170" s="328"/>
      <c r="J170" s="328"/>
      <c r="K170" s="328"/>
      <c r="L170" s="328"/>
      <c r="M170" s="328"/>
      <c r="N170" s="328"/>
      <c r="S170">
        <f>Q149+Q156+Q163</f>
        <v>63428836</v>
      </c>
    </row>
    <row r="171" spans="3:19" ht="14.25" x14ac:dyDescent="0.15">
      <c r="C171" s="328"/>
      <c r="D171" s="329"/>
      <c r="E171" s="328"/>
      <c r="F171" s="328"/>
      <c r="G171" s="328"/>
      <c r="H171" s="328"/>
      <c r="I171" s="328"/>
      <c r="J171" s="328"/>
      <c r="K171" s="328"/>
      <c r="L171" s="328"/>
      <c r="M171" s="328"/>
      <c r="N171" s="328"/>
      <c r="S171" s="347">
        <f>S170/S169</f>
        <v>0.29688535430369384</v>
      </c>
    </row>
    <row r="172" spans="3:19" ht="14.25" x14ac:dyDescent="0.15">
      <c r="C172" s="328"/>
      <c r="D172" s="329"/>
      <c r="E172" s="328"/>
      <c r="F172" s="328"/>
      <c r="G172" s="328"/>
      <c r="H172" s="328"/>
      <c r="I172" s="328"/>
      <c r="J172" s="328"/>
      <c r="K172" s="328"/>
      <c r="L172" s="328"/>
      <c r="M172" s="328"/>
      <c r="N172" s="328"/>
    </row>
    <row r="173" spans="3:19" ht="14.25" x14ac:dyDescent="0.15">
      <c r="C173" s="328"/>
      <c r="D173" s="329"/>
      <c r="E173" s="328"/>
      <c r="F173" s="328"/>
      <c r="G173" s="328"/>
      <c r="H173" s="328"/>
      <c r="I173" s="328"/>
      <c r="J173" s="328"/>
      <c r="K173" s="328"/>
      <c r="L173" s="328"/>
      <c r="M173" s="328"/>
      <c r="N173" s="328"/>
    </row>
    <row r="174" spans="3:19" ht="14.25" x14ac:dyDescent="0.15">
      <c r="C174" s="328"/>
      <c r="D174" s="329"/>
      <c r="E174" s="328"/>
      <c r="F174" s="328"/>
      <c r="G174" s="328"/>
      <c r="H174" s="328"/>
      <c r="I174" s="328"/>
      <c r="J174" s="328"/>
      <c r="K174" s="328"/>
      <c r="L174" s="328"/>
      <c r="M174" s="328"/>
      <c r="N174" s="328"/>
    </row>
    <row r="175" spans="3:19" ht="14.25" x14ac:dyDescent="0.15">
      <c r="C175" s="328"/>
      <c r="D175" s="329"/>
      <c r="E175" s="328"/>
      <c r="F175" s="328"/>
      <c r="G175" s="328"/>
      <c r="H175" s="328"/>
      <c r="I175" s="328"/>
      <c r="J175" s="328"/>
      <c r="K175" s="328"/>
      <c r="L175" s="328"/>
      <c r="M175" s="328"/>
      <c r="N175" s="328"/>
    </row>
    <row r="176" spans="3:19" ht="14.25" x14ac:dyDescent="0.15">
      <c r="C176" s="328"/>
      <c r="D176" s="329"/>
      <c r="E176" s="328"/>
      <c r="F176" s="328"/>
      <c r="G176" s="328"/>
      <c r="H176" s="328"/>
      <c r="I176" s="328"/>
      <c r="J176" s="328"/>
      <c r="K176" s="328"/>
      <c r="L176" s="328"/>
      <c r="M176" s="328"/>
      <c r="N176" s="328"/>
    </row>
    <row r="177" spans="3:14" ht="14.25" x14ac:dyDescent="0.15">
      <c r="C177" s="328"/>
      <c r="D177" s="329"/>
      <c r="E177" s="328"/>
      <c r="F177" s="328"/>
      <c r="G177" s="328"/>
      <c r="H177" s="328"/>
      <c r="I177" s="328"/>
      <c r="J177" s="328"/>
      <c r="K177" s="328"/>
      <c r="L177" s="328"/>
      <c r="M177" s="328"/>
      <c r="N177" s="328"/>
    </row>
    <row r="178" spans="3:14" ht="14.25" x14ac:dyDescent="0.15">
      <c r="C178" s="328"/>
      <c r="D178" s="329"/>
      <c r="E178" s="328"/>
      <c r="F178" s="328"/>
      <c r="G178" s="328"/>
      <c r="H178" s="328"/>
      <c r="I178" s="328"/>
      <c r="J178" s="328"/>
      <c r="K178" s="328"/>
      <c r="L178" s="328"/>
      <c r="M178" s="328"/>
      <c r="N178" s="328"/>
    </row>
    <row r="179" spans="3:14" ht="14.25" x14ac:dyDescent="0.15">
      <c r="C179" s="328"/>
      <c r="D179" s="329"/>
      <c r="E179" s="328"/>
      <c r="F179" s="328"/>
      <c r="G179" s="328"/>
      <c r="H179" s="328"/>
      <c r="I179" s="328"/>
      <c r="J179" s="328"/>
      <c r="K179" s="328"/>
      <c r="L179" s="328"/>
      <c r="M179" s="328"/>
      <c r="N179" s="328"/>
    </row>
    <row r="180" spans="3:14" ht="14.25" x14ac:dyDescent="0.15">
      <c r="C180" s="328"/>
      <c r="D180" s="329"/>
      <c r="E180" s="328"/>
      <c r="F180" s="328"/>
      <c r="G180" s="328"/>
      <c r="H180" s="328"/>
      <c r="I180" s="328"/>
      <c r="J180" s="328"/>
      <c r="K180" s="328"/>
      <c r="L180" s="328"/>
      <c r="M180" s="328"/>
      <c r="N180" s="328"/>
    </row>
    <row r="181" spans="3:14" ht="14.25" x14ac:dyDescent="0.15">
      <c r="C181" s="328"/>
      <c r="D181" s="329"/>
      <c r="E181" s="328"/>
      <c r="F181" s="328"/>
      <c r="G181" s="328"/>
      <c r="H181" s="328"/>
      <c r="I181" s="328"/>
      <c r="J181" s="328"/>
      <c r="K181" s="328"/>
      <c r="L181" s="328"/>
      <c r="M181" s="328"/>
      <c r="N181" s="328"/>
    </row>
    <row r="182" spans="3:14" ht="14.25" x14ac:dyDescent="0.15">
      <c r="C182" s="328"/>
      <c r="D182" s="329"/>
      <c r="E182" s="328"/>
      <c r="F182" s="328"/>
      <c r="G182" s="328"/>
      <c r="H182" s="328"/>
      <c r="I182" s="328"/>
      <c r="J182" s="328"/>
      <c r="K182" s="328"/>
      <c r="L182" s="328"/>
      <c r="M182" s="328"/>
      <c r="N182" s="328"/>
    </row>
    <row r="183" spans="3:14" ht="14.25" x14ac:dyDescent="0.15">
      <c r="C183" s="328"/>
      <c r="D183" s="329"/>
      <c r="E183" s="328"/>
      <c r="F183" s="328"/>
      <c r="G183" s="328"/>
      <c r="H183" s="328"/>
      <c r="I183" s="328"/>
      <c r="J183" s="328"/>
      <c r="K183" s="328"/>
      <c r="L183" s="328"/>
      <c r="M183" s="328"/>
      <c r="N183" s="328"/>
    </row>
    <row r="184" spans="3:14" ht="14.25" x14ac:dyDescent="0.15">
      <c r="C184" s="328"/>
      <c r="D184" s="329"/>
      <c r="E184" s="328"/>
      <c r="F184" s="328"/>
      <c r="G184" s="328"/>
      <c r="H184" s="328"/>
      <c r="I184" s="328"/>
      <c r="J184" s="328"/>
      <c r="K184" s="328"/>
      <c r="L184" s="328"/>
      <c r="M184" s="328"/>
      <c r="N184" s="328"/>
    </row>
    <row r="185" spans="3:14" ht="14.25" x14ac:dyDescent="0.15">
      <c r="C185" s="328"/>
      <c r="D185" s="329"/>
      <c r="E185" s="328"/>
      <c r="F185" s="328"/>
      <c r="G185" s="328"/>
      <c r="H185" s="328"/>
      <c r="I185" s="328"/>
      <c r="J185" s="328"/>
      <c r="K185" s="328"/>
      <c r="L185" s="328"/>
      <c r="M185" s="328"/>
      <c r="N185" s="328"/>
    </row>
    <row r="186" spans="3:14" ht="14.25" x14ac:dyDescent="0.15">
      <c r="C186" s="328"/>
      <c r="D186" s="329"/>
      <c r="E186" s="328"/>
      <c r="F186" s="328"/>
      <c r="G186" s="328"/>
      <c r="H186" s="328"/>
      <c r="I186" s="328"/>
      <c r="J186" s="328"/>
      <c r="K186" s="328"/>
      <c r="L186" s="328"/>
      <c r="M186" s="328"/>
      <c r="N186" s="328"/>
    </row>
    <row r="187" spans="3:14" ht="14.25" x14ac:dyDescent="0.15">
      <c r="C187" s="328"/>
      <c r="D187" s="329"/>
      <c r="E187" s="328"/>
      <c r="F187" s="328"/>
      <c r="G187" s="328"/>
      <c r="H187" s="328"/>
      <c r="I187" s="328"/>
      <c r="J187" s="328"/>
      <c r="K187" s="328"/>
      <c r="L187" s="328"/>
      <c r="M187" s="328"/>
      <c r="N187" s="328"/>
    </row>
    <row r="188" spans="3:14" ht="14.25" x14ac:dyDescent="0.15">
      <c r="C188" s="328"/>
      <c r="D188" s="329"/>
      <c r="E188" s="328"/>
      <c r="F188" s="328"/>
      <c r="G188" s="328"/>
      <c r="H188" s="328"/>
      <c r="I188" s="328"/>
      <c r="J188" s="328"/>
      <c r="K188" s="328"/>
      <c r="L188" s="328"/>
      <c r="M188" s="328"/>
      <c r="N188" s="328"/>
    </row>
    <row r="189" spans="3:14" ht="14.25" x14ac:dyDescent="0.15">
      <c r="C189" s="328"/>
      <c r="D189" s="329"/>
      <c r="E189" s="328"/>
      <c r="F189" s="328"/>
      <c r="G189" s="328"/>
      <c r="H189" s="328"/>
      <c r="I189" s="328"/>
      <c r="J189" s="328"/>
      <c r="K189" s="328"/>
      <c r="L189" s="328"/>
      <c r="M189" s="328"/>
      <c r="N189" s="328"/>
    </row>
    <row r="190" spans="3:14" ht="14.25" x14ac:dyDescent="0.15">
      <c r="C190" s="328"/>
      <c r="D190" s="329"/>
      <c r="E190" s="328"/>
      <c r="F190" s="328"/>
      <c r="G190" s="328"/>
      <c r="H190" s="328"/>
      <c r="I190" s="328"/>
      <c r="J190" s="328"/>
      <c r="K190" s="328"/>
      <c r="L190" s="328"/>
      <c r="M190" s="328"/>
      <c r="N190" s="328"/>
    </row>
    <row r="191" spans="3:14" ht="14.25" x14ac:dyDescent="0.15">
      <c r="C191" s="328"/>
      <c r="D191" s="329"/>
      <c r="E191" s="328"/>
      <c r="F191" s="328"/>
      <c r="G191" s="328"/>
      <c r="H191" s="328"/>
      <c r="I191" s="328"/>
      <c r="J191" s="328"/>
      <c r="K191" s="328"/>
      <c r="L191" s="328"/>
      <c r="M191" s="328"/>
      <c r="N191" s="328"/>
    </row>
    <row r="192" spans="3:14" ht="14.25" x14ac:dyDescent="0.15">
      <c r="C192" s="328"/>
      <c r="D192" s="329"/>
      <c r="E192" s="328"/>
      <c r="F192" s="328"/>
      <c r="G192" s="328"/>
      <c r="H192" s="328"/>
      <c r="I192" s="328"/>
      <c r="J192" s="328"/>
      <c r="K192" s="328"/>
      <c r="L192" s="328"/>
      <c r="M192" s="328"/>
      <c r="N192" s="328"/>
    </row>
    <row r="193" spans="1:27" ht="14.25" x14ac:dyDescent="0.15">
      <c r="C193" s="328"/>
      <c r="D193" s="329"/>
      <c r="E193" s="328"/>
      <c r="F193" s="328"/>
      <c r="G193" s="328"/>
      <c r="H193" s="328"/>
      <c r="I193" s="328"/>
      <c r="J193" s="328"/>
      <c r="K193" s="328"/>
      <c r="L193" s="328"/>
      <c r="M193" s="328"/>
      <c r="N193" s="328"/>
    </row>
    <row r="195" spans="1:27" x14ac:dyDescent="0.15">
      <c r="A195" t="s">
        <v>388</v>
      </c>
    </row>
    <row r="197" spans="1:27" x14ac:dyDescent="0.15">
      <c r="B197" t="s">
        <v>1301</v>
      </c>
      <c r="C197" t="s">
        <v>1302</v>
      </c>
      <c r="D197" t="s">
        <v>1303</v>
      </c>
      <c r="E197" t="s">
        <v>1304</v>
      </c>
      <c r="F197" t="s">
        <v>1305</v>
      </c>
      <c r="G197" t="s">
        <v>1306</v>
      </c>
      <c r="H197" t="s">
        <v>1307</v>
      </c>
      <c r="I197" t="s">
        <v>1308</v>
      </c>
      <c r="J197" t="s">
        <v>1309</v>
      </c>
      <c r="K197" t="s">
        <v>1310</v>
      </c>
      <c r="L197" t="s">
        <v>1311</v>
      </c>
      <c r="M197" t="s">
        <v>1312</v>
      </c>
    </row>
    <row r="198" spans="1:27" x14ac:dyDescent="0.15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S198" s="26"/>
      <c r="T198" s="26"/>
      <c r="U198" s="26"/>
      <c r="V198" s="26"/>
      <c r="W198" s="26"/>
      <c r="X198" s="26"/>
      <c r="Y198" s="26"/>
      <c r="Z198" s="26"/>
    </row>
    <row r="199" spans="1:27" x14ac:dyDescent="0.15">
      <c r="A199" t="s">
        <v>26</v>
      </c>
      <c r="B199" s="410">
        <v>34081593</v>
      </c>
      <c r="C199" s="410">
        <v>36549655</v>
      </c>
      <c r="D199" s="410">
        <v>36164748</v>
      </c>
      <c r="E199" s="410">
        <v>40666653</v>
      </c>
      <c r="F199" s="410">
        <v>37813262</v>
      </c>
      <c r="G199" s="410">
        <v>40644906</v>
      </c>
      <c r="H199" s="411">
        <v>38820186</v>
      </c>
      <c r="I199" s="411">
        <v>38245668</v>
      </c>
      <c r="J199" s="412">
        <v>38500000</v>
      </c>
      <c r="K199" s="412">
        <v>38927500</v>
      </c>
      <c r="L199" s="411">
        <v>41074500</v>
      </c>
      <c r="M199" s="411">
        <v>42252500</v>
      </c>
      <c r="N199" s="1">
        <f>SUM(B199:M199)</f>
        <v>463741171</v>
      </c>
      <c r="S199" s="26"/>
    </row>
    <row r="200" spans="1:27" x14ac:dyDescent="0.15">
      <c r="A200" t="s">
        <v>389</v>
      </c>
      <c r="B200" s="410">
        <v>148613</v>
      </c>
      <c r="C200" s="410">
        <v>142298</v>
      </c>
      <c r="D200" s="410">
        <v>146800</v>
      </c>
      <c r="E200" s="410">
        <v>369915</v>
      </c>
      <c r="F200" s="410">
        <v>316282</v>
      </c>
      <c r="G200" s="410">
        <v>308457</v>
      </c>
      <c r="H200" s="410">
        <v>539521</v>
      </c>
      <c r="I200" s="411">
        <v>215222</v>
      </c>
      <c r="J200" s="411">
        <v>120000</v>
      </c>
      <c r="K200" s="411">
        <v>120000</v>
      </c>
      <c r="L200" s="411">
        <v>120000</v>
      </c>
      <c r="M200" s="411">
        <v>120000</v>
      </c>
      <c r="N200" s="1">
        <f>SUM(B200:M200)</f>
        <v>2667108</v>
      </c>
      <c r="S200" s="26"/>
      <c r="T200" s="26"/>
      <c r="U200" s="26"/>
      <c r="V200" s="26"/>
      <c r="W200" s="26"/>
      <c r="X200" s="26"/>
      <c r="Y200" s="26"/>
      <c r="Z200" s="26"/>
      <c r="AA200" s="26"/>
    </row>
    <row r="201" spans="1:27" x14ac:dyDescent="0.15">
      <c r="A201" t="s">
        <v>1025</v>
      </c>
      <c r="B201" s="410">
        <v>0</v>
      </c>
      <c r="C201" s="410">
        <v>0</v>
      </c>
      <c r="D201" s="410">
        <v>0</v>
      </c>
      <c r="E201" s="410">
        <v>0</v>
      </c>
      <c r="F201" s="410">
        <v>0</v>
      </c>
      <c r="G201" s="410">
        <v>0</v>
      </c>
      <c r="H201" s="410">
        <v>0</v>
      </c>
      <c r="I201" s="411">
        <v>0</v>
      </c>
      <c r="J201" s="411">
        <v>0</v>
      </c>
      <c r="K201" s="411">
        <v>0</v>
      </c>
      <c r="L201" s="411">
        <v>0</v>
      </c>
      <c r="M201" s="411">
        <v>0</v>
      </c>
      <c r="AA201" s="26"/>
    </row>
    <row r="202" spans="1:27" x14ac:dyDescent="0.15">
      <c r="B202" s="1">
        <f>SUM(B199:B201)</f>
        <v>34230206</v>
      </c>
      <c r="C202" s="1">
        <f t="shared" ref="C202" si="36">SUM(C199:C201)</f>
        <v>36691953</v>
      </c>
      <c r="D202" s="1">
        <f>SUM(D199:D201)</f>
        <v>36311548</v>
      </c>
      <c r="E202" s="1">
        <f t="shared" ref="E202:G202" si="37">SUM(E199:E201)</f>
        <v>41036568</v>
      </c>
      <c r="F202" s="1">
        <f t="shared" si="37"/>
        <v>38129544</v>
      </c>
      <c r="G202" s="1">
        <f t="shared" si="37"/>
        <v>40953363</v>
      </c>
      <c r="H202" s="1">
        <f>SUM(H199:H201)</f>
        <v>39359707</v>
      </c>
      <c r="I202" s="1">
        <f t="shared" ref="I202" si="38">SUM(I199:I201)</f>
        <v>38460890</v>
      </c>
      <c r="J202" s="1">
        <f>SUM(J199:J201)</f>
        <v>38620000</v>
      </c>
      <c r="K202" s="1">
        <f t="shared" ref="K202:M202" si="39">SUM(K199:K201)</f>
        <v>39047500</v>
      </c>
      <c r="L202" s="1">
        <f t="shared" si="39"/>
        <v>41194500</v>
      </c>
      <c r="M202" s="1">
        <f t="shared" si="39"/>
        <v>42372500</v>
      </c>
      <c r="N202" s="1">
        <f>SUM(B202:M202)</f>
        <v>466408279</v>
      </c>
    </row>
    <row r="203" spans="1:27" x14ac:dyDescent="0.15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AA203" s="26"/>
    </row>
    <row r="204" spans="1:27" x14ac:dyDescent="0.15">
      <c r="A204" t="s">
        <v>15</v>
      </c>
      <c r="B204" s="410">
        <v>23176352</v>
      </c>
      <c r="C204" s="410">
        <v>29776545</v>
      </c>
      <c r="D204" s="410">
        <v>27625334</v>
      </c>
      <c r="E204" s="410">
        <v>38714288</v>
      </c>
      <c r="F204" s="410">
        <v>38089430</v>
      </c>
      <c r="G204" s="410">
        <v>27482437</v>
      </c>
      <c r="H204" s="411">
        <v>24507009</v>
      </c>
      <c r="I204" s="411">
        <v>28784803</v>
      </c>
      <c r="J204" s="412">
        <v>30823829</v>
      </c>
      <c r="K204" s="412">
        <v>40530598</v>
      </c>
      <c r="L204" s="411">
        <v>33805858</v>
      </c>
      <c r="M204" s="411">
        <v>29469098</v>
      </c>
      <c r="N204" s="1">
        <f>SUM(B204:M204)</f>
        <v>372785581</v>
      </c>
    </row>
    <row r="205" spans="1:27" x14ac:dyDescent="0.15">
      <c r="A205" t="s">
        <v>395</v>
      </c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</row>
    <row r="207" spans="1:27" x14ac:dyDescent="0.15">
      <c r="A207" t="s">
        <v>385</v>
      </c>
      <c r="B207" s="410">
        <v>9024422</v>
      </c>
      <c r="C207" s="410">
        <v>12945036</v>
      </c>
      <c r="D207" s="410">
        <v>8542204</v>
      </c>
      <c r="E207" s="410">
        <v>7420857</v>
      </c>
      <c r="F207" s="410">
        <v>7943544</v>
      </c>
      <c r="G207" s="411">
        <v>7627052</v>
      </c>
      <c r="H207" s="411">
        <v>7348088</v>
      </c>
      <c r="I207" s="411">
        <v>7042011</v>
      </c>
      <c r="J207" s="411">
        <v>7650658.333333334</v>
      </c>
      <c r="K207" s="411">
        <v>7607527.111111111</v>
      </c>
      <c r="L207" s="411">
        <v>7555869.4814814804</v>
      </c>
      <c r="M207" s="411">
        <v>7459452.9753086409</v>
      </c>
      <c r="N207" s="1">
        <v>9299951.1588153727</v>
      </c>
    </row>
    <row r="208" spans="1:27" x14ac:dyDescent="0.15">
      <c r="A208" t="s">
        <v>1523</v>
      </c>
      <c r="B208" s="410">
        <v>0</v>
      </c>
      <c r="C208" s="410">
        <v>0</v>
      </c>
      <c r="D208" s="410">
        <v>0</v>
      </c>
      <c r="E208" s="410">
        <v>0</v>
      </c>
      <c r="F208" s="410">
        <v>0</v>
      </c>
      <c r="G208" s="411">
        <v>0</v>
      </c>
      <c r="H208" s="411">
        <v>0</v>
      </c>
      <c r="I208" s="411"/>
      <c r="J208" s="411"/>
      <c r="K208" s="411"/>
      <c r="L208" s="411"/>
      <c r="M208" s="411"/>
      <c r="N208" s="1"/>
    </row>
    <row r="209" spans="1:14" x14ac:dyDescent="0.15">
      <c r="A209" t="s">
        <v>386</v>
      </c>
      <c r="B209" s="410">
        <v>1984868</v>
      </c>
      <c r="C209" s="410">
        <v>2200735</v>
      </c>
      <c r="D209" s="411">
        <v>1320653</v>
      </c>
      <c r="E209" s="410">
        <v>309354</v>
      </c>
      <c r="F209" s="410">
        <v>665990</v>
      </c>
      <c r="G209" s="411">
        <v>385051</v>
      </c>
      <c r="H209" s="411">
        <v>551668</v>
      </c>
      <c r="I209" s="411">
        <v>-319815</v>
      </c>
      <c r="J209" s="411">
        <v>750000</v>
      </c>
      <c r="K209" s="411">
        <v>750000</v>
      </c>
      <c r="L209" s="411">
        <v>750000</v>
      </c>
      <c r="M209" s="411">
        <v>750000</v>
      </c>
      <c r="N209" s="1">
        <v>750000</v>
      </c>
    </row>
    <row r="210" spans="1:14" x14ac:dyDescent="0.15">
      <c r="A210" t="s">
        <v>387</v>
      </c>
      <c r="B210" s="410">
        <v>1097816</v>
      </c>
      <c r="C210" s="410">
        <v>1097816</v>
      </c>
      <c r="D210" s="410">
        <v>1097816</v>
      </c>
      <c r="E210" s="410">
        <v>1097816</v>
      </c>
      <c r="F210" s="410">
        <v>1127666</v>
      </c>
      <c r="G210" s="410">
        <v>1275899</v>
      </c>
      <c r="H210" s="410">
        <v>1275899</v>
      </c>
      <c r="I210" s="410">
        <v>1275899</v>
      </c>
      <c r="J210" s="410">
        <v>1275899</v>
      </c>
      <c r="K210" s="410">
        <v>1275899</v>
      </c>
      <c r="L210" s="410">
        <v>1275899</v>
      </c>
      <c r="M210" s="410">
        <v>1275899</v>
      </c>
      <c r="N210" s="1">
        <f>SUM(B210:M210)</f>
        <v>14450223</v>
      </c>
    </row>
    <row r="211" spans="1:14" x14ac:dyDescent="0.15">
      <c r="B211" s="1">
        <f t="shared" ref="B211:M211" si="40">SUM(B207:B210)</f>
        <v>12107106</v>
      </c>
      <c r="C211" s="1">
        <f t="shared" si="40"/>
        <v>16243587</v>
      </c>
      <c r="D211" s="1">
        <f t="shared" si="40"/>
        <v>10960673</v>
      </c>
      <c r="E211" s="1">
        <f t="shared" si="40"/>
        <v>8828027</v>
      </c>
      <c r="F211" s="1">
        <f t="shared" si="40"/>
        <v>9737200</v>
      </c>
      <c r="G211" s="1">
        <f t="shared" si="40"/>
        <v>9288002</v>
      </c>
      <c r="H211" s="1">
        <f t="shared" si="40"/>
        <v>9175655</v>
      </c>
      <c r="I211" s="1">
        <f t="shared" si="40"/>
        <v>7998095</v>
      </c>
      <c r="J211" s="1">
        <f t="shared" si="40"/>
        <v>9676557.333333334</v>
      </c>
      <c r="K211" s="1">
        <f t="shared" si="40"/>
        <v>9633426.1111111119</v>
      </c>
      <c r="L211" s="1">
        <f t="shared" si="40"/>
        <v>9581768.4814814813</v>
      </c>
      <c r="M211" s="1">
        <f t="shared" si="40"/>
        <v>9485351.9753086418</v>
      </c>
      <c r="N211" s="1">
        <f>SUM(B211:M211)</f>
        <v>122715448.90123457</v>
      </c>
    </row>
    <row r="212" spans="1:14" x14ac:dyDescent="0.15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231"/>
    </row>
    <row r="213" spans="1:14" x14ac:dyDescent="0.15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</row>
    <row r="223" spans="1:14" x14ac:dyDescent="0.15">
      <c r="A223" t="s">
        <v>1447</v>
      </c>
      <c r="B223" t="s">
        <v>1459</v>
      </c>
      <c r="C223" t="s">
        <v>25</v>
      </c>
      <c r="D223" t="s">
        <v>78</v>
      </c>
      <c r="E223" t="s">
        <v>79</v>
      </c>
      <c r="F223" t="s">
        <v>40</v>
      </c>
      <c r="G223" t="s">
        <v>41</v>
      </c>
      <c r="H223" t="s">
        <v>42</v>
      </c>
      <c r="I223" t="s">
        <v>101</v>
      </c>
      <c r="J223" t="s">
        <v>58</v>
      </c>
      <c r="K223" t="s">
        <v>59</v>
      </c>
    </row>
    <row r="224" spans="1:14" x14ac:dyDescent="0.15">
      <c r="A224" t="s">
        <v>1448</v>
      </c>
      <c r="B224" s="4">
        <v>4794136</v>
      </c>
      <c r="C224" s="4">
        <v>4794136</v>
      </c>
      <c r="D224" s="4">
        <v>4794136</v>
      </c>
      <c r="E224" s="4">
        <v>4794136</v>
      </c>
      <c r="F224" s="4">
        <v>4794136</v>
      </c>
      <c r="G224" s="4">
        <v>4794136</v>
      </c>
      <c r="H224" s="4">
        <v>4794136</v>
      </c>
      <c r="I224" s="4">
        <v>4794136</v>
      </c>
      <c r="J224" s="4">
        <v>4794136</v>
      </c>
      <c r="K224" s="4">
        <v>4794136</v>
      </c>
    </row>
    <row r="225" spans="1:13" x14ac:dyDescent="0.15">
      <c r="A225" t="s">
        <v>1449</v>
      </c>
      <c r="B225" s="4"/>
      <c r="C225" s="4"/>
      <c r="D225" s="4">
        <v>86400</v>
      </c>
      <c r="E225" s="4">
        <v>86400</v>
      </c>
      <c r="F225" s="4">
        <v>86400</v>
      </c>
      <c r="G225" s="4"/>
      <c r="H225" s="4"/>
      <c r="I225" s="4"/>
      <c r="J225" s="4"/>
      <c r="K225" s="4"/>
      <c r="M225" t="s">
        <v>1460</v>
      </c>
    </row>
    <row r="226" spans="1:13" x14ac:dyDescent="0.15">
      <c r="A226" t="s">
        <v>1450</v>
      </c>
      <c r="B226" s="4"/>
      <c r="C226" s="4"/>
      <c r="D226" s="4"/>
      <c r="E226" s="4"/>
      <c r="F226" s="4"/>
      <c r="G226" s="4">
        <v>190000</v>
      </c>
      <c r="H226" s="4">
        <v>190000</v>
      </c>
      <c r="I226" s="4">
        <v>190000</v>
      </c>
      <c r="J226" s="4">
        <v>190000</v>
      </c>
      <c r="K226" s="4">
        <v>190000</v>
      </c>
    </row>
    <row r="227" spans="1:13" x14ac:dyDescent="0.15">
      <c r="A227" t="s">
        <v>1451</v>
      </c>
      <c r="B227" s="4"/>
      <c r="C227" s="4">
        <v>1856000</v>
      </c>
      <c r="D227" s="4"/>
      <c r="E227" s="4"/>
      <c r="F227" s="4"/>
      <c r="G227" s="4"/>
      <c r="H227" s="4"/>
      <c r="I227">
        <v>1500000</v>
      </c>
      <c r="J227" s="4"/>
      <c r="K227" s="4"/>
    </row>
    <row r="228" spans="1:13" x14ac:dyDescent="0.15">
      <c r="A228" t="s">
        <v>1452</v>
      </c>
      <c r="B228" s="4"/>
      <c r="C228" s="4">
        <v>537500</v>
      </c>
      <c r="D228" s="4"/>
      <c r="E228" s="4"/>
      <c r="F228" s="4"/>
      <c r="G228" s="4"/>
      <c r="H228" s="4"/>
      <c r="I228" s="4"/>
      <c r="J228" s="4"/>
      <c r="K228" s="4"/>
    </row>
    <row r="229" spans="1:13" x14ac:dyDescent="0.15">
      <c r="A229" t="s">
        <v>1453</v>
      </c>
      <c r="B229" s="4">
        <f>ROUND((B224+B226)*13.4%,0)</f>
        <v>642414</v>
      </c>
      <c r="C229" s="4">
        <f>ROUND((C224+C226)*13.4%,0)+267461</f>
        <v>909875</v>
      </c>
      <c r="D229" s="4">
        <f t="shared" ref="D229:J229" si="41">ROUND(SUM(D224,D226,D227)*13.4%,0)</f>
        <v>642414</v>
      </c>
      <c r="E229" s="4">
        <f>ROUND(SUM(E224,E226,E227)*13.4%,0)</f>
        <v>642414</v>
      </c>
      <c r="F229" s="4">
        <f>ROUND(SUM(F224,F226,F227)*13.4%,0)</f>
        <v>642414</v>
      </c>
      <c r="G229" s="4">
        <f>ROUND(SUM(G224,G226,G227)*13.4%,0)</f>
        <v>667874</v>
      </c>
      <c r="H229" s="4">
        <f t="shared" si="41"/>
        <v>667874</v>
      </c>
      <c r="I229" s="4">
        <f>ROUND(SUM(I224,I226,I227)*13.4%,0)</f>
        <v>868874</v>
      </c>
      <c r="J229" s="4">
        <f t="shared" si="41"/>
        <v>667874</v>
      </c>
      <c r="K229" s="4">
        <f>ROUND(SUM(K224,K226,K227)*13.4%,0)</f>
        <v>667874</v>
      </c>
    </row>
    <row r="230" spans="1:13" x14ac:dyDescent="0.15">
      <c r="A230" t="s">
        <v>1466</v>
      </c>
      <c r="B230" s="4">
        <v>31188</v>
      </c>
      <c r="C230" s="4">
        <v>31188</v>
      </c>
      <c r="D230" s="4">
        <v>31188</v>
      </c>
      <c r="E230" s="4">
        <v>31188</v>
      </c>
      <c r="F230" s="4">
        <v>31188</v>
      </c>
      <c r="G230" s="4">
        <v>31188</v>
      </c>
      <c r="H230" s="4">
        <v>31188</v>
      </c>
      <c r="I230" s="4">
        <v>31188</v>
      </c>
      <c r="J230" s="4">
        <v>31188</v>
      </c>
      <c r="K230" s="4">
        <v>31188</v>
      </c>
    </row>
    <row r="231" spans="1:13" x14ac:dyDescent="0.15">
      <c r="A231" t="s">
        <v>1454</v>
      </c>
      <c r="B231" s="4"/>
      <c r="C231" s="4">
        <v>2000000</v>
      </c>
      <c r="D231" s="4"/>
      <c r="E231" s="4"/>
      <c r="F231" s="4"/>
      <c r="G231" s="4"/>
      <c r="H231" s="4"/>
      <c r="I231" s="4"/>
      <c r="J231" s="4"/>
      <c r="K231" s="4"/>
    </row>
    <row r="232" spans="1:13" x14ac:dyDescent="0.15">
      <c r="A232" t="s">
        <v>1469</v>
      </c>
      <c r="B232" s="4">
        <v>70000</v>
      </c>
      <c r="C232" s="4">
        <v>70000</v>
      </c>
      <c r="D232" s="4">
        <v>70000</v>
      </c>
      <c r="E232" s="4">
        <v>70000</v>
      </c>
      <c r="F232" s="4">
        <v>70000</v>
      </c>
      <c r="G232" s="4">
        <v>70000</v>
      </c>
      <c r="H232" s="4">
        <v>70000</v>
      </c>
      <c r="I232" s="4">
        <v>70000</v>
      </c>
      <c r="J232" s="4">
        <v>70000</v>
      </c>
      <c r="K232" s="4">
        <v>70000</v>
      </c>
    </row>
    <row r="233" spans="1:13" x14ac:dyDescent="0.15">
      <c r="A233" t="s">
        <v>1461</v>
      </c>
      <c r="B233" s="4">
        <f>SUM(B224:B232)</f>
        <v>5537738</v>
      </c>
      <c r="C233" s="4">
        <f t="shared" ref="C233:K233" si="42">SUM(C224:C232)</f>
        <v>10198699</v>
      </c>
      <c r="D233" s="4">
        <f t="shared" si="42"/>
        <v>5624138</v>
      </c>
      <c r="E233" s="4">
        <f t="shared" si="42"/>
        <v>5624138</v>
      </c>
      <c r="F233" s="4">
        <f t="shared" si="42"/>
        <v>5624138</v>
      </c>
      <c r="G233" s="4">
        <f t="shared" si="42"/>
        <v>5753198</v>
      </c>
      <c r="H233" s="4">
        <f t="shared" si="42"/>
        <v>5753198</v>
      </c>
      <c r="I233" s="4">
        <f t="shared" si="42"/>
        <v>7454198</v>
      </c>
      <c r="J233" s="4">
        <f t="shared" si="42"/>
        <v>5753198</v>
      </c>
      <c r="K233" s="4">
        <f t="shared" si="42"/>
        <v>5753198</v>
      </c>
    </row>
    <row r="234" spans="1:13" x14ac:dyDescent="0.15">
      <c r="B234">
        <f>ROUND(B233/1000,0)*1000</f>
        <v>5538000</v>
      </c>
      <c r="C234">
        <f t="shared" ref="C234:K234" si="43">ROUND(C233/1000,0)*1000</f>
        <v>10199000</v>
      </c>
      <c r="D234">
        <f t="shared" si="43"/>
        <v>5624000</v>
      </c>
      <c r="E234">
        <f t="shared" si="43"/>
        <v>5624000</v>
      </c>
      <c r="F234">
        <f t="shared" si="43"/>
        <v>5624000</v>
      </c>
      <c r="G234">
        <f t="shared" si="43"/>
        <v>5753000</v>
      </c>
      <c r="H234">
        <f t="shared" si="43"/>
        <v>5753000</v>
      </c>
      <c r="I234">
        <f>ROUND(I233/1000,0)*1000</f>
        <v>7454000</v>
      </c>
      <c r="J234">
        <f t="shared" si="43"/>
        <v>5753000</v>
      </c>
      <c r="K234">
        <f t="shared" si="43"/>
        <v>5753000</v>
      </c>
    </row>
    <row r="236" spans="1:13" x14ac:dyDescent="0.15">
      <c r="A236" t="s">
        <v>1462</v>
      </c>
      <c r="B236" t="s">
        <v>1459</v>
      </c>
      <c r="C236" t="s">
        <v>25</v>
      </c>
      <c r="D236" t="s">
        <v>78</v>
      </c>
      <c r="E236" t="s">
        <v>79</v>
      </c>
      <c r="F236" t="s">
        <v>40</v>
      </c>
      <c r="G236" t="s">
        <v>41</v>
      </c>
      <c r="H236" t="s">
        <v>42</v>
      </c>
      <c r="I236" t="s">
        <v>101</v>
      </c>
      <c r="J236" t="s">
        <v>58</v>
      </c>
      <c r="K236" t="s">
        <v>59</v>
      </c>
    </row>
    <row r="237" spans="1:13" x14ac:dyDescent="0.15">
      <c r="A237" t="s">
        <v>1463</v>
      </c>
      <c r="B237" s="4">
        <f>5316958-2096705-1252548</f>
        <v>1967705</v>
      </c>
      <c r="C237" s="4">
        <f t="shared" ref="C237:K237" si="44">5316958-2096705-1252548</f>
        <v>1967705</v>
      </c>
      <c r="D237" s="4">
        <f t="shared" si="44"/>
        <v>1967705</v>
      </c>
      <c r="E237" s="4">
        <f t="shared" si="44"/>
        <v>1967705</v>
      </c>
      <c r="F237" s="4">
        <f t="shared" si="44"/>
        <v>1967705</v>
      </c>
      <c r="G237" s="4">
        <f t="shared" si="44"/>
        <v>1967705</v>
      </c>
      <c r="H237" s="4">
        <f t="shared" si="44"/>
        <v>1967705</v>
      </c>
      <c r="I237" s="4">
        <f t="shared" si="44"/>
        <v>1967705</v>
      </c>
      <c r="J237" s="4">
        <f t="shared" si="44"/>
        <v>1967705</v>
      </c>
      <c r="K237" s="4">
        <f t="shared" si="44"/>
        <v>1967705</v>
      </c>
    </row>
    <row r="238" spans="1:13" x14ac:dyDescent="0.15">
      <c r="A238" t="s">
        <v>1464</v>
      </c>
      <c r="B238" s="4"/>
      <c r="C238" s="4"/>
      <c r="D238" s="4"/>
      <c r="E238" s="4"/>
      <c r="F238" s="4"/>
      <c r="G238" s="4"/>
      <c r="H238" s="4">
        <v>205400</v>
      </c>
      <c r="I238" s="4"/>
      <c r="J238" s="4"/>
      <c r="K238" s="4"/>
    </row>
    <row r="239" spans="1:13" x14ac:dyDescent="0.15">
      <c r="A239" t="s">
        <v>1465</v>
      </c>
      <c r="B239" s="4">
        <v>500000</v>
      </c>
      <c r="C239" s="4">
        <v>500000</v>
      </c>
      <c r="D239" s="4">
        <v>500000</v>
      </c>
      <c r="E239" s="4">
        <v>500000</v>
      </c>
      <c r="F239" s="4">
        <v>500000</v>
      </c>
      <c r="G239" s="4">
        <v>500000</v>
      </c>
      <c r="H239" s="4">
        <v>500000</v>
      </c>
      <c r="I239" s="4">
        <v>500000</v>
      </c>
      <c r="J239" s="4">
        <v>500000</v>
      </c>
      <c r="K239" s="4">
        <v>500000</v>
      </c>
    </row>
    <row r="240" spans="1:13" x14ac:dyDescent="0.15">
      <c r="A240" t="s">
        <v>1480</v>
      </c>
      <c r="B240" s="4"/>
      <c r="C240" s="4"/>
      <c r="D240" s="4"/>
      <c r="E240" s="4"/>
      <c r="F240" s="4"/>
      <c r="G240" s="4"/>
      <c r="H240" s="4">
        <v>900000</v>
      </c>
      <c r="I240" s="4">
        <v>1380000</v>
      </c>
      <c r="J240" s="4"/>
      <c r="K240" s="4"/>
    </row>
    <row r="241" spans="1:15" x14ac:dyDescent="0.15">
      <c r="A241" t="s">
        <v>1461</v>
      </c>
      <c r="B241" s="4">
        <f>SUM(B237:B240)</f>
        <v>2467705</v>
      </c>
      <c r="C241" s="4">
        <f t="shared" ref="C241:K241" si="45">SUM(C237:C240)</f>
        <v>2467705</v>
      </c>
      <c r="D241" s="4">
        <f t="shared" si="45"/>
        <v>2467705</v>
      </c>
      <c r="E241" s="4">
        <f t="shared" si="45"/>
        <v>2467705</v>
      </c>
      <c r="F241" s="4">
        <f t="shared" si="45"/>
        <v>2467705</v>
      </c>
      <c r="G241" s="4">
        <f t="shared" si="45"/>
        <v>2467705</v>
      </c>
      <c r="H241" s="4">
        <f t="shared" si="45"/>
        <v>3573105</v>
      </c>
      <c r="I241" s="4">
        <f t="shared" si="45"/>
        <v>3847705</v>
      </c>
      <c r="J241" s="4">
        <f t="shared" si="45"/>
        <v>2467705</v>
      </c>
      <c r="K241" s="4">
        <f t="shared" si="45"/>
        <v>2467705</v>
      </c>
    </row>
    <row r="242" spans="1:15" x14ac:dyDescent="0.15">
      <c r="B242">
        <f t="shared" ref="B242:K242" si="46">ROUND(B241/1000,0)*1000</f>
        <v>2468000</v>
      </c>
      <c r="C242">
        <f t="shared" si="46"/>
        <v>2468000</v>
      </c>
      <c r="D242">
        <f t="shared" si="46"/>
        <v>2468000</v>
      </c>
      <c r="E242">
        <f t="shared" si="46"/>
        <v>2468000</v>
      </c>
      <c r="F242">
        <f t="shared" si="46"/>
        <v>2468000</v>
      </c>
      <c r="G242">
        <f t="shared" si="46"/>
        <v>2468000</v>
      </c>
      <c r="H242">
        <f t="shared" si="46"/>
        <v>3573000</v>
      </c>
      <c r="I242">
        <f t="shared" si="46"/>
        <v>3848000</v>
      </c>
      <c r="J242">
        <f t="shared" si="46"/>
        <v>2468000</v>
      </c>
      <c r="K242">
        <f t="shared" si="46"/>
        <v>2468000</v>
      </c>
    </row>
    <row r="244" spans="1:15" x14ac:dyDescent="0.15">
      <c r="B244" s="4">
        <f>SUM(B239:B240)</f>
        <v>500000</v>
      </c>
      <c r="C244" s="4">
        <f t="shared" ref="C244:K244" si="47">SUM(C239:C240)</f>
        <v>500000</v>
      </c>
      <c r="D244" s="4">
        <f t="shared" si="47"/>
        <v>500000</v>
      </c>
      <c r="E244" s="4">
        <f t="shared" si="47"/>
        <v>500000</v>
      </c>
      <c r="F244" s="4">
        <f t="shared" si="47"/>
        <v>500000</v>
      </c>
      <c r="G244" s="4">
        <f t="shared" si="47"/>
        <v>500000</v>
      </c>
      <c r="H244" s="4">
        <f t="shared" si="47"/>
        <v>1400000</v>
      </c>
      <c r="I244" s="4">
        <f t="shared" si="47"/>
        <v>1880000</v>
      </c>
      <c r="J244" s="4">
        <f t="shared" si="47"/>
        <v>500000</v>
      </c>
      <c r="K244" s="4">
        <f t="shared" si="47"/>
        <v>500000</v>
      </c>
    </row>
    <row r="255" spans="1:15" x14ac:dyDescent="0.15">
      <c r="A255" s="2309" t="s">
        <v>1225</v>
      </c>
      <c r="B255" s="2294"/>
      <c r="C255" s="848"/>
      <c r="D255" s="849">
        <v>766890</v>
      </c>
      <c r="E255" s="849"/>
      <c r="F255" s="849"/>
      <c r="G255" s="849">
        <v>500000</v>
      </c>
      <c r="H255" s="849"/>
      <c r="I255" s="849"/>
      <c r="J255" s="849"/>
      <c r="K255" s="849"/>
      <c r="L255" s="849"/>
      <c r="M255" s="849"/>
      <c r="N255" s="871"/>
      <c r="O255" s="882">
        <f t="shared" ref="O255:O268" si="48">SUM(C255:N255)</f>
        <v>1266890</v>
      </c>
    </row>
    <row r="256" spans="1:15" x14ac:dyDescent="0.15">
      <c r="A256" s="2310"/>
      <c r="B256" s="2311"/>
      <c r="C256" s="913"/>
      <c r="D256" s="914"/>
      <c r="E256" s="914"/>
      <c r="F256" s="914">
        <v>16666</v>
      </c>
      <c r="G256" s="914">
        <v>16666</v>
      </c>
      <c r="H256" s="914">
        <v>16666</v>
      </c>
      <c r="I256" s="914">
        <v>16666</v>
      </c>
      <c r="J256" s="914">
        <v>16666</v>
      </c>
      <c r="K256" s="914">
        <v>16666</v>
      </c>
      <c r="L256" s="914">
        <v>16666</v>
      </c>
      <c r="M256" s="914">
        <v>16666</v>
      </c>
      <c r="N256" s="915">
        <v>16666</v>
      </c>
      <c r="O256" s="916">
        <f t="shared" si="48"/>
        <v>149994</v>
      </c>
    </row>
    <row r="257" spans="1:15" x14ac:dyDescent="0.15">
      <c r="A257" s="2310"/>
      <c r="B257" s="2311"/>
      <c r="C257" s="991"/>
      <c r="D257" s="992"/>
      <c r="E257" s="992"/>
      <c r="F257" s="992"/>
      <c r="G257" s="992"/>
      <c r="H257" s="992">
        <v>500000</v>
      </c>
      <c r="I257" s="992">
        <v>500000</v>
      </c>
      <c r="J257" s="992">
        <v>500000</v>
      </c>
      <c r="K257" s="992">
        <v>500000</v>
      </c>
      <c r="L257" s="992">
        <v>500000</v>
      </c>
      <c r="M257" s="992">
        <v>500000</v>
      </c>
      <c r="N257" s="992">
        <v>500000</v>
      </c>
      <c r="O257" s="994">
        <f t="shared" si="48"/>
        <v>3500000</v>
      </c>
    </row>
    <row r="258" spans="1:15" x14ac:dyDescent="0.15">
      <c r="A258" s="2295"/>
      <c r="B258" s="2296"/>
      <c r="C258" s="852"/>
      <c r="D258" s="853"/>
      <c r="E258" s="853"/>
      <c r="F258" s="853"/>
      <c r="G258" s="853">
        <v>150000</v>
      </c>
      <c r="H258" s="853">
        <v>50000</v>
      </c>
      <c r="I258" s="853">
        <v>0</v>
      </c>
      <c r="J258" s="853">
        <v>50000</v>
      </c>
      <c r="K258" s="853">
        <v>0</v>
      </c>
      <c r="L258" s="853">
        <v>0</v>
      </c>
      <c r="M258" s="853">
        <v>30000</v>
      </c>
      <c r="N258" s="853">
        <v>0</v>
      </c>
      <c r="O258" s="884">
        <f t="shared" si="48"/>
        <v>280000</v>
      </c>
    </row>
    <row r="259" spans="1:15" x14ac:dyDescent="0.15">
      <c r="A259" s="1907"/>
      <c r="B259" s="1908"/>
      <c r="C259" s="1909"/>
      <c r="D259" s="992"/>
      <c r="E259" s="992"/>
      <c r="F259" s="992">
        <f>SUM(F255:F258)</f>
        <v>16666</v>
      </c>
      <c r="G259" s="992">
        <f t="shared" ref="G259:N259" si="49">SUM(G255:G258)</f>
        <v>666666</v>
      </c>
      <c r="H259" s="992">
        <f t="shared" si="49"/>
        <v>566666</v>
      </c>
      <c r="I259" s="992">
        <f t="shared" si="49"/>
        <v>516666</v>
      </c>
      <c r="J259" s="992">
        <f t="shared" si="49"/>
        <v>566666</v>
      </c>
      <c r="K259" s="992">
        <f t="shared" si="49"/>
        <v>516666</v>
      </c>
      <c r="L259" s="992">
        <f t="shared" si="49"/>
        <v>516666</v>
      </c>
      <c r="M259" s="992">
        <f t="shared" si="49"/>
        <v>546666</v>
      </c>
      <c r="N259" s="992">
        <f t="shared" si="49"/>
        <v>516666</v>
      </c>
      <c r="O259" s="994"/>
    </row>
    <row r="260" spans="1:15" x14ac:dyDescent="0.15">
      <c r="A260" s="1907"/>
      <c r="B260" s="1908"/>
      <c r="C260" s="1909"/>
      <c r="D260" s="992"/>
      <c r="E260" s="992"/>
      <c r="F260" s="992">
        <f>ROUND(F259/1000,0)*1000</f>
        <v>17000</v>
      </c>
      <c r="G260" s="992">
        <f t="shared" ref="G260:N260" si="50">ROUND(G259/1000,0)*1000</f>
        <v>667000</v>
      </c>
      <c r="H260" s="992">
        <f t="shared" si="50"/>
        <v>567000</v>
      </c>
      <c r="I260" s="992">
        <f t="shared" si="50"/>
        <v>517000</v>
      </c>
      <c r="J260" s="992">
        <f t="shared" si="50"/>
        <v>567000</v>
      </c>
      <c r="K260" s="992">
        <f t="shared" si="50"/>
        <v>517000</v>
      </c>
      <c r="L260" s="992">
        <f t="shared" si="50"/>
        <v>517000</v>
      </c>
      <c r="M260" s="992">
        <f t="shared" si="50"/>
        <v>547000</v>
      </c>
      <c r="N260" s="992">
        <f t="shared" si="50"/>
        <v>517000</v>
      </c>
      <c r="O260" s="994"/>
    </row>
    <row r="261" spans="1:15" x14ac:dyDescent="0.15">
      <c r="A261" s="2316" t="s">
        <v>1134</v>
      </c>
      <c r="B261" s="2264"/>
      <c r="C261" s="848"/>
      <c r="D261" s="849"/>
      <c r="E261" s="849"/>
      <c r="F261" s="849"/>
      <c r="G261" s="849">
        <v>250000</v>
      </c>
      <c r="H261" s="849">
        <v>250000</v>
      </c>
      <c r="I261" s="849">
        <v>250000</v>
      </c>
      <c r="J261" s="849">
        <v>250000</v>
      </c>
      <c r="K261" s="849">
        <v>250000</v>
      </c>
      <c r="L261" s="849">
        <v>250000</v>
      </c>
      <c r="M261" s="849">
        <v>250000</v>
      </c>
      <c r="N261" s="871">
        <v>250000</v>
      </c>
      <c r="O261" s="882">
        <f t="shared" si="48"/>
        <v>2000000</v>
      </c>
    </row>
    <row r="262" spans="1:15" x14ac:dyDescent="0.15">
      <c r="A262" s="2316"/>
      <c r="B262" s="2264"/>
      <c r="C262" s="913"/>
      <c r="D262" s="914"/>
      <c r="E262" s="914"/>
      <c r="F262" s="914"/>
      <c r="G262" s="914">
        <v>0</v>
      </c>
      <c r="H262" s="914">
        <v>0</v>
      </c>
      <c r="I262" s="914">
        <v>0</v>
      </c>
      <c r="J262" s="914">
        <v>150000</v>
      </c>
      <c r="K262" s="914">
        <v>30000</v>
      </c>
      <c r="L262" s="914">
        <v>0</v>
      </c>
      <c r="M262" s="914">
        <v>30000</v>
      </c>
      <c r="N262" s="915">
        <v>0</v>
      </c>
      <c r="O262" s="916"/>
    </row>
    <row r="263" spans="1:15" x14ac:dyDescent="0.15">
      <c r="A263" s="2316"/>
      <c r="B263" s="2264"/>
      <c r="C263" s="913"/>
      <c r="D263" s="914"/>
      <c r="E263" s="914"/>
      <c r="F263" s="914"/>
      <c r="G263" s="914"/>
      <c r="H263" s="914"/>
      <c r="I263" s="914"/>
      <c r="J263" s="914"/>
      <c r="K263" s="914"/>
      <c r="L263" s="914">
        <v>693960</v>
      </c>
      <c r="M263" s="914">
        <v>519521</v>
      </c>
      <c r="N263" s="915">
        <v>560741</v>
      </c>
      <c r="O263" s="916">
        <f t="shared" si="48"/>
        <v>1774222</v>
      </c>
    </row>
    <row r="264" spans="1:15" x14ac:dyDescent="0.15">
      <c r="A264" s="2263"/>
      <c r="B264" s="2264"/>
      <c r="C264" s="913"/>
      <c r="D264" s="914"/>
      <c r="E264" s="914"/>
      <c r="F264" s="914"/>
      <c r="G264" s="914">
        <v>2697</v>
      </c>
      <c r="H264" s="914">
        <v>2697</v>
      </c>
      <c r="I264" s="914">
        <v>2697</v>
      </c>
      <c r="J264" s="914">
        <v>2697</v>
      </c>
      <c r="K264" s="914">
        <v>2697</v>
      </c>
      <c r="L264" s="914">
        <v>2697</v>
      </c>
      <c r="M264" s="914">
        <v>2697</v>
      </c>
      <c r="N264" s="915">
        <v>2697</v>
      </c>
      <c r="O264" s="916">
        <f t="shared" si="48"/>
        <v>21576</v>
      </c>
    </row>
    <row r="265" spans="1:15" x14ac:dyDescent="0.15">
      <c r="A265" s="2263"/>
      <c r="B265" s="2264"/>
      <c r="C265" s="850"/>
      <c r="D265" s="851">
        <v>30000</v>
      </c>
      <c r="E265" s="851"/>
      <c r="F265" s="851"/>
      <c r="G265" s="851"/>
      <c r="H265" s="851"/>
      <c r="I265" s="851">
        <v>45738</v>
      </c>
      <c r="J265" s="851">
        <v>3000000</v>
      </c>
      <c r="K265" s="851"/>
      <c r="L265" s="851"/>
      <c r="M265" s="851"/>
      <c r="N265" s="872"/>
      <c r="O265" s="883">
        <f t="shared" si="48"/>
        <v>3075738</v>
      </c>
    </row>
    <row r="266" spans="1:15" x14ac:dyDescent="0.15">
      <c r="A266" s="2263"/>
      <c r="B266" s="2264"/>
      <c r="C266" s="850"/>
      <c r="D266" s="851">
        <v>450658</v>
      </c>
      <c r="E266" s="851"/>
      <c r="F266" s="851"/>
      <c r="G266" s="851"/>
      <c r="H266" s="851"/>
      <c r="I266" s="851">
        <v>42000</v>
      </c>
      <c r="J266" s="851"/>
      <c r="K266" s="851"/>
      <c r="L266" s="851"/>
      <c r="M266" s="851"/>
      <c r="N266" s="872"/>
      <c r="O266" s="883">
        <f t="shared" si="48"/>
        <v>492658</v>
      </c>
    </row>
    <row r="267" spans="1:15" x14ac:dyDescent="0.15">
      <c r="A267" s="2263"/>
      <c r="B267" s="2264"/>
      <c r="C267" s="850"/>
      <c r="D267" s="851"/>
      <c r="E267" s="851"/>
      <c r="F267" s="851"/>
      <c r="G267" s="851">
        <v>908407</v>
      </c>
      <c r="H267" s="851"/>
      <c r="I267" s="851">
        <v>304637</v>
      </c>
      <c r="J267" s="851"/>
      <c r="K267" s="851"/>
      <c r="L267" s="851"/>
      <c r="M267" s="851"/>
      <c r="N267" s="872"/>
      <c r="O267" s="883">
        <f t="shared" si="48"/>
        <v>1213044</v>
      </c>
    </row>
    <row r="268" spans="1:15" x14ac:dyDescent="0.15">
      <c r="A268" s="2263"/>
      <c r="B268" s="2264"/>
      <c r="C268" s="852"/>
      <c r="D268" s="853"/>
      <c r="E268" s="853"/>
      <c r="F268" s="853"/>
      <c r="G268" s="853"/>
      <c r="H268" s="853"/>
      <c r="I268" s="853">
        <v>48600</v>
      </c>
      <c r="J268" s="853"/>
      <c r="K268" s="853"/>
      <c r="L268" s="853"/>
      <c r="M268" s="853"/>
      <c r="N268" s="873"/>
      <c r="O268" s="884">
        <f t="shared" si="48"/>
        <v>48600</v>
      </c>
    </row>
    <row r="269" spans="1:15" x14ac:dyDescent="0.15">
      <c r="F269" s="4">
        <f>SUM(F261:F268)</f>
        <v>0</v>
      </c>
      <c r="G269" s="4">
        <f t="shared" ref="G269:N269" si="51">SUM(G261:G268)</f>
        <v>1161104</v>
      </c>
      <c r="H269" s="4">
        <f t="shared" si="51"/>
        <v>252697</v>
      </c>
      <c r="I269" s="4">
        <f t="shared" si="51"/>
        <v>693672</v>
      </c>
      <c r="J269" s="4">
        <f t="shared" si="51"/>
        <v>3402697</v>
      </c>
      <c r="K269" s="4">
        <f t="shared" si="51"/>
        <v>282697</v>
      </c>
      <c r="L269" s="4">
        <f t="shared" si="51"/>
        <v>946657</v>
      </c>
      <c r="M269" s="4">
        <f>SUM(M261:M268)</f>
        <v>802218</v>
      </c>
      <c r="N269" s="4">
        <f t="shared" si="51"/>
        <v>813438</v>
      </c>
    </row>
    <row r="270" spans="1:15" x14ac:dyDescent="0.15">
      <c r="F270" s="992">
        <f t="shared" ref="F270:N270" si="52">ROUND(F269/1000,0)*1000</f>
        <v>0</v>
      </c>
      <c r="G270" s="992">
        <f t="shared" si="52"/>
        <v>1161000</v>
      </c>
      <c r="H270" s="992">
        <f t="shared" si="52"/>
        <v>253000</v>
      </c>
      <c r="I270" s="992">
        <f t="shared" si="52"/>
        <v>694000</v>
      </c>
      <c r="J270" s="992">
        <f t="shared" si="52"/>
        <v>3403000</v>
      </c>
      <c r="K270" s="992">
        <f t="shared" si="52"/>
        <v>283000</v>
      </c>
      <c r="L270" s="992">
        <f t="shared" si="52"/>
        <v>947000</v>
      </c>
      <c r="M270" s="992">
        <f t="shared" si="52"/>
        <v>802000</v>
      </c>
      <c r="N270" s="992">
        <f t="shared" si="52"/>
        <v>813000</v>
      </c>
    </row>
    <row r="274" spans="7:14" x14ac:dyDescent="0.15">
      <c r="G274">
        <v>0</v>
      </c>
      <c r="H274">
        <v>0</v>
      </c>
      <c r="I274">
        <v>0</v>
      </c>
      <c r="J274">
        <v>150000</v>
      </c>
      <c r="K274">
        <v>30000</v>
      </c>
      <c r="L274">
        <v>0</v>
      </c>
      <c r="M274">
        <v>30000</v>
      </c>
      <c r="N274">
        <v>0</v>
      </c>
    </row>
  </sheetData>
  <mergeCells count="106">
    <mergeCell ref="A28:B28"/>
    <mergeCell ref="A29:B29"/>
    <mergeCell ref="D40:E40"/>
    <mergeCell ref="J40:V40"/>
    <mergeCell ref="D41:E41"/>
    <mergeCell ref="P41:P47"/>
    <mergeCell ref="Q41:Q48"/>
    <mergeCell ref="R41:R48"/>
    <mergeCell ref="S41:S49"/>
    <mergeCell ref="T41:T43"/>
    <mergeCell ref="U41:U43"/>
    <mergeCell ref="V41:V50"/>
    <mergeCell ref="D42:E42"/>
    <mergeCell ref="D43:E43"/>
    <mergeCell ref="D44:E44"/>
    <mergeCell ref="D45:E45"/>
    <mergeCell ref="D46:E46"/>
    <mergeCell ref="D47:F48"/>
    <mergeCell ref="D49:E49"/>
    <mergeCell ref="D50:E50"/>
    <mergeCell ref="D57:E57"/>
    <mergeCell ref="D58:E58"/>
    <mergeCell ref="D59:E59"/>
    <mergeCell ref="D60:E60"/>
    <mergeCell ref="D61:E61"/>
    <mergeCell ref="D62:E62"/>
    <mergeCell ref="D51:E51"/>
    <mergeCell ref="D52:E52"/>
    <mergeCell ref="D53:E53"/>
    <mergeCell ref="D54:F54"/>
    <mergeCell ref="D55:E55"/>
    <mergeCell ref="D56:E56"/>
    <mergeCell ref="B69:B81"/>
    <mergeCell ref="C69:C81"/>
    <mergeCell ref="D69:D81"/>
    <mergeCell ref="E69:E81"/>
    <mergeCell ref="F69:F81"/>
    <mergeCell ref="G69:G81"/>
    <mergeCell ref="H69:H81"/>
    <mergeCell ref="I69:I81"/>
    <mergeCell ref="H99:H100"/>
    <mergeCell ref="I99:I100"/>
    <mergeCell ref="S99:S100"/>
    <mergeCell ref="T99:T100"/>
    <mergeCell ref="C99:C100"/>
    <mergeCell ref="D99:D100"/>
    <mergeCell ref="E99:E100"/>
    <mergeCell ref="F99:F100"/>
    <mergeCell ref="G99:G100"/>
    <mergeCell ref="Q68:R68"/>
    <mergeCell ref="S68:T68"/>
    <mergeCell ref="J99:J100"/>
    <mergeCell ref="K99:K100"/>
    <mergeCell ref="L99:L100"/>
    <mergeCell ref="N99:N100"/>
    <mergeCell ref="J69:J81"/>
    <mergeCell ref="K69:K81"/>
    <mergeCell ref="L69:L81"/>
    <mergeCell ref="AS99:AS100"/>
    <mergeCell ref="AT99:AT100"/>
    <mergeCell ref="B123:D124"/>
    <mergeCell ref="Q126:Q132"/>
    <mergeCell ref="R126:R132"/>
    <mergeCell ref="S126:S132"/>
    <mergeCell ref="T126:T132"/>
    <mergeCell ref="U126:U132"/>
    <mergeCell ref="V126:V132"/>
    <mergeCell ref="W126:W132"/>
    <mergeCell ref="AI99:AI100"/>
    <mergeCell ref="AJ99:AJ100"/>
    <mergeCell ref="AK99:AK100"/>
    <mergeCell ref="AM99:AN100"/>
    <mergeCell ref="AO99:AO100"/>
    <mergeCell ref="AP99:AP100"/>
    <mergeCell ref="AA99:AA100"/>
    <mergeCell ref="AB99:AB100"/>
    <mergeCell ref="AC99:AC100"/>
    <mergeCell ref="AD99:AD100"/>
    <mergeCell ref="AE99:AE100"/>
    <mergeCell ref="AF99:AF100"/>
    <mergeCell ref="U99:U100"/>
    <mergeCell ref="V99:V100"/>
    <mergeCell ref="D63:E63"/>
    <mergeCell ref="A255:B258"/>
    <mergeCell ref="A261:B268"/>
    <mergeCell ref="W138:X140"/>
    <mergeCell ref="Y138:Y140"/>
    <mergeCell ref="Z138:AA140"/>
    <mergeCell ref="AB138:AB140"/>
    <mergeCell ref="AC138:AD140"/>
    <mergeCell ref="X126:X132"/>
    <mergeCell ref="Y126:Y132"/>
    <mergeCell ref="Z126:Z132"/>
    <mergeCell ref="AA126:AA132"/>
    <mergeCell ref="AB126:AB132"/>
    <mergeCell ref="AC126:AC132"/>
    <mergeCell ref="M69:M81"/>
    <mergeCell ref="N69:N81"/>
    <mergeCell ref="W99:W100"/>
    <mergeCell ref="X99:X100"/>
    <mergeCell ref="Y99:Y100"/>
    <mergeCell ref="Z99:Z100"/>
    <mergeCell ref="O99:O100"/>
    <mergeCell ref="P99:P100"/>
    <mergeCell ref="Q99:Q100"/>
    <mergeCell ref="R99:R100"/>
  </mergeCells>
  <phoneticPr fontId="48"/>
  <printOptions verticalCentered="1"/>
  <pageMargins left="0" right="0" top="0" bottom="0" header="0" footer="0"/>
  <pageSetup paperSize="8" scale="41" orientation="landscape" r:id="rId1"/>
  <rowBreaks count="1" manualBreakCount="1">
    <brk id="76" max="41" man="1"/>
  </rowBreaks>
  <colBreaks count="1" manualBreakCount="1">
    <brk id="29" max="139" man="1"/>
  </colBreaks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Y224"/>
  <sheetViews>
    <sheetView topLeftCell="C1" workbookViewId="0"/>
  </sheetViews>
  <sheetFormatPr defaultColWidth="10" defaultRowHeight="13.5" outlineLevelRow="1" x14ac:dyDescent="0.15"/>
  <cols>
    <col min="1" max="2" width="10" style="1081" hidden="1" customWidth="1"/>
    <col min="3" max="3" width="11.625" style="1081" customWidth="1"/>
    <col min="4" max="17" width="13.25" style="1081" customWidth="1"/>
    <col min="18" max="18" width="3.625" style="1081" customWidth="1"/>
    <col min="19" max="19" width="13.25" style="1081" customWidth="1"/>
    <col min="20" max="20" width="10.625" style="1081" customWidth="1"/>
    <col min="21" max="21" width="13.25" style="1081" customWidth="1"/>
    <col min="22" max="22" width="3.625" style="1081" customWidth="1"/>
    <col min="23" max="23" width="13.25" style="1081" customWidth="1"/>
    <col min="24" max="24" width="10.625" style="1081" customWidth="1"/>
    <col min="25" max="25" width="4.625" style="1272" hidden="1" customWidth="1"/>
    <col min="26" max="16384" width="10" style="1081"/>
  </cols>
  <sheetData>
    <row r="1" spans="1:25" ht="36.75" customHeight="1" thickBot="1" x14ac:dyDescent="0.2">
      <c r="C1" s="2180">
        <f>F2</f>
        <v>43344</v>
      </c>
      <c r="D1" s="2180"/>
      <c r="E1" s="2181"/>
      <c r="F1" s="351" t="s">
        <v>439</v>
      </c>
      <c r="G1" s="451">
        <v>43344</v>
      </c>
      <c r="H1" s="1081" t="s">
        <v>440</v>
      </c>
      <c r="I1" s="1120"/>
      <c r="J1" s="1081" t="s">
        <v>441</v>
      </c>
      <c r="M1" s="1119"/>
    </row>
    <row r="2" spans="1:25" ht="33" customHeight="1" thickBot="1" x14ac:dyDescent="0.2">
      <c r="C2" s="1118" t="s">
        <v>33</v>
      </c>
      <c r="D2" s="1117" t="s">
        <v>442</v>
      </c>
      <c r="E2" s="1116" t="s">
        <v>145</v>
      </c>
      <c r="F2" s="1115">
        <v>43344</v>
      </c>
      <c r="G2" s="1114">
        <f t="shared" ref="G2:Q2" si="0">EDATE(F2,1)</f>
        <v>43374</v>
      </c>
      <c r="H2" s="1113">
        <f t="shared" si="0"/>
        <v>43405</v>
      </c>
      <c r="I2" s="1114">
        <f t="shared" si="0"/>
        <v>43435</v>
      </c>
      <c r="J2" s="1113">
        <f t="shared" si="0"/>
        <v>43466</v>
      </c>
      <c r="K2" s="1114">
        <f t="shared" si="0"/>
        <v>43497</v>
      </c>
      <c r="L2" s="1113">
        <f t="shared" si="0"/>
        <v>43525</v>
      </c>
      <c r="M2" s="1114">
        <f t="shared" si="0"/>
        <v>43556</v>
      </c>
      <c r="N2" s="1113">
        <f t="shared" si="0"/>
        <v>43586</v>
      </c>
      <c r="O2" s="1114">
        <f t="shared" si="0"/>
        <v>43617</v>
      </c>
      <c r="P2" s="1113">
        <f t="shared" si="0"/>
        <v>43647</v>
      </c>
      <c r="Q2" s="1112">
        <f t="shared" si="0"/>
        <v>43678</v>
      </c>
      <c r="R2" s="1142"/>
      <c r="S2" s="1141" t="s">
        <v>270</v>
      </c>
      <c r="T2" s="1270" t="s">
        <v>272</v>
      </c>
      <c r="U2" s="1393" t="s">
        <v>183</v>
      </c>
      <c r="V2" s="1389"/>
      <c r="W2" s="1111" t="s">
        <v>271</v>
      </c>
      <c r="X2" s="1271" t="s">
        <v>273</v>
      </c>
    </row>
    <row r="3" spans="1:25" ht="14.1" customHeight="1" x14ac:dyDescent="0.15">
      <c r="B3" s="1081" t="s">
        <v>26</v>
      </c>
      <c r="C3" s="2157" t="s">
        <v>489</v>
      </c>
      <c r="D3" s="2196" t="s">
        <v>443</v>
      </c>
      <c r="E3" s="360" t="s">
        <v>26</v>
      </c>
      <c r="F3" s="503">
        <v>0</v>
      </c>
      <c r="G3" s="504">
        <v>0</v>
      </c>
      <c r="H3" s="504">
        <v>0</v>
      </c>
      <c r="I3" s="504">
        <v>0</v>
      </c>
      <c r="J3" s="504">
        <v>0</v>
      </c>
      <c r="K3" s="504">
        <v>0</v>
      </c>
      <c r="L3" s="504">
        <v>0</v>
      </c>
      <c r="M3" s="504">
        <v>0</v>
      </c>
      <c r="N3" s="504">
        <v>0</v>
      </c>
      <c r="O3" s="504">
        <v>0</v>
      </c>
      <c r="P3" s="504">
        <v>0</v>
      </c>
      <c r="Q3" s="505">
        <v>0</v>
      </c>
      <c r="R3" s="1295"/>
      <c r="S3" s="1039">
        <f t="shared" ref="S3:S66" ca="1" si="1">SUM(OFFSET(F3,0,0,1,IF(ISERROR(MATCH(DATE(YEAR($G$1),MONTH($G$1),1),$F$2:$Q$2,0)),0,MATCH(DATE(YEAR($G$1),MONTH($G$1),1),$F$2:$Q$2,0))))</f>
        <v>0</v>
      </c>
      <c r="T3" s="1338"/>
      <c r="U3" s="1394">
        <f t="shared" ref="U3:U66" ca="1" si="2">IF(ISERROR(S3/(DATEDIF(F$2,G$1,"M")+1)),0,S3/(DATEDIF(F$2,G$1,"M")+1))</f>
        <v>0</v>
      </c>
      <c r="V3" s="1390"/>
      <c r="W3" s="1035">
        <f t="shared" ref="W3:W8" si="3">SUM(F3:Q3)</f>
        <v>0</v>
      </c>
      <c r="X3" s="1352"/>
    </row>
    <row r="4" spans="1:25" ht="14.1" customHeight="1" x14ac:dyDescent="0.15">
      <c r="B4" s="1081" t="s">
        <v>15</v>
      </c>
      <c r="C4" s="2167"/>
      <c r="D4" s="2197"/>
      <c r="E4" s="1108" t="s">
        <v>15</v>
      </c>
      <c r="F4" s="509">
        <v>4134000</v>
      </c>
      <c r="G4" s="510">
        <v>4293000</v>
      </c>
      <c r="H4" s="510">
        <v>4134000</v>
      </c>
      <c r="I4" s="510">
        <v>4134000</v>
      </c>
      <c r="J4" s="510">
        <v>4280000</v>
      </c>
      <c r="K4" s="510">
        <v>4134000</v>
      </c>
      <c r="L4" s="510">
        <v>4134000</v>
      </c>
      <c r="M4" s="510">
        <v>4134000</v>
      </c>
      <c r="N4" s="510">
        <v>4134000</v>
      </c>
      <c r="O4" s="510">
        <v>4134000</v>
      </c>
      <c r="P4" s="510">
        <v>4265000</v>
      </c>
      <c r="Q4" s="511">
        <v>4134000</v>
      </c>
      <c r="R4" s="1296"/>
      <c r="S4" s="1040">
        <f t="shared" ca="1" si="1"/>
        <v>4134000</v>
      </c>
      <c r="T4" s="1339"/>
      <c r="U4" s="1395">
        <f t="shared" ca="1" si="2"/>
        <v>4134000</v>
      </c>
      <c r="V4" s="1391"/>
      <c r="W4" s="1036">
        <f t="shared" si="3"/>
        <v>50044000</v>
      </c>
      <c r="X4" s="1353"/>
    </row>
    <row r="5" spans="1:25" ht="14.1" customHeight="1" x14ac:dyDescent="0.15">
      <c r="B5" s="1081" t="s">
        <v>447</v>
      </c>
      <c r="C5" s="2167"/>
      <c r="D5" s="2197"/>
      <c r="E5" s="1108" t="s">
        <v>447</v>
      </c>
      <c r="F5" s="509">
        <v>0</v>
      </c>
      <c r="G5" s="510">
        <v>0</v>
      </c>
      <c r="H5" s="510">
        <v>350000</v>
      </c>
      <c r="I5" s="510">
        <v>0</v>
      </c>
      <c r="J5" s="510">
        <v>0</v>
      </c>
      <c r="K5" s="510">
        <v>0</v>
      </c>
      <c r="L5" s="510">
        <v>350000</v>
      </c>
      <c r="M5" s="510">
        <v>0</v>
      </c>
      <c r="N5" s="510">
        <v>0</v>
      </c>
      <c r="O5" s="510">
        <v>350000</v>
      </c>
      <c r="P5" s="510">
        <v>0</v>
      </c>
      <c r="Q5" s="511">
        <v>0</v>
      </c>
      <c r="R5" s="1296"/>
      <c r="S5" s="1040">
        <f t="shared" ca="1" si="1"/>
        <v>0</v>
      </c>
      <c r="T5" s="1339"/>
      <c r="U5" s="1395">
        <f t="shared" ca="1" si="2"/>
        <v>0</v>
      </c>
      <c r="V5" s="1391"/>
      <c r="W5" s="1036">
        <f t="shared" si="3"/>
        <v>1050000</v>
      </c>
      <c r="X5" s="1353"/>
    </row>
    <row r="6" spans="1:25" ht="14.1" customHeight="1" x14ac:dyDescent="0.15">
      <c r="B6" s="1081" t="s">
        <v>1230</v>
      </c>
      <c r="C6" s="2167"/>
      <c r="D6" s="2197"/>
      <c r="E6" s="1108" t="s">
        <v>35</v>
      </c>
      <c r="F6" s="509">
        <v>4495000</v>
      </c>
      <c r="G6" s="510">
        <v>3299000</v>
      </c>
      <c r="H6" s="510">
        <v>2699000</v>
      </c>
      <c r="I6" s="510">
        <v>2749000</v>
      </c>
      <c r="J6" s="510">
        <v>2699000</v>
      </c>
      <c r="K6" s="510">
        <v>2699000</v>
      </c>
      <c r="L6" s="510">
        <v>2699000</v>
      </c>
      <c r="M6" s="510">
        <v>2699000</v>
      </c>
      <c r="N6" s="510">
        <v>2965000</v>
      </c>
      <c r="O6" s="510">
        <v>2699000</v>
      </c>
      <c r="P6" s="510">
        <v>2699000</v>
      </c>
      <c r="Q6" s="511">
        <v>2699000</v>
      </c>
      <c r="R6" s="1296"/>
      <c r="S6" s="1040">
        <f t="shared" ca="1" si="1"/>
        <v>4495000</v>
      </c>
      <c r="T6" s="1339"/>
      <c r="U6" s="1395">
        <f t="shared" ca="1" si="2"/>
        <v>4495000</v>
      </c>
      <c r="V6" s="1391"/>
      <c r="W6" s="1036">
        <f t="shared" si="3"/>
        <v>35100000</v>
      </c>
      <c r="X6" s="1353"/>
    </row>
    <row r="7" spans="1:25" ht="14.1" customHeight="1" x14ac:dyDescent="0.15">
      <c r="B7" s="1081" t="s">
        <v>482</v>
      </c>
      <c r="C7" s="2167"/>
      <c r="D7" s="2197"/>
      <c r="E7" s="1108" t="s">
        <v>482</v>
      </c>
      <c r="F7" s="509">
        <v>200000</v>
      </c>
      <c r="G7" s="510">
        <v>200000</v>
      </c>
      <c r="H7" s="510">
        <v>200000</v>
      </c>
      <c r="I7" s="510">
        <v>200000</v>
      </c>
      <c r="J7" s="510">
        <v>200000</v>
      </c>
      <c r="K7" s="510">
        <v>200000</v>
      </c>
      <c r="L7" s="510">
        <v>200000</v>
      </c>
      <c r="M7" s="510">
        <v>200000</v>
      </c>
      <c r="N7" s="510">
        <v>200000</v>
      </c>
      <c r="O7" s="510">
        <v>200000</v>
      </c>
      <c r="P7" s="510">
        <v>200000</v>
      </c>
      <c r="Q7" s="511">
        <v>200000</v>
      </c>
      <c r="R7" s="1296"/>
      <c r="S7" s="1040">
        <f t="shared" ca="1" si="1"/>
        <v>200000</v>
      </c>
      <c r="T7" s="1339"/>
      <c r="U7" s="1395">
        <f t="shared" ca="1" si="2"/>
        <v>200000</v>
      </c>
      <c r="V7" s="1391"/>
      <c r="W7" s="1036">
        <f t="shared" si="3"/>
        <v>2400000</v>
      </c>
      <c r="X7" s="1354"/>
    </row>
    <row r="8" spans="1:25" ht="14.1" customHeight="1" thickBot="1" x14ac:dyDescent="0.2">
      <c r="B8" s="1081" t="s">
        <v>32</v>
      </c>
      <c r="C8" s="2167"/>
      <c r="D8" s="2198"/>
      <c r="E8" s="1109" t="s">
        <v>32</v>
      </c>
      <c r="F8" s="530">
        <f t="shared" ref="F8:Q8" si="4">F3-(F4+F6+F7)</f>
        <v>-8829000</v>
      </c>
      <c r="G8" s="531">
        <f t="shared" si="4"/>
        <v>-7792000</v>
      </c>
      <c r="H8" s="531">
        <f t="shared" si="4"/>
        <v>-7033000</v>
      </c>
      <c r="I8" s="531">
        <f t="shared" si="4"/>
        <v>-7083000</v>
      </c>
      <c r="J8" s="531">
        <f t="shared" si="4"/>
        <v>-7179000</v>
      </c>
      <c r="K8" s="531">
        <f t="shared" si="4"/>
        <v>-7033000</v>
      </c>
      <c r="L8" s="531">
        <f t="shared" si="4"/>
        <v>-7033000</v>
      </c>
      <c r="M8" s="531">
        <f t="shared" si="4"/>
        <v>-7033000</v>
      </c>
      <c r="N8" s="531">
        <f t="shared" si="4"/>
        <v>-7299000</v>
      </c>
      <c r="O8" s="531">
        <f t="shared" si="4"/>
        <v>-7033000</v>
      </c>
      <c r="P8" s="531">
        <f t="shared" si="4"/>
        <v>-7164000</v>
      </c>
      <c r="Q8" s="532">
        <f t="shared" si="4"/>
        <v>-7033000</v>
      </c>
      <c r="R8" s="1052"/>
      <c r="S8" s="1044">
        <f t="shared" ca="1" si="1"/>
        <v>-8829000</v>
      </c>
      <c r="T8" s="1340"/>
      <c r="U8" s="1396">
        <f t="shared" ca="1" si="2"/>
        <v>-8829000</v>
      </c>
      <c r="V8" s="1032"/>
      <c r="W8" s="1032">
        <f t="shared" si="3"/>
        <v>-87544000</v>
      </c>
      <c r="X8" s="1355"/>
    </row>
    <row r="9" spans="1:25" ht="14.1" customHeight="1" x14ac:dyDescent="0.15">
      <c r="A9" s="1081" t="s">
        <v>490</v>
      </c>
      <c r="B9" s="1081" t="s">
        <v>26</v>
      </c>
      <c r="C9" s="2167"/>
      <c r="D9" s="2480" t="s">
        <v>444</v>
      </c>
      <c r="E9" s="376" t="s">
        <v>26</v>
      </c>
      <c r="F9" s="516"/>
      <c r="G9" s="517"/>
      <c r="H9" s="517"/>
      <c r="I9" s="517"/>
      <c r="J9" s="517"/>
      <c r="K9" s="517"/>
      <c r="L9" s="517"/>
      <c r="M9" s="517"/>
      <c r="N9" s="517"/>
      <c r="O9" s="517"/>
      <c r="P9" s="517"/>
      <c r="Q9" s="518"/>
      <c r="R9" s="1055">
        <f ca="1">IF(T9&gt;=1,1,IF(T9&lt;0.9,-1,0))</f>
        <v>-1</v>
      </c>
      <c r="S9" s="1041">
        <f t="shared" ca="1" si="1"/>
        <v>0</v>
      </c>
      <c r="T9" s="1341">
        <f ca="1">IF(S3&lt;0,ROUND((S9-S3)/ABS(S3),3),IF(S3=0,0,ROUND(S9/S3,3)))</f>
        <v>0</v>
      </c>
      <c r="U9" s="1397">
        <f t="shared" ca="1" si="2"/>
        <v>0</v>
      </c>
      <c r="V9" s="1372">
        <f>IF(X9&gt;=1,1,IF(X9&lt;0.9,-1,0))</f>
        <v>-1</v>
      </c>
      <c r="W9" s="1030">
        <f ca="1">S9+(12-IF(ISERROR(MATCH(DATE(YEAR($G$1),MONTH($G$1),1),$F$2:$Q$2,0)),0,MATCH(DATE(YEAR($G$1),MONTH($G$1),1),$F$2:$Q$2,0)))*U9</f>
        <v>0</v>
      </c>
      <c r="X9" s="1356">
        <f>IF(W3&lt;0,ROUND((W9-W3)/ABS(W3),3),IF(W3=0,0,ROUND(W9/W3,3)))</f>
        <v>0</v>
      </c>
      <c r="Y9" s="1273">
        <v>0.1</v>
      </c>
    </row>
    <row r="10" spans="1:25" ht="14.1" customHeight="1" x14ac:dyDescent="0.15">
      <c r="A10" s="1081" t="s">
        <v>490</v>
      </c>
      <c r="B10" s="1081" t="s">
        <v>15</v>
      </c>
      <c r="C10" s="2167"/>
      <c r="D10" s="2481"/>
      <c r="E10" s="1107" t="s">
        <v>15</v>
      </c>
      <c r="F10" s="520">
        <v>3857264</v>
      </c>
      <c r="G10" s="521"/>
      <c r="H10" s="521"/>
      <c r="I10" s="521"/>
      <c r="J10" s="521"/>
      <c r="K10" s="521"/>
      <c r="L10" s="521"/>
      <c r="M10" s="521"/>
      <c r="N10" s="521"/>
      <c r="O10" s="521"/>
      <c r="P10" s="521"/>
      <c r="Q10" s="522"/>
      <c r="R10" s="1056">
        <f ca="1">IF(T10&lt;=1,1,IF(T10&gt;1.1,-1,0))</f>
        <v>1</v>
      </c>
      <c r="S10" s="1042">
        <f t="shared" ca="1" si="1"/>
        <v>3857264</v>
      </c>
      <c r="T10" s="1342">
        <f ca="1">IF(S4&lt;0,ROUND((S10-S4)/ABS(S4),3),IF(S4=0,0,ROUND(S10/S4,3)))</f>
        <v>0.93300000000000005</v>
      </c>
      <c r="U10" s="1398">
        <f t="shared" ca="1" si="2"/>
        <v>3857264</v>
      </c>
      <c r="V10" s="1373">
        <f ca="1">IF(X10&lt;=1,1,IF(X10&gt;1.1,-1,0))</f>
        <v>1</v>
      </c>
      <c r="W10" s="1031">
        <f ca="1">S10+(12-IF(ISERROR(MATCH(DATE(YEAR($G$1),MONTH($G$1),1),$F$2:$Q$2,0)),0,MATCH(DATE(YEAR($G$1),MONTH($G$1),1),$F$2:$Q$2,0)))*U10</f>
        <v>46287168</v>
      </c>
      <c r="X10" s="1357">
        <f ca="1">IF(W4&lt;0,ROUND((W10-W4)/ABS(W4),3),IF(W4=0,0,ROUND(W10/W4,3)))</f>
        <v>0.92500000000000004</v>
      </c>
      <c r="Y10" s="1273">
        <v>0.1</v>
      </c>
    </row>
    <row r="11" spans="1:25" ht="14.1" customHeight="1" x14ac:dyDescent="0.15">
      <c r="A11" s="1081" t="s">
        <v>490</v>
      </c>
      <c r="B11" s="1081" t="s">
        <v>448</v>
      </c>
      <c r="C11" s="2167"/>
      <c r="D11" s="2481"/>
      <c r="E11" s="1107" t="s">
        <v>448</v>
      </c>
      <c r="F11" s="520">
        <v>216000</v>
      </c>
      <c r="G11" s="521"/>
      <c r="H11" s="521"/>
      <c r="I11" s="521"/>
      <c r="J11" s="521"/>
      <c r="K11" s="521"/>
      <c r="L11" s="521"/>
      <c r="M11" s="521"/>
      <c r="N11" s="521"/>
      <c r="O11" s="521"/>
      <c r="P11" s="521"/>
      <c r="Q11" s="522"/>
      <c r="R11" s="1056">
        <f ca="1">IF(T11&lt;=1,1,IF(T11&gt;1.1,-1,0))</f>
        <v>1</v>
      </c>
      <c r="S11" s="1042">
        <f t="shared" ca="1" si="1"/>
        <v>216000</v>
      </c>
      <c r="T11" s="1342">
        <f ca="1">IF(S5&lt;0,ROUND((S11-S5)/ABS(S5),3),IF(S5=0,0,ROUND(S11/S5,3)))</f>
        <v>0</v>
      </c>
      <c r="U11" s="1398">
        <f t="shared" ca="1" si="2"/>
        <v>216000</v>
      </c>
      <c r="V11" s="1373">
        <f ca="1">IF(X11&lt;=1,1,IF(X11&gt;1.1,-1,0))</f>
        <v>-1</v>
      </c>
      <c r="W11" s="1031">
        <f ca="1">S11+(12-IF(ISERROR(MATCH(DATE(YEAR($G$1),MONTH($G$1),1),$F$2:$Q$2,0)),0,MATCH(DATE(YEAR($G$1),MONTH($G$1),1),$F$2:$Q$2,0)))*U11</f>
        <v>2592000</v>
      </c>
      <c r="X11" s="1357">
        <f ca="1">IF(W5&lt;0,ROUND((W11-W5)/ABS(W5),3),IF(W5=0,0,ROUND(W11/W5,3)))</f>
        <v>2.4689999999999999</v>
      </c>
      <c r="Y11" s="1273">
        <v>0.1</v>
      </c>
    </row>
    <row r="12" spans="1:25" ht="14.1" customHeight="1" x14ac:dyDescent="0.15">
      <c r="A12" s="1081" t="s">
        <v>490</v>
      </c>
      <c r="B12" s="1081" t="s">
        <v>1230</v>
      </c>
      <c r="C12" s="2167"/>
      <c r="D12" s="2481"/>
      <c r="E12" s="1107" t="s">
        <v>35</v>
      </c>
      <c r="F12" s="520">
        <v>4650254</v>
      </c>
      <c r="G12" s="521"/>
      <c r="H12" s="521"/>
      <c r="I12" s="521"/>
      <c r="J12" s="521"/>
      <c r="K12" s="521"/>
      <c r="L12" s="521"/>
      <c r="M12" s="521"/>
      <c r="N12" s="521"/>
      <c r="O12" s="521"/>
      <c r="P12" s="521"/>
      <c r="Q12" s="522"/>
      <c r="R12" s="1056">
        <f ca="1">IF(T12&lt;=1,1,IF(T12&gt;1.1,-1,0))</f>
        <v>0</v>
      </c>
      <c r="S12" s="1042">
        <f t="shared" ca="1" si="1"/>
        <v>4650254</v>
      </c>
      <c r="T12" s="1342">
        <f ca="1">IF(S6&lt;0,ROUND((S12-S6)/ABS(S6),3),IF(S6=0,0,ROUND(S12/S6,3)))</f>
        <v>1.0349999999999999</v>
      </c>
      <c r="U12" s="1398">
        <f t="shared" ca="1" si="2"/>
        <v>4650254</v>
      </c>
      <c r="V12" s="1373">
        <f ca="1">IF(X12&lt;=1,1,IF(X12&gt;1.1,-1,0))</f>
        <v>-1</v>
      </c>
      <c r="W12" s="1031">
        <f ca="1">S12+(12-IF(ISERROR(MATCH(DATE(YEAR($G$1),MONTH($G$1),1),$F$2:$Q$2,0)),0,MATCH(DATE(YEAR($G$1),MONTH($G$1),1),$F$2:$Q$2,0)))*U12</f>
        <v>55803048</v>
      </c>
      <c r="X12" s="1357">
        <f ca="1">IF(W6&lt;0,ROUND((W12-W6)/ABS(W6),3),IF(W6=0,0,ROUND(W12/W6,3)))</f>
        <v>1.59</v>
      </c>
      <c r="Y12" s="1273">
        <v>0.1</v>
      </c>
    </row>
    <row r="13" spans="1:25" ht="14.1" customHeight="1" thickBot="1" x14ac:dyDescent="0.2">
      <c r="A13" s="1081" t="s">
        <v>490</v>
      </c>
      <c r="B13" s="1081" t="s">
        <v>32</v>
      </c>
      <c r="C13" s="2168"/>
      <c r="D13" s="2482"/>
      <c r="E13" s="1103" t="s">
        <v>32</v>
      </c>
      <c r="F13" s="535">
        <f t="shared" ref="F13:Q13" si="5">F9-(F10+F12)</f>
        <v>-8507518</v>
      </c>
      <c r="G13" s="536">
        <f t="shared" si="5"/>
        <v>0</v>
      </c>
      <c r="H13" s="536">
        <f t="shared" si="5"/>
        <v>0</v>
      </c>
      <c r="I13" s="536">
        <f t="shared" si="5"/>
        <v>0</v>
      </c>
      <c r="J13" s="536">
        <f t="shared" si="5"/>
        <v>0</v>
      </c>
      <c r="K13" s="536">
        <f t="shared" si="5"/>
        <v>0</v>
      </c>
      <c r="L13" s="536">
        <f t="shared" si="5"/>
        <v>0</v>
      </c>
      <c r="M13" s="536">
        <f t="shared" si="5"/>
        <v>0</v>
      </c>
      <c r="N13" s="536">
        <f t="shared" si="5"/>
        <v>0</v>
      </c>
      <c r="O13" s="536">
        <f t="shared" si="5"/>
        <v>0</v>
      </c>
      <c r="P13" s="536">
        <f t="shared" si="5"/>
        <v>0</v>
      </c>
      <c r="Q13" s="537">
        <f t="shared" si="5"/>
        <v>0</v>
      </c>
      <c r="R13" s="1057">
        <f ca="1">IF(T13&gt;=0,1,IF(T13&lt;0.1,-1,0))</f>
        <v>1</v>
      </c>
      <c r="S13" s="1045">
        <f t="shared" ca="1" si="1"/>
        <v>-8507518</v>
      </c>
      <c r="T13" s="1343">
        <f ca="1">IF(S8=S13,0,ROUND((S13-S8)/ABS(S8),3))</f>
        <v>3.5999999999999997E-2</v>
      </c>
      <c r="U13" s="1399">
        <f t="shared" ca="1" si="2"/>
        <v>-8507518</v>
      </c>
      <c r="V13" s="1374">
        <f ca="1">IF(X13&gt;=0,1,IF(X13&lt;0.1,-1,0))</f>
        <v>-1</v>
      </c>
      <c r="W13" s="1034">
        <f ca="1">S13+(12-IF(ISERROR(MATCH(DATE(YEAR($G$1),MONTH($G$1),1),$F$2:$Q$2,0)),0,MATCH(DATE(YEAR($G$1),MONTH($G$1),1),$F$2:$Q$2,0)))*U13</f>
        <v>-102090216</v>
      </c>
      <c r="X13" s="1358">
        <f ca="1">IF(W8=W13,0,ROUND((W13-W8)/ABS(W8),3))</f>
        <v>-0.16600000000000001</v>
      </c>
      <c r="Y13" s="1273">
        <v>0.1</v>
      </c>
    </row>
    <row r="14" spans="1:25" ht="14.1" customHeight="1" x14ac:dyDescent="0.15">
      <c r="B14" s="1081" t="s">
        <v>26</v>
      </c>
      <c r="C14" s="2166" t="s">
        <v>34</v>
      </c>
      <c r="D14" s="2196" t="s">
        <v>443</v>
      </c>
      <c r="E14" s="360" t="s">
        <v>26</v>
      </c>
      <c r="F14" s="503">
        <v>10700000</v>
      </c>
      <c r="G14" s="504">
        <v>11000000</v>
      </c>
      <c r="H14" s="504">
        <v>11000000</v>
      </c>
      <c r="I14" s="504">
        <v>11000000</v>
      </c>
      <c r="J14" s="504">
        <v>12000000</v>
      </c>
      <c r="K14" s="504">
        <v>12000000</v>
      </c>
      <c r="L14" s="504">
        <v>12000000</v>
      </c>
      <c r="M14" s="504">
        <v>12500000</v>
      </c>
      <c r="N14" s="504">
        <v>12500000</v>
      </c>
      <c r="O14" s="504">
        <v>12700000</v>
      </c>
      <c r="P14" s="504">
        <v>13000000</v>
      </c>
      <c r="Q14" s="505">
        <v>13000000</v>
      </c>
      <c r="R14" s="1295"/>
      <c r="S14" s="1039">
        <f t="shared" ca="1" si="1"/>
        <v>10700000</v>
      </c>
      <c r="T14" s="1338"/>
      <c r="U14" s="1394">
        <f t="shared" ca="1" si="2"/>
        <v>10700000</v>
      </c>
      <c r="V14" s="1390"/>
      <c r="W14" s="1035">
        <f>SUM(F14:Q14)</f>
        <v>143400000</v>
      </c>
      <c r="X14" s="1352"/>
    </row>
    <row r="15" spans="1:25" ht="14.1" customHeight="1" x14ac:dyDescent="0.15">
      <c r="B15" s="1081" t="s">
        <v>15</v>
      </c>
      <c r="C15" s="2167"/>
      <c r="D15" s="2197"/>
      <c r="E15" s="1108" t="s">
        <v>15</v>
      </c>
      <c r="F15" s="509">
        <v>5784000</v>
      </c>
      <c r="G15" s="510">
        <v>6170000</v>
      </c>
      <c r="H15" s="510">
        <v>5940000</v>
      </c>
      <c r="I15" s="510">
        <v>5940000</v>
      </c>
      <c r="J15" s="510">
        <v>6709000</v>
      </c>
      <c r="K15" s="510">
        <v>6479000</v>
      </c>
      <c r="L15" s="510">
        <v>6479000</v>
      </c>
      <c r="M15" s="510">
        <v>6749000</v>
      </c>
      <c r="N15" s="510">
        <v>6749000</v>
      </c>
      <c r="O15" s="510">
        <v>6857000</v>
      </c>
      <c r="P15" s="510">
        <v>7242000</v>
      </c>
      <c r="Q15" s="511">
        <v>7019000</v>
      </c>
      <c r="R15" s="1296"/>
      <c r="S15" s="1040">
        <f t="shared" ca="1" si="1"/>
        <v>5784000</v>
      </c>
      <c r="T15" s="1339"/>
      <c r="U15" s="1395">
        <f t="shared" ca="1" si="2"/>
        <v>5784000</v>
      </c>
      <c r="V15" s="1391"/>
      <c r="W15" s="1036">
        <f>SUM(F15:Q15)</f>
        <v>78117000</v>
      </c>
      <c r="X15" s="1353"/>
    </row>
    <row r="16" spans="1:25" ht="14.1" customHeight="1" x14ac:dyDescent="0.15">
      <c r="B16" s="1081" t="s">
        <v>447</v>
      </c>
      <c r="C16" s="2167"/>
      <c r="D16" s="2197"/>
      <c r="E16" s="1108" t="s">
        <v>447</v>
      </c>
      <c r="F16" s="509">
        <v>75000</v>
      </c>
      <c r="G16" s="510">
        <v>50000</v>
      </c>
      <c r="H16" s="510"/>
      <c r="I16" s="510">
        <v>50000</v>
      </c>
      <c r="J16" s="510">
        <v>50000</v>
      </c>
      <c r="K16" s="510">
        <v>50000</v>
      </c>
      <c r="L16" s="510">
        <v>100000</v>
      </c>
      <c r="M16" s="510">
        <v>50000</v>
      </c>
      <c r="N16" s="510">
        <v>50000</v>
      </c>
      <c r="O16" s="510">
        <v>50000</v>
      </c>
      <c r="P16" s="510">
        <v>50000</v>
      </c>
      <c r="Q16" s="511">
        <v>50000</v>
      </c>
      <c r="R16" s="1296"/>
      <c r="S16" s="1040">
        <f t="shared" ca="1" si="1"/>
        <v>75000</v>
      </c>
      <c r="T16" s="1339"/>
      <c r="U16" s="1395">
        <f t="shared" ca="1" si="2"/>
        <v>75000</v>
      </c>
      <c r="V16" s="1391"/>
      <c r="W16" s="1036">
        <f>SUM(F16:Q16)</f>
        <v>625000</v>
      </c>
      <c r="X16" s="1353"/>
    </row>
    <row r="17" spans="1:25" ht="14.1" customHeight="1" x14ac:dyDescent="0.15">
      <c r="B17" s="1081" t="s">
        <v>1230</v>
      </c>
      <c r="C17" s="2167"/>
      <c r="D17" s="2197"/>
      <c r="E17" s="1108" t="s">
        <v>35</v>
      </c>
      <c r="F17" s="509">
        <v>929000</v>
      </c>
      <c r="G17" s="510">
        <v>1329000</v>
      </c>
      <c r="H17" s="510">
        <v>1329000</v>
      </c>
      <c r="I17" s="510">
        <v>1329000</v>
      </c>
      <c r="J17" s="510">
        <v>1416000</v>
      </c>
      <c r="K17" s="510">
        <v>1416000</v>
      </c>
      <c r="L17" s="510">
        <v>1416000</v>
      </c>
      <c r="M17" s="510">
        <v>1459000</v>
      </c>
      <c r="N17" s="510">
        <v>1459000</v>
      </c>
      <c r="O17" s="510">
        <v>1477000</v>
      </c>
      <c r="P17" s="510">
        <v>1503000</v>
      </c>
      <c r="Q17" s="511">
        <v>1503000</v>
      </c>
      <c r="R17" s="1296"/>
      <c r="S17" s="1040">
        <f t="shared" ca="1" si="1"/>
        <v>929000</v>
      </c>
      <c r="T17" s="1339"/>
      <c r="U17" s="1395">
        <f t="shared" ca="1" si="2"/>
        <v>929000</v>
      </c>
      <c r="V17" s="1391"/>
      <c r="W17" s="1036">
        <f>SUM(F17:Q17)</f>
        <v>16565000</v>
      </c>
      <c r="X17" s="1353"/>
    </row>
    <row r="18" spans="1:25" ht="14.1" customHeight="1" thickBot="1" x14ac:dyDescent="0.2">
      <c r="B18" s="1081" t="s">
        <v>32</v>
      </c>
      <c r="C18" s="2167"/>
      <c r="D18" s="2198"/>
      <c r="E18" s="1109" t="s">
        <v>32</v>
      </c>
      <c r="F18" s="530">
        <f t="shared" ref="F18:Q18" si="6">F14-(F15+F17)</f>
        <v>3987000</v>
      </c>
      <c r="G18" s="531">
        <f t="shared" si="6"/>
        <v>3501000</v>
      </c>
      <c r="H18" s="531">
        <f t="shared" si="6"/>
        <v>3731000</v>
      </c>
      <c r="I18" s="531">
        <f t="shared" si="6"/>
        <v>3731000</v>
      </c>
      <c r="J18" s="531">
        <f t="shared" si="6"/>
        <v>3875000</v>
      </c>
      <c r="K18" s="531">
        <f t="shared" si="6"/>
        <v>4105000</v>
      </c>
      <c r="L18" s="531">
        <f t="shared" si="6"/>
        <v>4105000</v>
      </c>
      <c r="M18" s="531">
        <f t="shared" si="6"/>
        <v>4292000</v>
      </c>
      <c r="N18" s="531">
        <f t="shared" si="6"/>
        <v>4292000</v>
      </c>
      <c r="O18" s="531">
        <f t="shared" si="6"/>
        <v>4366000</v>
      </c>
      <c r="P18" s="531">
        <f t="shared" si="6"/>
        <v>4255000</v>
      </c>
      <c r="Q18" s="532">
        <f t="shared" si="6"/>
        <v>4478000</v>
      </c>
      <c r="R18" s="1052"/>
      <c r="S18" s="1044">
        <f t="shared" ca="1" si="1"/>
        <v>3987000</v>
      </c>
      <c r="T18" s="1340"/>
      <c r="U18" s="1396">
        <f t="shared" ca="1" si="2"/>
        <v>3987000</v>
      </c>
      <c r="V18" s="1032"/>
      <c r="W18" s="1032">
        <f>SUM(F18:Q18)</f>
        <v>48718000</v>
      </c>
      <c r="X18" s="1355"/>
    </row>
    <row r="19" spans="1:25" ht="14.1" customHeight="1" x14ac:dyDescent="0.15">
      <c r="A19" s="1081" t="s">
        <v>34</v>
      </c>
      <c r="B19" s="1081" t="s">
        <v>26</v>
      </c>
      <c r="C19" s="2167"/>
      <c r="D19" s="2480" t="s">
        <v>444</v>
      </c>
      <c r="E19" s="376" t="s">
        <v>26</v>
      </c>
      <c r="F19" s="516">
        <v>10965812</v>
      </c>
      <c r="G19" s="517"/>
      <c r="H19" s="517"/>
      <c r="I19" s="517"/>
      <c r="J19" s="517"/>
      <c r="K19" s="517"/>
      <c r="L19" s="517"/>
      <c r="M19" s="517"/>
      <c r="N19" s="517"/>
      <c r="O19" s="517"/>
      <c r="P19" s="517"/>
      <c r="Q19" s="518"/>
      <c r="R19" s="1055">
        <f ca="1">IF(T19&gt;=1,1,IF(T19&lt;0.9,-1,0))</f>
        <v>1</v>
      </c>
      <c r="S19" s="1041">
        <f t="shared" ca="1" si="1"/>
        <v>10965812</v>
      </c>
      <c r="T19" s="1341">
        <f ca="1">IF(S14&lt;0,ROUND((S19-S14)/ABS(S14),3),IF(S14=0,0,ROUND(S19/S14,3)))</f>
        <v>1.0249999999999999</v>
      </c>
      <c r="U19" s="1397">
        <f t="shared" ca="1" si="2"/>
        <v>10965812</v>
      </c>
      <c r="V19" s="1372">
        <f ca="1">IF(X19&gt;=1,1,IF(X19&lt;0.9,-1,0))</f>
        <v>0</v>
      </c>
      <c r="W19" s="1030">
        <f ca="1">S19+(12-IF(ISERROR(MATCH(DATE(YEAR($G$1),MONTH($G$1),1),$F$2:$Q$2,0)),0,MATCH(DATE(YEAR($G$1),MONTH($G$1),1),$F$2:$Q$2,0)))*U19</f>
        <v>131589744</v>
      </c>
      <c r="X19" s="1356">
        <f ca="1">IF(W14&lt;0,ROUND((W19-W14)/ABS(W14),3),IF(W14=0,0,ROUND(W19/W14,3)))</f>
        <v>0.91800000000000004</v>
      </c>
      <c r="Y19" s="1273">
        <v>0.1</v>
      </c>
    </row>
    <row r="20" spans="1:25" ht="14.1" customHeight="1" x14ac:dyDescent="0.15">
      <c r="A20" s="1081" t="s">
        <v>34</v>
      </c>
      <c r="B20" s="1081" t="s">
        <v>15</v>
      </c>
      <c r="C20" s="2167"/>
      <c r="D20" s="2481"/>
      <c r="E20" s="1107" t="s">
        <v>15</v>
      </c>
      <c r="F20" s="520">
        <v>5612816</v>
      </c>
      <c r="G20" s="521"/>
      <c r="H20" s="521"/>
      <c r="I20" s="521"/>
      <c r="J20" s="521"/>
      <c r="K20" s="521"/>
      <c r="L20" s="521"/>
      <c r="M20" s="521"/>
      <c r="N20" s="521"/>
      <c r="O20" s="521"/>
      <c r="P20" s="521"/>
      <c r="Q20" s="522"/>
      <c r="R20" s="1056">
        <f ca="1">IF(T20&lt;=1,1,IF(T20&gt;1.1,-1,0))</f>
        <v>1</v>
      </c>
      <c r="S20" s="1042">
        <f t="shared" ca="1" si="1"/>
        <v>5612816</v>
      </c>
      <c r="T20" s="1342">
        <f ca="1">IF(S15&lt;0,ROUND((S20-S15)/ABS(S15),3),IF(S15=0,0,ROUND(S20/S15,3)))</f>
        <v>0.97</v>
      </c>
      <c r="U20" s="1398">
        <f t="shared" ca="1" si="2"/>
        <v>5612816</v>
      </c>
      <c r="V20" s="1373">
        <f ca="1">IF(X20&lt;=1,1,IF(X20&gt;1.1,-1,0))</f>
        <v>1</v>
      </c>
      <c r="W20" s="1031">
        <f ca="1">S20+(12-IF(ISERROR(MATCH(DATE(YEAR($G$1),MONTH($G$1),1),$F$2:$Q$2,0)),0,MATCH(DATE(YEAR($G$1),MONTH($G$1),1),$F$2:$Q$2,0)))*U20</f>
        <v>67353792</v>
      </c>
      <c r="X20" s="1357">
        <f ca="1">IF(W15&lt;0,ROUND((W20-W15)/ABS(W15),3),IF(W15=0,0,ROUND(W20/W15,3)))</f>
        <v>0.86199999999999999</v>
      </c>
      <c r="Y20" s="1273">
        <v>0.1</v>
      </c>
    </row>
    <row r="21" spans="1:25" ht="14.1" customHeight="1" x14ac:dyDescent="0.15">
      <c r="A21" s="1081" t="s">
        <v>34</v>
      </c>
      <c r="B21" s="1081" t="s">
        <v>448</v>
      </c>
      <c r="C21" s="2167"/>
      <c r="D21" s="2481"/>
      <c r="E21" s="1107" t="s">
        <v>448</v>
      </c>
      <c r="F21" s="520">
        <v>51574</v>
      </c>
      <c r="G21" s="521"/>
      <c r="H21" s="521"/>
      <c r="I21" s="521"/>
      <c r="J21" s="521"/>
      <c r="K21" s="521"/>
      <c r="L21" s="521"/>
      <c r="M21" s="521"/>
      <c r="N21" s="521"/>
      <c r="O21" s="521"/>
      <c r="P21" s="521"/>
      <c r="Q21" s="522"/>
      <c r="R21" s="1056">
        <f ca="1">IF(T21&lt;=1,1,IF(T21&gt;1.1,-1,0))</f>
        <v>1</v>
      </c>
      <c r="S21" s="1042">
        <f t="shared" ca="1" si="1"/>
        <v>51574</v>
      </c>
      <c r="T21" s="1342">
        <f ca="1">IF(S16&lt;0,ROUND((S21-S16)/ABS(S16),3),IF(S16=0,0,ROUND(S21/S16,3)))</f>
        <v>0.68799999999999994</v>
      </c>
      <c r="U21" s="1398">
        <f t="shared" ca="1" si="2"/>
        <v>51574</v>
      </c>
      <c r="V21" s="1373">
        <f ca="1">IF(X21&lt;=1,1,IF(X21&gt;1.1,-1,0))</f>
        <v>1</v>
      </c>
      <c r="W21" s="1031">
        <f ca="1">S21+(12-IF(ISERROR(MATCH(DATE(YEAR($G$1),MONTH($G$1),1),$F$2:$Q$2,0)),0,MATCH(DATE(YEAR($G$1),MONTH($G$1),1),$F$2:$Q$2,0)))*U21</f>
        <v>618888</v>
      </c>
      <c r="X21" s="1357">
        <f ca="1">IF(W16&lt;0,ROUND((W21-W16)/ABS(W16),3),IF(W16=0,0,ROUND(W21/W16,3)))</f>
        <v>0.99</v>
      </c>
      <c r="Y21" s="1273">
        <v>0.1</v>
      </c>
    </row>
    <row r="22" spans="1:25" ht="14.1" customHeight="1" x14ac:dyDescent="0.15">
      <c r="A22" s="1081" t="s">
        <v>34</v>
      </c>
      <c r="B22" s="1081" t="s">
        <v>1230</v>
      </c>
      <c r="C22" s="2167"/>
      <c r="D22" s="2481"/>
      <c r="E22" s="1107" t="s">
        <v>35</v>
      </c>
      <c r="F22" s="520">
        <v>723798</v>
      </c>
      <c r="G22" s="521"/>
      <c r="H22" s="521"/>
      <c r="I22" s="521"/>
      <c r="J22" s="521"/>
      <c r="K22" s="521"/>
      <c r="L22" s="521"/>
      <c r="M22" s="521"/>
      <c r="N22" s="521"/>
      <c r="O22" s="521"/>
      <c r="P22" s="521"/>
      <c r="Q22" s="522"/>
      <c r="R22" s="1056">
        <f ca="1">IF(T22&lt;=1,1,IF(T22&gt;1.1,-1,0))</f>
        <v>1</v>
      </c>
      <c r="S22" s="1042">
        <f t="shared" ca="1" si="1"/>
        <v>723798</v>
      </c>
      <c r="T22" s="1342">
        <f ca="1">IF(S17&lt;0,ROUND((S22-S17)/ABS(S17),3),IF(S17=0,0,ROUND(S22/S17,3)))</f>
        <v>0.77900000000000003</v>
      </c>
      <c r="U22" s="1398">
        <f t="shared" ca="1" si="2"/>
        <v>723798</v>
      </c>
      <c r="V22" s="1373">
        <f ca="1">IF(X22&lt;=1,1,IF(X22&gt;1.1,-1,0))</f>
        <v>1</v>
      </c>
      <c r="W22" s="1031">
        <f ca="1">S22+(12-IF(ISERROR(MATCH(DATE(YEAR($G$1),MONTH($G$1),1),$F$2:$Q$2,0)),0,MATCH(DATE(YEAR($G$1),MONTH($G$1),1),$F$2:$Q$2,0)))*U22</f>
        <v>8685576</v>
      </c>
      <c r="X22" s="1357">
        <f ca="1">IF(W17&lt;0,ROUND((W22-W17)/ABS(W17),3),IF(W17=0,0,ROUND(W22/W17,3)))</f>
        <v>0.52400000000000002</v>
      </c>
      <c r="Y22" s="1273">
        <v>0.1</v>
      </c>
    </row>
    <row r="23" spans="1:25" ht="14.1" customHeight="1" thickBot="1" x14ac:dyDescent="0.2">
      <c r="A23" s="1081" t="s">
        <v>34</v>
      </c>
      <c r="B23" s="1081" t="s">
        <v>32</v>
      </c>
      <c r="C23" s="2168"/>
      <c r="D23" s="2482"/>
      <c r="E23" s="1103" t="s">
        <v>32</v>
      </c>
      <c r="F23" s="535">
        <f t="shared" ref="F23:Q23" si="7">F19-(F20+F22)</f>
        <v>4629198</v>
      </c>
      <c r="G23" s="536">
        <f t="shared" si="7"/>
        <v>0</v>
      </c>
      <c r="H23" s="536">
        <f t="shared" si="7"/>
        <v>0</v>
      </c>
      <c r="I23" s="536">
        <f t="shared" si="7"/>
        <v>0</v>
      </c>
      <c r="J23" s="536">
        <f t="shared" si="7"/>
        <v>0</v>
      </c>
      <c r="K23" s="536">
        <f t="shared" si="7"/>
        <v>0</v>
      </c>
      <c r="L23" s="536">
        <f t="shared" si="7"/>
        <v>0</v>
      </c>
      <c r="M23" s="536">
        <f t="shared" si="7"/>
        <v>0</v>
      </c>
      <c r="N23" s="536">
        <f t="shared" si="7"/>
        <v>0</v>
      </c>
      <c r="O23" s="536">
        <f t="shared" si="7"/>
        <v>0</v>
      </c>
      <c r="P23" s="536">
        <f t="shared" si="7"/>
        <v>0</v>
      </c>
      <c r="Q23" s="537">
        <f t="shared" si="7"/>
        <v>0</v>
      </c>
      <c r="R23" s="1057">
        <f ca="1">IF(T23&gt;=0,1,IF(T23&lt;0.1,-1,0))</f>
        <v>1</v>
      </c>
      <c r="S23" s="1045">
        <f t="shared" ca="1" si="1"/>
        <v>4629198</v>
      </c>
      <c r="T23" s="1343">
        <f ca="1">IF(S18=S23,0,ROUND((S23-S18)/ABS(S18),3))</f>
        <v>0.161</v>
      </c>
      <c r="U23" s="1399">
        <f t="shared" ca="1" si="2"/>
        <v>4629198</v>
      </c>
      <c r="V23" s="1374">
        <f ca="1">IF(X23&gt;=0,1,IF(X23&lt;0.1,-1,0))</f>
        <v>1</v>
      </c>
      <c r="W23" s="1034">
        <f ca="1">S23+(12-IF(ISERROR(MATCH(DATE(YEAR($G$1),MONTH($G$1),1),$F$2:$Q$2,0)),0,MATCH(DATE(YEAR($G$1),MONTH($G$1),1),$F$2:$Q$2,0)))*U23</f>
        <v>55550376</v>
      </c>
      <c r="X23" s="1358">
        <f ca="1">IF(W18=W23,0,ROUND((W23-W18)/ABS(W18),3))</f>
        <v>0.14000000000000001</v>
      </c>
      <c r="Y23" s="1273">
        <v>0.1</v>
      </c>
    </row>
    <row r="24" spans="1:25" ht="14.1" customHeight="1" x14ac:dyDescent="0.15">
      <c r="B24" s="1081" t="s">
        <v>26</v>
      </c>
      <c r="C24" s="2166" t="s">
        <v>37</v>
      </c>
      <c r="D24" s="2196" t="s">
        <v>443</v>
      </c>
      <c r="E24" s="360" t="s">
        <v>26</v>
      </c>
      <c r="F24" s="503">
        <v>7000000</v>
      </c>
      <c r="G24" s="504">
        <v>7200000</v>
      </c>
      <c r="H24" s="504">
        <v>7200000</v>
      </c>
      <c r="I24" s="504">
        <v>7000000</v>
      </c>
      <c r="J24" s="504">
        <v>7000000</v>
      </c>
      <c r="K24" s="504">
        <v>7000000</v>
      </c>
      <c r="L24" s="504">
        <v>7200000</v>
      </c>
      <c r="M24" s="504">
        <v>7400000</v>
      </c>
      <c r="N24" s="504">
        <v>7400000</v>
      </c>
      <c r="O24" s="504">
        <v>7500000</v>
      </c>
      <c r="P24" s="504">
        <v>7500000</v>
      </c>
      <c r="Q24" s="505">
        <v>7200000</v>
      </c>
      <c r="R24" s="1295"/>
      <c r="S24" s="1039">
        <f t="shared" ca="1" si="1"/>
        <v>7000000</v>
      </c>
      <c r="T24" s="1338"/>
      <c r="U24" s="1394">
        <f t="shared" ca="1" si="2"/>
        <v>7000000</v>
      </c>
      <c r="V24" s="1390"/>
      <c r="W24" s="1035">
        <f>SUM(F24:Q24)</f>
        <v>86600000</v>
      </c>
      <c r="X24" s="1352"/>
    </row>
    <row r="25" spans="1:25" ht="14.1" customHeight="1" x14ac:dyDescent="0.15">
      <c r="B25" s="1081" t="s">
        <v>15</v>
      </c>
      <c r="C25" s="2167"/>
      <c r="D25" s="2197"/>
      <c r="E25" s="1108" t="s">
        <v>15</v>
      </c>
      <c r="F25" s="509">
        <v>4041000</v>
      </c>
      <c r="G25" s="510">
        <v>4317000</v>
      </c>
      <c r="H25" s="510">
        <v>4156000</v>
      </c>
      <c r="I25" s="510">
        <v>4041000</v>
      </c>
      <c r="J25" s="510">
        <v>4185000</v>
      </c>
      <c r="K25" s="510">
        <v>4041000</v>
      </c>
      <c r="L25" s="510">
        <v>4156000</v>
      </c>
      <c r="M25" s="510">
        <v>4272000</v>
      </c>
      <c r="N25" s="510">
        <v>4272000</v>
      </c>
      <c r="O25" s="510">
        <v>4329000</v>
      </c>
      <c r="P25" s="510">
        <v>4467000</v>
      </c>
      <c r="Q25" s="511">
        <v>4156000</v>
      </c>
      <c r="R25" s="1296"/>
      <c r="S25" s="1040">
        <f t="shared" ca="1" si="1"/>
        <v>4041000</v>
      </c>
      <c r="T25" s="1339"/>
      <c r="U25" s="1395">
        <f t="shared" ca="1" si="2"/>
        <v>4041000</v>
      </c>
      <c r="V25" s="1391"/>
      <c r="W25" s="1036">
        <f>SUM(F25:Q25)</f>
        <v>50433000</v>
      </c>
      <c r="X25" s="1353"/>
    </row>
    <row r="26" spans="1:25" ht="14.1" customHeight="1" x14ac:dyDescent="0.15">
      <c r="B26" s="1081" t="s">
        <v>447</v>
      </c>
      <c r="C26" s="2167"/>
      <c r="D26" s="2197"/>
      <c r="E26" s="1108" t="s">
        <v>447</v>
      </c>
      <c r="F26" s="509">
        <v>50000</v>
      </c>
      <c r="G26" s="510">
        <v>50000</v>
      </c>
      <c r="H26" s="510">
        <v>50000</v>
      </c>
      <c r="I26" s="510">
        <v>100000</v>
      </c>
      <c r="J26" s="510">
        <v>50000</v>
      </c>
      <c r="K26" s="510">
        <v>50000</v>
      </c>
      <c r="L26" s="510">
        <v>100000</v>
      </c>
      <c r="M26" s="510">
        <v>100000</v>
      </c>
      <c r="N26" s="510">
        <v>50000</v>
      </c>
      <c r="O26" s="510">
        <v>50000</v>
      </c>
      <c r="P26" s="510">
        <v>100000</v>
      </c>
      <c r="Q26" s="511">
        <v>50000</v>
      </c>
      <c r="R26" s="1296"/>
      <c r="S26" s="1040">
        <f t="shared" ca="1" si="1"/>
        <v>50000</v>
      </c>
      <c r="T26" s="1339"/>
      <c r="U26" s="1395">
        <f t="shared" ca="1" si="2"/>
        <v>50000</v>
      </c>
      <c r="V26" s="1391"/>
      <c r="W26" s="1036">
        <f>SUM(F26:Q26)</f>
        <v>800000</v>
      </c>
      <c r="X26" s="1353"/>
    </row>
    <row r="27" spans="1:25" ht="14.1" customHeight="1" x14ac:dyDescent="0.15">
      <c r="B27" s="1081" t="s">
        <v>1230</v>
      </c>
      <c r="C27" s="2167"/>
      <c r="D27" s="2197"/>
      <c r="E27" s="1108" t="s">
        <v>35</v>
      </c>
      <c r="F27" s="509">
        <v>1025000</v>
      </c>
      <c r="G27" s="510">
        <v>1054000</v>
      </c>
      <c r="H27" s="510">
        <v>1054000</v>
      </c>
      <c r="I27" s="510">
        <v>1025000</v>
      </c>
      <c r="J27" s="510">
        <v>1025000</v>
      </c>
      <c r="K27" s="510">
        <v>1025000</v>
      </c>
      <c r="L27" s="510">
        <v>1054000</v>
      </c>
      <c r="M27" s="510">
        <v>1084000</v>
      </c>
      <c r="N27" s="510">
        <v>1084000</v>
      </c>
      <c r="O27" s="510">
        <v>1098000</v>
      </c>
      <c r="P27" s="510">
        <v>1098000</v>
      </c>
      <c r="Q27" s="511">
        <v>1054000</v>
      </c>
      <c r="R27" s="1296"/>
      <c r="S27" s="1040">
        <f t="shared" ca="1" si="1"/>
        <v>1025000</v>
      </c>
      <c r="T27" s="1339"/>
      <c r="U27" s="1395">
        <f t="shared" ca="1" si="2"/>
        <v>1025000</v>
      </c>
      <c r="V27" s="1391"/>
      <c r="W27" s="1036">
        <f>SUM(F27:Q27)</f>
        <v>12680000</v>
      </c>
      <c r="X27" s="1353"/>
    </row>
    <row r="28" spans="1:25" ht="14.1" customHeight="1" thickBot="1" x14ac:dyDescent="0.2">
      <c r="B28" s="1081" t="s">
        <v>32</v>
      </c>
      <c r="C28" s="2167"/>
      <c r="D28" s="2198"/>
      <c r="E28" s="1109" t="s">
        <v>32</v>
      </c>
      <c r="F28" s="530">
        <f t="shared" ref="F28:Q28" si="8">F24-(F25+F27)</f>
        <v>1934000</v>
      </c>
      <c r="G28" s="531">
        <f t="shared" si="8"/>
        <v>1829000</v>
      </c>
      <c r="H28" s="531">
        <f t="shared" si="8"/>
        <v>1990000</v>
      </c>
      <c r="I28" s="531">
        <f t="shared" si="8"/>
        <v>1934000</v>
      </c>
      <c r="J28" s="531">
        <f t="shared" si="8"/>
        <v>1790000</v>
      </c>
      <c r="K28" s="531">
        <f t="shared" si="8"/>
        <v>1934000</v>
      </c>
      <c r="L28" s="531">
        <f t="shared" si="8"/>
        <v>1990000</v>
      </c>
      <c r="M28" s="531">
        <f t="shared" si="8"/>
        <v>2044000</v>
      </c>
      <c r="N28" s="531">
        <f t="shared" si="8"/>
        <v>2044000</v>
      </c>
      <c r="O28" s="531">
        <f t="shared" si="8"/>
        <v>2073000</v>
      </c>
      <c r="P28" s="531">
        <f t="shared" si="8"/>
        <v>1935000</v>
      </c>
      <c r="Q28" s="532">
        <f t="shared" si="8"/>
        <v>1990000</v>
      </c>
      <c r="R28" s="1052"/>
      <c r="S28" s="1044">
        <f t="shared" ca="1" si="1"/>
        <v>1934000</v>
      </c>
      <c r="T28" s="1340"/>
      <c r="U28" s="1396">
        <f t="shared" ca="1" si="2"/>
        <v>1934000</v>
      </c>
      <c r="V28" s="1032"/>
      <c r="W28" s="1032">
        <f>SUM(F28:Q28)</f>
        <v>23487000</v>
      </c>
      <c r="X28" s="1355"/>
    </row>
    <row r="29" spans="1:25" ht="14.1" customHeight="1" x14ac:dyDescent="0.15">
      <c r="A29" s="1081" t="s">
        <v>37</v>
      </c>
      <c r="B29" s="1081" t="s">
        <v>26</v>
      </c>
      <c r="C29" s="2167"/>
      <c r="D29" s="2480" t="s">
        <v>444</v>
      </c>
      <c r="E29" s="376" t="s">
        <v>26</v>
      </c>
      <c r="F29" s="516">
        <v>6524597</v>
      </c>
      <c r="G29" s="517"/>
      <c r="H29" s="517"/>
      <c r="I29" s="517"/>
      <c r="J29" s="517"/>
      <c r="K29" s="517"/>
      <c r="L29" s="517"/>
      <c r="M29" s="517"/>
      <c r="N29" s="517"/>
      <c r="O29" s="517"/>
      <c r="P29" s="517"/>
      <c r="Q29" s="518"/>
      <c r="R29" s="1055">
        <f ca="1">IF(T29&gt;=1,1,IF(T29&lt;0.9,-1,0))</f>
        <v>0</v>
      </c>
      <c r="S29" s="1041">
        <f t="shared" ca="1" si="1"/>
        <v>6524597</v>
      </c>
      <c r="T29" s="1341">
        <f ca="1">IF(S24&lt;0,ROUND((S29-S24)/ABS(S24),3),IF(S24=0,0,ROUND(S29/S24,3)))</f>
        <v>0.93200000000000005</v>
      </c>
      <c r="U29" s="1397">
        <f t="shared" ca="1" si="2"/>
        <v>6524597</v>
      </c>
      <c r="V29" s="1372">
        <f ca="1">IF(X29&gt;=1,1,IF(X29&lt;0.9,-1,0))</f>
        <v>0</v>
      </c>
      <c r="W29" s="1030">
        <f ca="1">S29+(12-IF(ISERROR(MATCH(DATE(YEAR($G$1),MONTH($G$1),1),$F$2:$Q$2,0)),0,MATCH(DATE(YEAR($G$1),MONTH($G$1),1),$F$2:$Q$2,0)))*U29</f>
        <v>78295164</v>
      </c>
      <c r="X29" s="1356">
        <f ca="1">IF(W24&lt;0,ROUND((W29-W24)/ABS(W24),3),IF(W24=0,0,ROUND(W29/W24,3)))</f>
        <v>0.90400000000000003</v>
      </c>
      <c r="Y29" s="1273">
        <v>0.1</v>
      </c>
    </row>
    <row r="30" spans="1:25" ht="14.1" customHeight="1" x14ac:dyDescent="0.15">
      <c r="A30" s="1081" t="s">
        <v>37</v>
      </c>
      <c r="B30" s="1081" t="s">
        <v>15</v>
      </c>
      <c r="C30" s="2167"/>
      <c r="D30" s="2481"/>
      <c r="E30" s="1107" t="s">
        <v>15</v>
      </c>
      <c r="F30" s="520">
        <v>4348520</v>
      </c>
      <c r="G30" s="521"/>
      <c r="H30" s="521"/>
      <c r="I30" s="521"/>
      <c r="J30" s="521"/>
      <c r="K30" s="521"/>
      <c r="L30" s="521"/>
      <c r="M30" s="521"/>
      <c r="N30" s="521"/>
      <c r="O30" s="521"/>
      <c r="P30" s="521"/>
      <c r="Q30" s="522"/>
      <c r="R30" s="1056">
        <f ca="1">IF(T30&lt;=1,1,IF(T30&gt;1.1,-1,0))</f>
        <v>0</v>
      </c>
      <c r="S30" s="1042">
        <f t="shared" ca="1" si="1"/>
        <v>4348520</v>
      </c>
      <c r="T30" s="1342">
        <f ca="1">IF(S25&lt;0,ROUND((S30-S25)/ABS(S25),3),IF(S25=0,0,ROUND(S30/S25,3)))</f>
        <v>1.0760000000000001</v>
      </c>
      <c r="U30" s="1398">
        <f t="shared" ca="1" si="2"/>
        <v>4348520</v>
      </c>
      <c r="V30" s="1373">
        <f ca="1">IF(X30&lt;=1,1,IF(X30&gt;1.1,-1,0))</f>
        <v>0</v>
      </c>
      <c r="W30" s="1031">
        <f ca="1">S30+(12-IF(ISERROR(MATCH(DATE(YEAR($G$1),MONTH($G$1),1),$F$2:$Q$2,0)),0,MATCH(DATE(YEAR($G$1),MONTH($G$1),1),$F$2:$Q$2,0)))*U30</f>
        <v>52182240</v>
      </c>
      <c r="X30" s="1357">
        <f ca="1">IF(W25&lt;0,ROUND((W30-W25)/ABS(W25),3),IF(W25=0,0,ROUND(W30/W25,3)))</f>
        <v>1.0349999999999999</v>
      </c>
      <c r="Y30" s="1273">
        <v>0.1</v>
      </c>
    </row>
    <row r="31" spans="1:25" ht="14.1" customHeight="1" x14ac:dyDescent="0.15">
      <c r="A31" s="1081" t="s">
        <v>37</v>
      </c>
      <c r="B31" s="1081" t="s">
        <v>448</v>
      </c>
      <c r="C31" s="2167"/>
      <c r="D31" s="2481"/>
      <c r="E31" s="1107" t="s">
        <v>448</v>
      </c>
      <c r="F31" s="520">
        <v>52166</v>
      </c>
      <c r="G31" s="521"/>
      <c r="H31" s="521"/>
      <c r="I31" s="521"/>
      <c r="J31" s="521"/>
      <c r="K31" s="521"/>
      <c r="L31" s="521"/>
      <c r="M31" s="521"/>
      <c r="N31" s="521"/>
      <c r="O31" s="521"/>
      <c r="P31" s="521"/>
      <c r="Q31" s="522"/>
      <c r="R31" s="1056">
        <f ca="1">IF(T31&lt;=1,1,IF(T31&gt;1.1,-1,0))</f>
        <v>0</v>
      </c>
      <c r="S31" s="1042">
        <f t="shared" ca="1" si="1"/>
        <v>52166</v>
      </c>
      <c r="T31" s="1342">
        <f ca="1">IF(S26&lt;0,ROUND((S31-S26)/ABS(S26),3),IF(S26=0,0,ROUND(S31/S26,3)))</f>
        <v>1.0429999999999999</v>
      </c>
      <c r="U31" s="1398">
        <f t="shared" ca="1" si="2"/>
        <v>52166</v>
      </c>
      <c r="V31" s="1373">
        <f ca="1">IF(X31&lt;=1,1,IF(X31&gt;1.1,-1,0))</f>
        <v>1</v>
      </c>
      <c r="W31" s="1031">
        <f ca="1">S31+(12-IF(ISERROR(MATCH(DATE(YEAR($G$1),MONTH($G$1),1),$F$2:$Q$2,0)),0,MATCH(DATE(YEAR($G$1),MONTH($G$1),1),$F$2:$Q$2,0)))*U31</f>
        <v>625992</v>
      </c>
      <c r="X31" s="1357">
        <f ca="1">IF(W26&lt;0,ROUND((W31-W26)/ABS(W26),3),IF(W26=0,0,ROUND(W31/W26,3)))</f>
        <v>0.78200000000000003</v>
      </c>
      <c r="Y31" s="1273">
        <v>0.1</v>
      </c>
    </row>
    <row r="32" spans="1:25" ht="14.1" customHeight="1" x14ac:dyDescent="0.15">
      <c r="A32" s="1081" t="s">
        <v>37</v>
      </c>
      <c r="B32" s="1081" t="s">
        <v>1230</v>
      </c>
      <c r="C32" s="2167"/>
      <c r="D32" s="2481"/>
      <c r="E32" s="1107" t="s">
        <v>35</v>
      </c>
      <c r="F32" s="520">
        <v>1119973</v>
      </c>
      <c r="G32" s="521"/>
      <c r="H32" s="521"/>
      <c r="I32" s="521"/>
      <c r="J32" s="521"/>
      <c r="K32" s="521"/>
      <c r="L32" s="521"/>
      <c r="M32" s="521"/>
      <c r="N32" s="521"/>
      <c r="O32" s="521"/>
      <c r="P32" s="521"/>
      <c r="Q32" s="522"/>
      <c r="R32" s="1056">
        <f ca="1">IF(T32&lt;=1,1,IF(T32&gt;1.1,-1,0))</f>
        <v>0</v>
      </c>
      <c r="S32" s="1042">
        <f t="shared" ca="1" si="1"/>
        <v>1119973</v>
      </c>
      <c r="T32" s="1342">
        <f ca="1">IF(S27&lt;0,ROUND((S32-S27)/ABS(S27),3),IF(S27=0,0,ROUND(S32/S27,3)))</f>
        <v>1.093</v>
      </c>
      <c r="U32" s="1398">
        <f t="shared" ca="1" si="2"/>
        <v>1119973</v>
      </c>
      <c r="V32" s="1373">
        <f ca="1">IF(X32&lt;=1,1,IF(X32&gt;1.1,-1,0))</f>
        <v>0</v>
      </c>
      <c r="W32" s="1031">
        <f ca="1">S32+(12-IF(ISERROR(MATCH(DATE(YEAR($G$1),MONTH($G$1),1),$F$2:$Q$2,0)),0,MATCH(DATE(YEAR($G$1),MONTH($G$1),1),$F$2:$Q$2,0)))*U32</f>
        <v>13439676</v>
      </c>
      <c r="X32" s="1357">
        <f ca="1">IF(W27&lt;0,ROUND((W32-W27)/ABS(W27),3),IF(W27=0,0,ROUND(W32/W27,3)))</f>
        <v>1.06</v>
      </c>
      <c r="Y32" s="1273">
        <v>0.1</v>
      </c>
    </row>
    <row r="33" spans="1:25" ht="14.1" customHeight="1" thickBot="1" x14ac:dyDescent="0.2">
      <c r="A33" s="1081" t="s">
        <v>37</v>
      </c>
      <c r="B33" s="1081" t="s">
        <v>32</v>
      </c>
      <c r="C33" s="2168"/>
      <c r="D33" s="2482"/>
      <c r="E33" s="1103" t="s">
        <v>32</v>
      </c>
      <c r="F33" s="535">
        <f t="shared" ref="F33:Q33" si="9">F29-(F30+F32)</f>
        <v>1056104</v>
      </c>
      <c r="G33" s="536">
        <f t="shared" si="9"/>
        <v>0</v>
      </c>
      <c r="H33" s="536">
        <f t="shared" si="9"/>
        <v>0</v>
      </c>
      <c r="I33" s="536">
        <f t="shared" si="9"/>
        <v>0</v>
      </c>
      <c r="J33" s="536">
        <f t="shared" si="9"/>
        <v>0</v>
      </c>
      <c r="K33" s="536">
        <f t="shared" si="9"/>
        <v>0</v>
      </c>
      <c r="L33" s="536">
        <f t="shared" si="9"/>
        <v>0</v>
      </c>
      <c r="M33" s="536">
        <f t="shared" si="9"/>
        <v>0</v>
      </c>
      <c r="N33" s="536">
        <f t="shared" si="9"/>
        <v>0</v>
      </c>
      <c r="O33" s="536">
        <f t="shared" si="9"/>
        <v>0</v>
      </c>
      <c r="P33" s="536">
        <f t="shared" si="9"/>
        <v>0</v>
      </c>
      <c r="Q33" s="537">
        <f t="shared" si="9"/>
        <v>0</v>
      </c>
      <c r="R33" s="1057">
        <f ca="1">IF(T33&gt;=0,1,IF(T33&lt;0.1,-1,0))</f>
        <v>-1</v>
      </c>
      <c r="S33" s="1045">
        <f t="shared" ca="1" si="1"/>
        <v>1056104</v>
      </c>
      <c r="T33" s="1343">
        <f ca="1">IF(S28=S33,0,ROUND((S33-S28)/ABS(S28),3))</f>
        <v>-0.45400000000000001</v>
      </c>
      <c r="U33" s="1399">
        <f t="shared" ca="1" si="2"/>
        <v>1056104</v>
      </c>
      <c r="V33" s="1374">
        <f ca="1">IF(X33&gt;=0,1,IF(X33&lt;0.1,-1,0))</f>
        <v>-1</v>
      </c>
      <c r="W33" s="1034">
        <f ca="1">S33+(12-IF(ISERROR(MATCH(DATE(YEAR($G$1),MONTH($G$1),1),$F$2:$Q$2,0)),0,MATCH(DATE(YEAR($G$1),MONTH($G$1),1),$F$2:$Q$2,0)))*U33</f>
        <v>12673248</v>
      </c>
      <c r="X33" s="1358">
        <f ca="1">IF(W28=W33,0,ROUND((W33-W28)/ABS(W28),3))</f>
        <v>-0.46</v>
      </c>
      <c r="Y33" s="1273">
        <v>0.1</v>
      </c>
    </row>
    <row r="34" spans="1:25" ht="14.1" customHeight="1" x14ac:dyDescent="0.15">
      <c r="B34" s="1081" t="s">
        <v>26</v>
      </c>
      <c r="C34" s="2166" t="s">
        <v>66</v>
      </c>
      <c r="D34" s="2196" t="s">
        <v>443</v>
      </c>
      <c r="E34" s="360" t="s">
        <v>26</v>
      </c>
      <c r="F34" s="503">
        <v>7000000</v>
      </c>
      <c r="G34" s="504">
        <v>7200000</v>
      </c>
      <c r="H34" s="504">
        <v>7000000</v>
      </c>
      <c r="I34" s="504">
        <v>7200000</v>
      </c>
      <c r="J34" s="504">
        <v>7000000</v>
      </c>
      <c r="K34" s="504">
        <v>7000000</v>
      </c>
      <c r="L34" s="504">
        <v>7200000</v>
      </c>
      <c r="M34" s="504">
        <v>7200000</v>
      </c>
      <c r="N34" s="504">
        <v>7400000</v>
      </c>
      <c r="O34" s="504">
        <v>7300000</v>
      </c>
      <c r="P34" s="504">
        <v>7500000</v>
      </c>
      <c r="Q34" s="505">
        <v>7500000</v>
      </c>
      <c r="R34" s="1295"/>
      <c r="S34" s="1039">
        <f t="shared" ca="1" si="1"/>
        <v>7000000</v>
      </c>
      <c r="T34" s="1338"/>
      <c r="U34" s="1394">
        <f t="shared" ca="1" si="2"/>
        <v>7000000</v>
      </c>
      <c r="V34" s="1390"/>
      <c r="W34" s="1035">
        <f>SUM(F34:Q34)</f>
        <v>86500000</v>
      </c>
      <c r="X34" s="1352"/>
    </row>
    <row r="35" spans="1:25" ht="14.1" customHeight="1" x14ac:dyDescent="0.15">
      <c r="B35" s="1081" t="s">
        <v>15</v>
      </c>
      <c r="C35" s="2167"/>
      <c r="D35" s="2197"/>
      <c r="E35" s="1108" t="s">
        <v>15</v>
      </c>
      <c r="F35" s="509">
        <v>4061000</v>
      </c>
      <c r="G35" s="510">
        <v>4338000</v>
      </c>
      <c r="H35" s="510">
        <v>4061000</v>
      </c>
      <c r="I35" s="510">
        <v>4177000</v>
      </c>
      <c r="J35" s="510">
        <v>4205000</v>
      </c>
      <c r="K35" s="510">
        <v>4061000</v>
      </c>
      <c r="L35" s="510">
        <v>4177000</v>
      </c>
      <c r="M35" s="510">
        <v>4177000</v>
      </c>
      <c r="N35" s="510">
        <v>4292000</v>
      </c>
      <c r="O35" s="510">
        <v>4235000</v>
      </c>
      <c r="P35" s="510">
        <v>4488000</v>
      </c>
      <c r="Q35" s="511">
        <v>4350000</v>
      </c>
      <c r="R35" s="1296"/>
      <c r="S35" s="1040">
        <f t="shared" ca="1" si="1"/>
        <v>4061000</v>
      </c>
      <c r="T35" s="1339"/>
      <c r="U35" s="1395">
        <f t="shared" ca="1" si="2"/>
        <v>4061000</v>
      </c>
      <c r="V35" s="1391"/>
      <c r="W35" s="1036">
        <f>SUM(F35:Q35)</f>
        <v>50622000</v>
      </c>
      <c r="X35" s="1353"/>
    </row>
    <row r="36" spans="1:25" ht="14.1" customHeight="1" x14ac:dyDescent="0.15">
      <c r="B36" s="1081" t="s">
        <v>447</v>
      </c>
      <c r="C36" s="2167"/>
      <c r="D36" s="2197"/>
      <c r="E36" s="1108" t="s">
        <v>447</v>
      </c>
      <c r="F36" s="509">
        <v>80000</v>
      </c>
      <c r="G36" s="510">
        <v>40000</v>
      </c>
      <c r="H36" s="510">
        <v>80000</v>
      </c>
      <c r="I36" s="510">
        <v>0</v>
      </c>
      <c r="J36" s="510">
        <v>40000</v>
      </c>
      <c r="K36" s="510">
        <v>40000</v>
      </c>
      <c r="L36" s="510">
        <v>40000</v>
      </c>
      <c r="M36" s="510">
        <v>0</v>
      </c>
      <c r="N36" s="510">
        <v>0</v>
      </c>
      <c r="O36" s="510">
        <v>0</v>
      </c>
      <c r="P36" s="510">
        <v>50000</v>
      </c>
      <c r="Q36" s="511">
        <v>50000</v>
      </c>
      <c r="R36" s="1296"/>
      <c r="S36" s="1040">
        <f t="shared" ca="1" si="1"/>
        <v>80000</v>
      </c>
      <c r="T36" s="1339"/>
      <c r="U36" s="1395">
        <f t="shared" ca="1" si="2"/>
        <v>80000</v>
      </c>
      <c r="V36" s="1391"/>
      <c r="W36" s="1036">
        <f>SUM(F36:Q36)</f>
        <v>420000</v>
      </c>
      <c r="X36" s="1353"/>
    </row>
    <row r="37" spans="1:25" ht="14.1" customHeight="1" x14ac:dyDescent="0.15">
      <c r="B37" s="1081" t="s">
        <v>1230</v>
      </c>
      <c r="C37" s="2167"/>
      <c r="D37" s="2197"/>
      <c r="E37" s="1108" t="s">
        <v>35</v>
      </c>
      <c r="F37" s="509">
        <v>844000</v>
      </c>
      <c r="G37" s="510">
        <v>868000</v>
      </c>
      <c r="H37" s="510">
        <v>844000</v>
      </c>
      <c r="I37" s="510">
        <v>868000</v>
      </c>
      <c r="J37" s="510">
        <v>844000</v>
      </c>
      <c r="K37" s="510">
        <v>844000</v>
      </c>
      <c r="L37" s="510">
        <v>868000</v>
      </c>
      <c r="M37" s="510">
        <v>868000</v>
      </c>
      <c r="N37" s="510">
        <v>892000</v>
      </c>
      <c r="O37" s="510">
        <v>880000</v>
      </c>
      <c r="P37" s="510">
        <v>904000</v>
      </c>
      <c r="Q37" s="511">
        <v>904000</v>
      </c>
      <c r="R37" s="1296"/>
      <c r="S37" s="1040">
        <f t="shared" ca="1" si="1"/>
        <v>844000</v>
      </c>
      <c r="T37" s="1339"/>
      <c r="U37" s="1395">
        <f t="shared" ca="1" si="2"/>
        <v>844000</v>
      </c>
      <c r="V37" s="1391"/>
      <c r="W37" s="1036">
        <f>SUM(F37:Q37)</f>
        <v>10428000</v>
      </c>
      <c r="X37" s="1353"/>
    </row>
    <row r="38" spans="1:25" ht="14.1" customHeight="1" thickBot="1" x14ac:dyDescent="0.2">
      <c r="B38" s="1081" t="s">
        <v>32</v>
      </c>
      <c r="C38" s="2167"/>
      <c r="D38" s="2198"/>
      <c r="E38" s="1109" t="s">
        <v>32</v>
      </c>
      <c r="F38" s="530">
        <f t="shared" ref="F38:Q38" si="10">F34-(F35+F37)</f>
        <v>2095000</v>
      </c>
      <c r="G38" s="531">
        <f t="shared" si="10"/>
        <v>1994000</v>
      </c>
      <c r="H38" s="531">
        <f t="shared" si="10"/>
        <v>2095000</v>
      </c>
      <c r="I38" s="531">
        <f t="shared" si="10"/>
        <v>2155000</v>
      </c>
      <c r="J38" s="531">
        <f t="shared" si="10"/>
        <v>1951000</v>
      </c>
      <c r="K38" s="531">
        <f t="shared" si="10"/>
        <v>2095000</v>
      </c>
      <c r="L38" s="531">
        <f t="shared" si="10"/>
        <v>2155000</v>
      </c>
      <c r="M38" s="531">
        <f t="shared" si="10"/>
        <v>2155000</v>
      </c>
      <c r="N38" s="531">
        <f t="shared" si="10"/>
        <v>2216000</v>
      </c>
      <c r="O38" s="531">
        <f t="shared" si="10"/>
        <v>2185000</v>
      </c>
      <c r="P38" s="531">
        <f t="shared" si="10"/>
        <v>2108000</v>
      </c>
      <c r="Q38" s="532">
        <f t="shared" si="10"/>
        <v>2246000</v>
      </c>
      <c r="R38" s="1052"/>
      <c r="S38" s="1044">
        <f t="shared" ca="1" si="1"/>
        <v>2095000</v>
      </c>
      <c r="T38" s="1340"/>
      <c r="U38" s="1396">
        <f t="shared" ca="1" si="2"/>
        <v>2095000</v>
      </c>
      <c r="V38" s="1032"/>
      <c r="W38" s="1032">
        <f>SUM(F38:Q38)</f>
        <v>25450000</v>
      </c>
      <c r="X38" s="1355"/>
    </row>
    <row r="39" spans="1:25" ht="14.1" customHeight="1" x14ac:dyDescent="0.15">
      <c r="A39" s="1081" t="s">
        <v>66</v>
      </c>
      <c r="B39" s="1081" t="s">
        <v>26</v>
      </c>
      <c r="C39" s="2167"/>
      <c r="D39" s="2480" t="s">
        <v>444</v>
      </c>
      <c r="E39" s="376" t="s">
        <v>26</v>
      </c>
      <c r="F39" s="516">
        <v>7059745</v>
      </c>
      <c r="G39" s="517"/>
      <c r="H39" s="517"/>
      <c r="I39" s="517"/>
      <c r="J39" s="517"/>
      <c r="K39" s="517"/>
      <c r="L39" s="517"/>
      <c r="M39" s="517"/>
      <c r="N39" s="517"/>
      <c r="O39" s="517"/>
      <c r="P39" s="517"/>
      <c r="Q39" s="518"/>
      <c r="R39" s="1055">
        <f ca="1">IF(T39&gt;=1,1,IF(T39&lt;0.9,-1,0))</f>
        <v>1</v>
      </c>
      <c r="S39" s="1041">
        <f t="shared" ca="1" si="1"/>
        <v>7059745</v>
      </c>
      <c r="T39" s="1341">
        <f ca="1">IF(S34&lt;0,ROUND((S39-S34)/ABS(S34),3),IF(S34=0,0,ROUND(S39/S34,3)))</f>
        <v>1.0089999999999999</v>
      </c>
      <c r="U39" s="1397">
        <f t="shared" ca="1" si="2"/>
        <v>7059745</v>
      </c>
      <c r="V39" s="1372">
        <f ca="1">IF(X39&gt;=1,1,IF(X39&lt;0.9,-1,0))</f>
        <v>0</v>
      </c>
      <c r="W39" s="1030">
        <f ca="1">S39+(12-IF(ISERROR(MATCH(DATE(YEAR($G$1),MONTH($G$1),1),$F$2:$Q$2,0)),0,MATCH(DATE(YEAR($G$1),MONTH($G$1),1),$F$2:$Q$2,0)))*U39</f>
        <v>84716940</v>
      </c>
      <c r="X39" s="1356">
        <f ca="1">IF(W34&lt;0,ROUND((W39-W34)/ABS(W34),3),IF(W34=0,0,ROUND(W39/W34,3)))</f>
        <v>0.97899999999999998</v>
      </c>
      <c r="Y39" s="1273">
        <v>0.1</v>
      </c>
    </row>
    <row r="40" spans="1:25" ht="14.1" customHeight="1" x14ac:dyDescent="0.15">
      <c r="A40" s="1081" t="s">
        <v>66</v>
      </c>
      <c r="B40" s="1081" t="s">
        <v>15</v>
      </c>
      <c r="C40" s="2167"/>
      <c r="D40" s="2481"/>
      <c r="E40" s="1107" t="s">
        <v>15</v>
      </c>
      <c r="F40" s="520">
        <v>4157594</v>
      </c>
      <c r="G40" s="521"/>
      <c r="H40" s="521"/>
      <c r="I40" s="521"/>
      <c r="J40" s="521"/>
      <c r="K40" s="521"/>
      <c r="L40" s="521"/>
      <c r="M40" s="521"/>
      <c r="N40" s="521"/>
      <c r="O40" s="521"/>
      <c r="P40" s="521"/>
      <c r="Q40" s="522"/>
      <c r="R40" s="1056">
        <f ca="1">IF(T40&lt;=1,1,IF(T40&gt;1.1,-1,0))</f>
        <v>0</v>
      </c>
      <c r="S40" s="1042">
        <f t="shared" ca="1" si="1"/>
        <v>4157594</v>
      </c>
      <c r="T40" s="1342">
        <f ca="1">IF(S35&lt;0,ROUND((S40-S35)/ABS(S35),3),IF(S35=0,0,ROUND(S40/S35,3)))</f>
        <v>1.024</v>
      </c>
      <c r="U40" s="1398">
        <f t="shared" ca="1" si="2"/>
        <v>4157594</v>
      </c>
      <c r="V40" s="1373">
        <f ca="1">IF(X40&lt;=1,1,IF(X40&gt;1.1,-1,0))</f>
        <v>1</v>
      </c>
      <c r="W40" s="1031">
        <f ca="1">S40+(12-IF(ISERROR(MATCH(DATE(YEAR($G$1),MONTH($G$1),1),$F$2:$Q$2,0)),0,MATCH(DATE(YEAR($G$1),MONTH($G$1),1),$F$2:$Q$2,0)))*U40</f>
        <v>49891128</v>
      </c>
      <c r="X40" s="1357">
        <f ca="1">IF(W35&lt;0,ROUND((W40-W35)/ABS(W35),3),IF(W35=0,0,ROUND(W40/W35,3)))</f>
        <v>0.98599999999999999</v>
      </c>
      <c r="Y40" s="1273">
        <v>0.1</v>
      </c>
    </row>
    <row r="41" spans="1:25" ht="14.1" customHeight="1" x14ac:dyDescent="0.15">
      <c r="A41" s="1081" t="s">
        <v>66</v>
      </c>
      <c r="B41" s="1081" t="s">
        <v>448</v>
      </c>
      <c r="C41" s="2167"/>
      <c r="D41" s="2481"/>
      <c r="E41" s="1107" t="s">
        <v>448</v>
      </c>
      <c r="F41" s="520">
        <v>47520</v>
      </c>
      <c r="G41" s="521"/>
      <c r="H41" s="521"/>
      <c r="I41" s="521"/>
      <c r="J41" s="521"/>
      <c r="K41" s="521"/>
      <c r="L41" s="521"/>
      <c r="M41" s="521"/>
      <c r="N41" s="521"/>
      <c r="O41" s="521"/>
      <c r="P41" s="521"/>
      <c r="Q41" s="522"/>
      <c r="R41" s="1056">
        <f ca="1">IF(T41&lt;=1,1,IF(T41&gt;1.1,-1,0))</f>
        <v>1</v>
      </c>
      <c r="S41" s="1042">
        <f t="shared" ca="1" si="1"/>
        <v>47520</v>
      </c>
      <c r="T41" s="1342">
        <f ca="1">IF(S36&lt;0,ROUND((S41-S36)/ABS(S36),3),IF(S36=0,0,ROUND(S41/S36,3)))</f>
        <v>0.59399999999999997</v>
      </c>
      <c r="U41" s="1398">
        <f t="shared" ca="1" si="2"/>
        <v>47520</v>
      </c>
      <c r="V41" s="1373">
        <f ca="1">IF(X41&lt;=1,1,IF(X41&gt;1.1,-1,0))</f>
        <v>-1</v>
      </c>
      <c r="W41" s="1031">
        <f ca="1">S41+(12-IF(ISERROR(MATCH(DATE(YEAR($G$1),MONTH($G$1),1),$F$2:$Q$2,0)),0,MATCH(DATE(YEAR($G$1),MONTH($G$1),1),$F$2:$Q$2,0)))*U41</f>
        <v>570240</v>
      </c>
      <c r="X41" s="1357">
        <f ca="1">IF(W36&lt;0,ROUND((W41-W36)/ABS(W36),3),IF(W36=0,0,ROUND(W41/W36,3)))</f>
        <v>1.3580000000000001</v>
      </c>
      <c r="Y41" s="1273">
        <v>0.1</v>
      </c>
    </row>
    <row r="42" spans="1:25" ht="14.1" customHeight="1" x14ac:dyDescent="0.15">
      <c r="A42" s="1081" t="s">
        <v>66</v>
      </c>
      <c r="B42" s="1081" t="s">
        <v>1230</v>
      </c>
      <c r="C42" s="2167"/>
      <c r="D42" s="2481"/>
      <c r="E42" s="1107" t="s">
        <v>35</v>
      </c>
      <c r="F42" s="520">
        <v>797856</v>
      </c>
      <c r="G42" s="521"/>
      <c r="H42" s="521"/>
      <c r="I42" s="521"/>
      <c r="J42" s="521"/>
      <c r="K42" s="521"/>
      <c r="L42" s="521"/>
      <c r="M42" s="521"/>
      <c r="N42" s="521"/>
      <c r="O42" s="521"/>
      <c r="P42" s="521"/>
      <c r="Q42" s="522"/>
      <c r="R42" s="1056">
        <f ca="1">IF(T42&lt;=1,1,IF(T42&gt;1.1,-1,0))</f>
        <v>1</v>
      </c>
      <c r="S42" s="1042">
        <f t="shared" ca="1" si="1"/>
        <v>797856</v>
      </c>
      <c r="T42" s="1342">
        <f ca="1">IF(S37&lt;0,ROUND((S42-S37)/ABS(S37),3),IF(S37=0,0,ROUND(S42/S37,3)))</f>
        <v>0.94499999999999995</v>
      </c>
      <c r="U42" s="1398">
        <f t="shared" ca="1" si="2"/>
        <v>797856</v>
      </c>
      <c r="V42" s="1373">
        <f ca="1">IF(X42&lt;=1,1,IF(X42&gt;1.1,-1,0))</f>
        <v>1</v>
      </c>
      <c r="W42" s="1031">
        <f ca="1">S42+(12-IF(ISERROR(MATCH(DATE(YEAR($G$1),MONTH($G$1),1),$F$2:$Q$2,0)),0,MATCH(DATE(YEAR($G$1),MONTH($G$1),1),$F$2:$Q$2,0)))*U42</f>
        <v>9574272</v>
      </c>
      <c r="X42" s="1357">
        <f ca="1">IF(W37&lt;0,ROUND((W42-W37)/ABS(W37),3),IF(W37=0,0,ROUND(W42/W37,3)))</f>
        <v>0.91800000000000004</v>
      </c>
      <c r="Y42" s="1273">
        <v>0.1</v>
      </c>
    </row>
    <row r="43" spans="1:25" ht="14.1" customHeight="1" thickBot="1" x14ac:dyDescent="0.2">
      <c r="A43" s="1081" t="s">
        <v>66</v>
      </c>
      <c r="B43" s="1081" t="s">
        <v>32</v>
      </c>
      <c r="C43" s="2168"/>
      <c r="D43" s="2482"/>
      <c r="E43" s="1103" t="s">
        <v>32</v>
      </c>
      <c r="F43" s="535">
        <f t="shared" ref="F43:Q43" si="11">F39-(F40+F42)</f>
        <v>2104295</v>
      </c>
      <c r="G43" s="536">
        <f t="shared" si="11"/>
        <v>0</v>
      </c>
      <c r="H43" s="536">
        <f t="shared" si="11"/>
        <v>0</v>
      </c>
      <c r="I43" s="536">
        <f t="shared" si="11"/>
        <v>0</v>
      </c>
      <c r="J43" s="536">
        <f t="shared" si="11"/>
        <v>0</v>
      </c>
      <c r="K43" s="536">
        <f t="shared" si="11"/>
        <v>0</v>
      </c>
      <c r="L43" s="536">
        <f t="shared" si="11"/>
        <v>0</v>
      </c>
      <c r="M43" s="536">
        <f t="shared" si="11"/>
        <v>0</v>
      </c>
      <c r="N43" s="536">
        <f t="shared" si="11"/>
        <v>0</v>
      </c>
      <c r="O43" s="536">
        <f t="shared" si="11"/>
        <v>0</v>
      </c>
      <c r="P43" s="536">
        <f t="shared" si="11"/>
        <v>0</v>
      </c>
      <c r="Q43" s="537">
        <f t="shared" si="11"/>
        <v>0</v>
      </c>
      <c r="R43" s="1057">
        <f ca="1">IF(T43&gt;=0,1,IF(T43&lt;0.1,-1,0))</f>
        <v>1</v>
      </c>
      <c r="S43" s="1045">
        <f t="shared" ca="1" si="1"/>
        <v>2104295</v>
      </c>
      <c r="T43" s="1343">
        <f ca="1">IF(S38=S43,0,ROUND((S43-S38)/ABS(S38),3))</f>
        <v>4.0000000000000001E-3</v>
      </c>
      <c r="U43" s="1399">
        <f t="shared" ca="1" si="2"/>
        <v>2104295</v>
      </c>
      <c r="V43" s="1374">
        <f ca="1">IF(X43&gt;=0,1,IF(X43&lt;0.1,-1,0))</f>
        <v>-1</v>
      </c>
      <c r="W43" s="1034">
        <f ca="1">S43+(12-IF(ISERROR(MATCH(DATE(YEAR($G$1),MONTH($G$1),1),$F$2:$Q$2,0)),0,MATCH(DATE(YEAR($G$1),MONTH($G$1),1),$F$2:$Q$2,0)))*U43</f>
        <v>25251540</v>
      </c>
      <c r="X43" s="1358">
        <f ca="1">IF(W38=W43,0,ROUND((W43-W38)/ABS(W38),3))</f>
        <v>-8.0000000000000002E-3</v>
      </c>
      <c r="Y43" s="1273">
        <v>0.1</v>
      </c>
    </row>
    <row r="44" spans="1:25" ht="13.5" customHeight="1" x14ac:dyDescent="0.15">
      <c r="B44" s="1081" t="s">
        <v>26</v>
      </c>
      <c r="C44" s="2166" t="s">
        <v>967</v>
      </c>
      <c r="D44" s="2196" t="s">
        <v>443</v>
      </c>
      <c r="E44" s="360" t="s">
        <v>26</v>
      </c>
      <c r="F44" s="503">
        <v>1000000</v>
      </c>
      <c r="G44" s="504">
        <v>1200000</v>
      </c>
      <c r="H44" s="504">
        <v>1400000</v>
      </c>
      <c r="I44" s="504">
        <v>1600000</v>
      </c>
      <c r="J44" s="504">
        <v>1900000</v>
      </c>
      <c r="K44" s="504">
        <v>2100000</v>
      </c>
      <c r="L44" s="504">
        <v>2200000</v>
      </c>
      <c r="M44" s="504">
        <v>2400000</v>
      </c>
      <c r="N44" s="504">
        <v>2600000</v>
      </c>
      <c r="O44" s="504">
        <v>2800000</v>
      </c>
      <c r="P44" s="504">
        <v>3000000</v>
      </c>
      <c r="Q44" s="505">
        <v>3200000</v>
      </c>
      <c r="R44" s="1295"/>
      <c r="S44" s="1039">
        <f t="shared" ca="1" si="1"/>
        <v>1000000</v>
      </c>
      <c r="T44" s="1338"/>
      <c r="U44" s="1394">
        <f t="shared" ca="1" si="2"/>
        <v>1000000</v>
      </c>
      <c r="V44" s="1390"/>
      <c r="W44" s="1035">
        <f>SUM(F44:Q44)</f>
        <v>25400000</v>
      </c>
      <c r="X44" s="1352"/>
    </row>
    <row r="45" spans="1:25" ht="14.1" customHeight="1" x14ac:dyDescent="0.15">
      <c r="B45" s="1081" t="s">
        <v>15</v>
      </c>
      <c r="C45" s="2167"/>
      <c r="D45" s="2197"/>
      <c r="E45" s="1108" t="s">
        <v>15</v>
      </c>
      <c r="F45" s="509">
        <v>1115000</v>
      </c>
      <c r="G45" s="510">
        <v>1299000</v>
      </c>
      <c r="H45" s="510">
        <v>1281000</v>
      </c>
      <c r="I45" s="510">
        <v>1518000</v>
      </c>
      <c r="J45" s="510">
        <v>1505000</v>
      </c>
      <c r="K45" s="510">
        <v>1300000</v>
      </c>
      <c r="L45" s="510">
        <v>1319000</v>
      </c>
      <c r="M45" s="510">
        <v>1348000</v>
      </c>
      <c r="N45" s="510">
        <v>1594000</v>
      </c>
      <c r="O45" s="510">
        <v>1760000</v>
      </c>
      <c r="P45" s="510">
        <v>1710000</v>
      </c>
      <c r="Q45" s="511">
        <v>1950000</v>
      </c>
      <c r="R45" s="1296"/>
      <c r="S45" s="1040">
        <f t="shared" ca="1" si="1"/>
        <v>1115000</v>
      </c>
      <c r="T45" s="1339"/>
      <c r="U45" s="1395">
        <f t="shared" ca="1" si="2"/>
        <v>1115000</v>
      </c>
      <c r="V45" s="1391"/>
      <c r="W45" s="1036">
        <f>SUM(F45:Q45)</f>
        <v>17699000</v>
      </c>
      <c r="X45" s="1353"/>
    </row>
    <row r="46" spans="1:25" ht="14.1" customHeight="1" x14ac:dyDescent="0.15">
      <c r="B46" s="1081" t="s">
        <v>447</v>
      </c>
      <c r="C46" s="2167"/>
      <c r="D46" s="2197"/>
      <c r="E46" s="1108" t="s">
        <v>447</v>
      </c>
      <c r="F46" s="509">
        <v>60000</v>
      </c>
      <c r="G46" s="510">
        <v>60000</v>
      </c>
      <c r="H46" s="510">
        <v>60000</v>
      </c>
      <c r="I46" s="510">
        <v>0</v>
      </c>
      <c r="J46" s="510">
        <v>60000</v>
      </c>
      <c r="K46" s="510">
        <v>0</v>
      </c>
      <c r="L46" s="510">
        <v>60000</v>
      </c>
      <c r="M46" s="510">
        <v>0</v>
      </c>
      <c r="N46" s="510">
        <v>60000</v>
      </c>
      <c r="O46" s="510">
        <v>60000</v>
      </c>
      <c r="P46" s="510">
        <v>60000</v>
      </c>
      <c r="Q46" s="511">
        <v>0</v>
      </c>
      <c r="R46" s="1296"/>
      <c r="S46" s="1040">
        <f t="shared" ca="1" si="1"/>
        <v>60000</v>
      </c>
      <c r="T46" s="1339"/>
      <c r="U46" s="1395">
        <f t="shared" ca="1" si="2"/>
        <v>60000</v>
      </c>
      <c r="V46" s="1391"/>
      <c r="W46" s="1036">
        <f>SUM(F46:Q46)</f>
        <v>480000</v>
      </c>
      <c r="X46" s="1353"/>
    </row>
    <row r="47" spans="1:25" ht="14.1" customHeight="1" x14ac:dyDescent="0.15">
      <c r="B47" s="1081" t="s">
        <v>1230</v>
      </c>
      <c r="C47" s="2167"/>
      <c r="D47" s="2197"/>
      <c r="E47" s="1108" t="s">
        <v>35</v>
      </c>
      <c r="F47" s="509">
        <v>468000</v>
      </c>
      <c r="G47" s="510">
        <v>403000</v>
      </c>
      <c r="H47" s="510">
        <v>508000</v>
      </c>
      <c r="I47" s="510">
        <v>269000</v>
      </c>
      <c r="J47" s="510">
        <v>573000</v>
      </c>
      <c r="K47" s="510">
        <v>351000</v>
      </c>
      <c r="L47" s="510">
        <v>360000</v>
      </c>
      <c r="M47" s="510">
        <v>369000</v>
      </c>
      <c r="N47" s="510">
        <v>451000</v>
      </c>
      <c r="O47" s="510">
        <v>360000</v>
      </c>
      <c r="P47" s="510">
        <v>325000</v>
      </c>
      <c r="Q47" s="511">
        <v>440000</v>
      </c>
      <c r="R47" s="1296"/>
      <c r="S47" s="1040">
        <f t="shared" ca="1" si="1"/>
        <v>468000</v>
      </c>
      <c r="T47" s="1339"/>
      <c r="U47" s="1395">
        <f t="shared" ca="1" si="2"/>
        <v>468000</v>
      </c>
      <c r="V47" s="1391"/>
      <c r="W47" s="1036">
        <f>SUM(F47:Q47)</f>
        <v>4877000</v>
      </c>
      <c r="X47" s="1353"/>
    </row>
    <row r="48" spans="1:25" ht="14.1" customHeight="1" thickBot="1" x14ac:dyDescent="0.2">
      <c r="B48" s="1081" t="s">
        <v>32</v>
      </c>
      <c r="C48" s="2167"/>
      <c r="D48" s="2198"/>
      <c r="E48" s="1109" t="s">
        <v>32</v>
      </c>
      <c r="F48" s="530">
        <f t="shared" ref="F48:Q48" si="12">F44-(F45+F47)</f>
        <v>-583000</v>
      </c>
      <c r="G48" s="531">
        <f t="shared" si="12"/>
        <v>-502000</v>
      </c>
      <c r="H48" s="531">
        <f t="shared" si="12"/>
        <v>-389000</v>
      </c>
      <c r="I48" s="531">
        <f t="shared" si="12"/>
        <v>-187000</v>
      </c>
      <c r="J48" s="531">
        <f t="shared" si="12"/>
        <v>-178000</v>
      </c>
      <c r="K48" s="531">
        <f t="shared" si="12"/>
        <v>449000</v>
      </c>
      <c r="L48" s="531">
        <f t="shared" si="12"/>
        <v>521000</v>
      </c>
      <c r="M48" s="531">
        <f t="shared" si="12"/>
        <v>683000</v>
      </c>
      <c r="N48" s="531">
        <f t="shared" si="12"/>
        <v>555000</v>
      </c>
      <c r="O48" s="531">
        <f t="shared" si="12"/>
        <v>680000</v>
      </c>
      <c r="P48" s="531">
        <f t="shared" si="12"/>
        <v>965000</v>
      </c>
      <c r="Q48" s="532">
        <f t="shared" si="12"/>
        <v>810000</v>
      </c>
      <c r="R48" s="1052"/>
      <c r="S48" s="1044">
        <f t="shared" ca="1" si="1"/>
        <v>-583000</v>
      </c>
      <c r="T48" s="1340"/>
      <c r="U48" s="1396">
        <f t="shared" ca="1" si="2"/>
        <v>-583000</v>
      </c>
      <c r="V48" s="1032"/>
      <c r="W48" s="1032">
        <f>SUM(F48:Q48)</f>
        <v>2824000</v>
      </c>
      <c r="X48" s="1355"/>
    </row>
    <row r="49" spans="1:25" ht="14.1" customHeight="1" x14ac:dyDescent="0.15">
      <c r="A49" s="1081" t="s">
        <v>1194</v>
      </c>
      <c r="B49" s="1081" t="s">
        <v>26</v>
      </c>
      <c r="C49" s="2167"/>
      <c r="D49" s="2480" t="s">
        <v>444</v>
      </c>
      <c r="E49" s="376" t="s">
        <v>26</v>
      </c>
      <c r="F49" s="516">
        <v>1600309</v>
      </c>
      <c r="G49" s="517"/>
      <c r="H49" s="517"/>
      <c r="I49" s="517"/>
      <c r="J49" s="517"/>
      <c r="K49" s="517"/>
      <c r="L49" s="517"/>
      <c r="M49" s="517"/>
      <c r="N49" s="517"/>
      <c r="O49" s="517"/>
      <c r="P49" s="517"/>
      <c r="Q49" s="518"/>
      <c r="R49" s="1055">
        <f ca="1">IF(T49&gt;=1,1,IF(T49&lt;0.9,-1,0))</f>
        <v>1</v>
      </c>
      <c r="S49" s="1041">
        <f t="shared" ca="1" si="1"/>
        <v>1600309</v>
      </c>
      <c r="T49" s="1341">
        <f ca="1">IF(S44&lt;0,ROUND((S49-S44)/ABS(S44),3),IF(S44=0,0,ROUND(S49/S44,3)))</f>
        <v>1.6</v>
      </c>
      <c r="U49" s="1397">
        <f t="shared" ca="1" si="2"/>
        <v>1600309</v>
      </c>
      <c r="V49" s="1372">
        <f ca="1">IF(X49&gt;=1,1,IF(X49&lt;0.9,-1,0))</f>
        <v>-1</v>
      </c>
      <c r="W49" s="1030">
        <f ca="1">S49+(12-IF(ISERROR(MATCH(DATE(YEAR($G$1),MONTH($G$1),1),$F$2:$Q$2,0)),0,MATCH(DATE(YEAR($G$1),MONTH($G$1),1),$F$2:$Q$2,0)))*U49</f>
        <v>19203708</v>
      </c>
      <c r="X49" s="1356">
        <f ca="1">IF(W44&lt;0,ROUND((W49-W44)/ABS(W44),3),IF(W44=0,0,ROUND(W49/W44,3)))</f>
        <v>0.75600000000000001</v>
      </c>
      <c r="Y49" s="1273">
        <v>0.1</v>
      </c>
    </row>
    <row r="50" spans="1:25" ht="14.1" customHeight="1" x14ac:dyDescent="0.15">
      <c r="A50" s="1081" t="s">
        <v>978</v>
      </c>
      <c r="B50" s="1081" t="s">
        <v>15</v>
      </c>
      <c r="C50" s="2167"/>
      <c r="D50" s="2481"/>
      <c r="E50" s="1107" t="s">
        <v>15</v>
      </c>
      <c r="F50" s="520">
        <v>586291</v>
      </c>
      <c r="G50" s="521"/>
      <c r="H50" s="521"/>
      <c r="I50" s="521"/>
      <c r="J50" s="521"/>
      <c r="K50" s="521"/>
      <c r="L50" s="521"/>
      <c r="M50" s="521"/>
      <c r="N50" s="521"/>
      <c r="O50" s="521"/>
      <c r="P50" s="521"/>
      <c r="Q50" s="522"/>
      <c r="R50" s="1056">
        <f ca="1">IF(T50&lt;=1,1,IF(T50&gt;1.1,-1,0))</f>
        <v>1</v>
      </c>
      <c r="S50" s="1042">
        <f t="shared" ca="1" si="1"/>
        <v>586291</v>
      </c>
      <c r="T50" s="1342">
        <f ca="1">IF(S45&lt;0,ROUND((S50-S45)/ABS(S45),3),IF(S45=0,0,ROUND(S50/S45,3)))</f>
        <v>0.52600000000000002</v>
      </c>
      <c r="U50" s="1398">
        <f t="shared" ca="1" si="2"/>
        <v>586291</v>
      </c>
      <c r="V50" s="1373">
        <f ca="1">IF(X50&lt;=1,1,IF(X50&gt;1.1,-1,0))</f>
        <v>1</v>
      </c>
      <c r="W50" s="1031">
        <f ca="1">S50+(12-IF(ISERROR(MATCH(DATE(YEAR($G$1),MONTH($G$1),1),$F$2:$Q$2,0)),0,MATCH(DATE(YEAR($G$1),MONTH($G$1),1),$F$2:$Q$2,0)))*U50</f>
        <v>7035492</v>
      </c>
      <c r="X50" s="1357">
        <f ca="1">IF(W45&lt;0,ROUND((W50-W45)/ABS(W45),3),IF(W45=0,0,ROUND(W50/W45,3)))</f>
        <v>0.39800000000000002</v>
      </c>
      <c r="Y50" s="1273">
        <v>0.1</v>
      </c>
    </row>
    <row r="51" spans="1:25" ht="14.1" customHeight="1" x14ac:dyDescent="0.15">
      <c r="A51" s="1081" t="s">
        <v>978</v>
      </c>
      <c r="B51" s="1081" t="s">
        <v>448</v>
      </c>
      <c r="C51" s="2167"/>
      <c r="D51" s="2481"/>
      <c r="E51" s="1107" t="s">
        <v>448</v>
      </c>
      <c r="F51" s="520">
        <v>64800</v>
      </c>
      <c r="G51" s="521"/>
      <c r="H51" s="521"/>
      <c r="I51" s="521"/>
      <c r="J51" s="521"/>
      <c r="K51" s="521"/>
      <c r="L51" s="521"/>
      <c r="M51" s="521"/>
      <c r="N51" s="521"/>
      <c r="O51" s="521"/>
      <c r="P51" s="521"/>
      <c r="Q51" s="522"/>
      <c r="R51" s="1056">
        <f ca="1">IF(T51&lt;=1,1,IF(T51&gt;1.1,-1,0))</f>
        <v>0</v>
      </c>
      <c r="S51" s="1042">
        <f t="shared" ca="1" si="1"/>
        <v>64800</v>
      </c>
      <c r="T51" s="1342">
        <f ca="1">IF(S46&lt;0,ROUND((S51-S46)/ABS(S46),3),IF(S46=0,0,ROUND(S51/S46,3)))</f>
        <v>1.08</v>
      </c>
      <c r="U51" s="1398">
        <f t="shared" ca="1" si="2"/>
        <v>64800</v>
      </c>
      <c r="V51" s="1373">
        <f ca="1">IF(X51&lt;=1,1,IF(X51&gt;1.1,-1,0))</f>
        <v>-1</v>
      </c>
      <c r="W51" s="1031">
        <f ca="1">S51+(12-IF(ISERROR(MATCH(DATE(YEAR($G$1),MONTH($G$1),1),$F$2:$Q$2,0)),0,MATCH(DATE(YEAR($G$1),MONTH($G$1),1),$F$2:$Q$2,0)))*U51</f>
        <v>777600</v>
      </c>
      <c r="X51" s="1357">
        <f ca="1">IF(W46&lt;0,ROUND((W51-W46)/ABS(W46),3),IF(W46=0,0,ROUND(W51/W46,3)))</f>
        <v>1.62</v>
      </c>
      <c r="Y51" s="1273">
        <v>0.1</v>
      </c>
    </row>
    <row r="52" spans="1:25" ht="14.1" customHeight="1" x14ac:dyDescent="0.15">
      <c r="A52" s="1081" t="s">
        <v>978</v>
      </c>
      <c r="B52" s="1081" t="s">
        <v>1230</v>
      </c>
      <c r="C52" s="2167"/>
      <c r="D52" s="2481"/>
      <c r="E52" s="1107" t="s">
        <v>35</v>
      </c>
      <c r="F52" s="520">
        <v>645294</v>
      </c>
      <c r="G52" s="521"/>
      <c r="H52" s="521"/>
      <c r="I52" s="521"/>
      <c r="J52" s="521"/>
      <c r="K52" s="521"/>
      <c r="L52" s="521"/>
      <c r="M52" s="521"/>
      <c r="N52" s="521"/>
      <c r="O52" s="521"/>
      <c r="P52" s="521"/>
      <c r="Q52" s="522"/>
      <c r="R52" s="1056">
        <f ca="1">IF(T52&lt;=1,1,IF(T52&gt;1.1,-1,0))</f>
        <v>-1</v>
      </c>
      <c r="S52" s="1042">
        <f t="shared" ca="1" si="1"/>
        <v>645294</v>
      </c>
      <c r="T52" s="1342">
        <f ca="1">IF(S47&lt;0,ROUND((S52-S47)/ABS(S47),3),IF(S47=0,0,ROUND(S52/S47,3)))</f>
        <v>1.379</v>
      </c>
      <c r="U52" s="1398">
        <f t="shared" ca="1" si="2"/>
        <v>645294</v>
      </c>
      <c r="V52" s="1373">
        <f ca="1">IF(X52&lt;=1,1,IF(X52&gt;1.1,-1,0))</f>
        <v>-1</v>
      </c>
      <c r="W52" s="1031">
        <f ca="1">S52+(12-IF(ISERROR(MATCH(DATE(YEAR($G$1),MONTH($G$1),1),$F$2:$Q$2,0)),0,MATCH(DATE(YEAR($G$1),MONTH($G$1),1),$F$2:$Q$2,0)))*U52</f>
        <v>7743528</v>
      </c>
      <c r="X52" s="1357">
        <f ca="1">IF(W47&lt;0,ROUND((W52-W47)/ABS(W47),3),IF(W47=0,0,ROUND(W52/W47,3)))</f>
        <v>1.5880000000000001</v>
      </c>
      <c r="Y52" s="1273">
        <v>0.1</v>
      </c>
    </row>
    <row r="53" spans="1:25" ht="14.1" customHeight="1" thickBot="1" x14ac:dyDescent="0.2">
      <c r="A53" s="1081" t="s">
        <v>978</v>
      </c>
      <c r="B53" s="1081" t="s">
        <v>32</v>
      </c>
      <c r="C53" s="2168"/>
      <c r="D53" s="2482"/>
      <c r="E53" s="1103" t="s">
        <v>32</v>
      </c>
      <c r="F53" s="535">
        <f t="shared" ref="F53:Q53" si="13">F49-(F50+F52)</f>
        <v>368724</v>
      </c>
      <c r="G53" s="536">
        <f t="shared" si="13"/>
        <v>0</v>
      </c>
      <c r="H53" s="536">
        <f t="shared" si="13"/>
        <v>0</v>
      </c>
      <c r="I53" s="536">
        <f t="shared" si="13"/>
        <v>0</v>
      </c>
      <c r="J53" s="536">
        <f t="shared" si="13"/>
        <v>0</v>
      </c>
      <c r="K53" s="536">
        <f t="shared" si="13"/>
        <v>0</v>
      </c>
      <c r="L53" s="536">
        <f t="shared" si="13"/>
        <v>0</v>
      </c>
      <c r="M53" s="536">
        <f t="shared" si="13"/>
        <v>0</v>
      </c>
      <c r="N53" s="536">
        <f t="shared" si="13"/>
        <v>0</v>
      </c>
      <c r="O53" s="536">
        <f t="shared" si="13"/>
        <v>0</v>
      </c>
      <c r="P53" s="536">
        <f t="shared" si="13"/>
        <v>0</v>
      </c>
      <c r="Q53" s="537">
        <f t="shared" si="13"/>
        <v>0</v>
      </c>
      <c r="R53" s="1057">
        <f ca="1">IF(T53&gt;=0,1,IF(T53&lt;0.1,-1,0))</f>
        <v>1</v>
      </c>
      <c r="S53" s="1045">
        <f t="shared" ca="1" si="1"/>
        <v>368724</v>
      </c>
      <c r="T53" s="1343">
        <f ca="1">IF(S48=S53,0,ROUND((S53-S48)/ABS(S48),3))</f>
        <v>1.6319999999999999</v>
      </c>
      <c r="U53" s="1399">
        <f t="shared" ca="1" si="2"/>
        <v>368724</v>
      </c>
      <c r="V53" s="1374">
        <f ca="1">IF(X53&gt;=0,1,IF(X53&lt;0.1,-1,0))</f>
        <v>1</v>
      </c>
      <c r="W53" s="1034">
        <f ca="1">S53+(12-IF(ISERROR(MATCH(DATE(YEAR($G$1),MONTH($G$1),1),$F$2:$Q$2,0)),0,MATCH(DATE(YEAR($G$1),MONTH($G$1),1),$F$2:$Q$2,0)))*U53</f>
        <v>4424688</v>
      </c>
      <c r="X53" s="1358">
        <f ca="1">IF(W48=W53,0,ROUND((W53-W48)/ABS(W48),3))</f>
        <v>0.56699999999999995</v>
      </c>
      <c r="Y53" s="1273">
        <v>0.1</v>
      </c>
    </row>
    <row r="54" spans="1:25" ht="13.5" customHeight="1" x14ac:dyDescent="0.15">
      <c r="B54" s="1081" t="s">
        <v>26</v>
      </c>
      <c r="C54" s="2157" t="s">
        <v>1143</v>
      </c>
      <c r="D54" s="2196" t="s">
        <v>443</v>
      </c>
      <c r="E54" s="360" t="s">
        <v>26</v>
      </c>
      <c r="F54" s="503">
        <v>0</v>
      </c>
      <c r="G54" s="504">
        <v>420000</v>
      </c>
      <c r="H54" s="504">
        <v>730000</v>
      </c>
      <c r="I54" s="504">
        <v>1040000</v>
      </c>
      <c r="J54" s="504">
        <v>1270000</v>
      </c>
      <c r="K54" s="504">
        <v>1405000</v>
      </c>
      <c r="L54" s="504">
        <v>1730000</v>
      </c>
      <c r="M54" s="504">
        <v>2080000</v>
      </c>
      <c r="N54" s="504">
        <v>2430000</v>
      </c>
      <c r="O54" s="504">
        <v>2710000</v>
      </c>
      <c r="P54" s="504">
        <v>2830000</v>
      </c>
      <c r="Q54" s="505">
        <v>2950000</v>
      </c>
      <c r="R54" s="1295"/>
      <c r="S54" s="1039">
        <f t="shared" ca="1" si="1"/>
        <v>0</v>
      </c>
      <c r="T54" s="1338"/>
      <c r="U54" s="1394">
        <f t="shared" ca="1" si="2"/>
        <v>0</v>
      </c>
      <c r="V54" s="1390"/>
      <c r="W54" s="1035">
        <f>SUM(F54:Q54)</f>
        <v>19595000</v>
      </c>
      <c r="X54" s="1352"/>
    </row>
    <row r="55" spans="1:25" ht="14.1" customHeight="1" x14ac:dyDescent="0.15">
      <c r="B55" s="1081" t="s">
        <v>15</v>
      </c>
      <c r="C55" s="2167"/>
      <c r="D55" s="2197"/>
      <c r="E55" s="1108" t="s">
        <v>15</v>
      </c>
      <c r="F55" s="509">
        <v>396000</v>
      </c>
      <c r="G55" s="510">
        <v>658000</v>
      </c>
      <c r="H55" s="510">
        <v>931000</v>
      </c>
      <c r="I55" s="510">
        <v>980000</v>
      </c>
      <c r="J55" s="510">
        <v>1181000</v>
      </c>
      <c r="K55" s="510">
        <v>1299000</v>
      </c>
      <c r="L55" s="510">
        <v>1306000</v>
      </c>
      <c r="M55" s="510">
        <v>1520000</v>
      </c>
      <c r="N55" s="510">
        <v>1455000</v>
      </c>
      <c r="O55" s="510">
        <v>1302000</v>
      </c>
      <c r="P55" s="510">
        <v>1364000</v>
      </c>
      <c r="Q55" s="511">
        <v>1350000</v>
      </c>
      <c r="R55" s="1296"/>
      <c r="S55" s="1040">
        <f t="shared" ca="1" si="1"/>
        <v>396000</v>
      </c>
      <c r="T55" s="1339"/>
      <c r="U55" s="1395">
        <f t="shared" ca="1" si="2"/>
        <v>396000</v>
      </c>
      <c r="V55" s="1391"/>
      <c r="W55" s="1036">
        <f>SUM(F55:Q55)</f>
        <v>13742000</v>
      </c>
      <c r="X55" s="1353"/>
    </row>
    <row r="56" spans="1:25" ht="14.1" customHeight="1" x14ac:dyDescent="0.15">
      <c r="B56" s="1081" t="s">
        <v>447</v>
      </c>
      <c r="C56" s="2167"/>
      <c r="D56" s="2197"/>
      <c r="E56" s="1108" t="s">
        <v>447</v>
      </c>
      <c r="F56" s="509">
        <v>311040</v>
      </c>
      <c r="G56" s="510">
        <v>123120</v>
      </c>
      <c r="H56" s="510">
        <v>81000</v>
      </c>
      <c r="I56" s="510">
        <v>81000</v>
      </c>
      <c r="J56" s="510">
        <v>81000</v>
      </c>
      <c r="K56" s="510">
        <v>81000</v>
      </c>
      <c r="L56" s="510">
        <v>81000</v>
      </c>
      <c r="M56" s="510">
        <v>81000</v>
      </c>
      <c r="N56" s="510">
        <v>81000</v>
      </c>
      <c r="O56" s="510">
        <v>81000</v>
      </c>
      <c r="P56" s="510">
        <v>81000</v>
      </c>
      <c r="Q56" s="511">
        <v>81000</v>
      </c>
      <c r="R56" s="1296"/>
      <c r="S56" s="1040">
        <f t="shared" ca="1" si="1"/>
        <v>311040</v>
      </c>
      <c r="T56" s="1339"/>
      <c r="U56" s="1395">
        <f t="shared" ca="1" si="2"/>
        <v>311040</v>
      </c>
      <c r="V56" s="1391"/>
      <c r="W56" s="1036">
        <f>SUM(F56:Q56)</f>
        <v>1244160</v>
      </c>
      <c r="X56" s="1353"/>
    </row>
    <row r="57" spans="1:25" ht="14.1" customHeight="1" x14ac:dyDescent="0.15">
      <c r="B57" s="1081" t="s">
        <v>1230</v>
      </c>
      <c r="C57" s="2167"/>
      <c r="D57" s="2197"/>
      <c r="E57" s="1108" t="s">
        <v>35</v>
      </c>
      <c r="F57" s="509">
        <v>660000</v>
      </c>
      <c r="G57" s="510">
        <v>811000</v>
      </c>
      <c r="H57" s="510">
        <v>525000</v>
      </c>
      <c r="I57" s="510">
        <v>588000</v>
      </c>
      <c r="J57" s="510">
        <v>590000</v>
      </c>
      <c r="K57" s="510">
        <v>525000</v>
      </c>
      <c r="L57" s="510">
        <v>630000</v>
      </c>
      <c r="M57" s="510">
        <v>391000</v>
      </c>
      <c r="N57" s="510">
        <v>694000</v>
      </c>
      <c r="O57" s="510">
        <v>472000</v>
      </c>
      <c r="P57" s="510">
        <v>482000</v>
      </c>
      <c r="Q57" s="511">
        <v>491000</v>
      </c>
      <c r="R57" s="1296"/>
      <c r="S57" s="1040">
        <f t="shared" ca="1" si="1"/>
        <v>660000</v>
      </c>
      <c r="T57" s="1339"/>
      <c r="U57" s="1395">
        <f t="shared" ca="1" si="2"/>
        <v>660000</v>
      </c>
      <c r="V57" s="1391"/>
      <c r="W57" s="1036">
        <f>SUM(F57:Q57)</f>
        <v>6859000</v>
      </c>
      <c r="X57" s="1353"/>
    </row>
    <row r="58" spans="1:25" ht="14.1" customHeight="1" thickBot="1" x14ac:dyDescent="0.2">
      <c r="B58" s="1081" t="s">
        <v>32</v>
      </c>
      <c r="C58" s="2167"/>
      <c r="D58" s="2198"/>
      <c r="E58" s="1109" t="s">
        <v>32</v>
      </c>
      <c r="F58" s="530">
        <f t="shared" ref="F58:Q58" si="14">F54-(F55+F57)</f>
        <v>-1056000</v>
      </c>
      <c r="G58" s="531">
        <f t="shared" si="14"/>
        <v>-1049000</v>
      </c>
      <c r="H58" s="531">
        <f t="shared" si="14"/>
        <v>-726000</v>
      </c>
      <c r="I58" s="531">
        <f t="shared" si="14"/>
        <v>-528000</v>
      </c>
      <c r="J58" s="531">
        <f t="shared" si="14"/>
        <v>-501000</v>
      </c>
      <c r="K58" s="531">
        <f t="shared" si="14"/>
        <v>-419000</v>
      </c>
      <c r="L58" s="531">
        <f t="shared" si="14"/>
        <v>-206000</v>
      </c>
      <c r="M58" s="531">
        <f t="shared" si="14"/>
        <v>169000</v>
      </c>
      <c r="N58" s="531">
        <f t="shared" si="14"/>
        <v>281000</v>
      </c>
      <c r="O58" s="531">
        <f t="shared" si="14"/>
        <v>936000</v>
      </c>
      <c r="P58" s="531">
        <f t="shared" si="14"/>
        <v>984000</v>
      </c>
      <c r="Q58" s="532">
        <f t="shared" si="14"/>
        <v>1109000</v>
      </c>
      <c r="R58" s="1052"/>
      <c r="S58" s="1044">
        <f t="shared" ca="1" si="1"/>
        <v>-1056000</v>
      </c>
      <c r="T58" s="1340"/>
      <c r="U58" s="1396">
        <f t="shared" ca="1" si="2"/>
        <v>-1056000</v>
      </c>
      <c r="V58" s="1032"/>
      <c r="W58" s="1032">
        <f>SUM(F58:Q58)</f>
        <v>-1006000</v>
      </c>
      <c r="X58" s="1355"/>
    </row>
    <row r="59" spans="1:25" ht="14.1" customHeight="1" x14ac:dyDescent="0.15">
      <c r="A59" s="1081" t="s">
        <v>1190</v>
      </c>
      <c r="B59" s="1081" t="s">
        <v>26</v>
      </c>
      <c r="C59" s="2167"/>
      <c r="D59" s="2480" t="s">
        <v>444</v>
      </c>
      <c r="E59" s="376" t="s">
        <v>26</v>
      </c>
      <c r="F59" s="516"/>
      <c r="G59" s="517"/>
      <c r="H59" s="517"/>
      <c r="I59" s="517"/>
      <c r="J59" s="517"/>
      <c r="K59" s="517"/>
      <c r="L59" s="517"/>
      <c r="M59" s="517"/>
      <c r="N59" s="517"/>
      <c r="O59" s="517"/>
      <c r="P59" s="517"/>
      <c r="Q59" s="518"/>
      <c r="R59" s="1055">
        <f ca="1">IF(T59&gt;=1,1,IF(T59&lt;0.9,-1,0))</f>
        <v>-1</v>
      </c>
      <c r="S59" s="1041">
        <f t="shared" ca="1" si="1"/>
        <v>0</v>
      </c>
      <c r="T59" s="1341">
        <f ca="1">IF(S54&lt;0,ROUND((S59-S54)/ABS(S54),3),IF(S54=0,0,ROUND(S59/S54,3)))</f>
        <v>0</v>
      </c>
      <c r="U59" s="1397">
        <f t="shared" ca="1" si="2"/>
        <v>0</v>
      </c>
      <c r="V59" s="1372">
        <f ca="1">IF(X59&gt;=1,1,IF(X59&lt;0.9,-1,0))</f>
        <v>-1</v>
      </c>
      <c r="W59" s="1030">
        <f ca="1">S59+(12-IF(ISERROR(MATCH(DATE(YEAR($G$1),MONTH($G$1),1),$F$2:$Q$2,0)),0,MATCH(DATE(YEAR($G$1),MONTH($G$1),1),$F$2:$Q$2,0)))*U59</f>
        <v>0</v>
      </c>
      <c r="X59" s="1356">
        <f ca="1">IF(W54&lt;0,ROUND((W59-W54)/ABS(W54),3),IF(W54=0,0,ROUND(W59/W54,3)))</f>
        <v>0</v>
      </c>
      <c r="Y59" s="1273">
        <v>0.1</v>
      </c>
    </row>
    <row r="60" spans="1:25" ht="14.1" customHeight="1" x14ac:dyDescent="0.15">
      <c r="A60" s="1081" t="s">
        <v>1190</v>
      </c>
      <c r="B60" s="1081" t="s">
        <v>15</v>
      </c>
      <c r="C60" s="2167"/>
      <c r="D60" s="2481"/>
      <c r="E60" s="1107" t="s">
        <v>15</v>
      </c>
      <c r="F60" s="520"/>
      <c r="G60" s="521"/>
      <c r="H60" s="521"/>
      <c r="I60" s="521"/>
      <c r="J60" s="521"/>
      <c r="K60" s="521"/>
      <c r="L60" s="521"/>
      <c r="M60" s="521"/>
      <c r="N60" s="521"/>
      <c r="O60" s="521"/>
      <c r="P60" s="521"/>
      <c r="Q60" s="522"/>
      <c r="R60" s="1056">
        <f ca="1">IF(T60&lt;=1,1,IF(T60&gt;1.1,-1,0))</f>
        <v>1</v>
      </c>
      <c r="S60" s="1042">
        <f t="shared" ca="1" si="1"/>
        <v>0</v>
      </c>
      <c r="T60" s="1342">
        <f ca="1">IF(S55&lt;0,ROUND((S60-S55)/ABS(S55),3),IF(S55=0,0,ROUND(S60/S55,3)))</f>
        <v>0</v>
      </c>
      <c r="U60" s="1398">
        <f t="shared" ca="1" si="2"/>
        <v>0</v>
      </c>
      <c r="V60" s="1373">
        <f ca="1">IF(X60&lt;=1,1,IF(X60&gt;1.1,-1,0))</f>
        <v>1</v>
      </c>
      <c r="W60" s="1031">
        <f ca="1">S60+(12-IF(ISERROR(MATCH(DATE(YEAR($G$1),MONTH($G$1),1),$F$2:$Q$2,0)),0,MATCH(DATE(YEAR($G$1),MONTH($G$1),1),$F$2:$Q$2,0)))*U60</f>
        <v>0</v>
      </c>
      <c r="X60" s="1357">
        <f ca="1">IF(W55&lt;0,ROUND((W60-W55)/ABS(W55),3),IF(W55=0,0,ROUND(W60/W55,3)))</f>
        <v>0</v>
      </c>
      <c r="Y60" s="1273">
        <v>0.1</v>
      </c>
    </row>
    <row r="61" spans="1:25" ht="14.1" customHeight="1" x14ac:dyDescent="0.15">
      <c r="A61" s="1081" t="s">
        <v>1190</v>
      </c>
      <c r="B61" s="1081" t="s">
        <v>448</v>
      </c>
      <c r="C61" s="2167"/>
      <c r="D61" s="2481"/>
      <c r="E61" s="1107" t="s">
        <v>448</v>
      </c>
      <c r="F61" s="520">
        <v>138000</v>
      </c>
      <c r="G61" s="521"/>
      <c r="H61" s="521"/>
      <c r="I61" s="521"/>
      <c r="J61" s="521"/>
      <c r="K61" s="521"/>
      <c r="L61" s="521"/>
      <c r="M61" s="521"/>
      <c r="N61" s="521"/>
      <c r="O61" s="521"/>
      <c r="P61" s="521"/>
      <c r="Q61" s="522"/>
      <c r="R61" s="1056">
        <f ca="1">IF(T61&lt;=1,1,IF(T61&gt;1.1,-1,0))</f>
        <v>1</v>
      </c>
      <c r="S61" s="1042">
        <f t="shared" ca="1" si="1"/>
        <v>138000</v>
      </c>
      <c r="T61" s="1342">
        <f ca="1">IF(S56&lt;0,ROUND((S61-S56)/ABS(S56),3),IF(S56=0,0,ROUND(S61/S56,3)))</f>
        <v>0.44400000000000001</v>
      </c>
      <c r="U61" s="1398">
        <f t="shared" ca="1" si="2"/>
        <v>138000</v>
      </c>
      <c r="V61" s="1373">
        <f ca="1">IF(X61&lt;=1,1,IF(X61&gt;1.1,-1,0))</f>
        <v>-1</v>
      </c>
      <c r="W61" s="1031">
        <f ca="1">S61+(12-IF(ISERROR(MATCH(DATE(YEAR($G$1),MONTH($G$1),1),$F$2:$Q$2,0)),0,MATCH(DATE(YEAR($G$1),MONTH($G$1),1),$F$2:$Q$2,0)))*U61</f>
        <v>1656000</v>
      </c>
      <c r="X61" s="1357">
        <f ca="1">IF(W56&lt;0,ROUND((W61-W56)/ABS(W56),3),IF(W56=0,0,ROUND(W61/W56,3)))</f>
        <v>1.331</v>
      </c>
      <c r="Y61" s="1273">
        <v>0.1</v>
      </c>
    </row>
    <row r="62" spans="1:25" ht="14.1" customHeight="1" x14ac:dyDescent="0.15">
      <c r="A62" s="1081" t="s">
        <v>1190</v>
      </c>
      <c r="B62" s="1081" t="s">
        <v>1230</v>
      </c>
      <c r="C62" s="2167"/>
      <c r="D62" s="2481"/>
      <c r="E62" s="1107" t="s">
        <v>35</v>
      </c>
      <c r="F62" s="520">
        <v>723848</v>
      </c>
      <c r="G62" s="521"/>
      <c r="H62" s="521"/>
      <c r="I62" s="521"/>
      <c r="J62" s="521"/>
      <c r="K62" s="521"/>
      <c r="L62" s="521"/>
      <c r="M62" s="521"/>
      <c r="N62" s="521"/>
      <c r="O62" s="521"/>
      <c r="P62" s="521"/>
      <c r="Q62" s="522"/>
      <c r="R62" s="1056">
        <f ca="1">IF(T62&lt;=1,1,IF(T62&gt;1.1,-1,0))</f>
        <v>0</v>
      </c>
      <c r="S62" s="1042">
        <f t="shared" ca="1" si="1"/>
        <v>723848</v>
      </c>
      <c r="T62" s="1342">
        <f ca="1">IF(S57&lt;0,ROUND((S62-S57)/ABS(S57),3),IF(S57=0,0,ROUND(S62/S57,3)))</f>
        <v>1.097</v>
      </c>
      <c r="U62" s="1398">
        <f t="shared" ca="1" si="2"/>
        <v>723848</v>
      </c>
      <c r="V62" s="1373">
        <f ca="1">IF(X62&lt;=1,1,IF(X62&gt;1.1,-1,0))</f>
        <v>-1</v>
      </c>
      <c r="W62" s="1031">
        <f ca="1">S62+(12-IF(ISERROR(MATCH(DATE(YEAR($G$1),MONTH($G$1),1),$F$2:$Q$2,0)),0,MATCH(DATE(YEAR($G$1),MONTH($G$1),1),$F$2:$Q$2,0)))*U62</f>
        <v>8686176</v>
      </c>
      <c r="X62" s="1357">
        <f ca="1">IF(W57&lt;0,ROUND((W62-W57)/ABS(W57),3),IF(W57=0,0,ROUND(W62/W57,3)))</f>
        <v>1.266</v>
      </c>
      <c r="Y62" s="1273">
        <v>0.1</v>
      </c>
    </row>
    <row r="63" spans="1:25" ht="14.1" customHeight="1" thickBot="1" x14ac:dyDescent="0.2">
      <c r="A63" s="1081" t="s">
        <v>1190</v>
      </c>
      <c r="B63" s="1081" t="s">
        <v>32</v>
      </c>
      <c r="C63" s="2168"/>
      <c r="D63" s="2482"/>
      <c r="E63" s="1103" t="s">
        <v>32</v>
      </c>
      <c r="F63" s="535">
        <f t="shared" ref="F63:Q63" si="15">F59-(F60+F62)</f>
        <v>-723848</v>
      </c>
      <c r="G63" s="536">
        <f t="shared" si="15"/>
        <v>0</v>
      </c>
      <c r="H63" s="536">
        <f t="shared" si="15"/>
        <v>0</v>
      </c>
      <c r="I63" s="536">
        <f t="shared" si="15"/>
        <v>0</v>
      </c>
      <c r="J63" s="536">
        <f t="shared" si="15"/>
        <v>0</v>
      </c>
      <c r="K63" s="536">
        <f t="shared" si="15"/>
        <v>0</v>
      </c>
      <c r="L63" s="536">
        <f t="shared" si="15"/>
        <v>0</v>
      </c>
      <c r="M63" s="536">
        <f t="shared" si="15"/>
        <v>0</v>
      </c>
      <c r="N63" s="536">
        <f t="shared" si="15"/>
        <v>0</v>
      </c>
      <c r="O63" s="536">
        <f t="shared" si="15"/>
        <v>0</v>
      </c>
      <c r="P63" s="536">
        <f t="shared" si="15"/>
        <v>0</v>
      </c>
      <c r="Q63" s="537">
        <f t="shared" si="15"/>
        <v>0</v>
      </c>
      <c r="R63" s="1057">
        <f ca="1">IF(T63&gt;=0,1,IF(T63&lt;0.1,-1,0))</f>
        <v>1</v>
      </c>
      <c r="S63" s="1045">
        <f t="shared" ca="1" si="1"/>
        <v>-723848</v>
      </c>
      <c r="T63" s="1343">
        <f ca="1">IF(S58=S63,0,ROUND((S63-S58)/ABS(S58),3))</f>
        <v>0.315</v>
      </c>
      <c r="U63" s="1399">
        <f t="shared" ca="1" si="2"/>
        <v>-723848</v>
      </c>
      <c r="V63" s="1374">
        <f ca="1">IF(X63&gt;=0,1,IF(X63&lt;0.1,-1,0))</f>
        <v>-1</v>
      </c>
      <c r="W63" s="1034">
        <f ca="1">S63+(12-IF(ISERROR(MATCH(DATE(YEAR($G$1),MONTH($G$1),1),$F$2:$Q$2,0)),0,MATCH(DATE(YEAR($G$1),MONTH($G$1),1),$F$2:$Q$2,0)))*U63</f>
        <v>-8686176</v>
      </c>
      <c r="X63" s="1358">
        <f ca="1">IF(W58=W63,0,ROUND((W63-W58)/ABS(W58),3))</f>
        <v>-7.6340000000000003</v>
      </c>
      <c r="Y63" s="1273">
        <v>0.1</v>
      </c>
    </row>
    <row r="64" spans="1:25" ht="13.5" customHeight="1" x14ac:dyDescent="0.15">
      <c r="B64" s="1081" t="s">
        <v>26</v>
      </c>
      <c r="C64" s="2486" t="s">
        <v>1295</v>
      </c>
      <c r="D64" s="2196" t="s">
        <v>443</v>
      </c>
      <c r="E64" s="360" t="s">
        <v>26</v>
      </c>
      <c r="F64" s="503">
        <v>0</v>
      </c>
      <c r="G64" s="504">
        <v>0</v>
      </c>
      <c r="H64" s="504">
        <v>0</v>
      </c>
      <c r="I64" s="504">
        <v>0</v>
      </c>
      <c r="J64" s="504">
        <v>100000</v>
      </c>
      <c r="K64" s="504">
        <v>300000</v>
      </c>
      <c r="L64" s="504">
        <v>730000</v>
      </c>
      <c r="M64" s="504">
        <v>1040000</v>
      </c>
      <c r="N64" s="504">
        <v>1270000</v>
      </c>
      <c r="O64" s="504">
        <v>1405000</v>
      </c>
      <c r="P64" s="504">
        <v>1730000</v>
      </c>
      <c r="Q64" s="505">
        <v>2080000</v>
      </c>
      <c r="R64" s="1295"/>
      <c r="S64" s="1039">
        <f t="shared" ca="1" si="1"/>
        <v>0</v>
      </c>
      <c r="T64" s="1338"/>
      <c r="U64" s="1394">
        <f t="shared" ca="1" si="2"/>
        <v>0</v>
      </c>
      <c r="V64" s="1390"/>
      <c r="W64" s="1035">
        <f>SUM(F64:Q64)</f>
        <v>8655000</v>
      </c>
      <c r="X64" s="1352"/>
    </row>
    <row r="65" spans="1:25" ht="14.1" customHeight="1" x14ac:dyDescent="0.15">
      <c r="B65" s="1081" t="s">
        <v>15</v>
      </c>
      <c r="C65" s="2487"/>
      <c r="D65" s="2197"/>
      <c r="E65" s="1108" t="s">
        <v>15</v>
      </c>
      <c r="F65" s="509">
        <v>0</v>
      </c>
      <c r="G65" s="510">
        <v>0</v>
      </c>
      <c r="H65" s="510">
        <v>0</v>
      </c>
      <c r="I65" s="510">
        <v>349000</v>
      </c>
      <c r="J65" s="510">
        <v>606000</v>
      </c>
      <c r="K65" s="510">
        <v>884000</v>
      </c>
      <c r="L65" s="510">
        <v>933000</v>
      </c>
      <c r="M65" s="510">
        <v>1093000</v>
      </c>
      <c r="N65" s="510">
        <v>1251000</v>
      </c>
      <c r="O65" s="510">
        <v>1258000</v>
      </c>
      <c r="P65" s="510">
        <v>1520000</v>
      </c>
      <c r="Q65" s="511">
        <v>1408000</v>
      </c>
      <c r="R65" s="1296"/>
      <c r="S65" s="1040">
        <f t="shared" ca="1" si="1"/>
        <v>0</v>
      </c>
      <c r="T65" s="1339"/>
      <c r="U65" s="1395">
        <f t="shared" ca="1" si="2"/>
        <v>0</v>
      </c>
      <c r="V65" s="1391"/>
      <c r="W65" s="1036">
        <f>SUM(F65:Q65)</f>
        <v>9302000</v>
      </c>
      <c r="X65" s="1353"/>
    </row>
    <row r="66" spans="1:25" ht="14.1" customHeight="1" x14ac:dyDescent="0.15">
      <c r="B66" s="1081" t="s">
        <v>447</v>
      </c>
      <c r="C66" s="2487"/>
      <c r="D66" s="2197"/>
      <c r="E66" s="1108" t="s">
        <v>447</v>
      </c>
      <c r="F66" s="509">
        <v>0</v>
      </c>
      <c r="G66" s="510">
        <v>0</v>
      </c>
      <c r="H66" s="510">
        <v>0</v>
      </c>
      <c r="I66" s="510">
        <v>311040</v>
      </c>
      <c r="J66" s="510">
        <v>123120</v>
      </c>
      <c r="K66" s="510">
        <v>81000</v>
      </c>
      <c r="L66" s="510">
        <v>81000</v>
      </c>
      <c r="M66" s="510">
        <v>81000</v>
      </c>
      <c r="N66" s="510">
        <v>81000</v>
      </c>
      <c r="O66" s="510">
        <v>81000</v>
      </c>
      <c r="P66" s="510">
        <v>81000</v>
      </c>
      <c r="Q66" s="511">
        <v>81000</v>
      </c>
      <c r="R66" s="1296"/>
      <c r="S66" s="1040">
        <f t="shared" ca="1" si="1"/>
        <v>0</v>
      </c>
      <c r="T66" s="1339"/>
      <c r="U66" s="1395">
        <f t="shared" ca="1" si="2"/>
        <v>0</v>
      </c>
      <c r="V66" s="1391"/>
      <c r="W66" s="1036">
        <f>SUM(F66:Q66)</f>
        <v>1001160</v>
      </c>
      <c r="X66" s="1353"/>
    </row>
    <row r="67" spans="1:25" ht="14.1" customHeight="1" x14ac:dyDescent="0.15">
      <c r="B67" s="1081" t="s">
        <v>1230</v>
      </c>
      <c r="C67" s="2487"/>
      <c r="D67" s="2197"/>
      <c r="E67" s="1108" t="s">
        <v>35</v>
      </c>
      <c r="F67" s="509">
        <v>0</v>
      </c>
      <c r="G67" s="510">
        <v>950000</v>
      </c>
      <c r="H67" s="510">
        <v>160000</v>
      </c>
      <c r="I67" s="510">
        <v>660000</v>
      </c>
      <c r="J67" s="510">
        <v>811000</v>
      </c>
      <c r="K67" s="510">
        <v>525000</v>
      </c>
      <c r="L67" s="510">
        <v>588000</v>
      </c>
      <c r="M67" s="510">
        <v>590000</v>
      </c>
      <c r="N67" s="510">
        <v>525000</v>
      </c>
      <c r="O67" s="510">
        <v>630000</v>
      </c>
      <c r="P67" s="510">
        <v>391000</v>
      </c>
      <c r="Q67" s="511">
        <v>694000</v>
      </c>
      <c r="R67" s="1296"/>
      <c r="S67" s="1040">
        <f t="shared" ref="S67:S130" ca="1" si="16">SUM(OFFSET(F67,0,0,1,IF(ISERROR(MATCH(DATE(YEAR($G$1),MONTH($G$1),1),$F$2:$Q$2,0)),0,MATCH(DATE(YEAR($G$1),MONTH($G$1),1),$F$2:$Q$2,0))))</f>
        <v>0</v>
      </c>
      <c r="T67" s="1339"/>
      <c r="U67" s="1395">
        <f t="shared" ref="U67:U130" ca="1" si="17">IF(ISERROR(S67/(DATEDIF(F$2,G$1,"M")+1)),0,S67/(DATEDIF(F$2,G$1,"M")+1))</f>
        <v>0</v>
      </c>
      <c r="V67" s="1391"/>
      <c r="W67" s="1036">
        <f>SUM(F67:Q67)</f>
        <v>6524000</v>
      </c>
      <c r="X67" s="1353"/>
    </row>
    <row r="68" spans="1:25" ht="14.1" customHeight="1" thickBot="1" x14ac:dyDescent="0.2">
      <c r="B68" s="1081" t="s">
        <v>32</v>
      </c>
      <c r="C68" s="2487"/>
      <c r="D68" s="2198"/>
      <c r="E68" s="1109" t="s">
        <v>32</v>
      </c>
      <c r="F68" s="530">
        <f t="shared" ref="F68:Q68" si="18">F64-(F65+F67)</f>
        <v>0</v>
      </c>
      <c r="G68" s="531">
        <f t="shared" si="18"/>
        <v>-950000</v>
      </c>
      <c r="H68" s="531">
        <f t="shared" si="18"/>
        <v>-160000</v>
      </c>
      <c r="I68" s="531">
        <f t="shared" si="18"/>
        <v>-1009000</v>
      </c>
      <c r="J68" s="531">
        <f t="shared" si="18"/>
        <v>-1317000</v>
      </c>
      <c r="K68" s="531">
        <f t="shared" si="18"/>
        <v>-1109000</v>
      </c>
      <c r="L68" s="531">
        <f t="shared" si="18"/>
        <v>-791000</v>
      </c>
      <c r="M68" s="531">
        <f t="shared" si="18"/>
        <v>-643000</v>
      </c>
      <c r="N68" s="531">
        <f t="shared" si="18"/>
        <v>-506000</v>
      </c>
      <c r="O68" s="531">
        <f t="shared" si="18"/>
        <v>-483000</v>
      </c>
      <c r="P68" s="531">
        <f t="shared" si="18"/>
        <v>-181000</v>
      </c>
      <c r="Q68" s="532">
        <f t="shared" si="18"/>
        <v>-22000</v>
      </c>
      <c r="R68" s="1052"/>
      <c r="S68" s="1044">
        <f t="shared" ca="1" si="16"/>
        <v>0</v>
      </c>
      <c r="T68" s="1340"/>
      <c r="U68" s="1396">
        <f t="shared" ca="1" si="17"/>
        <v>0</v>
      </c>
      <c r="V68" s="1032"/>
      <c r="W68" s="1032">
        <f>SUM(F68:Q68)</f>
        <v>-7171000</v>
      </c>
      <c r="X68" s="1355"/>
    </row>
    <row r="69" spans="1:25" ht="14.1" customHeight="1" x14ac:dyDescent="0.15">
      <c r="A69" s="1081" t="s">
        <v>1190</v>
      </c>
      <c r="B69" s="1081" t="s">
        <v>26</v>
      </c>
      <c r="C69" s="2487"/>
      <c r="D69" s="2480" t="s">
        <v>444</v>
      </c>
      <c r="E69" s="376" t="s">
        <v>26</v>
      </c>
      <c r="F69" s="516"/>
      <c r="G69" s="517"/>
      <c r="H69" s="517"/>
      <c r="I69" s="517"/>
      <c r="J69" s="517"/>
      <c r="K69" s="517"/>
      <c r="L69" s="517"/>
      <c r="M69" s="517"/>
      <c r="N69" s="517"/>
      <c r="O69" s="517"/>
      <c r="P69" s="517"/>
      <c r="Q69" s="518"/>
      <c r="R69" s="1055">
        <f ca="1">IF(T69&gt;=1,1,IF(T69&lt;0.9,-1,0))</f>
        <v>-1</v>
      </c>
      <c r="S69" s="1041">
        <f t="shared" ca="1" si="16"/>
        <v>0</v>
      </c>
      <c r="T69" s="1341">
        <f ca="1">IF(S64&lt;0,ROUND((S69-S64)/ABS(S64),3),IF(S64=0,0,ROUND(S69/S64,3)))</f>
        <v>0</v>
      </c>
      <c r="U69" s="1397">
        <f t="shared" ca="1" si="17"/>
        <v>0</v>
      </c>
      <c r="V69" s="1372">
        <f ca="1">IF(X69&gt;=1,1,IF(X69&lt;0.9,-1,0))</f>
        <v>-1</v>
      </c>
      <c r="W69" s="1030">
        <f ca="1">S69+(12-IF(ISERROR(MATCH(DATE(YEAR($G$1),MONTH($G$1),1),$F$2:$Q$2,0)),0,MATCH(DATE(YEAR($G$1),MONTH($G$1),1),$F$2:$Q$2,0)))*U69</f>
        <v>0</v>
      </c>
      <c r="X69" s="1356">
        <f ca="1">IF(W64&lt;0,ROUND((W69-W64)/ABS(W64),3),IF(W64=0,0,ROUND(W69/W64,3)))</f>
        <v>0</v>
      </c>
      <c r="Y69" s="1273">
        <v>0.1</v>
      </c>
    </row>
    <row r="70" spans="1:25" ht="14.1" customHeight="1" x14ac:dyDescent="0.15">
      <c r="A70" s="1081" t="s">
        <v>1190</v>
      </c>
      <c r="B70" s="1081" t="s">
        <v>15</v>
      </c>
      <c r="C70" s="2487"/>
      <c r="D70" s="2481"/>
      <c r="E70" s="1107" t="s">
        <v>15</v>
      </c>
      <c r="F70" s="520"/>
      <c r="G70" s="521"/>
      <c r="H70" s="521"/>
      <c r="I70" s="521"/>
      <c r="J70" s="521"/>
      <c r="K70" s="521"/>
      <c r="L70" s="521"/>
      <c r="M70" s="521"/>
      <c r="N70" s="521"/>
      <c r="O70" s="521"/>
      <c r="P70" s="521"/>
      <c r="Q70" s="522"/>
      <c r="R70" s="1056">
        <f ca="1">IF(T70&lt;=1,1,IF(T70&gt;1.1,-1,0))</f>
        <v>1</v>
      </c>
      <c r="S70" s="1042">
        <f t="shared" ca="1" si="16"/>
        <v>0</v>
      </c>
      <c r="T70" s="1342">
        <f ca="1">IF(S65&lt;0,ROUND((S70-S65)/ABS(S65),3),IF(S65=0,0,ROUND(S70/S65,3)))</f>
        <v>0</v>
      </c>
      <c r="U70" s="1398">
        <f t="shared" ca="1" si="17"/>
        <v>0</v>
      </c>
      <c r="V70" s="1373">
        <f ca="1">IF(X70&lt;=1,1,IF(X70&gt;1.1,-1,0))</f>
        <v>1</v>
      </c>
      <c r="W70" s="1031">
        <f ca="1">S70+(12-IF(ISERROR(MATCH(DATE(YEAR($G$1),MONTH($G$1),1),$F$2:$Q$2,0)),0,MATCH(DATE(YEAR($G$1),MONTH($G$1),1),$F$2:$Q$2,0)))*U70</f>
        <v>0</v>
      </c>
      <c r="X70" s="1357">
        <f ca="1">IF(W65&lt;0,ROUND((W70-W65)/ABS(W65),3),IF(W65=0,0,ROUND(W70/W65,3)))</f>
        <v>0</v>
      </c>
      <c r="Y70" s="1273">
        <v>0.1</v>
      </c>
    </row>
    <row r="71" spans="1:25" ht="14.1" customHeight="1" x14ac:dyDescent="0.15">
      <c r="A71" s="1081" t="s">
        <v>1190</v>
      </c>
      <c r="B71" s="1081" t="s">
        <v>448</v>
      </c>
      <c r="C71" s="2487"/>
      <c r="D71" s="2481"/>
      <c r="E71" s="1107" t="s">
        <v>448</v>
      </c>
      <c r="F71" s="520"/>
      <c r="G71" s="521"/>
      <c r="H71" s="521"/>
      <c r="I71" s="521"/>
      <c r="J71" s="521"/>
      <c r="K71" s="521"/>
      <c r="L71" s="521"/>
      <c r="M71" s="521"/>
      <c r="N71" s="521"/>
      <c r="O71" s="521"/>
      <c r="P71" s="521"/>
      <c r="Q71" s="522"/>
      <c r="R71" s="1056">
        <f ca="1">IF(T71&lt;=1,1,IF(T71&gt;1.1,-1,0))</f>
        <v>1</v>
      </c>
      <c r="S71" s="1042">
        <f t="shared" ca="1" si="16"/>
        <v>0</v>
      </c>
      <c r="T71" s="1342">
        <f ca="1">IF(S66&lt;0,ROUND((S71-S66)/ABS(S66),3),IF(S66=0,0,ROUND(S71/S66,3)))</f>
        <v>0</v>
      </c>
      <c r="U71" s="1398">
        <f t="shared" ca="1" si="17"/>
        <v>0</v>
      </c>
      <c r="V71" s="1373">
        <f ca="1">IF(X71&lt;=1,1,IF(X71&gt;1.1,-1,0))</f>
        <v>1</v>
      </c>
      <c r="W71" s="1031">
        <f ca="1">S71+(12-IF(ISERROR(MATCH(DATE(YEAR($G$1),MONTH($G$1),1),$F$2:$Q$2,0)),0,MATCH(DATE(YEAR($G$1),MONTH($G$1),1),$F$2:$Q$2,0)))*U71</f>
        <v>0</v>
      </c>
      <c r="X71" s="1357">
        <f ca="1">IF(W66&lt;0,ROUND((W71-W66)/ABS(W66),3),IF(W66=0,0,ROUND(W71/W66,3)))</f>
        <v>0</v>
      </c>
      <c r="Y71" s="1273">
        <v>0.1</v>
      </c>
    </row>
    <row r="72" spans="1:25" ht="14.1" customHeight="1" x14ac:dyDescent="0.15">
      <c r="A72" s="1081" t="s">
        <v>1190</v>
      </c>
      <c r="B72" s="1081" t="s">
        <v>1230</v>
      </c>
      <c r="C72" s="2487"/>
      <c r="D72" s="2481"/>
      <c r="E72" s="1107" t="s">
        <v>35</v>
      </c>
      <c r="F72" s="520"/>
      <c r="G72" s="521"/>
      <c r="H72" s="521"/>
      <c r="I72" s="521"/>
      <c r="J72" s="521"/>
      <c r="K72" s="521"/>
      <c r="L72" s="521"/>
      <c r="M72" s="521"/>
      <c r="N72" s="521"/>
      <c r="O72" s="521"/>
      <c r="P72" s="521"/>
      <c r="Q72" s="522"/>
      <c r="R72" s="1056">
        <f ca="1">IF(T72&lt;=1,1,IF(T72&gt;1.1,-1,0))</f>
        <v>1</v>
      </c>
      <c r="S72" s="1042">
        <f t="shared" ca="1" si="16"/>
        <v>0</v>
      </c>
      <c r="T72" s="1342">
        <f ca="1">IF(S67&lt;0,ROUND((S72-S67)/ABS(S67),3),IF(S67=0,0,ROUND(S72/S67,3)))</f>
        <v>0</v>
      </c>
      <c r="U72" s="1398">
        <f t="shared" ca="1" si="17"/>
        <v>0</v>
      </c>
      <c r="V72" s="1373">
        <f ca="1">IF(X72&lt;=1,1,IF(X72&gt;1.1,-1,0))</f>
        <v>1</v>
      </c>
      <c r="W72" s="1031">
        <f ca="1">S72+(12-IF(ISERROR(MATCH(DATE(YEAR($G$1),MONTH($G$1),1),$F$2:$Q$2,0)),0,MATCH(DATE(YEAR($G$1),MONTH($G$1),1),$F$2:$Q$2,0)))*U72</f>
        <v>0</v>
      </c>
      <c r="X72" s="1357">
        <f ca="1">IF(W67&lt;0,ROUND((W72-W67)/ABS(W67),3),IF(W67=0,0,ROUND(W72/W67,3)))</f>
        <v>0</v>
      </c>
      <c r="Y72" s="1273">
        <v>0.1</v>
      </c>
    </row>
    <row r="73" spans="1:25" ht="14.1" customHeight="1" thickBot="1" x14ac:dyDescent="0.2">
      <c r="A73" s="1081" t="s">
        <v>1190</v>
      </c>
      <c r="B73" s="1081" t="s">
        <v>32</v>
      </c>
      <c r="C73" s="2488"/>
      <c r="D73" s="2482"/>
      <c r="E73" s="1103" t="s">
        <v>32</v>
      </c>
      <c r="F73" s="535">
        <f t="shared" ref="F73:Q73" si="19">F69-(F70+F72)</f>
        <v>0</v>
      </c>
      <c r="G73" s="536">
        <f t="shared" si="19"/>
        <v>0</v>
      </c>
      <c r="H73" s="536">
        <f t="shared" si="19"/>
        <v>0</v>
      </c>
      <c r="I73" s="536">
        <f t="shared" si="19"/>
        <v>0</v>
      </c>
      <c r="J73" s="536">
        <f t="shared" si="19"/>
        <v>0</v>
      </c>
      <c r="K73" s="536">
        <f t="shared" si="19"/>
        <v>0</v>
      </c>
      <c r="L73" s="536">
        <f t="shared" si="19"/>
        <v>0</v>
      </c>
      <c r="M73" s="536">
        <f t="shared" si="19"/>
        <v>0</v>
      </c>
      <c r="N73" s="536">
        <f t="shared" si="19"/>
        <v>0</v>
      </c>
      <c r="O73" s="536">
        <f t="shared" si="19"/>
        <v>0</v>
      </c>
      <c r="P73" s="536">
        <f t="shared" si="19"/>
        <v>0</v>
      </c>
      <c r="Q73" s="537">
        <f t="shared" si="19"/>
        <v>0</v>
      </c>
      <c r="R73" s="1057">
        <f ca="1">IF(T73&gt;=0,1,IF(T73&lt;0.1,-1,0))</f>
        <v>1</v>
      </c>
      <c r="S73" s="1045">
        <f t="shared" ca="1" si="16"/>
        <v>0</v>
      </c>
      <c r="T73" s="1343">
        <f ca="1">IF(S68=S73,0,ROUND((S73-S68)/ABS(S68),3))</f>
        <v>0</v>
      </c>
      <c r="U73" s="1399">
        <f t="shared" ca="1" si="17"/>
        <v>0</v>
      </c>
      <c r="V73" s="1374">
        <f ca="1">IF(X73&gt;=0,1,IF(X73&lt;0.1,-1,0))</f>
        <v>1</v>
      </c>
      <c r="W73" s="1034">
        <f ca="1">S73+(12-IF(ISERROR(MATCH(DATE(YEAR($G$1),MONTH($G$1),1),$F$2:$Q$2,0)),0,MATCH(DATE(YEAR($G$1),MONTH($G$1),1),$F$2:$Q$2,0)))*U73</f>
        <v>0</v>
      </c>
      <c r="X73" s="1358">
        <f ca="1">IF(W68=W73,0,ROUND((W73-W68)/ABS(W68),3))</f>
        <v>1</v>
      </c>
      <c r="Y73" s="1273">
        <v>0.1</v>
      </c>
    </row>
    <row r="74" spans="1:25" ht="14.1" customHeight="1" x14ac:dyDescent="0.15">
      <c r="B74" s="1081" t="s">
        <v>26</v>
      </c>
      <c r="C74" s="2166" t="s">
        <v>358</v>
      </c>
      <c r="D74" s="2196" t="s">
        <v>443</v>
      </c>
      <c r="E74" s="360" t="s">
        <v>26</v>
      </c>
      <c r="F74" s="503">
        <v>4170000</v>
      </c>
      <c r="G74" s="504">
        <v>4330000</v>
      </c>
      <c r="H74" s="504">
        <v>4210000</v>
      </c>
      <c r="I74" s="504">
        <v>4370000</v>
      </c>
      <c r="J74" s="504">
        <v>4390000</v>
      </c>
      <c r="K74" s="504">
        <v>3990000</v>
      </c>
      <c r="L74" s="504">
        <v>4430000</v>
      </c>
      <c r="M74" s="504">
        <v>4310000</v>
      </c>
      <c r="N74" s="504">
        <v>4470000</v>
      </c>
      <c r="O74" s="504">
        <v>4350000</v>
      </c>
      <c r="P74" s="504">
        <v>4510000</v>
      </c>
      <c r="Q74" s="505">
        <v>4530000</v>
      </c>
      <c r="R74" s="1295"/>
      <c r="S74" s="1039">
        <f t="shared" ca="1" si="16"/>
        <v>4170000</v>
      </c>
      <c r="T74" s="1338"/>
      <c r="U74" s="1394">
        <f t="shared" ca="1" si="17"/>
        <v>4170000</v>
      </c>
      <c r="V74" s="1390"/>
      <c r="W74" s="1035">
        <f>SUM(F74:Q74)</f>
        <v>52060000</v>
      </c>
      <c r="X74" s="1352"/>
    </row>
    <row r="75" spans="1:25" ht="14.1" customHeight="1" x14ac:dyDescent="0.15">
      <c r="B75" s="1081" t="s">
        <v>15</v>
      </c>
      <c r="C75" s="2167"/>
      <c r="D75" s="2197"/>
      <c r="E75" s="1108" t="s">
        <v>15</v>
      </c>
      <c r="F75" s="509">
        <v>2481000</v>
      </c>
      <c r="G75" s="510">
        <v>2676000</v>
      </c>
      <c r="H75" s="510">
        <v>2505000</v>
      </c>
      <c r="I75" s="510">
        <v>2600000</v>
      </c>
      <c r="J75" s="510">
        <v>2705000</v>
      </c>
      <c r="K75" s="510">
        <v>2374000</v>
      </c>
      <c r="L75" s="510">
        <v>2636000</v>
      </c>
      <c r="M75" s="510">
        <v>2564000</v>
      </c>
      <c r="N75" s="510">
        <v>2659000</v>
      </c>
      <c r="O75" s="510">
        <v>2588000</v>
      </c>
      <c r="P75" s="510">
        <v>2768000</v>
      </c>
      <c r="Q75" s="511">
        <v>2695000</v>
      </c>
      <c r="R75" s="1296"/>
      <c r="S75" s="1040">
        <f t="shared" ca="1" si="16"/>
        <v>2481000</v>
      </c>
      <c r="T75" s="1339"/>
      <c r="U75" s="1395">
        <f t="shared" ca="1" si="17"/>
        <v>2481000</v>
      </c>
      <c r="V75" s="1391"/>
      <c r="W75" s="1036">
        <f>SUM(F75:Q75)</f>
        <v>31251000</v>
      </c>
      <c r="X75" s="1353"/>
    </row>
    <row r="76" spans="1:25" ht="14.1" customHeight="1" x14ac:dyDescent="0.15">
      <c r="B76" s="1081" t="s">
        <v>447</v>
      </c>
      <c r="C76" s="2167"/>
      <c r="D76" s="2197"/>
      <c r="E76" s="1108" t="s">
        <v>447</v>
      </c>
      <c r="F76" s="509">
        <v>50000</v>
      </c>
      <c r="G76" s="510">
        <v>0</v>
      </c>
      <c r="H76" s="510">
        <v>0</v>
      </c>
      <c r="I76" s="510">
        <v>50000</v>
      </c>
      <c r="J76" s="510">
        <v>0</v>
      </c>
      <c r="K76" s="510">
        <v>0</v>
      </c>
      <c r="L76" s="510">
        <v>0</v>
      </c>
      <c r="M76" s="510">
        <v>0</v>
      </c>
      <c r="N76" s="510">
        <v>0</v>
      </c>
      <c r="O76" s="510">
        <v>50000</v>
      </c>
      <c r="P76" s="510">
        <v>0</v>
      </c>
      <c r="Q76" s="511">
        <v>0</v>
      </c>
      <c r="R76" s="1296"/>
      <c r="S76" s="1040">
        <f t="shared" ca="1" si="16"/>
        <v>50000</v>
      </c>
      <c r="T76" s="1339"/>
      <c r="U76" s="1395">
        <f t="shared" ca="1" si="17"/>
        <v>50000</v>
      </c>
      <c r="V76" s="1391"/>
      <c r="W76" s="1036">
        <f>SUM(F76:Q76)</f>
        <v>150000</v>
      </c>
      <c r="X76" s="1353"/>
    </row>
    <row r="77" spans="1:25" ht="14.1" customHeight="1" x14ac:dyDescent="0.15">
      <c r="B77" s="1081" t="s">
        <v>1230</v>
      </c>
      <c r="C77" s="2167"/>
      <c r="D77" s="2197"/>
      <c r="E77" s="1108" t="s">
        <v>35</v>
      </c>
      <c r="F77" s="509">
        <v>1023000</v>
      </c>
      <c r="G77" s="510">
        <v>1143000</v>
      </c>
      <c r="H77" s="510">
        <v>1114000</v>
      </c>
      <c r="I77" s="510">
        <v>1153000</v>
      </c>
      <c r="J77" s="510">
        <v>1158000</v>
      </c>
      <c r="K77" s="510">
        <v>1060000</v>
      </c>
      <c r="L77" s="510">
        <v>1168000</v>
      </c>
      <c r="M77" s="510">
        <v>1138000</v>
      </c>
      <c r="N77" s="510">
        <v>1178000</v>
      </c>
      <c r="O77" s="510">
        <v>1148000</v>
      </c>
      <c r="P77" s="510">
        <v>1187000</v>
      </c>
      <c r="Q77" s="511">
        <v>1192000</v>
      </c>
      <c r="R77" s="1296"/>
      <c r="S77" s="1040">
        <f t="shared" ca="1" si="16"/>
        <v>1023000</v>
      </c>
      <c r="T77" s="1339"/>
      <c r="U77" s="1395">
        <f t="shared" ca="1" si="17"/>
        <v>1023000</v>
      </c>
      <c r="V77" s="1391"/>
      <c r="W77" s="1036">
        <f>SUM(F77:Q77)</f>
        <v>13662000</v>
      </c>
      <c r="X77" s="1353"/>
    </row>
    <row r="78" spans="1:25" ht="14.1" customHeight="1" thickBot="1" x14ac:dyDescent="0.2">
      <c r="B78" s="1081" t="s">
        <v>32</v>
      </c>
      <c r="C78" s="2167"/>
      <c r="D78" s="2198"/>
      <c r="E78" s="1109" t="s">
        <v>32</v>
      </c>
      <c r="F78" s="530">
        <f t="shared" ref="F78:Q78" si="20">F74-(F75+F77)</f>
        <v>666000</v>
      </c>
      <c r="G78" s="531">
        <f t="shared" si="20"/>
        <v>511000</v>
      </c>
      <c r="H78" s="531">
        <f t="shared" si="20"/>
        <v>591000</v>
      </c>
      <c r="I78" s="531">
        <f t="shared" si="20"/>
        <v>617000</v>
      </c>
      <c r="J78" s="531">
        <f t="shared" si="20"/>
        <v>527000</v>
      </c>
      <c r="K78" s="531">
        <f t="shared" si="20"/>
        <v>556000</v>
      </c>
      <c r="L78" s="531">
        <f t="shared" si="20"/>
        <v>626000</v>
      </c>
      <c r="M78" s="531">
        <f t="shared" si="20"/>
        <v>608000</v>
      </c>
      <c r="N78" s="531">
        <f t="shared" si="20"/>
        <v>633000</v>
      </c>
      <c r="O78" s="531">
        <f t="shared" si="20"/>
        <v>614000</v>
      </c>
      <c r="P78" s="531">
        <f t="shared" si="20"/>
        <v>555000</v>
      </c>
      <c r="Q78" s="532">
        <f t="shared" si="20"/>
        <v>643000</v>
      </c>
      <c r="R78" s="1052"/>
      <c r="S78" s="1044">
        <f t="shared" ca="1" si="16"/>
        <v>666000</v>
      </c>
      <c r="T78" s="1340"/>
      <c r="U78" s="1396">
        <f t="shared" ca="1" si="17"/>
        <v>666000</v>
      </c>
      <c r="V78" s="1032"/>
      <c r="W78" s="1032">
        <f>SUM(F78:Q78)</f>
        <v>7147000</v>
      </c>
      <c r="X78" s="1355"/>
    </row>
    <row r="79" spans="1:25" ht="14.1" customHeight="1" x14ac:dyDescent="0.15">
      <c r="A79" s="1081" t="s">
        <v>358</v>
      </c>
      <c r="B79" s="1081" t="s">
        <v>26</v>
      </c>
      <c r="C79" s="2167"/>
      <c r="D79" s="2480" t="s">
        <v>444</v>
      </c>
      <c r="E79" s="376" t="s">
        <v>26</v>
      </c>
      <c r="F79" s="516">
        <v>4297117</v>
      </c>
      <c r="G79" s="517"/>
      <c r="H79" s="517"/>
      <c r="I79" s="517"/>
      <c r="J79" s="517"/>
      <c r="K79" s="517"/>
      <c r="L79" s="517"/>
      <c r="M79" s="517"/>
      <c r="N79" s="517"/>
      <c r="O79" s="517"/>
      <c r="P79" s="517"/>
      <c r="Q79" s="518"/>
      <c r="R79" s="1055">
        <f ca="1">IF(T79&gt;=1,1,IF(T79&lt;0.9,-1,0))</f>
        <v>1</v>
      </c>
      <c r="S79" s="1041">
        <f t="shared" ca="1" si="16"/>
        <v>4297117</v>
      </c>
      <c r="T79" s="1341">
        <f ca="1">IF(S74&lt;0,ROUND((S79-S74)/ABS(S74),3),IF(S74=0,0,ROUND(S79/S74,3)))</f>
        <v>1.03</v>
      </c>
      <c r="U79" s="1397">
        <f t="shared" ca="1" si="17"/>
        <v>4297117</v>
      </c>
      <c r="V79" s="1372">
        <f ca="1">IF(X79&gt;=1,1,IF(X79&lt;0.9,-1,0))</f>
        <v>0</v>
      </c>
      <c r="W79" s="1030">
        <f ca="1">S79+(12-IF(ISERROR(MATCH(DATE(YEAR($G$1),MONTH($G$1),1),$F$2:$Q$2,0)),0,MATCH(DATE(YEAR($G$1),MONTH($G$1),1),$F$2:$Q$2,0)))*U79</f>
        <v>51565404</v>
      </c>
      <c r="X79" s="1356">
        <f ca="1">IF(W74&lt;0,ROUND((W79-W74)/ABS(W74),3),IF(W74=0,0,ROUND(W79/W74,3)))</f>
        <v>0.99</v>
      </c>
      <c r="Y79" s="1273">
        <v>0.1</v>
      </c>
    </row>
    <row r="80" spans="1:25" ht="14.1" customHeight="1" x14ac:dyDescent="0.15">
      <c r="A80" s="1081" t="s">
        <v>358</v>
      </c>
      <c r="B80" s="1081" t="s">
        <v>15</v>
      </c>
      <c r="C80" s="2167"/>
      <c r="D80" s="2481"/>
      <c r="E80" s="1107" t="s">
        <v>15</v>
      </c>
      <c r="F80" s="520">
        <v>2372573</v>
      </c>
      <c r="G80" s="521"/>
      <c r="H80" s="521"/>
      <c r="I80" s="521"/>
      <c r="J80" s="521"/>
      <c r="K80" s="521"/>
      <c r="L80" s="521"/>
      <c r="M80" s="521"/>
      <c r="N80" s="521"/>
      <c r="O80" s="521"/>
      <c r="P80" s="521"/>
      <c r="Q80" s="522"/>
      <c r="R80" s="1056">
        <f ca="1">IF(T80&lt;=1,1,IF(T80&gt;1.1,-1,0))</f>
        <v>1</v>
      </c>
      <c r="S80" s="1042">
        <f t="shared" ca="1" si="16"/>
        <v>2372573</v>
      </c>
      <c r="T80" s="1342">
        <f ca="1">IF(S75&lt;0,ROUND((S80-S75)/ABS(S75),3),IF(S75=0,0,ROUND(S80/S75,3)))</f>
        <v>0.95599999999999996</v>
      </c>
      <c r="U80" s="1398">
        <f t="shared" ca="1" si="17"/>
        <v>2372573</v>
      </c>
      <c r="V80" s="1373">
        <f ca="1">IF(X80&lt;=1,1,IF(X80&gt;1.1,-1,0))</f>
        <v>1</v>
      </c>
      <c r="W80" s="1031">
        <f ca="1">S80+(12-IF(ISERROR(MATCH(DATE(YEAR($G$1),MONTH($G$1),1),$F$2:$Q$2,0)),0,MATCH(DATE(YEAR($G$1),MONTH($G$1),1),$F$2:$Q$2,0)))*U80</f>
        <v>28470876</v>
      </c>
      <c r="X80" s="1357">
        <f ca="1">IF(W75&lt;0,ROUND((W80-W75)/ABS(W75),3),IF(W75=0,0,ROUND(W80/W75,3)))</f>
        <v>0.91100000000000003</v>
      </c>
      <c r="Y80" s="1273">
        <v>0.1</v>
      </c>
    </row>
    <row r="81" spans="1:25" ht="14.1" customHeight="1" x14ac:dyDescent="0.15">
      <c r="A81" s="1081" t="s">
        <v>358</v>
      </c>
      <c r="B81" s="1081" t="s">
        <v>448</v>
      </c>
      <c r="C81" s="2167"/>
      <c r="D81" s="2481"/>
      <c r="E81" s="1107" t="s">
        <v>448</v>
      </c>
      <c r="F81" s="520">
        <v>0</v>
      </c>
      <c r="G81" s="521"/>
      <c r="H81" s="521"/>
      <c r="I81" s="521"/>
      <c r="J81" s="521"/>
      <c r="K81" s="521"/>
      <c r="L81" s="521"/>
      <c r="M81" s="521"/>
      <c r="N81" s="521"/>
      <c r="O81" s="521"/>
      <c r="P81" s="521"/>
      <c r="Q81" s="522"/>
      <c r="R81" s="1056">
        <f ca="1">IF(T81&lt;=1,1,IF(T81&gt;1.1,-1,0))</f>
        <v>1</v>
      </c>
      <c r="S81" s="1042">
        <f t="shared" ca="1" si="16"/>
        <v>0</v>
      </c>
      <c r="T81" s="1342">
        <f ca="1">IF(S76&lt;0,ROUND((S81-S76)/ABS(S76),3),IF(S76=0,0,ROUND(S81/S76,3)))</f>
        <v>0</v>
      </c>
      <c r="U81" s="1398">
        <f t="shared" ca="1" si="17"/>
        <v>0</v>
      </c>
      <c r="V81" s="1373">
        <f ca="1">IF(X81&lt;=1,1,IF(X81&gt;1.1,-1,0))</f>
        <v>1</v>
      </c>
      <c r="W81" s="1031">
        <f ca="1">S81+(12-IF(ISERROR(MATCH(DATE(YEAR($G$1),MONTH($G$1),1),$F$2:$Q$2,0)),0,MATCH(DATE(YEAR($G$1),MONTH($G$1),1),$F$2:$Q$2,0)))*U81</f>
        <v>0</v>
      </c>
      <c r="X81" s="1357">
        <f ca="1">IF(W76&lt;0,ROUND((W81-W76)/ABS(W76),3),IF(W76=0,0,ROUND(W81/W76,3)))</f>
        <v>0</v>
      </c>
      <c r="Y81" s="1273">
        <v>0.1</v>
      </c>
    </row>
    <row r="82" spans="1:25" ht="14.1" customHeight="1" x14ac:dyDescent="0.15">
      <c r="A82" s="1081" t="s">
        <v>358</v>
      </c>
      <c r="B82" s="1081" t="s">
        <v>1230</v>
      </c>
      <c r="C82" s="2167"/>
      <c r="D82" s="2481"/>
      <c r="E82" s="1107" t="s">
        <v>35</v>
      </c>
      <c r="F82" s="520">
        <v>842849</v>
      </c>
      <c r="G82" s="521"/>
      <c r="H82" s="521"/>
      <c r="I82" s="521"/>
      <c r="J82" s="521"/>
      <c r="K82" s="521"/>
      <c r="L82" s="521"/>
      <c r="M82" s="521"/>
      <c r="N82" s="521"/>
      <c r="O82" s="521"/>
      <c r="P82" s="521"/>
      <c r="Q82" s="522"/>
      <c r="R82" s="1056">
        <f ca="1">IF(T82&lt;=1,1,IF(T82&gt;1.1,-1,0))</f>
        <v>1</v>
      </c>
      <c r="S82" s="1042">
        <f t="shared" ca="1" si="16"/>
        <v>842849</v>
      </c>
      <c r="T82" s="1342">
        <f ca="1">IF(S77&lt;0,ROUND((S82-S77)/ABS(S77),3),IF(S77=0,0,ROUND(S82/S77,3)))</f>
        <v>0.82399999999999995</v>
      </c>
      <c r="U82" s="1398">
        <f t="shared" ca="1" si="17"/>
        <v>842849</v>
      </c>
      <c r="V82" s="1373">
        <f ca="1">IF(X82&lt;=1,1,IF(X82&gt;1.1,-1,0))</f>
        <v>1</v>
      </c>
      <c r="W82" s="1031">
        <f ca="1">S82+(12-IF(ISERROR(MATCH(DATE(YEAR($G$1),MONTH($G$1),1),$F$2:$Q$2,0)),0,MATCH(DATE(YEAR($G$1),MONTH($G$1),1),$F$2:$Q$2,0)))*U82</f>
        <v>10114188</v>
      </c>
      <c r="X82" s="1357">
        <f ca="1">IF(W77&lt;0,ROUND((W82-W77)/ABS(W77),3),IF(W77=0,0,ROUND(W82/W77,3)))</f>
        <v>0.74</v>
      </c>
      <c r="Y82" s="1273">
        <v>0.1</v>
      </c>
    </row>
    <row r="83" spans="1:25" ht="14.1" customHeight="1" thickBot="1" x14ac:dyDescent="0.2">
      <c r="A83" s="1081" t="s">
        <v>358</v>
      </c>
      <c r="B83" s="1081" t="s">
        <v>32</v>
      </c>
      <c r="C83" s="2168"/>
      <c r="D83" s="2482"/>
      <c r="E83" s="1103" t="s">
        <v>32</v>
      </c>
      <c r="F83" s="535">
        <f t="shared" ref="F83:Q83" si="21">F79-(F80+F82)</f>
        <v>1081695</v>
      </c>
      <c r="G83" s="536">
        <f t="shared" si="21"/>
        <v>0</v>
      </c>
      <c r="H83" s="536">
        <f t="shared" si="21"/>
        <v>0</v>
      </c>
      <c r="I83" s="536">
        <f t="shared" si="21"/>
        <v>0</v>
      </c>
      <c r="J83" s="536">
        <f t="shared" si="21"/>
        <v>0</v>
      </c>
      <c r="K83" s="536">
        <f t="shared" si="21"/>
        <v>0</v>
      </c>
      <c r="L83" s="536">
        <f t="shared" si="21"/>
        <v>0</v>
      </c>
      <c r="M83" s="536">
        <f t="shared" si="21"/>
        <v>0</v>
      </c>
      <c r="N83" s="536">
        <f t="shared" si="21"/>
        <v>0</v>
      </c>
      <c r="O83" s="536">
        <f t="shared" si="21"/>
        <v>0</v>
      </c>
      <c r="P83" s="536">
        <f t="shared" si="21"/>
        <v>0</v>
      </c>
      <c r="Q83" s="537">
        <f t="shared" si="21"/>
        <v>0</v>
      </c>
      <c r="R83" s="1057">
        <f ca="1">IF(T83&gt;=0,1,IF(T83&lt;0.1,-1,0))</f>
        <v>1</v>
      </c>
      <c r="S83" s="1045">
        <f t="shared" ca="1" si="16"/>
        <v>1081695</v>
      </c>
      <c r="T83" s="1343">
        <f ca="1">IF(S78=S83,0,ROUND((S83-S78)/ABS(S78),3))</f>
        <v>0.624</v>
      </c>
      <c r="U83" s="1399">
        <f t="shared" ca="1" si="17"/>
        <v>1081695</v>
      </c>
      <c r="V83" s="1374">
        <f ca="1">IF(X83&gt;=0,1,IF(X83&lt;0.1,-1,0))</f>
        <v>1</v>
      </c>
      <c r="W83" s="1034">
        <f ca="1">S83+(12-IF(ISERROR(MATCH(DATE(YEAR($G$1),MONTH($G$1),1),$F$2:$Q$2,0)),0,MATCH(DATE(YEAR($G$1),MONTH($G$1),1),$F$2:$Q$2,0)))*U83</f>
        <v>12980340</v>
      </c>
      <c r="X83" s="1358">
        <f ca="1">IF(W78=W83,0,ROUND((W83-W78)/ABS(W78),3))</f>
        <v>0.81599999999999995</v>
      </c>
      <c r="Y83" s="1273">
        <v>0.1</v>
      </c>
    </row>
    <row r="84" spans="1:25" ht="14.1" customHeight="1" x14ac:dyDescent="0.15">
      <c r="B84" s="1081" t="s">
        <v>26</v>
      </c>
      <c r="C84" s="2166" t="s">
        <v>446</v>
      </c>
      <c r="D84" s="2196" t="s">
        <v>443</v>
      </c>
      <c r="E84" s="360" t="s">
        <v>26</v>
      </c>
      <c r="F84" s="503">
        <v>2800000</v>
      </c>
      <c r="G84" s="504">
        <v>2800000</v>
      </c>
      <c r="H84" s="504">
        <v>2800000</v>
      </c>
      <c r="I84" s="504">
        <v>2800000</v>
      </c>
      <c r="J84" s="504">
        <v>2800000</v>
      </c>
      <c r="K84" s="504">
        <v>2800000</v>
      </c>
      <c r="L84" s="504">
        <v>2800000</v>
      </c>
      <c r="M84" s="504">
        <v>2800000</v>
      </c>
      <c r="N84" s="504">
        <v>2800000</v>
      </c>
      <c r="O84" s="504">
        <v>2800000</v>
      </c>
      <c r="P84" s="504">
        <v>2800000</v>
      </c>
      <c r="Q84" s="505">
        <v>2800000</v>
      </c>
      <c r="R84" s="1295"/>
      <c r="S84" s="1039">
        <f t="shared" ca="1" si="16"/>
        <v>2800000</v>
      </c>
      <c r="T84" s="1338"/>
      <c r="U84" s="1394">
        <f t="shared" ca="1" si="17"/>
        <v>2800000</v>
      </c>
      <c r="V84" s="1390"/>
      <c r="W84" s="1035">
        <f>SUM(F84:Q84)</f>
        <v>33600000</v>
      </c>
      <c r="X84" s="1352"/>
    </row>
    <row r="85" spans="1:25" ht="14.1" customHeight="1" x14ac:dyDescent="0.15">
      <c r="B85" s="1081" t="s">
        <v>15</v>
      </c>
      <c r="C85" s="2167"/>
      <c r="D85" s="2197"/>
      <c r="E85" s="1108" t="s">
        <v>15</v>
      </c>
      <c r="F85" s="509">
        <v>1639000</v>
      </c>
      <c r="G85" s="510">
        <v>1702000</v>
      </c>
      <c r="H85" s="510">
        <v>1639000</v>
      </c>
      <c r="I85" s="510">
        <v>1639000</v>
      </c>
      <c r="J85" s="510">
        <v>1697000</v>
      </c>
      <c r="K85" s="510">
        <v>1639000</v>
      </c>
      <c r="L85" s="510">
        <v>1639000</v>
      </c>
      <c r="M85" s="510">
        <v>1639000</v>
      </c>
      <c r="N85" s="510">
        <v>1639000</v>
      </c>
      <c r="O85" s="510">
        <v>1639000</v>
      </c>
      <c r="P85" s="510">
        <v>1691000</v>
      </c>
      <c r="Q85" s="511">
        <v>1639000</v>
      </c>
      <c r="R85" s="1296"/>
      <c r="S85" s="1040">
        <f t="shared" ca="1" si="16"/>
        <v>1639000</v>
      </c>
      <c r="T85" s="1339"/>
      <c r="U85" s="1395">
        <f t="shared" ca="1" si="17"/>
        <v>1639000</v>
      </c>
      <c r="V85" s="1391"/>
      <c r="W85" s="1036">
        <f>SUM(F85:Q85)</f>
        <v>19841000</v>
      </c>
      <c r="X85" s="1353"/>
    </row>
    <row r="86" spans="1:25" ht="14.1" customHeight="1" x14ac:dyDescent="0.15">
      <c r="B86" s="1081" t="s">
        <v>447</v>
      </c>
      <c r="C86" s="2167"/>
      <c r="D86" s="2197"/>
      <c r="E86" s="1108" t="s">
        <v>447</v>
      </c>
      <c r="F86" s="509">
        <v>30000</v>
      </c>
      <c r="G86" s="510">
        <v>30000</v>
      </c>
      <c r="H86" s="510">
        <v>30000</v>
      </c>
      <c r="I86" s="510">
        <v>30000</v>
      </c>
      <c r="J86" s="510">
        <v>30000</v>
      </c>
      <c r="K86" s="510">
        <v>30000</v>
      </c>
      <c r="L86" s="510">
        <v>30000</v>
      </c>
      <c r="M86" s="510">
        <v>30000</v>
      </c>
      <c r="N86" s="510">
        <v>30000</v>
      </c>
      <c r="O86" s="510">
        <v>30000</v>
      </c>
      <c r="P86" s="510">
        <v>30000</v>
      </c>
      <c r="Q86" s="511">
        <v>30000</v>
      </c>
      <c r="R86" s="1296"/>
      <c r="S86" s="1040">
        <f t="shared" ca="1" si="16"/>
        <v>30000</v>
      </c>
      <c r="T86" s="1339"/>
      <c r="U86" s="1395">
        <f t="shared" ca="1" si="17"/>
        <v>30000</v>
      </c>
      <c r="V86" s="1391"/>
      <c r="W86" s="1036">
        <f>SUM(F86:Q86)</f>
        <v>360000</v>
      </c>
      <c r="X86" s="1353"/>
    </row>
    <row r="87" spans="1:25" ht="14.1" customHeight="1" x14ac:dyDescent="0.15">
      <c r="B87" s="1081" t="s">
        <v>1235</v>
      </c>
      <c r="C87" s="2167"/>
      <c r="D87" s="2197"/>
      <c r="E87" s="1108" t="s">
        <v>35</v>
      </c>
      <c r="F87" s="509">
        <v>706000</v>
      </c>
      <c r="G87" s="510">
        <v>706000</v>
      </c>
      <c r="H87" s="510">
        <v>706000</v>
      </c>
      <c r="I87" s="510">
        <v>706000</v>
      </c>
      <c r="J87" s="510">
        <v>706000</v>
      </c>
      <c r="K87" s="510">
        <v>706000</v>
      </c>
      <c r="L87" s="510">
        <v>706000</v>
      </c>
      <c r="M87" s="510">
        <v>706000</v>
      </c>
      <c r="N87" s="510">
        <v>706000</v>
      </c>
      <c r="O87" s="510">
        <v>706000</v>
      </c>
      <c r="P87" s="510">
        <v>706000</v>
      </c>
      <c r="Q87" s="511">
        <v>706000</v>
      </c>
      <c r="R87" s="1296"/>
      <c r="S87" s="1040">
        <f t="shared" ca="1" si="16"/>
        <v>706000</v>
      </c>
      <c r="T87" s="1339"/>
      <c r="U87" s="1395">
        <f t="shared" ca="1" si="17"/>
        <v>706000</v>
      </c>
      <c r="V87" s="1391"/>
      <c r="W87" s="1036">
        <f>SUM(F87:Q87)</f>
        <v>8472000</v>
      </c>
      <c r="X87" s="1353"/>
    </row>
    <row r="88" spans="1:25" ht="14.1" customHeight="1" thickBot="1" x14ac:dyDescent="0.2">
      <c r="B88" s="1081" t="s">
        <v>32</v>
      </c>
      <c r="C88" s="2167"/>
      <c r="D88" s="2198"/>
      <c r="E88" s="1109" t="s">
        <v>32</v>
      </c>
      <c r="F88" s="530">
        <f t="shared" ref="F88:Q88" si="22">F84-(F85+F87)</f>
        <v>455000</v>
      </c>
      <c r="G88" s="531">
        <f t="shared" si="22"/>
        <v>392000</v>
      </c>
      <c r="H88" s="531">
        <f t="shared" si="22"/>
        <v>455000</v>
      </c>
      <c r="I88" s="531">
        <f t="shared" si="22"/>
        <v>455000</v>
      </c>
      <c r="J88" s="531">
        <f t="shared" si="22"/>
        <v>397000</v>
      </c>
      <c r="K88" s="531">
        <f t="shared" si="22"/>
        <v>455000</v>
      </c>
      <c r="L88" s="531">
        <f t="shared" si="22"/>
        <v>455000</v>
      </c>
      <c r="M88" s="531">
        <f t="shared" si="22"/>
        <v>455000</v>
      </c>
      <c r="N88" s="531">
        <f t="shared" si="22"/>
        <v>455000</v>
      </c>
      <c r="O88" s="531">
        <f t="shared" si="22"/>
        <v>455000</v>
      </c>
      <c r="P88" s="531">
        <f t="shared" si="22"/>
        <v>403000</v>
      </c>
      <c r="Q88" s="532">
        <f t="shared" si="22"/>
        <v>455000</v>
      </c>
      <c r="R88" s="1052"/>
      <c r="S88" s="1044">
        <f t="shared" ca="1" si="16"/>
        <v>455000</v>
      </c>
      <c r="T88" s="1340"/>
      <c r="U88" s="1396">
        <f t="shared" ca="1" si="17"/>
        <v>455000</v>
      </c>
      <c r="V88" s="1032"/>
      <c r="W88" s="1032">
        <f>SUM(F88:Q88)</f>
        <v>5287000</v>
      </c>
      <c r="X88" s="1355"/>
    </row>
    <row r="89" spans="1:25" ht="14.1" customHeight="1" x14ac:dyDescent="0.15">
      <c r="A89" s="1081" t="s">
        <v>783</v>
      </c>
      <c r="B89" s="1081" t="s">
        <v>26</v>
      </c>
      <c r="C89" s="2167"/>
      <c r="D89" s="2480" t="s">
        <v>444</v>
      </c>
      <c r="E89" s="376" t="s">
        <v>26</v>
      </c>
      <c r="F89" s="516">
        <v>2602840</v>
      </c>
      <c r="G89" s="517"/>
      <c r="H89" s="517"/>
      <c r="I89" s="517"/>
      <c r="J89" s="517"/>
      <c r="K89" s="517"/>
      <c r="L89" s="517"/>
      <c r="M89" s="517"/>
      <c r="N89" s="517"/>
      <c r="O89" s="517"/>
      <c r="P89" s="517"/>
      <c r="Q89" s="518"/>
      <c r="R89" s="1055">
        <f ca="1">IF(T89&gt;=1,1,IF(T89&lt;0.9,-1,0))</f>
        <v>0</v>
      </c>
      <c r="S89" s="1041">
        <f t="shared" ca="1" si="16"/>
        <v>2602840</v>
      </c>
      <c r="T89" s="1341">
        <f ca="1">IF(S84&lt;0,ROUND((S89-S84)/ABS(S84),3),IF(S84=0,0,ROUND(S89/S84,3)))</f>
        <v>0.93</v>
      </c>
      <c r="U89" s="1397">
        <f t="shared" ca="1" si="17"/>
        <v>2602840</v>
      </c>
      <c r="V89" s="1372">
        <f ca="1">IF(X89&gt;=1,1,IF(X89&lt;0.9,-1,0))</f>
        <v>0</v>
      </c>
      <c r="W89" s="1030">
        <f ca="1">S89+(12-IF(ISERROR(MATCH(DATE(YEAR($G$1),MONTH($G$1),1),$F$2:$Q$2,0)),0,MATCH(DATE(YEAR($G$1),MONTH($G$1),1),$F$2:$Q$2,0)))*U89</f>
        <v>31234080</v>
      </c>
      <c r="X89" s="1356">
        <f ca="1">IF(W84&lt;0,ROUND((W89-W84)/ABS(W84),3),IF(W84=0,0,ROUND(W89/W84,3)))</f>
        <v>0.93</v>
      </c>
      <c r="Y89" s="1273">
        <v>0.1</v>
      </c>
    </row>
    <row r="90" spans="1:25" ht="14.1" customHeight="1" x14ac:dyDescent="0.15">
      <c r="A90" s="1081" t="s">
        <v>783</v>
      </c>
      <c r="B90" s="1081" t="s">
        <v>15</v>
      </c>
      <c r="C90" s="2167"/>
      <c r="D90" s="2481"/>
      <c r="E90" s="1107" t="s">
        <v>15</v>
      </c>
      <c r="F90" s="520">
        <v>1712806</v>
      </c>
      <c r="G90" s="521"/>
      <c r="H90" s="521"/>
      <c r="I90" s="521"/>
      <c r="J90" s="521"/>
      <c r="K90" s="521"/>
      <c r="L90" s="521"/>
      <c r="M90" s="521"/>
      <c r="N90" s="521"/>
      <c r="O90" s="521"/>
      <c r="P90" s="521"/>
      <c r="Q90" s="522"/>
      <c r="R90" s="1056">
        <f ca="1">IF(T90&lt;=1,1,IF(T90&gt;1.1,-1,0))</f>
        <v>0</v>
      </c>
      <c r="S90" s="1042">
        <f t="shared" ca="1" si="16"/>
        <v>1712806</v>
      </c>
      <c r="T90" s="1342">
        <f ca="1">IF(S85&lt;0,ROUND((S90-S85)/ABS(S85),3),IF(S85=0,0,ROUND(S90/S85,3)))</f>
        <v>1.0449999999999999</v>
      </c>
      <c r="U90" s="1398">
        <f t="shared" ca="1" si="17"/>
        <v>1712806</v>
      </c>
      <c r="V90" s="1373">
        <f ca="1">IF(X90&lt;=1,1,IF(X90&gt;1.1,-1,0))</f>
        <v>0</v>
      </c>
      <c r="W90" s="1031">
        <f ca="1">S90+(12-IF(ISERROR(MATCH(DATE(YEAR($G$1),MONTH($G$1),1),$F$2:$Q$2,0)),0,MATCH(DATE(YEAR($G$1),MONTH($G$1),1),$F$2:$Q$2,0)))*U90</f>
        <v>20553672</v>
      </c>
      <c r="X90" s="1357">
        <f ca="1">IF(W85&lt;0,ROUND((W90-W85)/ABS(W85),3),IF(W85=0,0,ROUND(W90/W85,3)))</f>
        <v>1.036</v>
      </c>
      <c r="Y90" s="1273">
        <v>0.1</v>
      </c>
    </row>
    <row r="91" spans="1:25" ht="14.1" customHeight="1" x14ac:dyDescent="0.15">
      <c r="A91" s="1081" t="s">
        <v>783</v>
      </c>
      <c r="B91" s="1081" t="s">
        <v>448</v>
      </c>
      <c r="C91" s="2167"/>
      <c r="D91" s="2481"/>
      <c r="E91" s="1107" t="s">
        <v>448</v>
      </c>
      <c r="F91" s="520">
        <v>0</v>
      </c>
      <c r="G91" s="521"/>
      <c r="H91" s="521"/>
      <c r="I91" s="521"/>
      <c r="J91" s="521"/>
      <c r="K91" s="521"/>
      <c r="L91" s="521"/>
      <c r="M91" s="521"/>
      <c r="N91" s="521"/>
      <c r="O91" s="521"/>
      <c r="P91" s="521"/>
      <c r="Q91" s="522"/>
      <c r="R91" s="1056">
        <f ca="1">IF(T91&lt;=1,1,IF(T91&gt;1.1,-1,0))</f>
        <v>1</v>
      </c>
      <c r="S91" s="1042">
        <f t="shared" ca="1" si="16"/>
        <v>0</v>
      </c>
      <c r="T91" s="1342">
        <f ca="1">IF(S86&lt;0,ROUND((S91-S86)/ABS(S86),3),IF(S86=0,0,ROUND(S91/S86,3)))</f>
        <v>0</v>
      </c>
      <c r="U91" s="1398">
        <f t="shared" ca="1" si="17"/>
        <v>0</v>
      </c>
      <c r="V91" s="1373">
        <f ca="1">IF(X91&lt;=1,1,IF(X91&gt;1.1,-1,0))</f>
        <v>1</v>
      </c>
      <c r="W91" s="1031">
        <f ca="1">S91+(12-IF(ISERROR(MATCH(DATE(YEAR($G$1),MONTH($G$1),1),$F$2:$Q$2,0)),0,MATCH(DATE(YEAR($G$1),MONTH($G$1),1),$F$2:$Q$2,0)))*U91</f>
        <v>0</v>
      </c>
      <c r="X91" s="1357">
        <f ca="1">IF(W86&lt;0,ROUND((W91-W86)/ABS(W86),3),IF(W86=0,0,ROUND(W91/W86,3)))</f>
        <v>0</v>
      </c>
      <c r="Y91" s="1273">
        <v>0.1</v>
      </c>
    </row>
    <row r="92" spans="1:25" ht="14.1" customHeight="1" x14ac:dyDescent="0.15">
      <c r="A92" s="1081" t="s">
        <v>783</v>
      </c>
      <c r="B92" s="1081" t="s">
        <v>1235</v>
      </c>
      <c r="C92" s="2167"/>
      <c r="D92" s="2481"/>
      <c r="E92" s="1107" t="s">
        <v>35</v>
      </c>
      <c r="F92" s="520">
        <v>390831</v>
      </c>
      <c r="G92" s="521"/>
      <c r="H92" s="521"/>
      <c r="I92" s="521"/>
      <c r="J92" s="521"/>
      <c r="K92" s="521"/>
      <c r="L92" s="521"/>
      <c r="M92" s="521"/>
      <c r="N92" s="521"/>
      <c r="O92" s="521"/>
      <c r="P92" s="521"/>
      <c r="Q92" s="522"/>
      <c r="R92" s="1056">
        <f ca="1">IF(T92&lt;=1,1,IF(T92&gt;1.1,-1,0))</f>
        <v>1</v>
      </c>
      <c r="S92" s="1042">
        <f t="shared" ca="1" si="16"/>
        <v>390831</v>
      </c>
      <c r="T92" s="1342">
        <f ca="1">IF(S87&lt;0,ROUND((S92-S87)/ABS(S87),3),IF(S87=0,0,ROUND(S92/S87,3)))</f>
        <v>0.55400000000000005</v>
      </c>
      <c r="U92" s="1398">
        <f t="shared" ca="1" si="17"/>
        <v>390831</v>
      </c>
      <c r="V92" s="1373">
        <f ca="1">IF(X92&lt;=1,1,IF(X92&gt;1.1,-1,0))</f>
        <v>1</v>
      </c>
      <c r="W92" s="1031">
        <f ca="1">S92+(12-IF(ISERROR(MATCH(DATE(YEAR($G$1),MONTH($G$1),1),$F$2:$Q$2,0)),0,MATCH(DATE(YEAR($G$1),MONTH($G$1),1),$F$2:$Q$2,0)))*U92</f>
        <v>4689972</v>
      </c>
      <c r="X92" s="1357">
        <f ca="1">IF(W87&lt;0,ROUND((W92-W87)/ABS(W87),3),IF(W87=0,0,ROUND(W92/W87,3)))</f>
        <v>0.55400000000000005</v>
      </c>
      <c r="Y92" s="1273">
        <v>0.1</v>
      </c>
    </row>
    <row r="93" spans="1:25" ht="14.1" customHeight="1" thickBot="1" x14ac:dyDescent="0.2">
      <c r="A93" s="1081" t="s">
        <v>783</v>
      </c>
      <c r="B93" s="1081" t="s">
        <v>32</v>
      </c>
      <c r="C93" s="2168"/>
      <c r="D93" s="2482"/>
      <c r="E93" s="1103" t="s">
        <v>32</v>
      </c>
      <c r="F93" s="535">
        <f t="shared" ref="F93:Q93" si="23">F89-(F90+F92)</f>
        <v>499203</v>
      </c>
      <c r="G93" s="536">
        <f t="shared" si="23"/>
        <v>0</v>
      </c>
      <c r="H93" s="536">
        <f t="shared" si="23"/>
        <v>0</v>
      </c>
      <c r="I93" s="536">
        <f t="shared" si="23"/>
        <v>0</v>
      </c>
      <c r="J93" s="536">
        <f t="shared" si="23"/>
        <v>0</v>
      </c>
      <c r="K93" s="536">
        <f t="shared" si="23"/>
        <v>0</v>
      </c>
      <c r="L93" s="536">
        <f t="shared" si="23"/>
        <v>0</v>
      </c>
      <c r="M93" s="536">
        <f t="shared" si="23"/>
        <v>0</v>
      </c>
      <c r="N93" s="536">
        <f t="shared" si="23"/>
        <v>0</v>
      </c>
      <c r="O93" s="536">
        <f t="shared" si="23"/>
        <v>0</v>
      </c>
      <c r="P93" s="536">
        <f t="shared" si="23"/>
        <v>0</v>
      </c>
      <c r="Q93" s="537">
        <f t="shared" si="23"/>
        <v>0</v>
      </c>
      <c r="R93" s="1057">
        <f ca="1">IF(T93&gt;=0,1,IF(T93&lt;0.1,-1,0))</f>
        <v>1</v>
      </c>
      <c r="S93" s="1045">
        <f t="shared" ca="1" si="16"/>
        <v>499203</v>
      </c>
      <c r="T93" s="1343">
        <f ca="1">IF(S88=S93,0,ROUND((S93-S88)/ABS(S88),3))</f>
        <v>9.7000000000000003E-2</v>
      </c>
      <c r="U93" s="1399">
        <f t="shared" ca="1" si="17"/>
        <v>499203</v>
      </c>
      <c r="V93" s="1374">
        <f ca="1">IF(X93&gt;=0,1,IF(X93&lt;0.1,-1,0))</f>
        <v>1</v>
      </c>
      <c r="W93" s="1034">
        <f ca="1">S93+(12-IF(ISERROR(MATCH(DATE(YEAR($G$1),MONTH($G$1),1),$F$2:$Q$2,0)),0,MATCH(DATE(YEAR($G$1),MONTH($G$1),1),$F$2:$Q$2,0)))*U93</f>
        <v>5990436</v>
      </c>
      <c r="X93" s="1358">
        <f ca="1">IF(W88=W93,0,ROUND((W93-W88)/ABS(W88),3))</f>
        <v>0.13300000000000001</v>
      </c>
      <c r="Y93" s="1273">
        <v>0.1</v>
      </c>
    </row>
    <row r="94" spans="1:25" ht="14.1" hidden="1" customHeight="1" outlineLevel="1" x14ac:dyDescent="0.15">
      <c r="B94" s="1081" t="s">
        <v>26</v>
      </c>
      <c r="C94" s="2183" t="s">
        <v>119</v>
      </c>
      <c r="D94" s="2196" t="s">
        <v>443</v>
      </c>
      <c r="E94" s="360" t="s">
        <v>26</v>
      </c>
      <c r="F94" s="503">
        <v>820000</v>
      </c>
      <c r="G94" s="504">
        <v>820000</v>
      </c>
      <c r="H94" s="504">
        <v>820000</v>
      </c>
      <c r="I94" s="504">
        <v>820000</v>
      </c>
      <c r="J94" s="504">
        <v>820000</v>
      </c>
      <c r="K94" s="504">
        <v>820000</v>
      </c>
      <c r="L94" s="504">
        <v>820000</v>
      </c>
      <c r="M94" s="504">
        <v>820000</v>
      </c>
      <c r="N94" s="504">
        <v>820000</v>
      </c>
      <c r="O94" s="504">
        <v>820000</v>
      </c>
      <c r="P94" s="504">
        <v>820000</v>
      </c>
      <c r="Q94" s="505">
        <v>820000</v>
      </c>
      <c r="R94" s="1295"/>
      <c r="S94" s="1039">
        <f t="shared" ca="1" si="16"/>
        <v>820000</v>
      </c>
      <c r="T94" s="1338"/>
      <c r="U94" s="1394">
        <f t="shared" ca="1" si="17"/>
        <v>820000</v>
      </c>
      <c r="V94" s="1390"/>
      <c r="W94" s="1035">
        <f>SUM(F94:Q94)</f>
        <v>9840000</v>
      </c>
      <c r="X94" s="1352"/>
    </row>
    <row r="95" spans="1:25" ht="14.1" hidden="1" customHeight="1" outlineLevel="1" x14ac:dyDescent="0.15">
      <c r="B95" s="1081" t="s">
        <v>15</v>
      </c>
      <c r="C95" s="2184"/>
      <c r="D95" s="2197"/>
      <c r="E95" s="1108" t="s">
        <v>15</v>
      </c>
      <c r="F95" s="509">
        <v>369000</v>
      </c>
      <c r="G95" s="510">
        <v>383000</v>
      </c>
      <c r="H95" s="510">
        <v>369000</v>
      </c>
      <c r="I95" s="510">
        <v>369000</v>
      </c>
      <c r="J95" s="510">
        <v>382000</v>
      </c>
      <c r="K95" s="510">
        <v>369000</v>
      </c>
      <c r="L95" s="510">
        <v>369000</v>
      </c>
      <c r="M95" s="510">
        <v>369000</v>
      </c>
      <c r="N95" s="510">
        <v>369000</v>
      </c>
      <c r="O95" s="510">
        <v>369000</v>
      </c>
      <c r="P95" s="510">
        <v>381000</v>
      </c>
      <c r="Q95" s="511">
        <v>369000</v>
      </c>
      <c r="R95" s="1296"/>
      <c r="S95" s="1040">
        <f t="shared" ca="1" si="16"/>
        <v>369000</v>
      </c>
      <c r="T95" s="1339"/>
      <c r="U95" s="1395">
        <f t="shared" ca="1" si="17"/>
        <v>369000</v>
      </c>
      <c r="V95" s="1391"/>
      <c r="W95" s="1036">
        <f>SUM(F95:Q95)</f>
        <v>4467000</v>
      </c>
      <c r="X95" s="1353"/>
    </row>
    <row r="96" spans="1:25" ht="14.1" hidden="1" customHeight="1" outlineLevel="1" x14ac:dyDescent="0.15">
      <c r="B96" s="1081" t="s">
        <v>447</v>
      </c>
      <c r="C96" s="2184"/>
      <c r="D96" s="2197"/>
      <c r="E96" s="1108" t="s">
        <v>447</v>
      </c>
      <c r="F96" s="509">
        <v>30000</v>
      </c>
      <c r="G96" s="510">
        <v>0</v>
      </c>
      <c r="H96" s="510">
        <v>0</v>
      </c>
      <c r="I96" s="510">
        <v>0</v>
      </c>
      <c r="J96" s="510">
        <v>30000</v>
      </c>
      <c r="K96" s="510">
        <v>0</v>
      </c>
      <c r="L96" s="510">
        <v>0</v>
      </c>
      <c r="M96" s="510">
        <v>0</v>
      </c>
      <c r="N96" s="510">
        <v>0</v>
      </c>
      <c r="O96" s="510">
        <v>0</v>
      </c>
      <c r="P96" s="510">
        <v>0</v>
      </c>
      <c r="Q96" s="511">
        <v>0</v>
      </c>
      <c r="R96" s="1296"/>
      <c r="S96" s="1040">
        <f t="shared" ca="1" si="16"/>
        <v>30000</v>
      </c>
      <c r="T96" s="1339"/>
      <c r="U96" s="1395">
        <f t="shared" ca="1" si="17"/>
        <v>30000</v>
      </c>
      <c r="V96" s="1391"/>
      <c r="W96" s="1036">
        <f>SUM(F96:Q96)</f>
        <v>60000</v>
      </c>
      <c r="X96" s="1353"/>
    </row>
    <row r="97" spans="1:25" ht="14.1" hidden="1" customHeight="1" outlineLevel="1" x14ac:dyDescent="0.15">
      <c r="B97" s="1081" t="s">
        <v>1230</v>
      </c>
      <c r="C97" s="2184"/>
      <c r="D97" s="2197"/>
      <c r="E97" s="1108" t="s">
        <v>35</v>
      </c>
      <c r="F97" s="509">
        <v>138000</v>
      </c>
      <c r="G97" s="510">
        <v>138000</v>
      </c>
      <c r="H97" s="510">
        <v>138000</v>
      </c>
      <c r="I97" s="510">
        <v>138000</v>
      </c>
      <c r="J97" s="510">
        <v>138000</v>
      </c>
      <c r="K97" s="510">
        <v>138000</v>
      </c>
      <c r="L97" s="510">
        <v>138000</v>
      </c>
      <c r="M97" s="510">
        <v>138000</v>
      </c>
      <c r="N97" s="510">
        <v>138000</v>
      </c>
      <c r="O97" s="510">
        <v>138000</v>
      </c>
      <c r="P97" s="510">
        <v>138000</v>
      </c>
      <c r="Q97" s="511">
        <v>138000</v>
      </c>
      <c r="R97" s="1296"/>
      <c r="S97" s="1040">
        <f t="shared" ca="1" si="16"/>
        <v>138000</v>
      </c>
      <c r="T97" s="1339"/>
      <c r="U97" s="1395">
        <f t="shared" ca="1" si="17"/>
        <v>138000</v>
      </c>
      <c r="V97" s="1391"/>
      <c r="W97" s="1036">
        <f>SUM(F97:Q97)</f>
        <v>1656000</v>
      </c>
      <c r="X97" s="1353"/>
    </row>
    <row r="98" spans="1:25" ht="14.1" hidden="1" customHeight="1" outlineLevel="1" thickBot="1" x14ac:dyDescent="0.2">
      <c r="B98" s="1081" t="s">
        <v>32</v>
      </c>
      <c r="C98" s="2184"/>
      <c r="D98" s="2198"/>
      <c r="E98" s="1109" t="s">
        <v>32</v>
      </c>
      <c r="F98" s="530">
        <f t="shared" ref="F98:Q98" si="24">F94-(F95+F97)</f>
        <v>313000</v>
      </c>
      <c r="G98" s="531">
        <f t="shared" si="24"/>
        <v>299000</v>
      </c>
      <c r="H98" s="531">
        <f t="shared" si="24"/>
        <v>313000</v>
      </c>
      <c r="I98" s="531">
        <f t="shared" si="24"/>
        <v>313000</v>
      </c>
      <c r="J98" s="531">
        <f t="shared" si="24"/>
        <v>300000</v>
      </c>
      <c r="K98" s="531">
        <f t="shared" si="24"/>
        <v>313000</v>
      </c>
      <c r="L98" s="531">
        <f t="shared" si="24"/>
        <v>313000</v>
      </c>
      <c r="M98" s="531">
        <f t="shared" si="24"/>
        <v>313000</v>
      </c>
      <c r="N98" s="531">
        <f t="shared" si="24"/>
        <v>313000</v>
      </c>
      <c r="O98" s="531">
        <f t="shared" si="24"/>
        <v>313000</v>
      </c>
      <c r="P98" s="531">
        <f t="shared" si="24"/>
        <v>301000</v>
      </c>
      <c r="Q98" s="532">
        <f t="shared" si="24"/>
        <v>313000</v>
      </c>
      <c r="R98" s="1052"/>
      <c r="S98" s="1044">
        <f t="shared" ca="1" si="16"/>
        <v>313000</v>
      </c>
      <c r="T98" s="1340"/>
      <c r="U98" s="1396">
        <f t="shared" ca="1" si="17"/>
        <v>313000</v>
      </c>
      <c r="V98" s="1032"/>
      <c r="W98" s="1032">
        <f>SUM(F98:Q98)</f>
        <v>3717000</v>
      </c>
      <c r="X98" s="1355"/>
    </row>
    <row r="99" spans="1:25" ht="14.1" hidden="1" customHeight="1" outlineLevel="1" x14ac:dyDescent="0.15">
      <c r="A99" s="1081" t="s">
        <v>799</v>
      </c>
      <c r="B99" s="1081" t="s">
        <v>26</v>
      </c>
      <c r="C99" s="2184"/>
      <c r="D99" s="2480" t="s">
        <v>444</v>
      </c>
      <c r="E99" s="376" t="s">
        <v>26</v>
      </c>
      <c r="F99" s="516">
        <v>976740</v>
      </c>
      <c r="G99" s="517"/>
      <c r="H99" s="517"/>
      <c r="I99" s="517"/>
      <c r="J99" s="517"/>
      <c r="K99" s="517"/>
      <c r="L99" s="517"/>
      <c r="M99" s="517"/>
      <c r="N99" s="517"/>
      <c r="O99" s="517"/>
      <c r="P99" s="517"/>
      <c r="Q99" s="518"/>
      <c r="R99" s="1055">
        <f ca="1">IF(T99&gt;=1,1,IF(T99&lt;0.9,-1,0))</f>
        <v>1</v>
      </c>
      <c r="S99" s="1041">
        <f t="shared" ca="1" si="16"/>
        <v>976740</v>
      </c>
      <c r="T99" s="1341">
        <f ca="1">IF(S94&lt;0,ROUND((S99-S94)/ABS(S94),3),IF(S94=0,0,ROUND(S99/S94,3)))</f>
        <v>1.1910000000000001</v>
      </c>
      <c r="U99" s="1397">
        <f t="shared" ca="1" si="17"/>
        <v>976740</v>
      </c>
      <c r="V99" s="1372">
        <f ca="1">IF(X99&gt;=1,1,IF(X99&lt;0.9,-1,0))</f>
        <v>1</v>
      </c>
      <c r="W99" s="1030">
        <f ca="1">S99+(12-IF(ISERROR(MATCH(DATE(YEAR($G$1),MONTH($G$1),1),$F$2:$Q$2,0)),0,MATCH(DATE(YEAR($G$1),MONTH($G$1),1),$F$2:$Q$2,0)))*U99</f>
        <v>11720880</v>
      </c>
      <c r="X99" s="1356">
        <f ca="1">IF(W94&lt;0,ROUND((W99-W94)/ABS(W94),3),IF(W94=0,0,ROUND(W99/W94,3)))</f>
        <v>1.1910000000000001</v>
      </c>
      <c r="Y99" s="1273">
        <v>0.1</v>
      </c>
    </row>
    <row r="100" spans="1:25" ht="14.1" hidden="1" customHeight="1" outlineLevel="1" x14ac:dyDescent="0.15">
      <c r="A100" s="1081" t="s">
        <v>799</v>
      </c>
      <c r="B100" s="1081" t="s">
        <v>15</v>
      </c>
      <c r="C100" s="2184"/>
      <c r="D100" s="2481"/>
      <c r="E100" s="1107" t="s">
        <v>15</v>
      </c>
      <c r="F100" s="520">
        <v>341359</v>
      </c>
      <c r="G100" s="521"/>
      <c r="H100" s="521"/>
      <c r="I100" s="521"/>
      <c r="J100" s="521"/>
      <c r="K100" s="521"/>
      <c r="L100" s="521"/>
      <c r="M100" s="521"/>
      <c r="N100" s="521"/>
      <c r="O100" s="521"/>
      <c r="P100" s="521"/>
      <c r="Q100" s="522"/>
      <c r="R100" s="1056">
        <f ca="1">IF(T100&lt;=1,1,IF(T100&gt;1.1,-1,0))</f>
        <v>1</v>
      </c>
      <c r="S100" s="1042">
        <f t="shared" ca="1" si="16"/>
        <v>341359</v>
      </c>
      <c r="T100" s="1342">
        <f ca="1">IF(S95&lt;0,ROUND((S100-S95)/ABS(S95),3),IF(S95=0,0,ROUND(S100/S95,3)))</f>
        <v>0.92500000000000004</v>
      </c>
      <c r="U100" s="1398">
        <f t="shared" ca="1" si="17"/>
        <v>341359</v>
      </c>
      <c r="V100" s="1373">
        <f ca="1">IF(X100&lt;=1,1,IF(X100&gt;1.1,-1,0))</f>
        <v>1</v>
      </c>
      <c r="W100" s="1031">
        <f ca="1">S100+(12-IF(ISERROR(MATCH(DATE(YEAR($G$1),MONTH($G$1),1),$F$2:$Q$2,0)),0,MATCH(DATE(YEAR($G$1),MONTH($G$1),1),$F$2:$Q$2,0)))*U100</f>
        <v>4096308</v>
      </c>
      <c r="X100" s="1357">
        <f ca="1">IF(W95&lt;0,ROUND((W100-W95)/ABS(W95),3),IF(W95=0,0,ROUND(W100/W95,3)))</f>
        <v>0.91700000000000004</v>
      </c>
      <c r="Y100" s="1273">
        <v>0.1</v>
      </c>
    </row>
    <row r="101" spans="1:25" ht="14.1" hidden="1" customHeight="1" outlineLevel="1" x14ac:dyDescent="0.15">
      <c r="A101" s="1081" t="s">
        <v>799</v>
      </c>
      <c r="B101" s="1081" t="s">
        <v>448</v>
      </c>
      <c r="C101" s="2184"/>
      <c r="D101" s="2481"/>
      <c r="E101" s="1107" t="s">
        <v>448</v>
      </c>
      <c r="F101" s="520">
        <v>0</v>
      </c>
      <c r="G101" s="521"/>
      <c r="H101" s="521"/>
      <c r="I101" s="521"/>
      <c r="J101" s="521"/>
      <c r="K101" s="521"/>
      <c r="L101" s="521"/>
      <c r="M101" s="521"/>
      <c r="N101" s="521"/>
      <c r="O101" s="521"/>
      <c r="P101" s="521"/>
      <c r="Q101" s="522"/>
      <c r="R101" s="1056">
        <f ca="1">IF(T101&lt;=1,1,IF(T101&gt;1.1,-1,0))</f>
        <v>1</v>
      </c>
      <c r="S101" s="1042">
        <f t="shared" ca="1" si="16"/>
        <v>0</v>
      </c>
      <c r="T101" s="1342">
        <f ca="1">IF(S96&lt;0,ROUND((S101-S96)/ABS(S96),3),IF(S96=0,0,ROUND(S101/S96,3)))</f>
        <v>0</v>
      </c>
      <c r="U101" s="1398">
        <f t="shared" ca="1" si="17"/>
        <v>0</v>
      </c>
      <c r="V101" s="1373">
        <f ca="1">IF(X101&lt;=1,1,IF(X101&gt;1.1,-1,0))</f>
        <v>1</v>
      </c>
      <c r="W101" s="1031">
        <f ca="1">S101+(12-IF(ISERROR(MATCH(DATE(YEAR($G$1),MONTH($G$1),1),$F$2:$Q$2,0)),0,MATCH(DATE(YEAR($G$1),MONTH($G$1),1),$F$2:$Q$2,0)))*U101</f>
        <v>0</v>
      </c>
      <c r="X101" s="1357">
        <f ca="1">IF(W96&lt;0,ROUND((W101-W96)/ABS(W96),3),IF(W96=0,0,ROUND(W101/W96,3)))</f>
        <v>0</v>
      </c>
      <c r="Y101" s="1273">
        <v>0.1</v>
      </c>
    </row>
    <row r="102" spans="1:25" ht="14.1" hidden="1" customHeight="1" outlineLevel="1" x14ac:dyDescent="0.15">
      <c r="A102" s="1081" t="s">
        <v>799</v>
      </c>
      <c r="B102" s="1081" t="s">
        <v>1230</v>
      </c>
      <c r="C102" s="2184"/>
      <c r="D102" s="2481"/>
      <c r="E102" s="1107" t="s">
        <v>35</v>
      </c>
      <c r="F102" s="520">
        <v>125381</v>
      </c>
      <c r="G102" s="521"/>
      <c r="H102" s="521"/>
      <c r="I102" s="521"/>
      <c r="J102" s="521"/>
      <c r="K102" s="521"/>
      <c r="L102" s="521"/>
      <c r="M102" s="521"/>
      <c r="N102" s="521"/>
      <c r="O102" s="521"/>
      <c r="P102" s="521"/>
      <c r="Q102" s="522"/>
      <c r="R102" s="1056">
        <f ca="1">IF(T102&lt;=1,1,IF(T102&gt;1.1,-1,0))</f>
        <v>1</v>
      </c>
      <c r="S102" s="1042">
        <f t="shared" ca="1" si="16"/>
        <v>125381</v>
      </c>
      <c r="T102" s="1342">
        <f ca="1">IF(S97&lt;0,ROUND((S102-S97)/ABS(S97),3),IF(S97=0,0,ROUND(S102/S97,3)))</f>
        <v>0.90900000000000003</v>
      </c>
      <c r="U102" s="1398">
        <f t="shared" ca="1" si="17"/>
        <v>125381</v>
      </c>
      <c r="V102" s="1373">
        <f ca="1">IF(X102&lt;=1,1,IF(X102&gt;1.1,-1,0))</f>
        <v>1</v>
      </c>
      <c r="W102" s="1031">
        <f ca="1">S102+(12-IF(ISERROR(MATCH(DATE(YEAR($G$1),MONTH($G$1),1),$F$2:$Q$2,0)),0,MATCH(DATE(YEAR($G$1),MONTH($G$1),1),$F$2:$Q$2,0)))*U102</f>
        <v>1504572</v>
      </c>
      <c r="X102" s="1357">
        <f ca="1">IF(W97&lt;0,ROUND((W102-W97)/ABS(W97),3),IF(W97=0,0,ROUND(W102/W97,3)))</f>
        <v>0.90900000000000003</v>
      </c>
      <c r="Y102" s="1273">
        <v>0.1</v>
      </c>
    </row>
    <row r="103" spans="1:25" ht="14.1" hidden="1" customHeight="1" outlineLevel="1" thickBot="1" x14ac:dyDescent="0.2">
      <c r="A103" s="1081" t="s">
        <v>799</v>
      </c>
      <c r="B103" s="1081" t="s">
        <v>32</v>
      </c>
      <c r="C103" s="2185"/>
      <c r="D103" s="2482"/>
      <c r="E103" s="1103" t="s">
        <v>32</v>
      </c>
      <c r="F103" s="535">
        <f t="shared" ref="F103:Q103" si="25">F99-(F100+F102)</f>
        <v>510000</v>
      </c>
      <c r="G103" s="536">
        <f t="shared" si="25"/>
        <v>0</v>
      </c>
      <c r="H103" s="536">
        <f t="shared" si="25"/>
        <v>0</v>
      </c>
      <c r="I103" s="536">
        <f t="shared" si="25"/>
        <v>0</v>
      </c>
      <c r="J103" s="536">
        <f t="shared" si="25"/>
        <v>0</v>
      </c>
      <c r="K103" s="536">
        <f t="shared" si="25"/>
        <v>0</v>
      </c>
      <c r="L103" s="536">
        <f t="shared" si="25"/>
        <v>0</v>
      </c>
      <c r="M103" s="536">
        <f t="shared" si="25"/>
        <v>0</v>
      </c>
      <c r="N103" s="536">
        <f t="shared" si="25"/>
        <v>0</v>
      </c>
      <c r="O103" s="536">
        <f t="shared" si="25"/>
        <v>0</v>
      </c>
      <c r="P103" s="536">
        <f t="shared" si="25"/>
        <v>0</v>
      </c>
      <c r="Q103" s="537">
        <f t="shared" si="25"/>
        <v>0</v>
      </c>
      <c r="R103" s="1057">
        <f ca="1">IF(T103&gt;=0,1,IF(T103&lt;0.1,-1,0))</f>
        <v>1</v>
      </c>
      <c r="S103" s="1045">
        <f t="shared" ca="1" si="16"/>
        <v>510000</v>
      </c>
      <c r="T103" s="1343">
        <f ca="1">IF(S98=S103,0,ROUND((S103-S98)/ABS(S98),3))</f>
        <v>0.629</v>
      </c>
      <c r="U103" s="1399">
        <f t="shared" ca="1" si="17"/>
        <v>510000</v>
      </c>
      <c r="V103" s="1374">
        <f ca="1">IF(X103&gt;=0,1,IF(X103&lt;0.1,-1,0))</f>
        <v>1</v>
      </c>
      <c r="W103" s="1034">
        <f ca="1">S103+(12-IF(ISERROR(MATCH(DATE(YEAR($G$1),MONTH($G$1),1),$F$2:$Q$2,0)),0,MATCH(DATE(YEAR($G$1),MONTH($G$1),1),$F$2:$Q$2,0)))*U103</f>
        <v>6120000</v>
      </c>
      <c r="X103" s="1358">
        <f ca="1">IF(W98=W103,0,ROUND((W103-W98)/ABS(W98),3))</f>
        <v>0.64600000000000002</v>
      </c>
      <c r="Y103" s="1273">
        <v>0.1</v>
      </c>
    </row>
    <row r="104" spans="1:25" ht="14.1" hidden="1" customHeight="1" outlineLevel="1" x14ac:dyDescent="0.15">
      <c r="B104" s="1081" t="s">
        <v>26</v>
      </c>
      <c r="C104" s="2169" t="s">
        <v>189</v>
      </c>
      <c r="D104" s="2196" t="s">
        <v>443</v>
      </c>
      <c r="E104" s="360" t="s">
        <v>26</v>
      </c>
      <c r="F104" s="503">
        <v>1000000</v>
      </c>
      <c r="G104" s="504">
        <v>1000000</v>
      </c>
      <c r="H104" s="504">
        <v>1000000</v>
      </c>
      <c r="I104" s="504">
        <v>1000000</v>
      </c>
      <c r="J104" s="504">
        <v>1000000</v>
      </c>
      <c r="K104" s="504">
        <v>1000000</v>
      </c>
      <c r="L104" s="504">
        <v>1000000</v>
      </c>
      <c r="M104" s="504">
        <v>1000000</v>
      </c>
      <c r="N104" s="504">
        <v>1000000</v>
      </c>
      <c r="O104" s="504">
        <v>1000000</v>
      </c>
      <c r="P104" s="504">
        <v>1000000</v>
      </c>
      <c r="Q104" s="505">
        <v>1000000</v>
      </c>
      <c r="R104" s="1295"/>
      <c r="S104" s="1039">
        <f t="shared" ca="1" si="16"/>
        <v>1000000</v>
      </c>
      <c r="T104" s="1338"/>
      <c r="U104" s="1394">
        <f t="shared" ca="1" si="17"/>
        <v>1000000</v>
      </c>
      <c r="V104" s="1390"/>
      <c r="W104" s="1035">
        <f>SUM(F104:Q104)</f>
        <v>12000000</v>
      </c>
      <c r="X104" s="1352"/>
    </row>
    <row r="105" spans="1:25" ht="14.1" hidden="1" customHeight="1" outlineLevel="1" x14ac:dyDescent="0.15">
      <c r="B105" s="1081" t="s">
        <v>15</v>
      </c>
      <c r="C105" s="2170"/>
      <c r="D105" s="2197"/>
      <c r="E105" s="1108" t="s">
        <v>15</v>
      </c>
      <c r="F105" s="509">
        <v>303000</v>
      </c>
      <c r="G105" s="510">
        <v>315000</v>
      </c>
      <c r="H105" s="510">
        <v>303000</v>
      </c>
      <c r="I105" s="510">
        <v>303000</v>
      </c>
      <c r="J105" s="510">
        <v>314000</v>
      </c>
      <c r="K105" s="510">
        <v>303000</v>
      </c>
      <c r="L105" s="510">
        <v>303000</v>
      </c>
      <c r="M105" s="510">
        <v>303000</v>
      </c>
      <c r="N105" s="510">
        <v>303000</v>
      </c>
      <c r="O105" s="510">
        <v>303000</v>
      </c>
      <c r="P105" s="510">
        <v>313000</v>
      </c>
      <c r="Q105" s="511">
        <v>303000</v>
      </c>
      <c r="R105" s="1296"/>
      <c r="S105" s="1040">
        <f t="shared" ca="1" si="16"/>
        <v>303000</v>
      </c>
      <c r="T105" s="1339"/>
      <c r="U105" s="1395">
        <f t="shared" ca="1" si="17"/>
        <v>303000</v>
      </c>
      <c r="V105" s="1391"/>
      <c r="W105" s="1036">
        <f>SUM(F105:Q105)</f>
        <v>3669000</v>
      </c>
      <c r="X105" s="1353"/>
    </row>
    <row r="106" spans="1:25" ht="14.1" hidden="1" customHeight="1" outlineLevel="1" x14ac:dyDescent="0.15">
      <c r="B106" s="1081" t="s">
        <v>447</v>
      </c>
      <c r="C106" s="2170"/>
      <c r="D106" s="2197"/>
      <c r="E106" s="1108" t="s">
        <v>447</v>
      </c>
      <c r="F106" s="509">
        <v>30000</v>
      </c>
      <c r="G106" s="510">
        <v>0</v>
      </c>
      <c r="H106" s="510">
        <v>0</v>
      </c>
      <c r="I106" s="510">
        <v>0</v>
      </c>
      <c r="J106" s="510">
        <v>30000</v>
      </c>
      <c r="K106" s="510">
        <v>0</v>
      </c>
      <c r="L106" s="510">
        <v>0</v>
      </c>
      <c r="M106" s="510">
        <v>0</v>
      </c>
      <c r="N106" s="510">
        <v>0</v>
      </c>
      <c r="O106" s="510">
        <v>0</v>
      </c>
      <c r="P106" s="510">
        <v>0</v>
      </c>
      <c r="Q106" s="511">
        <v>0</v>
      </c>
      <c r="R106" s="1296"/>
      <c r="S106" s="1040">
        <f t="shared" ca="1" si="16"/>
        <v>30000</v>
      </c>
      <c r="T106" s="1339"/>
      <c r="U106" s="1395">
        <f t="shared" ca="1" si="17"/>
        <v>30000</v>
      </c>
      <c r="V106" s="1391"/>
      <c r="W106" s="1036">
        <f>SUM(F106:Q106)</f>
        <v>60000</v>
      </c>
      <c r="X106" s="1353"/>
    </row>
    <row r="107" spans="1:25" ht="14.1" hidden="1" customHeight="1" outlineLevel="1" x14ac:dyDescent="0.15">
      <c r="B107" s="1081" t="s">
        <v>1230</v>
      </c>
      <c r="C107" s="2170"/>
      <c r="D107" s="2197"/>
      <c r="E107" s="1108" t="s">
        <v>35</v>
      </c>
      <c r="F107" s="509">
        <v>210000</v>
      </c>
      <c r="G107" s="510">
        <v>210000</v>
      </c>
      <c r="H107" s="510">
        <v>210000</v>
      </c>
      <c r="I107" s="510">
        <v>210000</v>
      </c>
      <c r="J107" s="510">
        <v>210000</v>
      </c>
      <c r="K107" s="510">
        <v>210000</v>
      </c>
      <c r="L107" s="510">
        <v>210000</v>
      </c>
      <c r="M107" s="510">
        <v>210000</v>
      </c>
      <c r="N107" s="510">
        <v>210000</v>
      </c>
      <c r="O107" s="510">
        <v>210000</v>
      </c>
      <c r="P107" s="510">
        <v>210000</v>
      </c>
      <c r="Q107" s="511">
        <v>210000</v>
      </c>
      <c r="R107" s="1296"/>
      <c r="S107" s="1040">
        <f t="shared" ca="1" si="16"/>
        <v>210000</v>
      </c>
      <c r="T107" s="1339"/>
      <c r="U107" s="1395">
        <f t="shared" ca="1" si="17"/>
        <v>210000</v>
      </c>
      <c r="V107" s="1391"/>
      <c r="W107" s="1036">
        <f>SUM(F107:Q107)</f>
        <v>2520000</v>
      </c>
      <c r="X107" s="1353"/>
    </row>
    <row r="108" spans="1:25" ht="14.1" hidden="1" customHeight="1" outlineLevel="1" thickBot="1" x14ac:dyDescent="0.2">
      <c r="B108" s="1081" t="s">
        <v>32</v>
      </c>
      <c r="C108" s="2170"/>
      <c r="D108" s="2198"/>
      <c r="E108" s="1109" t="s">
        <v>32</v>
      </c>
      <c r="F108" s="530">
        <f t="shared" ref="F108:Q108" si="26">F104-(F105+F107)</f>
        <v>487000</v>
      </c>
      <c r="G108" s="531">
        <f t="shared" si="26"/>
        <v>475000</v>
      </c>
      <c r="H108" s="531">
        <f t="shared" si="26"/>
        <v>487000</v>
      </c>
      <c r="I108" s="531">
        <f t="shared" si="26"/>
        <v>487000</v>
      </c>
      <c r="J108" s="531">
        <f t="shared" si="26"/>
        <v>476000</v>
      </c>
      <c r="K108" s="531">
        <f t="shared" si="26"/>
        <v>487000</v>
      </c>
      <c r="L108" s="531">
        <f t="shared" si="26"/>
        <v>487000</v>
      </c>
      <c r="M108" s="531">
        <f t="shared" si="26"/>
        <v>487000</v>
      </c>
      <c r="N108" s="531">
        <f t="shared" si="26"/>
        <v>487000</v>
      </c>
      <c r="O108" s="531">
        <f t="shared" si="26"/>
        <v>487000</v>
      </c>
      <c r="P108" s="531">
        <f t="shared" si="26"/>
        <v>477000</v>
      </c>
      <c r="Q108" s="532">
        <f t="shared" si="26"/>
        <v>487000</v>
      </c>
      <c r="R108" s="1052"/>
      <c r="S108" s="1044">
        <f t="shared" ca="1" si="16"/>
        <v>487000</v>
      </c>
      <c r="T108" s="1340"/>
      <c r="U108" s="1396">
        <f t="shared" ca="1" si="17"/>
        <v>487000</v>
      </c>
      <c r="V108" s="1032"/>
      <c r="W108" s="1032">
        <f>SUM(F108:Q108)</f>
        <v>5811000</v>
      </c>
      <c r="X108" s="1355"/>
    </row>
    <row r="109" spans="1:25" ht="14.1" hidden="1" customHeight="1" outlineLevel="1" x14ac:dyDescent="0.15">
      <c r="A109" s="1081" t="s">
        <v>786</v>
      </c>
      <c r="B109" s="1081" t="s">
        <v>26</v>
      </c>
      <c r="C109" s="2170"/>
      <c r="D109" s="2480" t="s">
        <v>444</v>
      </c>
      <c r="E109" s="376" t="s">
        <v>26</v>
      </c>
      <c r="F109" s="516">
        <v>790048</v>
      </c>
      <c r="G109" s="517"/>
      <c r="H109" s="517"/>
      <c r="I109" s="517"/>
      <c r="J109" s="517"/>
      <c r="K109" s="517"/>
      <c r="L109" s="517"/>
      <c r="M109" s="517"/>
      <c r="N109" s="517"/>
      <c r="O109" s="517"/>
      <c r="P109" s="517"/>
      <c r="Q109" s="518"/>
      <c r="R109" s="1055">
        <f ca="1">IF(T109&gt;=1,1,IF(T109&lt;0.9,-1,0))</f>
        <v>-1</v>
      </c>
      <c r="S109" s="1041">
        <f t="shared" ca="1" si="16"/>
        <v>790048</v>
      </c>
      <c r="T109" s="1341">
        <f ca="1">IF(S104&lt;0,ROUND((S109-S104)/ABS(S104),3),IF(S104=0,0,ROUND(S109/S104,3)))</f>
        <v>0.79</v>
      </c>
      <c r="U109" s="1397">
        <f t="shared" ca="1" si="17"/>
        <v>790048</v>
      </c>
      <c r="V109" s="1372">
        <f ca="1">IF(X109&gt;=1,1,IF(X109&lt;0.9,-1,0))</f>
        <v>-1</v>
      </c>
      <c r="W109" s="1030">
        <f ca="1">S109+(12-IF(ISERROR(MATCH(DATE(YEAR($G$1),MONTH($G$1),1),$F$2:$Q$2,0)),0,MATCH(DATE(YEAR($G$1),MONTH($G$1),1),$F$2:$Q$2,0)))*U109</f>
        <v>9480576</v>
      </c>
      <c r="X109" s="1356">
        <f ca="1">IF(W104&lt;0,ROUND((W109-W104)/ABS(W104),3),IF(W104=0,0,ROUND(W109/W104,3)))</f>
        <v>0.79</v>
      </c>
      <c r="Y109" s="1273">
        <v>0.1</v>
      </c>
    </row>
    <row r="110" spans="1:25" ht="14.1" hidden="1" customHeight="1" outlineLevel="1" x14ac:dyDescent="0.15">
      <c r="A110" s="1081" t="s">
        <v>786</v>
      </c>
      <c r="B110" s="1081" t="s">
        <v>15</v>
      </c>
      <c r="C110" s="2170"/>
      <c r="D110" s="2481"/>
      <c r="E110" s="1107" t="s">
        <v>15</v>
      </c>
      <c r="F110" s="520">
        <v>307500</v>
      </c>
      <c r="G110" s="521"/>
      <c r="H110" s="521"/>
      <c r="I110" s="521"/>
      <c r="J110" s="521"/>
      <c r="K110" s="521"/>
      <c r="L110" s="521"/>
      <c r="M110" s="521"/>
      <c r="N110" s="521"/>
      <c r="O110" s="521"/>
      <c r="P110" s="521"/>
      <c r="Q110" s="522"/>
      <c r="R110" s="1056">
        <f ca="1">IF(T110&lt;=1,1,IF(T110&gt;1.1,-1,0))</f>
        <v>0</v>
      </c>
      <c r="S110" s="1042">
        <f t="shared" ca="1" si="16"/>
        <v>307500</v>
      </c>
      <c r="T110" s="1342">
        <f ca="1">IF(S105&lt;0,ROUND((S110-S105)/ABS(S105),3),IF(S105=0,0,ROUND(S110/S105,3)))</f>
        <v>1.0149999999999999</v>
      </c>
      <c r="U110" s="1398">
        <f t="shared" ca="1" si="17"/>
        <v>307500</v>
      </c>
      <c r="V110" s="1373">
        <f ca="1">IF(X110&lt;=1,1,IF(X110&gt;1.1,-1,0))</f>
        <v>0</v>
      </c>
      <c r="W110" s="1031">
        <f ca="1">S110+(12-IF(ISERROR(MATCH(DATE(YEAR($G$1),MONTH($G$1),1),$F$2:$Q$2,0)),0,MATCH(DATE(YEAR($G$1),MONTH($G$1),1),$F$2:$Q$2,0)))*U110</f>
        <v>3690000</v>
      </c>
      <c r="X110" s="1357">
        <f ca="1">IF(W105&lt;0,ROUND((W110-W105)/ABS(W105),3),IF(W105=0,0,ROUND(W110/W105,3)))</f>
        <v>1.006</v>
      </c>
      <c r="Y110" s="1273">
        <v>0.1</v>
      </c>
    </row>
    <row r="111" spans="1:25" ht="14.1" hidden="1" customHeight="1" outlineLevel="1" x14ac:dyDescent="0.15">
      <c r="A111" s="1081" t="s">
        <v>786</v>
      </c>
      <c r="B111" s="1081" t="s">
        <v>448</v>
      </c>
      <c r="C111" s="2170"/>
      <c r="D111" s="2481"/>
      <c r="E111" s="1107" t="s">
        <v>448</v>
      </c>
      <c r="F111" s="520">
        <v>0</v>
      </c>
      <c r="G111" s="521"/>
      <c r="H111" s="521"/>
      <c r="I111" s="521"/>
      <c r="J111" s="521"/>
      <c r="K111" s="521"/>
      <c r="L111" s="521"/>
      <c r="M111" s="521"/>
      <c r="N111" s="521"/>
      <c r="O111" s="521"/>
      <c r="P111" s="521"/>
      <c r="Q111" s="522"/>
      <c r="R111" s="1056">
        <f ca="1">IF(T111&lt;=1,1,IF(T111&gt;1.1,-1,0))</f>
        <v>1</v>
      </c>
      <c r="S111" s="1042">
        <f t="shared" ca="1" si="16"/>
        <v>0</v>
      </c>
      <c r="T111" s="1342">
        <f ca="1">IF(S106&lt;0,ROUND((S111-S106)/ABS(S106),3),IF(S106=0,0,ROUND(S111/S106,3)))</f>
        <v>0</v>
      </c>
      <c r="U111" s="1398">
        <f t="shared" ca="1" si="17"/>
        <v>0</v>
      </c>
      <c r="V111" s="1373">
        <f ca="1">IF(X111&lt;=1,1,IF(X111&gt;1.1,-1,0))</f>
        <v>1</v>
      </c>
      <c r="W111" s="1031">
        <f ca="1">S111+(12-IF(ISERROR(MATCH(DATE(YEAR($G$1),MONTH($G$1),1),$F$2:$Q$2,0)),0,MATCH(DATE(YEAR($G$1),MONTH($G$1),1),$F$2:$Q$2,0)))*U111</f>
        <v>0</v>
      </c>
      <c r="X111" s="1357">
        <f ca="1">IF(W106&lt;0,ROUND((W111-W106)/ABS(W106),3),IF(W106=0,0,ROUND(W111/W106,3)))</f>
        <v>0</v>
      </c>
      <c r="Y111" s="1273">
        <v>0.1</v>
      </c>
    </row>
    <row r="112" spans="1:25" ht="14.1" hidden="1" customHeight="1" outlineLevel="1" x14ac:dyDescent="0.15">
      <c r="A112" s="1081" t="s">
        <v>786</v>
      </c>
      <c r="B112" s="1081" t="s">
        <v>1230</v>
      </c>
      <c r="C112" s="2170"/>
      <c r="D112" s="2481"/>
      <c r="E112" s="1107" t="s">
        <v>35</v>
      </c>
      <c r="F112" s="520">
        <v>160550</v>
      </c>
      <c r="G112" s="521"/>
      <c r="H112" s="521"/>
      <c r="I112" s="521"/>
      <c r="J112" s="521"/>
      <c r="K112" s="521"/>
      <c r="L112" s="521"/>
      <c r="M112" s="521"/>
      <c r="N112" s="521"/>
      <c r="O112" s="521"/>
      <c r="P112" s="521"/>
      <c r="Q112" s="522"/>
      <c r="R112" s="1056">
        <f ca="1">IF(T112&lt;=1,1,IF(T112&gt;1.1,-1,0))</f>
        <v>1</v>
      </c>
      <c r="S112" s="1042">
        <f t="shared" ca="1" si="16"/>
        <v>160550</v>
      </c>
      <c r="T112" s="1342">
        <f ca="1">IF(S107&lt;0,ROUND((S112-S107)/ABS(S107),3),IF(S107=0,0,ROUND(S112/S107,3)))</f>
        <v>0.76500000000000001</v>
      </c>
      <c r="U112" s="1398">
        <f t="shared" ca="1" si="17"/>
        <v>160550</v>
      </c>
      <c r="V112" s="1373">
        <f ca="1">IF(X112&lt;=1,1,IF(X112&gt;1.1,-1,0))</f>
        <v>1</v>
      </c>
      <c r="W112" s="1031">
        <f ca="1">S112+(12-IF(ISERROR(MATCH(DATE(YEAR($G$1),MONTH($G$1),1),$F$2:$Q$2,0)),0,MATCH(DATE(YEAR($G$1),MONTH($G$1),1),$F$2:$Q$2,0)))*U112</f>
        <v>1926600</v>
      </c>
      <c r="X112" s="1357">
        <f ca="1">IF(W107&lt;0,ROUND((W112-W107)/ABS(W107),3),IF(W107=0,0,ROUND(W112/W107,3)))</f>
        <v>0.76500000000000001</v>
      </c>
      <c r="Y112" s="1273">
        <v>0.1</v>
      </c>
    </row>
    <row r="113" spans="1:25" ht="13.5" hidden="1" customHeight="1" outlineLevel="1" thickBot="1" x14ac:dyDescent="0.2">
      <c r="A113" s="1081" t="s">
        <v>786</v>
      </c>
      <c r="B113" s="1081" t="s">
        <v>32</v>
      </c>
      <c r="C113" s="2171"/>
      <c r="D113" s="2482"/>
      <c r="E113" s="1103" t="s">
        <v>32</v>
      </c>
      <c r="F113" s="535">
        <f t="shared" ref="F113:Q113" si="27">F109-(F110+F112)</f>
        <v>321998</v>
      </c>
      <c r="G113" s="536">
        <f t="shared" si="27"/>
        <v>0</v>
      </c>
      <c r="H113" s="536">
        <f t="shared" si="27"/>
        <v>0</v>
      </c>
      <c r="I113" s="536">
        <f t="shared" si="27"/>
        <v>0</v>
      </c>
      <c r="J113" s="536">
        <f t="shared" si="27"/>
        <v>0</v>
      </c>
      <c r="K113" s="536">
        <f t="shared" si="27"/>
        <v>0</v>
      </c>
      <c r="L113" s="536">
        <f t="shared" si="27"/>
        <v>0</v>
      </c>
      <c r="M113" s="536">
        <f t="shared" si="27"/>
        <v>0</v>
      </c>
      <c r="N113" s="536">
        <f t="shared" si="27"/>
        <v>0</v>
      </c>
      <c r="O113" s="536">
        <f t="shared" si="27"/>
        <v>0</v>
      </c>
      <c r="P113" s="536">
        <f t="shared" si="27"/>
        <v>0</v>
      </c>
      <c r="Q113" s="537">
        <f t="shared" si="27"/>
        <v>0</v>
      </c>
      <c r="R113" s="1057">
        <f ca="1">IF(T113&gt;=0,1,IF(T113&lt;0.1,-1,0))</f>
        <v>-1</v>
      </c>
      <c r="S113" s="1045">
        <f t="shared" ca="1" si="16"/>
        <v>321998</v>
      </c>
      <c r="T113" s="1343">
        <f ca="1">IF(S108=S113,0,ROUND((S113-S108)/ABS(S108),3))</f>
        <v>-0.33900000000000002</v>
      </c>
      <c r="U113" s="1399">
        <f t="shared" ca="1" si="17"/>
        <v>321998</v>
      </c>
      <c r="V113" s="1374">
        <f ca="1">IF(X113&gt;=0,1,IF(X113&lt;0.1,-1,0))</f>
        <v>-1</v>
      </c>
      <c r="W113" s="1034">
        <f ca="1">S113+(12-IF(ISERROR(MATCH(DATE(YEAR($G$1),MONTH($G$1),1),$F$2:$Q$2,0)),0,MATCH(DATE(YEAR($G$1),MONTH($G$1),1),$F$2:$Q$2,0)))*U113</f>
        <v>3863976</v>
      </c>
      <c r="X113" s="1358">
        <f ca="1">IF(W108=W113,0,ROUND((W113-W108)/ABS(W108),3))</f>
        <v>-0.33500000000000002</v>
      </c>
      <c r="Y113" s="1273">
        <v>0.1</v>
      </c>
    </row>
    <row r="114" spans="1:25" ht="14.1" hidden="1" customHeight="1" outlineLevel="1" x14ac:dyDescent="0.15">
      <c r="B114" s="1081" t="s">
        <v>26</v>
      </c>
      <c r="C114" s="2169" t="s">
        <v>329</v>
      </c>
      <c r="D114" s="2196" t="s">
        <v>443</v>
      </c>
      <c r="E114" s="360" t="s">
        <v>26</v>
      </c>
      <c r="F114" s="503">
        <v>2700000</v>
      </c>
      <c r="G114" s="504">
        <v>2700000</v>
      </c>
      <c r="H114" s="504">
        <v>2700000</v>
      </c>
      <c r="I114" s="504">
        <v>2700000</v>
      </c>
      <c r="J114" s="504">
        <v>2700000</v>
      </c>
      <c r="K114" s="504">
        <v>2700000</v>
      </c>
      <c r="L114" s="504">
        <v>2700000</v>
      </c>
      <c r="M114" s="504">
        <v>2700000</v>
      </c>
      <c r="N114" s="504">
        <v>2700000</v>
      </c>
      <c r="O114" s="504">
        <v>2700000</v>
      </c>
      <c r="P114" s="504">
        <v>2700000</v>
      </c>
      <c r="Q114" s="505">
        <v>2700000</v>
      </c>
      <c r="R114" s="1295"/>
      <c r="S114" s="1039">
        <f t="shared" ca="1" si="16"/>
        <v>2700000</v>
      </c>
      <c r="T114" s="1338"/>
      <c r="U114" s="1394">
        <f t="shared" ca="1" si="17"/>
        <v>2700000</v>
      </c>
      <c r="V114" s="1390"/>
      <c r="W114" s="1035">
        <f>SUM(F114:Q114)</f>
        <v>32400000</v>
      </c>
      <c r="X114" s="1352"/>
    </row>
    <row r="115" spans="1:25" ht="14.1" hidden="1" customHeight="1" outlineLevel="1" x14ac:dyDescent="0.15">
      <c r="B115" s="1081" t="s">
        <v>15</v>
      </c>
      <c r="C115" s="2170"/>
      <c r="D115" s="2197"/>
      <c r="E115" s="1108" t="s">
        <v>15</v>
      </c>
      <c r="F115" s="509">
        <v>698000</v>
      </c>
      <c r="G115" s="510">
        <v>725000</v>
      </c>
      <c r="H115" s="510">
        <v>698000</v>
      </c>
      <c r="I115" s="510">
        <v>698000</v>
      </c>
      <c r="J115" s="510">
        <v>723000</v>
      </c>
      <c r="K115" s="510">
        <v>698000</v>
      </c>
      <c r="L115" s="510">
        <v>698000</v>
      </c>
      <c r="M115" s="510">
        <v>698000</v>
      </c>
      <c r="N115" s="510">
        <v>698000</v>
      </c>
      <c r="O115" s="510">
        <v>698000</v>
      </c>
      <c r="P115" s="510">
        <v>720000</v>
      </c>
      <c r="Q115" s="511">
        <v>698000</v>
      </c>
      <c r="R115" s="1296"/>
      <c r="S115" s="1040">
        <f t="shared" ca="1" si="16"/>
        <v>698000</v>
      </c>
      <c r="T115" s="1339"/>
      <c r="U115" s="1395">
        <f t="shared" ca="1" si="17"/>
        <v>698000</v>
      </c>
      <c r="V115" s="1391"/>
      <c r="W115" s="1036">
        <f>SUM(F115:Q115)</f>
        <v>8450000</v>
      </c>
      <c r="X115" s="1353"/>
    </row>
    <row r="116" spans="1:25" ht="14.1" hidden="1" customHeight="1" outlineLevel="1" x14ac:dyDescent="0.15">
      <c r="B116" s="1081" t="s">
        <v>447</v>
      </c>
      <c r="C116" s="2170"/>
      <c r="D116" s="2197"/>
      <c r="E116" s="1108" t="s">
        <v>447</v>
      </c>
      <c r="F116" s="509">
        <v>30000</v>
      </c>
      <c r="G116" s="510">
        <v>0</v>
      </c>
      <c r="H116" s="510">
        <v>0</v>
      </c>
      <c r="I116" s="510">
        <v>0</v>
      </c>
      <c r="J116" s="510">
        <v>30000</v>
      </c>
      <c r="K116" s="510">
        <v>0</v>
      </c>
      <c r="L116" s="510">
        <v>0</v>
      </c>
      <c r="M116" s="510">
        <v>0</v>
      </c>
      <c r="N116" s="510">
        <v>0</v>
      </c>
      <c r="O116" s="510">
        <v>0</v>
      </c>
      <c r="P116" s="510">
        <v>0</v>
      </c>
      <c r="Q116" s="511">
        <v>0</v>
      </c>
      <c r="R116" s="1296"/>
      <c r="S116" s="1040">
        <f t="shared" ca="1" si="16"/>
        <v>30000</v>
      </c>
      <c r="T116" s="1339"/>
      <c r="U116" s="1395">
        <f t="shared" ca="1" si="17"/>
        <v>30000</v>
      </c>
      <c r="V116" s="1391"/>
      <c r="W116" s="1036">
        <f>SUM(F116:Q116)</f>
        <v>60000</v>
      </c>
      <c r="X116" s="1353"/>
    </row>
    <row r="117" spans="1:25" ht="14.1" hidden="1" customHeight="1" outlineLevel="1" x14ac:dyDescent="0.15">
      <c r="B117" s="1081" t="s">
        <v>1230</v>
      </c>
      <c r="C117" s="2170"/>
      <c r="D117" s="2197"/>
      <c r="E117" s="1108" t="s">
        <v>35</v>
      </c>
      <c r="F117" s="509">
        <v>667000</v>
      </c>
      <c r="G117" s="510">
        <v>667000</v>
      </c>
      <c r="H117" s="510">
        <v>667000</v>
      </c>
      <c r="I117" s="510">
        <v>826000</v>
      </c>
      <c r="J117" s="510">
        <v>667000</v>
      </c>
      <c r="K117" s="510">
        <v>826000</v>
      </c>
      <c r="L117" s="510">
        <v>667000</v>
      </c>
      <c r="M117" s="510">
        <v>826000</v>
      </c>
      <c r="N117" s="510">
        <v>667000</v>
      </c>
      <c r="O117" s="510">
        <v>667000</v>
      </c>
      <c r="P117" s="510">
        <v>826000</v>
      </c>
      <c r="Q117" s="511">
        <v>667000</v>
      </c>
      <c r="R117" s="1296"/>
      <c r="S117" s="1040">
        <f t="shared" ca="1" si="16"/>
        <v>667000</v>
      </c>
      <c r="T117" s="1339"/>
      <c r="U117" s="1395">
        <f t="shared" ca="1" si="17"/>
        <v>667000</v>
      </c>
      <c r="V117" s="1391"/>
      <c r="W117" s="1036">
        <f>SUM(F117:Q117)</f>
        <v>8640000</v>
      </c>
      <c r="X117" s="1353"/>
    </row>
    <row r="118" spans="1:25" ht="14.1" hidden="1" customHeight="1" outlineLevel="1" thickBot="1" x14ac:dyDescent="0.2">
      <c r="B118" s="1081" t="s">
        <v>32</v>
      </c>
      <c r="C118" s="2170"/>
      <c r="D118" s="2198"/>
      <c r="E118" s="1109" t="s">
        <v>32</v>
      </c>
      <c r="F118" s="530">
        <f t="shared" ref="F118:Q118" si="28">F114-(F115+F117)</f>
        <v>1335000</v>
      </c>
      <c r="G118" s="531">
        <f t="shared" si="28"/>
        <v>1308000</v>
      </c>
      <c r="H118" s="531">
        <f t="shared" si="28"/>
        <v>1335000</v>
      </c>
      <c r="I118" s="531">
        <f t="shared" si="28"/>
        <v>1176000</v>
      </c>
      <c r="J118" s="531">
        <f t="shared" si="28"/>
        <v>1310000</v>
      </c>
      <c r="K118" s="531">
        <f t="shared" si="28"/>
        <v>1176000</v>
      </c>
      <c r="L118" s="531">
        <f t="shared" si="28"/>
        <v>1335000</v>
      </c>
      <c r="M118" s="531">
        <f t="shared" si="28"/>
        <v>1176000</v>
      </c>
      <c r="N118" s="531">
        <f t="shared" si="28"/>
        <v>1335000</v>
      </c>
      <c r="O118" s="531">
        <f t="shared" si="28"/>
        <v>1335000</v>
      </c>
      <c r="P118" s="531">
        <f t="shared" si="28"/>
        <v>1154000</v>
      </c>
      <c r="Q118" s="532">
        <f t="shared" si="28"/>
        <v>1335000</v>
      </c>
      <c r="R118" s="1052"/>
      <c r="S118" s="1044">
        <f t="shared" ca="1" si="16"/>
        <v>1335000</v>
      </c>
      <c r="T118" s="1340"/>
      <c r="U118" s="1396">
        <f t="shared" ca="1" si="17"/>
        <v>1335000</v>
      </c>
      <c r="V118" s="1032"/>
      <c r="W118" s="1032">
        <f>SUM(F118:Q118)</f>
        <v>15310000</v>
      </c>
      <c r="X118" s="1355"/>
    </row>
    <row r="119" spans="1:25" ht="14.1" hidden="1" customHeight="1" outlineLevel="1" x14ac:dyDescent="0.15">
      <c r="A119" s="1081" t="s">
        <v>398</v>
      </c>
      <c r="B119" s="1081" t="s">
        <v>26</v>
      </c>
      <c r="C119" s="2170"/>
      <c r="D119" s="2480" t="s">
        <v>444</v>
      </c>
      <c r="E119" s="376" t="s">
        <v>26</v>
      </c>
      <c r="F119" s="516">
        <v>2249576</v>
      </c>
      <c r="G119" s="517"/>
      <c r="H119" s="517"/>
      <c r="I119" s="517"/>
      <c r="J119" s="517"/>
      <c r="K119" s="517"/>
      <c r="L119" s="517"/>
      <c r="M119" s="517"/>
      <c r="N119" s="517"/>
      <c r="O119" s="517"/>
      <c r="P119" s="517"/>
      <c r="Q119" s="518"/>
      <c r="R119" s="1055">
        <f ca="1">IF(T119&gt;=1,1,IF(T119&lt;0.9,-1,0))</f>
        <v>-1</v>
      </c>
      <c r="S119" s="1041">
        <f t="shared" ca="1" si="16"/>
        <v>2249576</v>
      </c>
      <c r="T119" s="1341">
        <f ca="1">IF(S114&lt;0,ROUND((S119-S114)/ABS(S114),3),IF(S114=0,0,ROUND(S119/S114,3)))</f>
        <v>0.83299999999999996</v>
      </c>
      <c r="U119" s="1397">
        <f t="shared" ca="1" si="17"/>
        <v>2249576</v>
      </c>
      <c r="V119" s="1372">
        <f ca="1">IF(X119&gt;=1,1,IF(X119&lt;0.9,-1,0))</f>
        <v>-1</v>
      </c>
      <c r="W119" s="1030">
        <f ca="1">S119+(12-IF(ISERROR(MATCH(DATE(YEAR($G$1),MONTH($G$1),1),$F$2:$Q$2,0)),0,MATCH(DATE(YEAR($G$1),MONTH($G$1),1),$F$2:$Q$2,0)))*U119</f>
        <v>26994912</v>
      </c>
      <c r="X119" s="1356">
        <f ca="1">IF(W114&lt;0,ROUND((W119-W114)/ABS(W114),3),IF(W114=0,0,ROUND(W119/W114,3)))</f>
        <v>0.83299999999999996</v>
      </c>
      <c r="Y119" s="1273">
        <v>0.1</v>
      </c>
    </row>
    <row r="120" spans="1:25" ht="14.1" hidden="1" customHeight="1" outlineLevel="1" x14ac:dyDescent="0.15">
      <c r="A120" s="1081" t="s">
        <v>398</v>
      </c>
      <c r="B120" s="1081" t="s">
        <v>15</v>
      </c>
      <c r="C120" s="2170"/>
      <c r="D120" s="2481"/>
      <c r="E120" s="1107" t="s">
        <v>15</v>
      </c>
      <c r="F120" s="520">
        <v>695777</v>
      </c>
      <c r="G120" s="521"/>
      <c r="H120" s="521"/>
      <c r="I120" s="521"/>
      <c r="J120" s="521"/>
      <c r="K120" s="521"/>
      <c r="L120" s="521"/>
      <c r="M120" s="521"/>
      <c r="N120" s="521"/>
      <c r="O120" s="521"/>
      <c r="P120" s="521"/>
      <c r="Q120" s="522"/>
      <c r="R120" s="1056">
        <f ca="1">IF(T120&lt;=1,1,IF(T120&gt;1.1,-1,0))</f>
        <v>1</v>
      </c>
      <c r="S120" s="1042">
        <f t="shared" ca="1" si="16"/>
        <v>695777</v>
      </c>
      <c r="T120" s="1342">
        <f ca="1">IF(S115&lt;0,ROUND((S120-S115)/ABS(S115),3),IF(S115=0,0,ROUND(S120/S115,3)))</f>
        <v>0.997</v>
      </c>
      <c r="U120" s="1398">
        <f t="shared" ca="1" si="17"/>
        <v>695777</v>
      </c>
      <c r="V120" s="1373">
        <f ca="1">IF(X120&lt;=1,1,IF(X120&gt;1.1,-1,0))</f>
        <v>1</v>
      </c>
      <c r="W120" s="1031">
        <f ca="1">S120+(12-IF(ISERROR(MATCH(DATE(YEAR($G$1),MONTH($G$1),1),$F$2:$Q$2,0)),0,MATCH(DATE(YEAR($G$1),MONTH($G$1),1),$F$2:$Q$2,0)))*U120</f>
        <v>8349324</v>
      </c>
      <c r="X120" s="1357">
        <f ca="1">IF(W115&lt;0,ROUND((W120-W115)/ABS(W115),3),IF(W115=0,0,ROUND(W120/W115,3)))</f>
        <v>0.98799999999999999</v>
      </c>
      <c r="Y120" s="1273">
        <v>0.1</v>
      </c>
    </row>
    <row r="121" spans="1:25" ht="14.1" hidden="1" customHeight="1" outlineLevel="1" x14ac:dyDescent="0.15">
      <c r="A121" s="1081" t="s">
        <v>398</v>
      </c>
      <c r="B121" s="1081" t="s">
        <v>448</v>
      </c>
      <c r="C121" s="2170"/>
      <c r="D121" s="2481"/>
      <c r="E121" s="1107" t="s">
        <v>448</v>
      </c>
      <c r="F121" s="520">
        <v>0</v>
      </c>
      <c r="G121" s="521"/>
      <c r="H121" s="521"/>
      <c r="I121" s="521"/>
      <c r="J121" s="521"/>
      <c r="K121" s="521"/>
      <c r="L121" s="521"/>
      <c r="M121" s="521"/>
      <c r="N121" s="521"/>
      <c r="O121" s="521"/>
      <c r="P121" s="521"/>
      <c r="Q121" s="522"/>
      <c r="R121" s="1056">
        <f ca="1">IF(T121&lt;=1,1,IF(T121&gt;1.1,-1,0))</f>
        <v>1</v>
      </c>
      <c r="S121" s="1042">
        <f t="shared" ca="1" si="16"/>
        <v>0</v>
      </c>
      <c r="T121" s="1342">
        <f ca="1">IF(S116&lt;0,ROUND((S121-S116)/ABS(S116),3),IF(S116=0,0,ROUND(S121/S116,3)))</f>
        <v>0</v>
      </c>
      <c r="U121" s="1398">
        <f t="shared" ca="1" si="17"/>
        <v>0</v>
      </c>
      <c r="V121" s="1373">
        <f ca="1">IF(X121&lt;=1,1,IF(X121&gt;1.1,-1,0))</f>
        <v>1</v>
      </c>
      <c r="W121" s="1031">
        <f ca="1">S121+(12-IF(ISERROR(MATCH(DATE(YEAR($G$1),MONTH($G$1),1),$F$2:$Q$2,0)),0,MATCH(DATE(YEAR($G$1),MONTH($G$1),1),$F$2:$Q$2,0)))*U121</f>
        <v>0</v>
      </c>
      <c r="X121" s="1357">
        <f ca="1">IF(W116&lt;0,ROUND((W121-W116)/ABS(W116),3),IF(W116=0,0,ROUND(W121/W116,3)))</f>
        <v>0</v>
      </c>
      <c r="Y121" s="1273">
        <v>0.1</v>
      </c>
    </row>
    <row r="122" spans="1:25" ht="14.1" hidden="1" customHeight="1" outlineLevel="1" x14ac:dyDescent="0.15">
      <c r="A122" s="1081" t="s">
        <v>398</v>
      </c>
      <c r="B122" s="1081" t="s">
        <v>1230</v>
      </c>
      <c r="C122" s="2170"/>
      <c r="D122" s="2481"/>
      <c r="E122" s="1107" t="s">
        <v>35</v>
      </c>
      <c r="F122" s="520">
        <v>504120</v>
      </c>
      <c r="G122" s="521"/>
      <c r="H122" s="521"/>
      <c r="I122" s="521"/>
      <c r="J122" s="521"/>
      <c r="K122" s="521"/>
      <c r="L122" s="521"/>
      <c r="M122" s="521"/>
      <c r="N122" s="521"/>
      <c r="O122" s="521"/>
      <c r="P122" s="521"/>
      <c r="Q122" s="522"/>
      <c r="R122" s="1056">
        <f ca="1">IF(T122&lt;=1,1,IF(T122&gt;1.1,-1,0))</f>
        <v>1</v>
      </c>
      <c r="S122" s="1042">
        <f t="shared" ca="1" si="16"/>
        <v>504120</v>
      </c>
      <c r="T122" s="1342">
        <f ca="1">IF(S117&lt;0,ROUND((S122-S117)/ABS(S117),3),IF(S117=0,0,ROUND(S122/S117,3)))</f>
        <v>0.75600000000000001</v>
      </c>
      <c r="U122" s="1398">
        <f t="shared" ca="1" si="17"/>
        <v>504120</v>
      </c>
      <c r="V122" s="1373">
        <f ca="1">IF(X122&lt;=1,1,IF(X122&gt;1.1,-1,0))</f>
        <v>1</v>
      </c>
      <c r="W122" s="1031">
        <f ca="1">S122+(12-IF(ISERROR(MATCH(DATE(YEAR($G$1),MONTH($G$1),1),$F$2:$Q$2,0)),0,MATCH(DATE(YEAR($G$1),MONTH($G$1),1),$F$2:$Q$2,0)))*U122</f>
        <v>6049440</v>
      </c>
      <c r="X122" s="1357">
        <f ca="1">IF(W117&lt;0,ROUND((W122-W117)/ABS(W117),3),IF(W117=0,0,ROUND(W122/W117,3)))</f>
        <v>0.7</v>
      </c>
      <c r="Y122" s="1273">
        <v>0.1</v>
      </c>
    </row>
    <row r="123" spans="1:25" ht="14.1" hidden="1" customHeight="1" outlineLevel="1" thickBot="1" x14ac:dyDescent="0.2">
      <c r="A123" s="1081" t="s">
        <v>398</v>
      </c>
      <c r="B123" s="1081" t="s">
        <v>32</v>
      </c>
      <c r="C123" s="2171"/>
      <c r="D123" s="2482"/>
      <c r="E123" s="1103" t="s">
        <v>32</v>
      </c>
      <c r="F123" s="535">
        <f t="shared" ref="F123:Q123" si="29">F119-(F120+F122)</f>
        <v>1049679</v>
      </c>
      <c r="G123" s="536">
        <f t="shared" si="29"/>
        <v>0</v>
      </c>
      <c r="H123" s="536">
        <f t="shared" si="29"/>
        <v>0</v>
      </c>
      <c r="I123" s="536">
        <f t="shared" si="29"/>
        <v>0</v>
      </c>
      <c r="J123" s="536">
        <f t="shared" si="29"/>
        <v>0</v>
      </c>
      <c r="K123" s="536">
        <f t="shared" si="29"/>
        <v>0</v>
      </c>
      <c r="L123" s="536">
        <f t="shared" si="29"/>
        <v>0</v>
      </c>
      <c r="M123" s="536">
        <f t="shared" si="29"/>
        <v>0</v>
      </c>
      <c r="N123" s="536">
        <f t="shared" si="29"/>
        <v>0</v>
      </c>
      <c r="O123" s="536">
        <f t="shared" si="29"/>
        <v>0</v>
      </c>
      <c r="P123" s="536">
        <f t="shared" si="29"/>
        <v>0</v>
      </c>
      <c r="Q123" s="537">
        <f t="shared" si="29"/>
        <v>0</v>
      </c>
      <c r="R123" s="1057">
        <f ca="1">IF(T123&gt;=0,1,IF(T123&lt;0.1,-1,0))</f>
        <v>-1</v>
      </c>
      <c r="S123" s="1045">
        <f t="shared" ca="1" si="16"/>
        <v>1049679</v>
      </c>
      <c r="T123" s="1343">
        <f ca="1">IF(S118=S123,0,ROUND((S123-S118)/ABS(S118),3))</f>
        <v>-0.214</v>
      </c>
      <c r="U123" s="1399">
        <f t="shared" ca="1" si="17"/>
        <v>1049679</v>
      </c>
      <c r="V123" s="1374">
        <f ca="1">IF(X123&gt;=0,1,IF(X123&lt;0.1,-1,0))</f>
        <v>-1</v>
      </c>
      <c r="W123" s="1034">
        <f ca="1">S123+(12-IF(ISERROR(MATCH(DATE(YEAR($G$1),MONTH($G$1),1),$F$2:$Q$2,0)),0,MATCH(DATE(YEAR($G$1),MONTH($G$1),1),$F$2:$Q$2,0)))*U123</f>
        <v>12596148</v>
      </c>
      <c r="X123" s="1358">
        <f ca="1">IF(W118=W123,0,ROUND((W123-W118)/ABS(W118),3))</f>
        <v>-0.17699999999999999</v>
      </c>
      <c r="Y123" s="1273">
        <v>0.1</v>
      </c>
    </row>
    <row r="124" spans="1:25" ht="14.1" hidden="1" customHeight="1" outlineLevel="1" x14ac:dyDescent="0.15">
      <c r="B124" s="1081" t="s">
        <v>26</v>
      </c>
      <c r="C124" s="2483" t="s">
        <v>1293</v>
      </c>
      <c r="D124" s="2196" t="s">
        <v>443</v>
      </c>
      <c r="E124" s="360" t="s">
        <v>26</v>
      </c>
      <c r="F124" s="503">
        <v>0</v>
      </c>
      <c r="G124" s="504">
        <v>0</v>
      </c>
      <c r="H124" s="504">
        <v>0</v>
      </c>
      <c r="I124" s="504">
        <v>590000</v>
      </c>
      <c r="J124" s="504">
        <v>1100000</v>
      </c>
      <c r="K124" s="504">
        <v>2150000</v>
      </c>
      <c r="L124" s="504">
        <v>2150000</v>
      </c>
      <c r="M124" s="504">
        <v>2150000</v>
      </c>
      <c r="N124" s="504">
        <v>2150000</v>
      </c>
      <c r="O124" s="504">
        <v>2150000</v>
      </c>
      <c r="P124" s="504">
        <v>2150000</v>
      </c>
      <c r="Q124" s="505">
        <v>2150000</v>
      </c>
      <c r="R124" s="1295"/>
      <c r="S124" s="1039">
        <f t="shared" ca="1" si="16"/>
        <v>0</v>
      </c>
      <c r="T124" s="1338"/>
      <c r="U124" s="1394">
        <f t="shared" ca="1" si="17"/>
        <v>0</v>
      </c>
      <c r="V124" s="1390"/>
      <c r="W124" s="1035">
        <f>SUM(F124:Q124)</f>
        <v>16740000</v>
      </c>
      <c r="X124" s="1352"/>
    </row>
    <row r="125" spans="1:25" ht="14.1" hidden="1" customHeight="1" outlineLevel="1" x14ac:dyDescent="0.15">
      <c r="B125" s="1081" t="s">
        <v>15</v>
      </c>
      <c r="C125" s="2484"/>
      <c r="D125" s="2197"/>
      <c r="E125" s="1108" t="s">
        <v>15</v>
      </c>
      <c r="F125" s="509">
        <v>0</v>
      </c>
      <c r="G125" s="510">
        <v>0</v>
      </c>
      <c r="H125" s="510">
        <v>0</v>
      </c>
      <c r="I125" s="510">
        <v>100000</v>
      </c>
      <c r="J125" s="510">
        <v>673000</v>
      </c>
      <c r="K125" s="510">
        <v>700000</v>
      </c>
      <c r="L125" s="510">
        <v>700000</v>
      </c>
      <c r="M125" s="510">
        <v>700000</v>
      </c>
      <c r="N125" s="510">
        <v>700000</v>
      </c>
      <c r="O125" s="510">
        <v>700000</v>
      </c>
      <c r="P125" s="510">
        <v>722000</v>
      </c>
      <c r="Q125" s="511">
        <v>700000</v>
      </c>
      <c r="R125" s="1296"/>
      <c r="S125" s="1040">
        <f t="shared" ca="1" si="16"/>
        <v>0</v>
      </c>
      <c r="T125" s="1339"/>
      <c r="U125" s="1395">
        <f t="shared" ca="1" si="17"/>
        <v>0</v>
      </c>
      <c r="V125" s="1391"/>
      <c r="W125" s="1036">
        <f>SUM(F125:Q125)</f>
        <v>5695000</v>
      </c>
      <c r="X125" s="1353"/>
    </row>
    <row r="126" spans="1:25" ht="14.1" hidden="1" customHeight="1" outlineLevel="1" x14ac:dyDescent="0.15">
      <c r="B126" s="1081" t="s">
        <v>447</v>
      </c>
      <c r="C126" s="2484"/>
      <c r="D126" s="2197"/>
      <c r="E126" s="1108" t="s">
        <v>447</v>
      </c>
      <c r="F126" s="509">
        <v>0</v>
      </c>
      <c r="G126" s="510">
        <v>0</v>
      </c>
      <c r="H126" s="510">
        <v>150000</v>
      </c>
      <c r="I126" s="510">
        <v>50000</v>
      </c>
      <c r="J126" s="510">
        <v>0</v>
      </c>
      <c r="K126" s="510">
        <v>50000</v>
      </c>
      <c r="L126" s="510">
        <v>0</v>
      </c>
      <c r="M126" s="510">
        <v>0</v>
      </c>
      <c r="N126" s="510">
        <v>30000</v>
      </c>
      <c r="O126" s="510">
        <v>0</v>
      </c>
      <c r="P126" s="510">
        <v>30000</v>
      </c>
      <c r="Q126" s="511">
        <v>0</v>
      </c>
      <c r="R126" s="1296"/>
      <c r="S126" s="1040">
        <f t="shared" ca="1" si="16"/>
        <v>0</v>
      </c>
      <c r="T126" s="1339"/>
      <c r="U126" s="1395">
        <f t="shared" ca="1" si="17"/>
        <v>0</v>
      </c>
      <c r="V126" s="1391"/>
      <c r="W126" s="1036">
        <f>SUM(F126:Q126)</f>
        <v>310000</v>
      </c>
      <c r="X126" s="1353"/>
    </row>
    <row r="127" spans="1:25" ht="14.1" hidden="1" customHeight="1" outlineLevel="1" x14ac:dyDescent="0.15">
      <c r="B127" s="1081" t="s">
        <v>1230</v>
      </c>
      <c r="C127" s="2484"/>
      <c r="D127" s="2197"/>
      <c r="E127" s="1108" t="s">
        <v>35</v>
      </c>
      <c r="F127" s="509">
        <v>0</v>
      </c>
      <c r="G127" s="510">
        <v>0</v>
      </c>
      <c r="H127" s="510">
        <v>520000</v>
      </c>
      <c r="I127" s="510">
        <v>480000</v>
      </c>
      <c r="J127" s="510">
        <v>430000</v>
      </c>
      <c r="K127" s="510">
        <v>410000</v>
      </c>
      <c r="L127" s="510">
        <v>410000</v>
      </c>
      <c r="M127" s="510">
        <v>410000</v>
      </c>
      <c r="N127" s="510">
        <v>410000</v>
      </c>
      <c r="O127" s="510">
        <v>410000</v>
      </c>
      <c r="P127" s="510">
        <v>410000</v>
      </c>
      <c r="Q127" s="511">
        <v>410000</v>
      </c>
      <c r="R127" s="1296"/>
      <c r="S127" s="1040">
        <f t="shared" ca="1" si="16"/>
        <v>0</v>
      </c>
      <c r="T127" s="1339"/>
      <c r="U127" s="1395">
        <f t="shared" ca="1" si="17"/>
        <v>0</v>
      </c>
      <c r="V127" s="1391"/>
      <c r="W127" s="1036">
        <f>SUM(F127:Q127)</f>
        <v>4300000</v>
      </c>
      <c r="X127" s="1353"/>
    </row>
    <row r="128" spans="1:25" ht="14.1" hidden="1" customHeight="1" outlineLevel="1" thickBot="1" x14ac:dyDescent="0.2">
      <c r="B128" s="1081" t="s">
        <v>32</v>
      </c>
      <c r="C128" s="2484"/>
      <c r="D128" s="2198"/>
      <c r="E128" s="1109" t="s">
        <v>32</v>
      </c>
      <c r="F128" s="530">
        <f t="shared" ref="F128:Q128" si="30">F124-(F125+F127)</f>
        <v>0</v>
      </c>
      <c r="G128" s="531">
        <f t="shared" si="30"/>
        <v>0</v>
      </c>
      <c r="H128" s="531">
        <f t="shared" si="30"/>
        <v>-520000</v>
      </c>
      <c r="I128" s="531">
        <f t="shared" si="30"/>
        <v>10000</v>
      </c>
      <c r="J128" s="531">
        <f t="shared" si="30"/>
        <v>-3000</v>
      </c>
      <c r="K128" s="531">
        <f t="shared" si="30"/>
        <v>1040000</v>
      </c>
      <c r="L128" s="531">
        <f t="shared" si="30"/>
        <v>1040000</v>
      </c>
      <c r="M128" s="531">
        <f t="shared" si="30"/>
        <v>1040000</v>
      </c>
      <c r="N128" s="531">
        <f t="shared" si="30"/>
        <v>1040000</v>
      </c>
      <c r="O128" s="531">
        <f t="shared" si="30"/>
        <v>1040000</v>
      </c>
      <c r="P128" s="531">
        <f t="shared" si="30"/>
        <v>1018000</v>
      </c>
      <c r="Q128" s="532">
        <f t="shared" si="30"/>
        <v>1040000</v>
      </c>
      <c r="R128" s="1052"/>
      <c r="S128" s="1044">
        <f t="shared" ca="1" si="16"/>
        <v>0</v>
      </c>
      <c r="T128" s="1340"/>
      <c r="U128" s="1396">
        <f t="shared" ca="1" si="17"/>
        <v>0</v>
      </c>
      <c r="V128" s="1032"/>
      <c r="W128" s="1032">
        <f>SUM(F128:Q128)</f>
        <v>6745000</v>
      </c>
      <c r="X128" s="1355"/>
    </row>
    <row r="129" spans="1:25" ht="14.1" hidden="1" customHeight="1" outlineLevel="1" x14ac:dyDescent="0.15">
      <c r="A129" s="1081" t="s">
        <v>398</v>
      </c>
      <c r="B129" s="1081" t="s">
        <v>26</v>
      </c>
      <c r="C129" s="2484"/>
      <c r="D129" s="2480" t="s">
        <v>444</v>
      </c>
      <c r="E129" s="376" t="s">
        <v>26</v>
      </c>
      <c r="F129" s="516"/>
      <c r="G129" s="517"/>
      <c r="H129" s="517"/>
      <c r="I129" s="517"/>
      <c r="J129" s="517"/>
      <c r="K129" s="517"/>
      <c r="L129" s="517"/>
      <c r="M129" s="517"/>
      <c r="N129" s="517"/>
      <c r="O129" s="517"/>
      <c r="P129" s="517"/>
      <c r="Q129" s="518"/>
      <c r="R129" s="1055">
        <f ca="1">IF(T129&gt;=1,1,IF(T129&lt;0.9,-1,0))</f>
        <v>-1</v>
      </c>
      <c r="S129" s="1041">
        <f t="shared" ca="1" si="16"/>
        <v>0</v>
      </c>
      <c r="T129" s="1341">
        <f ca="1">IF(S124&lt;0,ROUND((S129-S124)/ABS(S124),3),IF(S124=0,0,ROUND(S129/S124,3)))</f>
        <v>0</v>
      </c>
      <c r="U129" s="1397">
        <f t="shared" ca="1" si="17"/>
        <v>0</v>
      </c>
      <c r="V129" s="1372">
        <f ca="1">IF(X129&gt;=1,1,IF(X129&lt;0.9,-1,0))</f>
        <v>-1</v>
      </c>
      <c r="W129" s="1030">
        <f ca="1">S129+(12-IF(ISERROR(MATCH(DATE(YEAR($G$1),MONTH($G$1),1),$F$2:$Q$2,0)),0,MATCH(DATE(YEAR($G$1),MONTH($G$1),1),$F$2:$Q$2,0)))*U129</f>
        <v>0</v>
      </c>
      <c r="X129" s="1356">
        <f ca="1">IF(W124&lt;0,ROUND((W129-W124)/ABS(W124),3),IF(W124=0,0,ROUND(W129/W124,3)))</f>
        <v>0</v>
      </c>
      <c r="Y129" s="1273">
        <v>0.1</v>
      </c>
    </row>
    <row r="130" spans="1:25" ht="14.1" hidden="1" customHeight="1" outlineLevel="1" x14ac:dyDescent="0.15">
      <c r="A130" s="1081" t="s">
        <v>398</v>
      </c>
      <c r="B130" s="1081" t="s">
        <v>15</v>
      </c>
      <c r="C130" s="2484"/>
      <c r="D130" s="2481"/>
      <c r="E130" s="1107" t="s">
        <v>15</v>
      </c>
      <c r="F130" s="520"/>
      <c r="G130" s="521"/>
      <c r="H130" s="521"/>
      <c r="I130" s="521"/>
      <c r="J130" s="521"/>
      <c r="K130" s="521"/>
      <c r="L130" s="521"/>
      <c r="M130" s="521"/>
      <c r="N130" s="521"/>
      <c r="O130" s="521"/>
      <c r="P130" s="521"/>
      <c r="Q130" s="522"/>
      <c r="R130" s="1056">
        <f ca="1">IF(T130&lt;=1,1,IF(T130&gt;1.1,-1,0))</f>
        <v>1</v>
      </c>
      <c r="S130" s="1042">
        <f t="shared" ca="1" si="16"/>
        <v>0</v>
      </c>
      <c r="T130" s="1342">
        <f ca="1">IF(S125&lt;0,ROUND((S130-S125)/ABS(S125),3),IF(S125=0,0,ROUND(S130/S125,3)))</f>
        <v>0</v>
      </c>
      <c r="U130" s="1398">
        <f t="shared" ca="1" si="17"/>
        <v>0</v>
      </c>
      <c r="V130" s="1373">
        <f ca="1">IF(X130&lt;=1,1,IF(X130&gt;1.1,-1,0))</f>
        <v>1</v>
      </c>
      <c r="W130" s="1031">
        <f ca="1">S130+(12-IF(ISERROR(MATCH(DATE(YEAR($G$1),MONTH($G$1),1),$F$2:$Q$2,0)),0,MATCH(DATE(YEAR($G$1),MONTH($G$1),1),$F$2:$Q$2,0)))*U130</f>
        <v>0</v>
      </c>
      <c r="X130" s="1357">
        <f ca="1">IF(W125&lt;0,ROUND((W130-W125)/ABS(W125),3),IF(W125=0,0,ROUND(W130/W125,3)))</f>
        <v>0</v>
      </c>
      <c r="Y130" s="1273">
        <v>0.1</v>
      </c>
    </row>
    <row r="131" spans="1:25" ht="14.1" hidden="1" customHeight="1" outlineLevel="1" x14ac:dyDescent="0.15">
      <c r="A131" s="1081" t="s">
        <v>398</v>
      </c>
      <c r="B131" s="1081" t="s">
        <v>448</v>
      </c>
      <c r="C131" s="2484"/>
      <c r="D131" s="2481"/>
      <c r="E131" s="1107" t="s">
        <v>448</v>
      </c>
      <c r="F131" s="520"/>
      <c r="G131" s="521"/>
      <c r="H131" s="521"/>
      <c r="I131" s="521"/>
      <c r="J131" s="521"/>
      <c r="K131" s="521"/>
      <c r="L131" s="521"/>
      <c r="M131" s="521"/>
      <c r="N131" s="521"/>
      <c r="O131" s="521"/>
      <c r="P131" s="521"/>
      <c r="Q131" s="522"/>
      <c r="R131" s="1056">
        <f ca="1">IF(T131&lt;=1,1,IF(T131&gt;1.1,-1,0))</f>
        <v>1</v>
      </c>
      <c r="S131" s="1042">
        <f t="shared" ref="S131:S185" ca="1" si="31">SUM(OFFSET(F131,0,0,1,IF(ISERROR(MATCH(DATE(YEAR($G$1),MONTH($G$1),1),$F$2:$Q$2,0)),0,MATCH(DATE(YEAR($G$1),MONTH($G$1),1),$F$2:$Q$2,0))))</f>
        <v>0</v>
      </c>
      <c r="T131" s="1342">
        <f ca="1">IF(S126&lt;0,ROUND((S131-S126)/ABS(S126),3),IF(S126=0,0,ROUND(S131/S126,3)))</f>
        <v>0</v>
      </c>
      <c r="U131" s="1398">
        <f t="shared" ref="U131:U185" ca="1" si="32">IF(ISERROR(S131/(DATEDIF(F$2,G$1,"M")+1)),0,S131/(DATEDIF(F$2,G$1,"M")+1))</f>
        <v>0</v>
      </c>
      <c r="V131" s="1373">
        <f ca="1">IF(X131&lt;=1,1,IF(X131&gt;1.1,-1,0))</f>
        <v>1</v>
      </c>
      <c r="W131" s="1031">
        <f ca="1">S131+(12-IF(ISERROR(MATCH(DATE(YEAR($G$1),MONTH($G$1),1),$F$2:$Q$2,0)),0,MATCH(DATE(YEAR($G$1),MONTH($G$1),1),$F$2:$Q$2,0)))*U131</f>
        <v>0</v>
      </c>
      <c r="X131" s="1357">
        <f ca="1">IF(W126&lt;0,ROUND((W131-W126)/ABS(W126),3),IF(W126=0,0,ROUND(W131/W126,3)))</f>
        <v>0</v>
      </c>
      <c r="Y131" s="1273">
        <v>0.1</v>
      </c>
    </row>
    <row r="132" spans="1:25" ht="14.1" hidden="1" customHeight="1" outlineLevel="1" x14ac:dyDescent="0.15">
      <c r="A132" s="1081" t="s">
        <v>398</v>
      </c>
      <c r="B132" s="1081" t="s">
        <v>1230</v>
      </c>
      <c r="C132" s="2484"/>
      <c r="D132" s="2481"/>
      <c r="E132" s="1107" t="s">
        <v>35</v>
      </c>
      <c r="F132" s="520"/>
      <c r="G132" s="521"/>
      <c r="H132" s="521"/>
      <c r="I132" s="521"/>
      <c r="J132" s="521"/>
      <c r="K132" s="521"/>
      <c r="L132" s="521"/>
      <c r="M132" s="521"/>
      <c r="N132" s="521"/>
      <c r="O132" s="521"/>
      <c r="P132" s="521"/>
      <c r="Q132" s="522"/>
      <c r="R132" s="1056">
        <f ca="1">IF(T132&lt;=1,1,IF(T132&gt;1.1,-1,0))</f>
        <v>1</v>
      </c>
      <c r="S132" s="1042">
        <f t="shared" ca="1" si="31"/>
        <v>0</v>
      </c>
      <c r="T132" s="1342">
        <f ca="1">IF(S127&lt;0,ROUND((S132-S127)/ABS(S127),3),IF(S127=0,0,ROUND(S132/S127,3)))</f>
        <v>0</v>
      </c>
      <c r="U132" s="1398">
        <f t="shared" ca="1" si="32"/>
        <v>0</v>
      </c>
      <c r="V132" s="1373">
        <f ca="1">IF(X132&lt;=1,1,IF(X132&gt;1.1,-1,0))</f>
        <v>1</v>
      </c>
      <c r="W132" s="1031">
        <f ca="1">S132+(12-IF(ISERROR(MATCH(DATE(YEAR($G$1),MONTH($G$1),1),$F$2:$Q$2,0)),0,MATCH(DATE(YEAR($G$1),MONTH($G$1),1),$F$2:$Q$2,0)))*U132</f>
        <v>0</v>
      </c>
      <c r="X132" s="1357">
        <f ca="1">IF(W127&lt;0,ROUND((W132-W127)/ABS(W127),3),IF(W127=0,0,ROUND(W132/W127,3)))</f>
        <v>0</v>
      </c>
      <c r="Y132" s="1273">
        <v>0.1</v>
      </c>
    </row>
    <row r="133" spans="1:25" ht="14.1" hidden="1" customHeight="1" outlineLevel="1" thickBot="1" x14ac:dyDescent="0.2">
      <c r="A133" s="1081" t="s">
        <v>398</v>
      </c>
      <c r="B133" s="1081" t="s">
        <v>32</v>
      </c>
      <c r="C133" s="2485"/>
      <c r="D133" s="2482"/>
      <c r="E133" s="1103" t="s">
        <v>32</v>
      </c>
      <c r="F133" s="535">
        <f t="shared" ref="F133:Q133" si="33">F129-(F130+F132)</f>
        <v>0</v>
      </c>
      <c r="G133" s="536">
        <f t="shared" si="33"/>
        <v>0</v>
      </c>
      <c r="H133" s="536">
        <f t="shared" si="33"/>
        <v>0</v>
      </c>
      <c r="I133" s="536">
        <f t="shared" si="33"/>
        <v>0</v>
      </c>
      <c r="J133" s="536">
        <f t="shared" si="33"/>
        <v>0</v>
      </c>
      <c r="K133" s="536">
        <f t="shared" si="33"/>
        <v>0</v>
      </c>
      <c r="L133" s="536">
        <f t="shared" si="33"/>
        <v>0</v>
      </c>
      <c r="M133" s="536">
        <f t="shared" si="33"/>
        <v>0</v>
      </c>
      <c r="N133" s="536">
        <f t="shared" si="33"/>
        <v>0</v>
      </c>
      <c r="O133" s="536">
        <f t="shared" si="33"/>
        <v>0</v>
      </c>
      <c r="P133" s="536">
        <f t="shared" si="33"/>
        <v>0</v>
      </c>
      <c r="Q133" s="537">
        <f t="shared" si="33"/>
        <v>0</v>
      </c>
      <c r="R133" s="1057">
        <f ca="1">IF(T133&gt;=0,1,IF(T133&lt;0.1,-1,0))</f>
        <v>1</v>
      </c>
      <c r="S133" s="1045">
        <f t="shared" ca="1" si="31"/>
        <v>0</v>
      </c>
      <c r="T133" s="1343">
        <f ca="1">IF(S128=S133,0,ROUND((S133-S128)/ABS(S128),3))</f>
        <v>0</v>
      </c>
      <c r="U133" s="1399">
        <f t="shared" ca="1" si="32"/>
        <v>0</v>
      </c>
      <c r="V133" s="1374">
        <f ca="1">IF(X133&gt;=0,1,IF(X133&lt;0.1,-1,0))</f>
        <v>-1</v>
      </c>
      <c r="W133" s="1034">
        <f ca="1">S133+(12-IF(ISERROR(MATCH(DATE(YEAR($G$1),MONTH($G$1),1),$F$2:$Q$2,0)),0,MATCH(DATE(YEAR($G$1),MONTH($G$1),1),$F$2:$Q$2,0)))*U133</f>
        <v>0</v>
      </c>
      <c r="X133" s="1358">
        <f ca="1">IF(W128=W133,0,ROUND((W133-W128)/ABS(W128),3))</f>
        <v>-1</v>
      </c>
      <c r="Y133" s="1273">
        <v>0.1</v>
      </c>
    </row>
    <row r="134" spans="1:25" ht="14.1" hidden="1" customHeight="1" outlineLevel="1" x14ac:dyDescent="0.15">
      <c r="B134" s="1081" t="s">
        <v>26</v>
      </c>
      <c r="C134" s="2483" t="s">
        <v>1294</v>
      </c>
      <c r="D134" s="2196" t="s">
        <v>443</v>
      </c>
      <c r="E134" s="360" t="s">
        <v>26</v>
      </c>
      <c r="F134" s="503">
        <v>0</v>
      </c>
      <c r="G134" s="504">
        <v>0</v>
      </c>
      <c r="H134" s="504">
        <v>0</v>
      </c>
      <c r="I134" s="504">
        <v>0</v>
      </c>
      <c r="J134" s="504">
        <v>0</v>
      </c>
      <c r="K134" s="504">
        <v>0</v>
      </c>
      <c r="L134" s="504">
        <v>0</v>
      </c>
      <c r="M134" s="504">
        <v>0</v>
      </c>
      <c r="N134" s="504">
        <v>2470000</v>
      </c>
      <c r="O134" s="504">
        <v>2390000</v>
      </c>
      <c r="P134" s="504">
        <v>2470000</v>
      </c>
      <c r="Q134" s="505">
        <v>2470000</v>
      </c>
      <c r="R134" s="1295"/>
      <c r="S134" s="1039">
        <f t="shared" ca="1" si="31"/>
        <v>0</v>
      </c>
      <c r="T134" s="1338"/>
      <c r="U134" s="1394">
        <f t="shared" ca="1" si="32"/>
        <v>0</v>
      </c>
      <c r="V134" s="1390"/>
      <c r="W134" s="1035">
        <f>SUM(F134:Q134)</f>
        <v>9800000</v>
      </c>
      <c r="X134" s="1352"/>
    </row>
    <row r="135" spans="1:25" ht="14.1" hidden="1" customHeight="1" outlineLevel="1" x14ac:dyDescent="0.15">
      <c r="B135" s="1081" t="s">
        <v>15</v>
      </c>
      <c r="C135" s="2484"/>
      <c r="D135" s="2197"/>
      <c r="E135" s="1108" t="s">
        <v>15</v>
      </c>
      <c r="F135" s="509">
        <v>0</v>
      </c>
      <c r="G135" s="510">
        <v>0</v>
      </c>
      <c r="H135" s="510">
        <v>0</v>
      </c>
      <c r="I135" s="510">
        <v>0</v>
      </c>
      <c r="J135" s="510">
        <v>0</v>
      </c>
      <c r="K135" s="510">
        <v>0</v>
      </c>
      <c r="L135" s="510">
        <v>0</v>
      </c>
      <c r="M135" s="510">
        <v>0</v>
      </c>
      <c r="N135" s="510">
        <v>619000</v>
      </c>
      <c r="O135" s="510">
        <v>743000</v>
      </c>
      <c r="P135" s="510">
        <v>786000</v>
      </c>
      <c r="Q135" s="511">
        <v>687000</v>
      </c>
      <c r="R135" s="1296"/>
      <c r="S135" s="1040">
        <f t="shared" ca="1" si="31"/>
        <v>0</v>
      </c>
      <c r="T135" s="1339"/>
      <c r="U135" s="1395">
        <f t="shared" ca="1" si="32"/>
        <v>0</v>
      </c>
      <c r="V135" s="1391"/>
      <c r="W135" s="1036">
        <f>SUM(F135:Q135)</f>
        <v>2835000</v>
      </c>
      <c r="X135" s="1353"/>
    </row>
    <row r="136" spans="1:25" ht="14.1" hidden="1" customHeight="1" outlineLevel="1" x14ac:dyDescent="0.15">
      <c r="B136" s="1081" t="s">
        <v>447</v>
      </c>
      <c r="C136" s="2484"/>
      <c r="D136" s="2197"/>
      <c r="E136" s="1108" t="s">
        <v>447</v>
      </c>
      <c r="F136" s="509">
        <v>0</v>
      </c>
      <c r="G136" s="510">
        <v>0</v>
      </c>
      <c r="H136" s="510">
        <v>0</v>
      </c>
      <c r="I136" s="510">
        <v>0</v>
      </c>
      <c r="J136" s="510">
        <v>0</v>
      </c>
      <c r="K136" s="510">
        <v>0</v>
      </c>
      <c r="L136" s="510">
        <v>0</v>
      </c>
      <c r="M136" s="510">
        <v>150000</v>
      </c>
      <c r="N136" s="510">
        <v>30000</v>
      </c>
      <c r="O136" s="510">
        <v>0</v>
      </c>
      <c r="P136" s="510">
        <v>30000</v>
      </c>
      <c r="Q136" s="511">
        <v>0</v>
      </c>
      <c r="R136" s="1296"/>
      <c r="S136" s="1040">
        <f t="shared" ca="1" si="31"/>
        <v>0</v>
      </c>
      <c r="T136" s="1339"/>
      <c r="U136" s="1395">
        <f t="shared" ca="1" si="32"/>
        <v>0</v>
      </c>
      <c r="V136" s="1391"/>
      <c r="W136" s="1036">
        <f>SUM(F136:Q136)</f>
        <v>210000</v>
      </c>
      <c r="X136" s="1353"/>
    </row>
    <row r="137" spans="1:25" ht="14.1" hidden="1" customHeight="1" outlineLevel="1" x14ac:dyDescent="0.15">
      <c r="B137" s="1081" t="s">
        <v>1230</v>
      </c>
      <c r="C137" s="2484"/>
      <c r="D137" s="2197"/>
      <c r="E137" s="1108" t="s">
        <v>35</v>
      </c>
      <c r="F137" s="509">
        <v>250000</v>
      </c>
      <c r="G137" s="510">
        <v>250000</v>
      </c>
      <c r="H137" s="510">
        <v>1191000</v>
      </c>
      <c r="I137" s="510">
        <v>253000</v>
      </c>
      <c r="J137" s="510">
        <v>253000</v>
      </c>
      <c r="K137" s="510">
        <v>253000</v>
      </c>
      <c r="L137" s="510">
        <v>694000</v>
      </c>
      <c r="M137" s="510">
        <v>3253000</v>
      </c>
      <c r="N137" s="510">
        <v>694000</v>
      </c>
      <c r="O137" s="510">
        <v>520000</v>
      </c>
      <c r="P137" s="510">
        <v>561000</v>
      </c>
      <c r="Q137" s="511">
        <v>543000</v>
      </c>
      <c r="R137" s="1296"/>
      <c r="S137" s="1040">
        <f t="shared" ca="1" si="31"/>
        <v>250000</v>
      </c>
      <c r="T137" s="1339"/>
      <c r="U137" s="1395">
        <f t="shared" ca="1" si="32"/>
        <v>250000</v>
      </c>
      <c r="V137" s="1391"/>
      <c r="W137" s="1036">
        <f>SUM(F137:Q137)</f>
        <v>8715000</v>
      </c>
      <c r="X137" s="1353"/>
    </row>
    <row r="138" spans="1:25" ht="14.1" hidden="1" customHeight="1" outlineLevel="1" thickBot="1" x14ac:dyDescent="0.2">
      <c r="B138" s="1081" t="s">
        <v>32</v>
      </c>
      <c r="C138" s="2484"/>
      <c r="D138" s="2198"/>
      <c r="E138" s="1109" t="s">
        <v>32</v>
      </c>
      <c r="F138" s="530">
        <f t="shared" ref="F138:Q138" si="34">F134-(F135+F137)</f>
        <v>-250000</v>
      </c>
      <c r="G138" s="531">
        <f t="shared" si="34"/>
        <v>-250000</v>
      </c>
      <c r="H138" s="531">
        <f t="shared" si="34"/>
        <v>-1191000</v>
      </c>
      <c r="I138" s="531">
        <f t="shared" si="34"/>
        <v>-253000</v>
      </c>
      <c r="J138" s="531">
        <f t="shared" si="34"/>
        <v>-253000</v>
      </c>
      <c r="K138" s="531">
        <f t="shared" si="34"/>
        <v>-253000</v>
      </c>
      <c r="L138" s="531">
        <f t="shared" si="34"/>
        <v>-694000</v>
      </c>
      <c r="M138" s="531">
        <f t="shared" si="34"/>
        <v>-3253000</v>
      </c>
      <c r="N138" s="531">
        <f t="shared" si="34"/>
        <v>1157000</v>
      </c>
      <c r="O138" s="531">
        <f t="shared" si="34"/>
        <v>1127000</v>
      </c>
      <c r="P138" s="531">
        <f t="shared" si="34"/>
        <v>1123000</v>
      </c>
      <c r="Q138" s="532">
        <f t="shared" si="34"/>
        <v>1240000</v>
      </c>
      <c r="R138" s="1052"/>
      <c r="S138" s="1044">
        <f t="shared" ca="1" si="31"/>
        <v>-250000</v>
      </c>
      <c r="T138" s="1340"/>
      <c r="U138" s="1396">
        <f t="shared" ca="1" si="32"/>
        <v>-250000</v>
      </c>
      <c r="V138" s="1032"/>
      <c r="W138" s="1032">
        <f>SUM(F138:Q138)</f>
        <v>-1750000</v>
      </c>
      <c r="X138" s="1355"/>
    </row>
    <row r="139" spans="1:25" ht="14.1" hidden="1" customHeight="1" outlineLevel="1" x14ac:dyDescent="0.15">
      <c r="A139" s="1081" t="s">
        <v>398</v>
      </c>
      <c r="B139" s="1081" t="s">
        <v>26</v>
      </c>
      <c r="C139" s="2484"/>
      <c r="D139" s="2480" t="s">
        <v>444</v>
      </c>
      <c r="E139" s="376" t="s">
        <v>26</v>
      </c>
      <c r="F139" s="516"/>
      <c r="G139" s="517"/>
      <c r="H139" s="517"/>
      <c r="I139" s="517"/>
      <c r="J139" s="517"/>
      <c r="K139" s="517"/>
      <c r="L139" s="517"/>
      <c r="M139" s="517"/>
      <c r="N139" s="517"/>
      <c r="O139" s="517"/>
      <c r="P139" s="517"/>
      <c r="Q139" s="518"/>
      <c r="R139" s="1055">
        <f ca="1">IF(T139&gt;=1,1,IF(T139&lt;0.9,-1,0))</f>
        <v>-1</v>
      </c>
      <c r="S139" s="1041">
        <f t="shared" ca="1" si="31"/>
        <v>0</v>
      </c>
      <c r="T139" s="1341">
        <f ca="1">IF(S134&lt;0,ROUND((S139-S134)/ABS(S134),3),IF(S134=0,0,ROUND(S139/S134,3)))</f>
        <v>0</v>
      </c>
      <c r="U139" s="1397">
        <f t="shared" ca="1" si="32"/>
        <v>0</v>
      </c>
      <c r="V139" s="1372">
        <f ca="1">IF(X139&gt;=1,1,IF(X139&lt;0.9,-1,0))</f>
        <v>-1</v>
      </c>
      <c r="W139" s="1030">
        <f ca="1">S139+(12-IF(ISERROR(MATCH(DATE(YEAR($G$1),MONTH($G$1),1),$F$2:$Q$2,0)),0,MATCH(DATE(YEAR($G$1),MONTH($G$1),1),$F$2:$Q$2,0)))*U139</f>
        <v>0</v>
      </c>
      <c r="X139" s="1356">
        <f ca="1">IF(W134&lt;0,ROUND((W139-W134)/ABS(W134),3),IF(W134=0,0,ROUND(W139/W134,3)))</f>
        <v>0</v>
      </c>
      <c r="Y139" s="1273">
        <v>0.1</v>
      </c>
    </row>
    <row r="140" spans="1:25" ht="14.1" hidden="1" customHeight="1" outlineLevel="1" x14ac:dyDescent="0.15">
      <c r="A140" s="1081" t="s">
        <v>398</v>
      </c>
      <c r="B140" s="1081" t="s">
        <v>15</v>
      </c>
      <c r="C140" s="2484"/>
      <c r="D140" s="2481"/>
      <c r="E140" s="1107" t="s">
        <v>15</v>
      </c>
      <c r="F140" s="520"/>
      <c r="G140" s="521"/>
      <c r="H140" s="521"/>
      <c r="I140" s="521"/>
      <c r="J140" s="521"/>
      <c r="K140" s="521"/>
      <c r="L140" s="521"/>
      <c r="M140" s="521"/>
      <c r="N140" s="521"/>
      <c r="O140" s="521"/>
      <c r="P140" s="521"/>
      <c r="Q140" s="522"/>
      <c r="R140" s="1056">
        <f ca="1">IF(T140&lt;=1,1,IF(T140&gt;1.1,-1,0))</f>
        <v>1</v>
      </c>
      <c r="S140" s="1042">
        <f t="shared" ca="1" si="31"/>
        <v>0</v>
      </c>
      <c r="T140" s="1342">
        <f ca="1">IF(S135&lt;0,ROUND((S140-S135)/ABS(S135),3),IF(S135=0,0,ROUND(S140/S135,3)))</f>
        <v>0</v>
      </c>
      <c r="U140" s="1398">
        <f t="shared" ca="1" si="32"/>
        <v>0</v>
      </c>
      <c r="V140" s="1373">
        <f ca="1">IF(X140&lt;=1,1,IF(X140&gt;1.1,-1,0))</f>
        <v>1</v>
      </c>
      <c r="W140" s="1031">
        <f ca="1">S140+(12-IF(ISERROR(MATCH(DATE(YEAR($G$1),MONTH($G$1),1),$F$2:$Q$2,0)),0,MATCH(DATE(YEAR($G$1),MONTH($G$1),1),$F$2:$Q$2,0)))*U140</f>
        <v>0</v>
      </c>
      <c r="X140" s="1357">
        <f ca="1">IF(W135&lt;0,ROUND((W140-W135)/ABS(W135),3),IF(W135=0,0,ROUND(W140/W135,3)))</f>
        <v>0</v>
      </c>
      <c r="Y140" s="1273">
        <v>0.1</v>
      </c>
    </row>
    <row r="141" spans="1:25" ht="14.1" hidden="1" customHeight="1" outlineLevel="1" x14ac:dyDescent="0.15">
      <c r="A141" s="1081" t="s">
        <v>398</v>
      </c>
      <c r="B141" s="1081" t="s">
        <v>448</v>
      </c>
      <c r="C141" s="2484"/>
      <c r="D141" s="2481"/>
      <c r="E141" s="1107" t="s">
        <v>448</v>
      </c>
      <c r="F141" s="520"/>
      <c r="G141" s="521"/>
      <c r="H141" s="521"/>
      <c r="I141" s="521"/>
      <c r="J141" s="521"/>
      <c r="K141" s="521"/>
      <c r="L141" s="521"/>
      <c r="M141" s="521"/>
      <c r="N141" s="521"/>
      <c r="O141" s="521"/>
      <c r="P141" s="521"/>
      <c r="Q141" s="522"/>
      <c r="R141" s="1056">
        <f ca="1">IF(T141&lt;=1,1,IF(T141&gt;1.1,-1,0))</f>
        <v>1</v>
      </c>
      <c r="S141" s="1042">
        <f t="shared" ca="1" si="31"/>
        <v>0</v>
      </c>
      <c r="T141" s="1342">
        <f ca="1">IF(S136&lt;0,ROUND((S141-S136)/ABS(S136),3),IF(S136=0,0,ROUND(S141/S136,3)))</f>
        <v>0</v>
      </c>
      <c r="U141" s="1398">
        <f t="shared" ca="1" si="32"/>
        <v>0</v>
      </c>
      <c r="V141" s="1373">
        <f ca="1">IF(X141&lt;=1,1,IF(X141&gt;1.1,-1,0))</f>
        <v>1</v>
      </c>
      <c r="W141" s="1031">
        <f ca="1">S141+(12-IF(ISERROR(MATCH(DATE(YEAR($G$1),MONTH($G$1),1),$F$2:$Q$2,0)),0,MATCH(DATE(YEAR($G$1),MONTH($G$1),1),$F$2:$Q$2,0)))*U141</f>
        <v>0</v>
      </c>
      <c r="X141" s="1357">
        <f ca="1">IF(W136&lt;0,ROUND((W141-W136)/ABS(W136),3),IF(W136=0,0,ROUND(W141/W136,3)))</f>
        <v>0</v>
      </c>
      <c r="Y141" s="1273">
        <v>0.1</v>
      </c>
    </row>
    <row r="142" spans="1:25" ht="14.1" hidden="1" customHeight="1" outlineLevel="1" x14ac:dyDescent="0.15">
      <c r="A142" s="1081" t="s">
        <v>398</v>
      </c>
      <c r="B142" s="1081" t="s">
        <v>1230</v>
      </c>
      <c r="C142" s="2484"/>
      <c r="D142" s="2481"/>
      <c r="E142" s="1107" t="s">
        <v>35</v>
      </c>
      <c r="F142" s="520"/>
      <c r="G142" s="521"/>
      <c r="H142" s="521"/>
      <c r="I142" s="521"/>
      <c r="J142" s="521"/>
      <c r="K142" s="521"/>
      <c r="L142" s="521"/>
      <c r="M142" s="521"/>
      <c r="N142" s="521"/>
      <c r="O142" s="521"/>
      <c r="P142" s="521"/>
      <c r="Q142" s="522"/>
      <c r="R142" s="1056">
        <f ca="1">IF(T142&lt;=1,1,IF(T142&gt;1.1,-1,0))</f>
        <v>1</v>
      </c>
      <c r="S142" s="1042">
        <f t="shared" ca="1" si="31"/>
        <v>0</v>
      </c>
      <c r="T142" s="1342">
        <f ca="1">IF(S137&lt;0,ROUND((S142-S137)/ABS(S137),3),IF(S137=0,0,ROUND(S142/S137,3)))</f>
        <v>0</v>
      </c>
      <c r="U142" s="1398">
        <f t="shared" ca="1" si="32"/>
        <v>0</v>
      </c>
      <c r="V142" s="1373">
        <f ca="1">IF(X142&lt;=1,1,IF(X142&gt;1.1,-1,0))</f>
        <v>1</v>
      </c>
      <c r="W142" s="1031">
        <f ca="1">S142+(12-IF(ISERROR(MATCH(DATE(YEAR($G$1),MONTH($G$1),1),$F$2:$Q$2,0)),0,MATCH(DATE(YEAR($G$1),MONTH($G$1),1),$F$2:$Q$2,0)))*U142</f>
        <v>0</v>
      </c>
      <c r="X142" s="1357">
        <f ca="1">IF(W137&lt;0,ROUND((W142-W137)/ABS(W137),3),IF(W137=0,0,ROUND(W142/W137,3)))</f>
        <v>0</v>
      </c>
      <c r="Y142" s="1273">
        <v>0.1</v>
      </c>
    </row>
    <row r="143" spans="1:25" ht="14.1" hidden="1" customHeight="1" outlineLevel="1" thickBot="1" x14ac:dyDescent="0.2">
      <c r="A143" s="1081" t="s">
        <v>398</v>
      </c>
      <c r="B143" s="1081" t="s">
        <v>32</v>
      </c>
      <c r="C143" s="2485"/>
      <c r="D143" s="2482"/>
      <c r="E143" s="1103" t="s">
        <v>32</v>
      </c>
      <c r="F143" s="535">
        <f t="shared" ref="F143:Q143" si="35">F139-(F140+F142)</f>
        <v>0</v>
      </c>
      <c r="G143" s="536">
        <f t="shared" si="35"/>
        <v>0</v>
      </c>
      <c r="H143" s="536">
        <f t="shared" si="35"/>
        <v>0</v>
      </c>
      <c r="I143" s="536">
        <f t="shared" si="35"/>
        <v>0</v>
      </c>
      <c r="J143" s="536">
        <f t="shared" si="35"/>
        <v>0</v>
      </c>
      <c r="K143" s="536">
        <f t="shared" si="35"/>
        <v>0</v>
      </c>
      <c r="L143" s="536">
        <f t="shared" si="35"/>
        <v>0</v>
      </c>
      <c r="M143" s="536">
        <f t="shared" si="35"/>
        <v>0</v>
      </c>
      <c r="N143" s="536">
        <f t="shared" si="35"/>
        <v>0</v>
      </c>
      <c r="O143" s="536">
        <f t="shared" si="35"/>
        <v>0</v>
      </c>
      <c r="P143" s="536">
        <f t="shared" si="35"/>
        <v>0</v>
      </c>
      <c r="Q143" s="537">
        <f t="shared" si="35"/>
        <v>0</v>
      </c>
      <c r="R143" s="1057">
        <f ca="1">IF(T143&gt;=0,1,IF(T143&lt;0.1,-1,0))</f>
        <v>1</v>
      </c>
      <c r="S143" s="1045">
        <f t="shared" ca="1" si="31"/>
        <v>0</v>
      </c>
      <c r="T143" s="1343">
        <f ca="1">IF(S138=S143,0,ROUND((S143-S138)/ABS(S138),3))</f>
        <v>1</v>
      </c>
      <c r="U143" s="1399">
        <f t="shared" ca="1" si="32"/>
        <v>0</v>
      </c>
      <c r="V143" s="1374">
        <f ca="1">IF(X143&gt;=0,1,IF(X143&lt;0.1,-1,0))</f>
        <v>1</v>
      </c>
      <c r="W143" s="1034">
        <f ca="1">S143+(12-IF(ISERROR(MATCH(DATE(YEAR($G$1),MONTH($G$1),1),$F$2:$Q$2,0)),0,MATCH(DATE(YEAR($G$1),MONTH($G$1),1),$F$2:$Q$2,0)))*U143</f>
        <v>0</v>
      </c>
      <c r="X143" s="1358">
        <f ca="1">IF(W138=W143,0,ROUND((W143-W138)/ABS(W138),3))</f>
        <v>1</v>
      </c>
      <c r="Y143" s="1273">
        <v>0.1</v>
      </c>
    </row>
    <row r="144" spans="1:25" ht="14.1" customHeight="1" collapsed="1" x14ac:dyDescent="0.15">
      <c r="B144" s="1081" t="s">
        <v>26</v>
      </c>
      <c r="C144" s="2157" t="s">
        <v>1193</v>
      </c>
      <c r="D144" s="2196" t="s">
        <v>443</v>
      </c>
      <c r="E144" s="360" t="s">
        <v>26</v>
      </c>
      <c r="F144" s="503">
        <f>SUM(F94,F104,F114,F124,F134)</f>
        <v>4520000</v>
      </c>
      <c r="G144" s="504">
        <f t="shared" ref="G144:Q144" si="36">SUM(G94,G104,G114,G124,G134)</f>
        <v>4520000</v>
      </c>
      <c r="H144" s="504">
        <f t="shared" si="36"/>
        <v>4520000</v>
      </c>
      <c r="I144" s="504">
        <f t="shared" si="36"/>
        <v>5110000</v>
      </c>
      <c r="J144" s="504">
        <f t="shared" si="36"/>
        <v>5620000</v>
      </c>
      <c r="K144" s="504">
        <f t="shared" si="36"/>
        <v>6670000</v>
      </c>
      <c r="L144" s="504">
        <f t="shared" si="36"/>
        <v>6670000</v>
      </c>
      <c r="M144" s="504">
        <f t="shared" si="36"/>
        <v>6670000</v>
      </c>
      <c r="N144" s="504">
        <f t="shared" si="36"/>
        <v>9140000</v>
      </c>
      <c r="O144" s="504">
        <f t="shared" si="36"/>
        <v>9060000</v>
      </c>
      <c r="P144" s="504">
        <f t="shared" si="36"/>
        <v>9140000</v>
      </c>
      <c r="Q144" s="505">
        <f t="shared" si="36"/>
        <v>9140000</v>
      </c>
      <c r="R144" s="1295"/>
      <c r="S144" s="1039">
        <f t="shared" ca="1" si="31"/>
        <v>4520000</v>
      </c>
      <c r="T144" s="1338"/>
      <c r="U144" s="1394">
        <f t="shared" ca="1" si="32"/>
        <v>4520000</v>
      </c>
      <c r="V144" s="1390"/>
      <c r="W144" s="1035">
        <f>SUM(F144:Q144)</f>
        <v>80780000</v>
      </c>
      <c r="X144" s="1352"/>
    </row>
    <row r="145" spans="1:25" ht="14.1" customHeight="1" x14ac:dyDescent="0.15">
      <c r="B145" s="1081" t="s">
        <v>15</v>
      </c>
      <c r="C145" s="2158"/>
      <c r="D145" s="2197"/>
      <c r="E145" s="1108" t="s">
        <v>15</v>
      </c>
      <c r="F145" s="509">
        <f t="shared" ref="F145:Q147" si="37">SUM(F95,F105,F115,F125,F135)</f>
        <v>1370000</v>
      </c>
      <c r="G145" s="510">
        <f t="shared" si="37"/>
        <v>1423000</v>
      </c>
      <c r="H145" s="510">
        <f t="shared" si="37"/>
        <v>1370000</v>
      </c>
      <c r="I145" s="510">
        <f t="shared" si="37"/>
        <v>1470000</v>
      </c>
      <c r="J145" s="510">
        <f t="shared" si="37"/>
        <v>2092000</v>
      </c>
      <c r="K145" s="510">
        <f t="shared" si="37"/>
        <v>2070000</v>
      </c>
      <c r="L145" s="510">
        <f t="shared" si="37"/>
        <v>2070000</v>
      </c>
      <c r="M145" s="510">
        <f t="shared" si="37"/>
        <v>2070000</v>
      </c>
      <c r="N145" s="510">
        <f t="shared" si="37"/>
        <v>2689000</v>
      </c>
      <c r="O145" s="510">
        <f t="shared" si="37"/>
        <v>2813000</v>
      </c>
      <c r="P145" s="510">
        <f t="shared" si="37"/>
        <v>2922000</v>
      </c>
      <c r="Q145" s="511">
        <f t="shared" si="37"/>
        <v>2757000</v>
      </c>
      <c r="R145" s="1296"/>
      <c r="S145" s="1040">
        <f t="shared" ca="1" si="31"/>
        <v>1370000</v>
      </c>
      <c r="T145" s="1339"/>
      <c r="U145" s="1395">
        <f t="shared" ca="1" si="32"/>
        <v>1370000</v>
      </c>
      <c r="V145" s="1391"/>
      <c r="W145" s="1036">
        <f>SUM(F145:Q145)</f>
        <v>25116000</v>
      </c>
      <c r="X145" s="1353"/>
    </row>
    <row r="146" spans="1:25" ht="14.1" customHeight="1" x14ac:dyDescent="0.15">
      <c r="B146" s="1081" t="s">
        <v>447</v>
      </c>
      <c r="C146" s="2158"/>
      <c r="D146" s="2197"/>
      <c r="E146" s="1108" t="s">
        <v>447</v>
      </c>
      <c r="F146" s="509">
        <f t="shared" si="37"/>
        <v>90000</v>
      </c>
      <c r="G146" s="510">
        <f t="shared" si="37"/>
        <v>0</v>
      </c>
      <c r="H146" s="510">
        <f t="shared" si="37"/>
        <v>150000</v>
      </c>
      <c r="I146" s="510">
        <f t="shared" si="37"/>
        <v>50000</v>
      </c>
      <c r="J146" s="510">
        <f t="shared" si="37"/>
        <v>90000</v>
      </c>
      <c r="K146" s="510">
        <f t="shared" si="37"/>
        <v>50000</v>
      </c>
      <c r="L146" s="510">
        <f t="shared" si="37"/>
        <v>0</v>
      </c>
      <c r="M146" s="510">
        <f t="shared" si="37"/>
        <v>150000</v>
      </c>
      <c r="N146" s="510">
        <f t="shared" si="37"/>
        <v>60000</v>
      </c>
      <c r="O146" s="510">
        <f t="shared" si="37"/>
        <v>0</v>
      </c>
      <c r="P146" s="510">
        <f t="shared" si="37"/>
        <v>60000</v>
      </c>
      <c r="Q146" s="511">
        <f t="shared" si="37"/>
        <v>0</v>
      </c>
      <c r="R146" s="1296"/>
      <c r="S146" s="1040">
        <f t="shared" ca="1" si="31"/>
        <v>90000</v>
      </c>
      <c r="T146" s="1339"/>
      <c r="U146" s="1395">
        <f t="shared" ca="1" si="32"/>
        <v>90000</v>
      </c>
      <c r="V146" s="1391"/>
      <c r="W146" s="1036">
        <f>SUM(F146:Q146)</f>
        <v>700000</v>
      </c>
      <c r="X146" s="1353"/>
    </row>
    <row r="147" spans="1:25" ht="14.1" customHeight="1" x14ac:dyDescent="0.15">
      <c r="B147" s="1081" t="s">
        <v>1230</v>
      </c>
      <c r="C147" s="2158"/>
      <c r="D147" s="2197"/>
      <c r="E147" s="1108" t="s">
        <v>35</v>
      </c>
      <c r="F147" s="509">
        <f t="shared" si="37"/>
        <v>1265000</v>
      </c>
      <c r="G147" s="510">
        <f t="shared" si="37"/>
        <v>1265000</v>
      </c>
      <c r="H147" s="510">
        <f t="shared" si="37"/>
        <v>2726000</v>
      </c>
      <c r="I147" s="510">
        <f t="shared" si="37"/>
        <v>1907000</v>
      </c>
      <c r="J147" s="510">
        <f t="shared" si="37"/>
        <v>1698000</v>
      </c>
      <c r="K147" s="510">
        <f t="shared" si="37"/>
        <v>1837000</v>
      </c>
      <c r="L147" s="510">
        <f t="shared" si="37"/>
        <v>2119000</v>
      </c>
      <c r="M147" s="510">
        <f t="shared" si="37"/>
        <v>4837000</v>
      </c>
      <c r="N147" s="510">
        <f t="shared" si="37"/>
        <v>2119000</v>
      </c>
      <c r="O147" s="510">
        <f t="shared" si="37"/>
        <v>1945000</v>
      </c>
      <c r="P147" s="510">
        <f t="shared" si="37"/>
        <v>2145000</v>
      </c>
      <c r="Q147" s="511">
        <f t="shared" si="37"/>
        <v>1968000</v>
      </c>
      <c r="R147" s="1296"/>
      <c r="S147" s="1040">
        <f t="shared" ca="1" si="31"/>
        <v>1265000</v>
      </c>
      <c r="T147" s="1339"/>
      <c r="U147" s="1395">
        <f t="shared" ca="1" si="32"/>
        <v>1265000</v>
      </c>
      <c r="V147" s="1391"/>
      <c r="W147" s="1036">
        <f>SUM(F147:Q147)</f>
        <v>25831000</v>
      </c>
      <c r="X147" s="1353"/>
    </row>
    <row r="148" spans="1:25" ht="14.1" customHeight="1" thickBot="1" x14ac:dyDescent="0.2">
      <c r="B148" s="1081" t="s">
        <v>32</v>
      </c>
      <c r="C148" s="2158"/>
      <c r="D148" s="2198"/>
      <c r="E148" s="1109" t="s">
        <v>32</v>
      </c>
      <c r="F148" s="530">
        <f t="shared" ref="F148:Q148" si="38">F144-(F145+F147)</f>
        <v>1885000</v>
      </c>
      <c r="G148" s="531">
        <f t="shared" si="38"/>
        <v>1832000</v>
      </c>
      <c r="H148" s="531">
        <f t="shared" si="38"/>
        <v>424000</v>
      </c>
      <c r="I148" s="531">
        <f t="shared" si="38"/>
        <v>1733000</v>
      </c>
      <c r="J148" s="531">
        <f t="shared" si="38"/>
        <v>1830000</v>
      </c>
      <c r="K148" s="531">
        <f t="shared" si="38"/>
        <v>2763000</v>
      </c>
      <c r="L148" s="531">
        <f t="shared" si="38"/>
        <v>2481000</v>
      </c>
      <c r="M148" s="531">
        <f t="shared" si="38"/>
        <v>-237000</v>
      </c>
      <c r="N148" s="531">
        <f t="shared" si="38"/>
        <v>4332000</v>
      </c>
      <c r="O148" s="531">
        <f t="shared" si="38"/>
        <v>4302000</v>
      </c>
      <c r="P148" s="531">
        <f t="shared" si="38"/>
        <v>4073000</v>
      </c>
      <c r="Q148" s="532">
        <f t="shared" si="38"/>
        <v>4415000</v>
      </c>
      <c r="R148" s="1052"/>
      <c r="S148" s="1044">
        <f t="shared" ca="1" si="31"/>
        <v>1885000</v>
      </c>
      <c r="T148" s="1340"/>
      <c r="U148" s="1396">
        <f t="shared" ca="1" si="32"/>
        <v>1885000</v>
      </c>
      <c r="V148" s="1032"/>
      <c r="W148" s="1032">
        <f>SUM(F148:Q148)</f>
        <v>29833000</v>
      </c>
      <c r="X148" s="1355"/>
    </row>
    <row r="149" spans="1:25" ht="14.1" customHeight="1" x14ac:dyDescent="0.15">
      <c r="B149" s="1081" t="s">
        <v>26</v>
      </c>
      <c r="C149" s="2158"/>
      <c r="D149" s="2480" t="s">
        <v>444</v>
      </c>
      <c r="E149" s="376" t="s">
        <v>26</v>
      </c>
      <c r="F149" s="516">
        <f>SUM(F99,F109,F119,F129,F139)</f>
        <v>4016364</v>
      </c>
      <c r="G149" s="517">
        <f t="shared" ref="G149:Q149" si="39">SUM(G99,G109,G119,G129,G139)</f>
        <v>0</v>
      </c>
      <c r="H149" s="517">
        <f t="shared" si="39"/>
        <v>0</v>
      </c>
      <c r="I149" s="517">
        <f t="shared" si="39"/>
        <v>0</v>
      </c>
      <c r="J149" s="517">
        <f t="shared" si="39"/>
        <v>0</v>
      </c>
      <c r="K149" s="517">
        <f t="shared" si="39"/>
        <v>0</v>
      </c>
      <c r="L149" s="517">
        <f t="shared" si="39"/>
        <v>0</v>
      </c>
      <c r="M149" s="517">
        <f t="shared" si="39"/>
        <v>0</v>
      </c>
      <c r="N149" s="517">
        <f t="shared" si="39"/>
        <v>0</v>
      </c>
      <c r="O149" s="517">
        <f t="shared" si="39"/>
        <v>0</v>
      </c>
      <c r="P149" s="517">
        <f t="shared" si="39"/>
        <v>0</v>
      </c>
      <c r="Q149" s="518">
        <f t="shared" si="39"/>
        <v>0</v>
      </c>
      <c r="R149" s="1055">
        <f ca="1">IF(T149&gt;=1,1,IF(T149&lt;0.9,-1,0))</f>
        <v>-1</v>
      </c>
      <c r="S149" s="1041">
        <f t="shared" ca="1" si="31"/>
        <v>4016364</v>
      </c>
      <c r="T149" s="1341">
        <f ca="1">IF(S144&lt;0,ROUND((S149-S144)/ABS(S144),3),IF(S144=0,0,ROUND(S149/S144,3)))</f>
        <v>0.88900000000000001</v>
      </c>
      <c r="U149" s="1397">
        <f t="shared" ca="1" si="32"/>
        <v>4016364</v>
      </c>
      <c r="V149" s="1372">
        <f ca="1">IF(X149&gt;=1,1,IF(X149&lt;0.9,-1,0))</f>
        <v>-1</v>
      </c>
      <c r="W149" s="1030">
        <f ca="1">S149+(12-IF(ISERROR(MATCH(DATE(YEAR($G$1),MONTH($G$1),1),$F$2:$Q$2,0)),0,MATCH(DATE(YEAR($G$1),MONTH($G$1),1),$F$2:$Q$2,0)))*U149</f>
        <v>48196368</v>
      </c>
      <c r="X149" s="1356">
        <f ca="1">IF(W144&lt;0,ROUND((W149-W144)/ABS(W144),3),IF(W144=0,0,ROUND(W149/W144,3)))</f>
        <v>0.59699999999999998</v>
      </c>
      <c r="Y149" s="1273">
        <v>0.1</v>
      </c>
    </row>
    <row r="150" spans="1:25" ht="14.1" customHeight="1" x14ac:dyDescent="0.15">
      <c r="B150" s="1081" t="s">
        <v>15</v>
      </c>
      <c r="C150" s="2158"/>
      <c r="D150" s="2481"/>
      <c r="E150" s="1107" t="s">
        <v>15</v>
      </c>
      <c r="F150" s="520">
        <f t="shared" ref="F150:Q152" si="40">SUM(F100,F110,F120,F130,F140)</f>
        <v>1344636</v>
      </c>
      <c r="G150" s="521">
        <f t="shared" si="40"/>
        <v>0</v>
      </c>
      <c r="H150" s="521">
        <f t="shared" si="40"/>
        <v>0</v>
      </c>
      <c r="I150" s="521">
        <f t="shared" si="40"/>
        <v>0</v>
      </c>
      <c r="J150" s="521">
        <f t="shared" si="40"/>
        <v>0</v>
      </c>
      <c r="K150" s="521">
        <f t="shared" si="40"/>
        <v>0</v>
      </c>
      <c r="L150" s="521">
        <f t="shared" si="40"/>
        <v>0</v>
      </c>
      <c r="M150" s="521">
        <f t="shared" si="40"/>
        <v>0</v>
      </c>
      <c r="N150" s="521">
        <f t="shared" si="40"/>
        <v>0</v>
      </c>
      <c r="O150" s="521">
        <f t="shared" si="40"/>
        <v>0</v>
      </c>
      <c r="P150" s="521">
        <f t="shared" si="40"/>
        <v>0</v>
      </c>
      <c r="Q150" s="522">
        <f t="shared" si="40"/>
        <v>0</v>
      </c>
      <c r="R150" s="1056">
        <f ca="1">IF(T150&lt;=1,1,IF(T150&gt;1.1,-1,0))</f>
        <v>1</v>
      </c>
      <c r="S150" s="1042">
        <f t="shared" ca="1" si="31"/>
        <v>1344636</v>
      </c>
      <c r="T150" s="1342">
        <f ca="1">IF(S145&lt;0,ROUND((S150-S145)/ABS(S145),3),IF(S145=0,0,ROUND(S150/S145,3)))</f>
        <v>0.98099999999999998</v>
      </c>
      <c r="U150" s="1398">
        <f t="shared" ca="1" si="32"/>
        <v>1344636</v>
      </c>
      <c r="V150" s="1373">
        <f ca="1">IF(X150&lt;=1,1,IF(X150&gt;1.1,-1,0))</f>
        <v>1</v>
      </c>
      <c r="W150" s="1031">
        <f ca="1">S150+(12-IF(ISERROR(MATCH(DATE(YEAR($G$1),MONTH($G$1),1),$F$2:$Q$2,0)),0,MATCH(DATE(YEAR($G$1),MONTH($G$1),1),$F$2:$Q$2,0)))*U150</f>
        <v>16135632</v>
      </c>
      <c r="X150" s="1357">
        <f ca="1">IF(W145&lt;0,ROUND((W150-W145)/ABS(W145),3),IF(W145=0,0,ROUND(W150/W145,3)))</f>
        <v>0.64200000000000002</v>
      </c>
      <c r="Y150" s="1273">
        <v>0.1</v>
      </c>
    </row>
    <row r="151" spans="1:25" ht="14.1" customHeight="1" x14ac:dyDescent="0.15">
      <c r="B151" s="1081" t="s">
        <v>448</v>
      </c>
      <c r="C151" s="2158"/>
      <c r="D151" s="2481"/>
      <c r="E151" s="1107" t="s">
        <v>448</v>
      </c>
      <c r="F151" s="520">
        <f t="shared" si="40"/>
        <v>0</v>
      </c>
      <c r="G151" s="521">
        <f t="shared" si="40"/>
        <v>0</v>
      </c>
      <c r="H151" s="521">
        <f t="shared" si="40"/>
        <v>0</v>
      </c>
      <c r="I151" s="521">
        <f t="shared" si="40"/>
        <v>0</v>
      </c>
      <c r="J151" s="521">
        <f t="shared" si="40"/>
        <v>0</v>
      </c>
      <c r="K151" s="521">
        <f t="shared" si="40"/>
        <v>0</v>
      </c>
      <c r="L151" s="521">
        <f t="shared" si="40"/>
        <v>0</v>
      </c>
      <c r="M151" s="521">
        <f t="shared" si="40"/>
        <v>0</v>
      </c>
      <c r="N151" s="521">
        <f t="shared" si="40"/>
        <v>0</v>
      </c>
      <c r="O151" s="521">
        <f t="shared" si="40"/>
        <v>0</v>
      </c>
      <c r="P151" s="521">
        <f t="shared" si="40"/>
        <v>0</v>
      </c>
      <c r="Q151" s="522">
        <f t="shared" si="40"/>
        <v>0</v>
      </c>
      <c r="R151" s="1056">
        <f ca="1">IF(T151&lt;=1,1,IF(T151&gt;1.1,-1,0))</f>
        <v>1</v>
      </c>
      <c r="S151" s="1042">
        <f t="shared" ca="1" si="31"/>
        <v>0</v>
      </c>
      <c r="T151" s="1342">
        <f ca="1">IF(S146&lt;0,ROUND((S151-S146)/ABS(S146),3),IF(S146=0,0,ROUND(S151/S146,3)))</f>
        <v>0</v>
      </c>
      <c r="U151" s="1398">
        <f t="shared" ca="1" si="32"/>
        <v>0</v>
      </c>
      <c r="V151" s="1373">
        <f ca="1">IF(X151&lt;=1,1,IF(X151&gt;1.1,-1,0))</f>
        <v>1</v>
      </c>
      <c r="W151" s="1031">
        <f ca="1">S151+(12-IF(ISERROR(MATCH(DATE(YEAR($G$1),MONTH($G$1),1),$F$2:$Q$2,0)),0,MATCH(DATE(YEAR($G$1),MONTH($G$1),1),$F$2:$Q$2,0)))*U151</f>
        <v>0</v>
      </c>
      <c r="X151" s="1357">
        <f ca="1">IF(W146&lt;0,ROUND((W151-W146)/ABS(W146),3),IF(W146=0,0,ROUND(W151/W146,3)))</f>
        <v>0</v>
      </c>
      <c r="Y151" s="1273">
        <v>0.1</v>
      </c>
    </row>
    <row r="152" spans="1:25" ht="14.1" customHeight="1" x14ac:dyDescent="0.15">
      <c r="B152" s="1081" t="s">
        <v>1230</v>
      </c>
      <c r="C152" s="2158"/>
      <c r="D152" s="2481"/>
      <c r="E152" s="1107" t="s">
        <v>35</v>
      </c>
      <c r="F152" s="520">
        <f t="shared" si="40"/>
        <v>790051</v>
      </c>
      <c r="G152" s="521">
        <f t="shared" si="40"/>
        <v>0</v>
      </c>
      <c r="H152" s="521">
        <f t="shared" si="40"/>
        <v>0</v>
      </c>
      <c r="I152" s="521">
        <f t="shared" si="40"/>
        <v>0</v>
      </c>
      <c r="J152" s="521">
        <f t="shared" si="40"/>
        <v>0</v>
      </c>
      <c r="K152" s="521">
        <f t="shared" si="40"/>
        <v>0</v>
      </c>
      <c r="L152" s="521">
        <f t="shared" si="40"/>
        <v>0</v>
      </c>
      <c r="M152" s="521">
        <f t="shared" si="40"/>
        <v>0</v>
      </c>
      <c r="N152" s="521">
        <f t="shared" si="40"/>
        <v>0</v>
      </c>
      <c r="O152" s="521">
        <f t="shared" si="40"/>
        <v>0</v>
      </c>
      <c r="P152" s="521">
        <f t="shared" si="40"/>
        <v>0</v>
      </c>
      <c r="Q152" s="522">
        <f t="shared" si="40"/>
        <v>0</v>
      </c>
      <c r="R152" s="1056">
        <f ca="1">IF(T152&lt;=1,1,IF(T152&gt;1.1,-1,0))</f>
        <v>1</v>
      </c>
      <c r="S152" s="1042">
        <f t="shared" ca="1" si="31"/>
        <v>790051</v>
      </c>
      <c r="T152" s="1342">
        <f ca="1">IF(S147&lt;0,ROUND((S152-S147)/ABS(S147),3),IF(S147=0,0,ROUND(S152/S147,3)))</f>
        <v>0.625</v>
      </c>
      <c r="U152" s="1398">
        <f t="shared" ca="1" si="32"/>
        <v>790051</v>
      </c>
      <c r="V152" s="1373">
        <f ca="1">IF(X152&lt;=1,1,IF(X152&gt;1.1,-1,0))</f>
        <v>1</v>
      </c>
      <c r="W152" s="1031">
        <f ca="1">S152+(12-IF(ISERROR(MATCH(DATE(YEAR($G$1),MONTH($G$1),1),$F$2:$Q$2,0)),0,MATCH(DATE(YEAR($G$1),MONTH($G$1),1),$F$2:$Q$2,0)))*U152</f>
        <v>9480612</v>
      </c>
      <c r="X152" s="1357">
        <f ca="1">IF(W147&lt;0,ROUND((W152-W147)/ABS(W147),3),IF(W147=0,0,ROUND(W152/W147,3)))</f>
        <v>0.36699999999999999</v>
      </c>
      <c r="Y152" s="1273">
        <v>0.1</v>
      </c>
    </row>
    <row r="153" spans="1:25" ht="14.1" customHeight="1" thickBot="1" x14ac:dyDescent="0.2">
      <c r="B153" s="1081" t="s">
        <v>32</v>
      </c>
      <c r="C153" s="2159"/>
      <c r="D153" s="2482"/>
      <c r="E153" s="1103" t="s">
        <v>32</v>
      </c>
      <c r="F153" s="535">
        <f t="shared" ref="F153:Q153" si="41">F149-(F150+F152)</f>
        <v>1881677</v>
      </c>
      <c r="G153" s="536">
        <f t="shared" si="41"/>
        <v>0</v>
      </c>
      <c r="H153" s="536">
        <f t="shared" si="41"/>
        <v>0</v>
      </c>
      <c r="I153" s="536">
        <f t="shared" si="41"/>
        <v>0</v>
      </c>
      <c r="J153" s="536">
        <f t="shared" si="41"/>
        <v>0</v>
      </c>
      <c r="K153" s="536">
        <f t="shared" si="41"/>
        <v>0</v>
      </c>
      <c r="L153" s="536">
        <f t="shared" si="41"/>
        <v>0</v>
      </c>
      <c r="M153" s="536">
        <f t="shared" si="41"/>
        <v>0</v>
      </c>
      <c r="N153" s="536">
        <f t="shared" si="41"/>
        <v>0</v>
      </c>
      <c r="O153" s="536">
        <f t="shared" si="41"/>
        <v>0</v>
      </c>
      <c r="P153" s="536">
        <f t="shared" si="41"/>
        <v>0</v>
      </c>
      <c r="Q153" s="537">
        <f t="shared" si="41"/>
        <v>0</v>
      </c>
      <c r="R153" s="1057">
        <f ca="1">IF(T153&gt;=0,1,IF(T153&lt;0.1,-1,0))</f>
        <v>-1</v>
      </c>
      <c r="S153" s="1045">
        <f t="shared" ca="1" si="31"/>
        <v>1881677</v>
      </c>
      <c r="T153" s="1343">
        <f ca="1">IF(S148=S153,0,ROUND((S153-S148)/ABS(S148),3))</f>
        <v>-2E-3</v>
      </c>
      <c r="U153" s="1399">
        <f t="shared" ca="1" si="32"/>
        <v>1881677</v>
      </c>
      <c r="V153" s="1374">
        <f ca="1">IF(X153&gt;=0,1,IF(X153&lt;0.1,-1,0))</f>
        <v>-1</v>
      </c>
      <c r="W153" s="1034">
        <f ca="1">S153+(12-IF(ISERROR(MATCH(DATE(YEAR($G$1),MONTH($G$1),1),$F$2:$Q$2,0)),0,MATCH(DATE(YEAR($G$1),MONTH($G$1),1),$F$2:$Q$2,0)))*U153</f>
        <v>22580124</v>
      </c>
      <c r="X153" s="1358">
        <f ca="1">IF(W148=W153,0,ROUND((W153-W148)/ABS(W148),3))</f>
        <v>-0.24299999999999999</v>
      </c>
      <c r="Y153" s="1273">
        <v>0.1</v>
      </c>
    </row>
    <row r="154" spans="1:25" ht="14.1" customHeight="1" outlineLevel="1" x14ac:dyDescent="0.15">
      <c r="B154" s="1081" t="s">
        <v>26</v>
      </c>
      <c r="C154" s="2157" t="s">
        <v>337</v>
      </c>
      <c r="D154" s="2196" t="s">
        <v>443</v>
      </c>
      <c r="E154" s="360" t="s">
        <v>26</v>
      </c>
      <c r="F154" s="503">
        <v>1600000</v>
      </c>
      <c r="G154" s="504"/>
      <c r="H154" s="504"/>
      <c r="I154" s="504"/>
      <c r="J154" s="504"/>
      <c r="K154" s="504"/>
      <c r="L154" s="504"/>
      <c r="M154" s="504"/>
      <c r="N154" s="504"/>
      <c r="O154" s="504"/>
      <c r="P154" s="504"/>
      <c r="Q154" s="505"/>
      <c r="R154" s="1295"/>
      <c r="S154" s="1039">
        <f t="shared" ca="1" si="31"/>
        <v>1600000</v>
      </c>
      <c r="T154" s="1338"/>
      <c r="U154" s="1394">
        <f t="shared" ca="1" si="32"/>
        <v>1600000</v>
      </c>
      <c r="V154" s="1390"/>
      <c r="W154" s="1035">
        <f>SUM(F154:Q154)</f>
        <v>1600000</v>
      </c>
      <c r="X154" s="1352"/>
    </row>
    <row r="155" spans="1:25" ht="14.1" customHeight="1" outlineLevel="1" x14ac:dyDescent="0.15">
      <c r="B155" s="1081" t="s">
        <v>15</v>
      </c>
      <c r="C155" s="2158"/>
      <c r="D155" s="2197"/>
      <c r="E155" s="1108" t="s">
        <v>15</v>
      </c>
      <c r="F155" s="509">
        <v>617000</v>
      </c>
      <c r="G155" s="510"/>
      <c r="H155" s="510"/>
      <c r="I155" s="510"/>
      <c r="J155" s="510"/>
      <c r="K155" s="510"/>
      <c r="L155" s="510"/>
      <c r="M155" s="510"/>
      <c r="N155" s="510"/>
      <c r="O155" s="510"/>
      <c r="P155" s="510"/>
      <c r="Q155" s="511"/>
      <c r="R155" s="1296"/>
      <c r="S155" s="1040">
        <f t="shared" ca="1" si="31"/>
        <v>617000</v>
      </c>
      <c r="T155" s="1339"/>
      <c r="U155" s="1395">
        <f t="shared" ca="1" si="32"/>
        <v>617000</v>
      </c>
      <c r="V155" s="1391"/>
      <c r="W155" s="1036">
        <f>SUM(F155:Q155)</f>
        <v>617000</v>
      </c>
      <c r="X155" s="1353"/>
    </row>
    <row r="156" spans="1:25" ht="14.1" customHeight="1" outlineLevel="1" x14ac:dyDescent="0.15">
      <c r="B156" s="1081" t="s">
        <v>447</v>
      </c>
      <c r="C156" s="2158"/>
      <c r="D156" s="2197"/>
      <c r="E156" s="1108" t="s">
        <v>447</v>
      </c>
      <c r="F156" s="509">
        <v>0</v>
      </c>
      <c r="G156" s="510"/>
      <c r="H156" s="510"/>
      <c r="I156" s="510"/>
      <c r="J156" s="510"/>
      <c r="K156" s="510"/>
      <c r="L156" s="510"/>
      <c r="M156" s="510"/>
      <c r="N156" s="510"/>
      <c r="O156" s="510"/>
      <c r="P156" s="510"/>
      <c r="Q156" s="511"/>
      <c r="R156" s="1296"/>
      <c r="S156" s="1040">
        <f t="shared" ca="1" si="31"/>
        <v>0</v>
      </c>
      <c r="T156" s="1339"/>
      <c r="U156" s="1395">
        <f t="shared" ca="1" si="32"/>
        <v>0</v>
      </c>
      <c r="V156" s="1391"/>
      <c r="W156" s="1036">
        <f>SUM(F156:Q156)</f>
        <v>0</v>
      </c>
      <c r="X156" s="1353"/>
    </row>
    <row r="157" spans="1:25" ht="14.1" customHeight="1" outlineLevel="1" x14ac:dyDescent="0.15">
      <c r="B157" s="1081" t="s">
        <v>1230</v>
      </c>
      <c r="C157" s="2158"/>
      <c r="D157" s="2197"/>
      <c r="E157" s="1108" t="s">
        <v>35</v>
      </c>
      <c r="F157" s="509">
        <v>676000</v>
      </c>
      <c r="G157" s="510"/>
      <c r="H157" s="510"/>
      <c r="I157" s="510"/>
      <c r="J157" s="510"/>
      <c r="K157" s="510"/>
      <c r="L157" s="510"/>
      <c r="M157" s="510"/>
      <c r="N157" s="510"/>
      <c r="O157" s="510"/>
      <c r="P157" s="510"/>
      <c r="Q157" s="511"/>
      <c r="R157" s="1296"/>
      <c r="S157" s="1040">
        <f t="shared" ca="1" si="31"/>
        <v>676000</v>
      </c>
      <c r="T157" s="1339"/>
      <c r="U157" s="1395">
        <f t="shared" ca="1" si="32"/>
        <v>676000</v>
      </c>
      <c r="V157" s="1391"/>
      <c r="W157" s="1036">
        <f>SUM(F157:Q157)</f>
        <v>676000</v>
      </c>
      <c r="X157" s="1353"/>
    </row>
    <row r="158" spans="1:25" ht="14.1" customHeight="1" outlineLevel="1" thickBot="1" x14ac:dyDescent="0.2">
      <c r="B158" s="1081" t="s">
        <v>32</v>
      </c>
      <c r="C158" s="2158"/>
      <c r="D158" s="2198"/>
      <c r="E158" s="1109" t="s">
        <v>32</v>
      </c>
      <c r="F158" s="530">
        <f t="shared" ref="F158:Q158" si="42">F154-(F155+F157)</f>
        <v>307000</v>
      </c>
      <c r="G158" s="531">
        <f t="shared" si="42"/>
        <v>0</v>
      </c>
      <c r="H158" s="531">
        <f t="shared" si="42"/>
        <v>0</v>
      </c>
      <c r="I158" s="531">
        <f t="shared" si="42"/>
        <v>0</v>
      </c>
      <c r="J158" s="531">
        <f t="shared" si="42"/>
        <v>0</v>
      </c>
      <c r="K158" s="531">
        <f t="shared" si="42"/>
        <v>0</v>
      </c>
      <c r="L158" s="531">
        <f t="shared" si="42"/>
        <v>0</v>
      </c>
      <c r="M158" s="531">
        <f t="shared" si="42"/>
        <v>0</v>
      </c>
      <c r="N158" s="531">
        <f t="shared" si="42"/>
        <v>0</v>
      </c>
      <c r="O158" s="531">
        <f t="shared" si="42"/>
        <v>0</v>
      </c>
      <c r="P158" s="531">
        <f t="shared" si="42"/>
        <v>0</v>
      </c>
      <c r="Q158" s="532">
        <f t="shared" si="42"/>
        <v>0</v>
      </c>
      <c r="R158" s="1052"/>
      <c r="S158" s="1044">
        <f t="shared" ca="1" si="31"/>
        <v>307000</v>
      </c>
      <c r="T158" s="1340"/>
      <c r="U158" s="1396">
        <f t="shared" ca="1" si="32"/>
        <v>307000</v>
      </c>
      <c r="V158" s="1032"/>
      <c r="W158" s="1032">
        <f>SUM(F158:Q158)</f>
        <v>307000</v>
      </c>
      <c r="X158" s="1355"/>
    </row>
    <row r="159" spans="1:25" ht="14.1" customHeight="1" outlineLevel="1" x14ac:dyDescent="0.15">
      <c r="A159" s="1081" t="s">
        <v>336</v>
      </c>
      <c r="B159" s="1081" t="s">
        <v>26</v>
      </c>
      <c r="C159" s="2158"/>
      <c r="D159" s="2480" t="s">
        <v>444</v>
      </c>
      <c r="E159" s="376" t="s">
        <v>26</v>
      </c>
      <c r="F159" s="516">
        <v>814083</v>
      </c>
      <c r="G159" s="517"/>
      <c r="H159" s="517"/>
      <c r="I159" s="517"/>
      <c r="J159" s="517"/>
      <c r="K159" s="517"/>
      <c r="L159" s="517"/>
      <c r="M159" s="517"/>
      <c r="N159" s="517"/>
      <c r="O159" s="517"/>
      <c r="P159" s="517"/>
      <c r="Q159" s="518"/>
      <c r="R159" s="1055">
        <f ca="1">IF(T159&gt;=1,1,IF(T159&lt;0.9,-1,0))</f>
        <v>-1</v>
      </c>
      <c r="S159" s="1041">
        <f t="shared" ca="1" si="31"/>
        <v>814083</v>
      </c>
      <c r="T159" s="1341">
        <f ca="1">IF(S154&lt;0,ROUND((S159-S154)/ABS(S154),3),IF(S154=0,0,ROUND(S159/S154,3)))</f>
        <v>0.50900000000000001</v>
      </c>
      <c r="U159" s="1397">
        <f t="shared" ca="1" si="32"/>
        <v>814083</v>
      </c>
      <c r="V159" s="1372">
        <f ca="1">IF(X159&gt;=1,1,IF(X159&lt;0.9,-1,0))</f>
        <v>1</v>
      </c>
      <c r="W159" s="1030">
        <f ca="1">S159+(12-IF(ISERROR(MATCH(DATE(YEAR($G$1),MONTH($G$1),1),$F$2:$Q$2,0)),0,MATCH(DATE(YEAR($G$1),MONTH($G$1),1),$F$2:$Q$2,0)))*U159</f>
        <v>9768996</v>
      </c>
      <c r="X159" s="1356">
        <f ca="1">IF(W154&lt;0,ROUND((W159-W154)/ABS(W154),3),IF(W154=0,0,ROUND(W159/W154,3)))</f>
        <v>6.1059999999999999</v>
      </c>
      <c r="Y159" s="1273">
        <v>0.1</v>
      </c>
    </row>
    <row r="160" spans="1:25" ht="14.1" customHeight="1" outlineLevel="1" x14ac:dyDescent="0.15">
      <c r="A160" s="1081" t="s">
        <v>336</v>
      </c>
      <c r="B160" s="1081" t="s">
        <v>15</v>
      </c>
      <c r="C160" s="2158"/>
      <c r="D160" s="2481"/>
      <c r="E160" s="1107" t="s">
        <v>15</v>
      </c>
      <c r="F160" s="520">
        <v>827963</v>
      </c>
      <c r="G160" s="521"/>
      <c r="H160" s="521"/>
      <c r="I160" s="521"/>
      <c r="J160" s="521"/>
      <c r="K160" s="521"/>
      <c r="L160" s="521"/>
      <c r="M160" s="521"/>
      <c r="N160" s="521"/>
      <c r="O160" s="521"/>
      <c r="P160" s="521"/>
      <c r="Q160" s="522"/>
      <c r="R160" s="1056">
        <f ca="1">IF(T160&lt;=1,1,IF(T160&gt;1.1,-1,0))</f>
        <v>-1</v>
      </c>
      <c r="S160" s="1042">
        <f t="shared" ca="1" si="31"/>
        <v>827963</v>
      </c>
      <c r="T160" s="1342">
        <f ca="1">IF(S155&lt;0,ROUND((S160-S155)/ABS(S155),3),IF(S155=0,0,ROUND(S160/S155,3)))</f>
        <v>1.3420000000000001</v>
      </c>
      <c r="U160" s="1398">
        <f t="shared" ca="1" si="32"/>
        <v>827963</v>
      </c>
      <c r="V160" s="1373">
        <f ca="1">IF(X160&lt;=1,1,IF(X160&gt;1.1,-1,0))</f>
        <v>-1</v>
      </c>
      <c r="W160" s="1031">
        <f ca="1">S160+(12-IF(ISERROR(MATCH(DATE(YEAR($G$1),MONTH($G$1),1),$F$2:$Q$2,0)),0,MATCH(DATE(YEAR($G$1),MONTH($G$1),1),$F$2:$Q$2,0)))*U160</f>
        <v>9935556</v>
      </c>
      <c r="X160" s="1357">
        <f ca="1">IF(W155&lt;0,ROUND((W160-W155)/ABS(W155),3),IF(W155=0,0,ROUND(W160/W155,3)))</f>
        <v>16.103000000000002</v>
      </c>
      <c r="Y160" s="1273">
        <v>0.1</v>
      </c>
    </row>
    <row r="161" spans="1:25" ht="14.1" customHeight="1" outlineLevel="1" x14ac:dyDescent="0.15">
      <c r="A161" s="1081" t="s">
        <v>336</v>
      </c>
      <c r="B161" s="1081" t="s">
        <v>448</v>
      </c>
      <c r="C161" s="2158"/>
      <c r="D161" s="2481"/>
      <c r="E161" s="1107" t="s">
        <v>448</v>
      </c>
      <c r="F161" s="520">
        <v>0</v>
      </c>
      <c r="G161" s="521"/>
      <c r="H161" s="521"/>
      <c r="I161" s="521"/>
      <c r="J161" s="521"/>
      <c r="K161" s="521"/>
      <c r="L161" s="521"/>
      <c r="M161" s="521"/>
      <c r="N161" s="521"/>
      <c r="O161" s="521"/>
      <c r="P161" s="521"/>
      <c r="Q161" s="522"/>
      <c r="R161" s="1056">
        <f ca="1">IF(T161&lt;=1,1,IF(T161&gt;1.1,-1,0))</f>
        <v>1</v>
      </c>
      <c r="S161" s="1042">
        <f t="shared" ca="1" si="31"/>
        <v>0</v>
      </c>
      <c r="T161" s="1342">
        <f ca="1">IF(S156&lt;0,ROUND((S161-S156)/ABS(S156),3),IF(S156=0,0,ROUND(S161/S156,3)))</f>
        <v>0</v>
      </c>
      <c r="U161" s="1398">
        <f t="shared" ca="1" si="32"/>
        <v>0</v>
      </c>
      <c r="V161" s="1373">
        <f>IF(X161&lt;=1,1,IF(X161&gt;1.1,-1,0))</f>
        <v>1</v>
      </c>
      <c r="W161" s="1031">
        <f ca="1">S161+(12-IF(ISERROR(MATCH(DATE(YEAR($G$1),MONTH($G$1),1),$F$2:$Q$2,0)),0,MATCH(DATE(YEAR($G$1),MONTH($G$1),1),$F$2:$Q$2,0)))*U161</f>
        <v>0</v>
      </c>
      <c r="X161" s="1357">
        <f>IF(W156&lt;0,ROUND((W161-W156)/ABS(W156),3),IF(W156=0,0,ROUND(W161/W156,3)))</f>
        <v>0</v>
      </c>
      <c r="Y161" s="1273">
        <v>0.1</v>
      </c>
    </row>
    <row r="162" spans="1:25" ht="14.1" customHeight="1" outlineLevel="1" x14ac:dyDescent="0.15">
      <c r="A162" s="1081" t="s">
        <v>336</v>
      </c>
      <c r="B162" s="1081" t="s">
        <v>1235</v>
      </c>
      <c r="C162" s="2158"/>
      <c r="D162" s="2481"/>
      <c r="E162" s="1107" t="s">
        <v>35</v>
      </c>
      <c r="F162" s="520">
        <v>551932</v>
      </c>
      <c r="G162" s="521"/>
      <c r="H162" s="521"/>
      <c r="I162" s="521"/>
      <c r="J162" s="521"/>
      <c r="K162" s="521"/>
      <c r="L162" s="521"/>
      <c r="M162" s="521"/>
      <c r="N162" s="521"/>
      <c r="O162" s="521"/>
      <c r="P162" s="521"/>
      <c r="Q162" s="522"/>
      <c r="R162" s="1056">
        <f ca="1">IF(T162&lt;=1,1,IF(T162&gt;1.1,-1,0))</f>
        <v>1</v>
      </c>
      <c r="S162" s="1042">
        <f t="shared" ca="1" si="31"/>
        <v>551932</v>
      </c>
      <c r="T162" s="1342">
        <f ca="1">IF(S157&lt;0,ROUND((S162-S157)/ABS(S157),3),IF(S157=0,0,ROUND(S162/S157,3)))</f>
        <v>0.81599999999999995</v>
      </c>
      <c r="U162" s="1398">
        <f t="shared" ca="1" si="32"/>
        <v>551932</v>
      </c>
      <c r="V162" s="1373">
        <f ca="1">IF(X162&lt;=1,1,IF(X162&gt;1.1,-1,0))</f>
        <v>-1</v>
      </c>
      <c r="W162" s="1031">
        <f ca="1">S162+(12-IF(ISERROR(MATCH(DATE(YEAR($G$1),MONTH($G$1),1),$F$2:$Q$2,0)),0,MATCH(DATE(YEAR($G$1),MONTH($G$1),1),$F$2:$Q$2,0)))*U162</f>
        <v>6623184</v>
      </c>
      <c r="X162" s="1357">
        <f ca="1">IF(W157&lt;0,ROUND((W162-W157)/ABS(W157),3),IF(W157=0,0,ROUND(W162/W157,3)))</f>
        <v>9.798</v>
      </c>
      <c r="Y162" s="1273">
        <v>0.1</v>
      </c>
    </row>
    <row r="163" spans="1:25" ht="14.1" customHeight="1" outlineLevel="1" thickBot="1" x14ac:dyDescent="0.2">
      <c r="A163" s="1081" t="s">
        <v>336</v>
      </c>
      <c r="B163" s="1081" t="s">
        <v>32</v>
      </c>
      <c r="C163" s="2159"/>
      <c r="D163" s="2482"/>
      <c r="E163" s="1103" t="s">
        <v>32</v>
      </c>
      <c r="F163" s="535">
        <f t="shared" ref="F163:Q163" si="43">F159-(F160+F162)</f>
        <v>-565812</v>
      </c>
      <c r="G163" s="536">
        <f t="shared" si="43"/>
        <v>0</v>
      </c>
      <c r="H163" s="536">
        <f t="shared" si="43"/>
        <v>0</v>
      </c>
      <c r="I163" s="536">
        <f t="shared" si="43"/>
        <v>0</v>
      </c>
      <c r="J163" s="536">
        <f t="shared" si="43"/>
        <v>0</v>
      </c>
      <c r="K163" s="536">
        <f t="shared" si="43"/>
        <v>0</v>
      </c>
      <c r="L163" s="536">
        <f t="shared" si="43"/>
        <v>0</v>
      </c>
      <c r="M163" s="536">
        <f t="shared" si="43"/>
        <v>0</v>
      </c>
      <c r="N163" s="536">
        <f t="shared" si="43"/>
        <v>0</v>
      </c>
      <c r="O163" s="536">
        <f t="shared" si="43"/>
        <v>0</v>
      </c>
      <c r="P163" s="536">
        <f t="shared" si="43"/>
        <v>0</v>
      </c>
      <c r="Q163" s="537">
        <f t="shared" si="43"/>
        <v>0</v>
      </c>
      <c r="R163" s="1057">
        <f ca="1">IF(T163&gt;=0,1,IF(T163&lt;0.1,-1,0))</f>
        <v>-1</v>
      </c>
      <c r="S163" s="1045">
        <f t="shared" ca="1" si="31"/>
        <v>-565812</v>
      </c>
      <c r="T163" s="1343">
        <f ca="1">IF(S158=S163,0,ROUND((S163-S158)/ABS(S158),3))</f>
        <v>-2.843</v>
      </c>
      <c r="U163" s="1399">
        <f t="shared" ca="1" si="32"/>
        <v>-565812</v>
      </c>
      <c r="V163" s="1374">
        <f ca="1">IF(X163&gt;=0,1,IF(X163&lt;0.1,-1,0))</f>
        <v>-1</v>
      </c>
      <c r="W163" s="1034">
        <f ca="1">S163+(12-IF(ISERROR(MATCH(DATE(YEAR($G$1),MONTH($G$1),1),$F$2:$Q$2,0)),0,MATCH(DATE(YEAR($G$1),MONTH($G$1),1),$F$2:$Q$2,0)))*U163</f>
        <v>-6789744</v>
      </c>
      <c r="X163" s="1358">
        <f ca="1">IF(W158=W163,0,ROUND((W163-W158)/ABS(W158),3))</f>
        <v>-23.116</v>
      </c>
      <c r="Y163" s="1273">
        <v>0.1</v>
      </c>
    </row>
    <row r="164" spans="1:25" ht="14.1" customHeight="1" thickBot="1" x14ac:dyDescent="0.2">
      <c r="C164" s="2157" t="s">
        <v>60</v>
      </c>
      <c r="D164" s="1262" t="s">
        <v>1286</v>
      </c>
      <c r="E164" s="1263" t="s">
        <v>60</v>
      </c>
      <c r="F164" s="1297">
        <v>0</v>
      </c>
      <c r="G164" s="1298">
        <v>0</v>
      </c>
      <c r="H164" s="1298">
        <v>0</v>
      </c>
      <c r="I164" s="1298">
        <v>19590000</v>
      </c>
      <c r="J164" s="1298">
        <v>0</v>
      </c>
      <c r="K164" s="1298">
        <v>0</v>
      </c>
      <c r="L164" s="1298">
        <v>0</v>
      </c>
      <c r="M164" s="1298">
        <v>0</v>
      </c>
      <c r="N164" s="1298">
        <v>0</v>
      </c>
      <c r="O164" s="1298">
        <v>15000000</v>
      </c>
      <c r="P164" s="1298">
        <v>0</v>
      </c>
      <c r="Q164" s="1299">
        <v>1700000</v>
      </c>
      <c r="R164" s="1268"/>
      <c r="S164" s="1266"/>
      <c r="T164" s="1338"/>
      <c r="U164" s="1400"/>
      <c r="V164" s="1269"/>
      <c r="W164" s="1269"/>
      <c r="X164" s="1359"/>
    </row>
    <row r="165" spans="1:25" ht="14.1" customHeight="1" thickBot="1" x14ac:dyDescent="0.2">
      <c r="C165" s="2159"/>
      <c r="D165" s="1264" t="s">
        <v>124</v>
      </c>
      <c r="E165" s="1265" t="s">
        <v>60</v>
      </c>
      <c r="F165" s="1300"/>
      <c r="G165" s="1301"/>
      <c r="H165" s="1301"/>
      <c r="I165" s="1301"/>
      <c r="J165" s="1301"/>
      <c r="K165" s="1301"/>
      <c r="L165" s="1301"/>
      <c r="M165" s="1301"/>
      <c r="N165" s="1301"/>
      <c r="O165" s="1301"/>
      <c r="P165" s="1301"/>
      <c r="Q165" s="1302"/>
      <c r="R165" s="1303"/>
      <c r="S165" s="1304"/>
      <c r="T165" s="1344">
        <f>IF(S164&lt;0,ROUND((S165-S164)/ABS(S164),3),IF(S164=0,0,ROUND(S165/S164,3)))</f>
        <v>0</v>
      </c>
      <c r="U165" s="1401"/>
      <c r="V165" s="1305"/>
      <c r="W165" s="1305"/>
      <c r="X165" s="1360">
        <f>IF(W164&lt;0,ROUND((W165-W164)/ABS(W164),3),IF(W164=0,0,ROUND(W165/W164,3)))</f>
        <v>0</v>
      </c>
    </row>
    <row r="166" spans="1:25" ht="14.1" customHeight="1" x14ac:dyDescent="0.15">
      <c r="C166" s="2166" t="s">
        <v>19</v>
      </c>
      <c r="D166" s="2196" t="s">
        <v>443</v>
      </c>
      <c r="E166" s="360" t="s">
        <v>26</v>
      </c>
      <c r="F166" s="538">
        <f>F3+F14+F24+F34+F44+F54+F64+F74+F84+F144+F154</f>
        <v>38790000</v>
      </c>
      <c r="G166" s="506">
        <f t="shared" ref="G166:Q166" si="44">G3+G14+G24+G34+G44+G54+G64+G74+G84+G144+G154</f>
        <v>38670000</v>
      </c>
      <c r="H166" s="506">
        <f t="shared" si="44"/>
        <v>38860000</v>
      </c>
      <c r="I166" s="506">
        <f t="shared" si="44"/>
        <v>40120000</v>
      </c>
      <c r="J166" s="506">
        <f t="shared" si="44"/>
        <v>42080000</v>
      </c>
      <c r="K166" s="506">
        <f t="shared" si="44"/>
        <v>43265000</v>
      </c>
      <c r="L166" s="506">
        <f t="shared" si="44"/>
        <v>44960000</v>
      </c>
      <c r="M166" s="506">
        <f t="shared" si="44"/>
        <v>46400000</v>
      </c>
      <c r="N166" s="506">
        <f t="shared" si="44"/>
        <v>50010000</v>
      </c>
      <c r="O166" s="506">
        <f t="shared" si="44"/>
        <v>50625000</v>
      </c>
      <c r="P166" s="506">
        <f t="shared" si="44"/>
        <v>52010000</v>
      </c>
      <c r="Q166" s="507">
        <f t="shared" si="44"/>
        <v>52400000</v>
      </c>
      <c r="R166" s="1049"/>
      <c r="S166" s="1039">
        <f t="shared" ca="1" si="31"/>
        <v>38790000</v>
      </c>
      <c r="T166" s="1338"/>
      <c r="U166" s="1394">
        <f t="shared" ca="1" si="32"/>
        <v>38790000</v>
      </c>
      <c r="V166" s="1035"/>
      <c r="W166" s="1035">
        <f t="shared" ref="W166:W175" si="45">SUM(F166:Q166)</f>
        <v>538190000</v>
      </c>
      <c r="X166" s="1359"/>
    </row>
    <row r="167" spans="1:25" ht="14.1" customHeight="1" x14ac:dyDescent="0.15">
      <c r="C167" s="2167"/>
      <c r="D167" s="2197"/>
      <c r="E167" s="1108" t="s">
        <v>15</v>
      </c>
      <c r="F167" s="539">
        <f>F4+F15+F25+F35+F45+F55+F65+F75+F85+F145+F155+F164</f>
        <v>25638000</v>
      </c>
      <c r="G167" s="512">
        <f t="shared" ref="G167:Q167" si="46">G4+G15+G25+G35+G45+G55+G65+G75+G85+G145+G155+G164</f>
        <v>26876000</v>
      </c>
      <c r="H167" s="512">
        <f t="shared" si="46"/>
        <v>26017000</v>
      </c>
      <c r="I167" s="512">
        <f>I4+I15+I25+I35+I45+I55+I65+I75+I85+I145+I155+I164</f>
        <v>46438000</v>
      </c>
      <c r="J167" s="512">
        <f t="shared" si="46"/>
        <v>29165000</v>
      </c>
      <c r="K167" s="512">
        <f t="shared" si="46"/>
        <v>28281000</v>
      </c>
      <c r="L167" s="512">
        <f t="shared" si="46"/>
        <v>28849000</v>
      </c>
      <c r="M167" s="512">
        <f t="shared" si="46"/>
        <v>29566000</v>
      </c>
      <c r="N167" s="512">
        <f t="shared" si="46"/>
        <v>30734000</v>
      </c>
      <c r="O167" s="512">
        <f t="shared" si="46"/>
        <v>45915000</v>
      </c>
      <c r="P167" s="512">
        <f t="shared" si="46"/>
        <v>32437000</v>
      </c>
      <c r="Q167" s="513">
        <f t="shared" si="46"/>
        <v>33158000</v>
      </c>
      <c r="R167" s="1050"/>
      <c r="S167" s="1040">
        <f t="shared" ca="1" si="31"/>
        <v>25638000</v>
      </c>
      <c r="T167" s="1339"/>
      <c r="U167" s="1395">
        <f t="shared" ca="1" si="32"/>
        <v>25638000</v>
      </c>
      <c r="V167" s="1036"/>
      <c r="W167" s="1036">
        <f t="shared" si="45"/>
        <v>383074000</v>
      </c>
      <c r="X167" s="1353"/>
    </row>
    <row r="168" spans="1:25" ht="14.1" customHeight="1" x14ac:dyDescent="0.15">
      <c r="C168" s="2167"/>
      <c r="D168" s="2197"/>
      <c r="E168" s="1108" t="s">
        <v>447</v>
      </c>
      <c r="F168" s="539">
        <f t="shared" ref="F168:Q169" si="47">F5+F16+F26+F36+F46+F56+F66+F76+F86+F146+F156</f>
        <v>746040</v>
      </c>
      <c r="G168" s="512">
        <f t="shared" si="47"/>
        <v>353120</v>
      </c>
      <c r="H168" s="512">
        <f t="shared" si="47"/>
        <v>801000</v>
      </c>
      <c r="I168" s="512">
        <f t="shared" si="47"/>
        <v>672040</v>
      </c>
      <c r="J168" s="512">
        <f t="shared" si="47"/>
        <v>524120</v>
      </c>
      <c r="K168" s="512">
        <f t="shared" si="47"/>
        <v>382000</v>
      </c>
      <c r="L168" s="512">
        <f t="shared" si="47"/>
        <v>842000</v>
      </c>
      <c r="M168" s="512">
        <f t="shared" si="47"/>
        <v>492000</v>
      </c>
      <c r="N168" s="512">
        <f t="shared" si="47"/>
        <v>412000</v>
      </c>
      <c r="O168" s="512">
        <f t="shared" si="47"/>
        <v>752000</v>
      </c>
      <c r="P168" s="512">
        <f t="shared" si="47"/>
        <v>512000</v>
      </c>
      <c r="Q168" s="513">
        <f t="shared" si="47"/>
        <v>342000</v>
      </c>
      <c r="R168" s="1050"/>
      <c r="S168" s="1040">
        <f t="shared" ca="1" si="31"/>
        <v>746040</v>
      </c>
      <c r="T168" s="1339"/>
      <c r="U168" s="1395">
        <f t="shared" ca="1" si="32"/>
        <v>746040</v>
      </c>
      <c r="V168" s="1036"/>
      <c r="W168" s="1036">
        <f t="shared" si="45"/>
        <v>6830320</v>
      </c>
      <c r="X168" s="1353"/>
    </row>
    <row r="169" spans="1:25" ht="14.1" customHeight="1" x14ac:dyDescent="0.15">
      <c r="C169" s="2167"/>
      <c r="D169" s="2197"/>
      <c r="E169" s="1108" t="s">
        <v>35</v>
      </c>
      <c r="F169" s="539">
        <f t="shared" si="47"/>
        <v>12091000</v>
      </c>
      <c r="G169" s="512">
        <f t="shared" si="47"/>
        <v>11828000</v>
      </c>
      <c r="H169" s="512">
        <f>H6+H17+H27+H37+H47+H57+H67+H77+H87+H147+H157</f>
        <v>11665000</v>
      </c>
      <c r="I169" s="512">
        <f t="shared" si="47"/>
        <v>11254000</v>
      </c>
      <c r="J169" s="512">
        <f t="shared" si="47"/>
        <v>11520000</v>
      </c>
      <c r="K169" s="512">
        <f t="shared" si="47"/>
        <v>10988000</v>
      </c>
      <c r="L169" s="512">
        <f t="shared" si="47"/>
        <v>11608000</v>
      </c>
      <c r="M169" s="512">
        <f t="shared" si="47"/>
        <v>14141000</v>
      </c>
      <c r="N169" s="512">
        <f t="shared" si="47"/>
        <v>12073000</v>
      </c>
      <c r="O169" s="512">
        <f t="shared" si="47"/>
        <v>11415000</v>
      </c>
      <c r="P169" s="512">
        <f t="shared" si="47"/>
        <v>11440000</v>
      </c>
      <c r="Q169" s="513">
        <f t="shared" si="47"/>
        <v>11651000</v>
      </c>
      <c r="R169" s="1050"/>
      <c r="S169" s="1040">
        <f t="shared" ca="1" si="31"/>
        <v>12091000</v>
      </c>
      <c r="T169" s="1339"/>
      <c r="U169" s="1395">
        <f t="shared" ca="1" si="32"/>
        <v>12091000</v>
      </c>
      <c r="V169" s="1036"/>
      <c r="W169" s="1036">
        <f t="shared" si="45"/>
        <v>141674000</v>
      </c>
      <c r="X169" s="1353"/>
    </row>
    <row r="170" spans="1:25" ht="14.1" customHeight="1" x14ac:dyDescent="0.15">
      <c r="C170" s="2167"/>
      <c r="D170" s="2197"/>
      <c r="E170" s="1108" t="s">
        <v>482</v>
      </c>
      <c r="F170" s="539">
        <f t="shared" ref="F170:Q170" si="48">F7</f>
        <v>200000</v>
      </c>
      <c r="G170" s="512">
        <f t="shared" si="48"/>
        <v>200000</v>
      </c>
      <c r="H170" s="512">
        <f t="shared" si="48"/>
        <v>200000</v>
      </c>
      <c r="I170" s="512">
        <f t="shared" si="48"/>
        <v>200000</v>
      </c>
      <c r="J170" s="512">
        <f t="shared" si="48"/>
        <v>200000</v>
      </c>
      <c r="K170" s="512">
        <f t="shared" si="48"/>
        <v>200000</v>
      </c>
      <c r="L170" s="512">
        <f t="shared" si="48"/>
        <v>200000</v>
      </c>
      <c r="M170" s="512">
        <f t="shared" si="48"/>
        <v>200000</v>
      </c>
      <c r="N170" s="512">
        <f t="shared" si="48"/>
        <v>200000</v>
      </c>
      <c r="O170" s="512">
        <f t="shared" si="48"/>
        <v>200000</v>
      </c>
      <c r="P170" s="512">
        <f t="shared" si="48"/>
        <v>200000</v>
      </c>
      <c r="Q170" s="513">
        <f t="shared" si="48"/>
        <v>200000</v>
      </c>
      <c r="R170" s="1050"/>
      <c r="S170" s="1040">
        <f t="shared" ca="1" si="31"/>
        <v>200000</v>
      </c>
      <c r="T170" s="1339"/>
      <c r="U170" s="1395">
        <f t="shared" ca="1" si="32"/>
        <v>200000</v>
      </c>
      <c r="V170" s="1036"/>
      <c r="W170" s="1036">
        <f t="shared" si="45"/>
        <v>2400000</v>
      </c>
      <c r="X170" s="1353"/>
    </row>
    <row r="171" spans="1:25" ht="14.1" customHeight="1" x14ac:dyDescent="0.15">
      <c r="C171" s="2167"/>
      <c r="D171" s="2197"/>
      <c r="E171" s="1323" t="s">
        <v>45</v>
      </c>
      <c r="F171" s="814">
        <f>F166-F167-F169-F170</f>
        <v>861000</v>
      </c>
      <c r="G171" s="815">
        <f t="shared" ref="G171:P171" si="49">G166-G167-G169-G170</f>
        <v>-234000</v>
      </c>
      <c r="H171" s="815">
        <f t="shared" si="49"/>
        <v>978000</v>
      </c>
      <c r="I171" s="815">
        <f t="shared" si="49"/>
        <v>-17772000</v>
      </c>
      <c r="J171" s="815">
        <f t="shared" si="49"/>
        <v>1195000</v>
      </c>
      <c r="K171" s="815">
        <f t="shared" si="49"/>
        <v>3796000</v>
      </c>
      <c r="L171" s="815">
        <f t="shared" si="49"/>
        <v>4303000</v>
      </c>
      <c r="M171" s="815">
        <f t="shared" si="49"/>
        <v>2493000</v>
      </c>
      <c r="N171" s="815">
        <f t="shared" si="49"/>
        <v>7003000</v>
      </c>
      <c r="O171" s="815">
        <f t="shared" si="49"/>
        <v>-6905000</v>
      </c>
      <c r="P171" s="815">
        <f t="shared" si="49"/>
        <v>7933000</v>
      </c>
      <c r="Q171" s="816">
        <f>Q166-Q167-Q169-Q170</f>
        <v>7391000</v>
      </c>
      <c r="R171" s="1053"/>
      <c r="S171" s="1046">
        <f t="shared" ca="1" si="31"/>
        <v>861000</v>
      </c>
      <c r="T171" s="1345"/>
      <c r="U171" s="1402">
        <f t="shared" ca="1" si="32"/>
        <v>861000</v>
      </c>
      <c r="V171" s="1037"/>
      <c r="W171" s="1037">
        <f t="shared" si="45"/>
        <v>11042000</v>
      </c>
      <c r="X171" s="1361"/>
    </row>
    <row r="172" spans="1:25" ht="14.1" customHeight="1" x14ac:dyDescent="0.15">
      <c r="C172" s="2167"/>
      <c r="D172" s="2197"/>
      <c r="E172" s="1324" t="s">
        <v>46</v>
      </c>
      <c r="F172" s="1325">
        <v>145000</v>
      </c>
      <c r="G172" s="1326">
        <v>145000</v>
      </c>
      <c r="H172" s="1326">
        <v>145000</v>
      </c>
      <c r="I172" s="1326">
        <v>145000</v>
      </c>
      <c r="J172" s="1326">
        <v>145000</v>
      </c>
      <c r="K172" s="1326">
        <v>145000</v>
      </c>
      <c r="L172" s="1326">
        <v>145000</v>
      </c>
      <c r="M172" s="1326">
        <v>145000</v>
      </c>
      <c r="N172" s="1326">
        <v>145000</v>
      </c>
      <c r="O172" s="1326">
        <v>145000</v>
      </c>
      <c r="P172" s="1326">
        <v>145000</v>
      </c>
      <c r="Q172" s="1327">
        <v>145000</v>
      </c>
      <c r="R172" s="1328"/>
      <c r="S172" s="1329">
        <f t="shared" ca="1" si="31"/>
        <v>145000</v>
      </c>
      <c r="T172" s="1346"/>
      <c r="U172" s="1403">
        <f t="shared" ca="1" si="32"/>
        <v>145000</v>
      </c>
      <c r="V172" s="1330"/>
      <c r="W172" s="1330">
        <f t="shared" si="45"/>
        <v>1740000</v>
      </c>
      <c r="X172" s="1362"/>
    </row>
    <row r="173" spans="1:25" ht="14.1" customHeight="1" x14ac:dyDescent="0.15">
      <c r="C173" s="2167"/>
      <c r="D173" s="2197"/>
      <c r="E173" s="1331" t="s">
        <v>47</v>
      </c>
      <c r="F173" s="1332">
        <v>761000</v>
      </c>
      <c r="G173" s="1333">
        <v>755000</v>
      </c>
      <c r="H173" s="1333">
        <v>767000</v>
      </c>
      <c r="I173" s="1333">
        <v>744000</v>
      </c>
      <c r="J173" s="1333">
        <v>853000</v>
      </c>
      <c r="K173" s="1333">
        <v>856000</v>
      </c>
      <c r="L173" s="1333">
        <v>827000</v>
      </c>
      <c r="M173" s="1333">
        <v>846000</v>
      </c>
      <c r="N173" s="1333">
        <v>840000</v>
      </c>
      <c r="O173" s="1333">
        <v>840000</v>
      </c>
      <c r="P173" s="1333">
        <v>835000</v>
      </c>
      <c r="Q173" s="1334">
        <v>839000</v>
      </c>
      <c r="R173" s="1335"/>
      <c r="S173" s="1336">
        <f t="shared" ca="1" si="31"/>
        <v>761000</v>
      </c>
      <c r="T173" s="1347"/>
      <c r="U173" s="1404">
        <f t="shared" ca="1" si="32"/>
        <v>761000</v>
      </c>
      <c r="V173" s="1337"/>
      <c r="W173" s="1337">
        <f t="shared" si="45"/>
        <v>9763000</v>
      </c>
      <c r="X173" s="1363"/>
    </row>
    <row r="174" spans="1:25" ht="14.1" customHeight="1" thickBot="1" x14ac:dyDescent="0.2">
      <c r="C174" s="2167"/>
      <c r="D174" s="2197"/>
      <c r="E174" s="1109" t="s">
        <v>445</v>
      </c>
      <c r="F174" s="530">
        <f t="shared" ref="F174:P174" si="50">F171+F172-F173</f>
        <v>245000</v>
      </c>
      <c r="G174" s="531">
        <f t="shared" si="50"/>
        <v>-844000</v>
      </c>
      <c r="H174" s="531">
        <f t="shared" si="50"/>
        <v>356000</v>
      </c>
      <c r="I174" s="531">
        <f t="shared" si="50"/>
        <v>-18371000</v>
      </c>
      <c r="J174" s="531">
        <f t="shared" si="50"/>
        <v>487000</v>
      </c>
      <c r="K174" s="531">
        <f t="shared" si="50"/>
        <v>3085000</v>
      </c>
      <c r="L174" s="531">
        <f t="shared" si="50"/>
        <v>3621000</v>
      </c>
      <c r="M174" s="531">
        <f t="shared" si="50"/>
        <v>1792000</v>
      </c>
      <c r="N174" s="531">
        <f t="shared" si="50"/>
        <v>6308000</v>
      </c>
      <c r="O174" s="531">
        <f t="shared" si="50"/>
        <v>-7600000</v>
      </c>
      <c r="P174" s="531">
        <f t="shared" si="50"/>
        <v>7243000</v>
      </c>
      <c r="Q174" s="532">
        <f>Q171+Q172-Q173</f>
        <v>6697000</v>
      </c>
      <c r="R174" s="1052"/>
      <c r="S174" s="1044">
        <f t="shared" ca="1" si="31"/>
        <v>245000</v>
      </c>
      <c r="T174" s="1340"/>
      <c r="U174" s="1396">
        <f t="shared" ca="1" si="32"/>
        <v>245000</v>
      </c>
      <c r="V174" s="1032"/>
      <c r="W174" s="1032">
        <f t="shared" si="45"/>
        <v>3019000</v>
      </c>
      <c r="X174" s="1355"/>
    </row>
    <row r="175" spans="1:25" ht="14.1" customHeight="1" thickBot="1" x14ac:dyDescent="0.2">
      <c r="C175" s="2167"/>
      <c r="D175" s="2198"/>
      <c r="E175" s="1108" t="s">
        <v>500</v>
      </c>
      <c r="F175" s="1306"/>
      <c r="G175" s="1307"/>
      <c r="H175" s="1307"/>
      <c r="I175" s="1307"/>
      <c r="J175" s="1307"/>
      <c r="K175" s="1307"/>
      <c r="L175" s="1307"/>
      <c r="M175" s="1307"/>
      <c r="N175" s="1307"/>
      <c r="O175" s="1307"/>
      <c r="P175" s="1307"/>
      <c r="Q175" s="1308"/>
      <c r="R175" s="1296"/>
      <c r="S175" s="1040">
        <f t="shared" ca="1" si="31"/>
        <v>0</v>
      </c>
      <c r="T175" s="1339"/>
      <c r="U175" s="1395">
        <f t="shared" ca="1" si="32"/>
        <v>0</v>
      </c>
      <c r="V175" s="1391"/>
      <c r="W175" s="1036">
        <f t="shared" si="45"/>
        <v>0</v>
      </c>
      <c r="X175" s="1353"/>
    </row>
    <row r="176" spans="1:25" ht="14.1" customHeight="1" x14ac:dyDescent="0.15">
      <c r="C176" s="2167"/>
      <c r="D176" s="2480" t="s">
        <v>444</v>
      </c>
      <c r="E176" s="376" t="s">
        <v>26</v>
      </c>
      <c r="F176" s="516">
        <f>IF(F9="",0,F9)+
IF(F19="",0,F19)+
IF(F29="",0,F29)+
IF(F39="",0,F39)+
IF(F49="",0,F49)+
IF(F59="",0,F59)+
IF(F69="",0,F69)+
IF(F79="",0,F79)+
IF(F89="",0,F89)+
IF(F149="",0,F149)+
IF(F159="",0,F159)</f>
        <v>37880867</v>
      </c>
      <c r="G176" s="517">
        <f t="shared" ref="G176:Q176" si="51">IF(G9="",0,G9)+
IF(G19="",0,G19)+
IF(G29="",0,G29)+
IF(G39="",0,G39)+
IF(G49="",0,G49)+
IF(G59="",0,G59)+
IF(G69="",0,G69)+
IF(G79="",0,G79)+
IF(G89="",0,G89)+
IF(G149="",0,G149)+
IF(G159="",0,G159)</f>
        <v>0</v>
      </c>
      <c r="H176" s="517">
        <f t="shared" si="51"/>
        <v>0</v>
      </c>
      <c r="I176" s="517">
        <f t="shared" si="51"/>
        <v>0</v>
      </c>
      <c r="J176" s="517">
        <f t="shared" si="51"/>
        <v>0</v>
      </c>
      <c r="K176" s="517">
        <f t="shared" si="51"/>
        <v>0</v>
      </c>
      <c r="L176" s="517">
        <f t="shared" si="51"/>
        <v>0</v>
      </c>
      <c r="M176" s="517">
        <f t="shared" si="51"/>
        <v>0</v>
      </c>
      <c r="N176" s="517">
        <f t="shared" si="51"/>
        <v>0</v>
      </c>
      <c r="O176" s="517">
        <f t="shared" si="51"/>
        <v>0</v>
      </c>
      <c r="P176" s="517">
        <f t="shared" si="51"/>
        <v>0</v>
      </c>
      <c r="Q176" s="518">
        <f t="shared" si="51"/>
        <v>0</v>
      </c>
      <c r="R176" s="1055">
        <f ca="1">IF(T176&gt;=1,1,IF(T176&lt;0.9,-1,0))</f>
        <v>0</v>
      </c>
      <c r="S176" s="1041">
        <f t="shared" ca="1" si="31"/>
        <v>37880867</v>
      </c>
      <c r="T176" s="1341">
        <f ca="1">IF(S166&lt;0,ROUND((S176-S166)/ABS(S166),3),IF(S166=0,0,ROUND(S176/S166,3)))</f>
        <v>0.97699999999999998</v>
      </c>
      <c r="U176" s="1397">
        <f t="shared" ca="1" si="32"/>
        <v>37880867</v>
      </c>
      <c r="V176" s="1372">
        <f ca="1">IF(X176&gt;=1,1,IF(X176&lt;0.9,-1,0))</f>
        <v>-1</v>
      </c>
      <c r="W176" s="1030">
        <f t="shared" ref="W176:W185" ca="1" si="52">S176+(12-IF(ISERROR(MATCH(DATE(YEAR($G$1),MONTH($G$1),1),$F$2:$Q$2,0)),0,MATCH(DATE(YEAR($G$1),MONTH($G$1),1),$F$2:$Q$2,0)))*U176</f>
        <v>454570404</v>
      </c>
      <c r="X176" s="1356">
        <f ca="1">IF(W166&lt;0,ROUND((W176-W166)/ABS(W166),3),IF(W166=0,0,ROUND(W176/W166,3)))</f>
        <v>0.84499999999999997</v>
      </c>
    </row>
    <row r="177" spans="1:25" ht="14.1" customHeight="1" x14ac:dyDescent="0.15">
      <c r="C177" s="2167"/>
      <c r="D177" s="2481"/>
      <c r="E177" s="1107" t="s">
        <v>15</v>
      </c>
      <c r="F177" s="520">
        <f>IF(F10="",0,F10)+
IF(F20="",0,F20)+
IF(F30="",0,F30)+
IF(F40="",0,F40)+
IF(F50="",0,F50)+
IF(F60="",0,F60)+
IF(F70="",0,F70)+
IF(F80="",0,F80)+
IF(F90="",0,F90)+
IF(F150="",0,F150)+
IF(F160="",0,F160)+
IF(F165="",0,F165)</f>
        <v>24820463</v>
      </c>
      <c r="G177" s="521">
        <f t="shared" ref="G177:Q177" si="53">IF(G10="",0,G10)+
IF(G20="",0,G20)+
IF(G30="",0,G30)+
IF(G40="",0,G40)+
IF(G50="",0,G50)+
IF(G60="",0,G60)+
IF(G70="",0,G70)+
IF(G80="",0,G80)+
IF(G90="",0,G90)+
IF(G150="",0,G150)+
IF(G160="",0,G160)+
IF(G165="",0,G165)</f>
        <v>0</v>
      </c>
      <c r="H177" s="521">
        <f t="shared" si="53"/>
        <v>0</v>
      </c>
      <c r="I177" s="521">
        <f t="shared" si="53"/>
        <v>0</v>
      </c>
      <c r="J177" s="521">
        <f t="shared" si="53"/>
        <v>0</v>
      </c>
      <c r="K177" s="521">
        <f t="shared" si="53"/>
        <v>0</v>
      </c>
      <c r="L177" s="521">
        <f t="shared" si="53"/>
        <v>0</v>
      </c>
      <c r="M177" s="521">
        <f t="shared" si="53"/>
        <v>0</v>
      </c>
      <c r="N177" s="521">
        <f t="shared" si="53"/>
        <v>0</v>
      </c>
      <c r="O177" s="521">
        <f t="shared" si="53"/>
        <v>0</v>
      </c>
      <c r="P177" s="521">
        <f t="shared" si="53"/>
        <v>0</v>
      </c>
      <c r="Q177" s="522">
        <f t="shared" si="53"/>
        <v>0</v>
      </c>
      <c r="R177" s="1056">
        <f ca="1">IF(T177&lt;=1,1,IF(T177&gt;1.1,-1,0))</f>
        <v>1</v>
      </c>
      <c r="S177" s="1042">
        <f t="shared" ca="1" si="31"/>
        <v>24820463</v>
      </c>
      <c r="T177" s="1342">
        <f ca="1">IF(S167&lt;0,ROUND((S177-S167)/ABS(S167),3),IF(S167=0,0,ROUND(S177/S167,3)))</f>
        <v>0.96799999999999997</v>
      </c>
      <c r="U177" s="1398">
        <f t="shared" ca="1" si="32"/>
        <v>24820463</v>
      </c>
      <c r="V177" s="1373">
        <f ca="1">IF(X177&lt;=1,1,IF(X177&gt;1.1,-1,0))</f>
        <v>1</v>
      </c>
      <c r="W177" s="1031">
        <f t="shared" ca="1" si="52"/>
        <v>297845556</v>
      </c>
      <c r="X177" s="1357">
        <f ca="1">IF(W167&lt;0,ROUND((W177-W167)/ABS(W167),3),IF(W167=0,0,ROUND(W177/W167,3)))</f>
        <v>0.77800000000000002</v>
      </c>
    </row>
    <row r="178" spans="1:25" ht="14.1" customHeight="1" x14ac:dyDescent="0.15">
      <c r="C178" s="2167"/>
      <c r="D178" s="2481"/>
      <c r="E178" s="1107" t="s">
        <v>448</v>
      </c>
      <c r="F178" s="520">
        <f t="shared" ref="F178:Q179" si="54">IF(F11="",0,F11)+
IF(F21="",0,F21)+
IF(F31="",0,F31)+
IF(F41="",0,F41)+
IF(F51="",0,F51)+
IF(F61="",0,F61)+
IF(F71="",0,F71)+
IF(F81="",0,F81)+
IF(F91="",0,F91)+
IF(F151="",0,F151)+
IF(F161="",0,F161)</f>
        <v>570060</v>
      </c>
      <c r="G178" s="521">
        <f t="shared" si="54"/>
        <v>0</v>
      </c>
      <c r="H178" s="521">
        <f t="shared" si="54"/>
        <v>0</v>
      </c>
      <c r="I178" s="521">
        <f t="shared" si="54"/>
        <v>0</v>
      </c>
      <c r="J178" s="521">
        <f t="shared" si="54"/>
        <v>0</v>
      </c>
      <c r="K178" s="521">
        <f t="shared" si="54"/>
        <v>0</v>
      </c>
      <c r="L178" s="521">
        <f t="shared" si="54"/>
        <v>0</v>
      </c>
      <c r="M178" s="521">
        <f t="shared" si="54"/>
        <v>0</v>
      </c>
      <c r="N178" s="521">
        <f t="shared" si="54"/>
        <v>0</v>
      </c>
      <c r="O178" s="521">
        <f t="shared" si="54"/>
        <v>0</v>
      </c>
      <c r="P178" s="521">
        <f t="shared" si="54"/>
        <v>0</v>
      </c>
      <c r="Q178" s="522">
        <f t="shared" si="54"/>
        <v>0</v>
      </c>
      <c r="R178" s="1056">
        <f ca="1">IF(T178&lt;=1,1,IF(T178&gt;1.1,-1,0))</f>
        <v>1</v>
      </c>
      <c r="S178" s="1042">
        <f t="shared" ca="1" si="31"/>
        <v>570060</v>
      </c>
      <c r="T178" s="1342">
        <f ca="1">IF(S168&lt;0,ROUND((S178-S168)/ABS(S168),3),IF(S168=0,0,ROUND(S178/S168,3)))</f>
        <v>0.76400000000000001</v>
      </c>
      <c r="U178" s="1398">
        <f t="shared" ca="1" si="32"/>
        <v>570060</v>
      </c>
      <c r="V178" s="1373">
        <f ca="1">IF(X178&lt;=1,1,IF(X178&gt;1.1,-1,0))</f>
        <v>0</v>
      </c>
      <c r="W178" s="1031">
        <f t="shared" ca="1" si="52"/>
        <v>6840720</v>
      </c>
      <c r="X178" s="1357">
        <f ca="1">IF(W168&lt;0,ROUND((W178-W168)/ABS(W168),3),IF(W168=0,0,ROUND(W178/W168,3)))</f>
        <v>1.002</v>
      </c>
    </row>
    <row r="179" spans="1:25" ht="14.1" customHeight="1" x14ac:dyDescent="0.15">
      <c r="C179" s="2167"/>
      <c r="D179" s="2481"/>
      <c r="E179" s="1107" t="s">
        <v>35</v>
      </c>
      <c r="F179" s="520">
        <f>IF(F12="",0,F12)+
IF(F22="",0,F22)+
IF(F32="",0,F32)+
IF(F42="",0,F42)+
IF(F52="",0,F52)+
IF(F62="",0,F62)+
IF(F72="",0,F72)+
IF(F82="",0,F82)+
IF(F92="",0,F92)+
IF(F152="",0,F152)+
IF(F162="",0,F162)</f>
        <v>11236686</v>
      </c>
      <c r="G179" s="521">
        <f t="shared" si="54"/>
        <v>0</v>
      </c>
      <c r="H179" s="521">
        <f t="shared" si="54"/>
        <v>0</v>
      </c>
      <c r="I179" s="521">
        <f t="shared" si="54"/>
        <v>0</v>
      </c>
      <c r="J179" s="521">
        <f t="shared" si="54"/>
        <v>0</v>
      </c>
      <c r="K179" s="521">
        <f t="shared" si="54"/>
        <v>0</v>
      </c>
      <c r="L179" s="521">
        <f t="shared" si="54"/>
        <v>0</v>
      </c>
      <c r="M179" s="521">
        <f t="shared" si="54"/>
        <v>0</v>
      </c>
      <c r="N179" s="521">
        <f t="shared" si="54"/>
        <v>0</v>
      </c>
      <c r="O179" s="521">
        <f t="shared" si="54"/>
        <v>0</v>
      </c>
      <c r="P179" s="521">
        <f t="shared" si="54"/>
        <v>0</v>
      </c>
      <c r="Q179" s="522">
        <f t="shared" si="54"/>
        <v>0</v>
      </c>
      <c r="R179" s="1056">
        <f ca="1">IF(T179&lt;=1,1,IF(T179&gt;1.1,-1,0))</f>
        <v>1</v>
      </c>
      <c r="S179" s="1042">
        <f t="shared" ca="1" si="31"/>
        <v>11236686</v>
      </c>
      <c r="T179" s="1342">
        <f ca="1">IF(S169&lt;0,ROUND((S179-S169)/ABS(S169),3),IF(S169=0,0,ROUND(S179/S169,3)))</f>
        <v>0.92900000000000005</v>
      </c>
      <c r="U179" s="1398">
        <f t="shared" ca="1" si="32"/>
        <v>11236686</v>
      </c>
      <c r="V179" s="1373">
        <f ca="1">IF(X179&lt;=1,1,IF(X179&gt;1.1,-1,0))</f>
        <v>1</v>
      </c>
      <c r="W179" s="1031">
        <f t="shared" ca="1" si="52"/>
        <v>134840232</v>
      </c>
      <c r="X179" s="1357">
        <f ca="1">IF(W169&lt;0,ROUND((W179-W169)/ABS(W169),3),IF(W169=0,0,ROUND(W179/W169,3)))</f>
        <v>0.95199999999999996</v>
      </c>
      <c r="Y179" s="1274"/>
    </row>
    <row r="180" spans="1:25" ht="14.1" customHeight="1" x14ac:dyDescent="0.15">
      <c r="C180" s="2167"/>
      <c r="D180" s="2481"/>
      <c r="E180" s="1106" t="s">
        <v>506</v>
      </c>
      <c r="F180" s="520">
        <v>0</v>
      </c>
      <c r="G180" s="521">
        <v>0</v>
      </c>
      <c r="H180" s="521">
        <v>0</v>
      </c>
      <c r="I180" s="521">
        <v>0</v>
      </c>
      <c r="J180" s="521">
        <v>0</v>
      </c>
      <c r="K180" s="521">
        <v>0</v>
      </c>
      <c r="L180" s="521">
        <v>0</v>
      </c>
      <c r="M180" s="521">
        <v>0</v>
      </c>
      <c r="N180" s="521">
        <v>0</v>
      </c>
      <c r="O180" s="521">
        <v>0</v>
      </c>
      <c r="P180" s="521">
        <v>0</v>
      </c>
      <c r="Q180" s="522">
        <v>0</v>
      </c>
      <c r="R180" s="1267"/>
      <c r="S180" s="1042">
        <f t="shared" ca="1" si="31"/>
        <v>0</v>
      </c>
      <c r="T180" s="1339"/>
      <c r="U180" s="1398">
        <f t="shared" ca="1" si="32"/>
        <v>0</v>
      </c>
      <c r="V180" s="1031"/>
      <c r="W180" s="1031">
        <f t="shared" ca="1" si="52"/>
        <v>0</v>
      </c>
      <c r="X180" s="1353"/>
      <c r="Y180" s="1274"/>
    </row>
    <row r="181" spans="1:25" ht="14.1" customHeight="1" x14ac:dyDescent="0.15">
      <c r="C181" s="2167"/>
      <c r="D181" s="2481"/>
      <c r="E181" s="1106" t="s">
        <v>45</v>
      </c>
      <c r="F181" s="1309">
        <f>F176-F177-F179+F180</f>
        <v>1823718</v>
      </c>
      <c r="G181" s="1310">
        <f t="shared" ref="G181:Q181" si="55">G176-G177-G179+G180</f>
        <v>0</v>
      </c>
      <c r="H181" s="1310">
        <f t="shared" si="55"/>
        <v>0</v>
      </c>
      <c r="I181" s="1310">
        <f t="shared" si="55"/>
        <v>0</v>
      </c>
      <c r="J181" s="1310">
        <f t="shared" si="55"/>
        <v>0</v>
      </c>
      <c r="K181" s="1310">
        <f t="shared" si="55"/>
        <v>0</v>
      </c>
      <c r="L181" s="1310">
        <f t="shared" si="55"/>
        <v>0</v>
      </c>
      <c r="M181" s="1310">
        <f t="shared" si="55"/>
        <v>0</v>
      </c>
      <c r="N181" s="1310">
        <f t="shared" si="55"/>
        <v>0</v>
      </c>
      <c r="O181" s="1310">
        <f t="shared" si="55"/>
        <v>0</v>
      </c>
      <c r="P181" s="1310">
        <f t="shared" si="55"/>
        <v>0</v>
      </c>
      <c r="Q181" s="1311">
        <f t="shared" si="55"/>
        <v>0</v>
      </c>
      <c r="R181" s="1059">
        <f ca="1">IF(T181&gt;=0,1,IF(T181&lt;0.1,-1,0))</f>
        <v>1</v>
      </c>
      <c r="S181" s="1042">
        <f t="shared" ca="1" si="31"/>
        <v>1823718</v>
      </c>
      <c r="T181" s="1348">
        <f ca="1">IF(S171=S181,0,ROUND((S181-S171)/ABS(S171),3))</f>
        <v>1.1180000000000001</v>
      </c>
      <c r="U181" s="1398">
        <f t="shared" ca="1" si="32"/>
        <v>1823718</v>
      </c>
      <c r="V181" s="1380">
        <f ca="1">IF(X181&gt;=0,1,IF(X181&lt;0.1,-1,0))</f>
        <v>1</v>
      </c>
      <c r="W181" s="1031">
        <f t="shared" ca="1" si="52"/>
        <v>21884616</v>
      </c>
      <c r="X181" s="1357">
        <f ca="1">IF(W171=W181,0,ROUND((W181-W171)/ABS(W171),3))</f>
        <v>0.98199999999999998</v>
      </c>
    </row>
    <row r="182" spans="1:25" ht="14.1" customHeight="1" x14ac:dyDescent="0.15">
      <c r="C182" s="2167"/>
      <c r="D182" s="2481"/>
      <c r="E182" s="1105" t="s">
        <v>46</v>
      </c>
      <c r="F182" s="1312">
        <v>148771</v>
      </c>
      <c r="G182" s="1313">
        <v>0</v>
      </c>
      <c r="H182" s="1313">
        <v>0</v>
      </c>
      <c r="I182" s="1313">
        <v>0</v>
      </c>
      <c r="J182" s="1313">
        <v>0</v>
      </c>
      <c r="K182" s="1313">
        <v>0</v>
      </c>
      <c r="L182" s="1313">
        <v>0</v>
      </c>
      <c r="M182" s="1313">
        <v>0</v>
      </c>
      <c r="N182" s="1313">
        <v>0</v>
      </c>
      <c r="O182" s="1313">
        <v>0</v>
      </c>
      <c r="P182" s="1313">
        <v>0</v>
      </c>
      <c r="Q182" s="1314">
        <v>0</v>
      </c>
      <c r="R182" s="1369">
        <f ca="1">IF(T182&gt;=1,1,IF(T182&lt;0.9,-1,0))</f>
        <v>1</v>
      </c>
      <c r="S182" s="1315">
        <f t="shared" ca="1" si="31"/>
        <v>148771</v>
      </c>
      <c r="T182" s="1349">
        <f ca="1">IF(S172&lt;0,ROUND((S182-S172)/ABS(S172),3),IF(S172=0,0,ROUND(S182/S172,3)))</f>
        <v>1.026</v>
      </c>
      <c r="U182" s="1405">
        <f t="shared" ca="1" si="32"/>
        <v>148771</v>
      </c>
      <c r="V182" s="1381">
        <f ca="1">IF(X182&gt;=1,1,IF(X182&lt;0.9,-1,0))</f>
        <v>1</v>
      </c>
      <c r="W182" s="1316">
        <f t="shared" ca="1" si="52"/>
        <v>1785252</v>
      </c>
      <c r="X182" s="1364">
        <f ca="1">IF(W172&lt;0,ROUND((W182-W172)/ABS(W172),3),IF(W172=0,0,ROUND(W182/W172,3)))</f>
        <v>1.026</v>
      </c>
    </row>
    <row r="183" spans="1:25" ht="14.1" customHeight="1" x14ac:dyDescent="0.15">
      <c r="C183" s="2167"/>
      <c r="D183" s="2481"/>
      <c r="E183" s="1104" t="s">
        <v>47</v>
      </c>
      <c r="F183" s="1317">
        <v>307115</v>
      </c>
      <c r="G183" s="1318">
        <v>0</v>
      </c>
      <c r="H183" s="1318">
        <v>0</v>
      </c>
      <c r="I183" s="1318">
        <v>0</v>
      </c>
      <c r="J183" s="1318">
        <v>0</v>
      </c>
      <c r="K183" s="1318">
        <v>0</v>
      </c>
      <c r="L183" s="1318">
        <v>0</v>
      </c>
      <c r="M183" s="1318">
        <v>0</v>
      </c>
      <c r="N183" s="1318">
        <v>0</v>
      </c>
      <c r="O183" s="1318">
        <v>0</v>
      </c>
      <c r="P183" s="1318">
        <v>0</v>
      </c>
      <c r="Q183" s="1319">
        <v>0</v>
      </c>
      <c r="R183" s="1370">
        <f ca="1">IF(T183&lt;=1,1,IF(T183&gt;1.1,-1,0))</f>
        <v>1</v>
      </c>
      <c r="S183" s="1320">
        <f t="shared" ca="1" si="31"/>
        <v>307115</v>
      </c>
      <c r="T183" s="1350">
        <f ca="1">IF(S173&lt;0,ROUND((S183-S173)/ABS(S173),3),IF(S173=0,0,ROUND(S183/S173,3)))</f>
        <v>0.40400000000000003</v>
      </c>
      <c r="U183" s="1406">
        <f t="shared" ca="1" si="32"/>
        <v>307115</v>
      </c>
      <c r="V183" s="1382">
        <f ca="1">IF(X183&lt;=1,1,IF(X183&gt;1.1,-1,0))</f>
        <v>1</v>
      </c>
      <c r="W183" s="1321">
        <f t="shared" ca="1" si="52"/>
        <v>3685380</v>
      </c>
      <c r="X183" s="1365">
        <f ca="1">IF(W173&lt;0,ROUND((W183-W173)/ABS(W173),3),IF(W173=0,0,ROUND(W183/W173,3)))</f>
        <v>0.377</v>
      </c>
    </row>
    <row r="184" spans="1:25" ht="14.1" customHeight="1" thickBot="1" x14ac:dyDescent="0.2">
      <c r="C184" s="2167"/>
      <c r="D184" s="2481"/>
      <c r="E184" s="1103" t="s">
        <v>445</v>
      </c>
      <c r="F184" s="535">
        <f t="shared" ref="F184:Q184" si="56">IFERROR(SUM(F181,F182,-F183),0)</f>
        <v>1665374</v>
      </c>
      <c r="G184" s="536">
        <f t="shared" si="56"/>
        <v>0</v>
      </c>
      <c r="H184" s="536">
        <f t="shared" si="56"/>
        <v>0</v>
      </c>
      <c r="I184" s="536">
        <f t="shared" si="56"/>
        <v>0</v>
      </c>
      <c r="J184" s="536">
        <f t="shared" si="56"/>
        <v>0</v>
      </c>
      <c r="K184" s="536">
        <f t="shared" si="56"/>
        <v>0</v>
      </c>
      <c r="L184" s="536">
        <f t="shared" si="56"/>
        <v>0</v>
      </c>
      <c r="M184" s="536">
        <f t="shared" si="56"/>
        <v>0</v>
      </c>
      <c r="N184" s="536">
        <f t="shared" si="56"/>
        <v>0</v>
      </c>
      <c r="O184" s="536">
        <f t="shared" si="56"/>
        <v>0</v>
      </c>
      <c r="P184" s="536">
        <f t="shared" si="56"/>
        <v>0</v>
      </c>
      <c r="Q184" s="537">
        <f t="shared" si="56"/>
        <v>0</v>
      </c>
      <c r="R184" s="1371">
        <f ca="1">IF(T184&gt;=0,1,IF(T184&lt;0.1,-1,0))</f>
        <v>1</v>
      </c>
      <c r="S184" s="1045">
        <f t="shared" ca="1" si="31"/>
        <v>1665374</v>
      </c>
      <c r="T184" s="1343">
        <f ca="1">IF(S174=S184,0,ROUND((S184-S174)/ABS(S174),3))</f>
        <v>5.7969999999999997</v>
      </c>
      <c r="U184" s="1399">
        <f t="shared" ca="1" si="32"/>
        <v>1665374</v>
      </c>
      <c r="V184" s="1392">
        <f ca="1">IF(X184&gt;=0,1,IF(X184&lt;0.1,-1,0))</f>
        <v>1</v>
      </c>
      <c r="W184" s="1322">
        <f t="shared" ca="1" si="52"/>
        <v>19984488</v>
      </c>
      <c r="X184" s="1358">
        <f ca="1">IF(W174=W184,0,ROUND((W184-W174)/ABS(W174),3))</f>
        <v>5.62</v>
      </c>
      <c r="Y184" s="1274"/>
    </row>
    <row r="185" spans="1:25" ht="14.1" customHeight="1" thickBot="1" x14ac:dyDescent="0.2">
      <c r="A185" s="1081" t="s">
        <v>802</v>
      </c>
      <c r="B185" s="1081" t="s">
        <v>500</v>
      </c>
      <c r="C185" s="2168"/>
      <c r="D185" s="2482"/>
      <c r="E185" s="1102" t="s">
        <v>500</v>
      </c>
      <c r="F185" s="586">
        <v>0</v>
      </c>
      <c r="G185" s="587">
        <v>0</v>
      </c>
      <c r="H185" s="587">
        <v>0</v>
      </c>
      <c r="I185" s="587">
        <v>0</v>
      </c>
      <c r="J185" s="587">
        <v>0</v>
      </c>
      <c r="K185" s="587">
        <v>0</v>
      </c>
      <c r="L185" s="587">
        <v>0</v>
      </c>
      <c r="M185" s="587">
        <v>0</v>
      </c>
      <c r="N185" s="587">
        <v>0</v>
      </c>
      <c r="O185" s="587">
        <v>0</v>
      </c>
      <c r="P185" s="587">
        <v>0</v>
      </c>
      <c r="Q185" s="588">
        <v>0</v>
      </c>
      <c r="R185" s="1057">
        <f ca="1">IF(T185&lt;=1,1,IF(T185&gt;1.1,-1,0))</f>
        <v>1</v>
      </c>
      <c r="S185" s="1048">
        <f t="shared" ca="1" si="31"/>
        <v>0</v>
      </c>
      <c r="T185" s="1351">
        <f ca="1">IF(S175&lt;0,ROUND((S185-S175)/ABS(S175),3),IF(S175=0,0,ROUND(S185/S175,3)))</f>
        <v>0</v>
      </c>
      <c r="U185" s="1407">
        <f t="shared" ca="1" si="32"/>
        <v>0</v>
      </c>
      <c r="V185" s="1374">
        <f>IF(X185&lt;=1,1,IF(X185&gt;1.1,-1,0))</f>
        <v>1</v>
      </c>
      <c r="W185" s="1038">
        <f t="shared" ca="1" si="52"/>
        <v>0</v>
      </c>
      <c r="X185" s="1366">
        <f>IF(W175&lt;0,ROUND((W185-W175)/ABS(W175),3),IF(W175=0,0,ROUND(W185/W175,3)))</f>
        <v>0</v>
      </c>
    </row>
    <row r="186" spans="1:25" x14ac:dyDescent="0.15">
      <c r="F186" s="1101"/>
      <c r="N186" s="1101"/>
    </row>
    <row r="187" spans="1:25" ht="15" thickBot="1" x14ac:dyDescent="0.2">
      <c r="D187" s="1100" t="s">
        <v>392</v>
      </c>
      <c r="E187" s="1100"/>
      <c r="F187" s="1100"/>
      <c r="G187" s="1100"/>
      <c r="H187" s="1100"/>
      <c r="I187" s="1100"/>
      <c r="M187" s="404"/>
    </row>
    <row r="188" spans="1:25" ht="14.45" customHeight="1" thickBot="1" x14ac:dyDescent="0.2">
      <c r="D188" s="1099" t="s">
        <v>476</v>
      </c>
      <c r="E188" s="1098" t="s">
        <v>480</v>
      </c>
      <c r="F188" s="1097" t="s">
        <v>1192</v>
      </c>
      <c r="G188" s="1096" t="s">
        <v>101</v>
      </c>
      <c r="H188" s="1096" t="s">
        <v>58</v>
      </c>
      <c r="I188" s="1244" t="s">
        <v>59</v>
      </c>
      <c r="J188" s="1096" t="s">
        <v>22</v>
      </c>
      <c r="K188" s="1244" t="s">
        <v>23</v>
      </c>
      <c r="L188" s="1250" t="s">
        <v>481</v>
      </c>
      <c r="M188" s="1095"/>
    </row>
    <row r="189" spans="1:25" ht="14.45" customHeight="1" x14ac:dyDescent="0.15">
      <c r="D189" s="2203" t="s">
        <v>477</v>
      </c>
      <c r="E189" s="1094" t="s">
        <v>1189</v>
      </c>
      <c r="F189" s="1093">
        <f>IF('事業所損益管理(H29.9～H30.8)収支計画表'!F157="","",'事業所損益管理(H29.9～H30.8)収支計画表'!F157)</f>
        <v>1030000</v>
      </c>
      <c r="G189" s="1092">
        <f>IF('事業所損益管理(H29.9～H30.8)収支計画表'!G157="","",'事業所損益管理(H29.9～H30.8)収支計画表'!G157)</f>
        <v>-2270000</v>
      </c>
      <c r="H189" s="1092">
        <f>IF('事業所損益管理(H29.9～H30.8)収支計画表'!H157="","",'事業所損益管理(H29.9～H30.8)収支計画表'!H157)</f>
        <v>1100000</v>
      </c>
      <c r="I189" s="1246">
        <f>IF('事業所損益管理(H29.9～H30.8)収支計画表'!I157="","",'事業所損益管理(H29.9～H30.8)収支計画表'!I157)</f>
        <v>1030000</v>
      </c>
      <c r="J189" s="1092">
        <f>IF('事業所損益管理(H29.9～H30.8)収支計画表'!J157="","",'事業所損益管理(H29.9～H30.8)収支計画表'!J157)</f>
        <v>2150000</v>
      </c>
      <c r="K189" s="1251">
        <f>IF('事業所損益管理(H29.9～H30.8)収支計画表'!K157="","",'事業所損益管理(H29.9～H30.8)収支計画表'!K157)</f>
        <v>2050000</v>
      </c>
      <c r="L189" s="1255">
        <f t="array" ref="L189">SUM(IF(ISNUMBER(F190:K190),F189:K189))</f>
        <v>2940000</v>
      </c>
      <c r="M189" s="1091"/>
      <c r="R189" s="2182" t="s">
        <v>1151</v>
      </c>
      <c r="S189" s="2182"/>
      <c r="T189" s="2182"/>
      <c r="U189" s="350"/>
    </row>
    <row r="190" spans="1:25" ht="14.45" customHeight="1" x14ac:dyDescent="0.15">
      <c r="D190" s="2200"/>
      <c r="E190" s="1090" t="s">
        <v>1188</v>
      </c>
      <c r="F190" s="1089">
        <f>IF('事業所損益管理(H29.9～H30.8)収支計画表'!F158="","",'事業所損益管理(H29.9～H30.8)収支計画表'!F158)</f>
        <v>2274513</v>
      </c>
      <c r="G190" s="1088">
        <f>IF('事業所損益管理(H29.9～H30.8)収支計画表'!G158="","",'事業所損益管理(H29.9～H30.8)収支計画表'!G158)</f>
        <v>-1124870</v>
      </c>
      <c r="H190" s="1088">
        <f>IF('事業所損益管理(H29.9～H30.8)収支計画表'!H158="","",'事業所損益管理(H29.9～H30.8)収支計画表'!H158)</f>
        <v>1595299</v>
      </c>
      <c r="I190" s="1247">
        <f>IF('事業所損益管理(H29.9～H30.8)収支計画表'!I158="","",'事業所損益管理(H29.9～H30.8)収支計画表'!I158)</f>
        <v>671750</v>
      </c>
      <c r="J190" s="1088" t="e">
        <f>IF('事業所損益管理(H29.9～H30.8)収支計画表'!#REF!="","",'事業所損益管理(H29.9～H30.8)収支計画表'!#REF!)</f>
        <v>#REF!</v>
      </c>
      <c r="K190" s="1252">
        <f>IF('事業所損益管理(H29.9～H30.8)収支計画表'!K158="","",'事業所損益管理(H29.9～H30.8)収支計画表'!K158)</f>
        <v>1706189</v>
      </c>
      <c r="L190" s="1256">
        <f t="array" ref="L190">SUM(IF(ISNUMBER(F190:K190),F190:K190))</f>
        <v>5122881</v>
      </c>
      <c r="M190" s="1091"/>
      <c r="R190" s="2182"/>
      <c r="S190" s="2182"/>
      <c r="T190" s="2182"/>
      <c r="U190" s="350"/>
    </row>
    <row r="191" spans="1:25" ht="14.45" customHeight="1" x14ac:dyDescent="0.15">
      <c r="D191" s="2200" t="s">
        <v>478</v>
      </c>
      <c r="E191" s="1087" t="s">
        <v>1189</v>
      </c>
      <c r="F191" s="1086">
        <f>IF('事業所損益管理(H29.9～H30.8)収支計画表'!F159="","",'事業所損益管理(H29.9～H30.8)収支計画表'!F159)</f>
        <v>1400000</v>
      </c>
      <c r="G191" s="1085">
        <f>IF('事業所損益管理(H29.9～H30.8)収支計画表'!G159="","",'事業所損益管理(H29.9～H30.8)収支計画表'!G159)</f>
        <v>-3200000</v>
      </c>
      <c r="H191" s="1085">
        <f>IF('事業所損益管理(H29.9～H30.8)収支計画表'!H159="","",'事業所損益管理(H29.9～H30.8)収支計画表'!H159)</f>
        <v>1500000</v>
      </c>
      <c r="I191" s="1248">
        <f>IF('事業所損益管理(H29.9～H30.8)収支計画表'!I159="","",'事業所損益管理(H29.9～H30.8)収支計画表'!I159)</f>
        <v>1400000</v>
      </c>
      <c r="J191" s="1085" t="e">
        <f>IF('事業所損益管理(H29.9～H30.8)収支計画表'!#REF!="","",'事業所損益管理(H29.9～H30.8)収支計画表'!#REF!)</f>
        <v>#REF!</v>
      </c>
      <c r="K191" s="1253">
        <f>IF('事業所損益管理(H29.9～H30.8)収支計画表'!K159="","",'事業所損益管理(H29.9～H30.8)収支計画表'!K159)</f>
        <v>1400000</v>
      </c>
      <c r="L191" s="1257">
        <f t="array" ref="L191">SUM(IF(ISNUMBER(F192:K192),F191:K191))</f>
        <v>2500000</v>
      </c>
      <c r="M191" s="1091"/>
      <c r="R191" s="1063" t="s">
        <v>1152</v>
      </c>
      <c r="S191" s="405"/>
      <c r="T191" s="350"/>
      <c r="U191" s="350"/>
    </row>
    <row r="192" spans="1:25" x14ac:dyDescent="0.15">
      <c r="D192" s="2200"/>
      <c r="E192" s="1090" t="s">
        <v>1188</v>
      </c>
      <c r="F192" s="1089">
        <f>IF('事業所損益管理(H29.9～H30.8)収支計画表'!F160="","",'事業所損益管理(H29.9～H30.8)収支計画表'!F160)</f>
        <v>1176041</v>
      </c>
      <c r="G192" s="1088">
        <f>IF('事業所損益管理(H29.9～H30.8)収支計画表'!G160="","",'事業所損益管理(H29.9～H30.8)収支計画表'!G160)</f>
        <v>183353</v>
      </c>
      <c r="H192" s="1088">
        <f>IF('事業所損益管理(H29.9～H30.8)収支計画表'!H160="","",'事業所損益管理(H29.9～H30.8)収支計画表'!H160)</f>
        <v>-200186</v>
      </c>
      <c r="I192" s="1247">
        <f>IF('事業所損益管理(H29.9～H30.8)収支計画表'!I160="","",'事業所損益管理(H29.9～H30.8)収支計画表'!I160)</f>
        <v>-249857</v>
      </c>
      <c r="J192" s="1088" t="e">
        <f>IF('事業所損益管理(H29.9～H30.8)収支計画表'!#REF!="","",'事業所損益管理(H29.9～H30.8)収支計画表'!#REF!)</f>
        <v>#REF!</v>
      </c>
      <c r="K192" s="1252">
        <f>IF('事業所損益管理(H29.9～H30.8)収支計画表'!K160="","",'事業所損益管理(H29.9～H30.8)収支計画表'!K160)</f>
        <v>1563247</v>
      </c>
      <c r="L192" s="1256">
        <f t="array" ref="L192">SUM(IF(ISNUMBER(F192:K192),F192:K192))</f>
        <v>2472598</v>
      </c>
      <c r="M192" s="1091"/>
      <c r="R192" s="1064">
        <v>1</v>
      </c>
      <c r="S192" s="1065" t="s">
        <v>1154</v>
      </c>
      <c r="T192" s="413" t="s">
        <v>1159</v>
      </c>
      <c r="U192" s="350"/>
    </row>
    <row r="193" spans="4:21" ht="14.45" customHeight="1" x14ac:dyDescent="0.15">
      <c r="D193" s="2200" t="s">
        <v>479</v>
      </c>
      <c r="E193" s="1087" t="s">
        <v>1189</v>
      </c>
      <c r="F193" s="1086">
        <f>IF('事業所損益管理(H29.9～H30.8)収支計画表'!F161="","",'事業所損益管理(H29.9～H30.8)収支計画表'!F161)</f>
        <v>1200000</v>
      </c>
      <c r="G193" s="1085">
        <f>IF('事業所損益管理(H29.9～H30.8)収支計画表'!G161="","",'事業所損益管理(H29.9～H30.8)収支計画表'!G161)</f>
        <v>-1500000</v>
      </c>
      <c r="H193" s="1085">
        <f>IF('事業所損益管理(H29.9～H30.8)収支計画表'!H161="","",'事業所損益管理(H29.9～H30.8)収支計画表'!H161)</f>
        <v>1400000</v>
      </c>
      <c r="I193" s="1248">
        <f>IF('事業所損益管理(H29.9～H30.8)収支計画表'!I161="","",'事業所損益管理(H29.9～H30.8)収支計画表'!I161)</f>
        <v>1400000</v>
      </c>
      <c r="J193" s="1085" t="e">
        <f>IF('事業所損益管理(H29.9～H30.8)収支計画表'!#REF!="","",'事業所損益管理(H29.9～H30.8)収支計画表'!#REF!)</f>
        <v>#REF!</v>
      </c>
      <c r="K193" s="1253">
        <f>IF('事業所損益管理(H29.9～H30.8)収支計画表'!K161="","",'事業所損益管理(H29.9～H30.8)収支計画表'!K161)</f>
        <v>1650000</v>
      </c>
      <c r="L193" s="1257">
        <f t="array" ref="L193">SUM(IF(ISNUMBER(F194:K194),F193:K193))</f>
        <v>4150000</v>
      </c>
      <c r="M193" s="1091"/>
      <c r="R193" s="1064">
        <v>0</v>
      </c>
      <c r="S193" s="1065" t="s">
        <v>1155</v>
      </c>
      <c r="T193" s="413" t="s">
        <v>1163</v>
      </c>
      <c r="U193" s="350"/>
    </row>
    <row r="194" spans="4:21" ht="14.45" customHeight="1" x14ac:dyDescent="0.15">
      <c r="D194" s="2200"/>
      <c r="E194" s="1090" t="s">
        <v>1188</v>
      </c>
      <c r="F194" s="1089">
        <f>IF('事業所損益管理(H29.9～H30.8)収支計画表'!F162="","",'事業所損益管理(H29.9～H30.8)収支計画表'!F162)</f>
        <v>1168773</v>
      </c>
      <c r="G194" s="1088">
        <f>IF('事業所損益管理(H29.9～H30.8)収支計画表'!G162="","",'事業所損益管理(H29.9～H30.8)収支計画表'!G162)</f>
        <v>-471636</v>
      </c>
      <c r="H194" s="1088">
        <f>IF('事業所損益管理(H29.9～H30.8)収支計画表'!H162="","",'事業所損益管理(H29.9～H30.8)収支計画表'!H162)</f>
        <v>996248</v>
      </c>
      <c r="I194" s="1247">
        <f>IF('事業所損益管理(H29.9～H30.8)収支計画表'!I162="","",'事業所損益管理(H29.9～H30.8)収支計画表'!I162)</f>
        <v>1285463</v>
      </c>
      <c r="J194" s="1088" t="e">
        <f>IF('事業所損益管理(H29.9～H30.8)収支計画表'!#REF!="","",'事業所損益管理(H29.9～H30.8)収支計画表'!#REF!)</f>
        <v>#REF!</v>
      </c>
      <c r="K194" s="1252">
        <f>IF('事業所損益管理(H29.9～H30.8)収支計画表'!K162="","",'事業所損益管理(H29.9～H30.8)収支計画表'!K162)</f>
        <v>775245</v>
      </c>
      <c r="L194" s="1256">
        <f t="array" ref="L194">SUM(IF(ISNUMBER(F194:K194),F194:K194))</f>
        <v>3754093</v>
      </c>
      <c r="M194" s="1091"/>
      <c r="R194" s="1064">
        <v>-1</v>
      </c>
      <c r="S194" s="1063" t="s">
        <v>1156</v>
      </c>
      <c r="T194" s="413" t="s">
        <v>1160</v>
      </c>
      <c r="U194" s="350"/>
    </row>
    <row r="195" spans="4:21" ht="14.45" customHeight="1" x14ac:dyDescent="0.15">
      <c r="D195" s="2200" t="s">
        <v>1191</v>
      </c>
      <c r="E195" s="1087" t="s">
        <v>1189</v>
      </c>
      <c r="F195" s="1086">
        <f>IF('事業所損益管理(H29.9～H30.8)収支計画表'!F163="","",'事業所損益管理(H29.9～H30.8)収支計画表'!F163)</f>
        <v>0</v>
      </c>
      <c r="G195" s="1085">
        <f>IF('事業所損益管理(H29.9～H30.8)収支計画表'!G163="","",'事業所損益管理(H29.9～H30.8)収支計画表'!G163)</f>
        <v>-2434593</v>
      </c>
      <c r="H195" s="1085">
        <f>IF('事業所損益管理(H29.9～H30.8)収支計画表'!H163="","",'事業所損益管理(H29.9～H30.8)収支計画表'!H163)</f>
        <v>-2227593</v>
      </c>
      <c r="I195" s="1248">
        <f>IF('事業所損益管理(H29.9～H30.8)収支計画表'!I163="","",'事業所損益管理(H29.9～H30.8)収支計画表'!I163)</f>
        <v>-2215593</v>
      </c>
      <c r="J195" s="1085" t="e">
        <f>IF('事業所損益管理(H29.9～H30.8)収支計画表'!#REF!="","",'事業所損益管理(H29.9～H30.8)収支計画表'!#REF!)</f>
        <v>#REF!</v>
      </c>
      <c r="K195" s="1253">
        <f>IF('事業所損益管理(H29.9～H30.8)収支計画表'!K163="","",'事業所損益管理(H29.9～H30.8)収支計画表'!K163)</f>
        <v>-500000</v>
      </c>
      <c r="L195" s="1257" t="e">
        <f t="array" ref="L195">SUM(IF(ISNUMBER(F196:K196),F195:K195))</f>
        <v>#REF!</v>
      </c>
      <c r="M195" s="1091"/>
      <c r="R195" s="405"/>
      <c r="S195" s="405"/>
      <c r="T195" s="350"/>
      <c r="U195" s="350"/>
    </row>
    <row r="196" spans="4:21" ht="14.45" customHeight="1" x14ac:dyDescent="0.15">
      <c r="D196" s="2200"/>
      <c r="E196" s="1090" t="s">
        <v>1188</v>
      </c>
      <c r="F196" s="1089">
        <f>IF('事業所損益管理(H29.9～H30.8)収支計画表'!F164="","",'事業所損益管理(H29.9～H30.8)収支計画表'!F164)</f>
        <v>-1085183</v>
      </c>
      <c r="G196" s="1088">
        <f>IF('事業所損益管理(H29.9～H30.8)収支計画表'!G164="","",'事業所損益管理(H29.9～H30.8)収支計画表'!G164)</f>
        <v>-2104015</v>
      </c>
      <c r="H196" s="1088">
        <f>IF('事業所損益管理(H29.9～H30.8)収支計画表'!H164="","",'事業所損益管理(H29.9～H30.8)収支計画表'!H164)</f>
        <v>-1185486</v>
      </c>
      <c r="I196" s="1247">
        <f>IF('事業所損益管理(H29.9～H30.8)収支計画表'!I164="","",'事業所損益管理(H29.9～H30.8)収支計画表'!I164)</f>
        <v>-1295263</v>
      </c>
      <c r="J196" s="1088">
        <f>IF('事業所損益管理(H29.9～H30.8)収支計画表'!J158="","",'事業所損益管理(H29.9～H30.8)収支計画表'!J158)</f>
        <v>2580715</v>
      </c>
      <c r="K196" s="1252">
        <f>IF('事業所損益管理(H29.9～H30.8)収支計画表'!K164="","",'事業所損益管理(H29.9～H30.8)収支計画表'!K164)</f>
        <v>-409642</v>
      </c>
      <c r="L196" s="1256">
        <f t="array" ref="L196">SUM(IF(ISNUMBER(F196:K196),F196:K196))</f>
        <v>-3498874</v>
      </c>
      <c r="M196" s="1091"/>
      <c r="R196" s="1063" t="s">
        <v>1153</v>
      </c>
      <c r="S196" s="350"/>
      <c r="T196" s="350"/>
      <c r="U196" s="350"/>
    </row>
    <row r="197" spans="4:21" ht="14.45" customHeight="1" x14ac:dyDescent="0.15">
      <c r="D197" s="2200" t="s">
        <v>1190</v>
      </c>
      <c r="E197" s="1087" t="s">
        <v>1189</v>
      </c>
      <c r="F197" s="1086" t="str">
        <f>IF('事業所損益管理(H29.9～H30.8)収支計画表'!F165="","",'事業所損益管理(H29.9～H30.8)収支計画表'!F165)</f>
        <v/>
      </c>
      <c r="G197" s="1085" t="str">
        <f>IF('事業所損益管理(H29.9～H30.8)収支計画表'!G165="","",'事業所損益管理(H29.9～H30.8)収支計画表'!G165)</f>
        <v/>
      </c>
      <c r="H197" s="1085" t="str">
        <f>IF('事業所損益管理(H29.9～H30.8)収支計画表'!H165="","",'事業所損益管理(H29.9～H30.8)収支計画表'!H165)</f>
        <v/>
      </c>
      <c r="I197" s="1248" t="str">
        <f>IF('事業所損益管理(H29.9～H30.8)収支計画表'!I165="","",'事業所損益管理(H29.9～H30.8)収支計画表'!I165)</f>
        <v/>
      </c>
      <c r="J197" s="1085" t="e">
        <f>IF('事業所損益管理(H29.9～H30.8)収支計画表'!#REF!="","",'事業所損益管理(H29.9～H30.8)収支計画表'!#REF!)</f>
        <v>#REF!</v>
      </c>
      <c r="K197" s="1253">
        <f>IF('事業所損益管理(H29.9～H30.8)収支計画表'!K165="","",'事業所損益管理(H29.9～H30.8)収支計画表'!K165)</f>
        <v>-1110000</v>
      </c>
      <c r="L197" s="1257">
        <f t="array" ref="L197">SUM(IF(ISNUMBER(F198:K198),F197:K197))</f>
        <v>-1110000</v>
      </c>
      <c r="M197" s="1091"/>
      <c r="R197" s="1064">
        <v>1</v>
      </c>
      <c r="S197" s="1065" t="s">
        <v>1157</v>
      </c>
      <c r="T197" s="413" t="s">
        <v>1161</v>
      </c>
      <c r="U197" s="350"/>
    </row>
    <row r="198" spans="4:21" ht="14.45" customHeight="1" x14ac:dyDescent="0.15">
      <c r="D198" s="2200"/>
      <c r="E198" s="1090" t="s">
        <v>1188</v>
      </c>
      <c r="F198" s="1089" t="str">
        <f>IF('事業所損益管理(H29.9～H30.8)収支計画表'!F166="","",'事業所損益管理(H29.9～H30.8)収支計画表'!F166)</f>
        <v/>
      </c>
      <c r="G198" s="1088" t="str">
        <f>IF('事業所損益管理(H29.9～H30.8)収支計画表'!G166="","",'事業所損益管理(H29.9～H30.8)収支計画表'!G166)</f>
        <v/>
      </c>
      <c r="H198" s="1088" t="str">
        <f>IF('事業所損益管理(H29.9～H30.8)収支計画表'!H166="","",'事業所損益管理(H29.9～H30.8)収支計画表'!H166)</f>
        <v/>
      </c>
      <c r="I198" s="1247" t="str">
        <f>IF('事業所損益管理(H29.9～H30.8)収支計画表'!I166="","",'事業所損益管理(H29.9～H30.8)収支計画表'!I166)</f>
        <v/>
      </c>
      <c r="J198" s="1088" t="e">
        <f>IF('事業所損益管理(H29.9～H30.8)収支計画表'!#REF!="","",'事業所損益管理(H29.9～H30.8)収支計画表'!#REF!)</f>
        <v>#REF!</v>
      </c>
      <c r="K198" s="1252">
        <f>IF('事業所損益管理(H29.9～H30.8)収支計画表'!K166="","",'事業所損益管理(H29.9～H30.8)収支計画表'!K166)</f>
        <v>-1504072</v>
      </c>
      <c r="L198" s="1256">
        <f t="array" ref="L198">SUM(IF(ISNUMBER(F198:K198),F198:K198))</f>
        <v>-1504072</v>
      </c>
      <c r="M198" s="1091"/>
      <c r="R198" s="1064">
        <v>0</v>
      </c>
      <c r="S198" s="1065" t="s">
        <v>1158</v>
      </c>
      <c r="T198" s="413" t="s">
        <v>1162</v>
      </c>
      <c r="U198" s="350"/>
    </row>
    <row r="199" spans="4:21" ht="14.45" customHeight="1" x14ac:dyDescent="0.15">
      <c r="D199" s="2200" t="s">
        <v>358</v>
      </c>
      <c r="E199" s="1087" t="s">
        <v>1189</v>
      </c>
      <c r="F199" s="1086">
        <f>IF('事業所損益管理(H29.9～H30.8)収支計画表'!F167="","",'事業所損益管理(H29.9～H30.8)収支計画表'!F167)</f>
        <v>200000</v>
      </c>
      <c r="G199" s="1085">
        <f>IF('事業所損益管理(H29.9～H30.8)収支計画表'!G167="","",'事業所損益管理(H29.9～H30.8)収支計画表'!G167)</f>
        <v>-280000</v>
      </c>
      <c r="H199" s="1085">
        <f>IF('事業所損益管理(H29.9～H30.8)収支計画表'!H167="","",'事業所損益管理(H29.9～H30.8)収支計画表'!H167)</f>
        <v>240000</v>
      </c>
      <c r="I199" s="1248">
        <f>IF('事業所損益管理(H29.9～H30.8)収支計画表'!I167="","",'事業所損益管理(H29.9～H30.8)収支計画表'!I167)</f>
        <v>260000</v>
      </c>
      <c r="J199" s="1085" t="e">
        <f>IF('事業所損益管理(H29.9～H30.8)収支計画表'!#REF!="","",'事業所損益管理(H29.9～H30.8)収支計画表'!#REF!)</f>
        <v>#REF!</v>
      </c>
      <c r="K199" s="1253">
        <f>IF('事業所損益管理(H29.9～H30.8)収支計画表'!K167="","",'事業所損益管理(H29.9～H30.8)収支計画表'!K167)</f>
        <v>350000</v>
      </c>
      <c r="L199" s="1257">
        <f t="array" ref="L199">SUM(IF(ISNUMBER(F200:K200),F199:K199))</f>
        <v>770000</v>
      </c>
      <c r="M199" s="1091"/>
      <c r="R199" s="1064">
        <v>-1</v>
      </c>
      <c r="S199" s="1063" t="s">
        <v>1158</v>
      </c>
      <c r="T199" s="413" t="s">
        <v>1164</v>
      </c>
      <c r="U199" s="405"/>
    </row>
    <row r="200" spans="4:21" ht="14.45" customHeight="1" x14ac:dyDescent="0.15">
      <c r="D200" s="2200"/>
      <c r="E200" s="1090" t="s">
        <v>1188</v>
      </c>
      <c r="F200" s="1089">
        <f>IF('事業所損益管理(H29.9～H30.8)収支計画表'!F168="","",'事業所損益管理(H29.9～H30.8)収支計画表'!F168)</f>
        <v>114589</v>
      </c>
      <c r="G200" s="1088">
        <f>IF('事業所損益管理(H29.9～H30.8)収支計画表'!G168="","",'事業所損益管理(H29.9～H30.8)収支計画表'!G168)</f>
        <v>-200960</v>
      </c>
      <c r="H200" s="1088">
        <f>IF('事業所損益管理(H29.9～H30.8)収支計画表'!H168="","",'事業所損益管理(H29.9～H30.8)収支計画表'!H168)</f>
        <v>177636</v>
      </c>
      <c r="I200" s="1247">
        <f>IF('事業所損益管理(H29.9～H30.8)収支計画表'!I168="","",'事業所損益管理(H29.9～H30.8)収支計画表'!I168)</f>
        <v>302986</v>
      </c>
      <c r="J200" s="1088" t="e">
        <f>IF('事業所損益管理(H29.9～H30.8)収支計画表'!#REF!="","",'事業所損益管理(H29.9～H30.8)収支計画表'!#REF!)</f>
        <v>#REF!</v>
      </c>
      <c r="K200" s="1252">
        <f>IF('事業所損益管理(H29.9～H30.8)収支計画表'!K168="","",'事業所損益管理(H29.9～H30.8)収支計画表'!K168)</f>
        <v>648364</v>
      </c>
      <c r="L200" s="1256">
        <f t="array" ref="L200">SUM(IF(ISNUMBER(F200:K200),F200:K200))</f>
        <v>1042615</v>
      </c>
      <c r="M200" s="1091"/>
    </row>
    <row r="201" spans="4:21" x14ac:dyDescent="0.15">
      <c r="D201" s="2200" t="s">
        <v>359</v>
      </c>
      <c r="E201" s="1087" t="s">
        <v>1189</v>
      </c>
      <c r="F201" s="1086">
        <f>IF('事業所損益管理(H29.9～H30.8)収支計画表'!F169="","",'事業所損益管理(H29.9～H30.8)収支計画表'!F169)</f>
        <v>300000</v>
      </c>
      <c r="G201" s="1085">
        <f>IF('事業所損益管理(H29.9～H30.8)収支計画表'!G169="","",'事業所損益管理(H29.9～H30.8)収支計画表'!G169)</f>
        <v>-50000</v>
      </c>
      <c r="H201" s="1085">
        <f>IF('事業所損益管理(H29.9～H30.8)収支計画表'!H169="","",'事業所損益管理(H29.9～H30.8)収支計画表'!H169)</f>
        <v>300000</v>
      </c>
      <c r="I201" s="1248">
        <f>IF('事業所損益管理(H29.9～H30.8)収支計画表'!I169="","",'事業所損益管理(H29.9～H30.8)収支計画表'!I169)</f>
        <v>300000</v>
      </c>
      <c r="J201" s="1085" t="e">
        <f>IF('事業所損益管理(H29.9～H30.8)収支計画表'!#REF!="","",'事業所損益管理(H29.9～H30.8)収支計画表'!#REF!)</f>
        <v>#REF!</v>
      </c>
      <c r="K201" s="1253">
        <f>IF('事業所損益管理(H29.9～H30.8)収支計画表'!K169="","",'事業所損益管理(H29.9～H30.8)収支計画表'!K169)</f>
        <v>-150000</v>
      </c>
      <c r="L201" s="1257">
        <f t="array" ref="L201">SUM(IF(ISNUMBER(F202:K202),F201:K201))</f>
        <v>700000</v>
      </c>
      <c r="M201" s="1091"/>
    </row>
    <row r="202" spans="4:21" x14ac:dyDescent="0.15">
      <c r="D202" s="2200"/>
      <c r="E202" s="1090" t="s">
        <v>1188</v>
      </c>
      <c r="F202" s="1089">
        <f>IF('事業所損益管理(H29.9～H30.8)収支計画表'!F170="","",'事業所損益管理(H29.9～H30.8)収支計画表'!F170)</f>
        <v>-196756</v>
      </c>
      <c r="G202" s="1088">
        <f>IF('事業所損益管理(H29.9～H30.8)収支計画表'!G170="","",'事業所損益管理(H29.9～H30.8)収支計画表'!G170)</f>
        <v>-989728</v>
      </c>
      <c r="H202" s="1088">
        <f>IF('事業所損益管理(H29.9～H30.8)収支計画表'!H170="","",'事業所損益管理(H29.9～H30.8)収支計画表'!H170)</f>
        <v>-1034393</v>
      </c>
      <c r="I202" s="1247">
        <f>IF('事業所損益管理(H29.9～H30.8)収支計画表'!I170="","",'事業所損益管理(H29.9～H30.8)収支計画表'!I170)</f>
        <v>-1303891</v>
      </c>
      <c r="J202" s="1088" t="e">
        <f>IF('事業所損益管理(H29.9～H30.8)収支計画表'!#REF!="","",'事業所損益管理(H29.9～H30.8)収支計画表'!#REF!)</f>
        <v>#REF!</v>
      </c>
      <c r="K202" s="1252">
        <f>IF('事業所損益管理(H29.9～H30.8)収支計画表'!K170="","",'事業所損益管理(H29.9～H30.8)収支計画表'!K170)</f>
        <v>0</v>
      </c>
      <c r="L202" s="1256">
        <f t="array" ref="L202">SUM(IF(ISNUMBER(F202:K202),F202:K202))</f>
        <v>-3524768</v>
      </c>
      <c r="M202" s="1091"/>
    </row>
    <row r="203" spans="4:21" hidden="1" outlineLevel="1" x14ac:dyDescent="0.15">
      <c r="D203" s="2199" t="s">
        <v>119</v>
      </c>
      <c r="E203" s="1087" t="s">
        <v>1189</v>
      </c>
      <c r="F203" s="1086">
        <f>IF('事業所損益管理(H29.9～H30.8)収支計画表'!F171="","",'事業所損益管理(H29.9～H30.8)収支計画表'!F171)</f>
        <v>-12000</v>
      </c>
      <c r="G203" s="1085">
        <f>IF('事業所損益管理(H29.9～H30.8)収支計画表'!G171="","",'事業所損益管理(H29.9～H30.8)収支計画表'!G171)</f>
        <v>-52000</v>
      </c>
      <c r="H203" s="1085">
        <f>IF('事業所損益管理(H29.9～H30.8)収支計画表'!H171="","",'事業所損益管理(H29.9～H30.8)収支計画表'!H171)</f>
        <v>-12000</v>
      </c>
      <c r="I203" s="1248">
        <f>IF('事業所損益管理(H29.9～H30.8)収支計画表'!I171="","",'事業所損益管理(H29.9～H30.8)収支計画表'!I171)</f>
        <v>-12000</v>
      </c>
      <c r="J203" s="1085" t="e">
        <f>IF('事業所損益管理(H29.9～H30.8)収支計画表'!#REF!="","",'事業所損益管理(H29.9～H30.8)収支計画表'!#REF!)</f>
        <v>#REF!</v>
      </c>
      <c r="K203" s="1253">
        <f>IF('事業所損益管理(H29.9～H30.8)収支計画表'!K171="","",'事業所損益管理(H29.9～H30.8)収支計画表'!K171)</f>
        <v>-70000</v>
      </c>
      <c r="L203" s="1257">
        <f t="array" ref="L203">SUM(IF(ISNUMBER(F204:K204),F203:K203))</f>
        <v>-158000</v>
      </c>
      <c r="M203" s="1091"/>
    </row>
    <row r="204" spans="4:21" hidden="1" outlineLevel="1" x14ac:dyDescent="0.15">
      <c r="D204" s="2199"/>
      <c r="E204" s="1090" t="s">
        <v>1188</v>
      </c>
      <c r="F204" s="1089">
        <f>IF('事業所損益管理(H29.9～H30.8)収支計画表'!F172="","",'事業所損益管理(H29.9～H30.8)収支計画表'!F172)</f>
        <v>476578</v>
      </c>
      <c r="G204" s="1088">
        <f>IF('事業所損益管理(H29.9～H30.8)収支計画表'!G172="","",'事業所損益管理(H29.9～H30.8)収支計画表'!G172)</f>
        <v>-382963</v>
      </c>
      <c r="H204" s="1088">
        <f>IF('事業所損益管理(H29.9～H30.8)収支計画表'!H172="","",'事業所損益管理(H29.9～H30.8)収支計画表'!H172)</f>
        <v>237097</v>
      </c>
      <c r="I204" s="1247">
        <f>IF('事業所損益管理(H29.9～H30.8)収支計画表'!I172="","",'事業所損益管理(H29.9～H30.8)収支計画表'!I172)</f>
        <v>3628</v>
      </c>
      <c r="J204" s="1088" t="e">
        <f>IF('事業所損益管理(H29.9～H30.8)収支計画表'!#REF!="","",'事業所損益管理(H29.9～H30.8)収支計画表'!#REF!)</f>
        <v>#REF!</v>
      </c>
      <c r="K204" s="1252">
        <f>IF('事業所損益管理(H29.9～H30.8)収支計画表'!K172="","",'事業所損益管理(H29.9～H30.8)収支計画表'!K172)</f>
        <v>143356</v>
      </c>
      <c r="L204" s="1256">
        <f t="array" ref="L204">SUM(IF(ISNUMBER(F204:K204),F204:K204))</f>
        <v>477696</v>
      </c>
    </row>
    <row r="205" spans="4:21" hidden="1" outlineLevel="1" x14ac:dyDescent="0.15">
      <c r="D205" s="2199" t="s">
        <v>360</v>
      </c>
      <c r="E205" s="1087" t="s">
        <v>1189</v>
      </c>
      <c r="F205" s="1086">
        <f>IF('事業所損益管理(H29.9～H30.8)収支計画表'!F173="","",'事業所損益管理(H29.9～H30.8)収支計画表'!F173)</f>
        <v>68000</v>
      </c>
      <c r="G205" s="1085">
        <f>IF('事業所損益管理(H29.9～H30.8)収支計画表'!G173="","",'事業所損益管理(H29.9～H30.8)収支計画表'!G173)</f>
        <v>18000</v>
      </c>
      <c r="H205" s="1085">
        <f>IF('事業所損益管理(H29.9～H30.8)収支計画表'!H173="","",'事業所損益管理(H29.9～H30.8)収支計画表'!H173)</f>
        <v>68000</v>
      </c>
      <c r="I205" s="1248">
        <f>IF('事業所損益管理(H29.9～H30.8)収支計画表'!I173="","",'事業所損益管理(H29.9～H30.8)収支計画表'!I173)</f>
        <v>68000</v>
      </c>
      <c r="J205" s="1085" t="e">
        <f>IF('事業所損益管理(H29.9～H30.8)収支計画表'!#REF!="","",'事業所損益管理(H29.9～H30.8)収支計画表'!#REF!)</f>
        <v>#REF!</v>
      </c>
      <c r="K205" s="1253">
        <f>IF('事業所損益管理(H29.9～H30.8)収支計画表'!K173="","",'事業所損益管理(H29.9～H30.8)収支計画表'!K173)</f>
        <v>80000</v>
      </c>
      <c r="L205" s="1257">
        <f t="array" ref="L205">SUM(IF(ISNUMBER(F206:K206),F205:K205))</f>
        <v>302000</v>
      </c>
    </row>
    <row r="206" spans="4:21" hidden="1" outlineLevel="1" x14ac:dyDescent="0.15">
      <c r="D206" s="2199"/>
      <c r="E206" s="1090" t="s">
        <v>1188</v>
      </c>
      <c r="F206" s="1089">
        <f>IF('事業所損益管理(H29.9～H30.8)収支計画表'!F174="","",'事業所損益管理(H29.9～H30.8)収支計画表'!F174)</f>
        <v>262845</v>
      </c>
      <c r="G206" s="1088">
        <f>IF('事業所損益管理(H29.9～H30.8)収支計画表'!G174="","",'事業所損益管理(H29.9～H30.8)収支計画表'!G174)</f>
        <v>178417</v>
      </c>
      <c r="H206" s="1088">
        <f>IF('事業所損益管理(H29.9～H30.8)収支計画表'!H174="","",'事業所損益管理(H29.9～H30.8)収支計画表'!H174)</f>
        <v>209357</v>
      </c>
      <c r="I206" s="1247">
        <f>IF('事業所損益管理(H29.9～H30.8)収支計画表'!I174="","",'事業所損益管理(H29.9～H30.8)収支計画表'!I174)</f>
        <v>60909</v>
      </c>
      <c r="J206" s="1088" t="e">
        <f>IF('事業所損益管理(H29.9～H30.8)収支計画表'!#REF!="","",'事業所損益管理(H29.9～H30.8)収支計画表'!#REF!)</f>
        <v>#REF!</v>
      </c>
      <c r="K206" s="1252">
        <f>IF('事業所損益管理(H29.9～H30.8)収支計画表'!K174="","",'事業所損益管理(H29.9～H30.8)収支計画表'!K174)</f>
        <v>179596</v>
      </c>
      <c r="L206" s="1256">
        <f t="array" ref="L206">SUM(IF(ISNUMBER(F206:K206),F206:K206))</f>
        <v>891124</v>
      </c>
    </row>
    <row r="207" spans="4:21" ht="13.5" hidden="1" customHeight="1" outlineLevel="1" x14ac:dyDescent="0.15">
      <c r="D207" s="2199" t="s">
        <v>398</v>
      </c>
      <c r="E207" s="1087" t="s">
        <v>1189</v>
      </c>
      <c r="F207" s="1086">
        <f>IF('事業所損益管理(H29.9～H30.8)収支計画表'!F175="","",'事業所損益管理(H29.9～H30.8)収支計画表'!F175)</f>
        <v>-11300</v>
      </c>
      <c r="G207" s="1085">
        <f>IF('事業所損益管理(H29.9～H30.8)収支計画表'!G175="","",'事業所損益管理(H29.9～H30.8)収支計画表'!G175)</f>
        <v>-71800</v>
      </c>
      <c r="H207" s="1085">
        <f>IF('事業所損益管理(H29.9～H30.8)収支計画表'!H175="","",'事業所損益管理(H29.9～H30.8)収支計画表'!H175)</f>
        <v>28200</v>
      </c>
      <c r="I207" s="1248">
        <f>IF('事業所損益管理(H29.9～H30.8)収支計画表'!I175="","",'事業所損益管理(H29.9～H30.8)収支計画表'!I175)</f>
        <v>28200</v>
      </c>
      <c r="J207" s="1085" t="e">
        <f>IF('事業所損益管理(H29.9～H30.8)収支計画表'!#REF!="","",'事業所損益管理(H29.9～H30.8)収支計画表'!#REF!)</f>
        <v>#REF!</v>
      </c>
      <c r="K207" s="1253">
        <f>IF('事業所損益管理(H29.9～H30.8)収支計画表'!K175="","",'事業所損益管理(H29.9～H30.8)収支計画表'!K175)</f>
        <v>150000</v>
      </c>
      <c r="L207" s="1257">
        <f t="array" ref="L207">SUM(IF(ISNUMBER(F208:K208),F207:K207))</f>
        <v>123300</v>
      </c>
    </row>
    <row r="208" spans="4:21" ht="14.25" hidden="1" customHeight="1" outlineLevel="1" x14ac:dyDescent="0.15">
      <c r="D208" s="2199"/>
      <c r="E208" s="1090" t="s">
        <v>1188</v>
      </c>
      <c r="F208" s="1089">
        <f>IF('事業所損益管理(H29.9～H30.8)収支計画表'!F176="","",'事業所損益管理(H29.9～H30.8)収支計画表'!F176)</f>
        <v>1130374</v>
      </c>
      <c r="G208" s="1088">
        <f>IF('事業所損益管理(H29.9～H30.8)収支計画表'!G176="","",'事業所損益管理(H29.9～H30.8)収支計画表'!G176)</f>
        <v>18951</v>
      </c>
      <c r="H208" s="1088">
        <f>IF('事業所損益管理(H29.9～H30.8)収支計画表'!H176="","",'事業所損益管理(H29.9～H30.8)収支計画表'!H176)</f>
        <v>379959</v>
      </c>
      <c r="I208" s="1247">
        <f>IF('事業所損益管理(H29.9～H30.8)収支計画表'!I176="","",'事業所損益管理(H29.9～H30.8)収支計画表'!I176)</f>
        <v>70713</v>
      </c>
      <c r="J208" s="1088" t="e">
        <f>IF('事業所損益管理(H29.9～H30.8)収支計画表'!#REF!="","",'事業所損益管理(H29.9～H30.8)収支計画表'!#REF!)</f>
        <v>#REF!</v>
      </c>
      <c r="K208" s="1252">
        <f>IF('事業所損益管理(H29.9～H30.8)収支計画表'!K176="","",'事業所損益管理(H29.9～H30.8)収支計画表'!K176)</f>
        <v>-254281</v>
      </c>
      <c r="L208" s="1256">
        <f t="array" ref="L208">SUM(IF(ISNUMBER(F208:K208),F208:K208))</f>
        <v>1345716</v>
      </c>
    </row>
    <row r="209" spans="4:17" ht="14.25" customHeight="1" collapsed="1" x14ac:dyDescent="0.15">
      <c r="D209" s="2202" t="s">
        <v>1193</v>
      </c>
      <c r="E209" s="1087" t="s">
        <v>1189</v>
      </c>
      <c r="F209" s="1086">
        <f>IF('事業所損益管理(H29.9～H30.8)収支計画表'!F177="","",'事業所損益管理(H29.9～H30.8)収支計画表'!F177)</f>
        <v>44700</v>
      </c>
      <c r="G209" s="1085">
        <f>IF('事業所損益管理(H29.9～H30.8)収支計画表'!G177="","",'事業所損益管理(H29.9～H30.8)収支計画表'!G177)</f>
        <v>-105800</v>
      </c>
      <c r="H209" s="1085">
        <f>IF('事業所損益管理(H29.9～H30.8)収支計画表'!H177="","",'事業所損益管理(H29.9～H30.8)収支計画表'!H177)</f>
        <v>84200</v>
      </c>
      <c r="I209" s="1248">
        <f>IF('事業所損益管理(H29.9～H30.8)収支計画表'!I177="","",'事業所損益管理(H29.9～H30.8)収支計画表'!I177)</f>
        <v>84200</v>
      </c>
      <c r="J209" s="1085" t="e">
        <f>IF('事業所損益管理(H29.9～H30.8)収支計画表'!#REF!="","",'事業所損益管理(H29.9～H30.8)収支計画表'!#REF!)</f>
        <v>#REF!</v>
      </c>
      <c r="K209" s="1253">
        <f>IF('事業所損益管理(H29.9～H30.8)収支計画表'!K177="","",'事業所損益管理(H29.9～H30.8)収支計画表'!K177)</f>
        <v>160000</v>
      </c>
      <c r="L209" s="1257" t="e">
        <f t="array" ref="L209">SUM(IF(ISNUMBER(F210:K210),F209:K209))</f>
        <v>#REF!</v>
      </c>
    </row>
    <row r="210" spans="4:17" ht="14.25" customHeight="1" x14ac:dyDescent="0.15">
      <c r="D210" s="2200"/>
      <c r="E210" s="1090" t="s">
        <v>1188</v>
      </c>
      <c r="F210" s="1089">
        <f>IF('事業所損益管理(H29.9～H30.8)収支計画表'!F178="","",'事業所損益管理(H29.9～H30.8)収支計画表'!F178)</f>
        <v>1869797</v>
      </c>
      <c r="G210" s="1088">
        <f>IF('事業所損益管理(H29.9～H30.8)収支計画表'!G178="","",'事業所損益管理(H29.9～H30.8)収支計画表'!G178)</f>
        <v>-185595</v>
      </c>
      <c r="H210" s="1088">
        <f>IF('事業所損益管理(H29.9～H30.8)収支計画表'!H178="","",'事業所損益管理(H29.9～H30.8)収支計画表'!H178)</f>
        <v>826413</v>
      </c>
      <c r="I210" s="1247">
        <f>IF('事業所損益管理(H29.9～H30.8)収支計画表'!I178="","",'事業所損益管理(H29.9～H30.8)収支計画表'!I178)</f>
        <v>135250</v>
      </c>
      <c r="J210" s="1088">
        <f>IF('事業所損益管理(H29.9～H30.8)収支計画表'!J160="","",'事業所損益管理(H29.9～H30.8)収支計画表'!J160)</f>
        <v>45622</v>
      </c>
      <c r="K210" s="1252">
        <f>IF('事業所損益管理(H29.9～H30.8)収支計画表'!K178="","",'事業所損益管理(H29.9～H30.8)収支計画表'!K178)</f>
        <v>68671</v>
      </c>
      <c r="L210" s="1256">
        <f t="array" ref="L210">SUM(IF(ISNUMBER(F210:K210),F210:K210))</f>
        <v>2760158</v>
      </c>
    </row>
    <row r="211" spans="4:17" ht="14.25" customHeight="1" x14ac:dyDescent="0.15">
      <c r="D211" s="2200" t="s">
        <v>362</v>
      </c>
      <c r="E211" s="1087" t="s">
        <v>1189</v>
      </c>
      <c r="F211" s="1086">
        <f>IF('事業所損益管理(H29.9～H30.8)収支計画表'!F179="","",'事業所損益管理(H29.9～H30.8)収支計画表'!F179)</f>
        <v>20000</v>
      </c>
      <c r="G211" s="1085">
        <f>IF('事業所損益管理(H29.9～H30.8)収支計画表'!G179="","",'事業所損益管理(H29.9～H30.8)収支計画表'!G179)</f>
        <v>20000</v>
      </c>
      <c r="H211" s="1085">
        <f>IF('事業所損益管理(H29.9～H30.8)収支計画表'!H179="","",'事業所損益管理(H29.9～H30.8)収支計画表'!H179)</f>
        <v>320000</v>
      </c>
      <c r="I211" s="1248">
        <f>IF('事業所損益管理(H29.9～H30.8)収支計画表'!I179="","",'事業所損益管理(H29.9～H30.8)収支計画表'!I179)</f>
        <v>320000</v>
      </c>
      <c r="J211" s="1085" t="e">
        <f>IF('事業所損益管理(H29.9～H30.8)収支計画表'!#REF!="","",'事業所損益管理(H29.9～H30.8)収支計画表'!#REF!)</f>
        <v>#REF!</v>
      </c>
      <c r="K211" s="1253">
        <f>IF('事業所損益管理(H29.9～H30.8)収支計画表'!K179="","",'事業所損益管理(H29.9～H30.8)収支計画表'!K179)</f>
        <v>0</v>
      </c>
      <c r="L211" s="1257">
        <f t="array" ref="L211">SUM(IF(ISNUMBER(F212:K212),F211:K211))</f>
        <v>680000</v>
      </c>
    </row>
    <row r="212" spans="4:17" ht="13.5" customHeight="1" thickBot="1" x14ac:dyDescent="0.2">
      <c r="D212" s="2201"/>
      <c r="E212" s="1084" t="s">
        <v>1188</v>
      </c>
      <c r="F212" s="1083">
        <f>IF('事業所損益管理(H29.9～H30.8)収支計画表'!F180="","",'事業所損益管理(H29.9～H30.8)収支計画表'!F180)</f>
        <v>63010</v>
      </c>
      <c r="G212" s="1082">
        <f>IF('事業所損益管理(H29.9～H30.8)収支計画表'!G180="","",'事業所損益管理(H29.9～H30.8)収支計画表'!G180)</f>
        <v>-75951</v>
      </c>
      <c r="H212" s="1082">
        <f>IF('事業所損益管理(H29.9～H30.8)収支計画表'!H180="","",'事業所損益管理(H29.9～H30.8)収支計画表'!H180)</f>
        <v>85778</v>
      </c>
      <c r="I212" s="1249">
        <f>IF('事業所損益管理(H29.9～H30.8)収支計画表'!I180="","",'事業所損益管理(H29.9～H30.8)収支計画表'!I180)</f>
        <v>76616</v>
      </c>
      <c r="J212" s="1082" t="e">
        <f>IF('事業所損益管理(H29.9～H30.8)収支計画表'!#REF!="","",'事業所損益管理(H29.9～H30.8)収支計画表'!#REF!)</f>
        <v>#REF!</v>
      </c>
      <c r="K212" s="1254" t="str">
        <f>IF('事業所損益管理(H29.9～H30.8)収支計画表'!K180="","",'事業所損益管理(H29.9～H30.8)収支計画表'!K180)</f>
        <v/>
      </c>
      <c r="L212" s="1258">
        <f t="array" ref="L212">SUM(IF(ISNUMBER(F212:K212),F212:K212))</f>
        <v>149453</v>
      </c>
    </row>
    <row r="213" spans="4:17" ht="13.5" customHeight="1" x14ac:dyDescent="0.15"/>
    <row r="214" spans="4:17" ht="13.5" customHeight="1" x14ac:dyDescent="0.15"/>
    <row r="215" spans="4:17" ht="13.5" customHeight="1" x14ac:dyDescent="0.15"/>
    <row r="216" spans="4:17" ht="13.5" customHeight="1" x14ac:dyDescent="0.15"/>
    <row r="217" spans="4:17" ht="13.5" customHeight="1" x14ac:dyDescent="0.15"/>
    <row r="218" spans="4:17" ht="13.5" customHeight="1" x14ac:dyDescent="0.15"/>
    <row r="219" spans="4:17" ht="13.5" customHeight="1" x14ac:dyDescent="0.15"/>
    <row r="220" spans="4:17" ht="13.5" customHeight="1" x14ac:dyDescent="0.15"/>
    <row r="221" spans="4:17" ht="13.5" customHeight="1" x14ac:dyDescent="0.15">
      <c r="Q221" s="413"/>
    </row>
    <row r="222" spans="4:17" ht="14.25" customHeight="1" x14ac:dyDescent="0.15">
      <c r="Q222" s="413"/>
    </row>
    <row r="223" spans="4:17" ht="14.25" customHeight="1" x14ac:dyDescent="0.15"/>
    <row r="224" spans="4:17" ht="13.5" customHeight="1" x14ac:dyDescent="0.15"/>
  </sheetData>
  <mergeCells count="66">
    <mergeCell ref="C1:E1"/>
    <mergeCell ref="C3:C13"/>
    <mergeCell ref="D3:D8"/>
    <mergeCell ref="D9:D13"/>
    <mergeCell ref="C14:C23"/>
    <mergeCell ref="D14:D18"/>
    <mergeCell ref="D19:D23"/>
    <mergeCell ref="C24:C33"/>
    <mergeCell ref="D24:D28"/>
    <mergeCell ref="D29:D33"/>
    <mergeCell ref="C34:C43"/>
    <mergeCell ref="D34:D38"/>
    <mergeCell ref="D39:D43"/>
    <mergeCell ref="C44:C53"/>
    <mergeCell ref="D44:D48"/>
    <mergeCell ref="D49:D53"/>
    <mergeCell ref="C54:C63"/>
    <mergeCell ref="D54:D58"/>
    <mergeCell ref="D59:D63"/>
    <mergeCell ref="C64:C73"/>
    <mergeCell ref="D64:D68"/>
    <mergeCell ref="D69:D73"/>
    <mergeCell ref="C74:C83"/>
    <mergeCell ref="D74:D78"/>
    <mergeCell ref="D79:D83"/>
    <mergeCell ref="C84:C93"/>
    <mergeCell ref="D84:D88"/>
    <mergeCell ref="D89:D93"/>
    <mergeCell ref="C94:C103"/>
    <mergeCell ref="D94:D98"/>
    <mergeCell ref="D99:D103"/>
    <mergeCell ref="C104:C113"/>
    <mergeCell ref="D104:D108"/>
    <mergeCell ref="D109:D113"/>
    <mergeCell ref="C114:C123"/>
    <mergeCell ref="D114:D118"/>
    <mergeCell ref="D119:D123"/>
    <mergeCell ref="C124:C133"/>
    <mergeCell ref="D124:D128"/>
    <mergeCell ref="D129:D133"/>
    <mergeCell ref="C134:C143"/>
    <mergeCell ref="D134:D138"/>
    <mergeCell ref="D139:D143"/>
    <mergeCell ref="R189:T190"/>
    <mergeCell ref="C144:C153"/>
    <mergeCell ref="D144:D148"/>
    <mergeCell ref="D149:D153"/>
    <mergeCell ref="C154:C163"/>
    <mergeCell ref="D154:D158"/>
    <mergeCell ref="D159:D163"/>
    <mergeCell ref="D201:D202"/>
    <mergeCell ref="C164:C165"/>
    <mergeCell ref="C166:C185"/>
    <mergeCell ref="D166:D175"/>
    <mergeCell ref="D176:D185"/>
    <mergeCell ref="D189:D190"/>
    <mergeCell ref="D191:D192"/>
    <mergeCell ref="D193:D194"/>
    <mergeCell ref="D195:D196"/>
    <mergeCell ref="D197:D198"/>
    <mergeCell ref="D199:D200"/>
    <mergeCell ref="D203:D204"/>
    <mergeCell ref="D205:D206"/>
    <mergeCell ref="D207:D208"/>
    <mergeCell ref="D209:D210"/>
    <mergeCell ref="D211:D212"/>
  </mergeCells>
  <phoneticPr fontId="40"/>
  <conditionalFormatting sqref="F9:Q13 F19:Q23 F180:R180 F99:Q103 F89:Q93 F79:Q83 F59:Q63 F49:Q53 F39:Q43 F29:Q33 F119:Q123 F109:Q113 F176:Q179 F181:Q185">
    <cfRule type="expression" dxfId="9" priority="26">
      <formula>AND(F9=0,F$176=0)</formula>
    </cfRule>
  </conditionalFormatting>
  <conditionalFormatting sqref="F149:Q153">
    <cfRule type="expression" dxfId="8" priority="25">
      <formula>AND(F149=0,F$176=0)</formula>
    </cfRule>
  </conditionalFormatting>
  <conditionalFormatting sqref="F164:R164 F159:Q163">
    <cfRule type="expression" dxfId="7" priority="24">
      <formula>AND(F159=0,F$176=0)</formula>
    </cfRule>
  </conditionalFormatting>
  <conditionalFormatting sqref="R192:R194">
    <cfRule type="iconSet" priority="23">
      <iconSet showValue="0">
        <cfvo type="percent" val="0"/>
        <cfvo type="num" val="-1" gte="0"/>
        <cfvo type="num" val="1"/>
      </iconSet>
    </cfRule>
  </conditionalFormatting>
  <conditionalFormatting sqref="R197:R199">
    <cfRule type="iconSet" priority="22">
      <iconSet showValue="0">
        <cfvo type="percent" val="0"/>
        <cfvo type="num" val="-1" gte="0"/>
        <cfvo type="num" val="1"/>
      </iconSet>
    </cfRule>
  </conditionalFormatting>
  <conditionalFormatting sqref="F165:R165">
    <cfRule type="expression" dxfId="6" priority="21">
      <formula>AND(F165=0,F$176=0)</formula>
    </cfRule>
  </conditionalFormatting>
  <conditionalFormatting sqref="F129:Q133">
    <cfRule type="expression" dxfId="5" priority="20">
      <formula>AND(F129=0,F$176=0)</formula>
    </cfRule>
  </conditionalFormatting>
  <conditionalFormatting sqref="F139:Q143">
    <cfRule type="expression" dxfId="4" priority="19">
      <formula>AND(F139=0,F$176=0)</formula>
    </cfRule>
  </conditionalFormatting>
  <conditionalFormatting sqref="F69:Q73">
    <cfRule type="expression" dxfId="3" priority="18">
      <formula>AND(F69=0,F$176=0)</formula>
    </cfRule>
  </conditionalFormatting>
  <conditionalFormatting sqref="R9:R13">
    <cfRule type="iconSet" priority="17">
      <iconSet showValue="0">
        <cfvo type="percent" val="0"/>
        <cfvo type="num" val="-1" gte="0"/>
        <cfvo type="num" val="1"/>
      </iconSet>
    </cfRule>
  </conditionalFormatting>
  <conditionalFormatting sqref="R19:R23 R29:R33 R39:R43 R49:R53 R59:R63 R69:R73 R79:R83 R89:R93 R99:R103 R109:R113 R119:R123 R129:R133 R139:R143 R149:R153 R159:R163">
    <cfRule type="iconSet" priority="16">
      <iconSet showValue="0">
        <cfvo type="percent" val="0"/>
        <cfvo type="num" val="-1" gte="0"/>
        <cfvo type="num" val="1"/>
      </iconSet>
    </cfRule>
  </conditionalFormatting>
  <conditionalFormatting sqref="R176:R179">
    <cfRule type="iconSet" priority="15">
      <iconSet showValue="0">
        <cfvo type="percent" val="0"/>
        <cfvo type="num" val="-1" gte="0"/>
        <cfvo type="num" val="1"/>
      </iconSet>
    </cfRule>
  </conditionalFormatting>
  <conditionalFormatting sqref="R181">
    <cfRule type="iconSet" priority="14">
      <iconSet showValue="0">
        <cfvo type="percent" val="0"/>
        <cfvo type="num" val="-1" gte="0"/>
        <cfvo type="num" val="1"/>
      </iconSet>
    </cfRule>
  </conditionalFormatting>
  <conditionalFormatting sqref="R182:R183">
    <cfRule type="iconSet" priority="13">
      <iconSet showValue="0">
        <cfvo type="percent" val="0"/>
        <cfvo type="num" val="-1" gte="0"/>
        <cfvo type="num" val="1"/>
      </iconSet>
    </cfRule>
  </conditionalFormatting>
  <conditionalFormatting sqref="R184">
    <cfRule type="iconSet" priority="12">
      <iconSet showValue="0">
        <cfvo type="percent" val="0"/>
        <cfvo type="num" val="-1" gte="0"/>
        <cfvo type="num" val="1"/>
      </iconSet>
    </cfRule>
  </conditionalFormatting>
  <conditionalFormatting sqref="R185">
    <cfRule type="iconSet" priority="11">
      <iconSet showValue="0">
        <cfvo type="percent" val="0"/>
        <cfvo type="num" val="-1" gte="0"/>
        <cfvo type="num" val="1"/>
      </iconSet>
    </cfRule>
  </conditionalFormatting>
  <conditionalFormatting sqref="V180">
    <cfRule type="expression" dxfId="2" priority="10">
      <formula>AND(V180=0,V$176=0)</formula>
    </cfRule>
  </conditionalFormatting>
  <conditionalFormatting sqref="V164">
    <cfRule type="expression" dxfId="1" priority="9">
      <formula>AND(V164=0,V$176=0)</formula>
    </cfRule>
  </conditionalFormatting>
  <conditionalFormatting sqref="V165">
    <cfRule type="expression" dxfId="0" priority="8">
      <formula>AND(V165=0,V$176=0)</formula>
    </cfRule>
  </conditionalFormatting>
  <conditionalFormatting sqref="V9:V13">
    <cfRule type="iconSet" priority="7">
      <iconSet showValue="0">
        <cfvo type="percent" val="0"/>
        <cfvo type="num" val="-1" gte="0"/>
        <cfvo type="num" val="1"/>
      </iconSet>
    </cfRule>
  </conditionalFormatting>
  <conditionalFormatting sqref="V19:V23 V29:V33 V39:V43 V49:V53 V59:V63 V69:V73 V79:V83 V89:V93 V99:V103 V109:V113 V119:V123 V129:V133 V139:V143 V149:V153 V159:V163">
    <cfRule type="iconSet" priority="6">
      <iconSet showValue="0">
        <cfvo type="percent" val="0"/>
        <cfvo type="num" val="-1" gte="0"/>
        <cfvo type="num" val="1"/>
      </iconSet>
    </cfRule>
  </conditionalFormatting>
  <conditionalFormatting sqref="V176:V179">
    <cfRule type="iconSet" priority="5">
      <iconSet showValue="0">
        <cfvo type="percent" val="0"/>
        <cfvo type="num" val="-1" gte="0"/>
        <cfvo type="num" val="1"/>
      </iconSet>
    </cfRule>
  </conditionalFormatting>
  <conditionalFormatting sqref="V181">
    <cfRule type="iconSet" priority="4">
      <iconSet showValue="0">
        <cfvo type="percent" val="0"/>
        <cfvo type="num" val="-1" gte="0"/>
        <cfvo type="num" val="1"/>
      </iconSet>
    </cfRule>
  </conditionalFormatting>
  <conditionalFormatting sqref="V182:V183">
    <cfRule type="iconSet" priority="3">
      <iconSet showValue="0">
        <cfvo type="percent" val="0"/>
        <cfvo type="num" val="-1" gte="0"/>
        <cfvo type="num" val="1"/>
      </iconSet>
    </cfRule>
  </conditionalFormatting>
  <conditionalFormatting sqref="V184">
    <cfRule type="iconSet" priority="2">
      <iconSet showValue="0">
        <cfvo type="percent" val="0"/>
        <cfvo type="num" val="-1" gte="0"/>
        <cfvo type="num" val="1"/>
      </iconSet>
    </cfRule>
  </conditionalFormatting>
  <conditionalFormatting sqref="V185">
    <cfRule type="iconSet" priority="1">
      <iconSet showValue="0">
        <cfvo type="percent" val="0"/>
        <cfvo type="num" val="-1" gte="0"/>
        <cfvo type="num" val="1"/>
      </iconSet>
    </cfRule>
  </conditionalFormatting>
  <pageMargins left="0.31496062992125984" right="0.31496062992125984" top="0.55118110236220474" bottom="0.35433070866141736" header="0.31496062992125984" footer="0.31496062992125984"/>
  <pageSetup paperSize="8" scale="54" orientation="portrait" r:id="rId1"/>
  <headerFooter>
    <oddHeader>&amp;L&amp;A&amp;R&amp;D</oddHeader>
    <oddFooter>&amp;L【社外秘】&amp;C&amp;P/&amp;N&amp;R&amp;F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tabColor rgb="FFFF9999"/>
  </sheetPr>
  <dimension ref="A1:R500"/>
  <sheetViews>
    <sheetView workbookViewId="0">
      <pane xSplit="2" ySplit="1" topLeftCell="C20" activePane="bottomRight" state="frozen"/>
      <selection pane="topRight" activeCell="C1" sqref="C1"/>
      <selection pane="bottomLeft" activeCell="A2" sqref="A2"/>
      <selection pane="bottomRight" activeCell="O47" sqref="O47"/>
    </sheetView>
  </sheetViews>
  <sheetFormatPr defaultColWidth="11.125" defaultRowHeight="13.5" x14ac:dyDescent="0.15"/>
  <cols>
    <col min="1" max="1" width="12.25" style="653" bestFit="1" customWidth="1"/>
    <col min="2" max="2" width="11.375" style="744" customWidth="1"/>
    <col min="3" max="18" width="11.125" style="4"/>
  </cols>
  <sheetData>
    <row r="1" spans="1:18" s="702" customFormat="1" x14ac:dyDescent="0.15">
      <c r="A1" s="708" t="s">
        <v>182</v>
      </c>
      <c r="B1" s="708" t="s">
        <v>924</v>
      </c>
      <c r="C1" s="709" t="s">
        <v>819</v>
      </c>
      <c r="D1" s="709" t="s">
        <v>820</v>
      </c>
      <c r="E1" s="709" t="s">
        <v>821</v>
      </c>
      <c r="F1" s="709" t="s">
        <v>966</v>
      </c>
      <c r="G1" s="709" t="s">
        <v>1205</v>
      </c>
      <c r="H1" s="709" t="s">
        <v>341</v>
      </c>
      <c r="I1" s="709" t="s">
        <v>864</v>
      </c>
      <c r="J1" s="709" t="s">
        <v>822</v>
      </c>
      <c r="K1" s="709" t="s">
        <v>823</v>
      </c>
      <c r="L1" s="709" t="s">
        <v>824</v>
      </c>
      <c r="M1" s="709" t="s">
        <v>825</v>
      </c>
      <c r="N1" s="709" t="s">
        <v>826</v>
      </c>
      <c r="O1" s="709" t="s">
        <v>1511</v>
      </c>
      <c r="P1" s="709" t="s">
        <v>827</v>
      </c>
      <c r="Q1" s="709" t="s">
        <v>828</v>
      </c>
      <c r="R1" s="709" t="s">
        <v>866</v>
      </c>
    </row>
    <row r="2" spans="1:18" x14ac:dyDescent="0.15">
      <c r="A2" s="945">
        <v>42614</v>
      </c>
      <c r="B2" s="743" t="s">
        <v>922</v>
      </c>
      <c r="C2" s="643">
        <v>273636</v>
      </c>
      <c r="D2" s="643">
        <v>134172</v>
      </c>
      <c r="E2" s="643">
        <v>80119</v>
      </c>
      <c r="F2" s="643">
        <v>0</v>
      </c>
      <c r="G2" s="643">
        <v>0</v>
      </c>
      <c r="H2" s="643">
        <v>0</v>
      </c>
      <c r="I2" s="643">
        <v>7622</v>
      </c>
      <c r="J2" s="643">
        <v>52046</v>
      </c>
      <c r="K2" s="643">
        <v>53691</v>
      </c>
      <c r="L2" s="643">
        <v>4109</v>
      </c>
      <c r="M2" s="643">
        <v>3268</v>
      </c>
      <c r="N2" s="643">
        <v>0</v>
      </c>
      <c r="O2" s="643">
        <v>0</v>
      </c>
      <c r="P2" s="643">
        <v>16711</v>
      </c>
      <c r="Q2" s="643">
        <v>482843</v>
      </c>
      <c r="R2" s="644">
        <f>IF(A2="","",SUM(C2:Q2))</f>
        <v>1108217</v>
      </c>
    </row>
    <row r="3" spans="1:18" x14ac:dyDescent="0.15">
      <c r="A3" s="945">
        <v>42644</v>
      </c>
      <c r="B3" s="743" t="s">
        <v>922</v>
      </c>
      <c r="C3" s="643">
        <v>182379</v>
      </c>
      <c r="D3" s="643">
        <v>106893</v>
      </c>
      <c r="E3" s="643">
        <v>57584</v>
      </c>
      <c r="F3" s="643">
        <v>0</v>
      </c>
      <c r="G3" s="643">
        <v>0</v>
      </c>
      <c r="H3" s="643">
        <v>0</v>
      </c>
      <c r="I3" s="643">
        <v>8169</v>
      </c>
      <c r="J3" s="643">
        <v>36315</v>
      </c>
      <c r="K3" s="643">
        <v>50202</v>
      </c>
      <c r="L3" s="643">
        <v>3948</v>
      </c>
      <c r="M3" s="643">
        <v>2883</v>
      </c>
      <c r="N3" s="643">
        <v>0</v>
      </c>
      <c r="O3" s="643">
        <v>0</v>
      </c>
      <c r="P3" s="643">
        <v>12649</v>
      </c>
      <c r="Q3" s="643">
        <v>422930</v>
      </c>
      <c r="R3" s="644">
        <f t="shared" ref="R3:R66" si="0">IF(A3="","",SUM(C3:Q3))</f>
        <v>883952</v>
      </c>
    </row>
    <row r="4" spans="1:18" x14ac:dyDescent="0.15">
      <c r="A4" s="945">
        <v>42675</v>
      </c>
      <c r="B4" s="743" t="s">
        <v>922</v>
      </c>
      <c r="C4" s="643">
        <v>138053</v>
      </c>
      <c r="D4" s="643">
        <v>98111</v>
      </c>
      <c r="E4" s="643">
        <v>40196</v>
      </c>
      <c r="F4" s="643">
        <v>0</v>
      </c>
      <c r="G4" s="643">
        <v>0</v>
      </c>
      <c r="H4" s="643">
        <v>0</v>
      </c>
      <c r="I4" s="643">
        <v>8460</v>
      </c>
      <c r="J4" s="643">
        <v>20663</v>
      </c>
      <c r="K4" s="643">
        <v>52303</v>
      </c>
      <c r="L4" s="643">
        <v>4727</v>
      </c>
      <c r="M4" s="643">
        <v>2190</v>
      </c>
      <c r="N4" s="643">
        <v>0</v>
      </c>
      <c r="O4" s="643">
        <v>0</v>
      </c>
      <c r="P4" s="643">
        <v>10666</v>
      </c>
      <c r="Q4" s="643">
        <v>395680</v>
      </c>
      <c r="R4" s="644">
        <f t="shared" si="0"/>
        <v>771049</v>
      </c>
    </row>
    <row r="5" spans="1:18" x14ac:dyDescent="0.15">
      <c r="A5" s="945">
        <v>42705</v>
      </c>
      <c r="B5" s="743" t="s">
        <v>922</v>
      </c>
      <c r="C5" s="643">
        <v>236069</v>
      </c>
      <c r="D5" s="643">
        <f>128707</f>
        <v>128707</v>
      </c>
      <c r="E5" s="643">
        <f>79144</f>
        <v>79144</v>
      </c>
      <c r="F5" s="643">
        <v>0</v>
      </c>
      <c r="G5" s="643">
        <v>0</v>
      </c>
      <c r="H5" s="643">
        <v>0</v>
      </c>
      <c r="I5" s="643">
        <f>9936</f>
        <v>9936</v>
      </c>
      <c r="J5" s="643">
        <v>52550.5</v>
      </c>
      <c r="K5" s="643">
        <f>62541</f>
        <v>62541</v>
      </c>
      <c r="L5" s="643">
        <f>3940</f>
        <v>3940</v>
      </c>
      <c r="M5" s="643">
        <v>942</v>
      </c>
      <c r="N5" s="643">
        <v>0</v>
      </c>
      <c r="O5" s="643">
        <v>0</v>
      </c>
      <c r="P5" s="643">
        <v>21472</v>
      </c>
      <c r="Q5" s="643">
        <f>534225</f>
        <v>534225</v>
      </c>
      <c r="R5" s="644">
        <f t="shared" si="0"/>
        <v>1129526.5</v>
      </c>
    </row>
    <row r="6" spans="1:18" x14ac:dyDescent="0.15">
      <c r="A6" s="945">
        <v>42705</v>
      </c>
      <c r="B6" s="743" t="s">
        <v>60</v>
      </c>
      <c r="C6" s="643">
        <v>0</v>
      </c>
      <c r="D6" s="643">
        <v>30000</v>
      </c>
      <c r="E6" s="643">
        <v>30000</v>
      </c>
      <c r="F6" s="643">
        <v>0</v>
      </c>
      <c r="G6" s="643">
        <v>0</v>
      </c>
      <c r="H6" s="643">
        <v>0</v>
      </c>
      <c r="I6" s="643">
        <v>90000</v>
      </c>
      <c r="J6" s="643">
        <v>0</v>
      </c>
      <c r="K6" s="643">
        <v>120000</v>
      </c>
      <c r="L6" s="643">
        <v>30000</v>
      </c>
      <c r="M6" s="643">
        <v>0</v>
      </c>
      <c r="N6" s="643">
        <v>0</v>
      </c>
      <c r="O6" s="643">
        <v>0</v>
      </c>
      <c r="P6" s="643">
        <v>0</v>
      </c>
      <c r="Q6" s="643">
        <f>5066000+757664</f>
        <v>5823664</v>
      </c>
      <c r="R6" s="644">
        <f t="shared" si="0"/>
        <v>6123664</v>
      </c>
    </row>
    <row r="7" spans="1:18" x14ac:dyDescent="0.15">
      <c r="A7" s="945">
        <v>42736</v>
      </c>
      <c r="B7" s="743" t="s">
        <v>922</v>
      </c>
      <c r="C7" s="643">
        <v>231689</v>
      </c>
      <c r="D7" s="643">
        <v>119892</v>
      </c>
      <c r="E7" s="643">
        <v>82618</v>
      </c>
      <c r="F7" s="643">
        <v>0</v>
      </c>
      <c r="G7" s="643">
        <v>0</v>
      </c>
      <c r="H7" s="643">
        <v>0</v>
      </c>
      <c r="I7" s="643">
        <v>10100</v>
      </c>
      <c r="J7" s="643">
        <v>45731</v>
      </c>
      <c r="K7" s="643">
        <v>56637</v>
      </c>
      <c r="L7" s="643">
        <v>4227</v>
      </c>
      <c r="M7" s="643">
        <v>1013</v>
      </c>
      <c r="N7" s="643">
        <v>0</v>
      </c>
      <c r="O7" s="643">
        <v>0</v>
      </c>
      <c r="P7" s="643">
        <v>34133</v>
      </c>
      <c r="Q7" s="643">
        <v>497726</v>
      </c>
      <c r="R7" s="644">
        <f t="shared" si="0"/>
        <v>1083766</v>
      </c>
    </row>
    <row r="8" spans="1:18" x14ac:dyDescent="0.15">
      <c r="A8" s="945">
        <v>42767</v>
      </c>
      <c r="B8" s="743" t="s">
        <v>922</v>
      </c>
      <c r="C8" s="643">
        <v>270640</v>
      </c>
      <c r="D8" s="643">
        <v>136608</v>
      </c>
      <c r="E8" s="643">
        <v>100480</v>
      </c>
      <c r="F8" s="643">
        <v>0</v>
      </c>
      <c r="G8" s="643">
        <v>0</v>
      </c>
      <c r="H8" s="643">
        <v>0</v>
      </c>
      <c r="I8" s="643">
        <v>10074</v>
      </c>
      <c r="J8" s="643">
        <f>36392+10363</f>
        <v>46755</v>
      </c>
      <c r="K8" s="643">
        <f>38817+19888</f>
        <v>58705</v>
      </c>
      <c r="L8" s="643">
        <v>3761</v>
      </c>
      <c r="M8" s="643">
        <v>1035</v>
      </c>
      <c r="N8" s="643">
        <v>0</v>
      </c>
      <c r="O8" s="643">
        <v>0</v>
      </c>
      <c r="P8" s="643">
        <v>38251</v>
      </c>
      <c r="Q8" s="643">
        <v>484188</v>
      </c>
      <c r="R8" s="644">
        <f t="shared" si="0"/>
        <v>1150497</v>
      </c>
    </row>
    <row r="9" spans="1:18" x14ac:dyDescent="0.15">
      <c r="A9" s="945">
        <v>42795</v>
      </c>
      <c r="B9" s="743" t="s">
        <v>922</v>
      </c>
      <c r="C9" s="643">
        <v>214774</v>
      </c>
      <c r="D9" s="643">
        <f>105840+1152</f>
        <v>106992</v>
      </c>
      <c r="E9" s="643">
        <f>87737+4939</f>
        <v>92676</v>
      </c>
      <c r="F9" s="643">
        <v>0</v>
      </c>
      <c r="G9" s="643">
        <v>0</v>
      </c>
      <c r="H9" s="643">
        <v>0</v>
      </c>
      <c r="I9" s="643">
        <v>10496</v>
      </c>
      <c r="J9" s="643">
        <f>29476+227.25*50</f>
        <v>40838.5</v>
      </c>
      <c r="K9" s="643">
        <f>29476+426*50+3189</f>
        <v>53965</v>
      </c>
      <c r="L9" s="643">
        <f>3380+488</f>
        <v>3868</v>
      </c>
      <c r="M9" s="643">
        <v>1125</v>
      </c>
      <c r="N9" s="643">
        <v>0</v>
      </c>
      <c r="O9" s="643">
        <v>0</v>
      </c>
      <c r="P9" s="643">
        <v>31975</v>
      </c>
      <c r="Q9" s="643">
        <f>444804+64985</f>
        <v>509789</v>
      </c>
      <c r="R9" s="644">
        <f t="shared" si="0"/>
        <v>1066498.5</v>
      </c>
    </row>
    <row r="10" spans="1:18" x14ac:dyDescent="0.15">
      <c r="A10" s="945">
        <v>42826</v>
      </c>
      <c r="B10" s="743" t="s">
        <v>922</v>
      </c>
      <c r="C10" s="643">
        <v>176462</v>
      </c>
      <c r="D10" s="643">
        <f>88633+1841</f>
        <v>90474</v>
      </c>
      <c r="E10" s="643">
        <f>71752+3908</f>
        <v>75660</v>
      </c>
      <c r="F10" s="643">
        <v>0</v>
      </c>
      <c r="G10" s="643">
        <v>0</v>
      </c>
      <c r="H10" s="643">
        <v>0</v>
      </c>
      <c r="I10" s="643">
        <v>79208</v>
      </c>
      <c r="J10" s="643">
        <v>28869</v>
      </c>
      <c r="K10" s="643">
        <f>150119+5228</f>
        <v>155347</v>
      </c>
      <c r="L10" s="643">
        <f>19003+3896</f>
        <v>22899</v>
      </c>
      <c r="M10" s="643">
        <v>0</v>
      </c>
      <c r="N10" s="643">
        <v>0</v>
      </c>
      <c r="O10" s="643">
        <v>0</v>
      </c>
      <c r="P10" s="643">
        <v>24480</v>
      </c>
      <c r="Q10" s="643">
        <f>382921+56002</f>
        <v>438923</v>
      </c>
      <c r="R10" s="644">
        <f t="shared" si="0"/>
        <v>1092322</v>
      </c>
    </row>
    <row r="11" spans="1:18" x14ac:dyDescent="0.15">
      <c r="A11" s="945">
        <v>42856</v>
      </c>
      <c r="B11" s="743" t="s">
        <v>922</v>
      </c>
      <c r="C11" s="643">
        <v>196736</v>
      </c>
      <c r="D11" s="643">
        <f>90500+2070</f>
        <v>92570</v>
      </c>
      <c r="E11" s="643">
        <f>83635+2873</f>
        <v>86508</v>
      </c>
      <c r="F11" s="643">
        <v>0</v>
      </c>
      <c r="G11" s="643">
        <v>0</v>
      </c>
      <c r="H11" s="643">
        <v>0</v>
      </c>
      <c r="I11" s="643">
        <v>80457</v>
      </c>
      <c r="J11" s="643">
        <v>52880</v>
      </c>
      <c r="K11" s="643">
        <f>145335+1653+5227</f>
        <v>152215</v>
      </c>
      <c r="L11" s="643">
        <f>15895+2480</f>
        <v>18375</v>
      </c>
      <c r="M11" s="643">
        <v>0</v>
      </c>
      <c r="N11" s="643">
        <v>3475</v>
      </c>
      <c r="O11" s="643">
        <v>0</v>
      </c>
      <c r="P11" s="643">
        <v>26354</v>
      </c>
      <c r="Q11" s="643">
        <f>57757+403727</f>
        <v>461484</v>
      </c>
      <c r="R11" s="644">
        <f t="shared" si="0"/>
        <v>1171054</v>
      </c>
    </row>
    <row r="12" spans="1:18" x14ac:dyDescent="0.15">
      <c r="A12" s="945">
        <v>42887</v>
      </c>
      <c r="B12" s="743" t="s">
        <v>922</v>
      </c>
      <c r="C12" s="643">
        <v>315869</v>
      </c>
      <c r="D12" s="643">
        <f>135029+2537</f>
        <v>137566</v>
      </c>
      <c r="E12" s="643">
        <f>140517+5749</f>
        <v>146266</v>
      </c>
      <c r="F12" s="643">
        <v>0</v>
      </c>
      <c r="G12" s="643">
        <v>0</v>
      </c>
      <c r="H12" s="643">
        <v>0</v>
      </c>
      <c r="I12" s="643">
        <f>84045+4101</f>
        <v>88146</v>
      </c>
      <c r="J12" s="643">
        <v>0</v>
      </c>
      <c r="K12" s="643">
        <f>161093+11523</f>
        <v>172616</v>
      </c>
      <c r="L12" s="643">
        <f>17765+3004</f>
        <v>20769</v>
      </c>
      <c r="M12" s="643">
        <v>0</v>
      </c>
      <c r="N12" s="643">
        <f>20935+74475</f>
        <v>95410</v>
      </c>
      <c r="O12" s="643">
        <v>0</v>
      </c>
      <c r="P12" s="643">
        <v>37983</v>
      </c>
      <c r="Q12" s="643">
        <f>694589+94562</f>
        <v>789151</v>
      </c>
      <c r="R12" s="644">
        <f t="shared" si="0"/>
        <v>1803776</v>
      </c>
    </row>
    <row r="13" spans="1:18" x14ac:dyDescent="0.15">
      <c r="A13" s="945">
        <v>42887</v>
      </c>
      <c r="B13" s="743" t="s">
        <v>60</v>
      </c>
      <c r="C13" s="643">
        <v>0</v>
      </c>
      <c r="D13" s="643">
        <v>0</v>
      </c>
      <c r="E13" s="643">
        <v>0</v>
      </c>
      <c r="F13" s="643">
        <v>0</v>
      </c>
      <c r="G13" s="643">
        <v>0</v>
      </c>
      <c r="H13" s="643">
        <v>0</v>
      </c>
      <c r="I13" s="643">
        <f>30000</f>
        <v>30000</v>
      </c>
      <c r="J13" s="643">
        <v>0</v>
      </c>
      <c r="K13" s="643">
        <v>0</v>
      </c>
      <c r="L13" s="643">
        <v>0</v>
      </c>
      <c r="M13" s="643">
        <v>0</v>
      </c>
      <c r="N13" s="643">
        <v>0</v>
      </c>
      <c r="O13" s="643">
        <v>0</v>
      </c>
      <c r="P13" s="643">
        <v>0</v>
      </c>
      <c r="Q13" s="643">
        <f>3079000+465599</f>
        <v>3544599</v>
      </c>
      <c r="R13" s="644">
        <f t="shared" si="0"/>
        <v>3574599</v>
      </c>
    </row>
    <row r="14" spans="1:18" x14ac:dyDescent="0.15">
      <c r="A14" s="945">
        <v>42917</v>
      </c>
      <c r="B14" s="743" t="s">
        <v>922</v>
      </c>
      <c r="C14" s="643">
        <v>336505</v>
      </c>
      <c r="D14" s="643">
        <f>138104+2540</f>
        <v>140644</v>
      </c>
      <c r="E14" s="643">
        <f>151201+5758</f>
        <v>156959</v>
      </c>
      <c r="F14" s="643">
        <v>0</v>
      </c>
      <c r="G14" s="643">
        <v>0</v>
      </c>
      <c r="H14" s="643">
        <v>0</v>
      </c>
      <c r="I14" s="643">
        <f>85415+4104</f>
        <v>89519</v>
      </c>
      <c r="J14" s="643">
        <v>0</v>
      </c>
      <c r="K14" s="643">
        <f>172270+10975</f>
        <v>183245</v>
      </c>
      <c r="L14" s="643">
        <f>16476+2997</f>
        <v>19473</v>
      </c>
      <c r="M14" s="643">
        <v>0</v>
      </c>
      <c r="N14" s="643">
        <f>164825+11027</f>
        <v>175852</v>
      </c>
      <c r="O14" s="643">
        <v>0</v>
      </c>
      <c r="P14" s="643">
        <v>40677</v>
      </c>
      <c r="Q14" s="643">
        <f>445000+314242+104068</f>
        <v>863310</v>
      </c>
      <c r="R14" s="644">
        <f t="shared" si="0"/>
        <v>2006184</v>
      </c>
    </row>
    <row r="15" spans="1:18" x14ac:dyDescent="0.15">
      <c r="A15" s="945">
        <v>42948</v>
      </c>
      <c r="B15" s="743" t="s">
        <v>922</v>
      </c>
      <c r="C15" s="643">
        <v>234608</v>
      </c>
      <c r="D15" s="643">
        <f>118659+3029</f>
        <v>121688</v>
      </c>
      <c r="E15" s="643">
        <f>124698+4783</f>
        <v>129481</v>
      </c>
      <c r="F15" s="643">
        <v>0</v>
      </c>
      <c r="G15" s="643">
        <v>0</v>
      </c>
      <c r="H15" s="643">
        <v>0</v>
      </c>
      <c r="I15" s="643">
        <f>87239+3835+30000</f>
        <v>121074</v>
      </c>
      <c r="J15" s="643">
        <v>0</v>
      </c>
      <c r="K15" s="643">
        <f>144773+47345+11249</f>
        <v>203367</v>
      </c>
      <c r="L15" s="643">
        <f>12678+2798</f>
        <v>15476</v>
      </c>
      <c r="M15" s="643">
        <v>0</v>
      </c>
      <c r="N15" s="643">
        <f>59570+119125+11010</f>
        <v>189705</v>
      </c>
      <c r="O15" s="643">
        <v>0</v>
      </c>
      <c r="P15" s="643">
        <v>30297</v>
      </c>
      <c r="Q15" s="643">
        <f>420000+261257+630000+97412</f>
        <v>1408669</v>
      </c>
      <c r="R15" s="644">
        <f t="shared" si="0"/>
        <v>2454365</v>
      </c>
    </row>
    <row r="16" spans="1:18" x14ac:dyDescent="0.15">
      <c r="A16" s="945">
        <v>42979</v>
      </c>
      <c r="B16" s="743" t="s">
        <v>922</v>
      </c>
      <c r="C16" s="643">
        <v>328821</v>
      </c>
      <c r="D16" s="643">
        <f>141636+3595</f>
        <v>145231</v>
      </c>
      <c r="E16" s="643">
        <f>89498+4274</f>
        <v>93772</v>
      </c>
      <c r="F16" s="643">
        <v>0</v>
      </c>
      <c r="G16" s="643">
        <v>0</v>
      </c>
      <c r="H16" s="643">
        <v>0</v>
      </c>
      <c r="I16" s="643">
        <f>85080+3841</f>
        <v>88921</v>
      </c>
      <c r="J16" s="643">
        <v>0</v>
      </c>
      <c r="K16" s="643">
        <f>111575+38650+5740</f>
        <v>155965</v>
      </c>
      <c r="L16" s="643">
        <f>14218+2815</f>
        <v>17033</v>
      </c>
      <c r="M16" s="643">
        <v>0</v>
      </c>
      <c r="N16" s="643">
        <f>49893+108875+10999</f>
        <v>169767</v>
      </c>
      <c r="O16" s="643">
        <v>0</v>
      </c>
      <c r="P16" s="643">
        <v>47383</v>
      </c>
      <c r="Q16" s="643">
        <f>400000+328278+104400</f>
        <v>832678</v>
      </c>
      <c r="R16" s="644">
        <f t="shared" si="0"/>
        <v>1879571</v>
      </c>
    </row>
    <row r="17" spans="1:18" x14ac:dyDescent="0.15">
      <c r="A17" s="945">
        <v>43009</v>
      </c>
      <c r="B17" s="743" t="s">
        <v>922</v>
      </c>
      <c r="C17" s="643">
        <v>293882</v>
      </c>
      <c r="D17" s="643">
        <f>121707+2762</f>
        <v>124469</v>
      </c>
      <c r="E17" s="643">
        <f>214552+8100</f>
        <v>222652</v>
      </c>
      <c r="F17" s="643">
        <v>0</v>
      </c>
      <c r="G17" s="643">
        <v>0</v>
      </c>
      <c r="H17" s="643">
        <v>0</v>
      </c>
      <c r="I17" s="643">
        <f>84255+4107</f>
        <v>88362</v>
      </c>
      <c r="J17" s="643">
        <v>0</v>
      </c>
      <c r="K17" s="643">
        <f>102750+30920+6240</f>
        <v>139910</v>
      </c>
      <c r="L17" s="643">
        <f>15538+2822</f>
        <v>18360</v>
      </c>
      <c r="M17" s="643">
        <v>0</v>
      </c>
      <c r="N17" s="643">
        <f>53455+105075+11755</f>
        <v>170285</v>
      </c>
      <c r="O17" s="643">
        <v>0</v>
      </c>
      <c r="P17" s="643">
        <v>35179</v>
      </c>
      <c r="Q17" s="643">
        <f>407500+258975+95124</f>
        <v>761599</v>
      </c>
      <c r="R17" s="644">
        <f t="shared" si="0"/>
        <v>1854698</v>
      </c>
    </row>
    <row r="18" spans="1:18" x14ac:dyDescent="0.15">
      <c r="A18" s="945">
        <v>43040</v>
      </c>
      <c r="B18" s="743" t="s">
        <v>922</v>
      </c>
      <c r="C18" s="643">
        <v>374057</v>
      </c>
      <c r="D18" s="643">
        <f>164246+4143</f>
        <v>168389</v>
      </c>
      <c r="E18" s="643">
        <f>189624+7291</f>
        <v>196915</v>
      </c>
      <c r="F18" s="643">
        <v>0</v>
      </c>
      <c r="G18" s="643">
        <v>0</v>
      </c>
      <c r="H18" s="643">
        <v>0</v>
      </c>
      <c r="I18" s="643">
        <f>72660+3844</f>
        <v>76504</v>
      </c>
      <c r="J18" s="643">
        <v>0</v>
      </c>
      <c r="K18" s="643">
        <f>106045+38650</f>
        <v>144695</v>
      </c>
      <c r="L18" s="643">
        <f>14630+2818</f>
        <v>17448</v>
      </c>
      <c r="M18" s="643">
        <v>0</v>
      </c>
      <c r="N18" s="643">
        <f>63315+106150+11251</f>
        <v>180716</v>
      </c>
      <c r="O18" s="643">
        <v>0</v>
      </c>
      <c r="P18" s="643">
        <v>9465</v>
      </c>
      <c r="Q18" s="643">
        <f>427500+313789+107023</f>
        <v>848312</v>
      </c>
      <c r="R18" s="644">
        <f t="shared" si="0"/>
        <v>2016501</v>
      </c>
    </row>
    <row r="19" spans="1:18" x14ac:dyDescent="0.15">
      <c r="A19" s="945">
        <v>43070</v>
      </c>
      <c r="B19" s="743" t="s">
        <v>922</v>
      </c>
      <c r="C19" s="643">
        <f>275120+2056+22000</f>
        <v>299176</v>
      </c>
      <c r="D19" s="643">
        <f>113512+5392+49500</f>
        <v>168404</v>
      </c>
      <c r="E19" s="643">
        <f>144266+5627+24000</f>
        <v>173893</v>
      </c>
      <c r="F19" s="643">
        <v>0</v>
      </c>
      <c r="G19" s="643">
        <v>0</v>
      </c>
      <c r="H19" s="643">
        <v>0</v>
      </c>
      <c r="I19" s="643">
        <f>82248+4960+21000</f>
        <v>108208</v>
      </c>
      <c r="J19" s="643">
        <v>0</v>
      </c>
      <c r="K19" s="643">
        <f>112195+38650+31000</f>
        <v>181845</v>
      </c>
      <c r="L19" s="643">
        <f>15620+3258+9750</f>
        <v>28628</v>
      </c>
      <c r="M19" s="643">
        <v>7000</v>
      </c>
      <c r="N19" s="643">
        <f>57055+108300+10687+20000</f>
        <v>196042</v>
      </c>
      <c r="O19" s="643">
        <v>0</v>
      </c>
      <c r="P19" s="643">
        <v>28684</v>
      </c>
      <c r="Q19" s="643">
        <f>447500+243288+102472+59500</f>
        <v>852760</v>
      </c>
      <c r="R19" s="644">
        <f t="shared" si="0"/>
        <v>2044640</v>
      </c>
    </row>
    <row r="20" spans="1:18" x14ac:dyDescent="0.15">
      <c r="A20" s="945">
        <v>43070</v>
      </c>
      <c r="B20" s="743" t="s">
        <v>60</v>
      </c>
      <c r="C20" s="643">
        <v>0</v>
      </c>
      <c r="D20" s="643">
        <v>0</v>
      </c>
      <c r="E20" s="643">
        <v>0</v>
      </c>
      <c r="F20" s="643">
        <v>0</v>
      </c>
      <c r="G20" s="643">
        <v>0</v>
      </c>
      <c r="H20" s="643">
        <v>0</v>
      </c>
      <c r="I20" s="643">
        <v>0</v>
      </c>
      <c r="J20" s="643">
        <v>0</v>
      </c>
      <c r="K20" s="643">
        <v>0</v>
      </c>
      <c r="L20" s="643">
        <v>0</v>
      </c>
      <c r="M20" s="643">
        <v>0</v>
      </c>
      <c r="N20" s="643">
        <v>0</v>
      </c>
      <c r="O20" s="643">
        <v>0</v>
      </c>
      <c r="P20" s="643">
        <v>0</v>
      </c>
      <c r="Q20" s="643">
        <f>8795875+1324095</f>
        <v>10119970</v>
      </c>
      <c r="R20" s="644">
        <f t="shared" si="0"/>
        <v>10119970</v>
      </c>
    </row>
    <row r="21" spans="1:18" x14ac:dyDescent="0.15">
      <c r="A21" s="945">
        <v>43101</v>
      </c>
      <c r="B21" s="743" t="s">
        <v>922</v>
      </c>
      <c r="C21" s="643">
        <f>308470+79300+2263</f>
        <v>390033</v>
      </c>
      <c r="D21" s="643">
        <f>124909+61000+7433</f>
        <v>193342</v>
      </c>
      <c r="E21" s="643">
        <f>163967+48500+7371</f>
        <v>219838</v>
      </c>
      <c r="F21" s="643">
        <v>0</v>
      </c>
      <c r="G21" s="643">
        <v>0</v>
      </c>
      <c r="H21" s="643">
        <v>0</v>
      </c>
      <c r="I21" s="643">
        <f>72660+4117</f>
        <v>76777</v>
      </c>
      <c r="J21" s="643">
        <v>0</v>
      </c>
      <c r="K21" s="643">
        <f>106045+38650</f>
        <v>144695</v>
      </c>
      <c r="L21" s="643">
        <f>14630+3031</f>
        <v>17661</v>
      </c>
      <c r="M21" s="643">
        <v>0</v>
      </c>
      <c r="N21" s="643">
        <f>63315+106150+11865</f>
        <v>181330</v>
      </c>
      <c r="O21" s="643">
        <v>0</v>
      </c>
      <c r="P21" s="643">
        <f>36026+3000</f>
        <v>39026</v>
      </c>
      <c r="Q21" s="643">
        <f>407500+300013+106713+116000</f>
        <v>930226</v>
      </c>
      <c r="R21" s="644">
        <f t="shared" si="0"/>
        <v>2192928</v>
      </c>
    </row>
    <row r="22" spans="1:18" x14ac:dyDescent="0.15">
      <c r="A22" s="945">
        <v>43132</v>
      </c>
      <c r="B22" s="743" t="s">
        <v>922</v>
      </c>
      <c r="C22" s="643">
        <f>275249+1444</f>
        <v>276693</v>
      </c>
      <c r="D22" s="643">
        <f>111847+5764</f>
        <v>117611</v>
      </c>
      <c r="E22" s="643">
        <f>152152+11733</f>
        <v>163885</v>
      </c>
      <c r="F22" s="643">
        <v>0</v>
      </c>
      <c r="G22" s="643">
        <v>0</v>
      </c>
      <c r="H22" s="1484">
        <v>0</v>
      </c>
      <c r="I22" s="1484">
        <f>78608+12888</f>
        <v>91496</v>
      </c>
      <c r="J22" s="1484">
        <v>0</v>
      </c>
      <c r="K22" s="1484">
        <f>104984+38650</f>
        <v>143634</v>
      </c>
      <c r="L22" s="1484">
        <f>12595+3024</f>
        <v>15619</v>
      </c>
      <c r="M22" s="1484">
        <v>0</v>
      </c>
      <c r="N22" s="1484">
        <f>39635+6204</f>
        <v>45839</v>
      </c>
      <c r="O22" s="1484">
        <v>0</v>
      </c>
      <c r="P22" s="643">
        <f>47371+649</f>
        <v>48020</v>
      </c>
      <c r="Q22" s="643">
        <v>701587</v>
      </c>
      <c r="R22" s="644">
        <f t="shared" si="0"/>
        <v>1604384</v>
      </c>
    </row>
    <row r="23" spans="1:18" x14ac:dyDescent="0.15">
      <c r="A23" s="945">
        <v>43160</v>
      </c>
      <c r="B23" s="743" t="s">
        <v>922</v>
      </c>
      <c r="C23" s="643">
        <f>264448+1236</f>
        <v>265684</v>
      </c>
      <c r="D23" s="643">
        <f>104584+1935</f>
        <v>106519</v>
      </c>
      <c r="E23" s="643">
        <f>124696+5257</f>
        <v>129953</v>
      </c>
      <c r="F23" s="643">
        <v>0</v>
      </c>
      <c r="G23" s="643">
        <v>0</v>
      </c>
      <c r="H23" s="1484">
        <v>0</v>
      </c>
      <c r="I23" s="1484">
        <f>82810+10108</f>
        <v>92918</v>
      </c>
      <c r="J23" s="1484">
        <v>0</v>
      </c>
      <c r="K23" s="1484">
        <f>110797+38650</f>
        <v>149447</v>
      </c>
      <c r="L23" s="1484">
        <f>14740+2384</f>
        <v>17124</v>
      </c>
      <c r="M23" s="1484">
        <v>0</v>
      </c>
      <c r="N23" s="1484">
        <f>66058+4705</f>
        <v>70763</v>
      </c>
      <c r="O23" s="1484">
        <v>0</v>
      </c>
      <c r="P23" s="643">
        <v>39019</v>
      </c>
      <c r="Q23" s="643">
        <v>812094</v>
      </c>
      <c r="R23" s="644">
        <f>IF(A23="","",SUM(C23:Q23))</f>
        <v>1683521</v>
      </c>
    </row>
    <row r="24" spans="1:18" x14ac:dyDescent="0.15">
      <c r="A24" s="945">
        <v>43191</v>
      </c>
      <c r="B24" s="743" t="s">
        <v>922</v>
      </c>
      <c r="C24" s="643">
        <f>315735+2060</f>
        <v>317795</v>
      </c>
      <c r="D24" s="643">
        <f>104432+3252</f>
        <v>107684</v>
      </c>
      <c r="E24" s="643">
        <f>151725+6784</f>
        <v>158509</v>
      </c>
      <c r="F24" s="643">
        <v>0</v>
      </c>
      <c r="G24" s="643">
        <v>0</v>
      </c>
      <c r="H24" s="1484">
        <v>0</v>
      </c>
      <c r="I24" s="1484">
        <f>103163+11157</f>
        <v>114320</v>
      </c>
      <c r="J24" s="1484">
        <v>0</v>
      </c>
      <c r="K24" s="1484">
        <f>139077+38650</f>
        <v>177727</v>
      </c>
      <c r="L24" s="1484">
        <f>12843+2377</f>
        <v>15220</v>
      </c>
      <c r="M24" s="1484">
        <v>0</v>
      </c>
      <c r="N24" s="1484">
        <f>32385+4398</f>
        <v>36783</v>
      </c>
      <c r="O24" s="1484">
        <v>0</v>
      </c>
      <c r="P24" s="643">
        <v>32528</v>
      </c>
      <c r="Q24" s="643">
        <v>893308</v>
      </c>
      <c r="R24" s="644">
        <f t="shared" si="0"/>
        <v>1853874</v>
      </c>
    </row>
    <row r="25" spans="1:18" x14ac:dyDescent="0.15">
      <c r="A25" s="945">
        <v>43221</v>
      </c>
      <c r="B25" s="743" t="s">
        <v>922</v>
      </c>
      <c r="C25" s="643">
        <v>235958</v>
      </c>
      <c r="D25" s="643">
        <v>79789</v>
      </c>
      <c r="E25" s="643">
        <v>119876</v>
      </c>
      <c r="F25" s="643">
        <v>0</v>
      </c>
      <c r="G25" s="643">
        <v>0</v>
      </c>
      <c r="H25" s="643">
        <v>0</v>
      </c>
      <c r="I25" s="643">
        <f>99323+11116</f>
        <v>110439</v>
      </c>
      <c r="J25" s="643">
        <v>0</v>
      </c>
      <c r="K25" s="643">
        <f>134825+36610</f>
        <v>171435</v>
      </c>
      <c r="L25" s="643">
        <f>13338+2379</f>
        <v>15717</v>
      </c>
      <c r="M25" s="643">
        <v>0</v>
      </c>
      <c r="N25" s="643">
        <f>43900+43650+7662</f>
        <v>95212</v>
      </c>
      <c r="O25" s="643">
        <v>0</v>
      </c>
      <c r="P25" s="643">
        <v>27966</v>
      </c>
      <c r="Q25" s="643">
        <v>812144</v>
      </c>
      <c r="R25" s="644">
        <f t="shared" si="0"/>
        <v>1668536</v>
      </c>
    </row>
    <row r="26" spans="1:18" x14ac:dyDescent="0.15">
      <c r="A26" s="945">
        <v>43252</v>
      </c>
      <c r="B26" s="743" t="s">
        <v>922</v>
      </c>
      <c r="C26" s="680">
        <f>402731+2053</f>
        <v>404784</v>
      </c>
      <c r="D26" s="680">
        <f>137003+2412</f>
        <v>139415</v>
      </c>
      <c r="E26" s="680">
        <f>205859+8497</f>
        <v>214356</v>
      </c>
      <c r="F26" s="680">
        <v>0</v>
      </c>
      <c r="G26" s="680">
        <v>0</v>
      </c>
      <c r="H26" s="680">
        <v>0</v>
      </c>
      <c r="I26" s="680">
        <f>66653+7448</f>
        <v>74101</v>
      </c>
      <c r="J26" s="680">
        <v>0</v>
      </c>
      <c r="K26" s="680">
        <f>141588+38500+2684</f>
        <v>182772</v>
      </c>
      <c r="L26" s="680">
        <f>14218+2383</f>
        <v>16601</v>
      </c>
      <c r="M26" s="680">
        <v>0</v>
      </c>
      <c r="N26" s="680">
        <f>47140+43650+7698</f>
        <v>98488</v>
      </c>
      <c r="O26" s="680">
        <v>0</v>
      </c>
      <c r="P26" s="680">
        <v>56276</v>
      </c>
      <c r="Q26" s="680">
        <v>1106617</v>
      </c>
      <c r="R26" s="644">
        <f t="shared" si="0"/>
        <v>2293410</v>
      </c>
    </row>
    <row r="27" spans="1:18" x14ac:dyDescent="0.15">
      <c r="A27" s="945">
        <v>43252</v>
      </c>
      <c r="B27" s="743" t="s">
        <v>60</v>
      </c>
      <c r="C27" s="680">
        <v>0</v>
      </c>
      <c r="D27" s="680">
        <v>0</v>
      </c>
      <c r="E27" s="680">
        <v>0</v>
      </c>
      <c r="F27" s="680">
        <v>0</v>
      </c>
      <c r="G27" s="680">
        <v>0</v>
      </c>
      <c r="H27" s="680">
        <v>0</v>
      </c>
      <c r="I27" s="680">
        <v>0</v>
      </c>
      <c r="J27" s="680">
        <v>0</v>
      </c>
      <c r="K27" s="680">
        <v>0</v>
      </c>
      <c r="L27" s="680">
        <v>0</v>
      </c>
      <c r="M27" s="680">
        <v>0</v>
      </c>
      <c r="N27" s="680">
        <v>0</v>
      </c>
      <c r="O27" s="680">
        <v>0</v>
      </c>
      <c r="P27" s="680">
        <v>0</v>
      </c>
      <c r="Q27" s="680">
        <f>4931800+733704</f>
        <v>5665504</v>
      </c>
      <c r="R27" s="644">
        <f t="shared" si="0"/>
        <v>5665504</v>
      </c>
    </row>
    <row r="28" spans="1:18" x14ac:dyDescent="0.15">
      <c r="A28" s="945">
        <v>43282</v>
      </c>
      <c r="B28" s="743" t="s">
        <v>922</v>
      </c>
      <c r="C28" s="643">
        <f>358260+1648</f>
        <v>359908</v>
      </c>
      <c r="D28" s="643">
        <f>130186+2201</f>
        <v>132387</v>
      </c>
      <c r="E28" s="643">
        <f>180839+7493</f>
        <v>188332</v>
      </c>
      <c r="F28" s="680">
        <v>0</v>
      </c>
      <c r="G28" s="680">
        <v>0</v>
      </c>
      <c r="H28" s="680">
        <v>0</v>
      </c>
      <c r="I28" s="643">
        <f>75195+7486</f>
        <v>82681</v>
      </c>
      <c r="J28" s="643">
        <v>0</v>
      </c>
      <c r="K28" s="643">
        <f>118329+38650+2689</f>
        <v>159668</v>
      </c>
      <c r="L28" s="643">
        <f>14273+2383</f>
        <v>16656</v>
      </c>
      <c r="M28" s="643">
        <v>0</v>
      </c>
      <c r="N28" s="643">
        <f>37240+41225+7660</f>
        <v>86125</v>
      </c>
      <c r="O28" s="643">
        <v>0</v>
      </c>
      <c r="P28" s="643">
        <v>40429</v>
      </c>
      <c r="Q28" s="643">
        <v>1058455</v>
      </c>
      <c r="R28" s="644">
        <f t="shared" si="0"/>
        <v>2124641</v>
      </c>
    </row>
    <row r="29" spans="1:18" x14ac:dyDescent="0.15">
      <c r="A29" s="945">
        <v>43313</v>
      </c>
      <c r="B29" s="743" t="s">
        <v>60</v>
      </c>
      <c r="C29" s="680">
        <v>0</v>
      </c>
      <c r="D29" s="680">
        <v>0</v>
      </c>
      <c r="E29" s="680">
        <v>0</v>
      </c>
      <c r="F29" s="680">
        <v>0</v>
      </c>
      <c r="G29" s="680">
        <v>0</v>
      </c>
      <c r="H29" s="680">
        <v>0</v>
      </c>
      <c r="I29" s="680">
        <v>0</v>
      </c>
      <c r="J29" s="680">
        <v>0</v>
      </c>
      <c r="K29" s="680">
        <v>0</v>
      </c>
      <c r="L29" s="680">
        <v>0</v>
      </c>
      <c r="M29" s="680">
        <v>0</v>
      </c>
      <c r="N29" s="680">
        <v>0</v>
      </c>
      <c r="O29" s="680">
        <v>0</v>
      </c>
      <c r="P29" s="680">
        <v>0</v>
      </c>
      <c r="Q29" s="643">
        <v>1150000</v>
      </c>
      <c r="R29" s="644">
        <f t="shared" si="0"/>
        <v>1150000</v>
      </c>
    </row>
    <row r="30" spans="1:18" x14ac:dyDescent="0.15">
      <c r="A30" s="945">
        <v>43313</v>
      </c>
      <c r="B30" s="743" t="s">
        <v>922</v>
      </c>
      <c r="C30" s="643">
        <f>260073+53000+2680</f>
        <v>315753</v>
      </c>
      <c r="D30" s="643">
        <f>104127+17000+2860</f>
        <v>123987</v>
      </c>
      <c r="E30" s="643">
        <f>177276+35280+7144</f>
        <v>219700</v>
      </c>
      <c r="F30" s="643">
        <f>5182+7000</f>
        <v>12182</v>
      </c>
      <c r="G30" s="680">
        <v>0</v>
      </c>
      <c r="H30" s="680">
        <v>0</v>
      </c>
      <c r="I30" s="680">
        <f>66740+7287</f>
        <v>74027</v>
      </c>
      <c r="J30" s="680">
        <v>0</v>
      </c>
      <c r="K30" s="680">
        <f>98350+40475+2685</f>
        <v>141510</v>
      </c>
      <c r="L30" s="680">
        <f>12238+2003</f>
        <v>14241</v>
      </c>
      <c r="M30" s="680">
        <v>0</v>
      </c>
      <c r="N30" s="680">
        <f>50413+43650+7700</f>
        <v>101763</v>
      </c>
      <c r="O30" s="680">
        <v>0</v>
      </c>
      <c r="P30" s="680">
        <v>36985</v>
      </c>
      <c r="Q30" s="643">
        <v>1064740</v>
      </c>
      <c r="R30" s="644">
        <f t="shared" si="0"/>
        <v>2104888</v>
      </c>
    </row>
    <row r="31" spans="1:18" x14ac:dyDescent="0.15">
      <c r="A31" s="945">
        <v>43344</v>
      </c>
      <c r="B31" s="743" t="s">
        <v>922</v>
      </c>
      <c r="C31" s="643">
        <f>278920+1718</f>
        <v>280638</v>
      </c>
      <c r="D31" s="643">
        <f>97362+2549</f>
        <v>99911</v>
      </c>
      <c r="E31" s="643">
        <f>183690+7451</f>
        <v>191141</v>
      </c>
      <c r="F31" s="643">
        <v>8963</v>
      </c>
      <c r="G31" s="643">
        <v>0</v>
      </c>
      <c r="H31" s="643">
        <v>0</v>
      </c>
      <c r="I31" s="643">
        <f>108490+8853</f>
        <v>117343</v>
      </c>
      <c r="J31" s="643">
        <v>0</v>
      </c>
      <c r="K31" s="643">
        <f>99673+40260+3175</f>
        <v>143108</v>
      </c>
      <c r="L31" s="643">
        <f>15070+2014</f>
        <v>17084</v>
      </c>
      <c r="M31" s="643">
        <v>0</v>
      </c>
      <c r="N31" s="643">
        <f>53368+58200+7720</f>
        <v>119288</v>
      </c>
      <c r="O31" s="643">
        <v>0</v>
      </c>
      <c r="P31" s="643">
        <v>31141</v>
      </c>
      <c r="Q31" s="643">
        <v>1087874</v>
      </c>
      <c r="R31" s="644">
        <f t="shared" si="0"/>
        <v>2096491</v>
      </c>
    </row>
    <row r="32" spans="1:18" x14ac:dyDescent="0.15">
      <c r="A32" s="945">
        <v>43374</v>
      </c>
      <c r="B32" s="743" t="s">
        <v>922</v>
      </c>
      <c r="C32" s="643">
        <f>251918+29322</f>
        <v>281240</v>
      </c>
      <c r="D32" s="643">
        <f>87931+2234</f>
        <v>90165</v>
      </c>
      <c r="E32" s="643">
        <f>170421+6845</f>
        <v>177266</v>
      </c>
      <c r="F32" s="643">
        <v>19128</v>
      </c>
      <c r="G32" s="643">
        <v>0</v>
      </c>
      <c r="H32" s="643">
        <v>0</v>
      </c>
      <c r="I32" s="643">
        <f>89595+3928</f>
        <v>93523</v>
      </c>
      <c r="J32" s="643">
        <v>0</v>
      </c>
      <c r="K32" s="643">
        <f>102173+44125+3178</f>
        <v>149476</v>
      </c>
      <c r="L32" s="643">
        <f>15978+2018</f>
        <v>17996</v>
      </c>
      <c r="M32" s="643">
        <v>0</v>
      </c>
      <c r="N32" s="643">
        <f>38400+55775+7722</f>
        <v>101897</v>
      </c>
      <c r="O32" s="643">
        <v>0</v>
      </c>
      <c r="P32" s="643">
        <v>0</v>
      </c>
      <c r="Q32" s="643">
        <v>1110196</v>
      </c>
      <c r="R32" s="644">
        <f t="shared" si="0"/>
        <v>2040887</v>
      </c>
    </row>
    <row r="33" spans="1:18" x14ac:dyDescent="0.15">
      <c r="A33" s="945">
        <v>43405</v>
      </c>
      <c r="B33" s="743" t="s">
        <v>922</v>
      </c>
      <c r="C33" s="643">
        <f>290401+23619</f>
        <v>314020</v>
      </c>
      <c r="D33" s="643">
        <f>104967+2552</f>
        <v>107519</v>
      </c>
      <c r="E33" s="643">
        <f>175949+6846</f>
        <v>182795</v>
      </c>
      <c r="F33" s="643">
        <f>35179</f>
        <v>35179</v>
      </c>
      <c r="G33" s="643">
        <v>0</v>
      </c>
      <c r="H33" s="643">
        <v>0</v>
      </c>
      <c r="I33" s="643">
        <f>81505+3918</f>
        <v>85423</v>
      </c>
      <c r="J33" s="643">
        <v>0</v>
      </c>
      <c r="K33" s="643">
        <f>106443+44125+3171</f>
        <v>153739</v>
      </c>
      <c r="L33" s="643">
        <f>13393+2007</f>
        <v>15400</v>
      </c>
      <c r="M33" s="643">
        <v>0</v>
      </c>
      <c r="N33" s="643">
        <f>33950+7281</f>
        <v>41231</v>
      </c>
      <c r="O33" s="643">
        <v>0</v>
      </c>
      <c r="P33" s="643">
        <v>0</v>
      </c>
      <c r="Q33" s="643">
        <v>1103378</v>
      </c>
      <c r="R33" s="644">
        <f t="shared" si="0"/>
        <v>2038684</v>
      </c>
    </row>
    <row r="34" spans="1:18" x14ac:dyDescent="0.15">
      <c r="A34" s="945">
        <v>43435</v>
      </c>
      <c r="B34" s="743" t="s">
        <v>922</v>
      </c>
      <c r="C34" s="643">
        <f>365621+20061</f>
        <v>385682</v>
      </c>
      <c r="D34" s="643">
        <f>144508+2875</f>
        <v>147383</v>
      </c>
      <c r="E34" s="643">
        <f>189344+7939</f>
        <v>197283</v>
      </c>
      <c r="F34" s="643">
        <v>27757</v>
      </c>
      <c r="G34" s="643">
        <f>4339+560</f>
        <v>4899</v>
      </c>
      <c r="H34" s="643">
        <v>0</v>
      </c>
      <c r="I34" s="643">
        <f>73093+3899</f>
        <v>76992</v>
      </c>
      <c r="J34" s="643">
        <v>0</v>
      </c>
      <c r="K34" s="643">
        <f>110875+40045+3178</f>
        <v>154098</v>
      </c>
      <c r="L34" s="643">
        <f>14960+2014</f>
        <v>16974</v>
      </c>
      <c r="M34" s="643">
        <v>0</v>
      </c>
      <c r="N34" s="643">
        <f>30200+36375</f>
        <v>66575</v>
      </c>
      <c r="O34" s="643">
        <v>0</v>
      </c>
      <c r="P34" s="643">
        <v>0</v>
      </c>
      <c r="Q34" s="643">
        <v>1256020</v>
      </c>
      <c r="R34" s="644">
        <f t="shared" si="0"/>
        <v>2333663</v>
      </c>
    </row>
    <row r="35" spans="1:18" x14ac:dyDescent="0.15">
      <c r="A35" s="945">
        <v>43435</v>
      </c>
      <c r="B35" s="743" t="s">
        <v>60</v>
      </c>
      <c r="C35" s="643">
        <v>0</v>
      </c>
      <c r="D35" s="643">
        <v>0</v>
      </c>
      <c r="E35" s="643">
        <v>0</v>
      </c>
      <c r="F35" s="643">
        <v>0</v>
      </c>
      <c r="G35" s="643">
        <v>0</v>
      </c>
      <c r="H35" s="643">
        <v>0</v>
      </c>
      <c r="I35" s="643">
        <v>0</v>
      </c>
      <c r="J35" s="643">
        <v>0</v>
      </c>
      <c r="K35" s="643">
        <v>0</v>
      </c>
      <c r="L35" s="643">
        <v>0</v>
      </c>
      <c r="M35" s="643">
        <v>0</v>
      </c>
      <c r="N35" s="643">
        <v>0</v>
      </c>
      <c r="O35" s="643">
        <v>0</v>
      </c>
      <c r="P35" s="643">
        <v>0</v>
      </c>
      <c r="Q35" s="643">
        <f>9034115+1362165</f>
        <v>10396280</v>
      </c>
      <c r="R35" s="644">
        <f t="shared" si="0"/>
        <v>10396280</v>
      </c>
    </row>
    <row r="36" spans="1:18" x14ac:dyDescent="0.15">
      <c r="A36" s="945">
        <v>43466</v>
      </c>
      <c r="B36" s="743" t="s">
        <v>922</v>
      </c>
      <c r="C36" s="643">
        <f>360380+21581</f>
        <v>381961</v>
      </c>
      <c r="D36" s="643">
        <f>151236+3194</f>
        <v>154430</v>
      </c>
      <c r="E36" s="643">
        <f>194252+7943</f>
        <v>202195</v>
      </c>
      <c r="F36" s="643">
        <v>29050</v>
      </c>
      <c r="G36" s="643">
        <f>4541+586</f>
        <v>5127</v>
      </c>
      <c r="H36" s="643">
        <v>0</v>
      </c>
      <c r="I36" s="643">
        <f>75783+3911</f>
        <v>79694</v>
      </c>
      <c r="J36" s="643">
        <v>0</v>
      </c>
      <c r="K36" s="643">
        <f>104280+44125+2943</f>
        <v>151348</v>
      </c>
      <c r="L36" s="643">
        <f>14410+2014</f>
        <v>16424</v>
      </c>
      <c r="M36" s="643">
        <v>0</v>
      </c>
      <c r="N36" s="643">
        <f>30600+33950</f>
        <v>64550</v>
      </c>
      <c r="O36" s="643">
        <v>0</v>
      </c>
      <c r="P36" s="643">
        <v>0</v>
      </c>
      <c r="Q36" s="643">
        <v>1304526</v>
      </c>
      <c r="R36" s="644">
        <f t="shared" si="0"/>
        <v>2389305</v>
      </c>
    </row>
    <row r="37" spans="1:18" x14ac:dyDescent="0.15">
      <c r="A37" s="945">
        <v>43497</v>
      </c>
      <c r="B37" s="743" t="s">
        <v>922</v>
      </c>
      <c r="C37" s="643">
        <f>346997+21358</f>
        <v>368355</v>
      </c>
      <c r="D37" s="643">
        <f>139240+3499</f>
        <v>142739</v>
      </c>
      <c r="E37" s="643">
        <f>156570+3064</f>
        <v>159634</v>
      </c>
      <c r="F37" s="643">
        <v>30016</v>
      </c>
      <c r="G37" s="643">
        <f>12334+1793</f>
        <v>14127</v>
      </c>
      <c r="H37" s="643">
        <v>0</v>
      </c>
      <c r="I37" s="643">
        <f>77425+3917</f>
        <v>81342</v>
      </c>
      <c r="J37" s="643">
        <v>0</v>
      </c>
      <c r="K37" s="643">
        <f>115863+43910+3176</f>
        <v>162949</v>
      </c>
      <c r="L37" s="643">
        <f>11220+1998</f>
        <v>13218</v>
      </c>
      <c r="M37" s="643">
        <v>0</v>
      </c>
      <c r="N37" s="643">
        <f>3563+12125</f>
        <v>15688</v>
      </c>
      <c r="O37" s="643">
        <v>19400</v>
      </c>
      <c r="P37" s="643">
        <v>0</v>
      </c>
      <c r="Q37" s="643">
        <v>1111897</v>
      </c>
      <c r="R37" s="644">
        <f t="shared" si="0"/>
        <v>2119365</v>
      </c>
    </row>
    <row r="38" spans="1:18" x14ac:dyDescent="0.15">
      <c r="A38" s="945">
        <v>43525</v>
      </c>
      <c r="B38" s="743" t="s">
        <v>922</v>
      </c>
      <c r="C38" s="643">
        <f>326559+22597</f>
        <v>349156</v>
      </c>
      <c r="D38" s="643">
        <f>121038+3184</f>
        <v>124222</v>
      </c>
      <c r="E38" s="643">
        <f>155469+2467</f>
        <v>157936</v>
      </c>
      <c r="F38" s="643">
        <v>0</v>
      </c>
      <c r="G38" s="643">
        <f>22744+1722</f>
        <v>24466</v>
      </c>
      <c r="H38" s="643">
        <v>0</v>
      </c>
      <c r="I38" s="643">
        <f>75848+3943</f>
        <v>79791</v>
      </c>
      <c r="J38" s="643">
        <v>0</v>
      </c>
      <c r="K38" s="643">
        <f>120518+43910+3188</f>
        <v>167616</v>
      </c>
      <c r="L38" s="643">
        <f>12568+1993</f>
        <v>14561</v>
      </c>
      <c r="M38" s="643">
        <v>0</v>
      </c>
      <c r="N38" s="643">
        <f>113625+9700</f>
        <v>123325</v>
      </c>
      <c r="O38" s="643">
        <v>24250</v>
      </c>
      <c r="P38" s="643">
        <v>0</v>
      </c>
      <c r="Q38" s="643">
        <v>1014632</v>
      </c>
      <c r="R38" s="644">
        <f t="shared" si="0"/>
        <v>2079955</v>
      </c>
    </row>
    <row r="39" spans="1:18" x14ac:dyDescent="0.15">
      <c r="A39" s="945">
        <v>43556</v>
      </c>
      <c r="B39" s="743" t="s">
        <v>922</v>
      </c>
      <c r="C39" s="643">
        <f>307552+21575</f>
        <v>329127</v>
      </c>
      <c r="D39" s="643">
        <f>118465+2852</f>
        <v>121317</v>
      </c>
      <c r="E39" s="643">
        <f>152815+2160</f>
        <v>154975</v>
      </c>
      <c r="F39" s="643">
        <v>0</v>
      </c>
      <c r="G39" s="643">
        <f>26618+1513</f>
        <v>28131</v>
      </c>
      <c r="H39" s="643">
        <v>0</v>
      </c>
      <c r="I39" s="643">
        <f>69605+3961</f>
        <v>73566</v>
      </c>
      <c r="J39" s="643">
        <v>0</v>
      </c>
      <c r="K39" s="643">
        <f>102785+40475+3182</f>
        <v>146442</v>
      </c>
      <c r="L39" s="643">
        <f>11715+1999</f>
        <v>13714</v>
      </c>
      <c r="M39" s="643">
        <v>0</v>
      </c>
      <c r="N39" s="643">
        <f>84050+2425</f>
        <v>86475</v>
      </c>
      <c r="O39" s="643">
        <v>24250</v>
      </c>
      <c r="P39" s="643">
        <v>0</v>
      </c>
      <c r="Q39" s="643">
        <v>1005510</v>
      </c>
      <c r="R39" s="644">
        <f t="shared" si="0"/>
        <v>1983507</v>
      </c>
    </row>
    <row r="40" spans="1:18" x14ac:dyDescent="0.15">
      <c r="A40" s="945"/>
      <c r="B40" s="743"/>
      <c r="C40" s="643"/>
      <c r="D40" s="643"/>
      <c r="E40" s="643"/>
      <c r="F40" s="643"/>
      <c r="G40" s="643"/>
      <c r="H40" s="643"/>
      <c r="I40" s="643"/>
      <c r="J40" s="643"/>
      <c r="K40" s="643"/>
      <c r="L40" s="643"/>
      <c r="M40" s="643"/>
      <c r="N40" s="643"/>
      <c r="O40" s="643"/>
      <c r="P40" s="643"/>
      <c r="Q40" s="643"/>
      <c r="R40" s="644" t="str">
        <f t="shared" si="0"/>
        <v/>
      </c>
    </row>
    <row r="41" spans="1:18" x14ac:dyDescent="0.15">
      <c r="A41" s="945"/>
      <c r="B41" s="743"/>
      <c r="C41" s="643"/>
      <c r="D41" s="643"/>
      <c r="E41" s="643"/>
      <c r="F41" s="643"/>
      <c r="G41" s="643"/>
      <c r="H41" s="643"/>
      <c r="I41" s="643"/>
      <c r="J41" s="643"/>
      <c r="K41" s="643"/>
      <c r="L41" s="643"/>
      <c r="M41" s="643"/>
      <c r="N41" s="643"/>
      <c r="O41" s="643"/>
      <c r="P41" s="643"/>
      <c r="Q41" s="643"/>
      <c r="R41" s="644" t="str">
        <f t="shared" si="0"/>
        <v/>
      </c>
    </row>
    <row r="42" spans="1:18" x14ac:dyDescent="0.15">
      <c r="A42" s="945"/>
      <c r="B42" s="743"/>
      <c r="C42" s="643"/>
      <c r="D42" s="643"/>
      <c r="E42" s="643"/>
      <c r="F42" s="643"/>
      <c r="G42" s="643"/>
      <c r="H42" s="643"/>
      <c r="I42" s="643"/>
      <c r="J42" s="643"/>
      <c r="K42" s="643"/>
      <c r="L42" s="643"/>
      <c r="M42" s="643"/>
      <c r="N42" s="643"/>
      <c r="O42" s="643"/>
      <c r="P42" s="643"/>
      <c r="Q42" s="643"/>
      <c r="R42" s="644" t="str">
        <f t="shared" si="0"/>
        <v/>
      </c>
    </row>
    <row r="43" spans="1:18" x14ac:dyDescent="0.15">
      <c r="A43" s="945"/>
      <c r="B43" s="743"/>
      <c r="C43" s="643"/>
      <c r="D43" s="643"/>
      <c r="E43" s="643"/>
      <c r="F43" s="643"/>
      <c r="G43" s="643"/>
      <c r="H43" s="643"/>
      <c r="I43" s="643"/>
      <c r="J43" s="643"/>
      <c r="K43" s="643"/>
      <c r="L43" s="643"/>
      <c r="M43" s="643"/>
      <c r="N43" s="643"/>
      <c r="O43" s="643"/>
      <c r="P43" s="643"/>
      <c r="Q43" s="643"/>
      <c r="R43" s="644" t="str">
        <f t="shared" si="0"/>
        <v/>
      </c>
    </row>
    <row r="44" spans="1:18" x14ac:dyDescent="0.15">
      <c r="A44" s="945"/>
      <c r="B44" s="743"/>
      <c r="C44" s="643"/>
      <c r="D44" s="643"/>
      <c r="E44" s="643"/>
      <c r="F44" s="643"/>
      <c r="G44" s="643"/>
      <c r="H44" s="643"/>
      <c r="I44" s="643"/>
      <c r="J44" s="643"/>
      <c r="K44" s="643"/>
      <c r="L44" s="643"/>
      <c r="M44" s="643"/>
      <c r="N44" s="643"/>
      <c r="O44" s="643"/>
      <c r="P44" s="643"/>
      <c r="Q44" s="643"/>
      <c r="R44" s="644" t="str">
        <f t="shared" si="0"/>
        <v/>
      </c>
    </row>
    <row r="45" spans="1:18" x14ac:dyDescent="0.15">
      <c r="A45" s="945"/>
      <c r="B45" s="743"/>
      <c r="C45" s="643"/>
      <c r="D45" s="643"/>
      <c r="E45" s="643"/>
      <c r="F45" s="643"/>
      <c r="G45" s="643"/>
      <c r="H45" s="643"/>
      <c r="I45" s="643"/>
      <c r="J45" s="643"/>
      <c r="K45" s="643"/>
      <c r="L45" s="643"/>
      <c r="M45" s="643"/>
      <c r="N45" s="643"/>
      <c r="O45" s="643"/>
      <c r="P45" s="643"/>
      <c r="Q45" s="643"/>
      <c r="R45" s="644" t="str">
        <f t="shared" si="0"/>
        <v/>
      </c>
    </row>
    <row r="46" spans="1:18" x14ac:dyDescent="0.15">
      <c r="A46" s="945"/>
      <c r="B46" s="743"/>
      <c r="C46" s="643"/>
      <c r="D46" s="643"/>
      <c r="E46" s="643"/>
      <c r="F46" s="643"/>
      <c r="G46" s="643"/>
      <c r="H46" s="643"/>
      <c r="I46" s="643"/>
      <c r="J46" s="643"/>
      <c r="K46" s="643"/>
      <c r="L46" s="643"/>
      <c r="M46" s="643"/>
      <c r="N46" s="643"/>
      <c r="O46" s="643"/>
      <c r="P46" s="643"/>
      <c r="Q46" s="643"/>
      <c r="R46" s="644" t="str">
        <f t="shared" si="0"/>
        <v/>
      </c>
    </row>
    <row r="47" spans="1:18" x14ac:dyDescent="0.15">
      <c r="A47" s="945"/>
      <c r="B47" s="743"/>
      <c r="C47" s="643"/>
      <c r="D47" s="643"/>
      <c r="E47" s="643"/>
      <c r="F47" s="643"/>
      <c r="G47" s="643"/>
      <c r="H47" s="643"/>
      <c r="I47" s="643"/>
      <c r="J47" s="643"/>
      <c r="K47" s="643"/>
      <c r="L47" s="643"/>
      <c r="M47" s="643"/>
      <c r="N47" s="643"/>
      <c r="O47" s="643"/>
      <c r="P47" s="643"/>
      <c r="Q47" s="643"/>
      <c r="R47" s="644" t="str">
        <f t="shared" si="0"/>
        <v/>
      </c>
    </row>
    <row r="48" spans="1:18" x14ac:dyDescent="0.15">
      <c r="A48" s="945"/>
      <c r="B48" s="743"/>
      <c r="C48" s="643"/>
      <c r="D48" s="643"/>
      <c r="E48" s="643"/>
      <c r="F48" s="643"/>
      <c r="G48" s="643"/>
      <c r="H48" s="643"/>
      <c r="I48" s="643"/>
      <c r="J48" s="643"/>
      <c r="K48" s="643"/>
      <c r="L48" s="643"/>
      <c r="M48" s="643"/>
      <c r="N48" s="643"/>
      <c r="O48" s="643"/>
      <c r="P48" s="643"/>
      <c r="Q48" s="643"/>
      <c r="R48" s="644" t="str">
        <f t="shared" si="0"/>
        <v/>
      </c>
    </row>
    <row r="49" spans="1:18" x14ac:dyDescent="0.15">
      <c r="A49" s="945"/>
      <c r="B49" s="743"/>
      <c r="C49" s="643"/>
      <c r="D49" s="643"/>
      <c r="E49" s="643"/>
      <c r="F49" s="643"/>
      <c r="G49" s="643"/>
      <c r="H49" s="643"/>
      <c r="I49" s="643"/>
      <c r="J49" s="643"/>
      <c r="K49" s="643"/>
      <c r="L49" s="643"/>
      <c r="M49" s="643"/>
      <c r="N49" s="643"/>
      <c r="O49" s="643"/>
      <c r="P49" s="643"/>
      <c r="Q49" s="643"/>
      <c r="R49" s="644" t="str">
        <f t="shared" si="0"/>
        <v/>
      </c>
    </row>
    <row r="50" spans="1:18" x14ac:dyDescent="0.15">
      <c r="A50" s="945"/>
      <c r="B50" s="743"/>
      <c r="C50" s="643"/>
      <c r="D50" s="643"/>
      <c r="E50" s="643"/>
      <c r="F50" s="643"/>
      <c r="G50" s="643"/>
      <c r="H50" s="643"/>
      <c r="I50" s="643"/>
      <c r="J50" s="643"/>
      <c r="K50" s="643"/>
      <c r="L50" s="643"/>
      <c r="M50" s="643"/>
      <c r="N50" s="643"/>
      <c r="O50" s="643"/>
      <c r="P50" s="643"/>
      <c r="Q50" s="643"/>
      <c r="R50" s="644" t="str">
        <f t="shared" si="0"/>
        <v/>
      </c>
    </row>
    <row r="51" spans="1:18" x14ac:dyDescent="0.15">
      <c r="A51" s="945"/>
      <c r="B51" s="743"/>
      <c r="C51" s="643"/>
      <c r="D51" s="643"/>
      <c r="E51" s="643"/>
      <c r="F51" s="643"/>
      <c r="G51" s="643"/>
      <c r="H51" s="643"/>
      <c r="I51" s="643"/>
      <c r="J51" s="643"/>
      <c r="K51" s="643"/>
      <c r="L51" s="643"/>
      <c r="M51" s="643"/>
      <c r="N51" s="643"/>
      <c r="O51" s="643"/>
      <c r="P51" s="643"/>
      <c r="Q51" s="643"/>
      <c r="R51" s="644" t="str">
        <f t="shared" si="0"/>
        <v/>
      </c>
    </row>
    <row r="52" spans="1:18" x14ac:dyDescent="0.15">
      <c r="A52" s="945"/>
      <c r="B52" s="743"/>
      <c r="C52" s="643"/>
      <c r="D52" s="643"/>
      <c r="E52" s="643"/>
      <c r="F52" s="643"/>
      <c r="G52" s="643"/>
      <c r="H52" s="643"/>
      <c r="I52" s="643"/>
      <c r="J52" s="643"/>
      <c r="K52" s="643"/>
      <c r="L52" s="643"/>
      <c r="M52" s="643"/>
      <c r="N52" s="643"/>
      <c r="O52" s="643"/>
      <c r="P52" s="643"/>
      <c r="Q52" s="643"/>
      <c r="R52" s="644" t="str">
        <f t="shared" si="0"/>
        <v/>
      </c>
    </row>
    <row r="53" spans="1:18" x14ac:dyDescent="0.15">
      <c r="A53" s="945"/>
      <c r="B53" s="743"/>
      <c r="C53" s="643"/>
      <c r="D53" s="643"/>
      <c r="E53" s="643"/>
      <c r="F53" s="643"/>
      <c r="G53" s="643"/>
      <c r="H53" s="643"/>
      <c r="I53" s="643"/>
      <c r="J53" s="643"/>
      <c r="K53" s="643"/>
      <c r="L53" s="643"/>
      <c r="M53" s="643"/>
      <c r="N53" s="643"/>
      <c r="O53" s="643"/>
      <c r="P53" s="643"/>
      <c r="Q53" s="643"/>
      <c r="R53" s="644" t="str">
        <f t="shared" si="0"/>
        <v/>
      </c>
    </row>
    <row r="54" spans="1:18" x14ac:dyDescent="0.15">
      <c r="A54" s="945"/>
      <c r="B54" s="743"/>
      <c r="C54" s="643"/>
      <c r="D54" s="643"/>
      <c r="E54" s="643"/>
      <c r="F54" s="643"/>
      <c r="G54" s="643"/>
      <c r="H54" s="643"/>
      <c r="I54" s="643"/>
      <c r="J54" s="643"/>
      <c r="K54" s="643"/>
      <c r="L54" s="643"/>
      <c r="M54" s="643"/>
      <c r="N54" s="643"/>
      <c r="O54" s="643"/>
      <c r="P54" s="643"/>
      <c r="Q54" s="643"/>
      <c r="R54" s="644" t="str">
        <f t="shared" si="0"/>
        <v/>
      </c>
    </row>
    <row r="55" spans="1:18" x14ac:dyDescent="0.15">
      <c r="A55" s="945"/>
      <c r="B55" s="743"/>
      <c r="C55" s="643"/>
      <c r="D55" s="643"/>
      <c r="E55" s="643"/>
      <c r="F55" s="643"/>
      <c r="G55" s="643"/>
      <c r="H55" s="643"/>
      <c r="I55" s="643"/>
      <c r="J55" s="643"/>
      <c r="K55" s="643"/>
      <c r="L55" s="643"/>
      <c r="M55" s="643"/>
      <c r="N55" s="643"/>
      <c r="O55" s="643"/>
      <c r="P55" s="643"/>
      <c r="Q55" s="643"/>
      <c r="R55" s="644" t="str">
        <f t="shared" si="0"/>
        <v/>
      </c>
    </row>
    <row r="56" spans="1:18" x14ac:dyDescent="0.15">
      <c r="A56" s="945"/>
      <c r="B56" s="743"/>
      <c r="C56" s="643"/>
      <c r="D56" s="643"/>
      <c r="E56" s="643"/>
      <c r="F56" s="643"/>
      <c r="G56" s="643"/>
      <c r="H56" s="643"/>
      <c r="I56" s="643"/>
      <c r="J56" s="643"/>
      <c r="K56" s="643"/>
      <c r="L56" s="643"/>
      <c r="M56" s="643"/>
      <c r="N56" s="643"/>
      <c r="O56" s="643"/>
      <c r="P56" s="643"/>
      <c r="Q56" s="643"/>
      <c r="R56" s="644" t="str">
        <f t="shared" si="0"/>
        <v/>
      </c>
    </row>
    <row r="57" spans="1:18" x14ac:dyDescent="0.15">
      <c r="A57" s="945"/>
      <c r="B57" s="743"/>
      <c r="C57" s="643"/>
      <c r="D57" s="643"/>
      <c r="E57" s="643"/>
      <c r="F57" s="643"/>
      <c r="G57" s="643"/>
      <c r="H57" s="643"/>
      <c r="I57" s="643"/>
      <c r="J57" s="643"/>
      <c r="K57" s="643"/>
      <c r="L57" s="643"/>
      <c r="M57" s="643"/>
      <c r="N57" s="643"/>
      <c r="O57" s="643"/>
      <c r="P57" s="643"/>
      <c r="Q57" s="643"/>
      <c r="R57" s="644" t="str">
        <f t="shared" si="0"/>
        <v/>
      </c>
    </row>
    <row r="58" spans="1:18" x14ac:dyDescent="0.15">
      <c r="A58" s="945"/>
      <c r="B58" s="743"/>
      <c r="C58" s="643"/>
      <c r="D58" s="643"/>
      <c r="E58" s="643"/>
      <c r="F58" s="643"/>
      <c r="G58" s="643"/>
      <c r="H58" s="643"/>
      <c r="I58" s="643"/>
      <c r="J58" s="643"/>
      <c r="K58" s="643"/>
      <c r="L58" s="643"/>
      <c r="M58" s="643"/>
      <c r="N58" s="643"/>
      <c r="O58" s="643"/>
      <c r="P58" s="643"/>
      <c r="Q58" s="643"/>
      <c r="R58" s="644" t="str">
        <f t="shared" si="0"/>
        <v/>
      </c>
    </row>
    <row r="59" spans="1:18" x14ac:dyDescent="0.15">
      <c r="A59" s="945"/>
      <c r="B59" s="743"/>
      <c r="C59" s="643"/>
      <c r="D59" s="643"/>
      <c r="E59" s="643"/>
      <c r="F59" s="643"/>
      <c r="G59" s="643"/>
      <c r="H59" s="643"/>
      <c r="I59" s="643"/>
      <c r="J59" s="643"/>
      <c r="K59" s="643"/>
      <c r="L59" s="643"/>
      <c r="M59" s="643"/>
      <c r="N59" s="643"/>
      <c r="O59" s="643"/>
      <c r="P59" s="643"/>
      <c r="Q59" s="643"/>
      <c r="R59" s="644" t="str">
        <f t="shared" si="0"/>
        <v/>
      </c>
    </row>
    <row r="60" spans="1:18" x14ac:dyDescent="0.15">
      <c r="A60" s="945"/>
      <c r="B60" s="743"/>
      <c r="C60" s="643"/>
      <c r="D60" s="643"/>
      <c r="E60" s="643"/>
      <c r="F60" s="643"/>
      <c r="G60" s="643"/>
      <c r="H60" s="643"/>
      <c r="I60" s="643"/>
      <c r="J60" s="643"/>
      <c r="K60" s="643"/>
      <c r="L60" s="643"/>
      <c r="M60" s="643"/>
      <c r="N60" s="643"/>
      <c r="O60" s="643"/>
      <c r="P60" s="643"/>
      <c r="Q60" s="643"/>
      <c r="R60" s="644" t="str">
        <f t="shared" si="0"/>
        <v/>
      </c>
    </row>
    <row r="61" spans="1:18" x14ac:dyDescent="0.15">
      <c r="A61" s="945"/>
      <c r="B61" s="743"/>
      <c r="C61" s="643"/>
      <c r="D61" s="643"/>
      <c r="E61" s="643"/>
      <c r="F61" s="643"/>
      <c r="G61" s="643"/>
      <c r="H61" s="643"/>
      <c r="I61" s="643"/>
      <c r="J61" s="643"/>
      <c r="K61" s="643"/>
      <c r="L61" s="643"/>
      <c r="M61" s="643"/>
      <c r="N61" s="643"/>
      <c r="O61" s="643"/>
      <c r="P61" s="643"/>
      <c r="Q61" s="643"/>
      <c r="R61" s="644" t="str">
        <f t="shared" si="0"/>
        <v/>
      </c>
    </row>
    <row r="62" spans="1:18" x14ac:dyDescent="0.15">
      <c r="A62" s="945"/>
      <c r="B62" s="743"/>
      <c r="C62" s="643"/>
      <c r="D62" s="643"/>
      <c r="E62" s="643"/>
      <c r="F62" s="643"/>
      <c r="G62" s="643"/>
      <c r="H62" s="643"/>
      <c r="I62" s="643"/>
      <c r="J62" s="643"/>
      <c r="K62" s="643"/>
      <c r="L62" s="643"/>
      <c r="M62" s="643"/>
      <c r="N62" s="643"/>
      <c r="O62" s="643"/>
      <c r="P62" s="643"/>
      <c r="Q62" s="643"/>
      <c r="R62" s="644" t="str">
        <f t="shared" si="0"/>
        <v/>
      </c>
    </row>
    <row r="63" spans="1:18" x14ac:dyDescent="0.15">
      <c r="A63" s="945"/>
      <c r="B63" s="743"/>
      <c r="C63" s="643"/>
      <c r="D63" s="643"/>
      <c r="E63" s="643"/>
      <c r="F63" s="643"/>
      <c r="G63" s="643"/>
      <c r="H63" s="643"/>
      <c r="I63" s="643"/>
      <c r="J63" s="643"/>
      <c r="K63" s="643"/>
      <c r="L63" s="643"/>
      <c r="M63" s="643"/>
      <c r="N63" s="643"/>
      <c r="O63" s="643"/>
      <c r="P63" s="643"/>
      <c r="Q63" s="643"/>
      <c r="R63" s="644" t="str">
        <f t="shared" si="0"/>
        <v/>
      </c>
    </row>
    <row r="64" spans="1:18" x14ac:dyDescent="0.15">
      <c r="A64" s="945"/>
      <c r="B64" s="743"/>
      <c r="C64" s="643"/>
      <c r="D64" s="643"/>
      <c r="E64" s="643"/>
      <c r="F64" s="643"/>
      <c r="G64" s="643"/>
      <c r="H64" s="643"/>
      <c r="I64" s="643"/>
      <c r="J64" s="643"/>
      <c r="K64" s="643"/>
      <c r="L64" s="643"/>
      <c r="M64" s="643"/>
      <c r="N64" s="643"/>
      <c r="O64" s="643"/>
      <c r="P64" s="643"/>
      <c r="Q64" s="643"/>
      <c r="R64" s="644" t="str">
        <f t="shared" si="0"/>
        <v/>
      </c>
    </row>
    <row r="65" spans="1:18" x14ac:dyDescent="0.15">
      <c r="A65" s="945"/>
      <c r="B65" s="743"/>
      <c r="C65" s="643"/>
      <c r="D65" s="643"/>
      <c r="E65" s="643"/>
      <c r="F65" s="643"/>
      <c r="G65" s="643"/>
      <c r="H65" s="643"/>
      <c r="I65" s="643"/>
      <c r="J65" s="643"/>
      <c r="K65" s="643"/>
      <c r="L65" s="643"/>
      <c r="M65" s="643"/>
      <c r="N65" s="643"/>
      <c r="O65" s="643"/>
      <c r="P65" s="643"/>
      <c r="Q65" s="643"/>
      <c r="R65" s="644" t="str">
        <f t="shared" si="0"/>
        <v/>
      </c>
    </row>
    <row r="66" spans="1:18" x14ac:dyDescent="0.15">
      <c r="A66" s="945"/>
      <c r="B66" s="743"/>
      <c r="C66" s="643"/>
      <c r="D66" s="643"/>
      <c r="E66" s="643"/>
      <c r="F66" s="643"/>
      <c r="G66" s="643"/>
      <c r="H66" s="643"/>
      <c r="I66" s="643"/>
      <c r="J66" s="643"/>
      <c r="K66" s="643"/>
      <c r="L66" s="643"/>
      <c r="M66" s="643"/>
      <c r="N66" s="643"/>
      <c r="O66" s="643"/>
      <c r="P66" s="643"/>
      <c r="Q66" s="643"/>
      <c r="R66" s="644" t="str">
        <f t="shared" si="0"/>
        <v/>
      </c>
    </row>
    <row r="67" spans="1:18" x14ac:dyDescent="0.15">
      <c r="A67" s="945"/>
      <c r="B67" s="743"/>
      <c r="C67" s="643"/>
      <c r="D67" s="643"/>
      <c r="E67" s="643"/>
      <c r="F67" s="643"/>
      <c r="G67" s="643"/>
      <c r="H67" s="643"/>
      <c r="I67" s="643"/>
      <c r="J67" s="643"/>
      <c r="K67" s="643"/>
      <c r="L67" s="643"/>
      <c r="M67" s="643"/>
      <c r="N67" s="643"/>
      <c r="O67" s="643"/>
      <c r="P67" s="643"/>
      <c r="Q67" s="643"/>
      <c r="R67" s="644" t="str">
        <f t="shared" ref="R67:R130" si="1">IF(A67="","",SUM(C67:Q67))</f>
        <v/>
      </c>
    </row>
    <row r="68" spans="1:18" x14ac:dyDescent="0.15">
      <c r="A68" s="945"/>
      <c r="B68" s="743"/>
      <c r="C68" s="643"/>
      <c r="D68" s="643"/>
      <c r="E68" s="643"/>
      <c r="F68" s="643"/>
      <c r="G68" s="643"/>
      <c r="H68" s="643"/>
      <c r="I68" s="643"/>
      <c r="J68" s="643"/>
      <c r="K68" s="643"/>
      <c r="L68" s="643"/>
      <c r="M68" s="643"/>
      <c r="N68" s="643"/>
      <c r="O68" s="643"/>
      <c r="P68" s="643"/>
      <c r="Q68" s="643"/>
      <c r="R68" s="644" t="str">
        <f t="shared" si="1"/>
        <v/>
      </c>
    </row>
    <row r="69" spans="1:18" x14ac:dyDescent="0.15">
      <c r="A69" s="945"/>
      <c r="B69" s="743"/>
      <c r="C69" s="643"/>
      <c r="D69" s="643"/>
      <c r="E69" s="643"/>
      <c r="F69" s="643"/>
      <c r="G69" s="643"/>
      <c r="H69" s="643"/>
      <c r="I69" s="643"/>
      <c r="J69" s="643"/>
      <c r="K69" s="643"/>
      <c r="L69" s="643"/>
      <c r="M69" s="643"/>
      <c r="N69" s="643"/>
      <c r="O69" s="643"/>
      <c r="P69" s="643"/>
      <c r="Q69" s="643"/>
      <c r="R69" s="644" t="str">
        <f t="shared" si="1"/>
        <v/>
      </c>
    </row>
    <row r="70" spans="1:18" x14ac:dyDescent="0.15">
      <c r="A70" s="945"/>
      <c r="B70" s="743"/>
      <c r="C70" s="643"/>
      <c r="D70" s="643"/>
      <c r="E70" s="643"/>
      <c r="F70" s="643"/>
      <c r="G70" s="643"/>
      <c r="H70" s="643"/>
      <c r="I70" s="643"/>
      <c r="J70" s="643"/>
      <c r="K70" s="643"/>
      <c r="L70" s="643"/>
      <c r="M70" s="643"/>
      <c r="N70" s="643"/>
      <c r="O70" s="643"/>
      <c r="P70" s="643"/>
      <c r="Q70" s="643"/>
      <c r="R70" s="644" t="str">
        <f t="shared" si="1"/>
        <v/>
      </c>
    </row>
    <row r="71" spans="1:18" x14ac:dyDescent="0.15">
      <c r="A71" s="945"/>
      <c r="B71" s="743"/>
      <c r="C71" s="643"/>
      <c r="D71" s="643"/>
      <c r="E71" s="643"/>
      <c r="F71" s="643"/>
      <c r="G71" s="643"/>
      <c r="H71" s="643"/>
      <c r="I71" s="643"/>
      <c r="J71" s="643"/>
      <c r="K71" s="643"/>
      <c r="L71" s="643"/>
      <c r="M71" s="643"/>
      <c r="N71" s="643"/>
      <c r="O71" s="643"/>
      <c r="P71" s="643"/>
      <c r="Q71" s="643"/>
      <c r="R71" s="644" t="str">
        <f t="shared" si="1"/>
        <v/>
      </c>
    </row>
    <row r="72" spans="1:18" x14ac:dyDescent="0.15">
      <c r="A72" s="945"/>
      <c r="B72" s="743"/>
      <c r="C72" s="643"/>
      <c r="D72" s="643"/>
      <c r="E72" s="643"/>
      <c r="F72" s="643"/>
      <c r="G72" s="643"/>
      <c r="H72" s="643"/>
      <c r="I72" s="643"/>
      <c r="J72" s="643"/>
      <c r="K72" s="643"/>
      <c r="L72" s="643"/>
      <c r="M72" s="643"/>
      <c r="N72" s="643"/>
      <c r="O72" s="643"/>
      <c r="P72" s="643"/>
      <c r="Q72" s="643"/>
      <c r="R72" s="644" t="str">
        <f t="shared" si="1"/>
        <v/>
      </c>
    </row>
    <row r="73" spans="1:18" x14ac:dyDescent="0.15">
      <c r="A73" s="945"/>
      <c r="B73" s="743"/>
      <c r="C73" s="643"/>
      <c r="D73" s="643"/>
      <c r="E73" s="643"/>
      <c r="F73" s="643"/>
      <c r="G73" s="643"/>
      <c r="H73" s="643"/>
      <c r="I73" s="643"/>
      <c r="J73" s="643"/>
      <c r="K73" s="643"/>
      <c r="L73" s="643"/>
      <c r="M73" s="643"/>
      <c r="N73" s="643"/>
      <c r="O73" s="643"/>
      <c r="P73" s="643"/>
      <c r="Q73" s="643"/>
      <c r="R73" s="644" t="str">
        <f t="shared" si="1"/>
        <v/>
      </c>
    </row>
    <row r="74" spans="1:18" x14ac:dyDescent="0.15">
      <c r="A74" s="945"/>
      <c r="B74" s="743"/>
      <c r="C74" s="643"/>
      <c r="D74" s="643"/>
      <c r="E74" s="643"/>
      <c r="F74" s="643"/>
      <c r="G74" s="643"/>
      <c r="H74" s="643"/>
      <c r="I74" s="643"/>
      <c r="J74" s="643"/>
      <c r="K74" s="643"/>
      <c r="L74" s="643"/>
      <c r="M74" s="643"/>
      <c r="N74" s="643"/>
      <c r="O74" s="643"/>
      <c r="P74" s="643"/>
      <c r="Q74" s="643"/>
      <c r="R74" s="644" t="str">
        <f t="shared" si="1"/>
        <v/>
      </c>
    </row>
    <row r="75" spans="1:18" x14ac:dyDescent="0.15">
      <c r="A75" s="945"/>
      <c r="B75" s="743"/>
      <c r="C75" s="643"/>
      <c r="D75" s="643"/>
      <c r="E75" s="643"/>
      <c r="F75" s="643"/>
      <c r="G75" s="643"/>
      <c r="H75" s="643"/>
      <c r="I75" s="643"/>
      <c r="J75" s="643"/>
      <c r="K75" s="643"/>
      <c r="L75" s="643"/>
      <c r="M75" s="643"/>
      <c r="N75" s="643"/>
      <c r="O75" s="643"/>
      <c r="P75" s="643"/>
      <c r="Q75" s="643"/>
      <c r="R75" s="644" t="str">
        <f t="shared" si="1"/>
        <v/>
      </c>
    </row>
    <row r="76" spans="1:18" x14ac:dyDescent="0.15">
      <c r="A76" s="945"/>
      <c r="B76" s="743"/>
      <c r="C76" s="643"/>
      <c r="D76" s="643"/>
      <c r="E76" s="643"/>
      <c r="F76" s="643"/>
      <c r="G76" s="643"/>
      <c r="H76" s="643"/>
      <c r="I76" s="643"/>
      <c r="J76" s="643"/>
      <c r="K76" s="643"/>
      <c r="L76" s="643"/>
      <c r="M76" s="643"/>
      <c r="N76" s="643"/>
      <c r="O76" s="643"/>
      <c r="P76" s="643"/>
      <c r="Q76" s="643"/>
      <c r="R76" s="644" t="str">
        <f t="shared" si="1"/>
        <v/>
      </c>
    </row>
    <row r="77" spans="1:18" x14ac:dyDescent="0.15">
      <c r="A77" s="945"/>
      <c r="B77" s="743"/>
      <c r="C77" s="643"/>
      <c r="D77" s="643"/>
      <c r="E77" s="643"/>
      <c r="F77" s="643"/>
      <c r="G77" s="643"/>
      <c r="H77" s="643"/>
      <c r="I77" s="643"/>
      <c r="J77" s="643"/>
      <c r="K77" s="643"/>
      <c r="L77" s="643"/>
      <c r="M77" s="643"/>
      <c r="N77" s="643"/>
      <c r="O77" s="643"/>
      <c r="P77" s="643"/>
      <c r="Q77" s="643"/>
      <c r="R77" s="644" t="str">
        <f t="shared" si="1"/>
        <v/>
      </c>
    </row>
    <row r="78" spans="1:18" x14ac:dyDescent="0.15">
      <c r="A78" s="945"/>
      <c r="B78" s="743"/>
      <c r="C78" s="643"/>
      <c r="D78" s="643"/>
      <c r="E78" s="643"/>
      <c r="F78" s="643"/>
      <c r="G78" s="643"/>
      <c r="H78" s="643"/>
      <c r="I78" s="643"/>
      <c r="J78" s="643"/>
      <c r="K78" s="643"/>
      <c r="L78" s="643"/>
      <c r="M78" s="643"/>
      <c r="N78" s="643"/>
      <c r="O78" s="643"/>
      <c r="P78" s="643"/>
      <c r="Q78" s="643"/>
      <c r="R78" s="644" t="str">
        <f t="shared" si="1"/>
        <v/>
      </c>
    </row>
    <row r="79" spans="1:18" x14ac:dyDescent="0.15">
      <c r="A79" s="945"/>
      <c r="B79" s="743"/>
      <c r="C79" s="643"/>
      <c r="D79" s="643"/>
      <c r="E79" s="643"/>
      <c r="F79" s="643"/>
      <c r="G79" s="643"/>
      <c r="H79" s="643"/>
      <c r="I79" s="643"/>
      <c r="J79" s="643"/>
      <c r="K79" s="643"/>
      <c r="L79" s="643"/>
      <c r="M79" s="643"/>
      <c r="N79" s="643"/>
      <c r="O79" s="643"/>
      <c r="P79" s="643"/>
      <c r="Q79" s="643"/>
      <c r="R79" s="644" t="str">
        <f t="shared" si="1"/>
        <v/>
      </c>
    </row>
    <row r="80" spans="1:18" x14ac:dyDescent="0.15">
      <c r="A80" s="945"/>
      <c r="B80" s="743"/>
      <c r="C80" s="643"/>
      <c r="D80" s="643"/>
      <c r="E80" s="643"/>
      <c r="F80" s="643"/>
      <c r="G80" s="643"/>
      <c r="H80" s="643"/>
      <c r="I80" s="643"/>
      <c r="J80" s="643"/>
      <c r="K80" s="643"/>
      <c r="L80" s="643"/>
      <c r="M80" s="643"/>
      <c r="N80" s="643"/>
      <c r="O80" s="643"/>
      <c r="P80" s="643"/>
      <c r="Q80" s="643"/>
      <c r="R80" s="644" t="str">
        <f t="shared" si="1"/>
        <v/>
      </c>
    </row>
    <row r="81" spans="1:18" x14ac:dyDescent="0.15">
      <c r="A81" s="945"/>
      <c r="B81" s="743"/>
      <c r="C81" s="643"/>
      <c r="D81" s="643"/>
      <c r="E81" s="643"/>
      <c r="F81" s="643"/>
      <c r="G81" s="643"/>
      <c r="H81" s="643"/>
      <c r="I81" s="643"/>
      <c r="J81" s="643"/>
      <c r="K81" s="643"/>
      <c r="L81" s="643"/>
      <c r="M81" s="643"/>
      <c r="N81" s="643"/>
      <c r="O81" s="643"/>
      <c r="P81" s="643"/>
      <c r="Q81" s="643"/>
      <c r="R81" s="644" t="str">
        <f t="shared" si="1"/>
        <v/>
      </c>
    </row>
    <row r="82" spans="1:18" x14ac:dyDescent="0.15">
      <c r="A82" s="945"/>
      <c r="B82" s="743"/>
      <c r="C82" s="643"/>
      <c r="D82" s="643"/>
      <c r="E82" s="643"/>
      <c r="F82" s="643"/>
      <c r="G82" s="643"/>
      <c r="H82" s="643"/>
      <c r="I82" s="643"/>
      <c r="J82" s="643"/>
      <c r="K82" s="643"/>
      <c r="L82" s="643"/>
      <c r="M82" s="643"/>
      <c r="N82" s="643"/>
      <c r="O82" s="643"/>
      <c r="P82" s="643"/>
      <c r="Q82" s="643"/>
      <c r="R82" s="644" t="str">
        <f t="shared" si="1"/>
        <v/>
      </c>
    </row>
    <row r="83" spans="1:18" x14ac:dyDescent="0.15">
      <c r="A83" s="945"/>
      <c r="B83" s="743"/>
      <c r="C83" s="643"/>
      <c r="D83" s="643"/>
      <c r="E83" s="643"/>
      <c r="F83" s="643"/>
      <c r="G83" s="643"/>
      <c r="H83" s="643"/>
      <c r="I83" s="643"/>
      <c r="J83" s="643"/>
      <c r="K83" s="643"/>
      <c r="L83" s="643"/>
      <c r="M83" s="643"/>
      <c r="N83" s="643"/>
      <c r="O83" s="643"/>
      <c r="P83" s="643"/>
      <c r="Q83" s="643"/>
      <c r="R83" s="644" t="str">
        <f t="shared" si="1"/>
        <v/>
      </c>
    </row>
    <row r="84" spans="1:18" x14ac:dyDescent="0.15">
      <c r="A84" s="945"/>
      <c r="B84" s="743"/>
      <c r="C84" s="643"/>
      <c r="D84" s="643"/>
      <c r="E84" s="643"/>
      <c r="F84" s="643"/>
      <c r="G84" s="643"/>
      <c r="H84" s="643"/>
      <c r="I84" s="643"/>
      <c r="J84" s="643"/>
      <c r="K84" s="643"/>
      <c r="L84" s="643"/>
      <c r="M84" s="643"/>
      <c r="N84" s="643"/>
      <c r="O84" s="643"/>
      <c r="P84" s="643"/>
      <c r="Q84" s="643"/>
      <c r="R84" s="644" t="str">
        <f t="shared" si="1"/>
        <v/>
      </c>
    </row>
    <row r="85" spans="1:18" x14ac:dyDescent="0.15">
      <c r="A85" s="945"/>
      <c r="B85" s="743"/>
      <c r="C85" s="643"/>
      <c r="D85" s="643"/>
      <c r="E85" s="643"/>
      <c r="F85" s="643"/>
      <c r="G85" s="643"/>
      <c r="H85" s="643"/>
      <c r="I85" s="643"/>
      <c r="J85" s="643"/>
      <c r="K85" s="643"/>
      <c r="L85" s="643"/>
      <c r="M85" s="643"/>
      <c r="N85" s="643"/>
      <c r="O85" s="643"/>
      <c r="P85" s="643"/>
      <c r="Q85" s="643"/>
      <c r="R85" s="644" t="str">
        <f t="shared" si="1"/>
        <v/>
      </c>
    </row>
    <row r="86" spans="1:18" x14ac:dyDescent="0.15">
      <c r="A86" s="945"/>
      <c r="B86" s="743"/>
      <c r="C86" s="643"/>
      <c r="D86" s="643"/>
      <c r="E86" s="643"/>
      <c r="F86" s="643"/>
      <c r="G86" s="643"/>
      <c r="H86" s="643"/>
      <c r="I86" s="643"/>
      <c r="J86" s="643"/>
      <c r="K86" s="643"/>
      <c r="L86" s="643"/>
      <c r="M86" s="643"/>
      <c r="N86" s="643"/>
      <c r="O86" s="643"/>
      <c r="P86" s="643"/>
      <c r="Q86" s="643"/>
      <c r="R86" s="644" t="str">
        <f t="shared" si="1"/>
        <v/>
      </c>
    </row>
    <row r="87" spans="1:18" x14ac:dyDescent="0.15">
      <c r="A87" s="945"/>
      <c r="B87" s="743"/>
      <c r="C87" s="643"/>
      <c r="D87" s="643"/>
      <c r="E87" s="643"/>
      <c r="F87" s="643"/>
      <c r="G87" s="643"/>
      <c r="H87" s="643"/>
      <c r="I87" s="643"/>
      <c r="J87" s="643"/>
      <c r="K87" s="643"/>
      <c r="L87" s="643"/>
      <c r="M87" s="643"/>
      <c r="N87" s="643"/>
      <c r="O87" s="643"/>
      <c r="P87" s="643"/>
      <c r="Q87" s="643"/>
      <c r="R87" s="644" t="str">
        <f t="shared" si="1"/>
        <v/>
      </c>
    </row>
    <row r="88" spans="1:18" x14ac:dyDescent="0.15">
      <c r="A88" s="945"/>
      <c r="B88" s="743"/>
      <c r="C88" s="643"/>
      <c r="D88" s="643"/>
      <c r="E88" s="643"/>
      <c r="F88" s="643"/>
      <c r="G88" s="643"/>
      <c r="H88" s="643"/>
      <c r="I88" s="643"/>
      <c r="J88" s="643"/>
      <c r="K88" s="643"/>
      <c r="L88" s="643"/>
      <c r="M88" s="643"/>
      <c r="N88" s="643"/>
      <c r="O88" s="643"/>
      <c r="P88" s="643"/>
      <c r="Q88" s="643"/>
      <c r="R88" s="644" t="str">
        <f t="shared" si="1"/>
        <v/>
      </c>
    </row>
    <row r="89" spans="1:18" x14ac:dyDescent="0.15">
      <c r="A89" s="945"/>
      <c r="B89" s="743"/>
      <c r="C89" s="643"/>
      <c r="D89" s="643"/>
      <c r="E89" s="643"/>
      <c r="F89" s="643"/>
      <c r="G89" s="643"/>
      <c r="H89" s="643"/>
      <c r="I89" s="643"/>
      <c r="J89" s="643"/>
      <c r="K89" s="643"/>
      <c r="L89" s="643"/>
      <c r="M89" s="643"/>
      <c r="N89" s="643"/>
      <c r="O89" s="643"/>
      <c r="P89" s="643"/>
      <c r="Q89" s="643"/>
      <c r="R89" s="644" t="str">
        <f t="shared" si="1"/>
        <v/>
      </c>
    </row>
    <row r="90" spans="1:18" x14ac:dyDescent="0.15">
      <c r="A90" s="945"/>
      <c r="B90" s="743"/>
      <c r="C90" s="643"/>
      <c r="D90" s="643"/>
      <c r="E90" s="643"/>
      <c r="F90" s="643"/>
      <c r="G90" s="643"/>
      <c r="H90" s="643"/>
      <c r="I90" s="643"/>
      <c r="J90" s="643"/>
      <c r="K90" s="643"/>
      <c r="L90" s="643"/>
      <c r="M90" s="643"/>
      <c r="N90" s="643"/>
      <c r="O90" s="643"/>
      <c r="P90" s="643"/>
      <c r="Q90" s="643"/>
      <c r="R90" s="644" t="str">
        <f t="shared" si="1"/>
        <v/>
      </c>
    </row>
    <row r="91" spans="1:18" x14ac:dyDescent="0.15">
      <c r="A91" s="945"/>
      <c r="B91" s="743"/>
      <c r="C91" s="643"/>
      <c r="D91" s="643"/>
      <c r="E91" s="643"/>
      <c r="F91" s="643"/>
      <c r="G91" s="643"/>
      <c r="H91" s="643"/>
      <c r="I91" s="643"/>
      <c r="J91" s="643"/>
      <c r="K91" s="643"/>
      <c r="L91" s="643"/>
      <c r="M91" s="643"/>
      <c r="N91" s="643"/>
      <c r="O91" s="643"/>
      <c r="P91" s="643"/>
      <c r="Q91" s="643"/>
      <c r="R91" s="644" t="str">
        <f t="shared" si="1"/>
        <v/>
      </c>
    </row>
    <row r="92" spans="1:18" x14ac:dyDescent="0.15">
      <c r="A92" s="945"/>
      <c r="B92" s="743"/>
      <c r="C92" s="643"/>
      <c r="D92" s="643"/>
      <c r="E92" s="643"/>
      <c r="F92" s="643"/>
      <c r="G92" s="643"/>
      <c r="H92" s="643"/>
      <c r="I92" s="643"/>
      <c r="J92" s="643"/>
      <c r="K92" s="643"/>
      <c r="L92" s="643"/>
      <c r="M92" s="643"/>
      <c r="N92" s="643"/>
      <c r="O92" s="643"/>
      <c r="P92" s="643"/>
      <c r="Q92" s="643"/>
      <c r="R92" s="644" t="str">
        <f t="shared" si="1"/>
        <v/>
      </c>
    </row>
    <row r="93" spans="1:18" x14ac:dyDescent="0.15">
      <c r="A93" s="945"/>
      <c r="B93" s="743"/>
      <c r="C93" s="643"/>
      <c r="D93" s="643"/>
      <c r="E93" s="643"/>
      <c r="F93" s="643"/>
      <c r="G93" s="643"/>
      <c r="H93" s="643"/>
      <c r="I93" s="643"/>
      <c r="J93" s="643"/>
      <c r="K93" s="643"/>
      <c r="L93" s="643"/>
      <c r="M93" s="643"/>
      <c r="N93" s="643"/>
      <c r="O93" s="643"/>
      <c r="P93" s="643"/>
      <c r="Q93" s="643"/>
      <c r="R93" s="644" t="str">
        <f t="shared" si="1"/>
        <v/>
      </c>
    </row>
    <row r="94" spans="1:18" x14ac:dyDescent="0.15">
      <c r="A94" s="945"/>
      <c r="B94" s="743"/>
      <c r="C94" s="643"/>
      <c r="D94" s="643"/>
      <c r="E94" s="643"/>
      <c r="F94" s="643"/>
      <c r="G94" s="643"/>
      <c r="H94" s="643"/>
      <c r="I94" s="643"/>
      <c r="J94" s="643"/>
      <c r="K94" s="643"/>
      <c r="L94" s="643"/>
      <c r="M94" s="643"/>
      <c r="N94" s="643"/>
      <c r="O94" s="643"/>
      <c r="P94" s="643"/>
      <c r="Q94" s="643"/>
      <c r="R94" s="644" t="str">
        <f t="shared" si="1"/>
        <v/>
      </c>
    </row>
    <row r="95" spans="1:18" x14ac:dyDescent="0.15">
      <c r="A95" s="945"/>
      <c r="B95" s="743"/>
      <c r="C95" s="643"/>
      <c r="D95" s="643"/>
      <c r="E95" s="643"/>
      <c r="F95" s="643"/>
      <c r="G95" s="643"/>
      <c r="H95" s="643"/>
      <c r="I95" s="643"/>
      <c r="J95" s="643"/>
      <c r="K95" s="643"/>
      <c r="L95" s="643"/>
      <c r="M95" s="643"/>
      <c r="N95" s="643"/>
      <c r="O95" s="643"/>
      <c r="P95" s="643"/>
      <c r="Q95" s="643"/>
      <c r="R95" s="644" t="str">
        <f t="shared" si="1"/>
        <v/>
      </c>
    </row>
    <row r="96" spans="1:18" x14ac:dyDescent="0.15">
      <c r="A96" s="945"/>
      <c r="B96" s="743"/>
      <c r="C96" s="643"/>
      <c r="D96" s="643"/>
      <c r="E96" s="643"/>
      <c r="F96" s="643"/>
      <c r="G96" s="643"/>
      <c r="H96" s="643"/>
      <c r="I96" s="643"/>
      <c r="J96" s="643"/>
      <c r="K96" s="643"/>
      <c r="L96" s="643"/>
      <c r="M96" s="643"/>
      <c r="N96" s="643"/>
      <c r="O96" s="643"/>
      <c r="P96" s="643"/>
      <c r="Q96" s="643"/>
      <c r="R96" s="644" t="str">
        <f t="shared" si="1"/>
        <v/>
      </c>
    </row>
    <row r="97" spans="1:18" x14ac:dyDescent="0.15">
      <c r="A97" s="945"/>
      <c r="B97" s="743"/>
      <c r="C97" s="643"/>
      <c r="D97" s="643"/>
      <c r="E97" s="643"/>
      <c r="F97" s="643"/>
      <c r="G97" s="643"/>
      <c r="H97" s="643"/>
      <c r="I97" s="643"/>
      <c r="J97" s="643"/>
      <c r="K97" s="643"/>
      <c r="L97" s="643"/>
      <c r="M97" s="643"/>
      <c r="N97" s="643"/>
      <c r="O97" s="643"/>
      <c r="P97" s="643"/>
      <c r="Q97" s="643"/>
      <c r="R97" s="644" t="str">
        <f t="shared" si="1"/>
        <v/>
      </c>
    </row>
    <row r="98" spans="1:18" x14ac:dyDescent="0.15">
      <c r="A98" s="945"/>
      <c r="B98" s="743"/>
      <c r="C98" s="643"/>
      <c r="D98" s="643"/>
      <c r="E98" s="643"/>
      <c r="F98" s="643"/>
      <c r="G98" s="643"/>
      <c r="H98" s="643"/>
      <c r="I98" s="643"/>
      <c r="J98" s="643"/>
      <c r="K98" s="643"/>
      <c r="L98" s="643"/>
      <c r="M98" s="643"/>
      <c r="N98" s="643"/>
      <c r="O98" s="643"/>
      <c r="P98" s="643"/>
      <c r="Q98" s="643"/>
      <c r="R98" s="644" t="str">
        <f t="shared" si="1"/>
        <v/>
      </c>
    </row>
    <row r="99" spans="1:18" x14ac:dyDescent="0.15">
      <c r="A99" s="945"/>
      <c r="B99" s="743"/>
      <c r="C99" s="643"/>
      <c r="D99" s="643"/>
      <c r="E99" s="643"/>
      <c r="F99" s="643"/>
      <c r="G99" s="643"/>
      <c r="H99" s="643"/>
      <c r="I99" s="643"/>
      <c r="J99" s="643"/>
      <c r="K99" s="643"/>
      <c r="L99" s="643"/>
      <c r="M99" s="643"/>
      <c r="N99" s="643"/>
      <c r="O99" s="643"/>
      <c r="P99" s="643"/>
      <c r="Q99" s="643"/>
      <c r="R99" s="644" t="str">
        <f t="shared" si="1"/>
        <v/>
      </c>
    </row>
    <row r="100" spans="1:18" x14ac:dyDescent="0.15">
      <c r="A100" s="945"/>
      <c r="B100" s="743"/>
      <c r="C100" s="643"/>
      <c r="D100" s="643"/>
      <c r="E100" s="643"/>
      <c r="F100" s="643"/>
      <c r="G100" s="643"/>
      <c r="H100" s="643"/>
      <c r="I100" s="643"/>
      <c r="J100" s="643"/>
      <c r="K100" s="643"/>
      <c r="L100" s="643"/>
      <c r="M100" s="643"/>
      <c r="N100" s="643"/>
      <c r="O100" s="643"/>
      <c r="P100" s="643"/>
      <c r="Q100" s="643"/>
      <c r="R100" s="644" t="str">
        <f t="shared" si="1"/>
        <v/>
      </c>
    </row>
    <row r="101" spans="1:18" x14ac:dyDescent="0.15">
      <c r="A101" s="945"/>
      <c r="B101" s="743"/>
      <c r="C101" s="643"/>
      <c r="D101" s="643"/>
      <c r="E101" s="643"/>
      <c r="F101" s="643"/>
      <c r="G101" s="643"/>
      <c r="H101" s="643"/>
      <c r="I101" s="643"/>
      <c r="J101" s="643"/>
      <c r="K101" s="643"/>
      <c r="L101" s="643"/>
      <c r="M101" s="643"/>
      <c r="N101" s="643"/>
      <c r="O101" s="643"/>
      <c r="P101" s="643"/>
      <c r="Q101" s="643"/>
      <c r="R101" s="644" t="str">
        <f t="shared" si="1"/>
        <v/>
      </c>
    </row>
    <row r="102" spans="1:18" x14ac:dyDescent="0.15">
      <c r="A102" s="945"/>
      <c r="B102" s="743"/>
      <c r="C102" s="643"/>
      <c r="D102" s="643"/>
      <c r="E102" s="643"/>
      <c r="F102" s="643"/>
      <c r="G102" s="643"/>
      <c r="H102" s="643"/>
      <c r="I102" s="643"/>
      <c r="J102" s="643"/>
      <c r="K102" s="643"/>
      <c r="L102" s="643"/>
      <c r="M102" s="643"/>
      <c r="N102" s="643"/>
      <c r="O102" s="643"/>
      <c r="P102" s="643"/>
      <c r="Q102" s="643"/>
      <c r="R102" s="644" t="str">
        <f t="shared" si="1"/>
        <v/>
      </c>
    </row>
    <row r="103" spans="1:18" x14ac:dyDescent="0.15">
      <c r="A103" s="945"/>
      <c r="B103" s="743"/>
      <c r="C103" s="643"/>
      <c r="D103" s="643"/>
      <c r="E103" s="643"/>
      <c r="F103" s="643"/>
      <c r="G103" s="643"/>
      <c r="H103" s="643"/>
      <c r="I103" s="643"/>
      <c r="J103" s="643"/>
      <c r="K103" s="643"/>
      <c r="L103" s="643"/>
      <c r="M103" s="643"/>
      <c r="N103" s="643"/>
      <c r="O103" s="643"/>
      <c r="P103" s="643"/>
      <c r="Q103" s="643"/>
      <c r="R103" s="644" t="str">
        <f t="shared" si="1"/>
        <v/>
      </c>
    </row>
    <row r="104" spans="1:18" x14ac:dyDescent="0.15">
      <c r="A104" s="945"/>
      <c r="B104" s="743"/>
      <c r="C104" s="643"/>
      <c r="D104" s="643"/>
      <c r="E104" s="643"/>
      <c r="F104" s="643"/>
      <c r="G104" s="643"/>
      <c r="H104" s="643"/>
      <c r="I104" s="643"/>
      <c r="J104" s="643"/>
      <c r="K104" s="643"/>
      <c r="L104" s="643"/>
      <c r="M104" s="643"/>
      <c r="N104" s="643"/>
      <c r="O104" s="643"/>
      <c r="P104" s="643"/>
      <c r="Q104" s="643"/>
      <c r="R104" s="644" t="str">
        <f t="shared" si="1"/>
        <v/>
      </c>
    </row>
    <row r="105" spans="1:18" x14ac:dyDescent="0.15">
      <c r="A105" s="945"/>
      <c r="B105" s="743"/>
      <c r="C105" s="643"/>
      <c r="D105" s="643"/>
      <c r="E105" s="643"/>
      <c r="F105" s="643"/>
      <c r="G105" s="643"/>
      <c r="H105" s="643"/>
      <c r="I105" s="643"/>
      <c r="J105" s="643"/>
      <c r="K105" s="643"/>
      <c r="L105" s="643"/>
      <c r="M105" s="643"/>
      <c r="N105" s="643"/>
      <c r="O105" s="643"/>
      <c r="P105" s="643"/>
      <c r="Q105" s="643"/>
      <c r="R105" s="644" t="str">
        <f t="shared" si="1"/>
        <v/>
      </c>
    </row>
    <row r="106" spans="1:18" x14ac:dyDescent="0.15">
      <c r="A106" s="945"/>
      <c r="B106" s="743"/>
      <c r="C106" s="643"/>
      <c r="D106" s="643"/>
      <c r="E106" s="643"/>
      <c r="F106" s="643"/>
      <c r="G106" s="643"/>
      <c r="H106" s="643"/>
      <c r="I106" s="643"/>
      <c r="J106" s="643"/>
      <c r="K106" s="643"/>
      <c r="L106" s="643"/>
      <c r="M106" s="643"/>
      <c r="N106" s="643"/>
      <c r="O106" s="643"/>
      <c r="P106" s="643"/>
      <c r="Q106" s="643"/>
      <c r="R106" s="644" t="str">
        <f t="shared" si="1"/>
        <v/>
      </c>
    </row>
    <row r="107" spans="1:18" x14ac:dyDescent="0.15">
      <c r="A107" s="945"/>
      <c r="B107" s="743"/>
      <c r="C107" s="643"/>
      <c r="D107" s="643"/>
      <c r="E107" s="643"/>
      <c r="F107" s="643"/>
      <c r="G107" s="643"/>
      <c r="H107" s="643"/>
      <c r="I107" s="643"/>
      <c r="J107" s="643"/>
      <c r="K107" s="643"/>
      <c r="L107" s="643"/>
      <c r="M107" s="643"/>
      <c r="N107" s="643"/>
      <c r="O107" s="643"/>
      <c r="P107" s="643"/>
      <c r="Q107" s="643"/>
      <c r="R107" s="644" t="str">
        <f t="shared" si="1"/>
        <v/>
      </c>
    </row>
    <row r="108" spans="1:18" x14ac:dyDescent="0.15">
      <c r="A108" s="945"/>
      <c r="B108" s="743"/>
      <c r="C108" s="643"/>
      <c r="D108" s="643"/>
      <c r="E108" s="643"/>
      <c r="F108" s="643"/>
      <c r="G108" s="643"/>
      <c r="H108" s="643"/>
      <c r="I108" s="643"/>
      <c r="J108" s="643"/>
      <c r="K108" s="643"/>
      <c r="L108" s="643"/>
      <c r="M108" s="643"/>
      <c r="N108" s="643"/>
      <c r="O108" s="643"/>
      <c r="P108" s="643"/>
      <c r="Q108" s="643"/>
      <c r="R108" s="644" t="str">
        <f t="shared" si="1"/>
        <v/>
      </c>
    </row>
    <row r="109" spans="1:18" x14ac:dyDescent="0.15">
      <c r="A109" s="945"/>
      <c r="B109" s="743"/>
      <c r="C109" s="643"/>
      <c r="D109" s="643"/>
      <c r="E109" s="643"/>
      <c r="F109" s="643"/>
      <c r="G109" s="643"/>
      <c r="H109" s="643"/>
      <c r="I109" s="643"/>
      <c r="J109" s="643"/>
      <c r="K109" s="643"/>
      <c r="L109" s="643"/>
      <c r="M109" s="643"/>
      <c r="N109" s="643"/>
      <c r="O109" s="643"/>
      <c r="P109" s="643"/>
      <c r="Q109" s="643"/>
      <c r="R109" s="644" t="str">
        <f t="shared" si="1"/>
        <v/>
      </c>
    </row>
    <row r="110" spans="1:18" x14ac:dyDescent="0.15">
      <c r="A110" s="945"/>
      <c r="B110" s="743"/>
      <c r="C110" s="643"/>
      <c r="D110" s="643"/>
      <c r="E110" s="643"/>
      <c r="F110" s="643"/>
      <c r="G110" s="643"/>
      <c r="H110" s="643"/>
      <c r="I110" s="643"/>
      <c r="J110" s="643"/>
      <c r="K110" s="643"/>
      <c r="L110" s="643"/>
      <c r="M110" s="643"/>
      <c r="N110" s="643"/>
      <c r="O110" s="643"/>
      <c r="P110" s="643"/>
      <c r="Q110" s="643"/>
      <c r="R110" s="644" t="str">
        <f t="shared" si="1"/>
        <v/>
      </c>
    </row>
    <row r="111" spans="1:18" x14ac:dyDescent="0.15">
      <c r="A111" s="945"/>
      <c r="B111" s="743"/>
      <c r="C111" s="643"/>
      <c r="D111" s="643"/>
      <c r="E111" s="643"/>
      <c r="F111" s="643"/>
      <c r="G111" s="643"/>
      <c r="H111" s="643"/>
      <c r="I111" s="643"/>
      <c r="J111" s="643"/>
      <c r="K111" s="643"/>
      <c r="L111" s="643"/>
      <c r="M111" s="643"/>
      <c r="N111" s="643"/>
      <c r="O111" s="643"/>
      <c r="P111" s="643"/>
      <c r="Q111" s="643"/>
      <c r="R111" s="644" t="str">
        <f t="shared" si="1"/>
        <v/>
      </c>
    </row>
    <row r="112" spans="1:18" x14ac:dyDescent="0.15">
      <c r="A112" s="945"/>
      <c r="B112" s="743"/>
      <c r="C112" s="643"/>
      <c r="D112" s="643"/>
      <c r="E112" s="643"/>
      <c r="F112" s="643"/>
      <c r="G112" s="643"/>
      <c r="H112" s="643"/>
      <c r="I112" s="643"/>
      <c r="J112" s="643"/>
      <c r="K112" s="643"/>
      <c r="L112" s="643"/>
      <c r="M112" s="643"/>
      <c r="N112" s="643"/>
      <c r="O112" s="643"/>
      <c r="P112" s="643"/>
      <c r="Q112" s="643"/>
      <c r="R112" s="644" t="str">
        <f t="shared" si="1"/>
        <v/>
      </c>
    </row>
    <row r="113" spans="1:18" x14ac:dyDescent="0.15">
      <c r="A113" s="945"/>
      <c r="B113" s="743"/>
      <c r="C113" s="643"/>
      <c r="D113" s="643"/>
      <c r="E113" s="643"/>
      <c r="F113" s="643"/>
      <c r="G113" s="643"/>
      <c r="H113" s="643"/>
      <c r="I113" s="643"/>
      <c r="J113" s="643"/>
      <c r="K113" s="643"/>
      <c r="L113" s="643"/>
      <c r="M113" s="643"/>
      <c r="N113" s="643"/>
      <c r="O113" s="643"/>
      <c r="P113" s="643"/>
      <c r="Q113" s="643"/>
      <c r="R113" s="644" t="str">
        <f t="shared" si="1"/>
        <v/>
      </c>
    </row>
    <row r="114" spans="1:18" x14ac:dyDescent="0.15">
      <c r="A114" s="945"/>
      <c r="B114" s="743"/>
      <c r="C114" s="643"/>
      <c r="D114" s="643"/>
      <c r="E114" s="643"/>
      <c r="F114" s="643"/>
      <c r="G114" s="643"/>
      <c r="H114" s="643"/>
      <c r="I114" s="643"/>
      <c r="J114" s="643"/>
      <c r="K114" s="643"/>
      <c r="L114" s="643"/>
      <c r="M114" s="643"/>
      <c r="N114" s="643"/>
      <c r="O114" s="643"/>
      <c r="P114" s="643"/>
      <c r="Q114" s="643"/>
      <c r="R114" s="644" t="str">
        <f t="shared" si="1"/>
        <v/>
      </c>
    </row>
    <row r="115" spans="1:18" x14ac:dyDescent="0.15">
      <c r="A115" s="945"/>
      <c r="B115" s="743"/>
      <c r="C115" s="643"/>
      <c r="D115" s="643"/>
      <c r="E115" s="643"/>
      <c r="F115" s="643"/>
      <c r="G115" s="643"/>
      <c r="H115" s="643"/>
      <c r="I115" s="643"/>
      <c r="J115" s="643"/>
      <c r="K115" s="643"/>
      <c r="L115" s="643"/>
      <c r="M115" s="643"/>
      <c r="N115" s="643"/>
      <c r="O115" s="643"/>
      <c r="P115" s="643"/>
      <c r="Q115" s="643"/>
      <c r="R115" s="644" t="str">
        <f t="shared" si="1"/>
        <v/>
      </c>
    </row>
    <row r="116" spans="1:18" x14ac:dyDescent="0.15">
      <c r="A116" s="945"/>
      <c r="B116" s="743"/>
      <c r="C116" s="643"/>
      <c r="D116" s="643"/>
      <c r="E116" s="643"/>
      <c r="F116" s="643"/>
      <c r="G116" s="643"/>
      <c r="H116" s="643"/>
      <c r="I116" s="643"/>
      <c r="J116" s="643"/>
      <c r="K116" s="643"/>
      <c r="L116" s="643"/>
      <c r="M116" s="643"/>
      <c r="N116" s="643"/>
      <c r="O116" s="643"/>
      <c r="P116" s="643"/>
      <c r="Q116" s="643"/>
      <c r="R116" s="644" t="str">
        <f t="shared" si="1"/>
        <v/>
      </c>
    </row>
    <row r="117" spans="1:18" x14ac:dyDescent="0.15">
      <c r="A117" s="945"/>
      <c r="B117" s="743"/>
      <c r="C117" s="643"/>
      <c r="D117" s="643"/>
      <c r="E117" s="643"/>
      <c r="F117" s="643"/>
      <c r="G117" s="643"/>
      <c r="H117" s="643"/>
      <c r="I117" s="643"/>
      <c r="J117" s="643"/>
      <c r="K117" s="643"/>
      <c r="L117" s="643"/>
      <c r="M117" s="643"/>
      <c r="N117" s="643"/>
      <c r="O117" s="643"/>
      <c r="P117" s="643"/>
      <c r="Q117" s="643"/>
      <c r="R117" s="644" t="str">
        <f t="shared" si="1"/>
        <v/>
      </c>
    </row>
    <row r="118" spans="1:18" x14ac:dyDescent="0.15">
      <c r="A118" s="945"/>
      <c r="B118" s="743"/>
      <c r="C118" s="643"/>
      <c r="D118" s="643"/>
      <c r="E118" s="643"/>
      <c r="F118" s="643"/>
      <c r="G118" s="643"/>
      <c r="H118" s="643"/>
      <c r="I118" s="643"/>
      <c r="J118" s="643"/>
      <c r="K118" s="643"/>
      <c r="L118" s="643"/>
      <c r="M118" s="643"/>
      <c r="N118" s="643"/>
      <c r="O118" s="643"/>
      <c r="P118" s="643"/>
      <c r="Q118" s="643"/>
      <c r="R118" s="644" t="str">
        <f t="shared" si="1"/>
        <v/>
      </c>
    </row>
    <row r="119" spans="1:18" x14ac:dyDescent="0.15">
      <c r="A119" s="945"/>
      <c r="B119" s="743"/>
      <c r="C119" s="643"/>
      <c r="D119" s="643"/>
      <c r="E119" s="643"/>
      <c r="F119" s="643"/>
      <c r="G119" s="643"/>
      <c r="H119" s="643"/>
      <c r="I119" s="643"/>
      <c r="J119" s="643"/>
      <c r="K119" s="643"/>
      <c r="L119" s="643"/>
      <c r="M119" s="643"/>
      <c r="N119" s="643"/>
      <c r="O119" s="643"/>
      <c r="P119" s="643"/>
      <c r="Q119" s="643"/>
      <c r="R119" s="644" t="str">
        <f t="shared" si="1"/>
        <v/>
      </c>
    </row>
    <row r="120" spans="1:18" x14ac:dyDescent="0.15">
      <c r="A120" s="945"/>
      <c r="B120" s="743"/>
      <c r="C120" s="643"/>
      <c r="D120" s="643"/>
      <c r="E120" s="643"/>
      <c r="F120" s="643"/>
      <c r="G120" s="643"/>
      <c r="H120" s="643"/>
      <c r="I120" s="643"/>
      <c r="J120" s="643"/>
      <c r="K120" s="643"/>
      <c r="L120" s="643"/>
      <c r="M120" s="643"/>
      <c r="N120" s="643"/>
      <c r="O120" s="643"/>
      <c r="P120" s="643"/>
      <c r="Q120" s="643"/>
      <c r="R120" s="644" t="str">
        <f t="shared" si="1"/>
        <v/>
      </c>
    </row>
    <row r="121" spans="1:18" x14ac:dyDescent="0.15">
      <c r="A121" s="945"/>
      <c r="B121" s="743"/>
      <c r="C121" s="643"/>
      <c r="D121" s="643"/>
      <c r="E121" s="643"/>
      <c r="F121" s="643"/>
      <c r="G121" s="643"/>
      <c r="H121" s="643"/>
      <c r="I121" s="643"/>
      <c r="J121" s="643"/>
      <c r="K121" s="643"/>
      <c r="L121" s="643"/>
      <c r="M121" s="643"/>
      <c r="N121" s="643"/>
      <c r="O121" s="643"/>
      <c r="P121" s="643"/>
      <c r="Q121" s="643"/>
      <c r="R121" s="644" t="str">
        <f t="shared" si="1"/>
        <v/>
      </c>
    </row>
    <row r="122" spans="1:18" x14ac:dyDescent="0.15">
      <c r="A122" s="945"/>
      <c r="B122" s="743"/>
      <c r="C122" s="643"/>
      <c r="D122" s="643"/>
      <c r="E122" s="643"/>
      <c r="F122" s="643"/>
      <c r="G122" s="643"/>
      <c r="H122" s="643"/>
      <c r="I122" s="643"/>
      <c r="J122" s="643"/>
      <c r="K122" s="643"/>
      <c r="L122" s="643"/>
      <c r="M122" s="643"/>
      <c r="N122" s="643"/>
      <c r="O122" s="643"/>
      <c r="P122" s="643"/>
      <c r="Q122" s="643"/>
      <c r="R122" s="644" t="str">
        <f t="shared" si="1"/>
        <v/>
      </c>
    </row>
    <row r="123" spans="1:18" x14ac:dyDescent="0.15">
      <c r="A123" s="945"/>
      <c r="B123" s="743"/>
      <c r="C123" s="643"/>
      <c r="D123" s="643"/>
      <c r="E123" s="643"/>
      <c r="F123" s="643"/>
      <c r="G123" s="643"/>
      <c r="H123" s="643"/>
      <c r="I123" s="643"/>
      <c r="J123" s="643"/>
      <c r="K123" s="643"/>
      <c r="L123" s="643"/>
      <c r="M123" s="643"/>
      <c r="N123" s="643"/>
      <c r="O123" s="643"/>
      <c r="P123" s="643"/>
      <c r="Q123" s="643"/>
      <c r="R123" s="644" t="str">
        <f t="shared" si="1"/>
        <v/>
      </c>
    </row>
    <row r="124" spans="1:18" x14ac:dyDescent="0.15">
      <c r="A124" s="945"/>
      <c r="B124" s="743"/>
      <c r="C124" s="643"/>
      <c r="D124" s="643"/>
      <c r="E124" s="643"/>
      <c r="F124" s="643"/>
      <c r="G124" s="643"/>
      <c r="H124" s="643"/>
      <c r="I124" s="643"/>
      <c r="J124" s="643"/>
      <c r="K124" s="643"/>
      <c r="L124" s="643"/>
      <c r="M124" s="643"/>
      <c r="N124" s="643"/>
      <c r="O124" s="643"/>
      <c r="P124" s="643"/>
      <c r="Q124" s="643"/>
      <c r="R124" s="644" t="str">
        <f t="shared" si="1"/>
        <v/>
      </c>
    </row>
    <row r="125" spans="1:18" x14ac:dyDescent="0.15">
      <c r="A125" s="945"/>
      <c r="B125" s="743"/>
      <c r="C125" s="643"/>
      <c r="D125" s="643"/>
      <c r="E125" s="643"/>
      <c r="F125" s="643"/>
      <c r="G125" s="643"/>
      <c r="H125" s="643"/>
      <c r="I125" s="643"/>
      <c r="J125" s="643"/>
      <c r="K125" s="643"/>
      <c r="L125" s="643"/>
      <c r="M125" s="643"/>
      <c r="N125" s="643"/>
      <c r="O125" s="643"/>
      <c r="P125" s="643"/>
      <c r="Q125" s="643"/>
      <c r="R125" s="644" t="str">
        <f t="shared" si="1"/>
        <v/>
      </c>
    </row>
    <row r="126" spans="1:18" x14ac:dyDescent="0.15">
      <c r="A126" s="945"/>
      <c r="B126" s="743"/>
      <c r="C126" s="643"/>
      <c r="D126" s="643"/>
      <c r="E126" s="643"/>
      <c r="F126" s="643"/>
      <c r="G126" s="643"/>
      <c r="H126" s="643"/>
      <c r="I126" s="643"/>
      <c r="J126" s="643"/>
      <c r="K126" s="643"/>
      <c r="L126" s="643"/>
      <c r="M126" s="643"/>
      <c r="N126" s="643"/>
      <c r="O126" s="643"/>
      <c r="P126" s="643"/>
      <c r="Q126" s="643"/>
      <c r="R126" s="644" t="str">
        <f t="shared" si="1"/>
        <v/>
      </c>
    </row>
    <row r="127" spans="1:18" x14ac:dyDescent="0.15">
      <c r="A127" s="945"/>
      <c r="B127" s="743"/>
      <c r="C127" s="643"/>
      <c r="D127" s="643"/>
      <c r="E127" s="643"/>
      <c r="F127" s="643"/>
      <c r="G127" s="643"/>
      <c r="H127" s="643"/>
      <c r="I127" s="643"/>
      <c r="J127" s="643"/>
      <c r="K127" s="643"/>
      <c r="L127" s="643"/>
      <c r="M127" s="643"/>
      <c r="N127" s="643"/>
      <c r="O127" s="643"/>
      <c r="P127" s="643"/>
      <c r="Q127" s="643"/>
      <c r="R127" s="644" t="str">
        <f t="shared" si="1"/>
        <v/>
      </c>
    </row>
    <row r="128" spans="1:18" x14ac:dyDescent="0.15">
      <c r="A128" s="945"/>
      <c r="B128" s="743"/>
      <c r="C128" s="643"/>
      <c r="D128" s="643"/>
      <c r="E128" s="643"/>
      <c r="F128" s="643"/>
      <c r="G128" s="643"/>
      <c r="H128" s="643"/>
      <c r="I128" s="643"/>
      <c r="J128" s="643"/>
      <c r="K128" s="643"/>
      <c r="L128" s="643"/>
      <c r="M128" s="643"/>
      <c r="N128" s="643"/>
      <c r="O128" s="643"/>
      <c r="P128" s="643"/>
      <c r="Q128" s="643"/>
      <c r="R128" s="644" t="str">
        <f t="shared" si="1"/>
        <v/>
      </c>
    </row>
    <row r="129" spans="1:18" x14ac:dyDescent="0.15">
      <c r="A129" s="945"/>
      <c r="B129" s="743"/>
      <c r="C129" s="643"/>
      <c r="D129" s="643"/>
      <c r="E129" s="643"/>
      <c r="F129" s="643"/>
      <c r="G129" s="643"/>
      <c r="H129" s="643"/>
      <c r="I129" s="643"/>
      <c r="J129" s="643"/>
      <c r="K129" s="643"/>
      <c r="L129" s="643"/>
      <c r="M129" s="643"/>
      <c r="N129" s="643"/>
      <c r="O129" s="643"/>
      <c r="P129" s="643"/>
      <c r="Q129" s="643"/>
      <c r="R129" s="644" t="str">
        <f t="shared" si="1"/>
        <v/>
      </c>
    </row>
    <row r="130" spans="1:18" x14ac:dyDescent="0.15">
      <c r="A130" s="945"/>
      <c r="B130" s="743"/>
      <c r="C130" s="643"/>
      <c r="D130" s="643"/>
      <c r="E130" s="643"/>
      <c r="F130" s="643"/>
      <c r="G130" s="643"/>
      <c r="H130" s="643"/>
      <c r="I130" s="643"/>
      <c r="J130" s="643"/>
      <c r="K130" s="643"/>
      <c r="L130" s="643"/>
      <c r="M130" s="643"/>
      <c r="N130" s="643"/>
      <c r="O130" s="643"/>
      <c r="P130" s="643"/>
      <c r="Q130" s="643"/>
      <c r="R130" s="644" t="str">
        <f t="shared" si="1"/>
        <v/>
      </c>
    </row>
    <row r="131" spans="1:18" x14ac:dyDescent="0.15">
      <c r="A131" s="945"/>
      <c r="B131" s="743"/>
      <c r="C131" s="643"/>
      <c r="D131" s="643"/>
      <c r="E131" s="643"/>
      <c r="F131" s="643"/>
      <c r="G131" s="643"/>
      <c r="H131" s="643"/>
      <c r="I131" s="643"/>
      <c r="J131" s="643"/>
      <c r="K131" s="643"/>
      <c r="L131" s="643"/>
      <c r="M131" s="643"/>
      <c r="N131" s="643"/>
      <c r="O131" s="643"/>
      <c r="P131" s="643"/>
      <c r="Q131" s="643"/>
      <c r="R131" s="644" t="str">
        <f t="shared" ref="R131:R194" si="2">IF(A131="","",SUM(C131:Q131))</f>
        <v/>
      </c>
    </row>
    <row r="132" spans="1:18" x14ac:dyDescent="0.15">
      <c r="A132" s="945"/>
      <c r="B132" s="743"/>
      <c r="C132" s="643"/>
      <c r="D132" s="643"/>
      <c r="E132" s="643"/>
      <c r="F132" s="643"/>
      <c r="G132" s="643"/>
      <c r="H132" s="643"/>
      <c r="I132" s="643"/>
      <c r="J132" s="643"/>
      <c r="K132" s="643"/>
      <c r="L132" s="643"/>
      <c r="M132" s="643"/>
      <c r="N132" s="643"/>
      <c r="O132" s="643"/>
      <c r="P132" s="643"/>
      <c r="Q132" s="643"/>
      <c r="R132" s="644" t="str">
        <f t="shared" si="2"/>
        <v/>
      </c>
    </row>
    <row r="133" spans="1:18" x14ac:dyDescent="0.15">
      <c r="A133" s="945"/>
      <c r="B133" s="743"/>
      <c r="C133" s="643"/>
      <c r="D133" s="643"/>
      <c r="E133" s="643"/>
      <c r="F133" s="643"/>
      <c r="G133" s="643"/>
      <c r="H133" s="643"/>
      <c r="I133" s="643"/>
      <c r="J133" s="643"/>
      <c r="K133" s="643"/>
      <c r="L133" s="643"/>
      <c r="M133" s="643"/>
      <c r="N133" s="643"/>
      <c r="O133" s="643"/>
      <c r="P133" s="643"/>
      <c r="Q133" s="643"/>
      <c r="R133" s="644" t="str">
        <f t="shared" si="2"/>
        <v/>
      </c>
    </row>
    <row r="134" spans="1:18" x14ac:dyDescent="0.15">
      <c r="A134" s="945"/>
      <c r="B134" s="743"/>
      <c r="C134" s="643"/>
      <c r="D134" s="643"/>
      <c r="E134" s="643"/>
      <c r="F134" s="643"/>
      <c r="G134" s="643"/>
      <c r="H134" s="643"/>
      <c r="I134" s="643"/>
      <c r="J134" s="643"/>
      <c r="K134" s="643"/>
      <c r="L134" s="643"/>
      <c r="M134" s="643"/>
      <c r="N134" s="643"/>
      <c r="O134" s="643"/>
      <c r="P134" s="643"/>
      <c r="Q134" s="643"/>
      <c r="R134" s="644" t="str">
        <f t="shared" si="2"/>
        <v/>
      </c>
    </row>
    <row r="135" spans="1:18" x14ac:dyDescent="0.15">
      <c r="A135" s="945"/>
      <c r="B135" s="743"/>
      <c r="C135" s="643"/>
      <c r="D135" s="643"/>
      <c r="E135" s="643"/>
      <c r="F135" s="643"/>
      <c r="G135" s="643"/>
      <c r="H135" s="643"/>
      <c r="I135" s="643"/>
      <c r="J135" s="643"/>
      <c r="K135" s="643"/>
      <c r="L135" s="643"/>
      <c r="M135" s="643"/>
      <c r="N135" s="643"/>
      <c r="O135" s="643"/>
      <c r="P135" s="643"/>
      <c r="Q135" s="643"/>
      <c r="R135" s="644" t="str">
        <f t="shared" si="2"/>
        <v/>
      </c>
    </row>
    <row r="136" spans="1:18" x14ac:dyDescent="0.15">
      <c r="A136" s="945"/>
      <c r="B136" s="743"/>
      <c r="C136" s="643"/>
      <c r="D136" s="643"/>
      <c r="E136" s="643"/>
      <c r="F136" s="643"/>
      <c r="G136" s="643"/>
      <c r="H136" s="643"/>
      <c r="I136" s="643"/>
      <c r="J136" s="643"/>
      <c r="K136" s="643"/>
      <c r="L136" s="643"/>
      <c r="M136" s="643"/>
      <c r="N136" s="643"/>
      <c r="O136" s="643"/>
      <c r="P136" s="643"/>
      <c r="Q136" s="643"/>
      <c r="R136" s="644" t="str">
        <f t="shared" si="2"/>
        <v/>
      </c>
    </row>
    <row r="137" spans="1:18" x14ac:dyDescent="0.15">
      <c r="A137" s="945"/>
      <c r="B137" s="743"/>
      <c r="C137" s="643"/>
      <c r="D137" s="643"/>
      <c r="E137" s="643"/>
      <c r="F137" s="643"/>
      <c r="G137" s="643"/>
      <c r="H137" s="643"/>
      <c r="I137" s="643"/>
      <c r="J137" s="643"/>
      <c r="K137" s="643"/>
      <c r="L137" s="643"/>
      <c r="M137" s="643"/>
      <c r="N137" s="643"/>
      <c r="O137" s="643"/>
      <c r="P137" s="643"/>
      <c r="Q137" s="643"/>
      <c r="R137" s="644" t="str">
        <f t="shared" si="2"/>
        <v/>
      </c>
    </row>
    <row r="138" spans="1:18" x14ac:dyDescent="0.15">
      <c r="A138" s="945"/>
      <c r="B138" s="743"/>
      <c r="C138" s="643"/>
      <c r="D138" s="643"/>
      <c r="E138" s="643"/>
      <c r="F138" s="643"/>
      <c r="G138" s="643"/>
      <c r="H138" s="643"/>
      <c r="I138" s="643"/>
      <c r="J138" s="643"/>
      <c r="K138" s="643"/>
      <c r="L138" s="643"/>
      <c r="M138" s="643"/>
      <c r="N138" s="643"/>
      <c r="O138" s="643"/>
      <c r="P138" s="643"/>
      <c r="Q138" s="643"/>
      <c r="R138" s="644" t="str">
        <f t="shared" si="2"/>
        <v/>
      </c>
    </row>
    <row r="139" spans="1:18" x14ac:dyDescent="0.15">
      <c r="A139" s="945"/>
      <c r="B139" s="743"/>
      <c r="C139" s="643"/>
      <c r="D139" s="643"/>
      <c r="E139" s="643"/>
      <c r="F139" s="643"/>
      <c r="G139" s="643"/>
      <c r="H139" s="643"/>
      <c r="I139" s="643"/>
      <c r="J139" s="643"/>
      <c r="K139" s="643"/>
      <c r="L139" s="643"/>
      <c r="M139" s="643"/>
      <c r="N139" s="643"/>
      <c r="O139" s="643"/>
      <c r="P139" s="643"/>
      <c r="Q139" s="643"/>
      <c r="R139" s="644" t="str">
        <f t="shared" si="2"/>
        <v/>
      </c>
    </row>
    <row r="140" spans="1:18" x14ac:dyDescent="0.15">
      <c r="A140" s="945"/>
      <c r="B140" s="743"/>
      <c r="C140" s="643"/>
      <c r="D140" s="643"/>
      <c r="E140" s="643"/>
      <c r="F140" s="643"/>
      <c r="G140" s="643"/>
      <c r="H140" s="643"/>
      <c r="I140" s="643"/>
      <c r="J140" s="643"/>
      <c r="K140" s="643"/>
      <c r="L140" s="643"/>
      <c r="M140" s="643"/>
      <c r="N140" s="643"/>
      <c r="O140" s="643"/>
      <c r="P140" s="643"/>
      <c r="Q140" s="643"/>
      <c r="R140" s="644" t="str">
        <f t="shared" si="2"/>
        <v/>
      </c>
    </row>
    <row r="141" spans="1:18" x14ac:dyDescent="0.15">
      <c r="A141" s="945"/>
      <c r="B141" s="743"/>
      <c r="C141" s="643"/>
      <c r="D141" s="643"/>
      <c r="E141" s="643"/>
      <c r="F141" s="643"/>
      <c r="G141" s="643"/>
      <c r="H141" s="643"/>
      <c r="I141" s="643"/>
      <c r="J141" s="643"/>
      <c r="K141" s="643"/>
      <c r="L141" s="643"/>
      <c r="M141" s="643"/>
      <c r="N141" s="643"/>
      <c r="O141" s="643"/>
      <c r="P141" s="643"/>
      <c r="Q141" s="643"/>
      <c r="R141" s="644" t="str">
        <f t="shared" si="2"/>
        <v/>
      </c>
    </row>
    <row r="142" spans="1:18" x14ac:dyDescent="0.15">
      <c r="A142" s="945"/>
      <c r="B142" s="743"/>
      <c r="C142" s="643"/>
      <c r="D142" s="643"/>
      <c r="E142" s="643"/>
      <c r="F142" s="643"/>
      <c r="G142" s="643"/>
      <c r="H142" s="643"/>
      <c r="I142" s="643"/>
      <c r="J142" s="643"/>
      <c r="K142" s="643"/>
      <c r="L142" s="643"/>
      <c r="M142" s="643"/>
      <c r="N142" s="643"/>
      <c r="O142" s="643"/>
      <c r="P142" s="643"/>
      <c r="Q142" s="643"/>
      <c r="R142" s="644" t="str">
        <f t="shared" si="2"/>
        <v/>
      </c>
    </row>
    <row r="143" spans="1:18" x14ac:dyDescent="0.15">
      <c r="A143" s="945"/>
      <c r="B143" s="743"/>
      <c r="C143" s="643"/>
      <c r="D143" s="643"/>
      <c r="E143" s="643"/>
      <c r="F143" s="643"/>
      <c r="G143" s="643"/>
      <c r="H143" s="643"/>
      <c r="I143" s="643"/>
      <c r="J143" s="643"/>
      <c r="K143" s="643"/>
      <c r="L143" s="643"/>
      <c r="M143" s="643"/>
      <c r="N143" s="643"/>
      <c r="O143" s="643"/>
      <c r="P143" s="643"/>
      <c r="Q143" s="643"/>
      <c r="R143" s="644" t="str">
        <f t="shared" si="2"/>
        <v/>
      </c>
    </row>
    <row r="144" spans="1:18" x14ac:dyDescent="0.15">
      <c r="A144" s="945"/>
      <c r="B144" s="743"/>
      <c r="C144" s="643"/>
      <c r="D144" s="643"/>
      <c r="E144" s="643"/>
      <c r="F144" s="643"/>
      <c r="G144" s="643"/>
      <c r="H144" s="643"/>
      <c r="I144" s="643"/>
      <c r="J144" s="643"/>
      <c r="K144" s="643"/>
      <c r="L144" s="643"/>
      <c r="M144" s="643"/>
      <c r="N144" s="643"/>
      <c r="O144" s="643"/>
      <c r="P144" s="643"/>
      <c r="Q144" s="643"/>
      <c r="R144" s="644" t="str">
        <f t="shared" si="2"/>
        <v/>
      </c>
    </row>
    <row r="145" spans="1:18" x14ac:dyDescent="0.15">
      <c r="A145" s="945"/>
      <c r="B145" s="743"/>
      <c r="C145" s="643"/>
      <c r="D145" s="643"/>
      <c r="E145" s="643"/>
      <c r="F145" s="643"/>
      <c r="G145" s="643"/>
      <c r="H145" s="643"/>
      <c r="I145" s="643"/>
      <c r="J145" s="643"/>
      <c r="K145" s="643"/>
      <c r="L145" s="643"/>
      <c r="M145" s="643"/>
      <c r="N145" s="643"/>
      <c r="O145" s="643"/>
      <c r="P145" s="643"/>
      <c r="Q145" s="643"/>
      <c r="R145" s="644" t="str">
        <f t="shared" si="2"/>
        <v/>
      </c>
    </row>
    <row r="146" spans="1:18" x14ac:dyDescent="0.15">
      <c r="A146" s="945"/>
      <c r="B146" s="743"/>
      <c r="C146" s="643"/>
      <c r="D146" s="643"/>
      <c r="E146" s="643"/>
      <c r="F146" s="643"/>
      <c r="G146" s="643"/>
      <c r="H146" s="643"/>
      <c r="I146" s="643"/>
      <c r="J146" s="643"/>
      <c r="K146" s="643"/>
      <c r="L146" s="643"/>
      <c r="M146" s="643"/>
      <c r="N146" s="643"/>
      <c r="O146" s="643"/>
      <c r="P146" s="643"/>
      <c r="Q146" s="643"/>
      <c r="R146" s="644" t="str">
        <f t="shared" si="2"/>
        <v/>
      </c>
    </row>
    <row r="147" spans="1:18" x14ac:dyDescent="0.15">
      <c r="A147" s="945"/>
      <c r="B147" s="743"/>
      <c r="C147" s="643"/>
      <c r="D147" s="643"/>
      <c r="E147" s="643"/>
      <c r="F147" s="643"/>
      <c r="G147" s="643"/>
      <c r="H147" s="643"/>
      <c r="I147" s="643"/>
      <c r="J147" s="643"/>
      <c r="K147" s="643"/>
      <c r="L147" s="643"/>
      <c r="M147" s="643"/>
      <c r="N147" s="643"/>
      <c r="O147" s="643"/>
      <c r="P147" s="643"/>
      <c r="Q147" s="643"/>
      <c r="R147" s="644" t="str">
        <f t="shared" si="2"/>
        <v/>
      </c>
    </row>
    <row r="148" spans="1:18" x14ac:dyDescent="0.15">
      <c r="A148" s="945"/>
      <c r="B148" s="743"/>
      <c r="C148" s="643"/>
      <c r="D148" s="643"/>
      <c r="E148" s="643"/>
      <c r="F148" s="643"/>
      <c r="G148" s="643"/>
      <c r="H148" s="643"/>
      <c r="I148" s="643"/>
      <c r="J148" s="643"/>
      <c r="K148" s="643"/>
      <c r="L148" s="643"/>
      <c r="M148" s="643"/>
      <c r="N148" s="643"/>
      <c r="O148" s="643"/>
      <c r="P148" s="643"/>
      <c r="Q148" s="643"/>
      <c r="R148" s="644" t="str">
        <f t="shared" si="2"/>
        <v/>
      </c>
    </row>
    <row r="149" spans="1:18" x14ac:dyDescent="0.15">
      <c r="A149" s="945"/>
      <c r="B149" s="743"/>
      <c r="C149" s="643"/>
      <c r="D149" s="643"/>
      <c r="E149" s="643"/>
      <c r="F149" s="643"/>
      <c r="G149" s="643"/>
      <c r="H149" s="643"/>
      <c r="I149" s="643"/>
      <c r="J149" s="643"/>
      <c r="K149" s="643"/>
      <c r="L149" s="643"/>
      <c r="M149" s="643"/>
      <c r="N149" s="643"/>
      <c r="O149" s="643"/>
      <c r="P149" s="643"/>
      <c r="Q149" s="643"/>
      <c r="R149" s="644" t="str">
        <f t="shared" si="2"/>
        <v/>
      </c>
    </row>
    <row r="150" spans="1:18" x14ac:dyDescent="0.15">
      <c r="A150" s="945"/>
      <c r="B150" s="743"/>
      <c r="C150" s="643"/>
      <c r="D150" s="643"/>
      <c r="E150" s="643"/>
      <c r="F150" s="643"/>
      <c r="G150" s="643"/>
      <c r="H150" s="643"/>
      <c r="I150" s="643"/>
      <c r="J150" s="643"/>
      <c r="K150" s="643"/>
      <c r="L150" s="643"/>
      <c r="M150" s="643"/>
      <c r="N150" s="643"/>
      <c r="O150" s="643"/>
      <c r="P150" s="643"/>
      <c r="Q150" s="643"/>
      <c r="R150" s="644" t="str">
        <f t="shared" si="2"/>
        <v/>
      </c>
    </row>
    <row r="151" spans="1:18" x14ac:dyDescent="0.15">
      <c r="A151" s="945"/>
      <c r="B151" s="743"/>
      <c r="C151" s="643"/>
      <c r="D151" s="643"/>
      <c r="E151" s="643"/>
      <c r="F151" s="643"/>
      <c r="G151" s="643"/>
      <c r="H151" s="643"/>
      <c r="I151" s="643"/>
      <c r="J151" s="643"/>
      <c r="K151" s="643"/>
      <c r="L151" s="643"/>
      <c r="M151" s="643"/>
      <c r="N151" s="643"/>
      <c r="O151" s="643"/>
      <c r="P151" s="643"/>
      <c r="Q151" s="643"/>
      <c r="R151" s="644" t="str">
        <f t="shared" si="2"/>
        <v/>
      </c>
    </row>
    <row r="152" spans="1:18" x14ac:dyDescent="0.15">
      <c r="A152" s="945"/>
      <c r="B152" s="743"/>
      <c r="C152" s="643"/>
      <c r="D152" s="643"/>
      <c r="E152" s="643"/>
      <c r="F152" s="643"/>
      <c r="G152" s="643"/>
      <c r="H152" s="643"/>
      <c r="I152" s="643"/>
      <c r="J152" s="643"/>
      <c r="K152" s="643"/>
      <c r="L152" s="643"/>
      <c r="M152" s="643"/>
      <c r="N152" s="643"/>
      <c r="O152" s="643"/>
      <c r="P152" s="643"/>
      <c r="Q152" s="643"/>
      <c r="R152" s="644" t="str">
        <f t="shared" si="2"/>
        <v/>
      </c>
    </row>
    <row r="153" spans="1:18" x14ac:dyDescent="0.15">
      <c r="A153" s="945"/>
      <c r="B153" s="743"/>
      <c r="C153" s="643"/>
      <c r="D153" s="643"/>
      <c r="E153" s="643"/>
      <c r="F153" s="643"/>
      <c r="G153" s="643"/>
      <c r="H153" s="643"/>
      <c r="I153" s="643"/>
      <c r="J153" s="643"/>
      <c r="K153" s="643"/>
      <c r="L153" s="643"/>
      <c r="M153" s="643"/>
      <c r="N153" s="643"/>
      <c r="O153" s="643"/>
      <c r="P153" s="643"/>
      <c r="Q153" s="643"/>
      <c r="R153" s="644" t="str">
        <f t="shared" si="2"/>
        <v/>
      </c>
    </row>
    <row r="154" spans="1:18" x14ac:dyDescent="0.15">
      <c r="A154" s="945"/>
      <c r="B154" s="743"/>
      <c r="C154" s="643"/>
      <c r="D154" s="643"/>
      <c r="E154" s="643"/>
      <c r="F154" s="643"/>
      <c r="G154" s="643"/>
      <c r="H154" s="643"/>
      <c r="I154" s="643"/>
      <c r="J154" s="643"/>
      <c r="K154" s="643"/>
      <c r="L154" s="643"/>
      <c r="M154" s="643"/>
      <c r="N154" s="643"/>
      <c r="O154" s="643"/>
      <c r="P154" s="643"/>
      <c r="Q154" s="643"/>
      <c r="R154" s="644" t="str">
        <f t="shared" si="2"/>
        <v/>
      </c>
    </row>
    <row r="155" spans="1:18" x14ac:dyDescent="0.15">
      <c r="A155" s="945"/>
      <c r="B155" s="743"/>
      <c r="C155" s="643"/>
      <c r="D155" s="643"/>
      <c r="E155" s="643"/>
      <c r="F155" s="643"/>
      <c r="G155" s="643"/>
      <c r="H155" s="643"/>
      <c r="I155" s="643"/>
      <c r="J155" s="643"/>
      <c r="K155" s="643"/>
      <c r="L155" s="643"/>
      <c r="M155" s="643"/>
      <c r="N155" s="643"/>
      <c r="O155" s="643"/>
      <c r="P155" s="643"/>
      <c r="Q155" s="643"/>
      <c r="R155" s="644" t="str">
        <f t="shared" si="2"/>
        <v/>
      </c>
    </row>
    <row r="156" spans="1:18" x14ac:dyDescent="0.15">
      <c r="A156" s="945"/>
      <c r="B156" s="743"/>
      <c r="C156" s="643"/>
      <c r="D156" s="643"/>
      <c r="E156" s="643"/>
      <c r="F156" s="643"/>
      <c r="G156" s="643"/>
      <c r="H156" s="643"/>
      <c r="I156" s="643"/>
      <c r="J156" s="643"/>
      <c r="K156" s="643"/>
      <c r="L156" s="643"/>
      <c r="M156" s="643"/>
      <c r="N156" s="643"/>
      <c r="O156" s="643"/>
      <c r="P156" s="643"/>
      <c r="Q156" s="643"/>
      <c r="R156" s="644" t="str">
        <f t="shared" si="2"/>
        <v/>
      </c>
    </row>
    <row r="157" spans="1:18" x14ac:dyDescent="0.15">
      <c r="A157" s="945"/>
      <c r="B157" s="743"/>
      <c r="C157" s="643"/>
      <c r="D157" s="643"/>
      <c r="E157" s="643"/>
      <c r="F157" s="643"/>
      <c r="G157" s="643"/>
      <c r="H157" s="643"/>
      <c r="I157" s="643"/>
      <c r="J157" s="643"/>
      <c r="K157" s="643"/>
      <c r="L157" s="643"/>
      <c r="M157" s="643"/>
      <c r="N157" s="643"/>
      <c r="O157" s="643"/>
      <c r="P157" s="643"/>
      <c r="Q157" s="643"/>
      <c r="R157" s="644" t="str">
        <f t="shared" si="2"/>
        <v/>
      </c>
    </row>
    <row r="158" spans="1:18" x14ac:dyDescent="0.15">
      <c r="A158" s="945"/>
      <c r="B158" s="743"/>
      <c r="C158" s="643"/>
      <c r="D158" s="643"/>
      <c r="E158" s="643"/>
      <c r="F158" s="643"/>
      <c r="G158" s="643"/>
      <c r="H158" s="643"/>
      <c r="I158" s="643"/>
      <c r="J158" s="643"/>
      <c r="K158" s="643"/>
      <c r="L158" s="643"/>
      <c r="M158" s="643"/>
      <c r="N158" s="643"/>
      <c r="O158" s="643"/>
      <c r="P158" s="643"/>
      <c r="Q158" s="643"/>
      <c r="R158" s="644" t="str">
        <f t="shared" si="2"/>
        <v/>
      </c>
    </row>
    <row r="159" spans="1:18" x14ac:dyDescent="0.15">
      <c r="A159" s="945"/>
      <c r="B159" s="743"/>
      <c r="C159" s="643"/>
      <c r="D159" s="643"/>
      <c r="E159" s="643"/>
      <c r="F159" s="643"/>
      <c r="G159" s="643"/>
      <c r="H159" s="643"/>
      <c r="I159" s="643"/>
      <c r="J159" s="643"/>
      <c r="K159" s="643"/>
      <c r="L159" s="643"/>
      <c r="M159" s="643"/>
      <c r="N159" s="643"/>
      <c r="O159" s="643"/>
      <c r="P159" s="643"/>
      <c r="Q159" s="643"/>
      <c r="R159" s="644" t="str">
        <f t="shared" si="2"/>
        <v/>
      </c>
    </row>
    <row r="160" spans="1:18" x14ac:dyDescent="0.15">
      <c r="A160" s="945"/>
      <c r="B160" s="743"/>
      <c r="C160" s="643"/>
      <c r="D160" s="643"/>
      <c r="E160" s="643"/>
      <c r="F160" s="643"/>
      <c r="G160" s="643"/>
      <c r="H160" s="643"/>
      <c r="I160" s="643"/>
      <c r="J160" s="643"/>
      <c r="K160" s="643"/>
      <c r="L160" s="643"/>
      <c r="M160" s="643"/>
      <c r="N160" s="643"/>
      <c r="O160" s="643"/>
      <c r="P160" s="643"/>
      <c r="Q160" s="643"/>
      <c r="R160" s="644" t="str">
        <f t="shared" si="2"/>
        <v/>
      </c>
    </row>
    <row r="161" spans="1:18" x14ac:dyDescent="0.15">
      <c r="A161" s="945"/>
      <c r="B161" s="743"/>
      <c r="C161" s="643"/>
      <c r="D161" s="643"/>
      <c r="E161" s="643"/>
      <c r="F161" s="643"/>
      <c r="G161" s="643"/>
      <c r="H161" s="643"/>
      <c r="I161" s="643"/>
      <c r="J161" s="643"/>
      <c r="K161" s="643"/>
      <c r="L161" s="643"/>
      <c r="M161" s="643"/>
      <c r="N161" s="643"/>
      <c r="O161" s="643"/>
      <c r="P161" s="643"/>
      <c r="Q161" s="643"/>
      <c r="R161" s="644" t="str">
        <f t="shared" si="2"/>
        <v/>
      </c>
    </row>
    <row r="162" spans="1:18" x14ac:dyDescent="0.15">
      <c r="A162" s="945"/>
      <c r="B162" s="743"/>
      <c r="C162" s="643"/>
      <c r="D162" s="643"/>
      <c r="E162" s="643"/>
      <c r="F162" s="643"/>
      <c r="G162" s="643"/>
      <c r="H162" s="643"/>
      <c r="I162" s="643"/>
      <c r="J162" s="643"/>
      <c r="K162" s="643"/>
      <c r="L162" s="643"/>
      <c r="M162" s="643"/>
      <c r="N162" s="643"/>
      <c r="O162" s="643"/>
      <c r="P162" s="643"/>
      <c r="Q162" s="643"/>
      <c r="R162" s="644" t="str">
        <f t="shared" si="2"/>
        <v/>
      </c>
    </row>
    <row r="163" spans="1:18" x14ac:dyDescent="0.15">
      <c r="A163" s="945"/>
      <c r="B163" s="743"/>
      <c r="C163" s="643"/>
      <c r="D163" s="643"/>
      <c r="E163" s="643"/>
      <c r="F163" s="643"/>
      <c r="G163" s="643"/>
      <c r="H163" s="643"/>
      <c r="I163" s="643"/>
      <c r="J163" s="643"/>
      <c r="K163" s="643"/>
      <c r="L163" s="643"/>
      <c r="M163" s="643"/>
      <c r="N163" s="643"/>
      <c r="O163" s="643"/>
      <c r="P163" s="643"/>
      <c r="Q163" s="643"/>
      <c r="R163" s="644" t="str">
        <f t="shared" si="2"/>
        <v/>
      </c>
    </row>
    <row r="164" spans="1:18" x14ac:dyDescent="0.15">
      <c r="A164" s="945"/>
      <c r="B164" s="743"/>
      <c r="C164" s="643"/>
      <c r="D164" s="643"/>
      <c r="E164" s="643"/>
      <c r="F164" s="643"/>
      <c r="G164" s="643"/>
      <c r="H164" s="643"/>
      <c r="I164" s="643"/>
      <c r="J164" s="643"/>
      <c r="K164" s="643"/>
      <c r="L164" s="643"/>
      <c r="M164" s="643"/>
      <c r="N164" s="643"/>
      <c r="O164" s="643"/>
      <c r="P164" s="643"/>
      <c r="Q164" s="643"/>
      <c r="R164" s="644" t="str">
        <f t="shared" si="2"/>
        <v/>
      </c>
    </row>
    <row r="165" spans="1:18" x14ac:dyDescent="0.15">
      <c r="A165" s="945"/>
      <c r="B165" s="743"/>
      <c r="C165" s="643"/>
      <c r="D165" s="643"/>
      <c r="E165" s="643"/>
      <c r="F165" s="643"/>
      <c r="G165" s="643"/>
      <c r="H165" s="643"/>
      <c r="I165" s="643"/>
      <c r="J165" s="643"/>
      <c r="K165" s="643"/>
      <c r="L165" s="643"/>
      <c r="M165" s="643"/>
      <c r="N165" s="643"/>
      <c r="O165" s="643"/>
      <c r="P165" s="643"/>
      <c r="Q165" s="643"/>
      <c r="R165" s="644" t="str">
        <f t="shared" si="2"/>
        <v/>
      </c>
    </row>
    <row r="166" spans="1:18" x14ac:dyDescent="0.15">
      <c r="A166" s="945"/>
      <c r="B166" s="743"/>
      <c r="C166" s="643"/>
      <c r="D166" s="643"/>
      <c r="E166" s="643"/>
      <c r="F166" s="643"/>
      <c r="G166" s="643"/>
      <c r="H166" s="643"/>
      <c r="I166" s="643"/>
      <c r="J166" s="643"/>
      <c r="K166" s="643"/>
      <c r="L166" s="643"/>
      <c r="M166" s="643"/>
      <c r="N166" s="643"/>
      <c r="O166" s="643"/>
      <c r="P166" s="643"/>
      <c r="Q166" s="643"/>
      <c r="R166" s="644" t="str">
        <f t="shared" si="2"/>
        <v/>
      </c>
    </row>
    <row r="167" spans="1:18" x14ac:dyDescent="0.15">
      <c r="A167" s="945"/>
      <c r="B167" s="743"/>
      <c r="C167" s="643"/>
      <c r="D167" s="643"/>
      <c r="E167" s="643"/>
      <c r="F167" s="643"/>
      <c r="G167" s="643"/>
      <c r="H167" s="643"/>
      <c r="I167" s="643"/>
      <c r="J167" s="643"/>
      <c r="K167" s="643"/>
      <c r="L167" s="643"/>
      <c r="M167" s="643"/>
      <c r="N167" s="643"/>
      <c r="O167" s="643"/>
      <c r="P167" s="643"/>
      <c r="Q167" s="643"/>
      <c r="R167" s="644" t="str">
        <f t="shared" si="2"/>
        <v/>
      </c>
    </row>
    <row r="168" spans="1:18" x14ac:dyDescent="0.15">
      <c r="A168" s="945"/>
      <c r="B168" s="743"/>
      <c r="C168" s="643"/>
      <c r="D168" s="643"/>
      <c r="E168" s="643"/>
      <c r="F168" s="643"/>
      <c r="G168" s="643"/>
      <c r="H168" s="643"/>
      <c r="I168" s="643"/>
      <c r="J168" s="643"/>
      <c r="K168" s="643"/>
      <c r="L168" s="643"/>
      <c r="M168" s="643"/>
      <c r="N168" s="643"/>
      <c r="O168" s="643"/>
      <c r="P168" s="643"/>
      <c r="Q168" s="643"/>
      <c r="R168" s="644" t="str">
        <f t="shared" si="2"/>
        <v/>
      </c>
    </row>
    <row r="169" spans="1:18" x14ac:dyDescent="0.15">
      <c r="A169" s="945"/>
      <c r="B169" s="743"/>
      <c r="C169" s="643"/>
      <c r="D169" s="643"/>
      <c r="E169" s="643"/>
      <c r="F169" s="643"/>
      <c r="G169" s="643"/>
      <c r="H169" s="643"/>
      <c r="I169" s="643"/>
      <c r="J169" s="643"/>
      <c r="K169" s="643"/>
      <c r="L169" s="643"/>
      <c r="M169" s="643"/>
      <c r="N169" s="643"/>
      <c r="O169" s="643"/>
      <c r="P169" s="643"/>
      <c r="Q169" s="643"/>
      <c r="R169" s="644" t="str">
        <f t="shared" si="2"/>
        <v/>
      </c>
    </row>
    <row r="170" spans="1:18" x14ac:dyDescent="0.15">
      <c r="A170" s="945"/>
      <c r="B170" s="743"/>
      <c r="C170" s="643"/>
      <c r="D170" s="643"/>
      <c r="E170" s="643"/>
      <c r="F170" s="643"/>
      <c r="G170" s="643"/>
      <c r="H170" s="643"/>
      <c r="I170" s="643"/>
      <c r="J170" s="643"/>
      <c r="K170" s="643"/>
      <c r="L170" s="643"/>
      <c r="M170" s="643"/>
      <c r="N170" s="643"/>
      <c r="O170" s="643"/>
      <c r="P170" s="643"/>
      <c r="Q170" s="643"/>
      <c r="R170" s="644" t="str">
        <f t="shared" si="2"/>
        <v/>
      </c>
    </row>
    <row r="171" spans="1:18" x14ac:dyDescent="0.15">
      <c r="A171" s="945"/>
      <c r="B171" s="743"/>
      <c r="C171" s="643"/>
      <c r="D171" s="643"/>
      <c r="E171" s="643"/>
      <c r="F171" s="643"/>
      <c r="G171" s="643"/>
      <c r="H171" s="643"/>
      <c r="I171" s="643"/>
      <c r="J171" s="643"/>
      <c r="K171" s="643"/>
      <c r="L171" s="643"/>
      <c r="M171" s="643"/>
      <c r="N171" s="643"/>
      <c r="O171" s="643"/>
      <c r="P171" s="643"/>
      <c r="Q171" s="643"/>
      <c r="R171" s="644" t="str">
        <f t="shared" si="2"/>
        <v/>
      </c>
    </row>
    <row r="172" spans="1:18" x14ac:dyDescent="0.15">
      <c r="A172" s="945"/>
      <c r="B172" s="743"/>
      <c r="C172" s="643"/>
      <c r="D172" s="643"/>
      <c r="E172" s="643"/>
      <c r="F172" s="643"/>
      <c r="G172" s="643"/>
      <c r="H172" s="643"/>
      <c r="I172" s="643"/>
      <c r="J172" s="643"/>
      <c r="K172" s="643"/>
      <c r="L172" s="643"/>
      <c r="M172" s="643"/>
      <c r="N172" s="643"/>
      <c r="O172" s="643"/>
      <c r="P172" s="643"/>
      <c r="Q172" s="643"/>
      <c r="R172" s="644" t="str">
        <f t="shared" si="2"/>
        <v/>
      </c>
    </row>
    <row r="173" spans="1:18" x14ac:dyDescent="0.15">
      <c r="A173" s="945"/>
      <c r="B173" s="743"/>
      <c r="C173" s="643"/>
      <c r="D173" s="643"/>
      <c r="E173" s="643"/>
      <c r="F173" s="643"/>
      <c r="G173" s="643"/>
      <c r="H173" s="643"/>
      <c r="I173" s="643"/>
      <c r="J173" s="643"/>
      <c r="K173" s="643"/>
      <c r="L173" s="643"/>
      <c r="M173" s="643"/>
      <c r="N173" s="643"/>
      <c r="O173" s="643"/>
      <c r="P173" s="643"/>
      <c r="Q173" s="643"/>
      <c r="R173" s="644" t="str">
        <f t="shared" si="2"/>
        <v/>
      </c>
    </row>
    <row r="174" spans="1:18" x14ac:dyDescent="0.15">
      <c r="A174" s="945"/>
      <c r="B174" s="743"/>
      <c r="C174" s="643"/>
      <c r="D174" s="643"/>
      <c r="E174" s="643"/>
      <c r="F174" s="643"/>
      <c r="G174" s="643"/>
      <c r="H174" s="643"/>
      <c r="I174" s="643"/>
      <c r="J174" s="643"/>
      <c r="K174" s="643"/>
      <c r="L174" s="643"/>
      <c r="M174" s="643"/>
      <c r="N174" s="643"/>
      <c r="O174" s="643"/>
      <c r="P174" s="643"/>
      <c r="Q174" s="643"/>
      <c r="R174" s="644" t="str">
        <f t="shared" si="2"/>
        <v/>
      </c>
    </row>
    <row r="175" spans="1:18" x14ac:dyDescent="0.15">
      <c r="A175" s="945"/>
      <c r="B175" s="743"/>
      <c r="C175" s="643"/>
      <c r="D175" s="643"/>
      <c r="E175" s="643"/>
      <c r="F175" s="643"/>
      <c r="G175" s="643"/>
      <c r="H175" s="643"/>
      <c r="I175" s="643"/>
      <c r="J175" s="643"/>
      <c r="K175" s="643"/>
      <c r="L175" s="643"/>
      <c r="M175" s="643"/>
      <c r="N175" s="643"/>
      <c r="O175" s="643"/>
      <c r="P175" s="643"/>
      <c r="Q175" s="643"/>
      <c r="R175" s="644" t="str">
        <f t="shared" si="2"/>
        <v/>
      </c>
    </row>
    <row r="176" spans="1:18" x14ac:dyDescent="0.15">
      <c r="A176" s="945"/>
      <c r="B176" s="743"/>
      <c r="C176" s="643"/>
      <c r="D176" s="643"/>
      <c r="E176" s="643"/>
      <c r="F176" s="643"/>
      <c r="G176" s="643"/>
      <c r="H176" s="643"/>
      <c r="I176" s="643"/>
      <c r="J176" s="643"/>
      <c r="K176" s="643"/>
      <c r="L176" s="643"/>
      <c r="M176" s="643"/>
      <c r="N176" s="643"/>
      <c r="O176" s="643"/>
      <c r="P176" s="643"/>
      <c r="Q176" s="643"/>
      <c r="R176" s="644" t="str">
        <f t="shared" si="2"/>
        <v/>
      </c>
    </row>
    <row r="177" spans="1:18" x14ac:dyDescent="0.15">
      <c r="A177" s="945"/>
      <c r="B177" s="743"/>
      <c r="C177" s="643"/>
      <c r="D177" s="643"/>
      <c r="E177" s="643"/>
      <c r="F177" s="643"/>
      <c r="G177" s="643"/>
      <c r="H177" s="643"/>
      <c r="I177" s="643"/>
      <c r="J177" s="643"/>
      <c r="K177" s="643"/>
      <c r="L177" s="643"/>
      <c r="M177" s="643"/>
      <c r="N177" s="643"/>
      <c r="O177" s="643"/>
      <c r="P177" s="643"/>
      <c r="Q177" s="643"/>
      <c r="R177" s="644" t="str">
        <f t="shared" si="2"/>
        <v/>
      </c>
    </row>
    <row r="178" spans="1:18" x14ac:dyDescent="0.15">
      <c r="A178" s="945"/>
      <c r="B178" s="743"/>
      <c r="C178" s="643"/>
      <c r="D178" s="643"/>
      <c r="E178" s="643"/>
      <c r="F178" s="643"/>
      <c r="G178" s="643"/>
      <c r="H178" s="643"/>
      <c r="I178" s="643"/>
      <c r="J178" s="643"/>
      <c r="K178" s="643"/>
      <c r="L178" s="643"/>
      <c r="M178" s="643"/>
      <c r="N178" s="643"/>
      <c r="O178" s="643"/>
      <c r="P178" s="643"/>
      <c r="Q178" s="643"/>
      <c r="R178" s="644" t="str">
        <f t="shared" si="2"/>
        <v/>
      </c>
    </row>
    <row r="179" spans="1:18" x14ac:dyDescent="0.15">
      <c r="A179" s="945"/>
      <c r="B179" s="743"/>
      <c r="C179" s="643"/>
      <c r="D179" s="643"/>
      <c r="E179" s="643"/>
      <c r="F179" s="643"/>
      <c r="G179" s="643"/>
      <c r="H179" s="643"/>
      <c r="I179" s="643"/>
      <c r="J179" s="643"/>
      <c r="K179" s="643"/>
      <c r="L179" s="643"/>
      <c r="M179" s="643"/>
      <c r="N179" s="643"/>
      <c r="O179" s="643"/>
      <c r="P179" s="643"/>
      <c r="Q179" s="643"/>
      <c r="R179" s="644" t="str">
        <f t="shared" si="2"/>
        <v/>
      </c>
    </row>
    <row r="180" spans="1:18" x14ac:dyDescent="0.15">
      <c r="A180" s="945"/>
      <c r="B180" s="743"/>
      <c r="C180" s="643"/>
      <c r="D180" s="643"/>
      <c r="E180" s="643"/>
      <c r="F180" s="643"/>
      <c r="G180" s="643"/>
      <c r="H180" s="643"/>
      <c r="I180" s="643"/>
      <c r="J180" s="643"/>
      <c r="K180" s="643"/>
      <c r="L180" s="643"/>
      <c r="M180" s="643"/>
      <c r="N180" s="643"/>
      <c r="O180" s="643"/>
      <c r="P180" s="643"/>
      <c r="Q180" s="643"/>
      <c r="R180" s="644" t="str">
        <f t="shared" si="2"/>
        <v/>
      </c>
    </row>
    <row r="181" spans="1:18" x14ac:dyDescent="0.15">
      <c r="A181" s="945"/>
      <c r="B181" s="743"/>
      <c r="C181" s="643"/>
      <c r="D181" s="643"/>
      <c r="E181" s="643"/>
      <c r="F181" s="643"/>
      <c r="G181" s="643"/>
      <c r="H181" s="643"/>
      <c r="I181" s="643"/>
      <c r="J181" s="643"/>
      <c r="K181" s="643"/>
      <c r="L181" s="643"/>
      <c r="M181" s="643"/>
      <c r="N181" s="643"/>
      <c r="O181" s="643"/>
      <c r="P181" s="643"/>
      <c r="Q181" s="643"/>
      <c r="R181" s="644" t="str">
        <f t="shared" si="2"/>
        <v/>
      </c>
    </row>
    <row r="182" spans="1:18" x14ac:dyDescent="0.15">
      <c r="A182" s="945"/>
      <c r="B182" s="743"/>
      <c r="C182" s="643"/>
      <c r="D182" s="643"/>
      <c r="E182" s="643"/>
      <c r="F182" s="643"/>
      <c r="G182" s="643"/>
      <c r="H182" s="643"/>
      <c r="I182" s="643"/>
      <c r="J182" s="643"/>
      <c r="K182" s="643"/>
      <c r="L182" s="643"/>
      <c r="M182" s="643"/>
      <c r="N182" s="643"/>
      <c r="O182" s="643"/>
      <c r="P182" s="643"/>
      <c r="Q182" s="643"/>
      <c r="R182" s="644" t="str">
        <f t="shared" si="2"/>
        <v/>
      </c>
    </row>
    <row r="183" spans="1:18" x14ac:dyDescent="0.15">
      <c r="A183" s="945"/>
      <c r="B183" s="743"/>
      <c r="C183" s="643"/>
      <c r="D183" s="643"/>
      <c r="E183" s="643"/>
      <c r="F183" s="643"/>
      <c r="G183" s="643"/>
      <c r="H183" s="643"/>
      <c r="I183" s="643"/>
      <c r="J183" s="643"/>
      <c r="K183" s="643"/>
      <c r="L183" s="643"/>
      <c r="M183" s="643"/>
      <c r="N183" s="643"/>
      <c r="O183" s="643"/>
      <c r="P183" s="643"/>
      <c r="Q183" s="643"/>
      <c r="R183" s="644" t="str">
        <f t="shared" si="2"/>
        <v/>
      </c>
    </row>
    <row r="184" spans="1:18" x14ac:dyDescent="0.15">
      <c r="A184" s="945"/>
      <c r="B184" s="743"/>
      <c r="C184" s="643"/>
      <c r="D184" s="643"/>
      <c r="E184" s="643"/>
      <c r="F184" s="643"/>
      <c r="G184" s="643"/>
      <c r="H184" s="643"/>
      <c r="I184" s="643"/>
      <c r="J184" s="643"/>
      <c r="K184" s="643"/>
      <c r="L184" s="643"/>
      <c r="M184" s="643"/>
      <c r="N184" s="643"/>
      <c r="O184" s="643"/>
      <c r="P184" s="643"/>
      <c r="Q184" s="643"/>
      <c r="R184" s="644" t="str">
        <f t="shared" si="2"/>
        <v/>
      </c>
    </row>
    <row r="185" spans="1:18" x14ac:dyDescent="0.15">
      <c r="A185" s="945"/>
      <c r="B185" s="743"/>
      <c r="C185" s="643"/>
      <c r="D185" s="643"/>
      <c r="E185" s="643"/>
      <c r="F185" s="643"/>
      <c r="G185" s="643"/>
      <c r="H185" s="643"/>
      <c r="I185" s="643"/>
      <c r="J185" s="643"/>
      <c r="K185" s="643"/>
      <c r="L185" s="643"/>
      <c r="M185" s="643"/>
      <c r="N185" s="643"/>
      <c r="O185" s="643"/>
      <c r="P185" s="643"/>
      <c r="Q185" s="643"/>
      <c r="R185" s="644" t="str">
        <f t="shared" si="2"/>
        <v/>
      </c>
    </row>
    <row r="186" spans="1:18" x14ac:dyDescent="0.15">
      <c r="A186" s="945"/>
      <c r="B186" s="743"/>
      <c r="C186" s="643"/>
      <c r="D186" s="643"/>
      <c r="E186" s="643"/>
      <c r="F186" s="643"/>
      <c r="G186" s="643"/>
      <c r="H186" s="643"/>
      <c r="I186" s="643"/>
      <c r="J186" s="643"/>
      <c r="K186" s="643"/>
      <c r="L186" s="643"/>
      <c r="M186" s="643"/>
      <c r="N186" s="643"/>
      <c r="O186" s="643"/>
      <c r="P186" s="643"/>
      <c r="Q186" s="643"/>
      <c r="R186" s="644" t="str">
        <f t="shared" si="2"/>
        <v/>
      </c>
    </row>
    <row r="187" spans="1:18" x14ac:dyDescent="0.15">
      <c r="A187" s="945"/>
      <c r="B187" s="743"/>
      <c r="C187" s="643"/>
      <c r="D187" s="643"/>
      <c r="E187" s="643"/>
      <c r="F187" s="643"/>
      <c r="G187" s="643"/>
      <c r="H187" s="643"/>
      <c r="I187" s="643"/>
      <c r="J187" s="643"/>
      <c r="K187" s="643"/>
      <c r="L187" s="643"/>
      <c r="M187" s="643"/>
      <c r="N187" s="643"/>
      <c r="O187" s="643"/>
      <c r="P187" s="643"/>
      <c r="Q187" s="643"/>
      <c r="R187" s="644" t="str">
        <f t="shared" si="2"/>
        <v/>
      </c>
    </row>
    <row r="188" spans="1:18" x14ac:dyDescent="0.15">
      <c r="A188" s="945"/>
      <c r="B188" s="743"/>
      <c r="C188" s="643"/>
      <c r="D188" s="643"/>
      <c r="E188" s="643"/>
      <c r="F188" s="643"/>
      <c r="G188" s="643"/>
      <c r="H188" s="643"/>
      <c r="I188" s="643"/>
      <c r="J188" s="643"/>
      <c r="K188" s="643"/>
      <c r="L188" s="643"/>
      <c r="M188" s="643"/>
      <c r="N188" s="643"/>
      <c r="O188" s="643"/>
      <c r="P188" s="643"/>
      <c r="Q188" s="643"/>
      <c r="R188" s="644" t="str">
        <f t="shared" si="2"/>
        <v/>
      </c>
    </row>
    <row r="189" spans="1:18" x14ac:dyDescent="0.15">
      <c r="A189" s="945"/>
      <c r="B189" s="743"/>
      <c r="C189" s="643"/>
      <c r="D189" s="643"/>
      <c r="E189" s="643"/>
      <c r="F189" s="643"/>
      <c r="G189" s="643"/>
      <c r="H189" s="643"/>
      <c r="I189" s="643"/>
      <c r="J189" s="643"/>
      <c r="K189" s="643"/>
      <c r="L189" s="643"/>
      <c r="M189" s="643"/>
      <c r="N189" s="643"/>
      <c r="O189" s="643"/>
      <c r="P189" s="643"/>
      <c r="Q189" s="643"/>
      <c r="R189" s="644" t="str">
        <f t="shared" si="2"/>
        <v/>
      </c>
    </row>
    <row r="190" spans="1:18" x14ac:dyDescent="0.15">
      <c r="A190" s="945"/>
      <c r="B190" s="743"/>
      <c r="C190" s="643"/>
      <c r="D190" s="643"/>
      <c r="E190" s="643"/>
      <c r="F190" s="643"/>
      <c r="G190" s="643"/>
      <c r="H190" s="643"/>
      <c r="I190" s="643"/>
      <c r="J190" s="643"/>
      <c r="K190" s="643"/>
      <c r="L190" s="643"/>
      <c r="M190" s="643"/>
      <c r="N190" s="643"/>
      <c r="O190" s="643"/>
      <c r="P190" s="643"/>
      <c r="Q190" s="643"/>
      <c r="R190" s="644" t="str">
        <f t="shared" si="2"/>
        <v/>
      </c>
    </row>
    <row r="191" spans="1:18" x14ac:dyDescent="0.15">
      <c r="A191" s="945"/>
      <c r="B191" s="743"/>
      <c r="C191" s="643"/>
      <c r="D191" s="643"/>
      <c r="E191" s="643"/>
      <c r="F191" s="643"/>
      <c r="G191" s="643"/>
      <c r="H191" s="643"/>
      <c r="I191" s="643"/>
      <c r="J191" s="643"/>
      <c r="K191" s="643"/>
      <c r="L191" s="643"/>
      <c r="M191" s="643"/>
      <c r="N191" s="643"/>
      <c r="O191" s="643"/>
      <c r="P191" s="643"/>
      <c r="Q191" s="643"/>
      <c r="R191" s="644" t="str">
        <f t="shared" si="2"/>
        <v/>
      </c>
    </row>
    <row r="192" spans="1:18" x14ac:dyDescent="0.15">
      <c r="A192" s="945"/>
      <c r="B192" s="743"/>
      <c r="C192" s="643"/>
      <c r="D192" s="643"/>
      <c r="E192" s="643"/>
      <c r="F192" s="643"/>
      <c r="G192" s="643"/>
      <c r="H192" s="643"/>
      <c r="I192" s="643"/>
      <c r="J192" s="643"/>
      <c r="K192" s="643"/>
      <c r="L192" s="643"/>
      <c r="M192" s="643"/>
      <c r="N192" s="643"/>
      <c r="O192" s="643"/>
      <c r="P192" s="643"/>
      <c r="Q192" s="643"/>
      <c r="R192" s="644" t="str">
        <f t="shared" si="2"/>
        <v/>
      </c>
    </row>
    <row r="193" spans="1:18" x14ac:dyDescent="0.15">
      <c r="A193" s="945"/>
      <c r="B193" s="743"/>
      <c r="C193" s="643"/>
      <c r="D193" s="643"/>
      <c r="E193" s="643"/>
      <c r="F193" s="643"/>
      <c r="G193" s="643"/>
      <c r="H193" s="643"/>
      <c r="I193" s="643"/>
      <c r="J193" s="643"/>
      <c r="K193" s="643"/>
      <c r="L193" s="643"/>
      <c r="M193" s="643"/>
      <c r="N193" s="643"/>
      <c r="O193" s="643"/>
      <c r="P193" s="643"/>
      <c r="Q193" s="643"/>
      <c r="R193" s="644" t="str">
        <f t="shared" si="2"/>
        <v/>
      </c>
    </row>
    <row r="194" spans="1:18" x14ac:dyDescent="0.15">
      <c r="A194" s="945"/>
      <c r="B194" s="743"/>
      <c r="C194" s="643"/>
      <c r="D194" s="643"/>
      <c r="E194" s="643"/>
      <c r="F194" s="643"/>
      <c r="G194" s="643"/>
      <c r="H194" s="643"/>
      <c r="I194" s="643"/>
      <c r="J194" s="643"/>
      <c r="K194" s="643"/>
      <c r="L194" s="643"/>
      <c r="M194" s="643"/>
      <c r="N194" s="643"/>
      <c r="O194" s="643"/>
      <c r="P194" s="643"/>
      <c r="Q194" s="643"/>
      <c r="R194" s="644" t="str">
        <f t="shared" si="2"/>
        <v/>
      </c>
    </row>
    <row r="195" spans="1:18" x14ac:dyDescent="0.15">
      <c r="A195" s="945"/>
      <c r="B195" s="743"/>
      <c r="C195" s="643"/>
      <c r="D195" s="643"/>
      <c r="E195" s="643"/>
      <c r="F195" s="643"/>
      <c r="G195" s="643"/>
      <c r="H195" s="643"/>
      <c r="I195" s="643"/>
      <c r="J195" s="643"/>
      <c r="K195" s="643"/>
      <c r="L195" s="643"/>
      <c r="M195" s="643"/>
      <c r="N195" s="643"/>
      <c r="O195" s="643"/>
      <c r="P195" s="643"/>
      <c r="Q195" s="643"/>
      <c r="R195" s="644" t="str">
        <f t="shared" ref="R195:R258" si="3">IF(A195="","",SUM(C195:Q195))</f>
        <v/>
      </c>
    </row>
    <row r="196" spans="1:18" x14ac:dyDescent="0.15">
      <c r="A196" s="945"/>
      <c r="B196" s="743"/>
      <c r="C196" s="643"/>
      <c r="D196" s="643"/>
      <c r="E196" s="643"/>
      <c r="F196" s="643"/>
      <c r="G196" s="643"/>
      <c r="H196" s="643"/>
      <c r="I196" s="643"/>
      <c r="J196" s="643"/>
      <c r="K196" s="643"/>
      <c r="L196" s="643"/>
      <c r="M196" s="643"/>
      <c r="N196" s="643"/>
      <c r="O196" s="643"/>
      <c r="P196" s="643"/>
      <c r="Q196" s="643"/>
      <c r="R196" s="644" t="str">
        <f t="shared" si="3"/>
        <v/>
      </c>
    </row>
    <row r="197" spans="1:18" x14ac:dyDescent="0.15">
      <c r="A197" s="945"/>
      <c r="B197" s="743"/>
      <c r="C197" s="643"/>
      <c r="D197" s="643"/>
      <c r="E197" s="643"/>
      <c r="F197" s="643"/>
      <c r="G197" s="643"/>
      <c r="H197" s="643"/>
      <c r="I197" s="643"/>
      <c r="J197" s="643"/>
      <c r="K197" s="643"/>
      <c r="L197" s="643"/>
      <c r="M197" s="643"/>
      <c r="N197" s="643"/>
      <c r="O197" s="643"/>
      <c r="P197" s="643"/>
      <c r="Q197" s="643"/>
      <c r="R197" s="644" t="str">
        <f t="shared" si="3"/>
        <v/>
      </c>
    </row>
    <row r="198" spans="1:18" x14ac:dyDescent="0.15">
      <c r="A198" s="945"/>
      <c r="B198" s="743"/>
      <c r="C198" s="643"/>
      <c r="D198" s="643"/>
      <c r="E198" s="643"/>
      <c r="F198" s="643"/>
      <c r="G198" s="643"/>
      <c r="H198" s="643"/>
      <c r="I198" s="643"/>
      <c r="J198" s="643"/>
      <c r="K198" s="643"/>
      <c r="L198" s="643"/>
      <c r="M198" s="643"/>
      <c r="N198" s="643"/>
      <c r="O198" s="643"/>
      <c r="P198" s="643"/>
      <c r="Q198" s="643"/>
      <c r="R198" s="644" t="str">
        <f t="shared" si="3"/>
        <v/>
      </c>
    </row>
    <row r="199" spans="1:18" x14ac:dyDescent="0.15">
      <c r="A199" s="945"/>
      <c r="B199" s="743"/>
      <c r="C199" s="643"/>
      <c r="D199" s="643"/>
      <c r="E199" s="643"/>
      <c r="F199" s="643"/>
      <c r="G199" s="643"/>
      <c r="H199" s="643"/>
      <c r="I199" s="643"/>
      <c r="J199" s="643"/>
      <c r="K199" s="643"/>
      <c r="L199" s="643"/>
      <c r="M199" s="643"/>
      <c r="N199" s="643"/>
      <c r="O199" s="643"/>
      <c r="P199" s="643"/>
      <c r="Q199" s="643"/>
      <c r="R199" s="644" t="str">
        <f t="shared" si="3"/>
        <v/>
      </c>
    </row>
    <row r="200" spans="1:18" x14ac:dyDescent="0.15">
      <c r="A200" s="945"/>
      <c r="B200" s="743"/>
      <c r="C200" s="643"/>
      <c r="D200" s="643"/>
      <c r="E200" s="643"/>
      <c r="F200" s="643"/>
      <c r="G200" s="643"/>
      <c r="H200" s="643"/>
      <c r="I200" s="643"/>
      <c r="J200" s="643"/>
      <c r="K200" s="643"/>
      <c r="L200" s="643"/>
      <c r="M200" s="643"/>
      <c r="N200" s="643"/>
      <c r="O200" s="643"/>
      <c r="P200" s="643"/>
      <c r="Q200" s="643"/>
      <c r="R200" s="644" t="str">
        <f t="shared" si="3"/>
        <v/>
      </c>
    </row>
    <row r="201" spans="1:18" x14ac:dyDescent="0.15">
      <c r="A201" s="945"/>
      <c r="B201" s="743"/>
      <c r="C201" s="643"/>
      <c r="D201" s="643"/>
      <c r="E201" s="643"/>
      <c r="F201" s="643"/>
      <c r="G201" s="643"/>
      <c r="H201" s="643"/>
      <c r="I201" s="643"/>
      <c r="J201" s="643"/>
      <c r="K201" s="643"/>
      <c r="L201" s="643"/>
      <c r="M201" s="643"/>
      <c r="N201" s="643"/>
      <c r="O201" s="643"/>
      <c r="P201" s="643"/>
      <c r="Q201" s="643"/>
      <c r="R201" s="644" t="str">
        <f t="shared" si="3"/>
        <v/>
      </c>
    </row>
    <row r="202" spans="1:18" x14ac:dyDescent="0.15">
      <c r="A202" s="945"/>
      <c r="B202" s="743"/>
      <c r="C202" s="643"/>
      <c r="D202" s="643"/>
      <c r="E202" s="643"/>
      <c r="F202" s="643"/>
      <c r="G202" s="643"/>
      <c r="H202" s="643"/>
      <c r="I202" s="643"/>
      <c r="J202" s="643"/>
      <c r="K202" s="643"/>
      <c r="L202" s="643"/>
      <c r="M202" s="643"/>
      <c r="N202" s="643"/>
      <c r="O202" s="643"/>
      <c r="P202" s="643"/>
      <c r="Q202" s="643"/>
      <c r="R202" s="644" t="str">
        <f t="shared" si="3"/>
        <v/>
      </c>
    </row>
    <row r="203" spans="1:18" x14ac:dyDescent="0.15">
      <c r="A203" s="945"/>
      <c r="B203" s="743"/>
      <c r="C203" s="643"/>
      <c r="D203" s="643"/>
      <c r="E203" s="643"/>
      <c r="F203" s="643"/>
      <c r="G203" s="643"/>
      <c r="H203" s="643"/>
      <c r="I203" s="643"/>
      <c r="J203" s="643"/>
      <c r="K203" s="643"/>
      <c r="L203" s="643"/>
      <c r="M203" s="643"/>
      <c r="N203" s="643"/>
      <c r="O203" s="643"/>
      <c r="P203" s="643"/>
      <c r="Q203" s="643"/>
      <c r="R203" s="644" t="str">
        <f t="shared" si="3"/>
        <v/>
      </c>
    </row>
    <row r="204" spans="1:18" x14ac:dyDescent="0.15">
      <c r="A204" s="945"/>
      <c r="B204" s="743"/>
      <c r="C204" s="643"/>
      <c r="D204" s="643"/>
      <c r="E204" s="643"/>
      <c r="F204" s="643"/>
      <c r="G204" s="643"/>
      <c r="H204" s="643"/>
      <c r="I204" s="643"/>
      <c r="J204" s="643"/>
      <c r="K204" s="643"/>
      <c r="L204" s="643"/>
      <c r="M204" s="643"/>
      <c r="N204" s="643"/>
      <c r="O204" s="643"/>
      <c r="P204" s="643"/>
      <c r="Q204" s="643"/>
      <c r="R204" s="644" t="str">
        <f t="shared" si="3"/>
        <v/>
      </c>
    </row>
    <row r="205" spans="1:18" x14ac:dyDescent="0.15">
      <c r="A205" s="945"/>
      <c r="B205" s="743"/>
      <c r="C205" s="643"/>
      <c r="D205" s="643"/>
      <c r="E205" s="643"/>
      <c r="F205" s="643"/>
      <c r="G205" s="643"/>
      <c r="H205" s="643"/>
      <c r="I205" s="643"/>
      <c r="J205" s="643"/>
      <c r="K205" s="643"/>
      <c r="L205" s="643"/>
      <c r="M205" s="643"/>
      <c r="N205" s="643"/>
      <c r="O205" s="643"/>
      <c r="P205" s="643"/>
      <c r="Q205" s="643"/>
      <c r="R205" s="644" t="str">
        <f t="shared" si="3"/>
        <v/>
      </c>
    </row>
    <row r="206" spans="1:18" x14ac:dyDescent="0.15">
      <c r="A206" s="945"/>
      <c r="B206" s="743"/>
      <c r="C206" s="643"/>
      <c r="D206" s="643"/>
      <c r="E206" s="643"/>
      <c r="F206" s="643"/>
      <c r="G206" s="643"/>
      <c r="H206" s="643"/>
      <c r="I206" s="643"/>
      <c r="J206" s="643"/>
      <c r="K206" s="643"/>
      <c r="L206" s="643"/>
      <c r="M206" s="643"/>
      <c r="N206" s="643"/>
      <c r="O206" s="643"/>
      <c r="P206" s="643"/>
      <c r="Q206" s="643"/>
      <c r="R206" s="644" t="str">
        <f t="shared" si="3"/>
        <v/>
      </c>
    </row>
    <row r="207" spans="1:18" x14ac:dyDescent="0.15">
      <c r="A207" s="945"/>
      <c r="B207" s="743"/>
      <c r="C207" s="643"/>
      <c r="D207" s="643"/>
      <c r="E207" s="643"/>
      <c r="F207" s="643"/>
      <c r="G207" s="643"/>
      <c r="H207" s="643"/>
      <c r="I207" s="643"/>
      <c r="J207" s="643"/>
      <c r="K207" s="643"/>
      <c r="L207" s="643"/>
      <c r="M207" s="643"/>
      <c r="N207" s="643"/>
      <c r="O207" s="643"/>
      <c r="P207" s="643"/>
      <c r="Q207" s="643"/>
      <c r="R207" s="644" t="str">
        <f t="shared" si="3"/>
        <v/>
      </c>
    </row>
    <row r="208" spans="1:18" x14ac:dyDescent="0.15">
      <c r="A208" s="945"/>
      <c r="B208" s="743"/>
      <c r="C208" s="643"/>
      <c r="D208" s="643"/>
      <c r="E208" s="643"/>
      <c r="F208" s="643"/>
      <c r="G208" s="643"/>
      <c r="H208" s="643"/>
      <c r="I208" s="643"/>
      <c r="J208" s="643"/>
      <c r="K208" s="643"/>
      <c r="L208" s="643"/>
      <c r="M208" s="643"/>
      <c r="N208" s="643"/>
      <c r="O208" s="643"/>
      <c r="P208" s="643"/>
      <c r="Q208" s="643"/>
      <c r="R208" s="644" t="str">
        <f t="shared" si="3"/>
        <v/>
      </c>
    </row>
    <row r="209" spans="1:18" x14ac:dyDescent="0.15">
      <c r="A209" s="945"/>
      <c r="B209" s="743"/>
      <c r="C209" s="643"/>
      <c r="D209" s="643"/>
      <c r="E209" s="643"/>
      <c r="F209" s="643"/>
      <c r="G209" s="643"/>
      <c r="H209" s="643"/>
      <c r="I209" s="643"/>
      <c r="J209" s="643"/>
      <c r="K209" s="643"/>
      <c r="L209" s="643"/>
      <c r="M209" s="643"/>
      <c r="N209" s="643"/>
      <c r="O209" s="643"/>
      <c r="P209" s="643"/>
      <c r="Q209" s="643"/>
      <c r="R209" s="644" t="str">
        <f t="shared" si="3"/>
        <v/>
      </c>
    </row>
    <row r="210" spans="1:18" x14ac:dyDescent="0.15">
      <c r="A210" s="945"/>
      <c r="B210" s="743"/>
      <c r="C210" s="643"/>
      <c r="D210" s="643"/>
      <c r="E210" s="643"/>
      <c r="F210" s="643"/>
      <c r="G210" s="643"/>
      <c r="H210" s="643"/>
      <c r="I210" s="643"/>
      <c r="J210" s="643"/>
      <c r="K210" s="643"/>
      <c r="L210" s="643"/>
      <c r="M210" s="643"/>
      <c r="N210" s="643"/>
      <c r="O210" s="643"/>
      <c r="P210" s="643"/>
      <c r="Q210" s="643"/>
      <c r="R210" s="644" t="str">
        <f t="shared" si="3"/>
        <v/>
      </c>
    </row>
    <row r="211" spans="1:18" x14ac:dyDescent="0.15">
      <c r="A211" s="945"/>
      <c r="B211" s="743"/>
      <c r="C211" s="643"/>
      <c r="D211" s="643"/>
      <c r="E211" s="643"/>
      <c r="F211" s="643"/>
      <c r="G211" s="643"/>
      <c r="H211" s="643"/>
      <c r="I211" s="643"/>
      <c r="J211" s="643"/>
      <c r="K211" s="643"/>
      <c r="L211" s="643"/>
      <c r="M211" s="643"/>
      <c r="N211" s="643"/>
      <c r="O211" s="643"/>
      <c r="P211" s="643"/>
      <c r="Q211" s="643"/>
      <c r="R211" s="644" t="str">
        <f t="shared" si="3"/>
        <v/>
      </c>
    </row>
    <row r="212" spans="1:18" x14ac:dyDescent="0.15">
      <c r="A212" s="945"/>
      <c r="B212" s="743"/>
      <c r="C212" s="643"/>
      <c r="D212" s="643"/>
      <c r="E212" s="643"/>
      <c r="F212" s="643"/>
      <c r="G212" s="643"/>
      <c r="H212" s="643"/>
      <c r="I212" s="643"/>
      <c r="J212" s="643"/>
      <c r="K212" s="643"/>
      <c r="L212" s="643"/>
      <c r="M212" s="643"/>
      <c r="N212" s="643"/>
      <c r="O212" s="643"/>
      <c r="P212" s="643"/>
      <c r="Q212" s="643"/>
      <c r="R212" s="644" t="str">
        <f t="shared" si="3"/>
        <v/>
      </c>
    </row>
    <row r="213" spans="1:18" x14ac:dyDescent="0.15">
      <c r="A213" s="945"/>
      <c r="B213" s="743"/>
      <c r="C213" s="643"/>
      <c r="D213" s="643"/>
      <c r="E213" s="643"/>
      <c r="F213" s="643"/>
      <c r="G213" s="643"/>
      <c r="H213" s="643"/>
      <c r="I213" s="643"/>
      <c r="J213" s="643"/>
      <c r="K213" s="643"/>
      <c r="L213" s="643"/>
      <c r="M213" s="643"/>
      <c r="N213" s="643"/>
      <c r="O213" s="643"/>
      <c r="P213" s="643"/>
      <c r="Q213" s="643"/>
      <c r="R213" s="644" t="str">
        <f t="shared" si="3"/>
        <v/>
      </c>
    </row>
    <row r="214" spans="1:18" x14ac:dyDescent="0.15">
      <c r="A214" s="945"/>
      <c r="B214" s="743"/>
      <c r="C214" s="643"/>
      <c r="D214" s="643"/>
      <c r="E214" s="643"/>
      <c r="F214" s="643"/>
      <c r="G214" s="643"/>
      <c r="H214" s="643"/>
      <c r="I214" s="643"/>
      <c r="J214" s="643"/>
      <c r="K214" s="643"/>
      <c r="L214" s="643"/>
      <c r="M214" s="643"/>
      <c r="N214" s="643"/>
      <c r="O214" s="643"/>
      <c r="P214" s="643"/>
      <c r="Q214" s="643"/>
      <c r="R214" s="644" t="str">
        <f t="shared" si="3"/>
        <v/>
      </c>
    </row>
    <row r="215" spans="1:18" x14ac:dyDescent="0.15">
      <c r="A215" s="945"/>
      <c r="B215" s="743"/>
      <c r="C215" s="643"/>
      <c r="D215" s="643"/>
      <c r="E215" s="643"/>
      <c r="F215" s="643"/>
      <c r="G215" s="643"/>
      <c r="H215" s="643"/>
      <c r="I215" s="643"/>
      <c r="J215" s="643"/>
      <c r="K215" s="643"/>
      <c r="L215" s="643"/>
      <c r="M215" s="643"/>
      <c r="N215" s="643"/>
      <c r="O215" s="643"/>
      <c r="P215" s="643"/>
      <c r="Q215" s="643"/>
      <c r="R215" s="644" t="str">
        <f t="shared" si="3"/>
        <v/>
      </c>
    </row>
    <row r="216" spans="1:18" x14ac:dyDescent="0.15">
      <c r="A216" s="945"/>
      <c r="B216" s="743"/>
      <c r="C216" s="643"/>
      <c r="D216" s="643"/>
      <c r="E216" s="643"/>
      <c r="F216" s="643"/>
      <c r="G216" s="643"/>
      <c r="H216" s="643"/>
      <c r="I216" s="643"/>
      <c r="J216" s="643"/>
      <c r="K216" s="643"/>
      <c r="L216" s="643"/>
      <c r="M216" s="643"/>
      <c r="N216" s="643"/>
      <c r="O216" s="643"/>
      <c r="P216" s="643"/>
      <c r="Q216" s="643"/>
      <c r="R216" s="644" t="str">
        <f t="shared" si="3"/>
        <v/>
      </c>
    </row>
    <row r="217" spans="1:18" x14ac:dyDescent="0.15">
      <c r="A217" s="945"/>
      <c r="B217" s="743"/>
      <c r="C217" s="643"/>
      <c r="D217" s="643"/>
      <c r="E217" s="643"/>
      <c r="F217" s="643"/>
      <c r="G217" s="643"/>
      <c r="H217" s="643"/>
      <c r="I217" s="643"/>
      <c r="J217" s="643"/>
      <c r="K217" s="643"/>
      <c r="L217" s="643"/>
      <c r="M217" s="643"/>
      <c r="N217" s="643"/>
      <c r="O217" s="643"/>
      <c r="P217" s="643"/>
      <c r="Q217" s="643"/>
      <c r="R217" s="644" t="str">
        <f t="shared" si="3"/>
        <v/>
      </c>
    </row>
    <row r="218" spans="1:18" x14ac:dyDescent="0.15">
      <c r="A218" s="945"/>
      <c r="B218" s="743"/>
      <c r="C218" s="643"/>
      <c r="D218" s="643"/>
      <c r="E218" s="643"/>
      <c r="F218" s="643"/>
      <c r="G218" s="643"/>
      <c r="H218" s="643"/>
      <c r="I218" s="643"/>
      <c r="J218" s="643"/>
      <c r="K218" s="643"/>
      <c r="L218" s="643"/>
      <c r="M218" s="643"/>
      <c r="N218" s="643"/>
      <c r="O218" s="643"/>
      <c r="P218" s="643"/>
      <c r="Q218" s="643"/>
      <c r="R218" s="644" t="str">
        <f t="shared" si="3"/>
        <v/>
      </c>
    </row>
    <row r="219" spans="1:18" x14ac:dyDescent="0.15">
      <c r="A219" s="945"/>
      <c r="B219" s="743"/>
      <c r="C219" s="643"/>
      <c r="D219" s="643"/>
      <c r="E219" s="643"/>
      <c r="F219" s="643"/>
      <c r="G219" s="643"/>
      <c r="H219" s="643"/>
      <c r="I219" s="643"/>
      <c r="J219" s="643"/>
      <c r="K219" s="643"/>
      <c r="L219" s="643"/>
      <c r="M219" s="643"/>
      <c r="N219" s="643"/>
      <c r="O219" s="643"/>
      <c r="P219" s="643"/>
      <c r="Q219" s="643"/>
      <c r="R219" s="644" t="str">
        <f t="shared" si="3"/>
        <v/>
      </c>
    </row>
    <row r="220" spans="1:18" x14ac:dyDescent="0.15">
      <c r="A220" s="945"/>
      <c r="B220" s="743"/>
      <c r="C220" s="643"/>
      <c r="D220" s="643"/>
      <c r="E220" s="643"/>
      <c r="F220" s="643"/>
      <c r="G220" s="643"/>
      <c r="H220" s="643"/>
      <c r="I220" s="643"/>
      <c r="J220" s="643"/>
      <c r="K220" s="643"/>
      <c r="L220" s="643"/>
      <c r="M220" s="643"/>
      <c r="N220" s="643"/>
      <c r="O220" s="643"/>
      <c r="P220" s="643"/>
      <c r="Q220" s="643"/>
      <c r="R220" s="644" t="str">
        <f t="shared" si="3"/>
        <v/>
      </c>
    </row>
    <row r="221" spans="1:18" x14ac:dyDescent="0.15">
      <c r="A221" s="945"/>
      <c r="B221" s="743"/>
      <c r="C221" s="643"/>
      <c r="D221" s="643"/>
      <c r="E221" s="643"/>
      <c r="F221" s="643"/>
      <c r="G221" s="643"/>
      <c r="H221" s="643"/>
      <c r="I221" s="643"/>
      <c r="J221" s="643"/>
      <c r="K221" s="643"/>
      <c r="L221" s="643"/>
      <c r="M221" s="643"/>
      <c r="N221" s="643"/>
      <c r="O221" s="643"/>
      <c r="P221" s="643"/>
      <c r="Q221" s="643"/>
      <c r="R221" s="644" t="str">
        <f t="shared" si="3"/>
        <v/>
      </c>
    </row>
    <row r="222" spans="1:18" x14ac:dyDescent="0.15">
      <c r="A222" s="945"/>
      <c r="B222" s="743"/>
      <c r="C222" s="643"/>
      <c r="D222" s="643"/>
      <c r="E222" s="643"/>
      <c r="F222" s="643"/>
      <c r="G222" s="643"/>
      <c r="H222" s="643"/>
      <c r="I222" s="643"/>
      <c r="J222" s="643"/>
      <c r="K222" s="643"/>
      <c r="L222" s="643"/>
      <c r="M222" s="643"/>
      <c r="N222" s="643"/>
      <c r="O222" s="643"/>
      <c r="P222" s="643"/>
      <c r="Q222" s="643"/>
      <c r="R222" s="644" t="str">
        <f t="shared" si="3"/>
        <v/>
      </c>
    </row>
    <row r="223" spans="1:18" x14ac:dyDescent="0.15">
      <c r="A223" s="945"/>
      <c r="B223" s="743"/>
      <c r="C223" s="643"/>
      <c r="D223" s="643"/>
      <c r="E223" s="643"/>
      <c r="F223" s="643"/>
      <c r="G223" s="643"/>
      <c r="H223" s="643"/>
      <c r="I223" s="643"/>
      <c r="J223" s="643"/>
      <c r="K223" s="643"/>
      <c r="L223" s="643"/>
      <c r="M223" s="643"/>
      <c r="N223" s="643"/>
      <c r="O223" s="643"/>
      <c r="P223" s="643"/>
      <c r="Q223" s="643"/>
      <c r="R223" s="644" t="str">
        <f t="shared" si="3"/>
        <v/>
      </c>
    </row>
    <row r="224" spans="1:18" x14ac:dyDescent="0.15">
      <c r="A224" s="945"/>
      <c r="B224" s="743"/>
      <c r="C224" s="643"/>
      <c r="D224" s="643"/>
      <c r="E224" s="643"/>
      <c r="F224" s="643"/>
      <c r="G224" s="643"/>
      <c r="H224" s="643"/>
      <c r="I224" s="643"/>
      <c r="J224" s="643"/>
      <c r="K224" s="643"/>
      <c r="L224" s="643"/>
      <c r="M224" s="643"/>
      <c r="N224" s="643"/>
      <c r="O224" s="643"/>
      <c r="P224" s="643"/>
      <c r="Q224" s="643"/>
      <c r="R224" s="644" t="str">
        <f t="shared" si="3"/>
        <v/>
      </c>
    </row>
    <row r="225" spans="1:18" x14ac:dyDescent="0.15">
      <c r="A225" s="945"/>
      <c r="B225" s="743"/>
      <c r="C225" s="643"/>
      <c r="D225" s="643"/>
      <c r="E225" s="643"/>
      <c r="F225" s="643"/>
      <c r="G225" s="643"/>
      <c r="H225" s="643"/>
      <c r="I225" s="643"/>
      <c r="J225" s="643"/>
      <c r="K225" s="643"/>
      <c r="L225" s="643"/>
      <c r="M225" s="643"/>
      <c r="N225" s="643"/>
      <c r="O225" s="643"/>
      <c r="P225" s="643"/>
      <c r="Q225" s="643"/>
      <c r="R225" s="644" t="str">
        <f t="shared" si="3"/>
        <v/>
      </c>
    </row>
    <row r="226" spans="1:18" x14ac:dyDescent="0.15">
      <c r="A226" s="945"/>
      <c r="B226" s="743"/>
      <c r="C226" s="643"/>
      <c r="D226" s="643"/>
      <c r="E226" s="643"/>
      <c r="F226" s="643"/>
      <c r="G226" s="643"/>
      <c r="H226" s="643"/>
      <c r="I226" s="643"/>
      <c r="J226" s="643"/>
      <c r="K226" s="643"/>
      <c r="L226" s="643"/>
      <c r="M226" s="643"/>
      <c r="N226" s="643"/>
      <c r="O226" s="643"/>
      <c r="P226" s="643"/>
      <c r="Q226" s="643"/>
      <c r="R226" s="644" t="str">
        <f t="shared" si="3"/>
        <v/>
      </c>
    </row>
    <row r="227" spans="1:18" x14ac:dyDescent="0.15">
      <c r="A227" s="945"/>
      <c r="B227" s="743"/>
      <c r="C227" s="643"/>
      <c r="D227" s="643"/>
      <c r="E227" s="643"/>
      <c r="F227" s="643"/>
      <c r="G227" s="643"/>
      <c r="H227" s="643"/>
      <c r="I227" s="643"/>
      <c r="J227" s="643"/>
      <c r="K227" s="643"/>
      <c r="L227" s="643"/>
      <c r="M227" s="643"/>
      <c r="N227" s="643"/>
      <c r="O227" s="643"/>
      <c r="P227" s="643"/>
      <c r="Q227" s="643"/>
      <c r="R227" s="644" t="str">
        <f t="shared" si="3"/>
        <v/>
      </c>
    </row>
    <row r="228" spans="1:18" x14ac:dyDescent="0.15">
      <c r="A228" s="945"/>
      <c r="B228" s="743"/>
      <c r="C228" s="643"/>
      <c r="D228" s="643"/>
      <c r="E228" s="643"/>
      <c r="F228" s="643"/>
      <c r="G228" s="643"/>
      <c r="H228" s="643"/>
      <c r="I228" s="643"/>
      <c r="J228" s="643"/>
      <c r="K228" s="643"/>
      <c r="L228" s="643"/>
      <c r="M228" s="643"/>
      <c r="N228" s="643"/>
      <c r="O228" s="643"/>
      <c r="P228" s="643"/>
      <c r="Q228" s="643"/>
      <c r="R228" s="644" t="str">
        <f t="shared" si="3"/>
        <v/>
      </c>
    </row>
    <row r="229" spans="1:18" x14ac:dyDescent="0.15">
      <c r="A229" s="945"/>
      <c r="B229" s="743"/>
      <c r="C229" s="643"/>
      <c r="D229" s="643"/>
      <c r="E229" s="643"/>
      <c r="F229" s="643"/>
      <c r="G229" s="643"/>
      <c r="H229" s="643"/>
      <c r="I229" s="643"/>
      <c r="J229" s="643"/>
      <c r="K229" s="643"/>
      <c r="L229" s="643"/>
      <c r="M229" s="643"/>
      <c r="N229" s="643"/>
      <c r="O229" s="643"/>
      <c r="P229" s="643"/>
      <c r="Q229" s="643"/>
      <c r="R229" s="644" t="str">
        <f t="shared" si="3"/>
        <v/>
      </c>
    </row>
    <row r="230" spans="1:18" x14ac:dyDescent="0.15">
      <c r="A230" s="945"/>
      <c r="B230" s="743"/>
      <c r="C230" s="643"/>
      <c r="D230" s="643"/>
      <c r="E230" s="643"/>
      <c r="F230" s="643"/>
      <c r="G230" s="643"/>
      <c r="H230" s="643"/>
      <c r="I230" s="643"/>
      <c r="J230" s="643"/>
      <c r="K230" s="643"/>
      <c r="L230" s="643"/>
      <c r="M230" s="643"/>
      <c r="N230" s="643"/>
      <c r="O230" s="643"/>
      <c r="P230" s="643"/>
      <c r="Q230" s="643"/>
      <c r="R230" s="644" t="str">
        <f t="shared" si="3"/>
        <v/>
      </c>
    </row>
    <row r="231" spans="1:18" x14ac:dyDescent="0.15">
      <c r="A231" s="945"/>
      <c r="B231" s="743"/>
      <c r="C231" s="643"/>
      <c r="D231" s="643"/>
      <c r="E231" s="643"/>
      <c r="F231" s="643"/>
      <c r="G231" s="643"/>
      <c r="H231" s="643"/>
      <c r="I231" s="643"/>
      <c r="J231" s="643"/>
      <c r="K231" s="643"/>
      <c r="L231" s="643"/>
      <c r="M231" s="643"/>
      <c r="N231" s="643"/>
      <c r="O231" s="643"/>
      <c r="P231" s="643"/>
      <c r="Q231" s="643"/>
      <c r="R231" s="644" t="str">
        <f t="shared" si="3"/>
        <v/>
      </c>
    </row>
    <row r="232" spans="1:18" x14ac:dyDescent="0.15">
      <c r="A232" s="945"/>
      <c r="B232" s="743"/>
      <c r="C232" s="643"/>
      <c r="D232" s="643"/>
      <c r="E232" s="643"/>
      <c r="F232" s="643"/>
      <c r="G232" s="643"/>
      <c r="H232" s="643"/>
      <c r="I232" s="643"/>
      <c r="J232" s="643"/>
      <c r="K232" s="643"/>
      <c r="L232" s="643"/>
      <c r="M232" s="643"/>
      <c r="N232" s="643"/>
      <c r="O232" s="643"/>
      <c r="P232" s="643"/>
      <c r="Q232" s="643"/>
      <c r="R232" s="644" t="str">
        <f t="shared" si="3"/>
        <v/>
      </c>
    </row>
    <row r="233" spans="1:18" x14ac:dyDescent="0.15">
      <c r="A233" s="945"/>
      <c r="B233" s="743"/>
      <c r="C233" s="643"/>
      <c r="D233" s="643"/>
      <c r="E233" s="643"/>
      <c r="F233" s="643"/>
      <c r="G233" s="643"/>
      <c r="H233" s="643"/>
      <c r="I233" s="643"/>
      <c r="J233" s="643"/>
      <c r="K233" s="643"/>
      <c r="L233" s="643"/>
      <c r="M233" s="643"/>
      <c r="N233" s="643"/>
      <c r="O233" s="643"/>
      <c r="P233" s="643"/>
      <c r="Q233" s="643"/>
      <c r="R233" s="644" t="str">
        <f t="shared" si="3"/>
        <v/>
      </c>
    </row>
    <row r="234" spans="1:18" x14ac:dyDescent="0.15">
      <c r="A234" s="945"/>
      <c r="B234" s="743"/>
      <c r="C234" s="643"/>
      <c r="D234" s="643"/>
      <c r="E234" s="643"/>
      <c r="F234" s="643"/>
      <c r="G234" s="643"/>
      <c r="H234" s="643"/>
      <c r="I234" s="643"/>
      <c r="J234" s="643"/>
      <c r="K234" s="643"/>
      <c r="L234" s="643"/>
      <c r="M234" s="643"/>
      <c r="N234" s="643"/>
      <c r="O234" s="643"/>
      <c r="P234" s="643"/>
      <c r="Q234" s="643"/>
      <c r="R234" s="644" t="str">
        <f t="shared" si="3"/>
        <v/>
      </c>
    </row>
    <row r="235" spans="1:18" x14ac:dyDescent="0.15">
      <c r="A235" s="945"/>
      <c r="B235" s="743"/>
      <c r="C235" s="643"/>
      <c r="D235" s="643"/>
      <c r="E235" s="643"/>
      <c r="F235" s="643"/>
      <c r="G235" s="643"/>
      <c r="H235" s="643"/>
      <c r="I235" s="643"/>
      <c r="J235" s="643"/>
      <c r="K235" s="643"/>
      <c r="L235" s="643"/>
      <c r="M235" s="643"/>
      <c r="N235" s="643"/>
      <c r="O235" s="643"/>
      <c r="P235" s="643"/>
      <c r="Q235" s="643"/>
      <c r="R235" s="644" t="str">
        <f t="shared" si="3"/>
        <v/>
      </c>
    </row>
    <row r="236" spans="1:18" x14ac:dyDescent="0.15">
      <c r="A236" s="945"/>
      <c r="B236" s="743"/>
      <c r="C236" s="643"/>
      <c r="D236" s="643"/>
      <c r="E236" s="643"/>
      <c r="F236" s="643"/>
      <c r="G236" s="643"/>
      <c r="H236" s="643"/>
      <c r="I236" s="643"/>
      <c r="J236" s="643"/>
      <c r="K236" s="643"/>
      <c r="L236" s="643"/>
      <c r="M236" s="643"/>
      <c r="N236" s="643"/>
      <c r="O236" s="643"/>
      <c r="P236" s="643"/>
      <c r="Q236" s="643"/>
      <c r="R236" s="644" t="str">
        <f t="shared" si="3"/>
        <v/>
      </c>
    </row>
    <row r="237" spans="1:18" x14ac:dyDescent="0.15">
      <c r="A237" s="945"/>
      <c r="B237" s="743"/>
      <c r="C237" s="643"/>
      <c r="D237" s="643"/>
      <c r="E237" s="643"/>
      <c r="F237" s="643"/>
      <c r="G237" s="643"/>
      <c r="H237" s="643"/>
      <c r="I237" s="643"/>
      <c r="J237" s="643"/>
      <c r="K237" s="643"/>
      <c r="L237" s="643"/>
      <c r="M237" s="643"/>
      <c r="N237" s="643"/>
      <c r="O237" s="643"/>
      <c r="P237" s="643"/>
      <c r="Q237" s="643"/>
      <c r="R237" s="644" t="str">
        <f t="shared" si="3"/>
        <v/>
      </c>
    </row>
    <row r="238" spans="1:18" x14ac:dyDescent="0.15">
      <c r="A238" s="945"/>
      <c r="B238" s="743"/>
      <c r="C238" s="643"/>
      <c r="D238" s="643"/>
      <c r="E238" s="643"/>
      <c r="F238" s="643"/>
      <c r="G238" s="643"/>
      <c r="H238" s="643"/>
      <c r="I238" s="643"/>
      <c r="J238" s="643"/>
      <c r="K238" s="643"/>
      <c r="L238" s="643"/>
      <c r="M238" s="643"/>
      <c r="N238" s="643"/>
      <c r="O238" s="643"/>
      <c r="P238" s="643"/>
      <c r="Q238" s="643"/>
      <c r="R238" s="644" t="str">
        <f t="shared" si="3"/>
        <v/>
      </c>
    </row>
    <row r="239" spans="1:18" x14ac:dyDescent="0.15">
      <c r="A239" s="945"/>
      <c r="B239" s="743"/>
      <c r="C239" s="643"/>
      <c r="D239" s="643"/>
      <c r="E239" s="643"/>
      <c r="F239" s="643"/>
      <c r="G239" s="643"/>
      <c r="H239" s="643"/>
      <c r="I239" s="643"/>
      <c r="J239" s="643"/>
      <c r="K239" s="643"/>
      <c r="L239" s="643"/>
      <c r="M239" s="643"/>
      <c r="N239" s="643"/>
      <c r="O239" s="643"/>
      <c r="P239" s="643"/>
      <c r="Q239" s="643"/>
      <c r="R239" s="644" t="str">
        <f t="shared" si="3"/>
        <v/>
      </c>
    </row>
    <row r="240" spans="1:18" x14ac:dyDescent="0.15">
      <c r="A240" s="945"/>
      <c r="B240" s="743"/>
      <c r="C240" s="643"/>
      <c r="D240" s="643"/>
      <c r="E240" s="643"/>
      <c r="F240" s="643"/>
      <c r="G240" s="643"/>
      <c r="H240" s="643"/>
      <c r="I240" s="643"/>
      <c r="J240" s="643"/>
      <c r="K240" s="643"/>
      <c r="L240" s="643"/>
      <c r="M240" s="643"/>
      <c r="N240" s="643"/>
      <c r="O240" s="643"/>
      <c r="P240" s="643"/>
      <c r="Q240" s="643"/>
      <c r="R240" s="644" t="str">
        <f t="shared" si="3"/>
        <v/>
      </c>
    </row>
    <row r="241" spans="1:18" x14ac:dyDescent="0.15">
      <c r="A241" s="945"/>
      <c r="B241" s="743"/>
      <c r="C241" s="643"/>
      <c r="D241" s="643"/>
      <c r="E241" s="643"/>
      <c r="F241" s="643"/>
      <c r="G241" s="643"/>
      <c r="H241" s="643"/>
      <c r="I241" s="643"/>
      <c r="J241" s="643"/>
      <c r="K241" s="643"/>
      <c r="L241" s="643"/>
      <c r="M241" s="643"/>
      <c r="N241" s="643"/>
      <c r="O241" s="643"/>
      <c r="P241" s="643"/>
      <c r="Q241" s="643"/>
      <c r="R241" s="644" t="str">
        <f t="shared" si="3"/>
        <v/>
      </c>
    </row>
    <row r="242" spans="1:18" x14ac:dyDescent="0.15">
      <c r="A242" s="945"/>
      <c r="B242" s="743"/>
      <c r="C242" s="643"/>
      <c r="D242" s="643"/>
      <c r="E242" s="643"/>
      <c r="F242" s="643"/>
      <c r="G242" s="643"/>
      <c r="H242" s="643"/>
      <c r="I242" s="643"/>
      <c r="J242" s="643"/>
      <c r="K242" s="643"/>
      <c r="L242" s="643"/>
      <c r="M242" s="643"/>
      <c r="N242" s="643"/>
      <c r="O242" s="643"/>
      <c r="P242" s="643"/>
      <c r="Q242" s="643"/>
      <c r="R242" s="644" t="str">
        <f t="shared" si="3"/>
        <v/>
      </c>
    </row>
    <row r="243" spans="1:18" x14ac:dyDescent="0.15">
      <c r="A243" s="945"/>
      <c r="B243" s="743"/>
      <c r="C243" s="643"/>
      <c r="D243" s="643"/>
      <c r="E243" s="643"/>
      <c r="F243" s="643"/>
      <c r="G243" s="643"/>
      <c r="H243" s="643"/>
      <c r="I243" s="643"/>
      <c r="J243" s="643"/>
      <c r="K243" s="643"/>
      <c r="L243" s="643"/>
      <c r="M243" s="643"/>
      <c r="N243" s="643"/>
      <c r="O243" s="643"/>
      <c r="P243" s="643"/>
      <c r="Q243" s="643"/>
      <c r="R243" s="644" t="str">
        <f t="shared" si="3"/>
        <v/>
      </c>
    </row>
    <row r="244" spans="1:18" x14ac:dyDescent="0.15">
      <c r="A244" s="945"/>
      <c r="B244" s="743"/>
      <c r="C244" s="643"/>
      <c r="D244" s="643"/>
      <c r="E244" s="643"/>
      <c r="F244" s="643"/>
      <c r="G244" s="643"/>
      <c r="H244" s="643"/>
      <c r="I244" s="643"/>
      <c r="J244" s="643"/>
      <c r="K244" s="643"/>
      <c r="L244" s="643"/>
      <c r="M244" s="643"/>
      <c r="N244" s="643"/>
      <c r="O244" s="643"/>
      <c r="P244" s="643"/>
      <c r="Q244" s="643"/>
      <c r="R244" s="644" t="str">
        <f t="shared" si="3"/>
        <v/>
      </c>
    </row>
    <row r="245" spans="1:18" x14ac:dyDescent="0.15">
      <c r="A245" s="945"/>
      <c r="B245" s="743"/>
      <c r="C245" s="643"/>
      <c r="D245" s="643"/>
      <c r="E245" s="643"/>
      <c r="F245" s="643"/>
      <c r="G245" s="643"/>
      <c r="H245" s="643"/>
      <c r="I245" s="643"/>
      <c r="J245" s="643"/>
      <c r="K245" s="643"/>
      <c r="L245" s="643"/>
      <c r="M245" s="643"/>
      <c r="N245" s="643"/>
      <c r="O245" s="643"/>
      <c r="P245" s="643"/>
      <c r="Q245" s="643"/>
      <c r="R245" s="644" t="str">
        <f t="shared" si="3"/>
        <v/>
      </c>
    </row>
    <row r="246" spans="1:18" x14ac:dyDescent="0.15">
      <c r="A246" s="945"/>
      <c r="B246" s="743"/>
      <c r="C246" s="643"/>
      <c r="D246" s="643"/>
      <c r="E246" s="643"/>
      <c r="F246" s="643"/>
      <c r="G246" s="643"/>
      <c r="H246" s="643"/>
      <c r="I246" s="643"/>
      <c r="J246" s="643"/>
      <c r="K246" s="643"/>
      <c r="L246" s="643"/>
      <c r="M246" s="643"/>
      <c r="N246" s="643"/>
      <c r="O246" s="643"/>
      <c r="P246" s="643"/>
      <c r="Q246" s="643"/>
      <c r="R246" s="644" t="str">
        <f t="shared" si="3"/>
        <v/>
      </c>
    </row>
    <row r="247" spans="1:18" x14ac:dyDescent="0.15">
      <c r="A247" s="945"/>
      <c r="B247" s="743"/>
      <c r="C247" s="643"/>
      <c r="D247" s="643"/>
      <c r="E247" s="643"/>
      <c r="F247" s="643"/>
      <c r="G247" s="643"/>
      <c r="H247" s="643"/>
      <c r="I247" s="643"/>
      <c r="J247" s="643"/>
      <c r="K247" s="643"/>
      <c r="L247" s="643"/>
      <c r="M247" s="643"/>
      <c r="N247" s="643"/>
      <c r="O247" s="643"/>
      <c r="P247" s="643"/>
      <c r="Q247" s="643"/>
      <c r="R247" s="644" t="str">
        <f t="shared" si="3"/>
        <v/>
      </c>
    </row>
    <row r="248" spans="1:18" x14ac:dyDescent="0.15">
      <c r="A248" s="945"/>
      <c r="B248" s="743"/>
      <c r="C248" s="643"/>
      <c r="D248" s="643"/>
      <c r="E248" s="643"/>
      <c r="F248" s="643"/>
      <c r="G248" s="643"/>
      <c r="H248" s="643"/>
      <c r="I248" s="643"/>
      <c r="J248" s="643"/>
      <c r="K248" s="643"/>
      <c r="L248" s="643"/>
      <c r="M248" s="643"/>
      <c r="N248" s="643"/>
      <c r="O248" s="643"/>
      <c r="P248" s="643"/>
      <c r="Q248" s="643"/>
      <c r="R248" s="644" t="str">
        <f t="shared" si="3"/>
        <v/>
      </c>
    </row>
    <row r="249" spans="1:18" x14ac:dyDescent="0.15">
      <c r="A249" s="945"/>
      <c r="B249" s="743"/>
      <c r="C249" s="643"/>
      <c r="D249" s="643"/>
      <c r="E249" s="643"/>
      <c r="F249" s="643"/>
      <c r="G249" s="643"/>
      <c r="H249" s="643"/>
      <c r="I249" s="643"/>
      <c r="J249" s="643"/>
      <c r="K249" s="643"/>
      <c r="L249" s="643"/>
      <c r="M249" s="643"/>
      <c r="N249" s="643"/>
      <c r="O249" s="643"/>
      <c r="P249" s="643"/>
      <c r="Q249" s="643"/>
      <c r="R249" s="644" t="str">
        <f t="shared" si="3"/>
        <v/>
      </c>
    </row>
    <row r="250" spans="1:18" x14ac:dyDescent="0.15">
      <c r="A250" s="945"/>
      <c r="B250" s="743"/>
      <c r="C250" s="643"/>
      <c r="D250" s="643"/>
      <c r="E250" s="643"/>
      <c r="F250" s="643"/>
      <c r="G250" s="643"/>
      <c r="H250" s="643"/>
      <c r="I250" s="643"/>
      <c r="J250" s="643"/>
      <c r="K250" s="643"/>
      <c r="L250" s="643"/>
      <c r="M250" s="643"/>
      <c r="N250" s="643"/>
      <c r="O250" s="643"/>
      <c r="P250" s="643"/>
      <c r="Q250" s="643"/>
      <c r="R250" s="644" t="str">
        <f t="shared" si="3"/>
        <v/>
      </c>
    </row>
    <row r="251" spans="1:18" x14ac:dyDescent="0.15">
      <c r="A251" s="945"/>
      <c r="B251" s="743"/>
      <c r="C251" s="643"/>
      <c r="D251" s="643"/>
      <c r="E251" s="643"/>
      <c r="F251" s="643"/>
      <c r="G251" s="643"/>
      <c r="H251" s="643"/>
      <c r="I251" s="643"/>
      <c r="J251" s="643"/>
      <c r="K251" s="643"/>
      <c r="L251" s="643"/>
      <c r="M251" s="643"/>
      <c r="N251" s="643"/>
      <c r="O251" s="643"/>
      <c r="P251" s="643"/>
      <c r="Q251" s="643"/>
      <c r="R251" s="644" t="str">
        <f t="shared" si="3"/>
        <v/>
      </c>
    </row>
    <row r="252" spans="1:18" x14ac:dyDescent="0.15">
      <c r="A252" s="945"/>
      <c r="B252" s="743"/>
      <c r="C252" s="643"/>
      <c r="D252" s="643"/>
      <c r="E252" s="643"/>
      <c r="F252" s="643"/>
      <c r="G252" s="643"/>
      <c r="H252" s="643"/>
      <c r="I252" s="643"/>
      <c r="J252" s="643"/>
      <c r="K252" s="643"/>
      <c r="L252" s="643"/>
      <c r="M252" s="643"/>
      <c r="N252" s="643"/>
      <c r="O252" s="643"/>
      <c r="P252" s="643"/>
      <c r="Q252" s="643"/>
      <c r="R252" s="644" t="str">
        <f t="shared" si="3"/>
        <v/>
      </c>
    </row>
    <row r="253" spans="1:18" x14ac:dyDescent="0.15">
      <c r="A253" s="945"/>
      <c r="B253" s="743"/>
      <c r="C253" s="643"/>
      <c r="D253" s="643"/>
      <c r="E253" s="643"/>
      <c r="F253" s="643"/>
      <c r="G253" s="643"/>
      <c r="H253" s="643"/>
      <c r="I253" s="643"/>
      <c r="J253" s="643"/>
      <c r="K253" s="643"/>
      <c r="L253" s="643"/>
      <c r="M253" s="643"/>
      <c r="N253" s="643"/>
      <c r="O253" s="643"/>
      <c r="P253" s="643"/>
      <c r="Q253" s="643"/>
      <c r="R253" s="644" t="str">
        <f t="shared" si="3"/>
        <v/>
      </c>
    </row>
    <row r="254" spans="1:18" x14ac:dyDescent="0.15">
      <c r="A254" s="945"/>
      <c r="B254" s="743"/>
      <c r="C254" s="643"/>
      <c r="D254" s="643"/>
      <c r="E254" s="643"/>
      <c r="F254" s="643"/>
      <c r="G254" s="643"/>
      <c r="H254" s="643"/>
      <c r="I254" s="643"/>
      <c r="J254" s="643"/>
      <c r="K254" s="643"/>
      <c r="L254" s="643"/>
      <c r="M254" s="643"/>
      <c r="N254" s="643"/>
      <c r="O254" s="643"/>
      <c r="P254" s="643"/>
      <c r="Q254" s="643"/>
      <c r="R254" s="644" t="str">
        <f t="shared" si="3"/>
        <v/>
      </c>
    </row>
    <row r="255" spans="1:18" x14ac:dyDescent="0.15">
      <c r="A255" s="945"/>
      <c r="B255" s="743"/>
      <c r="C255" s="643"/>
      <c r="D255" s="643"/>
      <c r="E255" s="643"/>
      <c r="F255" s="643"/>
      <c r="G255" s="643"/>
      <c r="H255" s="643"/>
      <c r="I255" s="643"/>
      <c r="J255" s="643"/>
      <c r="K255" s="643"/>
      <c r="L255" s="643"/>
      <c r="M255" s="643"/>
      <c r="N255" s="643"/>
      <c r="O255" s="643"/>
      <c r="P255" s="643"/>
      <c r="Q255" s="643"/>
      <c r="R255" s="644" t="str">
        <f t="shared" si="3"/>
        <v/>
      </c>
    </row>
    <row r="256" spans="1:18" x14ac:dyDescent="0.15">
      <c r="A256" s="945"/>
      <c r="B256" s="743"/>
      <c r="C256" s="643"/>
      <c r="D256" s="643"/>
      <c r="E256" s="643"/>
      <c r="F256" s="643"/>
      <c r="G256" s="643"/>
      <c r="H256" s="643"/>
      <c r="I256" s="643"/>
      <c r="J256" s="643"/>
      <c r="K256" s="643"/>
      <c r="L256" s="643"/>
      <c r="M256" s="643"/>
      <c r="N256" s="643"/>
      <c r="O256" s="643"/>
      <c r="P256" s="643"/>
      <c r="Q256" s="643"/>
      <c r="R256" s="644" t="str">
        <f t="shared" si="3"/>
        <v/>
      </c>
    </row>
    <row r="257" spans="1:18" x14ac:dyDescent="0.15">
      <c r="A257" s="945"/>
      <c r="B257" s="743"/>
      <c r="C257" s="643"/>
      <c r="D257" s="643"/>
      <c r="E257" s="643"/>
      <c r="F257" s="643"/>
      <c r="G257" s="643"/>
      <c r="H257" s="643"/>
      <c r="I257" s="643"/>
      <c r="J257" s="643"/>
      <c r="K257" s="643"/>
      <c r="L257" s="643"/>
      <c r="M257" s="643"/>
      <c r="N257" s="643"/>
      <c r="O257" s="643"/>
      <c r="P257" s="643"/>
      <c r="Q257" s="643"/>
      <c r="R257" s="644" t="str">
        <f t="shared" si="3"/>
        <v/>
      </c>
    </row>
    <row r="258" spans="1:18" x14ac:dyDescent="0.15">
      <c r="A258" s="945"/>
      <c r="B258" s="743"/>
      <c r="C258" s="643"/>
      <c r="D258" s="643"/>
      <c r="E258" s="643"/>
      <c r="F258" s="643"/>
      <c r="G258" s="643"/>
      <c r="H258" s="643"/>
      <c r="I258" s="643"/>
      <c r="J258" s="643"/>
      <c r="K258" s="643"/>
      <c r="L258" s="643"/>
      <c r="M258" s="643"/>
      <c r="N258" s="643"/>
      <c r="O258" s="643"/>
      <c r="P258" s="643"/>
      <c r="Q258" s="643"/>
      <c r="R258" s="644" t="str">
        <f t="shared" si="3"/>
        <v/>
      </c>
    </row>
    <row r="259" spans="1:18" x14ac:dyDescent="0.15">
      <c r="A259" s="945"/>
      <c r="B259" s="743"/>
      <c r="C259" s="643"/>
      <c r="D259" s="643"/>
      <c r="E259" s="643"/>
      <c r="F259" s="643"/>
      <c r="G259" s="643"/>
      <c r="H259" s="643"/>
      <c r="I259" s="643"/>
      <c r="J259" s="643"/>
      <c r="K259" s="643"/>
      <c r="L259" s="643"/>
      <c r="M259" s="643"/>
      <c r="N259" s="643"/>
      <c r="O259" s="643"/>
      <c r="P259" s="643"/>
      <c r="Q259" s="643"/>
      <c r="R259" s="644" t="str">
        <f t="shared" ref="R259:R322" si="4">IF(A259="","",SUM(C259:Q259))</f>
        <v/>
      </c>
    </row>
    <row r="260" spans="1:18" x14ac:dyDescent="0.15">
      <c r="A260" s="945"/>
      <c r="B260" s="743"/>
      <c r="C260" s="643"/>
      <c r="D260" s="643"/>
      <c r="E260" s="643"/>
      <c r="F260" s="643"/>
      <c r="G260" s="643"/>
      <c r="H260" s="643"/>
      <c r="I260" s="643"/>
      <c r="J260" s="643"/>
      <c r="K260" s="643"/>
      <c r="L260" s="643"/>
      <c r="M260" s="643"/>
      <c r="N260" s="643"/>
      <c r="O260" s="643"/>
      <c r="P260" s="643"/>
      <c r="Q260" s="643"/>
      <c r="R260" s="644" t="str">
        <f t="shared" si="4"/>
        <v/>
      </c>
    </row>
    <row r="261" spans="1:18" x14ac:dyDescent="0.15">
      <c r="A261" s="945"/>
      <c r="B261" s="743"/>
      <c r="C261" s="643"/>
      <c r="D261" s="643"/>
      <c r="E261" s="643"/>
      <c r="F261" s="643"/>
      <c r="G261" s="643"/>
      <c r="H261" s="643"/>
      <c r="I261" s="643"/>
      <c r="J261" s="643"/>
      <c r="K261" s="643"/>
      <c r="L261" s="643"/>
      <c r="M261" s="643"/>
      <c r="N261" s="643"/>
      <c r="O261" s="643"/>
      <c r="P261" s="643"/>
      <c r="Q261" s="643"/>
      <c r="R261" s="644" t="str">
        <f t="shared" si="4"/>
        <v/>
      </c>
    </row>
    <row r="262" spans="1:18" x14ac:dyDescent="0.15">
      <c r="A262" s="945"/>
      <c r="B262" s="743"/>
      <c r="C262" s="643"/>
      <c r="D262" s="643"/>
      <c r="E262" s="643"/>
      <c r="F262" s="643"/>
      <c r="G262" s="643"/>
      <c r="H262" s="643"/>
      <c r="I262" s="643"/>
      <c r="J262" s="643"/>
      <c r="K262" s="643"/>
      <c r="L262" s="643"/>
      <c r="M262" s="643"/>
      <c r="N262" s="643"/>
      <c r="O262" s="643"/>
      <c r="P262" s="643"/>
      <c r="Q262" s="643"/>
      <c r="R262" s="644" t="str">
        <f t="shared" si="4"/>
        <v/>
      </c>
    </row>
    <row r="263" spans="1:18" x14ac:dyDescent="0.15">
      <c r="A263" s="945"/>
      <c r="B263" s="743"/>
      <c r="C263" s="643"/>
      <c r="D263" s="643"/>
      <c r="E263" s="643"/>
      <c r="F263" s="643"/>
      <c r="G263" s="643"/>
      <c r="H263" s="643"/>
      <c r="I263" s="643"/>
      <c r="J263" s="643"/>
      <c r="K263" s="643"/>
      <c r="L263" s="643"/>
      <c r="M263" s="643"/>
      <c r="N263" s="643"/>
      <c r="O263" s="643"/>
      <c r="P263" s="643"/>
      <c r="Q263" s="643"/>
      <c r="R263" s="644" t="str">
        <f t="shared" si="4"/>
        <v/>
      </c>
    </row>
    <row r="264" spans="1:18" x14ac:dyDescent="0.15">
      <c r="A264" s="945"/>
      <c r="B264" s="743"/>
      <c r="C264" s="643"/>
      <c r="D264" s="643"/>
      <c r="E264" s="643"/>
      <c r="F264" s="643"/>
      <c r="G264" s="643"/>
      <c r="H264" s="643"/>
      <c r="I264" s="643"/>
      <c r="J264" s="643"/>
      <c r="K264" s="643"/>
      <c r="L264" s="643"/>
      <c r="M264" s="643"/>
      <c r="N264" s="643"/>
      <c r="O264" s="643"/>
      <c r="P264" s="643"/>
      <c r="Q264" s="643"/>
      <c r="R264" s="644" t="str">
        <f t="shared" si="4"/>
        <v/>
      </c>
    </row>
    <row r="265" spans="1:18" x14ac:dyDescent="0.15">
      <c r="A265" s="945"/>
      <c r="B265" s="743"/>
      <c r="C265" s="643"/>
      <c r="D265" s="643"/>
      <c r="E265" s="643"/>
      <c r="F265" s="643"/>
      <c r="G265" s="643"/>
      <c r="H265" s="643"/>
      <c r="I265" s="643"/>
      <c r="J265" s="643"/>
      <c r="K265" s="643"/>
      <c r="L265" s="643"/>
      <c r="M265" s="643"/>
      <c r="N265" s="643"/>
      <c r="O265" s="643"/>
      <c r="P265" s="643"/>
      <c r="Q265" s="643"/>
      <c r="R265" s="644" t="str">
        <f t="shared" si="4"/>
        <v/>
      </c>
    </row>
    <row r="266" spans="1:18" x14ac:dyDescent="0.15">
      <c r="A266" s="945"/>
      <c r="B266" s="743"/>
      <c r="C266" s="643"/>
      <c r="D266" s="643"/>
      <c r="E266" s="643"/>
      <c r="F266" s="643"/>
      <c r="G266" s="643"/>
      <c r="H266" s="643"/>
      <c r="I266" s="643"/>
      <c r="J266" s="643"/>
      <c r="K266" s="643"/>
      <c r="L266" s="643"/>
      <c r="M266" s="643"/>
      <c r="N266" s="643"/>
      <c r="O266" s="643"/>
      <c r="P266" s="643"/>
      <c r="Q266" s="643"/>
      <c r="R266" s="644" t="str">
        <f t="shared" si="4"/>
        <v/>
      </c>
    </row>
    <row r="267" spans="1:18" x14ac:dyDescent="0.15">
      <c r="A267" s="945"/>
      <c r="B267" s="743"/>
      <c r="C267" s="643"/>
      <c r="D267" s="643"/>
      <c r="E267" s="643"/>
      <c r="F267" s="643"/>
      <c r="G267" s="643"/>
      <c r="H267" s="643"/>
      <c r="I267" s="643"/>
      <c r="J267" s="643"/>
      <c r="K267" s="643"/>
      <c r="L267" s="643"/>
      <c r="M267" s="643"/>
      <c r="N267" s="643"/>
      <c r="O267" s="643"/>
      <c r="P267" s="643"/>
      <c r="Q267" s="643"/>
      <c r="R267" s="644" t="str">
        <f t="shared" si="4"/>
        <v/>
      </c>
    </row>
    <row r="268" spans="1:18" x14ac:dyDescent="0.15">
      <c r="A268" s="945"/>
      <c r="B268" s="743"/>
      <c r="C268" s="643"/>
      <c r="D268" s="643"/>
      <c r="E268" s="643"/>
      <c r="F268" s="643"/>
      <c r="G268" s="643"/>
      <c r="H268" s="643"/>
      <c r="I268" s="643"/>
      <c r="J268" s="643"/>
      <c r="K268" s="643"/>
      <c r="L268" s="643"/>
      <c r="M268" s="643"/>
      <c r="N268" s="643"/>
      <c r="O268" s="643"/>
      <c r="P268" s="643"/>
      <c r="Q268" s="643"/>
      <c r="R268" s="644" t="str">
        <f t="shared" si="4"/>
        <v/>
      </c>
    </row>
    <row r="269" spans="1:18" x14ac:dyDescent="0.15">
      <c r="A269" s="945"/>
      <c r="B269" s="743"/>
      <c r="C269" s="643"/>
      <c r="D269" s="643"/>
      <c r="E269" s="643"/>
      <c r="F269" s="643"/>
      <c r="G269" s="643"/>
      <c r="H269" s="643"/>
      <c r="I269" s="643"/>
      <c r="J269" s="643"/>
      <c r="K269" s="643"/>
      <c r="L269" s="643"/>
      <c r="M269" s="643"/>
      <c r="N269" s="643"/>
      <c r="O269" s="643"/>
      <c r="P269" s="643"/>
      <c r="Q269" s="643"/>
      <c r="R269" s="644" t="str">
        <f t="shared" si="4"/>
        <v/>
      </c>
    </row>
    <row r="270" spans="1:18" x14ac:dyDescent="0.15">
      <c r="A270" s="945"/>
      <c r="B270" s="743"/>
      <c r="C270" s="643"/>
      <c r="D270" s="643"/>
      <c r="E270" s="643"/>
      <c r="F270" s="643"/>
      <c r="G270" s="643"/>
      <c r="H270" s="643"/>
      <c r="I270" s="643"/>
      <c r="J270" s="643"/>
      <c r="K270" s="643"/>
      <c r="L270" s="643"/>
      <c r="M270" s="643"/>
      <c r="N270" s="643"/>
      <c r="O270" s="643"/>
      <c r="P270" s="643"/>
      <c r="Q270" s="643"/>
      <c r="R270" s="644" t="str">
        <f t="shared" si="4"/>
        <v/>
      </c>
    </row>
    <row r="271" spans="1:18" x14ac:dyDescent="0.15">
      <c r="A271" s="945"/>
      <c r="B271" s="743"/>
      <c r="C271" s="643"/>
      <c r="D271" s="643"/>
      <c r="E271" s="643"/>
      <c r="F271" s="643"/>
      <c r="G271" s="643"/>
      <c r="H271" s="643"/>
      <c r="I271" s="643"/>
      <c r="J271" s="643"/>
      <c r="K271" s="643"/>
      <c r="L271" s="643"/>
      <c r="M271" s="643"/>
      <c r="N271" s="643"/>
      <c r="O271" s="643"/>
      <c r="P271" s="643"/>
      <c r="Q271" s="643"/>
      <c r="R271" s="644" t="str">
        <f t="shared" si="4"/>
        <v/>
      </c>
    </row>
    <row r="272" spans="1:18" x14ac:dyDescent="0.15">
      <c r="A272" s="945"/>
      <c r="B272" s="743"/>
      <c r="C272" s="643"/>
      <c r="D272" s="643"/>
      <c r="E272" s="643"/>
      <c r="F272" s="643"/>
      <c r="G272" s="643"/>
      <c r="H272" s="643"/>
      <c r="I272" s="643"/>
      <c r="J272" s="643"/>
      <c r="K272" s="643"/>
      <c r="L272" s="643"/>
      <c r="M272" s="643"/>
      <c r="N272" s="643"/>
      <c r="O272" s="643"/>
      <c r="P272" s="643"/>
      <c r="Q272" s="643"/>
      <c r="R272" s="644" t="str">
        <f t="shared" si="4"/>
        <v/>
      </c>
    </row>
    <row r="273" spans="1:18" x14ac:dyDescent="0.15">
      <c r="A273" s="945"/>
      <c r="B273" s="743"/>
      <c r="C273" s="643"/>
      <c r="D273" s="643"/>
      <c r="E273" s="643"/>
      <c r="F273" s="643"/>
      <c r="G273" s="643"/>
      <c r="H273" s="643"/>
      <c r="I273" s="643"/>
      <c r="J273" s="643"/>
      <c r="K273" s="643"/>
      <c r="L273" s="643"/>
      <c r="M273" s="643"/>
      <c r="N273" s="643"/>
      <c r="O273" s="643"/>
      <c r="P273" s="643"/>
      <c r="Q273" s="643"/>
      <c r="R273" s="644" t="str">
        <f t="shared" si="4"/>
        <v/>
      </c>
    </row>
    <row r="274" spans="1:18" x14ac:dyDescent="0.15">
      <c r="A274" s="945"/>
      <c r="B274" s="743"/>
      <c r="C274" s="643"/>
      <c r="D274" s="643"/>
      <c r="E274" s="643"/>
      <c r="F274" s="643"/>
      <c r="G274" s="643"/>
      <c r="H274" s="643"/>
      <c r="I274" s="643"/>
      <c r="J274" s="643"/>
      <c r="K274" s="643"/>
      <c r="L274" s="643"/>
      <c r="M274" s="643"/>
      <c r="N274" s="643"/>
      <c r="O274" s="643"/>
      <c r="P274" s="643"/>
      <c r="Q274" s="643"/>
      <c r="R274" s="644" t="str">
        <f t="shared" si="4"/>
        <v/>
      </c>
    </row>
    <row r="275" spans="1:18" x14ac:dyDescent="0.15">
      <c r="A275" s="945"/>
      <c r="B275" s="743"/>
      <c r="C275" s="643"/>
      <c r="D275" s="643"/>
      <c r="E275" s="643"/>
      <c r="F275" s="643"/>
      <c r="G275" s="643"/>
      <c r="H275" s="643"/>
      <c r="I275" s="643"/>
      <c r="J275" s="643"/>
      <c r="K275" s="643"/>
      <c r="L275" s="643"/>
      <c r="M275" s="643"/>
      <c r="N275" s="643"/>
      <c r="O275" s="643"/>
      <c r="P275" s="643"/>
      <c r="Q275" s="643"/>
      <c r="R275" s="644" t="str">
        <f t="shared" si="4"/>
        <v/>
      </c>
    </row>
    <row r="276" spans="1:18" x14ac:dyDescent="0.15">
      <c r="A276" s="945"/>
      <c r="B276" s="743"/>
      <c r="C276" s="643"/>
      <c r="D276" s="643"/>
      <c r="E276" s="643"/>
      <c r="F276" s="643"/>
      <c r="G276" s="643"/>
      <c r="H276" s="643"/>
      <c r="I276" s="643"/>
      <c r="J276" s="643"/>
      <c r="K276" s="643"/>
      <c r="L276" s="643"/>
      <c r="M276" s="643"/>
      <c r="N276" s="643"/>
      <c r="O276" s="643"/>
      <c r="P276" s="643"/>
      <c r="Q276" s="643"/>
      <c r="R276" s="644" t="str">
        <f t="shared" si="4"/>
        <v/>
      </c>
    </row>
    <row r="277" spans="1:18" x14ac:dyDescent="0.15">
      <c r="A277" s="945"/>
      <c r="B277" s="743"/>
      <c r="C277" s="643"/>
      <c r="D277" s="643"/>
      <c r="E277" s="643"/>
      <c r="F277" s="643"/>
      <c r="G277" s="643"/>
      <c r="H277" s="643"/>
      <c r="I277" s="643"/>
      <c r="J277" s="643"/>
      <c r="K277" s="643"/>
      <c r="L277" s="643"/>
      <c r="M277" s="643"/>
      <c r="N277" s="643"/>
      <c r="O277" s="643"/>
      <c r="P277" s="643"/>
      <c r="Q277" s="643"/>
      <c r="R277" s="644" t="str">
        <f t="shared" si="4"/>
        <v/>
      </c>
    </row>
    <row r="278" spans="1:18" x14ac:dyDescent="0.15">
      <c r="A278" s="945"/>
      <c r="B278" s="743"/>
      <c r="C278" s="643"/>
      <c r="D278" s="643"/>
      <c r="E278" s="643"/>
      <c r="F278" s="643"/>
      <c r="G278" s="643"/>
      <c r="H278" s="643"/>
      <c r="I278" s="643"/>
      <c r="J278" s="643"/>
      <c r="K278" s="643"/>
      <c r="L278" s="643"/>
      <c r="M278" s="643"/>
      <c r="N278" s="643"/>
      <c r="O278" s="643"/>
      <c r="P278" s="643"/>
      <c r="Q278" s="643"/>
      <c r="R278" s="644" t="str">
        <f t="shared" si="4"/>
        <v/>
      </c>
    </row>
    <row r="279" spans="1:18" x14ac:dyDescent="0.15">
      <c r="A279" s="945"/>
      <c r="B279" s="743"/>
      <c r="C279" s="643"/>
      <c r="D279" s="643"/>
      <c r="E279" s="643"/>
      <c r="F279" s="643"/>
      <c r="G279" s="643"/>
      <c r="H279" s="643"/>
      <c r="I279" s="643"/>
      <c r="J279" s="643"/>
      <c r="K279" s="643"/>
      <c r="L279" s="643"/>
      <c r="M279" s="643"/>
      <c r="N279" s="643"/>
      <c r="O279" s="643"/>
      <c r="P279" s="643"/>
      <c r="Q279" s="643"/>
      <c r="R279" s="644" t="str">
        <f t="shared" si="4"/>
        <v/>
      </c>
    </row>
    <row r="280" spans="1:18" x14ac:dyDescent="0.15">
      <c r="A280" s="945"/>
      <c r="B280" s="743"/>
      <c r="C280" s="643"/>
      <c r="D280" s="643"/>
      <c r="E280" s="643"/>
      <c r="F280" s="643"/>
      <c r="G280" s="643"/>
      <c r="H280" s="643"/>
      <c r="I280" s="643"/>
      <c r="J280" s="643"/>
      <c r="K280" s="643"/>
      <c r="L280" s="643"/>
      <c r="M280" s="643"/>
      <c r="N280" s="643"/>
      <c r="O280" s="643"/>
      <c r="P280" s="643"/>
      <c r="Q280" s="643"/>
      <c r="R280" s="644" t="str">
        <f t="shared" si="4"/>
        <v/>
      </c>
    </row>
    <row r="281" spans="1:18" x14ac:dyDescent="0.15">
      <c r="A281" s="945"/>
      <c r="B281" s="743"/>
      <c r="C281" s="643"/>
      <c r="D281" s="643"/>
      <c r="E281" s="643"/>
      <c r="F281" s="643"/>
      <c r="G281" s="643"/>
      <c r="H281" s="643"/>
      <c r="I281" s="643"/>
      <c r="J281" s="643"/>
      <c r="K281" s="643"/>
      <c r="L281" s="643"/>
      <c r="M281" s="643"/>
      <c r="N281" s="643"/>
      <c r="O281" s="643"/>
      <c r="P281" s="643"/>
      <c r="Q281" s="643"/>
      <c r="R281" s="644" t="str">
        <f t="shared" si="4"/>
        <v/>
      </c>
    </row>
    <row r="282" spans="1:18" x14ac:dyDescent="0.15">
      <c r="A282" s="945"/>
      <c r="B282" s="743"/>
      <c r="C282" s="643"/>
      <c r="D282" s="643"/>
      <c r="E282" s="643"/>
      <c r="F282" s="643"/>
      <c r="G282" s="643"/>
      <c r="H282" s="643"/>
      <c r="I282" s="643"/>
      <c r="J282" s="643"/>
      <c r="K282" s="643"/>
      <c r="L282" s="643"/>
      <c r="M282" s="643"/>
      <c r="N282" s="643"/>
      <c r="O282" s="643"/>
      <c r="P282" s="643"/>
      <c r="Q282" s="643"/>
      <c r="R282" s="644" t="str">
        <f t="shared" si="4"/>
        <v/>
      </c>
    </row>
    <row r="283" spans="1:18" x14ac:dyDescent="0.15">
      <c r="A283" s="945"/>
      <c r="B283" s="743"/>
      <c r="C283" s="643"/>
      <c r="D283" s="643"/>
      <c r="E283" s="643"/>
      <c r="F283" s="643"/>
      <c r="G283" s="643"/>
      <c r="H283" s="643"/>
      <c r="I283" s="643"/>
      <c r="J283" s="643"/>
      <c r="K283" s="643"/>
      <c r="L283" s="643"/>
      <c r="M283" s="643"/>
      <c r="N283" s="643"/>
      <c r="O283" s="643"/>
      <c r="P283" s="643"/>
      <c r="Q283" s="643"/>
      <c r="R283" s="644" t="str">
        <f t="shared" si="4"/>
        <v/>
      </c>
    </row>
    <row r="284" spans="1:18" x14ac:dyDescent="0.15">
      <c r="A284" s="945"/>
      <c r="B284" s="743"/>
      <c r="C284" s="643"/>
      <c r="D284" s="643"/>
      <c r="E284" s="643"/>
      <c r="F284" s="643"/>
      <c r="G284" s="643"/>
      <c r="H284" s="643"/>
      <c r="I284" s="643"/>
      <c r="J284" s="643"/>
      <c r="K284" s="643"/>
      <c r="L284" s="643"/>
      <c r="M284" s="643"/>
      <c r="N284" s="643"/>
      <c r="O284" s="643"/>
      <c r="P284" s="643"/>
      <c r="Q284" s="643"/>
      <c r="R284" s="644" t="str">
        <f t="shared" si="4"/>
        <v/>
      </c>
    </row>
    <row r="285" spans="1:18" x14ac:dyDescent="0.15">
      <c r="A285" s="945"/>
      <c r="B285" s="743"/>
      <c r="C285" s="643"/>
      <c r="D285" s="643"/>
      <c r="E285" s="643"/>
      <c r="F285" s="643"/>
      <c r="G285" s="643"/>
      <c r="H285" s="643"/>
      <c r="I285" s="643"/>
      <c r="J285" s="643"/>
      <c r="K285" s="643"/>
      <c r="L285" s="643"/>
      <c r="M285" s="643"/>
      <c r="N285" s="643"/>
      <c r="O285" s="643"/>
      <c r="P285" s="643"/>
      <c r="Q285" s="643"/>
      <c r="R285" s="644" t="str">
        <f t="shared" si="4"/>
        <v/>
      </c>
    </row>
    <row r="286" spans="1:18" x14ac:dyDescent="0.15">
      <c r="A286" s="945"/>
      <c r="B286" s="743"/>
      <c r="C286" s="643"/>
      <c r="D286" s="643"/>
      <c r="E286" s="643"/>
      <c r="F286" s="643"/>
      <c r="G286" s="643"/>
      <c r="H286" s="643"/>
      <c r="I286" s="643"/>
      <c r="J286" s="643"/>
      <c r="K286" s="643"/>
      <c r="L286" s="643"/>
      <c r="M286" s="643"/>
      <c r="N286" s="643"/>
      <c r="O286" s="643"/>
      <c r="P286" s="643"/>
      <c r="Q286" s="643"/>
      <c r="R286" s="644" t="str">
        <f t="shared" si="4"/>
        <v/>
      </c>
    </row>
    <row r="287" spans="1:18" x14ac:dyDescent="0.15">
      <c r="A287" s="945"/>
      <c r="B287" s="743"/>
      <c r="C287" s="643"/>
      <c r="D287" s="643"/>
      <c r="E287" s="643"/>
      <c r="F287" s="643"/>
      <c r="G287" s="643"/>
      <c r="H287" s="643"/>
      <c r="I287" s="643"/>
      <c r="J287" s="643"/>
      <c r="K287" s="643"/>
      <c r="L287" s="643"/>
      <c r="M287" s="643"/>
      <c r="N287" s="643"/>
      <c r="O287" s="643"/>
      <c r="P287" s="643"/>
      <c r="Q287" s="643"/>
      <c r="R287" s="644" t="str">
        <f t="shared" si="4"/>
        <v/>
      </c>
    </row>
    <row r="288" spans="1:18" x14ac:dyDescent="0.15">
      <c r="A288" s="945"/>
      <c r="B288" s="743"/>
      <c r="C288" s="643"/>
      <c r="D288" s="643"/>
      <c r="E288" s="643"/>
      <c r="F288" s="643"/>
      <c r="G288" s="643"/>
      <c r="H288" s="643"/>
      <c r="I288" s="643"/>
      <c r="J288" s="643"/>
      <c r="K288" s="643"/>
      <c r="L288" s="643"/>
      <c r="M288" s="643"/>
      <c r="N288" s="643"/>
      <c r="O288" s="643"/>
      <c r="P288" s="643"/>
      <c r="Q288" s="643"/>
      <c r="R288" s="644" t="str">
        <f t="shared" si="4"/>
        <v/>
      </c>
    </row>
    <row r="289" spans="1:18" x14ac:dyDescent="0.15">
      <c r="A289" s="945"/>
      <c r="B289" s="743"/>
      <c r="C289" s="643"/>
      <c r="D289" s="643"/>
      <c r="E289" s="643"/>
      <c r="F289" s="643"/>
      <c r="G289" s="643"/>
      <c r="H289" s="643"/>
      <c r="I289" s="643"/>
      <c r="J289" s="643"/>
      <c r="K289" s="643"/>
      <c r="L289" s="643"/>
      <c r="M289" s="643"/>
      <c r="N289" s="643"/>
      <c r="O289" s="643"/>
      <c r="P289" s="643"/>
      <c r="Q289" s="643"/>
      <c r="R289" s="644" t="str">
        <f t="shared" si="4"/>
        <v/>
      </c>
    </row>
    <row r="290" spans="1:18" x14ac:dyDescent="0.15">
      <c r="A290" s="945"/>
      <c r="B290" s="743"/>
      <c r="C290" s="643"/>
      <c r="D290" s="643"/>
      <c r="E290" s="643"/>
      <c r="F290" s="643"/>
      <c r="G290" s="643"/>
      <c r="H290" s="643"/>
      <c r="I290" s="643"/>
      <c r="J290" s="643"/>
      <c r="K290" s="643"/>
      <c r="L290" s="643"/>
      <c r="M290" s="643"/>
      <c r="N290" s="643"/>
      <c r="O290" s="643"/>
      <c r="P290" s="643"/>
      <c r="Q290" s="643"/>
      <c r="R290" s="644" t="str">
        <f t="shared" si="4"/>
        <v/>
      </c>
    </row>
    <row r="291" spans="1:18" x14ac:dyDescent="0.15">
      <c r="A291" s="945"/>
      <c r="B291" s="743"/>
      <c r="C291" s="643"/>
      <c r="D291" s="643"/>
      <c r="E291" s="643"/>
      <c r="F291" s="643"/>
      <c r="G291" s="643"/>
      <c r="H291" s="643"/>
      <c r="I291" s="643"/>
      <c r="J291" s="643"/>
      <c r="K291" s="643"/>
      <c r="L291" s="643"/>
      <c r="M291" s="643"/>
      <c r="N291" s="643"/>
      <c r="O291" s="643"/>
      <c r="P291" s="643"/>
      <c r="Q291" s="643"/>
      <c r="R291" s="644" t="str">
        <f t="shared" si="4"/>
        <v/>
      </c>
    </row>
    <row r="292" spans="1:18" x14ac:dyDescent="0.15">
      <c r="A292" s="945"/>
      <c r="B292" s="743"/>
      <c r="C292" s="643"/>
      <c r="D292" s="643"/>
      <c r="E292" s="643"/>
      <c r="F292" s="643"/>
      <c r="G292" s="643"/>
      <c r="H292" s="643"/>
      <c r="I292" s="643"/>
      <c r="J292" s="643"/>
      <c r="K292" s="643"/>
      <c r="L292" s="643"/>
      <c r="M292" s="643"/>
      <c r="N292" s="643"/>
      <c r="O292" s="643"/>
      <c r="P292" s="643"/>
      <c r="Q292" s="643"/>
      <c r="R292" s="644" t="str">
        <f t="shared" si="4"/>
        <v/>
      </c>
    </row>
    <row r="293" spans="1:18" x14ac:dyDescent="0.15">
      <c r="A293" s="945"/>
      <c r="B293" s="743"/>
      <c r="C293" s="643"/>
      <c r="D293" s="643"/>
      <c r="E293" s="643"/>
      <c r="F293" s="643"/>
      <c r="G293" s="643"/>
      <c r="H293" s="643"/>
      <c r="I293" s="643"/>
      <c r="J293" s="643"/>
      <c r="K293" s="643"/>
      <c r="L293" s="643"/>
      <c r="M293" s="643"/>
      <c r="N293" s="643"/>
      <c r="O293" s="643"/>
      <c r="P293" s="643"/>
      <c r="Q293" s="643"/>
      <c r="R293" s="644" t="str">
        <f t="shared" si="4"/>
        <v/>
      </c>
    </row>
    <row r="294" spans="1:18" x14ac:dyDescent="0.15">
      <c r="A294" s="945"/>
      <c r="B294" s="743"/>
      <c r="C294" s="643"/>
      <c r="D294" s="643"/>
      <c r="E294" s="643"/>
      <c r="F294" s="643"/>
      <c r="G294" s="643"/>
      <c r="H294" s="643"/>
      <c r="I294" s="643"/>
      <c r="J294" s="643"/>
      <c r="K294" s="643"/>
      <c r="L294" s="643"/>
      <c r="M294" s="643"/>
      <c r="N294" s="643"/>
      <c r="O294" s="643"/>
      <c r="P294" s="643"/>
      <c r="Q294" s="643"/>
      <c r="R294" s="644" t="str">
        <f t="shared" si="4"/>
        <v/>
      </c>
    </row>
    <row r="295" spans="1:18" x14ac:dyDescent="0.15">
      <c r="A295" s="945"/>
      <c r="B295" s="743"/>
      <c r="C295" s="643"/>
      <c r="D295" s="643"/>
      <c r="E295" s="643"/>
      <c r="F295" s="643"/>
      <c r="G295" s="643"/>
      <c r="H295" s="643"/>
      <c r="I295" s="643"/>
      <c r="J295" s="643"/>
      <c r="K295" s="643"/>
      <c r="L295" s="643"/>
      <c r="M295" s="643"/>
      <c r="N295" s="643"/>
      <c r="O295" s="643"/>
      <c r="P295" s="643"/>
      <c r="Q295" s="643"/>
      <c r="R295" s="644" t="str">
        <f t="shared" si="4"/>
        <v/>
      </c>
    </row>
    <row r="296" spans="1:18" x14ac:dyDescent="0.15">
      <c r="A296" s="945"/>
      <c r="B296" s="743"/>
      <c r="C296" s="643"/>
      <c r="D296" s="643"/>
      <c r="E296" s="643"/>
      <c r="F296" s="643"/>
      <c r="G296" s="643"/>
      <c r="H296" s="643"/>
      <c r="I296" s="643"/>
      <c r="J296" s="643"/>
      <c r="K296" s="643"/>
      <c r="L296" s="643"/>
      <c r="M296" s="643"/>
      <c r="N296" s="643"/>
      <c r="O296" s="643"/>
      <c r="P296" s="643"/>
      <c r="Q296" s="643"/>
      <c r="R296" s="644" t="str">
        <f t="shared" si="4"/>
        <v/>
      </c>
    </row>
    <row r="297" spans="1:18" x14ac:dyDescent="0.15">
      <c r="A297" s="945"/>
      <c r="B297" s="743"/>
      <c r="C297" s="643"/>
      <c r="D297" s="643"/>
      <c r="E297" s="643"/>
      <c r="F297" s="643"/>
      <c r="G297" s="643"/>
      <c r="H297" s="643"/>
      <c r="I297" s="643"/>
      <c r="J297" s="643"/>
      <c r="K297" s="643"/>
      <c r="L297" s="643"/>
      <c r="M297" s="643"/>
      <c r="N297" s="643"/>
      <c r="O297" s="643"/>
      <c r="P297" s="643"/>
      <c r="Q297" s="643"/>
      <c r="R297" s="644" t="str">
        <f t="shared" si="4"/>
        <v/>
      </c>
    </row>
    <row r="298" spans="1:18" x14ac:dyDescent="0.15">
      <c r="A298" s="945"/>
      <c r="B298" s="743"/>
      <c r="C298" s="643"/>
      <c r="D298" s="643"/>
      <c r="E298" s="643"/>
      <c r="F298" s="643"/>
      <c r="G298" s="643"/>
      <c r="H298" s="643"/>
      <c r="I298" s="643"/>
      <c r="J298" s="643"/>
      <c r="K298" s="643"/>
      <c r="L298" s="643"/>
      <c r="M298" s="643"/>
      <c r="N298" s="643"/>
      <c r="O298" s="643"/>
      <c r="P298" s="643"/>
      <c r="Q298" s="643"/>
      <c r="R298" s="644" t="str">
        <f t="shared" si="4"/>
        <v/>
      </c>
    </row>
    <row r="299" spans="1:18" x14ac:dyDescent="0.15">
      <c r="A299" s="945"/>
      <c r="B299" s="743"/>
      <c r="C299" s="643"/>
      <c r="D299" s="643"/>
      <c r="E299" s="643"/>
      <c r="F299" s="643"/>
      <c r="G299" s="643"/>
      <c r="H299" s="643"/>
      <c r="I299" s="643"/>
      <c r="J299" s="643"/>
      <c r="K299" s="643"/>
      <c r="L299" s="643"/>
      <c r="M299" s="643"/>
      <c r="N299" s="643"/>
      <c r="O299" s="643"/>
      <c r="P299" s="643"/>
      <c r="Q299" s="643"/>
      <c r="R299" s="644" t="str">
        <f t="shared" si="4"/>
        <v/>
      </c>
    </row>
    <row r="300" spans="1:18" x14ac:dyDescent="0.15">
      <c r="A300" s="945"/>
      <c r="B300" s="743"/>
      <c r="C300" s="643"/>
      <c r="D300" s="643"/>
      <c r="E300" s="643"/>
      <c r="F300" s="643"/>
      <c r="G300" s="643"/>
      <c r="H300" s="643"/>
      <c r="I300" s="643"/>
      <c r="J300" s="643"/>
      <c r="K300" s="643"/>
      <c r="L300" s="643"/>
      <c r="M300" s="643"/>
      <c r="N300" s="643"/>
      <c r="O300" s="643"/>
      <c r="P300" s="643"/>
      <c r="Q300" s="643"/>
      <c r="R300" s="644" t="str">
        <f t="shared" si="4"/>
        <v/>
      </c>
    </row>
    <row r="301" spans="1:18" x14ac:dyDescent="0.15">
      <c r="A301" s="945"/>
      <c r="B301" s="743"/>
      <c r="C301" s="643"/>
      <c r="D301" s="643"/>
      <c r="E301" s="643"/>
      <c r="F301" s="643"/>
      <c r="G301" s="643"/>
      <c r="H301" s="643"/>
      <c r="I301" s="643"/>
      <c r="J301" s="643"/>
      <c r="K301" s="643"/>
      <c r="L301" s="643"/>
      <c r="M301" s="643"/>
      <c r="N301" s="643"/>
      <c r="O301" s="643"/>
      <c r="P301" s="643"/>
      <c r="Q301" s="643"/>
      <c r="R301" s="644" t="str">
        <f t="shared" si="4"/>
        <v/>
      </c>
    </row>
    <row r="302" spans="1:18" x14ac:dyDescent="0.15">
      <c r="A302" s="945"/>
      <c r="B302" s="743"/>
      <c r="C302" s="643"/>
      <c r="D302" s="643"/>
      <c r="E302" s="643"/>
      <c r="F302" s="643"/>
      <c r="G302" s="643"/>
      <c r="H302" s="643"/>
      <c r="I302" s="643"/>
      <c r="J302" s="643"/>
      <c r="K302" s="643"/>
      <c r="L302" s="643"/>
      <c r="M302" s="643"/>
      <c r="N302" s="643"/>
      <c r="O302" s="643"/>
      <c r="P302" s="643"/>
      <c r="Q302" s="643"/>
      <c r="R302" s="644" t="str">
        <f t="shared" si="4"/>
        <v/>
      </c>
    </row>
    <row r="303" spans="1:18" x14ac:dyDescent="0.15">
      <c r="A303" s="945"/>
      <c r="B303" s="743"/>
      <c r="C303" s="643"/>
      <c r="D303" s="643"/>
      <c r="E303" s="643"/>
      <c r="F303" s="643"/>
      <c r="G303" s="643"/>
      <c r="H303" s="643"/>
      <c r="I303" s="643"/>
      <c r="J303" s="643"/>
      <c r="K303" s="643"/>
      <c r="L303" s="643"/>
      <c r="M303" s="643"/>
      <c r="N303" s="643"/>
      <c r="O303" s="643"/>
      <c r="P303" s="643"/>
      <c r="Q303" s="643"/>
      <c r="R303" s="644" t="str">
        <f t="shared" si="4"/>
        <v/>
      </c>
    </row>
    <row r="304" spans="1:18" x14ac:dyDescent="0.15">
      <c r="A304" s="945"/>
      <c r="B304" s="743"/>
      <c r="C304" s="643"/>
      <c r="D304" s="643"/>
      <c r="E304" s="643"/>
      <c r="F304" s="643"/>
      <c r="G304" s="643"/>
      <c r="H304" s="643"/>
      <c r="I304" s="643"/>
      <c r="J304" s="643"/>
      <c r="K304" s="643"/>
      <c r="L304" s="643"/>
      <c r="M304" s="643"/>
      <c r="N304" s="643"/>
      <c r="O304" s="643"/>
      <c r="P304" s="643"/>
      <c r="Q304" s="643"/>
      <c r="R304" s="644" t="str">
        <f t="shared" si="4"/>
        <v/>
      </c>
    </row>
    <row r="305" spans="1:18" x14ac:dyDescent="0.15">
      <c r="A305" s="945"/>
      <c r="B305" s="743"/>
      <c r="C305" s="643"/>
      <c r="D305" s="643"/>
      <c r="E305" s="643"/>
      <c r="F305" s="643"/>
      <c r="G305" s="643"/>
      <c r="H305" s="643"/>
      <c r="I305" s="643"/>
      <c r="J305" s="643"/>
      <c r="K305" s="643"/>
      <c r="L305" s="643"/>
      <c r="M305" s="643"/>
      <c r="N305" s="643"/>
      <c r="O305" s="643"/>
      <c r="P305" s="643"/>
      <c r="Q305" s="643"/>
      <c r="R305" s="644" t="str">
        <f t="shared" si="4"/>
        <v/>
      </c>
    </row>
    <row r="306" spans="1:18" x14ac:dyDescent="0.15">
      <c r="A306" s="945"/>
      <c r="B306" s="743"/>
      <c r="C306" s="643"/>
      <c r="D306" s="643"/>
      <c r="E306" s="643"/>
      <c r="F306" s="643"/>
      <c r="G306" s="643"/>
      <c r="H306" s="643"/>
      <c r="I306" s="643"/>
      <c r="J306" s="643"/>
      <c r="K306" s="643"/>
      <c r="L306" s="643"/>
      <c r="M306" s="643"/>
      <c r="N306" s="643"/>
      <c r="O306" s="643"/>
      <c r="P306" s="643"/>
      <c r="Q306" s="643"/>
      <c r="R306" s="644" t="str">
        <f t="shared" si="4"/>
        <v/>
      </c>
    </row>
    <row r="307" spans="1:18" x14ac:dyDescent="0.15">
      <c r="A307" s="945"/>
      <c r="B307" s="743"/>
      <c r="C307" s="643"/>
      <c r="D307" s="643"/>
      <c r="E307" s="643"/>
      <c r="F307" s="643"/>
      <c r="G307" s="643"/>
      <c r="H307" s="643"/>
      <c r="I307" s="643"/>
      <c r="J307" s="643"/>
      <c r="K307" s="643"/>
      <c r="L307" s="643"/>
      <c r="M307" s="643"/>
      <c r="N307" s="643"/>
      <c r="O307" s="643"/>
      <c r="P307" s="643"/>
      <c r="Q307" s="643"/>
      <c r="R307" s="644" t="str">
        <f t="shared" si="4"/>
        <v/>
      </c>
    </row>
    <row r="308" spans="1:18" x14ac:dyDescent="0.15">
      <c r="A308" s="945"/>
      <c r="B308" s="743"/>
      <c r="C308" s="643"/>
      <c r="D308" s="643"/>
      <c r="E308" s="643"/>
      <c r="F308" s="643"/>
      <c r="G308" s="643"/>
      <c r="H308" s="643"/>
      <c r="I308" s="643"/>
      <c r="J308" s="643"/>
      <c r="K308" s="643"/>
      <c r="L308" s="643"/>
      <c r="M308" s="643"/>
      <c r="N308" s="643"/>
      <c r="O308" s="643"/>
      <c r="P308" s="643"/>
      <c r="Q308" s="643"/>
      <c r="R308" s="644" t="str">
        <f t="shared" si="4"/>
        <v/>
      </c>
    </row>
    <row r="309" spans="1:18" x14ac:dyDescent="0.15">
      <c r="A309" s="945"/>
      <c r="B309" s="743"/>
      <c r="C309" s="643"/>
      <c r="D309" s="643"/>
      <c r="E309" s="643"/>
      <c r="F309" s="643"/>
      <c r="G309" s="643"/>
      <c r="H309" s="643"/>
      <c r="I309" s="643"/>
      <c r="J309" s="643"/>
      <c r="K309" s="643"/>
      <c r="L309" s="643"/>
      <c r="M309" s="643"/>
      <c r="N309" s="643"/>
      <c r="O309" s="643"/>
      <c r="P309" s="643"/>
      <c r="Q309" s="643"/>
      <c r="R309" s="644" t="str">
        <f t="shared" si="4"/>
        <v/>
      </c>
    </row>
    <row r="310" spans="1:18" x14ac:dyDescent="0.15">
      <c r="A310" s="945"/>
      <c r="B310" s="743"/>
      <c r="C310" s="643"/>
      <c r="D310" s="643"/>
      <c r="E310" s="643"/>
      <c r="F310" s="643"/>
      <c r="G310" s="643"/>
      <c r="H310" s="643"/>
      <c r="I310" s="643"/>
      <c r="J310" s="643"/>
      <c r="K310" s="643"/>
      <c r="L310" s="643"/>
      <c r="M310" s="643"/>
      <c r="N310" s="643"/>
      <c r="O310" s="643"/>
      <c r="P310" s="643"/>
      <c r="Q310" s="643"/>
      <c r="R310" s="644" t="str">
        <f t="shared" si="4"/>
        <v/>
      </c>
    </row>
    <row r="311" spans="1:18" x14ac:dyDescent="0.15">
      <c r="A311" s="945"/>
      <c r="B311" s="743"/>
      <c r="C311" s="643"/>
      <c r="D311" s="643"/>
      <c r="E311" s="643"/>
      <c r="F311" s="643"/>
      <c r="G311" s="643"/>
      <c r="H311" s="643"/>
      <c r="I311" s="643"/>
      <c r="J311" s="643"/>
      <c r="K311" s="643"/>
      <c r="L311" s="643"/>
      <c r="M311" s="643"/>
      <c r="N311" s="643"/>
      <c r="O311" s="643"/>
      <c r="P311" s="643"/>
      <c r="Q311" s="643"/>
      <c r="R311" s="644" t="str">
        <f t="shared" si="4"/>
        <v/>
      </c>
    </row>
    <row r="312" spans="1:18" x14ac:dyDescent="0.15">
      <c r="A312" s="945"/>
      <c r="B312" s="743"/>
      <c r="C312" s="643"/>
      <c r="D312" s="643"/>
      <c r="E312" s="643"/>
      <c r="F312" s="643"/>
      <c r="G312" s="643"/>
      <c r="H312" s="643"/>
      <c r="I312" s="643"/>
      <c r="J312" s="643"/>
      <c r="K312" s="643"/>
      <c r="L312" s="643"/>
      <c r="M312" s="643"/>
      <c r="N312" s="643"/>
      <c r="O312" s="643"/>
      <c r="P312" s="643"/>
      <c r="Q312" s="643"/>
      <c r="R312" s="644" t="str">
        <f t="shared" si="4"/>
        <v/>
      </c>
    </row>
    <row r="313" spans="1:18" x14ac:dyDescent="0.15">
      <c r="A313" s="945"/>
      <c r="B313" s="743"/>
      <c r="C313" s="643"/>
      <c r="D313" s="643"/>
      <c r="E313" s="643"/>
      <c r="F313" s="643"/>
      <c r="G313" s="643"/>
      <c r="H313" s="643"/>
      <c r="I313" s="643"/>
      <c r="J313" s="643"/>
      <c r="K313" s="643"/>
      <c r="L313" s="643"/>
      <c r="M313" s="643"/>
      <c r="N313" s="643"/>
      <c r="O313" s="643"/>
      <c r="P313" s="643"/>
      <c r="Q313" s="643"/>
      <c r="R313" s="644" t="str">
        <f t="shared" si="4"/>
        <v/>
      </c>
    </row>
    <row r="314" spans="1:18" x14ac:dyDescent="0.15">
      <c r="A314" s="945"/>
      <c r="B314" s="743"/>
      <c r="C314" s="643"/>
      <c r="D314" s="643"/>
      <c r="E314" s="643"/>
      <c r="F314" s="643"/>
      <c r="G314" s="643"/>
      <c r="H314" s="643"/>
      <c r="I314" s="643"/>
      <c r="J314" s="643"/>
      <c r="K314" s="643"/>
      <c r="L314" s="643"/>
      <c r="M314" s="643"/>
      <c r="N314" s="643"/>
      <c r="O314" s="643"/>
      <c r="P314" s="643"/>
      <c r="Q314" s="643"/>
      <c r="R314" s="644" t="str">
        <f t="shared" si="4"/>
        <v/>
      </c>
    </row>
    <row r="315" spans="1:18" x14ac:dyDescent="0.15">
      <c r="A315" s="945"/>
      <c r="B315" s="743"/>
      <c r="C315" s="643"/>
      <c r="D315" s="643"/>
      <c r="E315" s="643"/>
      <c r="F315" s="643"/>
      <c r="G315" s="643"/>
      <c r="H315" s="643"/>
      <c r="I315" s="643"/>
      <c r="J315" s="643"/>
      <c r="K315" s="643"/>
      <c r="L315" s="643"/>
      <c r="M315" s="643"/>
      <c r="N315" s="643"/>
      <c r="O315" s="643"/>
      <c r="P315" s="643"/>
      <c r="Q315" s="643"/>
      <c r="R315" s="644" t="str">
        <f t="shared" si="4"/>
        <v/>
      </c>
    </row>
    <row r="316" spans="1:18" x14ac:dyDescent="0.15">
      <c r="A316" s="945"/>
      <c r="B316" s="743"/>
      <c r="C316" s="643"/>
      <c r="D316" s="643"/>
      <c r="E316" s="643"/>
      <c r="F316" s="643"/>
      <c r="G316" s="643"/>
      <c r="H316" s="643"/>
      <c r="I316" s="643"/>
      <c r="J316" s="643"/>
      <c r="K316" s="643"/>
      <c r="L316" s="643"/>
      <c r="M316" s="643"/>
      <c r="N316" s="643"/>
      <c r="O316" s="643"/>
      <c r="P316" s="643"/>
      <c r="Q316" s="643"/>
      <c r="R316" s="644" t="str">
        <f t="shared" si="4"/>
        <v/>
      </c>
    </row>
    <row r="317" spans="1:18" x14ac:dyDescent="0.15">
      <c r="A317" s="945"/>
      <c r="B317" s="743"/>
      <c r="C317" s="643"/>
      <c r="D317" s="643"/>
      <c r="E317" s="643"/>
      <c r="F317" s="643"/>
      <c r="G317" s="643"/>
      <c r="H317" s="643"/>
      <c r="I317" s="643"/>
      <c r="J317" s="643"/>
      <c r="K317" s="643"/>
      <c r="L317" s="643"/>
      <c r="M317" s="643"/>
      <c r="N317" s="643"/>
      <c r="O317" s="643"/>
      <c r="P317" s="643"/>
      <c r="Q317" s="643"/>
      <c r="R317" s="644" t="str">
        <f t="shared" si="4"/>
        <v/>
      </c>
    </row>
    <row r="318" spans="1:18" x14ac:dyDescent="0.15">
      <c r="A318" s="945"/>
      <c r="B318" s="743"/>
      <c r="C318" s="643"/>
      <c r="D318" s="643"/>
      <c r="E318" s="643"/>
      <c r="F318" s="643"/>
      <c r="G318" s="643"/>
      <c r="H318" s="643"/>
      <c r="I318" s="643"/>
      <c r="J318" s="643"/>
      <c r="K318" s="643"/>
      <c r="L318" s="643"/>
      <c r="M318" s="643"/>
      <c r="N318" s="643"/>
      <c r="O318" s="643"/>
      <c r="P318" s="643"/>
      <c r="Q318" s="643"/>
      <c r="R318" s="644" t="str">
        <f t="shared" si="4"/>
        <v/>
      </c>
    </row>
    <row r="319" spans="1:18" x14ac:dyDescent="0.15">
      <c r="A319" s="945"/>
      <c r="B319" s="743"/>
      <c r="C319" s="643"/>
      <c r="D319" s="643"/>
      <c r="E319" s="643"/>
      <c r="F319" s="643"/>
      <c r="G319" s="643"/>
      <c r="H319" s="643"/>
      <c r="I319" s="643"/>
      <c r="J319" s="643"/>
      <c r="K319" s="643"/>
      <c r="L319" s="643"/>
      <c r="M319" s="643"/>
      <c r="N319" s="643"/>
      <c r="O319" s="643"/>
      <c r="P319" s="643"/>
      <c r="Q319" s="643"/>
      <c r="R319" s="644" t="str">
        <f t="shared" si="4"/>
        <v/>
      </c>
    </row>
    <row r="320" spans="1:18" x14ac:dyDescent="0.15">
      <c r="A320" s="945"/>
      <c r="B320" s="743"/>
      <c r="C320" s="643"/>
      <c r="D320" s="643"/>
      <c r="E320" s="643"/>
      <c r="F320" s="643"/>
      <c r="G320" s="643"/>
      <c r="H320" s="643"/>
      <c r="I320" s="643"/>
      <c r="J320" s="643"/>
      <c r="K320" s="643"/>
      <c r="L320" s="643"/>
      <c r="M320" s="643"/>
      <c r="N320" s="643"/>
      <c r="O320" s="643"/>
      <c r="P320" s="643"/>
      <c r="Q320" s="643"/>
      <c r="R320" s="644" t="str">
        <f t="shared" si="4"/>
        <v/>
      </c>
    </row>
    <row r="321" spans="1:18" x14ac:dyDescent="0.15">
      <c r="A321" s="945"/>
      <c r="B321" s="743"/>
      <c r="C321" s="643"/>
      <c r="D321" s="643"/>
      <c r="E321" s="643"/>
      <c r="F321" s="643"/>
      <c r="G321" s="643"/>
      <c r="H321" s="643"/>
      <c r="I321" s="643"/>
      <c r="J321" s="643"/>
      <c r="K321" s="643"/>
      <c r="L321" s="643"/>
      <c r="M321" s="643"/>
      <c r="N321" s="643"/>
      <c r="O321" s="643"/>
      <c r="P321" s="643"/>
      <c r="Q321" s="643"/>
      <c r="R321" s="644" t="str">
        <f t="shared" si="4"/>
        <v/>
      </c>
    </row>
    <row r="322" spans="1:18" x14ac:dyDescent="0.15">
      <c r="A322" s="945"/>
      <c r="B322" s="743"/>
      <c r="C322" s="643"/>
      <c r="D322" s="643"/>
      <c r="E322" s="643"/>
      <c r="F322" s="643"/>
      <c r="G322" s="643"/>
      <c r="H322" s="643"/>
      <c r="I322" s="643"/>
      <c r="J322" s="643"/>
      <c r="K322" s="643"/>
      <c r="L322" s="643"/>
      <c r="M322" s="643"/>
      <c r="N322" s="643"/>
      <c r="O322" s="643"/>
      <c r="P322" s="643"/>
      <c r="Q322" s="643"/>
      <c r="R322" s="644" t="str">
        <f t="shared" si="4"/>
        <v/>
      </c>
    </row>
    <row r="323" spans="1:18" x14ac:dyDescent="0.15">
      <c r="A323" s="945"/>
      <c r="B323" s="743"/>
      <c r="C323" s="643"/>
      <c r="D323" s="643"/>
      <c r="E323" s="643"/>
      <c r="F323" s="643"/>
      <c r="G323" s="643"/>
      <c r="H323" s="643"/>
      <c r="I323" s="643"/>
      <c r="J323" s="643"/>
      <c r="K323" s="643"/>
      <c r="L323" s="643"/>
      <c r="M323" s="643"/>
      <c r="N323" s="643"/>
      <c r="O323" s="643"/>
      <c r="P323" s="643"/>
      <c r="Q323" s="643"/>
      <c r="R323" s="644" t="str">
        <f t="shared" ref="R323:R386" si="5">IF(A323="","",SUM(C323:Q323))</f>
        <v/>
      </c>
    </row>
    <row r="324" spans="1:18" x14ac:dyDescent="0.15">
      <c r="A324" s="945"/>
      <c r="B324" s="743"/>
      <c r="C324" s="643"/>
      <c r="D324" s="643"/>
      <c r="E324" s="643"/>
      <c r="F324" s="643"/>
      <c r="G324" s="643"/>
      <c r="H324" s="643"/>
      <c r="I324" s="643"/>
      <c r="J324" s="643"/>
      <c r="K324" s="643"/>
      <c r="L324" s="643"/>
      <c r="M324" s="643"/>
      <c r="N324" s="643"/>
      <c r="O324" s="643"/>
      <c r="P324" s="643"/>
      <c r="Q324" s="643"/>
      <c r="R324" s="644" t="str">
        <f t="shared" si="5"/>
        <v/>
      </c>
    </row>
    <row r="325" spans="1:18" x14ac:dyDescent="0.15">
      <c r="A325" s="945"/>
      <c r="B325" s="743"/>
      <c r="C325" s="643"/>
      <c r="D325" s="643"/>
      <c r="E325" s="643"/>
      <c r="F325" s="643"/>
      <c r="G325" s="643"/>
      <c r="H325" s="643"/>
      <c r="I325" s="643"/>
      <c r="J325" s="643"/>
      <c r="K325" s="643"/>
      <c r="L325" s="643"/>
      <c r="M325" s="643"/>
      <c r="N325" s="643"/>
      <c r="O325" s="643"/>
      <c r="P325" s="643"/>
      <c r="Q325" s="643"/>
      <c r="R325" s="644" t="str">
        <f t="shared" si="5"/>
        <v/>
      </c>
    </row>
    <row r="326" spans="1:18" x14ac:dyDescent="0.15">
      <c r="A326" s="945"/>
      <c r="B326" s="743"/>
      <c r="C326" s="643"/>
      <c r="D326" s="643"/>
      <c r="E326" s="643"/>
      <c r="F326" s="643"/>
      <c r="G326" s="643"/>
      <c r="H326" s="643"/>
      <c r="I326" s="643"/>
      <c r="J326" s="643"/>
      <c r="K326" s="643"/>
      <c r="L326" s="643"/>
      <c r="M326" s="643"/>
      <c r="N326" s="643"/>
      <c r="O326" s="643"/>
      <c r="P326" s="643"/>
      <c r="Q326" s="643"/>
      <c r="R326" s="644" t="str">
        <f t="shared" si="5"/>
        <v/>
      </c>
    </row>
    <row r="327" spans="1:18" x14ac:dyDescent="0.15">
      <c r="A327" s="945"/>
      <c r="B327" s="743"/>
      <c r="C327" s="643"/>
      <c r="D327" s="643"/>
      <c r="E327" s="643"/>
      <c r="F327" s="643"/>
      <c r="G327" s="643"/>
      <c r="H327" s="643"/>
      <c r="I327" s="643"/>
      <c r="J327" s="643"/>
      <c r="K327" s="643"/>
      <c r="L327" s="643"/>
      <c r="M327" s="643"/>
      <c r="N327" s="643"/>
      <c r="O327" s="643"/>
      <c r="P327" s="643"/>
      <c r="Q327" s="643"/>
      <c r="R327" s="644" t="str">
        <f t="shared" si="5"/>
        <v/>
      </c>
    </row>
    <row r="328" spans="1:18" x14ac:dyDescent="0.15">
      <c r="A328" s="945"/>
      <c r="B328" s="743"/>
      <c r="C328" s="643"/>
      <c r="D328" s="643"/>
      <c r="E328" s="643"/>
      <c r="F328" s="643"/>
      <c r="G328" s="643"/>
      <c r="H328" s="643"/>
      <c r="I328" s="643"/>
      <c r="J328" s="643"/>
      <c r="K328" s="643"/>
      <c r="L328" s="643"/>
      <c r="M328" s="643"/>
      <c r="N328" s="643"/>
      <c r="O328" s="643"/>
      <c r="P328" s="643"/>
      <c r="Q328" s="643"/>
      <c r="R328" s="644" t="str">
        <f t="shared" si="5"/>
        <v/>
      </c>
    </row>
    <row r="329" spans="1:18" x14ac:dyDescent="0.15">
      <c r="A329" s="945"/>
      <c r="B329" s="743"/>
      <c r="C329" s="643"/>
      <c r="D329" s="643"/>
      <c r="E329" s="643"/>
      <c r="F329" s="643"/>
      <c r="G329" s="643"/>
      <c r="H329" s="643"/>
      <c r="I329" s="643"/>
      <c r="J329" s="643"/>
      <c r="K329" s="643"/>
      <c r="L329" s="643"/>
      <c r="M329" s="643"/>
      <c r="N329" s="643"/>
      <c r="O329" s="643"/>
      <c r="P329" s="643"/>
      <c r="Q329" s="643"/>
      <c r="R329" s="644" t="str">
        <f t="shared" si="5"/>
        <v/>
      </c>
    </row>
    <row r="330" spans="1:18" x14ac:dyDescent="0.15">
      <c r="A330" s="945"/>
      <c r="B330" s="743"/>
      <c r="C330" s="643"/>
      <c r="D330" s="643"/>
      <c r="E330" s="643"/>
      <c r="F330" s="643"/>
      <c r="G330" s="643"/>
      <c r="H330" s="643"/>
      <c r="I330" s="643"/>
      <c r="J330" s="643"/>
      <c r="K330" s="643"/>
      <c r="L330" s="643"/>
      <c r="M330" s="643"/>
      <c r="N330" s="643"/>
      <c r="O330" s="643"/>
      <c r="P330" s="643"/>
      <c r="Q330" s="643"/>
      <c r="R330" s="644" t="str">
        <f t="shared" si="5"/>
        <v/>
      </c>
    </row>
    <row r="331" spans="1:18" x14ac:dyDescent="0.15">
      <c r="A331" s="945"/>
      <c r="B331" s="743"/>
      <c r="C331" s="643"/>
      <c r="D331" s="643"/>
      <c r="E331" s="643"/>
      <c r="F331" s="643"/>
      <c r="G331" s="643"/>
      <c r="H331" s="643"/>
      <c r="I331" s="643"/>
      <c r="J331" s="643"/>
      <c r="K331" s="643"/>
      <c r="L331" s="643"/>
      <c r="M331" s="643"/>
      <c r="N331" s="643"/>
      <c r="O331" s="643"/>
      <c r="P331" s="643"/>
      <c r="Q331" s="643"/>
      <c r="R331" s="644" t="str">
        <f t="shared" si="5"/>
        <v/>
      </c>
    </row>
    <row r="332" spans="1:18" x14ac:dyDescent="0.15">
      <c r="A332" s="945"/>
      <c r="B332" s="743"/>
      <c r="C332" s="643"/>
      <c r="D332" s="643"/>
      <c r="E332" s="643"/>
      <c r="F332" s="643"/>
      <c r="G332" s="643"/>
      <c r="H332" s="643"/>
      <c r="I332" s="643"/>
      <c r="J332" s="643"/>
      <c r="K332" s="643"/>
      <c r="L332" s="643"/>
      <c r="M332" s="643"/>
      <c r="N332" s="643"/>
      <c r="O332" s="643"/>
      <c r="P332" s="643"/>
      <c r="Q332" s="643"/>
      <c r="R332" s="644" t="str">
        <f t="shared" si="5"/>
        <v/>
      </c>
    </row>
    <row r="333" spans="1:18" x14ac:dyDescent="0.15">
      <c r="A333" s="945"/>
      <c r="B333" s="743"/>
      <c r="C333" s="643"/>
      <c r="D333" s="643"/>
      <c r="E333" s="643"/>
      <c r="F333" s="643"/>
      <c r="G333" s="643"/>
      <c r="H333" s="643"/>
      <c r="I333" s="643"/>
      <c r="J333" s="643"/>
      <c r="K333" s="643"/>
      <c r="L333" s="643"/>
      <c r="M333" s="643"/>
      <c r="N333" s="643"/>
      <c r="O333" s="643"/>
      <c r="P333" s="643"/>
      <c r="Q333" s="643"/>
      <c r="R333" s="644" t="str">
        <f t="shared" si="5"/>
        <v/>
      </c>
    </row>
    <row r="334" spans="1:18" x14ac:dyDescent="0.15">
      <c r="A334" s="945"/>
      <c r="B334" s="743"/>
      <c r="C334" s="643"/>
      <c r="D334" s="643"/>
      <c r="E334" s="643"/>
      <c r="F334" s="643"/>
      <c r="G334" s="643"/>
      <c r="H334" s="643"/>
      <c r="I334" s="643"/>
      <c r="J334" s="643"/>
      <c r="K334" s="643"/>
      <c r="L334" s="643"/>
      <c r="M334" s="643"/>
      <c r="N334" s="643"/>
      <c r="O334" s="643"/>
      <c r="P334" s="643"/>
      <c r="Q334" s="643"/>
      <c r="R334" s="644" t="str">
        <f t="shared" si="5"/>
        <v/>
      </c>
    </row>
    <row r="335" spans="1:18" x14ac:dyDescent="0.15">
      <c r="A335" s="945"/>
      <c r="B335" s="743"/>
      <c r="C335" s="643"/>
      <c r="D335" s="643"/>
      <c r="E335" s="643"/>
      <c r="F335" s="643"/>
      <c r="G335" s="643"/>
      <c r="H335" s="643"/>
      <c r="I335" s="643"/>
      <c r="J335" s="643"/>
      <c r="K335" s="643"/>
      <c r="L335" s="643"/>
      <c r="M335" s="643"/>
      <c r="N335" s="643"/>
      <c r="O335" s="643"/>
      <c r="P335" s="643"/>
      <c r="Q335" s="643"/>
      <c r="R335" s="644" t="str">
        <f t="shared" si="5"/>
        <v/>
      </c>
    </row>
    <row r="336" spans="1:18" x14ac:dyDescent="0.15">
      <c r="A336" s="945"/>
      <c r="B336" s="743"/>
      <c r="C336" s="643"/>
      <c r="D336" s="643"/>
      <c r="E336" s="643"/>
      <c r="F336" s="643"/>
      <c r="G336" s="643"/>
      <c r="H336" s="643"/>
      <c r="I336" s="643"/>
      <c r="J336" s="643"/>
      <c r="K336" s="643"/>
      <c r="L336" s="643"/>
      <c r="M336" s="643"/>
      <c r="N336" s="643"/>
      <c r="O336" s="643"/>
      <c r="P336" s="643"/>
      <c r="Q336" s="643"/>
      <c r="R336" s="644" t="str">
        <f t="shared" si="5"/>
        <v/>
      </c>
    </row>
    <row r="337" spans="1:18" x14ac:dyDescent="0.15">
      <c r="A337" s="945"/>
      <c r="B337" s="743"/>
      <c r="C337" s="643"/>
      <c r="D337" s="643"/>
      <c r="E337" s="643"/>
      <c r="F337" s="643"/>
      <c r="G337" s="643"/>
      <c r="H337" s="643"/>
      <c r="I337" s="643"/>
      <c r="J337" s="643"/>
      <c r="K337" s="643"/>
      <c r="L337" s="643"/>
      <c r="M337" s="643"/>
      <c r="N337" s="643"/>
      <c r="O337" s="643"/>
      <c r="P337" s="643"/>
      <c r="Q337" s="643"/>
      <c r="R337" s="644" t="str">
        <f t="shared" si="5"/>
        <v/>
      </c>
    </row>
    <row r="338" spans="1:18" x14ac:dyDescent="0.15">
      <c r="A338" s="945"/>
      <c r="B338" s="743"/>
      <c r="C338" s="643"/>
      <c r="D338" s="643"/>
      <c r="E338" s="643"/>
      <c r="F338" s="643"/>
      <c r="G338" s="643"/>
      <c r="H338" s="643"/>
      <c r="I338" s="643"/>
      <c r="J338" s="643"/>
      <c r="K338" s="643"/>
      <c r="L338" s="643"/>
      <c r="M338" s="643"/>
      <c r="N338" s="643"/>
      <c r="O338" s="643"/>
      <c r="P338" s="643"/>
      <c r="Q338" s="643"/>
      <c r="R338" s="644" t="str">
        <f t="shared" si="5"/>
        <v/>
      </c>
    </row>
    <row r="339" spans="1:18" x14ac:dyDescent="0.15">
      <c r="A339" s="945"/>
      <c r="B339" s="743"/>
      <c r="C339" s="643"/>
      <c r="D339" s="643"/>
      <c r="E339" s="643"/>
      <c r="F339" s="643"/>
      <c r="G339" s="643"/>
      <c r="H339" s="643"/>
      <c r="I339" s="643"/>
      <c r="J339" s="643"/>
      <c r="K339" s="643"/>
      <c r="L339" s="643"/>
      <c r="M339" s="643"/>
      <c r="N339" s="643"/>
      <c r="O339" s="643"/>
      <c r="P339" s="643"/>
      <c r="Q339" s="643"/>
      <c r="R339" s="644" t="str">
        <f t="shared" si="5"/>
        <v/>
      </c>
    </row>
    <row r="340" spans="1:18" x14ac:dyDescent="0.15">
      <c r="A340" s="945"/>
      <c r="B340" s="743"/>
      <c r="C340" s="643"/>
      <c r="D340" s="643"/>
      <c r="E340" s="643"/>
      <c r="F340" s="643"/>
      <c r="G340" s="643"/>
      <c r="H340" s="643"/>
      <c r="I340" s="643"/>
      <c r="J340" s="643"/>
      <c r="K340" s="643"/>
      <c r="L340" s="643"/>
      <c r="M340" s="643"/>
      <c r="N340" s="643"/>
      <c r="O340" s="643"/>
      <c r="P340" s="643"/>
      <c r="Q340" s="643"/>
      <c r="R340" s="644" t="str">
        <f t="shared" si="5"/>
        <v/>
      </c>
    </row>
    <row r="341" spans="1:18" x14ac:dyDescent="0.15">
      <c r="A341" s="945"/>
      <c r="B341" s="743"/>
      <c r="C341" s="643"/>
      <c r="D341" s="643"/>
      <c r="E341" s="643"/>
      <c r="F341" s="643"/>
      <c r="G341" s="643"/>
      <c r="H341" s="643"/>
      <c r="I341" s="643"/>
      <c r="J341" s="643"/>
      <c r="K341" s="643"/>
      <c r="L341" s="643"/>
      <c r="M341" s="643"/>
      <c r="N341" s="643"/>
      <c r="O341" s="643"/>
      <c r="P341" s="643"/>
      <c r="Q341" s="643"/>
      <c r="R341" s="644" t="str">
        <f t="shared" si="5"/>
        <v/>
      </c>
    </row>
    <row r="342" spans="1:18" x14ac:dyDescent="0.15">
      <c r="A342" s="945"/>
      <c r="B342" s="743"/>
      <c r="C342" s="643"/>
      <c r="D342" s="643"/>
      <c r="E342" s="643"/>
      <c r="F342" s="643"/>
      <c r="G342" s="643"/>
      <c r="H342" s="643"/>
      <c r="I342" s="643"/>
      <c r="J342" s="643"/>
      <c r="K342" s="643"/>
      <c r="L342" s="643"/>
      <c r="M342" s="643"/>
      <c r="N342" s="643"/>
      <c r="O342" s="643"/>
      <c r="P342" s="643"/>
      <c r="Q342" s="643"/>
      <c r="R342" s="644" t="str">
        <f t="shared" si="5"/>
        <v/>
      </c>
    </row>
    <row r="343" spans="1:18" x14ac:dyDescent="0.15">
      <c r="A343" s="945"/>
      <c r="B343" s="743"/>
      <c r="C343" s="643"/>
      <c r="D343" s="643"/>
      <c r="E343" s="643"/>
      <c r="F343" s="643"/>
      <c r="G343" s="643"/>
      <c r="H343" s="643"/>
      <c r="I343" s="643"/>
      <c r="J343" s="643"/>
      <c r="K343" s="643"/>
      <c r="L343" s="643"/>
      <c r="M343" s="643"/>
      <c r="N343" s="643"/>
      <c r="O343" s="643"/>
      <c r="P343" s="643"/>
      <c r="Q343" s="643"/>
      <c r="R343" s="644" t="str">
        <f t="shared" si="5"/>
        <v/>
      </c>
    </row>
    <row r="344" spans="1:18" x14ac:dyDescent="0.15">
      <c r="A344" s="945"/>
      <c r="B344" s="743"/>
      <c r="C344" s="643"/>
      <c r="D344" s="643"/>
      <c r="E344" s="643"/>
      <c r="F344" s="643"/>
      <c r="G344" s="643"/>
      <c r="H344" s="643"/>
      <c r="I344" s="643"/>
      <c r="J344" s="643"/>
      <c r="K344" s="643"/>
      <c r="L344" s="643"/>
      <c r="M344" s="643"/>
      <c r="N344" s="643"/>
      <c r="O344" s="643"/>
      <c r="P344" s="643"/>
      <c r="Q344" s="643"/>
      <c r="R344" s="644" t="str">
        <f t="shared" si="5"/>
        <v/>
      </c>
    </row>
    <row r="345" spans="1:18" x14ac:dyDescent="0.15">
      <c r="A345" s="945"/>
      <c r="B345" s="743"/>
      <c r="C345" s="643"/>
      <c r="D345" s="643"/>
      <c r="E345" s="643"/>
      <c r="F345" s="643"/>
      <c r="G345" s="643"/>
      <c r="H345" s="643"/>
      <c r="I345" s="643"/>
      <c r="J345" s="643"/>
      <c r="K345" s="643"/>
      <c r="L345" s="643"/>
      <c r="M345" s="643"/>
      <c r="N345" s="643"/>
      <c r="O345" s="643"/>
      <c r="P345" s="643"/>
      <c r="Q345" s="643"/>
      <c r="R345" s="644" t="str">
        <f t="shared" si="5"/>
        <v/>
      </c>
    </row>
    <row r="346" spans="1:18" x14ac:dyDescent="0.15">
      <c r="A346" s="945"/>
      <c r="B346" s="743"/>
      <c r="C346" s="643"/>
      <c r="D346" s="643"/>
      <c r="E346" s="643"/>
      <c r="F346" s="643"/>
      <c r="G346" s="643"/>
      <c r="H346" s="643"/>
      <c r="I346" s="643"/>
      <c r="J346" s="643"/>
      <c r="K346" s="643"/>
      <c r="L346" s="643"/>
      <c r="M346" s="643"/>
      <c r="N346" s="643"/>
      <c r="O346" s="643"/>
      <c r="P346" s="643"/>
      <c r="Q346" s="643"/>
      <c r="R346" s="644" t="str">
        <f t="shared" si="5"/>
        <v/>
      </c>
    </row>
    <row r="347" spans="1:18" x14ac:dyDescent="0.15">
      <c r="A347" s="945"/>
      <c r="B347" s="743"/>
      <c r="C347" s="643"/>
      <c r="D347" s="643"/>
      <c r="E347" s="643"/>
      <c r="F347" s="643"/>
      <c r="G347" s="643"/>
      <c r="H347" s="643"/>
      <c r="I347" s="643"/>
      <c r="J347" s="643"/>
      <c r="K347" s="643"/>
      <c r="L347" s="643"/>
      <c r="M347" s="643"/>
      <c r="N347" s="643"/>
      <c r="O347" s="643"/>
      <c r="P347" s="643"/>
      <c r="Q347" s="643"/>
      <c r="R347" s="644" t="str">
        <f t="shared" si="5"/>
        <v/>
      </c>
    </row>
    <row r="348" spans="1:18" x14ac:dyDescent="0.15">
      <c r="A348" s="945"/>
      <c r="B348" s="743"/>
      <c r="C348" s="643"/>
      <c r="D348" s="643"/>
      <c r="E348" s="643"/>
      <c r="F348" s="643"/>
      <c r="G348" s="643"/>
      <c r="H348" s="643"/>
      <c r="I348" s="643"/>
      <c r="J348" s="643"/>
      <c r="K348" s="643"/>
      <c r="L348" s="643"/>
      <c r="M348" s="643"/>
      <c r="N348" s="643"/>
      <c r="O348" s="643"/>
      <c r="P348" s="643"/>
      <c r="Q348" s="643"/>
      <c r="R348" s="644" t="str">
        <f t="shared" si="5"/>
        <v/>
      </c>
    </row>
    <row r="349" spans="1:18" x14ac:dyDescent="0.15">
      <c r="A349" s="945"/>
      <c r="B349" s="743"/>
      <c r="C349" s="643"/>
      <c r="D349" s="643"/>
      <c r="E349" s="643"/>
      <c r="F349" s="643"/>
      <c r="G349" s="643"/>
      <c r="H349" s="643"/>
      <c r="I349" s="643"/>
      <c r="J349" s="643"/>
      <c r="K349" s="643"/>
      <c r="L349" s="643"/>
      <c r="M349" s="643"/>
      <c r="N349" s="643"/>
      <c r="O349" s="643"/>
      <c r="P349" s="643"/>
      <c r="Q349" s="643"/>
      <c r="R349" s="644" t="str">
        <f t="shared" si="5"/>
        <v/>
      </c>
    </row>
    <row r="350" spans="1:18" x14ac:dyDescent="0.15">
      <c r="A350" s="945"/>
      <c r="B350" s="743"/>
      <c r="C350" s="643"/>
      <c r="D350" s="643"/>
      <c r="E350" s="643"/>
      <c r="F350" s="643"/>
      <c r="G350" s="643"/>
      <c r="H350" s="643"/>
      <c r="I350" s="643"/>
      <c r="J350" s="643"/>
      <c r="K350" s="643"/>
      <c r="L350" s="643"/>
      <c r="M350" s="643"/>
      <c r="N350" s="643"/>
      <c r="O350" s="643"/>
      <c r="P350" s="643"/>
      <c r="Q350" s="643"/>
      <c r="R350" s="644" t="str">
        <f t="shared" si="5"/>
        <v/>
      </c>
    </row>
    <row r="351" spans="1:18" x14ac:dyDescent="0.15">
      <c r="A351" s="945"/>
      <c r="B351" s="743"/>
      <c r="C351" s="643"/>
      <c r="D351" s="643"/>
      <c r="E351" s="643"/>
      <c r="F351" s="643"/>
      <c r="G351" s="643"/>
      <c r="H351" s="643"/>
      <c r="I351" s="643"/>
      <c r="J351" s="643"/>
      <c r="K351" s="643"/>
      <c r="L351" s="643"/>
      <c r="M351" s="643"/>
      <c r="N351" s="643"/>
      <c r="O351" s="643"/>
      <c r="P351" s="643"/>
      <c r="Q351" s="643"/>
      <c r="R351" s="644" t="str">
        <f t="shared" si="5"/>
        <v/>
      </c>
    </row>
    <row r="352" spans="1:18" x14ac:dyDescent="0.15">
      <c r="A352" s="945"/>
      <c r="B352" s="743"/>
      <c r="C352" s="643"/>
      <c r="D352" s="643"/>
      <c r="E352" s="643"/>
      <c r="F352" s="643"/>
      <c r="G352" s="643"/>
      <c r="H352" s="643"/>
      <c r="I352" s="643"/>
      <c r="J352" s="643"/>
      <c r="K352" s="643"/>
      <c r="L352" s="643"/>
      <c r="M352" s="643"/>
      <c r="N352" s="643"/>
      <c r="O352" s="643"/>
      <c r="P352" s="643"/>
      <c r="Q352" s="643"/>
      <c r="R352" s="644" t="str">
        <f t="shared" si="5"/>
        <v/>
      </c>
    </row>
    <row r="353" spans="1:18" x14ac:dyDescent="0.15">
      <c r="A353" s="945"/>
      <c r="B353" s="743"/>
      <c r="C353" s="643"/>
      <c r="D353" s="643"/>
      <c r="E353" s="643"/>
      <c r="F353" s="643"/>
      <c r="G353" s="643"/>
      <c r="H353" s="643"/>
      <c r="I353" s="643"/>
      <c r="J353" s="643"/>
      <c r="K353" s="643"/>
      <c r="L353" s="643"/>
      <c r="M353" s="643"/>
      <c r="N353" s="643"/>
      <c r="O353" s="643"/>
      <c r="P353" s="643"/>
      <c r="Q353" s="643"/>
      <c r="R353" s="644" t="str">
        <f t="shared" si="5"/>
        <v/>
      </c>
    </row>
    <row r="354" spans="1:18" x14ac:dyDescent="0.15">
      <c r="A354" s="945"/>
      <c r="B354" s="743"/>
      <c r="C354" s="643"/>
      <c r="D354" s="643"/>
      <c r="E354" s="643"/>
      <c r="F354" s="643"/>
      <c r="G354" s="643"/>
      <c r="H354" s="643"/>
      <c r="I354" s="643"/>
      <c r="J354" s="643"/>
      <c r="K354" s="643"/>
      <c r="L354" s="643"/>
      <c r="M354" s="643"/>
      <c r="N354" s="643"/>
      <c r="O354" s="643"/>
      <c r="P354" s="643"/>
      <c r="Q354" s="643"/>
      <c r="R354" s="644" t="str">
        <f t="shared" si="5"/>
        <v/>
      </c>
    </row>
    <row r="355" spans="1:18" x14ac:dyDescent="0.15">
      <c r="A355" s="945"/>
      <c r="B355" s="743"/>
      <c r="C355" s="643"/>
      <c r="D355" s="643"/>
      <c r="E355" s="643"/>
      <c r="F355" s="643"/>
      <c r="G355" s="643"/>
      <c r="H355" s="643"/>
      <c r="I355" s="643"/>
      <c r="J355" s="643"/>
      <c r="K355" s="643"/>
      <c r="L355" s="643"/>
      <c r="M355" s="643"/>
      <c r="N355" s="643"/>
      <c r="O355" s="643"/>
      <c r="P355" s="643"/>
      <c r="Q355" s="643"/>
      <c r="R355" s="644" t="str">
        <f t="shared" si="5"/>
        <v/>
      </c>
    </row>
    <row r="356" spans="1:18" x14ac:dyDescent="0.15">
      <c r="A356" s="945"/>
      <c r="B356" s="743"/>
      <c r="C356" s="643"/>
      <c r="D356" s="643"/>
      <c r="E356" s="643"/>
      <c r="F356" s="643"/>
      <c r="G356" s="643"/>
      <c r="H356" s="643"/>
      <c r="I356" s="643"/>
      <c r="J356" s="643"/>
      <c r="K356" s="643"/>
      <c r="L356" s="643"/>
      <c r="M356" s="643"/>
      <c r="N356" s="643"/>
      <c r="O356" s="643"/>
      <c r="P356" s="643"/>
      <c r="Q356" s="643"/>
      <c r="R356" s="644" t="str">
        <f t="shared" si="5"/>
        <v/>
      </c>
    </row>
    <row r="357" spans="1:18" x14ac:dyDescent="0.15">
      <c r="A357" s="945"/>
      <c r="B357" s="743"/>
      <c r="C357" s="643"/>
      <c r="D357" s="643"/>
      <c r="E357" s="643"/>
      <c r="F357" s="643"/>
      <c r="G357" s="643"/>
      <c r="H357" s="643"/>
      <c r="I357" s="643"/>
      <c r="J357" s="643"/>
      <c r="K357" s="643"/>
      <c r="L357" s="643"/>
      <c r="M357" s="643"/>
      <c r="N357" s="643"/>
      <c r="O357" s="643"/>
      <c r="P357" s="643"/>
      <c r="Q357" s="643"/>
      <c r="R357" s="644" t="str">
        <f t="shared" si="5"/>
        <v/>
      </c>
    </row>
    <row r="358" spans="1:18" x14ac:dyDescent="0.15">
      <c r="A358" s="945"/>
      <c r="B358" s="743"/>
      <c r="C358" s="643"/>
      <c r="D358" s="643"/>
      <c r="E358" s="643"/>
      <c r="F358" s="643"/>
      <c r="G358" s="643"/>
      <c r="H358" s="643"/>
      <c r="I358" s="643"/>
      <c r="J358" s="643"/>
      <c r="K358" s="643"/>
      <c r="L358" s="643"/>
      <c r="M358" s="643"/>
      <c r="N358" s="643"/>
      <c r="O358" s="643"/>
      <c r="P358" s="643"/>
      <c r="Q358" s="643"/>
      <c r="R358" s="644" t="str">
        <f t="shared" si="5"/>
        <v/>
      </c>
    </row>
    <row r="359" spans="1:18" x14ac:dyDescent="0.15">
      <c r="A359" s="945"/>
      <c r="B359" s="743"/>
      <c r="C359" s="643"/>
      <c r="D359" s="643"/>
      <c r="E359" s="643"/>
      <c r="F359" s="643"/>
      <c r="G359" s="643"/>
      <c r="H359" s="643"/>
      <c r="I359" s="643"/>
      <c r="J359" s="643"/>
      <c r="K359" s="643"/>
      <c r="L359" s="643"/>
      <c r="M359" s="643"/>
      <c r="N359" s="643"/>
      <c r="O359" s="643"/>
      <c r="P359" s="643"/>
      <c r="Q359" s="643"/>
      <c r="R359" s="644" t="str">
        <f t="shared" si="5"/>
        <v/>
      </c>
    </row>
    <row r="360" spans="1:18" x14ac:dyDescent="0.15">
      <c r="A360" s="945"/>
      <c r="B360" s="743"/>
      <c r="C360" s="643"/>
      <c r="D360" s="643"/>
      <c r="E360" s="643"/>
      <c r="F360" s="643"/>
      <c r="G360" s="643"/>
      <c r="H360" s="643"/>
      <c r="I360" s="643"/>
      <c r="J360" s="643"/>
      <c r="K360" s="643"/>
      <c r="L360" s="643"/>
      <c r="M360" s="643"/>
      <c r="N360" s="643"/>
      <c r="O360" s="643"/>
      <c r="P360" s="643"/>
      <c r="Q360" s="643"/>
      <c r="R360" s="644" t="str">
        <f t="shared" si="5"/>
        <v/>
      </c>
    </row>
    <row r="361" spans="1:18" x14ac:dyDescent="0.15">
      <c r="A361" s="945"/>
      <c r="B361" s="743"/>
      <c r="C361" s="643"/>
      <c r="D361" s="643"/>
      <c r="E361" s="643"/>
      <c r="F361" s="643"/>
      <c r="G361" s="643"/>
      <c r="H361" s="643"/>
      <c r="I361" s="643"/>
      <c r="J361" s="643"/>
      <c r="K361" s="643"/>
      <c r="L361" s="643"/>
      <c r="M361" s="643"/>
      <c r="N361" s="643"/>
      <c r="O361" s="643"/>
      <c r="P361" s="643"/>
      <c r="Q361" s="643"/>
      <c r="R361" s="644" t="str">
        <f t="shared" si="5"/>
        <v/>
      </c>
    </row>
    <row r="362" spans="1:18" x14ac:dyDescent="0.15">
      <c r="A362" s="945"/>
      <c r="B362" s="743"/>
      <c r="C362" s="643"/>
      <c r="D362" s="643"/>
      <c r="E362" s="643"/>
      <c r="F362" s="643"/>
      <c r="G362" s="643"/>
      <c r="H362" s="643"/>
      <c r="I362" s="643"/>
      <c r="J362" s="643"/>
      <c r="K362" s="643"/>
      <c r="L362" s="643"/>
      <c r="M362" s="643"/>
      <c r="N362" s="643"/>
      <c r="O362" s="643"/>
      <c r="P362" s="643"/>
      <c r="Q362" s="643"/>
      <c r="R362" s="644" t="str">
        <f t="shared" si="5"/>
        <v/>
      </c>
    </row>
    <row r="363" spans="1:18" x14ac:dyDescent="0.15">
      <c r="A363" s="945"/>
      <c r="B363" s="743"/>
      <c r="C363" s="643"/>
      <c r="D363" s="643"/>
      <c r="E363" s="643"/>
      <c r="F363" s="643"/>
      <c r="G363" s="643"/>
      <c r="H363" s="643"/>
      <c r="I363" s="643"/>
      <c r="J363" s="643"/>
      <c r="K363" s="643"/>
      <c r="L363" s="643"/>
      <c r="M363" s="643"/>
      <c r="N363" s="643"/>
      <c r="O363" s="643"/>
      <c r="P363" s="643"/>
      <c r="Q363" s="643"/>
      <c r="R363" s="644" t="str">
        <f t="shared" si="5"/>
        <v/>
      </c>
    </row>
    <row r="364" spans="1:18" x14ac:dyDescent="0.15">
      <c r="A364" s="945"/>
      <c r="B364" s="743"/>
      <c r="C364" s="643"/>
      <c r="D364" s="643"/>
      <c r="E364" s="643"/>
      <c r="F364" s="643"/>
      <c r="G364" s="643"/>
      <c r="H364" s="643"/>
      <c r="I364" s="643"/>
      <c r="J364" s="643"/>
      <c r="K364" s="643"/>
      <c r="L364" s="643"/>
      <c r="M364" s="643"/>
      <c r="N364" s="643"/>
      <c r="O364" s="643"/>
      <c r="P364" s="643"/>
      <c r="Q364" s="643"/>
      <c r="R364" s="644" t="str">
        <f t="shared" si="5"/>
        <v/>
      </c>
    </row>
    <row r="365" spans="1:18" x14ac:dyDescent="0.15">
      <c r="A365" s="945"/>
      <c r="B365" s="743"/>
      <c r="C365" s="643"/>
      <c r="D365" s="643"/>
      <c r="E365" s="643"/>
      <c r="F365" s="643"/>
      <c r="G365" s="643"/>
      <c r="H365" s="643"/>
      <c r="I365" s="643"/>
      <c r="J365" s="643"/>
      <c r="K365" s="643"/>
      <c r="L365" s="643"/>
      <c r="M365" s="643"/>
      <c r="N365" s="643"/>
      <c r="O365" s="643"/>
      <c r="P365" s="643"/>
      <c r="Q365" s="643"/>
      <c r="R365" s="644" t="str">
        <f t="shared" si="5"/>
        <v/>
      </c>
    </row>
    <row r="366" spans="1:18" x14ac:dyDescent="0.15">
      <c r="A366" s="945"/>
      <c r="B366" s="743"/>
      <c r="C366" s="643"/>
      <c r="D366" s="643"/>
      <c r="E366" s="643"/>
      <c r="F366" s="643"/>
      <c r="G366" s="643"/>
      <c r="H366" s="643"/>
      <c r="I366" s="643"/>
      <c r="J366" s="643"/>
      <c r="K366" s="643"/>
      <c r="L366" s="643"/>
      <c r="M366" s="643"/>
      <c r="N366" s="643"/>
      <c r="O366" s="643"/>
      <c r="P366" s="643"/>
      <c r="Q366" s="643"/>
      <c r="R366" s="644" t="str">
        <f t="shared" si="5"/>
        <v/>
      </c>
    </row>
    <row r="367" spans="1:18" x14ac:dyDescent="0.15">
      <c r="A367" s="945"/>
      <c r="B367" s="743"/>
      <c r="C367" s="643"/>
      <c r="D367" s="643"/>
      <c r="E367" s="643"/>
      <c r="F367" s="643"/>
      <c r="G367" s="643"/>
      <c r="H367" s="643"/>
      <c r="I367" s="643"/>
      <c r="J367" s="643"/>
      <c r="K367" s="643"/>
      <c r="L367" s="643"/>
      <c r="M367" s="643"/>
      <c r="N367" s="643"/>
      <c r="O367" s="643"/>
      <c r="P367" s="643"/>
      <c r="Q367" s="643"/>
      <c r="R367" s="644" t="str">
        <f t="shared" si="5"/>
        <v/>
      </c>
    </row>
    <row r="368" spans="1:18" x14ac:dyDescent="0.15">
      <c r="A368" s="945"/>
      <c r="B368" s="743"/>
      <c r="C368" s="643"/>
      <c r="D368" s="643"/>
      <c r="E368" s="643"/>
      <c r="F368" s="643"/>
      <c r="G368" s="643"/>
      <c r="H368" s="643"/>
      <c r="I368" s="643"/>
      <c r="J368" s="643"/>
      <c r="K368" s="643"/>
      <c r="L368" s="643"/>
      <c r="M368" s="643"/>
      <c r="N368" s="643"/>
      <c r="O368" s="643"/>
      <c r="P368" s="643"/>
      <c r="Q368" s="643"/>
      <c r="R368" s="644" t="str">
        <f t="shared" si="5"/>
        <v/>
      </c>
    </row>
    <row r="369" spans="1:18" x14ac:dyDescent="0.15">
      <c r="A369" s="945"/>
      <c r="B369" s="743"/>
      <c r="C369" s="643"/>
      <c r="D369" s="643"/>
      <c r="E369" s="643"/>
      <c r="F369" s="643"/>
      <c r="G369" s="643"/>
      <c r="H369" s="643"/>
      <c r="I369" s="643"/>
      <c r="J369" s="643"/>
      <c r="K369" s="643"/>
      <c r="L369" s="643"/>
      <c r="M369" s="643"/>
      <c r="N369" s="643"/>
      <c r="O369" s="643"/>
      <c r="P369" s="643"/>
      <c r="Q369" s="643"/>
      <c r="R369" s="644" t="str">
        <f t="shared" si="5"/>
        <v/>
      </c>
    </row>
    <row r="370" spans="1:18" x14ac:dyDescent="0.15">
      <c r="A370" s="945"/>
      <c r="B370" s="743"/>
      <c r="C370" s="643"/>
      <c r="D370" s="643"/>
      <c r="E370" s="643"/>
      <c r="F370" s="643"/>
      <c r="G370" s="643"/>
      <c r="H370" s="643"/>
      <c r="I370" s="643"/>
      <c r="J370" s="643"/>
      <c r="K370" s="643"/>
      <c r="L370" s="643"/>
      <c r="M370" s="643"/>
      <c r="N370" s="643"/>
      <c r="O370" s="643"/>
      <c r="P370" s="643"/>
      <c r="Q370" s="643"/>
      <c r="R370" s="644" t="str">
        <f t="shared" si="5"/>
        <v/>
      </c>
    </row>
    <row r="371" spans="1:18" x14ac:dyDescent="0.15">
      <c r="A371" s="945"/>
      <c r="B371" s="743"/>
      <c r="C371" s="643"/>
      <c r="D371" s="643"/>
      <c r="E371" s="643"/>
      <c r="F371" s="643"/>
      <c r="G371" s="643"/>
      <c r="H371" s="643"/>
      <c r="I371" s="643"/>
      <c r="J371" s="643"/>
      <c r="K371" s="643"/>
      <c r="L371" s="643"/>
      <c r="M371" s="643"/>
      <c r="N371" s="643"/>
      <c r="O371" s="643"/>
      <c r="P371" s="643"/>
      <c r="Q371" s="643"/>
      <c r="R371" s="644" t="str">
        <f t="shared" si="5"/>
        <v/>
      </c>
    </row>
    <row r="372" spans="1:18" x14ac:dyDescent="0.15">
      <c r="A372" s="945"/>
      <c r="B372" s="743"/>
      <c r="C372" s="643"/>
      <c r="D372" s="643"/>
      <c r="E372" s="643"/>
      <c r="F372" s="643"/>
      <c r="G372" s="643"/>
      <c r="H372" s="643"/>
      <c r="I372" s="643"/>
      <c r="J372" s="643"/>
      <c r="K372" s="643"/>
      <c r="L372" s="643"/>
      <c r="M372" s="643"/>
      <c r="N372" s="643"/>
      <c r="O372" s="643"/>
      <c r="P372" s="643"/>
      <c r="Q372" s="643"/>
      <c r="R372" s="644" t="str">
        <f t="shared" si="5"/>
        <v/>
      </c>
    </row>
    <row r="373" spans="1:18" x14ac:dyDescent="0.15">
      <c r="A373" s="945"/>
      <c r="B373" s="743"/>
      <c r="C373" s="643"/>
      <c r="D373" s="643"/>
      <c r="E373" s="643"/>
      <c r="F373" s="643"/>
      <c r="G373" s="643"/>
      <c r="H373" s="643"/>
      <c r="I373" s="643"/>
      <c r="J373" s="643"/>
      <c r="K373" s="643"/>
      <c r="L373" s="643"/>
      <c r="M373" s="643"/>
      <c r="N373" s="643"/>
      <c r="O373" s="643"/>
      <c r="P373" s="643"/>
      <c r="Q373" s="643"/>
      <c r="R373" s="644" t="str">
        <f t="shared" si="5"/>
        <v/>
      </c>
    </row>
    <row r="374" spans="1:18" x14ac:dyDescent="0.15">
      <c r="A374" s="945"/>
      <c r="B374" s="743"/>
      <c r="C374" s="643"/>
      <c r="D374" s="643"/>
      <c r="E374" s="643"/>
      <c r="F374" s="643"/>
      <c r="G374" s="643"/>
      <c r="H374" s="643"/>
      <c r="I374" s="643"/>
      <c r="J374" s="643"/>
      <c r="K374" s="643"/>
      <c r="L374" s="643"/>
      <c r="M374" s="643"/>
      <c r="N374" s="643"/>
      <c r="O374" s="643"/>
      <c r="P374" s="643"/>
      <c r="Q374" s="643"/>
      <c r="R374" s="644" t="str">
        <f t="shared" si="5"/>
        <v/>
      </c>
    </row>
    <row r="375" spans="1:18" x14ac:dyDescent="0.15">
      <c r="A375" s="945"/>
      <c r="B375" s="743"/>
      <c r="C375" s="643"/>
      <c r="D375" s="643"/>
      <c r="E375" s="643"/>
      <c r="F375" s="643"/>
      <c r="G375" s="643"/>
      <c r="H375" s="643"/>
      <c r="I375" s="643"/>
      <c r="J375" s="643"/>
      <c r="K375" s="643"/>
      <c r="L375" s="643"/>
      <c r="M375" s="643"/>
      <c r="N375" s="643"/>
      <c r="O375" s="643"/>
      <c r="P375" s="643"/>
      <c r="Q375" s="643"/>
      <c r="R375" s="644" t="str">
        <f t="shared" si="5"/>
        <v/>
      </c>
    </row>
    <row r="376" spans="1:18" x14ac:dyDescent="0.15">
      <c r="A376" s="945"/>
      <c r="B376" s="743"/>
      <c r="C376" s="643"/>
      <c r="D376" s="643"/>
      <c r="E376" s="643"/>
      <c r="F376" s="643"/>
      <c r="G376" s="643"/>
      <c r="H376" s="643"/>
      <c r="I376" s="643"/>
      <c r="J376" s="643"/>
      <c r="K376" s="643"/>
      <c r="L376" s="643"/>
      <c r="M376" s="643"/>
      <c r="N376" s="643"/>
      <c r="O376" s="643"/>
      <c r="P376" s="643"/>
      <c r="Q376" s="643"/>
      <c r="R376" s="644" t="str">
        <f t="shared" si="5"/>
        <v/>
      </c>
    </row>
    <row r="377" spans="1:18" x14ac:dyDescent="0.15">
      <c r="A377" s="945"/>
      <c r="B377" s="743"/>
      <c r="C377" s="643"/>
      <c r="D377" s="643"/>
      <c r="E377" s="643"/>
      <c r="F377" s="643"/>
      <c r="G377" s="643"/>
      <c r="H377" s="643"/>
      <c r="I377" s="643"/>
      <c r="J377" s="643"/>
      <c r="K377" s="643"/>
      <c r="L377" s="643"/>
      <c r="M377" s="643"/>
      <c r="N377" s="643"/>
      <c r="O377" s="643"/>
      <c r="P377" s="643"/>
      <c r="Q377" s="643"/>
      <c r="R377" s="644" t="str">
        <f t="shared" si="5"/>
        <v/>
      </c>
    </row>
    <row r="378" spans="1:18" x14ac:dyDescent="0.15">
      <c r="A378" s="945"/>
      <c r="B378" s="743"/>
      <c r="C378" s="643"/>
      <c r="D378" s="643"/>
      <c r="E378" s="643"/>
      <c r="F378" s="643"/>
      <c r="G378" s="643"/>
      <c r="H378" s="643"/>
      <c r="I378" s="643"/>
      <c r="J378" s="643"/>
      <c r="K378" s="643"/>
      <c r="L378" s="643"/>
      <c r="M378" s="643"/>
      <c r="N378" s="643"/>
      <c r="O378" s="643"/>
      <c r="P378" s="643"/>
      <c r="Q378" s="643"/>
      <c r="R378" s="644" t="str">
        <f t="shared" si="5"/>
        <v/>
      </c>
    </row>
    <row r="379" spans="1:18" x14ac:dyDescent="0.15">
      <c r="A379" s="945"/>
      <c r="B379" s="743"/>
      <c r="C379" s="643"/>
      <c r="D379" s="643"/>
      <c r="E379" s="643"/>
      <c r="F379" s="643"/>
      <c r="G379" s="643"/>
      <c r="H379" s="643"/>
      <c r="I379" s="643"/>
      <c r="J379" s="643"/>
      <c r="K379" s="643"/>
      <c r="L379" s="643"/>
      <c r="M379" s="643"/>
      <c r="N379" s="643"/>
      <c r="O379" s="643"/>
      <c r="P379" s="643"/>
      <c r="Q379" s="643"/>
      <c r="R379" s="644" t="str">
        <f t="shared" si="5"/>
        <v/>
      </c>
    </row>
    <row r="380" spans="1:18" x14ac:dyDescent="0.15">
      <c r="A380" s="945"/>
      <c r="B380" s="743"/>
      <c r="C380" s="643"/>
      <c r="D380" s="643"/>
      <c r="E380" s="643"/>
      <c r="F380" s="643"/>
      <c r="G380" s="643"/>
      <c r="H380" s="643"/>
      <c r="I380" s="643"/>
      <c r="J380" s="643"/>
      <c r="K380" s="643"/>
      <c r="L380" s="643"/>
      <c r="M380" s="643"/>
      <c r="N380" s="643"/>
      <c r="O380" s="643"/>
      <c r="P380" s="643"/>
      <c r="Q380" s="643"/>
      <c r="R380" s="644" t="str">
        <f t="shared" si="5"/>
        <v/>
      </c>
    </row>
    <row r="381" spans="1:18" x14ac:dyDescent="0.15">
      <c r="A381" s="945"/>
      <c r="B381" s="743"/>
      <c r="C381" s="643"/>
      <c r="D381" s="643"/>
      <c r="E381" s="643"/>
      <c r="F381" s="643"/>
      <c r="G381" s="643"/>
      <c r="H381" s="643"/>
      <c r="I381" s="643"/>
      <c r="J381" s="643"/>
      <c r="K381" s="643"/>
      <c r="L381" s="643"/>
      <c r="M381" s="643"/>
      <c r="N381" s="643"/>
      <c r="O381" s="643"/>
      <c r="P381" s="643"/>
      <c r="Q381" s="643"/>
      <c r="R381" s="644" t="str">
        <f t="shared" si="5"/>
        <v/>
      </c>
    </row>
    <row r="382" spans="1:18" x14ac:dyDescent="0.15">
      <c r="A382" s="945"/>
      <c r="B382" s="743"/>
      <c r="C382" s="643"/>
      <c r="D382" s="643"/>
      <c r="E382" s="643"/>
      <c r="F382" s="643"/>
      <c r="G382" s="643"/>
      <c r="H382" s="643"/>
      <c r="I382" s="643"/>
      <c r="J382" s="643"/>
      <c r="K382" s="643"/>
      <c r="L382" s="643"/>
      <c r="M382" s="643"/>
      <c r="N382" s="643"/>
      <c r="O382" s="643"/>
      <c r="P382" s="643"/>
      <c r="Q382" s="643"/>
      <c r="R382" s="644" t="str">
        <f t="shared" si="5"/>
        <v/>
      </c>
    </row>
    <row r="383" spans="1:18" x14ac:dyDescent="0.15">
      <c r="A383" s="945"/>
      <c r="B383" s="743"/>
      <c r="C383" s="643"/>
      <c r="D383" s="643"/>
      <c r="E383" s="643"/>
      <c r="F383" s="643"/>
      <c r="G383" s="643"/>
      <c r="H383" s="643"/>
      <c r="I383" s="643"/>
      <c r="J383" s="643"/>
      <c r="K383" s="643"/>
      <c r="L383" s="643"/>
      <c r="M383" s="643"/>
      <c r="N383" s="643"/>
      <c r="O383" s="643"/>
      <c r="P383" s="643"/>
      <c r="Q383" s="643"/>
      <c r="R383" s="644" t="str">
        <f t="shared" si="5"/>
        <v/>
      </c>
    </row>
    <row r="384" spans="1:18" x14ac:dyDescent="0.15">
      <c r="A384" s="945"/>
      <c r="B384" s="743"/>
      <c r="C384" s="643"/>
      <c r="D384" s="643"/>
      <c r="E384" s="643"/>
      <c r="F384" s="643"/>
      <c r="G384" s="643"/>
      <c r="H384" s="643"/>
      <c r="I384" s="643"/>
      <c r="J384" s="643"/>
      <c r="K384" s="643"/>
      <c r="L384" s="643"/>
      <c r="M384" s="643"/>
      <c r="N384" s="643"/>
      <c r="O384" s="643"/>
      <c r="P384" s="643"/>
      <c r="Q384" s="643"/>
      <c r="R384" s="644" t="str">
        <f t="shared" si="5"/>
        <v/>
      </c>
    </row>
    <row r="385" spans="1:18" x14ac:dyDescent="0.15">
      <c r="A385" s="945"/>
      <c r="B385" s="743"/>
      <c r="C385" s="643"/>
      <c r="D385" s="643"/>
      <c r="E385" s="643"/>
      <c r="F385" s="643"/>
      <c r="G385" s="643"/>
      <c r="H385" s="643"/>
      <c r="I385" s="643"/>
      <c r="J385" s="643"/>
      <c r="K385" s="643"/>
      <c r="L385" s="643"/>
      <c r="M385" s="643"/>
      <c r="N385" s="643"/>
      <c r="O385" s="643"/>
      <c r="P385" s="643"/>
      <c r="Q385" s="643"/>
      <c r="R385" s="644" t="str">
        <f t="shared" si="5"/>
        <v/>
      </c>
    </row>
    <row r="386" spans="1:18" x14ac:dyDescent="0.15">
      <c r="A386" s="945"/>
      <c r="B386" s="743"/>
      <c r="C386" s="643"/>
      <c r="D386" s="643"/>
      <c r="E386" s="643"/>
      <c r="F386" s="643"/>
      <c r="G386" s="643"/>
      <c r="H386" s="643"/>
      <c r="I386" s="643"/>
      <c r="J386" s="643"/>
      <c r="K386" s="643"/>
      <c r="L386" s="643"/>
      <c r="M386" s="643"/>
      <c r="N386" s="643"/>
      <c r="O386" s="643"/>
      <c r="P386" s="643"/>
      <c r="Q386" s="643"/>
      <c r="R386" s="644" t="str">
        <f t="shared" si="5"/>
        <v/>
      </c>
    </row>
    <row r="387" spans="1:18" x14ac:dyDescent="0.15">
      <c r="A387" s="945"/>
      <c r="B387" s="743"/>
      <c r="C387" s="643"/>
      <c r="D387" s="643"/>
      <c r="E387" s="643"/>
      <c r="F387" s="643"/>
      <c r="G387" s="643"/>
      <c r="H387" s="643"/>
      <c r="I387" s="643"/>
      <c r="J387" s="643"/>
      <c r="K387" s="643"/>
      <c r="L387" s="643"/>
      <c r="M387" s="643"/>
      <c r="N387" s="643"/>
      <c r="O387" s="643"/>
      <c r="P387" s="643"/>
      <c r="Q387" s="643"/>
      <c r="R387" s="644" t="str">
        <f t="shared" ref="R387:R450" si="6">IF(A387="","",SUM(C387:Q387))</f>
        <v/>
      </c>
    </row>
    <row r="388" spans="1:18" x14ac:dyDescent="0.15">
      <c r="A388" s="945"/>
      <c r="B388" s="743"/>
      <c r="C388" s="643"/>
      <c r="D388" s="643"/>
      <c r="E388" s="643"/>
      <c r="F388" s="643"/>
      <c r="G388" s="643"/>
      <c r="H388" s="643"/>
      <c r="I388" s="643"/>
      <c r="J388" s="643"/>
      <c r="K388" s="643"/>
      <c r="L388" s="643"/>
      <c r="M388" s="643"/>
      <c r="N388" s="643"/>
      <c r="O388" s="643"/>
      <c r="P388" s="643"/>
      <c r="Q388" s="643"/>
      <c r="R388" s="644" t="str">
        <f t="shared" si="6"/>
        <v/>
      </c>
    </row>
    <row r="389" spans="1:18" x14ac:dyDescent="0.15">
      <c r="A389" s="945"/>
      <c r="B389" s="743"/>
      <c r="C389" s="643"/>
      <c r="D389" s="643"/>
      <c r="E389" s="643"/>
      <c r="F389" s="643"/>
      <c r="G389" s="643"/>
      <c r="H389" s="643"/>
      <c r="I389" s="643"/>
      <c r="J389" s="643"/>
      <c r="K389" s="643"/>
      <c r="L389" s="643"/>
      <c r="M389" s="643"/>
      <c r="N389" s="643"/>
      <c r="O389" s="643"/>
      <c r="P389" s="643"/>
      <c r="Q389" s="643"/>
      <c r="R389" s="644" t="str">
        <f t="shared" si="6"/>
        <v/>
      </c>
    </row>
    <row r="390" spans="1:18" x14ac:dyDescent="0.15">
      <c r="A390" s="945"/>
      <c r="B390" s="743"/>
      <c r="C390" s="643"/>
      <c r="D390" s="643"/>
      <c r="E390" s="643"/>
      <c r="F390" s="643"/>
      <c r="G390" s="643"/>
      <c r="H390" s="643"/>
      <c r="I390" s="643"/>
      <c r="J390" s="643"/>
      <c r="K390" s="643"/>
      <c r="L390" s="643"/>
      <c r="M390" s="643"/>
      <c r="N390" s="643"/>
      <c r="O390" s="643"/>
      <c r="P390" s="643"/>
      <c r="Q390" s="643"/>
      <c r="R390" s="644" t="str">
        <f t="shared" si="6"/>
        <v/>
      </c>
    </row>
    <row r="391" spans="1:18" x14ac:dyDescent="0.15">
      <c r="A391" s="945"/>
      <c r="B391" s="743"/>
      <c r="C391" s="643"/>
      <c r="D391" s="643"/>
      <c r="E391" s="643"/>
      <c r="F391" s="643"/>
      <c r="G391" s="643"/>
      <c r="H391" s="643"/>
      <c r="I391" s="643"/>
      <c r="J391" s="643"/>
      <c r="K391" s="643"/>
      <c r="L391" s="643"/>
      <c r="M391" s="643"/>
      <c r="N391" s="643"/>
      <c r="O391" s="643"/>
      <c r="P391" s="643"/>
      <c r="Q391" s="643"/>
      <c r="R391" s="644" t="str">
        <f t="shared" si="6"/>
        <v/>
      </c>
    </row>
    <row r="392" spans="1:18" x14ac:dyDescent="0.15">
      <c r="A392" s="945"/>
      <c r="B392" s="743"/>
      <c r="C392" s="643"/>
      <c r="D392" s="643"/>
      <c r="E392" s="643"/>
      <c r="F392" s="643"/>
      <c r="G392" s="643"/>
      <c r="H392" s="643"/>
      <c r="I392" s="643"/>
      <c r="J392" s="643"/>
      <c r="K392" s="643"/>
      <c r="L392" s="643"/>
      <c r="M392" s="643"/>
      <c r="N392" s="643"/>
      <c r="O392" s="643"/>
      <c r="P392" s="643"/>
      <c r="Q392" s="643"/>
      <c r="R392" s="644" t="str">
        <f t="shared" si="6"/>
        <v/>
      </c>
    </row>
    <row r="393" spans="1:18" x14ac:dyDescent="0.15">
      <c r="A393" s="945"/>
      <c r="B393" s="743"/>
      <c r="C393" s="643"/>
      <c r="D393" s="643"/>
      <c r="E393" s="643"/>
      <c r="F393" s="643"/>
      <c r="G393" s="643"/>
      <c r="H393" s="643"/>
      <c r="I393" s="643"/>
      <c r="J393" s="643"/>
      <c r="K393" s="643"/>
      <c r="L393" s="643"/>
      <c r="M393" s="643"/>
      <c r="N393" s="643"/>
      <c r="O393" s="643"/>
      <c r="P393" s="643"/>
      <c r="Q393" s="643"/>
      <c r="R393" s="644" t="str">
        <f t="shared" si="6"/>
        <v/>
      </c>
    </row>
    <row r="394" spans="1:18" x14ac:dyDescent="0.15">
      <c r="A394" s="945"/>
      <c r="B394" s="743"/>
      <c r="C394" s="643"/>
      <c r="D394" s="643"/>
      <c r="E394" s="643"/>
      <c r="F394" s="643"/>
      <c r="G394" s="643"/>
      <c r="H394" s="643"/>
      <c r="I394" s="643"/>
      <c r="J394" s="643"/>
      <c r="K394" s="643"/>
      <c r="L394" s="643"/>
      <c r="M394" s="643"/>
      <c r="N394" s="643"/>
      <c r="O394" s="643"/>
      <c r="P394" s="643"/>
      <c r="Q394" s="643"/>
      <c r="R394" s="644" t="str">
        <f t="shared" si="6"/>
        <v/>
      </c>
    </row>
    <row r="395" spans="1:18" x14ac:dyDescent="0.15">
      <c r="A395" s="945"/>
      <c r="B395" s="743"/>
      <c r="C395" s="643"/>
      <c r="D395" s="643"/>
      <c r="E395" s="643"/>
      <c r="F395" s="643"/>
      <c r="G395" s="643"/>
      <c r="H395" s="643"/>
      <c r="I395" s="643"/>
      <c r="J395" s="643"/>
      <c r="K395" s="643"/>
      <c r="L395" s="643"/>
      <c r="M395" s="643"/>
      <c r="N395" s="643"/>
      <c r="O395" s="643"/>
      <c r="P395" s="643"/>
      <c r="Q395" s="643"/>
      <c r="R395" s="644" t="str">
        <f t="shared" si="6"/>
        <v/>
      </c>
    </row>
    <row r="396" spans="1:18" x14ac:dyDescent="0.15">
      <c r="A396" s="945"/>
      <c r="B396" s="743"/>
      <c r="C396" s="643"/>
      <c r="D396" s="643"/>
      <c r="E396" s="643"/>
      <c r="F396" s="643"/>
      <c r="G396" s="643"/>
      <c r="H396" s="643"/>
      <c r="I396" s="643"/>
      <c r="J396" s="643"/>
      <c r="K396" s="643"/>
      <c r="L396" s="643"/>
      <c r="M396" s="643"/>
      <c r="N396" s="643"/>
      <c r="O396" s="643"/>
      <c r="P396" s="643"/>
      <c r="Q396" s="643"/>
      <c r="R396" s="644" t="str">
        <f t="shared" si="6"/>
        <v/>
      </c>
    </row>
    <row r="397" spans="1:18" x14ac:dyDescent="0.15">
      <c r="A397" s="945"/>
      <c r="B397" s="743"/>
      <c r="C397" s="643"/>
      <c r="D397" s="643"/>
      <c r="E397" s="643"/>
      <c r="F397" s="643"/>
      <c r="G397" s="643"/>
      <c r="H397" s="643"/>
      <c r="I397" s="643"/>
      <c r="J397" s="643"/>
      <c r="K397" s="643"/>
      <c r="L397" s="643"/>
      <c r="M397" s="643"/>
      <c r="N397" s="643"/>
      <c r="O397" s="643"/>
      <c r="P397" s="643"/>
      <c r="Q397" s="643"/>
      <c r="R397" s="644" t="str">
        <f t="shared" si="6"/>
        <v/>
      </c>
    </row>
    <row r="398" spans="1:18" x14ac:dyDescent="0.15">
      <c r="A398" s="945"/>
      <c r="B398" s="743"/>
      <c r="C398" s="643"/>
      <c r="D398" s="643"/>
      <c r="E398" s="643"/>
      <c r="F398" s="643"/>
      <c r="G398" s="643"/>
      <c r="H398" s="643"/>
      <c r="I398" s="643"/>
      <c r="J398" s="643"/>
      <c r="K398" s="643"/>
      <c r="L398" s="643"/>
      <c r="M398" s="643"/>
      <c r="N398" s="643"/>
      <c r="O398" s="643"/>
      <c r="P398" s="643"/>
      <c r="Q398" s="643"/>
      <c r="R398" s="644" t="str">
        <f t="shared" si="6"/>
        <v/>
      </c>
    </row>
    <row r="399" spans="1:18" x14ac:dyDescent="0.15">
      <c r="A399" s="945"/>
      <c r="B399" s="743"/>
      <c r="C399" s="643"/>
      <c r="D399" s="643"/>
      <c r="E399" s="643"/>
      <c r="F399" s="643"/>
      <c r="G399" s="643"/>
      <c r="H399" s="643"/>
      <c r="I399" s="643"/>
      <c r="J399" s="643"/>
      <c r="K399" s="643"/>
      <c r="L399" s="643"/>
      <c r="M399" s="643"/>
      <c r="N399" s="643"/>
      <c r="O399" s="643"/>
      <c r="P399" s="643"/>
      <c r="Q399" s="643"/>
      <c r="R399" s="644" t="str">
        <f t="shared" si="6"/>
        <v/>
      </c>
    </row>
    <row r="400" spans="1:18" x14ac:dyDescent="0.15">
      <c r="A400" s="945"/>
      <c r="B400" s="743"/>
      <c r="C400" s="643"/>
      <c r="D400" s="643"/>
      <c r="E400" s="643"/>
      <c r="F400" s="643"/>
      <c r="G400" s="643"/>
      <c r="H400" s="643"/>
      <c r="I400" s="643"/>
      <c r="J400" s="643"/>
      <c r="K400" s="643"/>
      <c r="L400" s="643"/>
      <c r="M400" s="643"/>
      <c r="N400" s="643"/>
      <c r="O400" s="643"/>
      <c r="P400" s="643"/>
      <c r="Q400" s="643"/>
      <c r="R400" s="644" t="str">
        <f t="shared" si="6"/>
        <v/>
      </c>
    </row>
    <row r="401" spans="1:18" x14ac:dyDescent="0.15">
      <c r="A401" s="945"/>
      <c r="B401" s="743"/>
      <c r="C401" s="643"/>
      <c r="D401" s="643"/>
      <c r="E401" s="643"/>
      <c r="F401" s="643"/>
      <c r="G401" s="643"/>
      <c r="H401" s="643"/>
      <c r="I401" s="643"/>
      <c r="J401" s="643"/>
      <c r="K401" s="643"/>
      <c r="L401" s="643"/>
      <c r="M401" s="643"/>
      <c r="N401" s="643"/>
      <c r="O401" s="643"/>
      <c r="P401" s="643"/>
      <c r="Q401" s="643"/>
      <c r="R401" s="644" t="str">
        <f t="shared" si="6"/>
        <v/>
      </c>
    </row>
    <row r="402" spans="1:18" x14ac:dyDescent="0.15">
      <c r="A402" s="945"/>
      <c r="B402" s="743"/>
      <c r="C402" s="643"/>
      <c r="D402" s="643"/>
      <c r="E402" s="643"/>
      <c r="F402" s="643"/>
      <c r="G402" s="643"/>
      <c r="H402" s="643"/>
      <c r="I402" s="643"/>
      <c r="J402" s="643"/>
      <c r="K402" s="643"/>
      <c r="L402" s="643"/>
      <c r="M402" s="643"/>
      <c r="N402" s="643"/>
      <c r="O402" s="643"/>
      <c r="P402" s="643"/>
      <c r="Q402" s="643"/>
      <c r="R402" s="644" t="str">
        <f t="shared" si="6"/>
        <v/>
      </c>
    </row>
    <row r="403" spans="1:18" x14ac:dyDescent="0.15">
      <c r="A403" s="945"/>
      <c r="B403" s="743"/>
      <c r="C403" s="643"/>
      <c r="D403" s="643"/>
      <c r="E403" s="643"/>
      <c r="F403" s="643"/>
      <c r="G403" s="643"/>
      <c r="H403" s="643"/>
      <c r="I403" s="643"/>
      <c r="J403" s="643"/>
      <c r="K403" s="643"/>
      <c r="L403" s="643"/>
      <c r="M403" s="643"/>
      <c r="N403" s="643"/>
      <c r="O403" s="643"/>
      <c r="P403" s="643"/>
      <c r="Q403" s="643"/>
      <c r="R403" s="644" t="str">
        <f t="shared" si="6"/>
        <v/>
      </c>
    </row>
    <row r="404" spans="1:18" x14ac:dyDescent="0.15">
      <c r="A404" s="945"/>
      <c r="B404" s="743"/>
      <c r="C404" s="643"/>
      <c r="D404" s="643"/>
      <c r="E404" s="643"/>
      <c r="F404" s="643"/>
      <c r="G404" s="643"/>
      <c r="H404" s="643"/>
      <c r="I404" s="643"/>
      <c r="J404" s="643"/>
      <c r="K404" s="643"/>
      <c r="L404" s="643"/>
      <c r="M404" s="643"/>
      <c r="N404" s="643"/>
      <c r="O404" s="643"/>
      <c r="P404" s="643"/>
      <c r="Q404" s="643"/>
      <c r="R404" s="644" t="str">
        <f t="shared" si="6"/>
        <v/>
      </c>
    </row>
    <row r="405" spans="1:18" x14ac:dyDescent="0.15">
      <c r="A405" s="945"/>
      <c r="B405" s="743"/>
      <c r="C405" s="643"/>
      <c r="D405" s="643"/>
      <c r="E405" s="643"/>
      <c r="F405" s="643"/>
      <c r="G405" s="643"/>
      <c r="H405" s="643"/>
      <c r="I405" s="643"/>
      <c r="J405" s="643"/>
      <c r="K405" s="643"/>
      <c r="L405" s="643"/>
      <c r="M405" s="643"/>
      <c r="N405" s="643"/>
      <c r="O405" s="643"/>
      <c r="P405" s="643"/>
      <c r="Q405" s="643"/>
      <c r="R405" s="644" t="str">
        <f t="shared" si="6"/>
        <v/>
      </c>
    </row>
    <row r="406" spans="1:18" x14ac:dyDescent="0.15">
      <c r="A406" s="945"/>
      <c r="B406" s="743"/>
      <c r="C406" s="643"/>
      <c r="D406" s="643"/>
      <c r="E406" s="643"/>
      <c r="F406" s="643"/>
      <c r="G406" s="643"/>
      <c r="H406" s="643"/>
      <c r="I406" s="643"/>
      <c r="J406" s="643"/>
      <c r="K406" s="643"/>
      <c r="L406" s="643"/>
      <c r="M406" s="643"/>
      <c r="N406" s="643"/>
      <c r="O406" s="643"/>
      <c r="P406" s="643"/>
      <c r="Q406" s="643"/>
      <c r="R406" s="644" t="str">
        <f t="shared" si="6"/>
        <v/>
      </c>
    </row>
    <row r="407" spans="1:18" x14ac:dyDescent="0.15">
      <c r="A407" s="945"/>
      <c r="B407" s="743"/>
      <c r="C407" s="643"/>
      <c r="D407" s="643"/>
      <c r="E407" s="643"/>
      <c r="F407" s="643"/>
      <c r="G407" s="643"/>
      <c r="H407" s="643"/>
      <c r="I407" s="643"/>
      <c r="J407" s="643"/>
      <c r="K407" s="643"/>
      <c r="L407" s="643"/>
      <c r="M407" s="643"/>
      <c r="N407" s="643"/>
      <c r="O407" s="643"/>
      <c r="P407" s="643"/>
      <c r="Q407" s="643"/>
      <c r="R407" s="644" t="str">
        <f t="shared" si="6"/>
        <v/>
      </c>
    </row>
    <row r="408" spans="1:18" x14ac:dyDescent="0.15">
      <c r="A408" s="945"/>
      <c r="B408" s="743"/>
      <c r="C408" s="643"/>
      <c r="D408" s="643"/>
      <c r="E408" s="643"/>
      <c r="F408" s="643"/>
      <c r="G408" s="643"/>
      <c r="H408" s="643"/>
      <c r="I408" s="643"/>
      <c r="J408" s="643"/>
      <c r="K408" s="643"/>
      <c r="L408" s="643"/>
      <c r="M408" s="643"/>
      <c r="N408" s="643"/>
      <c r="O408" s="643"/>
      <c r="P408" s="643"/>
      <c r="Q408" s="643"/>
      <c r="R408" s="644" t="str">
        <f t="shared" si="6"/>
        <v/>
      </c>
    </row>
    <row r="409" spans="1:18" x14ac:dyDescent="0.15">
      <c r="A409" s="945"/>
      <c r="B409" s="743"/>
      <c r="C409" s="643"/>
      <c r="D409" s="643"/>
      <c r="E409" s="643"/>
      <c r="F409" s="643"/>
      <c r="G409" s="643"/>
      <c r="H409" s="643"/>
      <c r="I409" s="643"/>
      <c r="J409" s="643"/>
      <c r="K409" s="643"/>
      <c r="L409" s="643"/>
      <c r="M409" s="643"/>
      <c r="N409" s="643"/>
      <c r="O409" s="643"/>
      <c r="P409" s="643"/>
      <c r="Q409" s="643"/>
      <c r="R409" s="644" t="str">
        <f t="shared" si="6"/>
        <v/>
      </c>
    </row>
    <row r="410" spans="1:18" x14ac:dyDescent="0.15">
      <c r="A410" s="945"/>
      <c r="B410" s="743"/>
      <c r="C410" s="643"/>
      <c r="D410" s="643"/>
      <c r="E410" s="643"/>
      <c r="F410" s="643"/>
      <c r="G410" s="643"/>
      <c r="H410" s="643"/>
      <c r="I410" s="643"/>
      <c r="J410" s="643"/>
      <c r="K410" s="643"/>
      <c r="L410" s="643"/>
      <c r="M410" s="643"/>
      <c r="N410" s="643"/>
      <c r="O410" s="643"/>
      <c r="P410" s="643"/>
      <c r="Q410" s="643"/>
      <c r="R410" s="644" t="str">
        <f t="shared" si="6"/>
        <v/>
      </c>
    </row>
    <row r="411" spans="1:18" x14ac:dyDescent="0.15">
      <c r="A411" s="945"/>
      <c r="B411" s="743"/>
      <c r="C411" s="643"/>
      <c r="D411" s="643"/>
      <c r="E411" s="643"/>
      <c r="F411" s="643"/>
      <c r="G411" s="643"/>
      <c r="H411" s="643"/>
      <c r="I411" s="643"/>
      <c r="J411" s="643"/>
      <c r="K411" s="643"/>
      <c r="L411" s="643"/>
      <c r="M411" s="643"/>
      <c r="N411" s="643"/>
      <c r="O411" s="643"/>
      <c r="P411" s="643"/>
      <c r="Q411" s="643"/>
      <c r="R411" s="644" t="str">
        <f t="shared" si="6"/>
        <v/>
      </c>
    </row>
    <row r="412" spans="1:18" x14ac:dyDescent="0.15">
      <c r="A412" s="945"/>
      <c r="B412" s="743"/>
      <c r="C412" s="643"/>
      <c r="D412" s="643"/>
      <c r="E412" s="643"/>
      <c r="F412" s="643"/>
      <c r="G412" s="643"/>
      <c r="H412" s="643"/>
      <c r="I412" s="643"/>
      <c r="J412" s="643"/>
      <c r="K412" s="643"/>
      <c r="L412" s="643"/>
      <c r="M412" s="643"/>
      <c r="N412" s="643"/>
      <c r="O412" s="643"/>
      <c r="P412" s="643"/>
      <c r="Q412" s="643"/>
      <c r="R412" s="644" t="str">
        <f t="shared" si="6"/>
        <v/>
      </c>
    </row>
    <row r="413" spans="1:18" x14ac:dyDescent="0.15">
      <c r="A413" s="945"/>
      <c r="B413" s="743"/>
      <c r="C413" s="643"/>
      <c r="D413" s="643"/>
      <c r="E413" s="643"/>
      <c r="F413" s="643"/>
      <c r="G413" s="643"/>
      <c r="H413" s="643"/>
      <c r="I413" s="643"/>
      <c r="J413" s="643"/>
      <c r="K413" s="643"/>
      <c r="L413" s="643"/>
      <c r="M413" s="643"/>
      <c r="N413" s="643"/>
      <c r="O413" s="643"/>
      <c r="P413" s="643"/>
      <c r="Q413" s="643"/>
      <c r="R413" s="644" t="str">
        <f t="shared" si="6"/>
        <v/>
      </c>
    </row>
    <row r="414" spans="1:18" x14ac:dyDescent="0.15">
      <c r="A414" s="945"/>
      <c r="B414" s="743"/>
      <c r="C414" s="643"/>
      <c r="D414" s="643"/>
      <c r="E414" s="643"/>
      <c r="F414" s="643"/>
      <c r="G414" s="643"/>
      <c r="H414" s="643"/>
      <c r="I414" s="643"/>
      <c r="J414" s="643"/>
      <c r="K414" s="643"/>
      <c r="L414" s="643"/>
      <c r="M414" s="643"/>
      <c r="N414" s="643"/>
      <c r="O414" s="643"/>
      <c r="P414" s="643"/>
      <c r="Q414" s="643"/>
      <c r="R414" s="644" t="str">
        <f t="shared" si="6"/>
        <v/>
      </c>
    </row>
    <row r="415" spans="1:18" x14ac:dyDescent="0.15">
      <c r="A415" s="945"/>
      <c r="B415" s="743"/>
      <c r="C415" s="643"/>
      <c r="D415" s="643"/>
      <c r="E415" s="643"/>
      <c r="F415" s="643"/>
      <c r="G415" s="643"/>
      <c r="H415" s="643"/>
      <c r="I415" s="643"/>
      <c r="J415" s="643"/>
      <c r="K415" s="643"/>
      <c r="L415" s="643"/>
      <c r="M415" s="643"/>
      <c r="N415" s="643"/>
      <c r="O415" s="643"/>
      <c r="P415" s="643"/>
      <c r="Q415" s="643"/>
      <c r="R415" s="644" t="str">
        <f t="shared" si="6"/>
        <v/>
      </c>
    </row>
    <row r="416" spans="1:18" x14ac:dyDescent="0.15">
      <c r="A416" s="945"/>
      <c r="B416" s="743"/>
      <c r="C416" s="643"/>
      <c r="D416" s="643"/>
      <c r="E416" s="643"/>
      <c r="F416" s="643"/>
      <c r="G416" s="643"/>
      <c r="H416" s="643"/>
      <c r="I416" s="643"/>
      <c r="J416" s="643"/>
      <c r="K416" s="643"/>
      <c r="L416" s="643"/>
      <c r="M416" s="643"/>
      <c r="N416" s="643"/>
      <c r="O416" s="643"/>
      <c r="P416" s="643"/>
      <c r="Q416" s="643"/>
      <c r="R416" s="644" t="str">
        <f t="shared" si="6"/>
        <v/>
      </c>
    </row>
    <row r="417" spans="1:18" x14ac:dyDescent="0.15">
      <c r="A417" s="945"/>
      <c r="B417" s="743"/>
      <c r="C417" s="643"/>
      <c r="D417" s="643"/>
      <c r="E417" s="643"/>
      <c r="F417" s="643"/>
      <c r="G417" s="643"/>
      <c r="H417" s="643"/>
      <c r="I417" s="643"/>
      <c r="J417" s="643"/>
      <c r="K417" s="643"/>
      <c r="L417" s="643"/>
      <c r="M417" s="643"/>
      <c r="N417" s="643"/>
      <c r="O417" s="643"/>
      <c r="P417" s="643"/>
      <c r="Q417" s="643"/>
      <c r="R417" s="644" t="str">
        <f t="shared" si="6"/>
        <v/>
      </c>
    </row>
    <row r="418" spans="1:18" x14ac:dyDescent="0.15">
      <c r="A418" s="945"/>
      <c r="B418" s="743"/>
      <c r="C418" s="643"/>
      <c r="D418" s="643"/>
      <c r="E418" s="643"/>
      <c r="F418" s="643"/>
      <c r="G418" s="643"/>
      <c r="H418" s="643"/>
      <c r="I418" s="643"/>
      <c r="J418" s="643"/>
      <c r="K418" s="643"/>
      <c r="L418" s="643"/>
      <c r="M418" s="643"/>
      <c r="N418" s="643"/>
      <c r="O418" s="643"/>
      <c r="P418" s="643"/>
      <c r="Q418" s="643"/>
      <c r="R418" s="644" t="str">
        <f t="shared" si="6"/>
        <v/>
      </c>
    </row>
    <row r="419" spans="1:18" x14ac:dyDescent="0.15">
      <c r="A419" s="945"/>
      <c r="B419" s="743"/>
      <c r="C419" s="643"/>
      <c r="D419" s="643"/>
      <c r="E419" s="643"/>
      <c r="F419" s="643"/>
      <c r="G419" s="643"/>
      <c r="H419" s="643"/>
      <c r="I419" s="643"/>
      <c r="J419" s="643"/>
      <c r="K419" s="643"/>
      <c r="L419" s="643"/>
      <c r="M419" s="643"/>
      <c r="N419" s="643"/>
      <c r="O419" s="643"/>
      <c r="P419" s="643"/>
      <c r="Q419" s="643"/>
      <c r="R419" s="644" t="str">
        <f t="shared" si="6"/>
        <v/>
      </c>
    </row>
    <row r="420" spans="1:18" x14ac:dyDescent="0.15">
      <c r="A420" s="945"/>
      <c r="B420" s="743"/>
      <c r="C420" s="643"/>
      <c r="D420" s="643"/>
      <c r="E420" s="643"/>
      <c r="F420" s="643"/>
      <c r="G420" s="643"/>
      <c r="H420" s="643"/>
      <c r="I420" s="643"/>
      <c r="J420" s="643"/>
      <c r="K420" s="643"/>
      <c r="L420" s="643"/>
      <c r="M420" s="643"/>
      <c r="N420" s="643"/>
      <c r="O420" s="643"/>
      <c r="P420" s="643"/>
      <c r="Q420" s="643"/>
      <c r="R420" s="644" t="str">
        <f t="shared" si="6"/>
        <v/>
      </c>
    </row>
    <row r="421" spans="1:18" x14ac:dyDescent="0.15">
      <c r="A421" s="945"/>
      <c r="B421" s="743"/>
      <c r="C421" s="643"/>
      <c r="D421" s="643"/>
      <c r="E421" s="643"/>
      <c r="F421" s="643"/>
      <c r="G421" s="643"/>
      <c r="H421" s="643"/>
      <c r="I421" s="643"/>
      <c r="J421" s="643"/>
      <c r="K421" s="643"/>
      <c r="L421" s="643"/>
      <c r="M421" s="643"/>
      <c r="N421" s="643"/>
      <c r="O421" s="643"/>
      <c r="P421" s="643"/>
      <c r="Q421" s="643"/>
      <c r="R421" s="644" t="str">
        <f t="shared" si="6"/>
        <v/>
      </c>
    </row>
    <row r="422" spans="1:18" x14ac:dyDescent="0.15">
      <c r="A422" s="945"/>
      <c r="B422" s="743"/>
      <c r="C422" s="643"/>
      <c r="D422" s="643"/>
      <c r="E422" s="643"/>
      <c r="F422" s="643"/>
      <c r="G422" s="643"/>
      <c r="H422" s="643"/>
      <c r="I422" s="643"/>
      <c r="J422" s="643"/>
      <c r="K422" s="643"/>
      <c r="L422" s="643"/>
      <c r="M422" s="643"/>
      <c r="N422" s="643"/>
      <c r="O422" s="643"/>
      <c r="P422" s="643"/>
      <c r="Q422" s="643"/>
      <c r="R422" s="644" t="str">
        <f t="shared" si="6"/>
        <v/>
      </c>
    </row>
    <row r="423" spans="1:18" x14ac:dyDescent="0.15">
      <c r="A423" s="945"/>
      <c r="B423" s="743"/>
      <c r="C423" s="643"/>
      <c r="D423" s="643"/>
      <c r="E423" s="643"/>
      <c r="F423" s="643"/>
      <c r="G423" s="643"/>
      <c r="H423" s="643"/>
      <c r="I423" s="643"/>
      <c r="J423" s="643"/>
      <c r="K423" s="643"/>
      <c r="L423" s="643"/>
      <c r="M423" s="643"/>
      <c r="N423" s="643"/>
      <c r="O423" s="643"/>
      <c r="P423" s="643"/>
      <c r="Q423" s="643"/>
      <c r="R423" s="644" t="str">
        <f t="shared" si="6"/>
        <v/>
      </c>
    </row>
    <row r="424" spans="1:18" x14ac:dyDescent="0.15">
      <c r="A424" s="945"/>
      <c r="B424" s="743"/>
      <c r="C424" s="643"/>
      <c r="D424" s="643"/>
      <c r="E424" s="643"/>
      <c r="F424" s="643"/>
      <c r="G424" s="643"/>
      <c r="H424" s="643"/>
      <c r="I424" s="643"/>
      <c r="J424" s="643"/>
      <c r="K424" s="643"/>
      <c r="L424" s="643"/>
      <c r="M424" s="643"/>
      <c r="N424" s="643"/>
      <c r="O424" s="643"/>
      <c r="P424" s="643"/>
      <c r="Q424" s="643"/>
      <c r="R424" s="644" t="str">
        <f t="shared" si="6"/>
        <v/>
      </c>
    </row>
    <row r="425" spans="1:18" x14ac:dyDescent="0.15">
      <c r="A425" s="945"/>
      <c r="B425" s="743"/>
      <c r="C425" s="643"/>
      <c r="D425" s="643"/>
      <c r="E425" s="643"/>
      <c r="F425" s="643"/>
      <c r="G425" s="643"/>
      <c r="H425" s="643"/>
      <c r="I425" s="643"/>
      <c r="J425" s="643"/>
      <c r="K425" s="643"/>
      <c r="L425" s="643"/>
      <c r="M425" s="643"/>
      <c r="N425" s="643"/>
      <c r="O425" s="643"/>
      <c r="P425" s="643"/>
      <c r="Q425" s="643"/>
      <c r="R425" s="644" t="str">
        <f t="shared" si="6"/>
        <v/>
      </c>
    </row>
    <row r="426" spans="1:18" x14ac:dyDescent="0.15">
      <c r="A426" s="945"/>
      <c r="B426" s="743"/>
      <c r="C426" s="643"/>
      <c r="D426" s="643"/>
      <c r="E426" s="643"/>
      <c r="F426" s="643"/>
      <c r="G426" s="643"/>
      <c r="H426" s="643"/>
      <c r="I426" s="643"/>
      <c r="J426" s="643"/>
      <c r="K426" s="643"/>
      <c r="L426" s="643"/>
      <c r="M426" s="643"/>
      <c r="N426" s="643"/>
      <c r="O426" s="643"/>
      <c r="P426" s="643"/>
      <c r="Q426" s="643"/>
      <c r="R426" s="644" t="str">
        <f t="shared" si="6"/>
        <v/>
      </c>
    </row>
    <row r="427" spans="1:18" x14ac:dyDescent="0.15">
      <c r="A427" s="945"/>
      <c r="B427" s="743"/>
      <c r="C427" s="643"/>
      <c r="D427" s="643"/>
      <c r="E427" s="643"/>
      <c r="F427" s="643"/>
      <c r="G427" s="643"/>
      <c r="H427" s="643"/>
      <c r="I427" s="643"/>
      <c r="J427" s="643"/>
      <c r="K427" s="643"/>
      <c r="L427" s="643"/>
      <c r="M427" s="643"/>
      <c r="N427" s="643"/>
      <c r="O427" s="643"/>
      <c r="P427" s="643"/>
      <c r="Q427" s="643"/>
      <c r="R427" s="644" t="str">
        <f t="shared" si="6"/>
        <v/>
      </c>
    </row>
    <row r="428" spans="1:18" x14ac:dyDescent="0.15">
      <c r="A428" s="945"/>
      <c r="B428" s="743"/>
      <c r="C428" s="643"/>
      <c r="D428" s="643"/>
      <c r="E428" s="643"/>
      <c r="F428" s="643"/>
      <c r="G428" s="643"/>
      <c r="H428" s="643"/>
      <c r="I428" s="643"/>
      <c r="J428" s="643"/>
      <c r="K428" s="643"/>
      <c r="L428" s="643"/>
      <c r="M428" s="643"/>
      <c r="N428" s="643"/>
      <c r="O428" s="643"/>
      <c r="P428" s="643"/>
      <c r="Q428" s="643"/>
      <c r="R428" s="644" t="str">
        <f t="shared" si="6"/>
        <v/>
      </c>
    </row>
    <row r="429" spans="1:18" x14ac:dyDescent="0.15">
      <c r="A429" s="945"/>
      <c r="B429" s="743"/>
      <c r="C429" s="643"/>
      <c r="D429" s="643"/>
      <c r="E429" s="643"/>
      <c r="F429" s="643"/>
      <c r="G429" s="643"/>
      <c r="H429" s="643"/>
      <c r="I429" s="643"/>
      <c r="J429" s="643"/>
      <c r="K429" s="643"/>
      <c r="L429" s="643"/>
      <c r="M429" s="643"/>
      <c r="N429" s="643"/>
      <c r="O429" s="643"/>
      <c r="P429" s="643"/>
      <c r="Q429" s="643"/>
      <c r="R429" s="644" t="str">
        <f t="shared" si="6"/>
        <v/>
      </c>
    </row>
    <row r="430" spans="1:18" x14ac:dyDescent="0.15">
      <c r="A430" s="945"/>
      <c r="B430" s="743"/>
      <c r="C430" s="643"/>
      <c r="D430" s="643"/>
      <c r="E430" s="643"/>
      <c r="F430" s="643"/>
      <c r="G430" s="643"/>
      <c r="H430" s="643"/>
      <c r="I430" s="643"/>
      <c r="J430" s="643"/>
      <c r="K430" s="643"/>
      <c r="L430" s="643"/>
      <c r="M430" s="643"/>
      <c r="N430" s="643"/>
      <c r="O430" s="643"/>
      <c r="P430" s="643"/>
      <c r="Q430" s="643"/>
      <c r="R430" s="644" t="str">
        <f t="shared" si="6"/>
        <v/>
      </c>
    </row>
    <row r="431" spans="1:18" x14ac:dyDescent="0.15">
      <c r="A431" s="945"/>
      <c r="B431" s="743"/>
      <c r="C431" s="643"/>
      <c r="D431" s="643"/>
      <c r="E431" s="643"/>
      <c r="F431" s="643"/>
      <c r="G431" s="643"/>
      <c r="H431" s="643"/>
      <c r="I431" s="643"/>
      <c r="J431" s="643"/>
      <c r="K431" s="643"/>
      <c r="L431" s="643"/>
      <c r="M431" s="643"/>
      <c r="N431" s="643"/>
      <c r="O431" s="643"/>
      <c r="P431" s="643"/>
      <c r="Q431" s="643"/>
      <c r="R431" s="644" t="str">
        <f t="shared" si="6"/>
        <v/>
      </c>
    </row>
    <row r="432" spans="1:18" x14ac:dyDescent="0.15">
      <c r="A432" s="945"/>
      <c r="B432" s="743"/>
      <c r="C432" s="643"/>
      <c r="D432" s="643"/>
      <c r="E432" s="643"/>
      <c r="F432" s="643"/>
      <c r="G432" s="643"/>
      <c r="H432" s="643"/>
      <c r="I432" s="643"/>
      <c r="J432" s="643"/>
      <c r="K432" s="643"/>
      <c r="L432" s="643"/>
      <c r="M432" s="643"/>
      <c r="N432" s="643"/>
      <c r="O432" s="643"/>
      <c r="P432" s="643"/>
      <c r="Q432" s="643"/>
      <c r="R432" s="644" t="str">
        <f t="shared" si="6"/>
        <v/>
      </c>
    </row>
    <row r="433" spans="1:18" x14ac:dyDescent="0.15">
      <c r="A433" s="945"/>
      <c r="B433" s="743"/>
      <c r="C433" s="643"/>
      <c r="D433" s="643"/>
      <c r="E433" s="643"/>
      <c r="F433" s="643"/>
      <c r="G433" s="643"/>
      <c r="H433" s="643"/>
      <c r="I433" s="643"/>
      <c r="J433" s="643"/>
      <c r="K433" s="643"/>
      <c r="L433" s="643"/>
      <c r="M433" s="643"/>
      <c r="N433" s="643"/>
      <c r="O433" s="643"/>
      <c r="P433" s="643"/>
      <c r="Q433" s="643"/>
      <c r="R433" s="644" t="str">
        <f t="shared" si="6"/>
        <v/>
      </c>
    </row>
    <row r="434" spans="1:18" x14ac:dyDescent="0.15">
      <c r="A434" s="945"/>
      <c r="B434" s="743"/>
      <c r="C434" s="643"/>
      <c r="D434" s="643"/>
      <c r="E434" s="643"/>
      <c r="F434" s="643"/>
      <c r="G434" s="643"/>
      <c r="H434" s="643"/>
      <c r="I434" s="643"/>
      <c r="J434" s="643"/>
      <c r="K434" s="643"/>
      <c r="L434" s="643"/>
      <c r="M434" s="643"/>
      <c r="N434" s="643"/>
      <c r="O434" s="643"/>
      <c r="P434" s="643"/>
      <c r="Q434" s="643"/>
      <c r="R434" s="644" t="str">
        <f t="shared" si="6"/>
        <v/>
      </c>
    </row>
    <row r="435" spans="1:18" x14ac:dyDescent="0.15">
      <c r="A435" s="945"/>
      <c r="B435" s="743"/>
      <c r="C435" s="643"/>
      <c r="D435" s="643"/>
      <c r="E435" s="643"/>
      <c r="F435" s="643"/>
      <c r="G435" s="643"/>
      <c r="H435" s="643"/>
      <c r="I435" s="643"/>
      <c r="J435" s="643"/>
      <c r="K435" s="643"/>
      <c r="L435" s="643"/>
      <c r="M435" s="643"/>
      <c r="N435" s="643"/>
      <c r="O435" s="643"/>
      <c r="P435" s="643"/>
      <c r="Q435" s="643"/>
      <c r="R435" s="644" t="str">
        <f t="shared" si="6"/>
        <v/>
      </c>
    </row>
    <row r="436" spans="1:18" x14ac:dyDescent="0.15">
      <c r="A436" s="945"/>
      <c r="B436" s="743"/>
      <c r="C436" s="643"/>
      <c r="D436" s="643"/>
      <c r="E436" s="643"/>
      <c r="F436" s="643"/>
      <c r="G436" s="643"/>
      <c r="H436" s="643"/>
      <c r="I436" s="643"/>
      <c r="J436" s="643"/>
      <c r="K436" s="643"/>
      <c r="L436" s="643"/>
      <c r="M436" s="643"/>
      <c r="N436" s="643"/>
      <c r="O436" s="643"/>
      <c r="P436" s="643"/>
      <c r="Q436" s="643"/>
      <c r="R436" s="644" t="str">
        <f t="shared" si="6"/>
        <v/>
      </c>
    </row>
    <row r="437" spans="1:18" x14ac:dyDescent="0.15">
      <c r="A437" s="945"/>
      <c r="B437" s="743"/>
      <c r="C437" s="643"/>
      <c r="D437" s="643"/>
      <c r="E437" s="643"/>
      <c r="F437" s="643"/>
      <c r="G437" s="643"/>
      <c r="H437" s="643"/>
      <c r="I437" s="643"/>
      <c r="J437" s="643"/>
      <c r="K437" s="643"/>
      <c r="L437" s="643"/>
      <c r="M437" s="643"/>
      <c r="N437" s="643"/>
      <c r="O437" s="643"/>
      <c r="P437" s="643"/>
      <c r="Q437" s="643"/>
      <c r="R437" s="644" t="str">
        <f t="shared" si="6"/>
        <v/>
      </c>
    </row>
    <row r="438" spans="1:18" x14ac:dyDescent="0.15">
      <c r="A438" s="945"/>
      <c r="B438" s="743"/>
      <c r="C438" s="643"/>
      <c r="D438" s="643"/>
      <c r="E438" s="643"/>
      <c r="F438" s="643"/>
      <c r="G438" s="643"/>
      <c r="H438" s="643"/>
      <c r="I438" s="643"/>
      <c r="J438" s="643"/>
      <c r="K438" s="643"/>
      <c r="L438" s="643"/>
      <c r="M438" s="643"/>
      <c r="N438" s="643"/>
      <c r="O438" s="643"/>
      <c r="P438" s="643"/>
      <c r="Q438" s="643"/>
      <c r="R438" s="644" t="str">
        <f t="shared" si="6"/>
        <v/>
      </c>
    </row>
    <row r="439" spans="1:18" x14ac:dyDescent="0.15">
      <c r="A439" s="945"/>
      <c r="B439" s="743"/>
      <c r="C439" s="643"/>
      <c r="D439" s="643"/>
      <c r="E439" s="643"/>
      <c r="F439" s="643"/>
      <c r="G439" s="643"/>
      <c r="H439" s="643"/>
      <c r="I439" s="643"/>
      <c r="J439" s="643"/>
      <c r="K439" s="643"/>
      <c r="L439" s="643"/>
      <c r="M439" s="643"/>
      <c r="N439" s="643"/>
      <c r="O439" s="643"/>
      <c r="P439" s="643"/>
      <c r="Q439" s="643"/>
      <c r="R439" s="644" t="str">
        <f t="shared" si="6"/>
        <v/>
      </c>
    </row>
    <row r="440" spans="1:18" x14ac:dyDescent="0.15">
      <c r="A440" s="945"/>
      <c r="B440" s="743"/>
      <c r="C440" s="643"/>
      <c r="D440" s="643"/>
      <c r="E440" s="643"/>
      <c r="F440" s="643"/>
      <c r="G440" s="643"/>
      <c r="H440" s="643"/>
      <c r="I440" s="643"/>
      <c r="J440" s="643"/>
      <c r="K440" s="643"/>
      <c r="L440" s="643"/>
      <c r="M440" s="643"/>
      <c r="N440" s="643"/>
      <c r="O440" s="643"/>
      <c r="P440" s="643"/>
      <c r="Q440" s="643"/>
      <c r="R440" s="644" t="str">
        <f t="shared" si="6"/>
        <v/>
      </c>
    </row>
    <row r="441" spans="1:18" x14ac:dyDescent="0.15">
      <c r="A441" s="945"/>
      <c r="B441" s="743"/>
      <c r="C441" s="643"/>
      <c r="D441" s="643"/>
      <c r="E441" s="643"/>
      <c r="F441" s="643"/>
      <c r="G441" s="643"/>
      <c r="H441" s="643"/>
      <c r="I441" s="643"/>
      <c r="J441" s="643"/>
      <c r="K441" s="643"/>
      <c r="L441" s="643"/>
      <c r="M441" s="643"/>
      <c r="N441" s="643"/>
      <c r="O441" s="643"/>
      <c r="P441" s="643"/>
      <c r="Q441" s="643"/>
      <c r="R441" s="644" t="str">
        <f t="shared" si="6"/>
        <v/>
      </c>
    </row>
    <row r="442" spans="1:18" x14ac:dyDescent="0.15">
      <c r="A442" s="945"/>
      <c r="B442" s="743"/>
      <c r="C442" s="643"/>
      <c r="D442" s="643"/>
      <c r="E442" s="643"/>
      <c r="F442" s="643"/>
      <c r="G442" s="643"/>
      <c r="H442" s="643"/>
      <c r="I442" s="643"/>
      <c r="J442" s="643"/>
      <c r="K442" s="643"/>
      <c r="L442" s="643"/>
      <c r="M442" s="643"/>
      <c r="N442" s="643"/>
      <c r="O442" s="643"/>
      <c r="P442" s="643"/>
      <c r="Q442" s="643"/>
      <c r="R442" s="644" t="str">
        <f t="shared" si="6"/>
        <v/>
      </c>
    </row>
    <row r="443" spans="1:18" x14ac:dyDescent="0.15">
      <c r="A443" s="945"/>
      <c r="B443" s="743"/>
      <c r="C443" s="643"/>
      <c r="D443" s="643"/>
      <c r="E443" s="643"/>
      <c r="F443" s="643"/>
      <c r="G443" s="643"/>
      <c r="H443" s="643"/>
      <c r="I443" s="643"/>
      <c r="J443" s="643"/>
      <c r="K443" s="643"/>
      <c r="L443" s="643"/>
      <c r="M443" s="643"/>
      <c r="N443" s="643"/>
      <c r="O443" s="643"/>
      <c r="P443" s="643"/>
      <c r="Q443" s="643"/>
      <c r="R443" s="644" t="str">
        <f t="shared" si="6"/>
        <v/>
      </c>
    </row>
    <row r="444" spans="1:18" x14ac:dyDescent="0.15">
      <c r="A444" s="945"/>
      <c r="B444" s="743"/>
      <c r="C444" s="643"/>
      <c r="D444" s="643"/>
      <c r="E444" s="643"/>
      <c r="F444" s="643"/>
      <c r="G444" s="643"/>
      <c r="H444" s="643"/>
      <c r="I444" s="643"/>
      <c r="J444" s="643"/>
      <c r="K444" s="643"/>
      <c r="L444" s="643"/>
      <c r="M444" s="643"/>
      <c r="N444" s="643"/>
      <c r="O444" s="643"/>
      <c r="P444" s="643"/>
      <c r="Q444" s="643"/>
      <c r="R444" s="644" t="str">
        <f t="shared" si="6"/>
        <v/>
      </c>
    </row>
    <row r="445" spans="1:18" x14ac:dyDescent="0.15">
      <c r="A445" s="945"/>
      <c r="B445" s="743"/>
      <c r="C445" s="643"/>
      <c r="D445" s="643"/>
      <c r="E445" s="643"/>
      <c r="F445" s="643"/>
      <c r="G445" s="643"/>
      <c r="H445" s="643"/>
      <c r="I445" s="643"/>
      <c r="J445" s="643"/>
      <c r="K445" s="643"/>
      <c r="L445" s="643"/>
      <c r="M445" s="643"/>
      <c r="N445" s="643"/>
      <c r="O445" s="643"/>
      <c r="P445" s="643"/>
      <c r="Q445" s="643"/>
      <c r="R445" s="644" t="str">
        <f t="shared" si="6"/>
        <v/>
      </c>
    </row>
    <row r="446" spans="1:18" x14ac:dyDescent="0.15">
      <c r="A446" s="945"/>
      <c r="B446" s="743"/>
      <c r="C446" s="643"/>
      <c r="D446" s="643"/>
      <c r="E446" s="643"/>
      <c r="F446" s="643"/>
      <c r="G446" s="643"/>
      <c r="H446" s="643"/>
      <c r="I446" s="643"/>
      <c r="J446" s="643"/>
      <c r="K446" s="643"/>
      <c r="L446" s="643"/>
      <c r="M446" s="643"/>
      <c r="N446" s="643"/>
      <c r="O446" s="643"/>
      <c r="P446" s="643"/>
      <c r="Q446" s="643"/>
      <c r="R446" s="644" t="str">
        <f t="shared" si="6"/>
        <v/>
      </c>
    </row>
    <row r="447" spans="1:18" x14ac:dyDescent="0.15">
      <c r="A447" s="945"/>
      <c r="B447" s="743"/>
      <c r="C447" s="643"/>
      <c r="D447" s="643"/>
      <c r="E447" s="643"/>
      <c r="F447" s="643"/>
      <c r="G447" s="643"/>
      <c r="H447" s="643"/>
      <c r="I447" s="643"/>
      <c r="J447" s="643"/>
      <c r="K447" s="643"/>
      <c r="L447" s="643"/>
      <c r="M447" s="643"/>
      <c r="N447" s="643"/>
      <c r="O447" s="643"/>
      <c r="P447" s="643"/>
      <c r="Q447" s="643"/>
      <c r="R447" s="644" t="str">
        <f t="shared" si="6"/>
        <v/>
      </c>
    </row>
    <row r="448" spans="1:18" x14ac:dyDescent="0.15">
      <c r="A448" s="945"/>
      <c r="B448" s="743"/>
      <c r="C448" s="643"/>
      <c r="D448" s="643"/>
      <c r="E448" s="643"/>
      <c r="F448" s="643"/>
      <c r="G448" s="643"/>
      <c r="H448" s="643"/>
      <c r="I448" s="643"/>
      <c r="J448" s="643"/>
      <c r="K448" s="643"/>
      <c r="L448" s="643"/>
      <c r="M448" s="643"/>
      <c r="N448" s="643"/>
      <c r="O448" s="643"/>
      <c r="P448" s="643"/>
      <c r="Q448" s="643"/>
      <c r="R448" s="644" t="str">
        <f t="shared" si="6"/>
        <v/>
      </c>
    </row>
    <row r="449" spans="1:18" x14ac:dyDescent="0.15">
      <c r="A449" s="945"/>
      <c r="B449" s="743"/>
      <c r="C449" s="643"/>
      <c r="D449" s="643"/>
      <c r="E449" s="643"/>
      <c r="F449" s="643"/>
      <c r="G449" s="643"/>
      <c r="H449" s="643"/>
      <c r="I449" s="643"/>
      <c r="J449" s="643"/>
      <c r="K449" s="643"/>
      <c r="L449" s="643"/>
      <c r="M449" s="643"/>
      <c r="N449" s="643"/>
      <c r="O449" s="643"/>
      <c r="P449" s="643"/>
      <c r="Q449" s="643"/>
      <c r="R449" s="644" t="str">
        <f t="shared" si="6"/>
        <v/>
      </c>
    </row>
    <row r="450" spans="1:18" x14ac:dyDescent="0.15">
      <c r="A450" s="945"/>
      <c r="B450" s="743"/>
      <c r="C450" s="643"/>
      <c r="D450" s="643"/>
      <c r="E450" s="643"/>
      <c r="F450" s="643"/>
      <c r="G450" s="643"/>
      <c r="H450" s="643"/>
      <c r="I450" s="643"/>
      <c r="J450" s="643"/>
      <c r="K450" s="643"/>
      <c r="L450" s="643"/>
      <c r="M450" s="643"/>
      <c r="N450" s="643"/>
      <c r="O450" s="643"/>
      <c r="P450" s="643"/>
      <c r="Q450" s="643"/>
      <c r="R450" s="644" t="str">
        <f t="shared" si="6"/>
        <v/>
      </c>
    </row>
    <row r="451" spans="1:18" x14ac:dyDescent="0.15">
      <c r="A451" s="945"/>
      <c r="B451" s="743"/>
      <c r="C451" s="643"/>
      <c r="D451" s="643"/>
      <c r="E451" s="643"/>
      <c r="F451" s="643"/>
      <c r="G451" s="643"/>
      <c r="H451" s="643"/>
      <c r="I451" s="643"/>
      <c r="J451" s="643"/>
      <c r="K451" s="643"/>
      <c r="L451" s="643"/>
      <c r="M451" s="643"/>
      <c r="N451" s="643"/>
      <c r="O451" s="643"/>
      <c r="P451" s="643"/>
      <c r="Q451" s="643"/>
      <c r="R451" s="644" t="str">
        <f t="shared" ref="R451:R500" si="7">IF(A451="","",SUM(C451:Q451))</f>
        <v/>
      </c>
    </row>
    <row r="452" spans="1:18" x14ac:dyDescent="0.15">
      <c r="A452" s="945"/>
      <c r="B452" s="743"/>
      <c r="C452" s="643"/>
      <c r="D452" s="643"/>
      <c r="E452" s="643"/>
      <c r="F452" s="643"/>
      <c r="G452" s="643"/>
      <c r="H452" s="643"/>
      <c r="I452" s="643"/>
      <c r="J452" s="643"/>
      <c r="K452" s="643"/>
      <c r="L452" s="643"/>
      <c r="M452" s="643"/>
      <c r="N452" s="643"/>
      <c r="O452" s="643"/>
      <c r="P452" s="643"/>
      <c r="Q452" s="643"/>
      <c r="R452" s="644" t="str">
        <f t="shared" si="7"/>
        <v/>
      </c>
    </row>
    <row r="453" spans="1:18" x14ac:dyDescent="0.15">
      <c r="A453" s="945"/>
      <c r="B453" s="743"/>
      <c r="C453" s="643"/>
      <c r="D453" s="643"/>
      <c r="E453" s="643"/>
      <c r="F453" s="643"/>
      <c r="G453" s="643"/>
      <c r="H453" s="643"/>
      <c r="I453" s="643"/>
      <c r="J453" s="643"/>
      <c r="K453" s="643"/>
      <c r="L453" s="643"/>
      <c r="M453" s="643"/>
      <c r="N453" s="643"/>
      <c r="O453" s="643"/>
      <c r="P453" s="643"/>
      <c r="Q453" s="643"/>
      <c r="R453" s="644" t="str">
        <f t="shared" si="7"/>
        <v/>
      </c>
    </row>
    <row r="454" spans="1:18" x14ac:dyDescent="0.15">
      <c r="A454" s="945"/>
      <c r="B454" s="743"/>
      <c r="C454" s="643"/>
      <c r="D454" s="643"/>
      <c r="E454" s="643"/>
      <c r="F454" s="643"/>
      <c r="G454" s="643"/>
      <c r="H454" s="643"/>
      <c r="I454" s="643"/>
      <c r="J454" s="643"/>
      <c r="K454" s="643"/>
      <c r="L454" s="643"/>
      <c r="M454" s="643"/>
      <c r="N454" s="643"/>
      <c r="O454" s="643"/>
      <c r="P454" s="643"/>
      <c r="Q454" s="643"/>
      <c r="R454" s="644" t="str">
        <f t="shared" si="7"/>
        <v/>
      </c>
    </row>
    <row r="455" spans="1:18" x14ac:dyDescent="0.15">
      <c r="A455" s="945"/>
      <c r="B455" s="743"/>
      <c r="C455" s="643"/>
      <c r="D455" s="643"/>
      <c r="E455" s="643"/>
      <c r="F455" s="643"/>
      <c r="G455" s="643"/>
      <c r="H455" s="643"/>
      <c r="I455" s="643"/>
      <c r="J455" s="643"/>
      <c r="K455" s="643"/>
      <c r="L455" s="643"/>
      <c r="M455" s="643"/>
      <c r="N455" s="643"/>
      <c r="O455" s="643"/>
      <c r="P455" s="643"/>
      <c r="Q455" s="643"/>
      <c r="R455" s="644" t="str">
        <f t="shared" si="7"/>
        <v/>
      </c>
    </row>
    <row r="456" spans="1:18" x14ac:dyDescent="0.15">
      <c r="A456" s="945"/>
      <c r="B456" s="743"/>
      <c r="C456" s="643"/>
      <c r="D456" s="643"/>
      <c r="E456" s="643"/>
      <c r="F456" s="643"/>
      <c r="G456" s="643"/>
      <c r="H456" s="643"/>
      <c r="I456" s="643"/>
      <c r="J456" s="643"/>
      <c r="K456" s="643"/>
      <c r="L456" s="643"/>
      <c r="M456" s="643"/>
      <c r="N456" s="643"/>
      <c r="O456" s="643"/>
      <c r="P456" s="643"/>
      <c r="Q456" s="643"/>
      <c r="R456" s="644" t="str">
        <f t="shared" si="7"/>
        <v/>
      </c>
    </row>
    <row r="457" spans="1:18" x14ac:dyDescent="0.15">
      <c r="A457" s="945"/>
      <c r="B457" s="743"/>
      <c r="C457" s="643"/>
      <c r="D457" s="643"/>
      <c r="E457" s="643"/>
      <c r="F457" s="643"/>
      <c r="G457" s="643"/>
      <c r="H457" s="643"/>
      <c r="I457" s="643"/>
      <c r="J457" s="643"/>
      <c r="K457" s="643"/>
      <c r="L457" s="643"/>
      <c r="M457" s="643"/>
      <c r="N457" s="643"/>
      <c r="O457" s="643"/>
      <c r="P457" s="643"/>
      <c r="Q457" s="643"/>
      <c r="R457" s="644" t="str">
        <f t="shared" si="7"/>
        <v/>
      </c>
    </row>
    <row r="458" spans="1:18" x14ac:dyDescent="0.15">
      <c r="A458" s="945"/>
      <c r="B458" s="743"/>
      <c r="C458" s="643"/>
      <c r="D458" s="643"/>
      <c r="E458" s="643"/>
      <c r="F458" s="643"/>
      <c r="G458" s="643"/>
      <c r="H458" s="643"/>
      <c r="I458" s="643"/>
      <c r="J458" s="643"/>
      <c r="K458" s="643"/>
      <c r="L458" s="643"/>
      <c r="M458" s="643"/>
      <c r="N458" s="643"/>
      <c r="O458" s="643"/>
      <c r="P458" s="643"/>
      <c r="Q458" s="643"/>
      <c r="R458" s="644" t="str">
        <f t="shared" si="7"/>
        <v/>
      </c>
    </row>
    <row r="459" spans="1:18" x14ac:dyDescent="0.15">
      <c r="A459" s="945"/>
      <c r="B459" s="743"/>
      <c r="C459" s="643"/>
      <c r="D459" s="643"/>
      <c r="E459" s="643"/>
      <c r="F459" s="643"/>
      <c r="G459" s="643"/>
      <c r="H459" s="643"/>
      <c r="I459" s="643"/>
      <c r="J459" s="643"/>
      <c r="K459" s="643"/>
      <c r="L459" s="643"/>
      <c r="M459" s="643"/>
      <c r="N459" s="643"/>
      <c r="O459" s="643"/>
      <c r="P459" s="643"/>
      <c r="Q459" s="643"/>
      <c r="R459" s="644" t="str">
        <f t="shared" si="7"/>
        <v/>
      </c>
    </row>
    <row r="460" spans="1:18" x14ac:dyDescent="0.15">
      <c r="A460" s="945"/>
      <c r="B460" s="743"/>
      <c r="C460" s="643"/>
      <c r="D460" s="643"/>
      <c r="E460" s="643"/>
      <c r="F460" s="643"/>
      <c r="G460" s="643"/>
      <c r="H460" s="643"/>
      <c r="I460" s="643"/>
      <c r="J460" s="643"/>
      <c r="K460" s="643"/>
      <c r="L460" s="643"/>
      <c r="M460" s="643"/>
      <c r="N460" s="643"/>
      <c r="O460" s="643"/>
      <c r="P460" s="643"/>
      <c r="Q460" s="643"/>
      <c r="R460" s="644" t="str">
        <f t="shared" si="7"/>
        <v/>
      </c>
    </row>
    <row r="461" spans="1:18" x14ac:dyDescent="0.15">
      <c r="A461" s="945"/>
      <c r="B461" s="743"/>
      <c r="C461" s="643"/>
      <c r="D461" s="643"/>
      <c r="E461" s="643"/>
      <c r="F461" s="643"/>
      <c r="G461" s="643"/>
      <c r="H461" s="643"/>
      <c r="I461" s="643"/>
      <c r="J461" s="643"/>
      <c r="K461" s="643"/>
      <c r="L461" s="643"/>
      <c r="M461" s="643"/>
      <c r="N461" s="643"/>
      <c r="O461" s="643"/>
      <c r="P461" s="643"/>
      <c r="Q461" s="643"/>
      <c r="R461" s="644" t="str">
        <f t="shared" si="7"/>
        <v/>
      </c>
    </row>
    <row r="462" spans="1:18" x14ac:dyDescent="0.15">
      <c r="A462" s="945"/>
      <c r="B462" s="743"/>
      <c r="C462" s="643"/>
      <c r="D462" s="643"/>
      <c r="E462" s="643"/>
      <c r="F462" s="643"/>
      <c r="G462" s="643"/>
      <c r="H462" s="643"/>
      <c r="I462" s="643"/>
      <c r="J462" s="643"/>
      <c r="K462" s="643"/>
      <c r="L462" s="643"/>
      <c r="M462" s="643"/>
      <c r="N462" s="643"/>
      <c r="O462" s="643"/>
      <c r="P462" s="643"/>
      <c r="Q462" s="643"/>
      <c r="R462" s="644" t="str">
        <f t="shared" si="7"/>
        <v/>
      </c>
    </row>
    <row r="463" spans="1:18" x14ac:dyDescent="0.15">
      <c r="A463" s="945"/>
      <c r="B463" s="743"/>
      <c r="C463" s="643"/>
      <c r="D463" s="643"/>
      <c r="E463" s="643"/>
      <c r="F463" s="643"/>
      <c r="G463" s="643"/>
      <c r="H463" s="643"/>
      <c r="I463" s="643"/>
      <c r="J463" s="643"/>
      <c r="K463" s="643"/>
      <c r="L463" s="643"/>
      <c r="M463" s="643"/>
      <c r="N463" s="643"/>
      <c r="O463" s="643"/>
      <c r="P463" s="643"/>
      <c r="Q463" s="643"/>
      <c r="R463" s="644" t="str">
        <f t="shared" si="7"/>
        <v/>
      </c>
    </row>
    <row r="464" spans="1:18" x14ac:dyDescent="0.15">
      <c r="A464" s="945"/>
      <c r="B464" s="743"/>
      <c r="C464" s="643"/>
      <c r="D464" s="643"/>
      <c r="E464" s="643"/>
      <c r="F464" s="643"/>
      <c r="G464" s="643"/>
      <c r="H464" s="643"/>
      <c r="I464" s="643"/>
      <c r="J464" s="643"/>
      <c r="K464" s="643"/>
      <c r="L464" s="643"/>
      <c r="M464" s="643"/>
      <c r="N464" s="643"/>
      <c r="O464" s="643"/>
      <c r="P464" s="643"/>
      <c r="Q464" s="643"/>
      <c r="R464" s="644" t="str">
        <f t="shared" si="7"/>
        <v/>
      </c>
    </row>
    <row r="465" spans="1:18" x14ac:dyDescent="0.15">
      <c r="A465" s="945"/>
      <c r="B465" s="743"/>
      <c r="C465" s="643"/>
      <c r="D465" s="643"/>
      <c r="E465" s="643"/>
      <c r="F465" s="643"/>
      <c r="G465" s="643"/>
      <c r="H465" s="643"/>
      <c r="I465" s="643"/>
      <c r="J465" s="643"/>
      <c r="K465" s="643"/>
      <c r="L465" s="643"/>
      <c r="M465" s="643"/>
      <c r="N465" s="643"/>
      <c r="O465" s="643"/>
      <c r="P465" s="643"/>
      <c r="Q465" s="643"/>
      <c r="R465" s="644" t="str">
        <f t="shared" si="7"/>
        <v/>
      </c>
    </row>
    <row r="466" spans="1:18" x14ac:dyDescent="0.15">
      <c r="A466" s="945"/>
      <c r="B466" s="743"/>
      <c r="C466" s="643"/>
      <c r="D466" s="643"/>
      <c r="E466" s="643"/>
      <c r="F466" s="643"/>
      <c r="G466" s="643"/>
      <c r="H466" s="643"/>
      <c r="I466" s="643"/>
      <c r="J466" s="643"/>
      <c r="K466" s="643"/>
      <c r="L466" s="643"/>
      <c r="M466" s="643"/>
      <c r="N466" s="643"/>
      <c r="O466" s="643"/>
      <c r="P466" s="643"/>
      <c r="Q466" s="643"/>
      <c r="R466" s="644" t="str">
        <f t="shared" si="7"/>
        <v/>
      </c>
    </row>
    <row r="467" spans="1:18" x14ac:dyDescent="0.15">
      <c r="A467" s="945"/>
      <c r="B467" s="743"/>
      <c r="C467" s="643"/>
      <c r="D467" s="643"/>
      <c r="E467" s="643"/>
      <c r="F467" s="643"/>
      <c r="G467" s="643"/>
      <c r="H467" s="643"/>
      <c r="I467" s="643"/>
      <c r="J467" s="643"/>
      <c r="K467" s="643"/>
      <c r="L467" s="643"/>
      <c r="M467" s="643"/>
      <c r="N467" s="643"/>
      <c r="O467" s="643"/>
      <c r="P467" s="643"/>
      <c r="Q467" s="643"/>
      <c r="R467" s="644" t="str">
        <f t="shared" si="7"/>
        <v/>
      </c>
    </row>
    <row r="468" spans="1:18" x14ac:dyDescent="0.15">
      <c r="A468" s="945"/>
      <c r="B468" s="743"/>
      <c r="C468" s="643"/>
      <c r="D468" s="643"/>
      <c r="E468" s="643"/>
      <c r="F468" s="643"/>
      <c r="G468" s="643"/>
      <c r="H468" s="643"/>
      <c r="I468" s="643"/>
      <c r="J468" s="643"/>
      <c r="K468" s="643"/>
      <c r="L468" s="643"/>
      <c r="M468" s="643"/>
      <c r="N468" s="643"/>
      <c r="O468" s="643"/>
      <c r="P468" s="643"/>
      <c r="Q468" s="643"/>
      <c r="R468" s="644" t="str">
        <f t="shared" si="7"/>
        <v/>
      </c>
    </row>
    <row r="469" spans="1:18" x14ac:dyDescent="0.15">
      <c r="A469" s="945"/>
      <c r="B469" s="743"/>
      <c r="C469" s="643"/>
      <c r="D469" s="643"/>
      <c r="E469" s="643"/>
      <c r="F469" s="643"/>
      <c r="G469" s="643"/>
      <c r="H469" s="643"/>
      <c r="I469" s="643"/>
      <c r="J469" s="643"/>
      <c r="K469" s="643"/>
      <c r="L469" s="643"/>
      <c r="M469" s="643"/>
      <c r="N469" s="643"/>
      <c r="O469" s="643"/>
      <c r="P469" s="643"/>
      <c r="Q469" s="643"/>
      <c r="R469" s="644" t="str">
        <f t="shared" si="7"/>
        <v/>
      </c>
    </row>
    <row r="470" spans="1:18" x14ac:dyDescent="0.15">
      <c r="A470" s="945"/>
      <c r="B470" s="743"/>
      <c r="C470" s="643"/>
      <c r="D470" s="643"/>
      <c r="E470" s="643"/>
      <c r="F470" s="643"/>
      <c r="G470" s="643"/>
      <c r="H470" s="643"/>
      <c r="I470" s="643"/>
      <c r="J470" s="643"/>
      <c r="K470" s="643"/>
      <c r="L470" s="643"/>
      <c r="M470" s="643"/>
      <c r="N470" s="643"/>
      <c r="O470" s="643"/>
      <c r="P470" s="643"/>
      <c r="Q470" s="643"/>
      <c r="R470" s="644" t="str">
        <f t="shared" si="7"/>
        <v/>
      </c>
    </row>
    <row r="471" spans="1:18" x14ac:dyDescent="0.15">
      <c r="A471" s="945"/>
      <c r="B471" s="743"/>
      <c r="C471" s="643"/>
      <c r="D471" s="643"/>
      <c r="E471" s="643"/>
      <c r="F471" s="643"/>
      <c r="G471" s="643"/>
      <c r="H471" s="643"/>
      <c r="I471" s="643"/>
      <c r="J471" s="643"/>
      <c r="K471" s="643"/>
      <c r="L471" s="643"/>
      <c r="M471" s="643"/>
      <c r="N471" s="643"/>
      <c r="O471" s="643"/>
      <c r="P471" s="643"/>
      <c r="Q471" s="643"/>
      <c r="R471" s="644" t="str">
        <f t="shared" si="7"/>
        <v/>
      </c>
    </row>
    <row r="472" spans="1:18" x14ac:dyDescent="0.15">
      <c r="A472" s="945"/>
      <c r="B472" s="743"/>
      <c r="C472" s="643"/>
      <c r="D472" s="643"/>
      <c r="E472" s="643"/>
      <c r="F472" s="643"/>
      <c r="G472" s="643"/>
      <c r="H472" s="643"/>
      <c r="I472" s="643"/>
      <c r="J472" s="643"/>
      <c r="K472" s="643"/>
      <c r="L472" s="643"/>
      <c r="M472" s="643"/>
      <c r="N472" s="643"/>
      <c r="O472" s="643"/>
      <c r="P472" s="643"/>
      <c r="Q472" s="643"/>
      <c r="R472" s="644" t="str">
        <f t="shared" si="7"/>
        <v/>
      </c>
    </row>
    <row r="473" spans="1:18" x14ac:dyDescent="0.15">
      <c r="A473" s="945"/>
      <c r="B473" s="743"/>
      <c r="C473" s="643"/>
      <c r="D473" s="643"/>
      <c r="E473" s="643"/>
      <c r="F473" s="643"/>
      <c r="G473" s="643"/>
      <c r="H473" s="643"/>
      <c r="I473" s="643"/>
      <c r="J473" s="643"/>
      <c r="K473" s="643"/>
      <c r="L473" s="643"/>
      <c r="M473" s="643"/>
      <c r="N473" s="643"/>
      <c r="O473" s="643"/>
      <c r="P473" s="643"/>
      <c r="Q473" s="643"/>
      <c r="R473" s="644" t="str">
        <f t="shared" si="7"/>
        <v/>
      </c>
    </row>
    <row r="474" spans="1:18" x14ac:dyDescent="0.15">
      <c r="A474" s="945"/>
      <c r="B474" s="743"/>
      <c r="C474" s="643"/>
      <c r="D474" s="643"/>
      <c r="E474" s="643"/>
      <c r="F474" s="643"/>
      <c r="G474" s="643"/>
      <c r="H474" s="643"/>
      <c r="I474" s="643"/>
      <c r="J474" s="643"/>
      <c r="K474" s="643"/>
      <c r="L474" s="643"/>
      <c r="M474" s="643"/>
      <c r="N474" s="643"/>
      <c r="O474" s="643"/>
      <c r="P474" s="643"/>
      <c r="Q474" s="643"/>
      <c r="R474" s="644" t="str">
        <f t="shared" si="7"/>
        <v/>
      </c>
    </row>
    <row r="475" spans="1:18" x14ac:dyDescent="0.15">
      <c r="A475" s="945"/>
      <c r="B475" s="743"/>
      <c r="C475" s="643"/>
      <c r="D475" s="643"/>
      <c r="E475" s="643"/>
      <c r="F475" s="643"/>
      <c r="G475" s="643"/>
      <c r="H475" s="643"/>
      <c r="I475" s="643"/>
      <c r="J475" s="643"/>
      <c r="K475" s="643"/>
      <c r="L475" s="643"/>
      <c r="M475" s="643"/>
      <c r="N475" s="643"/>
      <c r="O475" s="643"/>
      <c r="P475" s="643"/>
      <c r="Q475" s="643"/>
      <c r="R475" s="644" t="str">
        <f t="shared" si="7"/>
        <v/>
      </c>
    </row>
    <row r="476" spans="1:18" x14ac:dyDescent="0.15">
      <c r="A476" s="945"/>
      <c r="B476" s="743"/>
      <c r="C476" s="643"/>
      <c r="D476" s="643"/>
      <c r="E476" s="643"/>
      <c r="F476" s="643"/>
      <c r="G476" s="643"/>
      <c r="H476" s="643"/>
      <c r="I476" s="643"/>
      <c r="J476" s="643"/>
      <c r="K476" s="643"/>
      <c r="L476" s="643"/>
      <c r="M476" s="643"/>
      <c r="N476" s="643"/>
      <c r="O476" s="643"/>
      <c r="P476" s="643"/>
      <c r="Q476" s="643"/>
      <c r="R476" s="644" t="str">
        <f t="shared" si="7"/>
        <v/>
      </c>
    </row>
    <row r="477" spans="1:18" x14ac:dyDescent="0.15">
      <c r="A477" s="945"/>
      <c r="B477" s="743"/>
      <c r="C477" s="643"/>
      <c r="D477" s="643"/>
      <c r="E477" s="643"/>
      <c r="F477" s="643"/>
      <c r="G477" s="643"/>
      <c r="H477" s="643"/>
      <c r="I477" s="643"/>
      <c r="J477" s="643"/>
      <c r="K477" s="643"/>
      <c r="L477" s="643"/>
      <c r="M477" s="643"/>
      <c r="N477" s="643"/>
      <c r="O477" s="643"/>
      <c r="P477" s="643"/>
      <c r="Q477" s="643"/>
      <c r="R477" s="644" t="str">
        <f t="shared" si="7"/>
        <v/>
      </c>
    </row>
    <row r="478" spans="1:18" x14ac:dyDescent="0.15">
      <c r="A478" s="945"/>
      <c r="B478" s="743"/>
      <c r="C478" s="643"/>
      <c r="D478" s="643"/>
      <c r="E478" s="643"/>
      <c r="F478" s="643"/>
      <c r="G478" s="643"/>
      <c r="H478" s="643"/>
      <c r="I478" s="643"/>
      <c r="J478" s="643"/>
      <c r="K478" s="643"/>
      <c r="L478" s="643"/>
      <c r="M478" s="643"/>
      <c r="N478" s="643"/>
      <c r="O478" s="643"/>
      <c r="P478" s="643"/>
      <c r="Q478" s="643"/>
      <c r="R478" s="644" t="str">
        <f t="shared" si="7"/>
        <v/>
      </c>
    </row>
    <row r="479" spans="1:18" x14ac:dyDescent="0.15">
      <c r="A479" s="945"/>
      <c r="B479" s="743"/>
      <c r="C479" s="643"/>
      <c r="D479" s="643"/>
      <c r="E479" s="643"/>
      <c r="F479" s="643"/>
      <c r="G479" s="643"/>
      <c r="H479" s="643"/>
      <c r="I479" s="643"/>
      <c r="J479" s="643"/>
      <c r="K479" s="643"/>
      <c r="L479" s="643"/>
      <c r="M479" s="643"/>
      <c r="N479" s="643"/>
      <c r="O479" s="643"/>
      <c r="P479" s="643"/>
      <c r="Q479" s="643"/>
      <c r="R479" s="644" t="str">
        <f t="shared" si="7"/>
        <v/>
      </c>
    </row>
    <row r="480" spans="1:18" x14ac:dyDescent="0.15">
      <c r="A480" s="945"/>
      <c r="B480" s="743"/>
      <c r="C480" s="643"/>
      <c r="D480" s="643"/>
      <c r="E480" s="643"/>
      <c r="F480" s="643"/>
      <c r="G480" s="643"/>
      <c r="H480" s="643"/>
      <c r="I480" s="643"/>
      <c r="J480" s="643"/>
      <c r="K480" s="643"/>
      <c r="L480" s="643"/>
      <c r="M480" s="643"/>
      <c r="N480" s="643"/>
      <c r="O480" s="643"/>
      <c r="P480" s="643"/>
      <c r="Q480" s="643"/>
      <c r="R480" s="644" t="str">
        <f t="shared" si="7"/>
        <v/>
      </c>
    </row>
    <row r="481" spans="1:18" x14ac:dyDescent="0.15">
      <c r="A481" s="945"/>
      <c r="B481" s="743"/>
      <c r="C481" s="643"/>
      <c r="D481" s="643"/>
      <c r="E481" s="643"/>
      <c r="F481" s="643"/>
      <c r="G481" s="643"/>
      <c r="H481" s="643"/>
      <c r="I481" s="643"/>
      <c r="J481" s="643"/>
      <c r="K481" s="643"/>
      <c r="L481" s="643"/>
      <c r="M481" s="643"/>
      <c r="N481" s="643"/>
      <c r="O481" s="643"/>
      <c r="P481" s="643"/>
      <c r="Q481" s="643"/>
      <c r="R481" s="644" t="str">
        <f t="shared" si="7"/>
        <v/>
      </c>
    </row>
    <row r="482" spans="1:18" x14ac:dyDescent="0.15">
      <c r="A482" s="945"/>
      <c r="B482" s="743"/>
      <c r="C482" s="643"/>
      <c r="D482" s="643"/>
      <c r="E482" s="643"/>
      <c r="F482" s="643"/>
      <c r="G482" s="643"/>
      <c r="H482" s="643"/>
      <c r="I482" s="643"/>
      <c r="J482" s="643"/>
      <c r="K482" s="643"/>
      <c r="L482" s="643"/>
      <c r="M482" s="643"/>
      <c r="N482" s="643"/>
      <c r="O482" s="643"/>
      <c r="P482" s="643"/>
      <c r="Q482" s="643"/>
      <c r="R482" s="644" t="str">
        <f t="shared" si="7"/>
        <v/>
      </c>
    </row>
    <row r="483" spans="1:18" x14ac:dyDescent="0.15">
      <c r="A483" s="945"/>
      <c r="B483" s="743"/>
      <c r="C483" s="643"/>
      <c r="D483" s="643"/>
      <c r="E483" s="643"/>
      <c r="F483" s="643"/>
      <c r="G483" s="643"/>
      <c r="H483" s="643"/>
      <c r="I483" s="643"/>
      <c r="J483" s="643"/>
      <c r="K483" s="643"/>
      <c r="L483" s="643"/>
      <c r="M483" s="643"/>
      <c r="N483" s="643"/>
      <c r="O483" s="643"/>
      <c r="P483" s="643"/>
      <c r="Q483" s="643"/>
      <c r="R483" s="644" t="str">
        <f t="shared" si="7"/>
        <v/>
      </c>
    </row>
    <row r="484" spans="1:18" x14ac:dyDescent="0.15">
      <c r="A484" s="945"/>
      <c r="B484" s="743"/>
      <c r="C484" s="643"/>
      <c r="D484" s="643"/>
      <c r="E484" s="643"/>
      <c r="F484" s="643"/>
      <c r="G484" s="643"/>
      <c r="H484" s="643"/>
      <c r="I484" s="643"/>
      <c r="J484" s="643"/>
      <c r="K484" s="643"/>
      <c r="L484" s="643"/>
      <c r="M484" s="643"/>
      <c r="N484" s="643"/>
      <c r="O484" s="643"/>
      <c r="P484" s="643"/>
      <c r="Q484" s="643"/>
      <c r="R484" s="644" t="str">
        <f t="shared" si="7"/>
        <v/>
      </c>
    </row>
    <row r="485" spans="1:18" x14ac:dyDescent="0.15">
      <c r="A485" s="945"/>
      <c r="B485" s="743"/>
      <c r="C485" s="643"/>
      <c r="D485" s="643"/>
      <c r="E485" s="643"/>
      <c r="F485" s="643"/>
      <c r="G485" s="643"/>
      <c r="H485" s="643"/>
      <c r="I485" s="643"/>
      <c r="J485" s="643"/>
      <c r="K485" s="643"/>
      <c r="L485" s="643"/>
      <c r="M485" s="643"/>
      <c r="N485" s="643"/>
      <c r="O485" s="643"/>
      <c r="P485" s="643"/>
      <c r="Q485" s="643"/>
      <c r="R485" s="644" t="str">
        <f t="shared" si="7"/>
        <v/>
      </c>
    </row>
    <row r="486" spans="1:18" x14ac:dyDescent="0.15">
      <c r="A486" s="945"/>
      <c r="B486" s="743"/>
      <c r="C486" s="643"/>
      <c r="D486" s="643"/>
      <c r="E486" s="643"/>
      <c r="F486" s="643"/>
      <c r="G486" s="643"/>
      <c r="H486" s="643"/>
      <c r="I486" s="643"/>
      <c r="J486" s="643"/>
      <c r="K486" s="643"/>
      <c r="L486" s="643"/>
      <c r="M486" s="643"/>
      <c r="N486" s="643"/>
      <c r="O486" s="643"/>
      <c r="P486" s="643"/>
      <c r="Q486" s="643"/>
      <c r="R486" s="644" t="str">
        <f t="shared" si="7"/>
        <v/>
      </c>
    </row>
    <row r="487" spans="1:18" x14ac:dyDescent="0.15">
      <c r="A487" s="945"/>
      <c r="B487" s="743"/>
      <c r="C487" s="643"/>
      <c r="D487" s="643"/>
      <c r="E487" s="643"/>
      <c r="F487" s="643"/>
      <c r="G487" s="643"/>
      <c r="H487" s="643"/>
      <c r="I487" s="643"/>
      <c r="J487" s="643"/>
      <c r="K487" s="643"/>
      <c r="L487" s="643"/>
      <c r="M487" s="643"/>
      <c r="N487" s="643"/>
      <c r="O487" s="643"/>
      <c r="P487" s="643"/>
      <c r="Q487" s="643"/>
      <c r="R487" s="644" t="str">
        <f t="shared" si="7"/>
        <v/>
      </c>
    </row>
    <row r="488" spans="1:18" x14ac:dyDescent="0.15">
      <c r="A488" s="945"/>
      <c r="B488" s="743"/>
      <c r="C488" s="643"/>
      <c r="D488" s="643"/>
      <c r="E488" s="643"/>
      <c r="F488" s="643"/>
      <c r="G488" s="643"/>
      <c r="H488" s="643"/>
      <c r="I488" s="643"/>
      <c r="J488" s="643"/>
      <c r="K488" s="643"/>
      <c r="L488" s="643"/>
      <c r="M488" s="643"/>
      <c r="N488" s="643"/>
      <c r="O488" s="643"/>
      <c r="P488" s="643"/>
      <c r="Q488" s="643"/>
      <c r="R488" s="644" t="str">
        <f t="shared" si="7"/>
        <v/>
      </c>
    </row>
    <row r="489" spans="1:18" x14ac:dyDescent="0.15">
      <c r="A489" s="945"/>
      <c r="B489" s="743"/>
      <c r="C489" s="643"/>
      <c r="D489" s="643"/>
      <c r="E489" s="643"/>
      <c r="F489" s="643"/>
      <c r="G489" s="643"/>
      <c r="H489" s="643"/>
      <c r="I489" s="643"/>
      <c r="J489" s="643"/>
      <c r="K489" s="643"/>
      <c r="L489" s="643"/>
      <c r="M489" s="643"/>
      <c r="N489" s="643"/>
      <c r="O489" s="643"/>
      <c r="P489" s="643"/>
      <c r="Q489" s="643"/>
      <c r="R489" s="644" t="str">
        <f t="shared" si="7"/>
        <v/>
      </c>
    </row>
    <row r="490" spans="1:18" x14ac:dyDescent="0.15">
      <c r="A490" s="945"/>
      <c r="B490" s="743"/>
      <c r="C490" s="643"/>
      <c r="D490" s="643"/>
      <c r="E490" s="643"/>
      <c r="F490" s="643"/>
      <c r="G490" s="643"/>
      <c r="H490" s="643"/>
      <c r="I490" s="643"/>
      <c r="J490" s="643"/>
      <c r="K490" s="643"/>
      <c r="L490" s="643"/>
      <c r="M490" s="643"/>
      <c r="N490" s="643"/>
      <c r="O490" s="643"/>
      <c r="P490" s="643"/>
      <c r="Q490" s="643"/>
      <c r="R490" s="644" t="str">
        <f t="shared" si="7"/>
        <v/>
      </c>
    </row>
    <row r="491" spans="1:18" x14ac:dyDescent="0.15">
      <c r="A491" s="945"/>
      <c r="B491" s="743"/>
      <c r="C491" s="643"/>
      <c r="D491" s="643"/>
      <c r="E491" s="643"/>
      <c r="F491" s="643"/>
      <c r="G491" s="643"/>
      <c r="H491" s="643"/>
      <c r="I491" s="643"/>
      <c r="J491" s="643"/>
      <c r="K491" s="643"/>
      <c r="L491" s="643"/>
      <c r="M491" s="643"/>
      <c r="N491" s="643"/>
      <c r="O491" s="643"/>
      <c r="P491" s="643"/>
      <c r="Q491" s="643"/>
      <c r="R491" s="644" t="str">
        <f t="shared" si="7"/>
        <v/>
      </c>
    </row>
    <row r="492" spans="1:18" x14ac:dyDescent="0.15">
      <c r="A492" s="945"/>
      <c r="B492" s="743"/>
      <c r="C492" s="643"/>
      <c r="D492" s="643"/>
      <c r="E492" s="643"/>
      <c r="F492" s="643"/>
      <c r="G492" s="643"/>
      <c r="H492" s="643"/>
      <c r="I492" s="643"/>
      <c r="J492" s="643"/>
      <c r="K492" s="643"/>
      <c r="L492" s="643"/>
      <c r="M492" s="643"/>
      <c r="N492" s="643"/>
      <c r="O492" s="643"/>
      <c r="P492" s="643"/>
      <c r="Q492" s="643"/>
      <c r="R492" s="644" t="str">
        <f t="shared" si="7"/>
        <v/>
      </c>
    </row>
    <row r="493" spans="1:18" x14ac:dyDescent="0.15">
      <c r="A493" s="945"/>
      <c r="B493" s="743"/>
      <c r="C493" s="643"/>
      <c r="D493" s="643"/>
      <c r="E493" s="643"/>
      <c r="F493" s="643"/>
      <c r="G493" s="643"/>
      <c r="H493" s="643"/>
      <c r="I493" s="643"/>
      <c r="J493" s="643"/>
      <c r="K493" s="643"/>
      <c r="L493" s="643"/>
      <c r="M493" s="643"/>
      <c r="N493" s="643"/>
      <c r="O493" s="643"/>
      <c r="P493" s="643"/>
      <c r="Q493" s="643"/>
      <c r="R493" s="644" t="str">
        <f t="shared" si="7"/>
        <v/>
      </c>
    </row>
    <row r="494" spans="1:18" x14ac:dyDescent="0.15">
      <c r="A494" s="945"/>
      <c r="B494" s="743"/>
      <c r="C494" s="643"/>
      <c r="D494" s="643"/>
      <c r="E494" s="643"/>
      <c r="F494" s="643"/>
      <c r="G494" s="643"/>
      <c r="H494" s="643"/>
      <c r="I494" s="643"/>
      <c r="J494" s="643"/>
      <c r="K494" s="643"/>
      <c r="L494" s="643"/>
      <c r="M494" s="643"/>
      <c r="N494" s="643"/>
      <c r="O494" s="643"/>
      <c r="P494" s="643"/>
      <c r="Q494" s="643"/>
      <c r="R494" s="644" t="str">
        <f t="shared" si="7"/>
        <v/>
      </c>
    </row>
    <row r="495" spans="1:18" x14ac:dyDescent="0.15">
      <c r="A495" s="945"/>
      <c r="B495" s="743"/>
      <c r="C495" s="643"/>
      <c r="D495" s="643"/>
      <c r="E495" s="643"/>
      <c r="F495" s="643"/>
      <c r="G495" s="643"/>
      <c r="H495" s="643"/>
      <c r="I495" s="643"/>
      <c r="J495" s="643"/>
      <c r="K495" s="643"/>
      <c r="L495" s="643"/>
      <c r="M495" s="643"/>
      <c r="N495" s="643"/>
      <c r="O495" s="643"/>
      <c r="P495" s="643"/>
      <c r="Q495" s="643"/>
      <c r="R495" s="644" t="str">
        <f t="shared" si="7"/>
        <v/>
      </c>
    </row>
    <row r="496" spans="1:18" x14ac:dyDescent="0.15">
      <c r="A496" s="945"/>
      <c r="B496" s="743"/>
      <c r="C496" s="643"/>
      <c r="D496" s="643"/>
      <c r="E496" s="643"/>
      <c r="F496" s="643"/>
      <c r="G496" s="643"/>
      <c r="H496" s="643"/>
      <c r="I496" s="643"/>
      <c r="J496" s="643"/>
      <c r="K496" s="643"/>
      <c r="L496" s="643"/>
      <c r="M496" s="643"/>
      <c r="N496" s="643"/>
      <c r="O496" s="643"/>
      <c r="P496" s="643"/>
      <c r="Q496" s="643"/>
      <c r="R496" s="644" t="str">
        <f t="shared" si="7"/>
        <v/>
      </c>
    </row>
    <row r="497" spans="1:18" x14ac:dyDescent="0.15">
      <c r="A497" s="945"/>
      <c r="B497" s="743"/>
      <c r="C497" s="643"/>
      <c r="D497" s="643"/>
      <c r="E497" s="643"/>
      <c r="F497" s="643"/>
      <c r="G497" s="643"/>
      <c r="H497" s="643"/>
      <c r="I497" s="643"/>
      <c r="J497" s="643"/>
      <c r="K497" s="643"/>
      <c r="L497" s="643"/>
      <c r="M497" s="643"/>
      <c r="N497" s="643"/>
      <c r="O497" s="643"/>
      <c r="P497" s="643"/>
      <c r="Q497" s="643"/>
      <c r="R497" s="644" t="str">
        <f t="shared" si="7"/>
        <v/>
      </c>
    </row>
    <row r="498" spans="1:18" x14ac:dyDescent="0.15">
      <c r="A498" s="945"/>
      <c r="B498" s="743"/>
      <c r="C498" s="643"/>
      <c r="D498" s="643"/>
      <c r="E498" s="643"/>
      <c r="F498" s="643"/>
      <c r="G498" s="643"/>
      <c r="H498" s="643"/>
      <c r="I498" s="643"/>
      <c r="J498" s="643"/>
      <c r="K498" s="643"/>
      <c r="L498" s="643"/>
      <c r="M498" s="643"/>
      <c r="N498" s="643"/>
      <c r="O498" s="643"/>
      <c r="P498" s="643"/>
      <c r="Q498" s="643"/>
      <c r="R498" s="644" t="str">
        <f t="shared" si="7"/>
        <v/>
      </c>
    </row>
    <row r="499" spans="1:18" x14ac:dyDescent="0.15">
      <c r="A499" s="945"/>
      <c r="B499" s="743"/>
      <c r="C499" s="643"/>
      <c r="D499" s="643"/>
      <c r="E499" s="643"/>
      <c r="F499" s="643"/>
      <c r="G499" s="643"/>
      <c r="H499" s="643"/>
      <c r="I499" s="643"/>
      <c r="J499" s="643"/>
      <c r="K499" s="643"/>
      <c r="L499" s="643"/>
      <c r="M499" s="643"/>
      <c r="N499" s="643"/>
      <c r="O499" s="643"/>
      <c r="P499" s="643"/>
      <c r="Q499" s="643"/>
      <c r="R499" s="644" t="str">
        <f t="shared" si="7"/>
        <v/>
      </c>
    </row>
    <row r="500" spans="1:18" x14ac:dyDescent="0.15">
      <c r="A500" s="945"/>
      <c r="B500" s="743"/>
      <c r="C500" s="643"/>
      <c r="D500" s="643"/>
      <c r="E500" s="643"/>
      <c r="F500" s="643"/>
      <c r="G500" s="643"/>
      <c r="H500" s="643"/>
      <c r="I500" s="643"/>
      <c r="J500" s="643"/>
      <c r="K500" s="643"/>
      <c r="L500" s="643"/>
      <c r="M500" s="643"/>
      <c r="N500" s="643"/>
      <c r="O500" s="643"/>
      <c r="P500" s="643"/>
      <c r="Q500" s="643"/>
      <c r="R500" s="644" t="str">
        <f t="shared" si="7"/>
        <v/>
      </c>
    </row>
  </sheetData>
  <phoneticPr fontId="40"/>
  <conditionalFormatting sqref="C30:F500 R27 C2:F26 H2:R26 I28:R28 C28:E28 Q29:R30 H31:R500">
    <cfRule type="expression" dxfId="371" priority="7">
      <formula>C2=0</formula>
    </cfRule>
  </conditionalFormatting>
  <conditionalFormatting sqref="C27:F27 H27:Q27 F28 H28">
    <cfRule type="expression" dxfId="370" priority="6">
      <formula>C27=0</formula>
    </cfRule>
  </conditionalFormatting>
  <conditionalFormatting sqref="G2:G26 G31:G500">
    <cfRule type="expression" dxfId="369" priority="5">
      <formula>G2=0</formula>
    </cfRule>
  </conditionalFormatting>
  <conditionalFormatting sqref="G27:G28">
    <cfRule type="expression" dxfId="368" priority="4">
      <formula>G27=0</formula>
    </cfRule>
  </conditionalFormatting>
  <conditionalFormatting sqref="C29:P29 G30:P30">
    <cfRule type="expression" dxfId="367" priority="3">
      <formula>C29=0</formula>
    </cfRule>
  </conditionalFormatting>
  <conditionalFormatting sqref="A2:Q500">
    <cfRule type="expression" dxfId="366" priority="1">
      <formula>$B2="賞与"</formula>
    </cfRule>
  </conditionalFormatting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リスト!$S$2:$S$3</xm:f>
          </x14:formula1>
          <xm:sqref>B2:B500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2">
    <tabColor rgb="FFFF9999"/>
    <pageSetUpPr fitToPage="1"/>
  </sheetPr>
  <dimension ref="A1:AT250"/>
  <sheetViews>
    <sheetView zoomScaleNormal="100" workbookViewId="0">
      <pane xSplit="12" ySplit="1" topLeftCell="AG2" activePane="bottomRight" state="frozen"/>
      <selection activeCell="K1" sqref="K1"/>
      <selection pane="topRight" activeCell="M1" sqref="M1"/>
      <selection pane="bottomLeft" activeCell="K2" sqref="K2"/>
      <selection pane="bottomRight" activeCell="AP15" sqref="AP15"/>
    </sheetView>
  </sheetViews>
  <sheetFormatPr defaultColWidth="9" defaultRowHeight="20.100000000000001" customHeight="1" x14ac:dyDescent="0.15"/>
  <cols>
    <col min="1" max="1" width="11.125" style="597" hidden="1" customWidth="1"/>
    <col min="2" max="3" width="10.875" style="597" hidden="1" customWidth="1"/>
    <col min="4" max="4" width="10.875" style="592" hidden="1" customWidth="1"/>
    <col min="5" max="6" width="11.25" style="592" hidden="1" customWidth="1"/>
    <col min="7" max="7" width="9.75" style="592" hidden="1" customWidth="1"/>
    <col min="8" max="11" width="9" style="592" hidden="1" customWidth="1"/>
    <col min="12" max="12" width="14.125" style="592" bestFit="1" customWidth="1"/>
    <col min="13" max="16384" width="9" style="592"/>
  </cols>
  <sheetData>
    <row r="1" spans="1:46" ht="20.100000000000001" customHeight="1" thickBot="1" x14ac:dyDescent="0.2">
      <c r="A1" s="1934" t="s">
        <v>510</v>
      </c>
      <c r="B1" s="1934" t="s">
        <v>511</v>
      </c>
      <c r="C1" s="1934" t="s">
        <v>512</v>
      </c>
      <c r="D1" s="1934" t="s">
        <v>513</v>
      </c>
      <c r="E1" s="1934" t="s">
        <v>514</v>
      </c>
      <c r="F1" s="1934" t="s">
        <v>515</v>
      </c>
      <c r="G1" s="1934" t="s">
        <v>517</v>
      </c>
      <c r="H1" s="1934" t="s">
        <v>516</v>
      </c>
      <c r="L1" s="596" t="s">
        <v>510</v>
      </c>
      <c r="M1" s="595">
        <v>42795</v>
      </c>
      <c r="N1" s="593">
        <f>EDATE(M1,1)</f>
        <v>42826</v>
      </c>
      <c r="O1" s="593">
        <f t="shared" ref="O1:AF1" si="0">EDATE(N1,1)</f>
        <v>42856</v>
      </c>
      <c r="P1" s="593">
        <f t="shared" si="0"/>
        <v>42887</v>
      </c>
      <c r="Q1" s="593">
        <f t="shared" si="0"/>
        <v>42917</v>
      </c>
      <c r="R1" s="593">
        <f t="shared" si="0"/>
        <v>42948</v>
      </c>
      <c r="S1" s="593">
        <f t="shared" si="0"/>
        <v>42979</v>
      </c>
      <c r="T1" s="593">
        <f t="shared" si="0"/>
        <v>43009</v>
      </c>
      <c r="U1" s="593">
        <f t="shared" si="0"/>
        <v>43040</v>
      </c>
      <c r="V1" s="593">
        <f t="shared" si="0"/>
        <v>43070</v>
      </c>
      <c r="W1" s="593">
        <f t="shared" si="0"/>
        <v>43101</v>
      </c>
      <c r="X1" s="593">
        <f t="shared" si="0"/>
        <v>43132</v>
      </c>
      <c r="Y1" s="593">
        <f t="shared" si="0"/>
        <v>43160</v>
      </c>
      <c r="Z1" s="593">
        <f t="shared" si="0"/>
        <v>43191</v>
      </c>
      <c r="AA1" s="593">
        <f t="shared" si="0"/>
        <v>43221</v>
      </c>
      <c r="AB1" s="593">
        <f t="shared" si="0"/>
        <v>43252</v>
      </c>
      <c r="AC1" s="593">
        <f t="shared" si="0"/>
        <v>43282</v>
      </c>
      <c r="AD1" s="593">
        <f t="shared" si="0"/>
        <v>43313</v>
      </c>
      <c r="AE1" s="593">
        <f t="shared" si="0"/>
        <v>43344</v>
      </c>
      <c r="AF1" s="593">
        <f t="shared" si="0"/>
        <v>43374</v>
      </c>
      <c r="AG1" s="593">
        <f t="shared" ref="AG1:AM1" si="1">EDATE(AF1,1)</f>
        <v>43405</v>
      </c>
      <c r="AH1" s="593">
        <f t="shared" si="1"/>
        <v>43435</v>
      </c>
      <c r="AI1" s="593">
        <f t="shared" si="1"/>
        <v>43466</v>
      </c>
      <c r="AJ1" s="593">
        <f t="shared" si="1"/>
        <v>43497</v>
      </c>
      <c r="AK1" s="593">
        <f t="shared" si="1"/>
        <v>43525</v>
      </c>
      <c r="AL1" s="593">
        <f t="shared" si="1"/>
        <v>43556</v>
      </c>
      <c r="AM1" s="1287">
        <f t="shared" si="1"/>
        <v>43586</v>
      </c>
      <c r="AN1" s="1287">
        <f t="shared" ref="AN1" si="2">EDATE(AM1,1)</f>
        <v>43617</v>
      </c>
      <c r="AO1" s="1287">
        <f t="shared" ref="AO1" si="3">EDATE(AN1,1)</f>
        <v>43647</v>
      </c>
      <c r="AP1" s="1287">
        <f t="shared" ref="AP1" si="4">EDATE(AO1,1)</f>
        <v>43678</v>
      </c>
      <c r="AQ1" s="1287">
        <f t="shared" ref="AQ1" si="5">EDATE(AP1,1)</f>
        <v>43709</v>
      </c>
      <c r="AR1" s="1287">
        <f t="shared" ref="AR1" si="6">EDATE(AQ1,1)</f>
        <v>43739</v>
      </c>
      <c r="AS1" s="1287">
        <f t="shared" ref="AS1" si="7">EDATE(AR1,1)</f>
        <v>43770</v>
      </c>
      <c r="AT1" s="594">
        <f t="shared" ref="AT1" si="8">EDATE(AS1,1)</f>
        <v>43800</v>
      </c>
    </row>
    <row r="2" spans="1:46" ht="20.100000000000001" customHeight="1" x14ac:dyDescent="0.15">
      <c r="A2" s="1935">
        <v>42705</v>
      </c>
      <c r="B2" s="1934" t="s">
        <v>391</v>
      </c>
      <c r="C2" s="1934" t="s">
        <v>518</v>
      </c>
      <c r="D2" s="1936">
        <v>169096</v>
      </c>
      <c r="E2" s="1936">
        <v>22657</v>
      </c>
      <c r="F2" s="1936">
        <v>28978</v>
      </c>
      <c r="G2" s="1937">
        <f t="shared" ref="G2:G33" si="9">IFERROR(ROUND(E2/D2,2),0)</f>
        <v>0.13</v>
      </c>
      <c r="H2" s="1936">
        <f>IFERROR(ROUNDDOWN(F2*G2,0),0)</f>
        <v>3767</v>
      </c>
      <c r="L2" s="598" t="s">
        <v>34</v>
      </c>
      <c r="M2" s="599">
        <f t="shared" ref="M2:M14" si="10">SUMIFS($H:$H,$A:$A,"=" &amp; M$1,$B:$B,"=" &amp; $L2)</f>
        <v>0</v>
      </c>
      <c r="N2" s="600">
        <f t="shared" ref="N2:AG14" si="11">SUMIFS($H:$H,$A:$A,"=" &amp; N$1,$B:$B,"=" &amp; $L2)</f>
        <v>0</v>
      </c>
      <c r="O2" s="600">
        <f t="shared" si="11"/>
        <v>0</v>
      </c>
      <c r="P2" s="600">
        <f t="shared" si="11"/>
        <v>0</v>
      </c>
      <c r="Q2" s="600">
        <f t="shared" si="11"/>
        <v>0</v>
      </c>
      <c r="R2" s="600">
        <f t="shared" si="11"/>
        <v>0</v>
      </c>
      <c r="S2" s="600">
        <f t="shared" si="11"/>
        <v>0</v>
      </c>
      <c r="T2" s="600">
        <f t="shared" si="11"/>
        <v>0</v>
      </c>
      <c r="U2" s="600">
        <f t="shared" si="11"/>
        <v>0</v>
      </c>
      <c r="V2" s="600">
        <f t="shared" si="11"/>
        <v>2056</v>
      </c>
      <c r="W2" s="600">
        <f t="shared" si="11"/>
        <v>2263</v>
      </c>
      <c r="X2" s="600">
        <f t="shared" si="11"/>
        <v>1444</v>
      </c>
      <c r="Y2" s="600">
        <f t="shared" si="11"/>
        <v>1236</v>
      </c>
      <c r="Z2" s="600">
        <f t="shared" si="11"/>
        <v>2060</v>
      </c>
      <c r="AA2" s="600">
        <f t="shared" si="11"/>
        <v>1025</v>
      </c>
      <c r="AB2" s="600">
        <f t="shared" si="11"/>
        <v>2053</v>
      </c>
      <c r="AC2" s="600">
        <f t="shared" si="11"/>
        <v>1648</v>
      </c>
      <c r="AD2" s="600">
        <f t="shared" si="11"/>
        <v>2680</v>
      </c>
      <c r="AE2" s="600">
        <f t="shared" si="11"/>
        <v>1718</v>
      </c>
      <c r="AF2" s="600">
        <f t="shared" si="11"/>
        <v>0</v>
      </c>
      <c r="AG2" s="600">
        <f t="shared" si="11"/>
        <v>0</v>
      </c>
      <c r="AH2" s="600">
        <f t="shared" ref="AG2:AT14" si="12">SUMIFS($H:$H,$A:$A,"=" &amp; AH$1,$B:$B,"=" &amp; $L2)</f>
        <v>0</v>
      </c>
      <c r="AI2" s="600">
        <f t="shared" si="12"/>
        <v>0</v>
      </c>
      <c r="AJ2" s="600">
        <f t="shared" si="12"/>
        <v>0</v>
      </c>
      <c r="AK2" s="600">
        <f t="shared" si="12"/>
        <v>0</v>
      </c>
      <c r="AL2" s="600">
        <f t="shared" si="12"/>
        <v>0</v>
      </c>
      <c r="AM2" s="1288">
        <f t="shared" si="12"/>
        <v>0</v>
      </c>
      <c r="AN2" s="1288">
        <f t="shared" si="12"/>
        <v>0</v>
      </c>
      <c r="AO2" s="1288">
        <f t="shared" si="12"/>
        <v>0</v>
      </c>
      <c r="AP2" s="1288">
        <f t="shared" si="12"/>
        <v>0</v>
      </c>
      <c r="AQ2" s="1288">
        <f t="shared" si="12"/>
        <v>0</v>
      </c>
      <c r="AR2" s="1288">
        <f t="shared" si="12"/>
        <v>0</v>
      </c>
      <c r="AS2" s="1288">
        <f t="shared" si="12"/>
        <v>0</v>
      </c>
      <c r="AT2" s="601">
        <f t="shared" si="12"/>
        <v>0</v>
      </c>
    </row>
    <row r="3" spans="1:46" ht="20.100000000000001" customHeight="1" x14ac:dyDescent="0.15">
      <c r="A3" s="1935">
        <v>42705</v>
      </c>
      <c r="B3" s="1934" t="s">
        <v>37</v>
      </c>
      <c r="C3" s="1934" t="s">
        <v>519</v>
      </c>
      <c r="D3" s="1936">
        <v>165193</v>
      </c>
      <c r="E3" s="1936">
        <v>15813</v>
      </c>
      <c r="F3" s="1936">
        <v>23007</v>
      </c>
      <c r="G3" s="1937">
        <f t="shared" si="9"/>
        <v>0.1</v>
      </c>
      <c r="H3" s="1936">
        <f t="shared" ref="H3:H33" si="13">IFERROR(ROUNDDOWN(F3*G3,0),0)</f>
        <v>2300</v>
      </c>
      <c r="L3" s="602" t="s">
        <v>37</v>
      </c>
      <c r="M3" s="603">
        <f t="shared" si="10"/>
        <v>1152</v>
      </c>
      <c r="N3" s="604">
        <f t="shared" ref="N3:AB3" si="14">SUMIFS($H:$H,$A:$A,"=" &amp; N$1,$B:$B,"=" &amp; $L3)</f>
        <v>1841</v>
      </c>
      <c r="O3" s="604">
        <f t="shared" si="14"/>
        <v>2070</v>
      </c>
      <c r="P3" s="604">
        <f t="shared" si="14"/>
        <v>2537</v>
      </c>
      <c r="Q3" s="604">
        <f t="shared" si="14"/>
        <v>2540</v>
      </c>
      <c r="R3" s="604">
        <f t="shared" si="14"/>
        <v>3029</v>
      </c>
      <c r="S3" s="604">
        <f t="shared" si="14"/>
        <v>3595</v>
      </c>
      <c r="T3" s="604">
        <f t="shared" si="14"/>
        <v>2762</v>
      </c>
      <c r="U3" s="604">
        <f t="shared" si="14"/>
        <v>4143</v>
      </c>
      <c r="V3" s="604">
        <f t="shared" si="14"/>
        <v>5392</v>
      </c>
      <c r="W3" s="604">
        <f t="shared" si="14"/>
        <v>7433</v>
      </c>
      <c r="X3" s="604">
        <f t="shared" si="14"/>
        <v>5764</v>
      </c>
      <c r="Y3" s="604">
        <f t="shared" si="14"/>
        <v>1935</v>
      </c>
      <c r="Z3" s="604">
        <f t="shared" si="14"/>
        <v>3252</v>
      </c>
      <c r="AA3" s="604">
        <f t="shared" si="14"/>
        <v>1318</v>
      </c>
      <c r="AB3" s="604">
        <f t="shared" si="14"/>
        <v>2412</v>
      </c>
      <c r="AC3" s="604">
        <f t="shared" si="11"/>
        <v>2201</v>
      </c>
      <c r="AD3" s="604">
        <f t="shared" si="11"/>
        <v>2860</v>
      </c>
      <c r="AE3" s="604">
        <f t="shared" si="11"/>
        <v>2549</v>
      </c>
      <c r="AF3" s="604">
        <f t="shared" si="11"/>
        <v>2234</v>
      </c>
      <c r="AG3" s="604">
        <f t="shared" si="12"/>
        <v>2552</v>
      </c>
      <c r="AH3" s="604">
        <f t="shared" si="12"/>
        <v>2875</v>
      </c>
      <c r="AI3" s="604">
        <f t="shared" si="12"/>
        <v>3194</v>
      </c>
      <c r="AJ3" s="604">
        <f t="shared" si="12"/>
        <v>3499</v>
      </c>
      <c r="AK3" s="604">
        <f t="shared" si="12"/>
        <v>3184</v>
      </c>
      <c r="AL3" s="604">
        <f t="shared" si="12"/>
        <v>2852</v>
      </c>
      <c r="AM3" s="1289">
        <f t="shared" si="12"/>
        <v>0</v>
      </c>
      <c r="AN3" s="1289">
        <f t="shared" si="12"/>
        <v>0</v>
      </c>
      <c r="AO3" s="1289">
        <f t="shared" si="12"/>
        <v>0</v>
      </c>
      <c r="AP3" s="1289">
        <f t="shared" si="12"/>
        <v>0</v>
      </c>
      <c r="AQ3" s="1289">
        <f t="shared" si="12"/>
        <v>0</v>
      </c>
      <c r="AR3" s="1289">
        <f t="shared" si="12"/>
        <v>0</v>
      </c>
      <c r="AS3" s="1289">
        <f t="shared" si="12"/>
        <v>0</v>
      </c>
      <c r="AT3" s="605">
        <f t="shared" si="12"/>
        <v>0</v>
      </c>
    </row>
    <row r="4" spans="1:46" ht="20.100000000000001" customHeight="1" x14ac:dyDescent="0.15">
      <c r="A4" s="1935">
        <v>42705</v>
      </c>
      <c r="B4" s="1934" t="s">
        <v>66</v>
      </c>
      <c r="C4" s="1934" t="s">
        <v>520</v>
      </c>
      <c r="D4" s="1936">
        <v>202331</v>
      </c>
      <c r="E4" s="1936">
        <v>15498</v>
      </c>
      <c r="F4" s="1936">
        <v>27601</v>
      </c>
      <c r="G4" s="1937">
        <f t="shared" si="9"/>
        <v>0.08</v>
      </c>
      <c r="H4" s="1936">
        <f t="shared" si="13"/>
        <v>2208</v>
      </c>
      <c r="L4" s="602" t="s">
        <v>66</v>
      </c>
      <c r="M4" s="603">
        <f t="shared" si="10"/>
        <v>4939</v>
      </c>
      <c r="N4" s="604">
        <f t="shared" si="11"/>
        <v>3908</v>
      </c>
      <c r="O4" s="604">
        <f t="shared" si="11"/>
        <v>2873</v>
      </c>
      <c r="P4" s="604">
        <f t="shared" si="11"/>
        <v>5749</v>
      </c>
      <c r="Q4" s="604">
        <f t="shared" si="11"/>
        <v>5758</v>
      </c>
      <c r="R4" s="604">
        <f t="shared" si="11"/>
        <v>4783</v>
      </c>
      <c r="S4" s="604">
        <f t="shared" si="11"/>
        <v>4274</v>
      </c>
      <c r="T4" s="604">
        <f t="shared" si="11"/>
        <v>8100</v>
      </c>
      <c r="U4" s="604">
        <f t="shared" si="11"/>
        <v>7291</v>
      </c>
      <c r="V4" s="604">
        <f t="shared" si="11"/>
        <v>5627</v>
      </c>
      <c r="W4" s="604">
        <f t="shared" si="11"/>
        <v>7371</v>
      </c>
      <c r="X4" s="604">
        <f t="shared" si="11"/>
        <v>11733</v>
      </c>
      <c r="Y4" s="604">
        <f t="shared" si="11"/>
        <v>5257</v>
      </c>
      <c r="Z4" s="604">
        <f t="shared" si="11"/>
        <v>6784</v>
      </c>
      <c r="AA4" s="604">
        <f t="shared" si="11"/>
        <v>5480</v>
      </c>
      <c r="AB4" s="604">
        <f t="shared" si="11"/>
        <v>8497</v>
      </c>
      <c r="AC4" s="604">
        <f t="shared" si="11"/>
        <v>7493</v>
      </c>
      <c r="AD4" s="604">
        <f t="shared" si="11"/>
        <v>7144</v>
      </c>
      <c r="AE4" s="604">
        <f t="shared" si="11"/>
        <v>7451</v>
      </c>
      <c r="AF4" s="604">
        <f t="shared" si="11"/>
        <v>6845</v>
      </c>
      <c r="AG4" s="604">
        <f t="shared" si="12"/>
        <v>6846</v>
      </c>
      <c r="AH4" s="604">
        <f t="shared" si="12"/>
        <v>7939</v>
      </c>
      <c r="AI4" s="604">
        <f>SUMIFS($H:$H,$A:$A,"=" &amp; AI$1,$B:$B,"=" &amp; $L4)</f>
        <v>7943</v>
      </c>
      <c r="AJ4" s="604">
        <f t="shared" si="12"/>
        <v>3064</v>
      </c>
      <c r="AK4" s="604">
        <f t="shared" si="12"/>
        <v>2467</v>
      </c>
      <c r="AL4" s="604">
        <f t="shared" si="12"/>
        <v>2160</v>
      </c>
      <c r="AM4" s="1289">
        <f t="shared" si="12"/>
        <v>0</v>
      </c>
      <c r="AN4" s="1289">
        <f t="shared" si="12"/>
        <v>0</v>
      </c>
      <c r="AO4" s="1289">
        <f t="shared" si="12"/>
        <v>0</v>
      </c>
      <c r="AP4" s="1289">
        <f t="shared" si="12"/>
        <v>0</v>
      </c>
      <c r="AQ4" s="1289">
        <f t="shared" si="12"/>
        <v>0</v>
      </c>
      <c r="AR4" s="1289">
        <f t="shared" si="12"/>
        <v>0</v>
      </c>
      <c r="AS4" s="1289">
        <f t="shared" si="12"/>
        <v>0</v>
      </c>
      <c r="AT4" s="605">
        <f t="shared" si="12"/>
        <v>0</v>
      </c>
    </row>
    <row r="5" spans="1:46" ht="20.100000000000001" customHeight="1" x14ac:dyDescent="0.15">
      <c r="A5" s="1935">
        <v>42705</v>
      </c>
      <c r="B5" s="1934" t="s">
        <v>119</v>
      </c>
      <c r="C5" s="1934" t="s">
        <v>522</v>
      </c>
      <c r="D5" s="1936">
        <v>123681.932</v>
      </c>
      <c r="E5" s="1936">
        <v>2817</v>
      </c>
      <c r="F5" s="1936">
        <v>24345.067999999999</v>
      </c>
      <c r="G5" s="1937">
        <f t="shared" si="9"/>
        <v>0.02</v>
      </c>
      <c r="H5" s="1936">
        <f t="shared" si="13"/>
        <v>486</v>
      </c>
      <c r="L5" s="602" t="s">
        <v>968</v>
      </c>
      <c r="M5" s="603"/>
      <c r="N5" s="604"/>
      <c r="O5" s="604"/>
      <c r="P5" s="604"/>
      <c r="Q5" s="604"/>
      <c r="R5" s="604"/>
      <c r="S5" s="604"/>
      <c r="T5" s="604"/>
      <c r="U5" s="604"/>
      <c r="V5" s="604"/>
      <c r="W5" s="604"/>
      <c r="X5" s="604"/>
      <c r="Y5" s="604"/>
      <c r="Z5" s="604"/>
      <c r="AA5" s="604"/>
      <c r="AB5" s="604">
        <f t="shared" si="11"/>
        <v>0</v>
      </c>
      <c r="AC5" s="604">
        <f t="shared" si="11"/>
        <v>0</v>
      </c>
      <c r="AD5" s="604">
        <f t="shared" si="11"/>
        <v>0</v>
      </c>
      <c r="AE5" s="604">
        <f t="shared" si="11"/>
        <v>0</v>
      </c>
      <c r="AF5" s="604">
        <f t="shared" si="11"/>
        <v>0</v>
      </c>
      <c r="AG5" s="604">
        <f t="shared" si="12"/>
        <v>0</v>
      </c>
      <c r="AH5" s="604">
        <f t="shared" si="12"/>
        <v>0</v>
      </c>
      <c r="AI5" s="604">
        <f t="shared" si="12"/>
        <v>0</v>
      </c>
      <c r="AJ5" s="604">
        <f t="shared" si="12"/>
        <v>0</v>
      </c>
      <c r="AK5" s="604">
        <f t="shared" si="12"/>
        <v>0</v>
      </c>
      <c r="AL5" s="604">
        <f t="shared" si="12"/>
        <v>0</v>
      </c>
      <c r="AM5" s="1289">
        <f t="shared" si="12"/>
        <v>0</v>
      </c>
      <c r="AN5" s="1289">
        <f t="shared" si="12"/>
        <v>0</v>
      </c>
      <c r="AO5" s="1289">
        <f t="shared" si="12"/>
        <v>0</v>
      </c>
      <c r="AP5" s="1289">
        <f t="shared" si="12"/>
        <v>0</v>
      </c>
      <c r="AQ5" s="1289">
        <f t="shared" si="12"/>
        <v>0</v>
      </c>
      <c r="AR5" s="1289">
        <f t="shared" si="12"/>
        <v>0</v>
      </c>
      <c r="AS5" s="1289">
        <f t="shared" si="12"/>
        <v>0</v>
      </c>
      <c r="AT5" s="605">
        <f t="shared" si="12"/>
        <v>0</v>
      </c>
    </row>
    <row r="6" spans="1:46" ht="20.100000000000001" customHeight="1" x14ac:dyDescent="0.15">
      <c r="A6" s="1935">
        <v>42736</v>
      </c>
      <c r="B6" s="1934" t="s">
        <v>391</v>
      </c>
      <c r="C6" s="1934" t="s">
        <v>518</v>
      </c>
      <c r="D6" s="1936">
        <v>183450</v>
      </c>
      <c r="E6" s="1936">
        <v>19664</v>
      </c>
      <c r="F6" s="1936">
        <v>29059</v>
      </c>
      <c r="G6" s="1937">
        <f t="shared" si="9"/>
        <v>0.11</v>
      </c>
      <c r="H6" s="1936">
        <f t="shared" si="13"/>
        <v>3196</v>
      </c>
      <c r="L6" s="602" t="s">
        <v>1319</v>
      </c>
      <c r="M6" s="603"/>
      <c r="N6" s="604"/>
      <c r="O6" s="604"/>
      <c r="P6" s="604"/>
      <c r="Q6" s="604"/>
      <c r="R6" s="604"/>
      <c r="S6" s="604"/>
      <c r="T6" s="604"/>
      <c r="U6" s="604"/>
      <c r="V6" s="604"/>
      <c r="W6" s="604"/>
      <c r="X6" s="604"/>
      <c r="Y6" s="604"/>
      <c r="Z6" s="604"/>
      <c r="AA6" s="604"/>
      <c r="AB6" s="604"/>
      <c r="AC6" s="604"/>
      <c r="AD6" s="604"/>
      <c r="AE6" s="604"/>
      <c r="AF6" s="604">
        <f t="shared" si="11"/>
        <v>0</v>
      </c>
      <c r="AG6" s="604">
        <f t="shared" si="12"/>
        <v>0</v>
      </c>
      <c r="AH6" s="604">
        <f t="shared" si="12"/>
        <v>0</v>
      </c>
      <c r="AI6" s="604">
        <f t="shared" si="12"/>
        <v>0</v>
      </c>
      <c r="AJ6" s="604">
        <f t="shared" si="12"/>
        <v>0</v>
      </c>
      <c r="AK6" s="604">
        <f t="shared" si="12"/>
        <v>0</v>
      </c>
      <c r="AL6" s="604">
        <f t="shared" si="12"/>
        <v>0</v>
      </c>
      <c r="AM6" s="1289">
        <f t="shared" si="12"/>
        <v>0</v>
      </c>
      <c r="AN6" s="1289">
        <f t="shared" si="12"/>
        <v>0</v>
      </c>
      <c r="AO6" s="1289">
        <f t="shared" si="12"/>
        <v>0</v>
      </c>
      <c r="AP6" s="1289">
        <f t="shared" si="12"/>
        <v>0</v>
      </c>
      <c r="AQ6" s="1289">
        <f t="shared" si="12"/>
        <v>0</v>
      </c>
      <c r="AR6" s="1289">
        <f t="shared" si="12"/>
        <v>0</v>
      </c>
      <c r="AS6" s="1289">
        <f t="shared" si="12"/>
        <v>0</v>
      </c>
      <c r="AT6" s="605">
        <f t="shared" si="12"/>
        <v>0</v>
      </c>
    </row>
    <row r="7" spans="1:46" ht="20.100000000000001" customHeight="1" x14ac:dyDescent="0.15">
      <c r="A7" s="1935">
        <v>42736</v>
      </c>
      <c r="B7" s="1934" t="s">
        <v>37</v>
      </c>
      <c r="C7" s="1934" t="s">
        <v>519</v>
      </c>
      <c r="D7" s="1936">
        <v>108166</v>
      </c>
      <c r="E7" s="1936">
        <v>11252</v>
      </c>
      <c r="F7" s="1936">
        <v>22791</v>
      </c>
      <c r="G7" s="1937">
        <f t="shared" si="9"/>
        <v>0.1</v>
      </c>
      <c r="H7" s="1936">
        <f t="shared" si="13"/>
        <v>2279</v>
      </c>
      <c r="L7" s="602" t="s">
        <v>330</v>
      </c>
      <c r="M7" s="603">
        <f t="shared" si="10"/>
        <v>0</v>
      </c>
      <c r="N7" s="604">
        <f t="shared" si="11"/>
        <v>0</v>
      </c>
      <c r="O7" s="604">
        <f t="shared" si="11"/>
        <v>0</v>
      </c>
      <c r="P7" s="604">
        <f t="shared" si="11"/>
        <v>4101</v>
      </c>
      <c r="Q7" s="604">
        <f t="shared" si="11"/>
        <v>4104</v>
      </c>
      <c r="R7" s="604">
        <f t="shared" si="11"/>
        <v>3835</v>
      </c>
      <c r="S7" s="604">
        <f t="shared" si="11"/>
        <v>3841</v>
      </c>
      <c r="T7" s="604">
        <f t="shared" si="11"/>
        <v>4107</v>
      </c>
      <c r="U7" s="604">
        <f t="shared" si="11"/>
        <v>3844</v>
      </c>
      <c r="V7" s="604">
        <f t="shared" si="11"/>
        <v>4960</v>
      </c>
      <c r="W7" s="604">
        <f t="shared" si="11"/>
        <v>4117</v>
      </c>
      <c r="X7" s="604">
        <f t="shared" si="11"/>
        <v>12888</v>
      </c>
      <c r="Y7" s="604">
        <f t="shared" si="11"/>
        <v>10108</v>
      </c>
      <c r="Z7" s="604">
        <f t="shared" si="11"/>
        <v>11157</v>
      </c>
      <c r="AA7" s="604">
        <f t="shared" si="11"/>
        <v>11116</v>
      </c>
      <c r="AB7" s="604">
        <f t="shared" si="11"/>
        <v>7448</v>
      </c>
      <c r="AC7" s="604">
        <f t="shared" si="11"/>
        <v>7486</v>
      </c>
      <c r="AD7" s="604">
        <f t="shared" si="11"/>
        <v>7287</v>
      </c>
      <c r="AE7" s="604">
        <f t="shared" si="11"/>
        <v>8853</v>
      </c>
      <c r="AF7" s="604">
        <f t="shared" si="11"/>
        <v>3928</v>
      </c>
      <c r="AG7" s="604">
        <f t="shared" si="12"/>
        <v>3918</v>
      </c>
      <c r="AH7" s="604">
        <f t="shared" si="12"/>
        <v>3899</v>
      </c>
      <c r="AI7" s="604">
        <f t="shared" si="12"/>
        <v>3911</v>
      </c>
      <c r="AJ7" s="604">
        <f t="shared" si="12"/>
        <v>3917</v>
      </c>
      <c r="AK7" s="604">
        <f t="shared" si="12"/>
        <v>3943</v>
      </c>
      <c r="AL7" s="604">
        <f t="shared" si="12"/>
        <v>3961</v>
      </c>
      <c r="AM7" s="1289">
        <f t="shared" si="12"/>
        <v>0</v>
      </c>
      <c r="AN7" s="1289">
        <f t="shared" si="12"/>
        <v>0</v>
      </c>
      <c r="AO7" s="1289">
        <f t="shared" si="12"/>
        <v>0</v>
      </c>
      <c r="AP7" s="1289">
        <f t="shared" si="12"/>
        <v>0</v>
      </c>
      <c r="AQ7" s="1289">
        <f t="shared" si="12"/>
        <v>0</v>
      </c>
      <c r="AR7" s="1289">
        <f t="shared" si="12"/>
        <v>0</v>
      </c>
      <c r="AS7" s="1289">
        <f t="shared" si="12"/>
        <v>0</v>
      </c>
      <c r="AT7" s="605">
        <f t="shared" si="12"/>
        <v>0</v>
      </c>
    </row>
    <row r="8" spans="1:46" ht="20.100000000000001" customHeight="1" x14ac:dyDescent="0.15">
      <c r="A8" s="1935">
        <v>42736</v>
      </c>
      <c r="B8" s="1934" t="s">
        <v>66</v>
      </c>
      <c r="C8" s="1934" t="s">
        <v>520</v>
      </c>
      <c r="D8" s="1936">
        <v>145820</v>
      </c>
      <c r="E8" s="1936">
        <v>15107</v>
      </c>
      <c r="F8" s="1936">
        <v>27389</v>
      </c>
      <c r="G8" s="1937">
        <f t="shared" si="9"/>
        <v>0.1</v>
      </c>
      <c r="H8" s="1936">
        <f t="shared" si="13"/>
        <v>2738</v>
      </c>
      <c r="L8" s="602" t="s">
        <v>57</v>
      </c>
      <c r="M8" s="603">
        <f t="shared" si="10"/>
        <v>0</v>
      </c>
      <c r="N8" s="604">
        <f t="shared" si="11"/>
        <v>0</v>
      </c>
      <c r="O8" s="604">
        <f>SUMIFS($H:$H,$A:$A,"=" &amp; O$1,$B:$B,"=" &amp; $L8)</f>
        <v>0</v>
      </c>
      <c r="P8" s="604">
        <f t="shared" si="11"/>
        <v>0</v>
      </c>
      <c r="Q8" s="604">
        <f t="shared" si="11"/>
        <v>0</v>
      </c>
      <c r="R8" s="604">
        <f t="shared" si="11"/>
        <v>0</v>
      </c>
      <c r="S8" s="604">
        <f t="shared" si="11"/>
        <v>0</v>
      </c>
      <c r="T8" s="604">
        <f t="shared" si="11"/>
        <v>0</v>
      </c>
      <c r="U8" s="604">
        <f t="shared" si="11"/>
        <v>0</v>
      </c>
      <c r="V8" s="604">
        <f t="shared" si="11"/>
        <v>0</v>
      </c>
      <c r="W8" s="604">
        <f t="shared" si="11"/>
        <v>0</v>
      </c>
      <c r="X8" s="604">
        <f t="shared" si="11"/>
        <v>0</v>
      </c>
      <c r="Y8" s="604">
        <f t="shared" si="11"/>
        <v>0</v>
      </c>
      <c r="Z8" s="604">
        <f t="shared" si="11"/>
        <v>0</v>
      </c>
      <c r="AA8" s="604">
        <f t="shared" si="11"/>
        <v>0</v>
      </c>
      <c r="AB8" s="604">
        <f t="shared" si="11"/>
        <v>0</v>
      </c>
      <c r="AC8" s="604">
        <f t="shared" si="11"/>
        <v>0</v>
      </c>
      <c r="AD8" s="604">
        <f t="shared" si="11"/>
        <v>0</v>
      </c>
      <c r="AE8" s="604">
        <f t="shared" si="11"/>
        <v>0</v>
      </c>
      <c r="AF8" s="604">
        <f t="shared" si="11"/>
        <v>0</v>
      </c>
      <c r="AG8" s="604">
        <f t="shared" si="12"/>
        <v>0</v>
      </c>
      <c r="AH8" s="604">
        <f t="shared" si="12"/>
        <v>0</v>
      </c>
      <c r="AI8" s="604">
        <f t="shared" si="12"/>
        <v>0</v>
      </c>
      <c r="AJ8" s="604">
        <f t="shared" si="12"/>
        <v>0</v>
      </c>
      <c r="AK8" s="604">
        <f t="shared" si="12"/>
        <v>0</v>
      </c>
      <c r="AL8" s="604">
        <f t="shared" si="12"/>
        <v>0</v>
      </c>
      <c r="AM8" s="1289">
        <f t="shared" si="12"/>
        <v>0</v>
      </c>
      <c r="AN8" s="1289">
        <f t="shared" si="12"/>
        <v>0</v>
      </c>
      <c r="AO8" s="1289">
        <f t="shared" si="12"/>
        <v>0</v>
      </c>
      <c r="AP8" s="1289">
        <f t="shared" si="12"/>
        <v>0</v>
      </c>
      <c r="AQ8" s="1289">
        <f t="shared" si="12"/>
        <v>0</v>
      </c>
      <c r="AR8" s="1289">
        <f t="shared" si="12"/>
        <v>0</v>
      </c>
      <c r="AS8" s="1289">
        <f t="shared" si="12"/>
        <v>0</v>
      </c>
      <c r="AT8" s="605">
        <f t="shared" si="12"/>
        <v>0</v>
      </c>
    </row>
    <row r="9" spans="1:46" ht="20.100000000000001" customHeight="1" x14ac:dyDescent="0.15">
      <c r="A9" s="1935">
        <v>42736</v>
      </c>
      <c r="B9" s="1934" t="s">
        <v>391</v>
      </c>
      <c r="C9" s="1934" t="s">
        <v>521</v>
      </c>
      <c r="D9" s="1936">
        <v>201866</v>
      </c>
      <c r="E9" s="1936">
        <v>7233</v>
      </c>
      <c r="F9" s="1936">
        <v>24619</v>
      </c>
      <c r="G9" s="1937">
        <f t="shared" si="9"/>
        <v>0.04</v>
      </c>
      <c r="H9" s="1936">
        <f t="shared" si="13"/>
        <v>984</v>
      </c>
      <c r="L9" s="602" t="s">
        <v>391</v>
      </c>
      <c r="M9" s="603">
        <f t="shared" si="10"/>
        <v>3189</v>
      </c>
      <c r="N9" s="604">
        <f t="shared" si="11"/>
        <v>5228</v>
      </c>
      <c r="O9" s="604">
        <f t="shared" si="11"/>
        <v>5227</v>
      </c>
      <c r="P9" s="604">
        <f t="shared" si="11"/>
        <v>11523</v>
      </c>
      <c r="Q9" s="604">
        <f t="shared" si="11"/>
        <v>10975</v>
      </c>
      <c r="R9" s="604">
        <f t="shared" si="11"/>
        <v>11249</v>
      </c>
      <c r="S9" s="604">
        <f t="shared" si="11"/>
        <v>5740</v>
      </c>
      <c r="T9" s="604">
        <f t="shared" si="11"/>
        <v>6240</v>
      </c>
      <c r="U9" s="604">
        <f t="shared" si="11"/>
        <v>0</v>
      </c>
      <c r="V9" s="604">
        <f t="shared" si="11"/>
        <v>0</v>
      </c>
      <c r="W9" s="604">
        <f t="shared" si="11"/>
        <v>0</v>
      </c>
      <c r="X9" s="604">
        <f t="shared" si="11"/>
        <v>0</v>
      </c>
      <c r="Y9" s="604">
        <f t="shared" si="11"/>
        <v>0</v>
      </c>
      <c r="Z9" s="604">
        <f t="shared" si="11"/>
        <v>0</v>
      </c>
      <c r="AA9" s="604">
        <f t="shared" si="11"/>
        <v>0</v>
      </c>
      <c r="AB9" s="604">
        <f t="shared" si="11"/>
        <v>2684</v>
      </c>
      <c r="AC9" s="604">
        <f t="shared" si="11"/>
        <v>2689</v>
      </c>
      <c r="AD9" s="604">
        <f t="shared" si="11"/>
        <v>2685</v>
      </c>
      <c r="AE9" s="604">
        <f t="shared" si="11"/>
        <v>3175</v>
      </c>
      <c r="AF9" s="604">
        <f t="shared" si="11"/>
        <v>3178</v>
      </c>
      <c r="AG9" s="604">
        <f t="shared" si="12"/>
        <v>3171</v>
      </c>
      <c r="AH9" s="604">
        <f t="shared" si="12"/>
        <v>3178</v>
      </c>
      <c r="AI9" s="604">
        <f t="shared" si="12"/>
        <v>2943</v>
      </c>
      <c r="AJ9" s="604">
        <f t="shared" si="12"/>
        <v>3176</v>
      </c>
      <c r="AK9" s="604">
        <f t="shared" si="12"/>
        <v>3188</v>
      </c>
      <c r="AL9" s="604">
        <f t="shared" si="12"/>
        <v>3182</v>
      </c>
      <c r="AM9" s="1289">
        <f t="shared" si="12"/>
        <v>0</v>
      </c>
      <c r="AN9" s="1289">
        <f t="shared" si="12"/>
        <v>0</v>
      </c>
      <c r="AO9" s="1289">
        <f t="shared" si="12"/>
        <v>0</v>
      </c>
      <c r="AP9" s="1289">
        <f t="shared" si="12"/>
        <v>0</v>
      </c>
      <c r="AQ9" s="1289">
        <f t="shared" si="12"/>
        <v>0</v>
      </c>
      <c r="AR9" s="1289">
        <f t="shared" si="12"/>
        <v>0</v>
      </c>
      <c r="AS9" s="1289">
        <f t="shared" si="12"/>
        <v>0</v>
      </c>
      <c r="AT9" s="605">
        <f t="shared" si="12"/>
        <v>0</v>
      </c>
    </row>
    <row r="10" spans="1:46" ht="20.100000000000001" customHeight="1" x14ac:dyDescent="0.15">
      <c r="A10" s="1935">
        <v>42736</v>
      </c>
      <c r="B10" s="1934" t="s">
        <v>119</v>
      </c>
      <c r="C10" s="1934" t="s">
        <v>522</v>
      </c>
      <c r="D10" s="1936">
        <v>101011.6</v>
      </c>
      <c r="E10" s="1936">
        <v>2575</v>
      </c>
      <c r="F10" s="1936">
        <v>24258.400000000001</v>
      </c>
      <c r="G10" s="1937">
        <f t="shared" si="9"/>
        <v>0.03</v>
      </c>
      <c r="H10" s="1936">
        <f t="shared" si="13"/>
        <v>727</v>
      </c>
      <c r="L10" s="602" t="s">
        <v>119</v>
      </c>
      <c r="M10" s="603">
        <f t="shared" si="10"/>
        <v>488</v>
      </c>
      <c r="N10" s="604">
        <f t="shared" si="11"/>
        <v>3896</v>
      </c>
      <c r="O10" s="604">
        <f t="shared" si="11"/>
        <v>2480</v>
      </c>
      <c r="P10" s="604">
        <f t="shared" si="11"/>
        <v>3004</v>
      </c>
      <c r="Q10" s="604">
        <f t="shared" si="11"/>
        <v>2997</v>
      </c>
      <c r="R10" s="604">
        <f t="shared" si="11"/>
        <v>2798</v>
      </c>
      <c r="S10" s="604">
        <f t="shared" si="11"/>
        <v>2815</v>
      </c>
      <c r="T10" s="604">
        <f t="shared" si="11"/>
        <v>2822</v>
      </c>
      <c r="U10" s="604">
        <f t="shared" si="11"/>
        <v>2818</v>
      </c>
      <c r="V10" s="604">
        <f t="shared" si="11"/>
        <v>3258</v>
      </c>
      <c r="W10" s="604">
        <f t="shared" si="11"/>
        <v>3031</v>
      </c>
      <c r="X10" s="604">
        <f t="shared" si="11"/>
        <v>3024</v>
      </c>
      <c r="Y10" s="604">
        <f t="shared" si="11"/>
        <v>2384</v>
      </c>
      <c r="Z10" s="604">
        <f t="shared" si="11"/>
        <v>2377</v>
      </c>
      <c r="AA10" s="604">
        <f t="shared" si="11"/>
        <v>2379</v>
      </c>
      <c r="AB10" s="604">
        <f t="shared" si="11"/>
        <v>2383</v>
      </c>
      <c r="AC10" s="604">
        <f t="shared" si="11"/>
        <v>2383</v>
      </c>
      <c r="AD10" s="604">
        <f t="shared" si="11"/>
        <v>2003</v>
      </c>
      <c r="AE10" s="604">
        <f t="shared" si="11"/>
        <v>2014</v>
      </c>
      <c r="AF10" s="604">
        <f t="shared" si="11"/>
        <v>2018</v>
      </c>
      <c r="AG10" s="604">
        <f t="shared" si="12"/>
        <v>2007</v>
      </c>
      <c r="AH10" s="604">
        <f t="shared" si="12"/>
        <v>2014</v>
      </c>
      <c r="AI10" s="604">
        <f t="shared" si="12"/>
        <v>2014</v>
      </c>
      <c r="AJ10" s="604">
        <f t="shared" si="12"/>
        <v>1998</v>
      </c>
      <c r="AK10" s="604">
        <f t="shared" si="12"/>
        <v>1993</v>
      </c>
      <c r="AL10" s="604">
        <f t="shared" si="12"/>
        <v>1999</v>
      </c>
      <c r="AM10" s="1289">
        <f t="shared" si="12"/>
        <v>0</v>
      </c>
      <c r="AN10" s="1289">
        <f t="shared" si="12"/>
        <v>0</v>
      </c>
      <c r="AO10" s="1289">
        <f t="shared" si="12"/>
        <v>0</v>
      </c>
      <c r="AP10" s="1289">
        <f t="shared" si="12"/>
        <v>0</v>
      </c>
      <c r="AQ10" s="1289">
        <f t="shared" si="12"/>
        <v>0</v>
      </c>
      <c r="AR10" s="1289">
        <f t="shared" si="12"/>
        <v>0</v>
      </c>
      <c r="AS10" s="1289">
        <f t="shared" si="12"/>
        <v>0</v>
      </c>
      <c r="AT10" s="605">
        <f t="shared" si="12"/>
        <v>0</v>
      </c>
    </row>
    <row r="11" spans="1:46" ht="20.100000000000001" customHeight="1" x14ac:dyDescent="0.15">
      <c r="A11" s="1935">
        <v>42767</v>
      </c>
      <c r="B11" s="1934" t="s">
        <v>391</v>
      </c>
      <c r="C11" s="1934" t="s">
        <v>518</v>
      </c>
      <c r="D11" s="1936">
        <v>162650</v>
      </c>
      <c r="E11" s="1936">
        <v>21996</v>
      </c>
      <c r="F11" s="1936">
        <v>28975</v>
      </c>
      <c r="G11" s="1937">
        <f t="shared" si="9"/>
        <v>0.14000000000000001</v>
      </c>
      <c r="H11" s="1936">
        <f t="shared" si="13"/>
        <v>4056</v>
      </c>
      <c r="L11" s="602" t="s">
        <v>189</v>
      </c>
      <c r="M11" s="603">
        <f t="shared" si="10"/>
        <v>0</v>
      </c>
      <c r="N11" s="604">
        <f t="shared" si="11"/>
        <v>0</v>
      </c>
      <c r="O11" s="604">
        <f t="shared" si="11"/>
        <v>0</v>
      </c>
      <c r="P11" s="604">
        <f t="shared" si="11"/>
        <v>0</v>
      </c>
      <c r="Q11" s="604">
        <f t="shared" si="11"/>
        <v>0</v>
      </c>
      <c r="R11" s="604">
        <f t="shared" si="11"/>
        <v>0</v>
      </c>
      <c r="S11" s="604">
        <f t="shared" si="11"/>
        <v>0</v>
      </c>
      <c r="T11" s="604">
        <f t="shared" si="11"/>
        <v>0</v>
      </c>
      <c r="U11" s="604">
        <f t="shared" si="11"/>
        <v>0</v>
      </c>
      <c r="V11" s="604">
        <f t="shared" si="11"/>
        <v>0</v>
      </c>
      <c r="W11" s="604">
        <f t="shared" si="11"/>
        <v>0</v>
      </c>
      <c r="X11" s="604">
        <f t="shared" si="11"/>
        <v>0</v>
      </c>
      <c r="Y11" s="604">
        <f t="shared" si="11"/>
        <v>0</v>
      </c>
      <c r="Z11" s="604">
        <f t="shared" si="11"/>
        <v>0</v>
      </c>
      <c r="AA11" s="604">
        <f t="shared" si="11"/>
        <v>0</v>
      </c>
      <c r="AB11" s="604">
        <f t="shared" si="11"/>
        <v>0</v>
      </c>
      <c r="AC11" s="604">
        <f t="shared" si="11"/>
        <v>0</v>
      </c>
      <c r="AD11" s="604">
        <f t="shared" si="11"/>
        <v>0</v>
      </c>
      <c r="AE11" s="604">
        <f t="shared" si="11"/>
        <v>0</v>
      </c>
      <c r="AF11" s="604">
        <f t="shared" si="11"/>
        <v>0</v>
      </c>
      <c r="AG11" s="604">
        <f t="shared" si="12"/>
        <v>0</v>
      </c>
      <c r="AH11" s="604">
        <f t="shared" si="12"/>
        <v>0</v>
      </c>
      <c r="AI11" s="604">
        <f t="shared" si="12"/>
        <v>0</v>
      </c>
      <c r="AJ11" s="604">
        <f t="shared" si="12"/>
        <v>0</v>
      </c>
      <c r="AK11" s="604">
        <f t="shared" si="12"/>
        <v>0</v>
      </c>
      <c r="AL11" s="604">
        <f t="shared" si="12"/>
        <v>0</v>
      </c>
      <c r="AM11" s="1289">
        <f t="shared" si="12"/>
        <v>0</v>
      </c>
      <c r="AN11" s="1289">
        <f t="shared" si="12"/>
        <v>0</v>
      </c>
      <c r="AO11" s="1289">
        <f t="shared" si="12"/>
        <v>0</v>
      </c>
      <c r="AP11" s="1289">
        <f t="shared" si="12"/>
        <v>0</v>
      </c>
      <c r="AQ11" s="1289">
        <f t="shared" si="12"/>
        <v>0</v>
      </c>
      <c r="AR11" s="1289">
        <f t="shared" si="12"/>
        <v>0</v>
      </c>
      <c r="AS11" s="1289">
        <f t="shared" si="12"/>
        <v>0</v>
      </c>
      <c r="AT11" s="605">
        <f t="shared" si="12"/>
        <v>0</v>
      </c>
    </row>
    <row r="12" spans="1:46" ht="20.100000000000001" customHeight="1" x14ac:dyDescent="0.15">
      <c r="A12" s="1935">
        <v>42767</v>
      </c>
      <c r="B12" s="1934" t="s">
        <v>37</v>
      </c>
      <c r="C12" s="1934" t="s">
        <v>519</v>
      </c>
      <c r="D12" s="1936">
        <v>160288</v>
      </c>
      <c r="E12" s="1936">
        <v>15715</v>
      </c>
      <c r="F12" s="1936">
        <v>23008</v>
      </c>
      <c r="G12" s="1937">
        <f t="shared" si="9"/>
        <v>0.1</v>
      </c>
      <c r="H12" s="1936">
        <f t="shared" si="13"/>
        <v>2300</v>
      </c>
      <c r="L12" s="602" t="s">
        <v>329</v>
      </c>
      <c r="M12" s="603">
        <f t="shared" si="10"/>
        <v>0</v>
      </c>
      <c r="N12" s="604">
        <f t="shared" si="11"/>
        <v>0</v>
      </c>
      <c r="O12" s="604">
        <f t="shared" si="11"/>
        <v>0</v>
      </c>
      <c r="P12" s="604">
        <f t="shared" si="11"/>
        <v>0</v>
      </c>
      <c r="Q12" s="604">
        <f t="shared" si="11"/>
        <v>11027</v>
      </c>
      <c r="R12" s="604">
        <f t="shared" si="11"/>
        <v>11010</v>
      </c>
      <c r="S12" s="604">
        <f t="shared" si="11"/>
        <v>10999</v>
      </c>
      <c r="T12" s="604">
        <f t="shared" si="11"/>
        <v>11755</v>
      </c>
      <c r="U12" s="604">
        <f t="shared" si="11"/>
        <v>11251</v>
      </c>
      <c r="V12" s="604">
        <f t="shared" si="11"/>
        <v>10687</v>
      </c>
      <c r="W12" s="604">
        <f t="shared" si="11"/>
        <v>11865</v>
      </c>
      <c r="X12" s="604">
        <f t="shared" si="11"/>
        <v>6204</v>
      </c>
      <c r="Y12" s="604">
        <f t="shared" si="11"/>
        <v>4705</v>
      </c>
      <c r="Z12" s="604">
        <f t="shared" si="11"/>
        <v>4398</v>
      </c>
      <c r="AA12" s="604">
        <f t="shared" si="11"/>
        <v>7662</v>
      </c>
      <c r="AB12" s="604">
        <f t="shared" si="11"/>
        <v>7698</v>
      </c>
      <c r="AC12" s="604">
        <f t="shared" si="11"/>
        <v>7660</v>
      </c>
      <c r="AD12" s="604">
        <f t="shared" si="11"/>
        <v>7700</v>
      </c>
      <c r="AE12" s="604">
        <f t="shared" si="11"/>
        <v>7720</v>
      </c>
      <c r="AF12" s="604">
        <f t="shared" si="11"/>
        <v>7722</v>
      </c>
      <c r="AG12" s="604">
        <f t="shared" si="12"/>
        <v>7281</v>
      </c>
      <c r="AH12" s="604">
        <f t="shared" si="12"/>
        <v>0</v>
      </c>
      <c r="AI12" s="604">
        <f t="shared" si="12"/>
        <v>0</v>
      </c>
      <c r="AJ12" s="604">
        <f t="shared" si="12"/>
        <v>0</v>
      </c>
      <c r="AK12" s="604">
        <f t="shared" si="12"/>
        <v>0</v>
      </c>
      <c r="AL12" s="604">
        <f t="shared" si="12"/>
        <v>0</v>
      </c>
      <c r="AM12" s="1289">
        <f t="shared" si="12"/>
        <v>0</v>
      </c>
      <c r="AN12" s="1289">
        <f t="shared" si="12"/>
        <v>0</v>
      </c>
      <c r="AO12" s="1289">
        <f t="shared" si="12"/>
        <v>0</v>
      </c>
      <c r="AP12" s="1289">
        <f t="shared" si="12"/>
        <v>0</v>
      </c>
      <c r="AQ12" s="1289">
        <f t="shared" si="12"/>
        <v>0</v>
      </c>
      <c r="AR12" s="1289">
        <f t="shared" si="12"/>
        <v>0</v>
      </c>
      <c r="AS12" s="1289">
        <f t="shared" si="12"/>
        <v>0</v>
      </c>
      <c r="AT12" s="605">
        <f t="shared" si="12"/>
        <v>0</v>
      </c>
    </row>
    <row r="13" spans="1:46" ht="20.100000000000001" customHeight="1" x14ac:dyDescent="0.15">
      <c r="A13" s="1935">
        <v>42767</v>
      </c>
      <c r="B13" s="1934" t="s">
        <v>66</v>
      </c>
      <c r="C13" s="1934" t="s">
        <v>520</v>
      </c>
      <c r="D13" s="1936">
        <v>163065</v>
      </c>
      <c r="E13" s="1936">
        <v>17993</v>
      </c>
      <c r="F13" s="1936">
        <v>27457</v>
      </c>
      <c r="G13" s="1937">
        <f t="shared" si="9"/>
        <v>0.11</v>
      </c>
      <c r="H13" s="1936">
        <f t="shared" si="13"/>
        <v>3020</v>
      </c>
      <c r="L13" s="606" t="s">
        <v>1511</v>
      </c>
      <c r="M13" s="607">
        <f t="shared" si="10"/>
        <v>0</v>
      </c>
      <c r="N13" s="608">
        <f t="shared" si="11"/>
        <v>0</v>
      </c>
      <c r="O13" s="608">
        <f t="shared" si="11"/>
        <v>0</v>
      </c>
      <c r="P13" s="608">
        <f t="shared" si="11"/>
        <v>0</v>
      </c>
      <c r="Q13" s="608">
        <f t="shared" si="11"/>
        <v>0</v>
      </c>
      <c r="R13" s="608">
        <f t="shared" si="11"/>
        <v>0</v>
      </c>
      <c r="S13" s="608">
        <f t="shared" si="11"/>
        <v>0</v>
      </c>
      <c r="T13" s="608">
        <f t="shared" si="11"/>
        <v>0</v>
      </c>
      <c r="U13" s="608">
        <f t="shared" si="11"/>
        <v>0</v>
      </c>
      <c r="V13" s="608">
        <f t="shared" si="11"/>
        <v>0</v>
      </c>
      <c r="W13" s="608">
        <f t="shared" si="11"/>
        <v>0</v>
      </c>
      <c r="X13" s="608">
        <f t="shared" si="11"/>
        <v>0</v>
      </c>
      <c r="Y13" s="608">
        <f t="shared" si="11"/>
        <v>0</v>
      </c>
      <c r="Z13" s="608">
        <f t="shared" si="11"/>
        <v>0</v>
      </c>
      <c r="AA13" s="608">
        <f t="shared" si="11"/>
        <v>0</v>
      </c>
      <c r="AB13" s="608">
        <f t="shared" si="11"/>
        <v>0</v>
      </c>
      <c r="AC13" s="608">
        <f t="shared" si="11"/>
        <v>0</v>
      </c>
      <c r="AD13" s="608">
        <f t="shared" si="11"/>
        <v>0</v>
      </c>
      <c r="AE13" s="608">
        <f t="shared" si="11"/>
        <v>0</v>
      </c>
      <c r="AF13" s="608">
        <f t="shared" si="11"/>
        <v>0</v>
      </c>
      <c r="AG13" s="608">
        <f t="shared" si="12"/>
        <v>0</v>
      </c>
      <c r="AH13" s="608">
        <f t="shared" si="12"/>
        <v>0</v>
      </c>
      <c r="AI13" s="608">
        <f t="shared" si="12"/>
        <v>0</v>
      </c>
      <c r="AJ13" s="608">
        <f t="shared" si="12"/>
        <v>0</v>
      </c>
      <c r="AK13" s="608">
        <f t="shared" si="12"/>
        <v>0</v>
      </c>
      <c r="AL13" s="608">
        <f t="shared" si="12"/>
        <v>0</v>
      </c>
      <c r="AM13" s="1290">
        <f t="shared" si="12"/>
        <v>0</v>
      </c>
      <c r="AN13" s="1290">
        <f t="shared" si="12"/>
        <v>0</v>
      </c>
      <c r="AO13" s="1290">
        <f t="shared" si="12"/>
        <v>0</v>
      </c>
      <c r="AP13" s="1290">
        <f t="shared" si="12"/>
        <v>0</v>
      </c>
      <c r="AQ13" s="1290">
        <f t="shared" si="12"/>
        <v>0</v>
      </c>
      <c r="AR13" s="1290">
        <f t="shared" si="12"/>
        <v>0</v>
      </c>
      <c r="AS13" s="1290">
        <f t="shared" si="12"/>
        <v>0</v>
      </c>
      <c r="AT13" s="609">
        <f t="shared" si="12"/>
        <v>0</v>
      </c>
    </row>
    <row r="14" spans="1:46" ht="20.100000000000001" customHeight="1" thickBot="1" x14ac:dyDescent="0.2">
      <c r="A14" s="1935">
        <v>42767</v>
      </c>
      <c r="B14" s="1934" t="s">
        <v>391</v>
      </c>
      <c r="C14" s="1934" t="s">
        <v>521</v>
      </c>
      <c r="D14" s="1936">
        <v>183078</v>
      </c>
      <c r="E14" s="1936">
        <v>8532</v>
      </c>
      <c r="F14" s="1936">
        <v>24547</v>
      </c>
      <c r="G14" s="1937">
        <f t="shared" si="9"/>
        <v>0.05</v>
      </c>
      <c r="H14" s="1936">
        <f t="shared" si="13"/>
        <v>1227</v>
      </c>
      <c r="L14" s="606" t="s">
        <v>336</v>
      </c>
      <c r="M14" s="607">
        <f t="shared" si="10"/>
        <v>0</v>
      </c>
      <c r="N14" s="608">
        <f t="shared" si="11"/>
        <v>0</v>
      </c>
      <c r="O14" s="608">
        <f t="shared" si="11"/>
        <v>0</v>
      </c>
      <c r="P14" s="608">
        <f t="shared" si="11"/>
        <v>0</v>
      </c>
      <c r="Q14" s="608">
        <f t="shared" si="11"/>
        <v>0</v>
      </c>
      <c r="R14" s="608">
        <f t="shared" si="11"/>
        <v>0</v>
      </c>
      <c r="S14" s="608">
        <f t="shared" si="11"/>
        <v>0</v>
      </c>
      <c r="T14" s="608">
        <f t="shared" si="11"/>
        <v>0</v>
      </c>
      <c r="U14" s="608">
        <f t="shared" si="11"/>
        <v>0</v>
      </c>
      <c r="V14" s="608">
        <f t="shared" si="11"/>
        <v>0</v>
      </c>
      <c r="W14" s="608">
        <f t="shared" si="11"/>
        <v>0</v>
      </c>
      <c r="X14" s="608">
        <f t="shared" si="11"/>
        <v>649</v>
      </c>
      <c r="Y14" s="608">
        <f t="shared" si="11"/>
        <v>0</v>
      </c>
      <c r="Z14" s="608">
        <f t="shared" si="11"/>
        <v>0</v>
      </c>
      <c r="AA14" s="608">
        <f t="shared" si="11"/>
        <v>0</v>
      </c>
      <c r="AB14" s="608">
        <f t="shared" si="11"/>
        <v>0</v>
      </c>
      <c r="AC14" s="608">
        <f t="shared" si="11"/>
        <v>0</v>
      </c>
      <c r="AD14" s="608">
        <f t="shared" si="11"/>
        <v>0</v>
      </c>
      <c r="AE14" s="608">
        <f t="shared" si="11"/>
        <v>0</v>
      </c>
      <c r="AF14" s="608">
        <f t="shared" si="11"/>
        <v>0</v>
      </c>
      <c r="AG14" s="608">
        <f t="shared" si="12"/>
        <v>0</v>
      </c>
      <c r="AH14" s="608">
        <f t="shared" si="12"/>
        <v>0</v>
      </c>
      <c r="AI14" s="608">
        <f t="shared" si="12"/>
        <v>0</v>
      </c>
      <c r="AJ14" s="608">
        <f t="shared" si="12"/>
        <v>0</v>
      </c>
      <c r="AK14" s="608">
        <f t="shared" si="12"/>
        <v>0</v>
      </c>
      <c r="AL14" s="608">
        <f t="shared" si="12"/>
        <v>0</v>
      </c>
      <c r="AM14" s="1290">
        <f t="shared" si="12"/>
        <v>0</v>
      </c>
      <c r="AN14" s="1290">
        <f t="shared" si="12"/>
        <v>0</v>
      </c>
      <c r="AO14" s="1290">
        <f t="shared" si="12"/>
        <v>0</v>
      </c>
      <c r="AP14" s="1290">
        <f t="shared" si="12"/>
        <v>0</v>
      </c>
      <c r="AQ14" s="1290">
        <f t="shared" si="12"/>
        <v>0</v>
      </c>
      <c r="AR14" s="1290">
        <f t="shared" si="12"/>
        <v>0</v>
      </c>
      <c r="AS14" s="1290">
        <f t="shared" si="12"/>
        <v>0</v>
      </c>
      <c r="AT14" s="609">
        <f t="shared" si="12"/>
        <v>0</v>
      </c>
    </row>
    <row r="15" spans="1:46" ht="20.100000000000001" customHeight="1" thickTop="1" thickBot="1" x14ac:dyDescent="0.2">
      <c r="A15" s="1935">
        <v>42767</v>
      </c>
      <c r="B15" s="1934" t="s">
        <v>119</v>
      </c>
      <c r="C15" s="1934" t="s">
        <v>522</v>
      </c>
      <c r="D15" s="1936">
        <v>109840.09599999999</v>
      </c>
      <c r="E15" s="1936">
        <v>2726</v>
      </c>
      <c r="F15" s="1936">
        <v>24295.904000000002</v>
      </c>
      <c r="G15" s="1937">
        <f t="shared" si="9"/>
        <v>0.02</v>
      </c>
      <c r="H15" s="1936">
        <f t="shared" si="13"/>
        <v>485</v>
      </c>
      <c r="L15" s="610" t="s">
        <v>96</v>
      </c>
      <c r="M15" s="611">
        <f t="shared" ref="M15:AM15" si="15">SUM(M2:M14)</f>
        <v>9768</v>
      </c>
      <c r="N15" s="612">
        <f t="shared" si="15"/>
        <v>14873</v>
      </c>
      <c r="O15" s="612">
        <f t="shared" si="15"/>
        <v>12650</v>
      </c>
      <c r="P15" s="612">
        <f t="shared" si="15"/>
        <v>26914</v>
      </c>
      <c r="Q15" s="612">
        <f t="shared" si="15"/>
        <v>37401</v>
      </c>
      <c r="R15" s="612">
        <f t="shared" si="15"/>
        <v>36704</v>
      </c>
      <c r="S15" s="612">
        <f t="shared" si="15"/>
        <v>31264</v>
      </c>
      <c r="T15" s="612">
        <f t="shared" si="15"/>
        <v>35786</v>
      </c>
      <c r="U15" s="612">
        <f t="shared" si="15"/>
        <v>29347</v>
      </c>
      <c r="V15" s="612">
        <f t="shared" si="15"/>
        <v>31980</v>
      </c>
      <c r="W15" s="612">
        <f t="shared" si="15"/>
        <v>36080</v>
      </c>
      <c r="X15" s="612">
        <f t="shared" si="15"/>
        <v>41706</v>
      </c>
      <c r="Y15" s="612">
        <f t="shared" si="15"/>
        <v>25625</v>
      </c>
      <c r="Z15" s="612">
        <f t="shared" si="15"/>
        <v>30028</v>
      </c>
      <c r="AA15" s="612">
        <f t="shared" si="15"/>
        <v>28980</v>
      </c>
      <c r="AB15" s="612">
        <f t="shared" si="15"/>
        <v>33175</v>
      </c>
      <c r="AC15" s="612">
        <f t="shared" si="15"/>
        <v>31560</v>
      </c>
      <c r="AD15" s="612">
        <f t="shared" si="15"/>
        <v>32359</v>
      </c>
      <c r="AE15" s="612">
        <f t="shared" si="15"/>
        <v>33480</v>
      </c>
      <c r="AF15" s="612">
        <f t="shared" si="15"/>
        <v>25925</v>
      </c>
      <c r="AG15" s="612">
        <f t="shared" si="15"/>
        <v>25775</v>
      </c>
      <c r="AH15" s="612">
        <f t="shared" si="15"/>
        <v>19905</v>
      </c>
      <c r="AI15" s="612">
        <f t="shared" si="15"/>
        <v>20005</v>
      </c>
      <c r="AJ15" s="612">
        <f t="shared" si="15"/>
        <v>15654</v>
      </c>
      <c r="AK15" s="612">
        <f t="shared" si="15"/>
        <v>14775</v>
      </c>
      <c r="AL15" s="612">
        <f t="shared" si="15"/>
        <v>14154</v>
      </c>
      <c r="AM15" s="1291">
        <f t="shared" si="15"/>
        <v>0</v>
      </c>
      <c r="AN15" s="1291">
        <f t="shared" ref="AN15:AT15" si="16">SUM(AN2:AN14)</f>
        <v>0</v>
      </c>
      <c r="AO15" s="1291">
        <f t="shared" si="16"/>
        <v>0</v>
      </c>
      <c r="AP15" s="1291">
        <f t="shared" si="16"/>
        <v>0</v>
      </c>
      <c r="AQ15" s="1291">
        <f t="shared" si="16"/>
        <v>0</v>
      </c>
      <c r="AR15" s="1291">
        <f t="shared" si="16"/>
        <v>0</v>
      </c>
      <c r="AS15" s="1291">
        <f t="shared" si="16"/>
        <v>0</v>
      </c>
      <c r="AT15" s="613">
        <f t="shared" si="16"/>
        <v>0</v>
      </c>
    </row>
    <row r="16" spans="1:46" ht="20.100000000000001" customHeight="1" x14ac:dyDescent="0.15">
      <c r="A16" s="1935">
        <v>42795</v>
      </c>
      <c r="B16" s="1934" t="s">
        <v>391</v>
      </c>
      <c r="C16" s="1934" t="s">
        <v>518</v>
      </c>
      <c r="D16" s="1936">
        <v>159811</v>
      </c>
      <c r="E16" s="1936">
        <v>17896</v>
      </c>
      <c r="F16" s="1936">
        <v>28992</v>
      </c>
      <c r="G16" s="1937">
        <f t="shared" si="9"/>
        <v>0.11</v>
      </c>
      <c r="H16" s="1936">
        <f t="shared" si="13"/>
        <v>3189</v>
      </c>
    </row>
    <row r="17" spans="1:23" ht="20.100000000000001" customHeight="1" x14ac:dyDescent="0.15">
      <c r="A17" s="1935">
        <v>42795</v>
      </c>
      <c r="B17" s="1934" t="s">
        <v>37</v>
      </c>
      <c r="C17" s="1934" t="s">
        <v>519</v>
      </c>
      <c r="D17" s="1936">
        <v>166289</v>
      </c>
      <c r="E17" s="1936">
        <v>8904</v>
      </c>
      <c r="F17" s="1936">
        <v>23058</v>
      </c>
      <c r="G17" s="1937">
        <f t="shared" si="9"/>
        <v>0.05</v>
      </c>
      <c r="H17" s="1936">
        <f t="shared" si="13"/>
        <v>1152</v>
      </c>
      <c r="L17" s="2057" t="s">
        <v>929</v>
      </c>
      <c r="M17" s="2058"/>
      <c r="N17" s="2058"/>
      <c r="O17" s="2058"/>
      <c r="P17" s="2058"/>
      <c r="Q17" s="2058"/>
      <c r="R17" s="2058"/>
      <c r="S17" s="2058"/>
      <c r="T17" s="2058"/>
      <c r="U17" s="2058"/>
      <c r="V17" s="2058"/>
      <c r="W17" s="2058"/>
    </row>
    <row r="18" spans="1:23" ht="20.100000000000001" customHeight="1" x14ac:dyDescent="0.15">
      <c r="A18" s="1935">
        <v>42795</v>
      </c>
      <c r="B18" s="1934" t="s">
        <v>66</v>
      </c>
      <c r="C18" s="1934" t="s">
        <v>520</v>
      </c>
      <c r="D18" s="1936">
        <v>122563</v>
      </c>
      <c r="E18" s="1936">
        <v>12369</v>
      </c>
      <c r="F18" s="1936">
        <v>27316</v>
      </c>
      <c r="G18" s="1937">
        <f t="shared" si="9"/>
        <v>0.1</v>
      </c>
      <c r="H18" s="1936">
        <f t="shared" si="13"/>
        <v>2731</v>
      </c>
      <c r="L18" s="2058"/>
      <c r="M18" s="2058"/>
      <c r="N18" s="2058"/>
      <c r="O18" s="2058"/>
      <c r="P18" s="2058"/>
      <c r="Q18" s="2058"/>
      <c r="R18" s="2058"/>
      <c r="S18" s="2058"/>
      <c r="T18" s="2058"/>
      <c r="U18" s="2058"/>
      <c r="V18" s="2058"/>
      <c r="W18" s="2058"/>
    </row>
    <row r="19" spans="1:23" ht="20.100000000000001" customHeight="1" x14ac:dyDescent="0.15">
      <c r="A19" s="1935">
        <v>42795</v>
      </c>
      <c r="B19" s="1934" t="s">
        <v>66</v>
      </c>
      <c r="C19" s="1934" t="s">
        <v>521</v>
      </c>
      <c r="D19" s="1936">
        <v>176761</v>
      </c>
      <c r="E19" s="1936">
        <v>15593</v>
      </c>
      <c r="F19" s="1936">
        <v>24540</v>
      </c>
      <c r="G19" s="1937">
        <f t="shared" si="9"/>
        <v>0.09</v>
      </c>
      <c r="H19" s="1936">
        <f t="shared" si="13"/>
        <v>2208</v>
      </c>
      <c r="L19" s="2058"/>
      <c r="M19" s="2058"/>
      <c r="N19" s="2058"/>
      <c r="O19" s="2058"/>
      <c r="P19" s="2058"/>
      <c r="Q19" s="2058"/>
      <c r="R19" s="2058"/>
      <c r="S19" s="2058"/>
      <c r="T19" s="2058"/>
      <c r="U19" s="2058"/>
      <c r="V19" s="2058"/>
      <c r="W19" s="2058"/>
    </row>
    <row r="20" spans="1:23" ht="20.100000000000001" customHeight="1" x14ac:dyDescent="0.15">
      <c r="A20" s="1935">
        <v>42795</v>
      </c>
      <c r="B20" s="1934" t="s">
        <v>119</v>
      </c>
      <c r="C20" s="1934" t="s">
        <v>522</v>
      </c>
      <c r="D20" s="1936">
        <v>130962</v>
      </c>
      <c r="E20" s="1936">
        <v>2482</v>
      </c>
      <c r="F20" s="1936">
        <v>24409.328000000001</v>
      </c>
      <c r="G20" s="1937">
        <f t="shared" si="9"/>
        <v>0.02</v>
      </c>
      <c r="H20" s="1936">
        <f t="shared" si="13"/>
        <v>488</v>
      </c>
      <c r="L20" s="2058"/>
      <c r="M20" s="2058"/>
      <c r="N20" s="2058"/>
      <c r="O20" s="2058"/>
      <c r="P20" s="2058"/>
      <c r="Q20" s="2058"/>
      <c r="R20" s="2058"/>
      <c r="S20" s="2058"/>
      <c r="T20" s="2058"/>
      <c r="U20" s="2058"/>
      <c r="V20" s="2058"/>
      <c r="W20" s="2058"/>
    </row>
    <row r="21" spans="1:23" ht="20.100000000000001" customHeight="1" x14ac:dyDescent="0.15">
      <c r="A21" s="1935">
        <v>42826</v>
      </c>
      <c r="B21" s="1934" t="s">
        <v>391</v>
      </c>
      <c r="C21" s="1934" t="s">
        <v>518</v>
      </c>
      <c r="D21" s="1936">
        <v>172457</v>
      </c>
      <c r="E21" s="1936">
        <v>31250</v>
      </c>
      <c r="F21" s="1936">
        <v>29045</v>
      </c>
      <c r="G21" s="1937">
        <f t="shared" si="9"/>
        <v>0.18</v>
      </c>
      <c r="H21" s="1936">
        <f t="shared" si="13"/>
        <v>5228</v>
      </c>
      <c r="L21" s="2058"/>
      <c r="M21" s="2058"/>
      <c r="N21" s="2058"/>
      <c r="O21" s="2058"/>
      <c r="P21" s="2058"/>
      <c r="Q21" s="2058"/>
      <c r="R21" s="2058"/>
      <c r="S21" s="2058"/>
      <c r="T21" s="2058"/>
      <c r="U21" s="2058"/>
      <c r="V21" s="2058"/>
      <c r="W21" s="2058"/>
    </row>
    <row r="22" spans="1:23" ht="20.100000000000001" customHeight="1" x14ac:dyDescent="0.15">
      <c r="A22" s="1935">
        <v>42826</v>
      </c>
      <c r="B22" s="1934" t="s">
        <v>34</v>
      </c>
      <c r="C22" s="1934" t="s">
        <v>523</v>
      </c>
      <c r="D22" s="1936">
        <v>93140</v>
      </c>
      <c r="E22" s="1936">
        <v>0</v>
      </c>
      <c r="F22" s="1936">
        <v>22898</v>
      </c>
      <c r="G22" s="1937">
        <f t="shared" si="9"/>
        <v>0</v>
      </c>
      <c r="H22" s="1936">
        <f t="shared" si="13"/>
        <v>0</v>
      </c>
      <c r="L22" s="2058"/>
      <c r="M22" s="2058"/>
      <c r="N22" s="2058"/>
      <c r="O22" s="2058"/>
      <c r="P22" s="2058"/>
      <c r="Q22" s="2058"/>
      <c r="R22" s="2058"/>
      <c r="S22" s="2058"/>
      <c r="T22" s="2058"/>
      <c r="U22" s="2058"/>
      <c r="V22" s="2058"/>
      <c r="W22" s="2058"/>
    </row>
    <row r="23" spans="1:23" ht="20.100000000000001" customHeight="1" x14ac:dyDescent="0.15">
      <c r="A23" s="1935">
        <v>42826</v>
      </c>
      <c r="B23" s="1934" t="s">
        <v>37</v>
      </c>
      <c r="C23" s="1934" t="s">
        <v>519</v>
      </c>
      <c r="D23" s="1936">
        <v>156026</v>
      </c>
      <c r="E23" s="1936">
        <v>12212</v>
      </c>
      <c r="F23" s="1936">
        <v>23018</v>
      </c>
      <c r="G23" s="1937">
        <f t="shared" si="9"/>
        <v>0.08</v>
      </c>
      <c r="H23" s="1936">
        <f t="shared" si="13"/>
        <v>1841</v>
      </c>
      <c r="L23" s="2058"/>
      <c r="M23" s="2058"/>
      <c r="N23" s="2058"/>
      <c r="O23" s="2058"/>
      <c r="P23" s="2058"/>
      <c r="Q23" s="2058"/>
      <c r="R23" s="2058"/>
      <c r="S23" s="2058"/>
      <c r="T23" s="2058"/>
      <c r="U23" s="2058"/>
      <c r="V23" s="2058"/>
      <c r="W23" s="2058"/>
    </row>
    <row r="24" spans="1:23" ht="20.100000000000001" customHeight="1" x14ac:dyDescent="0.15">
      <c r="A24" s="1935">
        <v>42826</v>
      </c>
      <c r="B24" s="1934" t="s">
        <v>66</v>
      </c>
      <c r="C24" s="1934" t="s">
        <v>520</v>
      </c>
      <c r="D24" s="1936">
        <v>148218</v>
      </c>
      <c r="E24" s="1936">
        <v>11480</v>
      </c>
      <c r="F24" s="1936">
        <v>27419</v>
      </c>
      <c r="G24" s="1937">
        <f t="shared" si="9"/>
        <v>0.08</v>
      </c>
      <c r="H24" s="1936">
        <f t="shared" si="13"/>
        <v>2193</v>
      </c>
    </row>
    <row r="25" spans="1:23" ht="20.100000000000001" customHeight="1" x14ac:dyDescent="0.15">
      <c r="A25" s="1935">
        <v>42826</v>
      </c>
      <c r="B25" s="1934" t="s">
        <v>66</v>
      </c>
      <c r="C25" s="1934" t="s">
        <v>521</v>
      </c>
      <c r="D25" s="1936">
        <v>167579</v>
      </c>
      <c r="E25" s="1936">
        <v>11762</v>
      </c>
      <c r="F25" s="1936">
        <v>24505</v>
      </c>
      <c r="G25" s="1937">
        <f t="shared" si="9"/>
        <v>7.0000000000000007E-2</v>
      </c>
      <c r="H25" s="1936">
        <f t="shared" si="13"/>
        <v>1715</v>
      </c>
    </row>
    <row r="26" spans="1:23" ht="20.100000000000001" customHeight="1" x14ac:dyDescent="0.15">
      <c r="A26" s="1935">
        <v>42826</v>
      </c>
      <c r="B26" s="1934" t="s">
        <v>119</v>
      </c>
      <c r="C26" s="1934" t="s">
        <v>522</v>
      </c>
      <c r="D26" s="1936">
        <v>118063.32800000001</v>
      </c>
      <c r="E26" s="1936">
        <v>19003</v>
      </c>
      <c r="F26" s="1936">
        <v>24354.671999999999</v>
      </c>
      <c r="G26" s="1937">
        <f t="shared" si="9"/>
        <v>0.16</v>
      </c>
      <c r="H26" s="1936">
        <f t="shared" si="13"/>
        <v>3896</v>
      </c>
    </row>
    <row r="27" spans="1:23" ht="20.100000000000001" customHeight="1" x14ac:dyDescent="0.15">
      <c r="A27" s="1935">
        <v>42856</v>
      </c>
      <c r="B27" s="1934" t="s">
        <v>391</v>
      </c>
      <c r="C27" s="1934" t="s">
        <v>518</v>
      </c>
      <c r="D27" s="1936">
        <v>171461</v>
      </c>
      <c r="E27" s="1936">
        <v>31250</v>
      </c>
      <c r="F27" s="1936">
        <v>29041</v>
      </c>
      <c r="G27" s="1937">
        <f t="shared" si="9"/>
        <v>0.18</v>
      </c>
      <c r="H27" s="1936">
        <f t="shared" si="13"/>
        <v>5227</v>
      </c>
    </row>
    <row r="28" spans="1:23" ht="20.100000000000001" customHeight="1" x14ac:dyDescent="0.15">
      <c r="A28" s="1935">
        <v>42856</v>
      </c>
      <c r="B28" s="1934" t="s">
        <v>37</v>
      </c>
      <c r="C28" s="1934" t="s">
        <v>519</v>
      </c>
      <c r="D28" s="1936">
        <v>148984</v>
      </c>
      <c r="E28" s="1936">
        <v>13425</v>
      </c>
      <c r="F28" s="1936">
        <v>23004</v>
      </c>
      <c r="G28" s="1937">
        <f t="shared" si="9"/>
        <v>0.09</v>
      </c>
      <c r="H28" s="1936">
        <f t="shared" si="13"/>
        <v>2070</v>
      </c>
    </row>
    <row r="29" spans="1:23" ht="20.100000000000001" customHeight="1" x14ac:dyDescent="0.15">
      <c r="A29" s="1935">
        <v>42856</v>
      </c>
      <c r="B29" s="1934" t="s">
        <v>66</v>
      </c>
      <c r="C29" s="1934" t="s">
        <v>520</v>
      </c>
      <c r="D29" s="1936">
        <v>140884</v>
      </c>
      <c r="E29" s="1936">
        <v>8336</v>
      </c>
      <c r="F29" s="1936">
        <v>27421</v>
      </c>
      <c r="G29" s="1937">
        <f t="shared" si="9"/>
        <v>0.06</v>
      </c>
      <c r="H29" s="1936">
        <f t="shared" si="13"/>
        <v>1645</v>
      </c>
    </row>
    <row r="30" spans="1:23" ht="20.100000000000001" customHeight="1" x14ac:dyDescent="0.15">
      <c r="A30" s="1935">
        <v>42856</v>
      </c>
      <c r="B30" s="1934" t="s">
        <v>66</v>
      </c>
      <c r="C30" s="1934" t="s">
        <v>521</v>
      </c>
      <c r="D30" s="1936">
        <v>183960</v>
      </c>
      <c r="E30" s="1936">
        <v>10083</v>
      </c>
      <c r="F30" s="1936">
        <v>24570</v>
      </c>
      <c r="G30" s="1937">
        <f t="shared" si="9"/>
        <v>0.05</v>
      </c>
      <c r="H30" s="1936">
        <f t="shared" si="13"/>
        <v>1228</v>
      </c>
    </row>
    <row r="31" spans="1:23" ht="20.100000000000001" customHeight="1" x14ac:dyDescent="0.15">
      <c r="A31" s="1935">
        <v>42856</v>
      </c>
      <c r="B31" s="1934" t="s">
        <v>119</v>
      </c>
      <c r="C31" s="1934" t="s">
        <v>522</v>
      </c>
      <c r="D31" s="1936">
        <v>124552.268</v>
      </c>
      <c r="E31" s="1936">
        <v>15895</v>
      </c>
      <c r="F31" s="1936">
        <v>19080.732</v>
      </c>
      <c r="G31" s="1937">
        <f t="shared" si="9"/>
        <v>0.13</v>
      </c>
      <c r="H31" s="1936">
        <f t="shared" si="13"/>
        <v>2480</v>
      </c>
    </row>
    <row r="32" spans="1:23" ht="20.100000000000001" customHeight="1" x14ac:dyDescent="0.15">
      <c r="A32" s="1935">
        <v>42887</v>
      </c>
      <c r="B32" s="1934" t="s">
        <v>391</v>
      </c>
      <c r="C32" s="1934" t="s">
        <v>518</v>
      </c>
      <c r="D32" s="1936">
        <v>171461</v>
      </c>
      <c r="E32" s="1936">
        <v>31250</v>
      </c>
      <c r="F32" s="1936">
        <v>29041</v>
      </c>
      <c r="G32" s="1937">
        <f t="shared" si="9"/>
        <v>0.18</v>
      </c>
      <c r="H32" s="1936">
        <f t="shared" si="13"/>
        <v>5227</v>
      </c>
    </row>
    <row r="33" spans="1:8" ht="20.100000000000001" customHeight="1" x14ac:dyDescent="0.15">
      <c r="A33" s="1935">
        <v>42887</v>
      </c>
      <c r="B33" s="1934" t="s">
        <v>391</v>
      </c>
      <c r="C33" s="1934" t="s">
        <v>524</v>
      </c>
      <c r="D33" s="1936">
        <v>152763</v>
      </c>
      <c r="E33" s="1936">
        <v>35450</v>
      </c>
      <c r="F33" s="1936">
        <v>27377</v>
      </c>
      <c r="G33" s="1937">
        <f t="shared" si="9"/>
        <v>0.23</v>
      </c>
      <c r="H33" s="1936">
        <f t="shared" si="13"/>
        <v>6296</v>
      </c>
    </row>
    <row r="34" spans="1:8" ht="20.100000000000001" customHeight="1" x14ac:dyDescent="0.15">
      <c r="A34" s="1935">
        <v>42887</v>
      </c>
      <c r="B34" s="1934" t="s">
        <v>37</v>
      </c>
      <c r="C34" s="1934" t="s">
        <v>519</v>
      </c>
      <c r="D34" s="1936">
        <v>165490</v>
      </c>
      <c r="E34" s="1936">
        <v>18087</v>
      </c>
      <c r="F34" s="1936">
        <v>23071</v>
      </c>
      <c r="G34" s="1937">
        <f t="shared" ref="G34:G65" si="17">IFERROR(ROUND(E34/D34,2),0)</f>
        <v>0.11</v>
      </c>
      <c r="H34" s="1936">
        <f t="shared" ref="H34:H65" si="18">IFERROR(ROUNDDOWN(F34*G34,0),0)</f>
        <v>2537</v>
      </c>
    </row>
    <row r="35" spans="1:8" ht="20.100000000000001" customHeight="1" x14ac:dyDescent="0.15">
      <c r="A35" s="1935">
        <v>42887</v>
      </c>
      <c r="B35" s="1934" t="s">
        <v>66</v>
      </c>
      <c r="C35" s="1934" t="s">
        <v>520</v>
      </c>
      <c r="D35" s="1936">
        <v>146570</v>
      </c>
      <c r="E35" s="1936">
        <v>18009</v>
      </c>
      <c r="F35" s="1936">
        <v>27442</v>
      </c>
      <c r="G35" s="1937">
        <f t="shared" si="17"/>
        <v>0.12</v>
      </c>
      <c r="H35" s="1936">
        <f t="shared" si="18"/>
        <v>3293</v>
      </c>
    </row>
    <row r="36" spans="1:8" ht="20.100000000000001" customHeight="1" x14ac:dyDescent="0.15">
      <c r="A36" s="1935">
        <v>42887</v>
      </c>
      <c r="B36" s="1934" t="s">
        <v>66</v>
      </c>
      <c r="C36" s="1934" t="s">
        <v>521</v>
      </c>
      <c r="D36" s="1936">
        <v>181693</v>
      </c>
      <c r="E36" s="1936">
        <v>17682</v>
      </c>
      <c r="F36" s="1936">
        <v>24568</v>
      </c>
      <c r="G36" s="1937">
        <f t="shared" si="17"/>
        <v>0.1</v>
      </c>
      <c r="H36" s="1936">
        <f t="shared" si="18"/>
        <v>2456</v>
      </c>
    </row>
    <row r="37" spans="1:8" ht="20.100000000000001" customHeight="1" x14ac:dyDescent="0.15">
      <c r="A37" s="1935">
        <v>42887</v>
      </c>
      <c r="B37" s="1934" t="s">
        <v>472</v>
      </c>
      <c r="C37" s="1934" t="s">
        <v>525</v>
      </c>
      <c r="D37" s="1936">
        <v>118554</v>
      </c>
      <c r="E37" s="1936">
        <v>17520</v>
      </c>
      <c r="F37" s="1936">
        <v>27341</v>
      </c>
      <c r="G37" s="1937">
        <f t="shared" si="17"/>
        <v>0.15</v>
      </c>
      <c r="H37" s="1936">
        <f t="shared" si="18"/>
        <v>4101</v>
      </c>
    </row>
    <row r="38" spans="1:8" ht="20.100000000000001" customHeight="1" x14ac:dyDescent="0.15">
      <c r="A38" s="1935">
        <v>42887</v>
      </c>
      <c r="B38" s="1934" t="s">
        <v>119</v>
      </c>
      <c r="C38" s="1934" t="s">
        <v>522</v>
      </c>
      <c r="D38" s="1936">
        <v>137063.58799999999</v>
      </c>
      <c r="E38" s="1936">
        <v>17765</v>
      </c>
      <c r="F38" s="1936">
        <v>23109.412</v>
      </c>
      <c r="G38" s="1937">
        <f t="shared" si="17"/>
        <v>0.13</v>
      </c>
      <c r="H38" s="1936">
        <f t="shared" si="18"/>
        <v>3004</v>
      </c>
    </row>
    <row r="39" spans="1:8" ht="20.100000000000001" customHeight="1" x14ac:dyDescent="0.15">
      <c r="A39" s="1935">
        <v>42917</v>
      </c>
      <c r="B39" s="1934" t="s">
        <v>391</v>
      </c>
      <c r="C39" s="1934" t="s">
        <v>518</v>
      </c>
      <c r="D39" s="1936">
        <v>171461</v>
      </c>
      <c r="E39" s="1936">
        <v>31250</v>
      </c>
      <c r="F39" s="1936">
        <v>29041</v>
      </c>
      <c r="G39" s="1937">
        <f t="shared" si="17"/>
        <v>0.18</v>
      </c>
      <c r="H39" s="1936">
        <f t="shared" si="18"/>
        <v>5227</v>
      </c>
    </row>
    <row r="40" spans="1:8" ht="20.100000000000001" customHeight="1" x14ac:dyDescent="0.15">
      <c r="A40" s="1935">
        <v>42917</v>
      </c>
      <c r="B40" s="1934" t="s">
        <v>391</v>
      </c>
      <c r="C40" s="1934" t="s">
        <v>524</v>
      </c>
      <c r="D40" s="1936">
        <v>151827</v>
      </c>
      <c r="E40" s="1936">
        <v>32250</v>
      </c>
      <c r="F40" s="1936">
        <v>27373</v>
      </c>
      <c r="G40" s="1937">
        <f t="shared" si="17"/>
        <v>0.21</v>
      </c>
      <c r="H40" s="1936">
        <f t="shared" si="18"/>
        <v>5748</v>
      </c>
    </row>
    <row r="41" spans="1:8" ht="20.100000000000001" customHeight="1" x14ac:dyDescent="0.15">
      <c r="A41" s="1935">
        <v>42917</v>
      </c>
      <c r="B41" s="1934" t="s">
        <v>37</v>
      </c>
      <c r="C41" s="1934" t="s">
        <v>519</v>
      </c>
      <c r="D41" s="1936">
        <v>170424</v>
      </c>
      <c r="E41" s="1936">
        <v>19216</v>
      </c>
      <c r="F41" s="1936">
        <v>23091</v>
      </c>
      <c r="G41" s="1937">
        <f t="shared" si="17"/>
        <v>0.11</v>
      </c>
      <c r="H41" s="1936">
        <f t="shared" si="18"/>
        <v>2540</v>
      </c>
    </row>
    <row r="42" spans="1:8" ht="20.100000000000001" customHeight="1" x14ac:dyDescent="0.15">
      <c r="A42" s="1935">
        <v>42917</v>
      </c>
      <c r="B42" s="1934" t="s">
        <v>66</v>
      </c>
      <c r="C42" s="1934" t="s">
        <v>520</v>
      </c>
      <c r="D42" s="1936">
        <v>156696</v>
      </c>
      <c r="E42" s="1936">
        <v>19329</v>
      </c>
      <c r="F42" s="1936">
        <v>27485</v>
      </c>
      <c r="G42" s="1937">
        <f t="shared" si="17"/>
        <v>0.12</v>
      </c>
      <c r="H42" s="1936">
        <f t="shared" si="18"/>
        <v>3298</v>
      </c>
    </row>
    <row r="43" spans="1:8" ht="20.100000000000001" customHeight="1" x14ac:dyDescent="0.15">
      <c r="A43" s="1935">
        <v>42917</v>
      </c>
      <c r="B43" s="1934" t="s">
        <v>66</v>
      </c>
      <c r="C43" s="1934" t="s">
        <v>521</v>
      </c>
      <c r="D43" s="1936">
        <v>191697</v>
      </c>
      <c r="E43" s="1936">
        <v>19521</v>
      </c>
      <c r="F43" s="1936">
        <v>24602</v>
      </c>
      <c r="G43" s="1937">
        <f t="shared" si="17"/>
        <v>0.1</v>
      </c>
      <c r="H43" s="1936">
        <f t="shared" si="18"/>
        <v>2460</v>
      </c>
    </row>
    <row r="44" spans="1:8" ht="20.100000000000001" customHeight="1" x14ac:dyDescent="0.15">
      <c r="A44" s="1935">
        <v>42917</v>
      </c>
      <c r="B44" s="1934" t="s">
        <v>472</v>
      </c>
      <c r="C44" s="1934" t="s">
        <v>525</v>
      </c>
      <c r="D44" s="1936">
        <v>124584</v>
      </c>
      <c r="E44" s="1936">
        <v>18150</v>
      </c>
      <c r="F44" s="1936">
        <v>27366</v>
      </c>
      <c r="G44" s="1937">
        <f t="shared" si="17"/>
        <v>0.15</v>
      </c>
      <c r="H44" s="1936">
        <f t="shared" si="18"/>
        <v>4104</v>
      </c>
    </row>
    <row r="45" spans="1:8" ht="20.100000000000001" customHeight="1" x14ac:dyDescent="0.15">
      <c r="A45" s="1935">
        <v>42917</v>
      </c>
      <c r="B45" s="1934" t="s">
        <v>119</v>
      </c>
      <c r="C45" s="1934" t="s">
        <v>522</v>
      </c>
      <c r="D45" s="1936">
        <v>124626.068</v>
      </c>
      <c r="E45" s="1936">
        <v>16445</v>
      </c>
      <c r="F45" s="1936">
        <v>23056.932000000001</v>
      </c>
      <c r="G45" s="1937">
        <f t="shared" si="17"/>
        <v>0.13</v>
      </c>
      <c r="H45" s="1936">
        <f t="shared" si="18"/>
        <v>2997</v>
      </c>
    </row>
    <row r="46" spans="1:8" ht="20.100000000000001" customHeight="1" x14ac:dyDescent="0.15">
      <c r="A46" s="1935">
        <v>42917</v>
      </c>
      <c r="B46" s="1934" t="s">
        <v>329</v>
      </c>
      <c r="C46" s="1934" t="s">
        <v>526</v>
      </c>
      <c r="D46" s="1936">
        <v>173883</v>
      </c>
      <c r="E46" s="1936">
        <v>69350</v>
      </c>
      <c r="F46" s="1936">
        <v>27569</v>
      </c>
      <c r="G46" s="1937">
        <f t="shared" si="17"/>
        <v>0.4</v>
      </c>
      <c r="H46" s="1936">
        <f t="shared" si="18"/>
        <v>11027</v>
      </c>
    </row>
    <row r="47" spans="1:8" ht="20.100000000000001" customHeight="1" x14ac:dyDescent="0.15">
      <c r="A47" s="1935">
        <v>42948</v>
      </c>
      <c r="B47" s="1934" t="s">
        <v>391</v>
      </c>
      <c r="C47" s="1934" t="s">
        <v>518</v>
      </c>
      <c r="D47" s="1936">
        <v>173889</v>
      </c>
      <c r="E47" s="1936">
        <v>31250</v>
      </c>
      <c r="F47" s="1936">
        <v>30543</v>
      </c>
      <c r="G47" s="1937">
        <f t="shared" si="17"/>
        <v>0.18</v>
      </c>
      <c r="H47" s="1936">
        <f t="shared" si="18"/>
        <v>5497</v>
      </c>
    </row>
    <row r="48" spans="1:8" ht="20.100000000000001" customHeight="1" x14ac:dyDescent="0.15">
      <c r="A48" s="1935">
        <v>42948</v>
      </c>
      <c r="B48" s="1934" t="s">
        <v>391</v>
      </c>
      <c r="C48" s="1934" t="s">
        <v>524</v>
      </c>
      <c r="D48" s="1936">
        <v>156980</v>
      </c>
      <c r="E48" s="1936">
        <v>32251</v>
      </c>
      <c r="F48" s="1936">
        <v>27395</v>
      </c>
      <c r="G48" s="1937">
        <f t="shared" si="17"/>
        <v>0.21</v>
      </c>
      <c r="H48" s="1936">
        <f t="shared" si="18"/>
        <v>5752</v>
      </c>
    </row>
    <row r="49" spans="1:8" ht="20.100000000000001" customHeight="1" x14ac:dyDescent="0.15">
      <c r="A49" s="1935">
        <v>42948</v>
      </c>
      <c r="B49" s="1934" t="s">
        <v>37</v>
      </c>
      <c r="C49" s="1934" t="s">
        <v>519</v>
      </c>
      <c r="D49" s="1936">
        <v>163095</v>
      </c>
      <c r="E49" s="1936">
        <v>18014</v>
      </c>
      <c r="F49" s="1936">
        <v>27539</v>
      </c>
      <c r="G49" s="1937">
        <f t="shared" si="17"/>
        <v>0.11</v>
      </c>
      <c r="H49" s="1936">
        <f t="shared" si="18"/>
        <v>3029</v>
      </c>
    </row>
    <row r="50" spans="1:8" ht="20.100000000000001" customHeight="1" x14ac:dyDescent="0.15">
      <c r="A50" s="1935">
        <v>42948</v>
      </c>
      <c r="B50" s="1934" t="s">
        <v>66</v>
      </c>
      <c r="C50" s="1934" t="s">
        <v>520</v>
      </c>
      <c r="D50" s="1936">
        <v>164830</v>
      </c>
      <c r="E50" s="1936">
        <v>14108</v>
      </c>
      <c r="F50" s="1936">
        <v>26020</v>
      </c>
      <c r="G50" s="1937">
        <f t="shared" si="17"/>
        <v>0.09</v>
      </c>
      <c r="H50" s="1936">
        <f t="shared" si="18"/>
        <v>2341</v>
      </c>
    </row>
    <row r="51" spans="1:8" ht="20.100000000000001" customHeight="1" x14ac:dyDescent="0.15">
      <c r="A51" s="1935">
        <v>42948</v>
      </c>
      <c r="B51" s="1934" t="s">
        <v>66</v>
      </c>
      <c r="C51" s="1934" t="s">
        <v>521</v>
      </c>
      <c r="D51" s="1936">
        <v>179660</v>
      </c>
      <c r="E51" s="1936">
        <v>13697</v>
      </c>
      <c r="F51" s="1936">
        <v>30527</v>
      </c>
      <c r="G51" s="1937">
        <f t="shared" si="17"/>
        <v>0.08</v>
      </c>
      <c r="H51" s="1936">
        <f t="shared" si="18"/>
        <v>2442</v>
      </c>
    </row>
    <row r="52" spans="1:8" ht="20.100000000000001" customHeight="1" x14ac:dyDescent="0.15">
      <c r="A52" s="1935">
        <v>42948</v>
      </c>
      <c r="B52" s="1934" t="s">
        <v>472</v>
      </c>
      <c r="C52" s="1934" t="s">
        <v>525</v>
      </c>
      <c r="D52" s="1936">
        <v>131455</v>
      </c>
      <c r="E52" s="1936">
        <v>18631.75</v>
      </c>
      <c r="F52" s="1936">
        <v>27396</v>
      </c>
      <c r="G52" s="1937">
        <f t="shared" si="17"/>
        <v>0.14000000000000001</v>
      </c>
      <c r="H52" s="1936">
        <f t="shared" si="18"/>
        <v>3835</v>
      </c>
    </row>
    <row r="53" spans="1:8" ht="20.100000000000001" customHeight="1" x14ac:dyDescent="0.15">
      <c r="A53" s="1935">
        <v>42948</v>
      </c>
      <c r="B53" s="1934" t="s">
        <v>119</v>
      </c>
      <c r="C53" s="1934" t="s">
        <v>522</v>
      </c>
      <c r="D53" s="1936">
        <v>96073.44</v>
      </c>
      <c r="E53" s="1936">
        <v>12677.5</v>
      </c>
      <c r="F53" s="1936">
        <v>21526.560000000001</v>
      </c>
      <c r="G53" s="1937">
        <f t="shared" si="17"/>
        <v>0.13</v>
      </c>
      <c r="H53" s="1936">
        <f t="shared" si="18"/>
        <v>2798</v>
      </c>
    </row>
    <row r="54" spans="1:8" ht="20.100000000000001" customHeight="1" x14ac:dyDescent="0.15">
      <c r="A54" s="1935">
        <v>42948</v>
      </c>
      <c r="B54" s="1934" t="s">
        <v>329</v>
      </c>
      <c r="C54" s="1934" t="s">
        <v>526</v>
      </c>
      <c r="D54" s="1936">
        <v>163658</v>
      </c>
      <c r="E54" s="1936">
        <v>64800</v>
      </c>
      <c r="F54" s="1936">
        <v>27527</v>
      </c>
      <c r="G54" s="1937">
        <f t="shared" si="17"/>
        <v>0.4</v>
      </c>
      <c r="H54" s="1936">
        <f t="shared" si="18"/>
        <v>11010</v>
      </c>
    </row>
    <row r="55" spans="1:8" ht="20.100000000000001" customHeight="1" x14ac:dyDescent="0.15">
      <c r="A55" s="1935">
        <v>42979</v>
      </c>
      <c r="B55" s="1934" t="s">
        <v>391</v>
      </c>
      <c r="C55" s="1934" t="s">
        <v>524</v>
      </c>
      <c r="D55" s="1936">
        <v>142996</v>
      </c>
      <c r="E55" s="1936">
        <v>30650</v>
      </c>
      <c r="F55" s="1936">
        <v>27338</v>
      </c>
      <c r="G55" s="1937">
        <f t="shared" si="17"/>
        <v>0.21</v>
      </c>
      <c r="H55" s="1936">
        <f t="shared" si="18"/>
        <v>5740</v>
      </c>
    </row>
    <row r="56" spans="1:8" ht="20.100000000000001" customHeight="1" x14ac:dyDescent="0.15">
      <c r="A56" s="1935">
        <v>42979</v>
      </c>
      <c r="B56" s="1934" t="s">
        <v>37</v>
      </c>
      <c r="C56" s="1934" t="s">
        <v>519</v>
      </c>
      <c r="D56" s="1936">
        <v>166456</v>
      </c>
      <c r="E56" s="1936">
        <v>21487</v>
      </c>
      <c r="F56" s="1936">
        <v>27658</v>
      </c>
      <c r="G56" s="1937">
        <f t="shared" si="17"/>
        <v>0.13</v>
      </c>
      <c r="H56" s="1936">
        <f t="shared" si="18"/>
        <v>3595</v>
      </c>
    </row>
    <row r="57" spans="1:8" ht="20.100000000000001" customHeight="1" x14ac:dyDescent="0.15">
      <c r="A57" s="1935">
        <v>42979</v>
      </c>
      <c r="B57" s="1934" t="s">
        <v>66</v>
      </c>
      <c r="C57" s="1934" t="s">
        <v>520</v>
      </c>
      <c r="D57" s="1936">
        <v>179496</v>
      </c>
      <c r="E57" s="1936">
        <v>25522</v>
      </c>
      <c r="F57" s="1936">
        <v>26174</v>
      </c>
      <c r="G57" s="1937">
        <f t="shared" si="17"/>
        <v>0.14000000000000001</v>
      </c>
      <c r="H57" s="1936">
        <f t="shared" si="18"/>
        <v>3664</v>
      </c>
    </row>
    <row r="58" spans="1:8" ht="20.100000000000001" customHeight="1" x14ac:dyDescent="0.15">
      <c r="A58" s="1935">
        <v>42979</v>
      </c>
      <c r="B58" s="1934" t="s">
        <v>66</v>
      </c>
      <c r="C58" s="1934" t="s">
        <v>521</v>
      </c>
      <c r="D58" s="1936">
        <v>152603</v>
      </c>
      <c r="E58" s="1936">
        <v>3003</v>
      </c>
      <c r="F58" s="1936">
        <v>30534</v>
      </c>
      <c r="G58" s="1937">
        <f t="shared" si="17"/>
        <v>0.02</v>
      </c>
      <c r="H58" s="1936">
        <f t="shared" si="18"/>
        <v>610</v>
      </c>
    </row>
    <row r="59" spans="1:8" ht="20.100000000000001" customHeight="1" x14ac:dyDescent="0.15">
      <c r="A59" s="1935">
        <v>42979</v>
      </c>
      <c r="B59" s="1934" t="s">
        <v>472</v>
      </c>
      <c r="C59" s="1934" t="s">
        <v>525</v>
      </c>
      <c r="D59" s="1936">
        <v>142120</v>
      </c>
      <c r="E59" s="1936">
        <v>20310</v>
      </c>
      <c r="F59" s="1936">
        <v>27440</v>
      </c>
      <c r="G59" s="1937">
        <f t="shared" si="17"/>
        <v>0.14000000000000001</v>
      </c>
      <c r="H59" s="1936">
        <f t="shared" si="18"/>
        <v>3841</v>
      </c>
    </row>
    <row r="60" spans="1:8" ht="20.100000000000001" customHeight="1" x14ac:dyDescent="0.15">
      <c r="A60" s="1935">
        <v>42979</v>
      </c>
      <c r="B60" s="1934" t="s">
        <v>119</v>
      </c>
      <c r="C60" s="1934" t="s">
        <v>522</v>
      </c>
      <c r="D60" s="1936">
        <v>106489.88</v>
      </c>
      <c r="E60" s="1936">
        <v>14217.5</v>
      </c>
      <c r="F60" s="1936">
        <v>21660.12</v>
      </c>
      <c r="G60" s="1937">
        <f t="shared" si="17"/>
        <v>0.13</v>
      </c>
      <c r="H60" s="1936">
        <f t="shared" si="18"/>
        <v>2815</v>
      </c>
    </row>
    <row r="61" spans="1:8" ht="20.100000000000001" customHeight="1" x14ac:dyDescent="0.15">
      <c r="A61" s="1935">
        <v>42979</v>
      </c>
      <c r="B61" s="1934" t="s">
        <v>329</v>
      </c>
      <c r="C61" s="1934" t="s">
        <v>526</v>
      </c>
      <c r="D61" s="1936">
        <v>157024</v>
      </c>
      <c r="E61" s="1936">
        <v>63000</v>
      </c>
      <c r="F61" s="1936">
        <v>27499</v>
      </c>
      <c r="G61" s="1937">
        <f t="shared" si="17"/>
        <v>0.4</v>
      </c>
      <c r="H61" s="1936">
        <f t="shared" si="18"/>
        <v>10999</v>
      </c>
    </row>
    <row r="62" spans="1:8" ht="20.100000000000001" customHeight="1" x14ac:dyDescent="0.15">
      <c r="A62" s="1935">
        <v>43009</v>
      </c>
      <c r="B62" s="1934" t="s">
        <v>391</v>
      </c>
      <c r="C62" s="1934" t="s">
        <v>524</v>
      </c>
      <c r="D62" s="1936">
        <v>92117</v>
      </c>
      <c r="E62" s="1936">
        <v>21050</v>
      </c>
      <c r="F62" s="1936">
        <v>27131</v>
      </c>
      <c r="G62" s="1937">
        <f t="shared" si="17"/>
        <v>0.23</v>
      </c>
      <c r="H62" s="1936">
        <f t="shared" si="18"/>
        <v>6240</v>
      </c>
    </row>
    <row r="63" spans="1:8" ht="20.100000000000001" customHeight="1" x14ac:dyDescent="0.15">
      <c r="A63" s="1935">
        <v>43009</v>
      </c>
      <c r="B63" s="1934" t="s">
        <v>37</v>
      </c>
      <c r="C63" s="1934" t="s">
        <v>519</v>
      </c>
      <c r="D63" s="1936">
        <v>157111</v>
      </c>
      <c r="E63" s="1936">
        <v>15762</v>
      </c>
      <c r="F63" s="1936">
        <v>27620</v>
      </c>
      <c r="G63" s="1937">
        <f t="shared" si="17"/>
        <v>0.1</v>
      </c>
      <c r="H63" s="1936">
        <f t="shared" si="18"/>
        <v>2762</v>
      </c>
    </row>
    <row r="64" spans="1:8" ht="20.100000000000001" customHeight="1" x14ac:dyDescent="0.15">
      <c r="A64" s="1935">
        <v>43009</v>
      </c>
      <c r="B64" s="1934" t="s">
        <v>66</v>
      </c>
      <c r="C64" s="1934" t="s">
        <v>520</v>
      </c>
      <c r="D64" s="1936">
        <v>173984</v>
      </c>
      <c r="E64" s="1936">
        <v>18517</v>
      </c>
      <c r="F64" s="1936">
        <v>26155</v>
      </c>
      <c r="G64" s="1937">
        <f t="shared" si="17"/>
        <v>0.11</v>
      </c>
      <c r="H64" s="1936">
        <f t="shared" si="18"/>
        <v>2877</v>
      </c>
    </row>
    <row r="65" spans="1:8" ht="20.100000000000001" customHeight="1" x14ac:dyDescent="0.15">
      <c r="A65" s="1935">
        <v>43009</v>
      </c>
      <c r="B65" s="1934" t="s">
        <v>66</v>
      </c>
      <c r="C65" s="1934" t="s">
        <v>521</v>
      </c>
      <c r="D65" s="1936">
        <v>200558</v>
      </c>
      <c r="E65" s="1936">
        <v>33392</v>
      </c>
      <c r="F65" s="1936">
        <v>30725</v>
      </c>
      <c r="G65" s="1937">
        <f t="shared" si="17"/>
        <v>0.17</v>
      </c>
      <c r="H65" s="1936">
        <f t="shared" si="18"/>
        <v>5223</v>
      </c>
    </row>
    <row r="66" spans="1:8" ht="20.100000000000001" customHeight="1" x14ac:dyDescent="0.15">
      <c r="A66" s="1935">
        <v>43009</v>
      </c>
      <c r="B66" s="1934" t="s">
        <v>472</v>
      </c>
      <c r="C66" s="1934" t="s">
        <v>525</v>
      </c>
      <c r="D66" s="1936">
        <v>128437</v>
      </c>
      <c r="E66" s="1936">
        <v>18630</v>
      </c>
      <c r="F66" s="1936">
        <v>27383</v>
      </c>
      <c r="G66" s="1937">
        <f t="shared" ref="G66:G74" si="19">IFERROR(ROUND(E66/D66,2),0)</f>
        <v>0.15</v>
      </c>
      <c r="H66" s="1936">
        <f t="shared" ref="H66:H74" si="20">IFERROR(ROUNDDOWN(F66*G66,0),0)</f>
        <v>4107</v>
      </c>
    </row>
    <row r="67" spans="1:8" ht="20.100000000000001" customHeight="1" x14ac:dyDescent="0.15">
      <c r="A67" s="1935">
        <v>43009</v>
      </c>
      <c r="B67" s="1934" t="s">
        <v>119</v>
      </c>
      <c r="C67" s="1934" t="s">
        <v>522</v>
      </c>
      <c r="D67" s="1936">
        <v>118937.4</v>
      </c>
      <c r="E67" s="1936">
        <v>15537.5</v>
      </c>
      <c r="F67" s="1936">
        <v>21712.6</v>
      </c>
      <c r="G67" s="1937">
        <f t="shared" si="19"/>
        <v>0.13</v>
      </c>
      <c r="H67" s="1936">
        <f t="shared" si="20"/>
        <v>2822</v>
      </c>
    </row>
    <row r="68" spans="1:8" ht="20.100000000000001" customHeight="1" x14ac:dyDescent="0.15">
      <c r="A68" s="1935">
        <v>43009</v>
      </c>
      <c r="B68" s="1934" t="s">
        <v>329</v>
      </c>
      <c r="C68" s="1934" t="s">
        <v>526</v>
      </c>
      <c r="D68" s="1936">
        <v>118708</v>
      </c>
      <c r="E68" s="1936">
        <v>51550</v>
      </c>
      <c r="F68" s="1936">
        <v>27339</v>
      </c>
      <c r="G68" s="1937">
        <f t="shared" si="19"/>
        <v>0.43</v>
      </c>
      <c r="H68" s="1936">
        <f t="shared" si="20"/>
        <v>11755</v>
      </c>
    </row>
    <row r="69" spans="1:8" ht="20.100000000000001" customHeight="1" x14ac:dyDescent="0.15">
      <c r="A69" s="1935">
        <v>43040</v>
      </c>
      <c r="B69" s="1934" t="s">
        <v>37</v>
      </c>
      <c r="C69" s="1934" t="s">
        <v>519</v>
      </c>
      <c r="D69" s="1936">
        <v>157176</v>
      </c>
      <c r="E69" s="1936">
        <v>23205</v>
      </c>
      <c r="F69" s="1936">
        <v>27621</v>
      </c>
      <c r="G69" s="1937">
        <f t="shared" si="19"/>
        <v>0.15</v>
      </c>
      <c r="H69" s="1936">
        <f t="shared" si="20"/>
        <v>4143</v>
      </c>
    </row>
    <row r="70" spans="1:8" ht="20.100000000000001" customHeight="1" x14ac:dyDescent="0.15">
      <c r="A70" s="1935">
        <v>43040</v>
      </c>
      <c r="B70" s="1934" t="s">
        <v>66</v>
      </c>
      <c r="C70" s="1934" t="s">
        <v>520</v>
      </c>
      <c r="D70" s="1936">
        <v>162709</v>
      </c>
      <c r="E70" s="1936">
        <v>25189</v>
      </c>
      <c r="F70" s="1936">
        <v>26115</v>
      </c>
      <c r="G70" s="1937">
        <f t="shared" si="19"/>
        <v>0.15</v>
      </c>
      <c r="H70" s="1936">
        <f t="shared" si="20"/>
        <v>3917</v>
      </c>
    </row>
    <row r="71" spans="1:8" ht="20.100000000000001" customHeight="1" x14ac:dyDescent="0.15">
      <c r="A71" s="1935">
        <v>43040</v>
      </c>
      <c r="B71" s="1934" t="s">
        <v>66</v>
      </c>
      <c r="C71" s="1934" t="s">
        <v>521</v>
      </c>
      <c r="D71" s="1936">
        <v>190225</v>
      </c>
      <c r="E71" s="1936">
        <v>21780</v>
      </c>
      <c r="F71" s="1936">
        <v>30673</v>
      </c>
      <c r="G71" s="1937">
        <f t="shared" si="19"/>
        <v>0.11</v>
      </c>
      <c r="H71" s="1936">
        <f t="shared" si="20"/>
        <v>3374</v>
      </c>
    </row>
    <row r="72" spans="1:8" ht="20.100000000000001" customHeight="1" x14ac:dyDescent="0.15">
      <c r="A72" s="1935">
        <v>43040</v>
      </c>
      <c r="B72" s="1934" t="s">
        <v>472</v>
      </c>
      <c r="C72" s="1934" t="s">
        <v>525</v>
      </c>
      <c r="D72" s="1936">
        <v>147040</v>
      </c>
      <c r="E72" s="1936">
        <v>21030</v>
      </c>
      <c r="F72" s="1936">
        <v>27460</v>
      </c>
      <c r="G72" s="1937">
        <f t="shared" si="19"/>
        <v>0.14000000000000001</v>
      </c>
      <c r="H72" s="1936">
        <f t="shared" si="20"/>
        <v>3844</v>
      </c>
    </row>
    <row r="73" spans="1:8" ht="20.100000000000001" customHeight="1" x14ac:dyDescent="0.15">
      <c r="A73" s="1935">
        <v>43040</v>
      </c>
      <c r="B73" s="1934" t="s">
        <v>119</v>
      </c>
      <c r="C73" s="1934" t="s">
        <v>522</v>
      </c>
      <c r="D73" s="1936">
        <v>111048.728</v>
      </c>
      <c r="E73" s="1936">
        <v>14630</v>
      </c>
      <c r="F73" s="1936">
        <v>21679.272000000001</v>
      </c>
      <c r="G73" s="1937">
        <f t="shared" si="19"/>
        <v>0.13</v>
      </c>
      <c r="H73" s="1936">
        <f t="shared" si="20"/>
        <v>2818</v>
      </c>
    </row>
    <row r="74" spans="1:8" ht="20.100000000000001" customHeight="1" x14ac:dyDescent="0.15">
      <c r="A74" s="1935">
        <v>43040</v>
      </c>
      <c r="B74" s="1934" t="s">
        <v>329</v>
      </c>
      <c r="C74" s="1934" t="s">
        <v>526</v>
      </c>
      <c r="D74" s="1936">
        <v>143560</v>
      </c>
      <c r="E74" s="1936">
        <v>59550</v>
      </c>
      <c r="F74" s="1936">
        <v>27443</v>
      </c>
      <c r="G74" s="1937">
        <f t="shared" si="19"/>
        <v>0.41</v>
      </c>
      <c r="H74" s="1936">
        <f t="shared" si="20"/>
        <v>11251</v>
      </c>
    </row>
    <row r="75" spans="1:8" ht="20.100000000000001" customHeight="1" x14ac:dyDescent="0.15">
      <c r="A75" s="1935">
        <v>43070</v>
      </c>
      <c r="B75" s="1934" t="s">
        <v>34</v>
      </c>
      <c r="C75" s="1934" t="s">
        <v>927</v>
      </c>
      <c r="D75" s="1936">
        <v>130611</v>
      </c>
      <c r="E75" s="1936">
        <v>12577</v>
      </c>
      <c r="F75" s="1936">
        <v>20569</v>
      </c>
      <c r="G75" s="1937">
        <f t="shared" ref="G75:G86" si="21">IFERROR(ROUND(E75/D75,2),0)</f>
        <v>0.1</v>
      </c>
      <c r="H75" s="1936">
        <f t="shared" ref="H75:H97" si="22">IFERROR(ROUNDDOWN(F75*G75,0),0)</f>
        <v>2056</v>
      </c>
    </row>
    <row r="76" spans="1:8" ht="20.100000000000001" customHeight="1" x14ac:dyDescent="0.15">
      <c r="A76" s="1935">
        <v>43070</v>
      </c>
      <c r="B76" s="1934" t="s">
        <v>37</v>
      </c>
      <c r="C76" s="1934" t="s">
        <v>519</v>
      </c>
      <c r="D76" s="1936">
        <v>167435</v>
      </c>
      <c r="E76" s="1936">
        <v>20230</v>
      </c>
      <c r="F76" s="1936">
        <v>27630</v>
      </c>
      <c r="G76" s="1937">
        <f t="shared" si="21"/>
        <v>0.12</v>
      </c>
      <c r="H76" s="1936">
        <f t="shared" si="22"/>
        <v>3315</v>
      </c>
    </row>
    <row r="77" spans="1:8" ht="20.100000000000001" customHeight="1" x14ac:dyDescent="0.15">
      <c r="A77" s="1935">
        <v>43070</v>
      </c>
      <c r="B77" s="1934" t="s">
        <v>37</v>
      </c>
      <c r="C77" s="1934" t="s">
        <v>928</v>
      </c>
      <c r="D77" s="1936">
        <v>160085</v>
      </c>
      <c r="E77" s="1936">
        <v>15128</v>
      </c>
      <c r="F77" s="1936">
        <v>23088</v>
      </c>
      <c r="G77" s="1937">
        <f t="shared" si="21"/>
        <v>0.09</v>
      </c>
      <c r="H77" s="1936">
        <f t="shared" si="22"/>
        <v>2077</v>
      </c>
    </row>
    <row r="78" spans="1:8" ht="20.100000000000001" customHeight="1" x14ac:dyDescent="0.15">
      <c r="A78" s="1935">
        <v>43070</v>
      </c>
      <c r="B78" s="1934" t="s">
        <v>66</v>
      </c>
      <c r="C78" s="1934" t="s">
        <v>520</v>
      </c>
      <c r="D78" s="1936">
        <v>165779</v>
      </c>
      <c r="E78" s="1936">
        <v>17895</v>
      </c>
      <c r="F78" s="1936">
        <v>26106</v>
      </c>
      <c r="G78" s="1937">
        <f t="shared" si="21"/>
        <v>0.11</v>
      </c>
      <c r="H78" s="1936">
        <f t="shared" si="22"/>
        <v>2871</v>
      </c>
    </row>
    <row r="79" spans="1:8" ht="20.100000000000001" customHeight="1" x14ac:dyDescent="0.15">
      <c r="A79" s="1935">
        <v>43070</v>
      </c>
      <c r="B79" s="1934" t="s">
        <v>66</v>
      </c>
      <c r="C79" s="1934" t="s">
        <v>521</v>
      </c>
      <c r="D79" s="1936">
        <v>180975</v>
      </c>
      <c r="E79" s="1936">
        <v>16157</v>
      </c>
      <c r="F79" s="1936">
        <v>30628</v>
      </c>
      <c r="G79" s="1937">
        <f t="shared" si="21"/>
        <v>0.09</v>
      </c>
      <c r="H79" s="1936">
        <f t="shared" si="22"/>
        <v>2756</v>
      </c>
    </row>
    <row r="80" spans="1:8" ht="20.100000000000001" customHeight="1" x14ac:dyDescent="0.15">
      <c r="A80" s="1935">
        <v>43070</v>
      </c>
      <c r="B80" s="1934" t="s">
        <v>472</v>
      </c>
      <c r="C80" s="1934" t="s">
        <v>525</v>
      </c>
      <c r="D80" s="1936">
        <v>173352</v>
      </c>
      <c r="E80" s="1936">
        <f>22770+8500</f>
        <v>31270</v>
      </c>
      <c r="F80" s="1936">
        <v>27558</v>
      </c>
      <c r="G80" s="1937">
        <f t="shared" si="21"/>
        <v>0.18</v>
      </c>
      <c r="H80" s="1936">
        <f t="shared" si="22"/>
        <v>4960</v>
      </c>
    </row>
    <row r="81" spans="1:8" ht="20.100000000000001" customHeight="1" x14ac:dyDescent="0.15">
      <c r="A81" s="1935">
        <v>43070</v>
      </c>
      <c r="B81" s="1934" t="s">
        <v>119</v>
      </c>
      <c r="C81" s="1934" t="s">
        <v>522</v>
      </c>
      <c r="D81" s="1936">
        <v>125801.368</v>
      </c>
      <c r="E81" s="1936">
        <f>15620+2750</f>
        <v>18370</v>
      </c>
      <c r="F81" s="1936">
        <v>21726.631999999998</v>
      </c>
      <c r="G81" s="1937">
        <f t="shared" si="21"/>
        <v>0.15</v>
      </c>
      <c r="H81" s="1936">
        <f t="shared" si="22"/>
        <v>3258</v>
      </c>
    </row>
    <row r="82" spans="1:8" ht="20.100000000000001" customHeight="1" x14ac:dyDescent="0.15">
      <c r="A82" s="1935">
        <v>43070</v>
      </c>
      <c r="B82" s="1934" t="s">
        <v>329</v>
      </c>
      <c r="C82" s="1934" t="s">
        <v>526</v>
      </c>
      <c r="D82" s="1936">
        <v>150865</v>
      </c>
      <c r="E82" s="1936">
        <f>55650+3000</f>
        <v>58650</v>
      </c>
      <c r="F82" s="1936">
        <v>27405</v>
      </c>
      <c r="G82" s="1937">
        <f t="shared" si="21"/>
        <v>0.39</v>
      </c>
      <c r="H82" s="1936">
        <f t="shared" si="22"/>
        <v>10687</v>
      </c>
    </row>
    <row r="83" spans="1:8" ht="20.100000000000001" customHeight="1" x14ac:dyDescent="0.15">
      <c r="A83" s="1935">
        <v>43101</v>
      </c>
      <c r="B83" s="1934" t="s">
        <v>34</v>
      </c>
      <c r="C83" s="1934" t="s">
        <v>927</v>
      </c>
      <c r="D83" s="1936">
        <v>130033</v>
      </c>
      <c r="E83" s="1936">
        <v>14553</v>
      </c>
      <c r="F83" s="1936">
        <v>20576</v>
      </c>
      <c r="G83" s="1937">
        <f t="shared" si="21"/>
        <v>0.11</v>
      </c>
      <c r="H83" s="1936">
        <f t="shared" si="22"/>
        <v>2263</v>
      </c>
    </row>
    <row r="84" spans="1:8" ht="20.100000000000001" customHeight="1" x14ac:dyDescent="0.15">
      <c r="A84" s="1935">
        <v>43101</v>
      </c>
      <c r="B84" s="1934" t="s">
        <v>37</v>
      </c>
      <c r="C84" s="1934" t="s">
        <v>519</v>
      </c>
      <c r="D84" s="1936">
        <v>148620</v>
      </c>
      <c r="E84" s="1936">
        <v>24432</v>
      </c>
      <c r="F84" s="1936">
        <v>27585</v>
      </c>
      <c r="G84" s="1937">
        <f t="shared" si="21"/>
        <v>0.16</v>
      </c>
      <c r="H84" s="1936">
        <f t="shared" si="22"/>
        <v>4413</v>
      </c>
    </row>
    <row r="85" spans="1:8" ht="20.100000000000001" customHeight="1" x14ac:dyDescent="0.15">
      <c r="A85" s="1935">
        <v>43101</v>
      </c>
      <c r="B85" s="1934" t="s">
        <v>37</v>
      </c>
      <c r="C85" s="1934" t="s">
        <v>928</v>
      </c>
      <c r="D85" s="1936">
        <v>195968</v>
      </c>
      <c r="E85" s="1936">
        <v>25830</v>
      </c>
      <c r="F85" s="1936">
        <v>23232</v>
      </c>
      <c r="G85" s="1937">
        <f t="shared" si="21"/>
        <v>0.13</v>
      </c>
      <c r="H85" s="1936">
        <f t="shared" si="22"/>
        <v>3020</v>
      </c>
    </row>
    <row r="86" spans="1:8" ht="20.100000000000001" customHeight="1" x14ac:dyDescent="0.15">
      <c r="A86" s="1935">
        <v>43101</v>
      </c>
      <c r="B86" s="1934" t="s">
        <v>66</v>
      </c>
      <c r="C86" s="1934" t="s">
        <v>520</v>
      </c>
      <c r="D86" s="1936">
        <v>148256</v>
      </c>
      <c r="E86" s="1936">
        <v>19682</v>
      </c>
      <c r="F86" s="1936">
        <v>26059</v>
      </c>
      <c r="G86" s="1937">
        <f t="shared" si="21"/>
        <v>0.13</v>
      </c>
      <c r="H86" s="1936">
        <f t="shared" si="22"/>
        <v>3387</v>
      </c>
    </row>
    <row r="87" spans="1:8" ht="20.100000000000001" customHeight="1" x14ac:dyDescent="0.15">
      <c r="A87" s="1935">
        <v>43101</v>
      </c>
      <c r="B87" s="1934" t="s">
        <v>66</v>
      </c>
      <c r="C87" s="1934" t="s">
        <v>521</v>
      </c>
      <c r="D87" s="1936">
        <v>181504</v>
      </c>
      <c r="E87" s="1936">
        <v>23800</v>
      </c>
      <c r="F87" s="1936">
        <v>30653</v>
      </c>
      <c r="G87" s="1937">
        <f t="shared" ref="G87:G100" si="23">IFERROR(ROUND(E87/D87,2),0)</f>
        <v>0.13</v>
      </c>
      <c r="H87" s="1936">
        <f t="shared" si="22"/>
        <v>3984</v>
      </c>
    </row>
    <row r="88" spans="1:8" ht="20.100000000000001" customHeight="1" x14ac:dyDescent="0.15">
      <c r="A88" s="1935">
        <v>43101</v>
      </c>
      <c r="B88" s="1934" t="s">
        <v>472</v>
      </c>
      <c r="C88" s="1934" t="s">
        <v>525</v>
      </c>
      <c r="D88" s="1936">
        <v>144540</v>
      </c>
      <c r="E88" s="1936">
        <v>21030</v>
      </c>
      <c r="F88" s="1936">
        <v>27450</v>
      </c>
      <c r="G88" s="1937">
        <f t="shared" si="23"/>
        <v>0.15</v>
      </c>
      <c r="H88" s="1936">
        <f t="shared" si="22"/>
        <v>4117</v>
      </c>
    </row>
    <row r="89" spans="1:8" ht="20.100000000000001" customHeight="1" x14ac:dyDescent="0.15">
      <c r="A89" s="1935">
        <v>43101</v>
      </c>
      <c r="B89" s="1934" t="s">
        <v>119</v>
      </c>
      <c r="C89" s="1934" t="s">
        <v>522</v>
      </c>
      <c r="D89" s="1936">
        <v>104568</v>
      </c>
      <c r="E89" s="1936">
        <v>14630</v>
      </c>
      <c r="F89" s="1936">
        <v>21652</v>
      </c>
      <c r="G89" s="1937">
        <f t="shared" si="23"/>
        <v>0.14000000000000001</v>
      </c>
      <c r="H89" s="1936">
        <f t="shared" si="22"/>
        <v>3031</v>
      </c>
    </row>
    <row r="90" spans="1:8" ht="20.100000000000001" customHeight="1" x14ac:dyDescent="0.15">
      <c r="A90" s="1935">
        <v>43101</v>
      </c>
      <c r="B90" s="1934" t="s">
        <v>329</v>
      </c>
      <c r="C90" s="1934" t="s">
        <v>526</v>
      </c>
      <c r="D90" s="1936">
        <v>179890</v>
      </c>
      <c r="E90" s="1936">
        <f>59550+17000</f>
        <v>76550</v>
      </c>
      <c r="F90" s="1936">
        <v>27595</v>
      </c>
      <c r="G90" s="1937">
        <f t="shared" si="23"/>
        <v>0.43</v>
      </c>
      <c r="H90" s="1936">
        <f t="shared" si="22"/>
        <v>11865</v>
      </c>
    </row>
    <row r="91" spans="1:8" ht="20.100000000000001" customHeight="1" x14ac:dyDescent="0.15">
      <c r="A91" s="1935">
        <v>43132</v>
      </c>
      <c r="B91" s="1934" t="s">
        <v>336</v>
      </c>
      <c r="C91" s="1934" t="s">
        <v>934</v>
      </c>
      <c r="D91" s="1936">
        <v>77555</v>
      </c>
      <c r="E91" s="1936">
        <v>8769</v>
      </c>
      <c r="F91" s="1936">
        <v>5616</v>
      </c>
      <c r="G91" s="1937">
        <f t="shared" si="23"/>
        <v>0.11</v>
      </c>
      <c r="H91" s="1936">
        <f t="shared" si="22"/>
        <v>617</v>
      </c>
    </row>
    <row r="92" spans="1:8" ht="20.100000000000001" customHeight="1" x14ac:dyDescent="0.15">
      <c r="A92" s="1935">
        <v>43132</v>
      </c>
      <c r="B92" s="1934" t="s">
        <v>336</v>
      </c>
      <c r="C92" s="1934" t="s">
        <v>935</v>
      </c>
      <c r="D92" s="1936">
        <v>54128</v>
      </c>
      <c r="E92" s="1936">
        <v>13312</v>
      </c>
      <c r="F92" s="1936">
        <v>129</v>
      </c>
      <c r="G92" s="1937">
        <f t="shared" si="23"/>
        <v>0.25</v>
      </c>
      <c r="H92" s="1936">
        <f t="shared" si="22"/>
        <v>32</v>
      </c>
    </row>
    <row r="93" spans="1:8" ht="20.100000000000001" customHeight="1" x14ac:dyDescent="0.15">
      <c r="A93" s="1935">
        <v>43132</v>
      </c>
      <c r="B93" s="1934" t="s">
        <v>34</v>
      </c>
      <c r="C93" s="1934" t="s">
        <v>927</v>
      </c>
      <c r="D93" s="1936">
        <v>144640</v>
      </c>
      <c r="E93" s="1936">
        <v>10738</v>
      </c>
      <c r="F93" s="1936">
        <v>20634</v>
      </c>
      <c r="G93" s="1937">
        <f t="shared" si="23"/>
        <v>7.0000000000000007E-2</v>
      </c>
      <c r="H93" s="1936">
        <f t="shared" si="22"/>
        <v>1444</v>
      </c>
    </row>
    <row r="94" spans="1:8" ht="20.100000000000001" customHeight="1" x14ac:dyDescent="0.15">
      <c r="A94" s="1935">
        <v>43132</v>
      </c>
      <c r="B94" s="1934" t="s">
        <v>37</v>
      </c>
      <c r="C94" s="1934" t="s">
        <v>519</v>
      </c>
      <c r="D94" s="1936">
        <v>140000</v>
      </c>
      <c r="E94" s="1936">
        <v>17525</v>
      </c>
      <c r="F94" s="1936">
        <v>27548</v>
      </c>
      <c r="G94" s="1937">
        <f t="shared" si="23"/>
        <v>0.13</v>
      </c>
      <c r="H94" s="1936">
        <f t="shared" si="22"/>
        <v>3581</v>
      </c>
    </row>
    <row r="95" spans="1:8" ht="20.100000000000001" customHeight="1" x14ac:dyDescent="0.15">
      <c r="A95" s="1935">
        <v>43132</v>
      </c>
      <c r="B95" s="1934" t="s">
        <v>37</v>
      </c>
      <c r="C95" s="1934" t="s">
        <v>928</v>
      </c>
      <c r="D95" s="1936">
        <v>158644</v>
      </c>
      <c r="E95" s="1936">
        <v>16587</v>
      </c>
      <c r="F95" s="1936">
        <v>21836</v>
      </c>
      <c r="G95" s="1937">
        <f t="shared" si="23"/>
        <v>0.1</v>
      </c>
      <c r="H95" s="1936">
        <f t="shared" si="22"/>
        <v>2183</v>
      </c>
    </row>
    <row r="96" spans="1:8" ht="20.100000000000001" customHeight="1" x14ac:dyDescent="0.15">
      <c r="A96" s="1935">
        <v>43132</v>
      </c>
      <c r="B96" s="1934" t="s">
        <v>66</v>
      </c>
      <c r="C96" s="1934" t="s">
        <v>520</v>
      </c>
      <c r="D96" s="1936">
        <v>166133</v>
      </c>
      <c r="E96" s="1936">
        <v>19453</v>
      </c>
      <c r="F96" s="1936">
        <v>26125</v>
      </c>
      <c r="G96" s="1937">
        <f t="shared" si="23"/>
        <v>0.12</v>
      </c>
      <c r="H96" s="1936">
        <f t="shared" si="22"/>
        <v>3135</v>
      </c>
    </row>
    <row r="97" spans="1:8" ht="20.100000000000001" customHeight="1" x14ac:dyDescent="0.15">
      <c r="A97" s="1935">
        <v>43132</v>
      </c>
      <c r="B97" s="1934" t="s">
        <v>66</v>
      </c>
      <c r="C97" s="1934" t="s">
        <v>521</v>
      </c>
      <c r="D97" s="1936">
        <v>194139</v>
      </c>
      <c r="E97" s="1936">
        <v>16997</v>
      </c>
      <c r="F97" s="1936">
        <v>30714</v>
      </c>
      <c r="G97" s="1937">
        <f t="shared" si="23"/>
        <v>0.09</v>
      </c>
      <c r="H97" s="1936">
        <f t="shared" si="22"/>
        <v>2764</v>
      </c>
    </row>
    <row r="98" spans="1:8" ht="20.100000000000001" customHeight="1" x14ac:dyDescent="0.15">
      <c r="A98" s="1935">
        <v>43132</v>
      </c>
      <c r="B98" s="1934" t="s">
        <v>66</v>
      </c>
      <c r="C98" s="1934" t="s">
        <v>936</v>
      </c>
      <c r="D98" s="1936">
        <v>194374</v>
      </c>
      <c r="E98" s="1936">
        <v>22926</v>
      </c>
      <c r="F98" s="1936">
        <v>48620</v>
      </c>
      <c r="G98" s="1937">
        <f t="shared" si="23"/>
        <v>0.12</v>
      </c>
      <c r="H98" s="1936">
        <f>IFERROR(ROUNDDOWN(F98*G98,0),0)</f>
        <v>5834</v>
      </c>
    </row>
    <row r="99" spans="1:8" ht="20.100000000000001" customHeight="1" x14ac:dyDescent="0.15">
      <c r="A99" s="1935">
        <v>43132</v>
      </c>
      <c r="B99" s="1934" t="s">
        <v>939</v>
      </c>
      <c r="C99" s="1934" t="s">
        <v>937</v>
      </c>
      <c r="D99" s="1936">
        <v>147120</v>
      </c>
      <c r="E99" s="1936">
        <v>21462.5</v>
      </c>
      <c r="F99" s="1936">
        <v>26066</v>
      </c>
      <c r="G99" s="1937">
        <f t="shared" si="23"/>
        <v>0.15</v>
      </c>
      <c r="H99" s="1936">
        <f>IFERROR(ROUNDDOWN(F99*G99,0),0)</f>
        <v>3909</v>
      </c>
    </row>
    <row r="100" spans="1:8" ht="20.100000000000001" customHeight="1" x14ac:dyDescent="0.15">
      <c r="A100" s="1935">
        <v>43132</v>
      </c>
      <c r="B100" s="1934" t="s">
        <v>939</v>
      </c>
      <c r="C100" s="1934" t="s">
        <v>525</v>
      </c>
      <c r="D100" s="1936">
        <v>117140</v>
      </c>
      <c r="E100" s="1936">
        <v>17310</v>
      </c>
      <c r="F100" s="1936">
        <v>28080</v>
      </c>
      <c r="G100" s="1937">
        <f t="shared" si="23"/>
        <v>0.15</v>
      </c>
      <c r="H100" s="1936">
        <f>IFERROR(ROUNDDOWN(F100*G100,0),0)</f>
        <v>4212</v>
      </c>
    </row>
    <row r="101" spans="1:8" ht="20.100000000000001" customHeight="1" x14ac:dyDescent="0.15">
      <c r="A101" s="1935">
        <v>43132</v>
      </c>
      <c r="B101" s="1934" t="s">
        <v>939</v>
      </c>
      <c r="C101" s="1934" t="s">
        <v>938</v>
      </c>
      <c r="D101" s="1936">
        <v>176313</v>
      </c>
      <c r="E101" s="1936">
        <v>22387.5</v>
      </c>
      <c r="F101" s="1936">
        <v>36671</v>
      </c>
      <c r="G101" s="1937">
        <f t="shared" ref="G101:G130" si="24">IFERROR(ROUND(E101/D101,2),0)</f>
        <v>0.13</v>
      </c>
      <c r="H101" s="1936">
        <f t="shared" ref="H101:H130" si="25">IFERROR(ROUNDDOWN(F101*G101,0),0)</f>
        <v>4767</v>
      </c>
    </row>
    <row r="102" spans="1:8" ht="20.100000000000001" customHeight="1" x14ac:dyDescent="0.15">
      <c r="A102" s="1935">
        <v>43132</v>
      </c>
      <c r="B102" s="1934" t="s">
        <v>119</v>
      </c>
      <c r="C102" s="1934" t="s">
        <v>522</v>
      </c>
      <c r="D102" s="1936">
        <v>92442.467999999993</v>
      </c>
      <c r="E102" s="1936">
        <v>12595</v>
      </c>
      <c r="F102" s="1936">
        <v>21600.531999999999</v>
      </c>
      <c r="G102" s="1937">
        <f t="shared" si="24"/>
        <v>0.14000000000000001</v>
      </c>
      <c r="H102" s="1936">
        <f t="shared" si="25"/>
        <v>3024</v>
      </c>
    </row>
    <row r="103" spans="1:8" ht="20.100000000000001" customHeight="1" x14ac:dyDescent="0.15">
      <c r="A103" s="1935">
        <v>43132</v>
      </c>
      <c r="B103" s="1934" t="s">
        <v>329</v>
      </c>
      <c r="C103" s="1934" t="s">
        <v>526</v>
      </c>
      <c r="D103" s="1936">
        <v>146884</v>
      </c>
      <c r="E103" s="1936">
        <v>31900</v>
      </c>
      <c r="F103" s="1936">
        <v>28202</v>
      </c>
      <c r="G103" s="1937">
        <f t="shared" si="24"/>
        <v>0.22</v>
      </c>
      <c r="H103" s="1936">
        <f t="shared" si="25"/>
        <v>6204</v>
      </c>
    </row>
    <row r="104" spans="1:8" ht="20.100000000000001" customHeight="1" x14ac:dyDescent="0.15">
      <c r="A104" s="1935">
        <v>43160</v>
      </c>
      <c r="B104" s="1934" t="s">
        <v>34</v>
      </c>
      <c r="C104" s="1934" t="s">
        <v>927</v>
      </c>
      <c r="D104" s="1936">
        <v>151779</v>
      </c>
      <c r="E104" s="1936">
        <v>8775</v>
      </c>
      <c r="F104" s="1936">
        <v>20601</v>
      </c>
      <c r="G104" s="1937">
        <f t="shared" si="24"/>
        <v>0.06</v>
      </c>
      <c r="H104" s="1936">
        <f t="shared" si="25"/>
        <v>1236</v>
      </c>
    </row>
    <row r="105" spans="1:8" ht="20.100000000000001" customHeight="1" x14ac:dyDescent="0.15">
      <c r="A105" s="1935">
        <v>43160</v>
      </c>
      <c r="B105" s="1934" t="s">
        <v>37</v>
      </c>
      <c r="C105" s="1934" t="s">
        <v>519</v>
      </c>
      <c r="D105" s="1936">
        <v>198038</v>
      </c>
      <c r="E105" s="1936">
        <v>14038</v>
      </c>
      <c r="F105" s="1936">
        <v>27649</v>
      </c>
      <c r="G105" s="1937">
        <f t="shared" si="24"/>
        <v>7.0000000000000007E-2</v>
      </c>
      <c r="H105" s="1936">
        <f t="shared" si="25"/>
        <v>1935</v>
      </c>
    </row>
    <row r="106" spans="1:8" ht="20.100000000000001" customHeight="1" x14ac:dyDescent="0.15">
      <c r="A106" s="1935">
        <v>43160</v>
      </c>
      <c r="B106" s="1934" t="s">
        <v>37</v>
      </c>
      <c r="C106" s="1934" t="s">
        <v>928</v>
      </c>
      <c r="D106" s="1936">
        <v>192176</v>
      </c>
      <c r="E106" s="1936">
        <v>626</v>
      </c>
      <c r="F106" s="1936">
        <v>21911</v>
      </c>
      <c r="G106" s="1937">
        <f t="shared" si="24"/>
        <v>0</v>
      </c>
      <c r="H106" s="1936">
        <f t="shared" si="25"/>
        <v>0</v>
      </c>
    </row>
    <row r="107" spans="1:8" ht="20.100000000000001" customHeight="1" x14ac:dyDescent="0.15">
      <c r="A107" s="1935">
        <v>43160</v>
      </c>
      <c r="B107" s="1934" t="s">
        <v>66</v>
      </c>
      <c r="C107" s="1934" t="s">
        <v>520</v>
      </c>
      <c r="D107" s="1936">
        <v>202389</v>
      </c>
      <c r="E107" s="1936">
        <v>14131</v>
      </c>
      <c r="F107" s="1936">
        <v>26174</v>
      </c>
      <c r="G107" s="1937">
        <f t="shared" si="24"/>
        <v>7.0000000000000007E-2</v>
      </c>
      <c r="H107" s="1936">
        <f t="shared" si="25"/>
        <v>1832</v>
      </c>
    </row>
    <row r="108" spans="1:8" ht="20.100000000000001" customHeight="1" x14ac:dyDescent="0.15">
      <c r="A108" s="1935">
        <v>43160</v>
      </c>
      <c r="B108" s="1934" t="s">
        <v>66</v>
      </c>
      <c r="C108" s="1934" t="s">
        <v>936</v>
      </c>
      <c r="D108" s="1936">
        <v>298428</v>
      </c>
      <c r="E108" s="1936">
        <v>21051</v>
      </c>
      <c r="F108" s="1936">
        <v>48938</v>
      </c>
      <c r="G108" s="1937">
        <f t="shared" si="24"/>
        <v>7.0000000000000007E-2</v>
      </c>
      <c r="H108" s="1936">
        <f t="shared" si="25"/>
        <v>3425</v>
      </c>
    </row>
    <row r="109" spans="1:8" ht="20.100000000000001" customHeight="1" x14ac:dyDescent="0.15">
      <c r="A109" s="1935">
        <v>43160</v>
      </c>
      <c r="B109" s="1934" t="s">
        <v>472</v>
      </c>
      <c r="C109" s="1934" t="s">
        <v>937</v>
      </c>
      <c r="D109" s="1936">
        <v>167921</v>
      </c>
      <c r="E109" s="1936">
        <v>19550</v>
      </c>
      <c r="F109" s="1936">
        <v>26036</v>
      </c>
      <c r="G109" s="1937">
        <f t="shared" si="24"/>
        <v>0.12</v>
      </c>
      <c r="H109" s="1936">
        <f t="shared" si="25"/>
        <v>3124</v>
      </c>
    </row>
    <row r="110" spans="1:8" ht="20.100000000000001" customHeight="1" x14ac:dyDescent="0.15">
      <c r="A110" s="1935">
        <v>43160</v>
      </c>
      <c r="B110" s="1934" t="s">
        <v>472</v>
      </c>
      <c r="C110" s="1934" t="s">
        <v>525</v>
      </c>
      <c r="D110" s="1936">
        <v>167535</v>
      </c>
      <c r="E110" s="1936">
        <v>19860</v>
      </c>
      <c r="F110" s="1936">
        <v>27527</v>
      </c>
      <c r="G110" s="1937">
        <f t="shared" si="24"/>
        <v>0.12</v>
      </c>
      <c r="H110" s="1936">
        <f t="shared" si="25"/>
        <v>3303</v>
      </c>
    </row>
    <row r="111" spans="1:8" ht="20.100000000000001" customHeight="1" x14ac:dyDescent="0.15">
      <c r="A111" s="1935">
        <v>43160</v>
      </c>
      <c r="B111" s="1934" t="s">
        <v>472</v>
      </c>
      <c r="C111" s="1934" t="s">
        <v>938</v>
      </c>
      <c r="D111" s="1936">
        <v>251850</v>
      </c>
      <c r="E111" s="1936">
        <v>26137.5</v>
      </c>
      <c r="F111" s="1936">
        <v>36816</v>
      </c>
      <c r="G111" s="1937">
        <f t="shared" si="24"/>
        <v>0.1</v>
      </c>
      <c r="H111" s="1936">
        <f t="shared" si="25"/>
        <v>3681</v>
      </c>
    </row>
    <row r="112" spans="1:8" ht="20.100000000000001" customHeight="1" x14ac:dyDescent="0.15">
      <c r="A112" s="1935">
        <v>43160</v>
      </c>
      <c r="B112" s="1934" t="s">
        <v>119</v>
      </c>
      <c r="C112" s="1934" t="s">
        <v>522</v>
      </c>
      <c r="D112" s="1936">
        <v>134078</v>
      </c>
      <c r="E112" s="1936">
        <v>14740</v>
      </c>
      <c r="F112" s="1936">
        <v>21679.311999999998</v>
      </c>
      <c r="G112" s="1937">
        <f t="shared" si="24"/>
        <v>0.11</v>
      </c>
      <c r="H112" s="1936">
        <f t="shared" si="25"/>
        <v>2384</v>
      </c>
    </row>
    <row r="113" spans="1:8" ht="20.100000000000001" customHeight="1" x14ac:dyDescent="0.15">
      <c r="A113" s="1935">
        <v>43160</v>
      </c>
      <c r="B113" s="1934" t="s">
        <v>329</v>
      </c>
      <c r="C113" s="1934" t="s">
        <v>526</v>
      </c>
      <c r="D113" s="1936">
        <v>205400</v>
      </c>
      <c r="E113" s="1936">
        <v>34700</v>
      </c>
      <c r="F113" s="1936">
        <v>27678</v>
      </c>
      <c r="G113" s="1937">
        <f t="shared" si="24"/>
        <v>0.17</v>
      </c>
      <c r="H113" s="1936">
        <f t="shared" si="25"/>
        <v>4705</v>
      </c>
    </row>
    <row r="114" spans="1:8" ht="20.100000000000001" customHeight="1" x14ac:dyDescent="0.15">
      <c r="A114" s="1935">
        <v>43191</v>
      </c>
      <c r="B114" s="1934" t="s">
        <v>34</v>
      </c>
      <c r="C114" s="1934" t="s">
        <v>927</v>
      </c>
      <c r="D114" s="1936">
        <v>151901</v>
      </c>
      <c r="E114" s="1936">
        <v>14518</v>
      </c>
      <c r="F114" s="1936">
        <v>20601</v>
      </c>
      <c r="G114" s="1937">
        <f t="shared" si="24"/>
        <v>0.1</v>
      </c>
      <c r="H114" s="1936">
        <f t="shared" si="25"/>
        <v>2060</v>
      </c>
    </row>
    <row r="115" spans="1:8" ht="20.100000000000001" customHeight="1" x14ac:dyDescent="0.15">
      <c r="A115" s="1935">
        <v>43191</v>
      </c>
      <c r="B115" s="1934" t="s">
        <v>37</v>
      </c>
      <c r="C115" s="1934" t="s">
        <v>519</v>
      </c>
      <c r="D115" s="1936">
        <v>192805</v>
      </c>
      <c r="E115" s="1936">
        <v>14129</v>
      </c>
      <c r="F115" s="1936">
        <v>27628</v>
      </c>
      <c r="G115" s="1937">
        <f t="shared" si="24"/>
        <v>7.0000000000000007E-2</v>
      </c>
      <c r="H115" s="1936">
        <f t="shared" si="25"/>
        <v>1933</v>
      </c>
    </row>
    <row r="116" spans="1:8" ht="20.100000000000001" customHeight="1" x14ac:dyDescent="0.15">
      <c r="A116" s="1935">
        <v>43191</v>
      </c>
      <c r="B116" s="1934" t="s">
        <v>37</v>
      </c>
      <c r="C116" s="1934" t="s">
        <v>928</v>
      </c>
      <c r="D116" s="1936">
        <v>211812</v>
      </c>
      <c r="E116" s="1936">
        <v>13262</v>
      </c>
      <c r="F116" s="1936">
        <v>21990</v>
      </c>
      <c r="G116" s="1937">
        <f t="shared" si="24"/>
        <v>0.06</v>
      </c>
      <c r="H116" s="1936">
        <f t="shared" si="25"/>
        <v>1319</v>
      </c>
    </row>
    <row r="117" spans="1:8" ht="20.100000000000001" customHeight="1" x14ac:dyDescent="0.15">
      <c r="A117" s="1935">
        <v>43191</v>
      </c>
      <c r="B117" s="1934" t="s">
        <v>66</v>
      </c>
      <c r="C117" s="1934" t="s">
        <v>520</v>
      </c>
      <c r="D117" s="1936">
        <v>191871</v>
      </c>
      <c r="E117" s="1936">
        <v>21471</v>
      </c>
      <c r="F117" s="1936">
        <v>26132</v>
      </c>
      <c r="G117" s="1937">
        <f t="shared" si="24"/>
        <v>0.11</v>
      </c>
      <c r="H117" s="1936">
        <f t="shared" si="25"/>
        <v>2874</v>
      </c>
    </row>
    <row r="118" spans="1:8" ht="20.100000000000001" customHeight="1" x14ac:dyDescent="0.15">
      <c r="A118" s="1935">
        <v>43191</v>
      </c>
      <c r="B118" s="1934" t="s">
        <v>66</v>
      </c>
      <c r="C118" s="1934" t="s">
        <v>936</v>
      </c>
      <c r="D118" s="1936">
        <v>285078</v>
      </c>
      <c r="E118" s="1936">
        <v>21974</v>
      </c>
      <c r="F118" s="1936">
        <v>48885</v>
      </c>
      <c r="G118" s="1937">
        <f t="shared" si="24"/>
        <v>0.08</v>
      </c>
      <c r="H118" s="1936">
        <f t="shared" si="25"/>
        <v>3910</v>
      </c>
    </row>
    <row r="119" spans="1:8" ht="20.100000000000001" customHeight="1" x14ac:dyDescent="0.15">
      <c r="A119" s="1935">
        <v>43191</v>
      </c>
      <c r="B119" s="1934" t="s">
        <v>472</v>
      </c>
      <c r="C119" s="1934" t="s">
        <v>937</v>
      </c>
      <c r="D119" s="1936">
        <v>179690</v>
      </c>
      <c r="E119" s="1936">
        <v>28390</v>
      </c>
      <c r="F119" s="1936">
        <v>26083</v>
      </c>
      <c r="G119" s="1937">
        <f t="shared" si="24"/>
        <v>0.16</v>
      </c>
      <c r="H119" s="1936">
        <f t="shared" si="25"/>
        <v>4173</v>
      </c>
    </row>
    <row r="120" spans="1:8" ht="20.100000000000001" customHeight="1" x14ac:dyDescent="0.15">
      <c r="A120" s="1935">
        <v>43191</v>
      </c>
      <c r="B120" s="1934" t="s">
        <v>472</v>
      </c>
      <c r="C120" s="1934" t="s">
        <v>525</v>
      </c>
      <c r="D120" s="1936">
        <v>156570</v>
      </c>
      <c r="E120" s="1936">
        <v>18420</v>
      </c>
      <c r="F120" s="1936">
        <v>27483</v>
      </c>
      <c r="G120" s="1937">
        <f t="shared" si="24"/>
        <v>0.12</v>
      </c>
      <c r="H120" s="1936">
        <f t="shared" si="25"/>
        <v>3297</v>
      </c>
    </row>
    <row r="121" spans="1:8" ht="20.100000000000001" customHeight="1" x14ac:dyDescent="0.15">
      <c r="A121" s="1935">
        <v>43191</v>
      </c>
      <c r="B121" s="1934" t="s">
        <v>472</v>
      </c>
      <c r="C121" s="1934" t="s">
        <v>938</v>
      </c>
      <c r="D121" s="1936">
        <v>265263</v>
      </c>
      <c r="E121" s="1936">
        <v>27338</v>
      </c>
      <c r="F121" s="1936">
        <v>36870</v>
      </c>
      <c r="G121" s="1937">
        <f t="shared" si="24"/>
        <v>0.1</v>
      </c>
      <c r="H121" s="1936">
        <f t="shared" si="25"/>
        <v>3687</v>
      </c>
    </row>
    <row r="122" spans="1:8" ht="20.100000000000001" customHeight="1" x14ac:dyDescent="0.15">
      <c r="A122" s="1935">
        <v>43191</v>
      </c>
      <c r="B122" s="1934" t="s">
        <v>119</v>
      </c>
      <c r="C122" s="1934" t="s">
        <v>522</v>
      </c>
      <c r="D122" s="1936">
        <v>117918</v>
      </c>
      <c r="E122" s="1936">
        <v>12843</v>
      </c>
      <c r="F122" s="1936">
        <v>21614.671999999999</v>
      </c>
      <c r="G122" s="1937">
        <f t="shared" si="24"/>
        <v>0.11</v>
      </c>
      <c r="H122" s="1936">
        <f t="shared" si="25"/>
        <v>2377</v>
      </c>
    </row>
    <row r="123" spans="1:8" ht="20.100000000000001" customHeight="1" x14ac:dyDescent="0.15">
      <c r="A123" s="1935">
        <v>43191</v>
      </c>
      <c r="B123" s="1934" t="s">
        <v>329</v>
      </c>
      <c r="C123" s="1934" t="s">
        <v>526</v>
      </c>
      <c r="D123" s="1936">
        <v>158275</v>
      </c>
      <c r="E123" s="1936">
        <v>25500</v>
      </c>
      <c r="F123" s="1936">
        <v>27490</v>
      </c>
      <c r="G123" s="1937">
        <f t="shared" si="24"/>
        <v>0.16</v>
      </c>
      <c r="H123" s="1936">
        <f t="shared" si="25"/>
        <v>4398</v>
      </c>
    </row>
    <row r="124" spans="1:8" ht="20.100000000000001" customHeight="1" x14ac:dyDescent="0.15">
      <c r="A124" s="1935">
        <v>43221</v>
      </c>
      <c r="B124" s="1934" t="s">
        <v>34</v>
      </c>
      <c r="C124" s="1934" t="s">
        <v>927</v>
      </c>
      <c r="D124" s="1936">
        <v>155614</v>
      </c>
      <c r="E124" s="1936">
        <v>7447</v>
      </c>
      <c r="F124" s="1936">
        <v>20508</v>
      </c>
      <c r="G124" s="1937">
        <f t="shared" si="24"/>
        <v>0.05</v>
      </c>
      <c r="H124" s="1936">
        <f t="shared" si="25"/>
        <v>1025</v>
      </c>
    </row>
    <row r="125" spans="1:8" ht="20.100000000000001" customHeight="1" x14ac:dyDescent="0.15">
      <c r="A125" s="1935">
        <v>43221</v>
      </c>
      <c r="B125" s="1934" t="s">
        <v>37</v>
      </c>
      <c r="C125" s="1934" t="s">
        <v>928</v>
      </c>
      <c r="D125" s="1936">
        <v>208511</v>
      </c>
      <c r="E125" s="1936">
        <v>11711</v>
      </c>
      <c r="F125" s="1936">
        <v>21977</v>
      </c>
      <c r="G125" s="1937">
        <f t="shared" si="24"/>
        <v>0.06</v>
      </c>
      <c r="H125" s="1936">
        <f t="shared" si="25"/>
        <v>1318</v>
      </c>
    </row>
    <row r="126" spans="1:8" ht="20.100000000000001" customHeight="1" x14ac:dyDescent="0.15">
      <c r="A126" s="1935">
        <v>43221</v>
      </c>
      <c r="B126" s="1934" t="s">
        <v>66</v>
      </c>
      <c r="C126" s="1934" t="s">
        <v>520</v>
      </c>
      <c r="D126" s="1936">
        <v>171829</v>
      </c>
      <c r="E126" s="1936">
        <v>14521</v>
      </c>
      <c r="F126" s="1936">
        <v>25916</v>
      </c>
      <c r="G126" s="1937">
        <f t="shared" si="24"/>
        <v>0.08</v>
      </c>
      <c r="H126" s="1936">
        <f t="shared" si="25"/>
        <v>2073</v>
      </c>
    </row>
    <row r="127" spans="1:8" ht="20.100000000000001" customHeight="1" x14ac:dyDescent="0.15">
      <c r="A127" s="1935">
        <v>43221</v>
      </c>
      <c r="B127" s="1934" t="s">
        <v>66</v>
      </c>
      <c r="C127" s="1934" t="s">
        <v>936</v>
      </c>
      <c r="D127" s="1936">
        <v>296078</v>
      </c>
      <c r="E127" s="1936">
        <v>19568</v>
      </c>
      <c r="F127" s="1936">
        <v>48673</v>
      </c>
      <c r="G127" s="1937">
        <f t="shared" si="24"/>
        <v>7.0000000000000007E-2</v>
      </c>
      <c r="H127" s="1936">
        <f t="shared" si="25"/>
        <v>3407</v>
      </c>
    </row>
    <row r="128" spans="1:8" ht="20.100000000000001" customHeight="1" x14ac:dyDescent="0.15">
      <c r="A128" s="1935">
        <v>43221</v>
      </c>
      <c r="B128" s="1934" t="s">
        <v>472</v>
      </c>
      <c r="C128" s="1934" t="s">
        <v>937</v>
      </c>
      <c r="D128" s="1936">
        <v>172200</v>
      </c>
      <c r="E128" s="1936">
        <v>27200</v>
      </c>
      <c r="F128" s="1936">
        <v>25917</v>
      </c>
      <c r="G128" s="1937">
        <f t="shared" si="24"/>
        <v>0.16</v>
      </c>
      <c r="H128" s="1936">
        <f t="shared" si="25"/>
        <v>4146</v>
      </c>
    </row>
    <row r="129" spans="1:8" ht="20.100000000000001" customHeight="1" x14ac:dyDescent="0.15">
      <c r="A129" s="1935">
        <v>43221</v>
      </c>
      <c r="B129" s="1934" t="s">
        <v>472</v>
      </c>
      <c r="C129" s="1934" t="s">
        <v>525</v>
      </c>
      <c r="D129" s="1936">
        <v>183580</v>
      </c>
      <c r="E129" s="1936">
        <v>21480</v>
      </c>
      <c r="F129" s="1936">
        <v>27447</v>
      </c>
      <c r="G129" s="1937">
        <f t="shared" si="24"/>
        <v>0.12</v>
      </c>
      <c r="H129" s="1936">
        <f t="shared" si="25"/>
        <v>3293</v>
      </c>
    </row>
    <row r="130" spans="1:8" ht="20.100000000000001" customHeight="1" x14ac:dyDescent="0.15">
      <c r="A130" s="1935">
        <v>43221</v>
      </c>
      <c r="B130" s="1934" t="s">
        <v>472</v>
      </c>
      <c r="C130" s="1934" t="s">
        <v>938</v>
      </c>
      <c r="D130" s="1936">
        <v>289913</v>
      </c>
      <c r="E130" s="1936">
        <v>29888</v>
      </c>
      <c r="F130" s="1936">
        <v>36776</v>
      </c>
      <c r="G130" s="1937">
        <f t="shared" si="24"/>
        <v>0.1</v>
      </c>
      <c r="H130" s="1936">
        <f t="shared" si="25"/>
        <v>3677</v>
      </c>
    </row>
    <row r="131" spans="1:8" ht="20.100000000000001" customHeight="1" x14ac:dyDescent="0.15">
      <c r="A131" s="1935">
        <v>43221</v>
      </c>
      <c r="B131" s="1934" t="s">
        <v>119</v>
      </c>
      <c r="C131" s="1934" t="s">
        <v>522</v>
      </c>
      <c r="D131" s="1936">
        <v>122463</v>
      </c>
      <c r="E131" s="1936">
        <v>13338</v>
      </c>
      <c r="F131" s="1936">
        <v>21632.851999999999</v>
      </c>
      <c r="G131" s="1937">
        <f t="shared" ref="G131:G194" si="26">IFERROR(ROUND(E131/D131,2),0)</f>
        <v>0.11</v>
      </c>
      <c r="H131" s="1936">
        <f t="shared" ref="H131:H194" si="27">IFERROR(ROUNDDOWN(F131*G131,0),0)</f>
        <v>2379</v>
      </c>
    </row>
    <row r="132" spans="1:8" ht="20.100000000000001" customHeight="1" x14ac:dyDescent="0.15">
      <c r="A132" s="1935">
        <v>43221</v>
      </c>
      <c r="B132" s="1934" t="s">
        <v>329</v>
      </c>
      <c r="C132" s="1934" t="s">
        <v>526</v>
      </c>
      <c r="D132" s="1936">
        <v>163475</v>
      </c>
      <c r="E132" s="1936">
        <v>46025</v>
      </c>
      <c r="F132" s="1936">
        <v>27366</v>
      </c>
      <c r="G132" s="1937">
        <f t="shared" si="26"/>
        <v>0.28000000000000003</v>
      </c>
      <c r="H132" s="1936">
        <f t="shared" si="27"/>
        <v>7662</v>
      </c>
    </row>
    <row r="133" spans="1:8" ht="20.100000000000001" customHeight="1" x14ac:dyDescent="0.15">
      <c r="A133" s="1935">
        <v>43252</v>
      </c>
      <c r="B133" s="1934" t="s">
        <v>391</v>
      </c>
      <c r="C133" s="1934" t="s">
        <v>1147</v>
      </c>
      <c r="D133" s="1936">
        <v>148390</v>
      </c>
      <c r="E133" s="1936">
        <v>15895</v>
      </c>
      <c r="F133" s="1936">
        <v>24402</v>
      </c>
      <c r="G133" s="1937">
        <f t="shared" si="26"/>
        <v>0.11</v>
      </c>
      <c r="H133" s="1936">
        <f t="shared" si="27"/>
        <v>2684</v>
      </c>
    </row>
    <row r="134" spans="1:8" ht="20.100000000000001" customHeight="1" x14ac:dyDescent="0.15">
      <c r="A134" s="1935">
        <v>43252</v>
      </c>
      <c r="B134" s="1934" t="s">
        <v>34</v>
      </c>
      <c r="C134" s="1934" t="s">
        <v>927</v>
      </c>
      <c r="D134" s="1936">
        <v>149823</v>
      </c>
      <c r="E134" s="1936">
        <v>14606</v>
      </c>
      <c r="F134" s="1936">
        <v>20539</v>
      </c>
      <c r="G134" s="1937">
        <f t="shared" si="26"/>
        <v>0.1</v>
      </c>
      <c r="H134" s="1936">
        <f t="shared" si="27"/>
        <v>2053</v>
      </c>
    </row>
    <row r="135" spans="1:8" ht="20.100000000000001" customHeight="1" x14ac:dyDescent="0.15">
      <c r="A135" s="1935">
        <v>43252</v>
      </c>
      <c r="B135" s="1934" t="s">
        <v>37</v>
      </c>
      <c r="C135" s="1934" t="s">
        <v>928</v>
      </c>
      <c r="D135" s="1936">
        <v>197893</v>
      </c>
      <c r="E135" s="1936">
        <v>21090</v>
      </c>
      <c r="F135" s="1936">
        <v>21934</v>
      </c>
      <c r="G135" s="1937">
        <f t="shared" si="26"/>
        <v>0.11</v>
      </c>
      <c r="H135" s="1936">
        <f t="shared" si="27"/>
        <v>2412</v>
      </c>
    </row>
    <row r="136" spans="1:8" ht="20.100000000000001" customHeight="1" x14ac:dyDescent="0.15">
      <c r="A136" s="1935">
        <v>43252</v>
      </c>
      <c r="B136" s="1934" t="s">
        <v>66</v>
      </c>
      <c r="C136" s="1934" t="s">
        <v>520</v>
      </c>
      <c r="D136" s="1936">
        <v>189967</v>
      </c>
      <c r="E136" s="1936">
        <v>22967</v>
      </c>
      <c r="F136" s="1936">
        <v>26056</v>
      </c>
      <c r="G136" s="1937">
        <f t="shared" si="26"/>
        <v>0.12</v>
      </c>
      <c r="H136" s="1936">
        <f t="shared" si="27"/>
        <v>3126</v>
      </c>
    </row>
    <row r="137" spans="1:8" ht="20.100000000000001" customHeight="1" x14ac:dyDescent="0.15">
      <c r="A137" s="1935">
        <v>43252</v>
      </c>
      <c r="B137" s="1934" t="s">
        <v>66</v>
      </c>
      <c r="C137" s="1934" t="s">
        <v>936</v>
      </c>
      <c r="D137" s="1936">
        <v>303683</v>
      </c>
      <c r="E137" s="1936">
        <v>31960</v>
      </c>
      <c r="F137" s="1936">
        <v>48831</v>
      </c>
      <c r="G137" s="1937">
        <f t="shared" si="26"/>
        <v>0.11</v>
      </c>
      <c r="H137" s="1936">
        <f t="shared" si="27"/>
        <v>5371</v>
      </c>
    </row>
    <row r="138" spans="1:8" ht="20.100000000000001" customHeight="1" x14ac:dyDescent="0.15">
      <c r="A138" s="1935">
        <v>43252</v>
      </c>
      <c r="B138" s="1934" t="s">
        <v>472</v>
      </c>
      <c r="C138" s="1934" t="s">
        <v>937</v>
      </c>
      <c r="D138" s="1936">
        <v>177550</v>
      </c>
      <c r="E138" s="1936">
        <v>28050</v>
      </c>
      <c r="F138" s="1936">
        <v>26007</v>
      </c>
      <c r="G138" s="1937">
        <f t="shared" si="26"/>
        <v>0.16</v>
      </c>
      <c r="H138" s="1936">
        <f t="shared" si="27"/>
        <v>4161</v>
      </c>
    </row>
    <row r="139" spans="1:8" ht="20.100000000000001" customHeight="1" x14ac:dyDescent="0.15">
      <c r="A139" s="1935">
        <v>43252</v>
      </c>
      <c r="B139" s="1934" t="s">
        <v>472</v>
      </c>
      <c r="C139" s="1934" t="s">
        <v>525</v>
      </c>
      <c r="D139" s="1936">
        <v>153235</v>
      </c>
      <c r="E139" s="1936">
        <v>17910</v>
      </c>
      <c r="F139" s="1936">
        <v>27397</v>
      </c>
      <c r="G139" s="1937">
        <f t="shared" si="26"/>
        <v>0.12</v>
      </c>
      <c r="H139" s="1936">
        <f t="shared" si="27"/>
        <v>3287</v>
      </c>
    </row>
    <row r="140" spans="1:8" ht="20.100000000000001" customHeight="1" x14ac:dyDescent="0.15">
      <c r="A140" s="1935">
        <v>43252</v>
      </c>
      <c r="B140" s="1934" t="s">
        <v>119</v>
      </c>
      <c r="C140" s="1934" t="s">
        <v>522</v>
      </c>
      <c r="D140" s="1936">
        <v>130543</v>
      </c>
      <c r="E140" s="1936">
        <v>14218</v>
      </c>
      <c r="F140" s="1936">
        <v>21665.171999999999</v>
      </c>
      <c r="G140" s="1937">
        <f t="shared" si="26"/>
        <v>0.11</v>
      </c>
      <c r="H140" s="1936">
        <f t="shared" si="27"/>
        <v>2383</v>
      </c>
    </row>
    <row r="141" spans="1:8" ht="20.100000000000001" customHeight="1" x14ac:dyDescent="0.15">
      <c r="A141" s="1935">
        <v>43252</v>
      </c>
      <c r="B141" s="1934" t="s">
        <v>329</v>
      </c>
      <c r="C141" s="1934" t="s">
        <v>526</v>
      </c>
      <c r="D141" s="1936">
        <v>177125</v>
      </c>
      <c r="E141" s="1936">
        <v>49750</v>
      </c>
      <c r="F141" s="1936">
        <v>27493</v>
      </c>
      <c r="G141" s="1937">
        <f t="shared" si="26"/>
        <v>0.28000000000000003</v>
      </c>
      <c r="H141" s="1936">
        <f t="shared" si="27"/>
        <v>7698</v>
      </c>
    </row>
    <row r="142" spans="1:8" ht="20.100000000000001" customHeight="1" x14ac:dyDescent="0.15">
      <c r="A142" s="1935">
        <v>43282</v>
      </c>
      <c r="B142" s="1934" t="s">
        <v>391</v>
      </c>
      <c r="C142" s="1934" t="s">
        <v>1147</v>
      </c>
      <c r="D142" s="1936">
        <v>160120</v>
      </c>
      <c r="E142" s="1936">
        <v>17160</v>
      </c>
      <c r="F142" s="1936">
        <v>24449</v>
      </c>
      <c r="G142" s="1937">
        <f t="shared" si="26"/>
        <v>0.11</v>
      </c>
      <c r="H142" s="1936">
        <f t="shared" si="27"/>
        <v>2689</v>
      </c>
    </row>
    <row r="143" spans="1:8" ht="20.100000000000001" customHeight="1" x14ac:dyDescent="0.15">
      <c r="A143" s="1935">
        <v>43282</v>
      </c>
      <c r="B143" s="1934" t="s">
        <v>34</v>
      </c>
      <c r="C143" s="1934" t="s">
        <v>927</v>
      </c>
      <c r="D143" s="1936">
        <v>166251</v>
      </c>
      <c r="E143" s="1936">
        <v>13168</v>
      </c>
      <c r="F143" s="1936">
        <v>20605</v>
      </c>
      <c r="G143" s="1937">
        <f t="shared" si="26"/>
        <v>0.08</v>
      </c>
      <c r="H143" s="1936">
        <f t="shared" si="27"/>
        <v>1648</v>
      </c>
    </row>
    <row r="144" spans="1:8" ht="20.100000000000001" customHeight="1" x14ac:dyDescent="0.15">
      <c r="A144" s="1935">
        <v>43282</v>
      </c>
      <c r="B144" s="1934" t="s">
        <v>37</v>
      </c>
      <c r="C144" s="1934" t="s">
        <v>928</v>
      </c>
      <c r="D144" s="1936">
        <v>218461</v>
      </c>
      <c r="E144" s="1936">
        <v>22903</v>
      </c>
      <c r="F144" s="1936">
        <v>22016</v>
      </c>
      <c r="G144" s="1937">
        <f t="shared" si="26"/>
        <v>0.1</v>
      </c>
      <c r="H144" s="1936">
        <f t="shared" si="27"/>
        <v>2201</v>
      </c>
    </row>
    <row r="145" spans="1:8" ht="20.100000000000001" customHeight="1" x14ac:dyDescent="0.15">
      <c r="A145" s="1935">
        <v>43282</v>
      </c>
      <c r="B145" s="1934" t="s">
        <v>66</v>
      </c>
      <c r="C145" s="1934" t="s">
        <v>520</v>
      </c>
      <c r="D145" s="1936">
        <v>191499</v>
      </c>
      <c r="E145" s="1936">
        <v>18666</v>
      </c>
      <c r="F145" s="1936">
        <v>26062</v>
      </c>
      <c r="G145" s="1937">
        <f t="shared" si="26"/>
        <v>0.1</v>
      </c>
      <c r="H145" s="1936">
        <f t="shared" si="27"/>
        <v>2606</v>
      </c>
    </row>
    <row r="146" spans="1:8" ht="20.100000000000001" customHeight="1" x14ac:dyDescent="0.15">
      <c r="A146" s="1935">
        <v>43282</v>
      </c>
      <c r="B146" s="1934" t="s">
        <v>66</v>
      </c>
      <c r="C146" s="1934" t="s">
        <v>936</v>
      </c>
      <c r="D146" s="1936">
        <v>315205</v>
      </c>
      <c r="E146" s="1936">
        <v>30299</v>
      </c>
      <c r="F146" s="1936">
        <v>48877</v>
      </c>
      <c r="G146" s="1937">
        <f t="shared" si="26"/>
        <v>0.1</v>
      </c>
      <c r="H146" s="1936">
        <f t="shared" si="27"/>
        <v>4887</v>
      </c>
    </row>
    <row r="147" spans="1:8" ht="20.100000000000001" customHeight="1" x14ac:dyDescent="0.15">
      <c r="A147" s="1935">
        <v>43282</v>
      </c>
      <c r="B147" s="1934" t="s">
        <v>472</v>
      </c>
      <c r="C147" s="1934" t="s">
        <v>937</v>
      </c>
      <c r="D147" s="1936">
        <v>176480</v>
      </c>
      <c r="E147" s="1936">
        <v>27880</v>
      </c>
      <c r="F147" s="1936">
        <v>26002</v>
      </c>
      <c r="G147" s="1937">
        <f t="shared" si="26"/>
        <v>0.16</v>
      </c>
      <c r="H147" s="1936">
        <f t="shared" si="27"/>
        <v>4160</v>
      </c>
    </row>
    <row r="148" spans="1:8" ht="20.100000000000001" customHeight="1" x14ac:dyDescent="0.15">
      <c r="A148" s="1935">
        <v>43282</v>
      </c>
      <c r="B148" s="1934" t="s">
        <v>472</v>
      </c>
      <c r="C148" s="1934" t="s">
        <v>525</v>
      </c>
      <c r="D148" s="1936">
        <v>170065</v>
      </c>
      <c r="E148" s="1936">
        <v>19890</v>
      </c>
      <c r="F148" s="1936">
        <v>27465</v>
      </c>
      <c r="G148" s="1937">
        <f t="shared" si="26"/>
        <v>0.12</v>
      </c>
      <c r="H148" s="1936">
        <f t="shared" si="27"/>
        <v>3295</v>
      </c>
    </row>
    <row r="149" spans="1:8" ht="20.100000000000001" customHeight="1" x14ac:dyDescent="0.15">
      <c r="A149" s="1935">
        <v>43282</v>
      </c>
      <c r="B149" s="1934" t="s">
        <v>472</v>
      </c>
      <c r="C149" s="1934" t="s">
        <v>1222</v>
      </c>
      <c r="D149" s="1936">
        <v>100745</v>
      </c>
      <c r="E149" s="1936">
        <v>2270</v>
      </c>
      <c r="F149" s="1936">
        <v>1571.98</v>
      </c>
      <c r="G149" s="1937">
        <f t="shared" si="26"/>
        <v>0.02</v>
      </c>
      <c r="H149" s="1936">
        <f t="shared" si="27"/>
        <v>31</v>
      </c>
    </row>
    <row r="150" spans="1:8" ht="20.100000000000001" customHeight="1" x14ac:dyDescent="0.15">
      <c r="A150" s="1935">
        <v>43282</v>
      </c>
      <c r="B150" s="1934" t="s">
        <v>119</v>
      </c>
      <c r="C150" s="1934" t="s">
        <v>522</v>
      </c>
      <c r="D150" s="1936">
        <v>131048</v>
      </c>
      <c r="E150" s="1936">
        <v>14273</v>
      </c>
      <c r="F150" s="1936">
        <v>21667.191999999999</v>
      </c>
      <c r="G150" s="1937">
        <f t="shared" si="26"/>
        <v>0.11</v>
      </c>
      <c r="H150" s="1936">
        <f t="shared" si="27"/>
        <v>2383</v>
      </c>
    </row>
    <row r="151" spans="1:8" ht="20.100000000000001" customHeight="1" x14ac:dyDescent="0.15">
      <c r="A151" s="1935">
        <v>43282</v>
      </c>
      <c r="B151" s="1934" t="s">
        <v>329</v>
      </c>
      <c r="C151" s="1934" t="s">
        <v>526</v>
      </c>
      <c r="D151" s="1936">
        <v>143650</v>
      </c>
      <c r="E151" s="1936">
        <v>40400</v>
      </c>
      <c r="F151" s="1936">
        <v>27359</v>
      </c>
      <c r="G151" s="1937">
        <f t="shared" si="26"/>
        <v>0.28000000000000003</v>
      </c>
      <c r="H151" s="1936">
        <f t="shared" si="27"/>
        <v>7660</v>
      </c>
    </row>
    <row r="152" spans="1:8" ht="20.100000000000001" customHeight="1" x14ac:dyDescent="0.15">
      <c r="A152" s="1935">
        <v>43313</v>
      </c>
      <c r="B152" s="1934" t="s">
        <v>391</v>
      </c>
      <c r="C152" s="1934" t="s">
        <v>1147</v>
      </c>
      <c r="D152" s="1936">
        <v>151410</v>
      </c>
      <c r="E152" s="1936">
        <v>16005</v>
      </c>
      <c r="F152" s="1936">
        <v>24414</v>
      </c>
      <c r="G152" s="1937">
        <f t="shared" si="26"/>
        <v>0.11</v>
      </c>
      <c r="H152" s="1936">
        <f t="shared" si="27"/>
        <v>2685</v>
      </c>
    </row>
    <row r="153" spans="1:8" ht="20.100000000000001" customHeight="1" x14ac:dyDescent="0.15">
      <c r="A153" s="1935">
        <v>43313</v>
      </c>
      <c r="B153" s="1934" t="s">
        <v>34</v>
      </c>
      <c r="C153" s="1934" t="s">
        <v>927</v>
      </c>
      <c r="D153" s="1936">
        <v>140960</v>
      </c>
      <c r="E153" s="1936">
        <v>15010</v>
      </c>
      <c r="F153" s="1936">
        <v>24372</v>
      </c>
      <c r="G153" s="1937">
        <f t="shared" si="26"/>
        <v>0.11</v>
      </c>
      <c r="H153" s="1936">
        <f t="shared" si="27"/>
        <v>2680</v>
      </c>
    </row>
    <row r="154" spans="1:8" ht="20.100000000000001" customHeight="1" x14ac:dyDescent="0.15">
      <c r="A154" s="1935">
        <v>43313</v>
      </c>
      <c r="B154" s="1934" t="s">
        <v>37</v>
      </c>
      <c r="C154" s="1934" t="s">
        <v>928</v>
      </c>
      <c r="D154" s="1936">
        <v>194237</v>
      </c>
      <c r="E154" s="1936">
        <v>16887</v>
      </c>
      <c r="F154" s="1936">
        <v>31786</v>
      </c>
      <c r="G154" s="1937">
        <f t="shared" si="26"/>
        <v>0.09</v>
      </c>
      <c r="H154" s="1936">
        <f t="shared" si="27"/>
        <v>2860</v>
      </c>
    </row>
    <row r="155" spans="1:8" ht="20.100000000000001" customHeight="1" x14ac:dyDescent="0.15">
      <c r="A155" s="1935">
        <v>43313</v>
      </c>
      <c r="B155" s="1934" t="s">
        <v>66</v>
      </c>
      <c r="C155" s="1934" t="s">
        <v>520</v>
      </c>
      <c r="D155" s="1936">
        <v>187386</v>
      </c>
      <c r="E155" s="1936">
        <v>16086</v>
      </c>
      <c r="F155" s="1936">
        <v>30510</v>
      </c>
      <c r="G155" s="1937">
        <f t="shared" si="26"/>
        <v>0.09</v>
      </c>
      <c r="H155" s="1936">
        <f t="shared" si="27"/>
        <v>2745</v>
      </c>
    </row>
    <row r="156" spans="1:8" ht="20.100000000000001" customHeight="1" x14ac:dyDescent="0.15">
      <c r="A156" s="1935">
        <v>43313</v>
      </c>
      <c r="B156" s="1934" t="s">
        <v>66</v>
      </c>
      <c r="C156" s="1934" t="s">
        <v>936</v>
      </c>
      <c r="D156" s="1936">
        <v>317144</v>
      </c>
      <c r="E156" s="1936">
        <v>29316</v>
      </c>
      <c r="F156" s="1936">
        <v>48885</v>
      </c>
      <c r="G156" s="1937">
        <f t="shared" si="26"/>
        <v>0.09</v>
      </c>
      <c r="H156" s="1936">
        <f t="shared" si="27"/>
        <v>4399</v>
      </c>
    </row>
    <row r="157" spans="1:8" ht="20.100000000000001" customHeight="1" x14ac:dyDescent="0.15">
      <c r="A157" s="1935">
        <v>43313</v>
      </c>
      <c r="B157" s="1934" t="s">
        <v>472</v>
      </c>
      <c r="C157" s="1934" t="s">
        <v>937</v>
      </c>
      <c r="D157" s="1936">
        <v>176608</v>
      </c>
      <c r="E157" s="1936">
        <v>27583</v>
      </c>
      <c r="F157" s="1936">
        <v>26003</v>
      </c>
      <c r="G157" s="1937">
        <f t="shared" si="26"/>
        <v>0.16</v>
      </c>
      <c r="H157" s="1936">
        <f t="shared" si="27"/>
        <v>4160</v>
      </c>
    </row>
    <row r="158" spans="1:8" ht="20.100000000000001" customHeight="1" x14ac:dyDescent="0.15">
      <c r="A158" s="1935">
        <v>43313</v>
      </c>
      <c r="B158" s="1934" t="s">
        <v>472</v>
      </c>
      <c r="C158" s="1934" t="s">
        <v>525</v>
      </c>
      <c r="D158" s="1936">
        <v>172085</v>
      </c>
      <c r="E158" s="1936">
        <v>20010</v>
      </c>
      <c r="F158" s="1936">
        <v>25985</v>
      </c>
      <c r="G158" s="1937">
        <f t="shared" si="26"/>
        <v>0.12</v>
      </c>
      <c r="H158" s="1936">
        <f t="shared" si="27"/>
        <v>3118</v>
      </c>
    </row>
    <row r="159" spans="1:8" ht="20.100000000000001" customHeight="1" x14ac:dyDescent="0.15">
      <c r="A159" s="1935">
        <v>43313</v>
      </c>
      <c r="B159" s="1934" t="s">
        <v>472</v>
      </c>
      <c r="C159" s="1934" t="s">
        <v>1222</v>
      </c>
      <c r="D159" s="1936">
        <v>118710</v>
      </c>
      <c r="E159" s="1936">
        <v>2660</v>
      </c>
      <c r="F159" s="1936">
        <v>474.84000000000003</v>
      </c>
      <c r="G159" s="1937">
        <f t="shared" si="26"/>
        <v>0.02</v>
      </c>
      <c r="H159" s="1936">
        <f t="shared" si="27"/>
        <v>9</v>
      </c>
    </row>
    <row r="160" spans="1:8" ht="20.100000000000001" customHeight="1" x14ac:dyDescent="0.15">
      <c r="A160" s="1935">
        <v>43313</v>
      </c>
      <c r="B160" s="1934" t="s">
        <v>119</v>
      </c>
      <c r="C160" s="1934" t="s">
        <v>522</v>
      </c>
      <c r="D160" s="1936">
        <v>114363</v>
      </c>
      <c r="E160" s="1936">
        <v>12238</v>
      </c>
      <c r="F160" s="1936">
        <v>18217.452000000001</v>
      </c>
      <c r="G160" s="1937">
        <f t="shared" si="26"/>
        <v>0.11</v>
      </c>
      <c r="H160" s="1936">
        <f t="shared" si="27"/>
        <v>2003</v>
      </c>
    </row>
    <row r="161" spans="1:8" ht="20.100000000000001" customHeight="1" x14ac:dyDescent="0.15">
      <c r="A161" s="1935">
        <v>43313</v>
      </c>
      <c r="B161" s="1934" t="s">
        <v>329</v>
      </c>
      <c r="C161" s="1934" t="s">
        <v>526</v>
      </c>
      <c r="D161" s="1936">
        <v>179450</v>
      </c>
      <c r="E161" s="1936">
        <v>49850</v>
      </c>
      <c r="F161" s="1936">
        <v>27502</v>
      </c>
      <c r="G161" s="1937">
        <f t="shared" si="26"/>
        <v>0.28000000000000003</v>
      </c>
      <c r="H161" s="1936">
        <f t="shared" si="27"/>
        <v>7700</v>
      </c>
    </row>
    <row r="162" spans="1:8" ht="20.100000000000001" customHeight="1" x14ac:dyDescent="0.15">
      <c r="A162" s="1935">
        <v>43344</v>
      </c>
      <c r="B162" s="1934" t="s">
        <v>391</v>
      </c>
      <c r="C162" s="1934" t="s">
        <v>1147</v>
      </c>
      <c r="D162" s="1936">
        <v>154960</v>
      </c>
      <c r="E162" s="1936">
        <v>20860</v>
      </c>
      <c r="F162" s="1936">
        <v>24428</v>
      </c>
      <c r="G162" s="1937">
        <f t="shared" si="26"/>
        <v>0.13</v>
      </c>
      <c r="H162" s="1936">
        <f t="shared" si="27"/>
        <v>3175</v>
      </c>
    </row>
    <row r="163" spans="1:8" ht="20.100000000000001" customHeight="1" x14ac:dyDescent="0.15">
      <c r="A163" s="1935">
        <v>43344</v>
      </c>
      <c r="B163" s="1934" t="s">
        <v>34</v>
      </c>
      <c r="C163" s="1934" t="s">
        <v>927</v>
      </c>
      <c r="D163" s="1936">
        <v>186525</v>
      </c>
      <c r="E163" s="1936">
        <v>12508</v>
      </c>
      <c r="F163" s="1936">
        <v>24555</v>
      </c>
      <c r="G163" s="1937">
        <f t="shared" si="26"/>
        <v>7.0000000000000007E-2</v>
      </c>
      <c r="H163" s="1936">
        <f t="shared" si="27"/>
        <v>1718</v>
      </c>
    </row>
    <row r="164" spans="1:8" ht="20.100000000000001" customHeight="1" x14ac:dyDescent="0.15">
      <c r="A164" s="1935">
        <v>43344</v>
      </c>
      <c r="B164" s="1934" t="s">
        <v>37</v>
      </c>
      <c r="C164" s="1934" t="s">
        <v>928</v>
      </c>
      <c r="D164" s="1936">
        <v>216194</v>
      </c>
      <c r="E164" s="1936">
        <v>18144</v>
      </c>
      <c r="F164" s="1936">
        <v>31874</v>
      </c>
      <c r="G164" s="1937">
        <f t="shared" si="26"/>
        <v>0.08</v>
      </c>
      <c r="H164" s="1936">
        <f t="shared" si="27"/>
        <v>2549</v>
      </c>
    </row>
    <row r="165" spans="1:8" ht="20.100000000000001" customHeight="1" x14ac:dyDescent="0.15">
      <c r="A165" s="1935">
        <v>43344</v>
      </c>
      <c r="B165" s="1934" t="s">
        <v>66</v>
      </c>
      <c r="C165" s="1934" t="s">
        <v>520</v>
      </c>
      <c r="D165" s="1936">
        <v>203787</v>
      </c>
      <c r="E165" s="1936">
        <v>19787</v>
      </c>
      <c r="F165" s="1936">
        <v>30576</v>
      </c>
      <c r="G165" s="1937">
        <f t="shared" si="26"/>
        <v>0.1</v>
      </c>
      <c r="H165" s="1936">
        <f t="shared" si="27"/>
        <v>3057</v>
      </c>
    </row>
    <row r="166" spans="1:8" ht="20.100000000000001" customHeight="1" x14ac:dyDescent="0.15">
      <c r="A166" s="1935">
        <v>43344</v>
      </c>
      <c r="B166" s="1934" t="s">
        <v>66</v>
      </c>
      <c r="C166" s="1934" t="s">
        <v>936</v>
      </c>
      <c r="D166" s="1936">
        <v>302693</v>
      </c>
      <c r="E166" s="1936">
        <v>26346</v>
      </c>
      <c r="F166" s="1936">
        <v>48827</v>
      </c>
      <c r="G166" s="1937">
        <f t="shared" si="26"/>
        <v>0.09</v>
      </c>
      <c r="H166" s="1936">
        <f t="shared" si="27"/>
        <v>4394</v>
      </c>
    </row>
    <row r="167" spans="1:8" ht="20.100000000000001" customHeight="1" x14ac:dyDescent="0.15">
      <c r="A167" s="1935">
        <v>43344</v>
      </c>
      <c r="B167" s="1934" t="s">
        <v>472</v>
      </c>
      <c r="C167" s="1934" t="s">
        <v>937</v>
      </c>
      <c r="D167" s="1936">
        <v>178343</v>
      </c>
      <c r="E167" s="1936">
        <v>33118</v>
      </c>
      <c r="F167" s="1936">
        <v>26010</v>
      </c>
      <c r="G167" s="1937">
        <f t="shared" si="26"/>
        <v>0.19</v>
      </c>
      <c r="H167" s="1936">
        <f t="shared" si="27"/>
        <v>4941</v>
      </c>
    </row>
    <row r="168" spans="1:8" ht="20.100000000000001" customHeight="1" x14ac:dyDescent="0.15">
      <c r="A168" s="1935">
        <v>43344</v>
      </c>
      <c r="B168" s="1934" t="s">
        <v>472</v>
      </c>
      <c r="C168" s="1934" t="s">
        <v>525</v>
      </c>
      <c r="D168" s="1936">
        <v>171925</v>
      </c>
      <c r="E168" s="1936">
        <v>25800</v>
      </c>
      <c r="F168" s="1936">
        <v>25984</v>
      </c>
      <c r="G168" s="1937">
        <f t="shared" si="26"/>
        <v>0.15</v>
      </c>
      <c r="H168" s="1936">
        <f t="shared" si="27"/>
        <v>3897</v>
      </c>
    </row>
    <row r="169" spans="1:8" ht="20.100000000000001" customHeight="1" x14ac:dyDescent="0.15">
      <c r="A169" s="1935">
        <v>43344</v>
      </c>
      <c r="B169" s="1934" t="s">
        <v>472</v>
      </c>
      <c r="C169" s="1934" t="s">
        <v>1222</v>
      </c>
      <c r="D169" s="1936">
        <v>96675</v>
      </c>
      <c r="E169" s="1936">
        <v>4300</v>
      </c>
      <c r="F169" s="1936">
        <v>386.7</v>
      </c>
      <c r="G169" s="1937">
        <f t="shared" si="26"/>
        <v>0.04</v>
      </c>
      <c r="H169" s="1936">
        <f t="shared" si="27"/>
        <v>15</v>
      </c>
    </row>
    <row r="170" spans="1:8" ht="20.100000000000001" customHeight="1" x14ac:dyDescent="0.15">
      <c r="A170" s="1935">
        <v>43344</v>
      </c>
      <c r="B170" s="1934" t="s">
        <v>119</v>
      </c>
      <c r="C170" s="1934" t="s">
        <v>522</v>
      </c>
      <c r="D170" s="1936">
        <v>138370</v>
      </c>
      <c r="E170" s="1936">
        <v>15070</v>
      </c>
      <c r="F170" s="1936">
        <v>18313.48</v>
      </c>
      <c r="G170" s="1937">
        <f t="shared" si="26"/>
        <v>0.11</v>
      </c>
      <c r="H170" s="1936">
        <f t="shared" si="27"/>
        <v>2014</v>
      </c>
    </row>
    <row r="171" spans="1:8" ht="20.100000000000001" customHeight="1" x14ac:dyDescent="0.15">
      <c r="A171" s="1935">
        <v>43344</v>
      </c>
      <c r="B171" s="1934" t="s">
        <v>329</v>
      </c>
      <c r="C171" s="1934" t="s">
        <v>526</v>
      </c>
      <c r="D171" s="1936">
        <v>196982</v>
      </c>
      <c r="E171" s="1936">
        <v>55675</v>
      </c>
      <c r="F171" s="1936">
        <v>27572</v>
      </c>
      <c r="G171" s="1937">
        <f t="shared" si="26"/>
        <v>0.28000000000000003</v>
      </c>
      <c r="H171" s="1936">
        <f t="shared" si="27"/>
        <v>7720</v>
      </c>
    </row>
    <row r="172" spans="1:8" ht="20.100000000000001" customHeight="1" x14ac:dyDescent="0.15">
      <c r="A172" s="1935">
        <v>43374</v>
      </c>
      <c r="B172" s="1934" t="s">
        <v>391</v>
      </c>
      <c r="C172" s="1934" t="s">
        <v>1147</v>
      </c>
      <c r="D172" s="1936">
        <v>159640</v>
      </c>
      <c r="E172" s="1936">
        <v>21490</v>
      </c>
      <c r="F172" s="1936">
        <v>24447</v>
      </c>
      <c r="G172" s="1937">
        <f t="shared" si="26"/>
        <v>0.13</v>
      </c>
      <c r="H172" s="1936">
        <f t="shared" si="27"/>
        <v>3178</v>
      </c>
    </row>
    <row r="173" spans="1:8" ht="20.100000000000001" customHeight="1" x14ac:dyDescent="0.15">
      <c r="A173" s="1935">
        <v>43374</v>
      </c>
      <c r="B173" s="1934" t="s">
        <v>37</v>
      </c>
      <c r="C173" s="1934" t="s">
        <v>928</v>
      </c>
      <c r="D173" s="1936">
        <v>228408</v>
      </c>
      <c r="E173" s="1936">
        <v>16968</v>
      </c>
      <c r="F173" s="1936">
        <v>31923</v>
      </c>
      <c r="G173" s="1937">
        <f t="shared" si="26"/>
        <v>7.0000000000000007E-2</v>
      </c>
      <c r="H173" s="1936">
        <f t="shared" si="27"/>
        <v>2234</v>
      </c>
    </row>
    <row r="174" spans="1:8" ht="20.100000000000001" customHeight="1" x14ac:dyDescent="0.15">
      <c r="A174" s="1935">
        <v>43374</v>
      </c>
      <c r="B174" s="1934" t="s">
        <v>66</v>
      </c>
      <c r="C174" s="1934" t="s">
        <v>520</v>
      </c>
      <c r="D174" s="1936">
        <v>228844</v>
      </c>
      <c r="E174" s="1936">
        <v>19394</v>
      </c>
      <c r="F174" s="1936">
        <v>30676</v>
      </c>
      <c r="G174" s="1937">
        <f t="shared" si="26"/>
        <v>0.08</v>
      </c>
      <c r="H174" s="1936">
        <f t="shared" si="27"/>
        <v>2454</v>
      </c>
    </row>
    <row r="175" spans="1:8" ht="20.100000000000001" customHeight="1" x14ac:dyDescent="0.15">
      <c r="A175" s="1935">
        <v>43374</v>
      </c>
      <c r="B175" s="1934" t="s">
        <v>66</v>
      </c>
      <c r="C175" s="1934" t="s">
        <v>936</v>
      </c>
      <c r="D175" s="1936">
        <v>293971</v>
      </c>
      <c r="E175" s="1936">
        <v>26234</v>
      </c>
      <c r="F175" s="1936">
        <v>48792</v>
      </c>
      <c r="G175" s="1937">
        <f t="shared" si="26"/>
        <v>0.09</v>
      </c>
      <c r="H175" s="1936">
        <f t="shared" si="27"/>
        <v>4391</v>
      </c>
    </row>
    <row r="176" spans="1:8" ht="20.100000000000001" customHeight="1" x14ac:dyDescent="0.15">
      <c r="A176" s="1935">
        <v>43374</v>
      </c>
      <c r="B176" s="1934" t="s">
        <v>472</v>
      </c>
      <c r="C176" s="1934" t="s">
        <v>525</v>
      </c>
      <c r="D176" s="1936">
        <v>190475</v>
      </c>
      <c r="E176" s="1936">
        <v>28600</v>
      </c>
      <c r="F176" s="1936">
        <v>26058</v>
      </c>
      <c r="G176" s="1937">
        <f t="shared" si="26"/>
        <v>0.15</v>
      </c>
      <c r="H176" s="1936">
        <f t="shared" si="27"/>
        <v>3908</v>
      </c>
    </row>
    <row r="177" spans="1:8" ht="20.100000000000001" customHeight="1" x14ac:dyDescent="0.15">
      <c r="A177" s="1935">
        <v>43374</v>
      </c>
      <c r="B177" s="1934" t="s">
        <v>472</v>
      </c>
      <c r="C177" s="1934" t="s">
        <v>1222</v>
      </c>
      <c r="D177" s="1936">
        <v>129700</v>
      </c>
      <c r="E177" s="1936">
        <v>5720</v>
      </c>
      <c r="F177" s="1936">
        <v>518.79999999999995</v>
      </c>
      <c r="G177" s="1937">
        <f t="shared" si="26"/>
        <v>0.04</v>
      </c>
      <c r="H177" s="1936">
        <f t="shared" si="27"/>
        <v>20</v>
      </c>
    </row>
    <row r="178" spans="1:8" ht="20.100000000000001" customHeight="1" x14ac:dyDescent="0.15">
      <c r="A178" s="1935">
        <v>43374</v>
      </c>
      <c r="B178" s="1934" t="s">
        <v>472</v>
      </c>
      <c r="C178" s="1934" t="s">
        <v>1391</v>
      </c>
      <c r="D178" s="1936">
        <v>137500</v>
      </c>
      <c r="E178" s="1936">
        <v>0</v>
      </c>
      <c r="F178" s="1936">
        <v>54641</v>
      </c>
      <c r="G178" s="1937">
        <f t="shared" si="26"/>
        <v>0</v>
      </c>
      <c r="H178" s="1936">
        <f t="shared" si="27"/>
        <v>0</v>
      </c>
    </row>
    <row r="179" spans="1:8" ht="20.100000000000001" customHeight="1" x14ac:dyDescent="0.15">
      <c r="A179" s="1935">
        <v>43374</v>
      </c>
      <c r="B179" s="1934" t="s">
        <v>119</v>
      </c>
      <c r="C179" s="1934" t="s">
        <v>522</v>
      </c>
      <c r="D179" s="1936">
        <v>147703</v>
      </c>
      <c r="E179" s="1936">
        <v>15978</v>
      </c>
      <c r="F179" s="1936">
        <v>18350.811999999998</v>
      </c>
      <c r="G179" s="1937">
        <f t="shared" si="26"/>
        <v>0.11</v>
      </c>
      <c r="H179" s="1936">
        <f t="shared" si="27"/>
        <v>2018</v>
      </c>
    </row>
    <row r="180" spans="1:8" ht="20.100000000000001" customHeight="1" x14ac:dyDescent="0.15">
      <c r="A180" s="1935">
        <v>43374</v>
      </c>
      <c r="B180" s="1934" t="s">
        <v>329</v>
      </c>
      <c r="C180" s="1934" t="s">
        <v>526</v>
      </c>
      <c r="D180" s="1936">
        <v>198600</v>
      </c>
      <c r="E180" s="1936">
        <v>55100</v>
      </c>
      <c r="F180" s="1936">
        <v>27579</v>
      </c>
      <c r="G180" s="1937">
        <f t="shared" si="26"/>
        <v>0.28000000000000003</v>
      </c>
      <c r="H180" s="1936">
        <f t="shared" si="27"/>
        <v>7722</v>
      </c>
    </row>
    <row r="181" spans="1:8" ht="20.100000000000001" customHeight="1" x14ac:dyDescent="0.15">
      <c r="A181" s="1935">
        <v>43405</v>
      </c>
      <c r="B181" s="1934" t="s">
        <v>391</v>
      </c>
      <c r="C181" s="1934" t="s">
        <v>1147</v>
      </c>
      <c r="D181" s="1936">
        <v>147640</v>
      </c>
      <c r="E181" s="1936">
        <v>19740</v>
      </c>
      <c r="F181" s="1936">
        <v>24399</v>
      </c>
      <c r="G181" s="1937">
        <f t="shared" si="26"/>
        <v>0.13</v>
      </c>
      <c r="H181" s="1936">
        <f t="shared" si="27"/>
        <v>3171</v>
      </c>
    </row>
    <row r="182" spans="1:8" ht="20.100000000000001" customHeight="1" x14ac:dyDescent="0.15">
      <c r="A182" s="1935">
        <v>43405</v>
      </c>
      <c r="B182" s="1934" t="s">
        <v>37</v>
      </c>
      <c r="C182" s="1934" t="s">
        <v>928</v>
      </c>
      <c r="D182" s="1936">
        <v>222801</v>
      </c>
      <c r="E182" s="1936">
        <v>18326</v>
      </c>
      <c r="F182" s="1936">
        <v>31901</v>
      </c>
      <c r="G182" s="1937">
        <f t="shared" si="26"/>
        <v>0.08</v>
      </c>
      <c r="H182" s="1936">
        <f t="shared" si="27"/>
        <v>2552</v>
      </c>
    </row>
    <row r="183" spans="1:8" ht="20.100000000000001" customHeight="1" x14ac:dyDescent="0.15">
      <c r="A183" s="1935">
        <v>43405</v>
      </c>
      <c r="B183" s="1934" t="s">
        <v>66</v>
      </c>
      <c r="C183" s="1934" t="s">
        <v>520</v>
      </c>
      <c r="D183" s="1936">
        <v>242740</v>
      </c>
      <c r="E183" s="1936">
        <v>19440</v>
      </c>
      <c r="F183" s="1936">
        <v>30731</v>
      </c>
      <c r="G183" s="1937">
        <f t="shared" si="26"/>
        <v>0.08</v>
      </c>
      <c r="H183" s="1936">
        <f t="shared" si="27"/>
        <v>2458</v>
      </c>
    </row>
    <row r="184" spans="1:8" ht="20.100000000000001" customHeight="1" x14ac:dyDescent="0.15">
      <c r="A184" s="1935">
        <v>43405</v>
      </c>
      <c r="B184" s="1934" t="s">
        <v>66</v>
      </c>
      <c r="C184" s="1934" t="s">
        <v>936</v>
      </c>
      <c r="D184" s="1936">
        <v>285586</v>
      </c>
      <c r="E184" s="1936">
        <v>25035</v>
      </c>
      <c r="F184" s="1936">
        <v>48759</v>
      </c>
      <c r="G184" s="1937">
        <f t="shared" si="26"/>
        <v>0.09</v>
      </c>
      <c r="H184" s="1936">
        <f t="shared" si="27"/>
        <v>4388</v>
      </c>
    </row>
    <row r="185" spans="1:8" ht="20.100000000000001" customHeight="1" x14ac:dyDescent="0.15">
      <c r="A185" s="1935">
        <v>43405</v>
      </c>
      <c r="B185" s="1934" t="s">
        <v>472</v>
      </c>
      <c r="C185" s="1934" t="s">
        <v>525</v>
      </c>
      <c r="D185" s="1936">
        <v>176695</v>
      </c>
      <c r="E185" s="1936">
        <v>26520</v>
      </c>
      <c r="F185" s="1936">
        <v>26003</v>
      </c>
      <c r="G185" s="1937">
        <f t="shared" si="26"/>
        <v>0.15</v>
      </c>
      <c r="H185" s="1936">
        <f t="shared" si="27"/>
        <v>3900</v>
      </c>
    </row>
    <row r="186" spans="1:8" ht="20.100000000000001" customHeight="1" x14ac:dyDescent="0.15">
      <c r="A186" s="1935">
        <v>43405</v>
      </c>
      <c r="B186" s="1934" t="s">
        <v>472</v>
      </c>
      <c r="C186" s="1934" t="s">
        <v>1222</v>
      </c>
      <c r="D186" s="1936">
        <v>113275</v>
      </c>
      <c r="E186" s="1936">
        <v>4990</v>
      </c>
      <c r="F186" s="1936">
        <v>453.1</v>
      </c>
      <c r="G186" s="1937">
        <f t="shared" si="26"/>
        <v>0.04</v>
      </c>
      <c r="H186" s="1936">
        <f t="shared" si="27"/>
        <v>18</v>
      </c>
    </row>
    <row r="187" spans="1:8" ht="20.100000000000001" customHeight="1" x14ac:dyDescent="0.15">
      <c r="A187" s="1935">
        <v>43405</v>
      </c>
      <c r="B187" s="1934" t="s">
        <v>472</v>
      </c>
      <c r="C187" s="1934" t="s">
        <v>1391</v>
      </c>
      <c r="D187" s="1936">
        <v>135250</v>
      </c>
      <c r="E187" s="1936">
        <v>0</v>
      </c>
      <c r="F187" s="1936">
        <v>27321</v>
      </c>
      <c r="G187" s="1937">
        <f t="shared" si="26"/>
        <v>0</v>
      </c>
      <c r="H187" s="1936">
        <f t="shared" si="27"/>
        <v>0</v>
      </c>
    </row>
    <row r="188" spans="1:8" ht="20.100000000000001" customHeight="1" x14ac:dyDescent="0.15">
      <c r="A188" s="1935">
        <v>43405</v>
      </c>
      <c r="B188" s="1934" t="s">
        <v>119</v>
      </c>
      <c r="C188" s="1934" t="s">
        <v>522</v>
      </c>
      <c r="D188" s="1936">
        <v>122968</v>
      </c>
      <c r="E188" s="1936">
        <v>13393</v>
      </c>
      <c r="F188" s="1936">
        <v>18251.871999999999</v>
      </c>
      <c r="G188" s="1937">
        <f t="shared" si="26"/>
        <v>0.11</v>
      </c>
      <c r="H188" s="1936">
        <f t="shared" si="27"/>
        <v>2007</v>
      </c>
    </row>
    <row r="189" spans="1:8" ht="20.100000000000001" customHeight="1" x14ac:dyDescent="0.15">
      <c r="A189" s="1935">
        <v>43405</v>
      </c>
      <c r="B189" s="1934" t="s">
        <v>329</v>
      </c>
      <c r="C189" s="1934" t="s">
        <v>526</v>
      </c>
      <c r="D189" s="1936">
        <v>45711</v>
      </c>
      <c r="E189" s="1936">
        <v>12125</v>
      </c>
      <c r="F189" s="1936">
        <v>26967</v>
      </c>
      <c r="G189" s="1937">
        <f t="shared" si="26"/>
        <v>0.27</v>
      </c>
      <c r="H189" s="1936">
        <f t="shared" si="27"/>
        <v>7281</v>
      </c>
    </row>
    <row r="190" spans="1:8" ht="20.100000000000001" customHeight="1" x14ac:dyDescent="0.15">
      <c r="A190" s="1935">
        <v>43435</v>
      </c>
      <c r="B190" s="1934" t="s">
        <v>391</v>
      </c>
      <c r="C190" s="1934" t="s">
        <v>1147</v>
      </c>
      <c r="D190" s="1936">
        <v>160160</v>
      </c>
      <c r="E190" s="1936">
        <v>21560</v>
      </c>
      <c r="F190" s="1936">
        <v>24449</v>
      </c>
      <c r="G190" s="1937">
        <f t="shared" si="26"/>
        <v>0.13</v>
      </c>
      <c r="H190" s="1936">
        <f t="shared" si="27"/>
        <v>3178</v>
      </c>
    </row>
    <row r="191" spans="1:8" ht="20.100000000000001" customHeight="1" x14ac:dyDescent="0.15">
      <c r="A191" s="1935">
        <v>43435</v>
      </c>
      <c r="B191" s="1934" t="s">
        <v>37</v>
      </c>
      <c r="C191" s="1934" t="s">
        <v>928</v>
      </c>
      <c r="D191" s="1936">
        <v>235517</v>
      </c>
      <c r="E191" s="1936">
        <v>21817</v>
      </c>
      <c r="F191" s="1936">
        <v>31952</v>
      </c>
      <c r="G191" s="1937">
        <f t="shared" si="26"/>
        <v>0.09</v>
      </c>
      <c r="H191" s="1936">
        <f t="shared" si="27"/>
        <v>2875</v>
      </c>
    </row>
    <row r="192" spans="1:8" ht="20.100000000000001" customHeight="1" x14ac:dyDescent="0.15">
      <c r="A192" s="1935">
        <v>43435</v>
      </c>
      <c r="B192" s="1934" t="s">
        <v>66</v>
      </c>
      <c r="C192" s="1934" t="s">
        <v>520</v>
      </c>
      <c r="D192" s="1936">
        <v>230726</v>
      </c>
      <c r="E192" s="1936">
        <v>23326</v>
      </c>
      <c r="F192" s="1936">
        <v>30683</v>
      </c>
      <c r="G192" s="1937">
        <f t="shared" si="26"/>
        <v>0.1</v>
      </c>
      <c r="H192" s="1936">
        <f t="shared" si="27"/>
        <v>3068</v>
      </c>
    </row>
    <row r="193" spans="1:8" ht="20.100000000000001" customHeight="1" x14ac:dyDescent="0.15">
      <c r="A193" s="1935">
        <v>43435</v>
      </c>
      <c r="B193" s="1934" t="s">
        <v>66</v>
      </c>
      <c r="C193" s="1934" t="s">
        <v>936</v>
      </c>
      <c r="D193" s="1936">
        <v>273447</v>
      </c>
      <c r="E193" s="1936">
        <v>27104</v>
      </c>
      <c r="F193" s="1936">
        <v>48710</v>
      </c>
      <c r="G193" s="1937">
        <f t="shared" si="26"/>
        <v>0.1</v>
      </c>
      <c r="H193" s="1936">
        <f t="shared" si="27"/>
        <v>4871</v>
      </c>
    </row>
    <row r="194" spans="1:8" ht="20.100000000000001" customHeight="1" x14ac:dyDescent="0.15">
      <c r="A194" s="1935">
        <v>43435</v>
      </c>
      <c r="B194" s="1934" t="s">
        <v>472</v>
      </c>
      <c r="C194" s="1934" t="s">
        <v>525</v>
      </c>
      <c r="D194" s="1936">
        <v>142775</v>
      </c>
      <c r="E194" s="1936">
        <v>21400</v>
      </c>
      <c r="F194" s="1936">
        <v>25868</v>
      </c>
      <c r="G194" s="1937">
        <f t="shared" si="26"/>
        <v>0.15</v>
      </c>
      <c r="H194" s="1936">
        <f t="shared" si="27"/>
        <v>3880</v>
      </c>
    </row>
    <row r="195" spans="1:8" ht="20.100000000000001" customHeight="1" x14ac:dyDescent="0.15">
      <c r="A195" s="1935">
        <v>43435</v>
      </c>
      <c r="B195" s="1934" t="s">
        <v>472</v>
      </c>
      <c r="C195" s="1934" t="s">
        <v>1222</v>
      </c>
      <c r="D195" s="1936">
        <v>124550</v>
      </c>
      <c r="E195" s="1936">
        <v>5180</v>
      </c>
      <c r="F195" s="1936">
        <v>498</v>
      </c>
      <c r="G195" s="1937">
        <f t="shared" ref="G195:G200" si="28">IFERROR(ROUND(E195/D195,2),0)</f>
        <v>0.04</v>
      </c>
      <c r="H195" s="1936">
        <f t="shared" ref="H195:H200" si="29">IFERROR(ROUNDDOWN(F195*G195,0),0)</f>
        <v>19</v>
      </c>
    </row>
    <row r="196" spans="1:8" ht="20.100000000000001" customHeight="1" x14ac:dyDescent="0.15">
      <c r="A196" s="1935">
        <v>43435</v>
      </c>
      <c r="B196" s="1934" t="s">
        <v>472</v>
      </c>
      <c r="C196" s="1934" t="s">
        <v>1391</v>
      </c>
      <c r="D196" s="1936">
        <v>116500</v>
      </c>
      <c r="E196" s="1936">
        <v>0</v>
      </c>
      <c r="F196" s="1936">
        <v>27246</v>
      </c>
      <c r="G196" s="1937">
        <f t="shared" si="28"/>
        <v>0</v>
      </c>
      <c r="H196" s="1936">
        <f t="shared" si="29"/>
        <v>0</v>
      </c>
    </row>
    <row r="197" spans="1:8" ht="20.100000000000001" customHeight="1" x14ac:dyDescent="0.15">
      <c r="A197" s="1935">
        <v>43435</v>
      </c>
      <c r="B197" s="1934" t="s">
        <v>119</v>
      </c>
      <c r="C197" s="1934" t="s">
        <v>522</v>
      </c>
      <c r="D197" s="1936">
        <v>138360</v>
      </c>
      <c r="E197" s="1936">
        <v>14960</v>
      </c>
      <c r="F197" s="1936">
        <v>18313</v>
      </c>
      <c r="G197" s="1937">
        <f t="shared" si="28"/>
        <v>0.11</v>
      </c>
      <c r="H197" s="1936">
        <f t="shared" si="29"/>
        <v>2014</v>
      </c>
    </row>
    <row r="198" spans="1:8" ht="20.100000000000001" customHeight="1" x14ac:dyDescent="0.15">
      <c r="A198" s="1935">
        <v>43466</v>
      </c>
      <c r="B198" s="1934" t="s">
        <v>391</v>
      </c>
      <c r="C198" s="1934" t="s">
        <v>1147</v>
      </c>
      <c r="D198" s="1936">
        <v>180080</v>
      </c>
      <c r="E198" s="1936">
        <v>21280</v>
      </c>
      <c r="F198" s="1936">
        <v>24529</v>
      </c>
      <c r="G198" s="1937">
        <f t="shared" si="28"/>
        <v>0.12</v>
      </c>
      <c r="H198" s="1936">
        <f t="shared" si="29"/>
        <v>2943</v>
      </c>
    </row>
    <row r="199" spans="1:8" ht="20.100000000000001" customHeight="1" x14ac:dyDescent="0.15">
      <c r="A199" s="1935">
        <v>43466</v>
      </c>
      <c r="B199" s="1934" t="s">
        <v>37</v>
      </c>
      <c r="C199" s="1934" t="s">
        <v>928</v>
      </c>
      <c r="D199" s="1936">
        <v>233469</v>
      </c>
      <c r="E199" s="1936">
        <v>22833</v>
      </c>
      <c r="F199" s="1936">
        <v>31943</v>
      </c>
      <c r="G199" s="1937">
        <f t="shared" si="28"/>
        <v>0.1</v>
      </c>
      <c r="H199" s="1936">
        <f t="shared" si="29"/>
        <v>3194</v>
      </c>
    </row>
    <row r="200" spans="1:8" ht="20.100000000000001" customHeight="1" x14ac:dyDescent="0.15">
      <c r="A200" s="1935">
        <v>43466</v>
      </c>
      <c r="B200" s="1934" t="s">
        <v>66</v>
      </c>
      <c r="C200" s="1934" t="s">
        <v>520</v>
      </c>
      <c r="D200" s="1936">
        <v>234025</v>
      </c>
      <c r="E200" s="1936">
        <v>24412</v>
      </c>
      <c r="F200" s="1936">
        <v>30697</v>
      </c>
      <c r="G200" s="1937">
        <f t="shared" si="28"/>
        <v>0.1</v>
      </c>
      <c r="H200" s="1936">
        <f t="shared" si="29"/>
        <v>3069</v>
      </c>
    </row>
    <row r="201" spans="1:8" ht="20.100000000000001" customHeight="1" x14ac:dyDescent="0.15">
      <c r="A201" s="1935">
        <v>43466</v>
      </c>
      <c r="B201" s="1934" t="s">
        <v>66</v>
      </c>
      <c r="C201" s="1934" t="s">
        <v>936</v>
      </c>
      <c r="D201" s="1936">
        <v>283148</v>
      </c>
      <c r="E201" s="1936">
        <v>28366</v>
      </c>
      <c r="F201" s="1936">
        <v>48749</v>
      </c>
      <c r="G201" s="1937">
        <f t="shared" ref="G201:G250" si="30">IFERROR(ROUND(E201/D201,2),0)</f>
        <v>0.1</v>
      </c>
      <c r="H201" s="1936">
        <f t="shared" ref="H201:H250" si="31">IFERROR(ROUNDDOWN(F201*G201,0),0)</f>
        <v>4874</v>
      </c>
    </row>
    <row r="202" spans="1:8" ht="20.100000000000001" customHeight="1" x14ac:dyDescent="0.15">
      <c r="A202" s="1935">
        <v>43466</v>
      </c>
      <c r="B202" s="1934" t="s">
        <v>1501</v>
      </c>
      <c r="C202" s="1934" t="s">
        <v>525</v>
      </c>
      <c r="D202" s="1936">
        <v>163710</v>
      </c>
      <c r="E202" s="1936">
        <v>24560</v>
      </c>
      <c r="F202" s="1936">
        <v>25951</v>
      </c>
      <c r="G202" s="1937">
        <f t="shared" si="30"/>
        <v>0.15</v>
      </c>
      <c r="H202" s="1936">
        <f t="shared" si="31"/>
        <v>3892</v>
      </c>
    </row>
    <row r="203" spans="1:8" ht="20.100000000000001" customHeight="1" x14ac:dyDescent="0.15">
      <c r="A203" s="1935">
        <v>43466</v>
      </c>
      <c r="B203" s="1934" t="s">
        <v>1501</v>
      </c>
      <c r="C203" s="1934" t="s">
        <v>1222</v>
      </c>
      <c r="D203" s="1936">
        <v>105850</v>
      </c>
      <c r="E203" s="1936">
        <v>4660</v>
      </c>
      <c r="F203" s="1936">
        <v>498</v>
      </c>
      <c r="G203" s="1937">
        <f t="shared" si="30"/>
        <v>0.04</v>
      </c>
      <c r="H203" s="1936">
        <f t="shared" si="31"/>
        <v>19</v>
      </c>
    </row>
    <row r="204" spans="1:8" ht="20.100000000000001" customHeight="1" x14ac:dyDescent="0.15">
      <c r="A204" s="1935">
        <v>43466</v>
      </c>
      <c r="B204" s="1934" t="s">
        <v>1501</v>
      </c>
      <c r="C204" s="1934" t="s">
        <v>1391</v>
      </c>
      <c r="D204" s="1936">
        <v>116000</v>
      </c>
      <c r="E204" s="1936">
        <v>0</v>
      </c>
      <c r="F204" s="1936">
        <v>27244</v>
      </c>
      <c r="G204" s="1937">
        <f t="shared" si="30"/>
        <v>0</v>
      </c>
      <c r="H204" s="1936">
        <f t="shared" si="31"/>
        <v>0</v>
      </c>
    </row>
    <row r="205" spans="1:8" ht="20.100000000000001" customHeight="1" x14ac:dyDescent="0.15">
      <c r="A205" s="1935">
        <v>43466</v>
      </c>
      <c r="B205" s="1934" t="s">
        <v>119</v>
      </c>
      <c r="C205" s="1934" t="s">
        <v>522</v>
      </c>
      <c r="D205" s="1936">
        <v>132310</v>
      </c>
      <c r="E205" s="1936">
        <v>14410</v>
      </c>
      <c r="F205" s="1936">
        <v>18313</v>
      </c>
      <c r="G205" s="1937">
        <f t="shared" si="30"/>
        <v>0.11</v>
      </c>
      <c r="H205" s="1936">
        <f t="shared" si="31"/>
        <v>2014</v>
      </c>
    </row>
    <row r="206" spans="1:8" ht="20.100000000000001" customHeight="1" x14ac:dyDescent="0.15">
      <c r="A206" s="1935">
        <v>43497</v>
      </c>
      <c r="B206" s="1934" t="s">
        <v>391</v>
      </c>
      <c r="C206" s="1934" t="s">
        <v>1147</v>
      </c>
      <c r="D206" s="1936">
        <v>157040</v>
      </c>
      <c r="E206" s="1936">
        <v>21140</v>
      </c>
      <c r="F206" s="1936">
        <v>24437</v>
      </c>
      <c r="G206" s="1937">
        <f t="shared" si="30"/>
        <v>0.13</v>
      </c>
      <c r="H206" s="1936">
        <f t="shared" si="31"/>
        <v>3176</v>
      </c>
    </row>
    <row r="207" spans="1:8" ht="20.100000000000001" customHeight="1" x14ac:dyDescent="0.15">
      <c r="A207" s="1935">
        <v>43497</v>
      </c>
      <c r="B207" s="1934" t="s">
        <v>37</v>
      </c>
      <c r="C207" s="1934" t="s">
        <v>928</v>
      </c>
      <c r="D207" s="1936">
        <v>201006</v>
      </c>
      <c r="E207" s="1936">
        <v>22737</v>
      </c>
      <c r="F207" s="1936">
        <v>31814</v>
      </c>
      <c r="G207" s="1937">
        <f t="shared" si="30"/>
        <v>0.11</v>
      </c>
      <c r="H207" s="1936">
        <f t="shared" si="31"/>
        <v>3499</v>
      </c>
    </row>
    <row r="208" spans="1:8" ht="20.100000000000001" customHeight="1" x14ac:dyDescent="0.15">
      <c r="A208" s="1935">
        <v>43497</v>
      </c>
      <c r="B208" s="1934" t="s">
        <v>66</v>
      </c>
      <c r="C208" s="1934" t="s">
        <v>520</v>
      </c>
      <c r="D208" s="1936">
        <v>220197</v>
      </c>
      <c r="E208" s="1936">
        <v>21971</v>
      </c>
      <c r="F208" s="1936">
        <v>30641</v>
      </c>
      <c r="G208" s="1937">
        <f t="shared" si="30"/>
        <v>0.1</v>
      </c>
      <c r="H208" s="1936">
        <f t="shared" si="31"/>
        <v>3064</v>
      </c>
    </row>
    <row r="209" spans="1:8" ht="20.100000000000001" customHeight="1" x14ac:dyDescent="0.15">
      <c r="A209" s="1935">
        <v>43497</v>
      </c>
      <c r="B209" s="1934" t="s">
        <v>472</v>
      </c>
      <c r="C209" s="1934" t="s">
        <v>525</v>
      </c>
      <c r="D209" s="1936">
        <v>174045</v>
      </c>
      <c r="E209" s="1936">
        <v>26120</v>
      </c>
      <c r="F209" s="1936">
        <v>25993</v>
      </c>
      <c r="G209" s="1937">
        <f t="shared" si="30"/>
        <v>0.15</v>
      </c>
      <c r="H209" s="1936">
        <f t="shared" si="31"/>
        <v>3898</v>
      </c>
    </row>
    <row r="210" spans="1:8" ht="20.100000000000001" customHeight="1" x14ac:dyDescent="0.15">
      <c r="A210" s="1935">
        <v>43497</v>
      </c>
      <c r="B210" s="1934" t="s">
        <v>472</v>
      </c>
      <c r="C210" s="1934" t="s">
        <v>1222</v>
      </c>
      <c r="D210" s="1936">
        <v>122050</v>
      </c>
      <c r="E210" s="1936">
        <v>5380</v>
      </c>
      <c r="F210" s="1936">
        <v>488</v>
      </c>
      <c r="G210" s="1937">
        <f t="shared" si="30"/>
        <v>0.04</v>
      </c>
      <c r="H210" s="1936">
        <f t="shared" si="31"/>
        <v>19</v>
      </c>
    </row>
    <row r="211" spans="1:8" ht="20.100000000000001" customHeight="1" x14ac:dyDescent="0.15">
      <c r="A211" s="1935">
        <v>43497</v>
      </c>
      <c r="B211" s="1934" t="s">
        <v>472</v>
      </c>
      <c r="C211" s="1934" t="s">
        <v>1391</v>
      </c>
      <c r="D211" s="1936">
        <v>128000</v>
      </c>
      <c r="E211" s="1936">
        <v>0</v>
      </c>
      <c r="F211" s="1936">
        <v>27292</v>
      </c>
      <c r="G211" s="1937">
        <f t="shared" si="30"/>
        <v>0</v>
      </c>
      <c r="H211" s="1936">
        <f t="shared" si="31"/>
        <v>0</v>
      </c>
    </row>
    <row r="212" spans="1:8" ht="20.100000000000001" customHeight="1" x14ac:dyDescent="0.15">
      <c r="A212" s="1935">
        <v>43497</v>
      </c>
      <c r="B212" s="1934" t="s">
        <v>119</v>
      </c>
      <c r="C212" s="1934" t="s">
        <v>522</v>
      </c>
      <c r="D212" s="1936">
        <v>103020</v>
      </c>
      <c r="E212" s="1936">
        <v>11220</v>
      </c>
      <c r="F212" s="1936">
        <v>18172</v>
      </c>
      <c r="G212" s="1937">
        <f t="shared" si="30"/>
        <v>0.11</v>
      </c>
      <c r="H212" s="1936">
        <f t="shared" si="31"/>
        <v>1998</v>
      </c>
    </row>
    <row r="213" spans="1:8" ht="20.100000000000001" customHeight="1" x14ac:dyDescent="0.15">
      <c r="A213" s="1935">
        <v>43525</v>
      </c>
      <c r="B213" s="1934" t="s">
        <v>391</v>
      </c>
      <c r="C213" s="1934" t="s">
        <v>1147</v>
      </c>
      <c r="D213" s="1936">
        <v>163240</v>
      </c>
      <c r="E213" s="1936">
        <v>21840</v>
      </c>
      <c r="F213" s="1936">
        <v>24525</v>
      </c>
      <c r="G213" s="1937">
        <f t="shared" si="30"/>
        <v>0.13</v>
      </c>
      <c r="H213" s="1936">
        <f t="shared" si="31"/>
        <v>3188</v>
      </c>
    </row>
    <row r="214" spans="1:8" ht="20.100000000000001" customHeight="1" x14ac:dyDescent="0.15">
      <c r="A214" s="1935">
        <v>43525</v>
      </c>
      <c r="B214" s="1934" t="s">
        <v>37</v>
      </c>
      <c r="C214" s="1934" t="s">
        <v>928</v>
      </c>
      <c r="D214" s="1936">
        <v>229647</v>
      </c>
      <c r="E214" s="1936">
        <v>22347</v>
      </c>
      <c r="F214" s="1936">
        <v>31840</v>
      </c>
      <c r="G214" s="1937">
        <f t="shared" si="30"/>
        <v>0.1</v>
      </c>
      <c r="H214" s="1936">
        <f t="shared" si="31"/>
        <v>3184</v>
      </c>
    </row>
    <row r="215" spans="1:8" ht="20.100000000000001" customHeight="1" x14ac:dyDescent="0.15">
      <c r="A215" s="1935">
        <v>43525</v>
      </c>
      <c r="B215" s="1934" t="s">
        <v>66</v>
      </c>
      <c r="C215" s="1934" t="s">
        <v>520</v>
      </c>
      <c r="D215" s="1936">
        <v>251926</v>
      </c>
      <c r="E215" s="1936">
        <v>19726</v>
      </c>
      <c r="F215" s="1936">
        <v>30848</v>
      </c>
      <c r="G215" s="1937">
        <f t="shared" si="30"/>
        <v>0.08</v>
      </c>
      <c r="H215" s="1936">
        <f t="shared" si="31"/>
        <v>2467</v>
      </c>
    </row>
    <row r="216" spans="1:8" ht="20.100000000000001" customHeight="1" x14ac:dyDescent="0.15">
      <c r="A216" s="1935">
        <v>43525</v>
      </c>
      <c r="B216" s="1934" t="s">
        <v>472</v>
      </c>
      <c r="C216" s="1934" t="s">
        <v>525</v>
      </c>
      <c r="D216" s="1936">
        <v>199485</v>
      </c>
      <c r="E216" s="1936">
        <v>29960</v>
      </c>
      <c r="F216" s="1936">
        <v>26162</v>
      </c>
      <c r="G216" s="1937">
        <f t="shared" si="30"/>
        <v>0.15</v>
      </c>
      <c r="H216" s="1936">
        <f t="shared" si="31"/>
        <v>3924</v>
      </c>
    </row>
    <row r="217" spans="1:8" ht="20.100000000000001" customHeight="1" x14ac:dyDescent="0.15">
      <c r="A217" s="1935">
        <v>43525</v>
      </c>
      <c r="B217" s="1934" t="s">
        <v>472</v>
      </c>
      <c r="C217" s="1934" t="s">
        <v>1222</v>
      </c>
      <c r="D217" s="1936">
        <v>149500</v>
      </c>
      <c r="E217" s="1936">
        <v>6600</v>
      </c>
      <c r="F217" s="1936">
        <v>488</v>
      </c>
      <c r="G217" s="1937">
        <f t="shared" si="30"/>
        <v>0.04</v>
      </c>
      <c r="H217" s="1936">
        <f t="shared" si="31"/>
        <v>19</v>
      </c>
    </row>
    <row r="218" spans="1:8" ht="20.100000000000001" customHeight="1" x14ac:dyDescent="0.15">
      <c r="A218" s="1935">
        <v>43525</v>
      </c>
      <c r="B218" s="1934" t="s">
        <v>472</v>
      </c>
      <c r="C218" s="1934" t="s">
        <v>1391</v>
      </c>
      <c r="D218" s="1936">
        <v>123000</v>
      </c>
      <c r="E218" s="1936">
        <v>0</v>
      </c>
      <c r="F218" s="1936">
        <v>27196</v>
      </c>
      <c r="G218" s="1937">
        <f t="shared" si="30"/>
        <v>0</v>
      </c>
      <c r="H218" s="1936">
        <f t="shared" si="31"/>
        <v>0</v>
      </c>
    </row>
    <row r="219" spans="1:8" ht="20.100000000000001" customHeight="1" x14ac:dyDescent="0.15">
      <c r="A219" s="1935">
        <v>43525</v>
      </c>
      <c r="B219" s="1934" t="s">
        <v>119</v>
      </c>
      <c r="C219" s="1934" t="s">
        <v>522</v>
      </c>
      <c r="D219" s="1936">
        <v>116393</v>
      </c>
      <c r="E219" s="1936">
        <v>12568</v>
      </c>
      <c r="F219" s="1936">
        <v>18121</v>
      </c>
      <c r="G219" s="1937">
        <f t="shared" si="30"/>
        <v>0.11</v>
      </c>
      <c r="H219" s="1936">
        <f t="shared" si="31"/>
        <v>1993</v>
      </c>
    </row>
    <row r="220" spans="1:8" ht="20.100000000000001" customHeight="1" x14ac:dyDescent="0.15">
      <c r="A220" s="1935">
        <v>43556</v>
      </c>
      <c r="B220" s="1934" t="s">
        <v>391</v>
      </c>
      <c r="C220" s="1934" t="s">
        <v>1147</v>
      </c>
      <c r="D220" s="1936">
        <v>152320</v>
      </c>
      <c r="E220" s="1936">
        <v>20370</v>
      </c>
      <c r="F220" s="1936">
        <v>24482</v>
      </c>
      <c r="G220" s="1937">
        <f t="shared" si="30"/>
        <v>0.13</v>
      </c>
      <c r="H220" s="1936">
        <f t="shared" si="31"/>
        <v>3182</v>
      </c>
    </row>
    <row r="221" spans="1:8" ht="20.100000000000001" customHeight="1" x14ac:dyDescent="0.15">
      <c r="A221" s="1935">
        <v>43556</v>
      </c>
      <c r="B221" s="1934" t="s">
        <v>37</v>
      </c>
      <c r="C221" s="1934" t="s">
        <v>928</v>
      </c>
      <c r="D221" s="1936">
        <v>192495</v>
      </c>
      <c r="E221" s="1936">
        <v>17220</v>
      </c>
      <c r="F221" s="1936">
        <v>31691</v>
      </c>
      <c r="G221" s="1937">
        <f t="shared" si="30"/>
        <v>0.09</v>
      </c>
      <c r="H221" s="1936">
        <f t="shared" si="31"/>
        <v>2852</v>
      </c>
    </row>
    <row r="222" spans="1:8" ht="20.100000000000001" customHeight="1" x14ac:dyDescent="0.15">
      <c r="A222" s="1935">
        <v>43556</v>
      </c>
      <c r="B222" s="1934" t="s">
        <v>66</v>
      </c>
      <c r="C222" s="1934" t="s">
        <v>520</v>
      </c>
      <c r="D222" s="1936">
        <v>254344</v>
      </c>
      <c r="E222" s="1936">
        <v>18626</v>
      </c>
      <c r="F222" s="1936">
        <v>30858</v>
      </c>
      <c r="G222" s="1937">
        <f t="shared" si="30"/>
        <v>7.0000000000000007E-2</v>
      </c>
      <c r="H222" s="1936">
        <f t="shared" si="31"/>
        <v>2160</v>
      </c>
    </row>
    <row r="223" spans="1:8" ht="20.100000000000001" customHeight="1" x14ac:dyDescent="0.15">
      <c r="A223" s="1935">
        <v>43556</v>
      </c>
      <c r="B223" s="1934" t="s">
        <v>472</v>
      </c>
      <c r="C223" s="1934" t="s">
        <v>525</v>
      </c>
      <c r="D223" s="1936">
        <v>191270</v>
      </c>
      <c r="E223" s="1936">
        <v>28520</v>
      </c>
      <c r="F223" s="1936">
        <v>26130</v>
      </c>
      <c r="G223" s="1937">
        <f t="shared" si="30"/>
        <v>0.15</v>
      </c>
      <c r="H223" s="1936">
        <f t="shared" si="31"/>
        <v>3919</v>
      </c>
    </row>
    <row r="224" spans="1:8" ht="20.100000000000001" customHeight="1" x14ac:dyDescent="0.15">
      <c r="A224" s="1935">
        <v>43556</v>
      </c>
      <c r="B224" s="1934" t="s">
        <v>472</v>
      </c>
      <c r="C224" s="1934" t="s">
        <v>1222</v>
      </c>
      <c r="D224" s="1936">
        <v>154225</v>
      </c>
      <c r="E224" s="1936">
        <v>6760</v>
      </c>
      <c r="F224" s="1936">
        <v>1063</v>
      </c>
      <c r="G224" s="1937">
        <f t="shared" si="30"/>
        <v>0.04</v>
      </c>
      <c r="H224" s="1936">
        <f t="shared" si="31"/>
        <v>42</v>
      </c>
    </row>
    <row r="225" spans="1:8" ht="20.100000000000001" customHeight="1" x14ac:dyDescent="0.15">
      <c r="A225" s="1935">
        <v>43556</v>
      </c>
      <c r="B225" s="1934" t="s">
        <v>472</v>
      </c>
      <c r="C225" s="1934" t="s">
        <v>1391</v>
      </c>
      <c r="D225" s="1936">
        <v>141500</v>
      </c>
      <c r="E225" s="1936">
        <v>0</v>
      </c>
      <c r="F225" s="1936">
        <v>27270</v>
      </c>
      <c r="G225" s="1937">
        <f t="shared" si="30"/>
        <v>0</v>
      </c>
      <c r="H225" s="1936">
        <f t="shared" si="31"/>
        <v>0</v>
      </c>
    </row>
    <row r="226" spans="1:8" ht="20.100000000000001" customHeight="1" x14ac:dyDescent="0.15">
      <c r="A226" s="1935">
        <v>43556</v>
      </c>
      <c r="B226" s="1934" t="s">
        <v>472</v>
      </c>
      <c r="C226" s="1934" t="s">
        <v>1540</v>
      </c>
      <c r="D226" s="1936">
        <v>136775</v>
      </c>
      <c r="E226" s="1936">
        <v>0</v>
      </c>
      <c r="F226" s="1936">
        <v>547</v>
      </c>
      <c r="G226" s="1937">
        <f t="shared" si="30"/>
        <v>0</v>
      </c>
      <c r="H226" s="1936">
        <f t="shared" si="31"/>
        <v>0</v>
      </c>
    </row>
    <row r="227" spans="1:8" ht="20.100000000000001" customHeight="1" x14ac:dyDescent="0.15">
      <c r="A227" s="1935">
        <v>43556</v>
      </c>
      <c r="B227" s="1934" t="s">
        <v>119</v>
      </c>
      <c r="C227" s="1934" t="s">
        <v>522</v>
      </c>
      <c r="D227" s="1936">
        <v>108565</v>
      </c>
      <c r="E227" s="1936">
        <v>11715</v>
      </c>
      <c r="F227" s="1936">
        <v>18176</v>
      </c>
      <c r="G227" s="1937">
        <f t="shared" si="30"/>
        <v>0.11</v>
      </c>
      <c r="H227" s="1936">
        <f t="shared" si="31"/>
        <v>1999</v>
      </c>
    </row>
    <row r="228" spans="1:8" ht="20.100000000000001" customHeight="1" x14ac:dyDescent="0.15">
      <c r="A228" s="1935"/>
      <c r="B228" s="1934"/>
      <c r="C228" s="1934"/>
      <c r="D228" s="1936"/>
      <c r="E228" s="1936"/>
      <c r="F228" s="1936"/>
      <c r="G228" s="1937">
        <f t="shared" si="30"/>
        <v>0</v>
      </c>
      <c r="H228" s="1936">
        <f t="shared" si="31"/>
        <v>0</v>
      </c>
    </row>
    <row r="229" spans="1:8" ht="20.100000000000001" customHeight="1" x14ac:dyDescent="0.15">
      <c r="A229" s="1935"/>
      <c r="B229" s="1934"/>
      <c r="C229" s="1934"/>
      <c r="D229" s="1936"/>
      <c r="E229" s="1936"/>
      <c r="F229" s="1936"/>
      <c r="G229" s="1937">
        <f t="shared" si="30"/>
        <v>0</v>
      </c>
      <c r="H229" s="1936">
        <f t="shared" si="31"/>
        <v>0</v>
      </c>
    </row>
    <row r="230" spans="1:8" ht="20.100000000000001" customHeight="1" x14ac:dyDescent="0.15">
      <c r="A230" s="1935"/>
      <c r="B230" s="1934"/>
      <c r="C230" s="1934"/>
      <c r="D230" s="1936"/>
      <c r="E230" s="1936"/>
      <c r="F230" s="1936"/>
      <c r="G230" s="1937">
        <f t="shared" si="30"/>
        <v>0</v>
      </c>
      <c r="H230" s="1936">
        <f t="shared" si="31"/>
        <v>0</v>
      </c>
    </row>
    <row r="231" spans="1:8" ht="20.100000000000001" customHeight="1" x14ac:dyDescent="0.15">
      <c r="A231" s="1935"/>
      <c r="B231" s="1934"/>
      <c r="C231" s="1934"/>
      <c r="D231" s="1936"/>
      <c r="E231" s="1936"/>
      <c r="F231" s="1936"/>
      <c r="G231" s="1937">
        <f t="shared" si="30"/>
        <v>0</v>
      </c>
      <c r="H231" s="1936">
        <f t="shared" si="31"/>
        <v>0</v>
      </c>
    </row>
    <row r="232" spans="1:8" ht="20.100000000000001" customHeight="1" x14ac:dyDescent="0.15">
      <c r="A232" s="1935"/>
      <c r="B232" s="1934"/>
      <c r="C232" s="1934"/>
      <c r="D232" s="1936"/>
      <c r="E232" s="1936"/>
      <c r="F232" s="1936"/>
      <c r="G232" s="1937">
        <f t="shared" si="30"/>
        <v>0</v>
      </c>
      <c r="H232" s="1936">
        <f t="shared" si="31"/>
        <v>0</v>
      </c>
    </row>
    <row r="233" spans="1:8" ht="20.100000000000001" customHeight="1" x14ac:dyDescent="0.15">
      <c r="A233" s="1935"/>
      <c r="B233" s="1934"/>
      <c r="C233" s="1934"/>
      <c r="D233" s="1936"/>
      <c r="E233" s="1936"/>
      <c r="F233" s="1936"/>
      <c r="G233" s="1937">
        <f t="shared" si="30"/>
        <v>0</v>
      </c>
      <c r="H233" s="1936">
        <f t="shared" si="31"/>
        <v>0</v>
      </c>
    </row>
    <row r="234" spans="1:8" ht="20.100000000000001" customHeight="1" x14ac:dyDescent="0.15">
      <c r="A234" s="1935"/>
      <c r="B234" s="1934"/>
      <c r="C234" s="1934"/>
      <c r="D234" s="1936"/>
      <c r="E234" s="1936"/>
      <c r="F234" s="1936"/>
      <c r="G234" s="1937">
        <f t="shared" si="30"/>
        <v>0</v>
      </c>
      <c r="H234" s="1936">
        <f t="shared" si="31"/>
        <v>0</v>
      </c>
    </row>
    <row r="235" spans="1:8" ht="20.100000000000001" customHeight="1" x14ac:dyDescent="0.15">
      <c r="A235" s="1935"/>
      <c r="B235" s="1934"/>
      <c r="C235" s="1934"/>
      <c r="D235" s="1936"/>
      <c r="E235" s="1936"/>
      <c r="F235" s="1936"/>
      <c r="G235" s="1937">
        <f t="shared" si="30"/>
        <v>0</v>
      </c>
      <c r="H235" s="1936">
        <f t="shared" si="31"/>
        <v>0</v>
      </c>
    </row>
    <row r="236" spans="1:8" ht="20.100000000000001" customHeight="1" x14ac:dyDescent="0.15">
      <c r="A236" s="1935"/>
      <c r="B236" s="1934"/>
      <c r="C236" s="1934"/>
      <c r="D236" s="1936"/>
      <c r="E236" s="1936"/>
      <c r="F236" s="1936"/>
      <c r="G236" s="1937">
        <f t="shared" si="30"/>
        <v>0</v>
      </c>
      <c r="H236" s="1936">
        <f t="shared" si="31"/>
        <v>0</v>
      </c>
    </row>
    <row r="237" spans="1:8" ht="20.100000000000001" customHeight="1" x14ac:dyDescent="0.15">
      <c r="A237" s="1935"/>
      <c r="B237" s="1934"/>
      <c r="C237" s="1934"/>
      <c r="D237" s="1936"/>
      <c r="E237" s="1936"/>
      <c r="F237" s="1936"/>
      <c r="G237" s="1937">
        <f t="shared" si="30"/>
        <v>0</v>
      </c>
      <c r="H237" s="1936">
        <f t="shared" si="31"/>
        <v>0</v>
      </c>
    </row>
    <row r="238" spans="1:8" ht="20.100000000000001" customHeight="1" x14ac:dyDescent="0.15">
      <c r="A238" s="1935"/>
      <c r="B238" s="1934"/>
      <c r="C238" s="1934"/>
      <c r="D238" s="1936"/>
      <c r="E238" s="1936"/>
      <c r="F238" s="1936"/>
      <c r="G238" s="1937">
        <f t="shared" si="30"/>
        <v>0</v>
      </c>
      <c r="H238" s="1936">
        <f t="shared" si="31"/>
        <v>0</v>
      </c>
    </row>
    <row r="239" spans="1:8" ht="20.100000000000001" customHeight="1" x14ac:dyDescent="0.15">
      <c r="A239" s="1935"/>
      <c r="B239" s="1934"/>
      <c r="C239" s="1934"/>
      <c r="D239" s="1936"/>
      <c r="E239" s="1936"/>
      <c r="F239" s="1936"/>
      <c r="G239" s="1937">
        <f t="shared" si="30"/>
        <v>0</v>
      </c>
      <c r="H239" s="1936">
        <f t="shared" si="31"/>
        <v>0</v>
      </c>
    </row>
    <row r="240" spans="1:8" ht="20.100000000000001" customHeight="1" x14ac:dyDescent="0.15">
      <c r="A240" s="1935"/>
      <c r="B240" s="1934"/>
      <c r="C240" s="1934"/>
      <c r="D240" s="1936"/>
      <c r="E240" s="1936"/>
      <c r="F240" s="1936"/>
      <c r="G240" s="1937">
        <f t="shared" si="30"/>
        <v>0</v>
      </c>
      <c r="H240" s="1936">
        <f t="shared" si="31"/>
        <v>0</v>
      </c>
    </row>
    <row r="241" spans="1:8" ht="20.100000000000001" customHeight="1" x14ac:dyDescent="0.15">
      <c r="A241" s="1935"/>
      <c r="B241" s="1934"/>
      <c r="C241" s="1934"/>
      <c r="D241" s="1936"/>
      <c r="E241" s="1936"/>
      <c r="F241" s="1936"/>
      <c r="G241" s="1937">
        <f t="shared" si="30"/>
        <v>0</v>
      </c>
      <c r="H241" s="1936">
        <f t="shared" si="31"/>
        <v>0</v>
      </c>
    </row>
    <row r="242" spans="1:8" ht="20.100000000000001" customHeight="1" x14ac:dyDescent="0.15">
      <c r="A242" s="1935"/>
      <c r="B242" s="1934"/>
      <c r="C242" s="1934"/>
      <c r="D242" s="1936"/>
      <c r="E242" s="1936"/>
      <c r="F242" s="1936"/>
      <c r="G242" s="1937">
        <f t="shared" si="30"/>
        <v>0</v>
      </c>
      <c r="H242" s="1936">
        <f t="shared" si="31"/>
        <v>0</v>
      </c>
    </row>
    <row r="243" spans="1:8" ht="20.100000000000001" customHeight="1" x14ac:dyDescent="0.15">
      <c r="A243" s="1935"/>
      <c r="B243" s="1934"/>
      <c r="C243" s="1934"/>
      <c r="D243" s="1936"/>
      <c r="E243" s="1936"/>
      <c r="F243" s="1936"/>
      <c r="G243" s="1937">
        <f t="shared" si="30"/>
        <v>0</v>
      </c>
      <c r="H243" s="1936">
        <f t="shared" si="31"/>
        <v>0</v>
      </c>
    </row>
    <row r="244" spans="1:8" ht="20.100000000000001" customHeight="1" x14ac:dyDescent="0.15">
      <c r="A244" s="1935"/>
      <c r="B244" s="1934"/>
      <c r="C244" s="1934"/>
      <c r="D244" s="1936"/>
      <c r="E244" s="1936"/>
      <c r="F244" s="1936"/>
      <c r="G244" s="1937">
        <f t="shared" si="30"/>
        <v>0</v>
      </c>
      <c r="H244" s="1936">
        <f t="shared" si="31"/>
        <v>0</v>
      </c>
    </row>
    <row r="245" spans="1:8" ht="20.100000000000001" customHeight="1" x14ac:dyDescent="0.15">
      <c r="A245" s="1935"/>
      <c r="B245" s="1934"/>
      <c r="C245" s="1934"/>
      <c r="D245" s="1936"/>
      <c r="E245" s="1936"/>
      <c r="F245" s="1936"/>
      <c r="G245" s="1937">
        <f t="shared" si="30"/>
        <v>0</v>
      </c>
      <c r="H245" s="1936">
        <f t="shared" si="31"/>
        <v>0</v>
      </c>
    </row>
    <row r="246" spans="1:8" ht="20.100000000000001" customHeight="1" x14ac:dyDescent="0.15">
      <c r="A246" s="1935"/>
      <c r="B246" s="1934"/>
      <c r="C246" s="1934"/>
      <c r="D246" s="1936"/>
      <c r="E246" s="1936"/>
      <c r="F246" s="1936"/>
      <c r="G246" s="1937">
        <f t="shared" si="30"/>
        <v>0</v>
      </c>
      <c r="H246" s="1936">
        <f t="shared" si="31"/>
        <v>0</v>
      </c>
    </row>
    <row r="247" spans="1:8" ht="20.100000000000001" customHeight="1" x14ac:dyDescent="0.15">
      <c r="A247" s="1935"/>
      <c r="B247" s="1934"/>
      <c r="C247" s="1934"/>
      <c r="D247" s="1936"/>
      <c r="E247" s="1936"/>
      <c r="F247" s="1936"/>
      <c r="G247" s="1937">
        <f t="shared" si="30"/>
        <v>0</v>
      </c>
      <c r="H247" s="1936">
        <f t="shared" si="31"/>
        <v>0</v>
      </c>
    </row>
    <row r="248" spans="1:8" ht="20.100000000000001" customHeight="1" x14ac:dyDescent="0.15">
      <c r="A248" s="1935"/>
      <c r="B248" s="1934"/>
      <c r="C248" s="1934"/>
      <c r="D248" s="1936"/>
      <c r="E248" s="1936"/>
      <c r="F248" s="1936"/>
      <c r="G248" s="1937">
        <f t="shared" si="30"/>
        <v>0</v>
      </c>
      <c r="H248" s="1936">
        <f t="shared" si="31"/>
        <v>0</v>
      </c>
    </row>
    <row r="249" spans="1:8" ht="20.100000000000001" customHeight="1" x14ac:dyDescent="0.15">
      <c r="A249" s="1935"/>
      <c r="B249" s="1934"/>
      <c r="C249" s="1934"/>
      <c r="D249" s="1936"/>
      <c r="E249" s="1936"/>
      <c r="F249" s="1936"/>
      <c r="G249" s="1937">
        <f t="shared" si="30"/>
        <v>0</v>
      </c>
      <c r="H249" s="1936">
        <f t="shared" si="31"/>
        <v>0</v>
      </c>
    </row>
    <row r="250" spans="1:8" ht="20.100000000000001" customHeight="1" x14ac:dyDescent="0.15">
      <c r="A250" s="1935"/>
      <c r="B250" s="1934"/>
      <c r="C250" s="1934"/>
      <c r="D250" s="1936"/>
      <c r="E250" s="1936"/>
      <c r="F250" s="1936"/>
      <c r="G250" s="1937">
        <f t="shared" si="30"/>
        <v>0</v>
      </c>
      <c r="H250" s="1936">
        <f t="shared" si="31"/>
        <v>0</v>
      </c>
    </row>
  </sheetData>
  <sheetProtection algorithmName="SHA-512" hashValue="MX6CHiHJK5QlAbl8062+1NE+z9pG7vDbBeI9CF3SVVj6m67nKDcpQj1vj7fGThfYlbyW2cw5scBEmLhNj3IWmQ==" saltValue="Vf/fz02lteNPi2FSTyz6nA==" spinCount="100000" sheet="1" objects="1" scenarios="1"/>
  <sortState ref="A2:H74">
    <sortCondition ref="A2"/>
  </sortState>
  <mergeCells count="1">
    <mergeCell ref="L17:W23"/>
  </mergeCells>
  <phoneticPr fontId="40"/>
  <dataValidations count="1">
    <dataValidation type="list" allowBlank="1" showInputMessage="1" showErrorMessage="1" sqref="B2:B250">
      <formula1>$L$2:$L$14</formula1>
    </dataValidation>
  </dataValidations>
  <pageMargins left="0.70866141732283472" right="0.70866141732283472" top="0.74803149606299213" bottom="0.74803149606299213" header="0.31496062992125984" footer="0.31496062992125984"/>
  <pageSetup paperSize="9" scale="47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9999"/>
  </sheetPr>
  <dimension ref="A1:AR147"/>
  <sheetViews>
    <sheetView zoomScale="90" zoomScaleNormal="90" workbookViewId="0">
      <pane xSplit="2" ySplit="1" topLeftCell="Z2" activePane="bottomRight" state="frozen"/>
      <selection pane="topRight" activeCell="C1" sqref="C1"/>
      <selection pane="bottomLeft" activeCell="A2" sqref="A2"/>
      <selection pane="bottomRight" activeCell="AE106" sqref="AE106"/>
    </sheetView>
  </sheetViews>
  <sheetFormatPr defaultColWidth="9" defaultRowHeight="18.75" x14ac:dyDescent="0.15"/>
  <cols>
    <col min="1" max="1" width="3.625" style="722" bestFit="1" customWidth="1"/>
    <col min="2" max="2" width="13.25" style="722" bestFit="1" customWidth="1"/>
    <col min="3" max="8" width="12.375" style="722" bestFit="1" customWidth="1"/>
    <col min="9" max="9" width="12.875" style="722" bestFit="1" customWidth="1"/>
    <col min="10" max="44" width="12.375" style="722" bestFit="1" customWidth="1"/>
    <col min="45" max="16384" width="9" style="722"/>
  </cols>
  <sheetData>
    <row r="1" spans="1:44" ht="19.5" thickBot="1" x14ac:dyDescent="0.2">
      <c r="A1" s="2075" t="s">
        <v>34</v>
      </c>
      <c r="B1" s="2070"/>
      <c r="C1" s="718">
        <v>42705</v>
      </c>
      <c r="D1" s="721">
        <f>EDATE(C1,1)</f>
        <v>42736</v>
      </c>
      <c r="E1" s="721">
        <f t="shared" ref="E1:Z1" si="0">EDATE(D1,1)</f>
        <v>42767</v>
      </c>
      <c r="F1" s="721">
        <f t="shared" si="0"/>
        <v>42795</v>
      </c>
      <c r="G1" s="721">
        <f t="shared" si="0"/>
        <v>42826</v>
      </c>
      <c r="H1" s="721">
        <f t="shared" si="0"/>
        <v>42856</v>
      </c>
      <c r="I1" s="721">
        <f t="shared" si="0"/>
        <v>42887</v>
      </c>
      <c r="J1" s="721">
        <f t="shared" si="0"/>
        <v>42917</v>
      </c>
      <c r="K1" s="721">
        <f t="shared" si="0"/>
        <v>42948</v>
      </c>
      <c r="L1" s="721">
        <f t="shared" si="0"/>
        <v>42979</v>
      </c>
      <c r="M1" s="721">
        <f t="shared" si="0"/>
        <v>43009</v>
      </c>
      <c r="N1" s="721">
        <f t="shared" si="0"/>
        <v>43040</v>
      </c>
      <c r="O1" s="721">
        <f t="shared" si="0"/>
        <v>43070</v>
      </c>
      <c r="P1" s="721">
        <f t="shared" si="0"/>
        <v>43101</v>
      </c>
      <c r="Q1" s="721">
        <f t="shared" si="0"/>
        <v>43132</v>
      </c>
      <c r="R1" s="721">
        <f t="shared" si="0"/>
        <v>43160</v>
      </c>
      <c r="S1" s="721">
        <f t="shared" si="0"/>
        <v>43191</v>
      </c>
      <c r="T1" s="721">
        <f t="shared" si="0"/>
        <v>43221</v>
      </c>
      <c r="U1" s="721">
        <f t="shared" si="0"/>
        <v>43252</v>
      </c>
      <c r="V1" s="721">
        <f t="shared" si="0"/>
        <v>43282</v>
      </c>
      <c r="W1" s="721">
        <f t="shared" si="0"/>
        <v>43313</v>
      </c>
      <c r="X1" s="721">
        <f t="shared" si="0"/>
        <v>43344</v>
      </c>
      <c r="Y1" s="721">
        <f t="shared" si="0"/>
        <v>43374</v>
      </c>
      <c r="Z1" s="721">
        <f t="shared" si="0"/>
        <v>43405</v>
      </c>
      <c r="AA1" s="721">
        <f t="shared" ref="AA1:AR1" si="1">EDATE(Z1,1)</f>
        <v>43435</v>
      </c>
      <c r="AB1" s="721">
        <f t="shared" si="1"/>
        <v>43466</v>
      </c>
      <c r="AC1" s="721">
        <f t="shared" si="1"/>
        <v>43497</v>
      </c>
      <c r="AD1" s="721">
        <f t="shared" si="1"/>
        <v>43525</v>
      </c>
      <c r="AE1" s="721">
        <f t="shared" si="1"/>
        <v>43556</v>
      </c>
      <c r="AF1" s="721">
        <f t="shared" si="1"/>
        <v>43586</v>
      </c>
      <c r="AG1" s="721">
        <f t="shared" si="1"/>
        <v>43617</v>
      </c>
      <c r="AH1" s="721">
        <f t="shared" si="1"/>
        <v>43647</v>
      </c>
      <c r="AI1" s="721">
        <f t="shared" si="1"/>
        <v>43678</v>
      </c>
      <c r="AJ1" s="721">
        <f t="shared" si="1"/>
        <v>43709</v>
      </c>
      <c r="AK1" s="721">
        <f t="shared" si="1"/>
        <v>43739</v>
      </c>
      <c r="AL1" s="721">
        <f t="shared" si="1"/>
        <v>43770</v>
      </c>
      <c r="AM1" s="721">
        <f t="shared" si="1"/>
        <v>43800</v>
      </c>
      <c r="AN1" s="721">
        <f t="shared" si="1"/>
        <v>43831</v>
      </c>
      <c r="AO1" s="721">
        <f t="shared" si="1"/>
        <v>43862</v>
      </c>
      <c r="AP1" s="721">
        <f t="shared" si="1"/>
        <v>43891</v>
      </c>
      <c r="AQ1" s="721">
        <f t="shared" si="1"/>
        <v>43922</v>
      </c>
      <c r="AR1" s="721">
        <f t="shared" si="1"/>
        <v>43952</v>
      </c>
    </row>
    <row r="2" spans="1:44" x14ac:dyDescent="0.15">
      <c r="A2" s="2071" t="s">
        <v>906</v>
      </c>
      <c r="B2" s="734" t="s">
        <v>909</v>
      </c>
      <c r="C2" s="738"/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739">
        <v>6</v>
      </c>
      <c r="P2" s="739">
        <v>5.5</v>
      </c>
      <c r="Q2" s="739">
        <v>4.5</v>
      </c>
      <c r="R2" s="739">
        <v>4.5</v>
      </c>
      <c r="S2" s="739">
        <v>4.5</v>
      </c>
      <c r="T2" s="739">
        <v>4.5</v>
      </c>
      <c r="U2" s="739">
        <v>4.5</v>
      </c>
      <c r="V2" s="739">
        <v>5.5</v>
      </c>
      <c r="W2" s="739">
        <v>5.5</v>
      </c>
      <c r="X2" s="739">
        <v>5.5</v>
      </c>
      <c r="Y2" s="739">
        <v>7.5</v>
      </c>
      <c r="Z2" s="739">
        <v>7</v>
      </c>
      <c r="AA2" s="739">
        <v>6.5</v>
      </c>
      <c r="AB2" s="739">
        <v>6.5</v>
      </c>
      <c r="AC2" s="739">
        <v>7</v>
      </c>
      <c r="AD2" s="739">
        <v>7</v>
      </c>
      <c r="AE2" s="739">
        <v>7</v>
      </c>
      <c r="AF2" s="739"/>
      <c r="AG2" s="739"/>
      <c r="AH2" s="739"/>
      <c r="AI2" s="739"/>
      <c r="AJ2" s="739"/>
      <c r="AK2" s="739"/>
      <c r="AL2" s="739"/>
      <c r="AM2" s="739"/>
      <c r="AN2" s="739"/>
      <c r="AO2" s="739"/>
      <c r="AP2" s="739"/>
      <c r="AQ2" s="739"/>
      <c r="AR2" s="739"/>
    </row>
    <row r="3" spans="1:44" x14ac:dyDescent="0.15">
      <c r="A3" s="2072"/>
      <c r="B3" s="735" t="s">
        <v>910</v>
      </c>
      <c r="C3" s="740"/>
      <c r="D3" s="741"/>
      <c r="E3" s="741"/>
      <c r="F3" s="741"/>
      <c r="G3" s="741"/>
      <c r="H3" s="741"/>
      <c r="I3" s="741"/>
      <c r="J3" s="741"/>
      <c r="K3" s="741"/>
      <c r="L3" s="741"/>
      <c r="M3" s="741"/>
      <c r="N3" s="741"/>
      <c r="O3" s="741">
        <v>36</v>
      </c>
      <c r="P3" s="741">
        <v>38</v>
      </c>
      <c r="Q3" s="741">
        <v>41</v>
      </c>
      <c r="R3" s="741">
        <v>40</v>
      </c>
      <c r="S3" s="741">
        <v>38</v>
      </c>
      <c r="T3" s="741">
        <v>40</v>
      </c>
      <c r="U3" s="741">
        <v>40</v>
      </c>
      <c r="V3" s="741">
        <v>40</v>
      </c>
      <c r="W3" s="741">
        <v>38</v>
      </c>
      <c r="X3" s="741">
        <v>37</v>
      </c>
      <c r="Y3" s="741">
        <v>41</v>
      </c>
      <c r="Z3" s="741">
        <v>42</v>
      </c>
      <c r="AA3" s="741">
        <v>45</v>
      </c>
      <c r="AB3" s="741">
        <v>42</v>
      </c>
      <c r="AC3" s="741">
        <v>41</v>
      </c>
      <c r="AD3" s="741">
        <v>41</v>
      </c>
      <c r="AE3" s="741">
        <v>44</v>
      </c>
      <c r="AF3" s="741"/>
      <c r="AG3" s="741"/>
      <c r="AH3" s="741"/>
      <c r="AI3" s="741"/>
      <c r="AJ3" s="741"/>
      <c r="AK3" s="741"/>
      <c r="AL3" s="741"/>
      <c r="AM3" s="741"/>
      <c r="AN3" s="741"/>
      <c r="AO3" s="741"/>
      <c r="AP3" s="741"/>
      <c r="AQ3" s="741"/>
      <c r="AR3" s="741"/>
    </row>
    <row r="4" spans="1:44" x14ac:dyDescent="0.15">
      <c r="A4" s="2072"/>
      <c r="B4" s="735" t="s">
        <v>908</v>
      </c>
      <c r="C4" s="1470" t="str">
        <f>IF(SUM(C2:C3)=0,"",SUM(C2:C3))</f>
        <v/>
      </c>
      <c r="D4" s="1470" t="str">
        <f t="shared" ref="D4:Z4" si="2">IF(SUM(D2:D3)=0,"",SUM(D2:D3))</f>
        <v/>
      </c>
      <c r="E4" s="1470" t="str">
        <f t="shared" si="2"/>
        <v/>
      </c>
      <c r="F4" s="1470" t="str">
        <f t="shared" si="2"/>
        <v/>
      </c>
      <c r="G4" s="1470" t="str">
        <f t="shared" si="2"/>
        <v/>
      </c>
      <c r="H4" s="1470" t="str">
        <f t="shared" si="2"/>
        <v/>
      </c>
      <c r="I4" s="1470" t="str">
        <f t="shared" si="2"/>
        <v/>
      </c>
      <c r="J4" s="1470" t="str">
        <f t="shared" si="2"/>
        <v/>
      </c>
      <c r="K4" s="1470" t="str">
        <f t="shared" si="2"/>
        <v/>
      </c>
      <c r="L4" s="1470" t="str">
        <f t="shared" si="2"/>
        <v/>
      </c>
      <c r="M4" s="1470" t="str">
        <f t="shared" si="2"/>
        <v/>
      </c>
      <c r="N4" s="1470" t="str">
        <f t="shared" si="2"/>
        <v/>
      </c>
      <c r="O4" s="1470">
        <f t="shared" si="2"/>
        <v>42</v>
      </c>
      <c r="P4" s="1470">
        <f t="shared" si="2"/>
        <v>43.5</v>
      </c>
      <c r="Q4" s="1470">
        <f t="shared" si="2"/>
        <v>45.5</v>
      </c>
      <c r="R4" s="1470">
        <f t="shared" si="2"/>
        <v>44.5</v>
      </c>
      <c r="S4" s="1470">
        <f t="shared" si="2"/>
        <v>42.5</v>
      </c>
      <c r="T4" s="1470">
        <f t="shared" si="2"/>
        <v>44.5</v>
      </c>
      <c r="U4" s="1470">
        <f t="shared" si="2"/>
        <v>44.5</v>
      </c>
      <c r="V4" s="1470">
        <f t="shared" si="2"/>
        <v>45.5</v>
      </c>
      <c r="W4" s="1470">
        <f t="shared" si="2"/>
        <v>43.5</v>
      </c>
      <c r="X4" s="1470">
        <f t="shared" si="2"/>
        <v>42.5</v>
      </c>
      <c r="Y4" s="1470">
        <f t="shared" si="2"/>
        <v>48.5</v>
      </c>
      <c r="Z4" s="1470">
        <f t="shared" si="2"/>
        <v>49</v>
      </c>
      <c r="AA4" s="1470">
        <f t="shared" ref="AA4:AF4" si="3">IF(SUM(AA2:AA3)=0,"",SUM(AA2:AA3))</f>
        <v>51.5</v>
      </c>
      <c r="AB4" s="1470">
        <f t="shared" si="3"/>
        <v>48.5</v>
      </c>
      <c r="AC4" s="1470">
        <f t="shared" si="3"/>
        <v>48</v>
      </c>
      <c r="AD4" s="1470">
        <f t="shared" si="3"/>
        <v>48</v>
      </c>
      <c r="AE4" s="1470">
        <f t="shared" si="3"/>
        <v>51</v>
      </c>
      <c r="AF4" s="1470" t="str">
        <f t="shared" si="3"/>
        <v/>
      </c>
      <c r="AG4" s="1470" t="str">
        <f t="shared" ref="AG4:AR4" si="4">IF(SUM(AG2:AG3)=0,"",SUM(AG2:AG3))</f>
        <v/>
      </c>
      <c r="AH4" s="1470" t="str">
        <f t="shared" si="4"/>
        <v/>
      </c>
      <c r="AI4" s="1470" t="str">
        <f t="shared" si="4"/>
        <v/>
      </c>
      <c r="AJ4" s="1470" t="str">
        <f t="shared" si="4"/>
        <v/>
      </c>
      <c r="AK4" s="1470" t="str">
        <f t="shared" si="4"/>
        <v/>
      </c>
      <c r="AL4" s="1470" t="str">
        <f t="shared" si="4"/>
        <v/>
      </c>
      <c r="AM4" s="1470" t="str">
        <f t="shared" si="4"/>
        <v/>
      </c>
      <c r="AN4" s="1470" t="str">
        <f t="shared" si="4"/>
        <v/>
      </c>
      <c r="AO4" s="1470" t="str">
        <f t="shared" si="4"/>
        <v/>
      </c>
      <c r="AP4" s="1470" t="str">
        <f t="shared" si="4"/>
        <v/>
      </c>
      <c r="AQ4" s="1470" t="str">
        <f t="shared" si="4"/>
        <v/>
      </c>
      <c r="AR4" s="1470" t="str">
        <f t="shared" si="4"/>
        <v/>
      </c>
    </row>
    <row r="5" spans="1:44" x14ac:dyDescent="0.15">
      <c r="A5" s="2073" t="s">
        <v>907</v>
      </c>
      <c r="B5" s="735" t="s">
        <v>911</v>
      </c>
      <c r="C5" s="736"/>
      <c r="D5" s="737"/>
      <c r="E5" s="737"/>
      <c r="F5" s="737"/>
      <c r="G5" s="737"/>
      <c r="H5" s="737"/>
      <c r="I5" s="737"/>
      <c r="J5" s="737"/>
      <c r="K5" s="737"/>
      <c r="L5" s="737"/>
      <c r="M5" s="737"/>
      <c r="N5" s="737"/>
      <c r="O5" s="737">
        <v>19.611111111111111</v>
      </c>
      <c r="P5" s="737">
        <v>16.739583333333332</v>
      </c>
      <c r="Q5" s="737">
        <v>14.965277777777779</v>
      </c>
      <c r="R5" s="737">
        <v>15.3125</v>
      </c>
      <c r="S5" s="737">
        <v>13.694444444444445</v>
      </c>
      <c r="T5" s="737">
        <v>15.71875</v>
      </c>
      <c r="U5" s="737">
        <v>14.277777777777779</v>
      </c>
      <c r="V5" s="737">
        <v>19.413194444444446</v>
      </c>
      <c r="W5" s="737">
        <v>20.315972222222221</v>
      </c>
      <c r="X5" s="737">
        <v>17.989583333333332</v>
      </c>
      <c r="Y5" s="737">
        <v>28.364583333333332</v>
      </c>
      <c r="Z5" s="737">
        <v>23.524305555555557</v>
      </c>
      <c r="AA5" s="737">
        <v>22.739583333333332</v>
      </c>
      <c r="AB5" s="737">
        <v>22.118055555555557</v>
      </c>
      <c r="AC5" s="737">
        <v>22.590277777777775</v>
      </c>
      <c r="AD5" s="737">
        <v>24.347222222222225</v>
      </c>
      <c r="AE5" s="737">
        <v>27.078472222222221</v>
      </c>
      <c r="AF5" s="737"/>
      <c r="AG5" s="737"/>
      <c r="AH5" s="737"/>
      <c r="AI5" s="737"/>
      <c r="AJ5" s="737"/>
      <c r="AK5" s="737"/>
      <c r="AL5" s="737"/>
      <c r="AM5" s="737"/>
      <c r="AN5" s="737"/>
      <c r="AO5" s="737"/>
      <c r="AP5" s="737"/>
      <c r="AQ5" s="737"/>
      <c r="AR5" s="737"/>
    </row>
    <row r="6" spans="1:44" x14ac:dyDescent="0.15">
      <c r="A6" s="2072"/>
      <c r="B6" s="735" t="s">
        <v>912</v>
      </c>
      <c r="C6" s="736"/>
      <c r="D6" s="737"/>
      <c r="E6" s="737"/>
      <c r="F6" s="737"/>
      <c r="G6" s="737"/>
      <c r="H6" s="737"/>
      <c r="I6" s="737"/>
      <c r="J6" s="737"/>
      <c r="K6" s="737"/>
      <c r="L6" s="737"/>
      <c r="M6" s="737"/>
      <c r="N6" s="737"/>
      <c r="O6" s="737">
        <v>71.868055555555557</v>
      </c>
      <c r="P6" s="737">
        <v>69.972222222222214</v>
      </c>
      <c r="Q6" s="737">
        <v>70.663194444444443</v>
      </c>
      <c r="R6" s="737">
        <v>81.076388888888886</v>
      </c>
      <c r="S6" s="737">
        <v>78.972222222222214</v>
      </c>
      <c r="T6" s="737">
        <v>79.399305555555557</v>
      </c>
      <c r="U6" s="737">
        <v>76.256944444444443</v>
      </c>
      <c r="V6" s="737">
        <v>77.697916666666671</v>
      </c>
      <c r="W6" s="737">
        <v>71.732638888888886</v>
      </c>
      <c r="X6" s="737">
        <v>79.065972222222214</v>
      </c>
      <c r="Y6" s="737">
        <v>84.632638888888891</v>
      </c>
      <c r="Z6" s="737">
        <v>84.90625</v>
      </c>
      <c r="AA6" s="737">
        <v>85.872916666666654</v>
      </c>
      <c r="AB6" s="737">
        <v>82.885416666666671</v>
      </c>
      <c r="AC6" s="737">
        <v>78.114583333333329</v>
      </c>
      <c r="AD6" s="737">
        <v>84.754861111111111</v>
      </c>
      <c r="AE6" s="737">
        <v>84.031944444444449</v>
      </c>
      <c r="AF6" s="737"/>
      <c r="AG6" s="737"/>
      <c r="AH6" s="737"/>
      <c r="AI6" s="737"/>
      <c r="AJ6" s="737"/>
      <c r="AK6" s="737"/>
      <c r="AL6" s="737"/>
      <c r="AM6" s="737"/>
      <c r="AN6" s="737"/>
      <c r="AO6" s="737"/>
      <c r="AP6" s="737"/>
      <c r="AQ6" s="737"/>
      <c r="AR6" s="737"/>
    </row>
    <row r="7" spans="1:44" x14ac:dyDescent="0.15">
      <c r="A7" s="2072"/>
      <c r="B7" s="735" t="s">
        <v>908</v>
      </c>
      <c r="C7" s="1471" t="str">
        <f t="shared" ref="C7:Z7" si="5">IF(SUM(C5:C6)=0,"",SUM(C5:C6))</f>
        <v/>
      </c>
      <c r="D7" s="1471" t="str">
        <f t="shared" si="5"/>
        <v/>
      </c>
      <c r="E7" s="1471" t="str">
        <f t="shared" si="5"/>
        <v/>
      </c>
      <c r="F7" s="1471" t="str">
        <f t="shared" si="5"/>
        <v/>
      </c>
      <c r="G7" s="1471" t="str">
        <f t="shared" si="5"/>
        <v/>
      </c>
      <c r="H7" s="1471" t="str">
        <f t="shared" si="5"/>
        <v/>
      </c>
      <c r="I7" s="1471" t="str">
        <f t="shared" si="5"/>
        <v/>
      </c>
      <c r="J7" s="1471" t="str">
        <f t="shared" si="5"/>
        <v/>
      </c>
      <c r="K7" s="1471" t="str">
        <f t="shared" si="5"/>
        <v/>
      </c>
      <c r="L7" s="1471" t="str">
        <f t="shared" si="5"/>
        <v/>
      </c>
      <c r="M7" s="1471" t="str">
        <f t="shared" si="5"/>
        <v/>
      </c>
      <c r="N7" s="1471" t="str">
        <f t="shared" si="5"/>
        <v/>
      </c>
      <c r="O7" s="1471">
        <f t="shared" si="5"/>
        <v>91.479166666666671</v>
      </c>
      <c r="P7" s="1471">
        <f t="shared" si="5"/>
        <v>86.711805555555543</v>
      </c>
      <c r="Q7" s="1471">
        <f t="shared" si="5"/>
        <v>85.628472222222229</v>
      </c>
      <c r="R7" s="1471">
        <f t="shared" si="5"/>
        <v>96.388888888888886</v>
      </c>
      <c r="S7" s="1471">
        <f t="shared" si="5"/>
        <v>92.666666666666657</v>
      </c>
      <c r="T7" s="1471">
        <f t="shared" si="5"/>
        <v>95.118055555555557</v>
      </c>
      <c r="U7" s="1471">
        <f t="shared" si="5"/>
        <v>90.534722222222229</v>
      </c>
      <c r="V7" s="1471">
        <f t="shared" si="5"/>
        <v>97.111111111111114</v>
      </c>
      <c r="W7" s="1471">
        <f t="shared" si="5"/>
        <v>92.048611111111114</v>
      </c>
      <c r="X7" s="1471">
        <f t="shared" si="5"/>
        <v>97.055555555555543</v>
      </c>
      <c r="Y7" s="1471">
        <f t="shared" si="5"/>
        <v>112.99722222222222</v>
      </c>
      <c r="Z7" s="1471">
        <f t="shared" si="5"/>
        <v>108.43055555555556</v>
      </c>
      <c r="AA7" s="1471">
        <f t="shared" ref="AA7:AF7" si="6">IF(SUM(AA5:AA6)=0,"",SUM(AA5:AA6))</f>
        <v>108.61249999999998</v>
      </c>
      <c r="AB7" s="1471">
        <f t="shared" si="6"/>
        <v>105.00347222222223</v>
      </c>
      <c r="AC7" s="1471">
        <f t="shared" si="6"/>
        <v>100.7048611111111</v>
      </c>
      <c r="AD7" s="1471">
        <f t="shared" si="6"/>
        <v>109.10208333333334</v>
      </c>
      <c r="AE7" s="1471">
        <f t="shared" si="6"/>
        <v>111.11041666666667</v>
      </c>
      <c r="AF7" s="1471" t="str">
        <f t="shared" si="6"/>
        <v/>
      </c>
      <c r="AG7" s="1471" t="str">
        <f t="shared" ref="AG7:AR7" si="7">IF(SUM(AG5:AG6)=0,"",SUM(AG5:AG6))</f>
        <v/>
      </c>
      <c r="AH7" s="1471" t="str">
        <f t="shared" si="7"/>
        <v/>
      </c>
      <c r="AI7" s="1471" t="str">
        <f t="shared" si="7"/>
        <v/>
      </c>
      <c r="AJ7" s="1471" t="str">
        <f t="shared" si="7"/>
        <v/>
      </c>
      <c r="AK7" s="1471" t="str">
        <f t="shared" si="7"/>
        <v/>
      </c>
      <c r="AL7" s="1471" t="str">
        <f t="shared" si="7"/>
        <v/>
      </c>
      <c r="AM7" s="1471" t="str">
        <f t="shared" si="7"/>
        <v/>
      </c>
      <c r="AN7" s="1471" t="str">
        <f t="shared" si="7"/>
        <v/>
      </c>
      <c r="AO7" s="1471" t="str">
        <f t="shared" si="7"/>
        <v/>
      </c>
      <c r="AP7" s="1471" t="str">
        <f t="shared" si="7"/>
        <v/>
      </c>
      <c r="AQ7" s="1471" t="str">
        <f t="shared" si="7"/>
        <v/>
      </c>
      <c r="AR7" s="1471" t="str">
        <f t="shared" si="7"/>
        <v/>
      </c>
    </row>
    <row r="8" spans="1:44" x14ac:dyDescent="0.15">
      <c r="A8" s="2065" t="s">
        <v>898</v>
      </c>
      <c r="B8" s="723" t="s">
        <v>899</v>
      </c>
      <c r="C8" s="719">
        <v>200109</v>
      </c>
      <c r="D8" s="715">
        <v>155986</v>
      </c>
      <c r="E8" s="716">
        <v>154199</v>
      </c>
      <c r="F8" s="716">
        <v>171068</v>
      </c>
      <c r="G8" s="716">
        <v>156656</v>
      </c>
      <c r="H8" s="716">
        <v>182535</v>
      </c>
      <c r="I8" s="716">
        <v>173208</v>
      </c>
      <c r="J8" s="716">
        <v>158122</v>
      </c>
      <c r="K8" s="716">
        <v>137453</v>
      </c>
      <c r="L8" s="716">
        <v>152155</v>
      </c>
      <c r="M8" s="716">
        <v>168513</v>
      </c>
      <c r="N8" s="716">
        <v>174876</v>
      </c>
      <c r="O8" s="716">
        <v>185448</v>
      </c>
      <c r="P8" s="716">
        <v>152981</v>
      </c>
      <c r="Q8" s="716">
        <v>132636</v>
      </c>
      <c r="R8" s="716">
        <v>134916</v>
      </c>
      <c r="S8" s="716">
        <v>131873</v>
      </c>
      <c r="T8" s="716">
        <v>154200</v>
      </c>
      <c r="U8" s="716">
        <v>134757</v>
      </c>
      <c r="V8" s="716">
        <v>164090</v>
      </c>
      <c r="W8" s="716">
        <v>202324</v>
      </c>
      <c r="X8" s="716">
        <v>186120</v>
      </c>
      <c r="Y8" s="716">
        <v>245960</v>
      </c>
      <c r="Z8" s="716">
        <v>220126</v>
      </c>
      <c r="AA8" s="716">
        <v>211565</v>
      </c>
      <c r="AB8" s="716">
        <v>217026</v>
      </c>
      <c r="AC8" s="716">
        <v>201002</v>
      </c>
      <c r="AD8" s="716">
        <v>236329</v>
      </c>
      <c r="AE8" s="716">
        <v>272508</v>
      </c>
      <c r="AF8" s="716"/>
      <c r="AG8" s="716"/>
      <c r="AH8" s="716"/>
      <c r="AI8" s="716"/>
      <c r="AJ8" s="716"/>
      <c r="AK8" s="716"/>
      <c r="AL8" s="716"/>
      <c r="AM8" s="716"/>
      <c r="AN8" s="716"/>
      <c r="AO8" s="716"/>
      <c r="AP8" s="716"/>
      <c r="AQ8" s="716"/>
      <c r="AR8" s="716"/>
    </row>
    <row r="9" spans="1:44" x14ac:dyDescent="0.15">
      <c r="A9" s="2065"/>
      <c r="B9" s="723" t="s">
        <v>902</v>
      </c>
      <c r="C9" s="730">
        <v>10.7</v>
      </c>
      <c r="D9" s="731">
        <v>10.7</v>
      </c>
      <c r="E9" s="732">
        <v>10.7</v>
      </c>
      <c r="F9" s="732">
        <v>10.7</v>
      </c>
      <c r="G9" s="732">
        <v>10.7</v>
      </c>
      <c r="H9" s="732">
        <v>10.7</v>
      </c>
      <c r="I9" s="732">
        <v>10.7</v>
      </c>
      <c r="J9" s="732">
        <v>10.7</v>
      </c>
      <c r="K9" s="732">
        <v>10.7</v>
      </c>
      <c r="L9" s="732">
        <v>10.7</v>
      </c>
      <c r="M9" s="732">
        <v>10.7</v>
      </c>
      <c r="N9" s="732">
        <v>10.7</v>
      </c>
      <c r="O9" s="732">
        <v>10.7</v>
      </c>
      <c r="P9" s="732">
        <v>10.7</v>
      </c>
      <c r="Q9" s="732">
        <v>10.7</v>
      </c>
      <c r="R9" s="732">
        <v>10.7</v>
      </c>
      <c r="S9" s="732">
        <v>10.7</v>
      </c>
      <c r="T9" s="732">
        <v>10.7</v>
      </c>
      <c r="U9" s="732">
        <v>10.7</v>
      </c>
      <c r="V9" s="732">
        <v>10.7</v>
      </c>
      <c r="W9" s="732">
        <v>10.7</v>
      </c>
      <c r="X9" s="732">
        <v>10.7</v>
      </c>
      <c r="Y9" s="732">
        <v>10.7</v>
      </c>
      <c r="Z9" s="732">
        <v>10.7</v>
      </c>
      <c r="AA9" s="732">
        <v>10.7</v>
      </c>
      <c r="AB9" s="732">
        <v>10.7</v>
      </c>
      <c r="AC9" s="732">
        <v>10.7</v>
      </c>
      <c r="AD9" s="732">
        <v>10.7</v>
      </c>
      <c r="AE9" s="732">
        <v>10.7</v>
      </c>
      <c r="AF9" s="732">
        <v>10.7</v>
      </c>
      <c r="AG9" s="732">
        <v>10.7</v>
      </c>
      <c r="AH9" s="732">
        <v>10.7</v>
      </c>
      <c r="AI9" s="732">
        <v>10.7</v>
      </c>
      <c r="AJ9" s="732">
        <v>10.7</v>
      </c>
      <c r="AK9" s="732">
        <v>10.7</v>
      </c>
      <c r="AL9" s="732">
        <v>10.7</v>
      </c>
      <c r="AM9" s="732">
        <v>10.7</v>
      </c>
      <c r="AN9" s="732">
        <v>10.7</v>
      </c>
      <c r="AO9" s="732">
        <v>10.7</v>
      </c>
      <c r="AP9" s="732">
        <v>10.7</v>
      </c>
      <c r="AQ9" s="732">
        <v>10.7</v>
      </c>
      <c r="AR9" s="732">
        <v>10.7</v>
      </c>
    </row>
    <row r="10" spans="1:44" x14ac:dyDescent="0.15">
      <c r="A10" s="2065"/>
      <c r="B10" s="723" t="s">
        <v>900</v>
      </c>
      <c r="C10" s="1472">
        <f>IF(C8="","",ROUNDDOWN(C8*C9,0))</f>
        <v>2141166</v>
      </c>
      <c r="D10" s="1473">
        <f t="shared" ref="D10:Z10" si="8">IF(D8="","",ROUNDDOWN(D8*D9,0))</f>
        <v>1669050</v>
      </c>
      <c r="E10" s="1474">
        <f t="shared" si="8"/>
        <v>1649929</v>
      </c>
      <c r="F10" s="1474">
        <f t="shared" si="8"/>
        <v>1830427</v>
      </c>
      <c r="G10" s="1474">
        <f t="shared" si="8"/>
        <v>1676219</v>
      </c>
      <c r="H10" s="1474">
        <f t="shared" si="8"/>
        <v>1953124</v>
      </c>
      <c r="I10" s="1474">
        <f t="shared" si="8"/>
        <v>1853325</v>
      </c>
      <c r="J10" s="1474">
        <f t="shared" si="8"/>
        <v>1691905</v>
      </c>
      <c r="K10" s="1474">
        <f t="shared" si="8"/>
        <v>1470747</v>
      </c>
      <c r="L10" s="1474">
        <f t="shared" si="8"/>
        <v>1628058</v>
      </c>
      <c r="M10" s="1474">
        <f t="shared" si="8"/>
        <v>1803089</v>
      </c>
      <c r="N10" s="1474">
        <f t="shared" si="8"/>
        <v>1871173</v>
      </c>
      <c r="O10" s="1474">
        <f t="shared" si="8"/>
        <v>1984293</v>
      </c>
      <c r="P10" s="1474">
        <f t="shared" si="8"/>
        <v>1636896</v>
      </c>
      <c r="Q10" s="1474">
        <f t="shared" si="8"/>
        <v>1419205</v>
      </c>
      <c r="R10" s="1474">
        <f t="shared" si="8"/>
        <v>1443601</v>
      </c>
      <c r="S10" s="1474">
        <f t="shared" si="8"/>
        <v>1411041</v>
      </c>
      <c r="T10" s="1474">
        <f t="shared" si="8"/>
        <v>1649940</v>
      </c>
      <c r="U10" s="1474">
        <f t="shared" si="8"/>
        <v>1441899</v>
      </c>
      <c r="V10" s="1474">
        <f t="shared" si="8"/>
        <v>1755763</v>
      </c>
      <c r="W10" s="1474">
        <f t="shared" si="8"/>
        <v>2164866</v>
      </c>
      <c r="X10" s="1474">
        <f t="shared" si="8"/>
        <v>1991484</v>
      </c>
      <c r="Y10" s="1474">
        <f t="shared" si="8"/>
        <v>2631772</v>
      </c>
      <c r="Z10" s="1474">
        <f t="shared" si="8"/>
        <v>2355348</v>
      </c>
      <c r="AA10" s="1474">
        <f t="shared" ref="AA10:AF10" si="9">IF(AA8="","",ROUNDDOWN(AA8*AA9,0))</f>
        <v>2263745</v>
      </c>
      <c r="AB10" s="1474">
        <f t="shared" si="9"/>
        <v>2322178</v>
      </c>
      <c r="AC10" s="1474">
        <f t="shared" si="9"/>
        <v>2150721</v>
      </c>
      <c r="AD10" s="1474">
        <f t="shared" si="9"/>
        <v>2528720</v>
      </c>
      <c r="AE10" s="1474">
        <f t="shared" si="9"/>
        <v>2915835</v>
      </c>
      <c r="AF10" s="1474" t="str">
        <f t="shared" si="9"/>
        <v/>
      </c>
      <c r="AG10" s="1474" t="str">
        <f t="shared" ref="AG10:AR10" si="10">IF(AG8="","",ROUNDDOWN(AG8*AG9,0))</f>
        <v/>
      </c>
      <c r="AH10" s="1474" t="str">
        <f t="shared" si="10"/>
        <v/>
      </c>
      <c r="AI10" s="1474" t="str">
        <f t="shared" si="10"/>
        <v/>
      </c>
      <c r="AJ10" s="1474" t="str">
        <f t="shared" si="10"/>
        <v/>
      </c>
      <c r="AK10" s="1474" t="str">
        <f t="shared" si="10"/>
        <v/>
      </c>
      <c r="AL10" s="1474" t="str">
        <f t="shared" si="10"/>
        <v/>
      </c>
      <c r="AM10" s="1474" t="str">
        <f t="shared" si="10"/>
        <v/>
      </c>
      <c r="AN10" s="1474" t="str">
        <f t="shared" si="10"/>
        <v/>
      </c>
      <c r="AO10" s="1474" t="str">
        <f t="shared" si="10"/>
        <v/>
      </c>
      <c r="AP10" s="1474" t="str">
        <f t="shared" si="10"/>
        <v/>
      </c>
      <c r="AQ10" s="1474" t="str">
        <f t="shared" si="10"/>
        <v/>
      </c>
      <c r="AR10" s="1474" t="str">
        <f t="shared" si="10"/>
        <v/>
      </c>
    </row>
    <row r="11" spans="1:44" x14ac:dyDescent="0.15">
      <c r="A11" s="2062"/>
      <c r="B11" s="724" t="s">
        <v>901</v>
      </c>
      <c r="C11" s="1475">
        <f>IFERROR(GETPIVOTDATA("合計 / 請求",【ピボット】国保連売上!$A$3,"年月",C1,"事業所",$A1,"請求区分","単月")-C10,"")</f>
        <v>6990118</v>
      </c>
      <c r="D11" s="1476">
        <f>IFERROR(GETPIVOTDATA("合計 / 請求",【ピボット】国保連売上!$A$3,"年月",D1,"事業所",$A1,"請求区分","単月")-D10,"")</f>
        <v>6893008</v>
      </c>
      <c r="E11" s="1477">
        <f>IFERROR(GETPIVOTDATA("合計 / 請求",【ピボット】国保連売上!$A$3,"年月",E1,"事業所",$A1,"請求区分","単月")-E10,"")</f>
        <v>6856738</v>
      </c>
      <c r="F11" s="1477">
        <f>IFERROR(GETPIVOTDATA("合計 / 請求",【ピボット】国保連売上!$A$3,"年月",F1,"事業所",$A1,"請求区分","単月")-F10,"")</f>
        <v>7518261</v>
      </c>
      <c r="G11" s="1477">
        <f>IFERROR(GETPIVOTDATA("合計 / 請求",【ピボット】国保連売上!$A$3,"年月",G1,"事業所",$A1,"請求区分","単月")-G10,"")</f>
        <v>7960665</v>
      </c>
      <c r="H11" s="1477">
        <f>IFERROR(GETPIVOTDATA("合計 / 請求",【ピボット】国保連売上!$A$3,"年月",H1,"事業所",$A1,"請求区分","単月")-H10,"")</f>
        <v>8039708</v>
      </c>
      <c r="I11" s="1477">
        <f>IFERROR(GETPIVOTDATA("合計 / 請求",【ピボット】国保連売上!$A$3,"年月",I1,"事業所",$A1,"請求区分","単月")-I10,"")</f>
        <v>7374587</v>
      </c>
      <c r="J11" s="1477">
        <f>IFERROR(GETPIVOTDATA("合計 / 請求",【ピボット】国保連売上!$A$3,"年月",J1,"事業所",$A1,"請求区分","単月")-J10,"")</f>
        <v>8084560</v>
      </c>
      <c r="K11" s="1477">
        <f>IFERROR(GETPIVOTDATA("合計 / 請求",【ピボット】国保連売上!$A$3,"年月",K1,"事業所",$A1,"請求区分","単月")-K10,"")</f>
        <v>8303283</v>
      </c>
      <c r="L11" s="1477">
        <f>IFERROR(GETPIVOTDATA("合計 / 請求",【ピボット】国保連売上!$A$3,"年月",L1,"事業所",$A1,"請求区分","単月")-L10,"")</f>
        <v>8520496</v>
      </c>
      <c r="M11" s="1477">
        <f>IFERROR(GETPIVOTDATA("合計 / 請求",【ピボット】国保連売上!$A$3,"年月",M1,"事業所",$A1,"請求区分","単月")-M10,"")</f>
        <v>8289003</v>
      </c>
      <c r="N11" s="1477">
        <f>IFERROR(GETPIVOTDATA("合計 / 請求",【ピボット】国保連売上!$A$3,"年月",N1,"事業所",$A1,"請求区分","単月")-N10,"")</f>
        <v>8021524</v>
      </c>
      <c r="O11" s="1477">
        <f>IFERROR(GETPIVOTDATA("合計 / 請求",【ピボット】国保連売上!$A$3,"年月",O1,"事業所",$A1,"請求区分","単月")-O10,"")</f>
        <v>7409333</v>
      </c>
      <c r="P11" s="1477">
        <f>IFERROR(GETPIVOTDATA("合計 / 請求",【ピボット】国保連売上!$A$3,"年月",P1,"事業所",$A1,"請求区分","単月")-P10,"")</f>
        <v>7713536</v>
      </c>
      <c r="Q11" s="1477">
        <f>IFERROR(GETPIVOTDATA("合計 / 請求",【ピボット】国保連売上!$A$3,"年月",Q1,"事業所",$A1,"請求区分","単月")-Q10,"")</f>
        <v>7412827</v>
      </c>
      <c r="R11" s="1477">
        <f>IFERROR(GETPIVOTDATA("合計 / 請求",【ピボット】国保連売上!$A$3,"年月",R1,"事業所",$A1,"請求区分","単月")-R10,"")</f>
        <v>8435203</v>
      </c>
      <c r="S11" s="1477">
        <f>IFERROR(GETPIVOTDATA("合計 / 請求",【ピボット】国保連売上!$A$3,"年月",S1,"事業所",$A1,"請求区分","単月")-S10,"")</f>
        <v>8380627</v>
      </c>
      <c r="T11" s="1477">
        <f>IFERROR(GETPIVOTDATA("合計 / 請求",【ピボット】国保連売上!$A$3,"年月",T1,"事業所",$A1,"請求区分","単月")-T10,"")</f>
        <v>8437483</v>
      </c>
      <c r="U11" s="1477">
        <f>IFERROR(GETPIVOTDATA("合計 / 請求",【ピボット】国保連売上!$A$3,"年月",U1,"事業所",$A1,"請求区分","単月")-U10,"")</f>
        <v>8093710</v>
      </c>
      <c r="V11" s="1477">
        <f>IFERROR(GETPIVOTDATA("合計 / 請求",【ピボット】国保連売上!$A$3,"年月",V1,"事業所",$A1,"請求区分","単月")-V10,"")</f>
        <v>8673566</v>
      </c>
      <c r="W11" s="1477">
        <f>IFERROR(GETPIVOTDATA("合計 / 請求",【ピボット】国保連売上!$A$3,"年月",W1,"事業所",$A1,"請求区分","単月")-W10,"")</f>
        <v>7749986</v>
      </c>
      <c r="X11" s="1477">
        <f>IFERROR(GETPIVOTDATA("合計 / 請求",【ピボット】国保連売上!$A$3,"年月",X1,"事業所",$A1,"請求区分","単月")-X10,"")</f>
        <v>8614935</v>
      </c>
      <c r="Y11" s="1477">
        <f>IFERROR(GETPIVOTDATA("合計 / 請求",【ピボット】国保連売上!$A$3,"年月",Y1,"事業所",$A1,"請求区分","単月")-Y10,"")</f>
        <v>8891459</v>
      </c>
      <c r="Z11" s="1477">
        <f>IFERROR(GETPIVOTDATA("合計 / 請求",【ピボット】国保連売上!$A$3,"年月",Z1,"事業所",$A1,"請求区分","単月")-Z10,"")</f>
        <v>9287914</v>
      </c>
      <c r="AA11" s="1477">
        <f>IFERROR(GETPIVOTDATA("合計 / 請求",【ピボット】国保連売上!$A$3,"年月",AA1,"事業所",$A1,"請求区分","単月")-AA10,"")</f>
        <v>8938216</v>
      </c>
      <c r="AB11" s="1477">
        <f>IFERROR(GETPIVOTDATA("合計 / 請求",【ピボット】国保連売上!$A$3,"年月",AB1,"事業所",$A1,"請求区分","単月")-AB10,"")</f>
        <v>9092320</v>
      </c>
      <c r="AC11" s="1477">
        <f>IFERROR(GETPIVOTDATA("合計 / 請求",【ピボット】国保連売上!$A$3,"年月",AC1,"事業所",$A1,"請求区分","単月")-AC10,"")</f>
        <v>8588463</v>
      </c>
      <c r="AD11" s="1477">
        <f>IFERROR(GETPIVOTDATA("合計 / 請求",【ピボット】国保連売上!$A$3,"年月",AD1,"事業所",$A1,"請求区分","単月")-AD10,"")</f>
        <v>9313485</v>
      </c>
      <c r="AE11" s="1477">
        <f>IFERROR(GETPIVOTDATA("合計 / 請求",【ピボット】国保連売上!$A$3,"年月",AE1,"事業所",$A1,"請求区分","単月")-AE10,"")</f>
        <v>9159012</v>
      </c>
      <c r="AF11" s="1477" t="str">
        <f>IFERROR(GETPIVOTDATA("合計 / 請求",【ピボット】国保連売上!$A$3,"年月",AF1,"事業所",$A1,"請求区分","単月")-AF10,"")</f>
        <v/>
      </c>
      <c r="AG11" s="1477" t="str">
        <f>IFERROR(GETPIVOTDATA("合計 / 請求",【ピボット】国保連売上!$A$3,"年月",AG1,"事業所",$A1,"請求区分","単月")-AG10,"")</f>
        <v/>
      </c>
      <c r="AH11" s="1477" t="str">
        <f>IFERROR(GETPIVOTDATA("合計 / 請求",【ピボット】国保連売上!$A$3,"年月",AH1,"事業所",$A1,"請求区分","単月")-AH10,"")</f>
        <v/>
      </c>
      <c r="AI11" s="1477" t="str">
        <f>IFERROR(GETPIVOTDATA("合計 / 請求",【ピボット】国保連売上!$A$3,"年月",AI1,"事業所",$A1,"請求区分","単月")-AI10,"")</f>
        <v/>
      </c>
      <c r="AJ11" s="1477" t="str">
        <f>IFERROR(GETPIVOTDATA("合計 / 請求",【ピボット】国保連売上!$A$3,"年月",AJ1,"事業所",$A1,"請求区分","単月")-AJ10,"")</f>
        <v/>
      </c>
      <c r="AK11" s="1477" t="str">
        <f>IFERROR(GETPIVOTDATA("合計 / 請求",【ピボット】国保連売上!$A$3,"年月",AK1,"事業所",$A1,"請求区分","単月")-AK10,"")</f>
        <v/>
      </c>
      <c r="AL11" s="1477" t="str">
        <f>IFERROR(GETPIVOTDATA("合計 / 請求",【ピボット】国保連売上!$A$3,"年月",AL1,"事業所",$A1,"請求区分","単月")-AL10,"")</f>
        <v/>
      </c>
      <c r="AM11" s="1477" t="str">
        <f>IFERROR(GETPIVOTDATA("合計 / 請求",【ピボット】国保連売上!$A$3,"年月",AM1,"事業所",$A1,"請求区分","単月")-AM10,"")</f>
        <v/>
      </c>
      <c r="AN11" s="1477" t="str">
        <f>IFERROR(GETPIVOTDATA("合計 / 請求",【ピボット】国保連売上!$A$3,"年月",AN1,"事業所",$A1,"請求区分","単月")-AN10,"")</f>
        <v/>
      </c>
      <c r="AO11" s="1477" t="str">
        <f>IFERROR(GETPIVOTDATA("合計 / 請求",【ピボット】国保連売上!$A$3,"年月",AO1,"事業所",$A1,"請求区分","単月")-AO10,"")</f>
        <v/>
      </c>
      <c r="AP11" s="1477" t="str">
        <f>IFERROR(GETPIVOTDATA("合計 / 請求",【ピボット】国保連売上!$A$3,"年月",AP1,"事業所",$A1,"請求区分","単月")-AP10,"")</f>
        <v/>
      </c>
      <c r="AQ11" s="1477" t="str">
        <f>IFERROR(GETPIVOTDATA("合計 / 請求",【ピボット】国保連売上!$A$3,"年月",AQ1,"事業所",$A1,"請求区分","単月")-AQ10,"")</f>
        <v/>
      </c>
      <c r="AR11" s="1477" t="str">
        <f>IFERROR(GETPIVOTDATA("合計 / 請求",【ピボット】国保連売上!$A$3,"年月",AR1,"事業所",$A1,"請求区分","単月")-AR10,"")</f>
        <v/>
      </c>
    </row>
    <row r="12" spans="1:44" x14ac:dyDescent="0.15">
      <c r="A12" s="2062"/>
      <c r="B12" s="724" t="s">
        <v>887</v>
      </c>
      <c r="C12" s="1475">
        <f>IF(SUM(C10:C11)=0,"",SUM(C10:C11))</f>
        <v>9131284</v>
      </c>
      <c r="D12" s="1476">
        <f t="shared" ref="D12:Z12" si="11">IF(SUM(D10:D11)=0,"",SUM(D10:D11))</f>
        <v>8562058</v>
      </c>
      <c r="E12" s="1477">
        <f>IF(SUM(E10:E11)=0,"",SUM(E10:E11))</f>
        <v>8506667</v>
      </c>
      <c r="F12" s="1477">
        <f t="shared" si="11"/>
        <v>9348688</v>
      </c>
      <c r="G12" s="1477">
        <f t="shared" si="11"/>
        <v>9636884</v>
      </c>
      <c r="H12" s="1477">
        <f t="shared" si="11"/>
        <v>9992832</v>
      </c>
      <c r="I12" s="1477">
        <f t="shared" si="11"/>
        <v>9227912</v>
      </c>
      <c r="J12" s="1477">
        <f t="shared" si="11"/>
        <v>9776465</v>
      </c>
      <c r="K12" s="1477">
        <f t="shared" si="11"/>
        <v>9774030</v>
      </c>
      <c r="L12" s="1477">
        <f t="shared" si="11"/>
        <v>10148554</v>
      </c>
      <c r="M12" s="1477">
        <f t="shared" si="11"/>
        <v>10092092</v>
      </c>
      <c r="N12" s="1477">
        <f t="shared" si="11"/>
        <v>9892697</v>
      </c>
      <c r="O12" s="1477">
        <f t="shared" si="11"/>
        <v>9393626</v>
      </c>
      <c r="P12" s="1477">
        <f t="shared" si="11"/>
        <v>9350432</v>
      </c>
      <c r="Q12" s="1477">
        <f t="shared" si="11"/>
        <v>8832032</v>
      </c>
      <c r="R12" s="1477">
        <f t="shared" si="11"/>
        <v>9878804</v>
      </c>
      <c r="S12" s="1477">
        <f t="shared" si="11"/>
        <v>9791668</v>
      </c>
      <c r="T12" s="1477">
        <f t="shared" si="11"/>
        <v>10087423</v>
      </c>
      <c r="U12" s="1477">
        <f t="shared" si="11"/>
        <v>9535609</v>
      </c>
      <c r="V12" s="1477">
        <f t="shared" si="11"/>
        <v>10429329</v>
      </c>
      <c r="W12" s="1477">
        <f t="shared" si="11"/>
        <v>9914852</v>
      </c>
      <c r="X12" s="1477">
        <f t="shared" si="11"/>
        <v>10606419</v>
      </c>
      <c r="Y12" s="1477">
        <f t="shared" si="11"/>
        <v>11523231</v>
      </c>
      <c r="Z12" s="1477">
        <f t="shared" si="11"/>
        <v>11643262</v>
      </c>
      <c r="AA12" s="1477">
        <f t="shared" ref="AA12:AF12" si="12">IF(SUM(AA10:AA11)=0,"",SUM(AA10:AA11))</f>
        <v>11201961</v>
      </c>
      <c r="AB12" s="1477">
        <f t="shared" si="12"/>
        <v>11414498</v>
      </c>
      <c r="AC12" s="1477">
        <f t="shared" si="12"/>
        <v>10739184</v>
      </c>
      <c r="AD12" s="1477">
        <f t="shared" si="12"/>
        <v>11842205</v>
      </c>
      <c r="AE12" s="1477">
        <f t="shared" si="12"/>
        <v>12074847</v>
      </c>
      <c r="AF12" s="1477" t="str">
        <f t="shared" si="12"/>
        <v/>
      </c>
      <c r="AG12" s="1477" t="str">
        <f t="shared" ref="AG12:AR12" si="13">IF(SUM(AG10:AG11)=0,"",SUM(AG10:AG11))</f>
        <v/>
      </c>
      <c r="AH12" s="1477" t="str">
        <f t="shared" si="13"/>
        <v/>
      </c>
      <c r="AI12" s="1477" t="str">
        <f t="shared" si="13"/>
        <v/>
      </c>
      <c r="AJ12" s="1477" t="str">
        <f t="shared" si="13"/>
        <v/>
      </c>
      <c r="AK12" s="1477" t="str">
        <f t="shared" si="13"/>
        <v/>
      </c>
      <c r="AL12" s="1477" t="str">
        <f t="shared" si="13"/>
        <v/>
      </c>
      <c r="AM12" s="1477" t="str">
        <f t="shared" si="13"/>
        <v/>
      </c>
      <c r="AN12" s="1477" t="str">
        <f t="shared" si="13"/>
        <v/>
      </c>
      <c r="AO12" s="1477" t="str">
        <f t="shared" si="13"/>
        <v/>
      </c>
      <c r="AP12" s="1477" t="str">
        <f t="shared" si="13"/>
        <v/>
      </c>
      <c r="AQ12" s="1477" t="str">
        <f t="shared" si="13"/>
        <v/>
      </c>
      <c r="AR12" s="1477" t="str">
        <f t="shared" si="13"/>
        <v/>
      </c>
    </row>
    <row r="13" spans="1:44" x14ac:dyDescent="0.15">
      <c r="A13" s="2062" t="s">
        <v>897</v>
      </c>
      <c r="B13" s="724" t="s">
        <v>896</v>
      </c>
      <c r="C13" s="1475">
        <f>IFERROR(GETPIVOTDATA("合計 / " &amp; $B13,【ピボット】事業所収支!$A$3,"年月",C$1,"事業所",$A1),"")</f>
        <v>1874773</v>
      </c>
      <c r="D13" s="1476">
        <f>IFERROR(GETPIVOTDATA("合計 / " &amp; $B13,【ピボット】事業所収支!$A$3,"年月",D$1,"事業所",$A1),"")</f>
        <v>1888409</v>
      </c>
      <c r="E13" s="1477">
        <f>IFERROR(GETPIVOTDATA("合計 / " &amp; $B13,【ピボット】事業所収支!$A$3,"年月",E$1,"事業所",$A1),"")</f>
        <v>1865921</v>
      </c>
      <c r="F13" s="1477">
        <f>IFERROR(GETPIVOTDATA("合計 / " &amp; $B13,【ピボット】事業所収支!$A$3,"年月",F$1,"事業所",$A1),"")</f>
        <v>1990889</v>
      </c>
      <c r="G13" s="1477">
        <f>IFERROR(GETPIVOTDATA("合計 / " &amp; $B13,【ピボット】事業所収支!$A$3,"年月",G$1,"事業所",$A1),"")</f>
        <v>1840940</v>
      </c>
      <c r="H13" s="1477">
        <f>IFERROR(GETPIVOTDATA("合計 / " &amp; $B13,【ピボット】事業所収支!$A$3,"年月",H$1,"事業所",$A1),"")</f>
        <v>1843335</v>
      </c>
      <c r="I13" s="1477">
        <f>IFERROR(GETPIVOTDATA("合計 / " &amp; $B13,【ピボット】事業所収支!$A$3,"年月",I$1,"事業所",$A1),"")</f>
        <v>1920952</v>
      </c>
      <c r="J13" s="1477">
        <f>IFERROR(GETPIVOTDATA("合計 / " &amp; $B13,【ピボット】事業所収支!$A$3,"年月",J$1,"事業所",$A1),"")</f>
        <v>2024642</v>
      </c>
      <c r="K13" s="1477">
        <f>IFERROR(GETPIVOTDATA("合計 / " &amp; $B13,【ピボット】事業所収支!$A$3,"年月",K$1,"事業所",$A1),"")</f>
        <v>2014985</v>
      </c>
      <c r="L13" s="1477">
        <f>IFERROR(GETPIVOTDATA("合計 / " &amp; $B13,【ピボット】事業所収支!$A$3,"年月",L$1,"事業所",$A1),"")</f>
        <v>1892823</v>
      </c>
      <c r="M13" s="1477">
        <f>IFERROR(GETPIVOTDATA("合計 / " &amp; $B13,【ピボット】事業所収支!$A$3,"年月",M$1,"事業所",$A1),"")</f>
        <v>1980393</v>
      </c>
      <c r="N13" s="1477">
        <f>IFERROR(GETPIVOTDATA("合計 / " &amp; $B13,【ピボット】事業所収支!$A$3,"年月",N$1,"事業所",$A1),"")</f>
        <v>1988138</v>
      </c>
      <c r="O13" s="1477">
        <f>IFERROR(GETPIVOTDATA("合計 / " &amp; $B13,【ピボット】事業所収支!$A$3,"年月",O$1,"事業所",$A1),"")</f>
        <v>1976032</v>
      </c>
      <c r="P13" s="1477">
        <f>IFERROR(GETPIVOTDATA("合計 / " &amp; $B13,【ピボット】事業所収支!$A$3,"年月",P$1,"事業所",$A1),"")</f>
        <v>1575046</v>
      </c>
      <c r="Q13" s="1477">
        <f>IFERROR(GETPIVOTDATA("合計 / " &amp; $B13,【ピボット】事業所収支!$A$3,"年月",Q$1,"事業所",$A1),"")</f>
        <v>1516081</v>
      </c>
      <c r="R13" s="1477">
        <f>IFERROR(GETPIVOTDATA("合計 / " &amp; $B13,【ピボット】事業所収支!$A$3,"年月",R$1,"事業所",$A1),"")</f>
        <v>1504051</v>
      </c>
      <c r="S13" s="1477">
        <f>IFERROR(GETPIVOTDATA("合計 / " &amp; $B13,【ピボット】事業所収支!$A$3,"年月",S$1,"事業所",$A1),"")</f>
        <v>1605173</v>
      </c>
      <c r="T13" s="1477">
        <f>IFERROR(GETPIVOTDATA("合計 / " &amp; $B13,【ピボット】事業所収支!$A$3,"年月",T$1,"事業所",$A1),"")</f>
        <v>1603715</v>
      </c>
      <c r="U13" s="1477">
        <f>IFERROR(GETPIVOTDATA("合計 / " &amp; $B13,【ピボット】事業所収支!$A$3,"年月",U$1,"事業所",$A1),"")</f>
        <v>1674777</v>
      </c>
      <c r="V13" s="1477">
        <f>IFERROR(GETPIVOTDATA("合計 / " &amp; $B13,【ピボット】事業所収支!$A$3,"年月",V$1,"事業所",$A1),"")</f>
        <v>1734830</v>
      </c>
      <c r="W13" s="1477">
        <f>IFERROR(GETPIVOTDATA("合計 / " &amp; $B13,【ピボット】事業所収支!$A$3,"年月",W$1,"事業所",$A1),"")</f>
        <v>1946584</v>
      </c>
      <c r="X13" s="1477">
        <f>IFERROR(GETPIVOTDATA("合計 / " &amp; $B13,【ピボット】事業所収支!$A$3,"年月",X$1,"事業所",$A1),"")</f>
        <v>1938036</v>
      </c>
      <c r="Y13" s="1477">
        <f>IFERROR(GETPIVOTDATA("合計 / " &amp; $B13,【ピボット】事業所収支!$A$3,"年月",Y$1,"事業所",$A1),"")</f>
        <v>2473417</v>
      </c>
      <c r="Z13" s="1477">
        <f>IFERROR(GETPIVOTDATA("合計 / " &amp; $B13,【ピボット】事業所収支!$A$3,"年月",Z$1,"事業所",$A1),"")</f>
        <v>2563994</v>
      </c>
      <c r="AA13" s="1477">
        <f>IFERROR(GETPIVOTDATA("合計 / " &amp; $B13,【ピボット】事業所収支!$A$3,"年月",AA$1,"事業所",$A1),"")</f>
        <v>2539827</v>
      </c>
      <c r="AB13" s="1477">
        <f>IFERROR(GETPIVOTDATA("合計 / " &amp; $B13,【ピボット】事業所収支!$A$3,"年月",AB$1,"事業所",$A1),"")</f>
        <v>2678960</v>
      </c>
      <c r="AC13" s="1477">
        <f>IFERROR(GETPIVOTDATA("合計 / " &amp; $B13,【ピボット】事業所収支!$A$3,"年月",AC$1,"事業所",$A1),"")</f>
        <v>2819691</v>
      </c>
      <c r="AD13" s="1477">
        <f>IFERROR(GETPIVOTDATA("合計 / " &amp; $B13,【ピボット】事業所収支!$A$3,"年月",AD$1,"事業所",$A1),"")</f>
        <v>2752108</v>
      </c>
      <c r="AE13" s="1477">
        <f>IFERROR(GETPIVOTDATA("合計 / " &amp; $B13,【ピボット】事業所収支!$A$3,"年月",AE$1,"事業所",$A1),"")</f>
        <v>2306540</v>
      </c>
      <c r="AF13" s="1477" t="str">
        <f>IFERROR(GETPIVOTDATA("合計 / " &amp; $B13,【ピボット】事業所収支!$A$3,"年月",AF$1,"事業所",$A1),"")</f>
        <v/>
      </c>
      <c r="AG13" s="1477" t="str">
        <f>IFERROR(GETPIVOTDATA("合計 / " &amp; $B13,【ピボット】事業所収支!$A$3,"年月",AG$1,"事業所",$A1),"")</f>
        <v/>
      </c>
      <c r="AH13" s="1477" t="str">
        <f>IFERROR(GETPIVOTDATA("合計 / " &amp; $B13,【ピボット】事業所収支!$A$3,"年月",AH$1,"事業所",$A1),"")</f>
        <v/>
      </c>
      <c r="AI13" s="1477" t="str">
        <f>IFERROR(GETPIVOTDATA("合計 / " &amp; $B13,【ピボット】事業所収支!$A$3,"年月",AI$1,"事業所",$A1),"")</f>
        <v/>
      </c>
      <c r="AJ13" s="1477" t="str">
        <f>IFERROR(GETPIVOTDATA("合計 / " &amp; $B13,【ピボット】事業所収支!$A$3,"年月",AJ$1,"事業所",$A1),"")</f>
        <v/>
      </c>
      <c r="AK13" s="1477" t="str">
        <f>IFERROR(GETPIVOTDATA("合計 / " &amp; $B13,【ピボット】事業所収支!$A$3,"年月",AK$1,"事業所",$A1),"")</f>
        <v/>
      </c>
      <c r="AL13" s="1477" t="str">
        <f>IFERROR(GETPIVOTDATA("合計 / " &amp; $B13,【ピボット】事業所収支!$A$3,"年月",AL$1,"事業所",$A1),"")</f>
        <v/>
      </c>
      <c r="AM13" s="1477" t="str">
        <f>IFERROR(GETPIVOTDATA("合計 / " &amp; $B13,【ピボット】事業所収支!$A$3,"年月",AM$1,"事業所",$A1),"")</f>
        <v/>
      </c>
      <c r="AN13" s="1477" t="str">
        <f>IFERROR(GETPIVOTDATA("合計 / " &amp; $B13,【ピボット】事業所収支!$A$3,"年月",AN$1,"事業所",$A1),"")</f>
        <v/>
      </c>
      <c r="AO13" s="1477" t="str">
        <f>IFERROR(GETPIVOTDATA("合計 / " &amp; $B13,【ピボット】事業所収支!$A$3,"年月",AO$1,"事業所",$A1),"")</f>
        <v/>
      </c>
      <c r="AP13" s="1477" t="str">
        <f>IFERROR(GETPIVOTDATA("合計 / " &amp; $B13,【ピボット】事業所収支!$A$3,"年月",AP$1,"事業所",$A1),"")</f>
        <v/>
      </c>
      <c r="AQ13" s="1477" t="str">
        <f>IFERROR(GETPIVOTDATA("合計 / " &amp; $B13,【ピボット】事業所収支!$A$3,"年月",AQ$1,"事業所",$A1),"")</f>
        <v/>
      </c>
      <c r="AR13" s="1477" t="str">
        <f>IFERROR(GETPIVOTDATA("合計 / " &amp; $B13,【ピボット】事業所収支!$A$3,"年月",AR$1,"事業所",$A1),"")</f>
        <v/>
      </c>
    </row>
    <row r="14" spans="1:44" x14ac:dyDescent="0.15">
      <c r="A14" s="2062"/>
      <c r="B14" s="724" t="s">
        <v>895</v>
      </c>
      <c r="C14" s="1475">
        <f>IFERROR(GETPIVOTDATA("合計 / " &amp; $B14,【ピボット】事業所収支!$A$3,"年月",C$1,"事業所",$A1)-C20,"")</f>
        <v>2350000</v>
      </c>
      <c r="D14" s="1476">
        <f>IFERROR(GETPIVOTDATA("合計 / " &amp; $B14,【ピボット】事業所収支!$A$3,"年月",D$1,"事業所",$A1)-D20,"")</f>
        <v>0</v>
      </c>
      <c r="E14" s="1477">
        <f>IFERROR(GETPIVOTDATA("合計 / " &amp; $B14,【ピボット】事業所収支!$A$3,"年月",E$1,"事業所",$A1)-E20,"")</f>
        <v>0</v>
      </c>
      <c r="F14" s="1477">
        <f>IFERROR(GETPIVOTDATA("合計 / " &amp; $B14,【ピボット】事業所収支!$A$3,"年月",F$1,"事業所",$A1)-F20,"")</f>
        <v>0</v>
      </c>
      <c r="G14" s="1477">
        <f>IFERROR(GETPIVOTDATA("合計 / " &amp; $B14,【ピボット】事業所収支!$A$3,"年月",G$1,"事業所",$A1)-G20,"")</f>
        <v>0</v>
      </c>
      <c r="H14" s="1477">
        <f>IFERROR(GETPIVOTDATA("合計 / " &amp; $B14,【ピボット】事業所収支!$A$3,"年月",H$1,"事業所",$A1)-H20,"")</f>
        <v>0</v>
      </c>
      <c r="I14" s="1477">
        <f>IFERROR(GETPIVOTDATA("合計 / " &amp; $B14,【ピボット】事業所収支!$A$3,"年月",I$1,"事業所",$A1)-I20,"")</f>
        <v>3015000</v>
      </c>
      <c r="J14" s="1477">
        <f>IFERROR(GETPIVOTDATA("合計 / " &amp; $B14,【ピボット】事業所収支!$A$3,"年月",J$1,"事業所",$A1)-J20,"")</f>
        <v>0</v>
      </c>
      <c r="K14" s="1477">
        <f>IFERROR(GETPIVOTDATA("合計 / " &amp; $B14,【ピボット】事業所収支!$A$3,"年月",K$1,"事業所",$A1)-K20,"")</f>
        <v>180000</v>
      </c>
      <c r="L14" s="1477">
        <f>IFERROR(GETPIVOTDATA("合計 / " &amp; $B14,【ピボット】事業所収支!$A$3,"年月",L$1,"事業所",$A1)-L20,"")</f>
        <v>0</v>
      </c>
      <c r="M14" s="1477">
        <f>IFERROR(GETPIVOTDATA("合計 / " &amp; $B14,【ピボット】事業所収支!$A$3,"年月",M$1,"事業所",$A1)-M20,"")</f>
        <v>0</v>
      </c>
      <c r="N14" s="1477">
        <f>IFERROR(GETPIVOTDATA("合計 / " &amp; $B14,【ピボット】事業所収支!$A$3,"年月",N$1,"事業所",$A1)-N20,"")</f>
        <v>0</v>
      </c>
      <c r="O14" s="1477">
        <f>IFERROR(GETPIVOTDATA("合計 / " &amp; $B14,【ピボット】事業所収支!$A$3,"年月",O$1,"事業所",$A1)-O20,"")</f>
        <v>3800875</v>
      </c>
      <c r="P14" s="1477">
        <f>IFERROR(GETPIVOTDATA("合計 / " &amp; $B14,【ピボット】事業所収支!$A$3,"年月",P$1,"事業所",$A1)-P20,"")</f>
        <v>0</v>
      </c>
      <c r="Q14" s="1477">
        <f>IFERROR(GETPIVOTDATA("合計 / " &amp; $B14,【ピボット】事業所収支!$A$3,"年月",Q$1,"事業所",$A1)-Q20,"")</f>
        <v>0</v>
      </c>
      <c r="R14" s="1477">
        <f>IFERROR(GETPIVOTDATA("合計 / " &amp; $B14,【ピボット】事業所収支!$A$3,"年月",R$1,"事業所",$A1)-R20,"")</f>
        <v>0</v>
      </c>
      <c r="S14" s="1477">
        <f>IFERROR(GETPIVOTDATA("合計 / " &amp; $B14,【ピボット】事業所収支!$A$3,"年月",S$1,"事業所",$A1)-S20,"")</f>
        <v>0</v>
      </c>
      <c r="T14" s="1477">
        <f>IFERROR(GETPIVOTDATA("合計 / " &amp; $B14,【ピボット】事業所収支!$A$3,"年月",T$1,"事業所",$A1)-T20,"")</f>
        <v>0</v>
      </c>
      <c r="U14" s="1477">
        <f>IFERROR(GETPIVOTDATA("合計 / " &amp; $B14,【ピボット】事業所収支!$A$3,"年月",U$1,"事業所",$A1)-U20,"")</f>
        <v>2730000</v>
      </c>
      <c r="V14" s="1477">
        <f>IFERROR(GETPIVOTDATA("合計 / " &amp; $B14,【ピボット】事業所収支!$A$3,"年月",V$1,"事業所",$A1)-V20,"")</f>
        <v>0</v>
      </c>
      <c r="W14" s="1477">
        <f>IFERROR(GETPIVOTDATA("合計 / " &amp; $B14,【ピボット】事業所収支!$A$3,"年月",W$1,"事業所",$A1)-W20,"")</f>
        <v>400000</v>
      </c>
      <c r="X14" s="1477">
        <f>IFERROR(GETPIVOTDATA("合計 / " &amp; $B14,【ピボット】事業所収支!$A$3,"年月",X$1,"事業所",$A1)-X20,"")</f>
        <v>0</v>
      </c>
      <c r="Y14" s="1477">
        <f>IFERROR(GETPIVOTDATA("合計 / " &amp; $B14,【ピボット】事業所収支!$A$3,"年月",Y$1,"事業所",$A1)-Y20,"")</f>
        <v>0</v>
      </c>
      <c r="Z14" s="1477">
        <f>IFERROR(GETPIVOTDATA("合計 / " &amp; $B14,【ピボット】事業所収支!$A$3,"年月",Z$1,"事業所",$A1)-Z20,"")</f>
        <v>0</v>
      </c>
      <c r="AA14" s="1477">
        <f>IFERROR(GETPIVOTDATA("合計 / " &amp; $B14,【ピボット】事業所収支!$A$3,"年月",AA$1,"事業所",$A1)-AA20,"")</f>
        <v>2990500</v>
      </c>
      <c r="AB14" s="1477">
        <f>IFERROR(GETPIVOTDATA("合計 / " &amp; $B14,【ピボット】事業所収支!$A$3,"年月",AB$1,"事業所",$A1)-AB20,"")</f>
        <v>0</v>
      </c>
      <c r="AC14" s="1477">
        <f>IFERROR(GETPIVOTDATA("合計 / " &amp; $B14,【ピボット】事業所収支!$A$3,"年月",AC$1,"事業所",$A1)-AC20,"")</f>
        <v>0</v>
      </c>
      <c r="AD14" s="1477">
        <f>IFERROR(GETPIVOTDATA("合計 / " &amp; $B14,【ピボット】事業所収支!$A$3,"年月",AD$1,"事業所",$A1)-AD20,"")</f>
        <v>0</v>
      </c>
      <c r="AE14" s="1477">
        <f>IFERROR(GETPIVOTDATA("合計 / " &amp; $B14,【ピボット】事業所収支!$A$3,"年月",AE$1,"事業所",$A1)-AE20,"")</f>
        <v>0</v>
      </c>
      <c r="AF14" s="1477" t="str">
        <f>IFERROR(GETPIVOTDATA("合計 / " &amp; $B14,【ピボット】事業所収支!$A$3,"年月",AF$1,"事業所",$A1)-AF20,"")</f>
        <v/>
      </c>
      <c r="AG14" s="1477" t="str">
        <f>IFERROR(GETPIVOTDATA("合計 / " &amp; $B14,【ピボット】事業所収支!$A$3,"年月",AG$1,"事業所",$A1)-AG20,"")</f>
        <v/>
      </c>
      <c r="AH14" s="1477" t="str">
        <f>IFERROR(GETPIVOTDATA("合計 / " &amp; $B14,【ピボット】事業所収支!$A$3,"年月",AH$1,"事業所",$A1)-AH20,"")</f>
        <v/>
      </c>
      <c r="AI14" s="1477" t="str">
        <f>IFERROR(GETPIVOTDATA("合計 / " &amp; $B14,【ピボット】事業所収支!$A$3,"年月",AI$1,"事業所",$A1)-AI20,"")</f>
        <v/>
      </c>
      <c r="AJ14" s="1477" t="str">
        <f>IFERROR(GETPIVOTDATA("合計 / " &amp; $B14,【ピボット】事業所収支!$A$3,"年月",AJ$1,"事業所",$A1)-AJ20,"")</f>
        <v/>
      </c>
      <c r="AK14" s="1477" t="str">
        <f>IFERROR(GETPIVOTDATA("合計 / " &amp; $B14,【ピボット】事業所収支!$A$3,"年月",AK$1,"事業所",$A1)-AK20,"")</f>
        <v/>
      </c>
      <c r="AL14" s="1477" t="str">
        <f>IFERROR(GETPIVOTDATA("合計 / " &amp; $B14,【ピボット】事業所収支!$A$3,"年月",AL$1,"事業所",$A1)-AL20,"")</f>
        <v/>
      </c>
      <c r="AM14" s="1477" t="str">
        <f>IFERROR(GETPIVOTDATA("合計 / " &amp; $B14,【ピボット】事業所収支!$A$3,"年月",AM$1,"事業所",$A1)-AM20,"")</f>
        <v/>
      </c>
      <c r="AN14" s="1477" t="str">
        <f>IFERROR(GETPIVOTDATA("合計 / " &amp; $B14,【ピボット】事業所収支!$A$3,"年月",AN$1,"事業所",$A1)-AN20,"")</f>
        <v/>
      </c>
      <c r="AO14" s="1477" t="str">
        <f>IFERROR(GETPIVOTDATA("合計 / " &amp; $B14,【ピボット】事業所収支!$A$3,"年月",AO$1,"事業所",$A1)-AO20,"")</f>
        <v/>
      </c>
      <c r="AP14" s="1477" t="str">
        <f>IFERROR(GETPIVOTDATA("合計 / " &amp; $B14,【ピボット】事業所収支!$A$3,"年月",AP$1,"事業所",$A1)-AP20,"")</f>
        <v/>
      </c>
      <c r="AQ14" s="1477" t="str">
        <f>IFERROR(GETPIVOTDATA("合計 / " &amp; $B14,【ピボット】事業所収支!$A$3,"年月",AQ$1,"事業所",$A1)-AQ20,"")</f>
        <v/>
      </c>
      <c r="AR14" s="1477" t="str">
        <f>IFERROR(GETPIVOTDATA("合計 / " &amp; $B14,【ピボット】事業所収支!$A$3,"年月",AR$1,"事業所",$A1)-AR20,"")</f>
        <v/>
      </c>
    </row>
    <row r="15" spans="1:44" x14ac:dyDescent="0.15">
      <c r="A15" s="2062"/>
      <c r="B15" s="724" t="s">
        <v>894</v>
      </c>
      <c r="C15" s="1475">
        <f>IF(C13="","",ROUND(C14/6,0))</f>
        <v>391667</v>
      </c>
      <c r="D15" s="1476">
        <f>IF(D13="","",ROUND(C14/6,0))</f>
        <v>391667</v>
      </c>
      <c r="E15" s="1477">
        <f>IF(E13="","",ROUND(C14/6,0))</f>
        <v>391667</v>
      </c>
      <c r="F15" s="1477">
        <f>IF(F13="","",ROUND(C14/6,0))</f>
        <v>391667</v>
      </c>
      <c r="G15" s="1477">
        <f>IF(G13="","",ROUND(C14/6,0))</f>
        <v>391667</v>
      </c>
      <c r="H15" s="1477">
        <f>IF(H13="","",ROUND(C14/6,0))</f>
        <v>391667</v>
      </c>
      <c r="I15" s="1477">
        <f>IF(I13="","",ROUND(I14/6,0))</f>
        <v>502500</v>
      </c>
      <c r="J15" s="1477">
        <f>IF(J13="","",ROUND(I14/6,0))</f>
        <v>502500</v>
      </c>
      <c r="K15" s="1477">
        <f>IF(K13="","",ROUND(I14/6,0))</f>
        <v>502500</v>
      </c>
      <c r="L15" s="1477">
        <f>IF(L13="","",ROUND(I14/6,0))</f>
        <v>502500</v>
      </c>
      <c r="M15" s="1477">
        <f>IF(M13="","",ROUND(I14/6,0))</f>
        <v>502500</v>
      </c>
      <c r="N15" s="1477">
        <f>IF(N13="","",ROUND(I14/6,0))</f>
        <v>502500</v>
      </c>
      <c r="O15" s="1477">
        <f>IF(O13="","",ROUND(O14/6,0))</f>
        <v>633479</v>
      </c>
      <c r="P15" s="1477">
        <f>IF(P13="","",ROUND(O14/6,0))</f>
        <v>633479</v>
      </c>
      <c r="Q15" s="1477">
        <f>IF(Q13="","",ROUND(O14/6,0))</f>
        <v>633479</v>
      </c>
      <c r="R15" s="1477">
        <f>IF(R13="","",ROUND(O14/6,0))</f>
        <v>633479</v>
      </c>
      <c r="S15" s="1477">
        <f>IF(S13="","",ROUND(O14/6,0))</f>
        <v>633479</v>
      </c>
      <c r="T15" s="1477">
        <f>IF(T13="","",ROUND(O14/6,0))</f>
        <v>633479</v>
      </c>
      <c r="U15" s="1477">
        <f>IF(U13="","",ROUND(U14/6,0))</f>
        <v>455000</v>
      </c>
      <c r="V15" s="1477">
        <f>IF(V13="","",ROUND(U14/6,0))</f>
        <v>455000</v>
      </c>
      <c r="W15" s="1477">
        <f>IF(W13="","",ROUND(U14/6,0))</f>
        <v>455000</v>
      </c>
      <c r="X15" s="1477">
        <f>IF(X13="","",ROUND(U14/6,0))</f>
        <v>455000</v>
      </c>
      <c r="Y15" s="1477">
        <f>IF(Y13="","",ROUND(U14/6,0))</f>
        <v>455000</v>
      </c>
      <c r="Z15" s="1477">
        <f>IF(Z13="","",ROUND(U14/6,0))</f>
        <v>455000</v>
      </c>
      <c r="AA15" s="1477">
        <f>IF(AA13="","",ROUND(AA14/6,0))</f>
        <v>498417</v>
      </c>
      <c r="AB15" s="1477">
        <f>IF(AB13="","",ROUND(AA14/6,0))</f>
        <v>498417</v>
      </c>
      <c r="AC15" s="1477">
        <f>IF(AC13="","",ROUND(AA14/6,0))</f>
        <v>498417</v>
      </c>
      <c r="AD15" s="1477">
        <f>IF(AD13="","",ROUND(AA14/6,0))</f>
        <v>498417</v>
      </c>
      <c r="AE15" s="1477">
        <f>IF(AE13="","",ROUND(AA14/6,0))</f>
        <v>498417</v>
      </c>
      <c r="AF15" s="1477" t="str">
        <f>IF(AF13="","",ROUND(AA14/6,0))</f>
        <v/>
      </c>
      <c r="AG15" s="1477" t="str">
        <f>IF(AG13="","",ROUND(AG14/6,0))</f>
        <v/>
      </c>
      <c r="AH15" s="1477" t="str">
        <f>IF(AH13="","",ROUND(AG14/6,0))</f>
        <v/>
      </c>
      <c r="AI15" s="1477" t="str">
        <f>IF(AI13="","",ROUND(AG14/6,0))</f>
        <v/>
      </c>
      <c r="AJ15" s="1477" t="str">
        <f>IF(AJ13="","",ROUND(AG14/6,0))</f>
        <v/>
      </c>
      <c r="AK15" s="1477" t="str">
        <f>IF(AK13="","",ROUND(AG14/6,0))</f>
        <v/>
      </c>
      <c r="AL15" s="1477" t="str">
        <f>IF(AL13="","",ROUND(AG14/6,0))</f>
        <v/>
      </c>
      <c r="AM15" s="1477" t="str">
        <f>IF(AM13="","",ROUND(AM14/6,0))</f>
        <v/>
      </c>
      <c r="AN15" s="1477" t="str">
        <f>IF(AN13="","",ROUND(AM14/6,0))</f>
        <v/>
      </c>
      <c r="AO15" s="1477" t="str">
        <f>IF(AO13="","",ROUND(AM14/6,0))</f>
        <v/>
      </c>
      <c r="AP15" s="1477" t="str">
        <f>IF(AP13="","",ROUND(AM14/6,0))</f>
        <v/>
      </c>
      <c r="AQ15" s="1477" t="str">
        <f>IF(AQ13="","",ROUND(AM14/6,0))</f>
        <v/>
      </c>
      <c r="AR15" s="1477" t="str">
        <f>IF(AR13="","",ROUND(AM14/6,0))</f>
        <v/>
      </c>
    </row>
    <row r="16" spans="1:44" x14ac:dyDescent="0.15">
      <c r="A16" s="2062"/>
      <c r="B16" s="724" t="s">
        <v>889</v>
      </c>
      <c r="C16" s="1475">
        <f>IFERROR(GETPIVOTDATA("合計 / " &amp; $B16,【ピボット】事業所収支!$A$3,"年月",C$1,"事業所",$A1)-C21,"")</f>
        <v>79253</v>
      </c>
      <c r="D16" s="1476">
        <f>IFERROR(GETPIVOTDATA("合計 / " &amp; $B16,【ピボット】事業所収支!$A$3,"年月",D$1,"事業所",$A1)-D21,"")</f>
        <v>765679</v>
      </c>
      <c r="E16" s="1476">
        <f>IFERROR(GETPIVOTDATA("合計 / " &amp; $B16,【ピボット】事業所収支!$A$3,"年月",E$1,"事業所",$A1)-E21,"")</f>
        <v>274142</v>
      </c>
      <c r="F16" s="1476">
        <f>IFERROR(GETPIVOTDATA("合計 / " &amp; $B16,【ピボット】事業所収支!$A$3,"年月",F$1,"事業所",$A1)-F21,"")</f>
        <v>285757</v>
      </c>
      <c r="G16" s="1476">
        <f>IFERROR(GETPIVOTDATA("合計 / " &amp; $B16,【ピボット】事業所収支!$A$3,"年月",G$1,"事業所",$A1)-G21,"")</f>
        <v>272310</v>
      </c>
      <c r="H16" s="1476">
        <f>IFERROR(GETPIVOTDATA("合計 / " &amp; $B16,【ピボット】事業所収支!$A$3,"年月",H$1,"事業所",$A1)-H21,"")</f>
        <v>282511</v>
      </c>
      <c r="I16" s="1476">
        <f>IFERROR(GETPIVOTDATA("合計 / " &amp; $B16,【ピボット】事業所収支!$A$3,"年月",I$1,"事業所",$A1)-I21,"")</f>
        <v>321780</v>
      </c>
      <c r="J16" s="1476">
        <f>IFERROR(GETPIVOTDATA("合計 / " &amp; $B16,【ピボット】事業所収支!$A$3,"年月",J$1,"事業所",$A1)-J21,"")</f>
        <v>499361</v>
      </c>
      <c r="K16" s="1476">
        <f>IFERROR(GETPIVOTDATA("合計 / " &amp; $B16,【ピボット】事業所収支!$A$3,"年月",K$1,"事業所",$A1)-K21,"")</f>
        <v>245348</v>
      </c>
      <c r="L16" s="1476">
        <f>IFERROR(GETPIVOTDATA("合計 / " &amp; $B16,【ピボット】事業所収支!$A$3,"年月",L$1,"事業所",$A1)-L21,"")</f>
        <v>229609</v>
      </c>
      <c r="M16" s="1476">
        <f>IFERROR(GETPIVOTDATA("合計 / " &amp; $B16,【ピボット】事業所収支!$A$3,"年月",M$1,"事業所",$A1)-M21,"")</f>
        <v>356726</v>
      </c>
      <c r="N16" s="1476">
        <f>IFERROR(GETPIVOTDATA("合計 / " &amp; $B16,【ピボット】事業所収支!$A$3,"年月",N$1,"事業所",$A1)-N21,"")</f>
        <v>321067</v>
      </c>
      <c r="O16" s="1476">
        <f>IFERROR(GETPIVOTDATA("合計 / " &amp; $B16,【ピボット】事業所収支!$A$3,"年月",O$1,"事業所",$A1)-O21,"")</f>
        <v>-70990.419093419929</v>
      </c>
      <c r="P16" s="1476">
        <f>IFERROR(GETPIVOTDATA("合計 / " &amp; $B16,【ピボット】事業所収支!$A$3,"年月",P$1,"事業所",$A1)-P21,"")</f>
        <v>992760</v>
      </c>
      <c r="Q16" s="1476">
        <f>IFERROR(GETPIVOTDATA("合計 / " &amp; $B16,【ピボット】事業所収支!$A$3,"年月",Q$1,"事業所",$A1)-Q21,"")</f>
        <v>236389</v>
      </c>
      <c r="R16" s="1476">
        <f>IFERROR(GETPIVOTDATA("合計 / " &amp; $B16,【ピボット】事業所収支!$A$3,"年月",R$1,"事業所",$A1)-R21,"")</f>
        <v>294105</v>
      </c>
      <c r="S16" s="1476">
        <f>IFERROR(GETPIVOTDATA("合計 / " &amp; $B16,【ピボット】事業所収支!$A$3,"年月",S$1,"事業所",$A1)-S21,"")</f>
        <v>272777</v>
      </c>
      <c r="T16" s="1476">
        <f>IFERROR(GETPIVOTDATA("合計 / " &amp; $B16,【ピボット】事業所収支!$A$3,"年月",T$1,"事業所",$A1)-T21,"")</f>
        <v>280036</v>
      </c>
      <c r="U16" s="1476">
        <f>IFERROR(GETPIVOTDATA("合計 / " &amp; $B16,【ピボット】事業所収支!$A$3,"年月",U$1,"事業所",$A1)-U21,"")</f>
        <v>241993</v>
      </c>
      <c r="V16" s="1476">
        <f>IFERROR(GETPIVOTDATA("合計 / " &amp; $B16,【ピボット】事業所収支!$A$3,"年月",V$1,"事業所",$A1)-V21,"")</f>
        <v>652932</v>
      </c>
      <c r="W16" s="1476">
        <f>IFERROR(GETPIVOTDATA("合計 / " &amp; $B16,【ピボット】事業所収支!$A$3,"年月",W$1,"事業所",$A1)-W21,"")</f>
        <v>258818</v>
      </c>
      <c r="X16" s="1476">
        <f>IFERROR(GETPIVOTDATA("合計 / " &amp; $B16,【ピボット】事業所収支!$A$3,"年月",X$1,"事業所",$A1)-X21,"")</f>
        <v>-24555</v>
      </c>
      <c r="Y16" s="1476">
        <f>IFERROR(GETPIVOTDATA("合計 / " &amp; $B16,【ピボット】事業所収支!$A$3,"年月",Y$1,"事業所",$A1)-Y21,"")</f>
        <v>379848</v>
      </c>
      <c r="Z16" s="1476">
        <f>IFERROR(GETPIVOTDATA("合計 / " &amp; $B16,【ピボット】事業所収支!$A$3,"年月",Z$1,"事業所",$A1)-Z21,"")</f>
        <v>319575</v>
      </c>
      <c r="AA16" s="1476">
        <f>IFERROR(GETPIVOTDATA("合計 / " &amp; $B16,【ピボット】事業所収支!$A$3,"年月",AA$1,"事業所",$A1)-AA21,"")</f>
        <v>791423</v>
      </c>
      <c r="AB16" s="1476">
        <f>IFERROR(GETPIVOTDATA("合計 / " &amp; $B16,【ピボット】事業所収支!$A$3,"年月",AB$1,"事業所",$A1)-AB21,"")</f>
        <v>343436</v>
      </c>
      <c r="AC16" s="1476">
        <f>IFERROR(GETPIVOTDATA("合計 / " &amp; $B16,【ピボット】事業所収支!$A$3,"年月",AC$1,"事業所",$A1)-AC21,"")</f>
        <v>382642</v>
      </c>
      <c r="AD16" s="1476">
        <f>IFERROR(GETPIVOTDATA("合計 / " &amp; $B16,【ピボット】事業所収支!$A$3,"年月",AD$1,"事業所",$A1)-AD21,"")</f>
        <v>383094</v>
      </c>
      <c r="AE16" s="1476">
        <f>IFERROR(GETPIVOTDATA("合計 / " &amp; $B16,【ピボット】事業所収支!$A$3,"年月",AE$1,"事業所",$A1)-AE21,"")</f>
        <v>343198</v>
      </c>
      <c r="AF16" s="1476" t="str">
        <f>IFERROR(GETPIVOTDATA("合計 / " &amp; $B16,【ピボット】事業所収支!$A$3,"年月",AF$1,"事業所",$A1)-AF21,"")</f>
        <v/>
      </c>
      <c r="AG16" s="1476" t="str">
        <f>IFERROR(GETPIVOTDATA("合計 / " &amp; $B16,【ピボット】事業所収支!$A$3,"年月",AG$1,"事業所",$A1)-AG21,"")</f>
        <v/>
      </c>
      <c r="AH16" s="1476" t="str">
        <f>IFERROR(GETPIVOTDATA("合計 / " &amp; $B16,【ピボット】事業所収支!$A$3,"年月",AH$1,"事業所",$A1)-AH21,"")</f>
        <v/>
      </c>
      <c r="AI16" s="1476" t="str">
        <f>IFERROR(GETPIVOTDATA("合計 / " &amp; $B16,【ピボット】事業所収支!$A$3,"年月",AI$1,"事業所",$A1)-AI21,"")</f>
        <v/>
      </c>
      <c r="AJ16" s="1476" t="str">
        <f>IFERROR(GETPIVOTDATA("合計 / " &amp; $B16,【ピボット】事業所収支!$A$3,"年月",AJ$1,"事業所",$A1)-AJ21,"")</f>
        <v/>
      </c>
      <c r="AK16" s="1476" t="str">
        <f>IFERROR(GETPIVOTDATA("合計 / " &amp; $B16,【ピボット】事業所収支!$A$3,"年月",AK$1,"事業所",$A1)-AK21,"")</f>
        <v/>
      </c>
      <c r="AL16" s="1476" t="str">
        <f>IFERROR(GETPIVOTDATA("合計 / " &amp; $B16,【ピボット】事業所収支!$A$3,"年月",AL$1,"事業所",$A1)-AL21,"")</f>
        <v/>
      </c>
      <c r="AM16" s="1476" t="str">
        <f>IFERROR(GETPIVOTDATA("合計 / " &amp; $B16,【ピボット】事業所収支!$A$3,"年月",AM$1,"事業所",$A1)-AM21,"")</f>
        <v/>
      </c>
      <c r="AN16" s="1476" t="str">
        <f>IFERROR(GETPIVOTDATA("合計 / " &amp; $B16,【ピボット】事業所収支!$A$3,"年月",AN$1,"事業所",$A1)-AN21,"")</f>
        <v/>
      </c>
      <c r="AO16" s="1476" t="str">
        <f>IFERROR(GETPIVOTDATA("合計 / " &amp; $B16,【ピボット】事業所収支!$A$3,"年月",AO$1,"事業所",$A1)-AO21,"")</f>
        <v/>
      </c>
      <c r="AP16" s="1476" t="str">
        <f>IFERROR(GETPIVOTDATA("合計 / " &amp; $B16,【ピボット】事業所収支!$A$3,"年月",AP$1,"事業所",$A1)-AP21,"")</f>
        <v/>
      </c>
      <c r="AQ16" s="1476" t="str">
        <f>IFERROR(GETPIVOTDATA("合計 / " &amp; $B16,【ピボット】事業所収支!$A$3,"年月",AQ$1,"事業所",$A1)-AQ21,"")</f>
        <v/>
      </c>
      <c r="AR16" s="1476" t="str">
        <f>IFERROR(GETPIVOTDATA("合計 / " &amp; $B16,【ピボット】事業所収支!$A$3,"年月",AR$1,"事業所",$A1)-AR21,"")</f>
        <v/>
      </c>
    </row>
    <row r="17" spans="1:44" x14ac:dyDescent="0.15">
      <c r="A17" s="2062"/>
      <c r="B17" s="724" t="s">
        <v>893</v>
      </c>
      <c r="C17" s="1475">
        <f>IFERROR(GETPIVOTDATA("合計 / " &amp; $B17,【ピボット】事業所収支!$A$3,"年月",C$1,"事業所",$A1),"")</f>
        <v>12480</v>
      </c>
      <c r="D17" s="1476">
        <f>IFERROR(GETPIVOTDATA("合計 / " &amp; $B17,【ピボット】事業所収支!$A$3,"年月",D$1,"事業所",$A1),"")</f>
        <v>16152</v>
      </c>
      <c r="E17" s="1476">
        <f>IFERROR(GETPIVOTDATA("合計 / " &amp; $B17,【ピボット】事業所収支!$A$3,"年月",E$1,"事業所",$A1),"")</f>
        <v>84226</v>
      </c>
      <c r="F17" s="1476">
        <f>IFERROR(GETPIVOTDATA("合計 / " &amp; $B17,【ピボット】事業所収支!$A$3,"年月",F$1,"事業所",$A1),"")</f>
        <v>22410</v>
      </c>
      <c r="G17" s="1476">
        <f>IFERROR(GETPIVOTDATA("合計 / " &amp; $B17,【ピボット】事業所収支!$A$3,"年月",G$1,"事業所",$A1),"")</f>
        <v>21502</v>
      </c>
      <c r="H17" s="1476">
        <f>IFERROR(GETPIVOTDATA("合計 / " &amp; $B17,【ピボット】事業所収支!$A$3,"年月",H$1,"事業所",$A1),"")</f>
        <v>8111</v>
      </c>
      <c r="I17" s="1476">
        <f>IFERROR(GETPIVOTDATA("合計 / " &amp; $B17,【ピボット】事業所収支!$A$3,"年月",I$1,"事業所",$A1),"")</f>
        <v>14634</v>
      </c>
      <c r="J17" s="1476">
        <f>IFERROR(GETPIVOTDATA("合計 / " &amp; $B17,【ピボット】事業所収支!$A$3,"年月",J$1,"事業所",$A1),"")</f>
        <v>19599</v>
      </c>
      <c r="K17" s="1476">
        <f>IFERROR(GETPIVOTDATA("合計 / " &amp; $B17,【ピボット】事業所収支!$A$3,"年月",K$1,"事業所",$A1),"")</f>
        <v>13744</v>
      </c>
      <c r="L17" s="1476">
        <f>IFERROR(GETPIVOTDATA("合計 / " &amp; $B17,【ピボット】事業所収支!$A$3,"年月",L$1,"事業所",$A1),"")</f>
        <v>30081</v>
      </c>
      <c r="M17" s="1476">
        <f>IFERROR(GETPIVOTDATA("合計 / " &amp; $B17,【ピボット】事業所収支!$A$3,"年月",M$1,"事業所",$A1),"")</f>
        <v>24390</v>
      </c>
      <c r="N17" s="1476">
        <f>IFERROR(GETPIVOTDATA("合計 / " &amp; $B17,【ピボット】事業所収支!$A$3,"年月",N$1,"事業所",$A1),"")</f>
        <v>51243</v>
      </c>
      <c r="O17" s="1476">
        <f>IFERROR(GETPIVOTDATA("合計 / " &amp; $B17,【ピボット】事業所収支!$A$3,"年月",O$1,"事業所",$A1),"")</f>
        <v>73335</v>
      </c>
      <c r="P17" s="1476">
        <f>IFERROR(GETPIVOTDATA("合計 / " &amp; $B17,【ピボット】事業所収支!$A$3,"年月",P$1,"事業所",$A1),"")</f>
        <v>58110</v>
      </c>
      <c r="Q17" s="1476">
        <f>IFERROR(GETPIVOTDATA("合計 / " &amp; $B17,【ピボット】事業所収支!$A$3,"年月",Q$1,"事業所",$A1),"")</f>
        <v>13705</v>
      </c>
      <c r="R17" s="1476">
        <f>IFERROR(GETPIVOTDATA("合計 / " &amp; $B17,【ピボット】事業所収支!$A$3,"年月",R$1,"事業所",$A1),"")</f>
        <v>69849</v>
      </c>
      <c r="S17" s="1476">
        <f>IFERROR(GETPIVOTDATA("合計 / " &amp; $B17,【ピボット】事業所収支!$A$3,"年月",S$1,"事業所",$A1),"")</f>
        <v>9792</v>
      </c>
      <c r="T17" s="1476">
        <f>IFERROR(GETPIVOTDATA("合計 / " &amp; $B17,【ピボット】事業所収支!$A$3,"年月",T$1,"事業所",$A1),"")</f>
        <v>9765</v>
      </c>
      <c r="U17" s="1476">
        <f>IFERROR(GETPIVOTDATA("合計 / " &amp; $B17,【ピボット】事業所収支!$A$3,"年月",U$1,"事業所",$A1),"")</f>
        <v>-14849</v>
      </c>
      <c r="V17" s="1476">
        <f>IFERROR(GETPIVOTDATA("合計 / " &amp; $B17,【ピボット】事業所収支!$A$3,"年月",V$1,"事業所",$A1),"")</f>
        <v>26707</v>
      </c>
      <c r="W17" s="1476">
        <f>IFERROR(GETPIVOTDATA("合計 / " &amp; $B17,【ピボット】事業所収支!$A$3,"年月",W$1,"事業所",$A1),"")</f>
        <v>30192</v>
      </c>
      <c r="X17" s="1476">
        <f>IFERROR(GETPIVOTDATA("合計 / " &amp; $B17,【ピボット】事業所収支!$A$3,"年月",X$1,"事業所",$A1),"")</f>
        <v>114366</v>
      </c>
      <c r="Y17" s="1476">
        <f>IFERROR(GETPIVOTDATA("合計 / " &amp; $B17,【ピボット】事業所収支!$A$3,"年月",Y$1,"事業所",$A1),"")</f>
        <v>57078</v>
      </c>
      <c r="Z17" s="1476">
        <f>IFERROR(GETPIVOTDATA("合計 / " &amp; $B17,【ピボット】事業所収支!$A$3,"年月",Z$1,"事業所",$A1),"")</f>
        <v>26550</v>
      </c>
      <c r="AA17" s="1476">
        <f>IFERROR(GETPIVOTDATA("合計 / " &amp; $B17,【ピボット】事業所収支!$A$3,"年月",AA$1,"事業所",$A1),"")</f>
        <v>36004</v>
      </c>
      <c r="AB17" s="1476">
        <f>IFERROR(GETPIVOTDATA("合計 / " &amp; $B17,【ピボット】事業所収支!$A$3,"年月",AB$1,"事業所",$A1),"")</f>
        <v>72624</v>
      </c>
      <c r="AC17" s="1476">
        <f>IFERROR(GETPIVOTDATA("合計 / " &amp; $B17,【ピボット】事業所収支!$A$3,"年月",AC$1,"事業所",$A1),"")</f>
        <v>49696</v>
      </c>
      <c r="AD17" s="1476">
        <f>IFERROR(GETPIVOTDATA("合計 / " &amp; $B17,【ピボット】事業所収支!$A$3,"年月",AD$1,"事業所",$A1),"")</f>
        <v>45927</v>
      </c>
      <c r="AE17" s="1476">
        <f>IFERROR(GETPIVOTDATA("合計 / " &amp; $B17,【ピボット】事業所収支!$A$3,"年月",AE$1,"事業所",$A1),"")</f>
        <v>49542</v>
      </c>
      <c r="AF17" s="1476" t="str">
        <f>IFERROR(GETPIVOTDATA("合計 / " &amp; $B17,【ピボット】事業所収支!$A$3,"年月",AF$1,"事業所",$A1),"")</f>
        <v/>
      </c>
      <c r="AG17" s="1476" t="str">
        <f>IFERROR(GETPIVOTDATA("合計 / " &amp; $B17,【ピボット】事業所収支!$A$3,"年月",AG$1,"事業所",$A1),"")</f>
        <v/>
      </c>
      <c r="AH17" s="1476" t="str">
        <f>IFERROR(GETPIVOTDATA("合計 / " &amp; $B17,【ピボット】事業所収支!$A$3,"年月",AH$1,"事業所",$A1),"")</f>
        <v/>
      </c>
      <c r="AI17" s="1476" t="str">
        <f>IFERROR(GETPIVOTDATA("合計 / " &amp; $B17,【ピボット】事業所収支!$A$3,"年月",AI$1,"事業所",$A1),"")</f>
        <v/>
      </c>
      <c r="AJ17" s="1476" t="str">
        <f>IFERROR(GETPIVOTDATA("合計 / " &amp; $B17,【ピボット】事業所収支!$A$3,"年月",AJ$1,"事業所",$A1),"")</f>
        <v/>
      </c>
      <c r="AK17" s="1476" t="str">
        <f>IFERROR(GETPIVOTDATA("合計 / " &amp; $B17,【ピボット】事業所収支!$A$3,"年月",AK$1,"事業所",$A1),"")</f>
        <v/>
      </c>
      <c r="AL17" s="1476" t="str">
        <f>IFERROR(GETPIVOTDATA("合計 / " &amp; $B17,【ピボット】事業所収支!$A$3,"年月",AL$1,"事業所",$A1),"")</f>
        <v/>
      </c>
      <c r="AM17" s="1476" t="str">
        <f>IFERROR(GETPIVOTDATA("合計 / " &amp; $B17,【ピボット】事業所収支!$A$3,"年月",AM$1,"事業所",$A1),"")</f>
        <v/>
      </c>
      <c r="AN17" s="1476" t="str">
        <f>IFERROR(GETPIVOTDATA("合計 / " &amp; $B17,【ピボット】事業所収支!$A$3,"年月",AN$1,"事業所",$A1),"")</f>
        <v/>
      </c>
      <c r="AO17" s="1476" t="str">
        <f>IFERROR(GETPIVOTDATA("合計 / " &amp; $B17,【ピボット】事業所収支!$A$3,"年月",AO$1,"事業所",$A1),"")</f>
        <v/>
      </c>
      <c r="AP17" s="1476" t="str">
        <f>IFERROR(GETPIVOTDATA("合計 / " &amp; $B17,【ピボット】事業所収支!$A$3,"年月",AP$1,"事業所",$A1),"")</f>
        <v/>
      </c>
      <c r="AQ17" s="1476" t="str">
        <f>IFERROR(GETPIVOTDATA("合計 / " &amp; $B17,【ピボット】事業所収支!$A$3,"年月",AQ$1,"事業所",$A1),"")</f>
        <v/>
      </c>
      <c r="AR17" s="1476" t="str">
        <f>IFERROR(GETPIVOTDATA("合計 / " &amp; $B17,【ピボット】事業所収支!$A$3,"年月",AR$1,"事業所",$A1),"")</f>
        <v/>
      </c>
    </row>
    <row r="18" spans="1:44" x14ac:dyDescent="0.15">
      <c r="A18" s="2062"/>
      <c r="B18" s="724" t="s">
        <v>892</v>
      </c>
      <c r="C18" s="1475">
        <f>IF(SUM(C13,C16:C17)=0,"",SUM(C13,C16:C17))</f>
        <v>1966506</v>
      </c>
      <c r="D18" s="1476">
        <f t="shared" ref="D18:Z18" si="14">IF(SUM(D13,D16:D17)=0,"",SUM(D13,D16:D17))</f>
        <v>2670240</v>
      </c>
      <c r="E18" s="1476">
        <f t="shared" si="14"/>
        <v>2224289</v>
      </c>
      <c r="F18" s="1476">
        <f t="shared" si="14"/>
        <v>2299056</v>
      </c>
      <c r="G18" s="1476">
        <f t="shared" si="14"/>
        <v>2134752</v>
      </c>
      <c r="H18" s="1476">
        <f t="shared" si="14"/>
        <v>2133957</v>
      </c>
      <c r="I18" s="1476">
        <f t="shared" si="14"/>
        <v>2257366</v>
      </c>
      <c r="J18" s="1476">
        <f>IF(SUM(J13,J16:J17)=0,"",SUM(J13,J16:J17))</f>
        <v>2543602</v>
      </c>
      <c r="K18" s="1476">
        <f>IF(SUM(K13:K14,K16:K17)=0,"",SUM(K13:K14,K16:K17))</f>
        <v>2454077</v>
      </c>
      <c r="L18" s="1476">
        <f t="shared" si="14"/>
        <v>2152513</v>
      </c>
      <c r="M18" s="1476">
        <f t="shared" si="14"/>
        <v>2361509</v>
      </c>
      <c r="N18" s="1476">
        <f t="shared" si="14"/>
        <v>2360448</v>
      </c>
      <c r="O18" s="1476">
        <f t="shared" si="14"/>
        <v>1978376.58090658</v>
      </c>
      <c r="P18" s="1476">
        <f t="shared" si="14"/>
        <v>2625916</v>
      </c>
      <c r="Q18" s="1476">
        <f t="shared" si="14"/>
        <v>1766175</v>
      </c>
      <c r="R18" s="1476">
        <f t="shared" si="14"/>
        <v>1868005</v>
      </c>
      <c r="S18" s="1476">
        <f t="shared" si="14"/>
        <v>1887742</v>
      </c>
      <c r="T18" s="1476">
        <f t="shared" si="14"/>
        <v>1893516</v>
      </c>
      <c r="U18" s="1476">
        <f t="shared" si="14"/>
        <v>1901921</v>
      </c>
      <c r="V18" s="1476">
        <f t="shared" si="14"/>
        <v>2414469</v>
      </c>
      <c r="W18" s="1476">
        <f t="shared" si="14"/>
        <v>2235594</v>
      </c>
      <c r="X18" s="1476">
        <f t="shared" si="14"/>
        <v>2027847</v>
      </c>
      <c r="Y18" s="1476">
        <f t="shared" si="14"/>
        <v>2910343</v>
      </c>
      <c r="Z18" s="1476">
        <f t="shared" si="14"/>
        <v>2910119</v>
      </c>
      <c r="AA18" s="1476">
        <f t="shared" ref="AA18:AF18" si="15">IF(SUM(AA13,AA16:AA17)=0,"",SUM(AA13,AA16:AA17))</f>
        <v>3367254</v>
      </c>
      <c r="AB18" s="1476">
        <f t="shared" si="15"/>
        <v>3095020</v>
      </c>
      <c r="AC18" s="1476">
        <f t="shared" si="15"/>
        <v>3252029</v>
      </c>
      <c r="AD18" s="1476">
        <f t="shared" si="15"/>
        <v>3181129</v>
      </c>
      <c r="AE18" s="1476">
        <f t="shared" si="15"/>
        <v>2699280</v>
      </c>
      <c r="AF18" s="1476" t="str">
        <f t="shared" si="15"/>
        <v/>
      </c>
      <c r="AG18" s="1476" t="str">
        <f t="shared" ref="AG18:AR18" si="16">IF(SUM(AG13,AG16:AG17)=0,"",SUM(AG13,AG16:AG17))</f>
        <v/>
      </c>
      <c r="AH18" s="1476" t="str">
        <f t="shared" si="16"/>
        <v/>
      </c>
      <c r="AI18" s="1476" t="str">
        <f t="shared" si="16"/>
        <v/>
      </c>
      <c r="AJ18" s="1476" t="str">
        <f t="shared" si="16"/>
        <v/>
      </c>
      <c r="AK18" s="1476" t="str">
        <f t="shared" si="16"/>
        <v/>
      </c>
      <c r="AL18" s="1476" t="str">
        <f t="shared" si="16"/>
        <v/>
      </c>
      <c r="AM18" s="1476" t="str">
        <f t="shared" si="16"/>
        <v/>
      </c>
      <c r="AN18" s="1476" t="str">
        <f t="shared" si="16"/>
        <v/>
      </c>
      <c r="AO18" s="1476" t="str">
        <f t="shared" si="16"/>
        <v/>
      </c>
      <c r="AP18" s="1476" t="str">
        <f t="shared" si="16"/>
        <v/>
      </c>
      <c r="AQ18" s="1476" t="str">
        <f t="shared" si="16"/>
        <v/>
      </c>
      <c r="AR18" s="1476" t="str">
        <f t="shared" si="16"/>
        <v/>
      </c>
    </row>
    <row r="19" spans="1:44" x14ac:dyDescent="0.15">
      <c r="A19" s="2062"/>
      <c r="B19" s="724" t="s">
        <v>891</v>
      </c>
      <c r="C19" s="1475">
        <f>IFERROR(GETPIVOTDATA("合計 / " &amp; $B19,【ピボット】事業所収支!$A$3,"年月",C$1,"事業所",$A1),"")</f>
        <v>3180091</v>
      </c>
      <c r="D19" s="1476">
        <f>IFERROR(GETPIVOTDATA("合計 / " &amp; $B19,【ピボット】事業所収支!$A$3,"年月",D$1,"事業所",$A1),"")</f>
        <v>3310378</v>
      </c>
      <c r="E19" s="1476">
        <f>IFERROR(GETPIVOTDATA("合計 / " &amp; $B19,【ピボット】事業所収支!$A$3,"年月",E$1,"事業所",$A1),"")</f>
        <v>3132119</v>
      </c>
      <c r="F19" s="1476">
        <f>IFERROR(GETPIVOTDATA("合計 / " &amp; $B19,【ピボット】事業所収支!$A$3,"年月",F$1,"事業所",$A1),"")</f>
        <v>3371587</v>
      </c>
      <c r="G19" s="1476">
        <f>IFERROR(GETPIVOTDATA("合計 / " &amp; $B19,【ピボット】事業所収支!$A$3,"年月",G$1,"事業所",$A1),"")</f>
        <v>3164348</v>
      </c>
      <c r="H19" s="1476">
        <f>IFERROR(GETPIVOTDATA("合計 / " &amp; $B19,【ピボット】事業所収支!$A$3,"年月",H$1,"事業所",$A1),"")</f>
        <v>3280321</v>
      </c>
      <c r="I19" s="1476">
        <f>IFERROR(GETPIVOTDATA("合計 / " &amp; $B19,【ピボット】事業所収支!$A$3,"年月",I$1,"事業所",$A1),"")</f>
        <v>3117534</v>
      </c>
      <c r="J19" s="1476">
        <f>IFERROR(GETPIVOTDATA("合計 / " &amp; $B19,【ピボット】事業所収支!$A$3,"年月",J$1,"事業所",$A1),"")</f>
        <v>3419849</v>
      </c>
      <c r="K19" s="1476">
        <f>IFERROR(GETPIVOTDATA("合計 / " &amp; $B19,【ピボット】事業所収支!$A$3,"年月",K$1,"事業所",$A1),"")</f>
        <v>3491027</v>
      </c>
      <c r="L19" s="1476">
        <f>IFERROR(GETPIVOTDATA("合計 / " &amp; $B19,【ピボット】事業所収支!$A$3,"年月",L$1,"事業所",$A1),"")</f>
        <v>3534345</v>
      </c>
      <c r="M19" s="1476">
        <f>IFERROR(GETPIVOTDATA("合計 / " &amp; $B19,【ピボット】事業所収支!$A$3,"年月",M$1,"事業所",$A1),"")</f>
        <v>3565236</v>
      </c>
      <c r="N19" s="1476">
        <f>IFERROR(GETPIVOTDATA("合計 / " &amp; $B19,【ピボット】事業所収支!$A$3,"年月",N$1,"事業所",$A1),"")</f>
        <v>3514473</v>
      </c>
      <c r="O19" s="1476">
        <f>IFERROR(GETPIVOTDATA("合計 / " &amp; $B19,【ピボット】事業所収支!$A$3,"年月",O$1,"事業所",$A1),"")</f>
        <v>3446593</v>
      </c>
      <c r="P19" s="1476">
        <f>IFERROR(GETPIVOTDATA("合計 / " &amp; $B19,【ピボット】事業所収支!$A$3,"年月",P$1,"事業所",$A1),"")</f>
        <v>3471506</v>
      </c>
      <c r="Q19" s="1476">
        <f>IFERROR(GETPIVOTDATA("合計 / " &amp; $B19,【ピボット】事業所収支!$A$3,"年月",Q$1,"事業所",$A1),"")</f>
        <v>3312925</v>
      </c>
      <c r="R19" s="1476">
        <f>IFERROR(GETPIVOTDATA("合計 / " &amp; $B19,【ピボット】事業所収支!$A$3,"年月",R$1,"事業所",$A1),"")</f>
        <v>3641116</v>
      </c>
      <c r="S19" s="1476">
        <f>IFERROR(GETPIVOTDATA("合計 / " &amp; $B19,【ピボット】事業所収支!$A$3,"年月",S$1,"事業所",$A1),"")</f>
        <v>3701711</v>
      </c>
      <c r="T19" s="1476">
        <f>IFERROR(GETPIVOTDATA("合計 / " &amp; $B19,【ピボット】事業所収支!$A$3,"年月",T$1,"事業所",$A1),"")</f>
        <v>3683627</v>
      </c>
      <c r="U19" s="1476">
        <f>IFERROR(GETPIVOTDATA("合計 / " &amp; $B19,【ピボット】事業所収支!$A$3,"年月",U$1,"事業所",$A1),"")</f>
        <v>3691486</v>
      </c>
      <c r="V19" s="1476">
        <f>IFERROR(GETPIVOTDATA("合計 / " &amp; $B19,【ピボット】事業所収支!$A$3,"年月",V$1,"事業所",$A1),"")</f>
        <v>3888723</v>
      </c>
      <c r="W19" s="1476">
        <f>IFERROR(GETPIVOTDATA("合計 / " &amp; $B19,【ピボット】事業所収支!$A$3,"年月",W$1,"事業所",$A1),"")</f>
        <v>3352850</v>
      </c>
      <c r="X19" s="1476">
        <f>IFERROR(GETPIVOTDATA("合計 / " &amp; $B19,【ピボット】事業所収支!$A$3,"年月",X$1,"事業所",$A1),"")</f>
        <v>3676096</v>
      </c>
      <c r="Y19" s="1476">
        <f>IFERROR(GETPIVOTDATA("合計 / " &amp; $B19,【ピボット】事業所収支!$A$3,"年月",Y$1,"事業所",$A1),"")</f>
        <v>3940179</v>
      </c>
      <c r="Z19" s="1476">
        <f>IFERROR(GETPIVOTDATA("合計 / " &amp; $B19,【ピボット】事業所収支!$A$3,"年月",Z$1,"事業所",$A1),"")</f>
        <v>3988130</v>
      </c>
      <c r="AA19" s="1476">
        <f>IFERROR(GETPIVOTDATA("合計 / " &amp; $B19,【ピボット】事業所収支!$A$3,"年月",AA$1,"事業所",$A1),"")</f>
        <v>4039207</v>
      </c>
      <c r="AB19" s="1476">
        <f>IFERROR(GETPIVOTDATA("合計 / " &amp; $B19,【ピボット】事業所収支!$A$3,"年月",AB$1,"事業所",$A1),"")</f>
        <v>4011359</v>
      </c>
      <c r="AC19" s="1476">
        <f>IFERROR(GETPIVOTDATA("合計 / " &amp; $B19,【ピボット】事業所収支!$A$3,"年月",AC$1,"事業所",$A1),"")</f>
        <v>3725142</v>
      </c>
      <c r="AD19" s="1476">
        <f>IFERROR(GETPIVOTDATA("合計 / " &amp; $B19,【ピボット】事業所収支!$A$3,"年月",AD$1,"事業所",$A1),"")</f>
        <v>3994054</v>
      </c>
      <c r="AE19" s="1476">
        <f>IFERROR(GETPIVOTDATA("合計 / " &amp; $B19,【ピボット】事業所収支!$A$3,"年月",AE$1,"事業所",$A1),"")</f>
        <v>3892391</v>
      </c>
      <c r="AF19" s="1476" t="str">
        <f>IFERROR(GETPIVOTDATA("合計 / " &amp; $B19,【ピボット】事業所収支!$A$3,"年月",AF$1,"事業所",$A1),"")</f>
        <v/>
      </c>
      <c r="AG19" s="1476" t="str">
        <f>IFERROR(GETPIVOTDATA("合計 / " &amp; $B19,【ピボット】事業所収支!$A$3,"年月",AG$1,"事業所",$A1),"")</f>
        <v/>
      </c>
      <c r="AH19" s="1476" t="str">
        <f>IFERROR(GETPIVOTDATA("合計 / " &amp; $B19,【ピボット】事業所収支!$A$3,"年月",AH$1,"事業所",$A1),"")</f>
        <v/>
      </c>
      <c r="AI19" s="1476" t="str">
        <f>IFERROR(GETPIVOTDATA("合計 / " &amp; $B19,【ピボット】事業所収支!$A$3,"年月",AI$1,"事業所",$A1),"")</f>
        <v/>
      </c>
      <c r="AJ19" s="1476" t="str">
        <f>IFERROR(GETPIVOTDATA("合計 / " &amp; $B19,【ピボット】事業所収支!$A$3,"年月",AJ$1,"事業所",$A1),"")</f>
        <v/>
      </c>
      <c r="AK19" s="1476" t="str">
        <f>IFERROR(GETPIVOTDATA("合計 / " &amp; $B19,【ピボット】事業所収支!$A$3,"年月",AK$1,"事業所",$A1),"")</f>
        <v/>
      </c>
      <c r="AL19" s="1476" t="str">
        <f>IFERROR(GETPIVOTDATA("合計 / " &amp; $B19,【ピボット】事業所収支!$A$3,"年月",AL$1,"事業所",$A1),"")</f>
        <v/>
      </c>
      <c r="AM19" s="1476" t="str">
        <f>IFERROR(GETPIVOTDATA("合計 / " &amp; $B19,【ピボット】事業所収支!$A$3,"年月",AM$1,"事業所",$A1),"")</f>
        <v/>
      </c>
      <c r="AN19" s="1476" t="str">
        <f>IFERROR(GETPIVOTDATA("合計 / " &amp; $B19,【ピボット】事業所収支!$A$3,"年月",AN$1,"事業所",$A1),"")</f>
        <v/>
      </c>
      <c r="AO19" s="1476" t="str">
        <f>IFERROR(GETPIVOTDATA("合計 / " &amp; $B19,【ピボット】事業所収支!$A$3,"年月",AO$1,"事業所",$A1),"")</f>
        <v/>
      </c>
      <c r="AP19" s="1476" t="str">
        <f>IFERROR(GETPIVOTDATA("合計 / " &amp; $B19,【ピボット】事業所収支!$A$3,"年月",AP$1,"事業所",$A1),"")</f>
        <v/>
      </c>
      <c r="AQ19" s="1476" t="str">
        <f>IFERROR(GETPIVOTDATA("合計 / " &amp; $B19,【ピボット】事業所収支!$A$3,"年月",AQ$1,"事業所",$A1),"")</f>
        <v/>
      </c>
      <c r="AR19" s="1476" t="str">
        <f>IFERROR(GETPIVOTDATA("合計 / " &amp; $B19,【ピボット】事業所収支!$A$3,"年月",AR$1,"事業所",$A1),"")</f>
        <v/>
      </c>
    </row>
    <row r="20" spans="1:44" x14ac:dyDescent="0.15">
      <c r="A20" s="2063"/>
      <c r="B20" s="725" t="s">
        <v>890</v>
      </c>
      <c r="C20" s="720">
        <v>0</v>
      </c>
      <c r="D20" s="717">
        <v>0</v>
      </c>
      <c r="E20" s="717">
        <v>0</v>
      </c>
      <c r="F20" s="717">
        <v>0</v>
      </c>
      <c r="G20" s="717">
        <v>0</v>
      </c>
      <c r="H20" s="717">
        <v>0</v>
      </c>
      <c r="I20" s="717">
        <v>0</v>
      </c>
      <c r="J20" s="717">
        <v>0</v>
      </c>
      <c r="K20" s="717">
        <v>0</v>
      </c>
      <c r="L20" s="717">
        <v>0</v>
      </c>
      <c r="M20" s="717">
        <v>0</v>
      </c>
      <c r="N20" s="717">
        <v>0</v>
      </c>
      <c r="O20" s="717">
        <v>0</v>
      </c>
      <c r="P20" s="717">
        <v>0</v>
      </c>
      <c r="Q20" s="717">
        <v>0</v>
      </c>
      <c r="R20" s="717">
        <v>0</v>
      </c>
      <c r="S20" s="717">
        <v>0</v>
      </c>
      <c r="T20" s="717">
        <v>0</v>
      </c>
      <c r="U20" s="717">
        <v>0</v>
      </c>
      <c r="V20" s="717">
        <v>0</v>
      </c>
      <c r="W20" s="717">
        <v>0</v>
      </c>
      <c r="X20" s="717">
        <v>0</v>
      </c>
      <c r="Y20" s="717">
        <v>0</v>
      </c>
      <c r="Z20" s="717">
        <v>0</v>
      </c>
      <c r="AA20" s="717">
        <v>0</v>
      </c>
      <c r="AB20" s="717">
        <v>0</v>
      </c>
      <c r="AC20" s="717">
        <v>0</v>
      </c>
      <c r="AD20" s="717">
        <v>0</v>
      </c>
      <c r="AE20" s="717">
        <v>0</v>
      </c>
      <c r="AF20" s="717"/>
      <c r="AG20" s="717"/>
      <c r="AH20" s="717"/>
      <c r="AI20" s="717"/>
      <c r="AJ20" s="717"/>
      <c r="AK20" s="717"/>
      <c r="AL20" s="717"/>
      <c r="AM20" s="717"/>
      <c r="AN20" s="717"/>
      <c r="AO20" s="717"/>
      <c r="AP20" s="717"/>
      <c r="AQ20" s="717"/>
      <c r="AR20" s="717"/>
    </row>
    <row r="21" spans="1:44" x14ac:dyDescent="0.15">
      <c r="A21" s="2063"/>
      <c r="B21" s="725" t="s">
        <v>889</v>
      </c>
      <c r="C21" s="1478">
        <f>IF(C19="","",SUMIFS(パート法定福利費処遇改善計算!$F:$F,パート法定福利費処遇改善計算!$A:$A,C$1,パート法定福利費処遇改善計算!$B:$B,$A1))</f>
        <v>0</v>
      </c>
      <c r="D21" s="1479">
        <f>IF(D19="","",SUMIFS(パート法定福利費処遇改善計算!$F:$F,パート法定福利費処遇改善計算!$A:$A,D$1,パート法定福利費処遇改善計算!$B:$B,$A1))</f>
        <v>0</v>
      </c>
      <c r="E21" s="1479">
        <f>IF(E19="","",SUMIFS(パート法定福利費処遇改善計算!$F:$F,パート法定福利費処遇改善計算!$A:$A,E$1,パート法定福利費処遇改善計算!$B:$B,$A1))</f>
        <v>0</v>
      </c>
      <c r="F21" s="1479">
        <f>IF(F19="","",SUMIFS(パート法定福利費処遇改善計算!$F:$F,パート法定福利費処遇改善計算!$A:$A,F$1,パート法定福利費処遇改善計算!$B:$B,$A1))</f>
        <v>0</v>
      </c>
      <c r="G21" s="1479">
        <f>IF(G19="","",SUMIFS(パート法定福利費処遇改善計算!$F:$F,パート法定福利費処遇改善計算!$A:$A,G$1,パート法定福利費処遇改善計算!$B:$B,$A1))</f>
        <v>22898</v>
      </c>
      <c r="H21" s="1479">
        <f>IF(H19="","",SUMIFS(パート法定福利費処遇改善計算!$F:$F,パート法定福利費処遇改善計算!$A:$A,H$1,パート法定福利費処遇改善計算!$B:$B,$A1))</f>
        <v>0</v>
      </c>
      <c r="I21" s="1479">
        <f>IF(I19="","",SUMIFS(パート法定福利費処遇改善計算!$F:$F,パート法定福利費処遇改善計算!$A:$A,I$1,パート法定福利費処遇改善計算!$B:$B,$A1))</f>
        <v>0</v>
      </c>
      <c r="J21" s="1479">
        <f>IF(J19="","",SUMIFS(パート法定福利費処遇改善計算!$F:$F,パート法定福利費処遇改善計算!$A:$A,J$1,パート法定福利費処遇改善計算!$B:$B,$A1))</f>
        <v>0</v>
      </c>
      <c r="K21" s="1479">
        <f>IF(K19="","",SUMIFS(パート法定福利費処遇改善計算!$F:$F,パート法定福利費処遇改善計算!$A:$A,K$1,パート法定福利費処遇改善計算!$B:$B,$A1))</f>
        <v>0</v>
      </c>
      <c r="L21" s="1479">
        <f>IF(L19="","",SUMIFS(パート法定福利費処遇改善計算!$F:$F,パート法定福利費処遇改善計算!$A:$A,L$1,パート法定福利費処遇改善計算!$B:$B,$A1))</f>
        <v>0</v>
      </c>
      <c r="M21" s="1479">
        <f>IF(M19="","",SUMIFS(パート法定福利費処遇改善計算!$F:$F,パート法定福利費処遇改善計算!$A:$A,M$1,パート法定福利費処遇改善計算!$B:$B,$A1))</f>
        <v>0</v>
      </c>
      <c r="N21" s="1479">
        <f>IF(N19="","",SUMIFS(パート法定福利費処遇改善計算!$F:$F,パート法定福利費処遇改善計算!$A:$A,N$1,パート法定福利費処遇改善計算!$B:$B,$A1))</f>
        <v>0</v>
      </c>
      <c r="O21" s="1479">
        <f>IF(O19="","",SUMIFS(パート法定福利費処遇改善計算!$F:$F,パート法定福利費処遇改善計算!$A:$A,O$1,パート法定福利費処遇改善計算!$B:$B,$A1))</f>
        <v>20569</v>
      </c>
      <c r="P21" s="1479">
        <f>IF(P19="","",SUMIFS(パート法定福利費処遇改善計算!$F:$F,パート法定福利費処遇改善計算!$A:$A,P$1,パート法定福利費処遇改善計算!$B:$B,$A1))</f>
        <v>20576</v>
      </c>
      <c r="Q21" s="1479">
        <f>IF(Q19="","",SUMIFS(パート法定福利費処遇改善計算!$F:$F,パート法定福利費処遇改善計算!$A:$A,Q$1,パート法定福利費処遇改善計算!$B:$B,$A1))</f>
        <v>20634</v>
      </c>
      <c r="R21" s="1479">
        <f>IF(R19="","",SUMIFS(パート法定福利費処遇改善計算!$F:$F,パート法定福利費処遇改善計算!$A:$A,R$1,パート法定福利費処遇改善計算!$B:$B,$A1))</f>
        <v>20601</v>
      </c>
      <c r="S21" s="1479">
        <f>IF(S19="","",SUMIFS(パート法定福利費処遇改善計算!$F:$F,パート法定福利費処遇改善計算!$A:$A,S$1,パート法定福利費処遇改善計算!$B:$B,$A1))</f>
        <v>20601</v>
      </c>
      <c r="T21" s="1479">
        <f>IF(T19="","",SUMIFS(パート法定福利費処遇改善計算!$F:$F,パート法定福利費処遇改善計算!$A:$A,T$1,パート法定福利費処遇改善計算!$B:$B,$A1))</f>
        <v>20508</v>
      </c>
      <c r="U21" s="1479">
        <f>IF(U19="","",SUMIFS(パート法定福利費処遇改善計算!$F:$F,パート法定福利費処遇改善計算!$A:$A,U$1,パート法定福利費処遇改善計算!$B:$B,$A1))</f>
        <v>20539</v>
      </c>
      <c r="V21" s="1479">
        <f>IF(V19="","",SUMIFS(パート法定福利費処遇改善計算!$F:$F,パート法定福利費処遇改善計算!$A:$A,V$1,パート法定福利費処遇改善計算!$B:$B,$A1))</f>
        <v>20605</v>
      </c>
      <c r="W21" s="1479">
        <f>IF(W19="","",SUMIFS(パート法定福利費処遇改善計算!$F:$F,パート法定福利費処遇改善計算!$A:$A,W$1,パート法定福利費処遇改善計算!$B:$B,$A1))</f>
        <v>24372</v>
      </c>
      <c r="X21" s="1479">
        <f>IF(X19="","",SUMIFS(パート法定福利費処遇改善計算!$F:$F,パート法定福利費処遇改善計算!$A:$A,X$1,パート法定福利費処遇改善計算!$B:$B,$A1))</f>
        <v>24555</v>
      </c>
      <c r="Y21" s="1479">
        <f>IF(Y19="","",SUMIFS(パート法定福利費処遇改善計算!$F:$F,パート法定福利費処遇改善計算!$A:$A,Y$1,パート法定福利費処遇改善計算!$B:$B,$A1))</f>
        <v>0</v>
      </c>
      <c r="Z21" s="1479">
        <f>IF(Z19="","",SUMIFS(パート法定福利費処遇改善計算!$F:$F,パート法定福利費処遇改善計算!$A:$A,Z$1,パート法定福利費処遇改善計算!$B:$B,$A1))</f>
        <v>0</v>
      </c>
      <c r="AA21" s="1479">
        <f>IF(AA19="","",SUMIFS(パート法定福利費処遇改善計算!$F:$F,パート法定福利費処遇改善計算!$A:$A,AA$1,パート法定福利費処遇改善計算!$B:$B,$A1))</f>
        <v>0</v>
      </c>
      <c r="AB21" s="1479">
        <f>IF(AB19="","",SUMIFS(パート法定福利費処遇改善計算!$F:$F,パート法定福利費処遇改善計算!$A:$A,AB$1,パート法定福利費処遇改善計算!$B:$B,$A1))</f>
        <v>0</v>
      </c>
      <c r="AC21" s="1479">
        <f>IF(AC19="","",SUMIFS(パート法定福利費処遇改善計算!$F:$F,パート法定福利費処遇改善計算!$A:$A,AC$1,パート法定福利費処遇改善計算!$B:$B,$A1))</f>
        <v>0</v>
      </c>
      <c r="AD21" s="1479">
        <f>IF(AD19="","",SUMIFS(パート法定福利費処遇改善計算!$F:$F,パート法定福利費処遇改善計算!$A:$A,AD$1,パート法定福利費処遇改善計算!$B:$B,$A1))</f>
        <v>0</v>
      </c>
      <c r="AE21" s="1479">
        <f>IF(AE19="","",SUMIFS(パート法定福利費処遇改善計算!$F:$F,パート法定福利費処遇改善計算!$A:$A,AE$1,パート法定福利費処遇改善計算!$B:$B,$A1))</f>
        <v>0</v>
      </c>
      <c r="AF21" s="1479" t="str">
        <f>IF(AF19="","",SUMIFS(パート法定福利費処遇改善計算!$F:$F,パート法定福利費処遇改善計算!$A:$A,AF$1,パート法定福利費処遇改善計算!$B:$B,$A1))</f>
        <v/>
      </c>
      <c r="AG21" s="1479" t="str">
        <f>IF(AG19="","",SUMIFS(パート法定福利費処遇改善計算!$F:$F,パート法定福利費処遇改善計算!$A:$A,AG$1,パート法定福利費処遇改善計算!$B:$B,$A1))</f>
        <v/>
      </c>
      <c r="AH21" s="1479" t="str">
        <f>IF(AH19="","",SUMIFS(パート法定福利費処遇改善計算!$F:$F,パート法定福利費処遇改善計算!$A:$A,AH$1,パート法定福利費処遇改善計算!$B:$B,$A1))</f>
        <v/>
      </c>
      <c r="AI21" s="1479" t="str">
        <f>IF(AI19="","",SUMIFS(パート法定福利費処遇改善計算!$F:$F,パート法定福利費処遇改善計算!$A:$A,AI$1,パート法定福利費処遇改善計算!$B:$B,$A1))</f>
        <v/>
      </c>
      <c r="AJ21" s="1479" t="str">
        <f>IF(AJ19="","",SUMIFS(パート法定福利費処遇改善計算!$F:$F,パート法定福利費処遇改善計算!$A:$A,AJ$1,パート法定福利費処遇改善計算!$B:$B,$A1))</f>
        <v/>
      </c>
      <c r="AK21" s="1479" t="str">
        <f>IF(AK19="","",SUMIFS(パート法定福利費処遇改善計算!$F:$F,パート法定福利費処遇改善計算!$A:$A,AK$1,パート法定福利費処遇改善計算!$B:$B,$A1))</f>
        <v/>
      </c>
      <c r="AL21" s="1479" t="str">
        <f>IF(AL19="","",SUMIFS(パート法定福利費処遇改善計算!$F:$F,パート法定福利費処遇改善計算!$A:$A,AL$1,パート法定福利費処遇改善計算!$B:$B,$A1))</f>
        <v/>
      </c>
      <c r="AM21" s="1479" t="str">
        <f>IF(AM19="","",SUMIFS(パート法定福利費処遇改善計算!$F:$F,パート法定福利費処遇改善計算!$A:$A,AM$1,パート法定福利費処遇改善計算!$B:$B,$A1))</f>
        <v/>
      </c>
      <c r="AN21" s="1479" t="str">
        <f>IF(AN19="","",SUMIFS(パート法定福利費処遇改善計算!$F:$F,パート法定福利費処遇改善計算!$A:$A,AN$1,パート法定福利費処遇改善計算!$B:$B,$A1))</f>
        <v/>
      </c>
      <c r="AO21" s="1479" t="str">
        <f>IF(AO19="","",SUMIFS(パート法定福利費処遇改善計算!$F:$F,パート法定福利費処遇改善計算!$A:$A,AO$1,パート法定福利費処遇改善計算!$B:$B,$A1))</f>
        <v/>
      </c>
      <c r="AP21" s="1479" t="str">
        <f>IF(AP19="","",SUMIFS(パート法定福利費処遇改善計算!$F:$F,パート法定福利費処遇改善計算!$A:$A,AP$1,パート法定福利費処遇改善計算!$B:$B,$A1))</f>
        <v/>
      </c>
      <c r="AQ21" s="1479" t="str">
        <f>IF(AQ19="","",SUMIFS(パート法定福利費処遇改善計算!$F:$F,パート法定福利費処遇改善計算!$A:$A,AQ$1,パート法定福利費処遇改善計算!$B:$B,$A1))</f>
        <v/>
      </c>
      <c r="AR21" s="1479" t="str">
        <f>IF(AR19="","",SUMIFS(パート法定福利費処遇改善計算!$F:$F,パート法定福利費処遇改善計算!$A:$A,AR$1,パート法定福利費処遇改善計算!$B:$B,$A1))</f>
        <v/>
      </c>
    </row>
    <row r="22" spans="1:44" x14ac:dyDescent="0.15">
      <c r="A22" s="2063"/>
      <c r="B22" s="725" t="s">
        <v>888</v>
      </c>
      <c r="C22" s="1478">
        <f>IF(SUM(C19:C21)=0,"",SUM(C19:C21))</f>
        <v>3180091</v>
      </c>
      <c r="D22" s="1479">
        <f t="shared" ref="D22:Z22" si="17">IF(SUM(D19:D21)=0,"",SUM(D19:D21))</f>
        <v>3310378</v>
      </c>
      <c r="E22" s="1479">
        <f t="shared" si="17"/>
        <v>3132119</v>
      </c>
      <c r="F22" s="1479">
        <f t="shared" si="17"/>
        <v>3371587</v>
      </c>
      <c r="G22" s="1479">
        <f t="shared" si="17"/>
        <v>3187246</v>
      </c>
      <c r="H22" s="1479">
        <f t="shared" si="17"/>
        <v>3280321</v>
      </c>
      <c r="I22" s="1479">
        <f t="shared" si="17"/>
        <v>3117534</v>
      </c>
      <c r="J22" s="1479">
        <f t="shared" si="17"/>
        <v>3419849</v>
      </c>
      <c r="K22" s="1479">
        <f t="shared" si="17"/>
        <v>3491027</v>
      </c>
      <c r="L22" s="1479">
        <f t="shared" si="17"/>
        <v>3534345</v>
      </c>
      <c r="M22" s="1479">
        <f t="shared" si="17"/>
        <v>3565236</v>
      </c>
      <c r="N22" s="1479">
        <f t="shared" si="17"/>
        <v>3514473</v>
      </c>
      <c r="O22" s="1479">
        <f t="shared" si="17"/>
        <v>3467162</v>
      </c>
      <c r="P22" s="1479">
        <f t="shared" si="17"/>
        <v>3492082</v>
      </c>
      <c r="Q22" s="1479">
        <f t="shared" si="17"/>
        <v>3333559</v>
      </c>
      <c r="R22" s="1479">
        <f t="shared" si="17"/>
        <v>3661717</v>
      </c>
      <c r="S22" s="1479">
        <f t="shared" si="17"/>
        <v>3722312</v>
      </c>
      <c r="T22" s="1479">
        <f t="shared" si="17"/>
        <v>3704135</v>
      </c>
      <c r="U22" s="1479">
        <f t="shared" si="17"/>
        <v>3712025</v>
      </c>
      <c r="V22" s="1479">
        <f t="shared" si="17"/>
        <v>3909328</v>
      </c>
      <c r="W22" s="1479">
        <f t="shared" si="17"/>
        <v>3377222</v>
      </c>
      <c r="X22" s="1479">
        <f t="shared" si="17"/>
        <v>3700651</v>
      </c>
      <c r="Y22" s="1479">
        <f t="shared" si="17"/>
        <v>3940179</v>
      </c>
      <c r="Z22" s="1479">
        <f t="shared" si="17"/>
        <v>3988130</v>
      </c>
      <c r="AA22" s="1479">
        <f t="shared" ref="AA22:AF22" si="18">IF(SUM(AA19:AA21)=0,"",SUM(AA19:AA21))</f>
        <v>4039207</v>
      </c>
      <c r="AB22" s="1479">
        <f t="shared" si="18"/>
        <v>4011359</v>
      </c>
      <c r="AC22" s="1479">
        <f t="shared" si="18"/>
        <v>3725142</v>
      </c>
      <c r="AD22" s="1479">
        <f t="shared" si="18"/>
        <v>3994054</v>
      </c>
      <c r="AE22" s="1479">
        <f t="shared" si="18"/>
        <v>3892391</v>
      </c>
      <c r="AF22" s="1479" t="str">
        <f t="shared" si="18"/>
        <v/>
      </c>
      <c r="AG22" s="1479" t="str">
        <f t="shared" ref="AG22:AR22" si="19">IF(SUM(AG19:AG21)=0,"",SUM(AG19:AG21))</f>
        <v/>
      </c>
      <c r="AH22" s="1479" t="str">
        <f t="shared" si="19"/>
        <v/>
      </c>
      <c r="AI22" s="1479" t="str">
        <f t="shared" si="19"/>
        <v/>
      </c>
      <c r="AJ22" s="1479" t="str">
        <f t="shared" si="19"/>
        <v/>
      </c>
      <c r="AK22" s="1479" t="str">
        <f t="shared" si="19"/>
        <v/>
      </c>
      <c r="AL22" s="1479" t="str">
        <f t="shared" si="19"/>
        <v/>
      </c>
      <c r="AM22" s="1479" t="str">
        <f t="shared" si="19"/>
        <v/>
      </c>
      <c r="AN22" s="1479" t="str">
        <f t="shared" si="19"/>
        <v/>
      </c>
      <c r="AO22" s="1479" t="str">
        <f t="shared" si="19"/>
        <v/>
      </c>
      <c r="AP22" s="1479" t="str">
        <f t="shared" si="19"/>
        <v/>
      </c>
      <c r="AQ22" s="1479" t="str">
        <f t="shared" si="19"/>
        <v/>
      </c>
      <c r="AR22" s="1479" t="str">
        <f t="shared" si="19"/>
        <v/>
      </c>
    </row>
    <row r="23" spans="1:44" ht="19.5" thickBot="1" x14ac:dyDescent="0.2">
      <c r="A23" s="2064"/>
      <c r="B23" s="726" t="s">
        <v>887</v>
      </c>
      <c r="C23" s="1480">
        <f>IF(SUM(C18,C22)=0,"",SUM(C18,C22))</f>
        <v>5146597</v>
      </c>
      <c r="D23" s="1481">
        <f t="shared" ref="D23:Z23" si="20">IF(SUM(D18,D22)=0,"",SUM(D18,D22))</f>
        <v>5980618</v>
      </c>
      <c r="E23" s="1481">
        <f t="shared" si="20"/>
        <v>5356408</v>
      </c>
      <c r="F23" s="1481">
        <f t="shared" si="20"/>
        <v>5670643</v>
      </c>
      <c r="G23" s="1481">
        <f t="shared" si="20"/>
        <v>5321998</v>
      </c>
      <c r="H23" s="1481">
        <f t="shared" si="20"/>
        <v>5414278</v>
      </c>
      <c r="I23" s="1481">
        <f t="shared" si="20"/>
        <v>5374900</v>
      </c>
      <c r="J23" s="1481">
        <f t="shared" si="20"/>
        <v>5963451</v>
      </c>
      <c r="K23" s="1481">
        <f t="shared" si="20"/>
        <v>5945104</v>
      </c>
      <c r="L23" s="1481">
        <f t="shared" si="20"/>
        <v>5686858</v>
      </c>
      <c r="M23" s="1481">
        <f t="shared" si="20"/>
        <v>5926745</v>
      </c>
      <c r="N23" s="1481">
        <f t="shared" si="20"/>
        <v>5874921</v>
      </c>
      <c r="O23" s="1481">
        <f t="shared" si="20"/>
        <v>5445538.5809065802</v>
      </c>
      <c r="P23" s="1481">
        <f t="shared" si="20"/>
        <v>6117998</v>
      </c>
      <c r="Q23" s="1481">
        <f t="shared" si="20"/>
        <v>5099734</v>
      </c>
      <c r="R23" s="1481">
        <f t="shared" si="20"/>
        <v>5529722</v>
      </c>
      <c r="S23" s="1481">
        <f t="shared" si="20"/>
        <v>5610054</v>
      </c>
      <c r="T23" s="1481">
        <f t="shared" si="20"/>
        <v>5597651</v>
      </c>
      <c r="U23" s="1481">
        <f t="shared" si="20"/>
        <v>5613946</v>
      </c>
      <c r="V23" s="1481">
        <f t="shared" si="20"/>
        <v>6323797</v>
      </c>
      <c r="W23" s="1481">
        <f t="shared" si="20"/>
        <v>5612816</v>
      </c>
      <c r="X23" s="1481">
        <f t="shared" si="20"/>
        <v>5728498</v>
      </c>
      <c r="Y23" s="1481">
        <f t="shared" si="20"/>
        <v>6850522</v>
      </c>
      <c r="Z23" s="1481">
        <f t="shared" si="20"/>
        <v>6898249</v>
      </c>
      <c r="AA23" s="1481">
        <f t="shared" ref="AA23:AF23" si="21">IF(SUM(AA18,AA22)=0,"",SUM(AA18,AA22))</f>
        <v>7406461</v>
      </c>
      <c r="AB23" s="1481">
        <f t="shared" si="21"/>
        <v>7106379</v>
      </c>
      <c r="AC23" s="1481">
        <f t="shared" si="21"/>
        <v>6977171</v>
      </c>
      <c r="AD23" s="1481">
        <f t="shared" si="21"/>
        <v>7175183</v>
      </c>
      <c r="AE23" s="1481">
        <f t="shared" si="21"/>
        <v>6591671</v>
      </c>
      <c r="AF23" s="1481" t="str">
        <f t="shared" si="21"/>
        <v/>
      </c>
      <c r="AG23" s="1481" t="str">
        <f t="shared" ref="AG23:AR23" si="22">IF(SUM(AG18,AG22)=0,"",SUM(AG18,AG22))</f>
        <v/>
      </c>
      <c r="AH23" s="1481" t="str">
        <f t="shared" si="22"/>
        <v/>
      </c>
      <c r="AI23" s="1481" t="str">
        <f t="shared" si="22"/>
        <v/>
      </c>
      <c r="AJ23" s="1481" t="str">
        <f t="shared" si="22"/>
        <v/>
      </c>
      <c r="AK23" s="1481" t="str">
        <f t="shared" si="22"/>
        <v/>
      </c>
      <c r="AL23" s="1481" t="str">
        <f t="shared" si="22"/>
        <v/>
      </c>
      <c r="AM23" s="1481" t="str">
        <f t="shared" si="22"/>
        <v/>
      </c>
      <c r="AN23" s="1481" t="str">
        <f t="shared" si="22"/>
        <v/>
      </c>
      <c r="AO23" s="1481" t="str">
        <f t="shared" si="22"/>
        <v/>
      </c>
      <c r="AP23" s="1481" t="str">
        <f t="shared" si="22"/>
        <v/>
      </c>
      <c r="AQ23" s="1481" t="str">
        <f t="shared" si="22"/>
        <v/>
      </c>
      <c r="AR23" s="1481" t="str">
        <f t="shared" si="22"/>
        <v/>
      </c>
    </row>
    <row r="24" spans="1:44" ht="19.5" thickBot="1" x14ac:dyDescent="0.2">
      <c r="A24" s="727"/>
      <c r="B24" s="728"/>
      <c r="C24" s="728"/>
      <c r="D24" s="728"/>
      <c r="E24" s="728"/>
      <c r="F24" s="728"/>
      <c r="G24" s="728"/>
      <c r="H24" s="728"/>
      <c r="I24" s="728"/>
      <c r="J24" s="728"/>
      <c r="K24" s="728"/>
      <c r="L24" s="728"/>
      <c r="M24" s="728"/>
      <c r="N24" s="728"/>
      <c r="O24" s="728"/>
    </row>
    <row r="25" spans="1:44" ht="19.5" thickBot="1" x14ac:dyDescent="0.2">
      <c r="A25" s="2075" t="s">
        <v>37</v>
      </c>
      <c r="B25" s="2070"/>
      <c r="C25" s="718">
        <v>42705</v>
      </c>
      <c r="D25" s="721">
        <f>EDATE(C25,1)</f>
        <v>42736</v>
      </c>
      <c r="E25" s="721">
        <f t="shared" ref="E25:Z25" si="23">EDATE(D25,1)</f>
        <v>42767</v>
      </c>
      <c r="F25" s="721">
        <f t="shared" si="23"/>
        <v>42795</v>
      </c>
      <c r="G25" s="721">
        <f t="shared" si="23"/>
        <v>42826</v>
      </c>
      <c r="H25" s="721">
        <f t="shared" si="23"/>
        <v>42856</v>
      </c>
      <c r="I25" s="721">
        <f t="shared" si="23"/>
        <v>42887</v>
      </c>
      <c r="J25" s="721">
        <f t="shared" si="23"/>
        <v>42917</v>
      </c>
      <c r="K25" s="721">
        <f t="shared" si="23"/>
        <v>42948</v>
      </c>
      <c r="L25" s="721">
        <f t="shared" si="23"/>
        <v>42979</v>
      </c>
      <c r="M25" s="721">
        <f t="shared" si="23"/>
        <v>43009</v>
      </c>
      <c r="N25" s="721">
        <f t="shared" si="23"/>
        <v>43040</v>
      </c>
      <c r="O25" s="721">
        <f t="shared" si="23"/>
        <v>43070</v>
      </c>
      <c r="P25" s="721">
        <f t="shared" si="23"/>
        <v>43101</v>
      </c>
      <c r="Q25" s="721">
        <f t="shared" si="23"/>
        <v>43132</v>
      </c>
      <c r="R25" s="721">
        <f t="shared" si="23"/>
        <v>43160</v>
      </c>
      <c r="S25" s="721">
        <f t="shared" si="23"/>
        <v>43191</v>
      </c>
      <c r="T25" s="721">
        <f t="shared" si="23"/>
        <v>43221</v>
      </c>
      <c r="U25" s="721">
        <f t="shared" si="23"/>
        <v>43252</v>
      </c>
      <c r="V25" s="721">
        <f t="shared" si="23"/>
        <v>43282</v>
      </c>
      <c r="W25" s="721">
        <f t="shared" si="23"/>
        <v>43313</v>
      </c>
      <c r="X25" s="721">
        <f t="shared" si="23"/>
        <v>43344</v>
      </c>
      <c r="Y25" s="721">
        <f t="shared" si="23"/>
        <v>43374</v>
      </c>
      <c r="Z25" s="721">
        <f t="shared" si="23"/>
        <v>43405</v>
      </c>
      <c r="AA25" s="721">
        <f t="shared" ref="AA25:AR25" si="24">EDATE(Z25,1)</f>
        <v>43435</v>
      </c>
      <c r="AB25" s="721">
        <f t="shared" si="24"/>
        <v>43466</v>
      </c>
      <c r="AC25" s="721">
        <f t="shared" si="24"/>
        <v>43497</v>
      </c>
      <c r="AD25" s="721">
        <f t="shared" si="24"/>
        <v>43525</v>
      </c>
      <c r="AE25" s="721">
        <f t="shared" si="24"/>
        <v>43556</v>
      </c>
      <c r="AF25" s="721">
        <f t="shared" si="24"/>
        <v>43586</v>
      </c>
      <c r="AG25" s="721">
        <f t="shared" si="24"/>
        <v>43617</v>
      </c>
      <c r="AH25" s="721">
        <f t="shared" si="24"/>
        <v>43647</v>
      </c>
      <c r="AI25" s="721">
        <f t="shared" si="24"/>
        <v>43678</v>
      </c>
      <c r="AJ25" s="721">
        <f t="shared" si="24"/>
        <v>43709</v>
      </c>
      <c r="AK25" s="721">
        <f t="shared" si="24"/>
        <v>43739</v>
      </c>
      <c r="AL25" s="721">
        <f t="shared" si="24"/>
        <v>43770</v>
      </c>
      <c r="AM25" s="721">
        <f t="shared" si="24"/>
        <v>43800</v>
      </c>
      <c r="AN25" s="721">
        <f t="shared" si="24"/>
        <v>43831</v>
      </c>
      <c r="AO25" s="721">
        <f t="shared" si="24"/>
        <v>43862</v>
      </c>
      <c r="AP25" s="721">
        <f t="shared" si="24"/>
        <v>43891</v>
      </c>
      <c r="AQ25" s="721">
        <f t="shared" si="24"/>
        <v>43922</v>
      </c>
      <c r="AR25" s="721">
        <f t="shared" si="24"/>
        <v>43952</v>
      </c>
    </row>
    <row r="26" spans="1:44" x14ac:dyDescent="0.15">
      <c r="A26" s="2071" t="s">
        <v>906</v>
      </c>
      <c r="B26" s="734" t="s">
        <v>909</v>
      </c>
      <c r="C26" s="738"/>
      <c r="D26" s="739"/>
      <c r="E26" s="739"/>
      <c r="F26" s="739"/>
      <c r="G26" s="739"/>
      <c r="H26" s="739"/>
      <c r="I26" s="739"/>
      <c r="J26" s="739"/>
      <c r="K26" s="739"/>
      <c r="L26" s="739"/>
      <c r="M26" s="739"/>
      <c r="N26" s="739"/>
      <c r="O26" s="739">
        <v>7</v>
      </c>
      <c r="P26" s="739">
        <v>6</v>
      </c>
      <c r="Q26" s="739">
        <v>10</v>
      </c>
      <c r="R26" s="739">
        <v>9</v>
      </c>
      <c r="S26" s="739">
        <v>9</v>
      </c>
      <c r="T26" s="739">
        <v>5</v>
      </c>
      <c r="U26" s="739">
        <v>7</v>
      </c>
      <c r="V26" s="739">
        <v>7</v>
      </c>
      <c r="W26" s="739">
        <v>8</v>
      </c>
      <c r="X26" s="739">
        <v>8</v>
      </c>
      <c r="Y26" s="739">
        <v>7</v>
      </c>
      <c r="Z26" s="739">
        <v>7</v>
      </c>
      <c r="AA26" s="739">
        <v>7</v>
      </c>
      <c r="AB26" s="739">
        <v>5</v>
      </c>
      <c r="AC26" s="739">
        <v>9</v>
      </c>
      <c r="AD26" s="739">
        <v>7</v>
      </c>
      <c r="AE26" s="739">
        <v>5</v>
      </c>
      <c r="AF26" s="739"/>
      <c r="AG26" s="739"/>
      <c r="AH26" s="739"/>
      <c r="AI26" s="739"/>
      <c r="AJ26" s="739"/>
      <c r="AK26" s="739"/>
      <c r="AL26" s="739"/>
      <c r="AM26" s="739"/>
      <c r="AN26" s="739"/>
      <c r="AO26" s="739"/>
      <c r="AP26" s="739"/>
      <c r="AQ26" s="739"/>
      <c r="AR26" s="739"/>
    </row>
    <row r="27" spans="1:44" x14ac:dyDescent="0.15">
      <c r="A27" s="2072"/>
      <c r="B27" s="735" t="s">
        <v>910</v>
      </c>
      <c r="C27" s="740"/>
      <c r="D27" s="741"/>
      <c r="E27" s="741"/>
      <c r="F27" s="741"/>
      <c r="G27" s="741"/>
      <c r="H27" s="741"/>
      <c r="I27" s="741"/>
      <c r="J27" s="741"/>
      <c r="K27" s="741"/>
      <c r="L27" s="741"/>
      <c r="M27" s="741"/>
      <c r="N27" s="741"/>
      <c r="O27" s="741">
        <v>18</v>
      </c>
      <c r="P27" s="741">
        <v>19</v>
      </c>
      <c r="Q27" s="741">
        <v>21</v>
      </c>
      <c r="R27" s="741">
        <v>19</v>
      </c>
      <c r="S27" s="741">
        <v>19</v>
      </c>
      <c r="T27" s="741">
        <v>24</v>
      </c>
      <c r="U27" s="741">
        <v>18</v>
      </c>
      <c r="V27" s="741">
        <v>20</v>
      </c>
      <c r="W27" s="741">
        <v>18</v>
      </c>
      <c r="X27" s="741">
        <v>21</v>
      </c>
      <c r="Y27" s="741">
        <v>22</v>
      </c>
      <c r="Z27" s="741">
        <v>21</v>
      </c>
      <c r="AA27" s="741">
        <v>21</v>
      </c>
      <c r="AB27" s="741">
        <v>20</v>
      </c>
      <c r="AC27" s="741">
        <v>22</v>
      </c>
      <c r="AD27" s="741">
        <v>21</v>
      </c>
      <c r="AE27" s="741">
        <v>23</v>
      </c>
      <c r="AF27" s="741"/>
      <c r="AG27" s="741"/>
      <c r="AH27" s="741"/>
      <c r="AI27" s="741"/>
      <c r="AJ27" s="741"/>
      <c r="AK27" s="741"/>
      <c r="AL27" s="741"/>
      <c r="AM27" s="741"/>
      <c r="AN27" s="741"/>
      <c r="AO27" s="741"/>
      <c r="AP27" s="741"/>
      <c r="AQ27" s="741"/>
      <c r="AR27" s="741"/>
    </row>
    <row r="28" spans="1:44" x14ac:dyDescent="0.15">
      <c r="A28" s="2072"/>
      <c r="B28" s="735" t="s">
        <v>908</v>
      </c>
      <c r="C28" s="1470" t="str">
        <f t="shared" ref="C28:Z28" si="25">IF(SUM(C26:C27)=0,"",SUM(C26:C27))</f>
        <v/>
      </c>
      <c r="D28" s="1470" t="str">
        <f t="shared" si="25"/>
        <v/>
      </c>
      <c r="E28" s="1470" t="str">
        <f t="shared" si="25"/>
        <v/>
      </c>
      <c r="F28" s="1470" t="str">
        <f t="shared" si="25"/>
        <v/>
      </c>
      <c r="G28" s="1470" t="str">
        <f t="shared" si="25"/>
        <v/>
      </c>
      <c r="H28" s="1470" t="str">
        <f t="shared" si="25"/>
        <v/>
      </c>
      <c r="I28" s="1470" t="str">
        <f t="shared" si="25"/>
        <v/>
      </c>
      <c r="J28" s="1470" t="str">
        <f t="shared" si="25"/>
        <v/>
      </c>
      <c r="K28" s="1470" t="str">
        <f t="shared" si="25"/>
        <v/>
      </c>
      <c r="L28" s="1470" t="str">
        <f t="shared" si="25"/>
        <v/>
      </c>
      <c r="M28" s="1470" t="str">
        <f t="shared" si="25"/>
        <v/>
      </c>
      <c r="N28" s="1470" t="str">
        <f t="shared" si="25"/>
        <v/>
      </c>
      <c r="O28" s="1470">
        <f t="shared" si="25"/>
        <v>25</v>
      </c>
      <c r="P28" s="1470">
        <f t="shared" si="25"/>
        <v>25</v>
      </c>
      <c r="Q28" s="1470">
        <f t="shared" si="25"/>
        <v>31</v>
      </c>
      <c r="R28" s="1470">
        <f t="shared" si="25"/>
        <v>28</v>
      </c>
      <c r="S28" s="1470">
        <f t="shared" si="25"/>
        <v>28</v>
      </c>
      <c r="T28" s="1470">
        <f t="shared" si="25"/>
        <v>29</v>
      </c>
      <c r="U28" s="1470">
        <f t="shared" si="25"/>
        <v>25</v>
      </c>
      <c r="V28" s="1470">
        <f t="shared" si="25"/>
        <v>27</v>
      </c>
      <c r="W28" s="1470">
        <f t="shared" si="25"/>
        <v>26</v>
      </c>
      <c r="X28" s="1470">
        <f t="shared" si="25"/>
        <v>29</v>
      </c>
      <c r="Y28" s="1470">
        <f t="shared" si="25"/>
        <v>29</v>
      </c>
      <c r="Z28" s="1470">
        <f t="shared" si="25"/>
        <v>28</v>
      </c>
      <c r="AA28" s="1470">
        <f t="shared" ref="AA28:AF28" si="26">IF(SUM(AA26:AA27)=0,"",SUM(AA26:AA27))</f>
        <v>28</v>
      </c>
      <c r="AB28" s="1470">
        <f t="shared" si="26"/>
        <v>25</v>
      </c>
      <c r="AC28" s="1470">
        <f t="shared" si="26"/>
        <v>31</v>
      </c>
      <c r="AD28" s="1470">
        <f t="shared" si="26"/>
        <v>28</v>
      </c>
      <c r="AE28" s="1470">
        <f t="shared" si="26"/>
        <v>28</v>
      </c>
      <c r="AF28" s="1470" t="str">
        <f t="shared" si="26"/>
        <v/>
      </c>
      <c r="AG28" s="1470" t="str">
        <f t="shared" ref="AG28:AR28" si="27">IF(SUM(AG26:AG27)=0,"",SUM(AG26:AG27))</f>
        <v/>
      </c>
      <c r="AH28" s="1470" t="str">
        <f t="shared" si="27"/>
        <v/>
      </c>
      <c r="AI28" s="1470" t="str">
        <f t="shared" si="27"/>
        <v/>
      </c>
      <c r="AJ28" s="1470" t="str">
        <f t="shared" si="27"/>
        <v/>
      </c>
      <c r="AK28" s="1470" t="str">
        <f t="shared" si="27"/>
        <v/>
      </c>
      <c r="AL28" s="1470" t="str">
        <f t="shared" si="27"/>
        <v/>
      </c>
      <c r="AM28" s="1470" t="str">
        <f t="shared" si="27"/>
        <v/>
      </c>
      <c r="AN28" s="1470" t="str">
        <f t="shared" si="27"/>
        <v/>
      </c>
      <c r="AO28" s="1470" t="str">
        <f t="shared" si="27"/>
        <v/>
      </c>
      <c r="AP28" s="1470" t="str">
        <f t="shared" si="27"/>
        <v/>
      </c>
      <c r="AQ28" s="1470" t="str">
        <f t="shared" si="27"/>
        <v/>
      </c>
      <c r="AR28" s="1470" t="str">
        <f t="shared" si="27"/>
        <v/>
      </c>
    </row>
    <row r="29" spans="1:44" x14ac:dyDescent="0.15">
      <c r="A29" s="2073" t="s">
        <v>907</v>
      </c>
      <c r="B29" s="735" t="s">
        <v>911</v>
      </c>
      <c r="C29" s="736"/>
      <c r="D29" s="737"/>
      <c r="E29" s="737"/>
      <c r="F29" s="737"/>
      <c r="G29" s="737"/>
      <c r="H29" s="737"/>
      <c r="I29" s="737"/>
      <c r="J29" s="737"/>
      <c r="K29" s="737"/>
      <c r="L29" s="737"/>
      <c r="M29" s="737"/>
      <c r="N29" s="737"/>
      <c r="O29" s="737">
        <v>25.086805555555557</v>
      </c>
      <c r="P29" s="737">
        <v>19.208333333333332</v>
      </c>
      <c r="Q29" s="737">
        <v>24.84375</v>
      </c>
      <c r="R29" s="737">
        <v>25.027777777777775</v>
      </c>
      <c r="S29" s="737">
        <v>24.0625</v>
      </c>
      <c r="T29" s="737">
        <v>15.329861111111112</v>
      </c>
      <c r="U29" s="737">
        <v>25.104166666666668</v>
      </c>
      <c r="V29" s="737">
        <v>24.833333333333332</v>
      </c>
      <c r="W29" s="737">
        <v>27.104166666666668</v>
      </c>
      <c r="X29" s="1482">
        <v>28.628472222222225</v>
      </c>
      <c r="Y29" s="737">
        <v>30.0625</v>
      </c>
      <c r="Z29" s="737">
        <v>27.635416666666668</v>
      </c>
      <c r="AA29" s="737">
        <v>25.3125</v>
      </c>
      <c r="AB29" s="737">
        <v>20.472222222222221</v>
      </c>
      <c r="AC29" s="737">
        <v>20.166666666666668</v>
      </c>
      <c r="AD29" s="737">
        <v>15.253472222222221</v>
      </c>
      <c r="AE29" s="737">
        <v>13.541666666666666</v>
      </c>
      <c r="AF29" s="737"/>
      <c r="AG29" s="737"/>
      <c r="AH29" s="737"/>
      <c r="AI29" s="737"/>
      <c r="AJ29" s="737"/>
      <c r="AK29" s="737"/>
      <c r="AL29" s="737"/>
      <c r="AM29" s="737"/>
      <c r="AN29" s="737"/>
      <c r="AO29" s="737"/>
      <c r="AP29" s="737"/>
      <c r="AQ29" s="737"/>
      <c r="AR29" s="737"/>
    </row>
    <row r="30" spans="1:44" x14ac:dyDescent="0.15">
      <c r="A30" s="2072"/>
      <c r="B30" s="735" t="s">
        <v>912</v>
      </c>
      <c r="C30" s="736"/>
      <c r="D30" s="737"/>
      <c r="E30" s="737"/>
      <c r="F30" s="737"/>
      <c r="G30" s="737"/>
      <c r="H30" s="737"/>
      <c r="I30" s="737"/>
      <c r="J30" s="737"/>
      <c r="K30" s="737"/>
      <c r="L30" s="737"/>
      <c r="M30" s="737"/>
      <c r="N30" s="737"/>
      <c r="O30" s="737">
        <v>32.78125</v>
      </c>
      <c r="P30" s="737">
        <v>30.916666666666668</v>
      </c>
      <c r="Q30" s="737">
        <v>27.03125</v>
      </c>
      <c r="R30" s="737">
        <v>31.319444444444443</v>
      </c>
      <c r="S30" s="737">
        <v>30.899305555555557</v>
      </c>
      <c r="T30" s="737">
        <v>33.586805555555557</v>
      </c>
      <c r="U30" s="737">
        <v>27.576388888888889</v>
      </c>
      <c r="V30" s="737">
        <v>28.559027777777775</v>
      </c>
      <c r="W30" s="737">
        <v>23.656944444444445</v>
      </c>
      <c r="X30" s="737">
        <v>26.232638888888889</v>
      </c>
      <c r="Y30" s="737">
        <v>31.805555555555557</v>
      </c>
      <c r="Z30" s="737">
        <v>30.472222222222225</v>
      </c>
      <c r="AA30" s="737">
        <v>30.319444444444443</v>
      </c>
      <c r="AB30" s="737">
        <v>30.25</v>
      </c>
      <c r="AC30" s="737">
        <v>28.170138888888889</v>
      </c>
      <c r="AD30" s="737">
        <v>31.690972222222225</v>
      </c>
      <c r="AE30" s="737">
        <v>30.288194444444443</v>
      </c>
      <c r="AF30" s="737"/>
      <c r="AG30" s="737"/>
      <c r="AH30" s="737"/>
      <c r="AI30" s="737"/>
      <c r="AJ30" s="737"/>
      <c r="AK30" s="737"/>
      <c r="AL30" s="737"/>
      <c r="AM30" s="737"/>
      <c r="AN30" s="737"/>
      <c r="AO30" s="737"/>
      <c r="AP30" s="737"/>
      <c r="AQ30" s="737"/>
      <c r="AR30" s="737"/>
    </row>
    <row r="31" spans="1:44" x14ac:dyDescent="0.15">
      <c r="A31" s="2072"/>
      <c r="B31" s="735" t="s">
        <v>908</v>
      </c>
      <c r="C31" s="1471" t="str">
        <f t="shared" ref="C31:Z31" si="28">IF(SUM(C29:C30)=0,"",SUM(C29:C30))</f>
        <v/>
      </c>
      <c r="D31" s="1471" t="str">
        <f t="shared" si="28"/>
        <v/>
      </c>
      <c r="E31" s="1471" t="str">
        <f t="shared" si="28"/>
        <v/>
      </c>
      <c r="F31" s="1471" t="str">
        <f t="shared" si="28"/>
        <v/>
      </c>
      <c r="G31" s="1471" t="str">
        <f t="shared" si="28"/>
        <v/>
      </c>
      <c r="H31" s="1471" t="str">
        <f t="shared" si="28"/>
        <v/>
      </c>
      <c r="I31" s="1471" t="str">
        <f t="shared" si="28"/>
        <v/>
      </c>
      <c r="J31" s="1471" t="str">
        <f t="shared" si="28"/>
        <v/>
      </c>
      <c r="K31" s="1471" t="str">
        <f t="shared" si="28"/>
        <v/>
      </c>
      <c r="L31" s="1471" t="str">
        <f t="shared" si="28"/>
        <v/>
      </c>
      <c r="M31" s="1471" t="str">
        <f t="shared" si="28"/>
        <v/>
      </c>
      <c r="N31" s="1471" t="str">
        <f t="shared" si="28"/>
        <v/>
      </c>
      <c r="O31" s="1471">
        <f t="shared" si="28"/>
        <v>57.868055555555557</v>
      </c>
      <c r="P31" s="1471">
        <f t="shared" si="28"/>
        <v>50.125</v>
      </c>
      <c r="Q31" s="1471">
        <f t="shared" si="28"/>
        <v>51.875</v>
      </c>
      <c r="R31" s="1471">
        <f t="shared" si="28"/>
        <v>56.347222222222214</v>
      </c>
      <c r="S31" s="1471">
        <f t="shared" si="28"/>
        <v>54.961805555555557</v>
      </c>
      <c r="T31" s="1471">
        <f t="shared" si="28"/>
        <v>48.916666666666671</v>
      </c>
      <c r="U31" s="1471">
        <f t="shared" si="28"/>
        <v>52.680555555555557</v>
      </c>
      <c r="V31" s="1471">
        <f t="shared" si="28"/>
        <v>53.392361111111107</v>
      </c>
      <c r="W31" s="1471">
        <f t="shared" si="28"/>
        <v>50.761111111111113</v>
      </c>
      <c r="X31" s="1471">
        <f t="shared" si="28"/>
        <v>54.861111111111114</v>
      </c>
      <c r="Y31" s="1471">
        <f t="shared" si="28"/>
        <v>61.868055555555557</v>
      </c>
      <c r="Z31" s="1471">
        <f t="shared" si="28"/>
        <v>58.107638888888893</v>
      </c>
      <c r="AA31" s="1471">
        <f t="shared" ref="AA31:AF31" si="29">IF(SUM(AA29:AA30)=0,"",SUM(AA29:AA30))</f>
        <v>55.631944444444443</v>
      </c>
      <c r="AB31" s="1471">
        <f t="shared" si="29"/>
        <v>50.722222222222221</v>
      </c>
      <c r="AC31" s="1471">
        <f t="shared" si="29"/>
        <v>48.336805555555557</v>
      </c>
      <c r="AD31" s="1471">
        <f t="shared" si="29"/>
        <v>46.944444444444443</v>
      </c>
      <c r="AE31" s="1471">
        <f t="shared" si="29"/>
        <v>43.829861111111107</v>
      </c>
      <c r="AF31" s="1471" t="str">
        <f t="shared" si="29"/>
        <v/>
      </c>
      <c r="AG31" s="1471" t="str">
        <f t="shared" ref="AG31:AR31" si="30">IF(SUM(AG29:AG30)=0,"",SUM(AG29:AG30))</f>
        <v/>
      </c>
      <c r="AH31" s="1471" t="str">
        <f t="shared" si="30"/>
        <v/>
      </c>
      <c r="AI31" s="1471" t="str">
        <f t="shared" si="30"/>
        <v/>
      </c>
      <c r="AJ31" s="1471" t="str">
        <f t="shared" si="30"/>
        <v/>
      </c>
      <c r="AK31" s="1471" t="str">
        <f t="shared" si="30"/>
        <v/>
      </c>
      <c r="AL31" s="1471" t="str">
        <f t="shared" si="30"/>
        <v/>
      </c>
      <c r="AM31" s="1471" t="str">
        <f t="shared" si="30"/>
        <v/>
      </c>
      <c r="AN31" s="1471" t="str">
        <f t="shared" si="30"/>
        <v/>
      </c>
      <c r="AO31" s="1471" t="str">
        <f t="shared" si="30"/>
        <v/>
      </c>
      <c r="AP31" s="1471" t="str">
        <f t="shared" si="30"/>
        <v/>
      </c>
      <c r="AQ31" s="1471" t="str">
        <f t="shared" si="30"/>
        <v/>
      </c>
      <c r="AR31" s="1471" t="str">
        <f t="shared" si="30"/>
        <v/>
      </c>
    </row>
    <row r="32" spans="1:44" ht="18.75" customHeight="1" x14ac:dyDescent="0.15">
      <c r="A32" s="2065" t="s">
        <v>898</v>
      </c>
      <c r="B32" s="723" t="s">
        <v>899</v>
      </c>
      <c r="C32" s="719">
        <v>135699</v>
      </c>
      <c r="D32" s="715">
        <v>119997</v>
      </c>
      <c r="E32" s="716">
        <v>121278</v>
      </c>
      <c r="F32" s="716">
        <v>133522</v>
      </c>
      <c r="G32" s="716">
        <v>144186</v>
      </c>
      <c r="H32" s="716">
        <v>168380</v>
      </c>
      <c r="I32" s="716">
        <v>175896</v>
      </c>
      <c r="J32" s="716">
        <v>184539</v>
      </c>
      <c r="K32" s="716">
        <v>174036</v>
      </c>
      <c r="L32" s="716">
        <v>166538</v>
      </c>
      <c r="M32" s="716">
        <v>169120</v>
      </c>
      <c r="N32" s="716">
        <v>197479</v>
      </c>
      <c r="O32" s="716">
        <v>203112</v>
      </c>
      <c r="P32" s="716">
        <v>187577</v>
      </c>
      <c r="Q32" s="716">
        <v>200953</v>
      </c>
      <c r="R32" s="716">
        <v>230999</v>
      </c>
      <c r="S32" s="716">
        <v>223794</v>
      </c>
      <c r="T32" s="716">
        <v>258360</v>
      </c>
      <c r="U32" s="716">
        <v>224502</v>
      </c>
      <c r="V32" s="716">
        <v>214494</v>
      </c>
      <c r="W32" s="716">
        <v>250134</v>
      </c>
      <c r="X32" s="716">
        <v>265458</v>
      </c>
      <c r="Y32" s="716">
        <v>275745</v>
      </c>
      <c r="Z32" s="716">
        <v>281684</v>
      </c>
      <c r="AA32" s="716">
        <v>267531</v>
      </c>
      <c r="AB32" s="716">
        <v>216160</v>
      </c>
      <c r="AC32" s="716">
        <v>199881</v>
      </c>
      <c r="AD32" s="716">
        <v>164812</v>
      </c>
      <c r="AE32" s="716">
        <v>158474</v>
      </c>
      <c r="AF32" s="716"/>
      <c r="AG32" s="716"/>
      <c r="AH32" s="716"/>
      <c r="AI32" s="716"/>
      <c r="AJ32" s="716"/>
      <c r="AK32" s="716"/>
      <c r="AL32" s="716"/>
      <c r="AM32" s="716"/>
      <c r="AN32" s="716"/>
      <c r="AO32" s="716"/>
      <c r="AP32" s="716"/>
      <c r="AQ32" s="716"/>
      <c r="AR32" s="716"/>
    </row>
    <row r="33" spans="1:44" x14ac:dyDescent="0.15">
      <c r="A33" s="2065"/>
      <c r="B33" s="723" t="s">
        <v>902</v>
      </c>
      <c r="C33" s="730">
        <v>11.05</v>
      </c>
      <c r="D33" s="731">
        <v>11.05</v>
      </c>
      <c r="E33" s="732">
        <v>11.05</v>
      </c>
      <c r="F33" s="732">
        <v>11.05</v>
      </c>
      <c r="G33" s="732">
        <v>11.05</v>
      </c>
      <c r="H33" s="732">
        <v>11.05</v>
      </c>
      <c r="I33" s="732">
        <v>11.05</v>
      </c>
      <c r="J33" s="732">
        <v>11.05</v>
      </c>
      <c r="K33" s="732">
        <v>11.05</v>
      </c>
      <c r="L33" s="732">
        <v>11.05</v>
      </c>
      <c r="M33" s="732">
        <v>11.05</v>
      </c>
      <c r="N33" s="732">
        <v>11.05</v>
      </c>
      <c r="O33" s="732">
        <v>11.05</v>
      </c>
      <c r="P33" s="732">
        <v>11.05</v>
      </c>
      <c r="Q33" s="732">
        <v>11.05</v>
      </c>
      <c r="R33" s="732">
        <v>11.05</v>
      </c>
      <c r="S33" s="732">
        <v>11.05</v>
      </c>
      <c r="T33" s="732">
        <v>11.05</v>
      </c>
      <c r="U33" s="732">
        <v>11.05</v>
      </c>
      <c r="V33" s="732">
        <v>11.05</v>
      </c>
      <c r="W33" s="732">
        <v>11.05</v>
      </c>
      <c r="X33" s="732">
        <v>11.05</v>
      </c>
      <c r="Y33" s="732">
        <v>11.05</v>
      </c>
      <c r="Z33" s="732">
        <v>11.05</v>
      </c>
      <c r="AA33" s="732">
        <v>11.05</v>
      </c>
      <c r="AB33" s="732">
        <v>11.05</v>
      </c>
      <c r="AC33" s="732">
        <v>11.05</v>
      </c>
      <c r="AD33" s="732">
        <v>11.05</v>
      </c>
      <c r="AE33" s="732">
        <v>11.05</v>
      </c>
      <c r="AF33" s="732">
        <v>11.05</v>
      </c>
      <c r="AG33" s="732">
        <v>11.05</v>
      </c>
      <c r="AH33" s="732">
        <v>11.05</v>
      </c>
      <c r="AI33" s="732">
        <v>11.05</v>
      </c>
      <c r="AJ33" s="732">
        <v>11.05</v>
      </c>
      <c r="AK33" s="732">
        <v>11.05</v>
      </c>
      <c r="AL33" s="732">
        <v>11.05</v>
      </c>
      <c r="AM33" s="732">
        <v>11.05</v>
      </c>
      <c r="AN33" s="732">
        <v>11.05</v>
      </c>
      <c r="AO33" s="732">
        <v>11.05</v>
      </c>
      <c r="AP33" s="732">
        <v>11.05</v>
      </c>
      <c r="AQ33" s="732">
        <v>11.05</v>
      </c>
      <c r="AR33" s="732">
        <v>11.05</v>
      </c>
    </row>
    <row r="34" spans="1:44" x14ac:dyDescent="0.15">
      <c r="A34" s="2065"/>
      <c r="B34" s="723" t="s">
        <v>900</v>
      </c>
      <c r="C34" s="1472">
        <f t="shared" ref="C34:Z34" si="31">IF(C32="","",ROUNDDOWN(C32*C33,0))</f>
        <v>1499473</v>
      </c>
      <c r="D34" s="1473">
        <f t="shared" si="31"/>
        <v>1325966</v>
      </c>
      <c r="E34" s="1474">
        <f t="shared" si="31"/>
        <v>1340121</v>
      </c>
      <c r="F34" s="1474">
        <f t="shared" si="31"/>
        <v>1475418</v>
      </c>
      <c r="G34" s="1474">
        <f t="shared" si="31"/>
        <v>1593255</v>
      </c>
      <c r="H34" s="1474">
        <f t="shared" si="31"/>
        <v>1860599</v>
      </c>
      <c r="I34" s="1474">
        <f t="shared" si="31"/>
        <v>1943650</v>
      </c>
      <c r="J34" s="1474">
        <f t="shared" si="31"/>
        <v>2039155</v>
      </c>
      <c r="K34" s="1474">
        <f t="shared" si="31"/>
        <v>1923097</v>
      </c>
      <c r="L34" s="1474">
        <f t="shared" si="31"/>
        <v>1840244</v>
      </c>
      <c r="M34" s="1474">
        <f t="shared" si="31"/>
        <v>1868776</v>
      </c>
      <c r="N34" s="1474">
        <f t="shared" si="31"/>
        <v>2182142</v>
      </c>
      <c r="O34" s="1474">
        <f t="shared" si="31"/>
        <v>2244387</v>
      </c>
      <c r="P34" s="1474">
        <f t="shared" si="31"/>
        <v>2072725</v>
      </c>
      <c r="Q34" s="1474">
        <f t="shared" si="31"/>
        <v>2220530</v>
      </c>
      <c r="R34" s="1474">
        <f t="shared" si="31"/>
        <v>2552538</v>
      </c>
      <c r="S34" s="1474">
        <f t="shared" si="31"/>
        <v>2472923</v>
      </c>
      <c r="T34" s="1474">
        <f t="shared" si="31"/>
        <v>2854878</v>
      </c>
      <c r="U34" s="1474">
        <f t="shared" si="31"/>
        <v>2480747</v>
      </c>
      <c r="V34" s="1474">
        <f t="shared" si="31"/>
        <v>2370158</v>
      </c>
      <c r="W34" s="1474">
        <f t="shared" si="31"/>
        <v>2763980</v>
      </c>
      <c r="X34" s="1474">
        <f t="shared" si="31"/>
        <v>2933310</v>
      </c>
      <c r="Y34" s="1474">
        <f t="shared" si="31"/>
        <v>3046982</v>
      </c>
      <c r="Z34" s="1474">
        <f t="shared" si="31"/>
        <v>3112608</v>
      </c>
      <c r="AA34" s="1474">
        <f t="shared" ref="AA34:AF34" si="32">IF(AA32="","",ROUNDDOWN(AA32*AA33,0))</f>
        <v>2956217</v>
      </c>
      <c r="AB34" s="1474">
        <f t="shared" si="32"/>
        <v>2388568</v>
      </c>
      <c r="AC34" s="1474">
        <f t="shared" si="32"/>
        <v>2208685</v>
      </c>
      <c r="AD34" s="1474">
        <f t="shared" si="32"/>
        <v>1821172</v>
      </c>
      <c r="AE34" s="1474">
        <f t="shared" si="32"/>
        <v>1751137</v>
      </c>
      <c r="AF34" s="1474" t="str">
        <f t="shared" si="32"/>
        <v/>
      </c>
      <c r="AG34" s="1474" t="str">
        <f t="shared" ref="AG34:AR34" si="33">IF(AG32="","",ROUNDDOWN(AG32*AG33,0))</f>
        <v/>
      </c>
      <c r="AH34" s="1474" t="str">
        <f t="shared" si="33"/>
        <v/>
      </c>
      <c r="AI34" s="1474" t="str">
        <f t="shared" si="33"/>
        <v/>
      </c>
      <c r="AJ34" s="1474" t="str">
        <f t="shared" si="33"/>
        <v/>
      </c>
      <c r="AK34" s="1474" t="str">
        <f t="shared" si="33"/>
        <v/>
      </c>
      <c r="AL34" s="1474" t="str">
        <f t="shared" si="33"/>
        <v/>
      </c>
      <c r="AM34" s="1474" t="str">
        <f t="shared" si="33"/>
        <v/>
      </c>
      <c r="AN34" s="1474" t="str">
        <f t="shared" si="33"/>
        <v/>
      </c>
      <c r="AO34" s="1474" t="str">
        <f t="shared" si="33"/>
        <v/>
      </c>
      <c r="AP34" s="1474" t="str">
        <f t="shared" si="33"/>
        <v/>
      </c>
      <c r="AQ34" s="1474" t="str">
        <f t="shared" si="33"/>
        <v/>
      </c>
      <c r="AR34" s="1474" t="str">
        <f t="shared" si="33"/>
        <v/>
      </c>
    </row>
    <row r="35" spans="1:44" s="729" customFormat="1" x14ac:dyDescent="0.15">
      <c r="A35" s="2062"/>
      <c r="B35" s="724" t="s">
        <v>901</v>
      </c>
      <c r="C35" s="1475">
        <f>IFERROR(GETPIVOTDATA("合計 / 請求",【ピボット】国保連売上!$A$3,"年月",C25,"事業所",$A25,"請求区分","単月")-C34,"")</f>
        <v>3310423</v>
      </c>
      <c r="D35" s="1476">
        <f>IFERROR(GETPIVOTDATA("合計 / 請求",【ピボット】国保連売上!$A$3,"年月",D25,"事業所",$A25,"請求区分","単月")-D34,"")</f>
        <v>3294018</v>
      </c>
      <c r="E35" s="1477">
        <f>IFERROR(GETPIVOTDATA("合計 / 請求",【ピボット】国保連売上!$A$3,"年月",E25,"事業所",$A25,"請求区分","単月")-E34,"")</f>
        <v>3390105</v>
      </c>
      <c r="F35" s="1477">
        <f>IFERROR(GETPIVOTDATA("合計 / 請求",【ピボット】国保連売上!$A$3,"年月",F25,"事業所",$A25,"請求区分","単月")-F34,"")</f>
        <v>3225321</v>
      </c>
      <c r="G35" s="1477">
        <f>IFERROR(GETPIVOTDATA("合計 / 請求",【ピボット】国保連売上!$A$3,"年月",G25,"事業所",$A25,"請求区分","単月")-G34,"")</f>
        <v>3080694</v>
      </c>
      <c r="H35" s="1477">
        <f>IFERROR(GETPIVOTDATA("合計 / 請求",【ピボット】国保連売上!$A$3,"年月",H25,"事業所",$A25,"請求区分","単月")-H34,"")</f>
        <v>3353223</v>
      </c>
      <c r="I35" s="1477">
        <f>IFERROR(GETPIVOTDATA("合計 / 請求",【ピボット】国保連売上!$A$3,"年月",I25,"事業所",$A25,"請求区分","単月")-I34,"")</f>
        <v>3466274</v>
      </c>
      <c r="J35" s="1477">
        <f>IFERROR(GETPIVOTDATA("合計 / 請求",【ピボット】国保連売上!$A$3,"年月",J25,"事業所",$A25,"請求区分","単月")-J34,"")</f>
        <v>3427812</v>
      </c>
      <c r="K35" s="1477">
        <f>IFERROR(GETPIVOTDATA("合計 / 請求",【ピボット】国保連売上!$A$3,"年月",K25,"事業所",$A25,"請求区分","単月")-K34,"")</f>
        <v>3213635</v>
      </c>
      <c r="L35" s="1477">
        <f>IFERROR(GETPIVOTDATA("合計 / 請求",【ピボット】国保連売上!$A$3,"年月",L25,"事業所",$A25,"請求区分","単月")-L34,"")</f>
        <v>3832689</v>
      </c>
      <c r="M35" s="1477">
        <f>IFERROR(GETPIVOTDATA("合計 / 請求",【ピボット】国保連売上!$A$3,"年月",M25,"事業所",$A25,"請求区分","単月")-M34,"")</f>
        <v>3703022</v>
      </c>
      <c r="N35" s="1477">
        <f>IFERROR(GETPIVOTDATA("合計 / 請求",【ピボット】国保連売上!$A$3,"年月",N25,"事業所",$A25,"請求区分","単月")-N34,"")</f>
        <v>3424706</v>
      </c>
      <c r="O35" s="1477">
        <f>IFERROR(GETPIVOTDATA("合計 / 請求",【ピボット】国保連売上!$A$3,"年月",O25,"事業所",$A25,"請求区分","単月")-O34,"")</f>
        <v>3529496</v>
      </c>
      <c r="P35" s="1477">
        <f>IFERROR(GETPIVOTDATA("合計 / 請求",【ピボット】国保連売上!$A$3,"年月",P25,"事業所",$A25,"請求区分","単月")-P34,"")</f>
        <v>3317441</v>
      </c>
      <c r="Q35" s="1477">
        <f>IFERROR(GETPIVOTDATA("合計 / 請求",【ピボット】国保連売上!$A$3,"年月",Q25,"事業所",$A25,"請求区分","単月")-Q34,"")</f>
        <v>2901465</v>
      </c>
      <c r="R35" s="1477">
        <f>IFERROR(GETPIVOTDATA("合計 / 請求",【ピボット】国保連売上!$A$3,"年月",R25,"事業所",$A25,"請求区分","単月")-R34,"")</f>
        <v>3582886</v>
      </c>
      <c r="S35" s="1477">
        <f>IFERROR(GETPIVOTDATA("合計 / 請求",【ピボット】国保連売上!$A$3,"年月",S25,"事業所",$A25,"請求区分","単月")-S34,"")</f>
        <v>3571613</v>
      </c>
      <c r="T35" s="1477">
        <f>IFERROR(GETPIVOTDATA("合計 / 請求",【ピボット】国保連売上!$A$3,"年月",T25,"事業所",$A25,"請求区分","単月")-T34,"")</f>
        <v>3373993</v>
      </c>
      <c r="U35" s="1477">
        <f>IFERROR(GETPIVOTDATA("合計 / 請求",【ピボット】国保連売上!$A$3,"年月",U25,"事業所",$A25,"請求区分","単月")-U34,"")</f>
        <v>3211886</v>
      </c>
      <c r="V35" s="1477">
        <f>IFERROR(GETPIVOTDATA("合計 / 請求",【ピボット】国保連売上!$A$3,"年月",V25,"事業所",$A25,"請求区分","単月")-V34,"")</f>
        <v>3225674</v>
      </c>
      <c r="W35" s="1477">
        <f>IFERROR(GETPIVOTDATA("合計 / 請求",【ピボット】国保連売上!$A$3,"年月",W25,"事業所",$A25,"請求区分","単月")-W34,"")</f>
        <v>3105900</v>
      </c>
      <c r="X35" s="1477">
        <f>IFERROR(GETPIVOTDATA("合計 / 請求",【ピボット】国保連売上!$A$3,"年月",X25,"事業所",$A25,"請求区分","単月")-X34,"")</f>
        <v>3151200</v>
      </c>
      <c r="Y35" s="1477">
        <f>IFERROR(GETPIVOTDATA("合計 / 請求",【ピボット】国保連売上!$A$3,"年月",Y25,"事業所",$A25,"請求区分","単月")-Y34,"")</f>
        <v>3930498</v>
      </c>
      <c r="Z35" s="1477">
        <f>IFERROR(GETPIVOTDATA("合計 / 請求",【ピボット】国保連売上!$A$3,"年月",Z25,"事業所",$A25,"請求区分","単月")-Z34,"")</f>
        <v>3592160</v>
      </c>
      <c r="AA35" s="1477">
        <f>IFERROR(GETPIVOTDATA("合計 / 請求",【ピボット】国保連売上!$A$3,"年月",AA25,"事業所",$A25,"請求区分","単月")-AA34,"")</f>
        <v>3405488</v>
      </c>
      <c r="AB35" s="1477">
        <f>IFERROR(GETPIVOTDATA("合計 / 請求",【ピボット】国保連売上!$A$3,"年月",AB25,"事業所",$A25,"請求区分","単月")-AB34,"")</f>
        <v>3590706</v>
      </c>
      <c r="AC35" s="1477">
        <f>IFERROR(GETPIVOTDATA("合計 / 請求",【ピボット】国保連売上!$A$3,"年月",AC25,"事業所",$A25,"請求区分","単月")-AC34,"")</f>
        <v>3249006</v>
      </c>
      <c r="AD35" s="1477">
        <f>IFERROR(GETPIVOTDATA("合計 / 請求",【ピボット】国保連売上!$A$3,"年月",AD25,"事業所",$A25,"請求区分","単月")-AD34,"")</f>
        <v>3537087</v>
      </c>
      <c r="AE35" s="1477">
        <f>IFERROR(GETPIVOTDATA("合計 / 請求",【ピボット】国保連売上!$A$3,"年月",AE25,"事業所",$A25,"請求区分","単月")-AE34,"")</f>
        <v>3425212</v>
      </c>
      <c r="AF35" s="1477" t="str">
        <f>IFERROR(GETPIVOTDATA("合計 / 請求",【ピボット】国保連売上!$A$3,"年月",AF25,"事業所",$A25,"請求区分","単月")-AF34,"")</f>
        <v/>
      </c>
      <c r="AG35" s="1477" t="str">
        <f>IFERROR(GETPIVOTDATA("合計 / 請求",【ピボット】国保連売上!$A$3,"年月",AG25,"事業所",$A25,"請求区分","単月")-AG34,"")</f>
        <v/>
      </c>
      <c r="AH35" s="1477" t="str">
        <f>IFERROR(GETPIVOTDATA("合計 / 請求",【ピボット】国保連売上!$A$3,"年月",AH25,"事業所",$A25,"請求区分","単月")-AH34,"")</f>
        <v/>
      </c>
      <c r="AI35" s="1477" t="str">
        <f>IFERROR(GETPIVOTDATA("合計 / 請求",【ピボット】国保連売上!$A$3,"年月",AI25,"事業所",$A25,"請求区分","単月")-AI34,"")</f>
        <v/>
      </c>
      <c r="AJ35" s="1477" t="str">
        <f>IFERROR(GETPIVOTDATA("合計 / 請求",【ピボット】国保連売上!$A$3,"年月",AJ25,"事業所",$A25,"請求区分","単月")-AJ34,"")</f>
        <v/>
      </c>
      <c r="AK35" s="1477" t="str">
        <f>IFERROR(GETPIVOTDATA("合計 / 請求",【ピボット】国保連売上!$A$3,"年月",AK25,"事業所",$A25,"請求区分","単月")-AK34,"")</f>
        <v/>
      </c>
      <c r="AL35" s="1477" t="str">
        <f>IFERROR(GETPIVOTDATA("合計 / 請求",【ピボット】国保連売上!$A$3,"年月",AL25,"事業所",$A25,"請求区分","単月")-AL34,"")</f>
        <v/>
      </c>
      <c r="AM35" s="1477" t="str">
        <f>IFERROR(GETPIVOTDATA("合計 / 請求",【ピボット】国保連売上!$A$3,"年月",AM25,"事業所",$A25,"請求区分","単月")-AM34,"")</f>
        <v/>
      </c>
      <c r="AN35" s="1477" t="str">
        <f>IFERROR(GETPIVOTDATA("合計 / 請求",【ピボット】国保連売上!$A$3,"年月",AN25,"事業所",$A25,"請求区分","単月")-AN34,"")</f>
        <v/>
      </c>
      <c r="AO35" s="1477" t="str">
        <f>IFERROR(GETPIVOTDATA("合計 / 請求",【ピボット】国保連売上!$A$3,"年月",AO25,"事業所",$A25,"請求区分","単月")-AO34,"")</f>
        <v/>
      </c>
      <c r="AP35" s="1477" t="str">
        <f>IFERROR(GETPIVOTDATA("合計 / 請求",【ピボット】国保連売上!$A$3,"年月",AP25,"事業所",$A25,"請求区分","単月")-AP34,"")</f>
        <v/>
      </c>
      <c r="AQ35" s="1477" t="str">
        <f>IFERROR(GETPIVOTDATA("合計 / 請求",【ピボット】国保連売上!$A$3,"年月",AQ25,"事業所",$A25,"請求区分","単月")-AQ34,"")</f>
        <v/>
      </c>
      <c r="AR35" s="1477" t="str">
        <f>IFERROR(GETPIVOTDATA("合計 / 請求",【ピボット】国保連売上!$A$3,"年月",AR25,"事業所",$A25,"請求区分","単月")-AR34,"")</f>
        <v/>
      </c>
    </row>
    <row r="36" spans="1:44" x14ac:dyDescent="0.15">
      <c r="A36" s="2062"/>
      <c r="B36" s="724" t="s">
        <v>887</v>
      </c>
      <c r="C36" s="1475">
        <f t="shared" ref="C36:Z36" si="34">IF(SUM(C34:C35)=0,"",SUM(C34:C35))</f>
        <v>4809896</v>
      </c>
      <c r="D36" s="1476">
        <f t="shared" si="34"/>
        <v>4619984</v>
      </c>
      <c r="E36" s="1477">
        <f t="shared" si="34"/>
        <v>4730226</v>
      </c>
      <c r="F36" s="1477">
        <f t="shared" si="34"/>
        <v>4700739</v>
      </c>
      <c r="G36" s="1477">
        <f t="shared" si="34"/>
        <v>4673949</v>
      </c>
      <c r="H36" s="1477">
        <f t="shared" si="34"/>
        <v>5213822</v>
      </c>
      <c r="I36" s="1477">
        <f t="shared" si="34"/>
        <v>5409924</v>
      </c>
      <c r="J36" s="1477">
        <f t="shared" si="34"/>
        <v>5466967</v>
      </c>
      <c r="K36" s="1477">
        <f t="shared" si="34"/>
        <v>5136732</v>
      </c>
      <c r="L36" s="1477">
        <f t="shared" si="34"/>
        <v>5672933</v>
      </c>
      <c r="M36" s="1477">
        <f t="shared" si="34"/>
        <v>5571798</v>
      </c>
      <c r="N36" s="1477">
        <f t="shared" si="34"/>
        <v>5606848</v>
      </c>
      <c r="O36" s="1477">
        <f t="shared" si="34"/>
        <v>5773883</v>
      </c>
      <c r="P36" s="1477">
        <f t="shared" si="34"/>
        <v>5390166</v>
      </c>
      <c r="Q36" s="1477">
        <f t="shared" si="34"/>
        <v>5121995</v>
      </c>
      <c r="R36" s="1477">
        <f t="shared" si="34"/>
        <v>6135424</v>
      </c>
      <c r="S36" s="1477">
        <f t="shared" si="34"/>
        <v>6044536</v>
      </c>
      <c r="T36" s="1477">
        <f t="shared" si="34"/>
        <v>6228871</v>
      </c>
      <c r="U36" s="1477">
        <f t="shared" si="34"/>
        <v>5692633</v>
      </c>
      <c r="V36" s="1477">
        <f t="shared" si="34"/>
        <v>5595832</v>
      </c>
      <c r="W36" s="1477">
        <f t="shared" si="34"/>
        <v>5869880</v>
      </c>
      <c r="X36" s="1477">
        <f t="shared" si="34"/>
        <v>6084510</v>
      </c>
      <c r="Y36" s="1477">
        <f t="shared" si="34"/>
        <v>6977480</v>
      </c>
      <c r="Z36" s="1477">
        <f t="shared" si="34"/>
        <v>6704768</v>
      </c>
      <c r="AA36" s="1477">
        <f t="shared" ref="AA36:AF36" si="35">IF(SUM(AA34:AA35)=0,"",SUM(AA34:AA35))</f>
        <v>6361705</v>
      </c>
      <c r="AB36" s="1477">
        <f t="shared" si="35"/>
        <v>5979274</v>
      </c>
      <c r="AC36" s="1477">
        <f t="shared" si="35"/>
        <v>5457691</v>
      </c>
      <c r="AD36" s="1477">
        <f t="shared" si="35"/>
        <v>5358259</v>
      </c>
      <c r="AE36" s="1477">
        <f t="shared" si="35"/>
        <v>5176349</v>
      </c>
      <c r="AF36" s="1477" t="str">
        <f t="shared" si="35"/>
        <v/>
      </c>
      <c r="AG36" s="1477" t="str">
        <f t="shared" ref="AG36:AR36" si="36">IF(SUM(AG34:AG35)=0,"",SUM(AG34:AG35))</f>
        <v/>
      </c>
      <c r="AH36" s="1477" t="str">
        <f t="shared" si="36"/>
        <v/>
      </c>
      <c r="AI36" s="1477" t="str">
        <f t="shared" si="36"/>
        <v/>
      </c>
      <c r="AJ36" s="1477" t="str">
        <f t="shared" si="36"/>
        <v/>
      </c>
      <c r="AK36" s="1477" t="str">
        <f t="shared" si="36"/>
        <v/>
      </c>
      <c r="AL36" s="1477" t="str">
        <f t="shared" si="36"/>
        <v/>
      </c>
      <c r="AM36" s="1477" t="str">
        <f t="shared" si="36"/>
        <v/>
      </c>
      <c r="AN36" s="1477" t="str">
        <f t="shared" si="36"/>
        <v/>
      </c>
      <c r="AO36" s="1477" t="str">
        <f t="shared" si="36"/>
        <v/>
      </c>
      <c r="AP36" s="1477" t="str">
        <f t="shared" si="36"/>
        <v/>
      </c>
      <c r="AQ36" s="1477" t="str">
        <f t="shared" si="36"/>
        <v/>
      </c>
      <c r="AR36" s="1477" t="str">
        <f t="shared" si="36"/>
        <v/>
      </c>
    </row>
    <row r="37" spans="1:44" x14ac:dyDescent="0.15">
      <c r="A37" s="2062" t="s">
        <v>897</v>
      </c>
      <c r="B37" s="724" t="s">
        <v>896</v>
      </c>
      <c r="C37" s="1475">
        <f>IFERROR(GETPIVOTDATA("合計 / " &amp; $B37,【ピボット】事業所収支!$A$3,"年月",C$1,"事業所",$A25),"")</f>
        <v>1687063</v>
      </c>
      <c r="D37" s="1476">
        <f>IFERROR(GETPIVOTDATA("合計 / " &amp; $B37,【ピボット】事業所収支!$A$3,"年月",D$1,"事業所",$A25),"")</f>
        <v>1739781</v>
      </c>
      <c r="E37" s="1477">
        <f>IFERROR(GETPIVOTDATA("合計 / " &amp; $B37,【ピボット】事業所収支!$A$3,"年月",E$1,"事業所",$A25),"")</f>
        <v>1643034</v>
      </c>
      <c r="F37" s="1477">
        <f>IFERROR(GETPIVOTDATA("合計 / " &amp; $B37,【ピボット】事業所収支!$A$3,"年月",F$1,"事業所",$A25),"")</f>
        <v>1630048</v>
      </c>
      <c r="G37" s="1477">
        <f>IFERROR(GETPIVOTDATA("合計 / " &amp; $B37,【ピボット】事業所収支!$A$3,"年月",G$1,"事業所",$A25),"")</f>
        <v>1633778</v>
      </c>
      <c r="H37" s="1477">
        <f>IFERROR(GETPIVOTDATA("合計 / " &amp; $B37,【ピボット】事業所収支!$A$3,"年月",H$1,"事業所",$A25),"")</f>
        <v>1639385</v>
      </c>
      <c r="I37" s="1477">
        <f>IFERROR(GETPIVOTDATA("合計 / " &amp; $B37,【ピボット】事業所収支!$A$3,"年月",I$1,"事業所",$A25),"")</f>
        <v>1861802</v>
      </c>
      <c r="J37" s="1477">
        <f>IFERROR(GETPIVOTDATA("合計 / " &amp; $B37,【ピボット】事業所収支!$A$3,"年月",J$1,"事業所",$A25),"")</f>
        <v>1880316</v>
      </c>
      <c r="K37" s="1477">
        <f>IFERROR(GETPIVOTDATA("合計 / " &amp; $B37,【ピボット】事業所収支!$A$3,"年月",K$1,"事業所",$A25),"")</f>
        <v>1913410</v>
      </c>
      <c r="L37" s="1477">
        <f>IFERROR(GETPIVOTDATA("合計 / " &amp; $B37,【ピボット】事業所収支!$A$3,"年月",L$1,"事業所",$A25),"")</f>
        <v>1782831</v>
      </c>
      <c r="M37" s="1477">
        <f>IFERROR(GETPIVOTDATA("合計 / " &amp; $B37,【ピボット】事業所収支!$A$3,"年月",M$1,"事業所",$A25),"")</f>
        <v>1925714</v>
      </c>
      <c r="N37" s="1477">
        <f>IFERROR(GETPIVOTDATA("合計 / " &amp; $B37,【ピボット】事業所収支!$A$3,"年月",N$1,"事業所",$A25),"")</f>
        <v>2118936</v>
      </c>
      <c r="O37" s="1477">
        <f>IFERROR(GETPIVOTDATA("合計 / " &amp; $B37,【ピボット】事業所収支!$A$3,"年月",O$1,"事業所",$A25),"")</f>
        <v>2260418</v>
      </c>
      <c r="P37" s="1477">
        <f>IFERROR(GETPIVOTDATA("合計 / " &amp; $B37,【ピボット】事業所収支!$A$3,"年月",P$1,"事業所",$A25),"")</f>
        <v>2246591</v>
      </c>
      <c r="Q37" s="1477">
        <f>IFERROR(GETPIVOTDATA("合計 / " &amp; $B37,【ピボット】事業所収支!$A$3,"年月",Q$1,"事業所",$A25),"")</f>
        <v>2541385</v>
      </c>
      <c r="R37" s="1477">
        <f>IFERROR(GETPIVOTDATA("合計 / " &amp; $B37,【ピボット】事業所収支!$A$3,"年月",R$1,"事業所",$A25),"")</f>
        <v>2285024</v>
      </c>
      <c r="S37" s="1477">
        <f>IFERROR(GETPIVOTDATA("合計 / " &amp; $B37,【ピボット】事業所収支!$A$3,"年月",S$1,"事業所",$A25),"")</f>
        <v>2278943</v>
      </c>
      <c r="T37" s="1477">
        <f>IFERROR(GETPIVOTDATA("合計 / " &amp; $B37,【ピボット】事業所収支!$A$3,"年月",T$1,"事業所",$A25),"")</f>
        <v>2271244</v>
      </c>
      <c r="U37" s="1477">
        <f>IFERROR(GETPIVOTDATA("合計 / " &amp; $B37,【ピボット】事業所収支!$A$3,"年月",U$1,"事業所",$A25),"")</f>
        <v>2330446</v>
      </c>
      <c r="V37" s="1477">
        <f>IFERROR(GETPIVOTDATA("合計 / " &amp; $B37,【ピボット】事業所収支!$A$3,"年月",V$1,"事業所",$A25),"")</f>
        <v>2419865</v>
      </c>
      <c r="W37" s="1477">
        <f>IFERROR(GETPIVOTDATA("合計 / " &amp; $B37,【ピボット】事業所収支!$A$3,"年月",W$1,"事業所",$A25),"")</f>
        <v>2767327</v>
      </c>
      <c r="X37" s="1477">
        <f>IFERROR(GETPIVOTDATA("合計 / " &amp; $B37,【ピボット】事業所収支!$A$3,"年月",X$1,"事業所",$A25),"")</f>
        <v>2731021</v>
      </c>
      <c r="Y37" s="1477">
        <f>IFERROR(GETPIVOTDATA("合計 / " &amp; $B37,【ピボット】事業所収支!$A$3,"年月",Y$1,"事業所",$A25),"")</f>
        <v>2303355</v>
      </c>
      <c r="Z37" s="1477">
        <f>IFERROR(GETPIVOTDATA("合計 / " &amp; $B37,【ピボット】事業所収支!$A$3,"年月",Z$1,"事業所",$A25),"")</f>
        <v>2437257</v>
      </c>
      <c r="AA37" s="1477">
        <f>IFERROR(GETPIVOTDATA("合計 / " &amp; $B37,【ピボット】事業所収支!$A$3,"年月",AA$1,"事業所",$A25),"")</f>
        <v>2489582</v>
      </c>
      <c r="AB37" s="1477">
        <f>IFERROR(GETPIVOTDATA("合計 / " &amp; $B37,【ピボット】事業所収支!$A$3,"年月",AB$1,"事業所",$A25),"")</f>
        <v>1864940</v>
      </c>
      <c r="AC37" s="1477">
        <f>IFERROR(GETPIVOTDATA("合計 / " &amp; $B37,【ピボット】事業所収支!$A$3,"年月",AC$1,"事業所",$A25),"")</f>
        <v>1768840</v>
      </c>
      <c r="AD37" s="1477">
        <f>IFERROR(GETPIVOTDATA("合計 / " &amp; $B37,【ピボット】事業所収支!$A$3,"年月",AD$1,"事業所",$A25),"")</f>
        <v>1466687</v>
      </c>
      <c r="AE37" s="1477">
        <f>IFERROR(GETPIVOTDATA("合計 / " &amp; $B37,【ピボット】事業所収支!$A$3,"年月",AE$1,"事業所",$A25),"")</f>
        <v>1672796</v>
      </c>
      <c r="AF37" s="1477" t="str">
        <f>IFERROR(GETPIVOTDATA("合計 / " &amp; $B37,【ピボット】事業所収支!$A$3,"年月",AF$1,"事業所",$A25),"")</f>
        <v/>
      </c>
      <c r="AG37" s="1477" t="str">
        <f>IFERROR(GETPIVOTDATA("合計 / " &amp; $B37,【ピボット】事業所収支!$A$3,"年月",AG$1,"事業所",$A25),"")</f>
        <v/>
      </c>
      <c r="AH37" s="1477" t="str">
        <f>IFERROR(GETPIVOTDATA("合計 / " &amp; $B37,【ピボット】事業所収支!$A$3,"年月",AH$1,"事業所",$A25),"")</f>
        <v/>
      </c>
      <c r="AI37" s="1477" t="str">
        <f>IFERROR(GETPIVOTDATA("合計 / " &amp; $B37,【ピボット】事業所収支!$A$3,"年月",AI$1,"事業所",$A25),"")</f>
        <v/>
      </c>
      <c r="AJ37" s="1477" t="str">
        <f>IFERROR(GETPIVOTDATA("合計 / " &amp; $B37,【ピボット】事業所収支!$A$3,"年月",AJ$1,"事業所",$A25),"")</f>
        <v/>
      </c>
      <c r="AK37" s="1477" t="str">
        <f>IFERROR(GETPIVOTDATA("合計 / " &amp; $B37,【ピボット】事業所収支!$A$3,"年月",AK$1,"事業所",$A25),"")</f>
        <v/>
      </c>
      <c r="AL37" s="1477" t="str">
        <f>IFERROR(GETPIVOTDATA("合計 / " &amp; $B37,【ピボット】事業所収支!$A$3,"年月",AL$1,"事業所",$A25),"")</f>
        <v/>
      </c>
      <c r="AM37" s="1477" t="str">
        <f>IFERROR(GETPIVOTDATA("合計 / " &amp; $B37,【ピボット】事業所収支!$A$3,"年月",AM$1,"事業所",$A25),"")</f>
        <v/>
      </c>
      <c r="AN37" s="1477" t="str">
        <f>IFERROR(GETPIVOTDATA("合計 / " &amp; $B37,【ピボット】事業所収支!$A$3,"年月",AN$1,"事業所",$A25),"")</f>
        <v/>
      </c>
      <c r="AO37" s="1477" t="str">
        <f>IFERROR(GETPIVOTDATA("合計 / " &amp; $B37,【ピボット】事業所収支!$A$3,"年月",AO$1,"事業所",$A25),"")</f>
        <v/>
      </c>
      <c r="AP37" s="1477" t="str">
        <f>IFERROR(GETPIVOTDATA("合計 / " &amp; $B37,【ピボット】事業所収支!$A$3,"年月",AP$1,"事業所",$A25),"")</f>
        <v/>
      </c>
      <c r="AQ37" s="1477" t="str">
        <f>IFERROR(GETPIVOTDATA("合計 / " &amp; $B37,【ピボット】事業所収支!$A$3,"年月",AQ$1,"事業所",$A25),"")</f>
        <v/>
      </c>
      <c r="AR37" s="1477" t="str">
        <f>IFERROR(GETPIVOTDATA("合計 / " &amp; $B37,【ピボット】事業所収支!$A$3,"年月",AR$1,"事業所",$A25),"")</f>
        <v/>
      </c>
    </row>
    <row r="38" spans="1:44" x14ac:dyDescent="0.15">
      <c r="A38" s="2062"/>
      <c r="B38" s="724" t="s">
        <v>895</v>
      </c>
      <c r="C38" s="1475">
        <f>IFERROR(GETPIVOTDATA("合計 / " &amp; $B38,【ピボット】事業所収支!$A$3,"年月",C$1,"事業所",$A25)-C44,"")</f>
        <v>1719400</v>
      </c>
      <c r="D38" s="1476">
        <f>IFERROR(GETPIVOTDATA("合計 / " &amp; $B38,【ピボット】事業所収支!$A$3,"年月",D$1,"事業所",$A25)-D44,"")</f>
        <v>0</v>
      </c>
      <c r="E38" s="1477">
        <f>IFERROR(GETPIVOTDATA("合計 / " &amp; $B38,【ピボット】事業所収支!$A$3,"年月",E$1,"事業所",$A25)-E44,"")</f>
        <v>0</v>
      </c>
      <c r="F38" s="1477">
        <f>IFERROR(GETPIVOTDATA("合計 / " &amp; $B38,【ピボット】事業所収支!$A$3,"年月",F$1,"事業所",$A25)-F44,"")</f>
        <v>0</v>
      </c>
      <c r="G38" s="1477">
        <f>IFERROR(GETPIVOTDATA("合計 / " &amp; $B38,【ピボット】事業所収支!$A$3,"年月",G$1,"事業所",$A25)-G44,"")</f>
        <v>0</v>
      </c>
      <c r="H38" s="1477">
        <f>IFERROR(GETPIVOTDATA("合計 / " &amp; $B38,【ピボット】事業所収支!$A$3,"年月",H$1,"事業所",$A25)-H44,"")</f>
        <v>0</v>
      </c>
      <c r="I38" s="1477">
        <f>IFERROR(GETPIVOTDATA("合計 / " &amp; $B38,【ピボット】事業所収支!$A$3,"年月",I$1,"事業所",$A25)-I44,"")</f>
        <v>0</v>
      </c>
      <c r="J38" s="1477">
        <f>IFERROR(GETPIVOTDATA("合計 / " &amp; $B38,【ピボット】事業所収支!$A$3,"年月",J$1,"事業所",$A25)-J44,"")</f>
        <v>0</v>
      </c>
      <c r="K38" s="1477">
        <f>IFERROR(GETPIVOTDATA("合計 / " &amp; $B38,【ピボット】事業所収支!$A$3,"年月",K$1,"事業所",$A25)-K44,"")</f>
        <v>210000</v>
      </c>
      <c r="L38" s="1477">
        <f>IFERROR(GETPIVOTDATA("合計 / " &amp; $B38,【ピボット】事業所収支!$A$3,"年月",L$1,"事業所",$A25)-L44,"")</f>
        <v>0</v>
      </c>
      <c r="M38" s="1477">
        <f>IFERROR(GETPIVOTDATA("合計 / " &amp; $B38,【ピボット】事業所収支!$A$3,"年月",M$1,"事業所",$A25)-M44,"")</f>
        <v>0</v>
      </c>
      <c r="N38" s="1477">
        <f>IFERROR(GETPIVOTDATA("合計 / " &amp; $B38,【ピボット】事業所収支!$A$3,"年月",N$1,"事業所",$A25)-N44,"")</f>
        <v>0</v>
      </c>
      <c r="O38" s="1477">
        <f>IFERROR(GETPIVOTDATA("合計 / " &amp; $B38,【ピボット】事業所収支!$A$3,"年月",O$1,"事業所",$A25)-O44,"")</f>
        <v>3385000</v>
      </c>
      <c r="P38" s="1477">
        <f>IFERROR(GETPIVOTDATA("合計 / " &amp; $B38,【ピボット】事業所収支!$A$3,"年月",P$1,"事業所",$A25)-P44,"")</f>
        <v>0</v>
      </c>
      <c r="Q38" s="1477">
        <f>IFERROR(GETPIVOTDATA("合計 / " &amp; $B38,【ピボット】事業所収支!$A$3,"年月",Q$1,"事業所",$A25)-Q44,"")</f>
        <v>0</v>
      </c>
      <c r="R38" s="1477">
        <f>IFERROR(GETPIVOTDATA("合計 / " &amp; $B38,【ピボット】事業所収支!$A$3,"年月",R$1,"事業所",$A25)-R44,"")</f>
        <v>0</v>
      </c>
      <c r="S38" s="1477">
        <f>IFERROR(GETPIVOTDATA("合計 / " &amp; $B38,【ピボット】事業所収支!$A$3,"年月",S$1,"事業所",$A25)-S44,"")</f>
        <v>0</v>
      </c>
      <c r="T38" s="1477">
        <f>IFERROR(GETPIVOTDATA("合計 / " &amp; $B38,【ピボット】事業所収支!$A$3,"年月",T$1,"事業所",$A25)-T44,"")</f>
        <v>0</v>
      </c>
      <c r="U38" s="1477">
        <f>IFERROR(GETPIVOTDATA("合計 / " &amp; $B38,【ピボット】事業所収支!$A$3,"年月",U$1,"事業所",$A25)-U44,"")</f>
        <v>650000</v>
      </c>
      <c r="V38" s="1477">
        <f>IFERROR(GETPIVOTDATA("合計 / " &amp; $B38,【ピボット】事業所収支!$A$3,"年月",V$1,"事業所",$A25)-V44,"")</f>
        <v>0</v>
      </c>
      <c r="W38" s="1477">
        <f>IFERROR(GETPIVOTDATA("合計 / " &amp; $B38,【ピボット】事業所収支!$A$3,"年月",W$1,"事業所",$A25)-W44,"")</f>
        <v>500000</v>
      </c>
      <c r="X38" s="1477">
        <f>IFERROR(GETPIVOTDATA("合計 / " &amp; $B38,【ピボット】事業所収支!$A$3,"年月",X$1,"事業所",$A25)-X44,"")</f>
        <v>0</v>
      </c>
      <c r="Y38" s="1477">
        <f>IFERROR(GETPIVOTDATA("合計 / " &amp; $B38,【ピボット】事業所収支!$A$3,"年月",Y$1,"事業所",$A25)-Y44,"")</f>
        <v>0</v>
      </c>
      <c r="Z38" s="1477">
        <f>IFERROR(GETPIVOTDATA("合計 / " &amp; $B38,【ピボット】事業所収支!$A$3,"年月",Z$1,"事業所",$A25)-Z44,"")</f>
        <v>0</v>
      </c>
      <c r="AA38" s="1477">
        <f>IFERROR(GETPIVOTDATA("合計 / " &amp; $B38,【ピボット】事業所収支!$A$3,"年月",AA$1,"事業所",$A25)-AA44,"")</f>
        <v>2468595</v>
      </c>
      <c r="AB38" s="1477">
        <f>IFERROR(GETPIVOTDATA("合計 / " &amp; $B38,【ピボット】事業所収支!$A$3,"年月",AB$1,"事業所",$A25)-AB44,"")</f>
        <v>0</v>
      </c>
      <c r="AC38" s="1477">
        <f>IFERROR(GETPIVOTDATA("合計 / " &amp; $B38,【ピボット】事業所収支!$A$3,"年月",AC$1,"事業所",$A25)-AC44,"")</f>
        <v>0</v>
      </c>
      <c r="AD38" s="1477">
        <f>IFERROR(GETPIVOTDATA("合計 / " &amp; $B38,【ピボット】事業所収支!$A$3,"年月",AD$1,"事業所",$A25)-AD44,"")</f>
        <v>0</v>
      </c>
      <c r="AE38" s="1477">
        <f>IFERROR(GETPIVOTDATA("合計 / " &amp; $B38,【ピボット】事業所収支!$A$3,"年月",AE$1,"事業所",$A25)-AE44,"")</f>
        <v>0</v>
      </c>
      <c r="AF38" s="1477" t="str">
        <f>IFERROR(GETPIVOTDATA("合計 / " &amp; $B38,【ピボット】事業所収支!$A$3,"年月",AF$1,"事業所",$A25)-AF44,"")</f>
        <v/>
      </c>
      <c r="AG38" s="1477" t="str">
        <f>IFERROR(GETPIVOTDATA("合計 / " &amp; $B38,【ピボット】事業所収支!$A$3,"年月",AG$1,"事業所",$A25)-AG44,"")</f>
        <v/>
      </c>
      <c r="AH38" s="1477" t="str">
        <f>IFERROR(GETPIVOTDATA("合計 / " &amp; $B38,【ピボット】事業所収支!$A$3,"年月",AH$1,"事業所",$A25)-AH44,"")</f>
        <v/>
      </c>
      <c r="AI38" s="1477" t="str">
        <f>IFERROR(GETPIVOTDATA("合計 / " &amp; $B38,【ピボット】事業所収支!$A$3,"年月",AI$1,"事業所",$A25)-AI44,"")</f>
        <v/>
      </c>
      <c r="AJ38" s="1477" t="str">
        <f>IFERROR(GETPIVOTDATA("合計 / " &amp; $B38,【ピボット】事業所収支!$A$3,"年月",AJ$1,"事業所",$A25)-AJ44,"")</f>
        <v/>
      </c>
      <c r="AK38" s="1477" t="str">
        <f>IFERROR(GETPIVOTDATA("合計 / " &amp; $B38,【ピボット】事業所収支!$A$3,"年月",AK$1,"事業所",$A25)-AK44,"")</f>
        <v/>
      </c>
      <c r="AL38" s="1477" t="str">
        <f>IFERROR(GETPIVOTDATA("合計 / " &amp; $B38,【ピボット】事業所収支!$A$3,"年月",AL$1,"事業所",$A25)-AL44,"")</f>
        <v/>
      </c>
      <c r="AM38" s="1477" t="str">
        <f>IFERROR(GETPIVOTDATA("合計 / " &amp; $B38,【ピボット】事業所収支!$A$3,"年月",AM$1,"事業所",$A25)-AM44,"")</f>
        <v/>
      </c>
      <c r="AN38" s="1477" t="str">
        <f>IFERROR(GETPIVOTDATA("合計 / " &amp; $B38,【ピボット】事業所収支!$A$3,"年月",AN$1,"事業所",$A25)-AN44,"")</f>
        <v/>
      </c>
      <c r="AO38" s="1477" t="str">
        <f>IFERROR(GETPIVOTDATA("合計 / " &amp; $B38,【ピボット】事業所収支!$A$3,"年月",AO$1,"事業所",$A25)-AO44,"")</f>
        <v/>
      </c>
      <c r="AP38" s="1477" t="str">
        <f>IFERROR(GETPIVOTDATA("合計 / " &amp; $B38,【ピボット】事業所収支!$A$3,"年月",AP$1,"事業所",$A25)-AP44,"")</f>
        <v/>
      </c>
      <c r="AQ38" s="1477" t="str">
        <f>IFERROR(GETPIVOTDATA("合計 / " &amp; $B38,【ピボット】事業所収支!$A$3,"年月",AQ$1,"事業所",$A25)-AQ44,"")</f>
        <v/>
      </c>
      <c r="AR38" s="1477" t="str">
        <f>IFERROR(GETPIVOTDATA("合計 / " &amp; $B38,【ピボット】事業所収支!$A$3,"年月",AR$1,"事業所",$A25)-AR44,"")</f>
        <v/>
      </c>
    </row>
    <row r="39" spans="1:44" x14ac:dyDescent="0.15">
      <c r="A39" s="2062"/>
      <c r="B39" s="724" t="s">
        <v>894</v>
      </c>
      <c r="C39" s="1475">
        <f>IF(C37="","",ROUND(C38/6,0))</f>
        <v>286567</v>
      </c>
      <c r="D39" s="1476">
        <f>IF(D37="","",ROUND(C38/6,0))</f>
        <v>286567</v>
      </c>
      <c r="E39" s="1477">
        <f>IF(E37="","",ROUND(C38/6,0))</f>
        <v>286567</v>
      </c>
      <c r="F39" s="1477">
        <f>IF(F37="","",ROUND(C38/6,0))</f>
        <v>286567</v>
      </c>
      <c r="G39" s="1477">
        <f>IF(G37="","",ROUND(C38/6,0))</f>
        <v>286567</v>
      </c>
      <c r="H39" s="1477">
        <f>IF(H37="","",ROUND(C38/6,0))</f>
        <v>286567</v>
      </c>
      <c r="I39" s="1477">
        <f>IF(I37="","",ROUND(I38/6,0))</f>
        <v>0</v>
      </c>
      <c r="J39" s="1477">
        <f>IF(J37="","",ROUND(I38/6,0))</f>
        <v>0</v>
      </c>
      <c r="K39" s="1477">
        <f>IF(K37="","",ROUND(I38/6,0))</f>
        <v>0</v>
      </c>
      <c r="L39" s="1477">
        <f>IF(L37="","",ROUND(I38/6,0))</f>
        <v>0</v>
      </c>
      <c r="M39" s="1477">
        <f>IF(M37="","",ROUND(I38/6,0))</f>
        <v>0</v>
      </c>
      <c r="N39" s="1477">
        <f>IF(N37="","",ROUND(I38/6,0))</f>
        <v>0</v>
      </c>
      <c r="O39" s="1477">
        <f>IF(O37="","",ROUND(O38/6,0))</f>
        <v>564167</v>
      </c>
      <c r="P39" s="1477">
        <f>IF(P37="","",ROUND(O38/6,0))</f>
        <v>564167</v>
      </c>
      <c r="Q39" s="1477">
        <f>IF(Q37="","",ROUND(O38/6,0))</f>
        <v>564167</v>
      </c>
      <c r="R39" s="1477">
        <f>IF(R37="","",ROUND(O38/6,0))</f>
        <v>564167</v>
      </c>
      <c r="S39" s="1477">
        <f>IF(S37="","",ROUND(O38/6,0))</f>
        <v>564167</v>
      </c>
      <c r="T39" s="1477">
        <f>IF(T37="","",ROUND(O38/6,0))</f>
        <v>564167</v>
      </c>
      <c r="U39" s="1477">
        <f>IF(U37="","",ROUND(U38/6,0))</f>
        <v>108333</v>
      </c>
      <c r="V39" s="1477">
        <f>IF(V37="","",ROUND(U38/6,0))</f>
        <v>108333</v>
      </c>
      <c r="W39" s="1477">
        <f>IF(W37="","",ROUND(U38/6,0))</f>
        <v>108333</v>
      </c>
      <c r="X39" s="1477">
        <f>IF(X37="","",ROUND(U38/6,0))</f>
        <v>108333</v>
      </c>
      <c r="Y39" s="1477">
        <f>IF(Y37="","",ROUND(U38/6,0))</f>
        <v>108333</v>
      </c>
      <c r="Z39" s="1477">
        <f>IF(Z37="","",ROUND(U38/6,0))</f>
        <v>108333</v>
      </c>
      <c r="AA39" s="1477">
        <f>IF(AA37="","",ROUND(AA38/6,0))</f>
        <v>411433</v>
      </c>
      <c r="AB39" s="1477">
        <f>IF(AB37="","",ROUND(AA38/6,0))</f>
        <v>411433</v>
      </c>
      <c r="AC39" s="1477">
        <f>IF(AC37="","",ROUND(AA38/6,0))</f>
        <v>411433</v>
      </c>
      <c r="AD39" s="1477">
        <f>IF(AD37="","",ROUND(AA38/6,0))</f>
        <v>411433</v>
      </c>
      <c r="AE39" s="1477">
        <f>IF(AE37="","",ROUND(AA38/6,0))</f>
        <v>411433</v>
      </c>
      <c r="AF39" s="1477" t="str">
        <f>IF(AF37="","",ROUND(AA38/6,0))</f>
        <v/>
      </c>
      <c r="AG39" s="1477" t="str">
        <f>IF(AG37="","",ROUND(AG38/6,0))</f>
        <v/>
      </c>
      <c r="AH39" s="1477" t="str">
        <f>IF(AH37="","",ROUND(AG38/6,0))</f>
        <v/>
      </c>
      <c r="AI39" s="1477" t="str">
        <f>IF(AI37="","",ROUND(AG38/6,0))</f>
        <v/>
      </c>
      <c r="AJ39" s="1477" t="str">
        <f>IF(AJ37="","",ROUND(AG38/6,0))</f>
        <v/>
      </c>
      <c r="AK39" s="1477" t="str">
        <f>IF(AK37="","",ROUND(AG38/6,0))</f>
        <v/>
      </c>
      <c r="AL39" s="1477" t="str">
        <f>IF(AL37="","",ROUND(AG38/6,0))</f>
        <v/>
      </c>
      <c r="AM39" s="1477" t="str">
        <f>IF(AM37="","",ROUND(AM38/6,0))</f>
        <v/>
      </c>
      <c r="AN39" s="1477" t="str">
        <f>IF(AN37="","",ROUND(AM38/6,0))</f>
        <v/>
      </c>
      <c r="AO39" s="1477" t="str">
        <f>IF(AO37="","",ROUND(AM38/6,0))</f>
        <v/>
      </c>
      <c r="AP39" s="1477" t="str">
        <f>IF(AP37="","",ROUND(AM38/6,0))</f>
        <v/>
      </c>
      <c r="AQ39" s="1477" t="str">
        <f>IF(AQ37="","",ROUND(AM38/6,0))</f>
        <v/>
      </c>
      <c r="AR39" s="1477" t="str">
        <f>IF(AR37="","",ROUND(AM38/6,0))</f>
        <v/>
      </c>
    </row>
    <row r="40" spans="1:44" x14ac:dyDescent="0.15">
      <c r="A40" s="2062"/>
      <c r="B40" s="724" t="s">
        <v>889</v>
      </c>
      <c r="C40" s="1475">
        <f>IFERROR(GETPIVOTDATA("合計 / " &amp; $B40,【ピボット】事業所収支!$A$3,"年月",C$1,"事業所",$A25)-C45,"")</f>
        <v>51212</v>
      </c>
      <c r="D40" s="1476">
        <f>IFERROR(GETPIVOTDATA("合計 / " &amp; $B40,【ピボット】事業所収支!$A$3,"年月",D$1,"事業所",$A25)-D45,"")</f>
        <v>694105</v>
      </c>
      <c r="E40" s="1476">
        <f>IFERROR(GETPIVOTDATA("合計 / " &amp; $B40,【ピボット】事業所収支!$A$3,"年月",E$1,"事業所",$A25)-E45,"")</f>
        <v>233961</v>
      </c>
      <c r="F40" s="1476">
        <f>IFERROR(GETPIVOTDATA("合計 / " &amp; $B40,【ピボット】事業所収支!$A$3,"年月",F$1,"事業所",$A25)-F45,"")</f>
        <v>225091</v>
      </c>
      <c r="G40" s="1476">
        <f>IFERROR(GETPIVOTDATA("合計 / " &amp; $B40,【ピボット】事業所収支!$A$3,"年月",G$1,"事業所",$A25)-G45,"")</f>
        <v>233447</v>
      </c>
      <c r="H40" s="1476">
        <f>IFERROR(GETPIVOTDATA("合計 / " &amp; $B40,【ピボット】事業所収支!$A$3,"年月",H$1,"事業所",$A25)-H45,"")</f>
        <v>241629</v>
      </c>
      <c r="I40" s="1476">
        <f>IFERROR(GETPIVOTDATA("合計 / " &amp; $B40,【ピボット】事業所収支!$A$3,"年月",I$1,"事業所",$A25)-I45,"")</f>
        <v>303558</v>
      </c>
      <c r="J40" s="1476">
        <f>IFERROR(GETPIVOTDATA("合計 / " &amp; $B40,【ピボット】事業所収支!$A$3,"年月",J$1,"事業所",$A25)-J45,"")</f>
        <v>483235</v>
      </c>
      <c r="K40" s="1476">
        <f>IFERROR(GETPIVOTDATA("合計 / " &amp; $B40,【ピボット】事業所収支!$A$3,"年月",K$1,"事業所",$A25)-K45,"")</f>
        <v>238951</v>
      </c>
      <c r="L40" s="1476">
        <f>IFERROR(GETPIVOTDATA("合計 / " &amp; $B40,【ピボット】事業所収支!$A$3,"年月",L$1,"事業所",$A25)-L45,"")</f>
        <v>202565</v>
      </c>
      <c r="M40" s="1476">
        <f>IFERROR(GETPIVOTDATA("合計 / " &amp; $B40,【ピボット】事業所収支!$A$3,"年月",M$1,"事業所",$A25)-M45,"")</f>
        <v>357262</v>
      </c>
      <c r="N40" s="1476">
        <f>IFERROR(GETPIVOTDATA("合計 / " &amp; $B40,【ピボット】事業所収支!$A$3,"年月",N$1,"事業所",$A25)-N45,"")</f>
        <v>348728</v>
      </c>
      <c r="O40" s="1476">
        <f>IFERROR(GETPIVOTDATA("合計 / " &amp; $B40,【ピボット】事業所収支!$A$3,"年月",O$1,"事業所",$A25)-O45,"")</f>
        <v>-116891.03357865883</v>
      </c>
      <c r="P40" s="1476">
        <f>IFERROR(GETPIVOTDATA("合計 / " &amp; $B40,【ピボット】事業所収支!$A$3,"年月",P$1,"事業所",$A25)-P45,"")</f>
        <v>1287495</v>
      </c>
      <c r="Q40" s="1476">
        <f>IFERROR(GETPIVOTDATA("合計 / " &amp; $B40,【ピボット】事業所収支!$A$3,"年月",Q$1,"事業所",$A25)-Q45,"")</f>
        <v>291654</v>
      </c>
      <c r="R40" s="1476">
        <f>IFERROR(GETPIVOTDATA("合計 / " &amp; $B40,【ピボット】事業所収支!$A$3,"年月",R$1,"事業所",$A25)-R45,"")</f>
        <v>329838</v>
      </c>
      <c r="S40" s="1476">
        <f>IFERROR(GETPIVOTDATA("合計 / " &amp; $B40,【ピボット】事業所収支!$A$3,"年月",S$1,"事業所",$A25)-S45,"")</f>
        <v>306597</v>
      </c>
      <c r="T40" s="1476">
        <f>IFERROR(GETPIVOTDATA("合計 / " &amp; $B40,【ピボット】事業所収支!$A$3,"年月",T$1,"事業所",$A25)-T45,"")</f>
        <v>310628</v>
      </c>
      <c r="U40" s="1476">
        <f>IFERROR(GETPIVOTDATA("合計 / " &amp; $B40,【ピボット】事業所収支!$A$3,"年月",U$1,"事業所",$A25)-U45,"")</f>
        <v>268442</v>
      </c>
      <c r="V40" s="1476">
        <f>IFERROR(GETPIVOTDATA("合計 / " &amp; $B40,【ピボット】事業所収支!$A$3,"年月",V$1,"事業所",$A25)-V45,"")</f>
        <v>723173</v>
      </c>
      <c r="W40" s="1476">
        <f>IFERROR(GETPIVOTDATA("合計 / " &amp; $B40,【ピボット】事業所収支!$A$3,"年月",W$1,"事業所",$A25)-W45,"")</f>
        <v>321299</v>
      </c>
      <c r="X40" s="1476">
        <f>IFERROR(GETPIVOTDATA("合計 / " &amp; $B40,【ピボット】事業所収支!$A$3,"年月",X$1,"事業所",$A25)-X45,"")</f>
        <v>341246</v>
      </c>
      <c r="Y40" s="1476">
        <f>IFERROR(GETPIVOTDATA("合計 / " &amp; $B40,【ピボット】事業所収支!$A$3,"年月",Y$1,"事業所",$A25)-Y45,"")</f>
        <v>389644</v>
      </c>
      <c r="Z40" s="1476">
        <f>IFERROR(GETPIVOTDATA("合計 / " &amp; $B40,【ピボット】事業所収支!$A$3,"年月",Z$1,"事業所",$A25)-Z45,"")</f>
        <v>322670</v>
      </c>
      <c r="AA40" s="1476">
        <f>IFERROR(GETPIVOTDATA("合計 / " &amp; $B40,【ピボット】事業所収支!$A$3,"年月",AA$1,"事業所",$A25)-AA45,"")</f>
        <v>726744</v>
      </c>
      <c r="AB40" s="1476">
        <f>IFERROR(GETPIVOTDATA("合計 / " &amp; $B40,【ピボット】事業所収支!$A$3,"年月",AB$1,"事業所",$A25)-AB45,"")</f>
        <v>250582</v>
      </c>
      <c r="AC40" s="1476">
        <f>IFERROR(GETPIVOTDATA("合計 / " &amp; $B40,【ピボット】事業所収支!$A$3,"年月",AC$1,"事業所",$A25)-AC45,"")</f>
        <v>258287</v>
      </c>
      <c r="AD40" s="1476">
        <f>IFERROR(GETPIVOTDATA("合計 / " &amp; $B40,【ピボット】事業所収支!$A$3,"年月",AD$1,"事業所",$A25)-AD45,"")</f>
        <v>224161</v>
      </c>
      <c r="AE40" s="1476">
        <f>IFERROR(GETPIVOTDATA("合計 / " &amp; $B40,【ピボット】事業所収支!$A$3,"年月",AE$1,"事業所",$A25)-AE45,"")</f>
        <v>271313</v>
      </c>
      <c r="AF40" s="1476" t="str">
        <f>IFERROR(GETPIVOTDATA("合計 / " &amp; $B40,【ピボット】事業所収支!$A$3,"年月",AF$1,"事業所",$A25)-AF45,"")</f>
        <v/>
      </c>
      <c r="AG40" s="1476" t="str">
        <f>IFERROR(GETPIVOTDATA("合計 / " &amp; $B40,【ピボット】事業所収支!$A$3,"年月",AG$1,"事業所",$A25)-AG45,"")</f>
        <v/>
      </c>
      <c r="AH40" s="1476" t="str">
        <f>IFERROR(GETPIVOTDATA("合計 / " &amp; $B40,【ピボット】事業所収支!$A$3,"年月",AH$1,"事業所",$A25)-AH45,"")</f>
        <v/>
      </c>
      <c r="AI40" s="1476" t="str">
        <f>IFERROR(GETPIVOTDATA("合計 / " &amp; $B40,【ピボット】事業所収支!$A$3,"年月",AI$1,"事業所",$A25)-AI45,"")</f>
        <v/>
      </c>
      <c r="AJ40" s="1476" t="str">
        <f>IFERROR(GETPIVOTDATA("合計 / " &amp; $B40,【ピボット】事業所収支!$A$3,"年月",AJ$1,"事業所",$A25)-AJ45,"")</f>
        <v/>
      </c>
      <c r="AK40" s="1476" t="str">
        <f>IFERROR(GETPIVOTDATA("合計 / " &amp; $B40,【ピボット】事業所収支!$A$3,"年月",AK$1,"事業所",$A25)-AK45,"")</f>
        <v/>
      </c>
      <c r="AL40" s="1476" t="str">
        <f>IFERROR(GETPIVOTDATA("合計 / " &amp; $B40,【ピボット】事業所収支!$A$3,"年月",AL$1,"事業所",$A25)-AL45,"")</f>
        <v/>
      </c>
      <c r="AM40" s="1476" t="str">
        <f>IFERROR(GETPIVOTDATA("合計 / " &amp; $B40,【ピボット】事業所収支!$A$3,"年月",AM$1,"事業所",$A25)-AM45,"")</f>
        <v/>
      </c>
      <c r="AN40" s="1476" t="str">
        <f>IFERROR(GETPIVOTDATA("合計 / " &amp; $B40,【ピボット】事業所収支!$A$3,"年月",AN$1,"事業所",$A25)-AN45,"")</f>
        <v/>
      </c>
      <c r="AO40" s="1476" t="str">
        <f>IFERROR(GETPIVOTDATA("合計 / " &amp; $B40,【ピボット】事業所収支!$A$3,"年月",AO$1,"事業所",$A25)-AO45,"")</f>
        <v/>
      </c>
      <c r="AP40" s="1476" t="str">
        <f>IFERROR(GETPIVOTDATA("合計 / " &amp; $B40,【ピボット】事業所収支!$A$3,"年月",AP$1,"事業所",$A25)-AP45,"")</f>
        <v/>
      </c>
      <c r="AQ40" s="1476" t="str">
        <f>IFERROR(GETPIVOTDATA("合計 / " &amp; $B40,【ピボット】事業所収支!$A$3,"年月",AQ$1,"事業所",$A25)-AQ45,"")</f>
        <v/>
      </c>
      <c r="AR40" s="1476" t="str">
        <f>IFERROR(GETPIVOTDATA("合計 / " &amp; $B40,【ピボット】事業所収支!$A$3,"年月",AR$1,"事業所",$A25)-AR45,"")</f>
        <v/>
      </c>
    </row>
    <row r="41" spans="1:44" x14ac:dyDescent="0.15">
      <c r="A41" s="2062"/>
      <c r="B41" s="724" t="s">
        <v>893</v>
      </c>
      <c r="C41" s="1475">
        <f>IFERROR(GETPIVOTDATA("合計 / " &amp; $B41,【ピボット】事業所収支!$A$3,"年月",C$1,"事業所",$A25),"")</f>
        <v>8259</v>
      </c>
      <c r="D41" s="1476">
        <f>IFERROR(GETPIVOTDATA("合計 / " &amp; $B41,【ピボット】事業所収支!$A$3,"年月",D$1,"事業所",$A25),"")</f>
        <v>10018</v>
      </c>
      <c r="E41" s="1476">
        <f>IFERROR(GETPIVOTDATA("合計 / " &amp; $B41,【ピボット】事業所収支!$A$3,"年月",E$1,"事業所",$A25),"")</f>
        <v>13138</v>
      </c>
      <c r="F41" s="1476">
        <f>IFERROR(GETPIVOTDATA("合計 / " &amp; $B41,【ピボット】事業所収支!$A$3,"年月",F$1,"事業所",$A25),"")</f>
        <v>9072</v>
      </c>
      <c r="G41" s="1476">
        <f>IFERROR(GETPIVOTDATA("合計 / " &amp; $B41,【ピボット】事業所収支!$A$3,"年月",G$1,"事業所",$A25),"")</f>
        <v>9072</v>
      </c>
      <c r="H41" s="1476">
        <f>IFERROR(GETPIVOTDATA("合計 / " &amp; $B41,【ピボット】事業所収支!$A$3,"年月",H$1,"事業所",$A25),"")</f>
        <v>9072</v>
      </c>
      <c r="I41" s="1476">
        <f>IFERROR(GETPIVOTDATA("合計 / " &amp; $B41,【ピボット】事業所収支!$A$3,"年月",I$1,"事業所",$A25),"")</f>
        <v>19356</v>
      </c>
      <c r="J41" s="1476">
        <f>IFERROR(GETPIVOTDATA("合計 / " &amp; $B41,【ピボット】事業所収支!$A$3,"年月",J$1,"事業所",$A25),"")</f>
        <v>9072</v>
      </c>
      <c r="K41" s="1476">
        <f>IFERROR(GETPIVOTDATA("合計 / " &amp; $B41,【ピボット】事業所収支!$A$3,"年月",K$1,"事業所",$A25),"")</f>
        <v>0</v>
      </c>
      <c r="L41" s="1476">
        <f>IFERROR(GETPIVOTDATA("合計 / " &amp; $B41,【ピボット】事業所収支!$A$3,"年月",L$1,"事業所",$A25),"")</f>
        <v>0</v>
      </c>
      <c r="M41" s="1476">
        <f>IFERROR(GETPIVOTDATA("合計 / " &amp; $B41,【ピボット】事業所収支!$A$3,"年月",M$1,"事業所",$A25),"")</f>
        <v>163333</v>
      </c>
      <c r="N41" s="1476">
        <f>IFERROR(GETPIVOTDATA("合計 / " &amp; $B41,【ピボット】事業所収支!$A$3,"年月",N$1,"事業所",$A25),"")</f>
        <v>15553</v>
      </c>
      <c r="O41" s="1476">
        <f>IFERROR(GETPIVOTDATA("合計 / " &amp; $B41,【ピボット】事業所収支!$A$3,"年月",O$1,"事業所",$A25),"")</f>
        <v>0</v>
      </c>
      <c r="P41" s="1476">
        <f>IFERROR(GETPIVOTDATA("合計 / " &amp; $B41,【ピボット】事業所収支!$A$3,"年月",P$1,"事業所",$A25),"")</f>
        <v>0</v>
      </c>
      <c r="Q41" s="1476">
        <f>IFERROR(GETPIVOTDATA("合計 / " &amp; $B41,【ピボット】事業所収支!$A$3,"年月",Q$1,"事業所",$A25),"")</f>
        <v>3005</v>
      </c>
      <c r="R41" s="1476">
        <f>IFERROR(GETPIVOTDATA("合計 / " &amp; $B41,【ピボット】事業所収支!$A$3,"年月",R$1,"事業所",$A25),"")</f>
        <v>2869</v>
      </c>
      <c r="S41" s="1476">
        <f>IFERROR(GETPIVOTDATA("合計 / " &amp; $B41,【ピボット】事業所収支!$A$3,"年月",S$1,"事業所",$A25),"")</f>
        <v>8990</v>
      </c>
      <c r="T41" s="1476">
        <f>IFERROR(GETPIVOTDATA("合計 / " &amp; $B41,【ピボット】事業所収支!$A$3,"年月",T$1,"事業所",$A25),"")</f>
        <v>2500</v>
      </c>
      <c r="U41" s="1476">
        <f>IFERROR(GETPIVOTDATA("合計 / " &amp; $B41,【ピボット】事業所収支!$A$3,"年月",U$1,"事業所",$A25),"")</f>
        <v>82228</v>
      </c>
      <c r="V41" s="1476">
        <f>IFERROR(GETPIVOTDATA("合計 / " &amp; $B41,【ピボット】事業所収支!$A$3,"年月",V$1,"事業所",$A25),"")</f>
        <v>7595</v>
      </c>
      <c r="W41" s="1476">
        <f>IFERROR(GETPIVOTDATA("合計 / " &amp; $B41,【ピボット】事業所収支!$A$3,"年月",W$1,"事業所",$A25),"")</f>
        <v>11277</v>
      </c>
      <c r="X41" s="1476">
        <f>IFERROR(GETPIVOTDATA("合計 / " &amp; $B41,【ピボット】事業所収支!$A$3,"年月",X$1,"事業所",$A25),"")</f>
        <v>492</v>
      </c>
      <c r="Y41" s="1476">
        <f>IFERROR(GETPIVOTDATA("合計 / " &amp; $B41,【ピボット】事業所収支!$A$3,"年月",Y$1,"事業所",$A25),"")</f>
        <v>20664</v>
      </c>
      <c r="Z41" s="1476">
        <f>IFERROR(GETPIVOTDATA("合計 / " &amp; $B41,【ピボット】事業所収支!$A$3,"年月",Z$1,"事業所",$A25),"")</f>
        <v>24569</v>
      </c>
      <c r="AA41" s="1476">
        <f>IFERROR(GETPIVOTDATA("合計 / " &amp; $B41,【ピボット】事業所収支!$A$3,"年月",AA$1,"事業所",$A25),"")</f>
        <v>17854</v>
      </c>
      <c r="AB41" s="1476">
        <f>IFERROR(GETPIVOTDATA("合計 / " &amp; $B41,【ピボット】事業所収支!$A$3,"年月",AB$1,"事業所",$A25),"")</f>
        <v>206088</v>
      </c>
      <c r="AC41" s="1476">
        <f>IFERROR(GETPIVOTDATA("合計 / " &amp; $B41,【ピボット】事業所収支!$A$3,"年月",AC$1,"事業所",$A25),"")</f>
        <v>7882</v>
      </c>
      <c r="AD41" s="1476">
        <f>IFERROR(GETPIVOTDATA("合計 / " &amp; $B41,【ピボット】事業所収支!$A$3,"年月",AD$1,"事業所",$A25),"")</f>
        <v>3831</v>
      </c>
      <c r="AE41" s="1476">
        <f>IFERROR(GETPIVOTDATA("合計 / " &amp; $B41,【ピボット】事業所収支!$A$3,"年月",AE$1,"事業所",$A25),"")</f>
        <v>15808</v>
      </c>
      <c r="AF41" s="1476" t="str">
        <f>IFERROR(GETPIVOTDATA("合計 / " &amp; $B41,【ピボット】事業所収支!$A$3,"年月",AF$1,"事業所",$A25),"")</f>
        <v/>
      </c>
      <c r="AG41" s="1476" t="str">
        <f>IFERROR(GETPIVOTDATA("合計 / " &amp; $B41,【ピボット】事業所収支!$A$3,"年月",AG$1,"事業所",$A25),"")</f>
        <v/>
      </c>
      <c r="AH41" s="1476" t="str">
        <f>IFERROR(GETPIVOTDATA("合計 / " &amp; $B41,【ピボット】事業所収支!$A$3,"年月",AH$1,"事業所",$A25),"")</f>
        <v/>
      </c>
      <c r="AI41" s="1476" t="str">
        <f>IFERROR(GETPIVOTDATA("合計 / " &amp; $B41,【ピボット】事業所収支!$A$3,"年月",AI$1,"事業所",$A25),"")</f>
        <v/>
      </c>
      <c r="AJ41" s="1476" t="str">
        <f>IFERROR(GETPIVOTDATA("合計 / " &amp; $B41,【ピボット】事業所収支!$A$3,"年月",AJ$1,"事業所",$A25),"")</f>
        <v/>
      </c>
      <c r="AK41" s="1476" t="str">
        <f>IFERROR(GETPIVOTDATA("合計 / " &amp; $B41,【ピボット】事業所収支!$A$3,"年月",AK$1,"事業所",$A25),"")</f>
        <v/>
      </c>
      <c r="AL41" s="1476" t="str">
        <f>IFERROR(GETPIVOTDATA("合計 / " &amp; $B41,【ピボット】事業所収支!$A$3,"年月",AL$1,"事業所",$A25),"")</f>
        <v/>
      </c>
      <c r="AM41" s="1476" t="str">
        <f>IFERROR(GETPIVOTDATA("合計 / " &amp; $B41,【ピボット】事業所収支!$A$3,"年月",AM$1,"事業所",$A25),"")</f>
        <v/>
      </c>
      <c r="AN41" s="1476" t="str">
        <f>IFERROR(GETPIVOTDATA("合計 / " &amp; $B41,【ピボット】事業所収支!$A$3,"年月",AN$1,"事業所",$A25),"")</f>
        <v/>
      </c>
      <c r="AO41" s="1476" t="str">
        <f>IFERROR(GETPIVOTDATA("合計 / " &amp; $B41,【ピボット】事業所収支!$A$3,"年月",AO$1,"事業所",$A25),"")</f>
        <v/>
      </c>
      <c r="AP41" s="1476" t="str">
        <f>IFERROR(GETPIVOTDATA("合計 / " &amp; $B41,【ピボット】事業所収支!$A$3,"年月",AP$1,"事業所",$A25),"")</f>
        <v/>
      </c>
      <c r="AQ41" s="1476" t="str">
        <f>IFERROR(GETPIVOTDATA("合計 / " &amp; $B41,【ピボット】事業所収支!$A$3,"年月",AQ$1,"事業所",$A25),"")</f>
        <v/>
      </c>
      <c r="AR41" s="1476" t="str">
        <f>IFERROR(GETPIVOTDATA("合計 / " &amp; $B41,【ピボット】事業所収支!$A$3,"年月",AR$1,"事業所",$A25),"")</f>
        <v/>
      </c>
    </row>
    <row r="42" spans="1:44" x14ac:dyDescent="0.15">
      <c r="A42" s="2062"/>
      <c r="B42" s="724" t="s">
        <v>892</v>
      </c>
      <c r="C42" s="1475">
        <f t="shared" ref="C42:J42" si="37">IF(SUM(C37,C40:C41)=0,"",SUM(C37,C40:C41))</f>
        <v>1746534</v>
      </c>
      <c r="D42" s="1476">
        <f t="shared" si="37"/>
        <v>2443904</v>
      </c>
      <c r="E42" s="1476">
        <f t="shared" si="37"/>
        <v>1890133</v>
      </c>
      <c r="F42" s="1476">
        <f t="shared" si="37"/>
        <v>1864211</v>
      </c>
      <c r="G42" s="1476">
        <f t="shared" si="37"/>
        <v>1876297</v>
      </c>
      <c r="H42" s="1476">
        <f t="shared" si="37"/>
        <v>1890086</v>
      </c>
      <c r="I42" s="1476">
        <f t="shared" si="37"/>
        <v>2184716</v>
      </c>
      <c r="J42" s="1476">
        <f t="shared" si="37"/>
        <v>2372623</v>
      </c>
      <c r="K42" s="1476">
        <f>IF(SUM(K37:K38,K40:K41)=0,"",SUM(K37:K38,K40:K41))</f>
        <v>2362361</v>
      </c>
      <c r="L42" s="1476">
        <f t="shared" ref="L42:Z42" si="38">IF(SUM(L37,L40:L41)=0,"",SUM(L37,L40:L41))</f>
        <v>1985396</v>
      </c>
      <c r="M42" s="1476">
        <f t="shared" si="38"/>
        <v>2446309</v>
      </c>
      <c r="N42" s="1476">
        <f t="shared" si="38"/>
        <v>2483217</v>
      </c>
      <c r="O42" s="1476">
        <f t="shared" si="38"/>
        <v>2143526.9664213411</v>
      </c>
      <c r="P42" s="1476">
        <f t="shared" si="38"/>
        <v>3534086</v>
      </c>
      <c r="Q42" s="1476">
        <f t="shared" si="38"/>
        <v>2836044</v>
      </c>
      <c r="R42" s="1476">
        <f t="shared" si="38"/>
        <v>2617731</v>
      </c>
      <c r="S42" s="1476">
        <f t="shared" si="38"/>
        <v>2594530</v>
      </c>
      <c r="T42" s="1476">
        <f t="shared" si="38"/>
        <v>2584372</v>
      </c>
      <c r="U42" s="1476">
        <f t="shared" si="38"/>
        <v>2681116</v>
      </c>
      <c r="V42" s="1476">
        <f t="shared" si="38"/>
        <v>3150633</v>
      </c>
      <c r="W42" s="1476">
        <f t="shared" si="38"/>
        <v>3099903</v>
      </c>
      <c r="X42" s="1476">
        <f t="shared" si="38"/>
        <v>3072759</v>
      </c>
      <c r="Y42" s="1476">
        <f t="shared" si="38"/>
        <v>2713663</v>
      </c>
      <c r="Z42" s="1476">
        <f t="shared" si="38"/>
        <v>2784496</v>
      </c>
      <c r="AA42" s="1476">
        <f t="shared" ref="AA42:AF42" si="39">IF(SUM(AA37,AA40:AA41)=0,"",SUM(AA37,AA40:AA41))</f>
        <v>3234180</v>
      </c>
      <c r="AB42" s="1476">
        <f t="shared" si="39"/>
        <v>2321610</v>
      </c>
      <c r="AC42" s="1476">
        <f t="shared" si="39"/>
        <v>2035009</v>
      </c>
      <c r="AD42" s="1476">
        <f t="shared" si="39"/>
        <v>1694679</v>
      </c>
      <c r="AE42" s="1476">
        <f t="shared" si="39"/>
        <v>1959917</v>
      </c>
      <c r="AF42" s="1476" t="str">
        <f t="shared" si="39"/>
        <v/>
      </c>
      <c r="AG42" s="1476" t="str">
        <f t="shared" ref="AG42:AR42" si="40">IF(SUM(AG37,AG40:AG41)=0,"",SUM(AG37,AG40:AG41))</f>
        <v/>
      </c>
      <c r="AH42" s="1476" t="str">
        <f t="shared" si="40"/>
        <v/>
      </c>
      <c r="AI42" s="1476" t="str">
        <f t="shared" si="40"/>
        <v/>
      </c>
      <c r="AJ42" s="1476" t="str">
        <f t="shared" si="40"/>
        <v/>
      </c>
      <c r="AK42" s="1476" t="str">
        <f t="shared" si="40"/>
        <v/>
      </c>
      <c r="AL42" s="1476" t="str">
        <f t="shared" si="40"/>
        <v/>
      </c>
      <c r="AM42" s="1476" t="str">
        <f t="shared" si="40"/>
        <v/>
      </c>
      <c r="AN42" s="1476" t="str">
        <f t="shared" si="40"/>
        <v/>
      </c>
      <c r="AO42" s="1476" t="str">
        <f t="shared" si="40"/>
        <v/>
      </c>
      <c r="AP42" s="1476" t="str">
        <f t="shared" si="40"/>
        <v/>
      </c>
      <c r="AQ42" s="1476" t="str">
        <f t="shared" si="40"/>
        <v/>
      </c>
      <c r="AR42" s="1476" t="str">
        <f t="shared" si="40"/>
        <v/>
      </c>
    </row>
    <row r="43" spans="1:44" x14ac:dyDescent="0.15">
      <c r="A43" s="2062"/>
      <c r="B43" s="724" t="s">
        <v>891</v>
      </c>
      <c r="C43" s="1475">
        <f>IFERROR(GETPIVOTDATA("合計 / " &amp; $B43,【ピボット】事業所収支!$A$3,"年月",C$1,"事業所",$A25),"")</f>
        <v>1456597</v>
      </c>
      <c r="D43" s="1476">
        <f>IFERROR(GETPIVOTDATA("合計 / " &amp; $B43,【ピボット】事業所収支!$A$3,"年月",D$1,"事業所",$A25),"")</f>
        <v>1415446</v>
      </c>
      <c r="E43" s="1476">
        <f>IFERROR(GETPIVOTDATA("合計 / " &amp; $B43,【ピボット】事業所収支!$A$3,"年月",E$1,"事業所",$A25),"")</f>
        <v>1336510</v>
      </c>
      <c r="F43" s="1476">
        <f>IFERROR(GETPIVOTDATA("合計 / " &amp; $B43,【ピボット】事業所収支!$A$3,"年月",F$1,"事業所",$A25),"")</f>
        <v>1375628</v>
      </c>
      <c r="G43" s="1476">
        <f>IFERROR(GETPIVOTDATA("合計 / " &amp; $B43,【ピボット】事業所収支!$A$3,"年月",G$1,"事業所",$A25),"")</f>
        <v>1196416</v>
      </c>
      <c r="H43" s="1476">
        <f>IFERROR(GETPIVOTDATA("合計 / " &amp; $B43,【ピボット】事業所収支!$A$3,"年月",H$1,"事業所",$A25),"")</f>
        <v>1191288</v>
      </c>
      <c r="I43" s="1476">
        <f>IFERROR(GETPIVOTDATA("合計 / " &amp; $B43,【ピボット】事業所収支!$A$3,"年月",I$1,"事業所",$A25),"")</f>
        <v>1364384</v>
      </c>
      <c r="J43" s="1476">
        <f>IFERROR(GETPIVOTDATA("合計 / " &amp; $B43,【ピボット】事業所収支!$A$3,"年月",J$1,"事業所",$A25),"")</f>
        <v>1356331</v>
      </c>
      <c r="K43" s="1476">
        <f>IFERROR(GETPIVOTDATA("合計 / " &amp; $B43,【ピボット】事業所収支!$A$3,"年月",K$1,"事業所",$A25),"")</f>
        <v>1351010</v>
      </c>
      <c r="L43" s="1476">
        <f>IFERROR(GETPIVOTDATA("合計 / " &amp; $B43,【ピボット】事業所収支!$A$3,"年月",L$1,"事業所",$A25),"")</f>
        <v>1513407</v>
      </c>
      <c r="M43" s="1476">
        <f>IFERROR(GETPIVOTDATA("合計 / " &amp; $B43,【ピボット】事業所収支!$A$3,"年月",M$1,"事業所",$A25),"")</f>
        <v>1521600</v>
      </c>
      <c r="N43" s="1476">
        <f>IFERROR(GETPIVOTDATA("合計 / " &amp; $B43,【ピボット】事業所収支!$A$3,"年月",N$1,"事業所",$A25),"")</f>
        <v>1346063</v>
      </c>
      <c r="O43" s="1476">
        <f>IFERROR(GETPIVOTDATA("合計 / " &amp; $B43,【ピボット】事業所収支!$A$3,"年月",O$1,"事業所",$A25),"")</f>
        <v>1316877</v>
      </c>
      <c r="P43" s="1476">
        <f>IFERROR(GETPIVOTDATA("合計 / " &amp; $B43,【ピボット】事業所収支!$A$3,"年月",P$1,"事業所",$A25),"")</f>
        <v>1289087</v>
      </c>
      <c r="Q43" s="1476">
        <f>IFERROR(GETPIVOTDATA("合計 / " &amp; $B43,【ピボット】事業所収支!$A$3,"年月",Q$1,"事業所",$A25),"")</f>
        <v>1305453</v>
      </c>
      <c r="R43" s="1476">
        <f>IFERROR(GETPIVOTDATA("合計 / " &amp; $B43,【ピボット】事業所収支!$A$3,"年月",R$1,"事業所",$A25),"")</f>
        <v>1522073</v>
      </c>
      <c r="S43" s="1476">
        <f>IFERROR(GETPIVOTDATA("合計 / " &amp; $B43,【ピボット】事業所収支!$A$3,"年月",S$1,"事業所",$A25),"")</f>
        <v>1506172</v>
      </c>
      <c r="T43" s="1476">
        <f>IFERROR(GETPIVOTDATA("合計 / " &amp; $B43,【ピボット】事業所収支!$A$3,"年月",T$1,"事業所",$A25),"")</f>
        <v>1344542</v>
      </c>
      <c r="U43" s="1476">
        <f>IFERROR(GETPIVOTDATA("合計 / " &amp; $B43,【ピボット】事業所収支!$A$3,"年月",U$1,"事業所",$A25),"")</f>
        <v>1393370</v>
      </c>
      <c r="V43" s="1476">
        <f>IFERROR(GETPIVOTDATA("合計 / " &amp; $B43,【ピボット】事業所収支!$A$3,"年月",V$1,"事業所",$A25),"")</f>
        <v>1478590</v>
      </c>
      <c r="W43" s="1476">
        <f>IFERROR(GETPIVOTDATA("合計 / " &amp; $B43,【ピボット】事業所収支!$A$3,"年月",W$1,"事業所",$A25),"")</f>
        <v>1216831</v>
      </c>
      <c r="X43" s="1476">
        <f>IFERROR(GETPIVOTDATA("合計 / " &amp; $B43,【ピボット】事業所収支!$A$3,"年月",X$1,"事業所",$A25),"")</f>
        <v>1309950</v>
      </c>
      <c r="Y43" s="1476">
        <f>IFERROR(GETPIVOTDATA("合計 / " &amp; $B43,【ピボット】事業所収支!$A$3,"年月",Y$1,"事業所",$A25),"")</f>
        <v>1568464</v>
      </c>
      <c r="Z43" s="1476">
        <f>IFERROR(GETPIVOTDATA("合計 / " &amp; $B43,【ピボット】事業所収支!$A$3,"年月",Z$1,"事業所",$A25),"")</f>
        <v>1559609</v>
      </c>
      <c r="AA43" s="1476">
        <f>IFERROR(GETPIVOTDATA("合計 / " &amp; $B43,【ピボット】事業所収支!$A$3,"年月",AA$1,"事業所",$A25),"")</f>
        <v>1573342</v>
      </c>
      <c r="AB43" s="1476">
        <f>IFERROR(GETPIVOTDATA("合計 / " &amp; $B43,【ピボット】事業所収支!$A$3,"年月",AB$1,"事業所",$A25),"")</f>
        <v>1653712</v>
      </c>
      <c r="AC43" s="1476">
        <f>IFERROR(GETPIVOTDATA("合計 / " &amp; $B43,【ピボット】事業所収支!$A$3,"年月",AC$1,"事業所",$A25),"")</f>
        <v>1497153</v>
      </c>
      <c r="AD43" s="1476">
        <f>IFERROR(GETPIVOTDATA("合計 / " &amp; $B43,【ピボット】事業所収支!$A$3,"年月",AD$1,"事業所",$A25),"")</f>
        <v>1672913</v>
      </c>
      <c r="AE43" s="1476">
        <f>IFERROR(GETPIVOTDATA("合計 / " &amp; $B43,【ピボット】事業所収支!$A$3,"年月",AE$1,"事業所",$A25),"")</f>
        <v>1593804</v>
      </c>
      <c r="AF43" s="1476" t="str">
        <f>IFERROR(GETPIVOTDATA("合計 / " &amp; $B43,【ピボット】事業所収支!$A$3,"年月",AF$1,"事業所",$A25),"")</f>
        <v/>
      </c>
      <c r="AG43" s="1476" t="str">
        <f>IFERROR(GETPIVOTDATA("合計 / " &amp; $B43,【ピボット】事業所収支!$A$3,"年月",AG$1,"事業所",$A25),"")</f>
        <v/>
      </c>
      <c r="AH43" s="1476" t="str">
        <f>IFERROR(GETPIVOTDATA("合計 / " &amp; $B43,【ピボット】事業所収支!$A$3,"年月",AH$1,"事業所",$A25),"")</f>
        <v/>
      </c>
      <c r="AI43" s="1476" t="str">
        <f>IFERROR(GETPIVOTDATA("合計 / " &amp; $B43,【ピボット】事業所収支!$A$3,"年月",AI$1,"事業所",$A25),"")</f>
        <v/>
      </c>
      <c r="AJ43" s="1476" t="str">
        <f>IFERROR(GETPIVOTDATA("合計 / " &amp; $B43,【ピボット】事業所収支!$A$3,"年月",AJ$1,"事業所",$A25),"")</f>
        <v/>
      </c>
      <c r="AK43" s="1476" t="str">
        <f>IFERROR(GETPIVOTDATA("合計 / " &amp; $B43,【ピボット】事業所収支!$A$3,"年月",AK$1,"事業所",$A25),"")</f>
        <v/>
      </c>
      <c r="AL43" s="1476" t="str">
        <f>IFERROR(GETPIVOTDATA("合計 / " &amp; $B43,【ピボット】事業所収支!$A$3,"年月",AL$1,"事業所",$A25),"")</f>
        <v/>
      </c>
      <c r="AM43" s="1476" t="str">
        <f>IFERROR(GETPIVOTDATA("合計 / " &amp; $B43,【ピボット】事業所収支!$A$3,"年月",AM$1,"事業所",$A25),"")</f>
        <v/>
      </c>
      <c r="AN43" s="1476" t="str">
        <f>IFERROR(GETPIVOTDATA("合計 / " &amp; $B43,【ピボット】事業所収支!$A$3,"年月",AN$1,"事業所",$A25),"")</f>
        <v/>
      </c>
      <c r="AO43" s="1476" t="str">
        <f>IFERROR(GETPIVOTDATA("合計 / " &amp; $B43,【ピボット】事業所収支!$A$3,"年月",AO$1,"事業所",$A25),"")</f>
        <v/>
      </c>
      <c r="AP43" s="1476" t="str">
        <f>IFERROR(GETPIVOTDATA("合計 / " &amp; $B43,【ピボット】事業所収支!$A$3,"年月",AP$1,"事業所",$A25),"")</f>
        <v/>
      </c>
      <c r="AQ43" s="1476" t="str">
        <f>IFERROR(GETPIVOTDATA("合計 / " &amp; $B43,【ピボット】事業所収支!$A$3,"年月",AQ$1,"事業所",$A25),"")</f>
        <v/>
      </c>
      <c r="AR43" s="1476" t="str">
        <f>IFERROR(GETPIVOTDATA("合計 / " &amp; $B43,【ピボット】事業所収支!$A$3,"年月",AR$1,"事業所",$A25),"")</f>
        <v/>
      </c>
    </row>
    <row r="44" spans="1:44" x14ac:dyDescent="0.15">
      <c r="A44" s="2063"/>
      <c r="B44" s="725" t="s">
        <v>890</v>
      </c>
      <c r="C44" s="720">
        <v>0</v>
      </c>
      <c r="D44" s="717">
        <v>0</v>
      </c>
      <c r="E44" s="717">
        <v>0</v>
      </c>
      <c r="F44" s="717">
        <v>0</v>
      </c>
      <c r="G44" s="717">
        <v>0</v>
      </c>
      <c r="H44" s="717">
        <v>0</v>
      </c>
      <c r="I44" s="717">
        <v>0</v>
      </c>
      <c r="J44" s="717">
        <v>0</v>
      </c>
      <c r="K44" s="717">
        <v>0</v>
      </c>
      <c r="L44" s="717">
        <v>0</v>
      </c>
      <c r="M44" s="717">
        <v>0</v>
      </c>
      <c r="N44" s="717">
        <v>0</v>
      </c>
      <c r="O44" s="717">
        <v>0</v>
      </c>
      <c r="P44" s="717">
        <v>0</v>
      </c>
      <c r="Q44" s="717">
        <v>0</v>
      </c>
      <c r="R44" s="717">
        <v>0</v>
      </c>
      <c r="S44" s="717">
        <v>0</v>
      </c>
      <c r="T44" s="717">
        <v>0</v>
      </c>
      <c r="U44" s="717">
        <v>0</v>
      </c>
      <c r="V44" s="717">
        <v>0</v>
      </c>
      <c r="W44" s="717">
        <v>0</v>
      </c>
      <c r="X44" s="717">
        <v>0</v>
      </c>
      <c r="Y44" s="717">
        <v>0</v>
      </c>
      <c r="Z44" s="717">
        <v>0</v>
      </c>
      <c r="AA44" s="717">
        <v>0</v>
      </c>
      <c r="AB44" s="717">
        <v>0</v>
      </c>
      <c r="AC44" s="717">
        <v>0</v>
      </c>
      <c r="AD44" s="717">
        <v>0</v>
      </c>
      <c r="AE44" s="717">
        <v>0</v>
      </c>
      <c r="AF44" s="717"/>
      <c r="AG44" s="717"/>
      <c r="AH44" s="717"/>
      <c r="AI44" s="717"/>
      <c r="AJ44" s="717"/>
      <c r="AK44" s="717"/>
      <c r="AL44" s="717"/>
      <c r="AM44" s="717"/>
      <c r="AN44" s="717"/>
      <c r="AO44" s="717"/>
      <c r="AP44" s="717"/>
      <c r="AQ44" s="717"/>
      <c r="AR44" s="717"/>
    </row>
    <row r="45" spans="1:44" x14ac:dyDescent="0.15">
      <c r="A45" s="2063"/>
      <c r="B45" s="725" t="s">
        <v>889</v>
      </c>
      <c r="C45" s="1478">
        <f>IF(C43="","",SUMIFS(パート法定福利費処遇改善計算!$F:$F,パート法定福利費処遇改善計算!$A:$A,C$1,パート法定福利費処遇改善計算!$B:$B,$A25))</f>
        <v>23007</v>
      </c>
      <c r="D45" s="1479">
        <f>IF(D43="","",SUMIFS(パート法定福利費処遇改善計算!$F:$F,パート法定福利費処遇改善計算!$A:$A,D$1,パート法定福利費処遇改善計算!$B:$B,$A25))</f>
        <v>22791</v>
      </c>
      <c r="E45" s="1479">
        <f>IF(E43="","",SUMIFS(パート法定福利費処遇改善計算!$F:$F,パート法定福利費処遇改善計算!$A:$A,E$1,パート法定福利費処遇改善計算!$B:$B,$A25))</f>
        <v>23008</v>
      </c>
      <c r="F45" s="1479">
        <f>IF(F43="","",SUMIFS(パート法定福利費処遇改善計算!$F:$F,パート法定福利費処遇改善計算!$A:$A,F$1,パート法定福利費処遇改善計算!$B:$B,$A25))</f>
        <v>23058</v>
      </c>
      <c r="G45" s="1479">
        <f>IF(G43="","",SUMIFS(パート法定福利費処遇改善計算!$F:$F,パート法定福利費処遇改善計算!$A:$A,G$1,パート法定福利費処遇改善計算!$B:$B,$A25))</f>
        <v>23018</v>
      </c>
      <c r="H45" s="1479">
        <f>IF(H43="","",SUMIFS(パート法定福利費処遇改善計算!$F:$F,パート法定福利費処遇改善計算!$A:$A,H$1,パート法定福利費処遇改善計算!$B:$B,$A25))</f>
        <v>23004</v>
      </c>
      <c r="I45" s="1479">
        <f>IF(I43="","",SUMIFS(パート法定福利費処遇改善計算!$F:$F,パート法定福利費処遇改善計算!$A:$A,I$1,パート法定福利費処遇改善計算!$B:$B,$A25))</f>
        <v>23071</v>
      </c>
      <c r="J45" s="1479">
        <f>IF(J43="","",SUMIFS(パート法定福利費処遇改善計算!$F:$F,パート法定福利費処遇改善計算!$A:$A,J$1,パート法定福利費処遇改善計算!$B:$B,$A25))</f>
        <v>23091</v>
      </c>
      <c r="K45" s="1479">
        <f>IF(K43="","",SUMIFS(パート法定福利費処遇改善計算!$F:$F,パート法定福利費処遇改善計算!$A:$A,K$1,パート法定福利費処遇改善計算!$B:$B,$A25))</f>
        <v>27539</v>
      </c>
      <c r="L45" s="1479">
        <f>IF(L43="","",SUMIFS(パート法定福利費処遇改善計算!$F:$F,パート法定福利費処遇改善計算!$A:$A,L$1,パート法定福利費処遇改善計算!$B:$B,$A25))</f>
        <v>27658</v>
      </c>
      <c r="M45" s="1479">
        <f>IF(M43="","",SUMIFS(パート法定福利費処遇改善計算!$F:$F,パート法定福利費処遇改善計算!$A:$A,M$1,パート法定福利費処遇改善計算!$B:$B,$A25))</f>
        <v>27620</v>
      </c>
      <c r="N45" s="1479">
        <f>IF(N43="","",SUMIFS(パート法定福利費処遇改善計算!$F:$F,パート法定福利費処遇改善計算!$A:$A,N$1,パート法定福利費処遇改善計算!$B:$B,$A25))</f>
        <v>27621</v>
      </c>
      <c r="O45" s="1479">
        <f>IF(O43="","",SUMIFS(パート法定福利費処遇改善計算!$F:$F,パート法定福利費処遇改善計算!$A:$A,O$1,パート法定福利費処遇改善計算!$B:$B,$A25))</f>
        <v>50718</v>
      </c>
      <c r="P45" s="1479">
        <f>IF(P43="","",SUMIFS(パート法定福利費処遇改善計算!$F:$F,パート法定福利費処遇改善計算!$A:$A,P$1,パート法定福利費処遇改善計算!$B:$B,$A25))</f>
        <v>50817</v>
      </c>
      <c r="Q45" s="1479">
        <f>IF(Q43="","",SUMIFS(パート法定福利費処遇改善計算!$F:$F,パート法定福利費処遇改善計算!$A:$A,Q$1,パート法定福利費処遇改善計算!$B:$B,$A25))</f>
        <v>49384</v>
      </c>
      <c r="R45" s="1479">
        <f>IF(R43="","",SUMIFS(パート法定福利費処遇改善計算!$F:$F,パート法定福利費処遇改善計算!$A:$A,R$1,パート法定福利費処遇改善計算!$B:$B,$A25))</f>
        <v>49560</v>
      </c>
      <c r="S45" s="1479">
        <f>IF(S43="","",SUMIFS(パート法定福利費処遇改善計算!$F:$F,パート法定福利費処遇改善計算!$A:$A,S$1,パート法定福利費処遇改善計算!$B:$B,$A25))</f>
        <v>49618</v>
      </c>
      <c r="T45" s="1479">
        <f>IF(T43="","",SUMIFS(パート法定福利費処遇改善計算!$F:$F,パート法定福利費処遇改善計算!$A:$A,T$1,パート法定福利費処遇改善計算!$B:$B,$A25))</f>
        <v>21977</v>
      </c>
      <c r="U45" s="1479">
        <f>IF(U43="","",SUMIFS(パート法定福利費処遇改善計算!$F:$F,パート法定福利費処遇改善計算!$A:$A,U$1,パート法定福利費処遇改善計算!$B:$B,$A25))</f>
        <v>21934</v>
      </c>
      <c r="V45" s="1479">
        <f>IF(V43="","",SUMIFS(パート法定福利費処遇改善計算!$F:$F,パート法定福利費処遇改善計算!$A:$A,V$1,パート法定福利費処遇改善計算!$B:$B,$A25))</f>
        <v>22016</v>
      </c>
      <c r="W45" s="1479">
        <f>IF(W43="","",SUMIFS(パート法定福利費処遇改善計算!$F:$F,パート法定福利費処遇改善計算!$A:$A,W$1,パート法定福利費処遇改善計算!$B:$B,$A25))</f>
        <v>31786</v>
      </c>
      <c r="X45" s="1479">
        <f>IF(X43="","",SUMIFS(パート法定福利費処遇改善計算!$F:$F,パート法定福利費処遇改善計算!$A:$A,X$1,パート法定福利費処遇改善計算!$B:$B,$A25))</f>
        <v>31874</v>
      </c>
      <c r="Y45" s="1479">
        <f>IF(Y43="","",SUMIFS(パート法定福利費処遇改善計算!$F:$F,パート法定福利費処遇改善計算!$A:$A,Y$1,パート法定福利費処遇改善計算!$B:$B,$A25))</f>
        <v>31923</v>
      </c>
      <c r="Z45" s="1479">
        <f>IF(Z43="","",SUMIFS(パート法定福利費処遇改善計算!$F:$F,パート法定福利費処遇改善計算!$A:$A,Z$1,パート法定福利費処遇改善計算!$B:$B,$A25))</f>
        <v>31901</v>
      </c>
      <c r="AA45" s="1479">
        <f>IF(AA43="","",SUMIFS(パート法定福利費処遇改善計算!$F:$F,パート法定福利費処遇改善計算!$A:$A,AA$1,パート法定福利費処遇改善計算!$B:$B,$A25))</f>
        <v>31952</v>
      </c>
      <c r="AB45" s="1479">
        <f>IF(AB43="","",SUMIFS(パート法定福利費処遇改善計算!$F:$F,パート法定福利費処遇改善計算!$A:$A,AB$1,パート法定福利費処遇改善計算!$B:$B,$A25))</f>
        <v>31943</v>
      </c>
      <c r="AC45" s="1479">
        <f>IF(AC43="","",SUMIFS(パート法定福利費処遇改善計算!$F:$F,パート法定福利費処遇改善計算!$A:$A,AC$1,パート法定福利費処遇改善計算!$B:$B,$A25))</f>
        <v>31814</v>
      </c>
      <c r="AD45" s="1479">
        <f>IF(AD43="","",SUMIFS(パート法定福利費処遇改善計算!$F:$F,パート法定福利費処遇改善計算!$A:$A,AD$1,パート法定福利費処遇改善計算!$B:$B,$A25))</f>
        <v>31840</v>
      </c>
      <c r="AE45" s="1479">
        <f>IF(AE43="","",SUMIFS(パート法定福利費処遇改善計算!$F:$F,パート法定福利費処遇改善計算!$A:$A,AE$1,パート法定福利費処遇改善計算!$B:$B,$A25))</f>
        <v>31691</v>
      </c>
      <c r="AF45" s="1479" t="str">
        <f>IF(AF43="","",SUMIFS(パート法定福利費処遇改善計算!$F:$F,パート法定福利費処遇改善計算!$A:$A,AF$1,パート法定福利費処遇改善計算!$B:$B,$A25))</f>
        <v/>
      </c>
      <c r="AG45" s="1479" t="str">
        <f>IF(AG43="","",SUMIFS(パート法定福利費処遇改善計算!$F:$F,パート法定福利費処遇改善計算!$A:$A,AG$1,パート法定福利費処遇改善計算!$B:$B,$A25))</f>
        <v/>
      </c>
      <c r="AH45" s="1479" t="str">
        <f>IF(AH43="","",SUMIFS(パート法定福利費処遇改善計算!$F:$F,パート法定福利費処遇改善計算!$A:$A,AH$1,パート法定福利費処遇改善計算!$B:$B,$A25))</f>
        <v/>
      </c>
      <c r="AI45" s="1479" t="str">
        <f>IF(AI43="","",SUMIFS(パート法定福利費処遇改善計算!$F:$F,パート法定福利費処遇改善計算!$A:$A,AI$1,パート法定福利費処遇改善計算!$B:$B,$A25))</f>
        <v/>
      </c>
      <c r="AJ45" s="1479" t="str">
        <f>IF(AJ43="","",SUMIFS(パート法定福利費処遇改善計算!$F:$F,パート法定福利費処遇改善計算!$A:$A,AJ$1,パート法定福利費処遇改善計算!$B:$B,$A25))</f>
        <v/>
      </c>
      <c r="AK45" s="1479" t="str">
        <f>IF(AK43="","",SUMIFS(パート法定福利費処遇改善計算!$F:$F,パート法定福利費処遇改善計算!$A:$A,AK$1,パート法定福利費処遇改善計算!$B:$B,$A25))</f>
        <v/>
      </c>
      <c r="AL45" s="1479" t="str">
        <f>IF(AL43="","",SUMIFS(パート法定福利費処遇改善計算!$F:$F,パート法定福利費処遇改善計算!$A:$A,AL$1,パート法定福利費処遇改善計算!$B:$B,$A25))</f>
        <v/>
      </c>
      <c r="AM45" s="1479" t="str">
        <f>IF(AM43="","",SUMIFS(パート法定福利費処遇改善計算!$F:$F,パート法定福利費処遇改善計算!$A:$A,AM$1,パート法定福利費処遇改善計算!$B:$B,$A25))</f>
        <v/>
      </c>
      <c r="AN45" s="1479" t="str">
        <f>IF(AN43="","",SUMIFS(パート法定福利費処遇改善計算!$F:$F,パート法定福利費処遇改善計算!$A:$A,AN$1,パート法定福利費処遇改善計算!$B:$B,$A25))</f>
        <v/>
      </c>
      <c r="AO45" s="1479" t="str">
        <f>IF(AO43="","",SUMIFS(パート法定福利費処遇改善計算!$F:$F,パート法定福利費処遇改善計算!$A:$A,AO$1,パート法定福利費処遇改善計算!$B:$B,$A25))</f>
        <v/>
      </c>
      <c r="AP45" s="1479" t="str">
        <f>IF(AP43="","",SUMIFS(パート法定福利費処遇改善計算!$F:$F,パート法定福利費処遇改善計算!$A:$A,AP$1,パート法定福利費処遇改善計算!$B:$B,$A25))</f>
        <v/>
      </c>
      <c r="AQ45" s="1479" t="str">
        <f>IF(AQ43="","",SUMIFS(パート法定福利費処遇改善計算!$F:$F,パート法定福利費処遇改善計算!$A:$A,AQ$1,パート法定福利費処遇改善計算!$B:$B,$A25))</f>
        <v/>
      </c>
      <c r="AR45" s="1479" t="str">
        <f>IF(AR43="","",SUMIFS(パート法定福利費処遇改善計算!$F:$F,パート法定福利費処遇改善計算!$A:$A,AR$1,パート法定福利費処遇改善計算!$B:$B,$A25))</f>
        <v/>
      </c>
    </row>
    <row r="46" spans="1:44" x14ac:dyDescent="0.15">
      <c r="A46" s="2063"/>
      <c r="B46" s="725" t="s">
        <v>888</v>
      </c>
      <c r="C46" s="1478">
        <f t="shared" ref="C46:Z46" si="41">IF(SUM(C43:C45)=0,"",SUM(C43:C45))</f>
        <v>1479604</v>
      </c>
      <c r="D46" s="1479">
        <f t="shared" si="41"/>
        <v>1438237</v>
      </c>
      <c r="E46" s="1479">
        <f t="shared" si="41"/>
        <v>1359518</v>
      </c>
      <c r="F46" s="1479">
        <f t="shared" si="41"/>
        <v>1398686</v>
      </c>
      <c r="G46" s="1479">
        <f t="shared" si="41"/>
        <v>1219434</v>
      </c>
      <c r="H46" s="1479">
        <f t="shared" si="41"/>
        <v>1214292</v>
      </c>
      <c r="I46" s="1479">
        <f t="shared" si="41"/>
        <v>1387455</v>
      </c>
      <c r="J46" s="1479">
        <f t="shared" si="41"/>
        <v>1379422</v>
      </c>
      <c r="K46" s="1479">
        <f t="shared" si="41"/>
        <v>1378549</v>
      </c>
      <c r="L46" s="1479">
        <f t="shared" si="41"/>
        <v>1541065</v>
      </c>
      <c r="M46" s="1479">
        <f t="shared" si="41"/>
        <v>1549220</v>
      </c>
      <c r="N46" s="1479">
        <f t="shared" si="41"/>
        <v>1373684</v>
      </c>
      <c r="O46" s="1479">
        <f t="shared" si="41"/>
        <v>1367595</v>
      </c>
      <c r="P46" s="1479">
        <f t="shared" si="41"/>
        <v>1339904</v>
      </c>
      <c r="Q46" s="1479">
        <f t="shared" si="41"/>
        <v>1354837</v>
      </c>
      <c r="R46" s="1479">
        <f t="shared" si="41"/>
        <v>1571633</v>
      </c>
      <c r="S46" s="1479">
        <f t="shared" si="41"/>
        <v>1555790</v>
      </c>
      <c r="T46" s="1479">
        <f t="shared" si="41"/>
        <v>1366519</v>
      </c>
      <c r="U46" s="1479">
        <f t="shared" si="41"/>
        <v>1415304</v>
      </c>
      <c r="V46" s="1479">
        <f t="shared" si="41"/>
        <v>1500606</v>
      </c>
      <c r="W46" s="1479">
        <f t="shared" si="41"/>
        <v>1248617</v>
      </c>
      <c r="X46" s="1479">
        <f t="shared" si="41"/>
        <v>1341824</v>
      </c>
      <c r="Y46" s="1479">
        <f t="shared" si="41"/>
        <v>1600387</v>
      </c>
      <c r="Z46" s="1479">
        <f t="shared" si="41"/>
        <v>1591510</v>
      </c>
      <c r="AA46" s="1479">
        <f t="shared" ref="AA46:AF46" si="42">IF(SUM(AA43:AA45)=0,"",SUM(AA43:AA45))</f>
        <v>1605294</v>
      </c>
      <c r="AB46" s="1479">
        <f t="shared" si="42"/>
        <v>1685655</v>
      </c>
      <c r="AC46" s="1479">
        <f t="shared" si="42"/>
        <v>1528967</v>
      </c>
      <c r="AD46" s="1479">
        <f t="shared" si="42"/>
        <v>1704753</v>
      </c>
      <c r="AE46" s="1479">
        <f t="shared" si="42"/>
        <v>1625495</v>
      </c>
      <c r="AF46" s="1479" t="str">
        <f t="shared" si="42"/>
        <v/>
      </c>
      <c r="AG46" s="1479" t="str">
        <f t="shared" ref="AG46:AR46" si="43">IF(SUM(AG43:AG45)=0,"",SUM(AG43:AG45))</f>
        <v/>
      </c>
      <c r="AH46" s="1479" t="str">
        <f t="shared" si="43"/>
        <v/>
      </c>
      <c r="AI46" s="1479" t="str">
        <f t="shared" si="43"/>
        <v/>
      </c>
      <c r="AJ46" s="1479" t="str">
        <f t="shared" si="43"/>
        <v/>
      </c>
      <c r="AK46" s="1479" t="str">
        <f t="shared" si="43"/>
        <v/>
      </c>
      <c r="AL46" s="1479" t="str">
        <f t="shared" si="43"/>
        <v/>
      </c>
      <c r="AM46" s="1479" t="str">
        <f t="shared" si="43"/>
        <v/>
      </c>
      <c r="AN46" s="1479" t="str">
        <f t="shared" si="43"/>
        <v/>
      </c>
      <c r="AO46" s="1479" t="str">
        <f t="shared" si="43"/>
        <v/>
      </c>
      <c r="AP46" s="1479" t="str">
        <f t="shared" si="43"/>
        <v/>
      </c>
      <c r="AQ46" s="1479" t="str">
        <f t="shared" si="43"/>
        <v/>
      </c>
      <c r="AR46" s="1479" t="str">
        <f t="shared" si="43"/>
        <v/>
      </c>
    </row>
    <row r="47" spans="1:44" ht="19.5" thickBot="1" x14ac:dyDescent="0.2">
      <c r="A47" s="2064"/>
      <c r="B47" s="726" t="s">
        <v>887</v>
      </c>
      <c r="C47" s="1480">
        <f t="shared" ref="C47:Z47" si="44">IF(SUM(C42,C46)=0,"",SUM(C42,C46))</f>
        <v>3226138</v>
      </c>
      <c r="D47" s="1481">
        <f t="shared" si="44"/>
        <v>3882141</v>
      </c>
      <c r="E47" s="1481">
        <f t="shared" si="44"/>
        <v>3249651</v>
      </c>
      <c r="F47" s="1481">
        <f t="shared" si="44"/>
        <v>3262897</v>
      </c>
      <c r="G47" s="1481">
        <f t="shared" si="44"/>
        <v>3095731</v>
      </c>
      <c r="H47" s="1481">
        <f t="shared" si="44"/>
        <v>3104378</v>
      </c>
      <c r="I47" s="1481">
        <f t="shared" si="44"/>
        <v>3572171</v>
      </c>
      <c r="J47" s="1481">
        <f t="shared" si="44"/>
        <v>3752045</v>
      </c>
      <c r="K47" s="1481">
        <f t="shared" si="44"/>
        <v>3740910</v>
      </c>
      <c r="L47" s="1481">
        <f t="shared" si="44"/>
        <v>3526461</v>
      </c>
      <c r="M47" s="1481">
        <f t="shared" si="44"/>
        <v>3995529</v>
      </c>
      <c r="N47" s="1481">
        <f t="shared" si="44"/>
        <v>3856901</v>
      </c>
      <c r="O47" s="1481">
        <f t="shared" si="44"/>
        <v>3511121.9664213411</v>
      </c>
      <c r="P47" s="1481">
        <f t="shared" si="44"/>
        <v>4873990</v>
      </c>
      <c r="Q47" s="1481">
        <f t="shared" si="44"/>
        <v>4190881</v>
      </c>
      <c r="R47" s="1481">
        <f t="shared" si="44"/>
        <v>4189364</v>
      </c>
      <c r="S47" s="1481">
        <f t="shared" si="44"/>
        <v>4150320</v>
      </c>
      <c r="T47" s="1481">
        <f t="shared" si="44"/>
        <v>3950891</v>
      </c>
      <c r="U47" s="1481">
        <f t="shared" si="44"/>
        <v>4096420</v>
      </c>
      <c r="V47" s="1481">
        <f t="shared" si="44"/>
        <v>4651239</v>
      </c>
      <c r="W47" s="1481">
        <f t="shared" si="44"/>
        <v>4348520</v>
      </c>
      <c r="X47" s="1481">
        <f t="shared" si="44"/>
        <v>4414583</v>
      </c>
      <c r="Y47" s="1481">
        <f t="shared" si="44"/>
        <v>4314050</v>
      </c>
      <c r="Z47" s="1481">
        <f t="shared" si="44"/>
        <v>4376006</v>
      </c>
      <c r="AA47" s="1481">
        <f t="shared" ref="AA47:AF47" si="45">IF(SUM(AA42,AA46)=0,"",SUM(AA42,AA46))</f>
        <v>4839474</v>
      </c>
      <c r="AB47" s="1481">
        <f t="shared" si="45"/>
        <v>4007265</v>
      </c>
      <c r="AC47" s="1481">
        <f t="shared" si="45"/>
        <v>3563976</v>
      </c>
      <c r="AD47" s="1481">
        <f t="shared" si="45"/>
        <v>3399432</v>
      </c>
      <c r="AE47" s="1481">
        <f t="shared" si="45"/>
        <v>3585412</v>
      </c>
      <c r="AF47" s="1481" t="str">
        <f t="shared" si="45"/>
        <v/>
      </c>
      <c r="AG47" s="1481" t="str">
        <f t="shared" ref="AG47:AR47" si="46">IF(SUM(AG42,AG46)=0,"",SUM(AG42,AG46))</f>
        <v/>
      </c>
      <c r="AH47" s="1481" t="str">
        <f t="shared" si="46"/>
        <v/>
      </c>
      <c r="AI47" s="1481" t="str">
        <f t="shared" si="46"/>
        <v/>
      </c>
      <c r="AJ47" s="1481" t="str">
        <f t="shared" si="46"/>
        <v/>
      </c>
      <c r="AK47" s="1481" t="str">
        <f t="shared" si="46"/>
        <v/>
      </c>
      <c r="AL47" s="1481" t="str">
        <f t="shared" si="46"/>
        <v/>
      </c>
      <c r="AM47" s="1481" t="str">
        <f t="shared" si="46"/>
        <v/>
      </c>
      <c r="AN47" s="1481" t="str">
        <f t="shared" si="46"/>
        <v/>
      </c>
      <c r="AO47" s="1481" t="str">
        <f t="shared" si="46"/>
        <v/>
      </c>
      <c r="AP47" s="1481" t="str">
        <f t="shared" si="46"/>
        <v/>
      </c>
      <c r="AQ47" s="1481" t="str">
        <f t="shared" si="46"/>
        <v/>
      </c>
      <c r="AR47" s="1481" t="str">
        <f t="shared" si="46"/>
        <v/>
      </c>
    </row>
    <row r="48" spans="1:44" ht="19.5" thickBot="1" x14ac:dyDescent="0.2">
      <c r="A48" s="727"/>
      <c r="B48" s="728"/>
      <c r="C48" s="728"/>
      <c r="D48" s="728"/>
      <c r="E48" s="728"/>
      <c r="F48" s="728"/>
      <c r="G48" s="728"/>
      <c r="H48" s="728"/>
      <c r="I48" s="728"/>
      <c r="J48" s="728"/>
      <c r="K48" s="728"/>
      <c r="L48" s="728"/>
      <c r="M48" s="728"/>
      <c r="N48" s="728"/>
      <c r="O48" s="728"/>
    </row>
    <row r="49" spans="1:44" ht="19.5" thickBot="1" x14ac:dyDescent="0.2">
      <c r="A49" s="2075" t="s">
        <v>66</v>
      </c>
      <c r="B49" s="2070"/>
      <c r="C49" s="718">
        <v>42705</v>
      </c>
      <c r="D49" s="721">
        <f>EDATE(C49,1)</f>
        <v>42736</v>
      </c>
      <c r="E49" s="721">
        <f t="shared" ref="E49:Z49" si="47">EDATE(D49,1)</f>
        <v>42767</v>
      </c>
      <c r="F49" s="721">
        <f t="shared" si="47"/>
        <v>42795</v>
      </c>
      <c r="G49" s="721">
        <f t="shared" si="47"/>
        <v>42826</v>
      </c>
      <c r="H49" s="721">
        <f t="shared" si="47"/>
        <v>42856</v>
      </c>
      <c r="I49" s="721">
        <f t="shared" si="47"/>
        <v>42887</v>
      </c>
      <c r="J49" s="721">
        <f t="shared" si="47"/>
        <v>42917</v>
      </c>
      <c r="K49" s="721">
        <f t="shared" si="47"/>
        <v>42948</v>
      </c>
      <c r="L49" s="721">
        <f t="shared" si="47"/>
        <v>42979</v>
      </c>
      <c r="M49" s="721">
        <f t="shared" si="47"/>
        <v>43009</v>
      </c>
      <c r="N49" s="721">
        <f t="shared" si="47"/>
        <v>43040</v>
      </c>
      <c r="O49" s="721">
        <f t="shared" si="47"/>
        <v>43070</v>
      </c>
      <c r="P49" s="721">
        <f t="shared" si="47"/>
        <v>43101</v>
      </c>
      <c r="Q49" s="721">
        <f t="shared" si="47"/>
        <v>43132</v>
      </c>
      <c r="R49" s="721">
        <f t="shared" si="47"/>
        <v>43160</v>
      </c>
      <c r="S49" s="721">
        <f t="shared" si="47"/>
        <v>43191</v>
      </c>
      <c r="T49" s="721">
        <f t="shared" si="47"/>
        <v>43221</v>
      </c>
      <c r="U49" s="721">
        <f t="shared" si="47"/>
        <v>43252</v>
      </c>
      <c r="V49" s="721">
        <f t="shared" si="47"/>
        <v>43282</v>
      </c>
      <c r="W49" s="721">
        <f t="shared" si="47"/>
        <v>43313</v>
      </c>
      <c r="X49" s="721">
        <f t="shared" si="47"/>
        <v>43344</v>
      </c>
      <c r="Y49" s="721">
        <f t="shared" si="47"/>
        <v>43374</v>
      </c>
      <c r="Z49" s="721">
        <f t="shared" si="47"/>
        <v>43405</v>
      </c>
      <c r="AA49" s="721">
        <f t="shared" ref="AA49:AR49" si="48">EDATE(Z49,1)</f>
        <v>43435</v>
      </c>
      <c r="AB49" s="721">
        <f t="shared" si="48"/>
        <v>43466</v>
      </c>
      <c r="AC49" s="721">
        <f t="shared" si="48"/>
        <v>43497</v>
      </c>
      <c r="AD49" s="721">
        <f t="shared" si="48"/>
        <v>43525</v>
      </c>
      <c r="AE49" s="721">
        <f t="shared" si="48"/>
        <v>43556</v>
      </c>
      <c r="AF49" s="721">
        <f t="shared" si="48"/>
        <v>43586</v>
      </c>
      <c r="AG49" s="721">
        <f t="shared" si="48"/>
        <v>43617</v>
      </c>
      <c r="AH49" s="721">
        <f t="shared" si="48"/>
        <v>43647</v>
      </c>
      <c r="AI49" s="721">
        <f t="shared" si="48"/>
        <v>43678</v>
      </c>
      <c r="AJ49" s="721">
        <f t="shared" si="48"/>
        <v>43709</v>
      </c>
      <c r="AK49" s="721">
        <f t="shared" si="48"/>
        <v>43739</v>
      </c>
      <c r="AL49" s="721">
        <f t="shared" si="48"/>
        <v>43770</v>
      </c>
      <c r="AM49" s="721">
        <f t="shared" si="48"/>
        <v>43800</v>
      </c>
      <c r="AN49" s="721">
        <f t="shared" si="48"/>
        <v>43831</v>
      </c>
      <c r="AO49" s="721">
        <f t="shared" si="48"/>
        <v>43862</v>
      </c>
      <c r="AP49" s="721">
        <f t="shared" si="48"/>
        <v>43891</v>
      </c>
      <c r="AQ49" s="721">
        <f t="shared" si="48"/>
        <v>43922</v>
      </c>
      <c r="AR49" s="721">
        <f t="shared" si="48"/>
        <v>43952</v>
      </c>
    </row>
    <row r="50" spans="1:44" x14ac:dyDescent="0.15">
      <c r="A50" s="2071" t="s">
        <v>906</v>
      </c>
      <c r="B50" s="734" t="s">
        <v>909</v>
      </c>
      <c r="C50" s="738"/>
      <c r="D50" s="739"/>
      <c r="E50" s="739"/>
      <c r="F50" s="739"/>
      <c r="G50" s="739"/>
      <c r="H50" s="739"/>
      <c r="I50" s="739"/>
      <c r="J50" s="739"/>
      <c r="K50" s="739"/>
      <c r="L50" s="739"/>
      <c r="M50" s="739"/>
      <c r="N50" s="739"/>
      <c r="O50" s="739">
        <v>4</v>
      </c>
      <c r="P50" s="739">
        <v>4</v>
      </c>
      <c r="Q50" s="739">
        <v>5</v>
      </c>
      <c r="R50" s="739">
        <v>5</v>
      </c>
      <c r="S50" s="739">
        <v>5</v>
      </c>
      <c r="T50" s="739">
        <v>5</v>
      </c>
      <c r="U50" s="739">
        <v>5</v>
      </c>
      <c r="V50" s="739">
        <v>5</v>
      </c>
      <c r="W50" s="739">
        <v>5</v>
      </c>
      <c r="X50" s="739">
        <v>5</v>
      </c>
      <c r="Y50" s="739">
        <v>5</v>
      </c>
      <c r="Z50" s="739">
        <v>6</v>
      </c>
      <c r="AA50" s="739">
        <v>6</v>
      </c>
      <c r="AB50" s="739">
        <v>6</v>
      </c>
      <c r="AC50" s="739">
        <v>6</v>
      </c>
      <c r="AD50" s="739">
        <v>6</v>
      </c>
      <c r="AE50" s="739">
        <v>6</v>
      </c>
      <c r="AF50" s="739"/>
      <c r="AG50" s="739"/>
      <c r="AH50" s="739"/>
      <c r="AI50" s="739"/>
      <c r="AJ50" s="739"/>
      <c r="AK50" s="739"/>
      <c r="AL50" s="739"/>
      <c r="AM50" s="739"/>
      <c r="AN50" s="739"/>
      <c r="AO50" s="739"/>
      <c r="AP50" s="739"/>
      <c r="AQ50" s="739"/>
      <c r="AR50" s="739"/>
    </row>
    <row r="51" spans="1:44" x14ac:dyDescent="0.15">
      <c r="A51" s="2072"/>
      <c r="B51" s="735" t="s">
        <v>910</v>
      </c>
      <c r="C51" s="740"/>
      <c r="D51" s="741"/>
      <c r="E51" s="741"/>
      <c r="F51" s="741"/>
      <c r="G51" s="741"/>
      <c r="H51" s="741"/>
      <c r="I51" s="741"/>
      <c r="J51" s="741"/>
      <c r="K51" s="741"/>
      <c r="L51" s="741"/>
      <c r="M51" s="741"/>
      <c r="N51" s="741"/>
      <c r="O51" s="741">
        <v>22</v>
      </c>
      <c r="P51" s="741">
        <v>25</v>
      </c>
      <c r="Q51" s="741">
        <v>24</v>
      </c>
      <c r="R51" s="741">
        <v>22</v>
      </c>
      <c r="S51" s="741">
        <v>23</v>
      </c>
      <c r="T51" s="741">
        <v>24</v>
      </c>
      <c r="U51" s="741">
        <v>25</v>
      </c>
      <c r="V51" s="741">
        <v>26</v>
      </c>
      <c r="W51" s="741">
        <v>24</v>
      </c>
      <c r="X51" s="741">
        <v>26</v>
      </c>
      <c r="Y51" s="741">
        <v>27</v>
      </c>
      <c r="Z51" s="741">
        <v>27</v>
      </c>
      <c r="AA51" s="741">
        <v>28</v>
      </c>
      <c r="AB51" s="741">
        <v>30</v>
      </c>
      <c r="AC51" s="741">
        <v>28</v>
      </c>
      <c r="AD51" s="741">
        <v>28</v>
      </c>
      <c r="AE51" s="741">
        <v>31</v>
      </c>
      <c r="AF51" s="741"/>
      <c r="AG51" s="741"/>
      <c r="AH51" s="741"/>
      <c r="AI51" s="741"/>
      <c r="AJ51" s="741"/>
      <c r="AK51" s="741"/>
      <c r="AL51" s="741"/>
      <c r="AM51" s="741"/>
      <c r="AN51" s="741"/>
      <c r="AO51" s="741"/>
      <c r="AP51" s="741"/>
      <c r="AQ51" s="741"/>
      <c r="AR51" s="741"/>
    </row>
    <row r="52" spans="1:44" x14ac:dyDescent="0.15">
      <c r="A52" s="2072"/>
      <c r="B52" s="735" t="s">
        <v>908</v>
      </c>
      <c r="C52" s="1470" t="str">
        <f>IF(SUM(C50:C51)=0,"",SUM(C50:C51))</f>
        <v/>
      </c>
      <c r="D52" s="1470" t="str">
        <f t="shared" ref="D52:Z52" si="49">IF(SUM(D50:D51)=0,"",SUM(D50:D51))</f>
        <v/>
      </c>
      <c r="E52" s="1470" t="str">
        <f t="shared" si="49"/>
        <v/>
      </c>
      <c r="F52" s="1470" t="str">
        <f t="shared" si="49"/>
        <v/>
      </c>
      <c r="G52" s="1470" t="str">
        <f t="shared" si="49"/>
        <v/>
      </c>
      <c r="H52" s="1470" t="str">
        <f t="shared" si="49"/>
        <v/>
      </c>
      <c r="I52" s="1470" t="str">
        <f t="shared" si="49"/>
        <v/>
      </c>
      <c r="J52" s="1470" t="str">
        <f t="shared" si="49"/>
        <v/>
      </c>
      <c r="K52" s="1470" t="str">
        <f t="shared" si="49"/>
        <v/>
      </c>
      <c r="L52" s="1470" t="str">
        <f t="shared" si="49"/>
        <v/>
      </c>
      <c r="M52" s="1470" t="str">
        <f t="shared" si="49"/>
        <v/>
      </c>
      <c r="N52" s="1470" t="str">
        <f t="shared" si="49"/>
        <v/>
      </c>
      <c r="O52" s="1470">
        <f t="shared" si="49"/>
        <v>26</v>
      </c>
      <c r="P52" s="1470">
        <f t="shared" si="49"/>
        <v>29</v>
      </c>
      <c r="Q52" s="1470">
        <f t="shared" si="49"/>
        <v>29</v>
      </c>
      <c r="R52" s="1470">
        <f t="shared" si="49"/>
        <v>27</v>
      </c>
      <c r="S52" s="1470">
        <f t="shared" si="49"/>
        <v>28</v>
      </c>
      <c r="T52" s="1470">
        <f t="shared" si="49"/>
        <v>29</v>
      </c>
      <c r="U52" s="1470">
        <f t="shared" si="49"/>
        <v>30</v>
      </c>
      <c r="V52" s="1470">
        <f t="shared" si="49"/>
        <v>31</v>
      </c>
      <c r="W52" s="1470">
        <f t="shared" si="49"/>
        <v>29</v>
      </c>
      <c r="X52" s="1470">
        <f t="shared" si="49"/>
        <v>31</v>
      </c>
      <c r="Y52" s="1470">
        <f t="shared" si="49"/>
        <v>32</v>
      </c>
      <c r="Z52" s="1470">
        <f t="shared" si="49"/>
        <v>33</v>
      </c>
      <c r="AA52" s="1470">
        <f t="shared" ref="AA52:AF52" si="50">IF(SUM(AA50:AA51)=0,"",SUM(AA50:AA51))</f>
        <v>34</v>
      </c>
      <c r="AB52" s="1470">
        <f t="shared" si="50"/>
        <v>36</v>
      </c>
      <c r="AC52" s="1470">
        <f t="shared" si="50"/>
        <v>34</v>
      </c>
      <c r="AD52" s="1470">
        <f t="shared" si="50"/>
        <v>34</v>
      </c>
      <c r="AE52" s="1470">
        <f t="shared" si="50"/>
        <v>37</v>
      </c>
      <c r="AF52" s="1470" t="str">
        <f t="shared" si="50"/>
        <v/>
      </c>
      <c r="AG52" s="1470" t="str">
        <f t="shared" ref="AG52:AR52" si="51">IF(SUM(AG50:AG51)=0,"",SUM(AG50:AG51))</f>
        <v/>
      </c>
      <c r="AH52" s="1470" t="str">
        <f t="shared" si="51"/>
        <v/>
      </c>
      <c r="AI52" s="1470" t="str">
        <f t="shared" si="51"/>
        <v/>
      </c>
      <c r="AJ52" s="1470" t="str">
        <f t="shared" si="51"/>
        <v/>
      </c>
      <c r="AK52" s="1470" t="str">
        <f t="shared" si="51"/>
        <v/>
      </c>
      <c r="AL52" s="1470" t="str">
        <f t="shared" si="51"/>
        <v/>
      </c>
      <c r="AM52" s="1470" t="str">
        <f t="shared" si="51"/>
        <v/>
      </c>
      <c r="AN52" s="1470" t="str">
        <f t="shared" si="51"/>
        <v/>
      </c>
      <c r="AO52" s="1470" t="str">
        <f t="shared" si="51"/>
        <v/>
      </c>
      <c r="AP52" s="1470" t="str">
        <f t="shared" si="51"/>
        <v/>
      </c>
      <c r="AQ52" s="1470" t="str">
        <f t="shared" si="51"/>
        <v/>
      </c>
      <c r="AR52" s="1470" t="str">
        <f t="shared" si="51"/>
        <v/>
      </c>
    </row>
    <row r="53" spans="1:44" x14ac:dyDescent="0.15">
      <c r="A53" s="2073" t="s">
        <v>907</v>
      </c>
      <c r="B53" s="735" t="s">
        <v>911</v>
      </c>
      <c r="C53" s="736"/>
      <c r="D53" s="737"/>
      <c r="E53" s="737"/>
      <c r="F53" s="737"/>
      <c r="G53" s="737"/>
      <c r="H53" s="737"/>
      <c r="I53" s="737"/>
      <c r="J53" s="737"/>
      <c r="K53" s="737"/>
      <c r="L53" s="737"/>
      <c r="M53" s="737"/>
      <c r="N53" s="737"/>
      <c r="O53" s="737">
        <v>16.215277777777779</v>
      </c>
      <c r="P53" s="737">
        <v>11.833333333333334</v>
      </c>
      <c r="Q53" s="737">
        <v>15.267361111111112</v>
      </c>
      <c r="R53" s="737">
        <v>17.690972222222221</v>
      </c>
      <c r="S53" s="737">
        <v>20.051388888888891</v>
      </c>
      <c r="T53" s="737">
        <v>15.329861111111112</v>
      </c>
      <c r="U53" s="737">
        <v>15.902777777777779</v>
      </c>
      <c r="V53" s="737">
        <v>17.1875</v>
      </c>
      <c r="W53" s="737">
        <v>19.802083333333332</v>
      </c>
      <c r="X53" s="737">
        <v>15.486111111111112</v>
      </c>
      <c r="Y53" s="737">
        <v>18.857638888888889</v>
      </c>
      <c r="Z53" s="737">
        <v>21.020833333333332</v>
      </c>
      <c r="AA53" s="737">
        <v>21.975694444444443</v>
      </c>
      <c r="AB53" s="737">
        <v>18.09375</v>
      </c>
      <c r="AC53" s="737">
        <v>23.416666666666668</v>
      </c>
      <c r="AD53" s="737">
        <v>24.552083333333332</v>
      </c>
      <c r="AE53" s="737">
        <v>22.213194444444444</v>
      </c>
      <c r="AF53" s="737"/>
      <c r="AG53" s="737"/>
      <c r="AH53" s="737"/>
      <c r="AI53" s="737"/>
      <c r="AJ53" s="737"/>
      <c r="AK53" s="737"/>
      <c r="AL53" s="737"/>
      <c r="AM53" s="737"/>
      <c r="AN53" s="737"/>
      <c r="AO53" s="737"/>
      <c r="AP53" s="737"/>
      <c r="AQ53" s="737"/>
      <c r="AR53" s="737"/>
    </row>
    <row r="54" spans="1:44" x14ac:dyDescent="0.15">
      <c r="A54" s="2072"/>
      <c r="B54" s="735" t="s">
        <v>912</v>
      </c>
      <c r="C54" s="736"/>
      <c r="D54" s="737"/>
      <c r="E54" s="737"/>
      <c r="F54" s="737"/>
      <c r="G54" s="737"/>
      <c r="H54" s="737"/>
      <c r="I54" s="737"/>
      <c r="J54" s="737"/>
      <c r="K54" s="737"/>
      <c r="L54" s="737"/>
      <c r="M54" s="737"/>
      <c r="N54" s="737"/>
      <c r="O54" s="737">
        <v>43.829861111111114</v>
      </c>
      <c r="P54" s="737">
        <v>36.118055555555557</v>
      </c>
      <c r="Q54" s="737">
        <v>33.371527777777779</v>
      </c>
      <c r="R54" s="737">
        <v>36.576388888888893</v>
      </c>
      <c r="S54" s="737">
        <v>41.265277777777776</v>
      </c>
      <c r="T54" s="737">
        <v>33.586805555555557</v>
      </c>
      <c r="U54" s="737">
        <v>36.625</v>
      </c>
      <c r="V54" s="737">
        <v>37.319444444444443</v>
      </c>
      <c r="W54" s="737">
        <v>36.805555555555557</v>
      </c>
      <c r="X54" s="737">
        <v>38.180555555555557</v>
      </c>
      <c r="Y54" s="737">
        <v>39.694444444444443</v>
      </c>
      <c r="Z54" s="737">
        <v>45.590277777777779</v>
      </c>
      <c r="AA54" s="737">
        <v>43.440972222222221</v>
      </c>
      <c r="AB54" s="737">
        <v>47.06944444444445</v>
      </c>
      <c r="AC54" s="737">
        <v>38.979166666666664</v>
      </c>
      <c r="AD54" s="737">
        <v>44.5625</v>
      </c>
      <c r="AE54" s="737">
        <v>46.756250000000001</v>
      </c>
      <c r="AF54" s="737"/>
      <c r="AG54" s="737"/>
      <c r="AH54" s="737"/>
      <c r="AI54" s="737"/>
      <c r="AJ54" s="737"/>
      <c r="AK54" s="737"/>
      <c r="AL54" s="737"/>
      <c r="AM54" s="737"/>
      <c r="AN54" s="737"/>
      <c r="AO54" s="737"/>
      <c r="AP54" s="737"/>
      <c r="AQ54" s="737"/>
      <c r="AR54" s="737"/>
    </row>
    <row r="55" spans="1:44" x14ac:dyDescent="0.15">
      <c r="A55" s="2072"/>
      <c r="B55" s="735" t="s">
        <v>908</v>
      </c>
      <c r="C55" s="1471" t="str">
        <f t="shared" ref="C55:Z55" si="52">IF(SUM(C53:C54)=0,"",SUM(C53:C54))</f>
        <v/>
      </c>
      <c r="D55" s="1471" t="str">
        <f t="shared" si="52"/>
        <v/>
      </c>
      <c r="E55" s="1471" t="str">
        <f t="shared" si="52"/>
        <v/>
      </c>
      <c r="F55" s="1471" t="str">
        <f t="shared" si="52"/>
        <v/>
      </c>
      <c r="G55" s="1471" t="str">
        <f t="shared" si="52"/>
        <v/>
      </c>
      <c r="H55" s="1471" t="str">
        <f t="shared" si="52"/>
        <v/>
      </c>
      <c r="I55" s="1471" t="str">
        <f t="shared" si="52"/>
        <v/>
      </c>
      <c r="J55" s="1471" t="str">
        <f t="shared" si="52"/>
        <v/>
      </c>
      <c r="K55" s="1471" t="str">
        <f t="shared" si="52"/>
        <v/>
      </c>
      <c r="L55" s="1471" t="str">
        <f t="shared" si="52"/>
        <v/>
      </c>
      <c r="M55" s="1471" t="str">
        <f t="shared" si="52"/>
        <v/>
      </c>
      <c r="N55" s="1471" t="str">
        <f t="shared" si="52"/>
        <v/>
      </c>
      <c r="O55" s="1471">
        <f t="shared" si="52"/>
        <v>60.045138888888893</v>
      </c>
      <c r="P55" s="1471">
        <f t="shared" si="52"/>
        <v>47.951388888888893</v>
      </c>
      <c r="Q55" s="1471">
        <f t="shared" si="52"/>
        <v>48.638888888888893</v>
      </c>
      <c r="R55" s="1471">
        <f t="shared" si="52"/>
        <v>54.267361111111114</v>
      </c>
      <c r="S55" s="1471">
        <f t="shared" si="52"/>
        <v>61.316666666666663</v>
      </c>
      <c r="T55" s="1471">
        <f t="shared" si="52"/>
        <v>48.916666666666671</v>
      </c>
      <c r="U55" s="1471">
        <f t="shared" si="52"/>
        <v>52.527777777777779</v>
      </c>
      <c r="V55" s="1471">
        <f t="shared" si="52"/>
        <v>54.506944444444443</v>
      </c>
      <c r="W55" s="1471">
        <f t="shared" si="52"/>
        <v>56.607638888888886</v>
      </c>
      <c r="X55" s="1471">
        <f t="shared" si="52"/>
        <v>53.666666666666671</v>
      </c>
      <c r="Y55" s="1471">
        <f t="shared" si="52"/>
        <v>58.552083333333329</v>
      </c>
      <c r="Z55" s="1471">
        <f t="shared" si="52"/>
        <v>66.611111111111114</v>
      </c>
      <c r="AA55" s="1471">
        <f t="shared" ref="AA55:AF55" si="53">IF(SUM(AA53:AA54)=0,"",SUM(AA53:AA54))</f>
        <v>65.416666666666657</v>
      </c>
      <c r="AB55" s="1471">
        <f t="shared" si="53"/>
        <v>65.163194444444457</v>
      </c>
      <c r="AC55" s="1471">
        <f t="shared" si="53"/>
        <v>62.395833333333329</v>
      </c>
      <c r="AD55" s="1471">
        <f t="shared" si="53"/>
        <v>69.114583333333329</v>
      </c>
      <c r="AE55" s="1471">
        <f t="shared" si="53"/>
        <v>68.969444444444449</v>
      </c>
      <c r="AF55" s="1471" t="str">
        <f t="shared" si="53"/>
        <v/>
      </c>
      <c r="AG55" s="1471" t="str">
        <f t="shared" ref="AG55:AR55" si="54">IF(SUM(AG53:AG54)=0,"",SUM(AG53:AG54))</f>
        <v/>
      </c>
      <c r="AH55" s="1471" t="str">
        <f t="shared" si="54"/>
        <v/>
      </c>
      <c r="AI55" s="1471" t="str">
        <f t="shared" si="54"/>
        <v/>
      </c>
      <c r="AJ55" s="1471" t="str">
        <f t="shared" si="54"/>
        <v/>
      </c>
      <c r="AK55" s="1471" t="str">
        <f t="shared" si="54"/>
        <v/>
      </c>
      <c r="AL55" s="1471" t="str">
        <f t="shared" si="54"/>
        <v/>
      </c>
      <c r="AM55" s="1471" t="str">
        <f t="shared" si="54"/>
        <v/>
      </c>
      <c r="AN55" s="1471" t="str">
        <f t="shared" si="54"/>
        <v/>
      </c>
      <c r="AO55" s="1471" t="str">
        <f t="shared" si="54"/>
        <v/>
      </c>
      <c r="AP55" s="1471" t="str">
        <f t="shared" si="54"/>
        <v/>
      </c>
      <c r="AQ55" s="1471" t="str">
        <f t="shared" si="54"/>
        <v/>
      </c>
      <c r="AR55" s="1471" t="str">
        <f t="shared" si="54"/>
        <v/>
      </c>
    </row>
    <row r="56" spans="1:44" x14ac:dyDescent="0.15">
      <c r="A56" s="2065" t="s">
        <v>898</v>
      </c>
      <c r="B56" s="723" t="s">
        <v>899</v>
      </c>
      <c r="C56" s="719">
        <v>192839</v>
      </c>
      <c r="D56" s="715">
        <v>157811</v>
      </c>
      <c r="E56" s="716">
        <v>153614</v>
      </c>
      <c r="F56" s="716">
        <v>164804</v>
      </c>
      <c r="G56" s="716">
        <v>151420</v>
      </c>
      <c r="H56" s="716">
        <v>154498</v>
      </c>
      <c r="I56" s="716">
        <v>170235</v>
      </c>
      <c r="J56" s="716">
        <v>178942</v>
      </c>
      <c r="K56" s="716">
        <v>187215</v>
      </c>
      <c r="L56" s="716">
        <v>154285</v>
      </c>
      <c r="M56" s="716">
        <v>146494</v>
      </c>
      <c r="N56" s="716">
        <v>141430</v>
      </c>
      <c r="O56" s="716">
        <v>130512</v>
      </c>
      <c r="P56" s="716">
        <v>113737</v>
      </c>
      <c r="Q56" s="716">
        <v>135558</v>
      </c>
      <c r="R56" s="716">
        <v>169891</v>
      </c>
      <c r="S56" s="716">
        <v>166392</v>
      </c>
      <c r="T56" s="716">
        <v>161171</v>
      </c>
      <c r="U56" s="716">
        <v>165995</v>
      </c>
      <c r="V56" s="716">
        <v>177768</v>
      </c>
      <c r="W56" s="716">
        <v>216075</v>
      </c>
      <c r="X56" s="716">
        <v>208241</v>
      </c>
      <c r="Y56" s="716">
        <v>208662</v>
      </c>
      <c r="Z56" s="716">
        <v>178240</v>
      </c>
      <c r="AA56" s="716">
        <v>205550</v>
      </c>
      <c r="AB56" s="716">
        <v>177178</v>
      </c>
      <c r="AC56" s="716">
        <v>214478</v>
      </c>
      <c r="AD56" s="716">
        <v>226914</v>
      </c>
      <c r="AE56" s="716">
        <v>203670</v>
      </c>
      <c r="AF56" s="716"/>
      <c r="AG56" s="716"/>
      <c r="AH56" s="716"/>
      <c r="AI56" s="716"/>
      <c r="AJ56" s="716"/>
      <c r="AK56" s="716"/>
      <c r="AL56" s="716"/>
      <c r="AM56" s="716"/>
      <c r="AN56" s="716"/>
      <c r="AO56" s="716"/>
      <c r="AP56" s="716"/>
      <c r="AQ56" s="716"/>
      <c r="AR56" s="716"/>
    </row>
    <row r="57" spans="1:44" x14ac:dyDescent="0.15">
      <c r="A57" s="2065"/>
      <c r="B57" s="723" t="s">
        <v>902</v>
      </c>
      <c r="C57" s="730">
        <v>11.05</v>
      </c>
      <c r="D57" s="731">
        <v>11.05</v>
      </c>
      <c r="E57" s="732">
        <v>11.05</v>
      </c>
      <c r="F57" s="732">
        <v>11.05</v>
      </c>
      <c r="G57" s="732">
        <v>11.05</v>
      </c>
      <c r="H57" s="732">
        <v>11.05</v>
      </c>
      <c r="I57" s="732">
        <v>11.05</v>
      </c>
      <c r="J57" s="732">
        <v>11.05</v>
      </c>
      <c r="K57" s="732">
        <v>11.05</v>
      </c>
      <c r="L57" s="732">
        <v>11.05</v>
      </c>
      <c r="M57" s="732">
        <v>11.05</v>
      </c>
      <c r="N57" s="732">
        <v>11.05</v>
      </c>
      <c r="O57" s="732">
        <v>11.05</v>
      </c>
      <c r="P57" s="732">
        <v>11.05</v>
      </c>
      <c r="Q57" s="732">
        <v>11.05</v>
      </c>
      <c r="R57" s="732">
        <v>11.05</v>
      </c>
      <c r="S57" s="732">
        <v>11.05</v>
      </c>
      <c r="T57" s="732">
        <v>11.05</v>
      </c>
      <c r="U57" s="732">
        <v>11.05</v>
      </c>
      <c r="V57" s="732">
        <v>11.05</v>
      </c>
      <c r="W57" s="732">
        <v>11.05</v>
      </c>
      <c r="X57" s="732">
        <v>11.05</v>
      </c>
      <c r="Y57" s="732">
        <v>11.05</v>
      </c>
      <c r="Z57" s="732">
        <v>11.05</v>
      </c>
      <c r="AA57" s="732">
        <v>11.05</v>
      </c>
      <c r="AB57" s="732">
        <v>11.05</v>
      </c>
      <c r="AC57" s="732">
        <v>11.05</v>
      </c>
      <c r="AD57" s="732">
        <v>11.05</v>
      </c>
      <c r="AE57" s="732">
        <v>11.05</v>
      </c>
      <c r="AF57" s="732">
        <v>11.05</v>
      </c>
      <c r="AG57" s="732">
        <v>11.05</v>
      </c>
      <c r="AH57" s="732">
        <v>11.05</v>
      </c>
      <c r="AI57" s="732">
        <v>11.05</v>
      </c>
      <c r="AJ57" s="732">
        <v>11.05</v>
      </c>
      <c r="AK57" s="732">
        <v>11.05</v>
      </c>
      <c r="AL57" s="732">
        <v>11.05</v>
      </c>
      <c r="AM57" s="732">
        <v>11.05</v>
      </c>
      <c r="AN57" s="732">
        <v>11.05</v>
      </c>
      <c r="AO57" s="732">
        <v>11.05</v>
      </c>
      <c r="AP57" s="732">
        <v>11.05</v>
      </c>
      <c r="AQ57" s="732">
        <v>11.05</v>
      </c>
      <c r="AR57" s="732">
        <v>11.05</v>
      </c>
    </row>
    <row r="58" spans="1:44" x14ac:dyDescent="0.15">
      <c r="A58" s="2065"/>
      <c r="B58" s="723" t="s">
        <v>900</v>
      </c>
      <c r="C58" s="1472">
        <f t="shared" ref="C58:Z58" si="55">IF(C56="","",ROUNDDOWN(C56*C57,0))</f>
        <v>2130870</v>
      </c>
      <c r="D58" s="1473">
        <f t="shared" si="55"/>
        <v>1743811</v>
      </c>
      <c r="E58" s="1474">
        <f t="shared" si="55"/>
        <v>1697434</v>
      </c>
      <c r="F58" s="1474">
        <f t="shared" si="55"/>
        <v>1821084</v>
      </c>
      <c r="G58" s="1474">
        <f t="shared" si="55"/>
        <v>1673191</v>
      </c>
      <c r="H58" s="1474">
        <f t="shared" si="55"/>
        <v>1707202</v>
      </c>
      <c r="I58" s="1474">
        <f t="shared" si="55"/>
        <v>1881096</v>
      </c>
      <c r="J58" s="1474">
        <f t="shared" si="55"/>
        <v>1977309</v>
      </c>
      <c r="K58" s="1474">
        <f t="shared" si="55"/>
        <v>2068725</v>
      </c>
      <c r="L58" s="1474">
        <f t="shared" si="55"/>
        <v>1704849</v>
      </c>
      <c r="M58" s="1474">
        <f t="shared" si="55"/>
        <v>1618758</v>
      </c>
      <c r="N58" s="1474">
        <f t="shared" si="55"/>
        <v>1562801</v>
      </c>
      <c r="O58" s="1474">
        <f t="shared" si="55"/>
        <v>1442157</v>
      </c>
      <c r="P58" s="1474">
        <f t="shared" si="55"/>
        <v>1256793</v>
      </c>
      <c r="Q58" s="1474">
        <f t="shared" si="55"/>
        <v>1497915</v>
      </c>
      <c r="R58" s="1474">
        <f t="shared" si="55"/>
        <v>1877295</v>
      </c>
      <c r="S58" s="1474">
        <f t="shared" si="55"/>
        <v>1838631</v>
      </c>
      <c r="T58" s="1474">
        <f t="shared" si="55"/>
        <v>1780939</v>
      </c>
      <c r="U58" s="1474">
        <f t="shared" si="55"/>
        <v>1834244</v>
      </c>
      <c r="V58" s="1474">
        <f t="shared" si="55"/>
        <v>1964336</v>
      </c>
      <c r="W58" s="1474">
        <f t="shared" si="55"/>
        <v>2387628</v>
      </c>
      <c r="X58" s="1474">
        <f t="shared" si="55"/>
        <v>2301063</v>
      </c>
      <c r="Y58" s="1474">
        <f t="shared" si="55"/>
        <v>2305715</v>
      </c>
      <c r="Z58" s="1474">
        <f t="shared" si="55"/>
        <v>1969552</v>
      </c>
      <c r="AA58" s="1474">
        <f t="shared" ref="AA58:AF58" si="56">IF(AA56="","",ROUNDDOWN(AA56*AA57,0))</f>
        <v>2271327</v>
      </c>
      <c r="AB58" s="1474">
        <f t="shared" si="56"/>
        <v>1957816</v>
      </c>
      <c r="AC58" s="1474">
        <f t="shared" si="56"/>
        <v>2369981</v>
      </c>
      <c r="AD58" s="1474">
        <f t="shared" si="56"/>
        <v>2507399</v>
      </c>
      <c r="AE58" s="1474">
        <f t="shared" si="56"/>
        <v>2250553</v>
      </c>
      <c r="AF58" s="1474" t="str">
        <f t="shared" si="56"/>
        <v/>
      </c>
      <c r="AG58" s="1474" t="str">
        <f t="shared" ref="AG58:AR58" si="57">IF(AG56="","",ROUNDDOWN(AG56*AG57,0))</f>
        <v/>
      </c>
      <c r="AH58" s="1474" t="str">
        <f t="shared" si="57"/>
        <v/>
      </c>
      <c r="AI58" s="1474" t="str">
        <f t="shared" si="57"/>
        <v/>
      </c>
      <c r="AJ58" s="1474" t="str">
        <f t="shared" si="57"/>
        <v/>
      </c>
      <c r="AK58" s="1474" t="str">
        <f t="shared" si="57"/>
        <v/>
      </c>
      <c r="AL58" s="1474" t="str">
        <f t="shared" si="57"/>
        <v/>
      </c>
      <c r="AM58" s="1474" t="str">
        <f t="shared" si="57"/>
        <v/>
      </c>
      <c r="AN58" s="1474" t="str">
        <f t="shared" si="57"/>
        <v/>
      </c>
      <c r="AO58" s="1474" t="str">
        <f t="shared" si="57"/>
        <v/>
      </c>
      <c r="AP58" s="1474" t="str">
        <f t="shared" si="57"/>
        <v/>
      </c>
      <c r="AQ58" s="1474" t="str">
        <f t="shared" si="57"/>
        <v/>
      </c>
      <c r="AR58" s="1474" t="str">
        <f t="shared" si="57"/>
        <v/>
      </c>
    </row>
    <row r="59" spans="1:44" x14ac:dyDescent="0.15">
      <c r="A59" s="2062"/>
      <c r="B59" s="724" t="s">
        <v>901</v>
      </c>
      <c r="C59" s="1475">
        <f>IFERROR(GETPIVOTDATA("合計 / 請求",【ピボット】国保連売上!$A$3,"年月",C49,"事業所",$A49,"請求区分","単月")-C58,"")</f>
        <v>2172063</v>
      </c>
      <c r="D59" s="1476">
        <f>IFERROR(GETPIVOTDATA("合計 / 請求",【ピボット】国保連売上!$A$3,"年月",D49,"事業所",$A49,"請求区分","単月")-D58,"")</f>
        <v>2375325</v>
      </c>
      <c r="E59" s="1477">
        <f>IFERROR(GETPIVOTDATA("合計 / 請求",【ピボット】国保連売上!$A$3,"年月",E49,"事業所",$A49,"請求区分","単月")-E58,"")</f>
        <v>2154543</v>
      </c>
      <c r="F59" s="1477">
        <f>IFERROR(GETPIVOTDATA("合計 / 請求",【ピボット】国保連売上!$A$3,"年月",F49,"事業所",$A49,"請求区分","単月")-F58,"")</f>
        <v>2719202</v>
      </c>
      <c r="G59" s="1477">
        <f>IFERROR(GETPIVOTDATA("合計 / 請求",【ピボット】国保連売上!$A$3,"年月",G49,"事業所",$A49,"請求区分","単月")-G58,"")</f>
        <v>3209949</v>
      </c>
      <c r="H59" s="1477">
        <f>IFERROR(GETPIVOTDATA("合計 / 請求",【ピボット】国保連売上!$A$3,"年月",H49,"事業所",$A49,"請求区分","単月")-H58,"")</f>
        <v>3325862</v>
      </c>
      <c r="I59" s="1477">
        <f>IFERROR(GETPIVOTDATA("合計 / 請求",【ピボット】国保連売上!$A$3,"年月",I49,"事業所",$A49,"請求区分","単月")-I58,"")</f>
        <v>3323076</v>
      </c>
      <c r="J59" s="1477">
        <f>IFERROR(GETPIVOTDATA("合計 / 請求",【ピボット】国保連売上!$A$3,"年月",J49,"事業所",$A49,"請求区分","単月")-J58,"")</f>
        <v>3592865</v>
      </c>
      <c r="K59" s="1477">
        <f>IFERROR(GETPIVOTDATA("合計 / 請求",【ピボット】国保連売上!$A$3,"年月",K49,"事業所",$A49,"請求区分","単月")-K58,"")</f>
        <v>3550274</v>
      </c>
      <c r="L59" s="1477">
        <f>IFERROR(GETPIVOTDATA("合計 / 請求",【ピボット】国保連売上!$A$3,"年月",L49,"事業所",$A49,"請求区分","単月")-L58,"")</f>
        <v>3727877</v>
      </c>
      <c r="M59" s="1477">
        <f>IFERROR(GETPIVOTDATA("合計 / 請求",【ピボット】国保連売上!$A$3,"年月",M49,"事業所",$A49,"請求区分","単月")-M58,"")</f>
        <v>4067273</v>
      </c>
      <c r="N59" s="1477">
        <f>IFERROR(GETPIVOTDATA("合計 / 請求",【ピボット】国保連売上!$A$3,"年月",N49,"事業所",$A49,"請求区分","単月")-N58,"")</f>
        <v>4002569</v>
      </c>
      <c r="O59" s="1477">
        <f>IFERROR(GETPIVOTDATA("合計 / 請求",【ピボット】国保連売上!$A$3,"年月",O49,"事業所",$A49,"請求区分","単月")-O58,"")</f>
        <v>4385132</v>
      </c>
      <c r="P59" s="1477">
        <f>IFERROR(GETPIVOTDATA("合計 / 請求",【ピボット】国保連売上!$A$3,"年月",P49,"事業所",$A49,"請求区分","単月")-P58,"")</f>
        <v>4173996</v>
      </c>
      <c r="Q59" s="1477">
        <f>IFERROR(GETPIVOTDATA("合計 / 請求",【ピボット】国保連売上!$A$3,"年月",Q49,"事業所",$A49,"請求区分","単月")-Q58,"")</f>
        <v>3783681</v>
      </c>
      <c r="R59" s="1477">
        <f>IFERROR(GETPIVOTDATA("合計 / 請求",【ピボット】国保連売上!$A$3,"年月",R49,"事業所",$A49,"請求区分","単月")-R58,"")</f>
        <v>4118232</v>
      </c>
      <c r="S59" s="1477">
        <f>IFERROR(GETPIVOTDATA("合計 / 請求",【ピボット】国保連売上!$A$3,"年月",S49,"事業所",$A49,"請求区分","単月")-S58,"")</f>
        <v>3943877</v>
      </c>
      <c r="T59" s="1477">
        <f>IFERROR(GETPIVOTDATA("合計 / 請求",【ピボット】国保連売上!$A$3,"年月",T49,"事業所",$A49,"請求区分","単月")-T58,"")</f>
        <v>4007412</v>
      </c>
      <c r="U59" s="1477">
        <f>IFERROR(GETPIVOTDATA("合計 / 請求",【ピボット】国保連売上!$A$3,"年月",U49,"事業所",$A49,"請求区分","単月")-U58,"")</f>
        <v>4493982</v>
      </c>
      <c r="V59" s="1477">
        <f>IFERROR(GETPIVOTDATA("合計 / 請求",【ピボット】国保連売上!$A$3,"年月",V49,"事業所",$A49,"請求区分","単月")-V58,"")</f>
        <v>4714991</v>
      </c>
      <c r="W59" s="1477">
        <f>IFERROR(GETPIVOTDATA("合計 / 請求",【ピボット】国保連売上!$A$3,"年月",W49,"事業所",$A49,"請求区分","単月")-W58,"")</f>
        <v>4797225</v>
      </c>
      <c r="X59" s="1477">
        <f>IFERROR(GETPIVOTDATA("合計 / 請求",【ピボット】国保連売上!$A$3,"年月",X49,"事業所",$A49,"請求区分","単月")-X58,"")</f>
        <v>4240433</v>
      </c>
      <c r="Y59" s="1477">
        <f>IFERROR(GETPIVOTDATA("合計 / 請求",【ピボット】国保連売上!$A$3,"年月",Y49,"事業所",$A49,"請求区分","単月")-Y58,"")</f>
        <v>4650779</v>
      </c>
      <c r="Z59" s="1477">
        <f>IFERROR(GETPIVOTDATA("合計 / 請求",【ピボット】国保連売上!$A$3,"年月",Z49,"事業所",$A49,"請求区分","単月")-Z58,"")</f>
        <v>4439013</v>
      </c>
      <c r="AA59" s="1477">
        <f>IFERROR(GETPIVOTDATA("合計 / 請求",【ピボット】国保連売上!$A$3,"年月",AA49,"事業所",$A49,"請求区分","単月")-AA58,"")</f>
        <v>4017095</v>
      </c>
      <c r="AB59" s="1477">
        <f>IFERROR(GETPIVOTDATA("合計 / 請求",【ピボット】国保連売上!$A$3,"年月",AB49,"事業所",$A49,"請求区分","単月")-AB58,"")</f>
        <v>4516127</v>
      </c>
      <c r="AC59" s="1477">
        <f>IFERROR(GETPIVOTDATA("合計 / 請求",【ピボット】国保連売上!$A$3,"年月",AC49,"事業所",$A49,"請求区分","単月")-AC58,"")</f>
        <v>3708735</v>
      </c>
      <c r="AD59" s="1477">
        <f>IFERROR(GETPIVOTDATA("合計 / 請求",【ピボット】国保連売上!$A$3,"年月",AD49,"事業所",$A49,"請求区分","単月")-AD58,"")</f>
        <v>4254545</v>
      </c>
      <c r="AE59" s="1477">
        <f>IFERROR(GETPIVOTDATA("合計 / 請求",【ピボット】国保連売上!$A$3,"年月",AE49,"事業所",$A49,"請求区分","単月")-AE58,"")</f>
        <v>4277149</v>
      </c>
      <c r="AF59" s="1477" t="str">
        <f>IFERROR(GETPIVOTDATA("合計 / 請求",【ピボット】国保連売上!$A$3,"年月",AF49,"事業所",$A49,"請求区分","単月")-AF58,"")</f>
        <v/>
      </c>
      <c r="AG59" s="1477" t="str">
        <f>IFERROR(GETPIVOTDATA("合計 / 請求",【ピボット】国保連売上!$A$3,"年月",AG49,"事業所",$A49,"請求区分","単月")-AG58,"")</f>
        <v/>
      </c>
      <c r="AH59" s="1477" t="str">
        <f>IFERROR(GETPIVOTDATA("合計 / 請求",【ピボット】国保連売上!$A$3,"年月",AH49,"事業所",$A49,"請求区分","単月")-AH58,"")</f>
        <v/>
      </c>
      <c r="AI59" s="1477" t="str">
        <f>IFERROR(GETPIVOTDATA("合計 / 請求",【ピボット】国保連売上!$A$3,"年月",AI49,"事業所",$A49,"請求区分","単月")-AI58,"")</f>
        <v/>
      </c>
      <c r="AJ59" s="1477" t="str">
        <f>IFERROR(GETPIVOTDATA("合計 / 請求",【ピボット】国保連売上!$A$3,"年月",AJ49,"事業所",$A49,"請求区分","単月")-AJ58,"")</f>
        <v/>
      </c>
      <c r="AK59" s="1477" t="str">
        <f>IFERROR(GETPIVOTDATA("合計 / 請求",【ピボット】国保連売上!$A$3,"年月",AK49,"事業所",$A49,"請求区分","単月")-AK58,"")</f>
        <v/>
      </c>
      <c r="AL59" s="1477" t="str">
        <f>IFERROR(GETPIVOTDATA("合計 / 請求",【ピボット】国保連売上!$A$3,"年月",AL49,"事業所",$A49,"請求区分","単月")-AL58,"")</f>
        <v/>
      </c>
      <c r="AM59" s="1477" t="str">
        <f>IFERROR(GETPIVOTDATA("合計 / 請求",【ピボット】国保連売上!$A$3,"年月",AM49,"事業所",$A49,"請求区分","単月")-AM58,"")</f>
        <v/>
      </c>
      <c r="AN59" s="1477" t="str">
        <f>IFERROR(GETPIVOTDATA("合計 / 請求",【ピボット】国保連売上!$A$3,"年月",AN49,"事業所",$A49,"請求区分","単月")-AN58,"")</f>
        <v/>
      </c>
      <c r="AO59" s="1477" t="str">
        <f>IFERROR(GETPIVOTDATA("合計 / 請求",【ピボット】国保連売上!$A$3,"年月",AO49,"事業所",$A49,"請求区分","単月")-AO58,"")</f>
        <v/>
      </c>
      <c r="AP59" s="1477" t="str">
        <f>IFERROR(GETPIVOTDATA("合計 / 請求",【ピボット】国保連売上!$A$3,"年月",AP49,"事業所",$A49,"請求区分","単月")-AP58,"")</f>
        <v/>
      </c>
      <c r="AQ59" s="1477" t="str">
        <f>IFERROR(GETPIVOTDATA("合計 / 請求",【ピボット】国保連売上!$A$3,"年月",AQ49,"事業所",$A49,"請求区分","単月")-AQ58,"")</f>
        <v/>
      </c>
      <c r="AR59" s="1477" t="str">
        <f>IFERROR(GETPIVOTDATA("合計 / 請求",【ピボット】国保連売上!$A$3,"年月",AR49,"事業所",$A49,"請求区分","単月")-AR58,"")</f>
        <v/>
      </c>
    </row>
    <row r="60" spans="1:44" x14ac:dyDescent="0.15">
      <c r="A60" s="2062"/>
      <c r="B60" s="724" t="s">
        <v>887</v>
      </c>
      <c r="C60" s="1475">
        <f t="shared" ref="C60:Z60" si="58">IF(SUM(C58:C59)=0,"",SUM(C58:C59))</f>
        <v>4302933</v>
      </c>
      <c r="D60" s="1476">
        <f t="shared" si="58"/>
        <v>4119136</v>
      </c>
      <c r="E60" s="1477">
        <f t="shared" si="58"/>
        <v>3851977</v>
      </c>
      <c r="F60" s="1477">
        <f t="shared" si="58"/>
        <v>4540286</v>
      </c>
      <c r="G60" s="1477">
        <f t="shared" si="58"/>
        <v>4883140</v>
      </c>
      <c r="H60" s="1477">
        <f t="shared" si="58"/>
        <v>5033064</v>
      </c>
      <c r="I60" s="1477">
        <f t="shared" si="58"/>
        <v>5204172</v>
      </c>
      <c r="J60" s="1477">
        <f t="shared" si="58"/>
        <v>5570174</v>
      </c>
      <c r="K60" s="1477">
        <f t="shared" si="58"/>
        <v>5618999</v>
      </c>
      <c r="L60" s="1477">
        <f t="shared" si="58"/>
        <v>5432726</v>
      </c>
      <c r="M60" s="1477">
        <f t="shared" si="58"/>
        <v>5686031</v>
      </c>
      <c r="N60" s="1477">
        <f t="shared" si="58"/>
        <v>5565370</v>
      </c>
      <c r="O60" s="1477">
        <f t="shared" si="58"/>
        <v>5827289</v>
      </c>
      <c r="P60" s="1477">
        <f t="shared" si="58"/>
        <v>5430789</v>
      </c>
      <c r="Q60" s="1477">
        <f t="shared" si="58"/>
        <v>5281596</v>
      </c>
      <c r="R60" s="1477">
        <f t="shared" si="58"/>
        <v>5995527</v>
      </c>
      <c r="S60" s="1477">
        <f t="shared" si="58"/>
        <v>5782508</v>
      </c>
      <c r="T60" s="1477">
        <f t="shared" si="58"/>
        <v>5788351</v>
      </c>
      <c r="U60" s="1477">
        <f t="shared" si="58"/>
        <v>6328226</v>
      </c>
      <c r="V60" s="1477">
        <f t="shared" si="58"/>
        <v>6679327</v>
      </c>
      <c r="W60" s="1477">
        <f t="shared" si="58"/>
        <v>7184853</v>
      </c>
      <c r="X60" s="1477">
        <f t="shared" si="58"/>
        <v>6541496</v>
      </c>
      <c r="Y60" s="1477">
        <f t="shared" si="58"/>
        <v>6956494</v>
      </c>
      <c r="Z60" s="1477">
        <f t="shared" si="58"/>
        <v>6408565</v>
      </c>
      <c r="AA60" s="1477">
        <f t="shared" ref="AA60:AF60" si="59">IF(SUM(AA58:AA59)=0,"",SUM(AA58:AA59))</f>
        <v>6288422</v>
      </c>
      <c r="AB60" s="1477">
        <f t="shared" si="59"/>
        <v>6473943</v>
      </c>
      <c r="AC60" s="1477">
        <f t="shared" si="59"/>
        <v>6078716</v>
      </c>
      <c r="AD60" s="1477">
        <f t="shared" si="59"/>
        <v>6761944</v>
      </c>
      <c r="AE60" s="1477">
        <f t="shared" si="59"/>
        <v>6527702</v>
      </c>
      <c r="AF60" s="1477" t="str">
        <f t="shared" si="59"/>
        <v/>
      </c>
      <c r="AG60" s="1477" t="str">
        <f t="shared" ref="AG60:AR60" si="60">IF(SUM(AG58:AG59)=0,"",SUM(AG58:AG59))</f>
        <v/>
      </c>
      <c r="AH60" s="1477" t="str">
        <f t="shared" si="60"/>
        <v/>
      </c>
      <c r="AI60" s="1477" t="str">
        <f t="shared" si="60"/>
        <v/>
      </c>
      <c r="AJ60" s="1477" t="str">
        <f t="shared" si="60"/>
        <v/>
      </c>
      <c r="AK60" s="1477" t="str">
        <f t="shared" si="60"/>
        <v/>
      </c>
      <c r="AL60" s="1477" t="str">
        <f t="shared" si="60"/>
        <v/>
      </c>
      <c r="AM60" s="1477" t="str">
        <f t="shared" si="60"/>
        <v/>
      </c>
      <c r="AN60" s="1477" t="str">
        <f t="shared" si="60"/>
        <v/>
      </c>
      <c r="AO60" s="1477" t="str">
        <f t="shared" si="60"/>
        <v/>
      </c>
      <c r="AP60" s="1477" t="str">
        <f t="shared" si="60"/>
        <v/>
      </c>
      <c r="AQ60" s="1477" t="str">
        <f t="shared" si="60"/>
        <v/>
      </c>
      <c r="AR60" s="1477" t="str">
        <f t="shared" si="60"/>
        <v/>
      </c>
    </row>
    <row r="61" spans="1:44" ht="18.75" customHeight="1" x14ac:dyDescent="0.15">
      <c r="A61" s="2062" t="s">
        <v>897</v>
      </c>
      <c r="B61" s="724" t="s">
        <v>896</v>
      </c>
      <c r="C61" s="1475">
        <f>IFERROR(GETPIVOTDATA("合計 / " &amp; $B61,【ピボット】事業所収支!$A$3,"年月",C$1,"事業所",$A49),"")</f>
        <v>1484731</v>
      </c>
      <c r="D61" s="1476">
        <f>IFERROR(GETPIVOTDATA("合計 / " &amp; $B61,【ピボット】事業所収支!$A$3,"年月",D$1,"事業所",$A49),"")</f>
        <v>1480650</v>
      </c>
      <c r="E61" s="1477">
        <f>IFERROR(GETPIVOTDATA("合計 / " &amp; $B61,【ピボット】事業所収支!$A$3,"年月",E$1,"事業所",$A49),"")</f>
        <v>1439667</v>
      </c>
      <c r="F61" s="1477">
        <f>IFERROR(GETPIVOTDATA("合計 / " &amp; $B61,【ピボット】事業所収支!$A$3,"年月",F$1,"事業所",$A49),"")</f>
        <v>1410877</v>
      </c>
      <c r="G61" s="1477">
        <f>IFERROR(GETPIVOTDATA("合計 / " &amp; $B61,【ピボット】事業所収支!$A$3,"年月",G$1,"事業所",$A49),"")</f>
        <v>1381298</v>
      </c>
      <c r="H61" s="1477">
        <f>IFERROR(GETPIVOTDATA("合計 / " &amp; $B61,【ピボット】事業所収支!$A$3,"年月",H$1,"事業所",$A49),"")</f>
        <v>1431140</v>
      </c>
      <c r="I61" s="1477">
        <f>IFERROR(GETPIVOTDATA("合計 / " &amp; $B61,【ピボット】事業所収支!$A$3,"年月",I$1,"事業所",$A49),"")</f>
        <v>1502072</v>
      </c>
      <c r="J61" s="1477">
        <f>IFERROR(GETPIVOTDATA("合計 / " &amp; $B61,【ピボット】事業所収支!$A$3,"年月",J$1,"事業所",$A49),"")</f>
        <v>1529773</v>
      </c>
      <c r="K61" s="1477">
        <f>IFERROR(GETPIVOTDATA("合計 / " &amp; $B61,【ピボット】事業所収支!$A$3,"年月",K$1,"事業所",$A49),"")</f>
        <v>1551514</v>
      </c>
      <c r="L61" s="1477">
        <f>IFERROR(GETPIVOTDATA("合計 / " &amp; $B61,【ピボット】事業所収支!$A$3,"年月",L$1,"事業所",$A49),"")</f>
        <v>1557365</v>
      </c>
      <c r="M61" s="1477">
        <f>IFERROR(GETPIVOTDATA("合計 / " &amp; $B61,【ピボット】事業所収支!$A$3,"年月",M$1,"事業所",$A49),"")</f>
        <v>1342495</v>
      </c>
      <c r="N61" s="1477">
        <f>IFERROR(GETPIVOTDATA("合計 / " &amp; $B61,【ピボット】事業所収支!$A$3,"年月",N$1,"事業所",$A49),"")</f>
        <v>1348645</v>
      </c>
      <c r="O61" s="1477">
        <f>IFERROR(GETPIVOTDATA("合計 / " &amp; $B61,【ピボット】事業所収支!$A$3,"年月",O$1,"事業所",$A49),"")</f>
        <v>1333245</v>
      </c>
      <c r="P61" s="1477">
        <f>IFERROR(GETPIVOTDATA("合計 / " &amp; $B61,【ピボット】事業所収支!$A$3,"年月",P$1,"事業所",$A49),"")</f>
        <v>1339385</v>
      </c>
      <c r="Q61" s="1477">
        <f>IFERROR(GETPIVOTDATA("合計 / " &amp; $B61,【ピボット】事業所収支!$A$3,"年月",Q$1,"事業所",$A49),"")</f>
        <v>1828831</v>
      </c>
      <c r="R61" s="1477">
        <f>IFERROR(GETPIVOTDATA("合計 / " &amp; $B61,【ピボット】事業所収支!$A$3,"年月",R$1,"事業所",$A49),"")</f>
        <v>1642018</v>
      </c>
      <c r="S61" s="1477">
        <f>IFERROR(GETPIVOTDATA("合計 / " &amp; $B61,【ピボット】事業所収支!$A$3,"年月",S$1,"事業所",$A49),"")</f>
        <v>1762060</v>
      </c>
      <c r="T61" s="1477">
        <f>IFERROR(GETPIVOTDATA("合計 / " &amp; $B61,【ピボット】事業所収支!$A$3,"年月",T$1,"事業所",$A49),"")</f>
        <v>1764224</v>
      </c>
      <c r="U61" s="1477">
        <f>IFERROR(GETPIVOTDATA("合計 / " &amp; $B61,【ピボット】事業所収支!$A$3,"年月",U$1,"事業所",$A49),"")</f>
        <v>1804000</v>
      </c>
      <c r="V61" s="1477">
        <f>IFERROR(GETPIVOTDATA("合計 / " &amp; $B61,【ピボット】事業所収支!$A$3,"年月",V$1,"事業所",$A49),"")</f>
        <v>1848415</v>
      </c>
      <c r="W61" s="1477">
        <f>IFERROR(GETPIVOTDATA("合計 / " &amp; $B61,【ピボット】事業所収支!$A$3,"年月",W$1,"事業所",$A49),"")</f>
        <v>1894373</v>
      </c>
      <c r="X61" s="1477">
        <f>IFERROR(GETPIVOTDATA("合計 / " &amp; $B61,【ピボット】事業所収支!$A$3,"年月",X$1,"事業所",$A49),"")</f>
        <v>1822022</v>
      </c>
      <c r="Y61" s="1477">
        <f>IFERROR(GETPIVOTDATA("合計 / " &amp; $B61,【ピボット】事業所収支!$A$3,"年月",Y$1,"事業所",$A49),"")</f>
        <v>1959643</v>
      </c>
      <c r="Z61" s="1477">
        <f>IFERROR(GETPIVOTDATA("合計 / " &amp; $B61,【ピボット】事業所収支!$A$3,"年月",Z$1,"事業所",$A49),"")</f>
        <v>2274286</v>
      </c>
      <c r="AA61" s="1477">
        <f>IFERROR(GETPIVOTDATA("合計 / " &amp; $B61,【ピボット】事業所収支!$A$3,"年月",AA$1,"事業所",$A49),"")</f>
        <v>2405521</v>
      </c>
      <c r="AB61" s="1477">
        <f>IFERROR(GETPIVOTDATA("合計 / " &amp; $B61,【ピボット】事業所収支!$A$3,"年月",AB$1,"事業所",$A49),"")</f>
        <v>2408503</v>
      </c>
      <c r="AC61" s="1477">
        <f>IFERROR(GETPIVOTDATA("合計 / " &amp; $B61,【ピボット】事業所収支!$A$3,"年月",AC$1,"事業所",$A49),"")</f>
        <v>2220430</v>
      </c>
      <c r="AD61" s="1477">
        <f>IFERROR(GETPIVOTDATA("合計 / " &amp; $B61,【ピボット】事業所収支!$A$3,"年月",AD$1,"事業所",$A49),"")</f>
        <v>2252064</v>
      </c>
      <c r="AE61" s="1477">
        <f>IFERROR(GETPIVOTDATA("合計 / " &amp; $B61,【ピボット】事業所収支!$A$3,"年月",AE$1,"事業所",$A49),"")</f>
        <v>2250088</v>
      </c>
      <c r="AF61" s="1477" t="str">
        <f>IFERROR(GETPIVOTDATA("合計 / " &amp; $B61,【ピボット】事業所収支!$A$3,"年月",AF$1,"事業所",$A49),"")</f>
        <v/>
      </c>
      <c r="AG61" s="1477" t="str">
        <f>IFERROR(GETPIVOTDATA("合計 / " &amp; $B61,【ピボット】事業所収支!$A$3,"年月",AG$1,"事業所",$A49),"")</f>
        <v/>
      </c>
      <c r="AH61" s="1477" t="str">
        <f>IFERROR(GETPIVOTDATA("合計 / " &amp; $B61,【ピボット】事業所収支!$A$3,"年月",AH$1,"事業所",$A49),"")</f>
        <v/>
      </c>
      <c r="AI61" s="1477" t="str">
        <f>IFERROR(GETPIVOTDATA("合計 / " &amp; $B61,【ピボット】事業所収支!$A$3,"年月",AI$1,"事業所",$A49),"")</f>
        <v/>
      </c>
      <c r="AJ61" s="1477" t="str">
        <f>IFERROR(GETPIVOTDATA("合計 / " &amp; $B61,【ピボット】事業所収支!$A$3,"年月",AJ$1,"事業所",$A49),"")</f>
        <v/>
      </c>
      <c r="AK61" s="1477" t="str">
        <f>IFERROR(GETPIVOTDATA("合計 / " &amp; $B61,【ピボット】事業所収支!$A$3,"年月",AK$1,"事業所",$A49),"")</f>
        <v/>
      </c>
      <c r="AL61" s="1477" t="str">
        <f>IFERROR(GETPIVOTDATA("合計 / " &amp; $B61,【ピボット】事業所収支!$A$3,"年月",AL$1,"事業所",$A49),"")</f>
        <v/>
      </c>
      <c r="AM61" s="1477" t="str">
        <f>IFERROR(GETPIVOTDATA("合計 / " &amp; $B61,【ピボット】事業所収支!$A$3,"年月",AM$1,"事業所",$A49),"")</f>
        <v/>
      </c>
      <c r="AN61" s="1477" t="str">
        <f>IFERROR(GETPIVOTDATA("合計 / " &amp; $B61,【ピボット】事業所収支!$A$3,"年月",AN$1,"事業所",$A49),"")</f>
        <v/>
      </c>
      <c r="AO61" s="1477" t="str">
        <f>IFERROR(GETPIVOTDATA("合計 / " &amp; $B61,【ピボット】事業所収支!$A$3,"年月",AO$1,"事業所",$A49),"")</f>
        <v/>
      </c>
      <c r="AP61" s="1477" t="str">
        <f>IFERROR(GETPIVOTDATA("合計 / " &amp; $B61,【ピボット】事業所収支!$A$3,"年月",AP$1,"事業所",$A49),"")</f>
        <v/>
      </c>
      <c r="AQ61" s="1477" t="str">
        <f>IFERROR(GETPIVOTDATA("合計 / " &amp; $B61,【ピボット】事業所収支!$A$3,"年月",AQ$1,"事業所",$A49),"")</f>
        <v/>
      </c>
      <c r="AR61" s="1477" t="str">
        <f>IFERROR(GETPIVOTDATA("合計 / " &amp; $B61,【ピボット】事業所収支!$A$3,"年月",AR$1,"事業所",$A49),"")</f>
        <v/>
      </c>
    </row>
    <row r="62" spans="1:44" x14ac:dyDescent="0.15">
      <c r="A62" s="2062"/>
      <c r="B62" s="724" t="s">
        <v>895</v>
      </c>
      <c r="C62" s="1475">
        <f>IFERROR(GETPIVOTDATA("合計 / " &amp; $B62,【ピボット】事業所収支!$A$3,"年月",C$1,"事業所",$A49)-C68,"")</f>
        <v>844000</v>
      </c>
      <c r="D62" s="1476">
        <f>IFERROR(GETPIVOTDATA("合計 / " &amp; $B62,【ピボット】事業所収支!$A$3,"年月",D$1,"事業所",$A49)-D68,"")</f>
        <v>0</v>
      </c>
      <c r="E62" s="1477">
        <f>IFERROR(GETPIVOTDATA("合計 / " &amp; $B62,【ピボット】事業所収支!$A$3,"年月",E$1,"事業所",$A49)-E68,"")</f>
        <v>0</v>
      </c>
      <c r="F62" s="1477">
        <f>IFERROR(GETPIVOTDATA("合計 / " &amp; $B62,【ピボット】事業所収支!$A$3,"年月",F$1,"事業所",$A49)-F68,"")</f>
        <v>0</v>
      </c>
      <c r="G62" s="1477">
        <f>IFERROR(GETPIVOTDATA("合計 / " &amp; $B62,【ピボット】事業所収支!$A$3,"年月",G$1,"事業所",$A49)-G68,"")</f>
        <v>0</v>
      </c>
      <c r="H62" s="1477">
        <f>IFERROR(GETPIVOTDATA("合計 / " &amp; $B62,【ピボット】事業所収支!$A$3,"年月",H$1,"事業所",$A49)-H68,"")</f>
        <v>0</v>
      </c>
      <c r="I62" s="1477">
        <f>IFERROR(GETPIVOTDATA("合計 / " &amp; $B62,【ピボット】事業所収支!$A$3,"年月",I$1,"事業所",$A49)-I68,"")</f>
        <v>986000</v>
      </c>
      <c r="J62" s="1477">
        <f>IFERROR(GETPIVOTDATA("合計 / " &amp; $B62,【ピボット】事業所収支!$A$3,"年月",J$1,"事業所",$A49)-J68,"")</f>
        <v>0</v>
      </c>
      <c r="K62" s="1477">
        <f>IFERROR(GETPIVOTDATA("合計 / " &amp; $B62,【ピボット】事業所収支!$A$3,"年月",K$1,"事業所",$A49)-K68,"")</f>
        <v>150000</v>
      </c>
      <c r="L62" s="1477">
        <f>IFERROR(GETPIVOTDATA("合計 / " &amp; $B62,【ピボット】事業所収支!$A$3,"年月",L$1,"事業所",$A49)-L68,"")</f>
        <v>0</v>
      </c>
      <c r="M62" s="1477">
        <f>IFERROR(GETPIVOTDATA("合計 / " &amp; $B62,【ピボット】事業所収支!$A$3,"年月",M$1,"事業所",$A49)-M68,"")</f>
        <v>0</v>
      </c>
      <c r="N62" s="1477">
        <f>IFERROR(GETPIVOTDATA("合計 / " &amp; $B62,【ピボット】事業所収支!$A$3,"年月",N$1,"事業所",$A49)-N68,"")</f>
        <v>0</v>
      </c>
      <c r="O62" s="1477">
        <f>IFERROR(GETPIVOTDATA("合計 / " &amp; $B62,【ピボット】事業所収支!$A$3,"年月",O$1,"事業所",$A49)-O68,"")</f>
        <v>2770000</v>
      </c>
      <c r="P62" s="1477">
        <f>IFERROR(GETPIVOTDATA("合計 / " &amp; $B62,【ピボット】事業所収支!$A$3,"年月",P$1,"事業所",$A49)-P68,"")</f>
        <v>0</v>
      </c>
      <c r="Q62" s="1477">
        <f>IFERROR(GETPIVOTDATA("合計 / " &amp; $B62,【ピボット】事業所収支!$A$3,"年月",Q$1,"事業所",$A49)-Q68,"")</f>
        <v>0</v>
      </c>
      <c r="R62" s="1477">
        <f>IFERROR(GETPIVOTDATA("合計 / " &amp; $B62,【ピボット】事業所収支!$A$3,"年月",R$1,"事業所",$A49)-R68,"")</f>
        <v>0</v>
      </c>
      <c r="S62" s="1477">
        <f>IFERROR(GETPIVOTDATA("合計 / " &amp; $B62,【ピボット】事業所収支!$A$3,"年月",S$1,"事業所",$A49)-S68,"")</f>
        <v>0</v>
      </c>
      <c r="T62" s="1477">
        <f>IFERROR(GETPIVOTDATA("合計 / " &amp; $B62,【ピボット】事業所収支!$A$3,"年月",T$1,"事業所",$A49)-T68,"")</f>
        <v>0</v>
      </c>
      <c r="U62" s="1477">
        <f>IFERROR(GETPIVOTDATA("合計 / " &amp; $B62,【ピボット】事業所収支!$A$3,"年月",U$1,"事業所",$A49)-U68,"")</f>
        <v>1645000</v>
      </c>
      <c r="V62" s="1477">
        <f>IFERROR(GETPIVOTDATA("合計 / " &amp; $B62,【ピボット】事業所収支!$A$3,"年月",V$1,"事業所",$A49)-V68,"")</f>
        <v>0</v>
      </c>
      <c r="W62" s="1477">
        <f>IFERROR(GETPIVOTDATA("合計 / " &amp; $B62,【ピボット】事業所収支!$A$3,"年月",W$1,"事業所",$A49)-W68,"")</f>
        <v>350000</v>
      </c>
      <c r="X62" s="1477">
        <f>IFERROR(GETPIVOTDATA("合計 / " &amp; $B62,【ピボット】事業所収支!$A$3,"年月",X$1,"事業所",$A49)-X68,"")</f>
        <v>0</v>
      </c>
      <c r="Y62" s="1477">
        <f>IFERROR(GETPIVOTDATA("合計 / " &amp; $B62,【ピボット】事業所収支!$A$3,"年月",Y$1,"事業所",$A49)-Y68,"")</f>
        <v>0</v>
      </c>
      <c r="Z62" s="1477">
        <f>IFERROR(GETPIVOTDATA("合計 / " &amp; $B62,【ピボット】事業所収支!$A$3,"年月",Z$1,"事業所",$A49)-Z68,"")</f>
        <v>0</v>
      </c>
      <c r="AA62" s="1477">
        <f>IFERROR(GETPIVOTDATA("合計 / " &amp; $B62,【ピボット】事業所収支!$A$3,"年月",AA$1,"事業所",$A49)-AA68,"")</f>
        <v>2905500</v>
      </c>
      <c r="AB62" s="1477">
        <f>IFERROR(GETPIVOTDATA("合計 / " &amp; $B62,【ピボット】事業所収支!$A$3,"年月",AB$1,"事業所",$A49)-AB68,"")</f>
        <v>0</v>
      </c>
      <c r="AC62" s="1477">
        <f>IFERROR(GETPIVOTDATA("合計 / " &amp; $B62,【ピボット】事業所収支!$A$3,"年月",AC$1,"事業所",$A49)-AC68,"")</f>
        <v>0</v>
      </c>
      <c r="AD62" s="1477">
        <f>IFERROR(GETPIVOTDATA("合計 / " &amp; $B62,【ピボット】事業所収支!$A$3,"年月",AD$1,"事業所",$A49)-AD68,"")</f>
        <v>0</v>
      </c>
      <c r="AE62" s="1477">
        <f>IFERROR(GETPIVOTDATA("合計 / " &amp; $B62,【ピボット】事業所収支!$A$3,"年月",AE$1,"事業所",$A49)-AE68,"")</f>
        <v>0</v>
      </c>
      <c r="AF62" s="1477" t="str">
        <f>IFERROR(GETPIVOTDATA("合計 / " &amp; $B62,【ピボット】事業所収支!$A$3,"年月",AF$1,"事業所",$A49)-AF68,"")</f>
        <v/>
      </c>
      <c r="AG62" s="1477" t="str">
        <f>IFERROR(GETPIVOTDATA("合計 / " &amp; $B62,【ピボット】事業所収支!$A$3,"年月",AG$1,"事業所",$A49)-AG68,"")</f>
        <v/>
      </c>
      <c r="AH62" s="1477" t="str">
        <f>IFERROR(GETPIVOTDATA("合計 / " &amp; $B62,【ピボット】事業所収支!$A$3,"年月",AH$1,"事業所",$A49)-AH68,"")</f>
        <v/>
      </c>
      <c r="AI62" s="1477" t="str">
        <f>IFERROR(GETPIVOTDATA("合計 / " &amp; $B62,【ピボット】事業所収支!$A$3,"年月",AI$1,"事業所",$A49)-AI68,"")</f>
        <v/>
      </c>
      <c r="AJ62" s="1477" t="str">
        <f>IFERROR(GETPIVOTDATA("合計 / " &amp; $B62,【ピボット】事業所収支!$A$3,"年月",AJ$1,"事業所",$A49)-AJ68,"")</f>
        <v/>
      </c>
      <c r="AK62" s="1477" t="str">
        <f>IFERROR(GETPIVOTDATA("合計 / " &amp; $B62,【ピボット】事業所収支!$A$3,"年月",AK$1,"事業所",$A49)-AK68,"")</f>
        <v/>
      </c>
      <c r="AL62" s="1477" t="str">
        <f>IFERROR(GETPIVOTDATA("合計 / " &amp; $B62,【ピボット】事業所収支!$A$3,"年月",AL$1,"事業所",$A49)-AL68,"")</f>
        <v/>
      </c>
      <c r="AM62" s="1477" t="str">
        <f>IFERROR(GETPIVOTDATA("合計 / " &amp; $B62,【ピボット】事業所収支!$A$3,"年月",AM$1,"事業所",$A49)-AM68,"")</f>
        <v/>
      </c>
      <c r="AN62" s="1477" t="str">
        <f>IFERROR(GETPIVOTDATA("合計 / " &amp; $B62,【ピボット】事業所収支!$A$3,"年月",AN$1,"事業所",$A49)-AN68,"")</f>
        <v/>
      </c>
      <c r="AO62" s="1477" t="str">
        <f>IFERROR(GETPIVOTDATA("合計 / " &amp; $B62,【ピボット】事業所収支!$A$3,"年月",AO$1,"事業所",$A49)-AO68,"")</f>
        <v/>
      </c>
      <c r="AP62" s="1477" t="str">
        <f>IFERROR(GETPIVOTDATA("合計 / " &amp; $B62,【ピボット】事業所収支!$A$3,"年月",AP$1,"事業所",$A49)-AP68,"")</f>
        <v/>
      </c>
      <c r="AQ62" s="1477" t="str">
        <f>IFERROR(GETPIVOTDATA("合計 / " &amp; $B62,【ピボット】事業所収支!$A$3,"年月",AQ$1,"事業所",$A49)-AQ68,"")</f>
        <v/>
      </c>
      <c r="AR62" s="1477" t="str">
        <f>IFERROR(GETPIVOTDATA("合計 / " &amp; $B62,【ピボット】事業所収支!$A$3,"年月",AR$1,"事業所",$A49)-AR68,"")</f>
        <v/>
      </c>
    </row>
    <row r="63" spans="1:44" x14ac:dyDescent="0.15">
      <c r="A63" s="2062"/>
      <c r="B63" s="724" t="s">
        <v>894</v>
      </c>
      <c r="C63" s="1475">
        <f>IF(C61="","",ROUND(C62/6,0))</f>
        <v>140667</v>
      </c>
      <c r="D63" s="1476">
        <f>IF(D61="","",ROUND(C62/6,0))</f>
        <v>140667</v>
      </c>
      <c r="E63" s="1477">
        <f>IF(E61="","",ROUND(C62/6,0))</f>
        <v>140667</v>
      </c>
      <c r="F63" s="1477">
        <f>IF(F61="","",ROUND(C62/6,0))</f>
        <v>140667</v>
      </c>
      <c r="G63" s="1477">
        <f>IF(G61="","",ROUND(C62/6,0))</f>
        <v>140667</v>
      </c>
      <c r="H63" s="1477">
        <f>IF(H61="","",ROUND(C62/6,0))</f>
        <v>140667</v>
      </c>
      <c r="I63" s="1477">
        <f>IF(I61="","",ROUND(I62/6,0))</f>
        <v>164333</v>
      </c>
      <c r="J63" s="1477">
        <f>IF(J61="","",ROUND(I62/6,0))</f>
        <v>164333</v>
      </c>
      <c r="K63" s="1477">
        <f>IF(K61="","",ROUND(I62/6,0))</f>
        <v>164333</v>
      </c>
      <c r="L63" s="1477">
        <f>IF(L61="","",ROUND(I62/6,0))</f>
        <v>164333</v>
      </c>
      <c r="M63" s="1477">
        <f>IF(M61="","",ROUND(I62/6,0))</f>
        <v>164333</v>
      </c>
      <c r="N63" s="1477">
        <f>IF(N61="","",ROUND(I62/6,0))</f>
        <v>164333</v>
      </c>
      <c r="O63" s="1477">
        <f>IF(O61="","",ROUND(O62/6,0))</f>
        <v>461667</v>
      </c>
      <c r="P63" s="1477">
        <f>IF(P61="","",ROUND(O62/6,0))</f>
        <v>461667</v>
      </c>
      <c r="Q63" s="1477">
        <f>IF(Q61="","",ROUND(O62/6,0))</f>
        <v>461667</v>
      </c>
      <c r="R63" s="1477">
        <f>IF(R61="","",ROUND(O62/6,0))</f>
        <v>461667</v>
      </c>
      <c r="S63" s="1477">
        <f>IF(S61="","",ROUND(O62/6,0))</f>
        <v>461667</v>
      </c>
      <c r="T63" s="1477">
        <f>IF(T61="","",ROUND(O62/6,0))</f>
        <v>461667</v>
      </c>
      <c r="U63" s="1477">
        <f>IF(U61="","",ROUND(U62/6,0))</f>
        <v>274167</v>
      </c>
      <c r="V63" s="1477">
        <f>IF(V61="","",ROUND(U62/6,0))</f>
        <v>274167</v>
      </c>
      <c r="W63" s="1477">
        <f>IF(W61="","",ROUND(U62/6,0))</f>
        <v>274167</v>
      </c>
      <c r="X63" s="1477">
        <f>IF(X61="","",ROUND(U62/6,0))</f>
        <v>274167</v>
      </c>
      <c r="Y63" s="1477">
        <f>IF(Y61="","",ROUND(U62/6,0))</f>
        <v>274167</v>
      </c>
      <c r="Z63" s="1477">
        <f>IF(Z61="","",ROUND(U62/6,0))</f>
        <v>274167</v>
      </c>
      <c r="AA63" s="1477">
        <f>IF(AA61="","",ROUND(AA62/6,0))</f>
        <v>484250</v>
      </c>
      <c r="AB63" s="1477">
        <f>IF(AB61="","",ROUND(AA62/6,0))</f>
        <v>484250</v>
      </c>
      <c r="AC63" s="1477">
        <f>IF(AC61="","",ROUND(AA62/6,0))</f>
        <v>484250</v>
      </c>
      <c r="AD63" s="1477">
        <f>IF(AD61="","",ROUND(AA62/6,0))</f>
        <v>484250</v>
      </c>
      <c r="AE63" s="1477">
        <f>IF(AE61="","",ROUND(AA62/6,0))</f>
        <v>484250</v>
      </c>
      <c r="AF63" s="1477" t="str">
        <f>IF(AF61="","",ROUND(AA62/6,0))</f>
        <v/>
      </c>
      <c r="AG63" s="1477" t="str">
        <f>IF(AG61="","",ROUND(AG62/6,0))</f>
        <v/>
      </c>
      <c r="AH63" s="1477" t="str">
        <f>IF(AH61="","",ROUND(AG62/6,0))</f>
        <v/>
      </c>
      <c r="AI63" s="1477" t="str">
        <f>IF(AI61="","",ROUND(AG62/6,0))</f>
        <v/>
      </c>
      <c r="AJ63" s="1477" t="str">
        <f>IF(AJ61="","",ROUND(AG62/6,0))</f>
        <v/>
      </c>
      <c r="AK63" s="1477" t="str">
        <f>IF(AK61="","",ROUND(AG62/6,0))</f>
        <v/>
      </c>
      <c r="AL63" s="1477" t="str">
        <f>IF(AL61="","",ROUND(AG62/6,0))</f>
        <v/>
      </c>
      <c r="AM63" s="1477" t="str">
        <f>IF(AM61="","",ROUND(AM62/6,0))</f>
        <v/>
      </c>
      <c r="AN63" s="1477" t="str">
        <f>IF(AN61="","",ROUND(AM62/6,0))</f>
        <v/>
      </c>
      <c r="AO63" s="1477" t="str">
        <f>IF(AO61="","",ROUND(AM62/6,0))</f>
        <v/>
      </c>
      <c r="AP63" s="1477" t="str">
        <f>IF(AP61="","",ROUND(AM62/6,0))</f>
        <v/>
      </c>
      <c r="AQ63" s="1477" t="str">
        <f>IF(AQ61="","",ROUND(AM62/6,0))</f>
        <v/>
      </c>
      <c r="AR63" s="1477" t="str">
        <f>IF(AR61="","",ROUND(AM62/6,0))</f>
        <v/>
      </c>
    </row>
    <row r="64" spans="1:44" ht="18.75" customHeight="1" x14ac:dyDescent="0.15">
      <c r="A64" s="2062"/>
      <c r="B64" s="724" t="s">
        <v>889</v>
      </c>
      <c r="C64" s="1475">
        <f>IFERROR(GETPIVOTDATA("合計 / " &amp; $B64,【ピボット】事業所収支!$A$3,"年月",C$1,"事業所",$A49)-C69,"")</f>
        <v>39635</v>
      </c>
      <c r="D64" s="1476">
        <f>IFERROR(GETPIVOTDATA("合計 / " &amp; $B64,【ピボット】事業所収支!$A$3,"年月",D$1,"事業所",$A49)-D69,"")</f>
        <v>685889</v>
      </c>
      <c r="E64" s="1476">
        <f>IFERROR(GETPIVOTDATA("合計 / " &amp; $B64,【ピボット】事業所収支!$A$3,"年月",E$1,"事業所",$A49)-E69,"")</f>
        <v>227845</v>
      </c>
      <c r="F64" s="1476">
        <f>IFERROR(GETPIVOTDATA("合計 / " &amp; $B64,【ピボット】事業所収支!$A$3,"年月",F$1,"事業所",$A49)-F69,"")</f>
        <v>194598</v>
      </c>
      <c r="G64" s="1476">
        <f>IFERROR(GETPIVOTDATA("合計 / " &amp; $B64,【ピボット】事業所収支!$A$3,"年月",G$1,"事業所",$A49)-G69,"")</f>
        <v>202764</v>
      </c>
      <c r="H64" s="1476">
        <f>IFERROR(GETPIVOTDATA("合計 / " &amp; $B64,【ピボット】事業所収支!$A$3,"年月",H$1,"事業所",$A49)-H69,"")</f>
        <v>211057</v>
      </c>
      <c r="I64" s="1476">
        <f>IFERROR(GETPIVOTDATA("合計 / " &amp; $B64,【ピボット】事業所収支!$A$3,"年月",I$1,"事業所",$A49)-I69,"")</f>
        <v>247619</v>
      </c>
      <c r="J64" s="1476">
        <f>IFERROR(GETPIVOTDATA("合計 / " &amp; $B64,【ピボット】事業所収支!$A$3,"年月",J$1,"事業所",$A49)-J69,"")</f>
        <v>412559</v>
      </c>
      <c r="K64" s="1476">
        <f>IFERROR(GETPIVOTDATA("合計 / " &amp; $B64,【ピボット】事業所収支!$A$3,"年月",K$1,"事業所",$A49)-K69,"")</f>
        <v>177206</v>
      </c>
      <c r="L64" s="1476">
        <f>IFERROR(GETPIVOTDATA("合計 / " &amp; $B64,【ピボット】事業所収支!$A$3,"年月",L$1,"事業所",$A49)-L69,"")</f>
        <v>160794</v>
      </c>
      <c r="M64" s="1476">
        <f>IFERROR(GETPIVOTDATA("合計 / " &amp; $B64,【ピボット】事業所収支!$A$3,"年月",M$1,"事業所",$A49)-M69,"")</f>
        <v>240233</v>
      </c>
      <c r="N64" s="1476">
        <f>IFERROR(GETPIVOTDATA("合計 / " &amp; $B64,【ピボット】事業所収支!$A$3,"年月",N$1,"事業所",$A49)-N69,"")</f>
        <v>213031</v>
      </c>
      <c r="O64" s="1476">
        <f>IFERROR(GETPIVOTDATA("合計 / " &amp; $B64,【ピボット】事業所収支!$A$3,"年月",O$1,"事業所",$A49)-O69,"")</f>
        <v>-95973.055500687333</v>
      </c>
      <c r="P64" s="1476">
        <f>IFERROR(GETPIVOTDATA("合計 / " &amp; $B64,【ピボット】事業所収支!$A$3,"年月",P$1,"事業所",$A49)-P69,"")</f>
        <v>782694</v>
      </c>
      <c r="Q64" s="1476">
        <f>IFERROR(GETPIVOTDATA("合計 / " &amp; $B64,【ピボット】事業所収支!$A$3,"年月",Q$1,"事業所",$A49)-Q69,"")</f>
        <v>207135</v>
      </c>
      <c r="R64" s="1476">
        <f>IFERROR(GETPIVOTDATA("合計 / " &amp; $B64,【ピボット】事業所収支!$A$3,"年月",R$1,"事業所",$A49)-R69,"")</f>
        <v>250313</v>
      </c>
      <c r="S64" s="1476">
        <f>IFERROR(GETPIVOTDATA("合計 / " &amp; $B64,【ピボット】事業所収支!$A$3,"年月",S$1,"事業所",$A49)-S69,"")</f>
        <v>228324</v>
      </c>
      <c r="T64" s="1476">
        <f>IFERROR(GETPIVOTDATA("合計 / " &amp; $B64,【ピボット】事業所収支!$A$3,"年月",T$1,"事業所",$A49)-T69,"")</f>
        <v>235985</v>
      </c>
      <c r="U64" s="1476">
        <f>IFERROR(GETPIVOTDATA("合計 / " &amp; $B64,【ピボット】事業所収支!$A$3,"年月",U$1,"事業所",$A49)-U69,"")</f>
        <v>196460</v>
      </c>
      <c r="V64" s="1476">
        <f>IFERROR(GETPIVOTDATA("合計 / " &amp; $B64,【ピボット】事業所収支!$A$3,"年月",V$1,"事業所",$A49)-V69,"")</f>
        <v>621024</v>
      </c>
      <c r="W64" s="1476">
        <f>IFERROR(GETPIVOTDATA("合計 / " &amp; $B64,【ピボット】事業所収支!$A$3,"年月",W$1,"事業所",$A49)-W69,"")</f>
        <v>213444</v>
      </c>
      <c r="X64" s="1476">
        <f>IFERROR(GETPIVOTDATA("合計 / " &amp; $B64,【ピボット】事業所収支!$A$3,"年月",X$1,"事業所",$A49)-X69,"")</f>
        <v>384510</v>
      </c>
      <c r="Y64" s="1476">
        <f>IFERROR(GETPIVOTDATA("合計 / " &amp; $B64,【ピボット】事業所収支!$A$3,"年月",Y$1,"事業所",$A49)-Y69,"")</f>
        <v>312295</v>
      </c>
      <c r="Z64" s="1476">
        <f>IFERROR(GETPIVOTDATA("合計 / " &amp; $B64,【ピボット】事業所収支!$A$3,"年月",Z$1,"事業所",$A49)-Z69,"")</f>
        <v>279530</v>
      </c>
      <c r="AA64" s="1476">
        <f>IFERROR(GETPIVOTDATA("合計 / " &amp; $B64,【ピボット】事業所収支!$A$3,"年月",AA$1,"事業所",$A49)-AA69,"")</f>
        <v>749970</v>
      </c>
      <c r="AB64" s="1476">
        <f>IFERROR(GETPIVOTDATA("合計 / " &amp; $B64,【ピボット】事業所収支!$A$3,"年月",AB$1,"事業所",$A49)-AB69,"")</f>
        <v>306356</v>
      </c>
      <c r="AC64" s="1476">
        <f>IFERROR(GETPIVOTDATA("合計 / " &amp; $B64,【ピボット】事業所収支!$A$3,"年月",AC$1,"事業所",$A49)-AC69,"")</f>
        <v>299770</v>
      </c>
      <c r="AD64" s="1476">
        <f>IFERROR(GETPIVOTDATA("合計 / " &amp; $B64,【ピボット】事業所収支!$A$3,"年月",AD$1,"事業所",$A49)-AD69,"")</f>
        <v>302312</v>
      </c>
      <c r="AE64" s="1476">
        <f>IFERROR(GETPIVOTDATA("合計 / " &amp; $B64,【ピボット】事業所収支!$A$3,"年月",AE$1,"事業所",$A49)-AE69,"")</f>
        <v>327730</v>
      </c>
      <c r="AF64" s="1476" t="str">
        <f>IFERROR(GETPIVOTDATA("合計 / " &amp; $B64,【ピボット】事業所収支!$A$3,"年月",AF$1,"事業所",$A49)-AF69,"")</f>
        <v/>
      </c>
      <c r="AG64" s="1476" t="str">
        <f>IFERROR(GETPIVOTDATA("合計 / " &amp; $B64,【ピボット】事業所収支!$A$3,"年月",AG$1,"事業所",$A49)-AG69,"")</f>
        <v/>
      </c>
      <c r="AH64" s="1476" t="str">
        <f>IFERROR(GETPIVOTDATA("合計 / " &amp; $B64,【ピボット】事業所収支!$A$3,"年月",AH$1,"事業所",$A49)-AH69,"")</f>
        <v/>
      </c>
      <c r="AI64" s="1476" t="str">
        <f>IFERROR(GETPIVOTDATA("合計 / " &amp; $B64,【ピボット】事業所収支!$A$3,"年月",AI$1,"事業所",$A49)-AI69,"")</f>
        <v/>
      </c>
      <c r="AJ64" s="1476" t="str">
        <f>IFERROR(GETPIVOTDATA("合計 / " &amp; $B64,【ピボット】事業所収支!$A$3,"年月",AJ$1,"事業所",$A49)-AJ69,"")</f>
        <v/>
      </c>
      <c r="AK64" s="1476" t="str">
        <f>IFERROR(GETPIVOTDATA("合計 / " &amp; $B64,【ピボット】事業所収支!$A$3,"年月",AK$1,"事業所",$A49)-AK69,"")</f>
        <v/>
      </c>
      <c r="AL64" s="1476" t="str">
        <f>IFERROR(GETPIVOTDATA("合計 / " &amp; $B64,【ピボット】事業所収支!$A$3,"年月",AL$1,"事業所",$A49)-AL69,"")</f>
        <v/>
      </c>
      <c r="AM64" s="1476" t="str">
        <f>IFERROR(GETPIVOTDATA("合計 / " &amp; $B64,【ピボット】事業所収支!$A$3,"年月",AM$1,"事業所",$A49)-AM69,"")</f>
        <v/>
      </c>
      <c r="AN64" s="1476" t="str">
        <f>IFERROR(GETPIVOTDATA("合計 / " &amp; $B64,【ピボット】事業所収支!$A$3,"年月",AN$1,"事業所",$A49)-AN69,"")</f>
        <v/>
      </c>
      <c r="AO64" s="1476" t="str">
        <f>IFERROR(GETPIVOTDATA("合計 / " &amp; $B64,【ピボット】事業所収支!$A$3,"年月",AO$1,"事業所",$A49)-AO69,"")</f>
        <v/>
      </c>
      <c r="AP64" s="1476" t="str">
        <f>IFERROR(GETPIVOTDATA("合計 / " &amp; $B64,【ピボット】事業所収支!$A$3,"年月",AP$1,"事業所",$A49)-AP69,"")</f>
        <v/>
      </c>
      <c r="AQ64" s="1476" t="str">
        <f>IFERROR(GETPIVOTDATA("合計 / " &amp; $B64,【ピボット】事業所収支!$A$3,"年月",AQ$1,"事業所",$A49)-AQ69,"")</f>
        <v/>
      </c>
      <c r="AR64" s="1476" t="str">
        <f>IFERROR(GETPIVOTDATA("合計 / " &amp; $B64,【ピボット】事業所収支!$A$3,"年月",AR$1,"事業所",$A49)-AR69,"")</f>
        <v/>
      </c>
    </row>
    <row r="65" spans="1:44" x14ac:dyDescent="0.15">
      <c r="A65" s="2062"/>
      <c r="B65" s="724" t="s">
        <v>893</v>
      </c>
      <c r="C65" s="1475">
        <f>IFERROR(GETPIVOTDATA("合計 / " &amp; $B65,【ピボット】事業所収支!$A$3,"年月",C$1,"事業所",$A49),"")</f>
        <v>14634</v>
      </c>
      <c r="D65" s="1476">
        <f>IFERROR(GETPIVOTDATA("合計 / " &amp; $B65,【ピボット】事業所収支!$A$3,"年月",D$1,"事業所",$A49),"")</f>
        <v>16548</v>
      </c>
      <c r="E65" s="1476">
        <f>IFERROR(GETPIVOTDATA("合計 / " &amp; $B65,【ピボット】事業所収支!$A$3,"年月",E$1,"事業所",$A49),"")</f>
        <v>9404</v>
      </c>
      <c r="F65" s="1476">
        <f>IFERROR(GETPIVOTDATA("合計 / " &amp; $B65,【ピボット】事業所収支!$A$3,"年月",F$1,"事業所",$A49),"")</f>
        <v>48291</v>
      </c>
      <c r="G65" s="1476">
        <f>IFERROR(GETPIVOTDATA("合計 / " &amp; $B65,【ピボット】事業所収支!$A$3,"年月",G$1,"事業所",$A49),"")</f>
        <v>14888</v>
      </c>
      <c r="H65" s="1476">
        <f>IFERROR(GETPIVOTDATA("合計 / " &amp; $B65,【ピボット】事業所収支!$A$3,"年月",H$1,"事業所",$A49),"")</f>
        <v>19454</v>
      </c>
      <c r="I65" s="1476">
        <f>IFERROR(GETPIVOTDATA("合計 / " &amp; $B65,【ピボット】事業所収支!$A$3,"年月",I$1,"事業所",$A49),"")</f>
        <v>15892</v>
      </c>
      <c r="J65" s="1476">
        <f>IFERROR(GETPIVOTDATA("合計 / " &amp; $B65,【ピボット】事業所収支!$A$3,"年月",J$1,"事業所",$A49),"")</f>
        <v>14981</v>
      </c>
      <c r="K65" s="1476">
        <f>IFERROR(GETPIVOTDATA("合計 / " &amp; $B65,【ピボット】事業所収支!$A$3,"年月",K$1,"事業所",$A49),"")</f>
        <v>7658</v>
      </c>
      <c r="L65" s="1476">
        <f>IFERROR(GETPIVOTDATA("合計 / " &amp; $B65,【ピボット】事業所収支!$A$3,"年月",L$1,"事業所",$A49),"")</f>
        <v>13049</v>
      </c>
      <c r="M65" s="1476">
        <f>IFERROR(GETPIVOTDATA("合計 / " &amp; $B65,【ピボット】事業所収支!$A$3,"年月",M$1,"事業所",$A49),"")</f>
        <v>1143</v>
      </c>
      <c r="N65" s="1476">
        <f>IFERROR(GETPIVOTDATA("合計 / " &amp; $B65,【ピボット】事業所収支!$A$3,"年月",N$1,"事業所",$A49),"")</f>
        <v>23071</v>
      </c>
      <c r="O65" s="1476">
        <f>IFERROR(GETPIVOTDATA("合計 / " &amp; $B65,【ピボット】事業所収支!$A$3,"年月",O$1,"事業所",$A49),"")</f>
        <v>123018</v>
      </c>
      <c r="P65" s="1476">
        <f>IFERROR(GETPIVOTDATA("合計 / " &amp; $B65,【ピボット】事業所収支!$A$3,"年月",P$1,"事業所",$A49),"")</f>
        <v>996</v>
      </c>
      <c r="Q65" s="1476">
        <f>IFERROR(GETPIVOTDATA("合計 / " &amp; $B65,【ピボット】事業所収支!$A$3,"年月",Q$1,"事業所",$A49),"")</f>
        <v>16901</v>
      </c>
      <c r="R65" s="1476">
        <f>IFERROR(GETPIVOTDATA("合計 / " &amp; $B65,【ピボット】事業所収支!$A$3,"年月",R$1,"事業所",$A49),"")</f>
        <v>3621</v>
      </c>
      <c r="S65" s="1476">
        <f>IFERROR(GETPIVOTDATA("合計 / " &amp; $B65,【ピボット】事業所収支!$A$3,"年月",S$1,"事業所",$A49),"")</f>
        <v>6952</v>
      </c>
      <c r="T65" s="1476">
        <f>IFERROR(GETPIVOTDATA("合計 / " &amp; $B65,【ピボット】事業所収支!$A$3,"年月",T$1,"事業所",$A49),"")</f>
        <v>8768</v>
      </c>
      <c r="U65" s="1476">
        <f>IFERROR(GETPIVOTDATA("合計 / " &amp; $B65,【ピボット】事業所収支!$A$3,"年月",U$1,"事業所",$A49),"")</f>
        <v>6683</v>
      </c>
      <c r="V65" s="1476">
        <f>IFERROR(GETPIVOTDATA("合計 / " &amp; $B65,【ピボット】事業所収支!$A$3,"年月",V$1,"事業所",$A49),"")</f>
        <v>2571</v>
      </c>
      <c r="W65" s="1476">
        <f>IFERROR(GETPIVOTDATA("合計 / " &amp; $B65,【ピボット】事業所収支!$A$3,"年月",W$1,"事業所",$A49),"")</f>
        <v>56664</v>
      </c>
      <c r="X65" s="1476">
        <f>IFERROR(GETPIVOTDATA("合計 / " &amp; $B65,【ピボット】事業所収支!$A$3,"年月",X$1,"事業所",$A49),"")</f>
        <v>39170</v>
      </c>
      <c r="Y65" s="1476">
        <f>IFERROR(GETPIVOTDATA("合計 / " &amp; $B65,【ピボット】事業所収支!$A$3,"年月",Y$1,"事業所",$A49),"")</f>
        <v>5122</v>
      </c>
      <c r="Z65" s="1476">
        <f>IFERROR(GETPIVOTDATA("合計 / " &amp; $B65,【ピボット】事業所収支!$A$3,"年月",Z$1,"事業所",$A49),"")</f>
        <v>133821</v>
      </c>
      <c r="AA65" s="1476">
        <f>IFERROR(GETPIVOTDATA("合計 / " &amp; $B65,【ピボット】事業所収支!$A$3,"年月",AA$1,"事業所",$A49),"")</f>
        <v>62926</v>
      </c>
      <c r="AB65" s="1476">
        <f>IFERROR(GETPIVOTDATA("合計 / " &amp; $B65,【ピボット】事業所収支!$A$3,"年月",AB$1,"事業所",$A49),"")</f>
        <v>8658</v>
      </c>
      <c r="AC65" s="1476">
        <f>IFERROR(GETPIVOTDATA("合計 / " &amp; $B65,【ピボット】事業所収支!$A$3,"年月",AC$1,"事業所",$A49),"")</f>
        <v>0</v>
      </c>
      <c r="AD65" s="1476">
        <f>IFERROR(GETPIVOTDATA("合計 / " &amp; $B65,【ピボット】事業所収支!$A$3,"年月",AD$1,"事業所",$A49),"")</f>
        <v>5859</v>
      </c>
      <c r="AE65" s="1476">
        <f>IFERROR(GETPIVOTDATA("合計 / " &amp; $B65,【ピボット】事業所収支!$A$3,"年月",AE$1,"事業所",$A49),"")</f>
        <v>14946</v>
      </c>
      <c r="AF65" s="1476" t="str">
        <f>IFERROR(GETPIVOTDATA("合計 / " &amp; $B65,【ピボット】事業所収支!$A$3,"年月",AF$1,"事業所",$A49),"")</f>
        <v/>
      </c>
      <c r="AG65" s="1476" t="str">
        <f>IFERROR(GETPIVOTDATA("合計 / " &amp; $B65,【ピボット】事業所収支!$A$3,"年月",AG$1,"事業所",$A49),"")</f>
        <v/>
      </c>
      <c r="AH65" s="1476" t="str">
        <f>IFERROR(GETPIVOTDATA("合計 / " &amp; $B65,【ピボット】事業所収支!$A$3,"年月",AH$1,"事業所",$A49),"")</f>
        <v/>
      </c>
      <c r="AI65" s="1476" t="str">
        <f>IFERROR(GETPIVOTDATA("合計 / " &amp; $B65,【ピボット】事業所収支!$A$3,"年月",AI$1,"事業所",$A49),"")</f>
        <v/>
      </c>
      <c r="AJ65" s="1476" t="str">
        <f>IFERROR(GETPIVOTDATA("合計 / " &amp; $B65,【ピボット】事業所収支!$A$3,"年月",AJ$1,"事業所",$A49),"")</f>
        <v/>
      </c>
      <c r="AK65" s="1476" t="str">
        <f>IFERROR(GETPIVOTDATA("合計 / " &amp; $B65,【ピボット】事業所収支!$A$3,"年月",AK$1,"事業所",$A49),"")</f>
        <v/>
      </c>
      <c r="AL65" s="1476" t="str">
        <f>IFERROR(GETPIVOTDATA("合計 / " &amp; $B65,【ピボット】事業所収支!$A$3,"年月",AL$1,"事業所",$A49),"")</f>
        <v/>
      </c>
      <c r="AM65" s="1476" t="str">
        <f>IFERROR(GETPIVOTDATA("合計 / " &amp; $B65,【ピボット】事業所収支!$A$3,"年月",AM$1,"事業所",$A49),"")</f>
        <v/>
      </c>
      <c r="AN65" s="1476" t="str">
        <f>IFERROR(GETPIVOTDATA("合計 / " &amp; $B65,【ピボット】事業所収支!$A$3,"年月",AN$1,"事業所",$A49),"")</f>
        <v/>
      </c>
      <c r="AO65" s="1476" t="str">
        <f>IFERROR(GETPIVOTDATA("合計 / " &amp; $B65,【ピボット】事業所収支!$A$3,"年月",AO$1,"事業所",$A49),"")</f>
        <v/>
      </c>
      <c r="AP65" s="1476" t="str">
        <f>IFERROR(GETPIVOTDATA("合計 / " &amp; $B65,【ピボット】事業所収支!$A$3,"年月",AP$1,"事業所",$A49),"")</f>
        <v/>
      </c>
      <c r="AQ65" s="1476" t="str">
        <f>IFERROR(GETPIVOTDATA("合計 / " &amp; $B65,【ピボット】事業所収支!$A$3,"年月",AQ$1,"事業所",$A49),"")</f>
        <v/>
      </c>
      <c r="AR65" s="1476" t="str">
        <f>IFERROR(GETPIVOTDATA("合計 / " &amp; $B65,【ピボット】事業所収支!$A$3,"年月",AR$1,"事業所",$A49),"")</f>
        <v/>
      </c>
    </row>
    <row r="66" spans="1:44" x14ac:dyDescent="0.15">
      <c r="A66" s="2062"/>
      <c r="B66" s="724" t="s">
        <v>892</v>
      </c>
      <c r="C66" s="1475">
        <f t="shared" ref="C66:J66" si="61">IF(SUM(C61,C64:C65)=0,"",SUM(C61,C64:C65))</f>
        <v>1539000</v>
      </c>
      <c r="D66" s="1476">
        <f t="shared" si="61"/>
        <v>2183087</v>
      </c>
      <c r="E66" s="1476">
        <f t="shared" si="61"/>
        <v>1676916</v>
      </c>
      <c r="F66" s="1476">
        <f t="shared" si="61"/>
        <v>1653766</v>
      </c>
      <c r="G66" s="1476">
        <f t="shared" si="61"/>
        <v>1598950</v>
      </c>
      <c r="H66" s="1476">
        <f t="shared" si="61"/>
        <v>1661651</v>
      </c>
      <c r="I66" s="1476">
        <f t="shared" si="61"/>
        <v>1765583</v>
      </c>
      <c r="J66" s="1476">
        <f t="shared" si="61"/>
        <v>1957313</v>
      </c>
      <c r="K66" s="1476">
        <f>IF(SUM(K61:K62,K64:K65)=0,"",SUM(K61:K62,K64:K65))</f>
        <v>1886378</v>
      </c>
      <c r="L66" s="1476">
        <f t="shared" ref="L66:Z66" si="62">IF(SUM(L61,L64:L65)=0,"",SUM(L61,L64:L65))</f>
        <v>1731208</v>
      </c>
      <c r="M66" s="1476">
        <f t="shared" si="62"/>
        <v>1583871</v>
      </c>
      <c r="N66" s="1476">
        <f t="shared" si="62"/>
        <v>1584747</v>
      </c>
      <c r="O66" s="1476">
        <f t="shared" si="62"/>
        <v>1360289.9444993127</v>
      </c>
      <c r="P66" s="1476">
        <f t="shared" si="62"/>
        <v>2123075</v>
      </c>
      <c r="Q66" s="1476">
        <f t="shared" si="62"/>
        <v>2052867</v>
      </c>
      <c r="R66" s="1476">
        <f t="shared" si="62"/>
        <v>1895952</v>
      </c>
      <c r="S66" s="1476">
        <f t="shared" si="62"/>
        <v>1997336</v>
      </c>
      <c r="T66" s="1476">
        <f t="shared" si="62"/>
        <v>2008977</v>
      </c>
      <c r="U66" s="1476">
        <f t="shared" si="62"/>
        <v>2007143</v>
      </c>
      <c r="V66" s="1476">
        <f t="shared" si="62"/>
        <v>2472010</v>
      </c>
      <c r="W66" s="1476">
        <f t="shared" si="62"/>
        <v>2164481</v>
      </c>
      <c r="X66" s="1476">
        <f t="shared" si="62"/>
        <v>2245702</v>
      </c>
      <c r="Y66" s="1476">
        <f t="shared" si="62"/>
        <v>2277060</v>
      </c>
      <c r="Z66" s="1476">
        <f t="shared" si="62"/>
        <v>2687637</v>
      </c>
      <c r="AA66" s="1476">
        <f t="shared" ref="AA66:AF66" si="63">IF(SUM(AA61,AA64:AA65)=0,"",SUM(AA61,AA64:AA65))</f>
        <v>3218417</v>
      </c>
      <c r="AB66" s="1476">
        <f t="shared" si="63"/>
        <v>2723517</v>
      </c>
      <c r="AC66" s="1476">
        <f t="shared" si="63"/>
        <v>2520200</v>
      </c>
      <c r="AD66" s="1476">
        <f t="shared" si="63"/>
        <v>2560235</v>
      </c>
      <c r="AE66" s="1476">
        <f t="shared" si="63"/>
        <v>2592764</v>
      </c>
      <c r="AF66" s="1476" t="str">
        <f t="shared" si="63"/>
        <v/>
      </c>
      <c r="AG66" s="1476" t="str">
        <f t="shared" ref="AG66:AR66" si="64">IF(SUM(AG61,AG64:AG65)=0,"",SUM(AG61,AG64:AG65))</f>
        <v/>
      </c>
      <c r="AH66" s="1476" t="str">
        <f t="shared" si="64"/>
        <v/>
      </c>
      <c r="AI66" s="1476" t="str">
        <f t="shared" si="64"/>
        <v/>
      </c>
      <c r="AJ66" s="1476" t="str">
        <f t="shared" si="64"/>
        <v/>
      </c>
      <c r="AK66" s="1476" t="str">
        <f t="shared" si="64"/>
        <v/>
      </c>
      <c r="AL66" s="1476" t="str">
        <f t="shared" si="64"/>
        <v/>
      </c>
      <c r="AM66" s="1476" t="str">
        <f t="shared" si="64"/>
        <v/>
      </c>
      <c r="AN66" s="1476" t="str">
        <f t="shared" si="64"/>
        <v/>
      </c>
      <c r="AO66" s="1476" t="str">
        <f t="shared" si="64"/>
        <v/>
      </c>
      <c r="AP66" s="1476" t="str">
        <f t="shared" si="64"/>
        <v/>
      </c>
      <c r="AQ66" s="1476" t="str">
        <f t="shared" si="64"/>
        <v/>
      </c>
      <c r="AR66" s="1476" t="str">
        <f t="shared" si="64"/>
        <v/>
      </c>
    </row>
    <row r="67" spans="1:44" s="729" customFormat="1" x14ac:dyDescent="0.15">
      <c r="A67" s="2062"/>
      <c r="B67" s="724" t="s">
        <v>891</v>
      </c>
      <c r="C67" s="1475">
        <f>IFERROR(GETPIVOTDATA("合計 / " &amp; $B67,【ピボット】事業所収支!$A$3,"年月",C$1,"事業所",$A49),"")</f>
        <v>1086861</v>
      </c>
      <c r="D67" s="1476">
        <f>IFERROR(GETPIVOTDATA("合計 / " &amp; $B67,【ピボット】事業所収支!$A$3,"年月",D$1,"事業所",$A49),"")</f>
        <v>1221540</v>
      </c>
      <c r="E67" s="1476">
        <f>IFERROR(GETPIVOTDATA("合計 / " &amp; $B67,【ピボット】事業所収支!$A$3,"年月",E$1,"事業所",$A49),"")</f>
        <v>1144155</v>
      </c>
      <c r="F67" s="1476">
        <f>IFERROR(GETPIVOTDATA("合計 / " &amp; $B67,【ピボット】事業所収支!$A$3,"年月",F$1,"事業所",$A49),"")</f>
        <v>1294864</v>
      </c>
      <c r="G67" s="1476">
        <f>IFERROR(GETPIVOTDATA("合計 / " &amp; $B67,【ピボット】事業所収支!$A$3,"年月",G$1,"事業所",$A49),"")</f>
        <v>1359846</v>
      </c>
      <c r="H67" s="1476">
        <f>IFERROR(GETPIVOTDATA("合計 / " &amp; $B67,【ピボット】事業所収支!$A$3,"年月",H$1,"事業所",$A49),"")</f>
        <v>1485376</v>
      </c>
      <c r="I67" s="1476">
        <f>IFERROR(GETPIVOTDATA("合計 / " &amp; $B67,【ピボット】事業所収支!$A$3,"年月",I$1,"事業所",$A49),"")</f>
        <v>1523579</v>
      </c>
      <c r="J67" s="1476">
        <f>IFERROR(GETPIVOTDATA("合計 / " &amp; $B67,【ピボット】事業所収支!$A$3,"年月",J$1,"事業所",$A49),"")</f>
        <v>1660664</v>
      </c>
      <c r="K67" s="1476">
        <f>IFERROR(GETPIVOTDATA("合計 / " &amp; $B67,【ピボット】事業所収支!$A$3,"年月",K$1,"事業所",$A49),"")</f>
        <v>1591278</v>
      </c>
      <c r="L67" s="1476">
        <f>IFERROR(GETPIVOTDATA("合計 / " &amp; $B67,【ピボット】事業所収支!$A$3,"年月",L$1,"事業所",$A49),"")</f>
        <v>1583827</v>
      </c>
      <c r="M67" s="1476">
        <f>IFERROR(GETPIVOTDATA("合計 / " &amp; $B67,【ピボット】事業所収支!$A$3,"年月",M$1,"事業所",$A49),"")</f>
        <v>1824962</v>
      </c>
      <c r="N67" s="1476">
        <f>IFERROR(GETPIVOTDATA("合計 / " &amp; $B67,【ピボット】事業所収支!$A$3,"年月",N$1,"事業所",$A49),"")</f>
        <v>1878917</v>
      </c>
      <c r="O67" s="1476">
        <f>IFERROR(GETPIVOTDATA("合計 / " &amp; $B67,【ピボット】事業所収支!$A$3,"年月",O$1,"事業所",$A49),"")</f>
        <v>1864962</v>
      </c>
      <c r="P67" s="1476">
        <f>IFERROR(GETPIVOTDATA("合計 / " &amp; $B67,【ピボット】事業所収支!$A$3,"年月",P$1,"事業所",$A49),"")</f>
        <v>2029268</v>
      </c>
      <c r="Q67" s="1476">
        <f>IFERROR(GETPIVOTDATA("合計 / " &amp; $B67,【ピボット】事業所収支!$A$3,"年月",Q$1,"事業所",$A49),"")</f>
        <v>1811119</v>
      </c>
      <c r="R67" s="1476">
        <f>IFERROR(GETPIVOTDATA("合計 / " &amp; $B67,【ピボット】事業所収支!$A$3,"年月",R$1,"事業所",$A49),"")</f>
        <v>1857613</v>
      </c>
      <c r="S67" s="1476">
        <f>IFERROR(GETPIVOTDATA("合計 / " &amp; $B67,【ピボット】事業所収支!$A$3,"年月",S$1,"事業所",$A49),"")</f>
        <v>1806032</v>
      </c>
      <c r="T67" s="1476">
        <f>IFERROR(GETPIVOTDATA("合計 / " &amp; $B67,【ピボット】事業所収支!$A$3,"年月",T$1,"事業所",$A49),"")</f>
        <v>1756736</v>
      </c>
      <c r="U67" s="1476">
        <f>IFERROR(GETPIVOTDATA("合計 / " &amp; $B67,【ピボット】事業所収支!$A$3,"年月",U$1,"事業所",$A49),"")</f>
        <v>2004093</v>
      </c>
      <c r="V67" s="1476">
        <f>IFERROR(GETPIVOTDATA("合計 / " &amp; $B67,【ピボット】事業所収支!$A$3,"年月",V$1,"事業所",$A49),"")</f>
        <v>1955103</v>
      </c>
      <c r="W67" s="1476">
        <f>IFERROR(GETPIVOTDATA("合計 / " &amp; $B67,【ピボット】事業所収支!$A$3,"年月",W$1,"事業所",$A49),"")</f>
        <v>1913718</v>
      </c>
      <c r="X67" s="1476">
        <f>IFERROR(GETPIVOTDATA("合計 / " &amp; $B67,【ピボット】事業所収支!$A$3,"年月",X$1,"事業所",$A49),"")</f>
        <v>1972654</v>
      </c>
      <c r="Y67" s="1476">
        <f>IFERROR(GETPIVOTDATA("合計 / " &amp; $B67,【ピボット】事業所収支!$A$3,"年月",Y$1,"事業所",$A49),"")</f>
        <v>2165081</v>
      </c>
      <c r="Z67" s="1476">
        <f>IFERROR(GETPIVOTDATA("合計 / " &amp; $B67,【ピボット】事業所収支!$A$3,"年月",Z$1,"事業所",$A49),"")</f>
        <v>2058665</v>
      </c>
      <c r="AA67" s="1476">
        <f>IFERROR(GETPIVOTDATA("合計 / " &amp; $B67,【ピボット】事業所収支!$A$3,"年月",AA$1,"事業所",$A49),"")</f>
        <v>1972014</v>
      </c>
      <c r="AB67" s="1476">
        <f>IFERROR(GETPIVOTDATA("合計 / " &amp; $B67,【ピボット】事業所収支!$A$3,"年月",AB$1,"事業所",$A49),"")</f>
        <v>2139316</v>
      </c>
      <c r="AC67" s="1476">
        <f>IFERROR(GETPIVOTDATA("合計 / " &amp; $B67,【ピボット】事業所収支!$A$3,"年月",AC$1,"事業所",$A49),"")</f>
        <v>1722646</v>
      </c>
      <c r="AD67" s="1476">
        <f>IFERROR(GETPIVOTDATA("合計 / " &amp; $B67,【ピボット】事業所収支!$A$3,"年月",AD$1,"事業所",$A49),"")</f>
        <v>1925498</v>
      </c>
      <c r="AE67" s="1476">
        <f>IFERROR(GETPIVOTDATA("合計 / " &amp; $B67,【ピボット】事業所収支!$A$3,"年月",AE$1,"事業所",$A49),"")</f>
        <v>2019702</v>
      </c>
      <c r="AF67" s="1476" t="str">
        <f>IFERROR(GETPIVOTDATA("合計 / " &amp; $B67,【ピボット】事業所収支!$A$3,"年月",AF$1,"事業所",$A49),"")</f>
        <v/>
      </c>
      <c r="AG67" s="1476" t="str">
        <f>IFERROR(GETPIVOTDATA("合計 / " &amp; $B67,【ピボット】事業所収支!$A$3,"年月",AG$1,"事業所",$A49),"")</f>
        <v/>
      </c>
      <c r="AH67" s="1476" t="str">
        <f>IFERROR(GETPIVOTDATA("合計 / " &amp; $B67,【ピボット】事業所収支!$A$3,"年月",AH$1,"事業所",$A49),"")</f>
        <v/>
      </c>
      <c r="AI67" s="1476" t="str">
        <f>IFERROR(GETPIVOTDATA("合計 / " &amp; $B67,【ピボット】事業所収支!$A$3,"年月",AI$1,"事業所",$A49),"")</f>
        <v/>
      </c>
      <c r="AJ67" s="1476" t="str">
        <f>IFERROR(GETPIVOTDATA("合計 / " &amp; $B67,【ピボット】事業所収支!$A$3,"年月",AJ$1,"事業所",$A49),"")</f>
        <v/>
      </c>
      <c r="AK67" s="1476" t="str">
        <f>IFERROR(GETPIVOTDATA("合計 / " &amp; $B67,【ピボット】事業所収支!$A$3,"年月",AK$1,"事業所",$A49),"")</f>
        <v/>
      </c>
      <c r="AL67" s="1476" t="str">
        <f>IFERROR(GETPIVOTDATA("合計 / " &amp; $B67,【ピボット】事業所収支!$A$3,"年月",AL$1,"事業所",$A49),"")</f>
        <v/>
      </c>
      <c r="AM67" s="1476" t="str">
        <f>IFERROR(GETPIVOTDATA("合計 / " &amp; $B67,【ピボット】事業所収支!$A$3,"年月",AM$1,"事業所",$A49),"")</f>
        <v/>
      </c>
      <c r="AN67" s="1476" t="str">
        <f>IFERROR(GETPIVOTDATA("合計 / " &amp; $B67,【ピボット】事業所収支!$A$3,"年月",AN$1,"事業所",$A49),"")</f>
        <v/>
      </c>
      <c r="AO67" s="1476" t="str">
        <f>IFERROR(GETPIVOTDATA("合計 / " &amp; $B67,【ピボット】事業所収支!$A$3,"年月",AO$1,"事業所",$A49),"")</f>
        <v/>
      </c>
      <c r="AP67" s="1476" t="str">
        <f>IFERROR(GETPIVOTDATA("合計 / " &amp; $B67,【ピボット】事業所収支!$A$3,"年月",AP$1,"事業所",$A49),"")</f>
        <v/>
      </c>
      <c r="AQ67" s="1476" t="str">
        <f>IFERROR(GETPIVOTDATA("合計 / " &amp; $B67,【ピボット】事業所収支!$A$3,"年月",AQ$1,"事業所",$A49),"")</f>
        <v/>
      </c>
      <c r="AR67" s="1476" t="str">
        <f>IFERROR(GETPIVOTDATA("合計 / " &amp; $B67,【ピボット】事業所収支!$A$3,"年月",AR$1,"事業所",$A49),"")</f>
        <v/>
      </c>
    </row>
    <row r="68" spans="1:44" x14ac:dyDescent="0.15">
      <c r="A68" s="2063"/>
      <c r="B68" s="725" t="s">
        <v>890</v>
      </c>
      <c r="C68" s="720">
        <v>30000</v>
      </c>
      <c r="D68" s="717">
        <v>0</v>
      </c>
      <c r="E68" s="717">
        <v>0</v>
      </c>
      <c r="F68" s="717">
        <v>0</v>
      </c>
      <c r="G68" s="717">
        <v>0</v>
      </c>
      <c r="H68" s="717">
        <v>0</v>
      </c>
      <c r="I68" s="717">
        <v>0</v>
      </c>
      <c r="J68" s="717">
        <v>0</v>
      </c>
      <c r="K68" s="717">
        <v>0</v>
      </c>
      <c r="L68" s="717">
        <v>0</v>
      </c>
      <c r="M68" s="717">
        <v>0</v>
      </c>
      <c r="N68" s="717">
        <v>0</v>
      </c>
      <c r="O68" s="717">
        <v>0</v>
      </c>
      <c r="P68" s="717">
        <v>0</v>
      </c>
      <c r="Q68" s="717">
        <v>0</v>
      </c>
      <c r="R68" s="717">
        <v>0</v>
      </c>
      <c r="S68" s="717">
        <v>0</v>
      </c>
      <c r="T68" s="717">
        <v>0</v>
      </c>
      <c r="U68" s="717">
        <v>0</v>
      </c>
      <c r="V68" s="717">
        <v>0</v>
      </c>
      <c r="W68" s="717">
        <v>0</v>
      </c>
      <c r="X68" s="717">
        <v>0</v>
      </c>
      <c r="Y68" s="717">
        <v>0</v>
      </c>
      <c r="Z68" s="717">
        <v>0</v>
      </c>
      <c r="AA68" s="717">
        <v>0</v>
      </c>
      <c r="AB68" s="717">
        <v>0</v>
      </c>
      <c r="AC68" s="717">
        <v>0</v>
      </c>
      <c r="AD68" s="717">
        <v>0</v>
      </c>
      <c r="AE68" s="717">
        <v>0</v>
      </c>
      <c r="AF68" s="717"/>
      <c r="AG68" s="717"/>
      <c r="AH68" s="717"/>
      <c r="AI68" s="717"/>
      <c r="AJ68" s="717"/>
      <c r="AK68" s="717"/>
      <c r="AL68" s="717"/>
      <c r="AM68" s="717"/>
      <c r="AN68" s="717"/>
      <c r="AO68" s="717"/>
      <c r="AP68" s="717"/>
      <c r="AQ68" s="717"/>
      <c r="AR68" s="717"/>
    </row>
    <row r="69" spans="1:44" x14ac:dyDescent="0.15">
      <c r="A69" s="2063"/>
      <c r="B69" s="725" t="s">
        <v>889</v>
      </c>
      <c r="C69" s="1478">
        <f>IF(C67="","",SUMIFS(パート法定福利費処遇改善計算!$F:$F,パート法定福利費処遇改善計算!$A:$A,C$1,パート法定福利費処遇改善計算!$B:$B,$A49))</f>
        <v>27601</v>
      </c>
      <c r="D69" s="1479">
        <f>IF(D67="","",SUMIFS(パート法定福利費処遇改善計算!$F:$F,パート法定福利費処遇改善計算!$A:$A,D$1,パート法定福利費処遇改善計算!$B:$B,$A49))</f>
        <v>27389</v>
      </c>
      <c r="E69" s="1479">
        <f>IF(E67="","",SUMIFS(パート法定福利費処遇改善計算!$F:$F,パート法定福利費処遇改善計算!$A:$A,E$1,パート法定福利費処遇改善計算!$B:$B,$A49))</f>
        <v>27457</v>
      </c>
      <c r="F69" s="1479">
        <f>IF(F67="","",SUMIFS(パート法定福利費処遇改善計算!$F:$F,パート法定福利費処遇改善計算!$A:$A,F$1,パート法定福利費処遇改善計算!$B:$B,$A49))</f>
        <v>51856</v>
      </c>
      <c r="G69" s="1479">
        <f>IF(G67="","",SUMIFS(パート法定福利費処遇改善計算!$F:$F,パート法定福利費処遇改善計算!$A:$A,G$1,パート法定福利費処遇改善計算!$B:$B,$A49))</f>
        <v>51924</v>
      </c>
      <c r="H69" s="1479">
        <f>IF(H67="","",SUMIFS(パート法定福利費処遇改善計算!$F:$F,パート法定福利費処遇改善計算!$A:$A,H$1,パート法定福利費処遇改善計算!$B:$B,$A49))</f>
        <v>51991</v>
      </c>
      <c r="I69" s="1479">
        <f>IF(I67="","",SUMIFS(パート法定福利費処遇改善計算!$F:$F,パート法定福利費処遇改善計算!$A:$A,I$1,パート法定福利費処遇改善計算!$B:$B,$A49))</f>
        <v>52010</v>
      </c>
      <c r="J69" s="1479">
        <f>IF(J67="","",SUMIFS(パート法定福利費処遇改善計算!$F:$F,パート法定福利費処遇改善計算!$A:$A,J$1,パート法定福利費処遇改善計算!$B:$B,$A49))</f>
        <v>52087</v>
      </c>
      <c r="K69" s="1479">
        <f>IF(K67="","",SUMIFS(パート法定福利費処遇改善計算!$F:$F,パート法定福利費処遇改善計算!$A:$A,K$1,パート法定福利費処遇改善計算!$B:$B,$A49))</f>
        <v>56547</v>
      </c>
      <c r="L69" s="1479">
        <f>IF(L67="","",SUMIFS(パート法定福利費処遇改善計算!$F:$F,パート法定福利費処遇改善計算!$A:$A,L$1,パート法定福利費処遇改善計算!$B:$B,$A49))</f>
        <v>56708</v>
      </c>
      <c r="M69" s="1479">
        <f>IF(M67="","",SUMIFS(パート法定福利費処遇改善計算!$F:$F,パート法定福利費処遇改善計算!$A:$A,M$1,パート法定福利費処遇改善計算!$B:$B,$A49))</f>
        <v>56880</v>
      </c>
      <c r="N69" s="1479">
        <f>IF(N67="","",SUMIFS(パート法定福利費処遇改善計算!$F:$F,パート法定福利費処遇改善計算!$A:$A,N$1,パート法定福利費処遇改善計算!$B:$B,$A49))</f>
        <v>56788</v>
      </c>
      <c r="O69" s="1479">
        <f>IF(O67="","",SUMIFS(パート法定福利費処遇改善計算!$F:$F,パート法定福利費処遇改善計算!$A:$A,O$1,パート法定福利費処遇改善計算!$B:$B,$A49))</f>
        <v>56734</v>
      </c>
      <c r="P69" s="1479">
        <f>IF(P67="","",SUMIFS(パート法定福利費処遇改善計算!$F:$F,パート法定福利費処遇改善計算!$A:$A,P$1,パート法定福利費処遇改善計算!$B:$B,$A49))</f>
        <v>56712</v>
      </c>
      <c r="Q69" s="1479">
        <f>IF(Q67="","",SUMIFS(パート法定福利費処遇改善計算!$F:$F,パート法定福利費処遇改善計算!$A:$A,Q$1,パート法定福利費処遇改善計算!$B:$B,$A49))</f>
        <v>105459</v>
      </c>
      <c r="R69" s="1479">
        <f>IF(R67="","",SUMIFS(パート法定福利費処遇改善計算!$F:$F,パート法定福利費処遇改善計算!$A:$A,R$1,パート法定福利費処遇改善計算!$B:$B,$A49))</f>
        <v>75112</v>
      </c>
      <c r="S69" s="1479">
        <f>IF(S67="","",SUMIFS(パート法定福利費処遇改善計算!$F:$F,パート法定福利費処遇改善計算!$A:$A,S$1,パート法定福利費処遇改善計算!$B:$B,$A49))</f>
        <v>75017</v>
      </c>
      <c r="T69" s="1479">
        <f>IF(T67="","",SUMIFS(パート法定福利費処遇改善計算!$F:$F,パート法定福利費処遇改善計算!$A:$A,T$1,パート法定福利費処遇改善計算!$B:$B,$A49))</f>
        <v>74589</v>
      </c>
      <c r="U69" s="1479">
        <f>IF(U67="","",SUMIFS(パート法定福利費処遇改善計算!$F:$F,パート法定福利費処遇改善計算!$A:$A,U$1,パート法定福利費処遇改善計算!$B:$B,$A49))</f>
        <v>74887</v>
      </c>
      <c r="V69" s="1479">
        <f>IF(V67="","",SUMIFS(パート法定福利費処遇改善計算!$F:$F,パート法定福利費処遇改善計算!$A:$A,V$1,パート法定福利費処遇改善計算!$B:$B,$A49))</f>
        <v>74939</v>
      </c>
      <c r="W69" s="1479">
        <f>IF(W67="","",SUMIFS(パート法定福利費処遇改善計算!$F:$F,パート法定福利費処遇改善計算!$A:$A,W$1,パート法定福利費処遇改善計算!$B:$B,$A49))</f>
        <v>79395</v>
      </c>
      <c r="X69" s="1479">
        <f>IF(X67="","",SUMIFS(パート法定福利費処遇改善計算!$F:$F,パート法定福利費処遇改善計算!$A:$A,X$1,パート法定福利費処遇改善計算!$B:$B,$A49))</f>
        <v>79403</v>
      </c>
      <c r="Y69" s="1479">
        <f>IF(Y67="","",SUMIFS(パート法定福利費処遇改善計算!$F:$F,パート法定福利費処遇改善計算!$A:$A,Y$1,パート法定福利費処遇改善計算!$B:$B,$A49))</f>
        <v>79468</v>
      </c>
      <c r="Z69" s="1479">
        <f>IF(Z67="","",SUMIFS(パート法定福利費処遇改善計算!$F:$F,パート法定福利費処遇改善計算!$A:$A,Z$1,パート法定福利費処遇改善計算!$B:$B,$A49))</f>
        <v>79490</v>
      </c>
      <c r="AA69" s="1479">
        <f>IF(AA67="","",SUMIFS(パート法定福利費処遇改善計算!$F:$F,パート法定福利費処遇改善計算!$A:$A,AA$1,パート法定福利費処遇改善計算!$B:$B,$A49))</f>
        <v>79393</v>
      </c>
      <c r="AB69" s="1479">
        <f>IF(AB67="","",SUMIFS(パート法定福利費処遇改善計算!$F:$F,パート法定福利費処遇改善計算!$A:$A,AB$1,パート法定福利費処遇改善計算!$B:$B,$A49))</f>
        <v>79446</v>
      </c>
      <c r="AC69" s="1479">
        <f>IF(AC67="","",SUMIFS(パート法定福利費処遇改善計算!$F:$F,パート法定福利費処遇改善計算!$A:$A,AC$1,パート法定福利費処遇改善計算!$B:$B,$A49))</f>
        <v>30641</v>
      </c>
      <c r="AD69" s="1479">
        <f>IF(AD67="","",SUMIFS(パート法定福利費処遇改善計算!$F:$F,パート法定福利費処遇改善計算!$A:$A,AD$1,パート法定福利費処遇改善計算!$B:$B,$A49))</f>
        <v>30848</v>
      </c>
      <c r="AE69" s="1479">
        <f>IF(AE67="","",SUMIFS(パート法定福利費処遇改善計算!$F:$F,パート法定福利費処遇改善計算!$A:$A,AE$1,パート法定福利費処遇改善計算!$B:$B,$A49))</f>
        <v>30858</v>
      </c>
      <c r="AF69" s="1479" t="str">
        <f>IF(AF67="","",SUMIFS(パート法定福利費処遇改善計算!$F:$F,パート法定福利費処遇改善計算!$A:$A,AF$1,パート法定福利費処遇改善計算!$B:$B,$A49))</f>
        <v/>
      </c>
      <c r="AG69" s="1479" t="str">
        <f>IF(AG67="","",SUMIFS(パート法定福利費処遇改善計算!$F:$F,パート法定福利費処遇改善計算!$A:$A,AG$1,パート法定福利費処遇改善計算!$B:$B,$A49))</f>
        <v/>
      </c>
      <c r="AH69" s="1479" t="str">
        <f>IF(AH67="","",SUMIFS(パート法定福利費処遇改善計算!$F:$F,パート法定福利費処遇改善計算!$A:$A,AH$1,パート法定福利費処遇改善計算!$B:$B,$A49))</f>
        <v/>
      </c>
      <c r="AI69" s="1479" t="str">
        <f>IF(AI67="","",SUMIFS(パート法定福利費処遇改善計算!$F:$F,パート法定福利費処遇改善計算!$A:$A,AI$1,パート法定福利費処遇改善計算!$B:$B,$A49))</f>
        <v/>
      </c>
      <c r="AJ69" s="1479" t="str">
        <f>IF(AJ67="","",SUMIFS(パート法定福利費処遇改善計算!$F:$F,パート法定福利費処遇改善計算!$A:$A,AJ$1,パート法定福利費処遇改善計算!$B:$B,$A49))</f>
        <v/>
      </c>
      <c r="AK69" s="1479" t="str">
        <f>IF(AK67="","",SUMIFS(パート法定福利費処遇改善計算!$F:$F,パート法定福利費処遇改善計算!$A:$A,AK$1,パート法定福利費処遇改善計算!$B:$B,$A49))</f>
        <v/>
      </c>
      <c r="AL69" s="1479" t="str">
        <f>IF(AL67="","",SUMIFS(パート法定福利費処遇改善計算!$F:$F,パート法定福利費処遇改善計算!$A:$A,AL$1,パート法定福利費処遇改善計算!$B:$B,$A49))</f>
        <v/>
      </c>
      <c r="AM69" s="1479" t="str">
        <f>IF(AM67="","",SUMIFS(パート法定福利費処遇改善計算!$F:$F,パート法定福利費処遇改善計算!$A:$A,AM$1,パート法定福利費処遇改善計算!$B:$B,$A49))</f>
        <v/>
      </c>
      <c r="AN69" s="1479" t="str">
        <f>IF(AN67="","",SUMIFS(パート法定福利費処遇改善計算!$F:$F,パート法定福利費処遇改善計算!$A:$A,AN$1,パート法定福利費処遇改善計算!$B:$B,$A49))</f>
        <v/>
      </c>
      <c r="AO69" s="1479" t="str">
        <f>IF(AO67="","",SUMIFS(パート法定福利費処遇改善計算!$F:$F,パート法定福利費処遇改善計算!$A:$A,AO$1,パート法定福利費処遇改善計算!$B:$B,$A49))</f>
        <v/>
      </c>
      <c r="AP69" s="1479" t="str">
        <f>IF(AP67="","",SUMIFS(パート法定福利費処遇改善計算!$F:$F,パート法定福利費処遇改善計算!$A:$A,AP$1,パート法定福利費処遇改善計算!$B:$B,$A49))</f>
        <v/>
      </c>
      <c r="AQ69" s="1479" t="str">
        <f>IF(AQ67="","",SUMIFS(パート法定福利費処遇改善計算!$F:$F,パート法定福利費処遇改善計算!$A:$A,AQ$1,パート法定福利費処遇改善計算!$B:$B,$A49))</f>
        <v/>
      </c>
      <c r="AR69" s="1479" t="str">
        <f>IF(AR67="","",SUMIFS(パート法定福利費処遇改善計算!$F:$F,パート法定福利費処遇改善計算!$A:$A,AR$1,パート法定福利費処遇改善計算!$B:$B,$A49))</f>
        <v/>
      </c>
    </row>
    <row r="70" spans="1:44" x14ac:dyDescent="0.15">
      <c r="A70" s="2063"/>
      <c r="B70" s="725" t="s">
        <v>888</v>
      </c>
      <c r="C70" s="1478">
        <f t="shared" ref="C70:Z70" si="65">IF(SUM(C67:C69)=0,"",SUM(C67:C69))</f>
        <v>1144462</v>
      </c>
      <c r="D70" s="1479">
        <f t="shared" si="65"/>
        <v>1248929</v>
      </c>
      <c r="E70" s="1479">
        <f t="shared" si="65"/>
        <v>1171612</v>
      </c>
      <c r="F70" s="1479">
        <f t="shared" si="65"/>
        <v>1346720</v>
      </c>
      <c r="G70" s="1479">
        <f t="shared" si="65"/>
        <v>1411770</v>
      </c>
      <c r="H70" s="1479">
        <f t="shared" si="65"/>
        <v>1537367</v>
      </c>
      <c r="I70" s="1479">
        <f t="shared" si="65"/>
        <v>1575589</v>
      </c>
      <c r="J70" s="1479">
        <f t="shared" si="65"/>
        <v>1712751</v>
      </c>
      <c r="K70" s="1479">
        <f t="shared" si="65"/>
        <v>1647825</v>
      </c>
      <c r="L70" s="1479">
        <f t="shared" si="65"/>
        <v>1640535</v>
      </c>
      <c r="M70" s="1479">
        <f t="shared" si="65"/>
        <v>1881842</v>
      </c>
      <c r="N70" s="1479">
        <f t="shared" si="65"/>
        <v>1935705</v>
      </c>
      <c r="O70" s="1479">
        <f t="shared" si="65"/>
        <v>1921696</v>
      </c>
      <c r="P70" s="1479">
        <f t="shared" si="65"/>
        <v>2085980</v>
      </c>
      <c r="Q70" s="1479">
        <f t="shared" si="65"/>
        <v>1916578</v>
      </c>
      <c r="R70" s="1479">
        <f t="shared" si="65"/>
        <v>1932725</v>
      </c>
      <c r="S70" s="1479">
        <f t="shared" si="65"/>
        <v>1881049</v>
      </c>
      <c r="T70" s="1479">
        <f t="shared" si="65"/>
        <v>1831325</v>
      </c>
      <c r="U70" s="1479">
        <f t="shared" si="65"/>
        <v>2078980</v>
      </c>
      <c r="V70" s="1479">
        <f t="shared" si="65"/>
        <v>2030042</v>
      </c>
      <c r="W70" s="1479">
        <f t="shared" si="65"/>
        <v>1993113</v>
      </c>
      <c r="X70" s="1479">
        <f t="shared" si="65"/>
        <v>2052057</v>
      </c>
      <c r="Y70" s="1479">
        <f t="shared" si="65"/>
        <v>2244549</v>
      </c>
      <c r="Z70" s="1479">
        <f t="shared" si="65"/>
        <v>2138155</v>
      </c>
      <c r="AA70" s="1479">
        <f t="shared" ref="AA70:AF70" si="66">IF(SUM(AA67:AA69)=0,"",SUM(AA67:AA69))</f>
        <v>2051407</v>
      </c>
      <c r="AB70" s="1479">
        <f t="shared" si="66"/>
        <v>2218762</v>
      </c>
      <c r="AC70" s="1479">
        <f t="shared" si="66"/>
        <v>1753287</v>
      </c>
      <c r="AD70" s="1479">
        <f t="shared" si="66"/>
        <v>1956346</v>
      </c>
      <c r="AE70" s="1479">
        <f t="shared" si="66"/>
        <v>2050560</v>
      </c>
      <c r="AF70" s="1479" t="str">
        <f t="shared" si="66"/>
        <v/>
      </c>
      <c r="AG70" s="1479" t="str">
        <f t="shared" ref="AG70:AR70" si="67">IF(SUM(AG67:AG69)=0,"",SUM(AG67:AG69))</f>
        <v/>
      </c>
      <c r="AH70" s="1479" t="str">
        <f t="shared" si="67"/>
        <v/>
      </c>
      <c r="AI70" s="1479" t="str">
        <f t="shared" si="67"/>
        <v/>
      </c>
      <c r="AJ70" s="1479" t="str">
        <f t="shared" si="67"/>
        <v/>
      </c>
      <c r="AK70" s="1479" t="str">
        <f t="shared" si="67"/>
        <v/>
      </c>
      <c r="AL70" s="1479" t="str">
        <f t="shared" si="67"/>
        <v/>
      </c>
      <c r="AM70" s="1479" t="str">
        <f t="shared" si="67"/>
        <v/>
      </c>
      <c r="AN70" s="1479" t="str">
        <f t="shared" si="67"/>
        <v/>
      </c>
      <c r="AO70" s="1479" t="str">
        <f t="shared" si="67"/>
        <v/>
      </c>
      <c r="AP70" s="1479" t="str">
        <f t="shared" si="67"/>
        <v/>
      </c>
      <c r="AQ70" s="1479" t="str">
        <f t="shared" si="67"/>
        <v/>
      </c>
      <c r="AR70" s="1479" t="str">
        <f t="shared" si="67"/>
        <v/>
      </c>
    </row>
    <row r="71" spans="1:44" ht="19.5" thickBot="1" x14ac:dyDescent="0.2">
      <c r="A71" s="2064"/>
      <c r="B71" s="726" t="s">
        <v>887</v>
      </c>
      <c r="C71" s="1480">
        <f t="shared" ref="C71:Z71" si="68">IF(SUM(C66,C70)=0,"",SUM(C66,C70))</f>
        <v>2683462</v>
      </c>
      <c r="D71" s="1481">
        <f t="shared" si="68"/>
        <v>3432016</v>
      </c>
      <c r="E71" s="1481">
        <f t="shared" si="68"/>
        <v>2848528</v>
      </c>
      <c r="F71" s="1481">
        <f t="shared" si="68"/>
        <v>3000486</v>
      </c>
      <c r="G71" s="1481">
        <f t="shared" si="68"/>
        <v>3010720</v>
      </c>
      <c r="H71" s="1481">
        <f t="shared" si="68"/>
        <v>3199018</v>
      </c>
      <c r="I71" s="1481">
        <f t="shared" si="68"/>
        <v>3341172</v>
      </c>
      <c r="J71" s="1481">
        <f t="shared" si="68"/>
        <v>3670064</v>
      </c>
      <c r="K71" s="1481">
        <f t="shared" si="68"/>
        <v>3534203</v>
      </c>
      <c r="L71" s="1481">
        <f t="shared" si="68"/>
        <v>3371743</v>
      </c>
      <c r="M71" s="1481">
        <f t="shared" si="68"/>
        <v>3465713</v>
      </c>
      <c r="N71" s="1481">
        <f t="shared" si="68"/>
        <v>3520452</v>
      </c>
      <c r="O71" s="1481">
        <f t="shared" si="68"/>
        <v>3281985.9444993129</v>
      </c>
      <c r="P71" s="1481">
        <f t="shared" si="68"/>
        <v>4209055</v>
      </c>
      <c r="Q71" s="1481">
        <f t="shared" si="68"/>
        <v>3969445</v>
      </c>
      <c r="R71" s="1481">
        <f t="shared" si="68"/>
        <v>3828677</v>
      </c>
      <c r="S71" s="1481">
        <f t="shared" si="68"/>
        <v>3878385</v>
      </c>
      <c r="T71" s="1481">
        <f t="shared" si="68"/>
        <v>3840302</v>
      </c>
      <c r="U71" s="1481">
        <f t="shared" si="68"/>
        <v>4086123</v>
      </c>
      <c r="V71" s="1481">
        <f t="shared" si="68"/>
        <v>4502052</v>
      </c>
      <c r="W71" s="1481">
        <f t="shared" si="68"/>
        <v>4157594</v>
      </c>
      <c r="X71" s="1481">
        <f t="shared" si="68"/>
        <v>4297759</v>
      </c>
      <c r="Y71" s="1481">
        <f t="shared" si="68"/>
        <v>4521609</v>
      </c>
      <c r="Z71" s="1481">
        <f t="shared" si="68"/>
        <v>4825792</v>
      </c>
      <c r="AA71" s="1481">
        <f t="shared" ref="AA71:AF71" si="69">IF(SUM(AA66,AA70)=0,"",SUM(AA66,AA70))</f>
        <v>5269824</v>
      </c>
      <c r="AB71" s="1481">
        <f t="shared" si="69"/>
        <v>4942279</v>
      </c>
      <c r="AC71" s="1481">
        <f t="shared" si="69"/>
        <v>4273487</v>
      </c>
      <c r="AD71" s="1481">
        <f t="shared" si="69"/>
        <v>4516581</v>
      </c>
      <c r="AE71" s="1481">
        <f t="shared" si="69"/>
        <v>4643324</v>
      </c>
      <c r="AF71" s="1481" t="str">
        <f t="shared" si="69"/>
        <v/>
      </c>
      <c r="AG71" s="1481" t="str">
        <f t="shared" ref="AG71:AR71" si="70">IF(SUM(AG66,AG70)=0,"",SUM(AG66,AG70))</f>
        <v/>
      </c>
      <c r="AH71" s="1481" t="str">
        <f t="shared" si="70"/>
        <v/>
      </c>
      <c r="AI71" s="1481" t="str">
        <f t="shared" si="70"/>
        <v/>
      </c>
      <c r="AJ71" s="1481" t="str">
        <f t="shared" si="70"/>
        <v/>
      </c>
      <c r="AK71" s="1481" t="str">
        <f t="shared" si="70"/>
        <v/>
      </c>
      <c r="AL71" s="1481" t="str">
        <f t="shared" si="70"/>
        <v/>
      </c>
      <c r="AM71" s="1481" t="str">
        <f t="shared" si="70"/>
        <v/>
      </c>
      <c r="AN71" s="1481" t="str">
        <f t="shared" si="70"/>
        <v/>
      </c>
      <c r="AO71" s="1481" t="str">
        <f t="shared" si="70"/>
        <v/>
      </c>
      <c r="AP71" s="1481" t="str">
        <f t="shared" si="70"/>
        <v/>
      </c>
      <c r="AQ71" s="1481" t="str">
        <f t="shared" si="70"/>
        <v/>
      </c>
      <c r="AR71" s="1481" t="str">
        <f t="shared" si="70"/>
        <v/>
      </c>
    </row>
    <row r="72" spans="1:44" ht="19.5" thickBot="1" x14ac:dyDescent="0.2">
      <c r="A72" s="727"/>
      <c r="B72" s="728"/>
      <c r="C72" s="728"/>
      <c r="D72" s="728"/>
      <c r="E72" s="728"/>
      <c r="F72" s="728"/>
      <c r="G72" s="728"/>
      <c r="H72" s="728"/>
      <c r="I72" s="728"/>
      <c r="J72" s="728"/>
      <c r="K72" s="728"/>
      <c r="L72" s="728"/>
      <c r="M72" s="728"/>
      <c r="N72" s="728"/>
      <c r="O72" s="728"/>
    </row>
    <row r="73" spans="1:44" ht="19.5" hidden="1" thickBot="1" x14ac:dyDescent="0.2">
      <c r="A73" s="2069" t="s">
        <v>967</v>
      </c>
      <c r="B73" s="2070"/>
      <c r="C73" s="718">
        <v>42705</v>
      </c>
      <c r="D73" s="721">
        <f t="shared" ref="D73:AR73" si="71">EDATE(C73,1)</f>
        <v>42736</v>
      </c>
      <c r="E73" s="721">
        <f t="shared" si="71"/>
        <v>42767</v>
      </c>
      <c r="F73" s="721">
        <f t="shared" si="71"/>
        <v>42795</v>
      </c>
      <c r="G73" s="721">
        <f t="shared" si="71"/>
        <v>42826</v>
      </c>
      <c r="H73" s="721">
        <f t="shared" si="71"/>
        <v>42856</v>
      </c>
      <c r="I73" s="721">
        <f t="shared" si="71"/>
        <v>42887</v>
      </c>
      <c r="J73" s="721">
        <f t="shared" si="71"/>
        <v>42917</v>
      </c>
      <c r="K73" s="721">
        <f t="shared" si="71"/>
        <v>42948</v>
      </c>
      <c r="L73" s="721">
        <f t="shared" si="71"/>
        <v>42979</v>
      </c>
      <c r="M73" s="721">
        <f t="shared" si="71"/>
        <v>43009</v>
      </c>
      <c r="N73" s="721">
        <f t="shared" si="71"/>
        <v>43040</v>
      </c>
      <c r="O73" s="721">
        <f t="shared" si="71"/>
        <v>43070</v>
      </c>
      <c r="P73" s="721">
        <f t="shared" si="71"/>
        <v>43101</v>
      </c>
      <c r="Q73" s="721">
        <f t="shared" si="71"/>
        <v>43132</v>
      </c>
      <c r="R73" s="721">
        <f t="shared" si="71"/>
        <v>43160</v>
      </c>
      <c r="S73" s="721">
        <f t="shared" si="71"/>
        <v>43191</v>
      </c>
      <c r="T73" s="721">
        <f t="shared" si="71"/>
        <v>43221</v>
      </c>
      <c r="U73" s="721">
        <f t="shared" si="71"/>
        <v>43252</v>
      </c>
      <c r="V73" s="721">
        <f t="shared" si="71"/>
        <v>43282</v>
      </c>
      <c r="W73" s="721">
        <f t="shared" si="71"/>
        <v>43313</v>
      </c>
      <c r="X73" s="721">
        <f t="shared" si="71"/>
        <v>43344</v>
      </c>
      <c r="Y73" s="721">
        <f t="shared" si="71"/>
        <v>43374</v>
      </c>
      <c r="Z73" s="721">
        <f t="shared" si="71"/>
        <v>43405</v>
      </c>
      <c r="AA73" s="721">
        <f t="shared" si="71"/>
        <v>43435</v>
      </c>
      <c r="AB73" s="721">
        <f t="shared" si="71"/>
        <v>43466</v>
      </c>
      <c r="AC73" s="721">
        <f t="shared" si="71"/>
        <v>43497</v>
      </c>
      <c r="AD73" s="721">
        <f t="shared" si="71"/>
        <v>43525</v>
      </c>
      <c r="AE73" s="721">
        <f t="shared" si="71"/>
        <v>43556</v>
      </c>
      <c r="AF73" s="721">
        <f t="shared" si="71"/>
        <v>43586</v>
      </c>
      <c r="AG73" s="721">
        <f t="shared" si="71"/>
        <v>43617</v>
      </c>
      <c r="AH73" s="721">
        <f t="shared" si="71"/>
        <v>43647</v>
      </c>
      <c r="AI73" s="721">
        <f t="shared" si="71"/>
        <v>43678</v>
      </c>
      <c r="AJ73" s="721">
        <f t="shared" si="71"/>
        <v>43709</v>
      </c>
      <c r="AK73" s="721">
        <f t="shared" si="71"/>
        <v>43739</v>
      </c>
      <c r="AL73" s="721">
        <f t="shared" si="71"/>
        <v>43770</v>
      </c>
      <c r="AM73" s="721">
        <f t="shared" si="71"/>
        <v>43800</v>
      </c>
      <c r="AN73" s="721">
        <f t="shared" si="71"/>
        <v>43831</v>
      </c>
      <c r="AO73" s="721">
        <f t="shared" si="71"/>
        <v>43862</v>
      </c>
      <c r="AP73" s="721">
        <f t="shared" si="71"/>
        <v>43891</v>
      </c>
      <c r="AQ73" s="721">
        <f t="shared" si="71"/>
        <v>43922</v>
      </c>
      <c r="AR73" s="721">
        <f t="shared" si="71"/>
        <v>43952</v>
      </c>
    </row>
    <row r="74" spans="1:44" hidden="1" x14ac:dyDescent="0.15">
      <c r="A74" s="2071" t="s">
        <v>906</v>
      </c>
      <c r="B74" s="734" t="s">
        <v>909</v>
      </c>
      <c r="C74" s="738"/>
      <c r="D74" s="739"/>
      <c r="E74" s="739"/>
      <c r="F74" s="739"/>
      <c r="G74" s="739"/>
      <c r="H74" s="739"/>
      <c r="I74" s="739"/>
      <c r="J74" s="739"/>
      <c r="K74" s="739"/>
      <c r="L74" s="739"/>
      <c r="M74" s="739"/>
      <c r="N74" s="739"/>
      <c r="O74" s="739"/>
      <c r="P74" s="739"/>
      <c r="Q74" s="739"/>
      <c r="R74" s="739"/>
      <c r="S74" s="739"/>
      <c r="T74" s="739"/>
      <c r="U74" s="739">
        <v>1</v>
      </c>
      <c r="V74" s="739">
        <v>1</v>
      </c>
      <c r="W74" s="739">
        <v>1</v>
      </c>
      <c r="X74" s="739">
        <v>1</v>
      </c>
      <c r="Y74" s="739">
        <v>3</v>
      </c>
      <c r="Z74" s="739">
        <v>3</v>
      </c>
      <c r="AA74" s="739">
        <v>2.5</v>
      </c>
      <c r="AB74" s="739">
        <v>2.5</v>
      </c>
      <c r="AC74" s="739"/>
      <c r="AD74" s="739"/>
      <c r="AE74" s="739"/>
      <c r="AF74" s="739"/>
      <c r="AG74" s="739"/>
      <c r="AH74" s="739"/>
      <c r="AI74" s="739"/>
      <c r="AJ74" s="739"/>
      <c r="AK74" s="739"/>
      <c r="AL74" s="739"/>
      <c r="AM74" s="739"/>
      <c r="AN74" s="739"/>
      <c r="AO74" s="739"/>
      <c r="AP74" s="739"/>
      <c r="AQ74" s="739"/>
      <c r="AR74" s="739"/>
    </row>
    <row r="75" spans="1:44" hidden="1" x14ac:dyDescent="0.15">
      <c r="A75" s="2072"/>
      <c r="B75" s="735" t="s">
        <v>910</v>
      </c>
      <c r="C75" s="740"/>
      <c r="D75" s="741"/>
      <c r="E75" s="741"/>
      <c r="F75" s="741"/>
      <c r="G75" s="741"/>
      <c r="H75" s="741"/>
      <c r="I75" s="741"/>
      <c r="J75" s="741"/>
      <c r="K75" s="741"/>
      <c r="L75" s="741"/>
      <c r="M75" s="741"/>
      <c r="N75" s="741"/>
      <c r="O75" s="741"/>
      <c r="P75" s="741"/>
      <c r="Q75" s="741"/>
      <c r="R75" s="741"/>
      <c r="S75" s="741"/>
      <c r="T75" s="741"/>
      <c r="U75" s="741">
        <v>3</v>
      </c>
      <c r="V75" s="741">
        <v>3</v>
      </c>
      <c r="W75" s="741">
        <v>3</v>
      </c>
      <c r="X75" s="741">
        <v>9</v>
      </c>
      <c r="Y75" s="741">
        <v>7</v>
      </c>
      <c r="Z75" s="741">
        <v>5</v>
      </c>
      <c r="AA75" s="741">
        <v>4</v>
      </c>
      <c r="AB75" s="741">
        <v>7</v>
      </c>
      <c r="AC75" s="741"/>
      <c r="AD75" s="741"/>
      <c r="AE75" s="741"/>
      <c r="AF75" s="741"/>
      <c r="AG75" s="741"/>
      <c r="AH75" s="741"/>
      <c r="AI75" s="741"/>
      <c r="AJ75" s="741"/>
      <c r="AK75" s="741"/>
      <c r="AL75" s="741"/>
      <c r="AM75" s="741"/>
      <c r="AN75" s="741"/>
      <c r="AO75" s="741"/>
      <c r="AP75" s="741"/>
      <c r="AQ75" s="741"/>
      <c r="AR75" s="741"/>
    </row>
    <row r="76" spans="1:44" hidden="1" x14ac:dyDescent="0.15">
      <c r="A76" s="2072"/>
      <c r="B76" s="735" t="s">
        <v>96</v>
      </c>
      <c r="C76" s="1470"/>
      <c r="D76" s="1470"/>
      <c r="E76" s="1470"/>
      <c r="F76" s="1470"/>
      <c r="G76" s="1470"/>
      <c r="H76" s="1470"/>
      <c r="I76" s="1470"/>
      <c r="J76" s="1470"/>
      <c r="K76" s="1470"/>
      <c r="L76" s="1470"/>
      <c r="M76" s="1470"/>
      <c r="N76" s="1470"/>
      <c r="O76" s="1470"/>
      <c r="P76" s="1470"/>
      <c r="Q76" s="1470"/>
      <c r="R76" s="1470"/>
      <c r="S76" s="1470"/>
      <c r="T76" s="1470" t="str">
        <f t="shared" ref="T76:Z76" si="72">IF(SUM(T74:T75)=0,"",SUM(T74:T75))</f>
        <v/>
      </c>
      <c r="U76" s="1470">
        <f t="shared" si="72"/>
        <v>4</v>
      </c>
      <c r="V76" s="1470">
        <f t="shared" si="72"/>
        <v>4</v>
      </c>
      <c r="W76" s="1470">
        <f t="shared" si="72"/>
        <v>4</v>
      </c>
      <c r="X76" s="1470">
        <f t="shared" si="72"/>
        <v>10</v>
      </c>
      <c r="Y76" s="1470">
        <f t="shared" si="72"/>
        <v>10</v>
      </c>
      <c r="Z76" s="1470">
        <f t="shared" si="72"/>
        <v>8</v>
      </c>
      <c r="AA76" s="1470">
        <f t="shared" ref="AA76:AF76" si="73">IF(SUM(AA74:AA75)=0,"",SUM(AA74:AA75))</f>
        <v>6.5</v>
      </c>
      <c r="AB76" s="1470">
        <f t="shared" si="73"/>
        <v>9.5</v>
      </c>
      <c r="AC76" s="1470" t="str">
        <f t="shared" si="73"/>
        <v/>
      </c>
      <c r="AD76" s="1470" t="str">
        <f t="shared" si="73"/>
        <v/>
      </c>
      <c r="AE76" s="1470" t="str">
        <f t="shared" si="73"/>
        <v/>
      </c>
      <c r="AF76" s="1470" t="str">
        <f t="shared" si="73"/>
        <v/>
      </c>
      <c r="AG76" s="1470" t="str">
        <f t="shared" ref="AG76:AR76" si="74">IF(SUM(AG74:AG75)=0,"",SUM(AG74:AG75))</f>
        <v/>
      </c>
      <c r="AH76" s="1470" t="str">
        <f t="shared" si="74"/>
        <v/>
      </c>
      <c r="AI76" s="1470" t="str">
        <f t="shared" si="74"/>
        <v/>
      </c>
      <c r="AJ76" s="1470" t="str">
        <f t="shared" si="74"/>
        <v/>
      </c>
      <c r="AK76" s="1470" t="str">
        <f t="shared" si="74"/>
        <v/>
      </c>
      <c r="AL76" s="1470" t="str">
        <f t="shared" si="74"/>
        <v/>
      </c>
      <c r="AM76" s="1470" t="str">
        <f t="shared" si="74"/>
        <v/>
      </c>
      <c r="AN76" s="1470" t="str">
        <f t="shared" si="74"/>
        <v/>
      </c>
      <c r="AO76" s="1470" t="str">
        <f t="shared" si="74"/>
        <v/>
      </c>
      <c r="AP76" s="1470" t="str">
        <f t="shared" si="74"/>
        <v/>
      </c>
      <c r="AQ76" s="1470" t="str">
        <f t="shared" si="74"/>
        <v/>
      </c>
      <c r="AR76" s="1470" t="str">
        <f t="shared" si="74"/>
        <v/>
      </c>
    </row>
    <row r="77" spans="1:44" hidden="1" x14ac:dyDescent="0.15">
      <c r="A77" s="2073" t="s">
        <v>907</v>
      </c>
      <c r="B77" s="735" t="s">
        <v>911</v>
      </c>
      <c r="C77" s="736"/>
      <c r="D77" s="737"/>
      <c r="E77" s="737"/>
      <c r="F77" s="737"/>
      <c r="G77" s="737"/>
      <c r="H77" s="737"/>
      <c r="I77" s="737"/>
      <c r="J77" s="737"/>
      <c r="K77" s="737"/>
      <c r="L77" s="737"/>
      <c r="M77" s="737"/>
      <c r="N77" s="737"/>
      <c r="O77" s="737"/>
      <c r="P77" s="737"/>
      <c r="Q77" s="737"/>
      <c r="R77" s="737"/>
      <c r="S77" s="737"/>
      <c r="T77" s="737"/>
      <c r="U77" s="737">
        <v>1.8472222222222223</v>
      </c>
      <c r="V77" s="737">
        <v>1.5520833333333333</v>
      </c>
      <c r="W77" s="737">
        <v>3.7604166666666665</v>
      </c>
      <c r="X77" s="737">
        <v>6.270833333333333</v>
      </c>
      <c r="Y77" s="737">
        <v>6.895833333333333</v>
      </c>
      <c r="Z77" s="737">
        <v>5.635416666666667</v>
      </c>
      <c r="AA77" s="737">
        <v>3.5729166666666665</v>
      </c>
      <c r="AB77" s="737">
        <v>6.4375</v>
      </c>
      <c r="AC77" s="737"/>
      <c r="AD77" s="737"/>
      <c r="AE77" s="737"/>
      <c r="AF77" s="737"/>
      <c r="AG77" s="737"/>
      <c r="AH77" s="737"/>
      <c r="AI77" s="737"/>
      <c r="AJ77" s="737"/>
      <c r="AK77" s="737"/>
      <c r="AL77" s="737"/>
      <c r="AM77" s="737"/>
      <c r="AN77" s="737"/>
      <c r="AO77" s="737"/>
      <c r="AP77" s="737"/>
      <c r="AQ77" s="737"/>
      <c r="AR77" s="737"/>
    </row>
    <row r="78" spans="1:44" hidden="1" x14ac:dyDescent="0.15">
      <c r="A78" s="2072"/>
      <c r="B78" s="735" t="s">
        <v>912</v>
      </c>
      <c r="C78" s="736"/>
      <c r="D78" s="737"/>
      <c r="E78" s="737"/>
      <c r="F78" s="737"/>
      <c r="G78" s="737"/>
      <c r="H78" s="737"/>
      <c r="I78" s="737"/>
      <c r="J78" s="737"/>
      <c r="K78" s="737"/>
      <c r="L78" s="737"/>
      <c r="M78" s="737"/>
      <c r="N78" s="737"/>
      <c r="O78" s="737"/>
      <c r="P78" s="737"/>
      <c r="Q78" s="737"/>
      <c r="R78" s="737"/>
      <c r="S78" s="737"/>
      <c r="T78" s="737"/>
      <c r="U78" s="737">
        <v>1.3645833333333333</v>
      </c>
      <c r="V78" s="737">
        <v>2.3333333333333335</v>
      </c>
      <c r="W78" s="737">
        <v>4.239583333333333</v>
      </c>
      <c r="X78" s="737">
        <v>8.8854166666666661</v>
      </c>
      <c r="Y78" s="737">
        <v>10.03125</v>
      </c>
      <c r="Z78" s="737">
        <v>3.7708333333333335</v>
      </c>
      <c r="AA78" s="737">
        <v>3.9375</v>
      </c>
      <c r="AB78" s="737">
        <v>6.510416666666667</v>
      </c>
      <c r="AC78" s="737"/>
      <c r="AD78" s="737"/>
      <c r="AE78" s="737"/>
      <c r="AF78" s="737"/>
      <c r="AG78" s="737"/>
      <c r="AH78" s="737"/>
      <c r="AI78" s="737"/>
      <c r="AJ78" s="737"/>
      <c r="AK78" s="737"/>
      <c r="AL78" s="737"/>
      <c r="AM78" s="737"/>
      <c r="AN78" s="737"/>
      <c r="AO78" s="737"/>
      <c r="AP78" s="737"/>
      <c r="AQ78" s="737"/>
      <c r="AR78" s="737"/>
    </row>
    <row r="79" spans="1:44" hidden="1" x14ac:dyDescent="0.15">
      <c r="A79" s="2072"/>
      <c r="B79" s="735" t="s">
        <v>96</v>
      </c>
      <c r="C79" s="1471"/>
      <c r="D79" s="1471"/>
      <c r="E79" s="1471"/>
      <c r="F79" s="1471"/>
      <c r="G79" s="1471"/>
      <c r="H79" s="1471"/>
      <c r="I79" s="1471"/>
      <c r="J79" s="1471"/>
      <c r="K79" s="1471"/>
      <c r="L79" s="1471"/>
      <c r="M79" s="1471"/>
      <c r="N79" s="1471"/>
      <c r="O79" s="1471"/>
      <c r="P79" s="1471"/>
      <c r="Q79" s="1471"/>
      <c r="R79" s="1471"/>
      <c r="S79" s="1471"/>
      <c r="T79" s="1471" t="str">
        <f t="shared" ref="T79:Z79" si="75">IF(SUM(T77:T78)=0,"",SUM(T77:T78))</f>
        <v/>
      </c>
      <c r="U79" s="1471">
        <f t="shared" si="75"/>
        <v>3.2118055555555554</v>
      </c>
      <c r="V79" s="1471">
        <f t="shared" si="75"/>
        <v>3.885416666666667</v>
      </c>
      <c r="W79" s="1471">
        <f t="shared" si="75"/>
        <v>8</v>
      </c>
      <c r="X79" s="1471">
        <f t="shared" si="75"/>
        <v>15.15625</v>
      </c>
      <c r="Y79" s="1471">
        <f t="shared" si="75"/>
        <v>16.927083333333332</v>
      </c>
      <c r="Z79" s="1471">
        <f t="shared" si="75"/>
        <v>9.40625</v>
      </c>
      <c r="AA79" s="1471">
        <f t="shared" ref="AA79:AF79" si="76">IF(SUM(AA77:AA78)=0,"",SUM(AA77:AA78))</f>
        <v>7.5104166666666661</v>
      </c>
      <c r="AB79" s="1471">
        <f t="shared" si="76"/>
        <v>12.947916666666668</v>
      </c>
      <c r="AC79" s="1471" t="str">
        <f t="shared" si="76"/>
        <v/>
      </c>
      <c r="AD79" s="1471" t="str">
        <f t="shared" si="76"/>
        <v/>
      </c>
      <c r="AE79" s="1471" t="str">
        <f t="shared" si="76"/>
        <v/>
      </c>
      <c r="AF79" s="1471" t="str">
        <f t="shared" si="76"/>
        <v/>
      </c>
      <c r="AG79" s="1471" t="str">
        <f t="shared" ref="AG79:AR79" si="77">IF(SUM(AG77:AG78)=0,"",SUM(AG77:AG78))</f>
        <v/>
      </c>
      <c r="AH79" s="1471" t="str">
        <f t="shared" si="77"/>
        <v/>
      </c>
      <c r="AI79" s="1471" t="str">
        <f t="shared" si="77"/>
        <v/>
      </c>
      <c r="AJ79" s="1471" t="str">
        <f t="shared" si="77"/>
        <v/>
      </c>
      <c r="AK79" s="1471" t="str">
        <f t="shared" si="77"/>
        <v/>
      </c>
      <c r="AL79" s="1471" t="str">
        <f t="shared" si="77"/>
        <v/>
      </c>
      <c r="AM79" s="1471" t="str">
        <f t="shared" si="77"/>
        <v/>
      </c>
      <c r="AN79" s="1471" t="str">
        <f t="shared" si="77"/>
        <v/>
      </c>
      <c r="AO79" s="1471" t="str">
        <f t="shared" si="77"/>
        <v/>
      </c>
      <c r="AP79" s="1471" t="str">
        <f t="shared" si="77"/>
        <v/>
      </c>
      <c r="AQ79" s="1471" t="str">
        <f t="shared" si="77"/>
        <v/>
      </c>
      <c r="AR79" s="1471" t="str">
        <f t="shared" si="77"/>
        <v/>
      </c>
    </row>
    <row r="80" spans="1:44" hidden="1" x14ac:dyDescent="0.15">
      <c r="A80" s="2065" t="s">
        <v>898</v>
      </c>
      <c r="B80" s="723" t="s">
        <v>899</v>
      </c>
      <c r="C80" s="719"/>
      <c r="D80" s="715"/>
      <c r="E80" s="716"/>
      <c r="F80" s="716"/>
      <c r="G80" s="716"/>
      <c r="H80" s="716"/>
      <c r="I80" s="716"/>
      <c r="J80" s="716"/>
      <c r="K80" s="716"/>
      <c r="L80" s="716"/>
      <c r="M80" s="716"/>
      <c r="N80" s="716"/>
      <c r="O80" s="716"/>
      <c r="P80" s="716"/>
      <c r="Q80" s="716"/>
      <c r="R80" s="716"/>
      <c r="S80" s="716"/>
      <c r="T80" s="716"/>
      <c r="U80" s="716">
        <v>17553</v>
      </c>
      <c r="V80" s="716">
        <v>13640</v>
      </c>
      <c r="W80" s="716">
        <v>40476</v>
      </c>
      <c r="X80" s="716">
        <v>60935</v>
      </c>
      <c r="Y80" s="716">
        <v>43003</v>
      </c>
      <c r="Z80" s="716">
        <v>59625</v>
      </c>
      <c r="AA80" s="716">
        <v>39572</v>
      </c>
      <c r="AB80" s="716">
        <v>48128</v>
      </c>
      <c r="AC80" s="716"/>
      <c r="AD80" s="716"/>
      <c r="AE80" s="716"/>
      <c r="AF80" s="716"/>
      <c r="AG80" s="716"/>
      <c r="AH80" s="716"/>
      <c r="AI80" s="716"/>
      <c r="AJ80" s="716"/>
      <c r="AK80" s="716"/>
      <c r="AL80" s="716"/>
      <c r="AM80" s="716"/>
      <c r="AN80" s="716"/>
      <c r="AO80" s="716"/>
      <c r="AP80" s="716"/>
      <c r="AQ80" s="716"/>
      <c r="AR80" s="716"/>
    </row>
    <row r="81" spans="1:44" hidden="1" x14ac:dyDescent="0.15">
      <c r="A81" s="2065"/>
      <c r="B81" s="723" t="s">
        <v>902</v>
      </c>
      <c r="C81" s="730"/>
      <c r="D81" s="731"/>
      <c r="E81" s="732"/>
      <c r="F81" s="732"/>
      <c r="G81" s="732"/>
      <c r="H81" s="732"/>
      <c r="I81" s="732"/>
      <c r="J81" s="732"/>
      <c r="K81" s="732"/>
      <c r="L81" s="732"/>
      <c r="M81" s="732"/>
      <c r="N81" s="732"/>
      <c r="O81" s="732"/>
      <c r="P81" s="732"/>
      <c r="Q81" s="732"/>
      <c r="R81" s="732"/>
      <c r="S81" s="732"/>
      <c r="T81" s="732">
        <v>11.05</v>
      </c>
      <c r="U81" s="732">
        <v>11.05</v>
      </c>
      <c r="V81" s="732">
        <v>11.05</v>
      </c>
      <c r="W81" s="732">
        <v>11.05</v>
      </c>
      <c r="X81" s="732">
        <v>11.05</v>
      </c>
      <c r="Y81" s="732">
        <v>11.05</v>
      </c>
      <c r="Z81" s="732">
        <v>11.05</v>
      </c>
      <c r="AA81" s="732">
        <v>11.05</v>
      </c>
      <c r="AB81" s="732">
        <v>11.05</v>
      </c>
      <c r="AC81" s="732">
        <v>11.05</v>
      </c>
      <c r="AD81" s="732">
        <v>11.05</v>
      </c>
      <c r="AE81" s="732">
        <v>11.05</v>
      </c>
      <c r="AF81" s="732">
        <v>11.05</v>
      </c>
      <c r="AG81" s="732">
        <v>11.05</v>
      </c>
      <c r="AH81" s="732">
        <v>11.05</v>
      </c>
      <c r="AI81" s="732">
        <v>11.05</v>
      </c>
      <c r="AJ81" s="732">
        <v>11.05</v>
      </c>
      <c r="AK81" s="732">
        <v>11.05</v>
      </c>
      <c r="AL81" s="732">
        <v>11.05</v>
      </c>
      <c r="AM81" s="732">
        <v>11.05</v>
      </c>
      <c r="AN81" s="732">
        <v>11.05</v>
      </c>
      <c r="AO81" s="732">
        <v>11.05</v>
      </c>
      <c r="AP81" s="732">
        <v>11.05</v>
      </c>
      <c r="AQ81" s="732">
        <v>11.05</v>
      </c>
      <c r="AR81" s="732">
        <v>11.05</v>
      </c>
    </row>
    <row r="82" spans="1:44" hidden="1" x14ac:dyDescent="0.15">
      <c r="A82" s="2065"/>
      <c r="B82" s="723" t="s">
        <v>900</v>
      </c>
      <c r="C82" s="1472"/>
      <c r="D82" s="1473"/>
      <c r="E82" s="1474"/>
      <c r="F82" s="1474"/>
      <c r="G82" s="1474"/>
      <c r="H82" s="1474"/>
      <c r="I82" s="1474"/>
      <c r="J82" s="1474"/>
      <c r="K82" s="1474"/>
      <c r="L82" s="1474"/>
      <c r="M82" s="1474"/>
      <c r="N82" s="1474"/>
      <c r="O82" s="1474"/>
      <c r="P82" s="1474"/>
      <c r="Q82" s="1474"/>
      <c r="R82" s="1474"/>
      <c r="S82" s="1474"/>
      <c r="T82" s="1474" t="str">
        <f t="shared" ref="T82:Z82" si="78">IF(T80="","",ROUNDDOWN(T80*T81,0))</f>
        <v/>
      </c>
      <c r="U82" s="1474">
        <f t="shared" si="78"/>
        <v>193960</v>
      </c>
      <c r="V82" s="1474">
        <f t="shared" si="78"/>
        <v>150722</v>
      </c>
      <c r="W82" s="1474">
        <f t="shared" si="78"/>
        <v>447259</v>
      </c>
      <c r="X82" s="1474">
        <f t="shared" si="78"/>
        <v>673331</v>
      </c>
      <c r="Y82" s="1474">
        <f t="shared" si="78"/>
        <v>475183</v>
      </c>
      <c r="Z82" s="1474">
        <f t="shared" si="78"/>
        <v>658856</v>
      </c>
      <c r="AA82" s="1474">
        <f t="shared" ref="AA82:AF82" si="79">IF(AA80="","",ROUNDDOWN(AA80*AA81,0))</f>
        <v>437270</v>
      </c>
      <c r="AB82" s="1474">
        <f t="shared" si="79"/>
        <v>531814</v>
      </c>
      <c r="AC82" s="1474" t="str">
        <f t="shared" si="79"/>
        <v/>
      </c>
      <c r="AD82" s="1474" t="str">
        <f t="shared" si="79"/>
        <v/>
      </c>
      <c r="AE82" s="1474" t="str">
        <f t="shared" si="79"/>
        <v/>
      </c>
      <c r="AF82" s="1474" t="str">
        <f t="shared" si="79"/>
        <v/>
      </c>
      <c r="AG82" s="1474" t="str">
        <f t="shared" ref="AG82:AR82" si="80">IF(AG80="","",ROUNDDOWN(AG80*AG81,0))</f>
        <v/>
      </c>
      <c r="AH82" s="1474" t="str">
        <f t="shared" si="80"/>
        <v/>
      </c>
      <c r="AI82" s="1474" t="str">
        <f t="shared" si="80"/>
        <v/>
      </c>
      <c r="AJ82" s="1474" t="str">
        <f t="shared" si="80"/>
        <v/>
      </c>
      <c r="AK82" s="1474" t="str">
        <f t="shared" si="80"/>
        <v/>
      </c>
      <c r="AL82" s="1474" t="str">
        <f t="shared" si="80"/>
        <v/>
      </c>
      <c r="AM82" s="1474" t="str">
        <f t="shared" si="80"/>
        <v/>
      </c>
      <c r="AN82" s="1474" t="str">
        <f t="shared" si="80"/>
        <v/>
      </c>
      <c r="AO82" s="1474" t="str">
        <f t="shared" si="80"/>
        <v/>
      </c>
      <c r="AP82" s="1474" t="str">
        <f t="shared" si="80"/>
        <v/>
      </c>
      <c r="AQ82" s="1474" t="str">
        <f t="shared" si="80"/>
        <v/>
      </c>
      <c r="AR82" s="1474" t="str">
        <f t="shared" si="80"/>
        <v/>
      </c>
    </row>
    <row r="83" spans="1:44" hidden="1" x14ac:dyDescent="0.15">
      <c r="A83" s="2062"/>
      <c r="B83" s="724" t="s">
        <v>901</v>
      </c>
      <c r="C83" s="1475"/>
      <c r="D83" s="1476"/>
      <c r="E83" s="1477"/>
      <c r="F83" s="1477"/>
      <c r="G83" s="1477"/>
      <c r="H83" s="1477"/>
      <c r="I83" s="1477"/>
      <c r="J83" s="1477"/>
      <c r="K83" s="1477"/>
      <c r="L83" s="1477"/>
      <c r="M83" s="1477"/>
      <c r="N83" s="1477"/>
      <c r="O83" s="1477"/>
      <c r="P83" s="1477"/>
      <c r="Q83" s="1477"/>
      <c r="R83" s="1477"/>
      <c r="S83" s="1477"/>
      <c r="T83" s="1477" t="str">
        <f>IFERROR(GETPIVOTDATA("合計 / 請求",【ピボット】国保連売上!$A$3,"年月",T73,"事業所",$A73,"請求区分","単月")-T82,"")</f>
        <v/>
      </c>
      <c r="U83" s="1477">
        <f>IFERROR(GETPIVOTDATA("合計 / 請求",【ピボット】国保連売上!$A$3,"年月",U73,"事業所",$A73,"請求区分","単月")-U82,"")</f>
        <v>168512</v>
      </c>
      <c r="V83" s="1477">
        <f>IFERROR(GETPIVOTDATA("合計 / 請求",【ピボット】国保連売上!$A$3,"年月",V73,"事業所",$A73,"請求区分","単月")-V82,"")</f>
        <v>270390</v>
      </c>
      <c r="W83" s="1477">
        <f>IFERROR(GETPIVOTDATA("合計 / 請求",【ピボット】国保連売上!$A$3,"年月",W73,"事業所",$A73,"請求区分","単月")-W82,"")</f>
        <v>473506</v>
      </c>
      <c r="X83" s="1477">
        <f>IFERROR(GETPIVOTDATA("合計 / 請求",【ピボット】国保連売上!$A$3,"年月",X73,"事業所",$A73,"請求区分","単月")-X82,"")</f>
        <v>464336</v>
      </c>
      <c r="Y83" s="1477">
        <f>IFERROR(GETPIVOTDATA("合計 / 請求",【ピボット】国保連売上!$A$3,"年月",Y73,"事業所",$A73,"請求区分","単月")-Y82,"")</f>
        <v>1183177</v>
      </c>
      <c r="Z83" s="1477">
        <f>IFERROR(GETPIVOTDATA("合計 / 請求",【ピボット】国保連売上!$A$3,"年月",Z73,"事業所",$A73,"請求区分","単月")-Z82,"")</f>
        <v>628353</v>
      </c>
      <c r="AA83" s="1477">
        <f>IFERROR(GETPIVOTDATA("合計 / 請求",【ピボット】国保連売上!$A$3,"年月",AA73,"事業所",$A73,"請求区分","単月")-AA82,"")</f>
        <v>628883</v>
      </c>
      <c r="AB83" s="1477">
        <f>IFERROR(GETPIVOTDATA("合計 / 請求",【ピボット】国保連売上!$A$3,"年月",AB73,"事業所",$A73,"請求区分","単月")-AB82,"")</f>
        <v>602358</v>
      </c>
      <c r="AC83" s="1477" t="str">
        <f>IFERROR(GETPIVOTDATA("合計 / 請求",【ピボット】国保連売上!$A$3,"年月",AC73,"事業所",$A73,"請求区分","単月")-AC82,"")</f>
        <v/>
      </c>
      <c r="AD83" s="1477" t="str">
        <f>IFERROR(GETPIVOTDATA("合計 / 請求",【ピボット】国保連売上!$A$3,"年月",AD73,"事業所",$A73,"請求区分","単月")-AD82,"")</f>
        <v/>
      </c>
      <c r="AE83" s="1477" t="str">
        <f>IFERROR(GETPIVOTDATA("合計 / 請求",【ピボット】国保連売上!$A$3,"年月",AE73,"事業所",$A73,"請求区分","単月")-AE82,"")</f>
        <v/>
      </c>
      <c r="AF83" s="1477" t="str">
        <f>IFERROR(GETPIVOTDATA("合計 / 請求",【ピボット】国保連売上!$A$3,"年月",AF73,"事業所",$A73,"請求区分","単月")-AF82,"")</f>
        <v/>
      </c>
      <c r="AG83" s="1477" t="str">
        <f>IFERROR(GETPIVOTDATA("合計 / 請求",【ピボット】国保連売上!$A$3,"年月",AG73,"事業所",$A73,"請求区分","単月")-AG82,"")</f>
        <v/>
      </c>
      <c r="AH83" s="1477" t="str">
        <f>IFERROR(GETPIVOTDATA("合計 / 請求",【ピボット】国保連売上!$A$3,"年月",AH73,"事業所",$A73,"請求区分","単月")-AH82,"")</f>
        <v/>
      </c>
      <c r="AI83" s="1477" t="str">
        <f>IFERROR(GETPIVOTDATA("合計 / 請求",【ピボット】国保連売上!$A$3,"年月",AI73,"事業所",$A73,"請求区分","単月")-AI82,"")</f>
        <v/>
      </c>
      <c r="AJ83" s="1477" t="str">
        <f>IFERROR(GETPIVOTDATA("合計 / 請求",【ピボット】国保連売上!$A$3,"年月",AJ73,"事業所",$A73,"請求区分","単月")-AJ82,"")</f>
        <v/>
      </c>
      <c r="AK83" s="1477" t="str">
        <f>IFERROR(GETPIVOTDATA("合計 / 請求",【ピボット】国保連売上!$A$3,"年月",AK73,"事業所",$A73,"請求区分","単月")-AK82,"")</f>
        <v/>
      </c>
      <c r="AL83" s="1477" t="str">
        <f>IFERROR(GETPIVOTDATA("合計 / 請求",【ピボット】国保連売上!$A$3,"年月",AL73,"事業所",$A73,"請求区分","単月")-AL82,"")</f>
        <v/>
      </c>
      <c r="AM83" s="1477" t="str">
        <f>IFERROR(GETPIVOTDATA("合計 / 請求",【ピボット】国保連売上!$A$3,"年月",AM73,"事業所",$A73,"請求区分","単月")-AM82,"")</f>
        <v/>
      </c>
      <c r="AN83" s="1477" t="str">
        <f>IFERROR(GETPIVOTDATA("合計 / 請求",【ピボット】国保連売上!$A$3,"年月",AN73,"事業所",$A73,"請求区分","単月")-AN82,"")</f>
        <v/>
      </c>
      <c r="AO83" s="1477" t="str">
        <f>IFERROR(GETPIVOTDATA("合計 / 請求",【ピボット】国保連売上!$A$3,"年月",AO73,"事業所",$A73,"請求区分","単月")-AO82,"")</f>
        <v/>
      </c>
      <c r="AP83" s="1477" t="str">
        <f>IFERROR(GETPIVOTDATA("合計 / 請求",【ピボット】国保連売上!$A$3,"年月",AP73,"事業所",$A73,"請求区分","単月")-AP82,"")</f>
        <v/>
      </c>
      <c r="AQ83" s="1477" t="str">
        <f>IFERROR(GETPIVOTDATA("合計 / 請求",【ピボット】国保連売上!$A$3,"年月",AQ73,"事業所",$A73,"請求区分","単月")-AQ82,"")</f>
        <v/>
      </c>
      <c r="AR83" s="1477" t="str">
        <f>IFERROR(GETPIVOTDATA("合計 / 請求",【ピボット】国保連売上!$A$3,"年月",AR73,"事業所",$A73,"請求区分","単月")-AR82,"")</f>
        <v/>
      </c>
    </row>
    <row r="84" spans="1:44" hidden="1" x14ac:dyDescent="0.15">
      <c r="A84" s="2062"/>
      <c r="B84" s="724" t="s">
        <v>887</v>
      </c>
      <c r="C84" s="1475"/>
      <c r="D84" s="1476"/>
      <c r="E84" s="1477"/>
      <c r="F84" s="1477"/>
      <c r="G84" s="1477"/>
      <c r="H84" s="1477"/>
      <c r="I84" s="1477"/>
      <c r="J84" s="1477"/>
      <c r="K84" s="1477"/>
      <c r="L84" s="1477"/>
      <c r="M84" s="1477"/>
      <c r="N84" s="1477"/>
      <c r="O84" s="1477"/>
      <c r="P84" s="1477"/>
      <c r="Q84" s="1477"/>
      <c r="R84" s="1477"/>
      <c r="S84" s="1477"/>
      <c r="T84" s="1477" t="str">
        <f t="shared" ref="T84:Z84" si="81">IF(SUM(T82:T83)=0,"",SUM(T82:T83))</f>
        <v/>
      </c>
      <c r="U84" s="1477">
        <f t="shared" si="81"/>
        <v>362472</v>
      </c>
      <c r="V84" s="1477">
        <f t="shared" si="81"/>
        <v>421112</v>
      </c>
      <c r="W84" s="1477">
        <f t="shared" si="81"/>
        <v>920765</v>
      </c>
      <c r="X84" s="1477">
        <f t="shared" si="81"/>
        <v>1137667</v>
      </c>
      <c r="Y84" s="1477">
        <f t="shared" si="81"/>
        <v>1658360</v>
      </c>
      <c r="Z84" s="1477">
        <f t="shared" si="81"/>
        <v>1287209</v>
      </c>
      <c r="AA84" s="1477">
        <f t="shared" ref="AA84:AF84" si="82">IF(SUM(AA82:AA83)=0,"",SUM(AA82:AA83))</f>
        <v>1066153</v>
      </c>
      <c r="AB84" s="1477">
        <f t="shared" si="82"/>
        <v>1134172</v>
      </c>
      <c r="AC84" s="1477" t="str">
        <f t="shared" si="82"/>
        <v/>
      </c>
      <c r="AD84" s="1477" t="str">
        <f t="shared" si="82"/>
        <v/>
      </c>
      <c r="AE84" s="1477" t="str">
        <f t="shared" si="82"/>
        <v/>
      </c>
      <c r="AF84" s="1477" t="str">
        <f t="shared" si="82"/>
        <v/>
      </c>
      <c r="AG84" s="1477" t="str">
        <f t="shared" ref="AG84:AR84" si="83">IF(SUM(AG82:AG83)=0,"",SUM(AG82:AG83))</f>
        <v/>
      </c>
      <c r="AH84" s="1477" t="str">
        <f t="shared" si="83"/>
        <v/>
      </c>
      <c r="AI84" s="1477" t="str">
        <f t="shared" si="83"/>
        <v/>
      </c>
      <c r="AJ84" s="1477" t="str">
        <f t="shared" si="83"/>
        <v/>
      </c>
      <c r="AK84" s="1477" t="str">
        <f t="shared" si="83"/>
        <v/>
      </c>
      <c r="AL84" s="1477" t="str">
        <f t="shared" si="83"/>
        <v/>
      </c>
      <c r="AM84" s="1477" t="str">
        <f t="shared" si="83"/>
        <v/>
      </c>
      <c r="AN84" s="1477" t="str">
        <f t="shared" si="83"/>
        <v/>
      </c>
      <c r="AO84" s="1477" t="str">
        <f t="shared" si="83"/>
        <v/>
      </c>
      <c r="AP84" s="1477" t="str">
        <f t="shared" si="83"/>
        <v/>
      </c>
      <c r="AQ84" s="1477" t="str">
        <f t="shared" si="83"/>
        <v/>
      </c>
      <c r="AR84" s="1477" t="str">
        <f t="shared" si="83"/>
        <v/>
      </c>
    </row>
    <row r="85" spans="1:44" ht="18.75" hidden="1" customHeight="1" x14ac:dyDescent="0.15">
      <c r="A85" s="2062" t="s">
        <v>897</v>
      </c>
      <c r="B85" s="724" t="s">
        <v>896</v>
      </c>
      <c r="C85" s="1475"/>
      <c r="D85" s="1476"/>
      <c r="E85" s="1477"/>
      <c r="F85" s="1477"/>
      <c r="G85" s="1477"/>
      <c r="H85" s="1477"/>
      <c r="I85" s="1477"/>
      <c r="J85" s="1477"/>
      <c r="K85" s="1477"/>
      <c r="L85" s="1477"/>
      <c r="M85" s="1477"/>
      <c r="N85" s="1477"/>
      <c r="O85" s="1477"/>
      <c r="P85" s="1477"/>
      <c r="Q85" s="1477"/>
      <c r="R85" s="1477"/>
      <c r="S85" s="1477"/>
      <c r="T85" s="1477">
        <f>IFERROR(GETPIVOTDATA("合計 / " &amp; $B85,【ピボット】事業所収支!$A$3,"年月",T$1,"事業所",$A73),"")</f>
        <v>350000</v>
      </c>
      <c r="U85" s="1477">
        <f>IFERROR(GETPIVOTDATA("合計 / " &amp; $B85,【ピボット】事業所収支!$A$3,"年月",U$1,"事業所",$A73),"")</f>
        <v>405592</v>
      </c>
      <c r="V85" s="1477">
        <f>IFERROR(GETPIVOTDATA("合計 / " &amp; $B85,【ピボット】事業所収支!$A$3,"年月",V$1,"事業所",$A73),"")</f>
        <v>350000</v>
      </c>
      <c r="W85" s="1477">
        <f>IFERROR(GETPIVOTDATA("合計 / " &amp; $B85,【ピボット】事業所収支!$A$3,"年月",W$1,"事業所",$A73),"")</f>
        <v>359094</v>
      </c>
      <c r="X85" s="1477">
        <f>IFERROR(GETPIVOTDATA("合計 / " &amp; $B85,【ピボット】事業所収支!$A$3,"年月",X$1,"事業所",$A73),"")</f>
        <v>356070</v>
      </c>
      <c r="Y85" s="1477">
        <f>IFERROR(GETPIVOTDATA("合計 / " &amp; $B85,【ピボット】事業所収支!$A$3,"年月",Y$1,"事業所",$A73),"")</f>
        <v>365311</v>
      </c>
      <c r="Z85" s="1477">
        <f>IFERROR(GETPIVOTDATA("合計 / " &amp; $B85,【ピボット】事業所収支!$A$3,"年月",Z$1,"事業所",$A73),"")</f>
        <v>313556</v>
      </c>
      <c r="AA85" s="1477">
        <f>IFERROR(GETPIVOTDATA("合計 / " &amp; $B85,【ピボット】事業所収支!$A$3,"年月",AA$1,"事業所",$A73),"")</f>
        <v>322174</v>
      </c>
      <c r="AB85" s="1477">
        <f>IFERROR(GETPIVOTDATA("合計 / " &amp; $B85,【ピボット】事業所収支!$A$3,"年月",AB$1,"事業所",$A73),"")</f>
        <v>328566</v>
      </c>
      <c r="AC85" s="1477">
        <f>IFERROR(GETPIVOTDATA("合計 / " &amp; $B85,【ピボット】事業所収支!$A$3,"年月",AC$1,"事業所",$A73),"")</f>
        <v>312778</v>
      </c>
      <c r="AD85" s="1477">
        <f>IFERROR(GETPIVOTDATA("合計 / " &amp; $B85,【ピボット】事業所収支!$A$3,"年月",AD$1,"事業所",$A73),"")</f>
        <v>0</v>
      </c>
      <c r="AE85" s="1477">
        <f>IFERROR(GETPIVOTDATA("合計 / " &amp; $B85,【ピボット】事業所収支!$A$3,"年月",AE$1,"事業所",$A73),"")</f>
        <v>0</v>
      </c>
      <c r="AF85" s="1477" t="str">
        <f>IFERROR(GETPIVOTDATA("合計 / " &amp; $B85,【ピボット】事業所収支!$A$3,"年月",AF$1,"事業所",$A73),"")</f>
        <v/>
      </c>
      <c r="AG85" s="1477" t="str">
        <f>IFERROR(GETPIVOTDATA("合計 / " &amp; $B85,【ピボット】事業所収支!$A$3,"年月",AG$1,"事業所",$A73),"")</f>
        <v/>
      </c>
      <c r="AH85" s="1477" t="str">
        <f>IFERROR(GETPIVOTDATA("合計 / " &amp; $B85,【ピボット】事業所収支!$A$3,"年月",AH$1,"事業所",$A73),"")</f>
        <v/>
      </c>
      <c r="AI85" s="1477" t="str">
        <f>IFERROR(GETPIVOTDATA("合計 / " &amp; $B85,【ピボット】事業所収支!$A$3,"年月",AI$1,"事業所",$A73),"")</f>
        <v/>
      </c>
      <c r="AJ85" s="1477" t="str">
        <f>IFERROR(GETPIVOTDATA("合計 / " &amp; $B85,【ピボット】事業所収支!$A$3,"年月",AJ$1,"事業所",$A73),"")</f>
        <v/>
      </c>
      <c r="AK85" s="1477" t="str">
        <f>IFERROR(GETPIVOTDATA("合計 / " &amp; $B85,【ピボット】事業所収支!$A$3,"年月",AK$1,"事業所",$A73),"")</f>
        <v/>
      </c>
      <c r="AL85" s="1477" t="str">
        <f>IFERROR(GETPIVOTDATA("合計 / " &amp; $B85,【ピボット】事業所収支!$A$3,"年月",AL$1,"事業所",$A73),"")</f>
        <v/>
      </c>
      <c r="AM85" s="1477" t="str">
        <f>IFERROR(GETPIVOTDATA("合計 / " &amp; $B85,【ピボット】事業所収支!$A$3,"年月",AM$1,"事業所",$A73),"")</f>
        <v/>
      </c>
      <c r="AN85" s="1477" t="str">
        <f>IFERROR(GETPIVOTDATA("合計 / " &amp; $B85,【ピボット】事業所収支!$A$3,"年月",AN$1,"事業所",$A73),"")</f>
        <v/>
      </c>
      <c r="AO85" s="1477" t="str">
        <f>IFERROR(GETPIVOTDATA("合計 / " &amp; $B85,【ピボット】事業所収支!$A$3,"年月",AO$1,"事業所",$A73),"")</f>
        <v/>
      </c>
      <c r="AP85" s="1477" t="str">
        <f>IFERROR(GETPIVOTDATA("合計 / " &amp; $B85,【ピボット】事業所収支!$A$3,"年月",AP$1,"事業所",$A73),"")</f>
        <v/>
      </c>
      <c r="AQ85" s="1477" t="str">
        <f>IFERROR(GETPIVOTDATA("合計 / " &amp; $B85,【ピボット】事業所収支!$A$3,"年月",AQ$1,"事業所",$A73),"")</f>
        <v/>
      </c>
      <c r="AR85" s="1477" t="str">
        <f>IFERROR(GETPIVOTDATA("合計 / " &amp; $B85,【ピボット】事業所収支!$A$3,"年月",AR$1,"事業所",$A73),"")</f>
        <v/>
      </c>
    </row>
    <row r="86" spans="1:44" hidden="1" x14ac:dyDescent="0.15">
      <c r="A86" s="2062"/>
      <c r="B86" s="724" t="s">
        <v>895</v>
      </c>
      <c r="C86" s="1475"/>
      <c r="D86" s="1476"/>
      <c r="E86" s="1477"/>
      <c r="F86" s="1477"/>
      <c r="G86" s="1477"/>
      <c r="H86" s="1477"/>
      <c r="I86" s="1477"/>
      <c r="J86" s="1477"/>
      <c r="K86" s="1477"/>
      <c r="L86" s="1477"/>
      <c r="M86" s="1477"/>
      <c r="N86" s="1477"/>
      <c r="O86" s="1477"/>
      <c r="P86" s="1477"/>
      <c r="Q86" s="1477"/>
      <c r="R86" s="1477"/>
      <c r="S86" s="1477"/>
      <c r="T86" s="1477">
        <f>IFERROR(GETPIVOTDATA("合計 / " &amp; $B86,【ピボット】事業所収支!$A$3,"年月",T$1,"事業所",$A73)-T92,"")</f>
        <v>0</v>
      </c>
      <c r="U86" s="1477">
        <f>IFERROR(GETPIVOTDATA("合計 / " &amp; $B86,【ピボット】事業所収支!$A$3,"年月",U$1,"事業所",$A73)-U92,"")</f>
        <v>315000</v>
      </c>
      <c r="V86" s="1477">
        <f>IFERROR(GETPIVOTDATA("合計 / " &amp; $B86,【ピボット】事業所収支!$A$3,"年月",V$1,"事業所",$A73)-V92,"")</f>
        <v>0</v>
      </c>
      <c r="W86" s="1477">
        <f>IFERROR(GETPIVOTDATA("合計 / " &amp; $B86,【ピボット】事業所収支!$A$3,"年月",W$1,"事業所",$A73)-W92,"")</f>
        <v>50000</v>
      </c>
      <c r="X86" s="1477">
        <f>IFERROR(GETPIVOTDATA("合計 / " &amp; $B86,【ピボット】事業所収支!$A$3,"年月",X$1,"事業所",$A73)-X92,"")</f>
        <v>0</v>
      </c>
      <c r="Y86" s="1477">
        <f>IFERROR(GETPIVOTDATA("合計 / " &amp; $B86,【ピボット】事業所収支!$A$3,"年月",Y$1,"事業所",$A73)-Y92,"")</f>
        <v>0</v>
      </c>
      <c r="Z86" s="1477">
        <f>IFERROR(GETPIVOTDATA("合計 / " &amp; $B86,【ピボット】事業所収支!$A$3,"年月",Z$1,"事業所",$A73)-Z92,"")</f>
        <v>0</v>
      </c>
      <c r="AA86" s="1477">
        <f>IFERROR(GETPIVOTDATA("合計 / " &amp; $B86,【ピボット】事業所収支!$A$3,"年月",AA$1,"事業所",$A73)-AA92,"")</f>
        <v>500000</v>
      </c>
      <c r="AB86" s="1477">
        <f>IFERROR(GETPIVOTDATA("合計 / " &amp; $B86,【ピボット】事業所収支!$A$3,"年月",AB$1,"事業所",$A73)-AB92,"")</f>
        <v>0</v>
      </c>
      <c r="AC86" s="1477">
        <f>IFERROR(GETPIVOTDATA("合計 / " &amp; $B86,【ピボット】事業所収支!$A$3,"年月",AC$1,"事業所",$A73)-AC92,"")</f>
        <v>0</v>
      </c>
      <c r="AD86" s="1477">
        <f>IFERROR(GETPIVOTDATA("合計 / " &amp; $B86,【ピボット】事業所収支!$A$3,"年月",AD$1,"事業所",$A73)-AD92,"")</f>
        <v>0</v>
      </c>
      <c r="AE86" s="1477">
        <f>IFERROR(GETPIVOTDATA("合計 / " &amp; $B86,【ピボット】事業所収支!$A$3,"年月",AE$1,"事業所",$A73)-AE92,"")</f>
        <v>0</v>
      </c>
      <c r="AF86" s="1477" t="str">
        <f>IFERROR(GETPIVOTDATA("合計 / " &amp; $B86,【ピボット】事業所収支!$A$3,"年月",AF$1,"事業所",$A73)-AF92,"")</f>
        <v/>
      </c>
      <c r="AG86" s="1477" t="str">
        <f>IFERROR(GETPIVOTDATA("合計 / " &amp; $B86,【ピボット】事業所収支!$A$3,"年月",AG$1,"事業所",$A73)-AG92,"")</f>
        <v/>
      </c>
      <c r="AH86" s="1477" t="str">
        <f>IFERROR(GETPIVOTDATA("合計 / " &amp; $B86,【ピボット】事業所収支!$A$3,"年月",AH$1,"事業所",$A73)-AH92,"")</f>
        <v/>
      </c>
      <c r="AI86" s="1477" t="str">
        <f>IFERROR(GETPIVOTDATA("合計 / " &amp; $B86,【ピボット】事業所収支!$A$3,"年月",AI$1,"事業所",$A73)-AI92,"")</f>
        <v/>
      </c>
      <c r="AJ86" s="1477" t="str">
        <f>IFERROR(GETPIVOTDATA("合計 / " &amp; $B86,【ピボット】事業所収支!$A$3,"年月",AJ$1,"事業所",$A73)-AJ92,"")</f>
        <v/>
      </c>
      <c r="AK86" s="1477" t="str">
        <f>IFERROR(GETPIVOTDATA("合計 / " &amp; $B86,【ピボット】事業所収支!$A$3,"年月",AK$1,"事業所",$A73)-AK92,"")</f>
        <v/>
      </c>
      <c r="AL86" s="1477" t="str">
        <f>IFERROR(GETPIVOTDATA("合計 / " &amp; $B86,【ピボット】事業所収支!$A$3,"年月",AL$1,"事業所",$A73)-AL92,"")</f>
        <v/>
      </c>
      <c r="AM86" s="1477" t="str">
        <f>IFERROR(GETPIVOTDATA("合計 / " &amp; $B86,【ピボット】事業所収支!$A$3,"年月",AM$1,"事業所",$A73)-AM92,"")</f>
        <v/>
      </c>
      <c r="AN86" s="1477" t="str">
        <f>IFERROR(GETPIVOTDATA("合計 / " &amp; $B86,【ピボット】事業所収支!$A$3,"年月",AN$1,"事業所",$A73)-AN92,"")</f>
        <v/>
      </c>
      <c r="AO86" s="1477" t="str">
        <f>IFERROR(GETPIVOTDATA("合計 / " &amp; $B86,【ピボット】事業所収支!$A$3,"年月",AO$1,"事業所",$A73)-AO92,"")</f>
        <v/>
      </c>
      <c r="AP86" s="1477" t="str">
        <f>IFERROR(GETPIVOTDATA("合計 / " &amp; $B86,【ピボット】事業所収支!$A$3,"年月",AP$1,"事業所",$A73)-AP92,"")</f>
        <v/>
      </c>
      <c r="AQ86" s="1477" t="str">
        <f>IFERROR(GETPIVOTDATA("合計 / " &amp; $B86,【ピボット】事業所収支!$A$3,"年月",AQ$1,"事業所",$A73)-AQ92,"")</f>
        <v/>
      </c>
      <c r="AR86" s="1477" t="str">
        <f>IFERROR(GETPIVOTDATA("合計 / " &amp; $B86,【ピボット】事業所収支!$A$3,"年月",AR$1,"事業所",$A73)-AR92,"")</f>
        <v/>
      </c>
    </row>
    <row r="87" spans="1:44" hidden="1" x14ac:dyDescent="0.15">
      <c r="A87" s="2062"/>
      <c r="B87" s="724" t="s">
        <v>894</v>
      </c>
      <c r="C87" s="1475"/>
      <c r="D87" s="1476"/>
      <c r="E87" s="1477"/>
      <c r="F87" s="1477"/>
      <c r="G87" s="1477"/>
      <c r="H87" s="1477"/>
      <c r="I87" s="1477"/>
      <c r="J87" s="1477"/>
      <c r="K87" s="1477"/>
      <c r="L87" s="1477"/>
      <c r="M87" s="1477"/>
      <c r="N87" s="1477"/>
      <c r="O87" s="1477"/>
      <c r="P87" s="1477"/>
      <c r="Q87" s="1477"/>
      <c r="R87" s="1477"/>
      <c r="S87" s="1477"/>
      <c r="T87" s="1477">
        <f>IF(T85="","",ROUND(O86/6,0))</f>
        <v>0</v>
      </c>
      <c r="U87" s="1477">
        <f>IF(U85="","",ROUND(U86/6,0))</f>
        <v>52500</v>
      </c>
      <c r="V87" s="1477">
        <f>IF(V85="","",ROUND(U86/6,0))</f>
        <v>52500</v>
      </c>
      <c r="W87" s="1477">
        <f>IF(W85="","",ROUND(U86/6,0))</f>
        <v>52500</v>
      </c>
      <c r="X87" s="1477">
        <f>IF(X85="","",ROUND(U86/6,0))</f>
        <v>52500</v>
      </c>
      <c r="Y87" s="1477">
        <f>IF(Y85="","",ROUND(U86/6,0))</f>
        <v>52500</v>
      </c>
      <c r="Z87" s="1477">
        <f>IF(Z85="","",ROUND(U86/6,0))</f>
        <v>52500</v>
      </c>
      <c r="AA87" s="1477">
        <f>IF(AA85="","",ROUND(AA86/6,0))</f>
        <v>83333</v>
      </c>
      <c r="AB87" s="1477">
        <f>IF(AB85="","",ROUND(AA86/6,0))</f>
        <v>83333</v>
      </c>
      <c r="AC87" s="1477">
        <f>IF(AC85="","",ROUND(AA86/6,0))</f>
        <v>83333</v>
      </c>
      <c r="AD87" s="1477">
        <f>IF(AD85="","",ROUND(AA86/6,0))</f>
        <v>83333</v>
      </c>
      <c r="AE87" s="1477">
        <f>IF(AE85="","",ROUND(AA86/6,0))</f>
        <v>83333</v>
      </c>
      <c r="AF87" s="1477" t="str">
        <f>IF(AF85="","",ROUND(AA86/6,0))</f>
        <v/>
      </c>
      <c r="AG87" s="1477" t="str">
        <f>IF(AG85="","",ROUND(AG86/6,0))</f>
        <v/>
      </c>
      <c r="AH87" s="1477" t="str">
        <f>IF(AH85="","",ROUND(AG86/6,0))</f>
        <v/>
      </c>
      <c r="AI87" s="1477" t="str">
        <f>IF(AI85="","",ROUND(AG86/6,0))</f>
        <v/>
      </c>
      <c r="AJ87" s="1477" t="str">
        <f>IF(AJ85="","",ROUND(AG86/6,0))</f>
        <v/>
      </c>
      <c r="AK87" s="1477" t="str">
        <f>IF(AK85="","",ROUND(AG86/6,0))</f>
        <v/>
      </c>
      <c r="AL87" s="1477" t="str">
        <f>IF(AL85="","",ROUND(AG86/6,0))</f>
        <v/>
      </c>
      <c r="AM87" s="1477" t="str">
        <f>IF(AM85="","",ROUND(AM86/6,0))</f>
        <v/>
      </c>
      <c r="AN87" s="1477" t="str">
        <f>IF(AN85="","",ROUND(AM86/6,0))</f>
        <v/>
      </c>
      <c r="AO87" s="1477" t="str">
        <f>IF(AO85="","",ROUND(AM86/6,0))</f>
        <v/>
      </c>
      <c r="AP87" s="1477" t="str">
        <f>IF(AP85="","",ROUND(AM86/6,0))</f>
        <v/>
      </c>
      <c r="AQ87" s="1477" t="str">
        <f>IF(AQ85="","",ROUND(AM86/6,0))</f>
        <v/>
      </c>
      <c r="AR87" s="1477" t="str">
        <f>IF(AR85="","",ROUND(AM86/6,0))</f>
        <v/>
      </c>
    </row>
    <row r="88" spans="1:44" ht="18.75" hidden="1" customHeight="1" x14ac:dyDescent="0.15">
      <c r="A88" s="2062"/>
      <c r="B88" s="724" t="s">
        <v>889</v>
      </c>
      <c r="C88" s="1475"/>
      <c r="D88" s="1476"/>
      <c r="E88" s="1476"/>
      <c r="F88" s="1476"/>
      <c r="G88" s="1476"/>
      <c r="H88" s="1476"/>
      <c r="I88" s="1476"/>
      <c r="J88" s="1476"/>
      <c r="K88" s="1476"/>
      <c r="L88" s="1476"/>
      <c r="M88" s="1476"/>
      <c r="N88" s="1476"/>
      <c r="O88" s="1476"/>
      <c r="P88" s="1476"/>
      <c r="Q88" s="1476"/>
      <c r="R88" s="1476"/>
      <c r="S88" s="1476"/>
      <c r="T88" s="1476">
        <f>IFERROR(GETPIVOTDATA("合計 / " &amp; $B88,【ピボット】事業所収支!$A$3,"年月",T$1,"事業所",$A73)-T93,"")</f>
        <v>42363</v>
      </c>
      <c r="U88" s="1476">
        <f>IFERROR(GETPIVOTDATA("合計 / " &amp; $B88,【ピボット】事業所収支!$A$3,"年月",U$1,"事業所",$A73)-U93,"")</f>
        <v>37084</v>
      </c>
      <c r="V88" s="1476">
        <f>IFERROR(GETPIVOTDATA("合計 / " &amp; $B88,【ピボット】事業所収支!$A$3,"年月",V$1,"事業所",$A73)-V93,"")</f>
        <v>94565</v>
      </c>
      <c r="W88" s="1476">
        <f>IFERROR(GETPIVOTDATA("合計 / " &amp; $B88,【ピボット】事業所収支!$A$3,"年月",W$1,"事業所",$A73)-W93,"")</f>
        <v>42952</v>
      </c>
      <c r="X88" s="1476">
        <f>IFERROR(GETPIVOTDATA("合計 / " &amp; $B88,【ピボット】事業所収支!$A$3,"年月",X$1,"事業所",$A73)-X93,"")</f>
        <v>382917</v>
      </c>
      <c r="Y88" s="1476">
        <f>IFERROR(GETPIVOTDATA("合計 / " &amp; $B88,【ピボット】事業所収支!$A$3,"年月",Y$1,"事業所",$A73)-Y93,"")</f>
        <v>57454</v>
      </c>
      <c r="Z88" s="1476">
        <f>IFERROR(GETPIVOTDATA("合計 / " &amp; $B88,【ピボット】事業所収支!$A$3,"年月",Z$1,"事業所",$A73)-Z93,"")</f>
        <v>39713</v>
      </c>
      <c r="AA88" s="1476">
        <f>IFERROR(GETPIVOTDATA("合計 / " &amp; $B88,【ピボット】事業所収支!$A$3,"年月",AA$1,"事業所",$A73)-AA93,"")</f>
        <v>114101</v>
      </c>
      <c r="AB88" s="1476">
        <f>IFERROR(GETPIVOTDATA("合計 / " &amp; $B88,【ピボット】事業所収支!$A$3,"年月",AB$1,"事業所",$A73)-AB93,"")</f>
        <v>42695</v>
      </c>
      <c r="AC88" s="1476">
        <f>IFERROR(GETPIVOTDATA("合計 / " &amp; $B88,【ピボット】事業所収支!$A$3,"年月",AC$1,"事業所",$A73)-AC93,"")</f>
        <v>43910</v>
      </c>
      <c r="AD88" s="1476">
        <f>IFERROR(GETPIVOTDATA("合計 / " &amp; $B88,【ピボット】事業所収支!$A$3,"年月",AD$1,"事業所",$A73)-AD93,"")</f>
        <v>0</v>
      </c>
      <c r="AE88" s="1476">
        <f>IFERROR(GETPIVOTDATA("合計 / " &amp; $B88,【ピボット】事業所収支!$A$3,"年月",AE$1,"事業所",$A73)-AE93,"")</f>
        <v>0</v>
      </c>
      <c r="AF88" s="1476" t="str">
        <f>IFERROR(GETPIVOTDATA("合計 / " &amp; $B88,【ピボット】事業所収支!$A$3,"年月",AF$1,"事業所",$A73)-AF93,"")</f>
        <v/>
      </c>
      <c r="AG88" s="1476" t="str">
        <f>IFERROR(GETPIVOTDATA("合計 / " &amp; $B88,【ピボット】事業所収支!$A$3,"年月",AG$1,"事業所",$A73)-AG93,"")</f>
        <v/>
      </c>
      <c r="AH88" s="1476" t="str">
        <f>IFERROR(GETPIVOTDATA("合計 / " &amp; $B88,【ピボット】事業所収支!$A$3,"年月",AH$1,"事業所",$A73)-AH93,"")</f>
        <v/>
      </c>
      <c r="AI88" s="1476" t="str">
        <f>IFERROR(GETPIVOTDATA("合計 / " &amp; $B88,【ピボット】事業所収支!$A$3,"年月",AI$1,"事業所",$A73)-AI93,"")</f>
        <v/>
      </c>
      <c r="AJ88" s="1476" t="str">
        <f>IFERROR(GETPIVOTDATA("合計 / " &amp; $B88,【ピボット】事業所収支!$A$3,"年月",AJ$1,"事業所",$A73)-AJ93,"")</f>
        <v/>
      </c>
      <c r="AK88" s="1476" t="str">
        <f>IFERROR(GETPIVOTDATA("合計 / " &amp; $B88,【ピボット】事業所収支!$A$3,"年月",AK$1,"事業所",$A73)-AK93,"")</f>
        <v/>
      </c>
      <c r="AL88" s="1476" t="str">
        <f>IFERROR(GETPIVOTDATA("合計 / " &amp; $B88,【ピボット】事業所収支!$A$3,"年月",AL$1,"事業所",$A73)-AL93,"")</f>
        <v/>
      </c>
      <c r="AM88" s="1476" t="str">
        <f>IFERROR(GETPIVOTDATA("合計 / " &amp; $B88,【ピボット】事業所収支!$A$3,"年月",AM$1,"事業所",$A73)-AM93,"")</f>
        <v/>
      </c>
      <c r="AN88" s="1476" t="str">
        <f>IFERROR(GETPIVOTDATA("合計 / " &amp; $B88,【ピボット】事業所収支!$A$3,"年月",AN$1,"事業所",$A73)-AN93,"")</f>
        <v/>
      </c>
      <c r="AO88" s="1476" t="str">
        <f>IFERROR(GETPIVOTDATA("合計 / " &amp; $B88,【ピボット】事業所収支!$A$3,"年月",AO$1,"事業所",$A73)-AO93,"")</f>
        <v/>
      </c>
      <c r="AP88" s="1476" t="str">
        <f>IFERROR(GETPIVOTDATA("合計 / " &amp; $B88,【ピボット】事業所収支!$A$3,"年月",AP$1,"事業所",$A73)-AP93,"")</f>
        <v/>
      </c>
      <c r="AQ88" s="1476" t="str">
        <f>IFERROR(GETPIVOTDATA("合計 / " &amp; $B88,【ピボット】事業所収支!$A$3,"年月",AQ$1,"事業所",$A73)-AQ93,"")</f>
        <v/>
      </c>
      <c r="AR88" s="1476" t="str">
        <f>IFERROR(GETPIVOTDATA("合計 / " &amp; $B88,【ピボット】事業所収支!$A$3,"年月",AR$1,"事業所",$A73)-AR93,"")</f>
        <v/>
      </c>
    </row>
    <row r="89" spans="1:44" hidden="1" x14ac:dyDescent="0.15">
      <c r="A89" s="2062"/>
      <c r="B89" s="724" t="s">
        <v>893</v>
      </c>
      <c r="C89" s="1475"/>
      <c r="D89" s="1476"/>
      <c r="E89" s="1476"/>
      <c r="F89" s="1476"/>
      <c r="G89" s="1476"/>
      <c r="H89" s="1476"/>
      <c r="I89" s="1476"/>
      <c r="J89" s="1476"/>
      <c r="K89" s="1476"/>
      <c r="L89" s="1476"/>
      <c r="M89" s="1476"/>
      <c r="N89" s="1476"/>
      <c r="O89" s="1476"/>
      <c r="P89" s="1476"/>
      <c r="Q89" s="1476"/>
      <c r="R89" s="1476"/>
      <c r="S89" s="1476"/>
      <c r="T89" s="1476">
        <f>IFERROR(GETPIVOTDATA("合計 / " &amp; $B89,【ピボット】事業所収支!$A$3,"年月",T$1,"事業所",$A73),"")</f>
        <v>2500</v>
      </c>
      <c r="U89" s="1476">
        <f>IFERROR(GETPIVOTDATA("合計 / " &amp; $B89,【ピボット】事業所収支!$A$3,"年月",U$1,"事業所",$A73),"")</f>
        <v>38422</v>
      </c>
      <c r="V89" s="1476">
        <f>IFERROR(GETPIVOTDATA("合計 / " &amp; $B89,【ピボット】事業所収支!$A$3,"年月",V$1,"事業所",$A73),"")</f>
        <v>2181</v>
      </c>
      <c r="W89" s="1476">
        <f>IFERROR(GETPIVOTDATA("合計 / " &amp; $B89,【ピボット】事業所収支!$A$3,"年月",W$1,"事業所",$A73),"")</f>
        <v>0</v>
      </c>
      <c r="X89" s="1476">
        <f>IFERROR(GETPIVOTDATA("合計 / " &amp; $B89,【ピボット】事業所収支!$A$3,"年月",X$1,"事業所",$A73),"")</f>
        <v>0</v>
      </c>
      <c r="Y89" s="1476">
        <f>IFERROR(GETPIVOTDATA("合計 / " &amp; $B89,【ピボット】事業所収支!$A$3,"年月",Y$1,"事業所",$A73),"")</f>
        <v>0</v>
      </c>
      <c r="Z89" s="1476">
        <f>IFERROR(GETPIVOTDATA("合計 / " &amp; $B89,【ピボット】事業所収支!$A$3,"年月",Z$1,"事業所",$A73),"")</f>
        <v>0</v>
      </c>
      <c r="AA89" s="1476">
        <f>IFERROR(GETPIVOTDATA("合計 / " &amp; $B89,【ピボット】事業所収支!$A$3,"年月",AA$1,"事業所",$A73),"")</f>
        <v>2980</v>
      </c>
      <c r="AB89" s="1476">
        <f>IFERROR(GETPIVOTDATA("合計 / " &amp; $B89,【ピボット】事業所収支!$A$3,"年月",AB$1,"事業所",$A73),"")</f>
        <v>972</v>
      </c>
      <c r="AC89" s="1476">
        <f>IFERROR(GETPIVOTDATA("合計 / " &amp; $B89,【ピボット】事業所収支!$A$3,"年月",AC$1,"事業所",$A73),"")</f>
        <v>2904</v>
      </c>
      <c r="AD89" s="1476">
        <f>IFERROR(GETPIVOTDATA("合計 / " &amp; $B89,【ピボット】事業所収支!$A$3,"年月",AD$1,"事業所",$A73),"")</f>
        <v>0</v>
      </c>
      <c r="AE89" s="1476">
        <f>IFERROR(GETPIVOTDATA("合計 / " &amp; $B89,【ピボット】事業所収支!$A$3,"年月",AE$1,"事業所",$A73),"")</f>
        <v>0</v>
      </c>
      <c r="AF89" s="1476" t="str">
        <f>IFERROR(GETPIVOTDATA("合計 / " &amp; $B89,【ピボット】事業所収支!$A$3,"年月",AF$1,"事業所",$A73),"")</f>
        <v/>
      </c>
      <c r="AG89" s="1476" t="str">
        <f>IFERROR(GETPIVOTDATA("合計 / " &amp; $B89,【ピボット】事業所収支!$A$3,"年月",AG$1,"事業所",$A73),"")</f>
        <v/>
      </c>
      <c r="AH89" s="1476" t="str">
        <f>IFERROR(GETPIVOTDATA("合計 / " &amp; $B89,【ピボット】事業所収支!$A$3,"年月",AH$1,"事業所",$A73),"")</f>
        <v/>
      </c>
      <c r="AI89" s="1476" t="str">
        <f>IFERROR(GETPIVOTDATA("合計 / " &amp; $B89,【ピボット】事業所収支!$A$3,"年月",AI$1,"事業所",$A73),"")</f>
        <v/>
      </c>
      <c r="AJ89" s="1476" t="str">
        <f>IFERROR(GETPIVOTDATA("合計 / " &amp; $B89,【ピボット】事業所収支!$A$3,"年月",AJ$1,"事業所",$A73),"")</f>
        <v/>
      </c>
      <c r="AK89" s="1476" t="str">
        <f>IFERROR(GETPIVOTDATA("合計 / " &amp; $B89,【ピボット】事業所収支!$A$3,"年月",AK$1,"事業所",$A73),"")</f>
        <v/>
      </c>
      <c r="AL89" s="1476" t="str">
        <f>IFERROR(GETPIVOTDATA("合計 / " &amp; $B89,【ピボット】事業所収支!$A$3,"年月",AL$1,"事業所",$A73),"")</f>
        <v/>
      </c>
      <c r="AM89" s="1476" t="str">
        <f>IFERROR(GETPIVOTDATA("合計 / " &amp; $B89,【ピボット】事業所収支!$A$3,"年月",AM$1,"事業所",$A73),"")</f>
        <v/>
      </c>
      <c r="AN89" s="1476" t="str">
        <f>IFERROR(GETPIVOTDATA("合計 / " &amp; $B89,【ピボット】事業所収支!$A$3,"年月",AN$1,"事業所",$A73),"")</f>
        <v/>
      </c>
      <c r="AO89" s="1476" t="str">
        <f>IFERROR(GETPIVOTDATA("合計 / " &amp; $B89,【ピボット】事業所収支!$A$3,"年月",AO$1,"事業所",$A73),"")</f>
        <v/>
      </c>
      <c r="AP89" s="1476" t="str">
        <f>IFERROR(GETPIVOTDATA("合計 / " &amp; $B89,【ピボット】事業所収支!$A$3,"年月",AP$1,"事業所",$A73),"")</f>
        <v/>
      </c>
      <c r="AQ89" s="1476" t="str">
        <f>IFERROR(GETPIVOTDATA("合計 / " &amp; $B89,【ピボット】事業所収支!$A$3,"年月",AQ$1,"事業所",$A73),"")</f>
        <v/>
      </c>
      <c r="AR89" s="1476" t="str">
        <f>IFERROR(GETPIVOTDATA("合計 / " &amp; $B89,【ピボット】事業所収支!$A$3,"年月",AR$1,"事業所",$A73),"")</f>
        <v/>
      </c>
    </row>
    <row r="90" spans="1:44" hidden="1" x14ac:dyDescent="0.15">
      <c r="A90" s="2062"/>
      <c r="B90" s="724" t="s">
        <v>892</v>
      </c>
      <c r="C90" s="1475"/>
      <c r="D90" s="1476"/>
      <c r="E90" s="1476"/>
      <c r="F90" s="1476"/>
      <c r="G90" s="1476"/>
      <c r="H90" s="1476"/>
      <c r="I90" s="1476"/>
      <c r="J90" s="1476"/>
      <c r="K90" s="1476"/>
      <c r="L90" s="1476"/>
      <c r="M90" s="1476"/>
      <c r="N90" s="1476"/>
      <c r="O90" s="1476"/>
      <c r="P90" s="1476"/>
      <c r="Q90" s="1476"/>
      <c r="R90" s="1476"/>
      <c r="S90" s="1476"/>
      <c r="T90" s="1476">
        <f>IF(SUM(T85,T88:T89)=0,"",SUM(T85,T88:T89))</f>
        <v>394863</v>
      </c>
      <c r="U90" s="1476">
        <f t="shared" ref="U90:Z90" si="84">IF(SUM(U85,U88:U89)=0,"",SUM(U85,U88:U89))</f>
        <v>481098</v>
      </c>
      <c r="V90" s="1476">
        <f t="shared" si="84"/>
        <v>446746</v>
      </c>
      <c r="W90" s="1476">
        <f t="shared" si="84"/>
        <v>402046</v>
      </c>
      <c r="X90" s="1476">
        <f t="shared" si="84"/>
        <v>738987</v>
      </c>
      <c r="Y90" s="1476">
        <f t="shared" si="84"/>
        <v>422765</v>
      </c>
      <c r="Z90" s="1476">
        <f t="shared" si="84"/>
        <v>353269</v>
      </c>
      <c r="AA90" s="1476">
        <f t="shared" ref="AA90:AF90" si="85">IF(SUM(AA85,AA88:AA89)=0,"",SUM(AA85,AA88:AA89))</f>
        <v>439255</v>
      </c>
      <c r="AB90" s="1476">
        <f t="shared" si="85"/>
        <v>372233</v>
      </c>
      <c r="AC90" s="1476">
        <f t="shared" si="85"/>
        <v>359592</v>
      </c>
      <c r="AD90" s="1476" t="str">
        <f t="shared" si="85"/>
        <v/>
      </c>
      <c r="AE90" s="1476" t="str">
        <f t="shared" si="85"/>
        <v/>
      </c>
      <c r="AF90" s="1476" t="str">
        <f t="shared" si="85"/>
        <v/>
      </c>
      <c r="AG90" s="1476" t="str">
        <f t="shared" ref="AG90:AR90" si="86">IF(SUM(AG85,AG88:AG89)=0,"",SUM(AG85,AG88:AG89))</f>
        <v/>
      </c>
      <c r="AH90" s="1476" t="str">
        <f t="shared" si="86"/>
        <v/>
      </c>
      <c r="AI90" s="1476" t="str">
        <f t="shared" si="86"/>
        <v/>
      </c>
      <c r="AJ90" s="1476" t="str">
        <f t="shared" si="86"/>
        <v/>
      </c>
      <c r="AK90" s="1476" t="str">
        <f t="shared" si="86"/>
        <v/>
      </c>
      <c r="AL90" s="1476" t="str">
        <f t="shared" si="86"/>
        <v/>
      </c>
      <c r="AM90" s="1476" t="str">
        <f t="shared" si="86"/>
        <v/>
      </c>
      <c r="AN90" s="1476" t="str">
        <f t="shared" si="86"/>
        <v/>
      </c>
      <c r="AO90" s="1476" t="str">
        <f t="shared" si="86"/>
        <v/>
      </c>
      <c r="AP90" s="1476" t="str">
        <f t="shared" si="86"/>
        <v/>
      </c>
      <c r="AQ90" s="1476" t="str">
        <f t="shared" si="86"/>
        <v/>
      </c>
      <c r="AR90" s="1476" t="str">
        <f t="shared" si="86"/>
        <v/>
      </c>
    </row>
    <row r="91" spans="1:44" s="729" customFormat="1" hidden="1" x14ac:dyDescent="0.15">
      <c r="A91" s="2062"/>
      <c r="B91" s="724" t="s">
        <v>891</v>
      </c>
      <c r="C91" s="1475"/>
      <c r="D91" s="1476"/>
      <c r="E91" s="1476"/>
      <c r="F91" s="1476"/>
      <c r="G91" s="1476"/>
      <c r="H91" s="1476"/>
      <c r="I91" s="1476"/>
      <c r="J91" s="1476"/>
      <c r="K91" s="1476"/>
      <c r="L91" s="1476"/>
      <c r="M91" s="1476"/>
      <c r="N91" s="1476"/>
      <c r="O91" s="1476"/>
      <c r="P91" s="1476"/>
      <c r="Q91" s="1476"/>
      <c r="R91" s="1476"/>
      <c r="S91" s="1476"/>
      <c r="T91" s="1476">
        <f>IFERROR(GETPIVOTDATA("合計 / " &amp; $B91,【ピボット】事業所収支!$A$3,"年月",T$1,"事業所",$A73),"")</f>
        <v>0</v>
      </c>
      <c r="U91" s="1476">
        <f>IFERROR(GETPIVOTDATA("合計 / " &amp; $B91,【ピボット】事業所収支!$A$3,"年月",U$1,"事業所",$A73),"")</f>
        <v>49610</v>
      </c>
      <c r="V91" s="1476">
        <f>IFERROR(GETPIVOTDATA("合計 / " &amp; $B91,【ピボット】事業所収支!$A$3,"年月",V$1,"事業所",$A73),"")</f>
        <v>87952</v>
      </c>
      <c r="W91" s="1476">
        <f>IFERROR(GETPIVOTDATA("合計 / " &amp; $B91,【ピボット】事業所収支!$A$3,"年月",W$1,"事業所",$A73),"")</f>
        <v>184245</v>
      </c>
      <c r="X91" s="1476">
        <f>IFERROR(GETPIVOTDATA("合計 / " &amp; $B91,【ピボット】事業所収支!$A$3,"年月",X$1,"事業所",$A73),"")</f>
        <v>358716</v>
      </c>
      <c r="Y91" s="1476">
        <f>IFERROR(GETPIVOTDATA("合計 / " &amp; $B91,【ピボット】事業所収支!$A$3,"年月",Y$1,"事業所",$A73),"")</f>
        <v>411567</v>
      </c>
      <c r="Z91" s="1476">
        <f>IFERROR(GETPIVOTDATA("合計 / " &amp; $B91,【ピボット】事業所収支!$A$3,"年月",Z$1,"事業所",$A73),"")</f>
        <v>304379</v>
      </c>
      <c r="AA91" s="1476">
        <f>IFERROR(GETPIVOTDATA("合計 / " &amp; $B91,【ピボット】事業所収支!$A$3,"年月",AA$1,"事業所",$A73),"")</f>
        <v>285948</v>
      </c>
      <c r="AB91" s="1476">
        <f>IFERROR(GETPIVOTDATA("合計 / " &amp; $B91,【ピボット】事業所収支!$A$3,"年月",AB$1,"事業所",$A73),"")</f>
        <v>271753</v>
      </c>
      <c r="AC91" s="1476">
        <f>IFERROR(GETPIVOTDATA("合計 / " &amp; $B91,【ピボット】事業所収支!$A$3,"年月",AC$1,"事業所",$A73),"")</f>
        <v>228440</v>
      </c>
      <c r="AD91" s="1476">
        <f>IFERROR(GETPIVOTDATA("合計 / " &amp; $B91,【ピボット】事業所収支!$A$3,"年月",AD$1,"事業所",$A73),"")</f>
        <v>0</v>
      </c>
      <c r="AE91" s="1476">
        <f>IFERROR(GETPIVOTDATA("合計 / " &amp; $B91,【ピボット】事業所収支!$A$3,"年月",AE$1,"事業所",$A73),"")</f>
        <v>0</v>
      </c>
      <c r="AF91" s="1476" t="str">
        <f>IFERROR(GETPIVOTDATA("合計 / " &amp; $B91,【ピボット】事業所収支!$A$3,"年月",AF$1,"事業所",$A73),"")</f>
        <v/>
      </c>
      <c r="AG91" s="1476" t="str">
        <f>IFERROR(GETPIVOTDATA("合計 / " &amp; $B91,【ピボット】事業所収支!$A$3,"年月",AG$1,"事業所",$A73),"")</f>
        <v/>
      </c>
      <c r="AH91" s="1476" t="str">
        <f>IFERROR(GETPIVOTDATA("合計 / " &amp; $B91,【ピボット】事業所収支!$A$3,"年月",AH$1,"事業所",$A73),"")</f>
        <v/>
      </c>
      <c r="AI91" s="1476" t="str">
        <f>IFERROR(GETPIVOTDATA("合計 / " &amp; $B91,【ピボット】事業所収支!$A$3,"年月",AI$1,"事業所",$A73),"")</f>
        <v/>
      </c>
      <c r="AJ91" s="1476" t="str">
        <f>IFERROR(GETPIVOTDATA("合計 / " &amp; $B91,【ピボット】事業所収支!$A$3,"年月",AJ$1,"事業所",$A73),"")</f>
        <v/>
      </c>
      <c r="AK91" s="1476" t="str">
        <f>IFERROR(GETPIVOTDATA("合計 / " &amp; $B91,【ピボット】事業所収支!$A$3,"年月",AK$1,"事業所",$A73),"")</f>
        <v/>
      </c>
      <c r="AL91" s="1476" t="str">
        <f>IFERROR(GETPIVOTDATA("合計 / " &amp; $B91,【ピボット】事業所収支!$A$3,"年月",AL$1,"事業所",$A73),"")</f>
        <v/>
      </c>
      <c r="AM91" s="1476" t="str">
        <f>IFERROR(GETPIVOTDATA("合計 / " &amp; $B91,【ピボット】事業所収支!$A$3,"年月",AM$1,"事業所",$A73),"")</f>
        <v/>
      </c>
      <c r="AN91" s="1476" t="str">
        <f>IFERROR(GETPIVOTDATA("合計 / " &amp; $B91,【ピボット】事業所収支!$A$3,"年月",AN$1,"事業所",$A73),"")</f>
        <v/>
      </c>
      <c r="AO91" s="1476" t="str">
        <f>IFERROR(GETPIVOTDATA("合計 / " &amp; $B91,【ピボット】事業所収支!$A$3,"年月",AO$1,"事業所",$A73),"")</f>
        <v/>
      </c>
      <c r="AP91" s="1476" t="str">
        <f>IFERROR(GETPIVOTDATA("合計 / " &amp; $B91,【ピボット】事業所収支!$A$3,"年月",AP$1,"事業所",$A73),"")</f>
        <v/>
      </c>
      <c r="AQ91" s="1476" t="str">
        <f>IFERROR(GETPIVOTDATA("合計 / " &amp; $B91,【ピボット】事業所収支!$A$3,"年月",AQ$1,"事業所",$A73),"")</f>
        <v/>
      </c>
      <c r="AR91" s="1476" t="str">
        <f>IFERROR(GETPIVOTDATA("合計 / " &amp; $B91,【ピボット】事業所収支!$A$3,"年月",AR$1,"事業所",$A73),"")</f>
        <v/>
      </c>
    </row>
    <row r="92" spans="1:44" hidden="1" x14ac:dyDescent="0.15">
      <c r="A92" s="2063"/>
      <c r="B92" s="725" t="s">
        <v>890</v>
      </c>
      <c r="C92" s="720"/>
      <c r="D92" s="717"/>
      <c r="E92" s="717"/>
      <c r="F92" s="717"/>
      <c r="G92" s="717"/>
      <c r="H92" s="717"/>
      <c r="I92" s="717"/>
      <c r="J92" s="717"/>
      <c r="K92" s="717"/>
      <c r="L92" s="717"/>
      <c r="M92" s="717"/>
      <c r="N92" s="717"/>
      <c r="O92" s="717"/>
      <c r="P92" s="717"/>
      <c r="Q92" s="717"/>
      <c r="R92" s="717"/>
      <c r="S92" s="717"/>
      <c r="T92" s="717">
        <v>0</v>
      </c>
      <c r="U92" s="717">
        <v>0</v>
      </c>
      <c r="V92" s="717">
        <v>0</v>
      </c>
      <c r="W92" s="717">
        <v>0</v>
      </c>
      <c r="X92" s="717">
        <v>0</v>
      </c>
      <c r="Y92" s="717">
        <v>0</v>
      </c>
      <c r="Z92" s="717">
        <v>0</v>
      </c>
      <c r="AA92" s="717">
        <v>0</v>
      </c>
      <c r="AB92" s="717">
        <v>0</v>
      </c>
      <c r="AC92" s="717">
        <v>0</v>
      </c>
      <c r="AD92" s="717"/>
      <c r="AE92" s="717"/>
      <c r="AF92" s="717"/>
      <c r="AG92" s="717"/>
      <c r="AH92" s="717"/>
      <c r="AI92" s="717"/>
      <c r="AJ92" s="717"/>
      <c r="AK92" s="717"/>
      <c r="AL92" s="717"/>
      <c r="AM92" s="717"/>
      <c r="AN92" s="717"/>
      <c r="AO92" s="717"/>
      <c r="AP92" s="717"/>
      <c r="AQ92" s="717"/>
      <c r="AR92" s="717"/>
    </row>
    <row r="93" spans="1:44" hidden="1" x14ac:dyDescent="0.15">
      <c r="A93" s="2063"/>
      <c r="B93" s="725" t="s">
        <v>889</v>
      </c>
      <c r="C93" s="1478"/>
      <c r="D93" s="1479"/>
      <c r="E93" s="1479"/>
      <c r="F93" s="1479"/>
      <c r="G93" s="1479"/>
      <c r="H93" s="1479"/>
      <c r="I93" s="1479"/>
      <c r="J93" s="1479"/>
      <c r="K93" s="1479"/>
      <c r="L93" s="1479"/>
      <c r="M93" s="1479"/>
      <c r="N93" s="1479"/>
      <c r="O93" s="1479"/>
      <c r="P93" s="1479"/>
      <c r="Q93" s="1479"/>
      <c r="R93" s="1479"/>
      <c r="S93" s="1479"/>
      <c r="T93" s="1479">
        <f>IF(T91="","",SUMIFS(パート法定福利費処遇改善計算!$F:$F,パート法定福利費処遇改善計算!$A:$A,T$1,パート法定福利費処遇改善計算!$B:$B,$A73))</f>
        <v>0</v>
      </c>
      <c r="U93" s="1479">
        <f>IF(U91="","",SUMIFS(パート法定福利費処遇改善計算!$F:$F,パート法定福利費処遇改善計算!$A:$A,U$1,パート法定福利費処遇改善計算!$B:$B,$A73))</f>
        <v>0</v>
      </c>
      <c r="V93" s="1479">
        <f>IF(V91="","",SUMIFS(パート法定福利費処遇改善計算!$F:$F,パート法定福利費処遇改善計算!$A:$A,V$1,パート法定福利費処遇改善計算!$B:$B,$A73))</f>
        <v>0</v>
      </c>
      <c r="W93" s="1479">
        <f>IF(W91="","",SUMIFS(パート法定福利費処遇改善計算!$F:$F,パート法定福利費処遇改善計算!$A:$A,W$1,パート法定福利費処遇改善計算!$B:$B,$A73))</f>
        <v>0</v>
      </c>
      <c r="X93" s="1479">
        <f>IF(X91="","",SUMIFS(パート法定福利費処遇改善計算!$F:$F,パート法定福利費処遇改善計算!$A:$A,X$1,パート法定福利費処遇改善計算!$B:$B,$A73))</f>
        <v>0</v>
      </c>
      <c r="Y93" s="1479">
        <f>IF(Y91="","",SUMIFS(パート法定福利費処遇改善計算!$F:$F,パート法定福利費処遇改善計算!$A:$A,Y$1,パート法定福利費処遇改善計算!$B:$B,$A73))</f>
        <v>0</v>
      </c>
      <c r="Z93" s="1479">
        <f>IF(Z91="","",SUMIFS(パート法定福利費処遇改善計算!$F:$F,パート法定福利費処遇改善計算!$A:$A,Z$1,パート法定福利費処遇改善計算!$B:$B,$A73))</f>
        <v>0</v>
      </c>
      <c r="AA93" s="1479">
        <f>IF(AA91="","",SUMIFS(パート法定福利費処遇改善計算!$F:$F,パート法定福利費処遇改善計算!$A:$A,AA$1,パート法定福利費処遇改善計算!$B:$B,$A73))</f>
        <v>0</v>
      </c>
      <c r="AB93" s="1479">
        <f>IF(AB91="","",SUMIFS(パート法定福利費処遇改善計算!$F:$F,パート法定福利費処遇改善計算!$A:$A,AB$1,パート法定福利費処遇改善計算!$B:$B,$A73))</f>
        <v>0</v>
      </c>
      <c r="AC93" s="1479">
        <f>IF(AC91="","",SUMIFS(パート法定福利費処遇改善計算!$F:$F,パート法定福利費処遇改善計算!$A:$A,AC$1,パート法定福利費処遇改善計算!$B:$B,$A73))</f>
        <v>0</v>
      </c>
      <c r="AD93" s="1479">
        <f>IF(AD91="","",SUMIFS(パート法定福利費処遇改善計算!$F:$F,パート法定福利費処遇改善計算!$A:$A,AD$1,パート法定福利費処遇改善計算!$B:$B,$A73))</f>
        <v>0</v>
      </c>
      <c r="AE93" s="1479">
        <f>IF(AE91="","",SUMIFS(パート法定福利費処遇改善計算!$F:$F,パート法定福利費処遇改善計算!$A:$A,AE$1,パート法定福利費処遇改善計算!$B:$B,$A73))</f>
        <v>0</v>
      </c>
      <c r="AF93" s="1479" t="str">
        <f>IF(AF91="","",SUMIFS(パート法定福利費処遇改善計算!$F:$F,パート法定福利費処遇改善計算!$A:$A,AF$1,パート法定福利費処遇改善計算!$B:$B,$A73))</f>
        <v/>
      </c>
      <c r="AG93" s="1479" t="str">
        <f>IF(AG91="","",SUMIFS(パート法定福利費処遇改善計算!$F:$F,パート法定福利費処遇改善計算!$A:$A,AG$1,パート法定福利費処遇改善計算!$B:$B,$A73))</f>
        <v/>
      </c>
      <c r="AH93" s="1479" t="str">
        <f>IF(AH91="","",SUMIFS(パート法定福利費処遇改善計算!$F:$F,パート法定福利費処遇改善計算!$A:$A,AH$1,パート法定福利費処遇改善計算!$B:$B,$A73))</f>
        <v/>
      </c>
      <c r="AI93" s="1479" t="str">
        <f>IF(AI91="","",SUMIFS(パート法定福利費処遇改善計算!$F:$F,パート法定福利費処遇改善計算!$A:$A,AI$1,パート法定福利費処遇改善計算!$B:$B,$A73))</f>
        <v/>
      </c>
      <c r="AJ93" s="1479" t="str">
        <f>IF(AJ91="","",SUMIFS(パート法定福利費処遇改善計算!$F:$F,パート法定福利費処遇改善計算!$A:$A,AJ$1,パート法定福利費処遇改善計算!$B:$B,$A73))</f>
        <v/>
      </c>
      <c r="AK93" s="1479" t="str">
        <f>IF(AK91="","",SUMIFS(パート法定福利費処遇改善計算!$F:$F,パート法定福利費処遇改善計算!$A:$A,AK$1,パート法定福利費処遇改善計算!$B:$B,$A73))</f>
        <v/>
      </c>
      <c r="AL93" s="1479" t="str">
        <f>IF(AL91="","",SUMIFS(パート法定福利費処遇改善計算!$F:$F,パート法定福利費処遇改善計算!$A:$A,AL$1,パート法定福利費処遇改善計算!$B:$B,$A73))</f>
        <v/>
      </c>
      <c r="AM93" s="1479" t="str">
        <f>IF(AM91="","",SUMIFS(パート法定福利費処遇改善計算!$F:$F,パート法定福利費処遇改善計算!$A:$A,AM$1,パート法定福利費処遇改善計算!$B:$B,$A73))</f>
        <v/>
      </c>
      <c r="AN93" s="1479" t="str">
        <f>IF(AN91="","",SUMIFS(パート法定福利費処遇改善計算!$F:$F,パート法定福利費処遇改善計算!$A:$A,AN$1,パート法定福利費処遇改善計算!$B:$B,$A73))</f>
        <v/>
      </c>
      <c r="AO93" s="1479" t="str">
        <f>IF(AO91="","",SUMIFS(パート法定福利費処遇改善計算!$F:$F,パート法定福利費処遇改善計算!$A:$A,AO$1,パート法定福利費処遇改善計算!$B:$B,$A73))</f>
        <v/>
      </c>
      <c r="AP93" s="1479" t="str">
        <f>IF(AP91="","",SUMIFS(パート法定福利費処遇改善計算!$F:$F,パート法定福利費処遇改善計算!$A:$A,AP$1,パート法定福利費処遇改善計算!$B:$B,$A73))</f>
        <v/>
      </c>
      <c r="AQ93" s="1479" t="str">
        <f>IF(AQ91="","",SUMIFS(パート法定福利費処遇改善計算!$F:$F,パート法定福利費処遇改善計算!$A:$A,AQ$1,パート法定福利費処遇改善計算!$B:$B,$A73))</f>
        <v/>
      </c>
      <c r="AR93" s="1479" t="str">
        <f>IF(AR91="","",SUMIFS(パート法定福利費処遇改善計算!$F:$F,パート法定福利費処遇改善計算!$A:$A,AR$1,パート法定福利費処遇改善計算!$B:$B,$A73))</f>
        <v/>
      </c>
    </row>
    <row r="94" spans="1:44" hidden="1" x14ac:dyDescent="0.15">
      <c r="A94" s="2063"/>
      <c r="B94" s="725" t="s">
        <v>888</v>
      </c>
      <c r="C94" s="1478"/>
      <c r="D94" s="1479"/>
      <c r="E94" s="1479"/>
      <c r="F94" s="1479"/>
      <c r="G94" s="1479"/>
      <c r="H94" s="1479"/>
      <c r="I94" s="1479"/>
      <c r="J94" s="1479"/>
      <c r="K94" s="1479"/>
      <c r="L94" s="1479"/>
      <c r="M94" s="1479"/>
      <c r="N94" s="1479"/>
      <c r="O94" s="1479"/>
      <c r="P94" s="1479"/>
      <c r="Q94" s="1479"/>
      <c r="R94" s="1479"/>
      <c r="S94" s="1479"/>
      <c r="T94" s="1479" t="str">
        <f>IF(SUM(T91:T93)=0,"",SUM(T91:T93))</f>
        <v/>
      </c>
      <c r="U94" s="1479">
        <f t="shared" ref="U94:Z94" si="87">IF(SUM(U91:U93)=0,"",SUM(U91:U93))</f>
        <v>49610</v>
      </c>
      <c r="V94" s="1479">
        <f t="shared" si="87"/>
        <v>87952</v>
      </c>
      <c r="W94" s="1479">
        <f t="shared" si="87"/>
        <v>184245</v>
      </c>
      <c r="X94" s="1479">
        <f t="shared" si="87"/>
        <v>358716</v>
      </c>
      <c r="Y94" s="1479">
        <f t="shared" si="87"/>
        <v>411567</v>
      </c>
      <c r="Z94" s="1479">
        <f t="shared" si="87"/>
        <v>304379</v>
      </c>
      <c r="AA94" s="1479">
        <f t="shared" ref="AA94:AF94" si="88">IF(SUM(AA91:AA93)=0,"",SUM(AA91:AA93))</f>
        <v>285948</v>
      </c>
      <c r="AB94" s="1479">
        <f t="shared" si="88"/>
        <v>271753</v>
      </c>
      <c r="AC94" s="1479">
        <f t="shared" si="88"/>
        <v>228440</v>
      </c>
      <c r="AD94" s="1479" t="str">
        <f t="shared" si="88"/>
        <v/>
      </c>
      <c r="AE94" s="1479" t="str">
        <f t="shared" si="88"/>
        <v/>
      </c>
      <c r="AF94" s="1479" t="str">
        <f t="shared" si="88"/>
        <v/>
      </c>
      <c r="AG94" s="1479" t="str">
        <f t="shared" ref="AG94:AR94" si="89">IF(SUM(AG91:AG93)=0,"",SUM(AG91:AG93))</f>
        <v/>
      </c>
      <c r="AH94" s="1479" t="str">
        <f t="shared" si="89"/>
        <v/>
      </c>
      <c r="AI94" s="1479" t="str">
        <f t="shared" si="89"/>
        <v/>
      </c>
      <c r="AJ94" s="1479" t="str">
        <f t="shared" si="89"/>
        <v/>
      </c>
      <c r="AK94" s="1479" t="str">
        <f t="shared" si="89"/>
        <v/>
      </c>
      <c r="AL94" s="1479" t="str">
        <f t="shared" si="89"/>
        <v/>
      </c>
      <c r="AM94" s="1479" t="str">
        <f t="shared" si="89"/>
        <v/>
      </c>
      <c r="AN94" s="1479" t="str">
        <f t="shared" si="89"/>
        <v/>
      </c>
      <c r="AO94" s="1479" t="str">
        <f t="shared" si="89"/>
        <v/>
      </c>
      <c r="AP94" s="1479" t="str">
        <f t="shared" si="89"/>
        <v/>
      </c>
      <c r="AQ94" s="1479" t="str">
        <f t="shared" si="89"/>
        <v/>
      </c>
      <c r="AR94" s="1479" t="str">
        <f t="shared" si="89"/>
        <v/>
      </c>
    </row>
    <row r="95" spans="1:44" ht="19.5" hidden="1" thickBot="1" x14ac:dyDescent="0.2">
      <c r="A95" s="2064"/>
      <c r="B95" s="726" t="s">
        <v>887</v>
      </c>
      <c r="C95" s="1480"/>
      <c r="D95" s="1481"/>
      <c r="E95" s="1481"/>
      <c r="F95" s="1481"/>
      <c r="G95" s="1481"/>
      <c r="H95" s="1481"/>
      <c r="I95" s="1481"/>
      <c r="J95" s="1481"/>
      <c r="K95" s="1481"/>
      <c r="L95" s="1481"/>
      <c r="M95" s="1481"/>
      <c r="N95" s="1481"/>
      <c r="O95" s="1481"/>
      <c r="P95" s="1481"/>
      <c r="Q95" s="1481"/>
      <c r="R95" s="1481"/>
      <c r="S95" s="1481"/>
      <c r="T95" s="1481">
        <f t="shared" ref="T95:Z95" si="90">IF(SUM(T90,T94)=0,"",SUM(T90,T94))</f>
        <v>394863</v>
      </c>
      <c r="U95" s="1481">
        <f t="shared" si="90"/>
        <v>530708</v>
      </c>
      <c r="V95" s="1481">
        <f t="shared" si="90"/>
        <v>534698</v>
      </c>
      <c r="W95" s="1481">
        <f t="shared" si="90"/>
        <v>586291</v>
      </c>
      <c r="X95" s="1481">
        <f t="shared" si="90"/>
        <v>1097703</v>
      </c>
      <c r="Y95" s="1481">
        <f t="shared" si="90"/>
        <v>834332</v>
      </c>
      <c r="Z95" s="1481">
        <f t="shared" si="90"/>
        <v>657648</v>
      </c>
      <c r="AA95" s="1481">
        <f t="shared" ref="AA95:AF95" si="91">IF(SUM(AA90,AA94)=0,"",SUM(AA90,AA94))</f>
        <v>725203</v>
      </c>
      <c r="AB95" s="1481">
        <f t="shared" si="91"/>
        <v>643986</v>
      </c>
      <c r="AC95" s="1481">
        <f t="shared" si="91"/>
        <v>588032</v>
      </c>
      <c r="AD95" s="1481" t="str">
        <f t="shared" si="91"/>
        <v/>
      </c>
      <c r="AE95" s="1481" t="str">
        <f t="shared" si="91"/>
        <v/>
      </c>
      <c r="AF95" s="1481" t="str">
        <f t="shared" si="91"/>
        <v/>
      </c>
      <c r="AG95" s="1481" t="str">
        <f t="shared" ref="AG95:AR95" si="92">IF(SUM(AG90,AG94)=0,"",SUM(AG90,AG94))</f>
        <v/>
      </c>
      <c r="AH95" s="1481" t="str">
        <f t="shared" si="92"/>
        <v/>
      </c>
      <c r="AI95" s="1481" t="str">
        <f t="shared" si="92"/>
        <v/>
      </c>
      <c r="AJ95" s="1481" t="str">
        <f t="shared" si="92"/>
        <v/>
      </c>
      <c r="AK95" s="1481" t="str">
        <f t="shared" si="92"/>
        <v/>
      </c>
      <c r="AL95" s="1481" t="str">
        <f t="shared" si="92"/>
        <v/>
      </c>
      <c r="AM95" s="1481" t="str">
        <f t="shared" si="92"/>
        <v/>
      </c>
      <c r="AN95" s="1481" t="str">
        <f t="shared" si="92"/>
        <v/>
      </c>
      <c r="AO95" s="1481" t="str">
        <f t="shared" si="92"/>
        <v/>
      </c>
      <c r="AP95" s="1481" t="str">
        <f t="shared" si="92"/>
        <v/>
      </c>
      <c r="AQ95" s="1481" t="str">
        <f t="shared" si="92"/>
        <v/>
      </c>
      <c r="AR95" s="1481" t="str">
        <f t="shared" si="92"/>
        <v/>
      </c>
    </row>
    <row r="96" spans="1:44" ht="19.5" hidden="1" thickBot="1" x14ac:dyDescent="0.2">
      <c r="A96" s="727"/>
      <c r="B96" s="728"/>
      <c r="C96" s="728"/>
      <c r="D96" s="728"/>
      <c r="E96" s="728"/>
      <c r="F96" s="728"/>
      <c r="G96" s="728"/>
      <c r="H96" s="728"/>
      <c r="I96" s="728"/>
      <c r="J96" s="728"/>
      <c r="K96" s="728"/>
      <c r="L96" s="728"/>
      <c r="M96" s="728"/>
      <c r="N96" s="728"/>
      <c r="O96" s="728"/>
    </row>
    <row r="97" spans="1:44" ht="19.5" thickBot="1" x14ac:dyDescent="0.2">
      <c r="A97" s="2074" t="s">
        <v>1213</v>
      </c>
      <c r="B97" s="2070"/>
      <c r="C97" s="718">
        <v>42705</v>
      </c>
      <c r="D97" s="721">
        <f t="shared" ref="D97:AR97" si="93">EDATE(C97,1)</f>
        <v>42736</v>
      </c>
      <c r="E97" s="721">
        <f t="shared" si="93"/>
        <v>42767</v>
      </c>
      <c r="F97" s="721">
        <f t="shared" si="93"/>
        <v>42795</v>
      </c>
      <c r="G97" s="721">
        <f t="shared" si="93"/>
        <v>42826</v>
      </c>
      <c r="H97" s="721">
        <f t="shared" si="93"/>
        <v>42856</v>
      </c>
      <c r="I97" s="721">
        <f t="shared" si="93"/>
        <v>42887</v>
      </c>
      <c r="J97" s="721">
        <f t="shared" si="93"/>
        <v>42917</v>
      </c>
      <c r="K97" s="721">
        <f t="shared" si="93"/>
        <v>42948</v>
      </c>
      <c r="L97" s="721">
        <f t="shared" si="93"/>
        <v>42979</v>
      </c>
      <c r="M97" s="721">
        <f t="shared" si="93"/>
        <v>43009</v>
      </c>
      <c r="N97" s="721">
        <f t="shared" si="93"/>
        <v>43040</v>
      </c>
      <c r="O97" s="721">
        <f t="shared" si="93"/>
        <v>43070</v>
      </c>
      <c r="P97" s="721">
        <f t="shared" si="93"/>
        <v>43101</v>
      </c>
      <c r="Q97" s="721">
        <f t="shared" si="93"/>
        <v>43132</v>
      </c>
      <c r="R97" s="721">
        <f t="shared" si="93"/>
        <v>43160</v>
      </c>
      <c r="S97" s="721">
        <f t="shared" si="93"/>
        <v>43191</v>
      </c>
      <c r="T97" s="721">
        <f t="shared" si="93"/>
        <v>43221</v>
      </c>
      <c r="U97" s="721">
        <f t="shared" si="93"/>
        <v>43252</v>
      </c>
      <c r="V97" s="721">
        <f t="shared" si="93"/>
        <v>43282</v>
      </c>
      <c r="W97" s="721">
        <f t="shared" si="93"/>
        <v>43313</v>
      </c>
      <c r="X97" s="721">
        <f t="shared" si="93"/>
        <v>43344</v>
      </c>
      <c r="Y97" s="721">
        <f t="shared" si="93"/>
        <v>43374</v>
      </c>
      <c r="Z97" s="721">
        <f t="shared" si="93"/>
        <v>43405</v>
      </c>
      <c r="AA97" s="721">
        <f t="shared" si="93"/>
        <v>43435</v>
      </c>
      <c r="AB97" s="721">
        <f t="shared" si="93"/>
        <v>43466</v>
      </c>
      <c r="AC97" s="721">
        <f t="shared" si="93"/>
        <v>43497</v>
      </c>
      <c r="AD97" s="721">
        <f t="shared" si="93"/>
        <v>43525</v>
      </c>
      <c r="AE97" s="721">
        <f t="shared" si="93"/>
        <v>43556</v>
      </c>
      <c r="AF97" s="721">
        <f t="shared" si="93"/>
        <v>43586</v>
      </c>
      <c r="AG97" s="721">
        <f t="shared" si="93"/>
        <v>43617</v>
      </c>
      <c r="AH97" s="721">
        <f t="shared" si="93"/>
        <v>43647</v>
      </c>
      <c r="AI97" s="721">
        <f t="shared" si="93"/>
        <v>43678</v>
      </c>
      <c r="AJ97" s="721">
        <f t="shared" si="93"/>
        <v>43709</v>
      </c>
      <c r="AK97" s="721">
        <f t="shared" si="93"/>
        <v>43739</v>
      </c>
      <c r="AL97" s="721">
        <f t="shared" si="93"/>
        <v>43770</v>
      </c>
      <c r="AM97" s="721">
        <f t="shared" si="93"/>
        <v>43800</v>
      </c>
      <c r="AN97" s="721">
        <f t="shared" si="93"/>
        <v>43831</v>
      </c>
      <c r="AO97" s="721">
        <f t="shared" si="93"/>
        <v>43862</v>
      </c>
      <c r="AP97" s="721">
        <f t="shared" si="93"/>
        <v>43891</v>
      </c>
      <c r="AQ97" s="721">
        <f t="shared" si="93"/>
        <v>43922</v>
      </c>
      <c r="AR97" s="721">
        <f t="shared" si="93"/>
        <v>43952</v>
      </c>
    </row>
    <row r="98" spans="1:44" x14ac:dyDescent="0.15">
      <c r="A98" s="2071" t="s">
        <v>906</v>
      </c>
      <c r="B98" s="734" t="s">
        <v>909</v>
      </c>
      <c r="C98" s="738"/>
      <c r="D98" s="739"/>
      <c r="E98" s="739"/>
      <c r="F98" s="739"/>
      <c r="G98" s="739"/>
      <c r="H98" s="739"/>
      <c r="I98" s="739"/>
      <c r="J98" s="739"/>
      <c r="K98" s="739"/>
      <c r="L98" s="739"/>
      <c r="M98" s="739"/>
      <c r="N98" s="739"/>
      <c r="O98" s="739"/>
      <c r="P98" s="739"/>
      <c r="Q98" s="739"/>
      <c r="R98" s="739"/>
      <c r="S98" s="739"/>
      <c r="T98" s="739"/>
      <c r="U98" s="739"/>
      <c r="V98" s="739"/>
      <c r="W98" s="739"/>
      <c r="X98" s="739"/>
      <c r="Y98" s="739">
        <v>1</v>
      </c>
      <c r="Z98" s="739">
        <v>1</v>
      </c>
      <c r="AA98" s="739">
        <v>1</v>
      </c>
      <c r="AB98" s="739">
        <v>1</v>
      </c>
      <c r="AC98" s="739">
        <v>2</v>
      </c>
      <c r="AD98" s="739">
        <v>2</v>
      </c>
      <c r="AE98" s="739">
        <v>2</v>
      </c>
      <c r="AF98" s="739"/>
      <c r="AG98" s="739"/>
      <c r="AH98" s="739"/>
      <c r="AI98" s="739"/>
      <c r="AJ98" s="739"/>
      <c r="AK98" s="739"/>
      <c r="AL98" s="739"/>
      <c r="AM98" s="739"/>
      <c r="AN98" s="739"/>
      <c r="AO98" s="739"/>
      <c r="AP98" s="739"/>
      <c r="AQ98" s="739"/>
      <c r="AR98" s="739"/>
    </row>
    <row r="99" spans="1:44" x14ac:dyDescent="0.15">
      <c r="A99" s="2072"/>
      <c r="B99" s="735" t="s">
        <v>910</v>
      </c>
      <c r="C99" s="740"/>
      <c r="D99" s="741"/>
      <c r="E99" s="741"/>
      <c r="F99" s="741"/>
      <c r="G99" s="741"/>
      <c r="H99" s="741"/>
      <c r="I99" s="741"/>
      <c r="J99" s="741"/>
      <c r="K99" s="741"/>
      <c r="L99" s="741"/>
      <c r="M99" s="741"/>
      <c r="N99" s="741"/>
      <c r="O99" s="741"/>
      <c r="P99" s="741"/>
      <c r="Q99" s="741"/>
      <c r="R99" s="741"/>
      <c r="S99" s="741"/>
      <c r="T99" s="741"/>
      <c r="U99" s="741"/>
      <c r="V99" s="741"/>
      <c r="W99" s="741"/>
      <c r="X99" s="741"/>
      <c r="Y99" s="741">
        <v>3</v>
      </c>
      <c r="Z99" s="741">
        <v>6</v>
      </c>
      <c r="AA99" s="741">
        <v>6</v>
      </c>
      <c r="AB99" s="741">
        <v>8</v>
      </c>
      <c r="AC99" s="741">
        <v>7</v>
      </c>
      <c r="AD99" s="741">
        <v>10</v>
      </c>
      <c r="AE99" s="741">
        <v>10</v>
      </c>
      <c r="AF99" s="741"/>
      <c r="AG99" s="741"/>
      <c r="AH99" s="741"/>
      <c r="AI99" s="741"/>
      <c r="AJ99" s="741"/>
      <c r="AK99" s="741"/>
      <c r="AL99" s="741"/>
      <c r="AM99" s="741"/>
      <c r="AN99" s="741"/>
      <c r="AO99" s="741"/>
      <c r="AP99" s="741"/>
      <c r="AQ99" s="741"/>
      <c r="AR99" s="741"/>
    </row>
    <row r="100" spans="1:44" x14ac:dyDescent="0.15">
      <c r="A100" s="2072"/>
      <c r="B100" s="735" t="s">
        <v>96</v>
      </c>
      <c r="C100" s="1470"/>
      <c r="D100" s="1470"/>
      <c r="E100" s="1470"/>
      <c r="F100" s="1470"/>
      <c r="G100" s="1470"/>
      <c r="H100" s="1470"/>
      <c r="I100" s="1470"/>
      <c r="J100" s="1470"/>
      <c r="K100" s="1470"/>
      <c r="L100" s="1470"/>
      <c r="M100" s="1470"/>
      <c r="N100" s="1470"/>
      <c r="O100" s="1470"/>
      <c r="P100" s="1470"/>
      <c r="Q100" s="1470"/>
      <c r="R100" s="1470"/>
      <c r="S100" s="1470"/>
      <c r="T100" s="1470" t="str">
        <f t="shared" ref="T100:Z100" si="94">IF(SUM(T98:T99)=0,"",SUM(T98:T99))</f>
        <v/>
      </c>
      <c r="U100" s="1470" t="str">
        <f t="shared" si="94"/>
        <v/>
      </c>
      <c r="V100" s="1470" t="str">
        <f t="shared" si="94"/>
        <v/>
      </c>
      <c r="W100" s="1470" t="str">
        <f t="shared" si="94"/>
        <v/>
      </c>
      <c r="X100" s="1470" t="str">
        <f t="shared" si="94"/>
        <v/>
      </c>
      <c r="Y100" s="1470">
        <f t="shared" si="94"/>
        <v>4</v>
      </c>
      <c r="Z100" s="1470">
        <f t="shared" si="94"/>
        <v>7</v>
      </c>
      <c r="AA100" s="1470">
        <f t="shared" ref="AA100:AR100" si="95">IF(SUM(AA98:AA99)=0,"",SUM(AA98:AA99))</f>
        <v>7</v>
      </c>
      <c r="AB100" s="1470">
        <f t="shared" si="95"/>
        <v>9</v>
      </c>
      <c r="AC100" s="1470">
        <f t="shared" si="95"/>
        <v>9</v>
      </c>
      <c r="AD100" s="1470">
        <f t="shared" si="95"/>
        <v>12</v>
      </c>
      <c r="AE100" s="1470">
        <f t="shared" si="95"/>
        <v>12</v>
      </c>
      <c r="AF100" s="1470" t="str">
        <f t="shared" si="95"/>
        <v/>
      </c>
      <c r="AG100" s="1470" t="str">
        <f t="shared" si="95"/>
        <v/>
      </c>
      <c r="AH100" s="1470" t="str">
        <f t="shared" si="95"/>
        <v/>
      </c>
      <c r="AI100" s="1470" t="str">
        <f t="shared" si="95"/>
        <v/>
      </c>
      <c r="AJ100" s="1470" t="str">
        <f t="shared" si="95"/>
        <v/>
      </c>
      <c r="AK100" s="1470" t="str">
        <f t="shared" si="95"/>
        <v/>
      </c>
      <c r="AL100" s="1470" t="str">
        <f t="shared" si="95"/>
        <v/>
      </c>
      <c r="AM100" s="1470" t="str">
        <f t="shared" si="95"/>
        <v/>
      </c>
      <c r="AN100" s="1470" t="str">
        <f t="shared" si="95"/>
        <v/>
      </c>
      <c r="AO100" s="1470" t="str">
        <f t="shared" si="95"/>
        <v/>
      </c>
      <c r="AP100" s="1470" t="str">
        <f t="shared" si="95"/>
        <v/>
      </c>
      <c r="AQ100" s="1470" t="str">
        <f t="shared" si="95"/>
        <v/>
      </c>
      <c r="AR100" s="1470" t="str">
        <f t="shared" si="95"/>
        <v/>
      </c>
    </row>
    <row r="101" spans="1:44" x14ac:dyDescent="0.15">
      <c r="A101" s="2073" t="s">
        <v>907</v>
      </c>
      <c r="B101" s="735" t="s">
        <v>911</v>
      </c>
      <c r="C101" s="736"/>
      <c r="D101" s="737"/>
      <c r="E101" s="737"/>
      <c r="F101" s="737"/>
      <c r="G101" s="737"/>
      <c r="H101" s="737"/>
      <c r="I101" s="737"/>
      <c r="J101" s="737"/>
      <c r="K101" s="737"/>
      <c r="L101" s="737"/>
      <c r="M101" s="737"/>
      <c r="N101" s="737"/>
      <c r="O101" s="737"/>
      <c r="P101" s="737"/>
      <c r="Q101" s="737"/>
      <c r="R101" s="737"/>
      <c r="S101" s="737"/>
      <c r="T101" s="737"/>
      <c r="U101" s="737"/>
      <c r="V101" s="737"/>
      <c r="W101" s="737"/>
      <c r="X101" s="737"/>
      <c r="Y101" s="737">
        <v>2.4965277777777777</v>
      </c>
      <c r="Z101" s="737">
        <v>4.0902777777777777</v>
      </c>
      <c r="AA101" s="737">
        <v>3.96875</v>
      </c>
      <c r="AB101" s="737">
        <v>4.104166666666667</v>
      </c>
      <c r="AC101" s="737">
        <v>5.020833333333333</v>
      </c>
      <c r="AD101" s="737">
        <v>8.2048611111111107</v>
      </c>
      <c r="AE101" s="737">
        <v>9.4201388888888893</v>
      </c>
      <c r="AF101" s="737"/>
      <c r="AG101" s="737"/>
      <c r="AH101" s="737"/>
      <c r="AI101" s="737"/>
      <c r="AJ101" s="737"/>
      <c r="AK101" s="737"/>
      <c r="AL101" s="737"/>
      <c r="AM101" s="737"/>
      <c r="AN101" s="737"/>
      <c r="AO101" s="737"/>
      <c r="AP101" s="737"/>
      <c r="AQ101" s="737"/>
      <c r="AR101" s="737"/>
    </row>
    <row r="102" spans="1:44" x14ac:dyDescent="0.15">
      <c r="A102" s="2072"/>
      <c r="B102" s="735" t="s">
        <v>912</v>
      </c>
      <c r="C102" s="736"/>
      <c r="D102" s="737"/>
      <c r="E102" s="737"/>
      <c r="F102" s="737"/>
      <c r="G102" s="737"/>
      <c r="H102" s="737"/>
      <c r="I102" s="737"/>
      <c r="J102" s="737"/>
      <c r="K102" s="737"/>
      <c r="L102" s="737"/>
      <c r="M102" s="737"/>
      <c r="N102" s="737"/>
      <c r="O102" s="737"/>
      <c r="P102" s="737"/>
      <c r="Q102" s="737"/>
      <c r="R102" s="737"/>
      <c r="S102" s="737"/>
      <c r="T102" s="737"/>
      <c r="U102" s="737"/>
      <c r="V102" s="737"/>
      <c r="W102" s="737"/>
      <c r="X102" s="737"/>
      <c r="Y102" s="737">
        <v>0.81944444444444453</v>
      </c>
      <c r="Z102" s="737">
        <v>2.1875</v>
      </c>
      <c r="AA102" s="737">
        <v>3.8125</v>
      </c>
      <c r="AB102" s="737">
        <v>2.15625</v>
      </c>
      <c r="AC102" s="737">
        <v>1.7152777777777777</v>
      </c>
      <c r="AD102" s="737">
        <v>8.2395833333333339</v>
      </c>
      <c r="AE102" s="737">
        <v>9.1840277777777768</v>
      </c>
      <c r="AF102" s="737"/>
      <c r="AG102" s="737"/>
      <c r="AH102" s="737"/>
      <c r="AI102" s="737"/>
      <c r="AJ102" s="737"/>
      <c r="AK102" s="737"/>
      <c r="AL102" s="737"/>
      <c r="AM102" s="737"/>
      <c r="AN102" s="737"/>
      <c r="AO102" s="737"/>
      <c r="AP102" s="737"/>
      <c r="AQ102" s="737"/>
      <c r="AR102" s="737"/>
    </row>
    <row r="103" spans="1:44" x14ac:dyDescent="0.15">
      <c r="A103" s="2072"/>
      <c r="B103" s="735" t="s">
        <v>96</v>
      </c>
      <c r="C103" s="1471"/>
      <c r="D103" s="1471"/>
      <c r="E103" s="1471"/>
      <c r="F103" s="1471"/>
      <c r="G103" s="1471"/>
      <c r="H103" s="1471"/>
      <c r="I103" s="1471"/>
      <c r="J103" s="1471"/>
      <c r="K103" s="1471"/>
      <c r="L103" s="1471"/>
      <c r="M103" s="1471"/>
      <c r="N103" s="1471"/>
      <c r="O103" s="1471"/>
      <c r="P103" s="1471"/>
      <c r="Q103" s="1471"/>
      <c r="R103" s="1471"/>
      <c r="S103" s="1471"/>
      <c r="T103" s="1471" t="str">
        <f t="shared" ref="T103:AR103" si="96">IF(SUM(T101:T102)=0,"",SUM(T101:T102))</f>
        <v/>
      </c>
      <c r="U103" s="1471" t="str">
        <f t="shared" si="96"/>
        <v/>
      </c>
      <c r="V103" s="1471" t="str">
        <f t="shared" si="96"/>
        <v/>
      </c>
      <c r="W103" s="1471" t="str">
        <f t="shared" si="96"/>
        <v/>
      </c>
      <c r="X103" s="1471" t="str">
        <f t="shared" si="96"/>
        <v/>
      </c>
      <c r="Y103" s="1471">
        <f t="shared" si="96"/>
        <v>3.3159722222222223</v>
      </c>
      <c r="Z103" s="1471">
        <f t="shared" si="96"/>
        <v>6.2777777777777777</v>
      </c>
      <c r="AA103" s="1471">
        <f t="shared" si="96"/>
        <v>7.78125</v>
      </c>
      <c r="AB103" s="1471">
        <f t="shared" si="96"/>
        <v>6.260416666666667</v>
      </c>
      <c r="AC103" s="1471">
        <f t="shared" si="96"/>
        <v>6.7361111111111107</v>
      </c>
      <c r="AD103" s="1471">
        <f t="shared" si="96"/>
        <v>16.444444444444443</v>
      </c>
      <c r="AE103" s="1471">
        <f t="shared" si="96"/>
        <v>18.604166666666664</v>
      </c>
      <c r="AF103" s="1471" t="str">
        <f t="shared" si="96"/>
        <v/>
      </c>
      <c r="AG103" s="1471" t="str">
        <f t="shared" si="96"/>
        <v/>
      </c>
      <c r="AH103" s="1471" t="str">
        <f t="shared" si="96"/>
        <v/>
      </c>
      <c r="AI103" s="1471" t="str">
        <f t="shared" si="96"/>
        <v/>
      </c>
      <c r="AJ103" s="1471" t="str">
        <f t="shared" si="96"/>
        <v/>
      </c>
      <c r="AK103" s="1471" t="str">
        <f t="shared" si="96"/>
        <v/>
      </c>
      <c r="AL103" s="1471" t="str">
        <f t="shared" si="96"/>
        <v/>
      </c>
      <c r="AM103" s="1471" t="str">
        <f t="shared" si="96"/>
        <v/>
      </c>
      <c r="AN103" s="1471" t="str">
        <f t="shared" si="96"/>
        <v/>
      </c>
      <c r="AO103" s="1471" t="str">
        <f t="shared" si="96"/>
        <v/>
      </c>
      <c r="AP103" s="1471" t="str">
        <f t="shared" si="96"/>
        <v/>
      </c>
      <c r="AQ103" s="1471" t="str">
        <f t="shared" si="96"/>
        <v/>
      </c>
      <c r="AR103" s="1471" t="str">
        <f t="shared" si="96"/>
        <v/>
      </c>
    </row>
    <row r="104" spans="1:44" x14ac:dyDescent="0.15">
      <c r="A104" s="2065" t="s">
        <v>898</v>
      </c>
      <c r="B104" s="723" t="s">
        <v>899</v>
      </c>
      <c r="C104" s="719"/>
      <c r="D104" s="715"/>
      <c r="E104" s="716"/>
      <c r="F104" s="716"/>
      <c r="G104" s="716"/>
      <c r="H104" s="716"/>
      <c r="I104" s="716"/>
      <c r="J104" s="716"/>
      <c r="K104" s="716"/>
      <c r="L104" s="716"/>
      <c r="M104" s="716"/>
      <c r="N104" s="716"/>
      <c r="O104" s="716"/>
      <c r="P104" s="716"/>
      <c r="Q104" s="716"/>
      <c r="R104" s="716"/>
      <c r="S104" s="716"/>
      <c r="T104" s="716"/>
      <c r="U104" s="716"/>
      <c r="V104" s="716"/>
      <c r="W104" s="716"/>
      <c r="X104" s="716"/>
      <c r="Y104" s="716">
        <v>23684</v>
      </c>
      <c r="Z104" s="716">
        <v>26739</v>
      </c>
      <c r="AA104" s="716">
        <v>20937</v>
      </c>
      <c r="AB104" s="716">
        <v>27970</v>
      </c>
      <c r="AC104" s="716">
        <v>31321</v>
      </c>
      <c r="AD104" s="716">
        <v>55845</v>
      </c>
      <c r="AE104" s="716">
        <v>71169</v>
      </c>
      <c r="AF104" s="716"/>
      <c r="AG104" s="716"/>
      <c r="AH104" s="716"/>
      <c r="AI104" s="716"/>
      <c r="AJ104" s="716"/>
      <c r="AK104" s="716"/>
      <c r="AL104" s="716"/>
      <c r="AM104" s="716"/>
      <c r="AN104" s="716"/>
      <c r="AO104" s="716"/>
      <c r="AP104" s="716"/>
      <c r="AQ104" s="716"/>
      <c r="AR104" s="716"/>
    </row>
    <row r="105" spans="1:44" x14ac:dyDescent="0.15">
      <c r="A105" s="2065"/>
      <c r="B105" s="723" t="s">
        <v>902</v>
      </c>
      <c r="C105" s="730"/>
      <c r="D105" s="731"/>
      <c r="E105" s="732"/>
      <c r="F105" s="732"/>
      <c r="G105" s="732"/>
      <c r="H105" s="732"/>
      <c r="I105" s="732"/>
      <c r="J105" s="732"/>
      <c r="K105" s="732"/>
      <c r="L105" s="732"/>
      <c r="M105" s="732"/>
      <c r="N105" s="732"/>
      <c r="O105" s="732"/>
      <c r="P105" s="732"/>
      <c r="Q105" s="732"/>
      <c r="R105" s="732"/>
      <c r="S105" s="732"/>
      <c r="T105" s="732"/>
      <c r="U105" s="732"/>
      <c r="V105" s="732"/>
      <c r="W105" s="732"/>
      <c r="X105" s="732"/>
      <c r="Y105" s="732">
        <v>11.05</v>
      </c>
      <c r="Z105" s="732">
        <v>11.05</v>
      </c>
      <c r="AA105" s="732">
        <v>11.05</v>
      </c>
      <c r="AB105" s="732">
        <v>11.05</v>
      </c>
      <c r="AC105" s="732">
        <v>11.05</v>
      </c>
      <c r="AD105" s="732">
        <v>11.05</v>
      </c>
      <c r="AE105" s="732">
        <v>11.05</v>
      </c>
      <c r="AF105" s="732">
        <v>11.05</v>
      </c>
      <c r="AG105" s="732">
        <v>11.05</v>
      </c>
      <c r="AH105" s="732">
        <v>11.05</v>
      </c>
      <c r="AI105" s="732">
        <v>11.05</v>
      </c>
      <c r="AJ105" s="732">
        <v>11.05</v>
      </c>
      <c r="AK105" s="732">
        <v>11.05</v>
      </c>
      <c r="AL105" s="732">
        <v>11.05</v>
      </c>
      <c r="AM105" s="732">
        <v>11.05</v>
      </c>
      <c r="AN105" s="732">
        <v>11.05</v>
      </c>
      <c r="AO105" s="732">
        <v>11.05</v>
      </c>
      <c r="AP105" s="732">
        <v>11.05</v>
      </c>
      <c r="AQ105" s="732">
        <v>11.05</v>
      </c>
      <c r="AR105" s="732">
        <v>11.05</v>
      </c>
    </row>
    <row r="106" spans="1:44" x14ac:dyDescent="0.15">
      <c r="A106" s="2065"/>
      <c r="B106" s="723" t="s">
        <v>900</v>
      </c>
      <c r="C106" s="1472"/>
      <c r="D106" s="1473"/>
      <c r="E106" s="1474"/>
      <c r="F106" s="1474"/>
      <c r="G106" s="1474"/>
      <c r="H106" s="1474"/>
      <c r="I106" s="1474"/>
      <c r="J106" s="1474"/>
      <c r="K106" s="1474"/>
      <c r="L106" s="1474"/>
      <c r="M106" s="1474"/>
      <c r="N106" s="1474"/>
      <c r="O106" s="1474"/>
      <c r="P106" s="1474"/>
      <c r="Q106" s="1474"/>
      <c r="R106" s="1474"/>
      <c r="S106" s="1474"/>
      <c r="T106" s="1474" t="str">
        <f t="shared" ref="T106:AR106" si="97">IF(T104="","",ROUNDDOWN(T104*T105,0))</f>
        <v/>
      </c>
      <c r="U106" s="1474" t="str">
        <f t="shared" si="97"/>
        <v/>
      </c>
      <c r="V106" s="1474" t="str">
        <f t="shared" si="97"/>
        <v/>
      </c>
      <c r="W106" s="1474" t="str">
        <f t="shared" si="97"/>
        <v/>
      </c>
      <c r="X106" s="1474" t="str">
        <f t="shared" si="97"/>
        <v/>
      </c>
      <c r="Y106" s="1474">
        <f t="shared" si="97"/>
        <v>261708</v>
      </c>
      <c r="Z106" s="1474">
        <f t="shared" si="97"/>
        <v>295465</v>
      </c>
      <c r="AA106" s="1474">
        <f t="shared" si="97"/>
        <v>231353</v>
      </c>
      <c r="AB106" s="1474">
        <f t="shared" si="97"/>
        <v>309068</v>
      </c>
      <c r="AC106" s="1474">
        <f t="shared" si="97"/>
        <v>346097</v>
      </c>
      <c r="AD106" s="1474">
        <f t="shared" si="97"/>
        <v>617087</v>
      </c>
      <c r="AE106" s="1474">
        <f t="shared" si="97"/>
        <v>786417</v>
      </c>
      <c r="AF106" s="1474" t="str">
        <f t="shared" si="97"/>
        <v/>
      </c>
      <c r="AG106" s="1474" t="str">
        <f t="shared" si="97"/>
        <v/>
      </c>
      <c r="AH106" s="1474" t="str">
        <f t="shared" si="97"/>
        <v/>
      </c>
      <c r="AI106" s="1474" t="str">
        <f t="shared" si="97"/>
        <v/>
      </c>
      <c r="AJ106" s="1474" t="str">
        <f t="shared" si="97"/>
        <v/>
      </c>
      <c r="AK106" s="1474" t="str">
        <f t="shared" si="97"/>
        <v/>
      </c>
      <c r="AL106" s="1474" t="str">
        <f t="shared" si="97"/>
        <v/>
      </c>
      <c r="AM106" s="1474" t="str">
        <f t="shared" si="97"/>
        <v/>
      </c>
      <c r="AN106" s="1474" t="str">
        <f t="shared" si="97"/>
        <v/>
      </c>
      <c r="AO106" s="1474" t="str">
        <f t="shared" si="97"/>
        <v/>
      </c>
      <c r="AP106" s="1474" t="str">
        <f t="shared" si="97"/>
        <v/>
      </c>
      <c r="AQ106" s="1474" t="str">
        <f t="shared" si="97"/>
        <v/>
      </c>
      <c r="AR106" s="1474" t="str">
        <f t="shared" si="97"/>
        <v/>
      </c>
    </row>
    <row r="107" spans="1:44" x14ac:dyDescent="0.15">
      <c r="A107" s="2062"/>
      <c r="B107" s="724" t="s">
        <v>901</v>
      </c>
      <c r="C107" s="1475"/>
      <c r="D107" s="1476"/>
      <c r="E107" s="1477"/>
      <c r="F107" s="1477"/>
      <c r="G107" s="1477"/>
      <c r="H107" s="1477"/>
      <c r="I107" s="1477"/>
      <c r="J107" s="1477"/>
      <c r="K107" s="1477"/>
      <c r="L107" s="1477"/>
      <c r="M107" s="1477"/>
      <c r="N107" s="1477"/>
      <c r="O107" s="1477"/>
      <c r="P107" s="1477"/>
      <c r="Q107" s="1477"/>
      <c r="R107" s="1477"/>
      <c r="S107" s="1477"/>
      <c r="T107" s="1477" t="str">
        <f>IFERROR(GETPIVOTDATA("合計 / 請求",【ピボット】国保連売上!$A$3,"年月",T97,"事業所",$A97,"請求区分","単月")-T106,"")</f>
        <v/>
      </c>
      <c r="U107" s="1477" t="str">
        <f>IFERROR(GETPIVOTDATA("合計 / 請求",【ピボット】国保連売上!$A$3,"年月",U97,"事業所",$A97,"請求区分","単月")-U106,"")</f>
        <v/>
      </c>
      <c r="V107" s="1477" t="str">
        <f>IFERROR(GETPIVOTDATA("合計 / 請求",【ピボット】国保連売上!$A$3,"年月",V97,"事業所",$A97,"請求区分","単月")-V106,"")</f>
        <v/>
      </c>
      <c r="W107" s="1477" t="str">
        <f>IFERROR(GETPIVOTDATA("合計 / 請求",【ピボット】国保連売上!$A$3,"年月",W97,"事業所",$A97,"請求区分","単月")-W106,"")</f>
        <v/>
      </c>
      <c r="X107" s="1477" t="str">
        <f>IFERROR(GETPIVOTDATA("合計 / 請求",【ピボット】国保連売上!$A$3,"年月",X97,"事業所",$A97,"請求区分","単月")-X106,"")</f>
        <v/>
      </c>
      <c r="Y107" s="1477">
        <f>IFERROR(GETPIVOTDATA("合計 / 請求",【ピボット】国保連売上!$A$3,"年月",Y97,"事業所",$A97,"請求区分","単月")-Y106,"")</f>
        <v>17482</v>
      </c>
      <c r="Z107" s="1477">
        <f>IFERROR(GETPIVOTDATA("合計 / 請求",【ピボット】国保連売上!$A$3,"年月",Z97,"事業所",$A97,"請求区分","単月")-Z106,"")</f>
        <v>147561</v>
      </c>
      <c r="AA107" s="1477">
        <f>IFERROR(GETPIVOTDATA("合計 / 請求",【ピボット】国保連売上!$A$3,"年月",AA97,"事業所",$A97,"請求区分","単月")-AA106,"")</f>
        <v>325180</v>
      </c>
      <c r="AB107" s="1477">
        <f>IFERROR(GETPIVOTDATA("合計 / 請求",【ピボット】国保連売上!$A$3,"年月",AB97,"事業所",$A97,"請求区分","単月")-AB106,"")</f>
        <v>484430</v>
      </c>
      <c r="AC107" s="1477">
        <f>IFERROR(GETPIVOTDATA("合計 / 請求",【ピボット】国保連売上!$A$3,"年月",AC97,"事業所",$A97,"請求区分","単月")-AC106,"")</f>
        <v>628715</v>
      </c>
      <c r="AD107" s="1477">
        <f>IFERROR(GETPIVOTDATA("合計 / 請求",【ピボット】国保連売上!$A$3,"年月",AD97,"事業所",$A97,"請求区分","単月")-AD106,"")</f>
        <v>795360</v>
      </c>
      <c r="AE107" s="1477">
        <f>IFERROR(GETPIVOTDATA("合計 / 請求",【ピボット】国保連売上!$A$3,"年月",AE97,"事業所",$A97,"請求区分","単月")-AE106,"")</f>
        <v>1013102</v>
      </c>
      <c r="AF107" s="1477" t="str">
        <f>IFERROR(GETPIVOTDATA("合計 / 請求",【ピボット】国保連売上!$A$3,"年月",AF97,"事業所",$A97,"請求区分","単月")-AF106,"")</f>
        <v/>
      </c>
      <c r="AG107" s="1477" t="str">
        <f>IFERROR(GETPIVOTDATA("合計 / 請求",【ピボット】国保連売上!$A$3,"年月",AG97,"事業所",$A97,"請求区分","単月")-AG106,"")</f>
        <v/>
      </c>
      <c r="AH107" s="1477" t="str">
        <f>IFERROR(GETPIVOTDATA("合計 / 請求",【ピボット】国保連売上!$A$3,"年月",AH97,"事業所",$A97,"請求区分","単月")-AH106,"")</f>
        <v/>
      </c>
      <c r="AI107" s="1477" t="str">
        <f>IFERROR(GETPIVOTDATA("合計 / 請求",【ピボット】国保連売上!$A$3,"年月",AI97,"事業所",$A97,"請求区分","単月")-AI106,"")</f>
        <v/>
      </c>
      <c r="AJ107" s="1477" t="str">
        <f>IFERROR(GETPIVOTDATA("合計 / 請求",【ピボット】国保連売上!$A$3,"年月",AJ97,"事業所",$A97,"請求区分","単月")-AJ106,"")</f>
        <v/>
      </c>
      <c r="AK107" s="1477" t="str">
        <f>IFERROR(GETPIVOTDATA("合計 / 請求",【ピボット】国保連売上!$A$3,"年月",AK97,"事業所",$A97,"請求区分","単月")-AK106,"")</f>
        <v/>
      </c>
      <c r="AL107" s="1477" t="str">
        <f>IFERROR(GETPIVOTDATA("合計 / 請求",【ピボット】国保連売上!$A$3,"年月",AL97,"事業所",$A97,"請求区分","単月")-AL106,"")</f>
        <v/>
      </c>
      <c r="AM107" s="1477" t="str">
        <f>IFERROR(GETPIVOTDATA("合計 / 請求",【ピボット】国保連売上!$A$3,"年月",AM97,"事業所",$A97,"請求区分","単月")-AM106,"")</f>
        <v/>
      </c>
      <c r="AN107" s="1477" t="str">
        <f>IFERROR(GETPIVOTDATA("合計 / 請求",【ピボット】国保連売上!$A$3,"年月",AN97,"事業所",$A97,"請求区分","単月")-AN106,"")</f>
        <v/>
      </c>
      <c r="AO107" s="1477" t="str">
        <f>IFERROR(GETPIVOTDATA("合計 / 請求",【ピボット】国保連売上!$A$3,"年月",AO97,"事業所",$A97,"請求区分","単月")-AO106,"")</f>
        <v/>
      </c>
      <c r="AP107" s="1477" t="str">
        <f>IFERROR(GETPIVOTDATA("合計 / 請求",【ピボット】国保連売上!$A$3,"年月",AP97,"事業所",$A97,"請求区分","単月")-AP106,"")</f>
        <v/>
      </c>
      <c r="AQ107" s="1477" t="str">
        <f>IFERROR(GETPIVOTDATA("合計 / 請求",【ピボット】国保連売上!$A$3,"年月",AQ97,"事業所",$A97,"請求区分","単月")-AQ106,"")</f>
        <v/>
      </c>
      <c r="AR107" s="1477" t="str">
        <f>IFERROR(GETPIVOTDATA("合計 / 請求",【ピボット】国保連売上!$A$3,"年月",AR97,"事業所",$A97,"請求区分","単月")-AR106,"")</f>
        <v/>
      </c>
    </row>
    <row r="108" spans="1:44" x14ac:dyDescent="0.15">
      <c r="A108" s="2062"/>
      <c r="B108" s="724" t="s">
        <v>887</v>
      </c>
      <c r="C108" s="1475"/>
      <c r="D108" s="1476"/>
      <c r="E108" s="1477"/>
      <c r="F108" s="1477"/>
      <c r="G108" s="1477"/>
      <c r="H108" s="1477"/>
      <c r="I108" s="1477"/>
      <c r="J108" s="1477"/>
      <c r="K108" s="1477"/>
      <c r="L108" s="1477"/>
      <c r="M108" s="1477"/>
      <c r="N108" s="1477"/>
      <c r="O108" s="1477"/>
      <c r="P108" s="1477"/>
      <c r="Q108" s="1477"/>
      <c r="R108" s="1477"/>
      <c r="S108" s="1477"/>
      <c r="T108" s="1477" t="str">
        <f t="shared" ref="T108:Z108" si="98">IF(SUM(T106:T107)=0,"",SUM(T106:T107))</f>
        <v/>
      </c>
      <c r="U108" s="1477" t="str">
        <f t="shared" si="98"/>
        <v/>
      </c>
      <c r="V108" s="1477" t="str">
        <f t="shared" si="98"/>
        <v/>
      </c>
      <c r="W108" s="1477" t="str">
        <f t="shared" si="98"/>
        <v/>
      </c>
      <c r="X108" s="1477" t="str">
        <f t="shared" si="98"/>
        <v/>
      </c>
      <c r="Y108" s="1477">
        <f t="shared" si="98"/>
        <v>279190</v>
      </c>
      <c r="Z108" s="1477">
        <f t="shared" si="98"/>
        <v>443026</v>
      </c>
      <c r="AA108" s="1477">
        <f t="shared" ref="AA108:AR108" si="99">IF(SUM(AA106:AA107)=0,"",SUM(AA106:AA107))</f>
        <v>556533</v>
      </c>
      <c r="AB108" s="1477">
        <f t="shared" si="99"/>
        <v>793498</v>
      </c>
      <c r="AC108" s="1477">
        <f t="shared" si="99"/>
        <v>974812</v>
      </c>
      <c r="AD108" s="1477">
        <f t="shared" si="99"/>
        <v>1412447</v>
      </c>
      <c r="AE108" s="1477">
        <f t="shared" si="99"/>
        <v>1799519</v>
      </c>
      <c r="AF108" s="1477" t="str">
        <f t="shared" si="99"/>
        <v/>
      </c>
      <c r="AG108" s="1477" t="str">
        <f t="shared" si="99"/>
        <v/>
      </c>
      <c r="AH108" s="1477" t="str">
        <f t="shared" si="99"/>
        <v/>
      </c>
      <c r="AI108" s="1477" t="str">
        <f t="shared" si="99"/>
        <v/>
      </c>
      <c r="AJ108" s="1477" t="str">
        <f t="shared" si="99"/>
        <v/>
      </c>
      <c r="AK108" s="1477" t="str">
        <f t="shared" si="99"/>
        <v/>
      </c>
      <c r="AL108" s="1477" t="str">
        <f t="shared" si="99"/>
        <v/>
      </c>
      <c r="AM108" s="1477" t="str">
        <f t="shared" si="99"/>
        <v/>
      </c>
      <c r="AN108" s="1477" t="str">
        <f t="shared" si="99"/>
        <v/>
      </c>
      <c r="AO108" s="1477" t="str">
        <f t="shared" si="99"/>
        <v/>
      </c>
      <c r="AP108" s="1477" t="str">
        <f t="shared" si="99"/>
        <v/>
      </c>
      <c r="AQ108" s="1477" t="str">
        <f t="shared" si="99"/>
        <v/>
      </c>
      <c r="AR108" s="1477" t="str">
        <f t="shared" si="99"/>
        <v/>
      </c>
    </row>
    <row r="109" spans="1:44" ht="18.75" customHeight="1" x14ac:dyDescent="0.15">
      <c r="A109" s="2062" t="s">
        <v>897</v>
      </c>
      <c r="B109" s="724" t="s">
        <v>896</v>
      </c>
      <c r="C109" s="1475"/>
      <c r="D109" s="1476"/>
      <c r="E109" s="1477"/>
      <c r="F109" s="1477"/>
      <c r="G109" s="1477"/>
      <c r="H109" s="1477"/>
      <c r="I109" s="1477"/>
      <c r="J109" s="1477"/>
      <c r="K109" s="1477"/>
      <c r="L109" s="1477"/>
      <c r="M109" s="1477"/>
      <c r="N109" s="1477"/>
      <c r="O109" s="1477"/>
      <c r="P109" s="1477"/>
      <c r="Q109" s="1477"/>
      <c r="R109" s="1477"/>
      <c r="S109" s="1477"/>
      <c r="T109" s="1477" t="str">
        <f>IFERROR(GETPIVOTDATA("合計 / " &amp; $B109,【ピボット】事業所収支!$A$3,"年月",T$1,"事業所",$A97),"")</f>
        <v/>
      </c>
      <c r="U109" s="1477" t="str">
        <f>IFERROR(GETPIVOTDATA("合計 / " &amp; $B109,【ピボット】事業所収支!$A$3,"年月",U$1,"事業所",$A97),"")</f>
        <v/>
      </c>
      <c r="V109" s="1477">
        <f>IFERROR(GETPIVOTDATA("合計 / " &amp; $B109,【ピボット】事業所収支!$A$3,"年月",V$1,"事業所",$A97),"")</f>
        <v>0</v>
      </c>
      <c r="W109" s="1477">
        <f>IFERROR(GETPIVOTDATA("合計 / " &amp; $B109,【ピボット】事業所収支!$A$3,"年月",W$1,"事業所",$A97),"")</f>
        <v>0</v>
      </c>
      <c r="X109" s="1477">
        <f>IFERROR(GETPIVOTDATA("合計 / " &amp; $B109,【ピボット】事業所収支!$A$3,"年月",X$1,"事業所",$A97),"")</f>
        <v>0</v>
      </c>
      <c r="Y109" s="1477">
        <f>IFERROR(GETPIVOTDATA("合計 / " &amp; $B109,【ピボット】事業所収支!$A$3,"年月",Y$1,"事業所",$A97),"")</f>
        <v>355817</v>
      </c>
      <c r="Z109" s="1477">
        <f>IFERROR(GETPIVOTDATA("合計 / " &amp; $B109,【ピボット】事業所収支!$A$3,"年月",Z$1,"事業所",$A97),"")</f>
        <v>353125</v>
      </c>
      <c r="AA109" s="1477">
        <f>IFERROR(GETPIVOTDATA("合計 / " &amp; $B109,【ピボット】事業所収支!$A$3,"年月",AA$1,"事業所",$A97),"")</f>
        <v>361318</v>
      </c>
      <c r="AB109" s="1477">
        <f>IFERROR(GETPIVOTDATA("合計 / " &amp; $B109,【ピボット】事業所収支!$A$3,"年月",AB$1,"事業所",$A97),"")</f>
        <v>368671</v>
      </c>
      <c r="AC109" s="1477">
        <f>IFERROR(GETPIVOTDATA("合計 / " &amp; $B109,【ピボット】事業所収支!$A$3,"年月",AC$1,"事業所",$A97),"")</f>
        <v>362513</v>
      </c>
      <c r="AD109" s="1477">
        <f>IFERROR(GETPIVOTDATA("合計 / " &amp; $B109,【ピボット】事業所収支!$A$3,"年月",AD$1,"事業所",$A97),"")</f>
        <v>647173</v>
      </c>
      <c r="AE109" s="1477">
        <f>IFERROR(GETPIVOTDATA("合計 / " &amp; $B109,【ピボット】事業所収支!$A$3,"年月",AE$1,"事業所",$A97),"")</f>
        <v>637172</v>
      </c>
      <c r="AF109" s="1477" t="str">
        <f>IFERROR(GETPIVOTDATA("合計 / " &amp; $B109,【ピボット】事業所収支!$A$3,"年月",AF$1,"事業所",$A97),"")</f>
        <v/>
      </c>
      <c r="AG109" s="1477" t="str">
        <f>IFERROR(GETPIVOTDATA("合計 / " &amp; $B109,【ピボット】事業所収支!$A$3,"年月",AG$1,"事業所",$A97),"")</f>
        <v/>
      </c>
      <c r="AH109" s="1477" t="str">
        <f>IFERROR(GETPIVOTDATA("合計 / " &amp; $B109,【ピボット】事業所収支!$A$3,"年月",AH$1,"事業所",$A97),"")</f>
        <v/>
      </c>
      <c r="AI109" s="1477" t="str">
        <f>IFERROR(GETPIVOTDATA("合計 / " &amp; $B109,【ピボット】事業所収支!$A$3,"年月",AI$1,"事業所",$A97),"")</f>
        <v/>
      </c>
      <c r="AJ109" s="1477" t="str">
        <f>IFERROR(GETPIVOTDATA("合計 / " &amp; $B109,【ピボット】事業所収支!$A$3,"年月",AJ$1,"事業所",$A97),"")</f>
        <v/>
      </c>
      <c r="AK109" s="1477" t="str">
        <f>IFERROR(GETPIVOTDATA("合計 / " &amp; $B109,【ピボット】事業所収支!$A$3,"年月",AK$1,"事業所",$A97),"")</f>
        <v/>
      </c>
      <c r="AL109" s="1477" t="str">
        <f>IFERROR(GETPIVOTDATA("合計 / " &amp; $B109,【ピボット】事業所収支!$A$3,"年月",AL$1,"事業所",$A97),"")</f>
        <v/>
      </c>
      <c r="AM109" s="1477" t="str">
        <f>IFERROR(GETPIVOTDATA("合計 / " &amp; $B109,【ピボット】事業所収支!$A$3,"年月",AM$1,"事業所",$A97),"")</f>
        <v/>
      </c>
      <c r="AN109" s="1477" t="str">
        <f>IFERROR(GETPIVOTDATA("合計 / " &amp; $B109,【ピボット】事業所収支!$A$3,"年月",AN$1,"事業所",$A97),"")</f>
        <v/>
      </c>
      <c r="AO109" s="1477" t="str">
        <f>IFERROR(GETPIVOTDATA("合計 / " &amp; $B109,【ピボット】事業所収支!$A$3,"年月",AO$1,"事業所",$A97),"")</f>
        <v/>
      </c>
      <c r="AP109" s="1477" t="str">
        <f>IFERROR(GETPIVOTDATA("合計 / " &amp; $B109,【ピボット】事業所収支!$A$3,"年月",AP$1,"事業所",$A97),"")</f>
        <v/>
      </c>
      <c r="AQ109" s="1477" t="str">
        <f>IFERROR(GETPIVOTDATA("合計 / " &amp; $B109,【ピボット】事業所収支!$A$3,"年月",AQ$1,"事業所",$A97),"")</f>
        <v/>
      </c>
      <c r="AR109" s="1477" t="str">
        <f>IFERROR(GETPIVOTDATA("合計 / " &amp; $B109,【ピボット】事業所収支!$A$3,"年月",AR$1,"事業所",$A97),"")</f>
        <v/>
      </c>
    </row>
    <row r="110" spans="1:44" x14ac:dyDescent="0.15">
      <c r="A110" s="2062"/>
      <c r="B110" s="724" t="s">
        <v>895</v>
      </c>
      <c r="C110" s="1475"/>
      <c r="D110" s="1476"/>
      <c r="E110" s="1477"/>
      <c r="F110" s="1477"/>
      <c r="G110" s="1477"/>
      <c r="H110" s="1477"/>
      <c r="I110" s="1477"/>
      <c r="J110" s="1477"/>
      <c r="K110" s="1477"/>
      <c r="L110" s="1477"/>
      <c r="M110" s="1477"/>
      <c r="N110" s="1477"/>
      <c r="O110" s="1477"/>
      <c r="P110" s="1477"/>
      <c r="Q110" s="1477"/>
      <c r="R110" s="1477"/>
      <c r="S110" s="1477"/>
      <c r="T110" s="1477" t="str">
        <f>IFERROR(GETPIVOTDATA("合計 / " &amp; $B110,【ピボット】事業所収支!$A$3,"年月",T$1,"事業所",$A97)-T116,"")</f>
        <v/>
      </c>
      <c r="U110" s="1477">
        <v>0</v>
      </c>
      <c r="V110" s="1477">
        <f>IFERROR(GETPIVOTDATA("合計 / " &amp; $B110,【ピボット】事業所収支!$A$3,"年月",V$1,"事業所",$A97)-V116,"")</f>
        <v>0</v>
      </c>
      <c r="W110" s="1477">
        <f>IFERROR(GETPIVOTDATA("合計 / " &amp; $B110,【ピボット】事業所収支!$A$3,"年月",W$1,"事業所",$A97)-W116,"")</f>
        <v>0</v>
      </c>
      <c r="X110" s="1477">
        <f>IFERROR(GETPIVOTDATA("合計 / " &amp; $B110,【ピボット】事業所収支!$A$3,"年月",X$1,"事業所",$A97)-X116,"")</f>
        <v>0</v>
      </c>
      <c r="Y110" s="1477">
        <f>IFERROR(GETPIVOTDATA("合計 / " &amp; $B110,【ピボット】事業所収支!$A$3,"年月",Y$1,"事業所",$A97)-Y116,"")</f>
        <v>0</v>
      </c>
      <c r="Z110" s="1477">
        <f>IFERROR(GETPIVOTDATA("合計 / " &amp; $B110,【ピボット】事業所収支!$A$3,"年月",Z$1,"事業所",$A97)-Z116,"")</f>
        <v>0</v>
      </c>
      <c r="AA110" s="1477">
        <f>IFERROR(GETPIVOTDATA("合計 / " &amp; $B110,【ピボット】事業所収支!$A$3,"年月",AA$1,"事業所",$A97)-AA116,"")</f>
        <v>0</v>
      </c>
      <c r="AB110" s="1477">
        <f>IFERROR(GETPIVOTDATA("合計 / " &amp; $B110,【ピボット】事業所収支!$A$3,"年月",AB$1,"事業所",$A97)-AB116,"")</f>
        <v>0</v>
      </c>
      <c r="AC110" s="1477">
        <f>IFERROR(GETPIVOTDATA("合計 / " &amp; $B110,【ピボット】事業所収支!$A$3,"年月",AC$1,"事業所",$A97)-AC116,"")</f>
        <v>0</v>
      </c>
      <c r="AD110" s="1477">
        <f>IFERROR(GETPIVOTDATA("合計 / " &amp; $B110,【ピボット】事業所収支!$A$3,"年月",AD$1,"事業所",$A97)-AD116,"")</f>
        <v>0</v>
      </c>
      <c r="AE110" s="1477">
        <f>IFERROR(GETPIVOTDATA("合計 / " &amp; $B110,【ピボット】事業所収支!$A$3,"年月",AE$1,"事業所",$A97)-AE116,"")</f>
        <v>0</v>
      </c>
      <c r="AF110" s="1477" t="str">
        <f>IFERROR(GETPIVOTDATA("合計 / " &amp; $B110,【ピボット】事業所収支!$A$3,"年月",AF$1,"事業所",$A97)-AF116,"")</f>
        <v/>
      </c>
      <c r="AG110" s="1477" t="str">
        <f>IFERROR(GETPIVOTDATA("合計 / " &amp; $B110,【ピボット】事業所収支!$A$3,"年月",AG$1,"事業所",$A97)-AG116,"")</f>
        <v/>
      </c>
      <c r="AH110" s="1477" t="str">
        <f>IFERROR(GETPIVOTDATA("合計 / " &amp; $B110,【ピボット】事業所収支!$A$3,"年月",AH$1,"事業所",$A97)-AH116,"")</f>
        <v/>
      </c>
      <c r="AI110" s="1477" t="str">
        <f>IFERROR(GETPIVOTDATA("合計 / " &amp; $B110,【ピボット】事業所収支!$A$3,"年月",AI$1,"事業所",$A97)-AI116,"")</f>
        <v/>
      </c>
      <c r="AJ110" s="1477" t="str">
        <f>IFERROR(GETPIVOTDATA("合計 / " &amp; $B110,【ピボット】事業所収支!$A$3,"年月",AJ$1,"事業所",$A97)-AJ116,"")</f>
        <v/>
      </c>
      <c r="AK110" s="1477" t="str">
        <f>IFERROR(GETPIVOTDATA("合計 / " &amp; $B110,【ピボット】事業所収支!$A$3,"年月",AK$1,"事業所",$A97)-AK116,"")</f>
        <v/>
      </c>
      <c r="AL110" s="1477" t="str">
        <f>IFERROR(GETPIVOTDATA("合計 / " &amp; $B110,【ピボット】事業所収支!$A$3,"年月",AL$1,"事業所",$A97)-AL116,"")</f>
        <v/>
      </c>
      <c r="AM110" s="1477" t="str">
        <f>IFERROR(GETPIVOTDATA("合計 / " &amp; $B110,【ピボット】事業所収支!$A$3,"年月",AM$1,"事業所",$A97)-AM116,"")</f>
        <v/>
      </c>
      <c r="AN110" s="1477" t="str">
        <f>IFERROR(GETPIVOTDATA("合計 / " &amp; $B110,【ピボット】事業所収支!$A$3,"年月",AN$1,"事業所",$A97)-AN116,"")</f>
        <v/>
      </c>
      <c r="AO110" s="1477" t="str">
        <f>IFERROR(GETPIVOTDATA("合計 / " &amp; $B110,【ピボット】事業所収支!$A$3,"年月",AO$1,"事業所",$A97)-AO116,"")</f>
        <v/>
      </c>
      <c r="AP110" s="1477" t="str">
        <f>IFERROR(GETPIVOTDATA("合計 / " &amp; $B110,【ピボット】事業所収支!$A$3,"年月",AP$1,"事業所",$A97)-AP116,"")</f>
        <v/>
      </c>
      <c r="AQ110" s="1477" t="str">
        <f>IFERROR(GETPIVOTDATA("合計 / " &amp; $B110,【ピボット】事業所収支!$A$3,"年月",AQ$1,"事業所",$A97)-AQ116,"")</f>
        <v/>
      </c>
      <c r="AR110" s="1477" t="str">
        <f>IFERROR(GETPIVOTDATA("合計 / " &amp; $B110,【ピボット】事業所収支!$A$3,"年月",AR$1,"事業所",$A97)-AR116,"")</f>
        <v/>
      </c>
    </row>
    <row r="111" spans="1:44" x14ac:dyDescent="0.15">
      <c r="A111" s="2062"/>
      <c r="B111" s="724" t="s">
        <v>894</v>
      </c>
      <c r="C111" s="1475"/>
      <c r="D111" s="1476"/>
      <c r="E111" s="1477"/>
      <c r="F111" s="1477"/>
      <c r="G111" s="1477"/>
      <c r="H111" s="1477"/>
      <c r="I111" s="1477"/>
      <c r="J111" s="1477"/>
      <c r="K111" s="1477"/>
      <c r="L111" s="1477"/>
      <c r="M111" s="1477"/>
      <c r="N111" s="1477"/>
      <c r="O111" s="1477"/>
      <c r="P111" s="1477"/>
      <c r="Q111" s="1477"/>
      <c r="R111" s="1477"/>
      <c r="S111" s="1477"/>
      <c r="T111" s="1477" t="str">
        <f>IF(T109="","",ROUND(O110/6,0))</f>
        <v/>
      </c>
      <c r="U111" s="1477" t="str">
        <f>IF(U109="","",ROUND(U110/6,0))</f>
        <v/>
      </c>
      <c r="V111" s="1477">
        <f>IF(V109="","",ROUND(U110/6,0))</f>
        <v>0</v>
      </c>
      <c r="W111" s="1477">
        <f>IF(W109="","",ROUND(U110/6,0))</f>
        <v>0</v>
      </c>
      <c r="X111" s="1477">
        <f>IF(X109="","",ROUND(U110/6,0))</f>
        <v>0</v>
      </c>
      <c r="Y111" s="1477">
        <f>IF(Y109="","",ROUND(U110/6,0))</f>
        <v>0</v>
      </c>
      <c r="Z111" s="1477">
        <f>IF(Z109="","",ROUND(U110/6,0))</f>
        <v>0</v>
      </c>
      <c r="AA111" s="1477">
        <f>IF(AA109="","",ROUND(AA110/6,0))</f>
        <v>0</v>
      </c>
      <c r="AB111" s="1477">
        <f>IF(AB109="","",ROUND(AA110/6,0))</f>
        <v>0</v>
      </c>
      <c r="AC111" s="1477">
        <f>IF(AC109="","",ROUND(AA110/6,0))</f>
        <v>0</v>
      </c>
      <c r="AD111" s="1477">
        <f>IF(AD109="","",ROUND(AA110/6,0))</f>
        <v>0</v>
      </c>
      <c r="AE111" s="1477">
        <f>IF(AE109="","",ROUND(AA110/6,0))</f>
        <v>0</v>
      </c>
      <c r="AF111" s="1477" t="str">
        <f>IF(AF109="","",ROUND(AA110/6,0))</f>
        <v/>
      </c>
      <c r="AG111" s="1477" t="str">
        <f>IF(AG109="","",ROUND(AG110/6,0))</f>
        <v/>
      </c>
      <c r="AH111" s="1477" t="str">
        <f>IF(AH109="","",ROUND(AG110/6,0))</f>
        <v/>
      </c>
      <c r="AI111" s="1477" t="str">
        <f>IF(AI109="","",ROUND(AG110/6,0))</f>
        <v/>
      </c>
      <c r="AJ111" s="1477" t="str">
        <f>IF(AJ109="","",ROUND(AG110/6,0))</f>
        <v/>
      </c>
      <c r="AK111" s="1477" t="str">
        <f>IF(AK109="","",ROUND(AG110/6,0))</f>
        <v/>
      </c>
      <c r="AL111" s="1477" t="str">
        <f>IF(AL109="","",ROUND(AG110/6,0))</f>
        <v/>
      </c>
      <c r="AM111" s="1477" t="str">
        <f>IF(AM109="","",ROUND(AM110/6,0))</f>
        <v/>
      </c>
      <c r="AN111" s="1477" t="str">
        <f>IF(AN109="","",ROUND(AM110/6,0))</f>
        <v/>
      </c>
      <c r="AO111" s="1477" t="str">
        <f>IF(AO109="","",ROUND(AM110/6,0))</f>
        <v/>
      </c>
      <c r="AP111" s="1477" t="str">
        <f>IF(AP109="","",ROUND(AM110/6,0))</f>
        <v/>
      </c>
      <c r="AQ111" s="1477" t="str">
        <f>IF(AQ109="","",ROUND(AM110/6,0))</f>
        <v/>
      </c>
      <c r="AR111" s="1477" t="str">
        <f>IF(AR109="","",ROUND(AM110/6,0))</f>
        <v/>
      </c>
    </row>
    <row r="112" spans="1:44" ht="18.75" customHeight="1" x14ac:dyDescent="0.15">
      <c r="A112" s="2062"/>
      <c r="B112" s="724" t="s">
        <v>889</v>
      </c>
      <c r="C112" s="1475"/>
      <c r="D112" s="1476"/>
      <c r="E112" s="1476"/>
      <c r="F112" s="1476"/>
      <c r="G112" s="1476"/>
      <c r="H112" s="1476"/>
      <c r="I112" s="1476"/>
      <c r="J112" s="1476"/>
      <c r="K112" s="1476"/>
      <c r="L112" s="1476"/>
      <c r="M112" s="1476"/>
      <c r="N112" s="1476"/>
      <c r="O112" s="1476"/>
      <c r="P112" s="1476"/>
      <c r="Q112" s="1476"/>
      <c r="R112" s="1476"/>
      <c r="S112" s="1476"/>
      <c r="T112" s="1476" t="str">
        <f>IFERROR(GETPIVOTDATA("合計 / " &amp; $B112,【ピボット】事業所収支!$A$3,"年月",T$1,"事業所",$A97)-T117,"")</f>
        <v/>
      </c>
      <c r="U112" s="1476" t="str">
        <f>IFERROR(GETPIVOTDATA("合計 / " &amp; $B112,【ピボット】事業所収支!$A$3,"年月",U$1,"事業所",$A97)-U117,"")</f>
        <v/>
      </c>
      <c r="V112" s="1476">
        <f>IFERROR(GETPIVOTDATA("合計 / " &amp; $B112,【ピボット】事業所収支!$A$3,"年月",V$1,"事業所",$A97)-V117,"")</f>
        <v>0</v>
      </c>
      <c r="W112" s="1476">
        <f>IFERROR(GETPIVOTDATA("合計 / " &amp; $B112,【ピボット】事業所収支!$A$3,"年月",W$1,"事業所",$A97)-W117,"")</f>
        <v>0</v>
      </c>
      <c r="X112" s="1476">
        <f>IFERROR(GETPIVOTDATA("合計 / " &amp; $B112,【ピボット】事業所収支!$A$3,"年月",X$1,"事業所",$A97)-X117,"")</f>
        <v>56395</v>
      </c>
      <c r="Y112" s="1476">
        <f>IFERROR(GETPIVOTDATA("合計 / " &amp; $B112,【ピボット】事業所収支!$A$3,"年月",Y$1,"事業所",$A97)-Y117,"")</f>
        <v>48772</v>
      </c>
      <c r="Z112" s="1476">
        <f>IFERROR(GETPIVOTDATA("合計 / " &amp; $B112,【ピボット】事業所収支!$A$3,"年月",Z$1,"事業所",$A97)-Z117,"")</f>
        <v>40884</v>
      </c>
      <c r="AA112" s="1476">
        <f>IFERROR(GETPIVOTDATA("合計 / " &amp; $B112,【ピボット】事業所収支!$A$3,"年月",AA$1,"事業所",$A97)-AA117,"")</f>
        <v>46736</v>
      </c>
      <c r="AB112" s="1476">
        <f>IFERROR(GETPIVOTDATA("合計 / " &amp; $B112,【ピボット】事業所収支!$A$3,"年月",AB$1,"事業所",$A97)-AB117,"")</f>
        <v>43924</v>
      </c>
      <c r="AC112" s="1476">
        <f>IFERROR(GETPIVOTDATA("合計 / " &amp; $B112,【ピボット】事業所収支!$A$3,"年月",AC$1,"事業所",$A97)-AC117,"")</f>
        <v>45370</v>
      </c>
      <c r="AD112" s="1476">
        <f>IFERROR(GETPIVOTDATA("合計 / " &amp; $B112,【ピボット】事業所収支!$A$3,"年月",AD$1,"事業所",$A97)-AD117,"")</f>
        <v>89057</v>
      </c>
      <c r="AE112" s="1476">
        <f>IFERROR(GETPIVOTDATA("合計 / " &amp; $B112,【ピボット】事業所収支!$A$3,"年月",AE$1,"事業所",$A97)-AE117,"")</f>
        <v>95710</v>
      </c>
      <c r="AF112" s="1476" t="str">
        <f>IFERROR(GETPIVOTDATA("合計 / " &amp; $B112,【ピボット】事業所収支!$A$3,"年月",AF$1,"事業所",$A97)-AF117,"")</f>
        <v/>
      </c>
      <c r="AG112" s="1476" t="str">
        <f>IFERROR(GETPIVOTDATA("合計 / " &amp; $B112,【ピボット】事業所収支!$A$3,"年月",AG$1,"事業所",$A97)-AG117,"")</f>
        <v/>
      </c>
      <c r="AH112" s="1476" t="str">
        <f>IFERROR(GETPIVOTDATA("合計 / " &amp; $B112,【ピボット】事業所収支!$A$3,"年月",AH$1,"事業所",$A97)-AH117,"")</f>
        <v/>
      </c>
      <c r="AI112" s="1476" t="str">
        <f>IFERROR(GETPIVOTDATA("合計 / " &amp; $B112,【ピボット】事業所収支!$A$3,"年月",AI$1,"事業所",$A97)-AI117,"")</f>
        <v/>
      </c>
      <c r="AJ112" s="1476" t="str">
        <f>IFERROR(GETPIVOTDATA("合計 / " &amp; $B112,【ピボット】事業所収支!$A$3,"年月",AJ$1,"事業所",$A97)-AJ117,"")</f>
        <v/>
      </c>
      <c r="AK112" s="1476" t="str">
        <f>IFERROR(GETPIVOTDATA("合計 / " &amp; $B112,【ピボット】事業所収支!$A$3,"年月",AK$1,"事業所",$A97)-AK117,"")</f>
        <v/>
      </c>
      <c r="AL112" s="1476" t="str">
        <f>IFERROR(GETPIVOTDATA("合計 / " &amp; $B112,【ピボット】事業所収支!$A$3,"年月",AL$1,"事業所",$A97)-AL117,"")</f>
        <v/>
      </c>
      <c r="AM112" s="1476" t="str">
        <f>IFERROR(GETPIVOTDATA("合計 / " &amp; $B112,【ピボット】事業所収支!$A$3,"年月",AM$1,"事業所",$A97)-AM117,"")</f>
        <v/>
      </c>
      <c r="AN112" s="1476" t="str">
        <f>IFERROR(GETPIVOTDATA("合計 / " &amp; $B112,【ピボット】事業所収支!$A$3,"年月",AN$1,"事業所",$A97)-AN117,"")</f>
        <v/>
      </c>
      <c r="AO112" s="1476" t="str">
        <f>IFERROR(GETPIVOTDATA("合計 / " &amp; $B112,【ピボット】事業所収支!$A$3,"年月",AO$1,"事業所",$A97)-AO117,"")</f>
        <v/>
      </c>
      <c r="AP112" s="1476" t="str">
        <f>IFERROR(GETPIVOTDATA("合計 / " &amp; $B112,【ピボット】事業所収支!$A$3,"年月",AP$1,"事業所",$A97)-AP117,"")</f>
        <v/>
      </c>
      <c r="AQ112" s="1476" t="str">
        <f>IFERROR(GETPIVOTDATA("合計 / " &amp; $B112,【ピボット】事業所収支!$A$3,"年月",AQ$1,"事業所",$A97)-AQ117,"")</f>
        <v/>
      </c>
      <c r="AR112" s="1476" t="str">
        <f>IFERROR(GETPIVOTDATA("合計 / " &amp; $B112,【ピボット】事業所収支!$A$3,"年月",AR$1,"事業所",$A97)-AR117,"")</f>
        <v/>
      </c>
    </row>
    <row r="113" spans="1:44" x14ac:dyDescent="0.15">
      <c r="A113" s="2062"/>
      <c r="B113" s="724" t="s">
        <v>893</v>
      </c>
      <c r="C113" s="1475"/>
      <c r="D113" s="1476"/>
      <c r="E113" s="1476"/>
      <c r="F113" s="1476"/>
      <c r="G113" s="1476"/>
      <c r="H113" s="1476"/>
      <c r="I113" s="1476"/>
      <c r="J113" s="1476"/>
      <c r="K113" s="1476"/>
      <c r="L113" s="1476"/>
      <c r="M113" s="1476"/>
      <c r="N113" s="1476"/>
      <c r="O113" s="1476"/>
      <c r="P113" s="1476"/>
      <c r="Q113" s="1476"/>
      <c r="R113" s="1476"/>
      <c r="S113" s="1476"/>
      <c r="T113" s="1476" t="str">
        <f>IFERROR(GETPIVOTDATA("合計 / " &amp; $B113,【ピボット】事業所収支!$A$3,"年月",T$1,"事業所",$A97),"")</f>
        <v/>
      </c>
      <c r="U113" s="1476" t="str">
        <f>IFERROR(GETPIVOTDATA("合計 / " &amp; $B113,【ピボット】事業所収支!$A$3,"年月",U$1,"事業所",$A97),"")</f>
        <v/>
      </c>
      <c r="V113" s="1476">
        <f>IFERROR(GETPIVOTDATA("合計 / " &amp; $B113,【ピボット】事業所収支!$A$3,"年月",V$1,"事業所",$A97),"")</f>
        <v>0</v>
      </c>
      <c r="W113" s="1476">
        <f>IFERROR(GETPIVOTDATA("合計 / " &amp; $B113,【ピボット】事業所収支!$A$3,"年月",W$1,"事業所",$A97),"")</f>
        <v>0</v>
      </c>
      <c r="X113" s="1476">
        <f>IFERROR(GETPIVOTDATA("合計 / " &amp; $B113,【ピボット】事業所収支!$A$3,"年月",X$1,"事業所",$A97),"")</f>
        <v>0</v>
      </c>
      <c r="Y113" s="1476">
        <f>IFERROR(GETPIVOTDATA("合計 / " &amp; $B113,【ピボット】事業所収支!$A$3,"年月",Y$1,"事業所",$A97),"")</f>
        <v>1479</v>
      </c>
      <c r="Z113" s="1476">
        <f>IFERROR(GETPIVOTDATA("合計 / " &amp; $B113,【ピボット】事業所収支!$A$3,"年月",Z$1,"事業所",$A97),"")</f>
        <v>12246</v>
      </c>
      <c r="AA113" s="1476">
        <f>IFERROR(GETPIVOTDATA("合計 / " &amp; $B113,【ピボット】事業所収支!$A$3,"年月",AA$1,"事業所",$A97),"")</f>
        <v>0</v>
      </c>
      <c r="AB113" s="1476">
        <f>IFERROR(GETPIVOTDATA("合計 / " &amp; $B113,【ピボット】事業所収支!$A$3,"年月",AB$1,"事業所",$A97),"")</f>
        <v>13640</v>
      </c>
      <c r="AC113" s="1476">
        <f>IFERROR(GETPIVOTDATA("合計 / " &amp; $B113,【ピボット】事業所収支!$A$3,"年月",AC$1,"事業所",$A97),"")</f>
        <v>0</v>
      </c>
      <c r="AD113" s="1476">
        <f>IFERROR(GETPIVOTDATA("合計 / " &amp; $B113,【ピボット】事業所収支!$A$3,"年月",AD$1,"事業所",$A97),"")</f>
        <v>0</v>
      </c>
      <c r="AE113" s="1476">
        <f>IFERROR(GETPIVOTDATA("合計 / " &amp; $B113,【ピボット】事業所収支!$A$3,"年月",AE$1,"事業所",$A97),"")</f>
        <v>144828</v>
      </c>
      <c r="AF113" s="1476" t="str">
        <f>IFERROR(GETPIVOTDATA("合計 / " &amp; $B113,【ピボット】事業所収支!$A$3,"年月",AF$1,"事業所",$A97),"")</f>
        <v/>
      </c>
      <c r="AG113" s="1476" t="str">
        <f>IFERROR(GETPIVOTDATA("合計 / " &amp; $B113,【ピボット】事業所収支!$A$3,"年月",AG$1,"事業所",$A97),"")</f>
        <v/>
      </c>
      <c r="AH113" s="1476" t="str">
        <f>IFERROR(GETPIVOTDATA("合計 / " &amp; $B113,【ピボット】事業所収支!$A$3,"年月",AH$1,"事業所",$A97),"")</f>
        <v/>
      </c>
      <c r="AI113" s="1476" t="str">
        <f>IFERROR(GETPIVOTDATA("合計 / " &amp; $B113,【ピボット】事業所収支!$A$3,"年月",AI$1,"事業所",$A97),"")</f>
        <v/>
      </c>
      <c r="AJ113" s="1476" t="str">
        <f>IFERROR(GETPIVOTDATA("合計 / " &amp; $B113,【ピボット】事業所収支!$A$3,"年月",AJ$1,"事業所",$A97),"")</f>
        <v/>
      </c>
      <c r="AK113" s="1476" t="str">
        <f>IFERROR(GETPIVOTDATA("合計 / " &amp; $B113,【ピボット】事業所収支!$A$3,"年月",AK$1,"事業所",$A97),"")</f>
        <v/>
      </c>
      <c r="AL113" s="1476" t="str">
        <f>IFERROR(GETPIVOTDATA("合計 / " &amp; $B113,【ピボット】事業所収支!$A$3,"年月",AL$1,"事業所",$A97),"")</f>
        <v/>
      </c>
      <c r="AM113" s="1476" t="str">
        <f>IFERROR(GETPIVOTDATA("合計 / " &amp; $B113,【ピボット】事業所収支!$A$3,"年月",AM$1,"事業所",$A97),"")</f>
        <v/>
      </c>
      <c r="AN113" s="1476" t="str">
        <f>IFERROR(GETPIVOTDATA("合計 / " &amp; $B113,【ピボット】事業所収支!$A$3,"年月",AN$1,"事業所",$A97),"")</f>
        <v/>
      </c>
      <c r="AO113" s="1476" t="str">
        <f>IFERROR(GETPIVOTDATA("合計 / " &amp; $B113,【ピボット】事業所収支!$A$3,"年月",AO$1,"事業所",$A97),"")</f>
        <v/>
      </c>
      <c r="AP113" s="1476" t="str">
        <f>IFERROR(GETPIVOTDATA("合計 / " &amp; $B113,【ピボット】事業所収支!$A$3,"年月",AP$1,"事業所",$A97),"")</f>
        <v/>
      </c>
      <c r="AQ113" s="1476" t="str">
        <f>IFERROR(GETPIVOTDATA("合計 / " &amp; $B113,【ピボット】事業所収支!$A$3,"年月",AQ$1,"事業所",$A97),"")</f>
        <v/>
      </c>
      <c r="AR113" s="1476" t="str">
        <f>IFERROR(GETPIVOTDATA("合計 / " &amp; $B113,【ピボット】事業所収支!$A$3,"年月",AR$1,"事業所",$A97),"")</f>
        <v/>
      </c>
    </row>
    <row r="114" spans="1:44" x14ac:dyDescent="0.15">
      <c r="A114" s="2062"/>
      <c r="B114" s="724" t="s">
        <v>892</v>
      </c>
      <c r="C114" s="1475"/>
      <c r="D114" s="1476"/>
      <c r="E114" s="1476"/>
      <c r="F114" s="1476"/>
      <c r="G114" s="1476"/>
      <c r="H114" s="1476"/>
      <c r="I114" s="1476"/>
      <c r="J114" s="1476"/>
      <c r="K114" s="1476"/>
      <c r="L114" s="1476"/>
      <c r="M114" s="1476"/>
      <c r="N114" s="1476"/>
      <c r="O114" s="1476"/>
      <c r="P114" s="1476"/>
      <c r="Q114" s="1476"/>
      <c r="R114" s="1476"/>
      <c r="S114" s="1476"/>
      <c r="T114" s="1476" t="str">
        <f>IF(SUM(T109,T112:T113)=0,"",SUM(T109,T112:T113))</f>
        <v/>
      </c>
      <c r="U114" s="1476" t="str">
        <f t="shared" ref="U114:AR114" si="100">IF(SUM(U109,U112:U113)=0,"",SUM(U109,U112:U113))</f>
        <v/>
      </c>
      <c r="V114" s="1476" t="str">
        <f t="shared" si="100"/>
        <v/>
      </c>
      <c r="W114" s="1476" t="str">
        <f t="shared" si="100"/>
        <v/>
      </c>
      <c r="X114" s="1476">
        <f t="shared" si="100"/>
        <v>56395</v>
      </c>
      <c r="Y114" s="1476">
        <f t="shared" si="100"/>
        <v>406068</v>
      </c>
      <c r="Z114" s="1476">
        <f t="shared" si="100"/>
        <v>406255</v>
      </c>
      <c r="AA114" s="1476">
        <f t="shared" si="100"/>
        <v>408054</v>
      </c>
      <c r="AB114" s="1476">
        <f t="shared" si="100"/>
        <v>426235</v>
      </c>
      <c r="AC114" s="1476">
        <f t="shared" si="100"/>
        <v>407883</v>
      </c>
      <c r="AD114" s="1476">
        <f t="shared" si="100"/>
        <v>736230</v>
      </c>
      <c r="AE114" s="1476">
        <f t="shared" si="100"/>
        <v>877710</v>
      </c>
      <c r="AF114" s="1476" t="str">
        <f t="shared" si="100"/>
        <v/>
      </c>
      <c r="AG114" s="1476" t="str">
        <f t="shared" si="100"/>
        <v/>
      </c>
      <c r="AH114" s="1476" t="str">
        <f t="shared" si="100"/>
        <v/>
      </c>
      <c r="AI114" s="1476" t="str">
        <f t="shared" si="100"/>
        <v/>
      </c>
      <c r="AJ114" s="1476" t="str">
        <f t="shared" si="100"/>
        <v/>
      </c>
      <c r="AK114" s="1476" t="str">
        <f t="shared" si="100"/>
        <v/>
      </c>
      <c r="AL114" s="1476" t="str">
        <f t="shared" si="100"/>
        <v/>
      </c>
      <c r="AM114" s="1476" t="str">
        <f t="shared" si="100"/>
        <v/>
      </c>
      <c r="AN114" s="1476" t="str">
        <f t="shared" si="100"/>
        <v/>
      </c>
      <c r="AO114" s="1476" t="str">
        <f t="shared" si="100"/>
        <v/>
      </c>
      <c r="AP114" s="1476" t="str">
        <f t="shared" si="100"/>
        <v/>
      </c>
      <c r="AQ114" s="1476" t="str">
        <f t="shared" si="100"/>
        <v/>
      </c>
      <c r="AR114" s="1476" t="str">
        <f t="shared" si="100"/>
        <v/>
      </c>
    </row>
    <row r="115" spans="1:44" s="729" customFormat="1" x14ac:dyDescent="0.15">
      <c r="A115" s="2062"/>
      <c r="B115" s="724" t="s">
        <v>891</v>
      </c>
      <c r="C115" s="1475"/>
      <c r="D115" s="1476"/>
      <c r="E115" s="1476"/>
      <c r="F115" s="1476"/>
      <c r="G115" s="1476"/>
      <c r="H115" s="1476"/>
      <c r="I115" s="1476"/>
      <c r="J115" s="1476"/>
      <c r="K115" s="1476"/>
      <c r="L115" s="1476"/>
      <c r="M115" s="1476"/>
      <c r="N115" s="1476"/>
      <c r="O115" s="1476"/>
      <c r="P115" s="1476"/>
      <c r="Q115" s="1476"/>
      <c r="R115" s="1476"/>
      <c r="S115" s="1476"/>
      <c r="T115" s="1476" t="str">
        <f>IFERROR(GETPIVOTDATA("合計 / " &amp; $B115,【ピボット】事業所収支!$A$3,"年月",T$1,"事業所",$A97),"")</f>
        <v/>
      </c>
      <c r="U115" s="1476" t="str">
        <f>IFERROR(GETPIVOTDATA("合計 / " &amp; $B115,【ピボット】事業所収支!$A$3,"年月",U$1,"事業所",$A97),"")</f>
        <v/>
      </c>
      <c r="V115" s="1476">
        <f>IFERROR(GETPIVOTDATA("合計 / " &amp; $B115,【ピボット】事業所収支!$A$3,"年月",V$1,"事業所",$A97),"")</f>
        <v>0</v>
      </c>
      <c r="W115" s="1476">
        <f>IFERROR(GETPIVOTDATA("合計 / " &amp; $B115,【ピボット】事業所収支!$A$3,"年月",W$1,"事業所",$A97),"")</f>
        <v>0</v>
      </c>
      <c r="X115" s="1476">
        <f>IFERROR(GETPIVOTDATA("合計 / " &amp; $B115,【ピボット】事業所収支!$A$3,"年月",X$1,"事業所",$A97),"")</f>
        <v>0</v>
      </c>
      <c r="Y115" s="1476">
        <f>IFERROR(GETPIVOTDATA("合計 / " &amp; $B115,【ピボット】事業所収支!$A$3,"年月",Y$1,"事業所",$A97),"")</f>
        <v>27512</v>
      </c>
      <c r="Z115" s="1476">
        <f>IFERROR(GETPIVOTDATA("合計 / " &amp; $B115,【ピボット】事業所収支!$A$3,"年月",Z$1,"事業所",$A97),"")</f>
        <v>81995</v>
      </c>
      <c r="AA115" s="1476">
        <f>IFERROR(GETPIVOTDATA("合計 / " &amp; $B115,【ピボット】事業所収支!$A$3,"年月",AA$1,"事業所",$A97),"")</f>
        <v>153695</v>
      </c>
      <c r="AB115" s="1476">
        <f>IFERROR(GETPIVOTDATA("合計 / " &amp; $B115,【ピボット】事業所収支!$A$3,"年月",AB$1,"事業所",$A97),"")</f>
        <v>266169</v>
      </c>
      <c r="AC115" s="1476">
        <f>IFERROR(GETPIVOTDATA("合計 / " &amp; $B115,【ピボット】事業所収支!$A$3,"年月",AC$1,"事業所",$A97),"")</f>
        <v>283293</v>
      </c>
      <c r="AD115" s="1476">
        <f>IFERROR(GETPIVOTDATA("合計 / " &amp; $B115,【ピボット】事業所収支!$A$3,"年月",AD$1,"事業所",$A97),"")</f>
        <v>388602</v>
      </c>
      <c r="AE115" s="1476">
        <f>IFERROR(GETPIVOTDATA("合計 / " &amp; $B115,【ピボット】事業所収支!$A$3,"年月",AE$1,"事業所",$A97),"")</f>
        <v>440879</v>
      </c>
      <c r="AF115" s="1476" t="str">
        <f>IFERROR(GETPIVOTDATA("合計 / " &amp; $B115,【ピボット】事業所収支!$A$3,"年月",AF$1,"事業所",$A97),"")</f>
        <v/>
      </c>
      <c r="AG115" s="1476" t="str">
        <f>IFERROR(GETPIVOTDATA("合計 / " &amp; $B115,【ピボット】事業所収支!$A$3,"年月",AG$1,"事業所",$A97),"")</f>
        <v/>
      </c>
      <c r="AH115" s="1476" t="str">
        <f>IFERROR(GETPIVOTDATA("合計 / " &amp; $B115,【ピボット】事業所収支!$A$3,"年月",AH$1,"事業所",$A97),"")</f>
        <v/>
      </c>
      <c r="AI115" s="1476" t="str">
        <f>IFERROR(GETPIVOTDATA("合計 / " &amp; $B115,【ピボット】事業所収支!$A$3,"年月",AI$1,"事業所",$A97),"")</f>
        <v/>
      </c>
      <c r="AJ115" s="1476" t="str">
        <f>IFERROR(GETPIVOTDATA("合計 / " &amp; $B115,【ピボット】事業所収支!$A$3,"年月",AJ$1,"事業所",$A97),"")</f>
        <v/>
      </c>
      <c r="AK115" s="1476" t="str">
        <f>IFERROR(GETPIVOTDATA("合計 / " &amp; $B115,【ピボット】事業所収支!$A$3,"年月",AK$1,"事業所",$A97),"")</f>
        <v/>
      </c>
      <c r="AL115" s="1476" t="str">
        <f>IFERROR(GETPIVOTDATA("合計 / " &amp; $B115,【ピボット】事業所収支!$A$3,"年月",AL$1,"事業所",$A97),"")</f>
        <v/>
      </c>
      <c r="AM115" s="1476" t="str">
        <f>IFERROR(GETPIVOTDATA("合計 / " &amp; $B115,【ピボット】事業所収支!$A$3,"年月",AM$1,"事業所",$A97),"")</f>
        <v/>
      </c>
      <c r="AN115" s="1476" t="str">
        <f>IFERROR(GETPIVOTDATA("合計 / " &amp; $B115,【ピボット】事業所収支!$A$3,"年月",AN$1,"事業所",$A97),"")</f>
        <v/>
      </c>
      <c r="AO115" s="1476" t="str">
        <f>IFERROR(GETPIVOTDATA("合計 / " &amp; $B115,【ピボット】事業所収支!$A$3,"年月",AO$1,"事業所",$A97),"")</f>
        <v/>
      </c>
      <c r="AP115" s="1476" t="str">
        <f>IFERROR(GETPIVOTDATA("合計 / " &amp; $B115,【ピボット】事業所収支!$A$3,"年月",AP$1,"事業所",$A97),"")</f>
        <v/>
      </c>
      <c r="AQ115" s="1476" t="str">
        <f>IFERROR(GETPIVOTDATA("合計 / " &amp; $B115,【ピボット】事業所収支!$A$3,"年月",AQ$1,"事業所",$A97),"")</f>
        <v/>
      </c>
      <c r="AR115" s="1476" t="str">
        <f>IFERROR(GETPIVOTDATA("合計 / " &amp; $B115,【ピボット】事業所収支!$A$3,"年月",AR$1,"事業所",$A97),"")</f>
        <v/>
      </c>
    </row>
    <row r="116" spans="1:44" x14ac:dyDescent="0.15">
      <c r="A116" s="2063"/>
      <c r="B116" s="725" t="s">
        <v>890</v>
      </c>
      <c r="C116" s="720"/>
      <c r="D116" s="717"/>
      <c r="E116" s="717"/>
      <c r="F116" s="717"/>
      <c r="G116" s="717"/>
      <c r="H116" s="717"/>
      <c r="I116" s="717"/>
      <c r="J116" s="717"/>
      <c r="K116" s="717"/>
      <c r="L116" s="717"/>
      <c r="M116" s="717"/>
      <c r="N116" s="717"/>
      <c r="O116" s="717"/>
      <c r="P116" s="717"/>
      <c r="Q116" s="717"/>
      <c r="R116" s="717"/>
      <c r="S116" s="717"/>
      <c r="T116" s="717">
        <v>0</v>
      </c>
      <c r="U116" s="717">
        <v>0</v>
      </c>
      <c r="V116" s="717">
        <v>0</v>
      </c>
      <c r="W116" s="717">
        <v>0</v>
      </c>
      <c r="X116" s="717">
        <v>0</v>
      </c>
      <c r="Y116" s="717">
        <v>0</v>
      </c>
      <c r="Z116" s="717">
        <v>0</v>
      </c>
      <c r="AA116" s="717">
        <v>0</v>
      </c>
      <c r="AB116" s="717">
        <v>0</v>
      </c>
      <c r="AC116" s="717">
        <v>0</v>
      </c>
      <c r="AD116" s="717">
        <v>0</v>
      </c>
      <c r="AE116" s="717">
        <v>0</v>
      </c>
      <c r="AF116" s="717"/>
      <c r="AG116" s="717"/>
      <c r="AH116" s="717"/>
      <c r="AI116" s="717"/>
      <c r="AJ116" s="717"/>
      <c r="AK116" s="717"/>
      <c r="AL116" s="717"/>
      <c r="AM116" s="717"/>
      <c r="AN116" s="717"/>
      <c r="AO116" s="717"/>
      <c r="AP116" s="717"/>
      <c r="AQ116" s="717"/>
      <c r="AR116" s="717"/>
    </row>
    <row r="117" spans="1:44" x14ac:dyDescent="0.15">
      <c r="A117" s="2063"/>
      <c r="B117" s="725" t="s">
        <v>889</v>
      </c>
      <c r="C117" s="1478"/>
      <c r="D117" s="1479"/>
      <c r="E117" s="1479"/>
      <c r="F117" s="1479"/>
      <c r="G117" s="1479"/>
      <c r="H117" s="1479"/>
      <c r="I117" s="1479"/>
      <c r="J117" s="1479"/>
      <c r="K117" s="1479"/>
      <c r="L117" s="1479"/>
      <c r="M117" s="1479"/>
      <c r="N117" s="1479"/>
      <c r="O117" s="1479"/>
      <c r="P117" s="1479"/>
      <c r="Q117" s="1479"/>
      <c r="R117" s="1479"/>
      <c r="S117" s="1479"/>
      <c r="T117" s="1479" t="str">
        <f>IF(T115="","",SUMIFS(パート法定福利費処遇改善計算!$F:$F,パート法定福利費処遇改善計算!$A:$A,T$1,パート法定福利費処遇改善計算!$B:$B,$A97))</f>
        <v/>
      </c>
      <c r="U117" s="1479" t="str">
        <f>IF(U115="","",SUMIFS(パート法定福利費処遇改善計算!$F:$F,パート法定福利費処遇改善計算!$A:$A,U$1,パート法定福利費処遇改善計算!$B:$B,$A97))</f>
        <v/>
      </c>
      <c r="V117" s="1479">
        <f>IF(V115="","",SUMIFS(パート法定福利費処遇改善計算!$F:$F,パート法定福利費処遇改善計算!$A:$A,V$1,パート法定福利費処遇改善計算!$B:$B,$A97))</f>
        <v>0</v>
      </c>
      <c r="W117" s="1479">
        <f>IF(W115="","",SUMIFS(パート法定福利費処遇改善計算!$F:$F,パート法定福利費処遇改善計算!$A:$A,W$1,パート法定福利費処遇改善計算!$B:$B,$A97))</f>
        <v>0</v>
      </c>
      <c r="X117" s="1479">
        <f>IF(X115="","",SUMIFS(パート法定福利費処遇改善計算!$F:$F,パート法定福利費処遇改善計算!$A:$A,X$1,パート法定福利費処遇改善計算!$B:$B,$A97))</f>
        <v>0</v>
      </c>
      <c r="Y117" s="1479">
        <f>IF(Y115="","",SUMIFS(パート法定福利費処遇改善計算!$F:$F,パート法定福利費処遇改善計算!$A:$A,Y$1,パート法定福利費処遇改善計算!$B:$B,$A97))</f>
        <v>0</v>
      </c>
      <c r="Z117" s="1479">
        <f>IF(Z115="","",SUMIFS(パート法定福利費処遇改善計算!$F:$F,パート法定福利費処遇改善計算!$A:$A,Z$1,パート法定福利費処遇改善計算!$B:$B,$A97))</f>
        <v>0</v>
      </c>
      <c r="AA117" s="1479">
        <f>IF(AA115="","",SUMIFS(パート法定福利費処遇改善計算!$F:$F,パート法定福利費処遇改善計算!$A:$A,AA$1,パート法定福利費処遇改善計算!$B:$B,$A97))</f>
        <v>0</v>
      </c>
      <c r="AB117" s="1479">
        <f>IF(AB115="","",SUMIFS(パート法定福利費処遇改善計算!$F:$F,パート法定福利費処遇改善計算!$A:$A,AB$1,パート法定福利費処遇改善計算!$B:$B,$A97))</f>
        <v>0</v>
      </c>
      <c r="AC117" s="1479">
        <f>IF(AC115="","",SUMIFS(パート法定福利費処遇改善計算!$F:$F,パート法定福利費処遇改善計算!$A:$A,AC$1,パート法定福利費処遇改善計算!$B:$B,$A97))</f>
        <v>0</v>
      </c>
      <c r="AD117" s="1479">
        <f>IF(AD115="","",SUMIFS(パート法定福利費処遇改善計算!$F:$F,パート法定福利費処遇改善計算!$A:$A,AD$1,パート法定福利費処遇改善計算!$B:$B,$A97))</f>
        <v>0</v>
      </c>
      <c r="AE117" s="1479">
        <f>IF(AE115="","",SUMIFS(パート法定福利費処遇改善計算!$F:$F,パート法定福利費処遇改善計算!$A:$A,AE$1,パート法定福利費処遇改善計算!$B:$B,$A97))</f>
        <v>0</v>
      </c>
      <c r="AF117" s="1479" t="str">
        <f>IF(AF115="","",SUMIFS(パート法定福利費処遇改善計算!$F:$F,パート法定福利費処遇改善計算!$A:$A,AF$1,パート法定福利費処遇改善計算!$B:$B,$A97))</f>
        <v/>
      </c>
      <c r="AG117" s="1479" t="str">
        <f>IF(AG115="","",SUMIFS(パート法定福利費処遇改善計算!$F:$F,パート法定福利費処遇改善計算!$A:$A,AG$1,パート法定福利費処遇改善計算!$B:$B,$A97))</f>
        <v/>
      </c>
      <c r="AH117" s="1479" t="str">
        <f>IF(AH115="","",SUMIFS(パート法定福利費処遇改善計算!$F:$F,パート法定福利費処遇改善計算!$A:$A,AH$1,パート法定福利費処遇改善計算!$B:$B,$A97))</f>
        <v/>
      </c>
      <c r="AI117" s="1479" t="str">
        <f>IF(AI115="","",SUMIFS(パート法定福利費処遇改善計算!$F:$F,パート法定福利費処遇改善計算!$A:$A,AI$1,パート法定福利費処遇改善計算!$B:$B,$A97))</f>
        <v/>
      </c>
      <c r="AJ117" s="1479" t="str">
        <f>IF(AJ115="","",SUMIFS(パート法定福利費処遇改善計算!$F:$F,パート法定福利費処遇改善計算!$A:$A,AJ$1,パート法定福利費処遇改善計算!$B:$B,$A97))</f>
        <v/>
      </c>
      <c r="AK117" s="1479" t="str">
        <f>IF(AK115="","",SUMIFS(パート法定福利費処遇改善計算!$F:$F,パート法定福利費処遇改善計算!$A:$A,AK$1,パート法定福利費処遇改善計算!$B:$B,$A97))</f>
        <v/>
      </c>
      <c r="AL117" s="1479" t="str">
        <f>IF(AL115="","",SUMIFS(パート法定福利費処遇改善計算!$F:$F,パート法定福利費処遇改善計算!$A:$A,AL$1,パート法定福利費処遇改善計算!$B:$B,$A97))</f>
        <v/>
      </c>
      <c r="AM117" s="1479" t="str">
        <f>IF(AM115="","",SUMIFS(パート法定福利費処遇改善計算!$F:$F,パート法定福利費処遇改善計算!$A:$A,AM$1,パート法定福利費処遇改善計算!$B:$B,$A97))</f>
        <v/>
      </c>
      <c r="AN117" s="1479" t="str">
        <f>IF(AN115="","",SUMIFS(パート法定福利費処遇改善計算!$F:$F,パート法定福利費処遇改善計算!$A:$A,AN$1,パート法定福利費処遇改善計算!$B:$B,$A97))</f>
        <v/>
      </c>
      <c r="AO117" s="1479" t="str">
        <f>IF(AO115="","",SUMIFS(パート法定福利費処遇改善計算!$F:$F,パート法定福利費処遇改善計算!$A:$A,AO$1,パート法定福利費処遇改善計算!$B:$B,$A97))</f>
        <v/>
      </c>
      <c r="AP117" s="1479" t="str">
        <f>IF(AP115="","",SUMIFS(パート法定福利費処遇改善計算!$F:$F,パート法定福利費処遇改善計算!$A:$A,AP$1,パート法定福利費処遇改善計算!$B:$B,$A97))</f>
        <v/>
      </c>
      <c r="AQ117" s="1479" t="str">
        <f>IF(AQ115="","",SUMIFS(パート法定福利費処遇改善計算!$F:$F,パート法定福利費処遇改善計算!$A:$A,AQ$1,パート法定福利費処遇改善計算!$B:$B,$A97))</f>
        <v/>
      </c>
      <c r="AR117" s="1479" t="str">
        <f>IF(AR115="","",SUMIFS(パート法定福利費処遇改善計算!$F:$F,パート法定福利費処遇改善計算!$A:$A,AR$1,パート法定福利費処遇改善計算!$B:$B,$A97))</f>
        <v/>
      </c>
    </row>
    <row r="118" spans="1:44" x14ac:dyDescent="0.15">
      <c r="A118" s="2063"/>
      <c r="B118" s="725" t="s">
        <v>888</v>
      </c>
      <c r="C118" s="1478"/>
      <c r="D118" s="1479"/>
      <c r="E118" s="1479"/>
      <c r="F118" s="1479"/>
      <c r="G118" s="1479"/>
      <c r="H118" s="1479"/>
      <c r="I118" s="1479"/>
      <c r="J118" s="1479"/>
      <c r="K118" s="1479"/>
      <c r="L118" s="1479"/>
      <c r="M118" s="1479"/>
      <c r="N118" s="1479"/>
      <c r="O118" s="1479"/>
      <c r="P118" s="1479"/>
      <c r="Q118" s="1479"/>
      <c r="R118" s="1479"/>
      <c r="S118" s="1479"/>
      <c r="T118" s="1479" t="str">
        <f>IF(SUM(T115:T117)=0,"",SUM(T115:T117))</f>
        <v/>
      </c>
      <c r="U118" s="1479" t="str">
        <f t="shared" ref="U118:AR118" si="101">IF(SUM(U115:U117)=0,"",SUM(U115:U117))</f>
        <v/>
      </c>
      <c r="V118" s="1479" t="str">
        <f t="shared" si="101"/>
        <v/>
      </c>
      <c r="W118" s="1479" t="str">
        <f t="shared" si="101"/>
        <v/>
      </c>
      <c r="X118" s="1479" t="str">
        <f t="shared" si="101"/>
        <v/>
      </c>
      <c r="Y118" s="1479">
        <f t="shared" si="101"/>
        <v>27512</v>
      </c>
      <c r="Z118" s="1479">
        <f t="shared" si="101"/>
        <v>81995</v>
      </c>
      <c r="AA118" s="1479">
        <f t="shared" si="101"/>
        <v>153695</v>
      </c>
      <c r="AB118" s="1479">
        <f t="shared" si="101"/>
        <v>266169</v>
      </c>
      <c r="AC118" s="1479">
        <f t="shared" si="101"/>
        <v>283293</v>
      </c>
      <c r="AD118" s="1479">
        <f t="shared" si="101"/>
        <v>388602</v>
      </c>
      <c r="AE118" s="1479">
        <f t="shared" si="101"/>
        <v>440879</v>
      </c>
      <c r="AF118" s="1479" t="str">
        <f t="shared" si="101"/>
        <v/>
      </c>
      <c r="AG118" s="1479" t="str">
        <f t="shared" si="101"/>
        <v/>
      </c>
      <c r="AH118" s="1479" t="str">
        <f t="shared" si="101"/>
        <v/>
      </c>
      <c r="AI118" s="1479" t="str">
        <f t="shared" si="101"/>
        <v/>
      </c>
      <c r="AJ118" s="1479" t="str">
        <f t="shared" si="101"/>
        <v/>
      </c>
      <c r="AK118" s="1479" t="str">
        <f t="shared" si="101"/>
        <v/>
      </c>
      <c r="AL118" s="1479" t="str">
        <f t="shared" si="101"/>
        <v/>
      </c>
      <c r="AM118" s="1479" t="str">
        <f t="shared" si="101"/>
        <v/>
      </c>
      <c r="AN118" s="1479" t="str">
        <f t="shared" si="101"/>
        <v/>
      </c>
      <c r="AO118" s="1479" t="str">
        <f t="shared" si="101"/>
        <v/>
      </c>
      <c r="AP118" s="1479" t="str">
        <f t="shared" si="101"/>
        <v/>
      </c>
      <c r="AQ118" s="1479" t="str">
        <f t="shared" si="101"/>
        <v/>
      </c>
      <c r="AR118" s="1479" t="str">
        <f t="shared" si="101"/>
        <v/>
      </c>
    </row>
    <row r="119" spans="1:44" ht="19.5" thickBot="1" x14ac:dyDescent="0.2">
      <c r="A119" s="2064"/>
      <c r="B119" s="726" t="s">
        <v>887</v>
      </c>
      <c r="C119" s="1480"/>
      <c r="D119" s="1481"/>
      <c r="E119" s="1481"/>
      <c r="F119" s="1481"/>
      <c r="G119" s="1481"/>
      <c r="H119" s="1481"/>
      <c r="I119" s="1481"/>
      <c r="J119" s="1481"/>
      <c r="K119" s="1481"/>
      <c r="L119" s="1481"/>
      <c r="M119" s="1481"/>
      <c r="N119" s="1481"/>
      <c r="O119" s="1481"/>
      <c r="P119" s="1481"/>
      <c r="Q119" s="1481"/>
      <c r="R119" s="1481"/>
      <c r="S119" s="1481"/>
      <c r="T119" s="1481" t="str">
        <f t="shared" ref="T119:AR119" si="102">IF(SUM(T114,T118)=0,"",SUM(T114,T118))</f>
        <v/>
      </c>
      <c r="U119" s="1481" t="str">
        <f t="shared" si="102"/>
        <v/>
      </c>
      <c r="V119" s="1481" t="str">
        <f t="shared" si="102"/>
        <v/>
      </c>
      <c r="W119" s="1481" t="str">
        <f t="shared" si="102"/>
        <v/>
      </c>
      <c r="X119" s="1481">
        <f t="shared" si="102"/>
        <v>56395</v>
      </c>
      <c r="Y119" s="1481">
        <f t="shared" si="102"/>
        <v>433580</v>
      </c>
      <c r="Z119" s="1481">
        <f t="shared" si="102"/>
        <v>488250</v>
      </c>
      <c r="AA119" s="1481">
        <f t="shared" si="102"/>
        <v>561749</v>
      </c>
      <c r="AB119" s="1481">
        <f t="shared" si="102"/>
        <v>692404</v>
      </c>
      <c r="AC119" s="1481">
        <f t="shared" si="102"/>
        <v>691176</v>
      </c>
      <c r="AD119" s="1481">
        <f t="shared" si="102"/>
        <v>1124832</v>
      </c>
      <c r="AE119" s="1481">
        <f t="shared" si="102"/>
        <v>1318589</v>
      </c>
      <c r="AF119" s="1481" t="str">
        <f t="shared" si="102"/>
        <v/>
      </c>
      <c r="AG119" s="1481" t="str">
        <f t="shared" si="102"/>
        <v/>
      </c>
      <c r="AH119" s="1481" t="str">
        <f t="shared" si="102"/>
        <v/>
      </c>
      <c r="AI119" s="1481" t="str">
        <f t="shared" si="102"/>
        <v/>
      </c>
      <c r="AJ119" s="1481" t="str">
        <f t="shared" si="102"/>
        <v/>
      </c>
      <c r="AK119" s="1481" t="str">
        <f t="shared" si="102"/>
        <v/>
      </c>
      <c r="AL119" s="1481" t="str">
        <f t="shared" si="102"/>
        <v/>
      </c>
      <c r="AM119" s="1481" t="str">
        <f t="shared" si="102"/>
        <v/>
      </c>
      <c r="AN119" s="1481" t="str">
        <f t="shared" si="102"/>
        <v/>
      </c>
      <c r="AO119" s="1481" t="str">
        <f t="shared" si="102"/>
        <v/>
      </c>
      <c r="AP119" s="1481" t="str">
        <f t="shared" si="102"/>
        <v/>
      </c>
      <c r="AQ119" s="1481" t="str">
        <f t="shared" si="102"/>
        <v/>
      </c>
      <c r="AR119" s="1481" t="str">
        <f t="shared" si="102"/>
        <v/>
      </c>
    </row>
    <row r="120" spans="1:44" x14ac:dyDescent="0.15">
      <c r="A120" s="727"/>
      <c r="B120" s="728"/>
      <c r="C120" s="728"/>
      <c r="D120" s="728"/>
      <c r="E120" s="728"/>
      <c r="F120" s="728"/>
      <c r="G120" s="728"/>
      <c r="H120" s="728"/>
      <c r="I120" s="728"/>
      <c r="J120" s="728"/>
      <c r="K120" s="728"/>
      <c r="L120" s="728"/>
      <c r="M120" s="728"/>
      <c r="N120" s="728"/>
      <c r="O120" s="728"/>
    </row>
    <row r="121" spans="1:44" ht="19.5" hidden="1" thickBot="1" x14ac:dyDescent="0.2">
      <c r="A121" s="2066" t="s">
        <v>336</v>
      </c>
      <c r="B121" s="2067"/>
      <c r="C121" s="718">
        <v>42705</v>
      </c>
      <c r="D121" s="721">
        <f>EDATE(C121,1)</f>
        <v>42736</v>
      </c>
      <c r="E121" s="721">
        <f t="shared" ref="E121:Z121" si="103">EDATE(D121,1)</f>
        <v>42767</v>
      </c>
      <c r="F121" s="721">
        <f t="shared" si="103"/>
        <v>42795</v>
      </c>
      <c r="G121" s="721">
        <f t="shared" si="103"/>
        <v>42826</v>
      </c>
      <c r="H121" s="721">
        <f t="shared" si="103"/>
        <v>42856</v>
      </c>
      <c r="I121" s="721">
        <f t="shared" si="103"/>
        <v>42887</v>
      </c>
      <c r="J121" s="721">
        <f t="shared" si="103"/>
        <v>42917</v>
      </c>
      <c r="K121" s="721">
        <f t="shared" si="103"/>
        <v>42948</v>
      </c>
      <c r="L121" s="721">
        <f t="shared" si="103"/>
        <v>42979</v>
      </c>
      <c r="M121" s="721">
        <f t="shared" si="103"/>
        <v>43009</v>
      </c>
      <c r="N121" s="721">
        <f t="shared" si="103"/>
        <v>43040</v>
      </c>
      <c r="O121" s="721">
        <f t="shared" si="103"/>
        <v>43070</v>
      </c>
      <c r="P121" s="721">
        <f t="shared" si="103"/>
        <v>43101</v>
      </c>
      <c r="Q121" s="721">
        <f t="shared" si="103"/>
        <v>43132</v>
      </c>
      <c r="R121" s="721">
        <f t="shared" si="103"/>
        <v>43160</v>
      </c>
      <c r="S121" s="721">
        <f t="shared" si="103"/>
        <v>43191</v>
      </c>
      <c r="T121" s="721">
        <f t="shared" si="103"/>
        <v>43221</v>
      </c>
      <c r="U121" s="721">
        <f t="shared" si="103"/>
        <v>43252</v>
      </c>
      <c r="V121" s="721">
        <f t="shared" si="103"/>
        <v>43282</v>
      </c>
      <c r="W121" s="721">
        <f t="shared" si="103"/>
        <v>43313</v>
      </c>
      <c r="X121" s="721">
        <f t="shared" si="103"/>
        <v>43344</v>
      </c>
      <c r="Y121" s="721">
        <f t="shared" si="103"/>
        <v>43374</v>
      </c>
      <c r="Z121" s="721">
        <f t="shared" si="103"/>
        <v>43405</v>
      </c>
      <c r="AA121" s="721">
        <f t="shared" ref="AA121:AR121" si="104">EDATE(Z121,1)</f>
        <v>43435</v>
      </c>
      <c r="AB121" s="721">
        <f t="shared" si="104"/>
        <v>43466</v>
      </c>
      <c r="AC121" s="721">
        <f t="shared" si="104"/>
        <v>43497</v>
      </c>
      <c r="AD121" s="721">
        <f t="shared" si="104"/>
        <v>43525</v>
      </c>
      <c r="AE121" s="721">
        <f t="shared" si="104"/>
        <v>43556</v>
      </c>
      <c r="AF121" s="721">
        <f t="shared" si="104"/>
        <v>43586</v>
      </c>
      <c r="AG121" s="721">
        <f t="shared" si="104"/>
        <v>43617</v>
      </c>
      <c r="AH121" s="721">
        <f t="shared" si="104"/>
        <v>43647</v>
      </c>
      <c r="AI121" s="721">
        <f t="shared" si="104"/>
        <v>43678</v>
      </c>
      <c r="AJ121" s="721">
        <f t="shared" si="104"/>
        <v>43709</v>
      </c>
      <c r="AK121" s="721">
        <f t="shared" si="104"/>
        <v>43739</v>
      </c>
      <c r="AL121" s="721">
        <f t="shared" si="104"/>
        <v>43770</v>
      </c>
      <c r="AM121" s="721">
        <f t="shared" si="104"/>
        <v>43800</v>
      </c>
      <c r="AN121" s="721">
        <f t="shared" si="104"/>
        <v>43831</v>
      </c>
      <c r="AO121" s="721">
        <f t="shared" si="104"/>
        <v>43862</v>
      </c>
      <c r="AP121" s="721">
        <f t="shared" si="104"/>
        <v>43891</v>
      </c>
      <c r="AQ121" s="721">
        <f t="shared" si="104"/>
        <v>43922</v>
      </c>
      <c r="AR121" s="721">
        <f t="shared" si="104"/>
        <v>43952</v>
      </c>
    </row>
    <row r="122" spans="1:44" ht="18.75" hidden="1" customHeight="1" x14ac:dyDescent="0.15">
      <c r="A122" s="2068" t="s">
        <v>906</v>
      </c>
      <c r="B122" s="734" t="s">
        <v>909</v>
      </c>
      <c r="C122" s="738"/>
      <c r="D122" s="739"/>
      <c r="E122" s="739"/>
      <c r="F122" s="739"/>
      <c r="G122" s="739"/>
      <c r="H122" s="739"/>
      <c r="I122" s="739"/>
      <c r="J122" s="739"/>
      <c r="K122" s="739"/>
      <c r="L122" s="739"/>
      <c r="M122" s="739"/>
      <c r="N122" s="739"/>
      <c r="O122" s="739">
        <v>3</v>
      </c>
      <c r="P122" s="739">
        <v>3.5</v>
      </c>
      <c r="Q122" s="739">
        <v>0.5</v>
      </c>
      <c r="R122" s="739">
        <v>1.5</v>
      </c>
      <c r="S122" s="739">
        <v>1.5</v>
      </c>
      <c r="T122" s="739">
        <v>0.5</v>
      </c>
      <c r="U122" s="739">
        <v>0.5</v>
      </c>
      <c r="V122" s="739">
        <v>0.5</v>
      </c>
      <c r="W122" s="739">
        <v>0.5</v>
      </c>
      <c r="X122" s="739">
        <v>0.5</v>
      </c>
      <c r="Y122" s="739"/>
      <c r="Z122" s="739"/>
      <c r="AA122" s="739"/>
      <c r="AB122" s="739"/>
      <c r="AC122" s="739"/>
      <c r="AD122" s="739"/>
      <c r="AE122" s="739"/>
      <c r="AF122" s="739"/>
      <c r="AG122" s="739"/>
      <c r="AH122" s="739"/>
      <c r="AI122" s="739"/>
      <c r="AJ122" s="739"/>
      <c r="AK122" s="739"/>
      <c r="AL122" s="739"/>
      <c r="AM122" s="739"/>
      <c r="AN122" s="739"/>
      <c r="AO122" s="739"/>
      <c r="AP122" s="739"/>
      <c r="AQ122" s="739"/>
      <c r="AR122" s="739"/>
    </row>
    <row r="123" spans="1:44" hidden="1" x14ac:dyDescent="0.15">
      <c r="A123" s="2060"/>
      <c r="B123" s="735" t="s">
        <v>910</v>
      </c>
      <c r="C123" s="740"/>
      <c r="D123" s="741"/>
      <c r="E123" s="741"/>
      <c r="F123" s="741"/>
      <c r="G123" s="741"/>
      <c r="H123" s="741"/>
      <c r="I123" s="741"/>
      <c r="J123" s="741"/>
      <c r="K123" s="741"/>
      <c r="L123" s="741"/>
      <c r="M123" s="741"/>
      <c r="N123" s="741"/>
      <c r="O123" s="741">
        <v>5</v>
      </c>
      <c r="P123" s="741">
        <v>3</v>
      </c>
      <c r="Q123" s="741">
        <v>4</v>
      </c>
      <c r="R123" s="741">
        <v>5</v>
      </c>
      <c r="S123" s="741">
        <v>5</v>
      </c>
      <c r="T123" s="741">
        <v>6</v>
      </c>
      <c r="U123" s="741">
        <v>5</v>
      </c>
      <c r="V123" s="741">
        <v>5</v>
      </c>
      <c r="W123" s="741">
        <v>5</v>
      </c>
      <c r="X123" s="741">
        <v>4</v>
      </c>
      <c r="Y123" s="741"/>
      <c r="Z123" s="741"/>
      <c r="AA123" s="741"/>
      <c r="AB123" s="741"/>
      <c r="AC123" s="741"/>
      <c r="AD123" s="741"/>
      <c r="AE123" s="741"/>
      <c r="AF123" s="741"/>
      <c r="AG123" s="741"/>
      <c r="AH123" s="741"/>
      <c r="AI123" s="741"/>
      <c r="AJ123" s="741"/>
      <c r="AK123" s="741"/>
      <c r="AL123" s="741"/>
      <c r="AM123" s="741"/>
      <c r="AN123" s="741"/>
      <c r="AO123" s="741"/>
      <c r="AP123" s="741"/>
      <c r="AQ123" s="741"/>
      <c r="AR123" s="741"/>
    </row>
    <row r="124" spans="1:44" hidden="1" x14ac:dyDescent="0.15">
      <c r="A124" s="2061"/>
      <c r="B124" s="735" t="s">
        <v>908</v>
      </c>
      <c r="C124" s="1470" t="str">
        <f t="shared" ref="C124:Z124" si="105">IF(SUM(C122:C123)=0,"",SUM(C122:C123))</f>
        <v/>
      </c>
      <c r="D124" s="1470" t="str">
        <f t="shared" si="105"/>
        <v/>
      </c>
      <c r="E124" s="1470" t="str">
        <f t="shared" si="105"/>
        <v/>
      </c>
      <c r="F124" s="1470" t="str">
        <f t="shared" si="105"/>
        <v/>
      </c>
      <c r="G124" s="1470" t="str">
        <f t="shared" si="105"/>
        <v/>
      </c>
      <c r="H124" s="1470" t="str">
        <f t="shared" si="105"/>
        <v/>
      </c>
      <c r="I124" s="1470" t="str">
        <f t="shared" si="105"/>
        <v/>
      </c>
      <c r="J124" s="1470" t="str">
        <f t="shared" si="105"/>
        <v/>
      </c>
      <c r="K124" s="1470" t="str">
        <f t="shared" si="105"/>
        <v/>
      </c>
      <c r="L124" s="1470" t="str">
        <f t="shared" si="105"/>
        <v/>
      </c>
      <c r="M124" s="1470" t="str">
        <f t="shared" si="105"/>
        <v/>
      </c>
      <c r="N124" s="1470" t="str">
        <f t="shared" si="105"/>
        <v/>
      </c>
      <c r="O124" s="1470">
        <f t="shared" si="105"/>
        <v>8</v>
      </c>
      <c r="P124" s="1470">
        <f t="shared" si="105"/>
        <v>6.5</v>
      </c>
      <c r="Q124" s="1470">
        <f t="shared" si="105"/>
        <v>4.5</v>
      </c>
      <c r="R124" s="1470">
        <f t="shared" si="105"/>
        <v>6.5</v>
      </c>
      <c r="S124" s="1470">
        <f t="shared" si="105"/>
        <v>6.5</v>
      </c>
      <c r="T124" s="1470">
        <f t="shared" si="105"/>
        <v>6.5</v>
      </c>
      <c r="U124" s="1470">
        <f t="shared" si="105"/>
        <v>5.5</v>
      </c>
      <c r="V124" s="1470">
        <f t="shared" si="105"/>
        <v>5.5</v>
      </c>
      <c r="W124" s="1470">
        <f t="shared" si="105"/>
        <v>5.5</v>
      </c>
      <c r="X124" s="1470">
        <f t="shared" si="105"/>
        <v>4.5</v>
      </c>
      <c r="Y124" s="1470" t="str">
        <f t="shared" si="105"/>
        <v/>
      </c>
      <c r="Z124" s="1470" t="str">
        <f t="shared" si="105"/>
        <v/>
      </c>
      <c r="AA124" s="1470" t="str">
        <f t="shared" ref="AA124:AF124" si="106">IF(SUM(AA122:AA123)=0,"",SUM(AA122:AA123))</f>
        <v/>
      </c>
      <c r="AB124" s="1470" t="str">
        <f t="shared" si="106"/>
        <v/>
      </c>
      <c r="AC124" s="1470" t="str">
        <f t="shared" si="106"/>
        <v/>
      </c>
      <c r="AD124" s="1470" t="str">
        <f t="shared" si="106"/>
        <v/>
      </c>
      <c r="AE124" s="1470" t="str">
        <f t="shared" si="106"/>
        <v/>
      </c>
      <c r="AF124" s="1470" t="str">
        <f t="shared" si="106"/>
        <v/>
      </c>
      <c r="AG124" s="1470" t="str">
        <f t="shared" ref="AG124:AR124" si="107">IF(SUM(AG122:AG123)=0,"",SUM(AG122:AG123))</f>
        <v/>
      </c>
      <c r="AH124" s="1470" t="str">
        <f t="shared" si="107"/>
        <v/>
      </c>
      <c r="AI124" s="1470" t="str">
        <f t="shared" si="107"/>
        <v/>
      </c>
      <c r="AJ124" s="1470" t="str">
        <f t="shared" si="107"/>
        <v/>
      </c>
      <c r="AK124" s="1470" t="str">
        <f t="shared" si="107"/>
        <v/>
      </c>
      <c r="AL124" s="1470" t="str">
        <f t="shared" si="107"/>
        <v/>
      </c>
      <c r="AM124" s="1470" t="str">
        <f t="shared" si="107"/>
        <v/>
      </c>
      <c r="AN124" s="1470" t="str">
        <f t="shared" si="107"/>
        <v/>
      </c>
      <c r="AO124" s="1470" t="str">
        <f t="shared" si="107"/>
        <v/>
      </c>
      <c r="AP124" s="1470" t="str">
        <f t="shared" si="107"/>
        <v/>
      </c>
      <c r="AQ124" s="1470" t="str">
        <f t="shared" si="107"/>
        <v/>
      </c>
      <c r="AR124" s="1470" t="str">
        <f t="shared" si="107"/>
        <v/>
      </c>
    </row>
    <row r="125" spans="1:44" ht="18.75" hidden="1" customHeight="1" x14ac:dyDescent="0.15">
      <c r="A125" s="2059" t="s">
        <v>907</v>
      </c>
      <c r="B125" s="735" t="s">
        <v>911</v>
      </c>
      <c r="C125" s="736"/>
      <c r="D125" s="737"/>
      <c r="E125" s="737"/>
      <c r="F125" s="737"/>
      <c r="G125" s="737"/>
      <c r="H125" s="737"/>
      <c r="I125" s="737"/>
      <c r="J125" s="737"/>
      <c r="K125" s="737"/>
      <c r="L125" s="737"/>
      <c r="M125" s="737"/>
      <c r="N125" s="737"/>
      <c r="O125" s="737">
        <v>9.125</v>
      </c>
      <c r="P125" s="737">
        <v>7.4375</v>
      </c>
      <c r="Q125" s="737">
        <v>0.86458333333333337</v>
      </c>
      <c r="R125" s="737">
        <v>2.9131944444444446</v>
      </c>
      <c r="S125" s="737">
        <v>3.6979166666666665</v>
      </c>
      <c r="T125" s="737">
        <v>1.0381944444444444</v>
      </c>
      <c r="U125" s="737">
        <v>0.9375</v>
      </c>
      <c r="V125" s="737">
        <v>1.2222222222222221</v>
      </c>
      <c r="W125" s="737">
        <v>1.5729166666666667</v>
      </c>
      <c r="X125" s="737">
        <v>1.46875</v>
      </c>
      <c r="Y125" s="737"/>
      <c r="Z125" s="737"/>
      <c r="AA125" s="737"/>
      <c r="AB125" s="737"/>
      <c r="AC125" s="737"/>
      <c r="AD125" s="737"/>
      <c r="AE125" s="737"/>
      <c r="AF125" s="737"/>
      <c r="AG125" s="737"/>
      <c r="AH125" s="737"/>
      <c r="AI125" s="737"/>
      <c r="AJ125" s="737"/>
      <c r="AK125" s="737"/>
      <c r="AL125" s="737"/>
      <c r="AM125" s="737"/>
      <c r="AN125" s="737"/>
      <c r="AO125" s="737"/>
      <c r="AP125" s="737"/>
      <c r="AQ125" s="737"/>
      <c r="AR125" s="737"/>
    </row>
    <row r="126" spans="1:44" hidden="1" x14ac:dyDescent="0.15">
      <c r="A126" s="2060"/>
      <c r="B126" s="735" t="s">
        <v>912</v>
      </c>
      <c r="C126" s="736"/>
      <c r="D126" s="737"/>
      <c r="E126" s="737"/>
      <c r="F126" s="737"/>
      <c r="G126" s="737"/>
      <c r="H126" s="737"/>
      <c r="I126" s="737"/>
      <c r="J126" s="737"/>
      <c r="K126" s="737"/>
      <c r="L126" s="737"/>
      <c r="M126" s="737"/>
      <c r="N126" s="737"/>
      <c r="O126" s="737">
        <v>9.6041666666666661</v>
      </c>
      <c r="P126" s="737">
        <v>8.75</v>
      </c>
      <c r="Q126" s="737">
        <v>6.7638888888888893</v>
      </c>
      <c r="R126" s="737">
        <v>8.3055555555555554</v>
      </c>
      <c r="S126" s="737">
        <v>8.4722222222222232</v>
      </c>
      <c r="T126" s="737">
        <v>10.670138888888888</v>
      </c>
      <c r="U126" s="737">
        <v>8.9895833333333339</v>
      </c>
      <c r="V126" s="737">
        <v>7.9618055555555562</v>
      </c>
      <c r="W126" s="737">
        <v>6.7847222222222223</v>
      </c>
      <c r="X126" s="737">
        <v>5.4652777777777777</v>
      </c>
      <c r="Y126" s="737"/>
      <c r="Z126" s="737"/>
      <c r="AA126" s="737"/>
      <c r="AB126" s="737"/>
      <c r="AC126" s="737"/>
      <c r="AD126" s="737"/>
      <c r="AE126" s="737"/>
      <c r="AF126" s="737"/>
      <c r="AG126" s="737"/>
      <c r="AH126" s="737"/>
      <c r="AI126" s="737"/>
      <c r="AJ126" s="737"/>
      <c r="AK126" s="737"/>
      <c r="AL126" s="737"/>
      <c r="AM126" s="737"/>
      <c r="AN126" s="737"/>
      <c r="AO126" s="737"/>
      <c r="AP126" s="737"/>
      <c r="AQ126" s="737"/>
      <c r="AR126" s="737"/>
    </row>
    <row r="127" spans="1:44" hidden="1" x14ac:dyDescent="0.15">
      <c r="A127" s="2061"/>
      <c r="B127" s="735" t="s">
        <v>908</v>
      </c>
      <c r="C127" s="1471" t="str">
        <f t="shared" ref="C127:Z127" si="108">IF(SUM(C125:C126)=0,"",SUM(C125:C126))</f>
        <v/>
      </c>
      <c r="D127" s="1471" t="str">
        <f t="shared" si="108"/>
        <v/>
      </c>
      <c r="E127" s="1471" t="str">
        <f t="shared" si="108"/>
        <v/>
      </c>
      <c r="F127" s="1471" t="str">
        <f t="shared" si="108"/>
        <v/>
      </c>
      <c r="G127" s="1471" t="str">
        <f t="shared" si="108"/>
        <v/>
      </c>
      <c r="H127" s="1471" t="str">
        <f t="shared" si="108"/>
        <v/>
      </c>
      <c r="I127" s="1471" t="str">
        <f t="shared" si="108"/>
        <v/>
      </c>
      <c r="J127" s="1471" t="str">
        <f t="shared" si="108"/>
        <v/>
      </c>
      <c r="K127" s="1471" t="str">
        <f t="shared" si="108"/>
        <v/>
      </c>
      <c r="L127" s="1471" t="str">
        <f t="shared" si="108"/>
        <v/>
      </c>
      <c r="M127" s="1471" t="str">
        <f t="shared" si="108"/>
        <v/>
      </c>
      <c r="N127" s="1471" t="str">
        <f t="shared" si="108"/>
        <v/>
      </c>
      <c r="O127" s="1471">
        <f t="shared" si="108"/>
        <v>18.729166666666664</v>
      </c>
      <c r="P127" s="1471">
        <f t="shared" si="108"/>
        <v>16.1875</v>
      </c>
      <c r="Q127" s="1471">
        <f t="shared" si="108"/>
        <v>7.6284722222222223</v>
      </c>
      <c r="R127" s="1471">
        <f t="shared" si="108"/>
        <v>11.21875</v>
      </c>
      <c r="S127" s="1471">
        <f t="shared" si="108"/>
        <v>12.170138888888889</v>
      </c>
      <c r="T127" s="1471">
        <f t="shared" si="108"/>
        <v>11.708333333333332</v>
      </c>
      <c r="U127" s="1471">
        <f t="shared" si="108"/>
        <v>9.9270833333333339</v>
      </c>
      <c r="V127" s="1471">
        <f t="shared" si="108"/>
        <v>9.1840277777777786</v>
      </c>
      <c r="W127" s="1471">
        <f t="shared" si="108"/>
        <v>8.3576388888888893</v>
      </c>
      <c r="X127" s="1471">
        <f t="shared" si="108"/>
        <v>6.9340277777777777</v>
      </c>
      <c r="Y127" s="1471" t="str">
        <f t="shared" si="108"/>
        <v/>
      </c>
      <c r="Z127" s="1471" t="str">
        <f t="shared" si="108"/>
        <v/>
      </c>
      <c r="AA127" s="1471" t="str">
        <f t="shared" ref="AA127:AF127" si="109">IF(SUM(AA125:AA126)=0,"",SUM(AA125:AA126))</f>
        <v/>
      </c>
      <c r="AB127" s="1471" t="str">
        <f t="shared" si="109"/>
        <v/>
      </c>
      <c r="AC127" s="1471" t="str">
        <f t="shared" si="109"/>
        <v/>
      </c>
      <c r="AD127" s="1471" t="str">
        <f t="shared" si="109"/>
        <v/>
      </c>
      <c r="AE127" s="1471" t="str">
        <f t="shared" si="109"/>
        <v/>
      </c>
      <c r="AF127" s="1471" t="str">
        <f t="shared" si="109"/>
        <v/>
      </c>
      <c r="AG127" s="1471" t="str">
        <f t="shared" ref="AG127:AR127" si="110">IF(SUM(AG125:AG126)=0,"",SUM(AG125:AG126))</f>
        <v/>
      </c>
      <c r="AH127" s="1471" t="str">
        <f t="shared" si="110"/>
        <v/>
      </c>
      <c r="AI127" s="1471" t="str">
        <f t="shared" si="110"/>
        <v/>
      </c>
      <c r="AJ127" s="1471" t="str">
        <f t="shared" si="110"/>
        <v/>
      </c>
      <c r="AK127" s="1471" t="str">
        <f t="shared" si="110"/>
        <v/>
      </c>
      <c r="AL127" s="1471" t="str">
        <f t="shared" si="110"/>
        <v/>
      </c>
      <c r="AM127" s="1471" t="str">
        <f t="shared" si="110"/>
        <v/>
      </c>
      <c r="AN127" s="1471" t="str">
        <f t="shared" si="110"/>
        <v/>
      </c>
      <c r="AO127" s="1471" t="str">
        <f t="shared" si="110"/>
        <v/>
      </c>
      <c r="AP127" s="1471" t="str">
        <f t="shared" si="110"/>
        <v/>
      </c>
      <c r="AQ127" s="1471" t="str">
        <f t="shared" si="110"/>
        <v/>
      </c>
      <c r="AR127" s="1471" t="str">
        <f t="shared" si="110"/>
        <v/>
      </c>
    </row>
    <row r="128" spans="1:44" hidden="1" x14ac:dyDescent="0.15">
      <c r="A128" s="2065" t="s">
        <v>898</v>
      </c>
      <c r="B128" s="723" t="s">
        <v>899</v>
      </c>
      <c r="C128" s="719">
        <v>222752</v>
      </c>
      <c r="D128" s="715">
        <v>154013</v>
      </c>
      <c r="E128" s="716">
        <v>144199</v>
      </c>
      <c r="F128" s="716">
        <v>146267</v>
      </c>
      <c r="G128" s="716">
        <v>118623</v>
      </c>
      <c r="H128" s="716">
        <v>171888</v>
      </c>
      <c r="I128" s="716">
        <v>156770</v>
      </c>
      <c r="J128" s="716">
        <v>167625</v>
      </c>
      <c r="K128" s="716">
        <v>183865</v>
      </c>
      <c r="L128" s="716">
        <v>191592</v>
      </c>
      <c r="M128" s="716">
        <v>183409</v>
      </c>
      <c r="N128" s="716">
        <v>161938</v>
      </c>
      <c r="O128" s="716">
        <v>153116</v>
      </c>
      <c r="P128" s="716">
        <v>104132</v>
      </c>
      <c r="Q128" s="716">
        <v>56917</v>
      </c>
      <c r="R128" s="716">
        <v>63115</v>
      </c>
      <c r="S128" s="716">
        <v>51837</v>
      </c>
      <c r="T128" s="716">
        <v>21093</v>
      </c>
      <c r="U128" s="716">
        <v>21426</v>
      </c>
      <c r="V128" s="716">
        <v>18995</v>
      </c>
      <c r="W128" s="716">
        <v>7312</v>
      </c>
      <c r="X128" s="716"/>
      <c r="Y128" s="716"/>
      <c r="Z128" s="716"/>
      <c r="AA128" s="716"/>
      <c r="AB128" s="716"/>
      <c r="AC128" s="716"/>
      <c r="AD128" s="716"/>
      <c r="AE128" s="716"/>
      <c r="AF128" s="716"/>
      <c r="AG128" s="716"/>
      <c r="AH128" s="716"/>
      <c r="AI128" s="716"/>
      <c r="AJ128" s="716"/>
      <c r="AK128" s="716"/>
      <c r="AL128" s="716"/>
      <c r="AM128" s="716"/>
      <c r="AN128" s="716"/>
      <c r="AO128" s="716"/>
      <c r="AP128" s="716"/>
      <c r="AQ128" s="716"/>
      <c r="AR128" s="716"/>
    </row>
    <row r="129" spans="1:44" hidden="1" x14ac:dyDescent="0.15">
      <c r="A129" s="2065"/>
      <c r="B129" s="723" t="s">
        <v>902</v>
      </c>
      <c r="C129" s="730">
        <v>10.7</v>
      </c>
      <c r="D129" s="731">
        <v>10.7</v>
      </c>
      <c r="E129" s="732">
        <v>10.7</v>
      </c>
      <c r="F129" s="732">
        <v>10.7</v>
      </c>
      <c r="G129" s="732">
        <v>10.7</v>
      </c>
      <c r="H129" s="732">
        <v>10.7</v>
      </c>
      <c r="I129" s="732">
        <v>10.7</v>
      </c>
      <c r="J129" s="732">
        <v>10.7</v>
      </c>
      <c r="K129" s="732">
        <v>10.7</v>
      </c>
      <c r="L129" s="732">
        <v>10.7</v>
      </c>
      <c r="M129" s="732">
        <v>10.7</v>
      </c>
      <c r="N129" s="732">
        <v>10.7</v>
      </c>
      <c r="O129" s="732">
        <v>10.7</v>
      </c>
      <c r="P129" s="732">
        <v>10.7</v>
      </c>
      <c r="Q129" s="732">
        <v>10.7</v>
      </c>
      <c r="R129" s="732">
        <v>10.7</v>
      </c>
      <c r="S129" s="732">
        <v>10.7</v>
      </c>
      <c r="T129" s="732">
        <v>10.7</v>
      </c>
      <c r="U129" s="732">
        <v>10.7</v>
      </c>
      <c r="V129" s="732">
        <v>10.7</v>
      </c>
      <c r="W129" s="732">
        <v>10.7</v>
      </c>
      <c r="X129" s="732">
        <v>10.7</v>
      </c>
      <c r="Y129" s="732">
        <v>10.7</v>
      </c>
      <c r="Z129" s="732">
        <v>10.7</v>
      </c>
      <c r="AA129" s="732">
        <v>10.7</v>
      </c>
      <c r="AB129" s="732">
        <v>10.7</v>
      </c>
      <c r="AC129" s="732">
        <v>10.7</v>
      </c>
      <c r="AD129" s="732">
        <v>10.7</v>
      </c>
      <c r="AE129" s="732">
        <v>10.7</v>
      </c>
      <c r="AF129" s="732">
        <v>10.7</v>
      </c>
      <c r="AG129" s="732">
        <v>10.7</v>
      </c>
      <c r="AH129" s="732">
        <v>10.7</v>
      </c>
      <c r="AI129" s="732">
        <v>10.7</v>
      </c>
      <c r="AJ129" s="732">
        <v>10.7</v>
      </c>
      <c r="AK129" s="732">
        <v>10.7</v>
      </c>
      <c r="AL129" s="732">
        <v>10.7</v>
      </c>
      <c r="AM129" s="732">
        <v>10.7</v>
      </c>
      <c r="AN129" s="732">
        <v>10.7</v>
      </c>
      <c r="AO129" s="732">
        <v>10.7</v>
      </c>
      <c r="AP129" s="732">
        <v>10.7</v>
      </c>
      <c r="AQ129" s="732">
        <v>10.7</v>
      </c>
      <c r="AR129" s="732">
        <v>10.7</v>
      </c>
    </row>
    <row r="130" spans="1:44" hidden="1" x14ac:dyDescent="0.15">
      <c r="A130" s="2065"/>
      <c r="B130" s="723" t="s">
        <v>900</v>
      </c>
      <c r="C130" s="1472">
        <f>IF(C128="","",ROUNDDOWN(C128*C129,0))</f>
        <v>2383446</v>
      </c>
      <c r="D130" s="1473">
        <f t="shared" ref="D130:Z130" si="111">IF(D128="","",ROUNDDOWN(D128*D129,0))</f>
        <v>1647939</v>
      </c>
      <c r="E130" s="1474">
        <f t="shared" si="111"/>
        <v>1542929</v>
      </c>
      <c r="F130" s="1474">
        <f t="shared" si="111"/>
        <v>1565056</v>
      </c>
      <c r="G130" s="1474">
        <f t="shared" si="111"/>
        <v>1269266</v>
      </c>
      <c r="H130" s="1474">
        <f t="shared" si="111"/>
        <v>1839201</v>
      </c>
      <c r="I130" s="1474">
        <f t="shared" si="111"/>
        <v>1677439</v>
      </c>
      <c r="J130" s="1474">
        <f t="shared" si="111"/>
        <v>1793587</v>
      </c>
      <c r="K130" s="1474">
        <f t="shared" si="111"/>
        <v>1967355</v>
      </c>
      <c r="L130" s="1474">
        <f t="shared" si="111"/>
        <v>2050034</v>
      </c>
      <c r="M130" s="1474">
        <f t="shared" si="111"/>
        <v>1962476</v>
      </c>
      <c r="N130" s="1474">
        <f t="shared" si="111"/>
        <v>1732736</v>
      </c>
      <c r="O130" s="1474">
        <f t="shared" si="111"/>
        <v>1638341</v>
      </c>
      <c r="P130" s="1474">
        <f t="shared" si="111"/>
        <v>1114212</v>
      </c>
      <c r="Q130" s="1474">
        <f t="shared" si="111"/>
        <v>609011</v>
      </c>
      <c r="R130" s="1474">
        <f t="shared" si="111"/>
        <v>675330</v>
      </c>
      <c r="S130" s="1474">
        <f t="shared" si="111"/>
        <v>554655</v>
      </c>
      <c r="T130" s="1474">
        <f t="shared" si="111"/>
        <v>225695</v>
      </c>
      <c r="U130" s="1474">
        <f t="shared" si="111"/>
        <v>229258</v>
      </c>
      <c r="V130" s="1474">
        <f t="shared" si="111"/>
        <v>203246</v>
      </c>
      <c r="W130" s="1474">
        <f t="shared" si="111"/>
        <v>78238</v>
      </c>
      <c r="X130" s="1474" t="str">
        <f t="shared" si="111"/>
        <v/>
      </c>
      <c r="Y130" s="1474" t="str">
        <f t="shared" si="111"/>
        <v/>
      </c>
      <c r="Z130" s="1474" t="str">
        <f t="shared" si="111"/>
        <v/>
      </c>
      <c r="AA130" s="1474" t="str">
        <f t="shared" ref="AA130:AF130" si="112">IF(AA128="","",ROUNDDOWN(AA128*AA129,0))</f>
        <v/>
      </c>
      <c r="AB130" s="1474" t="str">
        <f t="shared" si="112"/>
        <v/>
      </c>
      <c r="AC130" s="1474" t="str">
        <f t="shared" si="112"/>
        <v/>
      </c>
      <c r="AD130" s="1474" t="str">
        <f t="shared" si="112"/>
        <v/>
      </c>
      <c r="AE130" s="1474" t="str">
        <f t="shared" si="112"/>
        <v/>
      </c>
      <c r="AF130" s="1474" t="str">
        <f t="shared" si="112"/>
        <v/>
      </c>
      <c r="AG130" s="1474" t="str">
        <f t="shared" ref="AG130:AR130" si="113">IF(AG128="","",ROUNDDOWN(AG128*AG129,0))</f>
        <v/>
      </c>
      <c r="AH130" s="1474" t="str">
        <f t="shared" si="113"/>
        <v/>
      </c>
      <c r="AI130" s="1474" t="str">
        <f t="shared" si="113"/>
        <v/>
      </c>
      <c r="AJ130" s="1474" t="str">
        <f t="shared" si="113"/>
        <v/>
      </c>
      <c r="AK130" s="1474" t="str">
        <f t="shared" si="113"/>
        <v/>
      </c>
      <c r="AL130" s="1474" t="str">
        <f t="shared" si="113"/>
        <v/>
      </c>
      <c r="AM130" s="1474" t="str">
        <f t="shared" si="113"/>
        <v/>
      </c>
      <c r="AN130" s="1474" t="str">
        <f t="shared" si="113"/>
        <v/>
      </c>
      <c r="AO130" s="1474" t="str">
        <f t="shared" si="113"/>
        <v/>
      </c>
      <c r="AP130" s="1474" t="str">
        <f t="shared" si="113"/>
        <v/>
      </c>
      <c r="AQ130" s="1474" t="str">
        <f t="shared" si="113"/>
        <v/>
      </c>
      <c r="AR130" s="1474" t="str">
        <f t="shared" si="113"/>
        <v/>
      </c>
    </row>
    <row r="131" spans="1:44" hidden="1" x14ac:dyDescent="0.15">
      <c r="A131" s="2062"/>
      <c r="B131" s="724" t="s">
        <v>901</v>
      </c>
      <c r="C131" s="1475">
        <f>IFERROR(GETPIVOTDATA("合計 / 請求",【ピボット】国保連売上!$A$3,"年月",C121,"事業所",$A121,"請求区分","単月")-C130,"")</f>
        <v>-884151</v>
      </c>
      <c r="D131" s="1476">
        <f>IFERROR(GETPIVOTDATA("合計 / 請求",【ピボット】国保連売上!$A$3,"年月",D121,"事業所",$A121,"請求区分","単月")-D130,"")</f>
        <v>-444948</v>
      </c>
      <c r="E131" s="1477">
        <f>IFERROR(GETPIVOTDATA("合計 / 請求",【ピボット】国保連売上!$A$3,"年月",E121,"事業所",$A121,"請求区分","単月")-E130,"")</f>
        <v>-449457</v>
      </c>
      <c r="F131" s="1477">
        <f>IFERROR(GETPIVOTDATA("合計 / 請求",【ピボット】国保連売上!$A$3,"年月",F121,"事業所",$A121,"請求区分","単月")-F130,"")</f>
        <v>-455116</v>
      </c>
      <c r="G131" s="1477">
        <f>IFERROR(GETPIVOTDATA("合計 / 請求",【ピボット】国保連売上!$A$3,"年月",G121,"事業所",$A121,"請求区分","単月")-G130,"")</f>
        <v>-298612</v>
      </c>
      <c r="H131" s="1477">
        <f>IFERROR(GETPIVOTDATA("合計 / 請求",【ピボット】国保連売上!$A$3,"年月",H121,"事業所",$A121,"請求区分","単月")-H130,"")</f>
        <v>-615566</v>
      </c>
      <c r="I131" s="1477">
        <f>IFERROR(GETPIVOTDATA("合計 / 請求",【ピボット】国保連売上!$A$3,"年月",I121,"事業所",$A121,"請求区分","単月")-I130,"")</f>
        <v>-610085</v>
      </c>
      <c r="J131" s="1477">
        <f>IFERROR(GETPIVOTDATA("合計 / 請求",【ピボット】国保連売上!$A$3,"年月",J121,"事業所",$A121,"請求区分","単月")-J130,"")</f>
        <v>-652172</v>
      </c>
      <c r="K131" s="1477">
        <f>IFERROR(GETPIVOTDATA("合計 / 請求",【ピボット】国保連売上!$A$3,"年月",K121,"事業所",$A121,"請求区分","単月")-K130,"")</f>
        <v>-695099</v>
      </c>
      <c r="L131" s="1477">
        <f>IFERROR(GETPIVOTDATA("合計 / 請求",【ピボット】国保連売上!$A$3,"年月",L121,"事業所",$A121,"請求区分","単月")-L130,"")</f>
        <v>-642087</v>
      </c>
      <c r="M131" s="1477">
        <f>IFERROR(GETPIVOTDATA("合計 / 請求",【ピボット】国保連売上!$A$3,"年月",M121,"事業所",$A121,"請求区分","単月")-M130,"")</f>
        <v>-718695</v>
      </c>
      <c r="N131" s="1477">
        <f>IFERROR(GETPIVOTDATA("合計 / 請求",【ピボット】国保連売上!$A$3,"年月",N121,"事業所",$A121,"請求区分","単月")-N130,"")</f>
        <v>-440563</v>
      </c>
      <c r="O131" s="1477">
        <f>IFERROR(GETPIVOTDATA("合計 / 請求",【ピボット】国保連売上!$A$3,"年月",O121,"事業所",$A121,"請求区分","単月")-O130,"")</f>
        <v>-391721</v>
      </c>
      <c r="P131" s="1477">
        <f>IFERROR(GETPIVOTDATA("合計 / 請求",【ピボット】国保連売上!$A$3,"年月",P121,"事業所",$A121,"請求区分","単月")-P130,"")</f>
        <v>-155757</v>
      </c>
      <c r="Q131" s="1477">
        <f>IFERROR(GETPIVOTDATA("合計 / 請求",【ピボット】国保連売上!$A$3,"年月",Q121,"事業所",$A121,"請求区分","単月")-Q130,"")</f>
        <v>186837</v>
      </c>
      <c r="R131" s="1477">
        <f>IFERROR(GETPIVOTDATA("合計 / 請求",【ピボット】国保連売上!$A$3,"年月",R121,"事業所",$A121,"請求区分","単月")-R130,"")</f>
        <v>148877</v>
      </c>
      <c r="S131" s="1477">
        <f>IFERROR(GETPIVOTDATA("合計 / 請求",【ピボット】国保連売上!$A$3,"年月",S121,"事業所",$A121,"請求区分","単月")-S130,"")</f>
        <v>329449</v>
      </c>
      <c r="T131" s="1477">
        <f>IFERROR(GETPIVOTDATA("合計 / 請求",【ピボット】国保連売上!$A$3,"年月",T121,"事業所",$A121,"請求区分","単月")-T130,"")</f>
        <v>689613</v>
      </c>
      <c r="U131" s="1477">
        <f>IFERROR(GETPIVOTDATA("合計 / 請求",【ピボット】国保連売上!$A$3,"年月",U121,"事業所",$A121,"請求区分","単月")-U130,"")</f>
        <v>684945</v>
      </c>
      <c r="V131" s="1477">
        <f>IFERROR(GETPIVOTDATA("合計 / 請求",【ピボット】国保連売上!$A$3,"年月",V121,"事業所",$A121,"請求区分","単月")-V130,"")</f>
        <v>561702</v>
      </c>
      <c r="W131" s="1477">
        <f>IFERROR(GETPIVOTDATA("合計 / 請求",【ピボット】国保連売上!$A$3,"年月",W121,"事業所",$A121,"請求区分","単月")-W130,"")</f>
        <v>486115</v>
      </c>
      <c r="X131" s="1477" t="str">
        <f>IFERROR(GETPIVOTDATA("合計 / 請求",【ピボット】国保連売上!$A$3,"年月",X121,"事業所",$A121,"請求区分","単月")-X130,"")</f>
        <v/>
      </c>
      <c r="Y131" s="1477" t="str">
        <f>IFERROR(GETPIVOTDATA("合計 / 請求",【ピボット】国保連売上!$A$3,"年月",Y121,"事業所",$A121,"請求区分","単月")-Y130,"")</f>
        <v/>
      </c>
      <c r="Z131" s="1477" t="str">
        <f>IFERROR(GETPIVOTDATA("合計 / 請求",【ピボット】国保連売上!$A$3,"年月",Z121,"事業所",$A121,"請求区分","単月")-Z130,"")</f>
        <v/>
      </c>
      <c r="AA131" s="1477" t="str">
        <f>IFERROR(GETPIVOTDATA("合計 / 請求",【ピボット】国保連売上!$A$3,"年月",AA121,"事業所",$A121,"請求区分","単月")-AA130,"")</f>
        <v/>
      </c>
      <c r="AB131" s="1477" t="str">
        <f>IFERROR(GETPIVOTDATA("合計 / 請求",【ピボット】国保連売上!$A$3,"年月",AB121,"事業所",$A121,"請求区分","単月")-AB130,"")</f>
        <v/>
      </c>
      <c r="AC131" s="1477" t="str">
        <f>IFERROR(GETPIVOTDATA("合計 / 請求",【ピボット】国保連売上!$A$3,"年月",AC121,"事業所",$A121,"請求区分","単月")-AC130,"")</f>
        <v/>
      </c>
      <c r="AD131" s="1477" t="str">
        <f>IFERROR(GETPIVOTDATA("合計 / 請求",【ピボット】国保連売上!$A$3,"年月",AD121,"事業所",$A121,"請求区分","単月")-AD130,"")</f>
        <v/>
      </c>
      <c r="AE131" s="1477" t="str">
        <f>IFERROR(GETPIVOTDATA("合計 / 請求",【ピボット】国保連売上!$A$3,"年月",AE121,"事業所",$A121,"請求区分","単月")-AE130,"")</f>
        <v/>
      </c>
      <c r="AF131" s="1477" t="str">
        <f>IFERROR(GETPIVOTDATA("合計 / 請求",【ピボット】国保連売上!$A$3,"年月",AF121,"事業所",$A121,"請求区分","単月")-AF130,"")</f>
        <v/>
      </c>
      <c r="AG131" s="1477" t="str">
        <f>IFERROR(GETPIVOTDATA("合計 / 請求",【ピボット】国保連売上!$A$3,"年月",AG121,"事業所",$A121,"請求区分","単月")-AG130,"")</f>
        <v/>
      </c>
      <c r="AH131" s="1477" t="str">
        <f>IFERROR(GETPIVOTDATA("合計 / 請求",【ピボット】国保連売上!$A$3,"年月",AH121,"事業所",$A121,"請求区分","単月")-AH130,"")</f>
        <v/>
      </c>
      <c r="AI131" s="1477" t="str">
        <f>IFERROR(GETPIVOTDATA("合計 / 請求",【ピボット】国保連売上!$A$3,"年月",AI121,"事業所",$A121,"請求区分","単月")-AI130,"")</f>
        <v/>
      </c>
      <c r="AJ131" s="1477" t="str">
        <f>IFERROR(GETPIVOTDATA("合計 / 請求",【ピボット】国保連売上!$A$3,"年月",AJ121,"事業所",$A121,"請求区分","単月")-AJ130,"")</f>
        <v/>
      </c>
      <c r="AK131" s="1477" t="str">
        <f>IFERROR(GETPIVOTDATA("合計 / 請求",【ピボット】国保連売上!$A$3,"年月",AK121,"事業所",$A121,"請求区分","単月")-AK130,"")</f>
        <v/>
      </c>
      <c r="AL131" s="1477" t="str">
        <f>IFERROR(GETPIVOTDATA("合計 / 請求",【ピボット】国保連売上!$A$3,"年月",AL121,"事業所",$A121,"請求区分","単月")-AL130,"")</f>
        <v/>
      </c>
      <c r="AM131" s="1477" t="str">
        <f>IFERROR(GETPIVOTDATA("合計 / 請求",【ピボット】国保連売上!$A$3,"年月",AM121,"事業所",$A121,"請求区分","単月")-AM130,"")</f>
        <v/>
      </c>
      <c r="AN131" s="1477" t="str">
        <f>IFERROR(GETPIVOTDATA("合計 / 請求",【ピボット】国保連売上!$A$3,"年月",AN121,"事業所",$A121,"請求区分","単月")-AN130,"")</f>
        <v/>
      </c>
      <c r="AO131" s="1477" t="str">
        <f>IFERROR(GETPIVOTDATA("合計 / 請求",【ピボット】国保連売上!$A$3,"年月",AO121,"事業所",$A121,"請求区分","単月")-AO130,"")</f>
        <v/>
      </c>
      <c r="AP131" s="1477" t="str">
        <f>IFERROR(GETPIVOTDATA("合計 / 請求",【ピボット】国保連売上!$A$3,"年月",AP121,"事業所",$A121,"請求区分","単月")-AP130,"")</f>
        <v/>
      </c>
      <c r="AQ131" s="1477" t="str">
        <f>IFERROR(GETPIVOTDATA("合計 / 請求",【ピボット】国保連売上!$A$3,"年月",AQ121,"事業所",$A121,"請求区分","単月")-AQ130,"")</f>
        <v/>
      </c>
      <c r="AR131" s="1477" t="str">
        <f>IFERROR(GETPIVOTDATA("合計 / 請求",【ピボット】国保連売上!$A$3,"年月",AR121,"事業所",$A121,"請求区分","単月")-AR130,"")</f>
        <v/>
      </c>
    </row>
    <row r="132" spans="1:44" hidden="1" x14ac:dyDescent="0.15">
      <c r="A132" s="2062"/>
      <c r="B132" s="724" t="s">
        <v>887</v>
      </c>
      <c r="C132" s="1475">
        <f t="shared" ref="C132:Z132" si="114">IF(SUM(C130:C131)=0,"",SUM(C130:C131))</f>
        <v>1499295</v>
      </c>
      <c r="D132" s="1476">
        <f t="shared" si="114"/>
        <v>1202991</v>
      </c>
      <c r="E132" s="1477">
        <f t="shared" si="114"/>
        <v>1093472</v>
      </c>
      <c r="F132" s="1477">
        <f t="shared" si="114"/>
        <v>1109940</v>
      </c>
      <c r="G132" s="1477">
        <f t="shared" si="114"/>
        <v>970654</v>
      </c>
      <c r="H132" s="1477">
        <f t="shared" si="114"/>
        <v>1223635</v>
      </c>
      <c r="I132" s="1477">
        <f t="shared" si="114"/>
        <v>1067354</v>
      </c>
      <c r="J132" s="1477">
        <f t="shared" si="114"/>
        <v>1141415</v>
      </c>
      <c r="K132" s="1477">
        <f t="shared" si="114"/>
        <v>1272256</v>
      </c>
      <c r="L132" s="1477">
        <f t="shared" si="114"/>
        <v>1407947</v>
      </c>
      <c r="M132" s="1477">
        <f t="shared" si="114"/>
        <v>1243781</v>
      </c>
      <c r="N132" s="1477">
        <f t="shared" si="114"/>
        <v>1292173</v>
      </c>
      <c r="O132" s="1477">
        <f t="shared" si="114"/>
        <v>1246620</v>
      </c>
      <c r="P132" s="1477">
        <f t="shared" si="114"/>
        <v>958455</v>
      </c>
      <c r="Q132" s="1477">
        <f t="shared" si="114"/>
        <v>795848</v>
      </c>
      <c r="R132" s="1477">
        <f t="shared" si="114"/>
        <v>824207</v>
      </c>
      <c r="S132" s="1477">
        <f t="shared" si="114"/>
        <v>884104</v>
      </c>
      <c r="T132" s="1477">
        <f t="shared" si="114"/>
        <v>915308</v>
      </c>
      <c r="U132" s="1477">
        <f t="shared" si="114"/>
        <v>914203</v>
      </c>
      <c r="V132" s="1477">
        <f t="shared" si="114"/>
        <v>764948</v>
      </c>
      <c r="W132" s="1477">
        <f t="shared" si="114"/>
        <v>564353</v>
      </c>
      <c r="X132" s="1477" t="str">
        <f t="shared" si="114"/>
        <v/>
      </c>
      <c r="Y132" s="1477" t="str">
        <f t="shared" si="114"/>
        <v/>
      </c>
      <c r="Z132" s="1477" t="str">
        <f t="shared" si="114"/>
        <v/>
      </c>
      <c r="AA132" s="1477" t="str">
        <f t="shared" ref="AA132:AF132" si="115">IF(SUM(AA130:AA131)=0,"",SUM(AA130:AA131))</f>
        <v/>
      </c>
      <c r="AB132" s="1477" t="str">
        <f t="shared" si="115"/>
        <v/>
      </c>
      <c r="AC132" s="1477" t="str">
        <f t="shared" si="115"/>
        <v/>
      </c>
      <c r="AD132" s="1477" t="str">
        <f t="shared" si="115"/>
        <v/>
      </c>
      <c r="AE132" s="1477" t="str">
        <f t="shared" si="115"/>
        <v/>
      </c>
      <c r="AF132" s="1477" t="str">
        <f t="shared" si="115"/>
        <v/>
      </c>
      <c r="AG132" s="1477" t="str">
        <f t="shared" ref="AG132:AR132" si="116">IF(SUM(AG130:AG131)=0,"",SUM(AG130:AG131))</f>
        <v/>
      </c>
      <c r="AH132" s="1477" t="str">
        <f t="shared" si="116"/>
        <v/>
      </c>
      <c r="AI132" s="1477" t="str">
        <f t="shared" si="116"/>
        <v/>
      </c>
      <c r="AJ132" s="1477" t="str">
        <f t="shared" si="116"/>
        <v/>
      </c>
      <c r="AK132" s="1477" t="str">
        <f t="shared" si="116"/>
        <v/>
      </c>
      <c r="AL132" s="1477" t="str">
        <f t="shared" si="116"/>
        <v/>
      </c>
      <c r="AM132" s="1477" t="str">
        <f t="shared" si="116"/>
        <v/>
      </c>
      <c r="AN132" s="1477" t="str">
        <f t="shared" si="116"/>
        <v/>
      </c>
      <c r="AO132" s="1477" t="str">
        <f t="shared" si="116"/>
        <v/>
      </c>
      <c r="AP132" s="1477" t="str">
        <f t="shared" si="116"/>
        <v/>
      </c>
      <c r="AQ132" s="1477" t="str">
        <f t="shared" si="116"/>
        <v/>
      </c>
      <c r="AR132" s="1477" t="str">
        <f t="shared" si="116"/>
        <v/>
      </c>
    </row>
    <row r="133" spans="1:44" hidden="1" x14ac:dyDescent="0.15">
      <c r="A133" s="2062" t="s">
        <v>897</v>
      </c>
      <c r="B133" s="724" t="s">
        <v>896</v>
      </c>
      <c r="C133" s="1475">
        <f>IFERROR(GETPIVOTDATA("合計 / " &amp; $B133,【ピボット】事業所収支!$A$3,"年月",C$1,"事業所",$A121),"")</f>
        <v>1042790</v>
      </c>
      <c r="D133" s="1476">
        <f>IFERROR(GETPIVOTDATA("合計 / " &amp; $B133,【ピボット】事業所収支!$A$3,"年月",D$1,"事業所",$A121),"")</f>
        <v>916404</v>
      </c>
      <c r="E133" s="1477">
        <f>IFERROR(GETPIVOTDATA("合計 / " &amp; $B133,【ピボット】事業所収支!$A$3,"年月",E$1,"事業所",$A121),"")</f>
        <v>983651</v>
      </c>
      <c r="F133" s="1477">
        <f>IFERROR(GETPIVOTDATA("合計 / " &amp; $B133,【ピボット】事業所収支!$A$3,"年月",F$1,"事業所",$A121),"")</f>
        <v>995174</v>
      </c>
      <c r="G133" s="1477">
        <f>IFERROR(GETPIVOTDATA("合計 / " &amp; $B133,【ピボット】事業所収支!$A$3,"年月",G$1,"事業所",$A121),"")</f>
        <v>829474</v>
      </c>
      <c r="H133" s="1477">
        <f>IFERROR(GETPIVOTDATA("合計 / " &amp; $B133,【ピボット】事業所収支!$A$3,"年月",H$1,"事業所",$A121),"")</f>
        <v>938498</v>
      </c>
      <c r="I133" s="1477">
        <f>IFERROR(GETPIVOTDATA("合計 / " &amp; $B133,【ピボット】事業所収支!$A$3,"年月",I$1,"事業所",$A121),"")</f>
        <v>914269</v>
      </c>
      <c r="J133" s="1477">
        <f>IFERROR(GETPIVOTDATA("合計 / " &amp; $B133,【ピボット】事業所収支!$A$3,"年月",J$1,"事業所",$A121),"")</f>
        <v>926258</v>
      </c>
      <c r="K133" s="1477">
        <f>IFERROR(GETPIVOTDATA("合計 / " &amp; $B133,【ピボット】事業所収支!$A$3,"年月",K$1,"事業所",$A121),"")</f>
        <v>953976</v>
      </c>
      <c r="L133" s="1477">
        <f>IFERROR(GETPIVOTDATA("合計 / " &amp; $B133,【ピボット】事業所収支!$A$3,"年月",L$1,"事業所",$A121),"")</f>
        <v>958131</v>
      </c>
      <c r="M133" s="1477">
        <f>IFERROR(GETPIVOTDATA("合計 / " &amp; $B133,【ピボット】事業所収支!$A$3,"年月",M$1,"事業所",$A121),"")</f>
        <v>956289</v>
      </c>
      <c r="N133" s="1477">
        <f>IFERROR(GETPIVOTDATA("合計 / " &amp; $B133,【ピボット】事業所収支!$A$3,"年月",N$1,"事業所",$A121),"")</f>
        <v>950404</v>
      </c>
      <c r="O133" s="1477">
        <f>IFERROR(GETPIVOTDATA("合計 / " &amp; $B133,【ピボット】事業所収支!$A$3,"年月",O$1,"事業所",$A121),"")</f>
        <v>922255</v>
      </c>
      <c r="P133" s="1477">
        <f>IFERROR(GETPIVOTDATA("合計 / " &amp; $B133,【ピボット】事業所収支!$A$3,"年月",P$1,"事業所",$A121),"")</f>
        <v>1103227</v>
      </c>
      <c r="Q133" s="1477">
        <f>IFERROR(GETPIVOTDATA("合計 / " &amp; $B133,【ピボット】事業所収支!$A$3,"年月",Q$1,"事業所",$A121),"")</f>
        <v>697207</v>
      </c>
      <c r="R133" s="1477">
        <f>IFERROR(GETPIVOTDATA("合計 / " &amp; $B133,【ピボット】事業所収支!$A$3,"年月",R$1,"事業所",$A121),"")</f>
        <v>694235</v>
      </c>
      <c r="S133" s="1477">
        <f>IFERROR(GETPIVOTDATA("合計 / " &amp; $B133,【ピボット】事業所収支!$A$3,"年月",S$1,"事業所",$A121),"")</f>
        <v>677000</v>
      </c>
      <c r="T133" s="1477">
        <f>IFERROR(GETPIVOTDATA("合計 / " &amp; $B133,【ピボット】事業所収支!$A$3,"年月",T$1,"事業所",$A121),"")</f>
        <v>300000</v>
      </c>
      <c r="U133" s="1477">
        <f>IFERROR(GETPIVOTDATA("合計 / " &amp; $B133,【ピボット】事業所収支!$A$3,"年月",U$1,"事業所",$A121),"")</f>
        <v>300000</v>
      </c>
      <c r="V133" s="1477">
        <f>IFERROR(GETPIVOTDATA("合計 / " &amp; $B133,【ピボット】事業所収支!$A$3,"年月",V$1,"事業所",$A121),"")</f>
        <v>300000</v>
      </c>
      <c r="W133" s="1477">
        <f>IFERROR(GETPIVOTDATA("合計 / " &amp; $B133,【ピボット】事業所収支!$A$3,"年月",W$1,"事業所",$A121),"")</f>
        <v>300000</v>
      </c>
      <c r="X133" s="1477">
        <f>IFERROR(GETPIVOTDATA("合計 / " &amp; $B133,【ピボット】事業所収支!$A$3,"年月",X$1,"事業所",$A121),"")</f>
        <v>300000</v>
      </c>
      <c r="Y133" s="1477" t="str">
        <f>IFERROR(GETPIVOTDATA("合計 / " &amp; $B133,【ピボット】事業所収支!$A$3,"年月",Y$1,"事業所",$A121),"")</f>
        <v/>
      </c>
      <c r="Z133" s="1477">
        <f>IFERROR(GETPIVOTDATA("合計 / " &amp; $B133,【ピボット】事業所収支!$A$3,"年月",Z$1,"事業所",$A121),"")</f>
        <v>0</v>
      </c>
      <c r="AA133" s="1477" t="str">
        <f>IFERROR(GETPIVOTDATA("合計 / " &amp; $B133,【ピボット】事業所収支!$A$3,"年月",AA$1,"事業所",$A121),"")</f>
        <v/>
      </c>
      <c r="AB133" s="1477" t="str">
        <f>IFERROR(GETPIVOTDATA("合計 / " &amp; $B133,【ピボット】事業所収支!$A$3,"年月",AB$1,"事業所",$A121),"")</f>
        <v/>
      </c>
      <c r="AC133" s="1477" t="str">
        <f>IFERROR(GETPIVOTDATA("合計 / " &amp; $B133,【ピボット】事業所収支!$A$3,"年月",AC$1,"事業所",$A121),"")</f>
        <v/>
      </c>
      <c r="AD133" s="1477" t="str">
        <f>IFERROR(GETPIVOTDATA("合計 / " &amp; $B133,【ピボット】事業所収支!$A$3,"年月",AD$1,"事業所",$A121),"")</f>
        <v/>
      </c>
      <c r="AE133" s="1477" t="str">
        <f>IFERROR(GETPIVOTDATA("合計 / " &amp; $B133,【ピボット】事業所収支!$A$3,"年月",AE$1,"事業所",$A121),"")</f>
        <v/>
      </c>
      <c r="AF133" s="1477" t="str">
        <f>IFERROR(GETPIVOTDATA("合計 / " &amp; $B133,【ピボット】事業所収支!$A$3,"年月",AF$1,"事業所",$A121),"")</f>
        <v/>
      </c>
      <c r="AG133" s="1477" t="str">
        <f>IFERROR(GETPIVOTDATA("合計 / " &amp; $B133,【ピボット】事業所収支!$A$3,"年月",AG$1,"事業所",$A121),"")</f>
        <v/>
      </c>
      <c r="AH133" s="1477" t="str">
        <f>IFERROR(GETPIVOTDATA("合計 / " &amp; $B133,【ピボット】事業所収支!$A$3,"年月",AH$1,"事業所",$A121),"")</f>
        <v/>
      </c>
      <c r="AI133" s="1477" t="str">
        <f>IFERROR(GETPIVOTDATA("合計 / " &amp; $B133,【ピボット】事業所収支!$A$3,"年月",AI$1,"事業所",$A121),"")</f>
        <v/>
      </c>
      <c r="AJ133" s="1477" t="str">
        <f>IFERROR(GETPIVOTDATA("合計 / " &amp; $B133,【ピボット】事業所収支!$A$3,"年月",AJ$1,"事業所",$A121),"")</f>
        <v/>
      </c>
      <c r="AK133" s="1477" t="str">
        <f>IFERROR(GETPIVOTDATA("合計 / " &amp; $B133,【ピボット】事業所収支!$A$3,"年月",AK$1,"事業所",$A121),"")</f>
        <v/>
      </c>
      <c r="AL133" s="1477" t="str">
        <f>IFERROR(GETPIVOTDATA("合計 / " &amp; $B133,【ピボット】事業所収支!$A$3,"年月",AL$1,"事業所",$A121),"")</f>
        <v/>
      </c>
      <c r="AM133" s="1477" t="str">
        <f>IFERROR(GETPIVOTDATA("合計 / " &amp; $B133,【ピボット】事業所収支!$A$3,"年月",AM$1,"事業所",$A121),"")</f>
        <v/>
      </c>
      <c r="AN133" s="1477" t="str">
        <f>IFERROR(GETPIVOTDATA("合計 / " &amp; $B133,【ピボット】事業所収支!$A$3,"年月",AN$1,"事業所",$A121),"")</f>
        <v/>
      </c>
      <c r="AO133" s="1477" t="str">
        <f>IFERROR(GETPIVOTDATA("合計 / " &amp; $B133,【ピボット】事業所収支!$A$3,"年月",AO$1,"事業所",$A121),"")</f>
        <v/>
      </c>
      <c r="AP133" s="1477" t="str">
        <f>IFERROR(GETPIVOTDATA("合計 / " &amp; $B133,【ピボット】事業所収支!$A$3,"年月",AP$1,"事業所",$A121),"")</f>
        <v/>
      </c>
      <c r="AQ133" s="1477" t="str">
        <f>IFERROR(GETPIVOTDATA("合計 / " &amp; $B133,【ピボット】事業所収支!$A$3,"年月",AQ$1,"事業所",$A121),"")</f>
        <v/>
      </c>
      <c r="AR133" s="1477" t="str">
        <f>IFERROR(GETPIVOTDATA("合計 / " &amp; $B133,【ピボット】事業所収支!$A$3,"年月",AR$1,"事業所",$A121),"")</f>
        <v/>
      </c>
    </row>
    <row r="134" spans="1:44" hidden="1" x14ac:dyDescent="0.15">
      <c r="A134" s="2062"/>
      <c r="B134" s="724" t="s">
        <v>895</v>
      </c>
      <c r="C134" s="1475">
        <f>IFERROR(GETPIVOTDATA("合計 / " &amp; $B134,【ピボット】事業所収支!$A$3,"年月",C$1,"事業所",$A121)-C140,"")</f>
        <v>560000</v>
      </c>
      <c r="D134" s="1476">
        <f>IFERROR(GETPIVOTDATA("合計 / " &amp; $B134,【ピボット】事業所収支!$A$3,"年月",D$1,"事業所",$A121)-D140,"")</f>
        <v>0</v>
      </c>
      <c r="E134" s="1477">
        <f>IFERROR(GETPIVOTDATA("合計 / " &amp; $B134,【ピボット】事業所収支!$A$3,"年月",E$1,"事業所",$A121)-E140,"")</f>
        <v>0</v>
      </c>
      <c r="F134" s="1477">
        <f>IFERROR(GETPIVOTDATA("合計 / " &amp; $B134,【ピボット】事業所収支!$A$3,"年月",F$1,"事業所",$A121)-F140,"")</f>
        <v>0</v>
      </c>
      <c r="G134" s="1477">
        <f>IFERROR(GETPIVOTDATA("合計 / " &amp; $B134,【ピボット】事業所収支!$A$3,"年月",G$1,"事業所",$A121)-G140,"")</f>
        <v>0</v>
      </c>
      <c r="H134" s="1477">
        <f>IFERROR(GETPIVOTDATA("合計 / " &amp; $B134,【ピボット】事業所収支!$A$3,"年月",H$1,"事業所",$A121)-H140,"")</f>
        <v>0</v>
      </c>
      <c r="I134" s="1477">
        <f>IFERROR(GETPIVOTDATA("合計 / " &amp; $B134,【ピボット】事業所収支!$A$3,"年月",I$1,"事業所",$A121)-I140,"")</f>
        <v>0</v>
      </c>
      <c r="J134" s="1477">
        <f>IFERROR(GETPIVOTDATA("合計 / " &amp; $B134,【ピボット】事業所収支!$A$3,"年月",J$1,"事業所",$A121)-J140,"")</f>
        <v>0</v>
      </c>
      <c r="K134" s="1477">
        <f>IFERROR(GETPIVOTDATA("合計 / " &amp; $B134,【ピボット】事業所収支!$A$3,"年月",K$1,"事業所",$A121)-K140,"")</f>
        <v>120000</v>
      </c>
      <c r="L134" s="1477">
        <f>IFERROR(GETPIVOTDATA("合計 / " &amp; $B134,【ピボット】事業所収支!$A$3,"年月",L$1,"事業所",$A121)-L140,"")</f>
        <v>0</v>
      </c>
      <c r="M134" s="1477">
        <f>IFERROR(GETPIVOTDATA("合計 / " &amp; $B134,【ピボット】事業所収支!$A$3,"年月",M$1,"事業所",$A121)-M140,"")</f>
        <v>0</v>
      </c>
      <c r="N134" s="1477">
        <f>IFERROR(GETPIVOTDATA("合計 / " &amp; $B134,【ピボット】事業所収支!$A$3,"年月",N$1,"事業所",$A121)-N140,"")</f>
        <v>0</v>
      </c>
      <c r="O134" s="1477">
        <f>IFERROR(GETPIVOTDATA("合計 / " &amp; $B134,【ピボット】事業所収支!$A$3,"年月",O$1,"事業所",$A121)-O140,"")</f>
        <v>380000</v>
      </c>
      <c r="P134" s="1477">
        <f>IFERROR(GETPIVOTDATA("合計 / " &amp; $B134,【ピボット】事業所収支!$A$3,"年月",P$1,"事業所",$A121)-P140,"")</f>
        <v>0</v>
      </c>
      <c r="Q134" s="1477">
        <f>IFERROR(GETPIVOTDATA("合計 / " &amp; $B134,【ピボット】事業所収支!$A$3,"年月",Q$1,"事業所",$A121)-Q140,"")</f>
        <v>0</v>
      </c>
      <c r="R134" s="1477">
        <f>IFERROR(GETPIVOTDATA("合計 / " &amp; $B134,【ピボット】事業所収支!$A$3,"年月",R$1,"事業所",$A121)-R140,"")</f>
        <v>0</v>
      </c>
      <c r="S134" s="1477">
        <f>IFERROR(GETPIVOTDATA("合計 / " &amp; $B134,【ピボット】事業所収支!$A$3,"年月",S$1,"事業所",$A121)-S140,"")</f>
        <v>0</v>
      </c>
      <c r="T134" s="1477">
        <f>IFERROR(GETPIVOTDATA("合計 / " &amp; $B134,【ピボット】事業所収支!$A$3,"年月",T$1,"事業所",$A121)-T140,"")</f>
        <v>0</v>
      </c>
      <c r="U134" s="1477">
        <f>IFERROR(GETPIVOTDATA("合計 / " &amp; $B134,【ピボット】事業所収支!$A$3,"年月",U$1,"事業所",$A121)-U140,"")</f>
        <v>0</v>
      </c>
      <c r="V134" s="1477">
        <f>IFERROR(GETPIVOTDATA("合計 / " &amp; $B134,【ピボット】事業所収支!$A$3,"年月",V$1,"事業所",$A121)-V140,"")</f>
        <v>0</v>
      </c>
      <c r="W134" s="1477">
        <f>IFERROR(GETPIVOTDATA("合計 / " &amp; $B134,【ピボット】事業所収支!$A$3,"年月",W$1,"事業所",$A121)-W140,"")</f>
        <v>0</v>
      </c>
      <c r="X134" s="1477">
        <f>IFERROR(GETPIVOTDATA("合計 / " &amp; $B134,【ピボット】事業所収支!$A$3,"年月",X$1,"事業所",$A121)-X140,"")</f>
        <v>0</v>
      </c>
      <c r="Y134" s="1477" t="str">
        <f>IFERROR(GETPIVOTDATA("合計 / " &amp; $B134,【ピボット】事業所収支!$A$3,"年月",Y$1,"事業所",$A121)-Y140,"")</f>
        <v/>
      </c>
      <c r="Z134" s="1477">
        <f>IFERROR(GETPIVOTDATA("合計 / " &amp; $B134,【ピボット】事業所収支!$A$3,"年月",Z$1,"事業所",$A121)-Z140,"")</f>
        <v>0</v>
      </c>
      <c r="AA134" s="1477" t="str">
        <f>IFERROR(GETPIVOTDATA("合計 / " &amp; $B134,【ピボット】事業所収支!$A$3,"年月",AA$1,"事業所",$A121)-AA140,"")</f>
        <v/>
      </c>
      <c r="AB134" s="1477" t="str">
        <f>IFERROR(GETPIVOTDATA("合計 / " &amp; $B134,【ピボット】事業所収支!$A$3,"年月",AB$1,"事業所",$A121)-AB140,"")</f>
        <v/>
      </c>
      <c r="AC134" s="1477" t="str">
        <f>IFERROR(GETPIVOTDATA("合計 / " &amp; $B134,【ピボット】事業所収支!$A$3,"年月",AC$1,"事業所",$A121)-AC140,"")</f>
        <v/>
      </c>
      <c r="AD134" s="1477" t="str">
        <f>IFERROR(GETPIVOTDATA("合計 / " &amp; $B134,【ピボット】事業所収支!$A$3,"年月",AD$1,"事業所",$A121)-AD140,"")</f>
        <v/>
      </c>
      <c r="AE134" s="1477" t="str">
        <f>IFERROR(GETPIVOTDATA("合計 / " &amp; $B134,【ピボット】事業所収支!$A$3,"年月",AE$1,"事業所",$A121)-AE140,"")</f>
        <v/>
      </c>
      <c r="AF134" s="1477" t="str">
        <f>IFERROR(GETPIVOTDATA("合計 / " &amp; $B134,【ピボット】事業所収支!$A$3,"年月",AF$1,"事業所",$A121)-AF140,"")</f>
        <v/>
      </c>
      <c r="AG134" s="1477" t="str">
        <f>IFERROR(GETPIVOTDATA("合計 / " &amp; $B134,【ピボット】事業所収支!$A$3,"年月",AG$1,"事業所",$A121)-AG140,"")</f>
        <v/>
      </c>
      <c r="AH134" s="1477" t="str">
        <f>IFERROR(GETPIVOTDATA("合計 / " &amp; $B134,【ピボット】事業所収支!$A$3,"年月",AH$1,"事業所",$A121)-AH140,"")</f>
        <v/>
      </c>
      <c r="AI134" s="1477" t="str">
        <f>IFERROR(GETPIVOTDATA("合計 / " &amp; $B134,【ピボット】事業所収支!$A$3,"年月",AI$1,"事業所",$A121)-AI140,"")</f>
        <v/>
      </c>
      <c r="AJ134" s="1477" t="str">
        <f>IFERROR(GETPIVOTDATA("合計 / " &amp; $B134,【ピボット】事業所収支!$A$3,"年月",AJ$1,"事業所",$A121)-AJ140,"")</f>
        <v/>
      </c>
      <c r="AK134" s="1477" t="str">
        <f>IFERROR(GETPIVOTDATA("合計 / " &amp; $B134,【ピボット】事業所収支!$A$3,"年月",AK$1,"事業所",$A121)-AK140,"")</f>
        <v/>
      </c>
      <c r="AL134" s="1477" t="str">
        <f>IFERROR(GETPIVOTDATA("合計 / " &amp; $B134,【ピボット】事業所収支!$A$3,"年月",AL$1,"事業所",$A121)-AL140,"")</f>
        <v/>
      </c>
      <c r="AM134" s="1477" t="str">
        <f>IFERROR(GETPIVOTDATA("合計 / " &amp; $B134,【ピボット】事業所収支!$A$3,"年月",AM$1,"事業所",$A121)-AM140,"")</f>
        <v/>
      </c>
      <c r="AN134" s="1477" t="str">
        <f>IFERROR(GETPIVOTDATA("合計 / " &amp; $B134,【ピボット】事業所収支!$A$3,"年月",AN$1,"事業所",$A121)-AN140,"")</f>
        <v/>
      </c>
      <c r="AO134" s="1477" t="str">
        <f>IFERROR(GETPIVOTDATA("合計 / " &amp; $B134,【ピボット】事業所収支!$A$3,"年月",AO$1,"事業所",$A121)-AO140,"")</f>
        <v/>
      </c>
      <c r="AP134" s="1477" t="str">
        <f>IFERROR(GETPIVOTDATA("合計 / " &amp; $B134,【ピボット】事業所収支!$A$3,"年月",AP$1,"事業所",$A121)-AP140,"")</f>
        <v/>
      </c>
      <c r="AQ134" s="1477" t="str">
        <f>IFERROR(GETPIVOTDATA("合計 / " &amp; $B134,【ピボット】事業所収支!$A$3,"年月",AQ$1,"事業所",$A121)-AQ140,"")</f>
        <v/>
      </c>
      <c r="AR134" s="1477" t="str">
        <f>IFERROR(GETPIVOTDATA("合計 / " &amp; $B134,【ピボット】事業所収支!$A$3,"年月",AR$1,"事業所",$A121)-AR140,"")</f>
        <v/>
      </c>
    </row>
    <row r="135" spans="1:44" hidden="1" x14ac:dyDescent="0.15">
      <c r="A135" s="2062"/>
      <c r="B135" s="724" t="s">
        <v>894</v>
      </c>
      <c r="C135" s="1475">
        <f>IF(C133="","",ROUND(C134/6,0))</f>
        <v>93333</v>
      </c>
      <c r="D135" s="1476">
        <f>IF(D133="","",ROUND(C134/6,0))</f>
        <v>93333</v>
      </c>
      <c r="E135" s="1477">
        <f>IF(E133="","",ROUND(C134/6,0))</f>
        <v>93333</v>
      </c>
      <c r="F135" s="1477">
        <f>IF(F133="","",ROUND(C134/6,0))</f>
        <v>93333</v>
      </c>
      <c r="G135" s="1477">
        <f>IF(G133="","",ROUND(C134/6,0))</f>
        <v>93333</v>
      </c>
      <c r="H135" s="1477">
        <f>IF(H133="","",ROUND(C134/6,0))</f>
        <v>93333</v>
      </c>
      <c r="I135" s="1477">
        <f>IF(I133="","",ROUND(I134/6,0))</f>
        <v>0</v>
      </c>
      <c r="J135" s="1477">
        <f>IF(J133="","",ROUND(I134/6,0))</f>
        <v>0</v>
      </c>
      <c r="K135" s="1477">
        <f>IF(K133="","",ROUND(I134/6,0))</f>
        <v>0</v>
      </c>
      <c r="L135" s="1477">
        <f>IF(L133="","",ROUND(I134/6,0))</f>
        <v>0</v>
      </c>
      <c r="M135" s="1477">
        <f>IF(M133="","",ROUND(I134/6,0))</f>
        <v>0</v>
      </c>
      <c r="N135" s="1477">
        <f>IF(N133="","",ROUND(I134/6,0))</f>
        <v>0</v>
      </c>
      <c r="O135" s="1477">
        <f>IF(O133="","",ROUND(O134/6,0))</f>
        <v>63333</v>
      </c>
      <c r="P135" s="1477">
        <f>IF(P133="","",ROUND(O134/6,0))</f>
        <v>63333</v>
      </c>
      <c r="Q135" s="1477">
        <f>IF(Q133="","",ROUND(O134/6,0))</f>
        <v>63333</v>
      </c>
      <c r="R135" s="1477">
        <f>IF(R133="","",ROUND(O134/6,0))</f>
        <v>63333</v>
      </c>
      <c r="S135" s="1477">
        <f>IF(S133="","",ROUND(O134/6,0))</f>
        <v>63333</v>
      </c>
      <c r="T135" s="1477">
        <f>IF(T133="","",ROUND(O134/6,0))</f>
        <v>63333</v>
      </c>
      <c r="U135" s="1477">
        <f>IF(U133="","",ROUND(U134/6,0))</f>
        <v>0</v>
      </c>
      <c r="V135" s="1477">
        <f>IF(V133="","",ROUND(U134/6,0))</f>
        <v>0</v>
      </c>
      <c r="W135" s="1477">
        <f>IF(W133="","",ROUND(U134/6,0))</f>
        <v>0</v>
      </c>
      <c r="X135" s="1477">
        <f>IF(X133="","",ROUND(U134/6,0))</f>
        <v>0</v>
      </c>
      <c r="Y135" s="1477" t="str">
        <f>IF(Y133="","",ROUND(U134/6,0))</f>
        <v/>
      </c>
      <c r="Z135" s="1477">
        <f>IF(Z133="","",ROUND(U134/6,0))</f>
        <v>0</v>
      </c>
      <c r="AA135" s="1477" t="str">
        <f>IF(AA133="","",ROUND(AA134/6,0))</f>
        <v/>
      </c>
      <c r="AB135" s="1477" t="str">
        <f>IF(AB133="","",ROUND(AA134/6,0))</f>
        <v/>
      </c>
      <c r="AC135" s="1477" t="str">
        <f>IF(AC133="","",ROUND(AA134/6,0))</f>
        <v/>
      </c>
      <c r="AD135" s="1477" t="str">
        <f>IF(AD133="","",ROUND(AA134/6,0))</f>
        <v/>
      </c>
      <c r="AE135" s="1477" t="str">
        <f>IF(AE133="","",ROUND(AA134/6,0))</f>
        <v/>
      </c>
      <c r="AF135" s="1477" t="str">
        <f>IF(AF133="","",ROUND(AA134/6,0))</f>
        <v/>
      </c>
      <c r="AG135" s="1477" t="str">
        <f>IF(AG133="","",ROUND(AG134/6,0))</f>
        <v/>
      </c>
      <c r="AH135" s="1477" t="str">
        <f>IF(AH133="","",ROUND(AG134/6,0))</f>
        <v/>
      </c>
      <c r="AI135" s="1477" t="str">
        <f>IF(AI133="","",ROUND(AG134/6,0))</f>
        <v/>
      </c>
      <c r="AJ135" s="1477" t="str">
        <f>IF(AJ133="","",ROUND(AG134/6,0))</f>
        <v/>
      </c>
      <c r="AK135" s="1477" t="str">
        <f>IF(AK133="","",ROUND(AG134/6,0))</f>
        <v/>
      </c>
      <c r="AL135" s="1477" t="str">
        <f>IF(AL133="","",ROUND(AG134/6,0))</f>
        <v/>
      </c>
      <c r="AM135" s="1477" t="str">
        <f>IF(AM133="","",ROUND(AM134/6,0))</f>
        <v/>
      </c>
      <c r="AN135" s="1477" t="str">
        <f>IF(AN133="","",ROUND(AM134/6,0))</f>
        <v/>
      </c>
      <c r="AO135" s="1477" t="str">
        <f>IF(AO133="","",ROUND(AM134/6,0))</f>
        <v/>
      </c>
      <c r="AP135" s="1477" t="str">
        <f>IF(AP133="","",ROUND(AM134/6,0))</f>
        <v/>
      </c>
      <c r="AQ135" s="1477" t="str">
        <f>IF(AQ133="","",ROUND(AM134/6,0))</f>
        <v/>
      </c>
      <c r="AR135" s="1477" t="str">
        <f>IF(AR133="","",ROUND(AM134/6,0))</f>
        <v/>
      </c>
    </row>
    <row r="136" spans="1:44" hidden="1" x14ac:dyDescent="0.15">
      <c r="A136" s="2062"/>
      <c r="B136" s="724" t="s">
        <v>889</v>
      </c>
      <c r="C136" s="1475">
        <f>IFERROR(GETPIVOTDATA("合計 / " &amp; $B136,【ピボット】事業所収支!$A$3,"年月",C$1,"事業所",$A121)-C141,"")</f>
        <v>38586</v>
      </c>
      <c r="D136" s="1476">
        <f>IFERROR(GETPIVOTDATA("合計 / " &amp; $B136,【ピボット】事業所収支!$A$3,"年月",D$1,"事業所",$A121)-D141,"")</f>
        <v>309249</v>
      </c>
      <c r="E136" s="1476">
        <f>IFERROR(GETPIVOTDATA("合計 / " &amp; $B136,【ピボット】事業所収支!$A$3,"年月",E$1,"事業所",$A121)-E141,"")</f>
        <v>111011</v>
      </c>
      <c r="F136" s="1476">
        <f>IFERROR(GETPIVOTDATA("合計 / " &amp; $B136,【ピボット】事業所収支!$A$3,"年月",F$1,"事業所",$A121)-F141,"")</f>
        <v>128832</v>
      </c>
      <c r="G136" s="1476">
        <f>IFERROR(GETPIVOTDATA("合計 / " &amp; $B136,【ピボット】事業所収支!$A$3,"年月",G$1,"事業所",$A121)-G141,"")</f>
        <v>96398</v>
      </c>
      <c r="H136" s="1476">
        <f>IFERROR(GETPIVOTDATA("合計 / " &amp; $B136,【ピボット】事業所収支!$A$3,"年月",H$1,"事業所",$A121)-H141,"")</f>
        <v>99886</v>
      </c>
      <c r="I136" s="1476">
        <f>IFERROR(GETPIVOTDATA("合計 / " &amp; $B136,【ピボット】事業所収支!$A$3,"年月",I$1,"事業所",$A121)-I141,"")</f>
        <v>113543</v>
      </c>
      <c r="J136" s="1476">
        <f>IFERROR(GETPIVOTDATA("合計 / " &amp; $B136,【ピボット】事業所収支!$A$3,"年月",J$1,"事業所",$A121)-J141,"")</f>
        <v>176134</v>
      </c>
      <c r="K136" s="1476">
        <f>IFERROR(GETPIVOTDATA("合計 / " &amp; $B136,【ピボット】事業所収支!$A$3,"年月",K$1,"事業所",$A121)-K141,"")</f>
        <v>113251</v>
      </c>
      <c r="L136" s="1476">
        <f>IFERROR(GETPIVOTDATA("合計 / " &amp; $B136,【ピボット】事業所収支!$A$3,"年月",L$1,"事業所",$A121)-L141,"")</f>
        <v>105380</v>
      </c>
      <c r="M136" s="1476">
        <f>IFERROR(GETPIVOTDATA("合計 / " &amp; $B136,【ピボット】事業所収支!$A$3,"年月",M$1,"事業所",$A121)-M141,"")</f>
        <v>163520</v>
      </c>
      <c r="N136" s="1476">
        <f>IFERROR(GETPIVOTDATA("合計 / " &amp; $B136,【ピボット】事業所収支!$A$3,"年月",N$1,"事業所",$A121)-N141,"")</f>
        <v>147133</v>
      </c>
      <c r="O136" s="1476">
        <f>IFERROR(GETPIVOTDATA("合計 / " &amp; $B136,【ピボット】事業所収支!$A$3,"年月",O$1,"事業所",$A121)-O141,"")</f>
        <v>-21590.013214222141</v>
      </c>
      <c r="P136" s="1476">
        <f>IFERROR(GETPIVOTDATA("合計 / " &amp; $B136,【ピボット】事業所収支!$A$3,"年月",P$1,"事業所",$A121)-P141,"")</f>
        <v>524770</v>
      </c>
      <c r="Q136" s="1476">
        <f>IFERROR(GETPIVOTDATA("合計 / " &amp; $B136,【ピボット】事業所収支!$A$3,"年月",Q$1,"事業所",$A121)-Q141,"")</f>
        <v>44817</v>
      </c>
      <c r="R136" s="1476">
        <f>IFERROR(GETPIVOTDATA("合計 / " &amp; $B136,【ピボット】事業所収支!$A$3,"年月",R$1,"事業所",$A121)-R141,"")</f>
        <v>55981</v>
      </c>
      <c r="S136" s="1476">
        <f>IFERROR(GETPIVOTDATA("合計 / " &amp; $B136,【ピボット】事業所収支!$A$3,"年月",S$1,"事業所",$A121)-S141,"")</f>
        <v>46590</v>
      </c>
      <c r="T136" s="1476">
        <f>IFERROR(GETPIVOTDATA("合計 / " &amp; $B136,【ピボット】事業所収支!$A$3,"年月",T$1,"事業所",$A121)-T141,"")</f>
        <v>0</v>
      </c>
      <c r="U136" s="1476">
        <f>IFERROR(GETPIVOTDATA("合計 / " &amp; $B136,【ピボット】事業所収支!$A$3,"年月",U$1,"事業所",$A121)-U141,"")</f>
        <v>0</v>
      </c>
      <c r="V136" s="1476">
        <f>IFERROR(GETPIVOTDATA("合計 / " &amp; $B136,【ピボット】事業所収支!$A$3,"年月",V$1,"事業所",$A121)-V141,"")</f>
        <v>0</v>
      </c>
      <c r="W136" s="1476">
        <f>IFERROR(GETPIVOTDATA("合計 / " &amp; $B136,【ピボット】事業所収支!$A$3,"年月",W$1,"事業所",$A121)-W141,"")</f>
        <v>0</v>
      </c>
      <c r="X136" s="1476">
        <f>IFERROR(GETPIVOTDATA("合計 / " &amp; $B136,【ピボット】事業所収支!$A$3,"年月",X$1,"事業所",$A121)-X141,"")</f>
        <v>0</v>
      </c>
      <c r="Y136" s="1476" t="str">
        <f>IFERROR(GETPIVOTDATA("合計 / " &amp; $B136,【ピボット】事業所収支!$A$3,"年月",Y$1,"事業所",$A121)-Y141,"")</f>
        <v/>
      </c>
      <c r="Z136" s="1476">
        <f>IFERROR(GETPIVOTDATA("合計 / " &amp; $B136,【ピボット】事業所収支!$A$3,"年月",Z$1,"事業所",$A121)-Z141,"")</f>
        <v>0</v>
      </c>
      <c r="AA136" s="1476" t="str">
        <f>IFERROR(GETPIVOTDATA("合計 / " &amp; $B136,【ピボット】事業所収支!$A$3,"年月",AA$1,"事業所",$A121)-AA141,"")</f>
        <v/>
      </c>
      <c r="AB136" s="1476" t="str">
        <f>IFERROR(GETPIVOTDATA("合計 / " &amp; $B136,【ピボット】事業所収支!$A$3,"年月",AB$1,"事業所",$A121)-AB141,"")</f>
        <v/>
      </c>
      <c r="AC136" s="1476" t="str">
        <f>IFERROR(GETPIVOTDATA("合計 / " &amp; $B136,【ピボット】事業所収支!$A$3,"年月",AC$1,"事業所",$A121)-AC141,"")</f>
        <v/>
      </c>
      <c r="AD136" s="1476" t="str">
        <f>IFERROR(GETPIVOTDATA("合計 / " &amp; $B136,【ピボット】事業所収支!$A$3,"年月",AD$1,"事業所",$A121)-AD141,"")</f>
        <v/>
      </c>
      <c r="AE136" s="1476" t="str">
        <f>IFERROR(GETPIVOTDATA("合計 / " &amp; $B136,【ピボット】事業所収支!$A$3,"年月",AE$1,"事業所",$A121)-AE141,"")</f>
        <v/>
      </c>
      <c r="AF136" s="1476" t="str">
        <f>IFERROR(GETPIVOTDATA("合計 / " &amp; $B136,【ピボット】事業所収支!$A$3,"年月",AF$1,"事業所",$A121)-AF141,"")</f>
        <v/>
      </c>
      <c r="AG136" s="1476" t="str">
        <f>IFERROR(GETPIVOTDATA("合計 / " &amp; $B136,【ピボット】事業所収支!$A$3,"年月",AG$1,"事業所",$A121)-AG141,"")</f>
        <v/>
      </c>
      <c r="AH136" s="1476" t="str">
        <f>IFERROR(GETPIVOTDATA("合計 / " &amp; $B136,【ピボット】事業所収支!$A$3,"年月",AH$1,"事業所",$A121)-AH141,"")</f>
        <v/>
      </c>
      <c r="AI136" s="1476" t="str">
        <f>IFERROR(GETPIVOTDATA("合計 / " &amp; $B136,【ピボット】事業所収支!$A$3,"年月",AI$1,"事業所",$A121)-AI141,"")</f>
        <v/>
      </c>
      <c r="AJ136" s="1476" t="str">
        <f>IFERROR(GETPIVOTDATA("合計 / " &amp; $B136,【ピボット】事業所収支!$A$3,"年月",AJ$1,"事業所",$A121)-AJ141,"")</f>
        <v/>
      </c>
      <c r="AK136" s="1476" t="str">
        <f>IFERROR(GETPIVOTDATA("合計 / " &amp; $B136,【ピボット】事業所収支!$A$3,"年月",AK$1,"事業所",$A121)-AK141,"")</f>
        <v/>
      </c>
      <c r="AL136" s="1476" t="str">
        <f>IFERROR(GETPIVOTDATA("合計 / " &amp; $B136,【ピボット】事業所収支!$A$3,"年月",AL$1,"事業所",$A121)-AL141,"")</f>
        <v/>
      </c>
      <c r="AM136" s="1476" t="str">
        <f>IFERROR(GETPIVOTDATA("合計 / " &amp; $B136,【ピボット】事業所収支!$A$3,"年月",AM$1,"事業所",$A121)-AM141,"")</f>
        <v/>
      </c>
      <c r="AN136" s="1476" t="str">
        <f>IFERROR(GETPIVOTDATA("合計 / " &amp; $B136,【ピボット】事業所収支!$A$3,"年月",AN$1,"事業所",$A121)-AN141,"")</f>
        <v/>
      </c>
      <c r="AO136" s="1476" t="str">
        <f>IFERROR(GETPIVOTDATA("合計 / " &amp; $B136,【ピボット】事業所収支!$A$3,"年月",AO$1,"事業所",$A121)-AO141,"")</f>
        <v/>
      </c>
      <c r="AP136" s="1476" t="str">
        <f>IFERROR(GETPIVOTDATA("合計 / " &amp; $B136,【ピボット】事業所収支!$A$3,"年月",AP$1,"事業所",$A121)-AP141,"")</f>
        <v/>
      </c>
      <c r="AQ136" s="1476" t="str">
        <f>IFERROR(GETPIVOTDATA("合計 / " &amp; $B136,【ピボット】事業所収支!$A$3,"年月",AQ$1,"事業所",$A121)-AQ141,"")</f>
        <v/>
      </c>
      <c r="AR136" s="1476" t="str">
        <f>IFERROR(GETPIVOTDATA("合計 / " &amp; $B136,【ピボット】事業所収支!$A$3,"年月",AR$1,"事業所",$A121)-AR141,"")</f>
        <v/>
      </c>
    </row>
    <row r="137" spans="1:44" hidden="1" x14ac:dyDescent="0.15">
      <c r="A137" s="2062"/>
      <c r="B137" s="724" t="s">
        <v>893</v>
      </c>
      <c r="C137" s="1475">
        <f>IFERROR(GETPIVOTDATA("合計 / " &amp; $B137,【ピボット】事業所収支!$A$3,"年月",C$1,"事業所",$A121),"")</f>
        <v>3402</v>
      </c>
      <c r="D137" s="1476">
        <f>IFERROR(GETPIVOTDATA("合計 / " &amp; $B137,【ピボット】事業所収支!$A$3,"年月",D$1,"事業所",$A121),"")</f>
        <v>13236</v>
      </c>
      <c r="E137" s="1476">
        <f>IFERROR(GETPIVOTDATA("合計 / " &amp; $B137,【ピボット】事業所収支!$A$3,"年月",E$1,"事業所",$A121),"")</f>
        <v>9236</v>
      </c>
      <c r="F137" s="1476">
        <f>IFERROR(GETPIVOTDATA("合計 / " &amp; $B137,【ピボット】事業所収支!$A$3,"年月",F$1,"事業所",$A121),"")</f>
        <v>5670</v>
      </c>
      <c r="G137" s="1476">
        <f>IFERROR(GETPIVOTDATA("合計 / " &amp; $B137,【ピボット】事業所収支!$A$3,"年月",G$1,"事業所",$A121),"")</f>
        <v>9520</v>
      </c>
      <c r="H137" s="1476">
        <f>IFERROR(GETPIVOTDATA("合計 / " &amp; $B137,【ピボット】事業所収支!$A$3,"年月",H$1,"事業所",$A121),"")</f>
        <v>5757</v>
      </c>
      <c r="I137" s="1476">
        <f>IFERROR(GETPIVOTDATA("合計 / " &amp; $B137,【ピボット】事業所収支!$A$3,"年月",I$1,"事業所",$A121),"")</f>
        <v>29170</v>
      </c>
      <c r="J137" s="1476">
        <f>IFERROR(GETPIVOTDATA("合計 / " &amp; $B137,【ピボット】事業所収支!$A$3,"年月",J$1,"事業所",$A121),"")</f>
        <v>5670</v>
      </c>
      <c r="K137" s="1476">
        <f>IFERROR(GETPIVOTDATA("合計 / " &amp; $B137,【ピボット】事業所収支!$A$3,"年月",K$1,"事業所",$A121),"")</f>
        <v>0</v>
      </c>
      <c r="L137" s="1476">
        <f>IFERROR(GETPIVOTDATA("合計 / " &amp; $B137,【ピボット】事業所収支!$A$3,"年月",L$1,"事業所",$A121),"")</f>
        <v>4700</v>
      </c>
      <c r="M137" s="1476">
        <f>IFERROR(GETPIVOTDATA("合計 / " &amp; $B137,【ピボット】事業所収支!$A$3,"年月",M$1,"事業所",$A121),"")</f>
        <v>0</v>
      </c>
      <c r="N137" s="1476">
        <f>IFERROR(GETPIVOTDATA("合計 / " &amp; $B137,【ピボット】事業所収支!$A$3,"年月",N$1,"事業所",$A121),"")</f>
        <v>0</v>
      </c>
      <c r="O137" s="1476">
        <f>IFERROR(GETPIVOTDATA("合計 / " &amp; $B137,【ピボット】事業所収支!$A$3,"年月",O$1,"事業所",$A121),"")</f>
        <v>0</v>
      </c>
      <c r="P137" s="1476">
        <f>IFERROR(GETPIVOTDATA("合計 / " &amp; $B137,【ピボット】事業所収支!$A$3,"年月",P$1,"事業所",$A121),"")</f>
        <v>217455</v>
      </c>
      <c r="Q137" s="1476">
        <f>IFERROR(GETPIVOTDATA("合計 / " &amp; $B137,【ピボット】事業所収支!$A$3,"年月",Q$1,"事業所",$A121),"")</f>
        <v>0</v>
      </c>
      <c r="R137" s="1476">
        <f>IFERROR(GETPIVOTDATA("合計 / " &amp; $B137,【ピボット】事業所収支!$A$3,"年月",R$1,"事業所",$A121),"")</f>
        <v>0</v>
      </c>
      <c r="S137" s="1476">
        <f>IFERROR(GETPIVOTDATA("合計 / " &amp; $B137,【ピボット】事業所収支!$A$3,"年月",S$1,"事業所",$A121),"")</f>
        <v>0</v>
      </c>
      <c r="T137" s="1476">
        <f>IFERROR(GETPIVOTDATA("合計 / " &amp; $B137,【ピボット】事業所収支!$A$3,"年月",T$1,"事業所",$A121),"")</f>
        <v>284</v>
      </c>
      <c r="U137" s="1476">
        <f>IFERROR(GETPIVOTDATA("合計 / " &amp; $B137,【ピボット】事業所収支!$A$3,"年月",U$1,"事業所",$A121),"")</f>
        <v>85</v>
      </c>
      <c r="V137" s="1476">
        <f>IFERROR(GETPIVOTDATA("合計 / " &amp; $B137,【ピボット】事業所収支!$A$3,"年月",V$1,"事業所",$A121),"")</f>
        <v>0</v>
      </c>
      <c r="W137" s="1476">
        <f>IFERROR(GETPIVOTDATA("合計 / " &amp; $B137,【ピボット】事業所収支!$A$3,"年月",W$1,"事業所",$A121),"")</f>
        <v>0</v>
      </c>
      <c r="X137" s="1476">
        <f>IFERROR(GETPIVOTDATA("合計 / " &amp; $B137,【ピボット】事業所収支!$A$3,"年月",X$1,"事業所",$A121),"")</f>
        <v>0</v>
      </c>
      <c r="Y137" s="1476" t="str">
        <f>IFERROR(GETPIVOTDATA("合計 / " &amp; $B137,【ピボット】事業所収支!$A$3,"年月",Y$1,"事業所",$A121),"")</f>
        <v/>
      </c>
      <c r="Z137" s="1476">
        <f>IFERROR(GETPIVOTDATA("合計 / " &amp; $B137,【ピボット】事業所収支!$A$3,"年月",Z$1,"事業所",$A121),"")</f>
        <v>0</v>
      </c>
      <c r="AA137" s="1476" t="str">
        <f>IFERROR(GETPIVOTDATA("合計 / " &amp; $B137,【ピボット】事業所収支!$A$3,"年月",AA$1,"事業所",$A121),"")</f>
        <v/>
      </c>
      <c r="AB137" s="1476" t="str">
        <f>IFERROR(GETPIVOTDATA("合計 / " &amp; $B137,【ピボット】事業所収支!$A$3,"年月",AB$1,"事業所",$A121),"")</f>
        <v/>
      </c>
      <c r="AC137" s="1476" t="str">
        <f>IFERROR(GETPIVOTDATA("合計 / " &amp; $B137,【ピボット】事業所収支!$A$3,"年月",AC$1,"事業所",$A121),"")</f>
        <v/>
      </c>
      <c r="AD137" s="1476" t="str">
        <f>IFERROR(GETPIVOTDATA("合計 / " &amp; $B137,【ピボット】事業所収支!$A$3,"年月",AD$1,"事業所",$A121),"")</f>
        <v/>
      </c>
      <c r="AE137" s="1476" t="str">
        <f>IFERROR(GETPIVOTDATA("合計 / " &amp; $B137,【ピボット】事業所収支!$A$3,"年月",AE$1,"事業所",$A121),"")</f>
        <v/>
      </c>
      <c r="AF137" s="1476" t="str">
        <f>IFERROR(GETPIVOTDATA("合計 / " &amp; $B137,【ピボット】事業所収支!$A$3,"年月",AF$1,"事業所",$A121),"")</f>
        <v/>
      </c>
      <c r="AG137" s="1476" t="str">
        <f>IFERROR(GETPIVOTDATA("合計 / " &amp; $B137,【ピボット】事業所収支!$A$3,"年月",AG$1,"事業所",$A121),"")</f>
        <v/>
      </c>
      <c r="AH137" s="1476" t="str">
        <f>IFERROR(GETPIVOTDATA("合計 / " &amp; $B137,【ピボット】事業所収支!$A$3,"年月",AH$1,"事業所",$A121),"")</f>
        <v/>
      </c>
      <c r="AI137" s="1476" t="str">
        <f>IFERROR(GETPIVOTDATA("合計 / " &amp; $B137,【ピボット】事業所収支!$A$3,"年月",AI$1,"事業所",$A121),"")</f>
        <v/>
      </c>
      <c r="AJ137" s="1476" t="str">
        <f>IFERROR(GETPIVOTDATA("合計 / " &amp; $B137,【ピボット】事業所収支!$A$3,"年月",AJ$1,"事業所",$A121),"")</f>
        <v/>
      </c>
      <c r="AK137" s="1476" t="str">
        <f>IFERROR(GETPIVOTDATA("合計 / " &amp; $B137,【ピボット】事業所収支!$A$3,"年月",AK$1,"事業所",$A121),"")</f>
        <v/>
      </c>
      <c r="AL137" s="1476" t="str">
        <f>IFERROR(GETPIVOTDATA("合計 / " &amp; $B137,【ピボット】事業所収支!$A$3,"年月",AL$1,"事業所",$A121),"")</f>
        <v/>
      </c>
      <c r="AM137" s="1476" t="str">
        <f>IFERROR(GETPIVOTDATA("合計 / " &amp; $B137,【ピボット】事業所収支!$A$3,"年月",AM$1,"事業所",$A121),"")</f>
        <v/>
      </c>
      <c r="AN137" s="1476" t="str">
        <f>IFERROR(GETPIVOTDATA("合計 / " &amp; $B137,【ピボット】事業所収支!$A$3,"年月",AN$1,"事業所",$A121),"")</f>
        <v/>
      </c>
      <c r="AO137" s="1476" t="str">
        <f>IFERROR(GETPIVOTDATA("合計 / " &amp; $B137,【ピボット】事業所収支!$A$3,"年月",AO$1,"事業所",$A121),"")</f>
        <v/>
      </c>
      <c r="AP137" s="1476" t="str">
        <f>IFERROR(GETPIVOTDATA("合計 / " &amp; $B137,【ピボット】事業所収支!$A$3,"年月",AP$1,"事業所",$A121),"")</f>
        <v/>
      </c>
      <c r="AQ137" s="1476" t="str">
        <f>IFERROR(GETPIVOTDATA("合計 / " &amp; $B137,【ピボット】事業所収支!$A$3,"年月",AQ$1,"事業所",$A121),"")</f>
        <v/>
      </c>
      <c r="AR137" s="1476" t="str">
        <f>IFERROR(GETPIVOTDATA("合計 / " &amp; $B137,【ピボット】事業所収支!$A$3,"年月",AR$1,"事業所",$A121),"")</f>
        <v/>
      </c>
    </row>
    <row r="138" spans="1:44" hidden="1" x14ac:dyDescent="0.15">
      <c r="A138" s="2062"/>
      <c r="B138" s="724" t="s">
        <v>892</v>
      </c>
      <c r="C138" s="1475">
        <f t="shared" ref="C138:J138" si="117">IF(SUM(C133,C136:C137)=0,"",SUM(C133,C136:C137))</f>
        <v>1084778</v>
      </c>
      <c r="D138" s="1476">
        <f t="shared" si="117"/>
        <v>1238889</v>
      </c>
      <c r="E138" s="1476">
        <f t="shared" si="117"/>
        <v>1103898</v>
      </c>
      <c r="F138" s="1476">
        <f t="shared" si="117"/>
        <v>1129676</v>
      </c>
      <c r="G138" s="1476">
        <f t="shared" si="117"/>
        <v>935392</v>
      </c>
      <c r="H138" s="1476">
        <f t="shared" si="117"/>
        <v>1044141</v>
      </c>
      <c r="I138" s="1476">
        <f t="shared" si="117"/>
        <v>1056982</v>
      </c>
      <c r="J138" s="1476">
        <f t="shared" si="117"/>
        <v>1108062</v>
      </c>
      <c r="K138" s="1476">
        <f>IF(SUM(K133:K134,K136:K137)=0,"",SUM(K133:K134,K136:K137))</f>
        <v>1187227</v>
      </c>
      <c r="L138" s="1476">
        <f t="shared" ref="L138:Z138" si="118">IF(SUM(L133,L136:L137)=0,"",SUM(L133,L136:L137))</f>
        <v>1068211</v>
      </c>
      <c r="M138" s="1476">
        <f t="shared" si="118"/>
        <v>1119809</v>
      </c>
      <c r="N138" s="1476">
        <f t="shared" si="118"/>
        <v>1097537</v>
      </c>
      <c r="O138" s="1476">
        <f t="shared" si="118"/>
        <v>900664.98678577784</v>
      </c>
      <c r="P138" s="1476">
        <f t="shared" si="118"/>
        <v>1845452</v>
      </c>
      <c r="Q138" s="1476">
        <f t="shared" si="118"/>
        <v>742024</v>
      </c>
      <c r="R138" s="1476">
        <f t="shared" si="118"/>
        <v>750216</v>
      </c>
      <c r="S138" s="1476">
        <f t="shared" si="118"/>
        <v>723590</v>
      </c>
      <c r="T138" s="1476">
        <f t="shared" si="118"/>
        <v>300284</v>
      </c>
      <c r="U138" s="1476">
        <f t="shared" si="118"/>
        <v>300085</v>
      </c>
      <c r="V138" s="1476">
        <f t="shared" si="118"/>
        <v>300000</v>
      </c>
      <c r="W138" s="1476">
        <f t="shared" si="118"/>
        <v>300000</v>
      </c>
      <c r="X138" s="1476">
        <f t="shared" si="118"/>
        <v>300000</v>
      </c>
      <c r="Y138" s="1476" t="str">
        <f t="shared" si="118"/>
        <v/>
      </c>
      <c r="Z138" s="1476" t="str">
        <f t="shared" si="118"/>
        <v/>
      </c>
      <c r="AA138" s="1476" t="str">
        <f t="shared" ref="AA138:AF138" si="119">IF(SUM(AA133,AA136:AA137)=0,"",SUM(AA133,AA136:AA137))</f>
        <v/>
      </c>
      <c r="AB138" s="1476" t="str">
        <f t="shared" si="119"/>
        <v/>
      </c>
      <c r="AC138" s="1476" t="str">
        <f t="shared" si="119"/>
        <v/>
      </c>
      <c r="AD138" s="1476" t="str">
        <f t="shared" si="119"/>
        <v/>
      </c>
      <c r="AE138" s="1476" t="str">
        <f t="shared" si="119"/>
        <v/>
      </c>
      <c r="AF138" s="1476" t="str">
        <f t="shared" si="119"/>
        <v/>
      </c>
      <c r="AG138" s="1476" t="str">
        <f t="shared" ref="AG138:AR138" si="120">IF(SUM(AG133,AG136:AG137)=0,"",SUM(AG133,AG136:AG137))</f>
        <v/>
      </c>
      <c r="AH138" s="1476" t="str">
        <f t="shared" si="120"/>
        <v/>
      </c>
      <c r="AI138" s="1476" t="str">
        <f t="shared" si="120"/>
        <v/>
      </c>
      <c r="AJ138" s="1476" t="str">
        <f t="shared" si="120"/>
        <v/>
      </c>
      <c r="AK138" s="1476" t="str">
        <f t="shared" si="120"/>
        <v/>
      </c>
      <c r="AL138" s="1476" t="str">
        <f t="shared" si="120"/>
        <v/>
      </c>
      <c r="AM138" s="1476" t="str">
        <f t="shared" si="120"/>
        <v/>
      </c>
      <c r="AN138" s="1476" t="str">
        <f t="shared" si="120"/>
        <v/>
      </c>
      <c r="AO138" s="1476" t="str">
        <f t="shared" si="120"/>
        <v/>
      </c>
      <c r="AP138" s="1476" t="str">
        <f t="shared" si="120"/>
        <v/>
      </c>
      <c r="AQ138" s="1476" t="str">
        <f t="shared" si="120"/>
        <v/>
      </c>
      <c r="AR138" s="1476" t="str">
        <f t="shared" si="120"/>
        <v/>
      </c>
    </row>
    <row r="139" spans="1:44" hidden="1" x14ac:dyDescent="0.15">
      <c r="A139" s="2062"/>
      <c r="B139" s="724" t="s">
        <v>891</v>
      </c>
      <c r="C139" s="1475">
        <f>IFERROR(GETPIVOTDATA("合計 / " &amp; $B139,【ピボット】事業所収支!$A$3,"年月",C$1,"事業所",$A121),"")</f>
        <v>491288</v>
      </c>
      <c r="D139" s="1476">
        <f>IFERROR(GETPIVOTDATA("合計 / " &amp; $B139,【ピボット】事業所収支!$A$3,"年月",D$1,"事業所",$A121),"")</f>
        <v>662256</v>
      </c>
      <c r="E139" s="1476">
        <f>IFERROR(GETPIVOTDATA("合計 / " &amp; $B139,【ピボット】事業所収支!$A$3,"年月",E$1,"事業所",$A121),"")</f>
        <v>526361</v>
      </c>
      <c r="F139" s="1476">
        <f>IFERROR(GETPIVOTDATA("合計 / " &amp; $B139,【ピボット】事業所収支!$A$3,"年月",F$1,"事業所",$A121),"")</f>
        <v>676763</v>
      </c>
      <c r="G139" s="1476">
        <f>IFERROR(GETPIVOTDATA("合計 / " &amp; $B139,【ピボット】事業所収支!$A$3,"年月",G$1,"事業所",$A121),"")</f>
        <v>523858</v>
      </c>
      <c r="H139" s="1476">
        <f>IFERROR(GETPIVOTDATA("合計 / " &amp; $B139,【ピボット】事業所収支!$A$3,"年月",H$1,"事業所",$A121),"")</f>
        <v>548720</v>
      </c>
      <c r="I139" s="1476">
        <f>IFERROR(GETPIVOTDATA("合計 / " &amp; $B139,【ピボット】事業所収支!$A$3,"年月",I$1,"事業所",$A121),"")</f>
        <v>516058</v>
      </c>
      <c r="J139" s="1476">
        <f>IFERROR(GETPIVOTDATA("合計 / " &amp; $B139,【ピボット】事業所収支!$A$3,"年月",J$1,"事業所",$A121),"")</f>
        <v>659538</v>
      </c>
      <c r="K139" s="1476">
        <f>IFERROR(GETPIVOTDATA("合計 / " &amp; $B139,【ピボット】事業所収支!$A$3,"年月",K$1,"事業所",$A121),"")</f>
        <v>608890</v>
      </c>
      <c r="L139" s="1476">
        <f>IFERROR(GETPIVOTDATA("合計 / " &amp; $B139,【ピボット】事業所収支!$A$3,"年月",L$1,"事業所",$A121),"")</f>
        <v>648421</v>
      </c>
      <c r="M139" s="1476">
        <f>IFERROR(GETPIVOTDATA("合計 / " &amp; $B139,【ピボット】事業所収支!$A$3,"年月",M$1,"事業所",$A121),"")</f>
        <v>586197</v>
      </c>
      <c r="N139" s="1476">
        <f>IFERROR(GETPIVOTDATA("合計 / " &amp; $B139,【ピボット】事業所収支!$A$3,"年月",N$1,"事業所",$A121),"")</f>
        <v>596852</v>
      </c>
      <c r="O139" s="1476">
        <f>IFERROR(GETPIVOTDATA("合計 / " &amp; $B139,【ピボット】事業所収支!$A$3,"年月",O$1,"事業所",$A121),"")</f>
        <v>581761</v>
      </c>
      <c r="P139" s="1476">
        <f>IFERROR(GETPIVOTDATA("合計 / " &amp; $B139,【ピボット】事業所収支!$A$3,"年月",P$1,"事業所",$A121),"")</f>
        <v>660281</v>
      </c>
      <c r="Q139" s="1476">
        <f>IFERROR(GETPIVOTDATA("合計 / " &amp; $B139,【ピボット】事業所収支!$A$3,"年月",Q$1,"事業所",$A121),"")</f>
        <v>566140</v>
      </c>
      <c r="R139" s="1476">
        <f>IFERROR(GETPIVOTDATA("合計 / " &amp; $B139,【ピボット】事業所収支!$A$3,"年月",R$1,"事業所",$A121),"")</f>
        <v>670372</v>
      </c>
      <c r="S139" s="1476">
        <f>IFERROR(GETPIVOTDATA("合計 / " &amp; $B139,【ピボット】事業所収支!$A$3,"年月",S$1,"事業所",$A121),"")</f>
        <v>508048</v>
      </c>
      <c r="T139" s="1476">
        <f>IFERROR(GETPIVOTDATA("合計 / " &amp; $B139,【ピボット】事業所収支!$A$3,"年月",T$1,"事業所",$A121),"")</f>
        <v>616701</v>
      </c>
      <c r="U139" s="1476">
        <f>IFERROR(GETPIVOTDATA("合計 / " &amp; $B139,【ピボット】事業所収支!$A$3,"年月",U$1,"事業所",$A121),"")</f>
        <v>655449</v>
      </c>
      <c r="V139" s="1476">
        <f>IFERROR(GETPIVOTDATA("合計 / " &amp; $B139,【ピボット】事業所収支!$A$3,"年月",V$1,"事業所",$A121),"")</f>
        <v>529847</v>
      </c>
      <c r="W139" s="1476">
        <f>IFERROR(GETPIVOTDATA("合計 / " &amp; $B139,【ピボット】事業所収支!$A$3,"年月",W$1,"事業所",$A121),"")</f>
        <v>527963</v>
      </c>
      <c r="X139" s="1476">
        <f>IFERROR(GETPIVOTDATA("合計 / " &amp; $B139,【ピボット】事業所収支!$A$3,"年月",X$1,"事業所",$A121),"")</f>
        <v>385027</v>
      </c>
      <c r="Y139" s="1476" t="str">
        <f>IFERROR(GETPIVOTDATA("合計 / " &amp; $B139,【ピボット】事業所収支!$A$3,"年月",Y$1,"事業所",$A121),"")</f>
        <v/>
      </c>
      <c r="Z139" s="1476">
        <f>IFERROR(GETPIVOTDATA("合計 / " &amp; $B139,【ピボット】事業所収支!$A$3,"年月",Z$1,"事業所",$A121),"")</f>
        <v>0</v>
      </c>
      <c r="AA139" s="1476" t="str">
        <f>IFERROR(GETPIVOTDATA("合計 / " &amp; $B139,【ピボット】事業所収支!$A$3,"年月",AA$1,"事業所",$A121),"")</f>
        <v/>
      </c>
      <c r="AB139" s="1476" t="str">
        <f>IFERROR(GETPIVOTDATA("合計 / " &amp; $B139,【ピボット】事業所収支!$A$3,"年月",AB$1,"事業所",$A121),"")</f>
        <v/>
      </c>
      <c r="AC139" s="1476" t="str">
        <f>IFERROR(GETPIVOTDATA("合計 / " &amp; $B139,【ピボット】事業所収支!$A$3,"年月",AC$1,"事業所",$A121),"")</f>
        <v/>
      </c>
      <c r="AD139" s="1476" t="str">
        <f>IFERROR(GETPIVOTDATA("合計 / " &amp; $B139,【ピボット】事業所収支!$A$3,"年月",AD$1,"事業所",$A121),"")</f>
        <v/>
      </c>
      <c r="AE139" s="1476" t="str">
        <f>IFERROR(GETPIVOTDATA("合計 / " &amp; $B139,【ピボット】事業所収支!$A$3,"年月",AE$1,"事業所",$A121),"")</f>
        <v/>
      </c>
      <c r="AF139" s="1476" t="str">
        <f>IFERROR(GETPIVOTDATA("合計 / " &amp; $B139,【ピボット】事業所収支!$A$3,"年月",AF$1,"事業所",$A121),"")</f>
        <v/>
      </c>
      <c r="AG139" s="1476" t="str">
        <f>IFERROR(GETPIVOTDATA("合計 / " &amp; $B139,【ピボット】事業所収支!$A$3,"年月",AG$1,"事業所",$A121),"")</f>
        <v/>
      </c>
      <c r="AH139" s="1476" t="str">
        <f>IFERROR(GETPIVOTDATA("合計 / " &amp; $B139,【ピボット】事業所収支!$A$3,"年月",AH$1,"事業所",$A121),"")</f>
        <v/>
      </c>
      <c r="AI139" s="1476" t="str">
        <f>IFERROR(GETPIVOTDATA("合計 / " &amp; $B139,【ピボット】事業所収支!$A$3,"年月",AI$1,"事業所",$A121),"")</f>
        <v/>
      </c>
      <c r="AJ139" s="1476" t="str">
        <f>IFERROR(GETPIVOTDATA("合計 / " &amp; $B139,【ピボット】事業所収支!$A$3,"年月",AJ$1,"事業所",$A121),"")</f>
        <v/>
      </c>
      <c r="AK139" s="1476" t="str">
        <f>IFERROR(GETPIVOTDATA("合計 / " &amp; $B139,【ピボット】事業所収支!$A$3,"年月",AK$1,"事業所",$A121),"")</f>
        <v/>
      </c>
      <c r="AL139" s="1476" t="str">
        <f>IFERROR(GETPIVOTDATA("合計 / " &amp; $B139,【ピボット】事業所収支!$A$3,"年月",AL$1,"事業所",$A121),"")</f>
        <v/>
      </c>
      <c r="AM139" s="1476" t="str">
        <f>IFERROR(GETPIVOTDATA("合計 / " &amp; $B139,【ピボット】事業所収支!$A$3,"年月",AM$1,"事業所",$A121),"")</f>
        <v/>
      </c>
      <c r="AN139" s="1476" t="str">
        <f>IFERROR(GETPIVOTDATA("合計 / " &amp; $B139,【ピボット】事業所収支!$A$3,"年月",AN$1,"事業所",$A121),"")</f>
        <v/>
      </c>
      <c r="AO139" s="1476" t="str">
        <f>IFERROR(GETPIVOTDATA("合計 / " &amp; $B139,【ピボット】事業所収支!$A$3,"年月",AO$1,"事業所",$A121),"")</f>
        <v/>
      </c>
      <c r="AP139" s="1476" t="str">
        <f>IFERROR(GETPIVOTDATA("合計 / " &amp; $B139,【ピボット】事業所収支!$A$3,"年月",AP$1,"事業所",$A121),"")</f>
        <v/>
      </c>
      <c r="AQ139" s="1476" t="str">
        <f>IFERROR(GETPIVOTDATA("合計 / " &amp; $B139,【ピボット】事業所収支!$A$3,"年月",AQ$1,"事業所",$A121),"")</f>
        <v/>
      </c>
      <c r="AR139" s="1476" t="str">
        <f>IFERROR(GETPIVOTDATA("合計 / " &amp; $B139,【ピボット】事業所収支!$A$3,"年月",AR$1,"事業所",$A121),"")</f>
        <v/>
      </c>
    </row>
    <row r="140" spans="1:44" hidden="1" x14ac:dyDescent="0.15">
      <c r="A140" s="2063"/>
      <c r="B140" s="725" t="s">
        <v>890</v>
      </c>
      <c r="C140" s="720">
        <v>0</v>
      </c>
      <c r="D140" s="717">
        <v>0</v>
      </c>
      <c r="E140" s="717">
        <v>0</v>
      </c>
      <c r="F140" s="717">
        <v>0</v>
      </c>
      <c r="G140" s="717">
        <v>0</v>
      </c>
      <c r="H140" s="717">
        <v>0</v>
      </c>
      <c r="I140" s="717">
        <v>0</v>
      </c>
      <c r="J140" s="717">
        <v>0</v>
      </c>
      <c r="K140" s="717">
        <v>0</v>
      </c>
      <c r="L140" s="717">
        <v>0</v>
      </c>
      <c r="M140" s="717">
        <v>0</v>
      </c>
      <c r="N140" s="717">
        <v>0</v>
      </c>
      <c r="O140" s="717">
        <v>0</v>
      </c>
      <c r="P140" s="717">
        <v>0</v>
      </c>
      <c r="Q140" s="717">
        <v>0</v>
      </c>
      <c r="R140" s="717">
        <v>0</v>
      </c>
      <c r="S140" s="717">
        <v>0</v>
      </c>
      <c r="T140" s="717">
        <v>0</v>
      </c>
      <c r="U140" s="717">
        <v>0</v>
      </c>
      <c r="V140" s="717">
        <v>0</v>
      </c>
      <c r="W140" s="717">
        <v>0</v>
      </c>
      <c r="X140" s="717"/>
      <c r="Y140" s="717"/>
      <c r="Z140" s="717"/>
      <c r="AA140" s="717"/>
      <c r="AB140" s="717"/>
      <c r="AC140" s="717"/>
      <c r="AD140" s="717"/>
      <c r="AE140" s="717"/>
      <c r="AF140" s="717"/>
      <c r="AG140" s="717"/>
      <c r="AH140" s="717"/>
      <c r="AI140" s="717"/>
      <c r="AJ140" s="717"/>
      <c r="AK140" s="717"/>
      <c r="AL140" s="717"/>
      <c r="AM140" s="717"/>
      <c r="AN140" s="717"/>
      <c r="AO140" s="717"/>
      <c r="AP140" s="717"/>
      <c r="AQ140" s="717"/>
      <c r="AR140" s="717"/>
    </row>
    <row r="141" spans="1:44" hidden="1" x14ac:dyDescent="0.15">
      <c r="A141" s="2063"/>
      <c r="B141" s="725" t="s">
        <v>889</v>
      </c>
      <c r="C141" s="1478">
        <f>IF(C139="","",SUMIFS(パート法定福利費処遇改善計算!$F:$F,パート法定福利費処遇改善計算!$A:$A,C$1,パート法定福利費処遇改善計算!$B:$B,$A121))</f>
        <v>0</v>
      </c>
      <c r="D141" s="1479">
        <f>IF(D139="","",SUMIFS(パート法定福利費処遇改善計算!$F:$F,パート法定福利費処遇改善計算!$A:$A,D$1,パート法定福利費処遇改善計算!$B:$B,$A121))</f>
        <v>0</v>
      </c>
      <c r="E141" s="1479">
        <f>IF(E139="","",SUMIFS(パート法定福利費処遇改善計算!$F:$F,パート法定福利費処遇改善計算!$A:$A,E$1,パート法定福利費処遇改善計算!$B:$B,$A121))</f>
        <v>0</v>
      </c>
      <c r="F141" s="1479">
        <f>IF(F139="","",SUMIFS(パート法定福利費処遇改善計算!$F:$F,パート法定福利費処遇改善計算!$A:$A,F$1,パート法定福利費処遇改善計算!$B:$B,$A121))</f>
        <v>0</v>
      </c>
      <c r="G141" s="1479">
        <f>IF(G139="","",SUMIFS(パート法定福利費処遇改善計算!$F:$F,パート法定福利費処遇改善計算!$A:$A,G$1,パート法定福利費処遇改善計算!$B:$B,$A121))</f>
        <v>0</v>
      </c>
      <c r="H141" s="1479">
        <f>IF(H139="","",SUMIFS(パート法定福利費処遇改善計算!$F:$F,パート法定福利費処遇改善計算!$A:$A,H$1,パート法定福利費処遇改善計算!$B:$B,$A121))</f>
        <v>0</v>
      </c>
      <c r="I141" s="1479">
        <f>IF(I139="","",SUMIFS(パート法定福利費処遇改善計算!$F:$F,パート法定福利費処遇改善計算!$A:$A,I$1,パート法定福利費処遇改善計算!$B:$B,$A121))</f>
        <v>0</v>
      </c>
      <c r="J141" s="1479">
        <f>IF(J139="","",SUMIFS(パート法定福利費処遇改善計算!$F:$F,パート法定福利費処遇改善計算!$A:$A,J$1,パート法定福利費処遇改善計算!$B:$B,$A121))</f>
        <v>0</v>
      </c>
      <c r="K141" s="1479">
        <f>IF(K139="","",SUMIFS(パート法定福利費処遇改善計算!$F:$F,パート法定福利費処遇改善計算!$A:$A,K$1,パート法定福利費処遇改善計算!$B:$B,$A121))</f>
        <v>0</v>
      </c>
      <c r="L141" s="1479">
        <f>IF(L139="","",SUMIFS(パート法定福利費処遇改善計算!$F:$F,パート法定福利費処遇改善計算!$A:$A,L$1,パート法定福利費処遇改善計算!$B:$B,$A121))</f>
        <v>0</v>
      </c>
      <c r="M141" s="1479">
        <f>IF(M139="","",SUMIFS(パート法定福利費処遇改善計算!$F:$F,パート法定福利費処遇改善計算!$A:$A,M$1,パート法定福利費処遇改善計算!$B:$B,$A121))</f>
        <v>0</v>
      </c>
      <c r="N141" s="1479">
        <f>IF(N139="","",SUMIFS(パート法定福利費処遇改善計算!$F:$F,パート法定福利費処遇改善計算!$A:$A,N$1,パート法定福利費処遇改善計算!$B:$B,$A121))</f>
        <v>0</v>
      </c>
      <c r="O141" s="1479">
        <f>IF(O139="","",SUMIFS(パート法定福利費処遇改善計算!$F:$F,パート法定福利費処遇改善計算!$A:$A,O$1,パート法定福利費処遇改善計算!$B:$B,$A121))</f>
        <v>0</v>
      </c>
      <c r="P141" s="1479">
        <f>IF(P139="","",SUMIFS(パート法定福利費処遇改善計算!$F:$F,パート法定福利費処遇改善計算!$A:$A,P$1,パート法定福利費処遇改善計算!$B:$B,$A121))</f>
        <v>0</v>
      </c>
      <c r="Q141" s="1479">
        <f>IF(Q139="","",SUMIFS(パート法定福利費処遇改善計算!$F:$F,パート法定福利費処遇改善計算!$A:$A,Q$1,パート法定福利費処遇改善計算!$B:$B,$A121))</f>
        <v>5745</v>
      </c>
      <c r="R141" s="1479">
        <f>IF(R139="","",SUMIFS(パート法定福利費処遇改善計算!$F:$F,パート法定福利費処遇改善計算!$A:$A,R$1,パート法定福利費処遇改善計算!$B:$B,$A121))</f>
        <v>0</v>
      </c>
      <c r="S141" s="1479">
        <f>IF(S139="","",SUMIFS(パート法定福利費処遇改善計算!$F:$F,パート法定福利費処遇改善計算!$A:$A,S$1,パート法定福利費処遇改善計算!$B:$B,$A121))</f>
        <v>0</v>
      </c>
      <c r="T141" s="1479">
        <f>IF(T139="","",SUMIFS(パート法定福利費処遇改善計算!$F:$F,パート法定福利費処遇改善計算!$A:$A,T$1,パート法定福利費処遇改善計算!$B:$B,$A121))</f>
        <v>0</v>
      </c>
      <c r="U141" s="1479">
        <f>IF(U139="","",SUMIFS(パート法定福利費処遇改善計算!$F:$F,パート法定福利費処遇改善計算!$A:$A,U$1,パート法定福利費処遇改善計算!$B:$B,$A121))</f>
        <v>0</v>
      </c>
      <c r="V141" s="1479">
        <f>IF(V139="","",SUMIFS(パート法定福利費処遇改善計算!$F:$F,パート法定福利費処遇改善計算!$A:$A,V$1,パート法定福利費処遇改善計算!$B:$B,$A121))</f>
        <v>0</v>
      </c>
      <c r="W141" s="1479">
        <f>IF(W139="","",SUMIFS(パート法定福利費処遇改善計算!$F:$F,パート法定福利費処遇改善計算!$A:$A,W$1,パート法定福利費処遇改善計算!$B:$B,$A121))</f>
        <v>0</v>
      </c>
      <c r="X141" s="1479">
        <f>IF(X139="","",SUMIFS(パート法定福利費処遇改善計算!$F:$F,パート法定福利費処遇改善計算!$A:$A,X$1,パート法定福利費処遇改善計算!$B:$B,$A121))</f>
        <v>0</v>
      </c>
      <c r="Y141" s="1479" t="str">
        <f>IF(Y139="","",SUMIFS(パート法定福利費処遇改善計算!$F:$F,パート法定福利費処遇改善計算!$A:$A,Y$1,パート法定福利費処遇改善計算!$B:$B,$A121))</f>
        <v/>
      </c>
      <c r="Z141" s="1479">
        <f>IF(Z139="","",SUMIFS(パート法定福利費処遇改善計算!$F:$F,パート法定福利費処遇改善計算!$A:$A,Z$1,パート法定福利費処遇改善計算!$B:$B,$A121))</f>
        <v>0</v>
      </c>
      <c r="AA141" s="1479" t="str">
        <f>IF(AA139="","",SUMIFS(パート法定福利費処遇改善計算!$F:$F,パート法定福利費処遇改善計算!$A:$A,AA$1,パート法定福利費処遇改善計算!$B:$B,$A121))</f>
        <v/>
      </c>
      <c r="AB141" s="1479" t="str">
        <f>IF(AB139="","",SUMIFS(パート法定福利費処遇改善計算!$F:$F,パート法定福利費処遇改善計算!$A:$A,AB$1,パート法定福利費処遇改善計算!$B:$B,$A121))</f>
        <v/>
      </c>
      <c r="AC141" s="1479" t="str">
        <f>IF(AC139="","",SUMIFS(パート法定福利費処遇改善計算!$F:$F,パート法定福利費処遇改善計算!$A:$A,AC$1,パート法定福利費処遇改善計算!$B:$B,$A121))</f>
        <v/>
      </c>
      <c r="AD141" s="1479" t="str">
        <f>IF(AD139="","",SUMIFS(パート法定福利費処遇改善計算!$F:$F,パート法定福利費処遇改善計算!$A:$A,AD$1,パート法定福利費処遇改善計算!$B:$B,$A121))</f>
        <v/>
      </c>
      <c r="AE141" s="1479" t="str">
        <f>IF(AE139="","",SUMIFS(パート法定福利費処遇改善計算!$F:$F,パート法定福利費処遇改善計算!$A:$A,AE$1,パート法定福利費処遇改善計算!$B:$B,$A121))</f>
        <v/>
      </c>
      <c r="AF141" s="1479" t="str">
        <f>IF(AF139="","",SUMIFS(パート法定福利費処遇改善計算!$F:$F,パート法定福利費処遇改善計算!$A:$A,AF$1,パート法定福利費処遇改善計算!$B:$B,$A121))</f>
        <v/>
      </c>
      <c r="AG141" s="1479" t="str">
        <f>IF(AG139="","",SUMIFS(パート法定福利費処遇改善計算!$F:$F,パート法定福利費処遇改善計算!$A:$A,AG$1,パート法定福利費処遇改善計算!$B:$B,$A121))</f>
        <v/>
      </c>
      <c r="AH141" s="1479" t="str">
        <f>IF(AH139="","",SUMIFS(パート法定福利費処遇改善計算!$F:$F,パート法定福利費処遇改善計算!$A:$A,AH$1,パート法定福利費処遇改善計算!$B:$B,$A121))</f>
        <v/>
      </c>
      <c r="AI141" s="1479" t="str">
        <f>IF(AI139="","",SUMIFS(パート法定福利費処遇改善計算!$F:$F,パート法定福利費処遇改善計算!$A:$A,AI$1,パート法定福利費処遇改善計算!$B:$B,$A121))</f>
        <v/>
      </c>
      <c r="AJ141" s="1479" t="str">
        <f>IF(AJ139="","",SUMIFS(パート法定福利費処遇改善計算!$F:$F,パート法定福利費処遇改善計算!$A:$A,AJ$1,パート法定福利費処遇改善計算!$B:$B,$A121))</f>
        <v/>
      </c>
      <c r="AK141" s="1479" t="str">
        <f>IF(AK139="","",SUMIFS(パート法定福利費処遇改善計算!$F:$F,パート法定福利費処遇改善計算!$A:$A,AK$1,パート法定福利費処遇改善計算!$B:$B,$A121))</f>
        <v/>
      </c>
      <c r="AL141" s="1479" t="str">
        <f>IF(AL139="","",SUMIFS(パート法定福利費処遇改善計算!$F:$F,パート法定福利費処遇改善計算!$A:$A,AL$1,パート法定福利費処遇改善計算!$B:$B,$A121))</f>
        <v/>
      </c>
      <c r="AM141" s="1479" t="str">
        <f>IF(AM139="","",SUMIFS(パート法定福利費処遇改善計算!$F:$F,パート法定福利費処遇改善計算!$A:$A,AM$1,パート法定福利費処遇改善計算!$B:$B,$A121))</f>
        <v/>
      </c>
      <c r="AN141" s="1479" t="str">
        <f>IF(AN139="","",SUMIFS(パート法定福利費処遇改善計算!$F:$F,パート法定福利費処遇改善計算!$A:$A,AN$1,パート法定福利費処遇改善計算!$B:$B,$A121))</f>
        <v/>
      </c>
      <c r="AO141" s="1479" t="str">
        <f>IF(AO139="","",SUMIFS(パート法定福利費処遇改善計算!$F:$F,パート法定福利費処遇改善計算!$A:$A,AO$1,パート法定福利費処遇改善計算!$B:$B,$A121))</f>
        <v/>
      </c>
      <c r="AP141" s="1479" t="str">
        <f>IF(AP139="","",SUMIFS(パート法定福利費処遇改善計算!$F:$F,パート法定福利費処遇改善計算!$A:$A,AP$1,パート法定福利費処遇改善計算!$B:$B,$A121))</f>
        <v/>
      </c>
      <c r="AQ141" s="1479" t="str">
        <f>IF(AQ139="","",SUMIFS(パート法定福利費処遇改善計算!$F:$F,パート法定福利費処遇改善計算!$A:$A,AQ$1,パート法定福利費処遇改善計算!$B:$B,$A121))</f>
        <v/>
      </c>
      <c r="AR141" s="1479" t="str">
        <f>IF(AR139="","",SUMIFS(パート法定福利費処遇改善計算!$F:$F,パート法定福利費処遇改善計算!$A:$A,AR$1,パート法定福利費処遇改善計算!$B:$B,$A121))</f>
        <v/>
      </c>
    </row>
    <row r="142" spans="1:44" hidden="1" x14ac:dyDescent="0.15">
      <c r="A142" s="2063"/>
      <c r="B142" s="725" t="s">
        <v>888</v>
      </c>
      <c r="C142" s="1478">
        <f t="shared" ref="C142:Z142" si="121">IF(SUM(C139:C141)=0,"",SUM(C139:C141))</f>
        <v>491288</v>
      </c>
      <c r="D142" s="1479">
        <f t="shared" si="121"/>
        <v>662256</v>
      </c>
      <c r="E142" s="1479">
        <f t="shared" si="121"/>
        <v>526361</v>
      </c>
      <c r="F142" s="1479">
        <f t="shared" si="121"/>
        <v>676763</v>
      </c>
      <c r="G142" s="1479">
        <f t="shared" si="121"/>
        <v>523858</v>
      </c>
      <c r="H142" s="1479">
        <f t="shared" si="121"/>
        <v>548720</v>
      </c>
      <c r="I142" s="1479">
        <f t="shared" si="121"/>
        <v>516058</v>
      </c>
      <c r="J142" s="1479">
        <f t="shared" si="121"/>
        <v>659538</v>
      </c>
      <c r="K142" s="1479">
        <f t="shared" si="121"/>
        <v>608890</v>
      </c>
      <c r="L142" s="1479">
        <f t="shared" si="121"/>
        <v>648421</v>
      </c>
      <c r="M142" s="1479">
        <f t="shared" si="121"/>
        <v>586197</v>
      </c>
      <c r="N142" s="1479">
        <f t="shared" si="121"/>
        <v>596852</v>
      </c>
      <c r="O142" s="1479">
        <f t="shared" si="121"/>
        <v>581761</v>
      </c>
      <c r="P142" s="1479">
        <f t="shared" si="121"/>
        <v>660281</v>
      </c>
      <c r="Q142" s="1479">
        <f t="shared" si="121"/>
        <v>571885</v>
      </c>
      <c r="R142" s="1479">
        <f t="shared" si="121"/>
        <v>670372</v>
      </c>
      <c r="S142" s="1479">
        <f t="shared" si="121"/>
        <v>508048</v>
      </c>
      <c r="T142" s="1479">
        <f t="shared" si="121"/>
        <v>616701</v>
      </c>
      <c r="U142" s="1479">
        <f t="shared" si="121"/>
        <v>655449</v>
      </c>
      <c r="V142" s="1479">
        <f t="shared" si="121"/>
        <v>529847</v>
      </c>
      <c r="W142" s="1479">
        <f t="shared" si="121"/>
        <v>527963</v>
      </c>
      <c r="X142" s="1479">
        <f t="shared" si="121"/>
        <v>385027</v>
      </c>
      <c r="Y142" s="1479" t="str">
        <f t="shared" si="121"/>
        <v/>
      </c>
      <c r="Z142" s="1479" t="str">
        <f t="shared" si="121"/>
        <v/>
      </c>
      <c r="AA142" s="1479" t="str">
        <f t="shared" ref="AA142:AF142" si="122">IF(SUM(AA139:AA141)=0,"",SUM(AA139:AA141))</f>
        <v/>
      </c>
      <c r="AB142" s="1479" t="str">
        <f t="shared" si="122"/>
        <v/>
      </c>
      <c r="AC142" s="1479" t="str">
        <f t="shared" si="122"/>
        <v/>
      </c>
      <c r="AD142" s="1479" t="str">
        <f t="shared" si="122"/>
        <v/>
      </c>
      <c r="AE142" s="1479" t="str">
        <f t="shared" si="122"/>
        <v/>
      </c>
      <c r="AF142" s="1479" t="str">
        <f t="shared" si="122"/>
        <v/>
      </c>
      <c r="AG142" s="1479" t="str">
        <f t="shared" ref="AG142:AR142" si="123">IF(SUM(AG139:AG141)=0,"",SUM(AG139:AG141))</f>
        <v/>
      </c>
      <c r="AH142" s="1479" t="str">
        <f t="shared" si="123"/>
        <v/>
      </c>
      <c r="AI142" s="1479" t="str">
        <f t="shared" si="123"/>
        <v/>
      </c>
      <c r="AJ142" s="1479" t="str">
        <f t="shared" si="123"/>
        <v/>
      </c>
      <c r="AK142" s="1479" t="str">
        <f t="shared" si="123"/>
        <v/>
      </c>
      <c r="AL142" s="1479" t="str">
        <f t="shared" si="123"/>
        <v/>
      </c>
      <c r="AM142" s="1479" t="str">
        <f t="shared" si="123"/>
        <v/>
      </c>
      <c r="AN142" s="1479" t="str">
        <f t="shared" si="123"/>
        <v/>
      </c>
      <c r="AO142" s="1479" t="str">
        <f t="shared" si="123"/>
        <v/>
      </c>
      <c r="AP142" s="1479" t="str">
        <f t="shared" si="123"/>
        <v/>
      </c>
      <c r="AQ142" s="1479" t="str">
        <f t="shared" si="123"/>
        <v/>
      </c>
      <c r="AR142" s="1479" t="str">
        <f t="shared" si="123"/>
        <v/>
      </c>
    </row>
    <row r="143" spans="1:44" ht="19.5" hidden="1" thickBot="1" x14ac:dyDescent="0.2">
      <c r="A143" s="2064"/>
      <c r="B143" s="726" t="s">
        <v>887</v>
      </c>
      <c r="C143" s="1480">
        <f t="shared" ref="C143:Z143" si="124">IF(SUM(C138,C142)=0,"",SUM(C138,C142))</f>
        <v>1576066</v>
      </c>
      <c r="D143" s="1481">
        <f t="shared" si="124"/>
        <v>1901145</v>
      </c>
      <c r="E143" s="1481">
        <f t="shared" si="124"/>
        <v>1630259</v>
      </c>
      <c r="F143" s="1481">
        <f t="shared" si="124"/>
        <v>1806439</v>
      </c>
      <c r="G143" s="1481">
        <f t="shared" si="124"/>
        <v>1459250</v>
      </c>
      <c r="H143" s="1481">
        <f t="shared" si="124"/>
        <v>1592861</v>
      </c>
      <c r="I143" s="1481">
        <f t="shared" si="124"/>
        <v>1573040</v>
      </c>
      <c r="J143" s="1481">
        <f t="shared" si="124"/>
        <v>1767600</v>
      </c>
      <c r="K143" s="1481">
        <f t="shared" si="124"/>
        <v>1796117</v>
      </c>
      <c r="L143" s="1481">
        <f t="shared" si="124"/>
        <v>1716632</v>
      </c>
      <c r="M143" s="1481">
        <f t="shared" si="124"/>
        <v>1706006</v>
      </c>
      <c r="N143" s="1481">
        <f t="shared" si="124"/>
        <v>1694389</v>
      </c>
      <c r="O143" s="1481">
        <f t="shared" si="124"/>
        <v>1482425.9867857778</v>
      </c>
      <c r="P143" s="1481">
        <f t="shared" si="124"/>
        <v>2505733</v>
      </c>
      <c r="Q143" s="1481">
        <f t="shared" si="124"/>
        <v>1313909</v>
      </c>
      <c r="R143" s="1481">
        <f t="shared" si="124"/>
        <v>1420588</v>
      </c>
      <c r="S143" s="1481">
        <f t="shared" si="124"/>
        <v>1231638</v>
      </c>
      <c r="T143" s="1481">
        <f t="shared" si="124"/>
        <v>916985</v>
      </c>
      <c r="U143" s="1481">
        <f t="shared" si="124"/>
        <v>955534</v>
      </c>
      <c r="V143" s="1481">
        <f t="shared" si="124"/>
        <v>829847</v>
      </c>
      <c r="W143" s="1481">
        <f t="shared" si="124"/>
        <v>827963</v>
      </c>
      <c r="X143" s="1481">
        <f t="shared" si="124"/>
        <v>685027</v>
      </c>
      <c r="Y143" s="1481" t="str">
        <f t="shared" si="124"/>
        <v/>
      </c>
      <c r="Z143" s="1481" t="str">
        <f t="shared" si="124"/>
        <v/>
      </c>
      <c r="AA143" s="1481" t="str">
        <f t="shared" ref="AA143:AF143" si="125">IF(SUM(AA138,AA142)=0,"",SUM(AA138,AA142))</f>
        <v/>
      </c>
      <c r="AB143" s="1481" t="str">
        <f t="shared" si="125"/>
        <v/>
      </c>
      <c r="AC143" s="1481" t="str">
        <f t="shared" si="125"/>
        <v/>
      </c>
      <c r="AD143" s="1481" t="str">
        <f t="shared" si="125"/>
        <v/>
      </c>
      <c r="AE143" s="1481" t="str">
        <f t="shared" si="125"/>
        <v/>
      </c>
      <c r="AF143" s="1481" t="str">
        <f t="shared" si="125"/>
        <v/>
      </c>
      <c r="AG143" s="1481" t="str">
        <f t="shared" ref="AG143:AR143" si="126">IF(SUM(AG138,AG142)=0,"",SUM(AG138,AG142))</f>
        <v/>
      </c>
      <c r="AH143" s="1481" t="str">
        <f t="shared" si="126"/>
        <v/>
      </c>
      <c r="AI143" s="1481" t="str">
        <f t="shared" si="126"/>
        <v/>
      </c>
      <c r="AJ143" s="1481" t="str">
        <f t="shared" si="126"/>
        <v/>
      </c>
      <c r="AK143" s="1481" t="str">
        <f t="shared" si="126"/>
        <v/>
      </c>
      <c r="AL143" s="1481" t="str">
        <f t="shared" si="126"/>
        <v/>
      </c>
      <c r="AM143" s="1481" t="str">
        <f t="shared" si="126"/>
        <v/>
      </c>
      <c r="AN143" s="1481" t="str">
        <f t="shared" si="126"/>
        <v/>
      </c>
      <c r="AO143" s="1481" t="str">
        <f t="shared" si="126"/>
        <v/>
      </c>
      <c r="AP143" s="1481" t="str">
        <f t="shared" si="126"/>
        <v/>
      </c>
      <c r="AQ143" s="1481" t="str">
        <f t="shared" si="126"/>
        <v/>
      </c>
      <c r="AR143" s="1481" t="str">
        <f t="shared" si="126"/>
        <v/>
      </c>
    </row>
    <row r="144" spans="1:44" x14ac:dyDescent="0.15">
      <c r="A144" s="727"/>
      <c r="B144" s="728"/>
      <c r="C144" s="728"/>
      <c r="D144" s="728"/>
      <c r="E144" s="728"/>
      <c r="F144" s="728"/>
      <c r="G144" s="728"/>
      <c r="H144" s="728"/>
      <c r="I144" s="728"/>
      <c r="J144" s="728"/>
      <c r="K144" s="728"/>
      <c r="L144" s="728"/>
      <c r="M144" s="728"/>
      <c r="N144" s="728"/>
      <c r="O144" s="728"/>
    </row>
    <row r="145" spans="1:15" x14ac:dyDescent="0.15">
      <c r="A145" s="727"/>
      <c r="B145" s="728"/>
      <c r="C145" s="728"/>
      <c r="D145" s="728"/>
      <c r="E145" s="728"/>
      <c r="F145" s="728"/>
      <c r="G145" s="728"/>
      <c r="H145" s="728"/>
      <c r="I145" s="728"/>
      <c r="J145" s="728"/>
      <c r="K145" s="728"/>
      <c r="L145" s="728"/>
      <c r="M145" s="728"/>
      <c r="N145" s="728"/>
      <c r="O145" s="728"/>
    </row>
    <row r="146" spans="1:15" x14ac:dyDescent="0.15">
      <c r="A146" s="727"/>
      <c r="B146" s="728"/>
      <c r="C146" s="728"/>
      <c r="D146" s="728"/>
      <c r="E146" s="728"/>
      <c r="F146" s="728"/>
      <c r="G146" s="728"/>
      <c r="H146" s="728"/>
      <c r="I146" s="728"/>
      <c r="J146" s="728"/>
      <c r="K146" s="728"/>
      <c r="L146" s="728"/>
      <c r="M146" s="728"/>
      <c r="N146" s="728"/>
      <c r="O146" s="728"/>
    </row>
    <row r="147" spans="1:15" x14ac:dyDescent="0.15">
      <c r="A147" s="727"/>
      <c r="B147" s="728"/>
      <c r="C147" s="728"/>
      <c r="D147" s="728"/>
      <c r="E147" s="728"/>
      <c r="F147" s="728"/>
      <c r="G147" s="728"/>
      <c r="H147" s="728"/>
      <c r="I147" s="728"/>
      <c r="J147" s="728"/>
      <c r="K147" s="728"/>
      <c r="L147" s="728"/>
      <c r="M147" s="728"/>
      <c r="N147" s="728"/>
      <c r="O147" s="728"/>
    </row>
  </sheetData>
  <mergeCells count="30">
    <mergeCell ref="A37:A47"/>
    <mergeCell ref="A49:B49"/>
    <mergeCell ref="A56:A60"/>
    <mergeCell ref="A1:B1"/>
    <mergeCell ref="A13:A23"/>
    <mergeCell ref="A25:B25"/>
    <mergeCell ref="A32:A36"/>
    <mergeCell ref="A2:A4"/>
    <mergeCell ref="A5:A7"/>
    <mergeCell ref="A26:A28"/>
    <mergeCell ref="A29:A31"/>
    <mergeCell ref="A8:A12"/>
    <mergeCell ref="A50:A52"/>
    <mergeCell ref="A53:A55"/>
    <mergeCell ref="A125:A127"/>
    <mergeCell ref="A133:A143"/>
    <mergeCell ref="A128:A132"/>
    <mergeCell ref="A121:B121"/>
    <mergeCell ref="A61:A71"/>
    <mergeCell ref="A85:A95"/>
    <mergeCell ref="A122:A124"/>
    <mergeCell ref="A73:B73"/>
    <mergeCell ref="A74:A76"/>
    <mergeCell ref="A77:A79"/>
    <mergeCell ref="A80:A84"/>
    <mergeCell ref="A97:B97"/>
    <mergeCell ref="A98:A100"/>
    <mergeCell ref="A101:A103"/>
    <mergeCell ref="A104:A108"/>
    <mergeCell ref="A109:A119"/>
  </mergeCells>
  <phoneticPr fontId="40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tabColor rgb="FFFF9999"/>
  </sheetPr>
  <dimension ref="A1:B29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3" sqref="B23"/>
    </sheetView>
  </sheetViews>
  <sheetFormatPr defaultColWidth="9" defaultRowHeight="13.5" x14ac:dyDescent="0.15"/>
  <cols>
    <col min="1" max="1" width="11.375" style="749" bestFit="1" customWidth="1"/>
    <col min="2" max="2" width="123.25" style="234" customWidth="1"/>
    <col min="3" max="16384" width="9" style="234"/>
  </cols>
  <sheetData>
    <row r="1" spans="1:2" s="712" customFormat="1" x14ac:dyDescent="0.15">
      <c r="A1" s="748" t="s">
        <v>182</v>
      </c>
      <c r="B1" s="711" t="s">
        <v>881</v>
      </c>
    </row>
    <row r="2" spans="1:2" x14ac:dyDescent="0.15">
      <c r="A2" s="748">
        <v>43101</v>
      </c>
      <c r="B2" s="747" t="s">
        <v>959</v>
      </c>
    </row>
    <row r="3" spans="1:2" ht="40.5" x14ac:dyDescent="0.15">
      <c r="A3" s="748">
        <v>43070</v>
      </c>
      <c r="B3" s="747" t="s">
        <v>931</v>
      </c>
    </row>
    <row r="4" spans="1:2" ht="27" x14ac:dyDescent="0.15">
      <c r="A4" s="748">
        <v>43132</v>
      </c>
      <c r="B4" s="747" t="s">
        <v>996</v>
      </c>
    </row>
    <row r="5" spans="1:2" x14ac:dyDescent="0.15">
      <c r="A5" s="748">
        <v>43160</v>
      </c>
      <c r="B5" s="747" t="s">
        <v>997</v>
      </c>
    </row>
    <row r="6" spans="1:2" x14ac:dyDescent="0.15">
      <c r="A6" s="748">
        <v>43191</v>
      </c>
      <c r="B6" s="747" t="s">
        <v>998</v>
      </c>
    </row>
    <row r="7" spans="1:2" x14ac:dyDescent="0.15">
      <c r="A7" s="748">
        <v>43221</v>
      </c>
      <c r="B7" s="747" t="s">
        <v>998</v>
      </c>
    </row>
    <row r="8" spans="1:2" ht="27" x14ac:dyDescent="0.15">
      <c r="A8" s="748">
        <v>43313</v>
      </c>
      <c r="B8" s="747" t="s">
        <v>1341</v>
      </c>
    </row>
    <row r="9" spans="1:2" x14ac:dyDescent="0.15">
      <c r="A9" s="748"/>
      <c r="B9" s="747"/>
    </row>
    <row r="10" spans="1:2" x14ac:dyDescent="0.15">
      <c r="A10" s="748"/>
      <c r="B10" s="747"/>
    </row>
    <row r="11" spans="1:2" x14ac:dyDescent="0.15">
      <c r="A11" s="748"/>
      <c r="B11" s="713"/>
    </row>
    <row r="12" spans="1:2" x14ac:dyDescent="0.15">
      <c r="A12" s="748"/>
      <c r="B12" s="713"/>
    </row>
    <row r="13" spans="1:2" x14ac:dyDescent="0.15">
      <c r="A13" s="748"/>
      <c r="B13" s="713"/>
    </row>
    <row r="14" spans="1:2" x14ac:dyDescent="0.15">
      <c r="A14" s="748"/>
      <c r="B14" s="713"/>
    </row>
    <row r="15" spans="1:2" x14ac:dyDescent="0.15">
      <c r="A15" s="748"/>
      <c r="B15" s="713"/>
    </row>
    <row r="16" spans="1:2" x14ac:dyDescent="0.15">
      <c r="A16" s="748"/>
      <c r="B16" s="713"/>
    </row>
    <row r="17" spans="1:2" x14ac:dyDescent="0.15">
      <c r="A17" s="748"/>
      <c r="B17" s="713"/>
    </row>
    <row r="18" spans="1:2" x14ac:dyDescent="0.15">
      <c r="A18" s="748"/>
      <c r="B18" s="713"/>
    </row>
    <row r="19" spans="1:2" x14ac:dyDescent="0.15">
      <c r="A19" s="748"/>
      <c r="B19" s="713"/>
    </row>
    <row r="20" spans="1:2" x14ac:dyDescent="0.15">
      <c r="A20" s="748"/>
      <c r="B20" s="713"/>
    </row>
    <row r="21" spans="1:2" x14ac:dyDescent="0.15">
      <c r="A21" s="748"/>
      <c r="B21" s="713"/>
    </row>
    <row r="22" spans="1:2" x14ac:dyDescent="0.15">
      <c r="A22" s="748"/>
      <c r="B22" s="713"/>
    </row>
    <row r="23" spans="1:2" x14ac:dyDescent="0.15">
      <c r="A23" s="748"/>
      <c r="B23" s="713"/>
    </row>
    <row r="24" spans="1:2" x14ac:dyDescent="0.15">
      <c r="A24" s="748"/>
      <c r="B24" s="713"/>
    </row>
    <row r="25" spans="1:2" x14ac:dyDescent="0.15">
      <c r="A25" s="748"/>
      <c r="B25" s="713"/>
    </row>
    <row r="26" spans="1:2" x14ac:dyDescent="0.15">
      <c r="A26" s="748"/>
      <c r="B26" s="713"/>
    </row>
    <row r="27" spans="1:2" x14ac:dyDescent="0.15">
      <c r="A27" s="748"/>
      <c r="B27" s="713"/>
    </row>
    <row r="28" spans="1:2" x14ac:dyDescent="0.15">
      <c r="A28" s="748"/>
      <c r="B28" s="713"/>
    </row>
    <row r="29" spans="1:2" x14ac:dyDescent="0.15">
      <c r="A29" s="748"/>
      <c r="B29" s="713"/>
    </row>
    <row r="30" spans="1:2" x14ac:dyDescent="0.15">
      <c r="A30" s="748"/>
      <c r="B30" s="713"/>
    </row>
    <row r="31" spans="1:2" x14ac:dyDescent="0.15">
      <c r="A31" s="748"/>
      <c r="B31" s="713"/>
    </row>
    <row r="32" spans="1:2" x14ac:dyDescent="0.15">
      <c r="A32" s="748"/>
      <c r="B32" s="713"/>
    </row>
    <row r="33" spans="1:2" x14ac:dyDescent="0.15">
      <c r="A33" s="748"/>
      <c r="B33" s="713"/>
    </row>
    <row r="34" spans="1:2" x14ac:dyDescent="0.15">
      <c r="A34" s="748"/>
      <c r="B34" s="713"/>
    </row>
    <row r="35" spans="1:2" x14ac:dyDescent="0.15">
      <c r="A35" s="748"/>
      <c r="B35" s="713"/>
    </row>
    <row r="36" spans="1:2" x14ac:dyDescent="0.15">
      <c r="A36" s="748"/>
      <c r="B36" s="713"/>
    </row>
    <row r="37" spans="1:2" x14ac:dyDescent="0.15">
      <c r="A37" s="748"/>
      <c r="B37" s="713"/>
    </row>
    <row r="38" spans="1:2" x14ac:dyDescent="0.15">
      <c r="A38" s="748"/>
      <c r="B38" s="713"/>
    </row>
    <row r="39" spans="1:2" x14ac:dyDescent="0.15">
      <c r="A39" s="748"/>
      <c r="B39" s="713"/>
    </row>
    <row r="40" spans="1:2" x14ac:dyDescent="0.15">
      <c r="A40" s="748"/>
      <c r="B40" s="713"/>
    </row>
    <row r="41" spans="1:2" x14ac:dyDescent="0.15">
      <c r="A41" s="748"/>
      <c r="B41" s="713"/>
    </row>
    <row r="42" spans="1:2" x14ac:dyDescent="0.15">
      <c r="A42" s="748"/>
      <c r="B42" s="713"/>
    </row>
    <row r="43" spans="1:2" x14ac:dyDescent="0.15">
      <c r="A43" s="748"/>
      <c r="B43" s="713"/>
    </row>
    <row r="44" spans="1:2" x14ac:dyDescent="0.15">
      <c r="A44" s="748"/>
      <c r="B44" s="713"/>
    </row>
    <row r="45" spans="1:2" x14ac:dyDescent="0.15">
      <c r="A45" s="748"/>
      <c r="B45" s="713"/>
    </row>
    <row r="46" spans="1:2" x14ac:dyDescent="0.15">
      <c r="A46" s="748"/>
      <c r="B46" s="713"/>
    </row>
    <row r="47" spans="1:2" x14ac:dyDescent="0.15">
      <c r="A47" s="748"/>
      <c r="B47" s="713"/>
    </row>
    <row r="48" spans="1:2" x14ac:dyDescent="0.15">
      <c r="A48" s="748"/>
      <c r="B48" s="713"/>
    </row>
    <row r="49" spans="1:2" x14ac:dyDescent="0.15">
      <c r="A49" s="748"/>
      <c r="B49" s="713"/>
    </row>
    <row r="50" spans="1:2" x14ac:dyDescent="0.15">
      <c r="A50" s="748"/>
      <c r="B50" s="713"/>
    </row>
    <row r="51" spans="1:2" x14ac:dyDescent="0.15">
      <c r="A51" s="748"/>
      <c r="B51" s="713"/>
    </row>
    <row r="52" spans="1:2" x14ac:dyDescent="0.15">
      <c r="A52" s="748"/>
      <c r="B52" s="713"/>
    </row>
    <row r="53" spans="1:2" x14ac:dyDescent="0.15">
      <c r="A53" s="748"/>
      <c r="B53" s="713"/>
    </row>
    <row r="54" spans="1:2" x14ac:dyDescent="0.15">
      <c r="A54" s="748"/>
      <c r="B54" s="713"/>
    </row>
    <row r="55" spans="1:2" x14ac:dyDescent="0.15">
      <c r="A55" s="748"/>
      <c r="B55" s="713"/>
    </row>
    <row r="56" spans="1:2" x14ac:dyDescent="0.15">
      <c r="A56" s="748"/>
      <c r="B56" s="713"/>
    </row>
    <row r="57" spans="1:2" x14ac:dyDescent="0.15">
      <c r="A57" s="748"/>
      <c r="B57" s="713"/>
    </row>
    <row r="58" spans="1:2" x14ac:dyDescent="0.15">
      <c r="A58" s="748"/>
      <c r="B58" s="713"/>
    </row>
    <row r="59" spans="1:2" x14ac:dyDescent="0.15">
      <c r="A59" s="748"/>
      <c r="B59" s="713"/>
    </row>
    <row r="60" spans="1:2" x14ac:dyDescent="0.15">
      <c r="A60" s="748"/>
      <c r="B60" s="713"/>
    </row>
    <row r="61" spans="1:2" x14ac:dyDescent="0.15">
      <c r="A61" s="748"/>
      <c r="B61" s="713"/>
    </row>
    <row r="62" spans="1:2" x14ac:dyDescent="0.15">
      <c r="A62" s="748"/>
      <c r="B62" s="713"/>
    </row>
    <row r="63" spans="1:2" x14ac:dyDescent="0.15">
      <c r="A63" s="748"/>
      <c r="B63" s="713"/>
    </row>
    <row r="64" spans="1:2" x14ac:dyDescent="0.15">
      <c r="A64" s="748"/>
      <c r="B64" s="713"/>
    </row>
    <row r="65" spans="1:2" x14ac:dyDescent="0.15">
      <c r="A65" s="748"/>
      <c r="B65" s="713"/>
    </row>
    <row r="66" spans="1:2" x14ac:dyDescent="0.15">
      <c r="A66" s="748"/>
      <c r="B66" s="713"/>
    </row>
    <row r="67" spans="1:2" x14ac:dyDescent="0.15">
      <c r="A67" s="748"/>
      <c r="B67" s="713"/>
    </row>
    <row r="68" spans="1:2" x14ac:dyDescent="0.15">
      <c r="A68" s="748"/>
      <c r="B68" s="713"/>
    </row>
    <row r="69" spans="1:2" x14ac:dyDescent="0.15">
      <c r="A69" s="748"/>
      <c r="B69" s="713"/>
    </row>
    <row r="70" spans="1:2" x14ac:dyDescent="0.15">
      <c r="A70" s="748"/>
      <c r="B70" s="713"/>
    </row>
    <row r="71" spans="1:2" x14ac:dyDescent="0.15">
      <c r="A71" s="748"/>
      <c r="B71" s="713"/>
    </row>
    <row r="72" spans="1:2" x14ac:dyDescent="0.15">
      <c r="A72" s="748"/>
      <c r="B72" s="713"/>
    </row>
    <row r="73" spans="1:2" x14ac:dyDescent="0.15">
      <c r="A73" s="748"/>
      <c r="B73" s="713"/>
    </row>
    <row r="74" spans="1:2" x14ac:dyDescent="0.15">
      <c r="A74" s="748"/>
      <c r="B74" s="713"/>
    </row>
    <row r="75" spans="1:2" x14ac:dyDescent="0.15">
      <c r="A75" s="748"/>
      <c r="B75" s="713"/>
    </row>
    <row r="76" spans="1:2" x14ac:dyDescent="0.15">
      <c r="A76" s="748"/>
      <c r="B76" s="713"/>
    </row>
    <row r="77" spans="1:2" x14ac:dyDescent="0.15">
      <c r="A77" s="748"/>
      <c r="B77" s="713"/>
    </row>
    <row r="78" spans="1:2" x14ac:dyDescent="0.15">
      <c r="A78" s="748"/>
      <c r="B78" s="713"/>
    </row>
    <row r="79" spans="1:2" x14ac:dyDescent="0.15">
      <c r="A79" s="748"/>
      <c r="B79" s="713"/>
    </row>
    <row r="80" spans="1:2" x14ac:dyDescent="0.15">
      <c r="A80" s="748"/>
      <c r="B80" s="713"/>
    </row>
    <row r="81" spans="1:2" x14ac:dyDescent="0.15">
      <c r="A81" s="748"/>
      <c r="B81" s="713"/>
    </row>
    <row r="82" spans="1:2" x14ac:dyDescent="0.15">
      <c r="A82" s="748"/>
      <c r="B82" s="713"/>
    </row>
    <row r="83" spans="1:2" x14ac:dyDescent="0.15">
      <c r="A83" s="748"/>
      <c r="B83" s="713"/>
    </row>
    <row r="84" spans="1:2" x14ac:dyDescent="0.15">
      <c r="A84" s="748"/>
      <c r="B84" s="713"/>
    </row>
    <row r="85" spans="1:2" x14ac:dyDescent="0.15">
      <c r="A85" s="748"/>
      <c r="B85" s="713"/>
    </row>
    <row r="86" spans="1:2" x14ac:dyDescent="0.15">
      <c r="A86" s="748"/>
      <c r="B86" s="713"/>
    </row>
    <row r="87" spans="1:2" x14ac:dyDescent="0.15">
      <c r="A87" s="748"/>
      <c r="B87" s="713"/>
    </row>
    <row r="88" spans="1:2" x14ac:dyDescent="0.15">
      <c r="A88" s="748"/>
      <c r="B88" s="713"/>
    </row>
    <row r="89" spans="1:2" x14ac:dyDescent="0.15">
      <c r="A89" s="748"/>
      <c r="B89" s="713"/>
    </row>
    <row r="90" spans="1:2" x14ac:dyDescent="0.15">
      <c r="A90" s="748"/>
      <c r="B90" s="713"/>
    </row>
    <row r="91" spans="1:2" x14ac:dyDescent="0.15">
      <c r="A91" s="748"/>
      <c r="B91" s="713"/>
    </row>
    <row r="92" spans="1:2" x14ac:dyDescent="0.15">
      <c r="A92" s="748"/>
      <c r="B92" s="713"/>
    </row>
    <row r="93" spans="1:2" x14ac:dyDescent="0.15">
      <c r="A93" s="748"/>
      <c r="B93" s="713"/>
    </row>
    <row r="94" spans="1:2" x14ac:dyDescent="0.15">
      <c r="A94" s="748"/>
      <c r="B94" s="713"/>
    </row>
    <row r="95" spans="1:2" x14ac:dyDescent="0.15">
      <c r="A95" s="748"/>
      <c r="B95" s="713"/>
    </row>
    <row r="96" spans="1:2" x14ac:dyDescent="0.15">
      <c r="A96" s="748"/>
      <c r="B96" s="713"/>
    </row>
    <row r="97" spans="1:2" x14ac:dyDescent="0.15">
      <c r="A97" s="748"/>
      <c r="B97" s="713"/>
    </row>
    <row r="98" spans="1:2" x14ac:dyDescent="0.15">
      <c r="A98" s="748"/>
      <c r="B98" s="713"/>
    </row>
    <row r="99" spans="1:2" x14ac:dyDescent="0.15">
      <c r="A99" s="748"/>
      <c r="B99" s="713"/>
    </row>
    <row r="100" spans="1:2" x14ac:dyDescent="0.15">
      <c r="A100" s="748"/>
      <c r="B100" s="713"/>
    </row>
    <row r="101" spans="1:2" x14ac:dyDescent="0.15">
      <c r="A101" s="748"/>
      <c r="B101" s="713"/>
    </row>
    <row r="102" spans="1:2" x14ac:dyDescent="0.15">
      <c r="A102" s="748"/>
      <c r="B102" s="713"/>
    </row>
    <row r="103" spans="1:2" x14ac:dyDescent="0.15">
      <c r="A103" s="748"/>
      <c r="B103" s="713"/>
    </row>
    <row r="104" spans="1:2" x14ac:dyDescent="0.15">
      <c r="A104" s="748"/>
      <c r="B104" s="713"/>
    </row>
    <row r="105" spans="1:2" x14ac:dyDescent="0.15">
      <c r="A105" s="748"/>
      <c r="B105" s="713"/>
    </row>
    <row r="106" spans="1:2" x14ac:dyDescent="0.15">
      <c r="A106" s="748"/>
      <c r="B106" s="713"/>
    </row>
    <row r="107" spans="1:2" x14ac:dyDescent="0.15">
      <c r="A107" s="748"/>
      <c r="B107" s="713"/>
    </row>
    <row r="108" spans="1:2" x14ac:dyDescent="0.15">
      <c r="A108" s="748"/>
      <c r="B108" s="713"/>
    </row>
    <row r="109" spans="1:2" x14ac:dyDescent="0.15">
      <c r="A109" s="748"/>
      <c r="B109" s="713"/>
    </row>
    <row r="110" spans="1:2" x14ac:dyDescent="0.15">
      <c r="A110" s="748"/>
      <c r="B110" s="713"/>
    </row>
    <row r="111" spans="1:2" x14ac:dyDescent="0.15">
      <c r="A111" s="748"/>
      <c r="B111" s="713"/>
    </row>
    <row r="112" spans="1:2" x14ac:dyDescent="0.15">
      <c r="A112" s="748"/>
      <c r="B112" s="713"/>
    </row>
    <row r="113" spans="1:2" x14ac:dyDescent="0.15">
      <c r="A113" s="748"/>
      <c r="B113" s="713"/>
    </row>
    <row r="114" spans="1:2" x14ac:dyDescent="0.15">
      <c r="A114" s="748"/>
      <c r="B114" s="713"/>
    </row>
    <row r="115" spans="1:2" x14ac:dyDescent="0.15">
      <c r="A115" s="748"/>
      <c r="B115" s="713"/>
    </row>
    <row r="116" spans="1:2" x14ac:dyDescent="0.15">
      <c r="A116" s="748"/>
      <c r="B116" s="713"/>
    </row>
    <row r="117" spans="1:2" x14ac:dyDescent="0.15">
      <c r="A117" s="748"/>
      <c r="B117" s="713"/>
    </row>
    <row r="118" spans="1:2" x14ac:dyDescent="0.15">
      <c r="A118" s="748"/>
      <c r="B118" s="713"/>
    </row>
    <row r="119" spans="1:2" x14ac:dyDescent="0.15">
      <c r="A119" s="748"/>
      <c r="B119" s="713"/>
    </row>
    <row r="120" spans="1:2" x14ac:dyDescent="0.15">
      <c r="A120" s="748"/>
      <c r="B120" s="713"/>
    </row>
    <row r="121" spans="1:2" x14ac:dyDescent="0.15">
      <c r="A121" s="748"/>
      <c r="B121" s="713"/>
    </row>
    <row r="122" spans="1:2" x14ac:dyDescent="0.15">
      <c r="A122" s="748"/>
      <c r="B122" s="713"/>
    </row>
    <row r="123" spans="1:2" x14ac:dyDescent="0.15">
      <c r="A123" s="748"/>
      <c r="B123" s="713"/>
    </row>
    <row r="124" spans="1:2" x14ac:dyDescent="0.15">
      <c r="A124" s="748"/>
      <c r="B124" s="713"/>
    </row>
    <row r="125" spans="1:2" x14ac:dyDescent="0.15">
      <c r="A125" s="748"/>
      <c r="B125" s="713"/>
    </row>
    <row r="126" spans="1:2" x14ac:dyDescent="0.15">
      <c r="A126" s="748"/>
      <c r="B126" s="713"/>
    </row>
    <row r="127" spans="1:2" x14ac:dyDescent="0.15">
      <c r="A127" s="748"/>
      <c r="B127" s="713"/>
    </row>
    <row r="128" spans="1:2" x14ac:dyDescent="0.15">
      <c r="A128" s="748"/>
      <c r="B128" s="713"/>
    </row>
    <row r="129" spans="1:2" x14ac:dyDescent="0.15">
      <c r="A129" s="748"/>
      <c r="B129" s="713"/>
    </row>
    <row r="130" spans="1:2" x14ac:dyDescent="0.15">
      <c r="A130" s="748"/>
      <c r="B130" s="713"/>
    </row>
    <row r="131" spans="1:2" x14ac:dyDescent="0.15">
      <c r="A131" s="748"/>
      <c r="B131" s="713"/>
    </row>
    <row r="132" spans="1:2" x14ac:dyDescent="0.15">
      <c r="A132" s="748"/>
      <c r="B132" s="713"/>
    </row>
    <row r="133" spans="1:2" x14ac:dyDescent="0.15">
      <c r="A133" s="748"/>
      <c r="B133" s="713"/>
    </row>
    <row r="134" spans="1:2" x14ac:dyDescent="0.15">
      <c r="A134" s="748"/>
      <c r="B134" s="713"/>
    </row>
    <row r="135" spans="1:2" x14ac:dyDescent="0.15">
      <c r="A135" s="748"/>
      <c r="B135" s="713"/>
    </row>
    <row r="136" spans="1:2" x14ac:dyDescent="0.15">
      <c r="A136" s="748"/>
      <c r="B136" s="713"/>
    </row>
    <row r="137" spans="1:2" x14ac:dyDescent="0.15">
      <c r="A137" s="748"/>
      <c r="B137" s="713"/>
    </row>
    <row r="138" spans="1:2" x14ac:dyDescent="0.15">
      <c r="A138" s="748"/>
      <c r="B138" s="713"/>
    </row>
    <row r="139" spans="1:2" x14ac:dyDescent="0.15">
      <c r="A139" s="748"/>
      <c r="B139" s="713"/>
    </row>
    <row r="140" spans="1:2" x14ac:dyDescent="0.15">
      <c r="A140" s="748"/>
      <c r="B140" s="713"/>
    </row>
    <row r="141" spans="1:2" x14ac:dyDescent="0.15">
      <c r="A141" s="748"/>
      <c r="B141" s="713"/>
    </row>
    <row r="142" spans="1:2" x14ac:dyDescent="0.15">
      <c r="A142" s="748"/>
      <c r="B142" s="713"/>
    </row>
    <row r="143" spans="1:2" x14ac:dyDescent="0.15">
      <c r="A143" s="748"/>
      <c r="B143" s="713"/>
    </row>
    <row r="144" spans="1:2" x14ac:dyDescent="0.15">
      <c r="A144" s="748"/>
      <c r="B144" s="713"/>
    </row>
    <row r="145" spans="1:2" x14ac:dyDescent="0.15">
      <c r="A145" s="748"/>
      <c r="B145" s="713"/>
    </row>
    <row r="146" spans="1:2" x14ac:dyDescent="0.15">
      <c r="A146" s="748"/>
      <c r="B146" s="713"/>
    </row>
    <row r="147" spans="1:2" x14ac:dyDescent="0.15">
      <c r="A147" s="748"/>
      <c r="B147" s="713"/>
    </row>
    <row r="148" spans="1:2" x14ac:dyDescent="0.15">
      <c r="A148" s="748"/>
      <c r="B148" s="713"/>
    </row>
    <row r="149" spans="1:2" x14ac:dyDescent="0.15">
      <c r="A149" s="748"/>
      <c r="B149" s="713"/>
    </row>
    <row r="150" spans="1:2" x14ac:dyDescent="0.15">
      <c r="A150" s="748"/>
      <c r="B150" s="713"/>
    </row>
    <row r="151" spans="1:2" x14ac:dyDescent="0.15">
      <c r="A151" s="748"/>
      <c r="B151" s="713"/>
    </row>
    <row r="152" spans="1:2" x14ac:dyDescent="0.15">
      <c r="A152" s="748"/>
      <c r="B152" s="713"/>
    </row>
    <row r="153" spans="1:2" x14ac:dyDescent="0.15">
      <c r="A153" s="748"/>
      <c r="B153" s="713"/>
    </row>
    <row r="154" spans="1:2" x14ac:dyDescent="0.15">
      <c r="A154" s="748"/>
      <c r="B154" s="713"/>
    </row>
    <row r="155" spans="1:2" x14ac:dyDescent="0.15">
      <c r="A155" s="748"/>
      <c r="B155" s="713"/>
    </row>
    <row r="156" spans="1:2" x14ac:dyDescent="0.15">
      <c r="A156" s="748"/>
      <c r="B156" s="713"/>
    </row>
    <row r="157" spans="1:2" x14ac:dyDescent="0.15">
      <c r="A157" s="748"/>
      <c r="B157" s="713"/>
    </row>
    <row r="158" spans="1:2" x14ac:dyDescent="0.15">
      <c r="A158" s="748"/>
      <c r="B158" s="713"/>
    </row>
    <row r="159" spans="1:2" x14ac:dyDescent="0.15">
      <c r="A159" s="748"/>
      <c r="B159" s="713"/>
    </row>
    <row r="160" spans="1:2" x14ac:dyDescent="0.15">
      <c r="A160" s="748"/>
      <c r="B160" s="713"/>
    </row>
    <row r="161" spans="1:2" x14ac:dyDescent="0.15">
      <c r="A161" s="748"/>
      <c r="B161" s="713"/>
    </row>
    <row r="162" spans="1:2" x14ac:dyDescent="0.15">
      <c r="A162" s="748"/>
      <c r="B162" s="713"/>
    </row>
    <row r="163" spans="1:2" x14ac:dyDescent="0.15">
      <c r="A163" s="748"/>
      <c r="B163" s="713"/>
    </row>
    <row r="164" spans="1:2" x14ac:dyDescent="0.15">
      <c r="A164" s="748"/>
      <c r="B164" s="713"/>
    </row>
    <row r="165" spans="1:2" x14ac:dyDescent="0.15">
      <c r="A165" s="748"/>
      <c r="B165" s="713"/>
    </row>
    <row r="166" spans="1:2" x14ac:dyDescent="0.15">
      <c r="A166" s="748"/>
      <c r="B166" s="713"/>
    </row>
    <row r="167" spans="1:2" x14ac:dyDescent="0.15">
      <c r="A167" s="748"/>
      <c r="B167" s="713"/>
    </row>
    <row r="168" spans="1:2" x14ac:dyDescent="0.15">
      <c r="A168" s="748"/>
      <c r="B168" s="713"/>
    </row>
    <row r="169" spans="1:2" x14ac:dyDescent="0.15">
      <c r="A169" s="748"/>
      <c r="B169" s="713"/>
    </row>
    <row r="170" spans="1:2" x14ac:dyDescent="0.15">
      <c r="A170" s="748"/>
      <c r="B170" s="713"/>
    </row>
    <row r="171" spans="1:2" x14ac:dyDescent="0.15">
      <c r="A171" s="748"/>
      <c r="B171" s="713"/>
    </row>
    <row r="172" spans="1:2" x14ac:dyDescent="0.15">
      <c r="A172" s="748"/>
      <c r="B172" s="713"/>
    </row>
    <row r="173" spans="1:2" x14ac:dyDescent="0.15">
      <c r="A173" s="748"/>
      <c r="B173" s="713"/>
    </row>
    <row r="174" spans="1:2" x14ac:dyDescent="0.15">
      <c r="A174" s="748"/>
      <c r="B174" s="713"/>
    </row>
    <row r="175" spans="1:2" x14ac:dyDescent="0.15">
      <c r="A175" s="748"/>
      <c r="B175" s="713"/>
    </row>
    <row r="176" spans="1:2" x14ac:dyDescent="0.15">
      <c r="A176" s="748"/>
      <c r="B176" s="713"/>
    </row>
    <row r="177" spans="1:2" x14ac:dyDescent="0.15">
      <c r="A177" s="748"/>
      <c r="B177" s="713"/>
    </row>
    <row r="178" spans="1:2" x14ac:dyDescent="0.15">
      <c r="A178" s="748"/>
      <c r="B178" s="713"/>
    </row>
    <row r="179" spans="1:2" x14ac:dyDescent="0.15">
      <c r="A179" s="748"/>
      <c r="B179" s="713"/>
    </row>
    <row r="180" spans="1:2" x14ac:dyDescent="0.15">
      <c r="A180" s="748"/>
      <c r="B180" s="713"/>
    </row>
    <row r="181" spans="1:2" x14ac:dyDescent="0.15">
      <c r="A181" s="748"/>
      <c r="B181" s="713"/>
    </row>
    <row r="182" spans="1:2" x14ac:dyDescent="0.15">
      <c r="A182" s="748"/>
      <c r="B182" s="713"/>
    </row>
    <row r="183" spans="1:2" x14ac:dyDescent="0.15">
      <c r="A183" s="748"/>
      <c r="B183" s="713"/>
    </row>
    <row r="184" spans="1:2" x14ac:dyDescent="0.15">
      <c r="A184" s="748"/>
      <c r="B184" s="713"/>
    </row>
    <row r="185" spans="1:2" x14ac:dyDescent="0.15">
      <c r="A185" s="748"/>
      <c r="B185" s="713"/>
    </row>
    <row r="186" spans="1:2" x14ac:dyDescent="0.15">
      <c r="A186" s="748"/>
      <c r="B186" s="713"/>
    </row>
    <row r="187" spans="1:2" x14ac:dyDescent="0.15">
      <c r="A187" s="748"/>
      <c r="B187" s="713"/>
    </row>
    <row r="188" spans="1:2" x14ac:dyDescent="0.15">
      <c r="A188" s="748"/>
      <c r="B188" s="713"/>
    </row>
    <row r="189" spans="1:2" x14ac:dyDescent="0.15">
      <c r="A189" s="748"/>
      <c r="B189" s="713"/>
    </row>
    <row r="190" spans="1:2" x14ac:dyDescent="0.15">
      <c r="A190" s="748"/>
      <c r="B190" s="713"/>
    </row>
    <row r="191" spans="1:2" x14ac:dyDescent="0.15">
      <c r="A191" s="748"/>
      <c r="B191" s="713"/>
    </row>
    <row r="192" spans="1:2" x14ac:dyDescent="0.15">
      <c r="A192" s="748"/>
      <c r="B192" s="713"/>
    </row>
    <row r="193" spans="1:2" x14ac:dyDescent="0.15">
      <c r="A193" s="748"/>
      <c r="B193" s="713"/>
    </row>
    <row r="194" spans="1:2" x14ac:dyDescent="0.15">
      <c r="A194" s="748"/>
      <c r="B194" s="713"/>
    </row>
    <row r="195" spans="1:2" x14ac:dyDescent="0.15">
      <c r="A195" s="748"/>
      <c r="B195" s="713"/>
    </row>
    <row r="196" spans="1:2" x14ac:dyDescent="0.15">
      <c r="A196" s="748"/>
      <c r="B196" s="713"/>
    </row>
    <row r="197" spans="1:2" x14ac:dyDescent="0.15">
      <c r="A197" s="748"/>
      <c r="B197" s="713"/>
    </row>
    <row r="198" spans="1:2" x14ac:dyDescent="0.15">
      <c r="A198" s="748"/>
      <c r="B198" s="713"/>
    </row>
    <row r="199" spans="1:2" x14ac:dyDescent="0.15">
      <c r="A199" s="748"/>
      <c r="B199" s="713"/>
    </row>
    <row r="200" spans="1:2" x14ac:dyDescent="0.15">
      <c r="A200" s="748"/>
      <c r="B200" s="713"/>
    </row>
    <row r="201" spans="1:2" x14ac:dyDescent="0.15">
      <c r="A201" s="748"/>
      <c r="B201" s="713"/>
    </row>
    <row r="202" spans="1:2" x14ac:dyDescent="0.15">
      <c r="A202" s="748"/>
      <c r="B202" s="713"/>
    </row>
    <row r="203" spans="1:2" x14ac:dyDescent="0.15">
      <c r="A203" s="748"/>
      <c r="B203" s="713"/>
    </row>
    <row r="204" spans="1:2" x14ac:dyDescent="0.15">
      <c r="A204" s="748"/>
      <c r="B204" s="713"/>
    </row>
    <row r="205" spans="1:2" x14ac:dyDescent="0.15">
      <c r="A205" s="748"/>
      <c r="B205" s="713"/>
    </row>
    <row r="206" spans="1:2" x14ac:dyDescent="0.15">
      <c r="A206" s="748"/>
      <c r="B206" s="713"/>
    </row>
    <row r="207" spans="1:2" x14ac:dyDescent="0.15">
      <c r="A207" s="748"/>
      <c r="B207" s="713"/>
    </row>
    <row r="208" spans="1:2" x14ac:dyDescent="0.15">
      <c r="A208" s="748"/>
      <c r="B208" s="713"/>
    </row>
    <row r="209" spans="1:2" x14ac:dyDescent="0.15">
      <c r="A209" s="748"/>
      <c r="B209" s="713"/>
    </row>
    <row r="210" spans="1:2" x14ac:dyDescent="0.15">
      <c r="A210" s="748"/>
      <c r="B210" s="713"/>
    </row>
    <row r="211" spans="1:2" x14ac:dyDescent="0.15">
      <c r="A211" s="748"/>
      <c r="B211" s="713"/>
    </row>
    <row r="212" spans="1:2" x14ac:dyDescent="0.15">
      <c r="A212" s="748"/>
      <c r="B212" s="713"/>
    </row>
    <row r="213" spans="1:2" x14ac:dyDescent="0.15">
      <c r="A213" s="748"/>
      <c r="B213" s="713"/>
    </row>
    <row r="214" spans="1:2" x14ac:dyDescent="0.15">
      <c r="A214" s="748"/>
      <c r="B214" s="713"/>
    </row>
    <row r="215" spans="1:2" x14ac:dyDescent="0.15">
      <c r="A215" s="748"/>
      <c r="B215" s="713"/>
    </row>
    <row r="216" spans="1:2" x14ac:dyDescent="0.15">
      <c r="A216" s="748"/>
      <c r="B216" s="713"/>
    </row>
    <row r="217" spans="1:2" x14ac:dyDescent="0.15">
      <c r="A217" s="748"/>
      <c r="B217" s="713"/>
    </row>
    <row r="218" spans="1:2" x14ac:dyDescent="0.15">
      <c r="A218" s="748"/>
      <c r="B218" s="713"/>
    </row>
    <row r="219" spans="1:2" x14ac:dyDescent="0.15">
      <c r="A219" s="748"/>
      <c r="B219" s="713"/>
    </row>
    <row r="220" spans="1:2" x14ac:dyDescent="0.15">
      <c r="A220" s="748"/>
      <c r="B220" s="713"/>
    </row>
    <row r="221" spans="1:2" x14ac:dyDescent="0.15">
      <c r="A221" s="748"/>
      <c r="B221" s="713"/>
    </row>
    <row r="222" spans="1:2" x14ac:dyDescent="0.15">
      <c r="A222" s="748"/>
      <c r="B222" s="713"/>
    </row>
    <row r="223" spans="1:2" x14ac:dyDescent="0.15">
      <c r="A223" s="748"/>
      <c r="B223" s="713"/>
    </row>
    <row r="224" spans="1:2" x14ac:dyDescent="0.15">
      <c r="A224" s="748"/>
      <c r="B224" s="713"/>
    </row>
    <row r="225" spans="1:2" x14ac:dyDescent="0.15">
      <c r="A225" s="748"/>
      <c r="B225" s="713"/>
    </row>
    <row r="226" spans="1:2" x14ac:dyDescent="0.15">
      <c r="A226" s="748"/>
      <c r="B226" s="713"/>
    </row>
    <row r="227" spans="1:2" x14ac:dyDescent="0.15">
      <c r="A227" s="748"/>
      <c r="B227" s="713"/>
    </row>
    <row r="228" spans="1:2" x14ac:dyDescent="0.15">
      <c r="A228" s="748"/>
      <c r="B228" s="713"/>
    </row>
    <row r="229" spans="1:2" x14ac:dyDescent="0.15">
      <c r="A229" s="748"/>
      <c r="B229" s="713"/>
    </row>
    <row r="230" spans="1:2" x14ac:dyDescent="0.15">
      <c r="A230" s="748"/>
      <c r="B230" s="713"/>
    </row>
    <row r="231" spans="1:2" x14ac:dyDescent="0.15">
      <c r="A231" s="748"/>
      <c r="B231" s="713"/>
    </row>
    <row r="232" spans="1:2" x14ac:dyDescent="0.15">
      <c r="A232" s="748"/>
      <c r="B232" s="713"/>
    </row>
    <row r="233" spans="1:2" x14ac:dyDescent="0.15">
      <c r="A233" s="748"/>
      <c r="B233" s="713"/>
    </row>
    <row r="234" spans="1:2" x14ac:dyDescent="0.15">
      <c r="A234" s="748"/>
      <c r="B234" s="713"/>
    </row>
    <row r="235" spans="1:2" x14ac:dyDescent="0.15">
      <c r="A235" s="748"/>
      <c r="B235" s="713"/>
    </row>
    <row r="236" spans="1:2" x14ac:dyDescent="0.15">
      <c r="A236" s="748"/>
      <c r="B236" s="713"/>
    </row>
    <row r="237" spans="1:2" x14ac:dyDescent="0.15">
      <c r="A237" s="748"/>
      <c r="B237" s="713"/>
    </row>
    <row r="238" spans="1:2" x14ac:dyDescent="0.15">
      <c r="A238" s="748"/>
      <c r="B238" s="713"/>
    </row>
    <row r="239" spans="1:2" x14ac:dyDescent="0.15">
      <c r="A239" s="748"/>
      <c r="B239" s="713"/>
    </row>
    <row r="240" spans="1:2" x14ac:dyDescent="0.15">
      <c r="A240" s="748"/>
      <c r="B240" s="713"/>
    </row>
    <row r="241" spans="1:2" x14ac:dyDescent="0.15">
      <c r="A241" s="748"/>
      <c r="B241" s="713"/>
    </row>
    <row r="242" spans="1:2" x14ac:dyDescent="0.15">
      <c r="A242" s="748"/>
      <c r="B242" s="713"/>
    </row>
    <row r="243" spans="1:2" x14ac:dyDescent="0.15">
      <c r="A243" s="748"/>
      <c r="B243" s="713"/>
    </row>
    <row r="244" spans="1:2" x14ac:dyDescent="0.15">
      <c r="A244" s="748"/>
      <c r="B244" s="713"/>
    </row>
    <row r="245" spans="1:2" x14ac:dyDescent="0.15">
      <c r="A245" s="748"/>
      <c r="B245" s="713"/>
    </row>
    <row r="246" spans="1:2" x14ac:dyDescent="0.15">
      <c r="A246" s="748"/>
      <c r="B246" s="713"/>
    </row>
    <row r="247" spans="1:2" x14ac:dyDescent="0.15">
      <c r="A247" s="748"/>
      <c r="B247" s="713"/>
    </row>
    <row r="248" spans="1:2" x14ac:dyDescent="0.15">
      <c r="A248" s="748"/>
      <c r="B248" s="713"/>
    </row>
    <row r="249" spans="1:2" x14ac:dyDescent="0.15">
      <c r="A249" s="748"/>
      <c r="B249" s="713"/>
    </row>
    <row r="250" spans="1:2" x14ac:dyDescent="0.15">
      <c r="A250" s="748"/>
      <c r="B250" s="713"/>
    </row>
    <row r="251" spans="1:2" x14ac:dyDescent="0.15">
      <c r="A251" s="748"/>
      <c r="B251" s="713"/>
    </row>
    <row r="252" spans="1:2" x14ac:dyDescent="0.15">
      <c r="A252" s="748"/>
      <c r="B252" s="713"/>
    </row>
    <row r="253" spans="1:2" x14ac:dyDescent="0.15">
      <c r="A253" s="748"/>
      <c r="B253" s="713"/>
    </row>
    <row r="254" spans="1:2" x14ac:dyDescent="0.15">
      <c r="A254" s="748"/>
      <c r="B254" s="713"/>
    </row>
    <row r="255" spans="1:2" x14ac:dyDescent="0.15">
      <c r="A255" s="748"/>
      <c r="B255" s="713"/>
    </row>
    <row r="256" spans="1:2" x14ac:dyDescent="0.15">
      <c r="A256" s="748"/>
      <c r="B256" s="713"/>
    </row>
    <row r="257" spans="1:2" x14ac:dyDescent="0.15">
      <c r="A257" s="748"/>
      <c r="B257" s="713"/>
    </row>
    <row r="258" spans="1:2" x14ac:dyDescent="0.15">
      <c r="A258" s="748"/>
      <c r="B258" s="713"/>
    </row>
    <row r="259" spans="1:2" x14ac:dyDescent="0.15">
      <c r="A259" s="748"/>
      <c r="B259" s="713"/>
    </row>
    <row r="260" spans="1:2" x14ac:dyDescent="0.15">
      <c r="A260" s="748"/>
      <c r="B260" s="713"/>
    </row>
    <row r="261" spans="1:2" x14ac:dyDescent="0.15">
      <c r="A261" s="748"/>
      <c r="B261" s="713"/>
    </row>
    <row r="262" spans="1:2" x14ac:dyDescent="0.15">
      <c r="A262" s="748"/>
      <c r="B262" s="713"/>
    </row>
    <row r="263" spans="1:2" x14ac:dyDescent="0.15">
      <c r="A263" s="748"/>
      <c r="B263" s="713"/>
    </row>
    <row r="264" spans="1:2" x14ac:dyDescent="0.15">
      <c r="A264" s="748"/>
      <c r="B264" s="713"/>
    </row>
    <row r="265" spans="1:2" x14ac:dyDescent="0.15">
      <c r="A265" s="748"/>
      <c r="B265" s="713"/>
    </row>
    <row r="266" spans="1:2" x14ac:dyDescent="0.15">
      <c r="A266" s="748"/>
      <c r="B266" s="713"/>
    </row>
    <row r="267" spans="1:2" x14ac:dyDescent="0.15">
      <c r="A267" s="748"/>
      <c r="B267" s="713"/>
    </row>
    <row r="268" spans="1:2" x14ac:dyDescent="0.15">
      <c r="A268" s="748"/>
      <c r="B268" s="713"/>
    </row>
    <row r="269" spans="1:2" x14ac:dyDescent="0.15">
      <c r="A269" s="748"/>
      <c r="B269" s="713"/>
    </row>
    <row r="270" spans="1:2" x14ac:dyDescent="0.15">
      <c r="A270" s="748"/>
      <c r="B270" s="713"/>
    </row>
    <row r="271" spans="1:2" x14ac:dyDescent="0.15">
      <c r="A271" s="748"/>
      <c r="B271" s="713"/>
    </row>
    <row r="272" spans="1:2" x14ac:dyDescent="0.15">
      <c r="A272" s="748"/>
      <c r="B272" s="713"/>
    </row>
    <row r="273" spans="1:2" x14ac:dyDescent="0.15">
      <c r="A273" s="748"/>
      <c r="B273" s="713"/>
    </row>
    <row r="274" spans="1:2" x14ac:dyDescent="0.15">
      <c r="A274" s="748"/>
      <c r="B274" s="713"/>
    </row>
    <row r="275" spans="1:2" x14ac:dyDescent="0.15">
      <c r="A275" s="748"/>
      <c r="B275" s="713"/>
    </row>
    <row r="276" spans="1:2" x14ac:dyDescent="0.15">
      <c r="A276" s="748"/>
      <c r="B276" s="713"/>
    </row>
    <row r="277" spans="1:2" x14ac:dyDescent="0.15">
      <c r="A277" s="748"/>
      <c r="B277" s="713"/>
    </row>
    <row r="278" spans="1:2" x14ac:dyDescent="0.15">
      <c r="A278" s="748"/>
      <c r="B278" s="713"/>
    </row>
    <row r="279" spans="1:2" x14ac:dyDescent="0.15">
      <c r="A279" s="748"/>
      <c r="B279" s="713"/>
    </row>
    <row r="280" spans="1:2" x14ac:dyDescent="0.15">
      <c r="A280" s="748"/>
      <c r="B280" s="713"/>
    </row>
    <row r="281" spans="1:2" x14ac:dyDescent="0.15">
      <c r="A281" s="748"/>
      <c r="B281" s="713"/>
    </row>
    <row r="282" spans="1:2" x14ac:dyDescent="0.15">
      <c r="A282" s="748"/>
      <c r="B282" s="713"/>
    </row>
    <row r="283" spans="1:2" x14ac:dyDescent="0.15">
      <c r="A283" s="748"/>
      <c r="B283" s="713"/>
    </row>
    <row r="284" spans="1:2" x14ac:dyDescent="0.15">
      <c r="A284" s="748"/>
      <c r="B284" s="713"/>
    </row>
    <row r="285" spans="1:2" x14ac:dyDescent="0.15">
      <c r="A285" s="748"/>
      <c r="B285" s="713"/>
    </row>
    <row r="286" spans="1:2" x14ac:dyDescent="0.15">
      <c r="A286" s="748"/>
      <c r="B286" s="713"/>
    </row>
    <row r="287" spans="1:2" x14ac:dyDescent="0.15">
      <c r="A287" s="748"/>
      <c r="B287" s="713"/>
    </row>
    <row r="288" spans="1:2" x14ac:dyDescent="0.15">
      <c r="A288" s="748"/>
      <c r="B288" s="713"/>
    </row>
    <row r="289" spans="1:2" x14ac:dyDescent="0.15">
      <c r="A289" s="748"/>
      <c r="B289" s="713"/>
    </row>
    <row r="290" spans="1:2" x14ac:dyDescent="0.15">
      <c r="A290" s="748"/>
      <c r="B290" s="713"/>
    </row>
    <row r="291" spans="1:2" x14ac:dyDescent="0.15">
      <c r="A291" s="748"/>
      <c r="B291" s="713"/>
    </row>
    <row r="292" spans="1:2" x14ac:dyDescent="0.15">
      <c r="A292" s="748"/>
      <c r="B292" s="713"/>
    </row>
    <row r="293" spans="1:2" x14ac:dyDescent="0.15">
      <c r="A293" s="748"/>
      <c r="B293" s="713"/>
    </row>
    <row r="294" spans="1:2" x14ac:dyDescent="0.15">
      <c r="A294" s="748"/>
      <c r="B294" s="713"/>
    </row>
    <row r="295" spans="1:2" x14ac:dyDescent="0.15">
      <c r="A295" s="748"/>
      <c r="B295" s="713"/>
    </row>
    <row r="296" spans="1:2" x14ac:dyDescent="0.15">
      <c r="A296" s="748"/>
      <c r="B296" s="713"/>
    </row>
    <row r="297" spans="1:2" x14ac:dyDescent="0.15">
      <c r="A297" s="748"/>
      <c r="B297" s="713"/>
    </row>
    <row r="298" spans="1:2" x14ac:dyDescent="0.15">
      <c r="A298" s="748"/>
      <c r="B298" s="713"/>
    </row>
    <row r="299" spans="1:2" x14ac:dyDescent="0.15">
      <c r="A299" s="748"/>
      <c r="B299" s="713"/>
    </row>
  </sheetData>
  <phoneticPr fontId="40"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tabColor rgb="FF00FF99"/>
  </sheetPr>
  <dimension ref="A3:O3357"/>
  <sheetViews>
    <sheetView zoomScale="90" zoomScaleNormal="90" workbookViewId="0">
      <pane xSplit="7" ySplit="4" topLeftCell="H3222" activePane="bottomRight" state="frozen"/>
      <selection pane="topRight" activeCell="H1" sqref="H1"/>
      <selection pane="bottomLeft" activeCell="A5" sqref="A5"/>
      <selection pane="bottomRight" activeCell="F3239" sqref="F3239"/>
    </sheetView>
  </sheetViews>
  <sheetFormatPr defaultRowHeight="13.5" x14ac:dyDescent="0.15"/>
  <cols>
    <col min="1" max="1" width="15.375" customWidth="1"/>
    <col min="2" max="2" width="18" style="650" bestFit="1" customWidth="1"/>
    <col min="3" max="3" width="13" customWidth="1"/>
    <col min="4" max="4" width="9.25" customWidth="1"/>
    <col min="5" max="5" width="13" customWidth="1"/>
    <col min="6" max="6" width="11.75" customWidth="1"/>
    <col min="7" max="7" width="13" bestFit="1" customWidth="1"/>
    <col min="8" max="8" width="13.25" bestFit="1" customWidth="1"/>
    <col min="9" max="9" width="12.625" bestFit="1" customWidth="1"/>
    <col min="10" max="10" width="17" bestFit="1" customWidth="1"/>
    <col min="11" max="11" width="14.875" bestFit="1" customWidth="1"/>
    <col min="12" max="12" width="12.625" bestFit="1" customWidth="1"/>
    <col min="13" max="13" width="17" bestFit="1" customWidth="1"/>
    <col min="14" max="16" width="23.75" bestFit="1" customWidth="1"/>
    <col min="17" max="18" width="23.75" customWidth="1"/>
    <col min="19" max="33" width="23.75" bestFit="1" customWidth="1"/>
    <col min="34" max="34" width="23.75" customWidth="1"/>
    <col min="35" max="48" width="23.75" bestFit="1" customWidth="1"/>
    <col min="49" max="50" width="23.75" customWidth="1"/>
    <col min="51" max="63" width="23.75" bestFit="1" customWidth="1"/>
    <col min="64" max="66" width="23.75" customWidth="1"/>
    <col min="67" max="78" width="23.75" bestFit="1" customWidth="1"/>
    <col min="79" max="80" width="23.75" customWidth="1"/>
    <col min="81" max="92" width="23.75" bestFit="1" customWidth="1"/>
    <col min="93" max="93" width="20.125" bestFit="1" customWidth="1"/>
    <col min="94" max="94" width="20.125" customWidth="1"/>
    <col min="95" max="95" width="24.375" bestFit="1" customWidth="1"/>
    <col min="96" max="96" width="22.25" bestFit="1" customWidth="1"/>
    <col min="97" max="97" width="20.125" bestFit="1" customWidth="1"/>
    <col min="98" max="98" width="31.125" bestFit="1" customWidth="1"/>
  </cols>
  <sheetData>
    <row r="3" spans="1:14" x14ac:dyDescent="0.15">
      <c r="B3"/>
      <c r="H3" s="652" t="s">
        <v>603</v>
      </c>
    </row>
    <row r="4" spans="1:14" x14ac:dyDescent="0.15">
      <c r="A4" s="652" t="s">
        <v>591</v>
      </c>
      <c r="B4" s="652" t="s">
        <v>850</v>
      </c>
      <c r="C4" s="652" t="s">
        <v>848</v>
      </c>
      <c r="D4" s="655" t="s">
        <v>624</v>
      </c>
      <c r="E4" s="652" t="s">
        <v>593</v>
      </c>
      <c r="F4" s="652" t="s">
        <v>630</v>
      </c>
      <c r="G4" s="652" t="s">
        <v>595</v>
      </c>
      <c r="H4" t="s">
        <v>602</v>
      </c>
      <c r="I4" t="s">
        <v>608</v>
      </c>
      <c r="J4" t="s">
        <v>604</v>
      </c>
      <c r="K4" t="s">
        <v>605</v>
      </c>
      <c r="L4" t="s">
        <v>606</v>
      </c>
      <c r="M4" t="s">
        <v>858</v>
      </c>
      <c r="N4" t="s">
        <v>607</v>
      </c>
    </row>
    <row r="5" spans="1:14" x14ac:dyDescent="0.15">
      <c r="A5" s="653">
        <v>42614</v>
      </c>
      <c r="B5" t="s">
        <v>626</v>
      </c>
      <c r="C5" t="s">
        <v>849</v>
      </c>
      <c r="D5" t="s">
        <v>625</v>
      </c>
      <c r="E5" t="s">
        <v>594</v>
      </c>
      <c r="F5" t="s">
        <v>566</v>
      </c>
      <c r="G5" t="s">
        <v>597</v>
      </c>
      <c r="H5" s="654">
        <v>33378</v>
      </c>
      <c r="I5" s="654">
        <v>0</v>
      </c>
      <c r="J5" s="654">
        <v>33378</v>
      </c>
      <c r="K5" s="654">
        <v>33378</v>
      </c>
      <c r="L5" s="654">
        <v>0</v>
      </c>
      <c r="M5" s="654">
        <v>0</v>
      </c>
      <c r="N5" s="654">
        <v>0</v>
      </c>
    </row>
    <row r="6" spans="1:14" x14ac:dyDescent="0.15">
      <c r="B6"/>
      <c r="F6" t="s">
        <v>738</v>
      </c>
      <c r="H6" s="654">
        <v>33378</v>
      </c>
      <c r="I6" s="654">
        <v>0</v>
      </c>
      <c r="J6" s="654">
        <v>33378</v>
      </c>
      <c r="K6" s="654">
        <v>33378</v>
      </c>
      <c r="L6" s="654">
        <v>0</v>
      </c>
      <c r="M6" s="654">
        <v>0</v>
      </c>
      <c r="N6" s="654">
        <v>0</v>
      </c>
    </row>
    <row r="7" spans="1:14" x14ac:dyDescent="0.15">
      <c r="B7"/>
      <c r="E7" t="s">
        <v>768</v>
      </c>
      <c r="H7" s="654">
        <v>33378</v>
      </c>
      <c r="I7" s="654">
        <v>0</v>
      </c>
      <c r="J7" s="654">
        <v>33378</v>
      </c>
      <c r="K7" s="654">
        <v>33378</v>
      </c>
      <c r="L7" s="654">
        <v>0</v>
      </c>
      <c r="M7" s="654">
        <v>0</v>
      </c>
      <c r="N7" s="654">
        <v>0</v>
      </c>
    </row>
    <row r="8" spans="1:14" x14ac:dyDescent="0.15">
      <c r="B8"/>
      <c r="D8" t="s">
        <v>741</v>
      </c>
      <c r="H8" s="654">
        <v>33378</v>
      </c>
      <c r="I8" s="654">
        <v>0</v>
      </c>
      <c r="J8" s="654">
        <v>33378</v>
      </c>
      <c r="K8" s="654">
        <v>33378</v>
      </c>
      <c r="L8" s="654">
        <v>0</v>
      </c>
      <c r="M8" s="654">
        <v>0</v>
      </c>
      <c r="N8" s="654">
        <v>0</v>
      </c>
    </row>
    <row r="9" spans="1:14" x14ac:dyDescent="0.15">
      <c r="B9"/>
      <c r="D9" t="s">
        <v>626</v>
      </c>
      <c r="E9" t="s">
        <v>378</v>
      </c>
      <c r="F9" t="s">
        <v>626</v>
      </c>
      <c r="G9" t="s">
        <v>600</v>
      </c>
      <c r="H9" s="654">
        <v>6224836</v>
      </c>
      <c r="I9" s="654">
        <v>-15900</v>
      </c>
      <c r="J9" s="654">
        <v>6208936</v>
      </c>
      <c r="K9" s="654">
        <v>6208936</v>
      </c>
      <c r="L9" s="654">
        <v>0</v>
      </c>
      <c r="M9" s="654">
        <v>491125</v>
      </c>
      <c r="N9" s="654">
        <v>762389</v>
      </c>
    </row>
    <row r="10" spans="1:14" x14ac:dyDescent="0.15">
      <c r="B10"/>
      <c r="F10" t="s">
        <v>733</v>
      </c>
      <c r="H10" s="654">
        <v>6224836</v>
      </c>
      <c r="I10" s="654">
        <v>-15900</v>
      </c>
      <c r="J10" s="654">
        <v>6208936</v>
      </c>
      <c r="K10" s="654">
        <v>6208936</v>
      </c>
      <c r="L10" s="654">
        <v>0</v>
      </c>
      <c r="M10" s="654">
        <v>491125</v>
      </c>
      <c r="N10" s="654">
        <v>762389</v>
      </c>
    </row>
    <row r="11" spans="1:14" x14ac:dyDescent="0.15">
      <c r="B11"/>
      <c r="F11" t="s">
        <v>627</v>
      </c>
      <c r="G11" t="s">
        <v>599</v>
      </c>
      <c r="H11" s="654">
        <v>1024896</v>
      </c>
      <c r="I11" s="654">
        <v>-292254</v>
      </c>
      <c r="J11" s="654">
        <v>732642</v>
      </c>
      <c r="K11" s="654">
        <v>732642</v>
      </c>
      <c r="L11" s="654">
        <v>0</v>
      </c>
      <c r="M11" s="654">
        <v>96069</v>
      </c>
      <c r="N11" s="654">
        <v>157440</v>
      </c>
    </row>
    <row r="12" spans="1:14" x14ac:dyDescent="0.15">
      <c r="B12"/>
      <c r="F12" t="s">
        <v>734</v>
      </c>
      <c r="H12" s="654">
        <v>1024896</v>
      </c>
      <c r="I12" s="654">
        <v>-292254</v>
      </c>
      <c r="J12" s="654">
        <v>732642</v>
      </c>
      <c r="K12" s="654">
        <v>732642</v>
      </c>
      <c r="L12" s="654">
        <v>0</v>
      </c>
      <c r="M12" s="654">
        <v>96069</v>
      </c>
      <c r="N12" s="654">
        <v>157440</v>
      </c>
    </row>
    <row r="13" spans="1:14" x14ac:dyDescent="0.15">
      <c r="B13"/>
      <c r="F13" t="s">
        <v>628</v>
      </c>
      <c r="G13" t="s">
        <v>598</v>
      </c>
      <c r="H13" s="654">
        <v>488654</v>
      </c>
      <c r="I13" s="654">
        <v>0</v>
      </c>
      <c r="J13" s="654">
        <v>488654</v>
      </c>
      <c r="K13" s="654">
        <v>488654</v>
      </c>
      <c r="L13" s="654">
        <v>0</v>
      </c>
      <c r="M13" s="654">
        <v>24674</v>
      </c>
      <c r="N13" s="654">
        <v>0</v>
      </c>
    </row>
    <row r="14" spans="1:14" x14ac:dyDescent="0.15">
      <c r="B14"/>
      <c r="F14" t="s">
        <v>735</v>
      </c>
      <c r="H14" s="654">
        <v>488654</v>
      </c>
      <c r="I14" s="654">
        <v>0</v>
      </c>
      <c r="J14" s="654">
        <v>488654</v>
      </c>
      <c r="K14" s="654">
        <v>488654</v>
      </c>
      <c r="L14" s="654">
        <v>0</v>
      </c>
      <c r="M14" s="654">
        <v>24674</v>
      </c>
      <c r="N14" s="654">
        <v>0</v>
      </c>
    </row>
    <row r="15" spans="1:14" x14ac:dyDescent="0.15">
      <c r="B15"/>
      <c r="E15" t="s">
        <v>769</v>
      </c>
      <c r="H15" s="654">
        <v>7738386</v>
      </c>
      <c r="I15" s="654">
        <v>-308154</v>
      </c>
      <c r="J15" s="654">
        <v>7430232</v>
      </c>
      <c r="K15" s="654">
        <v>7430232</v>
      </c>
      <c r="L15" s="654">
        <v>0</v>
      </c>
      <c r="M15" s="654">
        <v>611868</v>
      </c>
      <c r="N15" s="654">
        <v>919829</v>
      </c>
    </row>
    <row r="16" spans="1:14" x14ac:dyDescent="0.15">
      <c r="B16"/>
      <c r="D16" t="s">
        <v>733</v>
      </c>
      <c r="H16" s="654">
        <v>7738386</v>
      </c>
      <c r="I16" s="654">
        <v>-308154</v>
      </c>
      <c r="J16" s="654">
        <v>7430232</v>
      </c>
      <c r="K16" s="654">
        <v>7430232</v>
      </c>
      <c r="L16" s="654">
        <v>0</v>
      </c>
      <c r="M16" s="654">
        <v>611868</v>
      </c>
      <c r="N16" s="654">
        <v>919829</v>
      </c>
    </row>
    <row r="17" spans="2:14" x14ac:dyDescent="0.15">
      <c r="B17"/>
      <c r="D17" t="s">
        <v>627</v>
      </c>
      <c r="E17" t="s">
        <v>379</v>
      </c>
      <c r="F17" t="s">
        <v>626</v>
      </c>
      <c r="G17" t="s">
        <v>600</v>
      </c>
      <c r="H17" s="654">
        <v>4167720</v>
      </c>
      <c r="I17" s="654">
        <v>-114522</v>
      </c>
      <c r="J17" s="654">
        <v>4053198</v>
      </c>
      <c r="K17" s="654">
        <v>4053198</v>
      </c>
      <c r="L17" s="654">
        <v>0</v>
      </c>
      <c r="M17" s="654">
        <v>0</v>
      </c>
      <c r="N17" s="654">
        <v>343694</v>
      </c>
    </row>
    <row r="18" spans="2:14" x14ac:dyDescent="0.15">
      <c r="B18"/>
      <c r="F18" t="s">
        <v>733</v>
      </c>
      <c r="H18" s="654">
        <v>4167720</v>
      </c>
      <c r="I18" s="654">
        <v>-114522</v>
      </c>
      <c r="J18" s="654">
        <v>4053198</v>
      </c>
      <c r="K18" s="654">
        <v>4053198</v>
      </c>
      <c r="L18" s="654">
        <v>0</v>
      </c>
      <c r="M18" s="654">
        <v>0</v>
      </c>
      <c r="N18" s="654">
        <v>343694</v>
      </c>
    </row>
    <row r="19" spans="2:14" x14ac:dyDescent="0.15">
      <c r="B19"/>
      <c r="F19" t="s">
        <v>627</v>
      </c>
      <c r="G19" t="s">
        <v>599</v>
      </c>
      <c r="H19" s="654">
        <v>351077</v>
      </c>
      <c r="I19" s="654">
        <v>0</v>
      </c>
      <c r="J19" s="654">
        <v>351077</v>
      </c>
      <c r="K19" s="654">
        <v>351077</v>
      </c>
      <c r="L19" s="654">
        <v>0</v>
      </c>
      <c r="M19" s="654">
        <v>0</v>
      </c>
      <c r="N19" s="654">
        <v>66648</v>
      </c>
    </row>
    <row r="20" spans="2:14" x14ac:dyDescent="0.15">
      <c r="B20"/>
      <c r="F20" t="s">
        <v>734</v>
      </c>
      <c r="H20" s="654">
        <v>351077</v>
      </c>
      <c r="I20" s="654">
        <v>0</v>
      </c>
      <c r="J20" s="654">
        <v>351077</v>
      </c>
      <c r="K20" s="654">
        <v>351077</v>
      </c>
      <c r="L20" s="654">
        <v>0</v>
      </c>
      <c r="M20" s="654">
        <v>0</v>
      </c>
      <c r="N20" s="654">
        <v>66648</v>
      </c>
    </row>
    <row r="21" spans="2:14" x14ac:dyDescent="0.15">
      <c r="B21"/>
      <c r="F21" t="s">
        <v>628</v>
      </c>
      <c r="G21" t="s">
        <v>598</v>
      </c>
      <c r="H21" s="654">
        <v>290452</v>
      </c>
      <c r="I21" s="654">
        <v>0</v>
      </c>
      <c r="J21" s="654">
        <v>290452</v>
      </c>
      <c r="K21" s="654">
        <v>290452</v>
      </c>
      <c r="L21" s="654">
        <v>0</v>
      </c>
      <c r="M21" s="654">
        <v>0</v>
      </c>
      <c r="N21" s="654">
        <v>0</v>
      </c>
    </row>
    <row r="22" spans="2:14" x14ac:dyDescent="0.15">
      <c r="B22"/>
      <c r="F22" t="s">
        <v>735</v>
      </c>
      <c r="H22" s="654">
        <v>290452</v>
      </c>
      <c r="I22" s="654">
        <v>0</v>
      </c>
      <c r="J22" s="654">
        <v>290452</v>
      </c>
      <c r="K22" s="654">
        <v>290452</v>
      </c>
      <c r="L22" s="654">
        <v>0</v>
      </c>
      <c r="M22" s="654">
        <v>0</v>
      </c>
      <c r="N22" s="654">
        <v>0</v>
      </c>
    </row>
    <row r="23" spans="2:14" x14ac:dyDescent="0.15">
      <c r="B23"/>
      <c r="E23" t="s">
        <v>770</v>
      </c>
      <c r="H23" s="654">
        <v>4809249</v>
      </c>
      <c r="I23" s="654">
        <v>-114522</v>
      </c>
      <c r="J23" s="654">
        <v>4694727</v>
      </c>
      <c r="K23" s="654">
        <v>4694727</v>
      </c>
      <c r="L23" s="654">
        <v>0</v>
      </c>
      <c r="M23" s="654">
        <v>0</v>
      </c>
      <c r="N23" s="654">
        <v>410342</v>
      </c>
    </row>
    <row r="24" spans="2:14" x14ac:dyDescent="0.15">
      <c r="B24"/>
      <c r="D24" t="s">
        <v>734</v>
      </c>
      <c r="H24" s="654">
        <v>4809249</v>
      </c>
      <c r="I24" s="654">
        <v>-114522</v>
      </c>
      <c r="J24" s="654">
        <v>4694727</v>
      </c>
      <c r="K24" s="654">
        <v>4694727</v>
      </c>
      <c r="L24" s="654">
        <v>0</v>
      </c>
      <c r="M24" s="654">
        <v>0</v>
      </c>
      <c r="N24" s="654">
        <v>410342</v>
      </c>
    </row>
    <row r="25" spans="2:14" x14ac:dyDescent="0.15">
      <c r="B25"/>
      <c r="D25" t="s">
        <v>628</v>
      </c>
      <c r="E25" t="s">
        <v>380</v>
      </c>
      <c r="F25" t="s">
        <v>626</v>
      </c>
      <c r="G25" t="s">
        <v>600</v>
      </c>
      <c r="H25" s="654">
        <v>2440726</v>
      </c>
      <c r="I25" s="654">
        <v>-33150</v>
      </c>
      <c r="J25" s="654">
        <v>2407576</v>
      </c>
      <c r="K25" s="654">
        <v>2407576</v>
      </c>
      <c r="L25" s="654">
        <v>0</v>
      </c>
      <c r="M25" s="654">
        <v>0</v>
      </c>
      <c r="N25" s="654">
        <v>193381</v>
      </c>
    </row>
    <row r="26" spans="2:14" x14ac:dyDescent="0.15">
      <c r="B26"/>
      <c r="F26" t="s">
        <v>733</v>
      </c>
      <c r="H26" s="654">
        <v>2440726</v>
      </c>
      <c r="I26" s="654">
        <v>-33150</v>
      </c>
      <c r="J26" s="654">
        <v>2407576</v>
      </c>
      <c r="K26" s="654">
        <v>2407576</v>
      </c>
      <c r="L26" s="654">
        <v>0</v>
      </c>
      <c r="M26" s="654">
        <v>0</v>
      </c>
      <c r="N26" s="654">
        <v>193381</v>
      </c>
    </row>
    <row r="27" spans="2:14" x14ac:dyDescent="0.15">
      <c r="B27"/>
      <c r="F27" t="s">
        <v>627</v>
      </c>
      <c r="G27" t="s">
        <v>599</v>
      </c>
      <c r="H27" s="654">
        <v>1033206</v>
      </c>
      <c r="I27" s="654">
        <v>-248601</v>
      </c>
      <c r="J27" s="654">
        <v>784605</v>
      </c>
      <c r="K27" s="654">
        <v>784605</v>
      </c>
      <c r="L27" s="654">
        <v>0</v>
      </c>
      <c r="M27" s="654">
        <v>7483</v>
      </c>
      <c r="N27" s="654">
        <v>139892</v>
      </c>
    </row>
    <row r="28" spans="2:14" x14ac:dyDescent="0.15">
      <c r="B28"/>
      <c r="F28" t="s">
        <v>734</v>
      </c>
      <c r="H28" s="654">
        <v>1033206</v>
      </c>
      <c r="I28" s="654">
        <v>-248601</v>
      </c>
      <c r="J28" s="654">
        <v>784605</v>
      </c>
      <c r="K28" s="654">
        <v>784605</v>
      </c>
      <c r="L28" s="654">
        <v>0</v>
      </c>
      <c r="M28" s="654">
        <v>7483</v>
      </c>
      <c r="N28" s="654">
        <v>139892</v>
      </c>
    </row>
    <row r="29" spans="2:14" x14ac:dyDescent="0.15">
      <c r="B29"/>
      <c r="E29" t="s">
        <v>771</v>
      </c>
      <c r="H29" s="654">
        <v>3473932</v>
      </c>
      <c r="I29" s="654">
        <v>-281751</v>
      </c>
      <c r="J29" s="654">
        <v>3192181</v>
      </c>
      <c r="K29" s="654">
        <v>3192181</v>
      </c>
      <c r="L29" s="654">
        <v>0</v>
      </c>
      <c r="M29" s="654">
        <v>7483</v>
      </c>
      <c r="N29" s="654">
        <v>333273</v>
      </c>
    </row>
    <row r="30" spans="2:14" x14ac:dyDescent="0.15">
      <c r="B30"/>
      <c r="D30" t="s">
        <v>735</v>
      </c>
      <c r="H30" s="654">
        <v>3473932</v>
      </c>
      <c r="I30" s="654">
        <v>-281751</v>
      </c>
      <c r="J30" s="654">
        <v>3192181</v>
      </c>
      <c r="K30" s="654">
        <v>3192181</v>
      </c>
      <c r="L30" s="654">
        <v>0</v>
      </c>
      <c r="M30" s="654">
        <v>7483</v>
      </c>
      <c r="N30" s="654">
        <v>333273</v>
      </c>
    </row>
    <row r="31" spans="2:14" x14ac:dyDescent="0.15">
      <c r="B31"/>
      <c r="D31" t="s">
        <v>629</v>
      </c>
      <c r="E31" t="s">
        <v>676</v>
      </c>
      <c r="F31" t="s">
        <v>629</v>
      </c>
      <c r="G31" t="s">
        <v>601</v>
      </c>
      <c r="H31" s="654">
        <v>2367149</v>
      </c>
      <c r="I31" s="654">
        <v>-108793</v>
      </c>
      <c r="J31" s="654">
        <v>2258356</v>
      </c>
      <c r="K31" s="654">
        <v>2258356</v>
      </c>
      <c r="L31" s="654">
        <v>0</v>
      </c>
      <c r="M31" s="654">
        <v>137208</v>
      </c>
      <c r="N31" s="654">
        <v>96417</v>
      </c>
    </row>
    <row r="32" spans="2:14" x14ac:dyDescent="0.15">
      <c r="B32"/>
      <c r="F32" t="s">
        <v>736</v>
      </c>
      <c r="H32" s="654">
        <v>2367149</v>
      </c>
      <c r="I32" s="654">
        <v>-108793</v>
      </c>
      <c r="J32" s="654">
        <v>2258356</v>
      </c>
      <c r="K32" s="654">
        <v>2258356</v>
      </c>
      <c r="L32" s="654">
        <v>0</v>
      </c>
      <c r="M32" s="654">
        <v>137208</v>
      </c>
      <c r="N32" s="654">
        <v>96417</v>
      </c>
    </row>
    <row r="33" spans="2:14" x14ac:dyDescent="0.15">
      <c r="B33"/>
      <c r="E33" t="s">
        <v>772</v>
      </c>
      <c r="H33" s="654">
        <v>2367149</v>
      </c>
      <c r="I33" s="654">
        <v>-108793</v>
      </c>
      <c r="J33" s="654">
        <v>2258356</v>
      </c>
      <c r="K33" s="654">
        <v>2258356</v>
      </c>
      <c r="L33" s="654">
        <v>0</v>
      </c>
      <c r="M33" s="654">
        <v>137208</v>
      </c>
      <c r="N33" s="654">
        <v>96417</v>
      </c>
    </row>
    <row r="34" spans="2:14" x14ac:dyDescent="0.15">
      <c r="B34"/>
      <c r="D34" t="s">
        <v>736</v>
      </c>
      <c r="H34" s="654">
        <v>2367149</v>
      </c>
      <c r="I34" s="654">
        <v>-108793</v>
      </c>
      <c r="J34" s="654">
        <v>2258356</v>
      </c>
      <c r="K34" s="654">
        <v>2258356</v>
      </c>
      <c r="L34" s="654">
        <v>0</v>
      </c>
      <c r="M34" s="654">
        <v>137208</v>
      </c>
      <c r="N34" s="654">
        <v>96417</v>
      </c>
    </row>
    <row r="35" spans="2:14" x14ac:dyDescent="0.15">
      <c r="B35"/>
      <c r="D35" t="s">
        <v>567</v>
      </c>
      <c r="E35" t="s">
        <v>473</v>
      </c>
      <c r="F35" t="s">
        <v>631</v>
      </c>
      <c r="G35" t="s">
        <v>596</v>
      </c>
      <c r="H35" s="654">
        <v>745437</v>
      </c>
      <c r="I35" s="654">
        <v>0</v>
      </c>
      <c r="J35" s="654">
        <v>745437</v>
      </c>
      <c r="K35" s="654">
        <v>745437</v>
      </c>
      <c r="L35" s="654">
        <v>0</v>
      </c>
      <c r="M35" s="654">
        <v>0</v>
      </c>
      <c r="N35" s="654">
        <v>72968</v>
      </c>
    </row>
    <row r="36" spans="2:14" x14ac:dyDescent="0.15">
      <c r="B36"/>
      <c r="F36" t="s">
        <v>737</v>
      </c>
      <c r="H36" s="654">
        <v>745437</v>
      </c>
      <c r="I36" s="654">
        <v>0</v>
      </c>
      <c r="J36" s="654">
        <v>745437</v>
      </c>
      <c r="K36" s="654">
        <v>745437</v>
      </c>
      <c r="L36" s="654">
        <v>0</v>
      </c>
      <c r="M36" s="654">
        <v>0</v>
      </c>
      <c r="N36" s="654">
        <v>72968</v>
      </c>
    </row>
    <row r="37" spans="2:14" x14ac:dyDescent="0.15">
      <c r="B37"/>
      <c r="E37" t="s">
        <v>773</v>
      </c>
      <c r="H37" s="654">
        <v>745437</v>
      </c>
      <c r="I37" s="654">
        <v>0</v>
      </c>
      <c r="J37" s="654">
        <v>745437</v>
      </c>
      <c r="K37" s="654">
        <v>745437</v>
      </c>
      <c r="L37" s="654">
        <v>0</v>
      </c>
      <c r="M37" s="654">
        <v>0</v>
      </c>
      <c r="N37" s="654">
        <v>72968</v>
      </c>
    </row>
    <row r="38" spans="2:14" x14ac:dyDescent="0.15">
      <c r="B38"/>
      <c r="D38" t="s">
        <v>739</v>
      </c>
      <c r="H38" s="654">
        <v>745437</v>
      </c>
      <c r="I38" s="654">
        <v>0</v>
      </c>
      <c r="J38" s="654">
        <v>745437</v>
      </c>
      <c r="K38" s="654">
        <v>745437</v>
      </c>
      <c r="L38" s="654">
        <v>0</v>
      </c>
      <c r="M38" s="654">
        <v>0</v>
      </c>
      <c r="N38" s="654">
        <v>72968</v>
      </c>
    </row>
    <row r="39" spans="2:14" x14ac:dyDescent="0.15">
      <c r="B39"/>
      <c r="D39" t="s">
        <v>568</v>
      </c>
      <c r="E39" t="s">
        <v>474</v>
      </c>
      <c r="F39" t="s">
        <v>631</v>
      </c>
      <c r="G39" t="s">
        <v>596</v>
      </c>
      <c r="H39" s="654">
        <v>749148</v>
      </c>
      <c r="I39" s="654">
        <v>0</v>
      </c>
      <c r="J39" s="654">
        <v>749148</v>
      </c>
      <c r="K39" s="654">
        <v>749148</v>
      </c>
      <c r="L39" s="654">
        <v>0</v>
      </c>
      <c r="M39" s="654">
        <v>0</v>
      </c>
      <c r="N39" s="654">
        <v>0</v>
      </c>
    </row>
    <row r="40" spans="2:14" x14ac:dyDescent="0.15">
      <c r="B40"/>
      <c r="F40" t="s">
        <v>737</v>
      </c>
      <c r="H40" s="654">
        <v>749148</v>
      </c>
      <c r="I40" s="654">
        <v>0</v>
      </c>
      <c r="J40" s="654">
        <v>749148</v>
      </c>
      <c r="K40" s="654">
        <v>749148</v>
      </c>
      <c r="L40" s="654">
        <v>0</v>
      </c>
      <c r="M40" s="654">
        <v>0</v>
      </c>
      <c r="N40" s="654">
        <v>0</v>
      </c>
    </row>
    <row r="41" spans="2:14" x14ac:dyDescent="0.15">
      <c r="B41"/>
      <c r="E41" t="s">
        <v>774</v>
      </c>
      <c r="H41" s="654">
        <v>749148</v>
      </c>
      <c r="I41" s="654">
        <v>0</v>
      </c>
      <c r="J41" s="654">
        <v>749148</v>
      </c>
      <c r="K41" s="654">
        <v>749148</v>
      </c>
      <c r="L41" s="654">
        <v>0</v>
      </c>
      <c r="M41" s="654">
        <v>0</v>
      </c>
      <c r="N41" s="654">
        <v>0</v>
      </c>
    </row>
    <row r="42" spans="2:14" x14ac:dyDescent="0.15">
      <c r="B42"/>
      <c r="D42" t="s">
        <v>740</v>
      </c>
      <c r="H42" s="654">
        <v>749148</v>
      </c>
      <c r="I42" s="654">
        <v>0</v>
      </c>
      <c r="J42" s="654">
        <v>749148</v>
      </c>
      <c r="K42" s="654">
        <v>749148</v>
      </c>
      <c r="L42" s="654">
        <v>0</v>
      </c>
      <c r="M42" s="654">
        <v>0</v>
      </c>
      <c r="N42" s="654">
        <v>0</v>
      </c>
    </row>
    <row r="43" spans="2:14" x14ac:dyDescent="0.15">
      <c r="B43"/>
      <c r="D43" t="s">
        <v>566</v>
      </c>
      <c r="E43" t="s">
        <v>382</v>
      </c>
      <c r="F43" t="s">
        <v>626</v>
      </c>
      <c r="G43" t="s">
        <v>600</v>
      </c>
      <c r="H43" s="654">
        <v>517708</v>
      </c>
      <c r="I43" s="654">
        <v>0</v>
      </c>
      <c r="J43" s="654">
        <v>517708</v>
      </c>
      <c r="K43" s="654">
        <v>517708</v>
      </c>
      <c r="L43" s="654">
        <v>0</v>
      </c>
      <c r="M43" s="654">
        <v>0</v>
      </c>
      <c r="N43" s="654">
        <v>0</v>
      </c>
    </row>
    <row r="44" spans="2:14" x14ac:dyDescent="0.15">
      <c r="B44"/>
      <c r="F44" t="s">
        <v>733</v>
      </c>
      <c r="H44" s="654">
        <v>517708</v>
      </c>
      <c r="I44" s="654">
        <v>0</v>
      </c>
      <c r="J44" s="654">
        <v>517708</v>
      </c>
      <c r="K44" s="654">
        <v>517708</v>
      </c>
      <c r="L44" s="654">
        <v>0</v>
      </c>
      <c r="M44" s="654">
        <v>0</v>
      </c>
      <c r="N44" s="654">
        <v>0</v>
      </c>
    </row>
    <row r="45" spans="2:14" x14ac:dyDescent="0.15">
      <c r="B45"/>
      <c r="E45" t="s">
        <v>775</v>
      </c>
      <c r="H45" s="654">
        <v>517708</v>
      </c>
      <c r="I45" s="654">
        <v>0</v>
      </c>
      <c r="J45" s="654">
        <v>517708</v>
      </c>
      <c r="K45" s="654">
        <v>517708</v>
      </c>
      <c r="L45" s="654">
        <v>0</v>
      </c>
      <c r="M45" s="654">
        <v>0</v>
      </c>
      <c r="N45" s="654">
        <v>0</v>
      </c>
    </row>
    <row r="46" spans="2:14" x14ac:dyDescent="0.15">
      <c r="B46"/>
      <c r="D46" t="s">
        <v>738</v>
      </c>
      <c r="H46" s="654">
        <v>517708</v>
      </c>
      <c r="I46" s="654">
        <v>0</v>
      </c>
      <c r="J46" s="654">
        <v>517708</v>
      </c>
      <c r="K46" s="654">
        <v>517708</v>
      </c>
      <c r="L46" s="654">
        <v>0</v>
      </c>
      <c r="M46" s="654">
        <v>0</v>
      </c>
      <c r="N46" s="654">
        <v>0</v>
      </c>
    </row>
    <row r="47" spans="2:14" x14ac:dyDescent="0.15">
      <c r="B47"/>
      <c r="D47" t="s">
        <v>631</v>
      </c>
      <c r="E47" t="s">
        <v>381</v>
      </c>
      <c r="F47" t="s">
        <v>626</v>
      </c>
      <c r="G47" t="s">
        <v>600</v>
      </c>
      <c r="H47" s="654">
        <v>1489448</v>
      </c>
      <c r="I47" s="654">
        <v>0</v>
      </c>
      <c r="J47" s="654">
        <v>1489448</v>
      </c>
      <c r="K47" s="654">
        <v>1489448</v>
      </c>
      <c r="L47" s="654">
        <v>0</v>
      </c>
      <c r="M47" s="654">
        <v>529157</v>
      </c>
      <c r="N47" s="654">
        <v>0</v>
      </c>
    </row>
    <row r="48" spans="2:14" x14ac:dyDescent="0.15">
      <c r="B48"/>
      <c r="F48" t="s">
        <v>733</v>
      </c>
      <c r="H48" s="654">
        <v>1489448</v>
      </c>
      <c r="I48" s="654">
        <v>0</v>
      </c>
      <c r="J48" s="654">
        <v>1489448</v>
      </c>
      <c r="K48" s="654">
        <v>1489448</v>
      </c>
      <c r="L48" s="654">
        <v>0</v>
      </c>
      <c r="M48" s="654">
        <v>529157</v>
      </c>
      <c r="N48" s="654">
        <v>0</v>
      </c>
    </row>
    <row r="49" spans="2:14" x14ac:dyDescent="0.15">
      <c r="B49"/>
      <c r="E49" t="s">
        <v>776</v>
      </c>
      <c r="H49" s="654">
        <v>1489448</v>
      </c>
      <c r="I49" s="654">
        <v>0</v>
      </c>
      <c r="J49" s="654">
        <v>1489448</v>
      </c>
      <c r="K49" s="654">
        <v>1489448</v>
      </c>
      <c r="L49" s="654">
        <v>0</v>
      </c>
      <c r="M49" s="654">
        <v>529157</v>
      </c>
      <c r="N49" s="654">
        <v>0</v>
      </c>
    </row>
    <row r="50" spans="2:14" x14ac:dyDescent="0.15">
      <c r="B50"/>
      <c r="D50" t="s">
        <v>737</v>
      </c>
      <c r="H50" s="654">
        <v>1489448</v>
      </c>
      <c r="I50" s="654">
        <v>0</v>
      </c>
      <c r="J50" s="654">
        <v>1489448</v>
      </c>
      <c r="K50" s="654">
        <v>1489448</v>
      </c>
      <c r="L50" s="654">
        <v>0</v>
      </c>
      <c r="M50" s="654">
        <v>529157</v>
      </c>
      <c r="N50" s="654">
        <v>0</v>
      </c>
    </row>
    <row r="51" spans="2:14" x14ac:dyDescent="0.15">
      <c r="B51"/>
      <c r="D51" t="s">
        <v>671</v>
      </c>
      <c r="E51" t="s">
        <v>383</v>
      </c>
      <c r="F51" t="s">
        <v>626</v>
      </c>
      <c r="G51" t="s">
        <v>600</v>
      </c>
      <c r="H51" s="654">
        <v>1055787</v>
      </c>
      <c r="I51" s="654">
        <v>0</v>
      </c>
      <c r="J51" s="654">
        <v>1055787</v>
      </c>
      <c r="K51" s="654">
        <v>1055787</v>
      </c>
      <c r="L51" s="654">
        <v>0</v>
      </c>
      <c r="M51" s="654">
        <v>13685</v>
      </c>
      <c r="N51" s="654">
        <v>0</v>
      </c>
    </row>
    <row r="52" spans="2:14" x14ac:dyDescent="0.15">
      <c r="B52"/>
      <c r="F52" t="s">
        <v>733</v>
      </c>
      <c r="H52" s="654">
        <v>1055787</v>
      </c>
      <c r="I52" s="654">
        <v>0</v>
      </c>
      <c r="J52" s="654">
        <v>1055787</v>
      </c>
      <c r="K52" s="654">
        <v>1055787</v>
      </c>
      <c r="L52" s="654">
        <v>0</v>
      </c>
      <c r="M52" s="654">
        <v>13685</v>
      </c>
      <c r="N52" s="654">
        <v>0</v>
      </c>
    </row>
    <row r="53" spans="2:14" x14ac:dyDescent="0.15">
      <c r="B53"/>
      <c r="F53" t="s">
        <v>627</v>
      </c>
      <c r="G53" t="s">
        <v>599</v>
      </c>
      <c r="H53" s="654">
        <v>2693</v>
      </c>
      <c r="I53" s="654">
        <v>0</v>
      </c>
      <c r="J53" s="654">
        <v>2693</v>
      </c>
      <c r="K53" s="654">
        <v>2693</v>
      </c>
      <c r="L53" s="654">
        <v>0</v>
      </c>
      <c r="M53" s="654">
        <v>0</v>
      </c>
      <c r="N53" s="654">
        <v>0</v>
      </c>
    </row>
    <row r="54" spans="2:14" x14ac:dyDescent="0.15">
      <c r="B54"/>
      <c r="F54" t="s">
        <v>734</v>
      </c>
      <c r="H54" s="654">
        <v>2693</v>
      </c>
      <c r="I54" s="654">
        <v>0</v>
      </c>
      <c r="J54" s="654">
        <v>2693</v>
      </c>
      <c r="K54" s="654">
        <v>2693</v>
      </c>
      <c r="L54" s="654">
        <v>0</v>
      </c>
      <c r="M54" s="654">
        <v>0</v>
      </c>
      <c r="N54" s="654">
        <v>0</v>
      </c>
    </row>
    <row r="55" spans="2:14" x14ac:dyDescent="0.15">
      <c r="B55"/>
      <c r="E55" t="s">
        <v>777</v>
      </c>
      <c r="H55" s="654">
        <v>1058480</v>
      </c>
      <c r="I55" s="654">
        <v>0</v>
      </c>
      <c r="J55" s="654">
        <v>1058480</v>
      </c>
      <c r="K55" s="654">
        <v>1058480</v>
      </c>
      <c r="L55" s="654">
        <v>0</v>
      </c>
      <c r="M55" s="654">
        <v>13685</v>
      </c>
      <c r="N55" s="654">
        <v>0</v>
      </c>
    </row>
    <row r="56" spans="2:14" x14ac:dyDescent="0.15">
      <c r="B56"/>
      <c r="D56" t="s">
        <v>742</v>
      </c>
      <c r="H56" s="654">
        <v>1058480</v>
      </c>
      <c r="I56" s="654">
        <v>0</v>
      </c>
      <c r="J56" s="654">
        <v>1058480</v>
      </c>
      <c r="K56" s="654">
        <v>1058480</v>
      </c>
      <c r="L56" s="654">
        <v>0</v>
      </c>
      <c r="M56" s="654">
        <v>13685</v>
      </c>
      <c r="N56" s="654">
        <v>0</v>
      </c>
    </row>
    <row r="57" spans="2:14" x14ac:dyDescent="0.15">
      <c r="B57"/>
      <c r="C57" t="s">
        <v>853</v>
      </c>
      <c r="H57" s="654">
        <v>22982315</v>
      </c>
      <c r="I57" s="654">
        <v>-813220</v>
      </c>
      <c r="J57" s="654">
        <v>22169095</v>
      </c>
      <c r="K57" s="654">
        <v>22169095</v>
      </c>
      <c r="L57" s="654">
        <v>0</v>
      </c>
      <c r="M57" s="654">
        <v>1299401</v>
      </c>
      <c r="N57" s="654">
        <v>1832829</v>
      </c>
    </row>
    <row r="58" spans="2:14" x14ac:dyDescent="0.15">
      <c r="B58" t="s">
        <v>627</v>
      </c>
      <c r="C58" t="s">
        <v>847</v>
      </c>
      <c r="D58" t="s">
        <v>625</v>
      </c>
      <c r="E58" t="s">
        <v>594</v>
      </c>
      <c r="F58" t="s">
        <v>566</v>
      </c>
      <c r="G58" t="s">
        <v>597</v>
      </c>
      <c r="H58" s="654">
        <v>0</v>
      </c>
      <c r="I58" s="654">
        <v>0</v>
      </c>
      <c r="J58" s="654">
        <v>0</v>
      </c>
      <c r="K58" s="654">
        <v>0</v>
      </c>
      <c r="L58" s="654">
        <v>0</v>
      </c>
      <c r="M58" s="654">
        <v>0</v>
      </c>
      <c r="N58" s="654">
        <v>0</v>
      </c>
    </row>
    <row r="59" spans="2:14" x14ac:dyDescent="0.15">
      <c r="B59"/>
      <c r="F59" t="s">
        <v>738</v>
      </c>
      <c r="H59" s="654">
        <v>0</v>
      </c>
      <c r="I59" s="654">
        <v>0</v>
      </c>
      <c r="J59" s="654">
        <v>0</v>
      </c>
      <c r="K59" s="654">
        <v>0</v>
      </c>
      <c r="L59" s="654">
        <v>0</v>
      </c>
      <c r="M59" s="654">
        <v>0</v>
      </c>
      <c r="N59" s="654">
        <v>0</v>
      </c>
    </row>
    <row r="60" spans="2:14" x14ac:dyDescent="0.15">
      <c r="B60"/>
      <c r="E60" t="s">
        <v>768</v>
      </c>
      <c r="H60" s="654">
        <v>0</v>
      </c>
      <c r="I60" s="654">
        <v>0</v>
      </c>
      <c r="J60" s="654">
        <v>0</v>
      </c>
      <c r="K60" s="654">
        <v>0</v>
      </c>
      <c r="L60" s="654">
        <v>0</v>
      </c>
      <c r="M60" s="654">
        <v>0</v>
      </c>
      <c r="N60" s="654">
        <v>0</v>
      </c>
    </row>
    <row r="61" spans="2:14" x14ac:dyDescent="0.15">
      <c r="B61"/>
      <c r="D61" t="s">
        <v>741</v>
      </c>
      <c r="H61" s="654">
        <v>0</v>
      </c>
      <c r="I61" s="654">
        <v>0</v>
      </c>
      <c r="J61" s="654">
        <v>0</v>
      </c>
      <c r="K61" s="654">
        <v>0</v>
      </c>
      <c r="L61" s="654">
        <v>0</v>
      </c>
      <c r="M61" s="654">
        <v>0</v>
      </c>
      <c r="N61" s="654">
        <v>0</v>
      </c>
    </row>
    <row r="62" spans="2:14" x14ac:dyDescent="0.15">
      <c r="B62"/>
      <c r="D62" t="s">
        <v>626</v>
      </c>
      <c r="E62" t="s">
        <v>378</v>
      </c>
      <c r="F62" t="s">
        <v>626</v>
      </c>
      <c r="G62" t="s">
        <v>600</v>
      </c>
      <c r="H62" s="654">
        <v>-8519</v>
      </c>
      <c r="I62" s="654">
        <v>0</v>
      </c>
      <c r="J62" s="654">
        <v>-8519</v>
      </c>
      <c r="K62" s="654">
        <v>-8519</v>
      </c>
      <c r="L62" s="654">
        <v>0</v>
      </c>
      <c r="M62" s="654">
        <v>0</v>
      </c>
      <c r="N62" s="654">
        <v>0</v>
      </c>
    </row>
    <row r="63" spans="2:14" x14ac:dyDescent="0.15">
      <c r="B63"/>
      <c r="F63" t="s">
        <v>733</v>
      </c>
      <c r="H63" s="654">
        <v>-8519</v>
      </c>
      <c r="I63" s="654">
        <v>0</v>
      </c>
      <c r="J63" s="654">
        <v>-8519</v>
      </c>
      <c r="K63" s="654">
        <v>-8519</v>
      </c>
      <c r="L63" s="654">
        <v>0</v>
      </c>
      <c r="M63" s="654">
        <v>0</v>
      </c>
      <c r="N63" s="654">
        <v>0</v>
      </c>
    </row>
    <row r="64" spans="2:14" x14ac:dyDescent="0.15">
      <c r="B64"/>
      <c r="F64" t="s">
        <v>627</v>
      </c>
      <c r="G64" t="s">
        <v>599</v>
      </c>
      <c r="H64" s="654">
        <v>166163</v>
      </c>
      <c r="I64" s="654">
        <v>-31556</v>
      </c>
      <c r="J64" s="654">
        <v>134607</v>
      </c>
      <c r="K64" s="654">
        <v>134607</v>
      </c>
      <c r="L64" s="654">
        <v>0</v>
      </c>
      <c r="M64" s="654">
        <v>0</v>
      </c>
      <c r="N64" s="654">
        <v>0</v>
      </c>
    </row>
    <row r="65" spans="2:14" x14ac:dyDescent="0.15">
      <c r="B65"/>
      <c r="F65" t="s">
        <v>734</v>
      </c>
      <c r="H65" s="654">
        <v>166163</v>
      </c>
      <c r="I65" s="654">
        <v>-31556</v>
      </c>
      <c r="J65" s="654">
        <v>134607</v>
      </c>
      <c r="K65" s="654">
        <v>134607</v>
      </c>
      <c r="L65" s="654">
        <v>0</v>
      </c>
      <c r="M65" s="654">
        <v>0</v>
      </c>
      <c r="N65" s="654">
        <v>0</v>
      </c>
    </row>
    <row r="66" spans="2:14" x14ac:dyDescent="0.15">
      <c r="B66"/>
      <c r="F66" t="s">
        <v>628</v>
      </c>
      <c r="G66" t="s">
        <v>598</v>
      </c>
      <c r="H66" s="654">
        <v>24674</v>
      </c>
      <c r="I66" s="654">
        <v>0</v>
      </c>
      <c r="J66" s="654">
        <v>24674</v>
      </c>
      <c r="K66" s="654">
        <v>24674</v>
      </c>
      <c r="L66" s="654">
        <v>0</v>
      </c>
      <c r="M66" s="654">
        <v>0</v>
      </c>
      <c r="N66" s="654">
        <v>0</v>
      </c>
    </row>
    <row r="67" spans="2:14" x14ac:dyDescent="0.15">
      <c r="B67"/>
      <c r="F67" t="s">
        <v>735</v>
      </c>
      <c r="H67" s="654">
        <v>24674</v>
      </c>
      <c r="I67" s="654">
        <v>0</v>
      </c>
      <c r="J67" s="654">
        <v>24674</v>
      </c>
      <c r="K67" s="654">
        <v>24674</v>
      </c>
      <c r="L67" s="654">
        <v>0</v>
      </c>
      <c r="M67" s="654">
        <v>0</v>
      </c>
      <c r="N67" s="654">
        <v>0</v>
      </c>
    </row>
    <row r="68" spans="2:14" x14ac:dyDescent="0.15">
      <c r="B68"/>
      <c r="E68" t="s">
        <v>769</v>
      </c>
      <c r="H68" s="654">
        <v>182318</v>
      </c>
      <c r="I68" s="654">
        <v>-31556</v>
      </c>
      <c r="J68" s="654">
        <v>150762</v>
      </c>
      <c r="K68" s="654">
        <v>150762</v>
      </c>
      <c r="L68" s="654">
        <v>0</v>
      </c>
      <c r="M68" s="654">
        <v>0</v>
      </c>
      <c r="N68" s="654">
        <v>0</v>
      </c>
    </row>
    <row r="69" spans="2:14" x14ac:dyDescent="0.15">
      <c r="B69"/>
      <c r="D69" t="s">
        <v>733</v>
      </c>
      <c r="H69" s="654">
        <v>182318</v>
      </c>
      <c r="I69" s="654">
        <v>-31556</v>
      </c>
      <c r="J69" s="654">
        <v>150762</v>
      </c>
      <c r="K69" s="654">
        <v>150762</v>
      </c>
      <c r="L69" s="654">
        <v>0</v>
      </c>
      <c r="M69" s="654">
        <v>0</v>
      </c>
      <c r="N69" s="654">
        <v>0</v>
      </c>
    </row>
    <row r="70" spans="2:14" x14ac:dyDescent="0.15">
      <c r="B70"/>
      <c r="D70" t="s">
        <v>627</v>
      </c>
      <c r="E70" t="s">
        <v>379</v>
      </c>
      <c r="F70" t="s">
        <v>626</v>
      </c>
      <c r="G70" t="s">
        <v>600</v>
      </c>
      <c r="H70" s="654">
        <v>140792</v>
      </c>
      <c r="I70" s="654">
        <v>21304</v>
      </c>
      <c r="J70" s="654">
        <v>162096</v>
      </c>
      <c r="K70" s="654">
        <v>162096</v>
      </c>
      <c r="L70" s="654">
        <v>0</v>
      </c>
      <c r="M70" s="654">
        <v>0</v>
      </c>
      <c r="N70" s="654">
        <v>0</v>
      </c>
    </row>
    <row r="71" spans="2:14" x14ac:dyDescent="0.15">
      <c r="B71"/>
      <c r="F71" t="s">
        <v>733</v>
      </c>
      <c r="H71" s="654">
        <v>140792</v>
      </c>
      <c r="I71" s="654">
        <v>21304</v>
      </c>
      <c r="J71" s="654">
        <v>162096</v>
      </c>
      <c r="K71" s="654">
        <v>162096</v>
      </c>
      <c r="L71" s="654">
        <v>0</v>
      </c>
      <c r="M71" s="654">
        <v>0</v>
      </c>
      <c r="N71" s="654">
        <v>0</v>
      </c>
    </row>
    <row r="72" spans="2:14" x14ac:dyDescent="0.15">
      <c r="B72"/>
      <c r="F72" t="s">
        <v>627</v>
      </c>
      <c r="G72" t="s">
        <v>599</v>
      </c>
      <c r="H72" s="654">
        <v>17128</v>
      </c>
      <c r="I72" s="654">
        <v>0</v>
      </c>
      <c r="J72" s="654">
        <v>17128</v>
      </c>
      <c r="K72" s="654">
        <v>17128</v>
      </c>
      <c r="L72" s="654">
        <v>0</v>
      </c>
      <c r="M72" s="654">
        <v>0</v>
      </c>
      <c r="N72" s="654">
        <v>0</v>
      </c>
    </row>
    <row r="73" spans="2:14" x14ac:dyDescent="0.15">
      <c r="B73"/>
      <c r="F73" t="s">
        <v>734</v>
      </c>
      <c r="H73" s="654">
        <v>17128</v>
      </c>
      <c r="I73" s="654">
        <v>0</v>
      </c>
      <c r="J73" s="654">
        <v>17128</v>
      </c>
      <c r="K73" s="654">
        <v>17128</v>
      </c>
      <c r="L73" s="654">
        <v>0</v>
      </c>
      <c r="M73" s="654">
        <v>0</v>
      </c>
      <c r="N73" s="654">
        <v>0</v>
      </c>
    </row>
    <row r="74" spans="2:14" x14ac:dyDescent="0.15">
      <c r="B74"/>
      <c r="F74" t="s">
        <v>628</v>
      </c>
      <c r="G74" t="s">
        <v>598</v>
      </c>
      <c r="H74" s="654">
        <v>0</v>
      </c>
      <c r="I74" s="654">
        <v>0</v>
      </c>
      <c r="J74" s="654">
        <v>0</v>
      </c>
      <c r="K74" s="654">
        <v>0</v>
      </c>
      <c r="L74" s="654">
        <v>0</v>
      </c>
      <c r="M74" s="654">
        <v>0</v>
      </c>
      <c r="N74" s="654">
        <v>0</v>
      </c>
    </row>
    <row r="75" spans="2:14" x14ac:dyDescent="0.15">
      <c r="B75"/>
      <c r="F75" t="s">
        <v>735</v>
      </c>
      <c r="H75" s="654">
        <v>0</v>
      </c>
      <c r="I75" s="654">
        <v>0</v>
      </c>
      <c r="J75" s="654">
        <v>0</v>
      </c>
      <c r="K75" s="654">
        <v>0</v>
      </c>
      <c r="L75" s="654">
        <v>0</v>
      </c>
      <c r="M75" s="654">
        <v>0</v>
      </c>
      <c r="N75" s="654">
        <v>0</v>
      </c>
    </row>
    <row r="76" spans="2:14" x14ac:dyDescent="0.15">
      <c r="B76"/>
      <c r="E76" t="s">
        <v>770</v>
      </c>
      <c r="H76" s="654">
        <v>157920</v>
      </c>
      <c r="I76" s="654">
        <v>21304</v>
      </c>
      <c r="J76" s="654">
        <v>179224</v>
      </c>
      <c r="K76" s="654">
        <v>179224</v>
      </c>
      <c r="L76" s="654">
        <v>0</v>
      </c>
      <c r="M76" s="654">
        <v>0</v>
      </c>
      <c r="N76" s="654">
        <v>0</v>
      </c>
    </row>
    <row r="77" spans="2:14" x14ac:dyDescent="0.15">
      <c r="B77"/>
      <c r="D77" t="s">
        <v>734</v>
      </c>
      <c r="H77" s="654">
        <v>157920</v>
      </c>
      <c r="I77" s="654">
        <v>21304</v>
      </c>
      <c r="J77" s="654">
        <v>179224</v>
      </c>
      <c r="K77" s="654">
        <v>179224</v>
      </c>
      <c r="L77" s="654">
        <v>0</v>
      </c>
      <c r="M77" s="654">
        <v>0</v>
      </c>
      <c r="N77" s="654">
        <v>0</v>
      </c>
    </row>
    <row r="78" spans="2:14" x14ac:dyDescent="0.15">
      <c r="B78"/>
      <c r="D78" t="s">
        <v>628</v>
      </c>
      <c r="E78" t="s">
        <v>380</v>
      </c>
      <c r="F78" t="s">
        <v>626</v>
      </c>
      <c r="G78" t="s">
        <v>600</v>
      </c>
      <c r="H78" s="654">
        <v>19324</v>
      </c>
      <c r="I78" s="654">
        <v>14011</v>
      </c>
      <c r="J78" s="654">
        <v>33335</v>
      </c>
      <c r="K78" s="654">
        <v>33335</v>
      </c>
      <c r="L78" s="654">
        <v>0</v>
      </c>
      <c r="M78" s="654">
        <v>0</v>
      </c>
      <c r="N78" s="654">
        <v>0</v>
      </c>
    </row>
    <row r="79" spans="2:14" x14ac:dyDescent="0.15">
      <c r="B79"/>
      <c r="F79" t="s">
        <v>733</v>
      </c>
      <c r="H79" s="654">
        <v>19324</v>
      </c>
      <c r="I79" s="654">
        <v>14011</v>
      </c>
      <c r="J79" s="654">
        <v>33335</v>
      </c>
      <c r="K79" s="654">
        <v>33335</v>
      </c>
      <c r="L79" s="654">
        <v>0</v>
      </c>
      <c r="M79" s="654">
        <v>0</v>
      </c>
      <c r="N79" s="654">
        <v>0</v>
      </c>
    </row>
    <row r="80" spans="2:14" x14ac:dyDescent="0.15">
      <c r="B80"/>
      <c r="F80" t="s">
        <v>627</v>
      </c>
      <c r="G80" t="s">
        <v>599</v>
      </c>
      <c r="H80" s="654">
        <v>-12628</v>
      </c>
      <c r="I80" s="654">
        <v>0</v>
      </c>
      <c r="J80" s="654">
        <v>-12628</v>
      </c>
      <c r="K80" s="654">
        <v>-12628</v>
      </c>
      <c r="L80" s="654">
        <v>0</v>
      </c>
      <c r="M80" s="654">
        <v>0</v>
      </c>
      <c r="N80" s="654">
        <v>0</v>
      </c>
    </row>
    <row r="81" spans="2:14" x14ac:dyDescent="0.15">
      <c r="B81"/>
      <c r="F81" t="s">
        <v>734</v>
      </c>
      <c r="H81" s="654">
        <v>-12628</v>
      </c>
      <c r="I81" s="654">
        <v>0</v>
      </c>
      <c r="J81" s="654">
        <v>-12628</v>
      </c>
      <c r="K81" s="654">
        <v>-12628</v>
      </c>
      <c r="L81" s="654">
        <v>0</v>
      </c>
      <c r="M81" s="654">
        <v>0</v>
      </c>
      <c r="N81" s="654">
        <v>0</v>
      </c>
    </row>
    <row r="82" spans="2:14" x14ac:dyDescent="0.15">
      <c r="B82"/>
      <c r="E82" t="s">
        <v>771</v>
      </c>
      <c r="H82" s="654">
        <v>6696</v>
      </c>
      <c r="I82" s="654">
        <v>14011</v>
      </c>
      <c r="J82" s="654">
        <v>20707</v>
      </c>
      <c r="K82" s="654">
        <v>20707</v>
      </c>
      <c r="L82" s="654">
        <v>0</v>
      </c>
      <c r="M82" s="654">
        <v>0</v>
      </c>
      <c r="N82" s="654">
        <v>0</v>
      </c>
    </row>
    <row r="83" spans="2:14" x14ac:dyDescent="0.15">
      <c r="B83"/>
      <c r="D83" t="s">
        <v>735</v>
      </c>
      <c r="H83" s="654">
        <v>6696</v>
      </c>
      <c r="I83" s="654">
        <v>14011</v>
      </c>
      <c r="J83" s="654">
        <v>20707</v>
      </c>
      <c r="K83" s="654">
        <v>20707</v>
      </c>
      <c r="L83" s="654">
        <v>0</v>
      </c>
      <c r="M83" s="654">
        <v>0</v>
      </c>
      <c r="N83" s="654">
        <v>0</v>
      </c>
    </row>
    <row r="84" spans="2:14" x14ac:dyDescent="0.15">
      <c r="B84"/>
      <c r="D84" t="s">
        <v>629</v>
      </c>
      <c r="E84" t="s">
        <v>676</v>
      </c>
      <c r="F84" t="s">
        <v>629</v>
      </c>
      <c r="G84" t="s">
        <v>601</v>
      </c>
      <c r="H84" s="654">
        <v>236533</v>
      </c>
      <c r="I84" s="654">
        <v>0</v>
      </c>
      <c r="J84" s="654">
        <v>236533</v>
      </c>
      <c r="K84" s="654">
        <v>236533</v>
      </c>
      <c r="L84" s="654">
        <v>0</v>
      </c>
      <c r="M84" s="654">
        <v>0</v>
      </c>
      <c r="N84" s="654">
        <v>0</v>
      </c>
    </row>
    <row r="85" spans="2:14" x14ac:dyDescent="0.15">
      <c r="B85"/>
      <c r="F85" t="s">
        <v>736</v>
      </c>
      <c r="H85" s="654">
        <v>236533</v>
      </c>
      <c r="I85" s="654">
        <v>0</v>
      </c>
      <c r="J85" s="654">
        <v>236533</v>
      </c>
      <c r="K85" s="654">
        <v>236533</v>
      </c>
      <c r="L85" s="654">
        <v>0</v>
      </c>
      <c r="M85" s="654">
        <v>0</v>
      </c>
      <c r="N85" s="654">
        <v>0</v>
      </c>
    </row>
    <row r="86" spans="2:14" x14ac:dyDescent="0.15">
      <c r="B86"/>
      <c r="E86" t="s">
        <v>772</v>
      </c>
      <c r="H86" s="654">
        <v>236533</v>
      </c>
      <c r="I86" s="654">
        <v>0</v>
      </c>
      <c r="J86" s="654">
        <v>236533</v>
      </c>
      <c r="K86" s="654">
        <v>236533</v>
      </c>
      <c r="L86" s="654">
        <v>0</v>
      </c>
      <c r="M86" s="654">
        <v>0</v>
      </c>
      <c r="N86" s="654">
        <v>0</v>
      </c>
    </row>
    <row r="87" spans="2:14" x14ac:dyDescent="0.15">
      <c r="B87"/>
      <c r="D87" t="s">
        <v>736</v>
      </c>
      <c r="H87" s="654">
        <v>236533</v>
      </c>
      <c r="I87" s="654">
        <v>0</v>
      </c>
      <c r="J87" s="654">
        <v>236533</v>
      </c>
      <c r="K87" s="654">
        <v>236533</v>
      </c>
      <c r="L87" s="654">
        <v>0</v>
      </c>
      <c r="M87" s="654">
        <v>0</v>
      </c>
      <c r="N87" s="654">
        <v>0</v>
      </c>
    </row>
    <row r="88" spans="2:14" x14ac:dyDescent="0.15">
      <c r="B88"/>
      <c r="D88" t="s">
        <v>567</v>
      </c>
      <c r="E88" t="s">
        <v>473</v>
      </c>
      <c r="F88" t="s">
        <v>631</v>
      </c>
      <c r="G88" t="s">
        <v>596</v>
      </c>
      <c r="H88" s="654">
        <v>0</v>
      </c>
      <c r="I88" s="654">
        <v>0</v>
      </c>
      <c r="J88" s="654">
        <v>0</v>
      </c>
      <c r="K88" s="654">
        <v>0</v>
      </c>
      <c r="L88" s="654">
        <v>0</v>
      </c>
      <c r="M88" s="654">
        <v>0</v>
      </c>
      <c r="N88" s="654">
        <v>0</v>
      </c>
    </row>
    <row r="89" spans="2:14" x14ac:dyDescent="0.15">
      <c r="B89"/>
      <c r="F89" t="s">
        <v>737</v>
      </c>
      <c r="H89" s="654">
        <v>0</v>
      </c>
      <c r="I89" s="654">
        <v>0</v>
      </c>
      <c r="J89" s="654">
        <v>0</v>
      </c>
      <c r="K89" s="654">
        <v>0</v>
      </c>
      <c r="L89" s="654">
        <v>0</v>
      </c>
      <c r="M89" s="654">
        <v>0</v>
      </c>
      <c r="N89" s="654">
        <v>0</v>
      </c>
    </row>
    <row r="90" spans="2:14" x14ac:dyDescent="0.15">
      <c r="B90"/>
      <c r="E90" t="s">
        <v>773</v>
      </c>
      <c r="H90" s="654">
        <v>0</v>
      </c>
      <c r="I90" s="654">
        <v>0</v>
      </c>
      <c r="J90" s="654">
        <v>0</v>
      </c>
      <c r="K90" s="654">
        <v>0</v>
      </c>
      <c r="L90" s="654">
        <v>0</v>
      </c>
      <c r="M90" s="654">
        <v>0</v>
      </c>
      <c r="N90" s="654">
        <v>0</v>
      </c>
    </row>
    <row r="91" spans="2:14" x14ac:dyDescent="0.15">
      <c r="B91"/>
      <c r="D91" t="s">
        <v>739</v>
      </c>
      <c r="H91" s="654">
        <v>0</v>
      </c>
      <c r="I91" s="654">
        <v>0</v>
      </c>
      <c r="J91" s="654">
        <v>0</v>
      </c>
      <c r="K91" s="654">
        <v>0</v>
      </c>
      <c r="L91" s="654">
        <v>0</v>
      </c>
      <c r="M91" s="654">
        <v>0</v>
      </c>
      <c r="N91" s="654">
        <v>0</v>
      </c>
    </row>
    <row r="92" spans="2:14" x14ac:dyDescent="0.15">
      <c r="B92"/>
      <c r="D92" t="s">
        <v>568</v>
      </c>
      <c r="E92" t="s">
        <v>474</v>
      </c>
      <c r="F92" t="s">
        <v>631</v>
      </c>
      <c r="G92" t="s">
        <v>596</v>
      </c>
      <c r="H92" s="654">
        <v>0</v>
      </c>
      <c r="I92" s="654">
        <v>0</v>
      </c>
      <c r="J92" s="654">
        <v>0</v>
      </c>
      <c r="K92" s="654">
        <v>0</v>
      </c>
      <c r="L92" s="654">
        <v>0</v>
      </c>
      <c r="M92" s="654">
        <v>0</v>
      </c>
      <c r="N92" s="654">
        <v>0</v>
      </c>
    </row>
    <row r="93" spans="2:14" x14ac:dyDescent="0.15">
      <c r="B93"/>
      <c r="F93" t="s">
        <v>737</v>
      </c>
      <c r="H93" s="654">
        <v>0</v>
      </c>
      <c r="I93" s="654">
        <v>0</v>
      </c>
      <c r="J93" s="654">
        <v>0</v>
      </c>
      <c r="K93" s="654">
        <v>0</v>
      </c>
      <c r="L93" s="654">
        <v>0</v>
      </c>
      <c r="M93" s="654">
        <v>0</v>
      </c>
      <c r="N93" s="654">
        <v>0</v>
      </c>
    </row>
    <row r="94" spans="2:14" x14ac:dyDescent="0.15">
      <c r="B94"/>
      <c r="E94" t="s">
        <v>774</v>
      </c>
      <c r="H94" s="654">
        <v>0</v>
      </c>
      <c r="I94" s="654">
        <v>0</v>
      </c>
      <c r="J94" s="654">
        <v>0</v>
      </c>
      <c r="K94" s="654">
        <v>0</v>
      </c>
      <c r="L94" s="654">
        <v>0</v>
      </c>
      <c r="M94" s="654">
        <v>0</v>
      </c>
      <c r="N94" s="654">
        <v>0</v>
      </c>
    </row>
    <row r="95" spans="2:14" x14ac:dyDescent="0.15">
      <c r="B95"/>
      <c r="D95" t="s">
        <v>740</v>
      </c>
      <c r="H95" s="654">
        <v>0</v>
      </c>
      <c r="I95" s="654">
        <v>0</v>
      </c>
      <c r="J95" s="654">
        <v>0</v>
      </c>
      <c r="K95" s="654">
        <v>0</v>
      </c>
      <c r="L95" s="654">
        <v>0</v>
      </c>
      <c r="M95" s="654">
        <v>0</v>
      </c>
      <c r="N95" s="654">
        <v>0</v>
      </c>
    </row>
    <row r="96" spans="2:14" x14ac:dyDescent="0.15">
      <c r="B96"/>
      <c r="D96" t="s">
        <v>566</v>
      </c>
      <c r="E96" t="s">
        <v>382</v>
      </c>
      <c r="F96" t="s">
        <v>626</v>
      </c>
      <c r="G96" t="s">
        <v>600</v>
      </c>
      <c r="H96" s="654">
        <v>52216</v>
      </c>
      <c r="I96" s="654">
        <v>0</v>
      </c>
      <c r="J96" s="654">
        <v>52216</v>
      </c>
      <c r="K96" s="654">
        <v>52216</v>
      </c>
      <c r="L96" s="654">
        <v>0</v>
      </c>
      <c r="M96" s="654">
        <v>0</v>
      </c>
      <c r="N96" s="654">
        <v>0</v>
      </c>
    </row>
    <row r="97" spans="1:14" x14ac:dyDescent="0.15">
      <c r="B97"/>
      <c r="F97" t="s">
        <v>733</v>
      </c>
      <c r="H97" s="654">
        <v>52216</v>
      </c>
      <c r="I97" s="654">
        <v>0</v>
      </c>
      <c r="J97" s="654">
        <v>52216</v>
      </c>
      <c r="K97" s="654">
        <v>52216</v>
      </c>
      <c r="L97" s="654">
        <v>0</v>
      </c>
      <c r="M97" s="654">
        <v>0</v>
      </c>
      <c r="N97" s="654">
        <v>0</v>
      </c>
    </row>
    <row r="98" spans="1:14" x14ac:dyDescent="0.15">
      <c r="B98"/>
      <c r="E98" t="s">
        <v>775</v>
      </c>
      <c r="H98" s="654">
        <v>52216</v>
      </c>
      <c r="I98" s="654">
        <v>0</v>
      </c>
      <c r="J98" s="654">
        <v>52216</v>
      </c>
      <c r="K98" s="654">
        <v>52216</v>
      </c>
      <c r="L98" s="654">
        <v>0</v>
      </c>
      <c r="M98" s="654">
        <v>0</v>
      </c>
      <c r="N98" s="654">
        <v>0</v>
      </c>
    </row>
    <row r="99" spans="1:14" x14ac:dyDescent="0.15">
      <c r="B99"/>
      <c r="D99" t="s">
        <v>738</v>
      </c>
      <c r="H99" s="654">
        <v>52216</v>
      </c>
      <c r="I99" s="654">
        <v>0</v>
      </c>
      <c r="J99" s="654">
        <v>52216</v>
      </c>
      <c r="K99" s="654">
        <v>52216</v>
      </c>
      <c r="L99" s="654">
        <v>0</v>
      </c>
      <c r="M99" s="654">
        <v>0</v>
      </c>
      <c r="N99" s="654">
        <v>0</v>
      </c>
    </row>
    <row r="100" spans="1:14" x14ac:dyDescent="0.15">
      <c r="B100"/>
      <c r="D100" t="s">
        <v>631</v>
      </c>
      <c r="E100" t="s">
        <v>381</v>
      </c>
      <c r="F100" t="s">
        <v>626</v>
      </c>
      <c r="G100" t="s">
        <v>600</v>
      </c>
      <c r="H100" s="654">
        <v>247812</v>
      </c>
      <c r="I100" s="654">
        <v>0</v>
      </c>
      <c r="J100" s="654">
        <v>247812</v>
      </c>
      <c r="K100" s="654">
        <v>247812</v>
      </c>
      <c r="L100" s="654">
        <v>0</v>
      </c>
      <c r="M100" s="654">
        <v>0</v>
      </c>
      <c r="N100" s="654">
        <v>0</v>
      </c>
    </row>
    <row r="101" spans="1:14" x14ac:dyDescent="0.15">
      <c r="B101"/>
      <c r="F101" t="s">
        <v>733</v>
      </c>
      <c r="H101" s="654">
        <v>247812</v>
      </c>
      <c r="I101" s="654">
        <v>0</v>
      </c>
      <c r="J101" s="654">
        <v>247812</v>
      </c>
      <c r="K101" s="654">
        <v>247812</v>
      </c>
      <c r="L101" s="654">
        <v>0</v>
      </c>
      <c r="M101" s="654">
        <v>0</v>
      </c>
      <c r="N101" s="654">
        <v>0</v>
      </c>
    </row>
    <row r="102" spans="1:14" x14ac:dyDescent="0.15">
      <c r="B102"/>
      <c r="E102" t="s">
        <v>776</v>
      </c>
      <c r="H102" s="654">
        <v>247812</v>
      </c>
      <c r="I102" s="654">
        <v>0</v>
      </c>
      <c r="J102" s="654">
        <v>247812</v>
      </c>
      <c r="K102" s="654">
        <v>247812</v>
      </c>
      <c r="L102" s="654">
        <v>0</v>
      </c>
      <c r="M102" s="654">
        <v>0</v>
      </c>
      <c r="N102" s="654">
        <v>0</v>
      </c>
    </row>
    <row r="103" spans="1:14" x14ac:dyDescent="0.15">
      <c r="B103"/>
      <c r="D103" t="s">
        <v>737</v>
      </c>
      <c r="H103" s="654">
        <v>247812</v>
      </c>
      <c r="I103" s="654">
        <v>0</v>
      </c>
      <c r="J103" s="654">
        <v>247812</v>
      </c>
      <c r="K103" s="654">
        <v>247812</v>
      </c>
      <c r="L103" s="654">
        <v>0</v>
      </c>
      <c r="M103" s="654">
        <v>0</v>
      </c>
      <c r="N103" s="654">
        <v>0</v>
      </c>
    </row>
    <row r="104" spans="1:14" x14ac:dyDescent="0.15">
      <c r="B104"/>
      <c r="D104" t="s">
        <v>671</v>
      </c>
      <c r="E104" t="s">
        <v>383</v>
      </c>
      <c r="F104" t="s">
        <v>626</v>
      </c>
      <c r="G104" t="s">
        <v>600</v>
      </c>
      <c r="H104" s="654">
        <v>0</v>
      </c>
      <c r="I104" s="654">
        <v>0</v>
      </c>
      <c r="J104" s="654">
        <v>0</v>
      </c>
      <c r="K104" s="654">
        <v>0</v>
      </c>
      <c r="L104" s="654">
        <v>0</v>
      </c>
      <c r="M104" s="654">
        <v>0</v>
      </c>
      <c r="N104" s="654">
        <v>0</v>
      </c>
    </row>
    <row r="105" spans="1:14" x14ac:dyDescent="0.15">
      <c r="B105"/>
      <c r="F105" t="s">
        <v>733</v>
      </c>
      <c r="H105" s="654">
        <v>0</v>
      </c>
      <c r="I105" s="654">
        <v>0</v>
      </c>
      <c r="J105" s="654">
        <v>0</v>
      </c>
      <c r="K105" s="654">
        <v>0</v>
      </c>
      <c r="L105" s="654">
        <v>0</v>
      </c>
      <c r="M105" s="654">
        <v>0</v>
      </c>
      <c r="N105" s="654">
        <v>0</v>
      </c>
    </row>
    <row r="106" spans="1:14" x14ac:dyDescent="0.15">
      <c r="B106"/>
      <c r="F106" t="s">
        <v>627</v>
      </c>
      <c r="G106" t="s">
        <v>599</v>
      </c>
      <c r="H106" s="654">
        <v>0</v>
      </c>
      <c r="I106" s="654">
        <v>0</v>
      </c>
      <c r="J106" s="654">
        <v>0</v>
      </c>
      <c r="K106" s="654">
        <v>0</v>
      </c>
      <c r="L106" s="654">
        <v>0</v>
      </c>
      <c r="M106" s="654">
        <v>0</v>
      </c>
      <c r="N106" s="654">
        <v>0</v>
      </c>
    </row>
    <row r="107" spans="1:14" x14ac:dyDescent="0.15">
      <c r="B107"/>
      <c r="F107" t="s">
        <v>734</v>
      </c>
      <c r="H107" s="654">
        <v>0</v>
      </c>
      <c r="I107" s="654">
        <v>0</v>
      </c>
      <c r="J107" s="654">
        <v>0</v>
      </c>
      <c r="K107" s="654">
        <v>0</v>
      </c>
      <c r="L107" s="654">
        <v>0</v>
      </c>
      <c r="M107" s="654">
        <v>0</v>
      </c>
      <c r="N107" s="654">
        <v>0</v>
      </c>
    </row>
    <row r="108" spans="1:14" x14ac:dyDescent="0.15">
      <c r="B108"/>
      <c r="E108" t="s">
        <v>777</v>
      </c>
      <c r="H108" s="654">
        <v>0</v>
      </c>
      <c r="I108" s="654">
        <v>0</v>
      </c>
      <c r="J108" s="654">
        <v>0</v>
      </c>
      <c r="K108" s="654">
        <v>0</v>
      </c>
      <c r="L108" s="654">
        <v>0</v>
      </c>
      <c r="M108" s="654">
        <v>0</v>
      </c>
      <c r="N108" s="654">
        <v>0</v>
      </c>
    </row>
    <row r="109" spans="1:14" x14ac:dyDescent="0.15">
      <c r="B109"/>
      <c r="D109" t="s">
        <v>742</v>
      </c>
      <c r="H109" s="654">
        <v>0</v>
      </c>
      <c r="I109" s="654">
        <v>0</v>
      </c>
      <c r="J109" s="654">
        <v>0</v>
      </c>
      <c r="K109" s="654">
        <v>0</v>
      </c>
      <c r="L109" s="654">
        <v>0</v>
      </c>
      <c r="M109" s="654">
        <v>0</v>
      </c>
      <c r="N109" s="654">
        <v>0</v>
      </c>
    </row>
    <row r="110" spans="1:14" x14ac:dyDescent="0.15">
      <c r="B110"/>
      <c r="C110" t="s">
        <v>854</v>
      </c>
      <c r="H110" s="654">
        <v>883495</v>
      </c>
      <c r="I110" s="654">
        <v>3759</v>
      </c>
      <c r="J110" s="654">
        <v>887254</v>
      </c>
      <c r="K110" s="654">
        <v>887254</v>
      </c>
      <c r="L110" s="654">
        <v>0</v>
      </c>
      <c r="M110" s="654">
        <v>0</v>
      </c>
      <c r="N110" s="654">
        <v>0</v>
      </c>
    </row>
    <row r="111" spans="1:14" x14ac:dyDescent="0.15">
      <c r="A111" s="653" t="s">
        <v>609</v>
      </c>
      <c r="B111"/>
      <c r="H111" s="654">
        <v>23865810</v>
      </c>
      <c r="I111" s="654">
        <v>-809461</v>
      </c>
      <c r="J111" s="654">
        <v>23056349</v>
      </c>
      <c r="K111" s="654">
        <v>23056349</v>
      </c>
      <c r="L111" s="654">
        <v>0</v>
      </c>
      <c r="M111" s="654">
        <v>1299401</v>
      </c>
      <c r="N111" s="654">
        <v>1832829</v>
      </c>
    </row>
    <row r="112" spans="1:14" x14ac:dyDescent="0.15">
      <c r="A112" s="653">
        <v>42644</v>
      </c>
      <c r="B112" t="s">
        <v>626</v>
      </c>
      <c r="C112" t="s">
        <v>849</v>
      </c>
      <c r="D112" t="s">
        <v>625</v>
      </c>
      <c r="E112" t="s">
        <v>594</v>
      </c>
      <c r="F112" t="s">
        <v>566</v>
      </c>
      <c r="G112" t="s">
        <v>597</v>
      </c>
      <c r="H112" s="654">
        <v>33378</v>
      </c>
      <c r="I112" s="654">
        <v>-33378</v>
      </c>
      <c r="J112" s="654">
        <v>0</v>
      </c>
      <c r="K112" s="654">
        <v>0</v>
      </c>
      <c r="L112" s="654">
        <v>0</v>
      </c>
      <c r="M112" s="654">
        <v>0</v>
      </c>
      <c r="N112" s="654">
        <v>0</v>
      </c>
    </row>
    <row r="113" spans="2:14" x14ac:dyDescent="0.15">
      <c r="B113"/>
      <c r="F113" t="s">
        <v>738</v>
      </c>
      <c r="H113" s="654">
        <v>33378</v>
      </c>
      <c r="I113" s="654">
        <v>-33378</v>
      </c>
      <c r="J113" s="654">
        <v>0</v>
      </c>
      <c r="K113" s="654">
        <v>0</v>
      </c>
      <c r="L113" s="654">
        <v>0</v>
      </c>
      <c r="M113" s="654">
        <v>0</v>
      </c>
      <c r="N113" s="654">
        <v>0</v>
      </c>
    </row>
    <row r="114" spans="2:14" x14ac:dyDescent="0.15">
      <c r="B114"/>
      <c r="E114" t="s">
        <v>768</v>
      </c>
      <c r="H114" s="654">
        <v>33378</v>
      </c>
      <c r="I114" s="654">
        <v>-33378</v>
      </c>
      <c r="J114" s="654">
        <v>0</v>
      </c>
      <c r="K114" s="654">
        <v>0</v>
      </c>
      <c r="L114" s="654">
        <v>0</v>
      </c>
      <c r="M114" s="654">
        <v>0</v>
      </c>
      <c r="N114" s="654">
        <v>0</v>
      </c>
    </row>
    <row r="115" spans="2:14" x14ac:dyDescent="0.15">
      <c r="B115"/>
      <c r="D115" t="s">
        <v>741</v>
      </c>
      <c r="H115" s="654">
        <v>33378</v>
      </c>
      <c r="I115" s="654">
        <v>-33378</v>
      </c>
      <c r="J115" s="654">
        <v>0</v>
      </c>
      <c r="K115" s="654">
        <v>0</v>
      </c>
      <c r="L115" s="654">
        <v>0</v>
      </c>
      <c r="M115" s="654">
        <v>0</v>
      </c>
      <c r="N115" s="654">
        <v>0</v>
      </c>
    </row>
    <row r="116" spans="2:14" x14ac:dyDescent="0.15">
      <c r="B116"/>
      <c r="D116" t="s">
        <v>626</v>
      </c>
      <c r="E116" t="s">
        <v>378</v>
      </c>
      <c r="F116" t="s">
        <v>626</v>
      </c>
      <c r="G116" t="s">
        <v>600</v>
      </c>
      <c r="H116" s="654">
        <v>7021703</v>
      </c>
      <c r="I116" s="654">
        <v>-15911</v>
      </c>
      <c r="J116" s="654">
        <v>7005792</v>
      </c>
      <c r="K116" s="654">
        <v>7005792</v>
      </c>
      <c r="L116" s="654">
        <v>0</v>
      </c>
      <c r="M116" s="654">
        <v>56731</v>
      </c>
      <c r="N116" s="654">
        <v>965754</v>
      </c>
    </row>
    <row r="117" spans="2:14" x14ac:dyDescent="0.15">
      <c r="B117"/>
      <c r="F117" t="s">
        <v>733</v>
      </c>
      <c r="H117" s="654">
        <v>7021703</v>
      </c>
      <c r="I117" s="654">
        <v>-15911</v>
      </c>
      <c r="J117" s="654">
        <v>7005792</v>
      </c>
      <c r="K117" s="654">
        <v>7005792</v>
      </c>
      <c r="L117" s="654">
        <v>0</v>
      </c>
      <c r="M117" s="654">
        <v>56731</v>
      </c>
      <c r="N117" s="654">
        <v>965754</v>
      </c>
    </row>
    <row r="118" spans="2:14" x14ac:dyDescent="0.15">
      <c r="B118"/>
      <c r="F118" t="s">
        <v>627</v>
      </c>
      <c r="G118" t="s">
        <v>599</v>
      </c>
      <c r="H118" s="654">
        <v>1298918</v>
      </c>
      <c r="I118" s="654">
        <v>-251737</v>
      </c>
      <c r="J118" s="654">
        <v>1047181</v>
      </c>
      <c r="K118" s="654">
        <v>1047181</v>
      </c>
      <c r="L118" s="654">
        <v>0</v>
      </c>
      <c r="M118" s="654">
        <v>0</v>
      </c>
      <c r="N118" s="654">
        <v>301358</v>
      </c>
    </row>
    <row r="119" spans="2:14" x14ac:dyDescent="0.15">
      <c r="B119"/>
      <c r="F119" t="s">
        <v>734</v>
      </c>
      <c r="H119" s="654">
        <v>1298918</v>
      </c>
      <c r="I119" s="654">
        <v>-251737</v>
      </c>
      <c r="J119" s="654">
        <v>1047181</v>
      </c>
      <c r="K119" s="654">
        <v>1047181</v>
      </c>
      <c r="L119" s="654">
        <v>0</v>
      </c>
      <c r="M119" s="654">
        <v>0</v>
      </c>
      <c r="N119" s="654">
        <v>301358</v>
      </c>
    </row>
    <row r="120" spans="2:14" x14ac:dyDescent="0.15">
      <c r="B120"/>
      <c r="F120" t="s">
        <v>628</v>
      </c>
      <c r="G120" t="s">
        <v>598</v>
      </c>
      <c r="H120" s="654">
        <v>678331</v>
      </c>
      <c r="I120" s="654">
        <v>0</v>
      </c>
      <c r="J120" s="654">
        <v>678331</v>
      </c>
      <c r="K120" s="654">
        <v>678331</v>
      </c>
      <c r="L120" s="654">
        <v>0</v>
      </c>
      <c r="M120" s="654">
        <v>12337</v>
      </c>
      <c r="N120" s="654">
        <v>0</v>
      </c>
    </row>
    <row r="121" spans="2:14" x14ac:dyDescent="0.15">
      <c r="B121"/>
      <c r="F121" t="s">
        <v>735</v>
      </c>
      <c r="H121" s="654">
        <v>678331</v>
      </c>
      <c r="I121" s="654">
        <v>0</v>
      </c>
      <c r="J121" s="654">
        <v>678331</v>
      </c>
      <c r="K121" s="654">
        <v>678331</v>
      </c>
      <c r="L121" s="654">
        <v>0</v>
      </c>
      <c r="M121" s="654">
        <v>12337</v>
      </c>
      <c r="N121" s="654">
        <v>0</v>
      </c>
    </row>
    <row r="122" spans="2:14" x14ac:dyDescent="0.15">
      <c r="B122"/>
      <c r="E122" t="s">
        <v>769</v>
      </c>
      <c r="H122" s="654">
        <v>8998952</v>
      </c>
      <c r="I122" s="654">
        <v>-267648</v>
      </c>
      <c r="J122" s="654">
        <v>8731304</v>
      </c>
      <c r="K122" s="654">
        <v>8731304</v>
      </c>
      <c r="L122" s="654">
        <v>0</v>
      </c>
      <c r="M122" s="654">
        <v>69068</v>
      </c>
      <c r="N122" s="654">
        <v>1267112</v>
      </c>
    </row>
    <row r="123" spans="2:14" x14ac:dyDescent="0.15">
      <c r="B123"/>
      <c r="D123" t="s">
        <v>733</v>
      </c>
      <c r="H123" s="654">
        <v>8998952</v>
      </c>
      <c r="I123" s="654">
        <v>-267648</v>
      </c>
      <c r="J123" s="654">
        <v>8731304</v>
      </c>
      <c r="K123" s="654">
        <v>8731304</v>
      </c>
      <c r="L123" s="654">
        <v>0</v>
      </c>
      <c r="M123" s="654">
        <v>69068</v>
      </c>
      <c r="N123" s="654">
        <v>1267112</v>
      </c>
    </row>
    <row r="124" spans="2:14" x14ac:dyDescent="0.15">
      <c r="B124"/>
      <c r="D124" t="s">
        <v>627</v>
      </c>
      <c r="E124" t="s">
        <v>379</v>
      </c>
      <c r="F124" t="s">
        <v>626</v>
      </c>
      <c r="G124" t="s">
        <v>600</v>
      </c>
      <c r="H124" s="654">
        <v>4147452</v>
      </c>
      <c r="I124" s="654">
        <v>-16420</v>
      </c>
      <c r="J124" s="654">
        <v>4131032</v>
      </c>
      <c r="K124" s="654">
        <v>4131032</v>
      </c>
      <c r="L124" s="654">
        <v>0</v>
      </c>
      <c r="M124" s="654">
        <v>0</v>
      </c>
      <c r="N124" s="654">
        <v>328743</v>
      </c>
    </row>
    <row r="125" spans="2:14" x14ac:dyDescent="0.15">
      <c r="B125"/>
      <c r="F125" t="s">
        <v>733</v>
      </c>
      <c r="H125" s="654">
        <v>4147452</v>
      </c>
      <c r="I125" s="654">
        <v>-16420</v>
      </c>
      <c r="J125" s="654">
        <v>4131032</v>
      </c>
      <c r="K125" s="654">
        <v>4131032</v>
      </c>
      <c r="L125" s="654">
        <v>0</v>
      </c>
      <c r="M125" s="654">
        <v>0</v>
      </c>
      <c r="N125" s="654">
        <v>328743</v>
      </c>
    </row>
    <row r="126" spans="2:14" x14ac:dyDescent="0.15">
      <c r="B126"/>
      <c r="F126" t="s">
        <v>627</v>
      </c>
      <c r="G126" t="s">
        <v>599</v>
      </c>
      <c r="H126" s="654">
        <v>388698</v>
      </c>
      <c r="I126" s="654">
        <v>0</v>
      </c>
      <c r="J126" s="654">
        <v>388698</v>
      </c>
      <c r="K126" s="654">
        <v>388698</v>
      </c>
      <c r="L126" s="654">
        <v>0</v>
      </c>
      <c r="M126" s="654">
        <v>0</v>
      </c>
      <c r="N126" s="654">
        <v>70336</v>
      </c>
    </row>
    <row r="127" spans="2:14" x14ac:dyDescent="0.15">
      <c r="B127"/>
      <c r="F127" t="s">
        <v>734</v>
      </c>
      <c r="H127" s="654">
        <v>388698</v>
      </c>
      <c r="I127" s="654">
        <v>0</v>
      </c>
      <c r="J127" s="654">
        <v>388698</v>
      </c>
      <c r="K127" s="654">
        <v>388698</v>
      </c>
      <c r="L127" s="654">
        <v>0</v>
      </c>
      <c r="M127" s="654">
        <v>0</v>
      </c>
      <c r="N127" s="654">
        <v>70336</v>
      </c>
    </row>
    <row r="128" spans="2:14" x14ac:dyDescent="0.15">
      <c r="B128"/>
      <c r="F128" t="s">
        <v>628</v>
      </c>
      <c r="G128" t="s">
        <v>598</v>
      </c>
      <c r="H128" s="654">
        <v>383481</v>
      </c>
      <c r="I128" s="654">
        <v>0</v>
      </c>
      <c r="J128" s="654">
        <v>383481</v>
      </c>
      <c r="K128" s="654">
        <v>383481</v>
      </c>
      <c r="L128" s="654">
        <v>0</v>
      </c>
      <c r="M128" s="654">
        <v>0</v>
      </c>
      <c r="N128" s="654">
        <v>0</v>
      </c>
    </row>
    <row r="129" spans="2:14" x14ac:dyDescent="0.15">
      <c r="B129"/>
      <c r="F129" t="s">
        <v>735</v>
      </c>
      <c r="H129" s="654">
        <v>383481</v>
      </c>
      <c r="I129" s="654">
        <v>0</v>
      </c>
      <c r="J129" s="654">
        <v>383481</v>
      </c>
      <c r="K129" s="654">
        <v>383481</v>
      </c>
      <c r="L129" s="654">
        <v>0</v>
      </c>
      <c r="M129" s="654">
        <v>0</v>
      </c>
      <c r="N129" s="654">
        <v>0</v>
      </c>
    </row>
    <row r="130" spans="2:14" x14ac:dyDescent="0.15">
      <c r="B130"/>
      <c r="E130" t="s">
        <v>770</v>
      </c>
      <c r="H130" s="654">
        <v>4919631</v>
      </c>
      <c r="I130" s="654">
        <v>-16420</v>
      </c>
      <c r="J130" s="654">
        <v>4903211</v>
      </c>
      <c r="K130" s="654">
        <v>4903211</v>
      </c>
      <c r="L130" s="654">
        <v>0</v>
      </c>
      <c r="M130" s="654">
        <v>0</v>
      </c>
      <c r="N130" s="654">
        <v>399079</v>
      </c>
    </row>
    <row r="131" spans="2:14" x14ac:dyDescent="0.15">
      <c r="B131"/>
      <c r="D131" t="s">
        <v>734</v>
      </c>
      <c r="H131" s="654">
        <v>4919631</v>
      </c>
      <c r="I131" s="654">
        <v>-16420</v>
      </c>
      <c r="J131" s="654">
        <v>4903211</v>
      </c>
      <c r="K131" s="654">
        <v>4903211</v>
      </c>
      <c r="L131" s="654">
        <v>0</v>
      </c>
      <c r="M131" s="654">
        <v>0</v>
      </c>
      <c r="N131" s="654">
        <v>399079</v>
      </c>
    </row>
    <row r="132" spans="2:14" x14ac:dyDescent="0.15">
      <c r="B132"/>
      <c r="D132" t="s">
        <v>628</v>
      </c>
      <c r="E132" t="s">
        <v>380</v>
      </c>
      <c r="F132" t="s">
        <v>626</v>
      </c>
      <c r="G132" t="s">
        <v>600</v>
      </c>
      <c r="H132" s="654">
        <v>2527478</v>
      </c>
      <c r="I132" s="654">
        <v>-77383</v>
      </c>
      <c r="J132" s="654">
        <v>2450095</v>
      </c>
      <c r="K132" s="654">
        <v>2450095</v>
      </c>
      <c r="L132" s="654">
        <v>0</v>
      </c>
      <c r="M132" s="654">
        <v>231431</v>
      </c>
      <c r="N132" s="654">
        <v>197103</v>
      </c>
    </row>
    <row r="133" spans="2:14" x14ac:dyDescent="0.15">
      <c r="B133"/>
      <c r="F133" t="s">
        <v>733</v>
      </c>
      <c r="H133" s="654">
        <v>2527478</v>
      </c>
      <c r="I133" s="654">
        <v>-77383</v>
      </c>
      <c r="J133" s="654">
        <v>2450095</v>
      </c>
      <c r="K133" s="654">
        <v>2450095</v>
      </c>
      <c r="L133" s="654">
        <v>0</v>
      </c>
      <c r="M133" s="654">
        <v>231431</v>
      </c>
      <c r="N133" s="654">
        <v>197103</v>
      </c>
    </row>
    <row r="134" spans="2:14" x14ac:dyDescent="0.15">
      <c r="B134"/>
      <c r="F134" t="s">
        <v>627</v>
      </c>
      <c r="G134" t="s">
        <v>599</v>
      </c>
      <c r="H134" s="654">
        <v>1158909</v>
      </c>
      <c r="I134" s="654">
        <v>-30750</v>
      </c>
      <c r="J134" s="654">
        <v>1128159</v>
      </c>
      <c r="K134" s="654">
        <v>1128159</v>
      </c>
      <c r="L134" s="654">
        <v>0</v>
      </c>
      <c r="M134" s="654">
        <v>0</v>
      </c>
      <c r="N134" s="654">
        <v>246750</v>
      </c>
    </row>
    <row r="135" spans="2:14" x14ac:dyDescent="0.15">
      <c r="B135"/>
      <c r="F135" t="s">
        <v>734</v>
      </c>
      <c r="H135" s="654">
        <v>1158909</v>
      </c>
      <c r="I135" s="654">
        <v>-30750</v>
      </c>
      <c r="J135" s="654">
        <v>1128159</v>
      </c>
      <c r="K135" s="654">
        <v>1128159</v>
      </c>
      <c r="L135" s="654">
        <v>0</v>
      </c>
      <c r="M135" s="654">
        <v>0</v>
      </c>
      <c r="N135" s="654">
        <v>246750</v>
      </c>
    </row>
    <row r="136" spans="2:14" x14ac:dyDescent="0.15">
      <c r="B136"/>
      <c r="E136" t="s">
        <v>771</v>
      </c>
      <c r="H136" s="654">
        <v>3686387</v>
      </c>
      <c r="I136" s="654">
        <v>-108133</v>
      </c>
      <c r="J136" s="654">
        <v>3578254</v>
      </c>
      <c r="K136" s="654">
        <v>3578254</v>
      </c>
      <c r="L136" s="654">
        <v>0</v>
      </c>
      <c r="M136" s="654">
        <v>231431</v>
      </c>
      <c r="N136" s="654">
        <v>443853</v>
      </c>
    </row>
    <row r="137" spans="2:14" x14ac:dyDescent="0.15">
      <c r="B137"/>
      <c r="D137" t="s">
        <v>735</v>
      </c>
      <c r="H137" s="654">
        <v>3686387</v>
      </c>
      <c r="I137" s="654">
        <v>-108133</v>
      </c>
      <c r="J137" s="654">
        <v>3578254</v>
      </c>
      <c r="K137" s="654">
        <v>3578254</v>
      </c>
      <c r="L137" s="654">
        <v>0</v>
      </c>
      <c r="M137" s="654">
        <v>231431</v>
      </c>
      <c r="N137" s="654">
        <v>443853</v>
      </c>
    </row>
    <row r="138" spans="2:14" x14ac:dyDescent="0.15">
      <c r="B138"/>
      <c r="D138" t="s">
        <v>629</v>
      </c>
      <c r="E138" t="s">
        <v>676</v>
      </c>
      <c r="F138" t="s">
        <v>629</v>
      </c>
      <c r="G138" t="s">
        <v>601</v>
      </c>
      <c r="H138" s="654">
        <v>2107445</v>
      </c>
      <c r="I138" s="654">
        <v>0</v>
      </c>
      <c r="J138" s="654">
        <v>2107445</v>
      </c>
      <c r="K138" s="654">
        <v>2107445</v>
      </c>
      <c r="L138" s="654">
        <v>0</v>
      </c>
      <c r="M138" s="654">
        <v>0</v>
      </c>
      <c r="N138" s="654">
        <v>90007</v>
      </c>
    </row>
    <row r="139" spans="2:14" x14ac:dyDescent="0.15">
      <c r="B139"/>
      <c r="F139" t="s">
        <v>736</v>
      </c>
      <c r="H139" s="654">
        <v>2107445</v>
      </c>
      <c r="I139" s="654">
        <v>0</v>
      </c>
      <c r="J139" s="654">
        <v>2107445</v>
      </c>
      <c r="K139" s="654">
        <v>2107445</v>
      </c>
      <c r="L139" s="654">
        <v>0</v>
      </c>
      <c r="M139" s="654">
        <v>0</v>
      </c>
      <c r="N139" s="654">
        <v>90007</v>
      </c>
    </row>
    <row r="140" spans="2:14" x14ac:dyDescent="0.15">
      <c r="B140"/>
      <c r="E140" t="s">
        <v>772</v>
      </c>
      <c r="H140" s="654">
        <v>2107445</v>
      </c>
      <c r="I140" s="654">
        <v>0</v>
      </c>
      <c r="J140" s="654">
        <v>2107445</v>
      </c>
      <c r="K140" s="654">
        <v>2107445</v>
      </c>
      <c r="L140" s="654">
        <v>0</v>
      </c>
      <c r="M140" s="654">
        <v>0</v>
      </c>
      <c r="N140" s="654">
        <v>90007</v>
      </c>
    </row>
    <row r="141" spans="2:14" x14ac:dyDescent="0.15">
      <c r="B141"/>
      <c r="D141" t="s">
        <v>736</v>
      </c>
      <c r="H141" s="654">
        <v>2107445</v>
      </c>
      <c r="I141" s="654">
        <v>0</v>
      </c>
      <c r="J141" s="654">
        <v>2107445</v>
      </c>
      <c r="K141" s="654">
        <v>2107445</v>
      </c>
      <c r="L141" s="654">
        <v>0</v>
      </c>
      <c r="M141" s="654">
        <v>0</v>
      </c>
      <c r="N141" s="654">
        <v>90007</v>
      </c>
    </row>
    <row r="142" spans="2:14" x14ac:dyDescent="0.15">
      <c r="B142"/>
      <c r="D142" t="s">
        <v>567</v>
      </c>
      <c r="E142" t="s">
        <v>473</v>
      </c>
      <c r="F142" t="s">
        <v>631</v>
      </c>
      <c r="G142" t="s">
        <v>596</v>
      </c>
      <c r="H142" s="654">
        <v>948758</v>
      </c>
      <c r="I142" s="654">
        <v>-948758</v>
      </c>
      <c r="J142" s="654">
        <v>0</v>
      </c>
      <c r="K142" s="654">
        <v>0</v>
      </c>
      <c r="L142" s="654">
        <v>0</v>
      </c>
      <c r="M142" s="654">
        <v>0</v>
      </c>
      <c r="N142" s="654">
        <v>0</v>
      </c>
    </row>
    <row r="143" spans="2:14" x14ac:dyDescent="0.15">
      <c r="B143"/>
      <c r="F143" t="s">
        <v>737</v>
      </c>
      <c r="H143" s="654">
        <v>948758</v>
      </c>
      <c r="I143" s="654">
        <v>-948758</v>
      </c>
      <c r="J143" s="654">
        <v>0</v>
      </c>
      <c r="K143" s="654">
        <v>0</v>
      </c>
      <c r="L143" s="654">
        <v>0</v>
      </c>
      <c r="M143" s="654">
        <v>0</v>
      </c>
      <c r="N143" s="654">
        <v>0</v>
      </c>
    </row>
    <row r="144" spans="2:14" x14ac:dyDescent="0.15">
      <c r="B144"/>
      <c r="E144" t="s">
        <v>773</v>
      </c>
      <c r="H144" s="654">
        <v>948758</v>
      </c>
      <c r="I144" s="654">
        <v>-948758</v>
      </c>
      <c r="J144" s="654">
        <v>0</v>
      </c>
      <c r="K144" s="654">
        <v>0</v>
      </c>
      <c r="L144" s="654">
        <v>0</v>
      </c>
      <c r="M144" s="654">
        <v>0</v>
      </c>
      <c r="N144" s="654">
        <v>0</v>
      </c>
    </row>
    <row r="145" spans="2:14" x14ac:dyDescent="0.15">
      <c r="B145"/>
      <c r="D145" t="s">
        <v>739</v>
      </c>
      <c r="H145" s="654">
        <v>948758</v>
      </c>
      <c r="I145" s="654">
        <v>-948758</v>
      </c>
      <c r="J145" s="654">
        <v>0</v>
      </c>
      <c r="K145" s="654">
        <v>0</v>
      </c>
      <c r="L145" s="654">
        <v>0</v>
      </c>
      <c r="M145" s="654">
        <v>0</v>
      </c>
      <c r="N145" s="654">
        <v>0</v>
      </c>
    </row>
    <row r="146" spans="2:14" x14ac:dyDescent="0.15">
      <c r="B146"/>
      <c r="D146" t="s">
        <v>568</v>
      </c>
      <c r="E146" t="s">
        <v>474</v>
      </c>
      <c r="F146" t="s">
        <v>631</v>
      </c>
      <c r="G146" t="s">
        <v>596</v>
      </c>
      <c r="H146" s="654">
        <v>709019</v>
      </c>
      <c r="I146" s="654">
        <v>-709019</v>
      </c>
      <c r="J146" s="654">
        <v>0</v>
      </c>
      <c r="K146" s="654">
        <v>0</v>
      </c>
      <c r="L146" s="654">
        <v>0</v>
      </c>
      <c r="M146" s="654">
        <v>0</v>
      </c>
      <c r="N146" s="654">
        <v>0</v>
      </c>
    </row>
    <row r="147" spans="2:14" x14ac:dyDescent="0.15">
      <c r="B147"/>
      <c r="F147" t="s">
        <v>737</v>
      </c>
      <c r="H147" s="654">
        <v>709019</v>
      </c>
      <c r="I147" s="654">
        <v>-709019</v>
      </c>
      <c r="J147" s="654">
        <v>0</v>
      </c>
      <c r="K147" s="654">
        <v>0</v>
      </c>
      <c r="L147" s="654">
        <v>0</v>
      </c>
      <c r="M147" s="654">
        <v>0</v>
      </c>
      <c r="N147" s="654">
        <v>0</v>
      </c>
    </row>
    <row r="148" spans="2:14" x14ac:dyDescent="0.15">
      <c r="B148"/>
      <c r="E148" t="s">
        <v>774</v>
      </c>
      <c r="H148" s="654">
        <v>709019</v>
      </c>
      <c r="I148" s="654">
        <v>-709019</v>
      </c>
      <c r="J148" s="654">
        <v>0</v>
      </c>
      <c r="K148" s="654">
        <v>0</v>
      </c>
      <c r="L148" s="654">
        <v>0</v>
      </c>
      <c r="M148" s="654">
        <v>0</v>
      </c>
      <c r="N148" s="654">
        <v>0</v>
      </c>
    </row>
    <row r="149" spans="2:14" x14ac:dyDescent="0.15">
      <c r="B149"/>
      <c r="D149" t="s">
        <v>740</v>
      </c>
      <c r="H149" s="654">
        <v>709019</v>
      </c>
      <c r="I149" s="654">
        <v>-709019</v>
      </c>
      <c r="J149" s="654">
        <v>0</v>
      </c>
      <c r="K149" s="654">
        <v>0</v>
      </c>
      <c r="L149" s="654">
        <v>0</v>
      </c>
      <c r="M149" s="654">
        <v>0</v>
      </c>
      <c r="N149" s="654">
        <v>0</v>
      </c>
    </row>
    <row r="150" spans="2:14" x14ac:dyDescent="0.15">
      <c r="B150"/>
      <c r="D150" t="s">
        <v>566</v>
      </c>
      <c r="E150" t="s">
        <v>382</v>
      </c>
      <c r="F150" t="s">
        <v>626</v>
      </c>
      <c r="G150" t="s">
        <v>600</v>
      </c>
      <c r="H150" s="654">
        <v>825621</v>
      </c>
      <c r="I150" s="654">
        <v>0</v>
      </c>
      <c r="J150" s="654">
        <v>825621</v>
      </c>
      <c r="K150" s="654">
        <v>825621</v>
      </c>
      <c r="L150" s="654">
        <v>0</v>
      </c>
      <c r="M150" s="654">
        <v>0</v>
      </c>
      <c r="N150" s="654">
        <v>0</v>
      </c>
    </row>
    <row r="151" spans="2:14" x14ac:dyDescent="0.15">
      <c r="B151"/>
      <c r="F151" t="s">
        <v>733</v>
      </c>
      <c r="H151" s="654">
        <v>825621</v>
      </c>
      <c r="I151" s="654">
        <v>0</v>
      </c>
      <c r="J151" s="654">
        <v>825621</v>
      </c>
      <c r="K151" s="654">
        <v>825621</v>
      </c>
      <c r="L151" s="654">
        <v>0</v>
      </c>
      <c r="M151" s="654">
        <v>0</v>
      </c>
      <c r="N151" s="654">
        <v>0</v>
      </c>
    </row>
    <row r="152" spans="2:14" x14ac:dyDescent="0.15">
      <c r="B152"/>
      <c r="E152" t="s">
        <v>775</v>
      </c>
      <c r="H152" s="654">
        <v>825621</v>
      </c>
      <c r="I152" s="654">
        <v>0</v>
      </c>
      <c r="J152" s="654">
        <v>825621</v>
      </c>
      <c r="K152" s="654">
        <v>825621</v>
      </c>
      <c r="L152" s="654">
        <v>0</v>
      </c>
      <c r="M152" s="654">
        <v>0</v>
      </c>
      <c r="N152" s="654">
        <v>0</v>
      </c>
    </row>
    <row r="153" spans="2:14" x14ac:dyDescent="0.15">
      <c r="B153"/>
      <c r="D153" t="s">
        <v>738</v>
      </c>
      <c r="H153" s="654">
        <v>825621</v>
      </c>
      <c r="I153" s="654">
        <v>0</v>
      </c>
      <c r="J153" s="654">
        <v>825621</v>
      </c>
      <c r="K153" s="654">
        <v>825621</v>
      </c>
      <c r="L153" s="654">
        <v>0</v>
      </c>
      <c r="M153" s="654">
        <v>0</v>
      </c>
      <c r="N153" s="654">
        <v>0</v>
      </c>
    </row>
    <row r="154" spans="2:14" x14ac:dyDescent="0.15">
      <c r="B154"/>
      <c r="D154" t="s">
        <v>631</v>
      </c>
      <c r="E154" t="s">
        <v>381</v>
      </c>
      <c r="F154" t="s">
        <v>626</v>
      </c>
      <c r="G154" t="s">
        <v>600</v>
      </c>
      <c r="H154" s="654">
        <v>1787687</v>
      </c>
      <c r="I154" s="654">
        <v>-1241</v>
      </c>
      <c r="J154" s="654">
        <v>1786446</v>
      </c>
      <c r="K154" s="654">
        <v>1786446</v>
      </c>
      <c r="L154" s="654">
        <v>0</v>
      </c>
      <c r="M154" s="654">
        <v>0</v>
      </c>
      <c r="N154" s="654">
        <v>0</v>
      </c>
    </row>
    <row r="155" spans="2:14" x14ac:dyDescent="0.15">
      <c r="B155"/>
      <c r="F155" t="s">
        <v>733</v>
      </c>
      <c r="H155" s="654">
        <v>1787687</v>
      </c>
      <c r="I155" s="654">
        <v>-1241</v>
      </c>
      <c r="J155" s="654">
        <v>1786446</v>
      </c>
      <c r="K155" s="654">
        <v>1786446</v>
      </c>
      <c r="L155" s="654">
        <v>0</v>
      </c>
      <c r="M155" s="654">
        <v>0</v>
      </c>
      <c r="N155" s="654">
        <v>0</v>
      </c>
    </row>
    <row r="156" spans="2:14" x14ac:dyDescent="0.15">
      <c r="B156"/>
      <c r="E156" t="s">
        <v>776</v>
      </c>
      <c r="H156" s="654">
        <v>1787687</v>
      </c>
      <c r="I156" s="654">
        <v>-1241</v>
      </c>
      <c r="J156" s="654">
        <v>1786446</v>
      </c>
      <c r="K156" s="654">
        <v>1786446</v>
      </c>
      <c r="L156" s="654">
        <v>0</v>
      </c>
      <c r="M156" s="654">
        <v>0</v>
      </c>
      <c r="N156" s="654">
        <v>0</v>
      </c>
    </row>
    <row r="157" spans="2:14" x14ac:dyDescent="0.15">
      <c r="B157"/>
      <c r="D157" t="s">
        <v>737</v>
      </c>
      <c r="H157" s="654">
        <v>1787687</v>
      </c>
      <c r="I157" s="654">
        <v>-1241</v>
      </c>
      <c r="J157" s="654">
        <v>1786446</v>
      </c>
      <c r="K157" s="654">
        <v>1786446</v>
      </c>
      <c r="L157" s="654">
        <v>0</v>
      </c>
      <c r="M157" s="654">
        <v>0</v>
      </c>
      <c r="N157" s="654">
        <v>0</v>
      </c>
    </row>
    <row r="158" spans="2:14" x14ac:dyDescent="0.15">
      <c r="B158"/>
      <c r="D158" t="s">
        <v>671</v>
      </c>
      <c r="E158" t="s">
        <v>383</v>
      </c>
      <c r="F158" t="s">
        <v>626</v>
      </c>
      <c r="G158" t="s">
        <v>600</v>
      </c>
      <c r="H158" s="654">
        <v>1065665</v>
      </c>
      <c r="I158" s="654">
        <v>0</v>
      </c>
      <c r="J158" s="654">
        <v>1065665</v>
      </c>
      <c r="K158" s="654">
        <v>1065665</v>
      </c>
      <c r="L158" s="654">
        <v>0</v>
      </c>
      <c r="M158" s="654">
        <v>32324</v>
      </c>
      <c r="N158" s="654">
        <v>0</v>
      </c>
    </row>
    <row r="159" spans="2:14" x14ac:dyDescent="0.15">
      <c r="B159"/>
      <c r="F159" t="s">
        <v>733</v>
      </c>
      <c r="H159" s="654">
        <v>1065665</v>
      </c>
      <c r="I159" s="654">
        <v>0</v>
      </c>
      <c r="J159" s="654">
        <v>1065665</v>
      </c>
      <c r="K159" s="654">
        <v>1065665</v>
      </c>
      <c r="L159" s="654">
        <v>0</v>
      </c>
      <c r="M159" s="654">
        <v>32324</v>
      </c>
      <c r="N159" s="654">
        <v>0</v>
      </c>
    </row>
    <row r="160" spans="2:14" x14ac:dyDescent="0.15">
      <c r="B160"/>
      <c r="F160" t="s">
        <v>627</v>
      </c>
      <c r="G160" t="s">
        <v>599</v>
      </c>
      <c r="H160" s="654">
        <v>8856</v>
      </c>
      <c r="I160" s="654">
        <v>0</v>
      </c>
      <c r="J160" s="654">
        <v>8856</v>
      </c>
      <c r="K160" s="654">
        <v>8856</v>
      </c>
      <c r="L160" s="654">
        <v>0</v>
      </c>
      <c r="M160" s="654">
        <v>0</v>
      </c>
      <c r="N160" s="654">
        <v>0</v>
      </c>
    </row>
    <row r="161" spans="2:14" x14ac:dyDescent="0.15">
      <c r="B161"/>
      <c r="F161" t="s">
        <v>734</v>
      </c>
      <c r="H161" s="654">
        <v>8856</v>
      </c>
      <c r="I161" s="654">
        <v>0</v>
      </c>
      <c r="J161" s="654">
        <v>8856</v>
      </c>
      <c r="K161" s="654">
        <v>8856</v>
      </c>
      <c r="L161" s="654">
        <v>0</v>
      </c>
      <c r="M161" s="654">
        <v>0</v>
      </c>
      <c r="N161" s="654">
        <v>0</v>
      </c>
    </row>
    <row r="162" spans="2:14" x14ac:dyDescent="0.15">
      <c r="B162"/>
      <c r="E162" t="s">
        <v>777</v>
      </c>
      <c r="H162" s="654">
        <v>1074521</v>
      </c>
      <c r="I162" s="654">
        <v>0</v>
      </c>
      <c r="J162" s="654">
        <v>1074521</v>
      </c>
      <c r="K162" s="654">
        <v>1074521</v>
      </c>
      <c r="L162" s="654">
        <v>0</v>
      </c>
      <c r="M162" s="654">
        <v>32324</v>
      </c>
      <c r="N162" s="654">
        <v>0</v>
      </c>
    </row>
    <row r="163" spans="2:14" x14ac:dyDescent="0.15">
      <c r="B163"/>
      <c r="D163" t="s">
        <v>742</v>
      </c>
      <c r="H163" s="654">
        <v>1074521</v>
      </c>
      <c r="I163" s="654">
        <v>0</v>
      </c>
      <c r="J163" s="654">
        <v>1074521</v>
      </c>
      <c r="K163" s="654">
        <v>1074521</v>
      </c>
      <c r="L163" s="654">
        <v>0</v>
      </c>
      <c r="M163" s="654">
        <v>32324</v>
      </c>
      <c r="N163" s="654">
        <v>0</v>
      </c>
    </row>
    <row r="164" spans="2:14" x14ac:dyDescent="0.15">
      <c r="B164"/>
      <c r="C164" t="s">
        <v>853</v>
      </c>
      <c r="H164" s="654">
        <v>25091399</v>
      </c>
      <c r="I164" s="654">
        <v>-2084597</v>
      </c>
      <c r="J164" s="654">
        <v>23006802</v>
      </c>
      <c r="K164" s="654">
        <v>23006802</v>
      </c>
      <c r="L164" s="654">
        <v>0</v>
      </c>
      <c r="M164" s="654">
        <v>332823</v>
      </c>
      <c r="N164" s="654">
        <v>2200051</v>
      </c>
    </row>
    <row r="165" spans="2:14" x14ac:dyDescent="0.15">
      <c r="B165" t="s">
        <v>627</v>
      </c>
      <c r="C165" t="s">
        <v>847</v>
      </c>
      <c r="D165" t="s">
        <v>625</v>
      </c>
      <c r="E165" t="s">
        <v>594</v>
      </c>
      <c r="F165" t="s">
        <v>566</v>
      </c>
      <c r="G165" t="s">
        <v>597</v>
      </c>
      <c r="H165" s="654">
        <v>33378</v>
      </c>
      <c r="I165" s="654">
        <v>-33378</v>
      </c>
      <c r="J165" s="654">
        <v>0</v>
      </c>
      <c r="K165" s="654">
        <v>0</v>
      </c>
      <c r="L165" s="654">
        <v>0</v>
      </c>
      <c r="M165" s="654">
        <v>0</v>
      </c>
      <c r="N165" s="654">
        <v>0</v>
      </c>
    </row>
    <row r="166" spans="2:14" x14ac:dyDescent="0.15">
      <c r="B166"/>
      <c r="F166" t="s">
        <v>738</v>
      </c>
      <c r="H166" s="654">
        <v>33378</v>
      </c>
      <c r="I166" s="654">
        <v>-33378</v>
      </c>
      <c r="J166" s="654">
        <v>0</v>
      </c>
      <c r="K166" s="654">
        <v>0</v>
      </c>
      <c r="L166" s="654">
        <v>0</v>
      </c>
      <c r="M166" s="654">
        <v>0</v>
      </c>
      <c r="N166" s="654">
        <v>0</v>
      </c>
    </row>
    <row r="167" spans="2:14" x14ac:dyDescent="0.15">
      <c r="B167"/>
      <c r="E167" t="s">
        <v>768</v>
      </c>
      <c r="H167" s="654">
        <v>33378</v>
      </c>
      <c r="I167" s="654">
        <v>-33378</v>
      </c>
      <c r="J167" s="654">
        <v>0</v>
      </c>
      <c r="K167" s="654">
        <v>0</v>
      </c>
      <c r="L167" s="654">
        <v>0</v>
      </c>
      <c r="M167" s="654">
        <v>0</v>
      </c>
      <c r="N167" s="654">
        <v>0</v>
      </c>
    </row>
    <row r="168" spans="2:14" x14ac:dyDescent="0.15">
      <c r="B168"/>
      <c r="D168" t="s">
        <v>741</v>
      </c>
      <c r="H168" s="654">
        <v>33378</v>
      </c>
      <c r="I168" s="654">
        <v>-33378</v>
      </c>
      <c r="J168" s="654">
        <v>0</v>
      </c>
      <c r="K168" s="654">
        <v>0</v>
      </c>
      <c r="L168" s="654">
        <v>0</v>
      </c>
      <c r="M168" s="654">
        <v>0</v>
      </c>
      <c r="N168" s="654">
        <v>0</v>
      </c>
    </row>
    <row r="169" spans="2:14" x14ac:dyDescent="0.15">
      <c r="B169"/>
      <c r="D169" t="s">
        <v>626</v>
      </c>
      <c r="E169" t="s">
        <v>378</v>
      </c>
      <c r="F169" t="s">
        <v>626</v>
      </c>
      <c r="G169" t="s">
        <v>600</v>
      </c>
      <c r="H169" s="654">
        <v>475006</v>
      </c>
      <c r="I169" s="654">
        <v>6259</v>
      </c>
      <c r="J169" s="654">
        <v>481265</v>
      </c>
      <c r="K169" s="654">
        <v>481265</v>
      </c>
      <c r="L169" s="654">
        <v>0</v>
      </c>
      <c r="M169" s="654">
        <v>0</v>
      </c>
      <c r="N169" s="654">
        <v>0</v>
      </c>
    </row>
    <row r="170" spans="2:14" x14ac:dyDescent="0.15">
      <c r="B170"/>
      <c r="F170" t="s">
        <v>733</v>
      </c>
      <c r="H170" s="654">
        <v>475006</v>
      </c>
      <c r="I170" s="654">
        <v>6259</v>
      </c>
      <c r="J170" s="654">
        <v>481265</v>
      </c>
      <c r="K170" s="654">
        <v>481265</v>
      </c>
      <c r="L170" s="654">
        <v>0</v>
      </c>
      <c r="M170" s="654">
        <v>0</v>
      </c>
      <c r="N170" s="654">
        <v>0</v>
      </c>
    </row>
    <row r="171" spans="2:14" x14ac:dyDescent="0.15">
      <c r="B171"/>
      <c r="F171" t="s">
        <v>627</v>
      </c>
      <c r="G171" t="s">
        <v>599</v>
      </c>
      <c r="H171" s="654">
        <v>569734</v>
      </c>
      <c r="I171" s="654">
        <v>0</v>
      </c>
      <c r="J171" s="654">
        <v>569734</v>
      </c>
      <c r="K171" s="654">
        <v>569734</v>
      </c>
      <c r="L171" s="654">
        <v>0</v>
      </c>
      <c r="M171" s="654">
        <v>0</v>
      </c>
      <c r="N171" s="654">
        <v>0</v>
      </c>
    </row>
    <row r="172" spans="2:14" x14ac:dyDescent="0.15">
      <c r="B172"/>
      <c r="F172" t="s">
        <v>734</v>
      </c>
      <c r="H172" s="654">
        <v>569734</v>
      </c>
      <c r="I172" s="654">
        <v>0</v>
      </c>
      <c r="J172" s="654">
        <v>569734</v>
      </c>
      <c r="K172" s="654">
        <v>569734</v>
      </c>
      <c r="L172" s="654">
        <v>0</v>
      </c>
      <c r="M172" s="654">
        <v>0</v>
      </c>
      <c r="N172" s="654">
        <v>0</v>
      </c>
    </row>
    <row r="173" spans="2:14" x14ac:dyDescent="0.15">
      <c r="B173"/>
      <c r="F173" t="s">
        <v>628</v>
      </c>
      <c r="G173" t="s">
        <v>598</v>
      </c>
      <c r="H173" s="654">
        <v>95250</v>
      </c>
      <c r="I173" s="654">
        <v>0</v>
      </c>
      <c r="J173" s="654">
        <v>95250</v>
      </c>
      <c r="K173" s="654">
        <v>95250</v>
      </c>
      <c r="L173" s="654">
        <v>0</v>
      </c>
      <c r="M173" s="654">
        <v>0</v>
      </c>
      <c r="N173" s="654">
        <v>0</v>
      </c>
    </row>
    <row r="174" spans="2:14" x14ac:dyDescent="0.15">
      <c r="B174"/>
      <c r="F174" t="s">
        <v>735</v>
      </c>
      <c r="H174" s="654">
        <v>95250</v>
      </c>
      <c r="I174" s="654">
        <v>0</v>
      </c>
      <c r="J174" s="654">
        <v>95250</v>
      </c>
      <c r="K174" s="654">
        <v>95250</v>
      </c>
      <c r="L174" s="654">
        <v>0</v>
      </c>
      <c r="M174" s="654">
        <v>0</v>
      </c>
      <c r="N174" s="654">
        <v>0</v>
      </c>
    </row>
    <row r="175" spans="2:14" x14ac:dyDescent="0.15">
      <c r="B175"/>
      <c r="E175" t="s">
        <v>769</v>
      </c>
      <c r="H175" s="654">
        <v>1139990</v>
      </c>
      <c r="I175" s="654">
        <v>6259</v>
      </c>
      <c r="J175" s="654">
        <v>1146249</v>
      </c>
      <c r="K175" s="654">
        <v>1146249</v>
      </c>
      <c r="L175" s="654">
        <v>0</v>
      </c>
      <c r="M175" s="654">
        <v>0</v>
      </c>
      <c r="N175" s="654">
        <v>0</v>
      </c>
    </row>
    <row r="176" spans="2:14" x14ac:dyDescent="0.15">
      <c r="B176"/>
      <c r="D176" t="s">
        <v>733</v>
      </c>
      <c r="H176" s="654">
        <v>1139990</v>
      </c>
      <c r="I176" s="654">
        <v>6259</v>
      </c>
      <c r="J176" s="654">
        <v>1146249</v>
      </c>
      <c r="K176" s="654">
        <v>1146249</v>
      </c>
      <c r="L176" s="654">
        <v>0</v>
      </c>
      <c r="M176" s="654">
        <v>0</v>
      </c>
      <c r="N176" s="654">
        <v>0</v>
      </c>
    </row>
    <row r="177" spans="2:14" x14ac:dyDescent="0.15">
      <c r="B177"/>
      <c r="D177" t="s">
        <v>627</v>
      </c>
      <c r="E177" t="s">
        <v>379</v>
      </c>
      <c r="F177" t="s">
        <v>626</v>
      </c>
      <c r="G177" t="s">
        <v>600</v>
      </c>
      <c r="H177" s="654">
        <v>20339</v>
      </c>
      <c r="I177" s="654">
        <v>114522</v>
      </c>
      <c r="J177" s="654">
        <v>134861</v>
      </c>
      <c r="K177" s="654">
        <v>134861</v>
      </c>
      <c r="L177" s="654">
        <v>0</v>
      </c>
      <c r="M177" s="654">
        <v>0</v>
      </c>
      <c r="N177" s="654">
        <v>0</v>
      </c>
    </row>
    <row r="178" spans="2:14" x14ac:dyDescent="0.15">
      <c r="B178"/>
      <c r="F178" t="s">
        <v>733</v>
      </c>
      <c r="H178" s="654">
        <v>20339</v>
      </c>
      <c r="I178" s="654">
        <v>114522</v>
      </c>
      <c r="J178" s="654">
        <v>134861</v>
      </c>
      <c r="K178" s="654">
        <v>134861</v>
      </c>
      <c r="L178" s="654">
        <v>0</v>
      </c>
      <c r="M178" s="654">
        <v>0</v>
      </c>
      <c r="N178" s="654">
        <v>0</v>
      </c>
    </row>
    <row r="179" spans="2:14" x14ac:dyDescent="0.15">
      <c r="B179"/>
      <c r="F179" t="s">
        <v>627</v>
      </c>
      <c r="G179" t="s">
        <v>599</v>
      </c>
      <c r="H179" s="654">
        <v>0</v>
      </c>
      <c r="I179" s="654">
        <v>0</v>
      </c>
      <c r="J179" s="654">
        <v>0</v>
      </c>
      <c r="K179" s="654">
        <v>0</v>
      </c>
      <c r="L179" s="654">
        <v>0</v>
      </c>
      <c r="M179" s="654">
        <v>0</v>
      </c>
      <c r="N179" s="654">
        <v>0</v>
      </c>
    </row>
    <row r="180" spans="2:14" x14ac:dyDescent="0.15">
      <c r="B180"/>
      <c r="F180" t="s">
        <v>734</v>
      </c>
      <c r="H180" s="654">
        <v>0</v>
      </c>
      <c r="I180" s="654">
        <v>0</v>
      </c>
      <c r="J180" s="654">
        <v>0</v>
      </c>
      <c r="K180" s="654">
        <v>0</v>
      </c>
      <c r="L180" s="654">
        <v>0</v>
      </c>
      <c r="M180" s="654">
        <v>0</v>
      </c>
      <c r="N180" s="654">
        <v>0</v>
      </c>
    </row>
    <row r="181" spans="2:14" x14ac:dyDescent="0.15">
      <c r="B181"/>
      <c r="F181" t="s">
        <v>628</v>
      </c>
      <c r="G181" t="s">
        <v>598</v>
      </c>
      <c r="H181" s="654">
        <v>0</v>
      </c>
      <c r="I181" s="654">
        <v>0</v>
      </c>
      <c r="J181" s="654">
        <v>0</v>
      </c>
      <c r="K181" s="654">
        <v>0</v>
      </c>
      <c r="L181" s="654">
        <v>0</v>
      </c>
      <c r="M181" s="654">
        <v>0</v>
      </c>
      <c r="N181" s="654">
        <v>0</v>
      </c>
    </row>
    <row r="182" spans="2:14" x14ac:dyDescent="0.15">
      <c r="B182"/>
      <c r="F182" t="s">
        <v>735</v>
      </c>
      <c r="H182" s="654">
        <v>0</v>
      </c>
      <c r="I182" s="654">
        <v>0</v>
      </c>
      <c r="J182" s="654">
        <v>0</v>
      </c>
      <c r="K182" s="654">
        <v>0</v>
      </c>
      <c r="L182" s="654">
        <v>0</v>
      </c>
      <c r="M182" s="654">
        <v>0</v>
      </c>
      <c r="N182" s="654">
        <v>0</v>
      </c>
    </row>
    <row r="183" spans="2:14" x14ac:dyDescent="0.15">
      <c r="B183"/>
      <c r="E183" t="s">
        <v>770</v>
      </c>
      <c r="H183" s="654">
        <v>20339</v>
      </c>
      <c r="I183" s="654">
        <v>114522</v>
      </c>
      <c r="J183" s="654">
        <v>134861</v>
      </c>
      <c r="K183" s="654">
        <v>134861</v>
      </c>
      <c r="L183" s="654">
        <v>0</v>
      </c>
      <c r="M183" s="654">
        <v>0</v>
      </c>
      <c r="N183" s="654">
        <v>0</v>
      </c>
    </row>
    <row r="184" spans="2:14" x14ac:dyDescent="0.15">
      <c r="B184"/>
      <c r="D184" t="s">
        <v>734</v>
      </c>
      <c r="H184" s="654">
        <v>20339</v>
      </c>
      <c r="I184" s="654">
        <v>114522</v>
      </c>
      <c r="J184" s="654">
        <v>134861</v>
      </c>
      <c r="K184" s="654">
        <v>134861</v>
      </c>
      <c r="L184" s="654">
        <v>0</v>
      </c>
      <c r="M184" s="654">
        <v>0</v>
      </c>
      <c r="N184" s="654">
        <v>0</v>
      </c>
    </row>
    <row r="185" spans="2:14" x14ac:dyDescent="0.15">
      <c r="B185"/>
      <c r="D185" t="s">
        <v>628</v>
      </c>
      <c r="E185" t="s">
        <v>380</v>
      </c>
      <c r="F185" t="s">
        <v>626</v>
      </c>
      <c r="G185" t="s">
        <v>600</v>
      </c>
      <c r="H185" s="654">
        <v>33874</v>
      </c>
      <c r="I185" s="654">
        <v>0</v>
      </c>
      <c r="J185" s="654">
        <v>33874</v>
      </c>
      <c r="K185" s="654">
        <v>33874</v>
      </c>
      <c r="L185" s="654">
        <v>0</v>
      </c>
      <c r="M185" s="654">
        <v>0</v>
      </c>
      <c r="N185" s="654">
        <v>0</v>
      </c>
    </row>
    <row r="186" spans="2:14" x14ac:dyDescent="0.15">
      <c r="B186"/>
      <c r="F186" t="s">
        <v>733</v>
      </c>
      <c r="H186" s="654">
        <v>33874</v>
      </c>
      <c r="I186" s="654">
        <v>0</v>
      </c>
      <c r="J186" s="654">
        <v>33874</v>
      </c>
      <c r="K186" s="654">
        <v>33874</v>
      </c>
      <c r="L186" s="654">
        <v>0</v>
      </c>
      <c r="M186" s="654">
        <v>0</v>
      </c>
      <c r="N186" s="654">
        <v>0</v>
      </c>
    </row>
    <row r="187" spans="2:14" x14ac:dyDescent="0.15">
      <c r="B187"/>
      <c r="F187" t="s">
        <v>627</v>
      </c>
      <c r="G187" t="s">
        <v>599</v>
      </c>
      <c r="H187" s="654">
        <v>247722</v>
      </c>
      <c r="I187" s="654">
        <v>0</v>
      </c>
      <c r="J187" s="654">
        <v>247722</v>
      </c>
      <c r="K187" s="654">
        <v>247722</v>
      </c>
      <c r="L187" s="654">
        <v>0</v>
      </c>
      <c r="M187" s="654">
        <v>0</v>
      </c>
      <c r="N187" s="654">
        <v>0</v>
      </c>
    </row>
    <row r="188" spans="2:14" x14ac:dyDescent="0.15">
      <c r="B188"/>
      <c r="F188" t="s">
        <v>734</v>
      </c>
      <c r="H188" s="654">
        <v>247722</v>
      </c>
      <c r="I188" s="654">
        <v>0</v>
      </c>
      <c r="J188" s="654">
        <v>247722</v>
      </c>
      <c r="K188" s="654">
        <v>247722</v>
      </c>
      <c r="L188" s="654">
        <v>0</v>
      </c>
      <c r="M188" s="654">
        <v>0</v>
      </c>
      <c r="N188" s="654">
        <v>0</v>
      </c>
    </row>
    <row r="189" spans="2:14" x14ac:dyDescent="0.15">
      <c r="B189"/>
      <c r="E189" t="s">
        <v>771</v>
      </c>
      <c r="H189" s="654">
        <v>281596</v>
      </c>
      <c r="I189" s="654">
        <v>0</v>
      </c>
      <c r="J189" s="654">
        <v>281596</v>
      </c>
      <c r="K189" s="654">
        <v>281596</v>
      </c>
      <c r="L189" s="654">
        <v>0</v>
      </c>
      <c r="M189" s="654">
        <v>0</v>
      </c>
      <c r="N189" s="654">
        <v>0</v>
      </c>
    </row>
    <row r="190" spans="2:14" x14ac:dyDescent="0.15">
      <c r="B190"/>
      <c r="D190" t="s">
        <v>735</v>
      </c>
      <c r="H190" s="654">
        <v>281596</v>
      </c>
      <c r="I190" s="654">
        <v>0</v>
      </c>
      <c r="J190" s="654">
        <v>281596</v>
      </c>
      <c r="K190" s="654">
        <v>281596</v>
      </c>
      <c r="L190" s="654">
        <v>0</v>
      </c>
      <c r="M190" s="654">
        <v>0</v>
      </c>
      <c r="N190" s="654">
        <v>0</v>
      </c>
    </row>
    <row r="191" spans="2:14" x14ac:dyDescent="0.15">
      <c r="B191"/>
      <c r="D191" t="s">
        <v>629</v>
      </c>
      <c r="E191" t="s">
        <v>676</v>
      </c>
      <c r="F191" t="s">
        <v>629</v>
      </c>
      <c r="G191" t="s">
        <v>601</v>
      </c>
      <c r="H191" s="654">
        <v>233995</v>
      </c>
      <c r="I191" s="654">
        <v>0</v>
      </c>
      <c r="J191" s="654">
        <v>233995</v>
      </c>
      <c r="K191" s="654">
        <v>233995</v>
      </c>
      <c r="L191" s="654">
        <v>0</v>
      </c>
      <c r="M191" s="654">
        <v>0</v>
      </c>
      <c r="N191" s="654">
        <v>0</v>
      </c>
    </row>
    <row r="192" spans="2:14" x14ac:dyDescent="0.15">
      <c r="B192"/>
      <c r="F192" t="s">
        <v>736</v>
      </c>
      <c r="H192" s="654">
        <v>233995</v>
      </c>
      <c r="I192" s="654">
        <v>0</v>
      </c>
      <c r="J192" s="654">
        <v>233995</v>
      </c>
      <c r="K192" s="654">
        <v>233995</v>
      </c>
      <c r="L192" s="654">
        <v>0</v>
      </c>
      <c r="M192" s="654">
        <v>0</v>
      </c>
      <c r="N192" s="654">
        <v>0</v>
      </c>
    </row>
    <row r="193" spans="2:14" x14ac:dyDescent="0.15">
      <c r="B193"/>
      <c r="E193" t="s">
        <v>772</v>
      </c>
      <c r="H193" s="654">
        <v>233995</v>
      </c>
      <c r="I193" s="654">
        <v>0</v>
      </c>
      <c r="J193" s="654">
        <v>233995</v>
      </c>
      <c r="K193" s="654">
        <v>233995</v>
      </c>
      <c r="L193" s="654">
        <v>0</v>
      </c>
      <c r="M193" s="654">
        <v>0</v>
      </c>
      <c r="N193" s="654">
        <v>0</v>
      </c>
    </row>
    <row r="194" spans="2:14" x14ac:dyDescent="0.15">
      <c r="B194"/>
      <c r="D194" t="s">
        <v>736</v>
      </c>
      <c r="H194" s="654">
        <v>233995</v>
      </c>
      <c r="I194" s="654">
        <v>0</v>
      </c>
      <c r="J194" s="654">
        <v>233995</v>
      </c>
      <c r="K194" s="654">
        <v>233995</v>
      </c>
      <c r="L194" s="654">
        <v>0</v>
      </c>
      <c r="M194" s="654">
        <v>0</v>
      </c>
      <c r="N194" s="654">
        <v>0</v>
      </c>
    </row>
    <row r="195" spans="2:14" x14ac:dyDescent="0.15">
      <c r="B195"/>
      <c r="D195" t="s">
        <v>567</v>
      </c>
      <c r="E195" t="s">
        <v>473</v>
      </c>
      <c r="F195" t="s">
        <v>631</v>
      </c>
      <c r="G195" t="s">
        <v>596</v>
      </c>
      <c r="H195" s="654">
        <v>0</v>
      </c>
      <c r="I195" s="654">
        <v>0</v>
      </c>
      <c r="J195" s="654">
        <v>0</v>
      </c>
      <c r="K195" s="654">
        <v>0</v>
      </c>
      <c r="L195" s="654">
        <v>0</v>
      </c>
      <c r="M195" s="654">
        <v>0</v>
      </c>
      <c r="N195" s="654">
        <v>0</v>
      </c>
    </row>
    <row r="196" spans="2:14" x14ac:dyDescent="0.15">
      <c r="B196"/>
      <c r="F196" t="s">
        <v>737</v>
      </c>
      <c r="H196" s="654">
        <v>0</v>
      </c>
      <c r="I196" s="654">
        <v>0</v>
      </c>
      <c r="J196" s="654">
        <v>0</v>
      </c>
      <c r="K196" s="654">
        <v>0</v>
      </c>
      <c r="L196" s="654">
        <v>0</v>
      </c>
      <c r="M196" s="654">
        <v>0</v>
      </c>
      <c r="N196" s="654">
        <v>0</v>
      </c>
    </row>
    <row r="197" spans="2:14" x14ac:dyDescent="0.15">
      <c r="B197"/>
      <c r="E197" t="s">
        <v>773</v>
      </c>
      <c r="H197" s="654">
        <v>0</v>
      </c>
      <c r="I197" s="654">
        <v>0</v>
      </c>
      <c r="J197" s="654">
        <v>0</v>
      </c>
      <c r="K197" s="654">
        <v>0</v>
      </c>
      <c r="L197" s="654">
        <v>0</v>
      </c>
      <c r="M197" s="654">
        <v>0</v>
      </c>
      <c r="N197" s="654">
        <v>0</v>
      </c>
    </row>
    <row r="198" spans="2:14" x14ac:dyDescent="0.15">
      <c r="B198"/>
      <c r="D198" t="s">
        <v>739</v>
      </c>
      <c r="H198" s="654">
        <v>0</v>
      </c>
      <c r="I198" s="654">
        <v>0</v>
      </c>
      <c r="J198" s="654">
        <v>0</v>
      </c>
      <c r="K198" s="654">
        <v>0</v>
      </c>
      <c r="L198" s="654">
        <v>0</v>
      </c>
      <c r="M198" s="654">
        <v>0</v>
      </c>
      <c r="N198" s="654">
        <v>0</v>
      </c>
    </row>
    <row r="199" spans="2:14" x14ac:dyDescent="0.15">
      <c r="B199"/>
      <c r="D199" t="s">
        <v>568</v>
      </c>
      <c r="E199" t="s">
        <v>474</v>
      </c>
      <c r="F199" t="s">
        <v>631</v>
      </c>
      <c r="G199" t="s">
        <v>596</v>
      </c>
      <c r="H199" s="654">
        <v>0</v>
      </c>
      <c r="I199" s="654">
        <v>0</v>
      </c>
      <c r="J199" s="654">
        <v>0</v>
      </c>
      <c r="K199" s="654">
        <v>0</v>
      </c>
      <c r="L199" s="654">
        <v>0</v>
      </c>
      <c r="M199" s="654">
        <v>0</v>
      </c>
      <c r="N199" s="654">
        <v>0</v>
      </c>
    </row>
    <row r="200" spans="2:14" x14ac:dyDescent="0.15">
      <c r="B200"/>
      <c r="F200" t="s">
        <v>737</v>
      </c>
      <c r="H200" s="654">
        <v>0</v>
      </c>
      <c r="I200" s="654">
        <v>0</v>
      </c>
      <c r="J200" s="654">
        <v>0</v>
      </c>
      <c r="K200" s="654">
        <v>0</v>
      </c>
      <c r="L200" s="654">
        <v>0</v>
      </c>
      <c r="M200" s="654">
        <v>0</v>
      </c>
      <c r="N200" s="654">
        <v>0</v>
      </c>
    </row>
    <row r="201" spans="2:14" x14ac:dyDescent="0.15">
      <c r="B201"/>
      <c r="E201" t="s">
        <v>774</v>
      </c>
      <c r="H201" s="654">
        <v>0</v>
      </c>
      <c r="I201" s="654">
        <v>0</v>
      </c>
      <c r="J201" s="654">
        <v>0</v>
      </c>
      <c r="K201" s="654">
        <v>0</v>
      </c>
      <c r="L201" s="654">
        <v>0</v>
      </c>
      <c r="M201" s="654">
        <v>0</v>
      </c>
      <c r="N201" s="654">
        <v>0</v>
      </c>
    </row>
    <row r="202" spans="2:14" x14ac:dyDescent="0.15">
      <c r="B202"/>
      <c r="D202" t="s">
        <v>740</v>
      </c>
      <c r="H202" s="654">
        <v>0</v>
      </c>
      <c r="I202" s="654">
        <v>0</v>
      </c>
      <c r="J202" s="654">
        <v>0</v>
      </c>
      <c r="K202" s="654">
        <v>0</v>
      </c>
      <c r="L202" s="654">
        <v>0</v>
      </c>
      <c r="M202" s="654">
        <v>0</v>
      </c>
      <c r="N202" s="654">
        <v>0</v>
      </c>
    </row>
    <row r="203" spans="2:14" x14ac:dyDescent="0.15">
      <c r="B203"/>
      <c r="D203" t="s">
        <v>566</v>
      </c>
      <c r="E203" t="s">
        <v>382</v>
      </c>
      <c r="F203" t="s">
        <v>626</v>
      </c>
      <c r="G203" t="s">
        <v>600</v>
      </c>
      <c r="H203" s="654">
        <v>0</v>
      </c>
      <c r="I203" s="654">
        <v>0</v>
      </c>
      <c r="J203" s="654">
        <v>0</v>
      </c>
      <c r="K203" s="654">
        <v>0</v>
      </c>
      <c r="L203" s="654">
        <v>0</v>
      </c>
      <c r="M203" s="654">
        <v>0</v>
      </c>
      <c r="N203" s="654">
        <v>0</v>
      </c>
    </row>
    <row r="204" spans="2:14" x14ac:dyDescent="0.15">
      <c r="B204"/>
      <c r="F204" t="s">
        <v>733</v>
      </c>
      <c r="H204" s="654">
        <v>0</v>
      </c>
      <c r="I204" s="654">
        <v>0</v>
      </c>
      <c r="J204" s="654">
        <v>0</v>
      </c>
      <c r="K204" s="654">
        <v>0</v>
      </c>
      <c r="L204" s="654">
        <v>0</v>
      </c>
      <c r="M204" s="654">
        <v>0</v>
      </c>
      <c r="N204" s="654">
        <v>0</v>
      </c>
    </row>
    <row r="205" spans="2:14" x14ac:dyDescent="0.15">
      <c r="B205"/>
      <c r="E205" t="s">
        <v>775</v>
      </c>
      <c r="H205" s="654">
        <v>0</v>
      </c>
      <c r="I205" s="654">
        <v>0</v>
      </c>
      <c r="J205" s="654">
        <v>0</v>
      </c>
      <c r="K205" s="654">
        <v>0</v>
      </c>
      <c r="L205" s="654">
        <v>0</v>
      </c>
      <c r="M205" s="654">
        <v>0</v>
      </c>
      <c r="N205" s="654">
        <v>0</v>
      </c>
    </row>
    <row r="206" spans="2:14" x14ac:dyDescent="0.15">
      <c r="B206"/>
      <c r="D206" t="s">
        <v>738</v>
      </c>
      <c r="H206" s="654">
        <v>0</v>
      </c>
      <c r="I206" s="654">
        <v>0</v>
      </c>
      <c r="J206" s="654">
        <v>0</v>
      </c>
      <c r="K206" s="654">
        <v>0</v>
      </c>
      <c r="L206" s="654">
        <v>0</v>
      </c>
      <c r="M206" s="654">
        <v>0</v>
      </c>
      <c r="N206" s="654">
        <v>0</v>
      </c>
    </row>
    <row r="207" spans="2:14" x14ac:dyDescent="0.15">
      <c r="B207"/>
      <c r="D207" t="s">
        <v>631</v>
      </c>
      <c r="E207" t="s">
        <v>381</v>
      </c>
      <c r="F207" t="s">
        <v>626</v>
      </c>
      <c r="G207" t="s">
        <v>600</v>
      </c>
      <c r="H207" s="654">
        <v>1007724</v>
      </c>
      <c r="I207" s="654">
        <v>0</v>
      </c>
      <c r="J207" s="654">
        <v>1007724</v>
      </c>
      <c r="K207" s="654">
        <v>1007724</v>
      </c>
      <c r="L207" s="654">
        <v>0</v>
      </c>
      <c r="M207" s="654">
        <v>0</v>
      </c>
      <c r="N207" s="654">
        <v>0</v>
      </c>
    </row>
    <row r="208" spans="2:14" x14ac:dyDescent="0.15">
      <c r="B208"/>
      <c r="F208" t="s">
        <v>733</v>
      </c>
      <c r="H208" s="654">
        <v>1007724</v>
      </c>
      <c r="I208" s="654">
        <v>0</v>
      </c>
      <c r="J208" s="654">
        <v>1007724</v>
      </c>
      <c r="K208" s="654">
        <v>1007724</v>
      </c>
      <c r="L208" s="654">
        <v>0</v>
      </c>
      <c r="M208" s="654">
        <v>0</v>
      </c>
      <c r="N208" s="654">
        <v>0</v>
      </c>
    </row>
    <row r="209" spans="1:14" x14ac:dyDescent="0.15">
      <c r="B209"/>
      <c r="E209" t="s">
        <v>776</v>
      </c>
      <c r="H209" s="654">
        <v>1007724</v>
      </c>
      <c r="I209" s="654">
        <v>0</v>
      </c>
      <c r="J209" s="654">
        <v>1007724</v>
      </c>
      <c r="K209" s="654">
        <v>1007724</v>
      </c>
      <c r="L209" s="654">
        <v>0</v>
      </c>
      <c r="M209" s="654">
        <v>0</v>
      </c>
      <c r="N209" s="654">
        <v>0</v>
      </c>
    </row>
    <row r="210" spans="1:14" x14ac:dyDescent="0.15">
      <c r="B210"/>
      <c r="D210" t="s">
        <v>737</v>
      </c>
      <c r="H210" s="654">
        <v>1007724</v>
      </c>
      <c r="I210" s="654">
        <v>0</v>
      </c>
      <c r="J210" s="654">
        <v>1007724</v>
      </c>
      <c r="K210" s="654">
        <v>1007724</v>
      </c>
      <c r="L210" s="654">
        <v>0</v>
      </c>
      <c r="M210" s="654">
        <v>0</v>
      </c>
      <c r="N210" s="654">
        <v>0</v>
      </c>
    </row>
    <row r="211" spans="1:14" x14ac:dyDescent="0.15">
      <c r="B211"/>
      <c r="D211" t="s">
        <v>671</v>
      </c>
      <c r="E211" t="s">
        <v>383</v>
      </c>
      <c r="F211" t="s">
        <v>626</v>
      </c>
      <c r="G211" t="s">
        <v>600</v>
      </c>
      <c r="H211" s="654">
        <v>6181</v>
      </c>
      <c r="I211" s="654">
        <v>0</v>
      </c>
      <c r="J211" s="654">
        <v>6181</v>
      </c>
      <c r="K211" s="654">
        <v>6181</v>
      </c>
      <c r="L211" s="654">
        <v>0</v>
      </c>
      <c r="M211" s="654">
        <v>0</v>
      </c>
      <c r="N211" s="654">
        <v>0</v>
      </c>
    </row>
    <row r="212" spans="1:14" x14ac:dyDescent="0.15">
      <c r="B212"/>
      <c r="F212" t="s">
        <v>733</v>
      </c>
      <c r="H212" s="654">
        <v>6181</v>
      </c>
      <c r="I212" s="654">
        <v>0</v>
      </c>
      <c r="J212" s="654">
        <v>6181</v>
      </c>
      <c r="K212" s="654">
        <v>6181</v>
      </c>
      <c r="L212" s="654">
        <v>0</v>
      </c>
      <c r="M212" s="654">
        <v>0</v>
      </c>
      <c r="N212" s="654">
        <v>0</v>
      </c>
    </row>
    <row r="213" spans="1:14" x14ac:dyDescent="0.15">
      <c r="B213"/>
      <c r="F213" t="s">
        <v>627</v>
      </c>
      <c r="G213" t="s">
        <v>599</v>
      </c>
      <c r="H213" s="654">
        <v>0</v>
      </c>
      <c r="I213" s="654">
        <v>0</v>
      </c>
      <c r="J213" s="654">
        <v>0</v>
      </c>
      <c r="K213" s="654">
        <v>0</v>
      </c>
      <c r="L213" s="654">
        <v>0</v>
      </c>
      <c r="M213" s="654">
        <v>0</v>
      </c>
      <c r="N213" s="654">
        <v>0</v>
      </c>
    </row>
    <row r="214" spans="1:14" x14ac:dyDescent="0.15">
      <c r="B214"/>
      <c r="F214" t="s">
        <v>734</v>
      </c>
      <c r="H214" s="654">
        <v>0</v>
      </c>
      <c r="I214" s="654">
        <v>0</v>
      </c>
      <c r="J214" s="654">
        <v>0</v>
      </c>
      <c r="K214" s="654">
        <v>0</v>
      </c>
      <c r="L214" s="654">
        <v>0</v>
      </c>
      <c r="M214" s="654">
        <v>0</v>
      </c>
      <c r="N214" s="654">
        <v>0</v>
      </c>
    </row>
    <row r="215" spans="1:14" x14ac:dyDescent="0.15">
      <c r="B215"/>
      <c r="E215" t="s">
        <v>777</v>
      </c>
      <c r="H215" s="654">
        <v>6181</v>
      </c>
      <c r="I215" s="654">
        <v>0</v>
      </c>
      <c r="J215" s="654">
        <v>6181</v>
      </c>
      <c r="K215" s="654">
        <v>6181</v>
      </c>
      <c r="L215" s="654">
        <v>0</v>
      </c>
      <c r="M215" s="654">
        <v>0</v>
      </c>
      <c r="N215" s="654">
        <v>0</v>
      </c>
    </row>
    <row r="216" spans="1:14" x14ac:dyDescent="0.15">
      <c r="B216"/>
      <c r="D216" t="s">
        <v>742</v>
      </c>
      <c r="H216" s="654">
        <v>6181</v>
      </c>
      <c r="I216" s="654">
        <v>0</v>
      </c>
      <c r="J216" s="654">
        <v>6181</v>
      </c>
      <c r="K216" s="654">
        <v>6181</v>
      </c>
      <c r="L216" s="654">
        <v>0</v>
      </c>
      <c r="M216" s="654">
        <v>0</v>
      </c>
      <c r="N216" s="654">
        <v>0</v>
      </c>
    </row>
    <row r="217" spans="1:14" x14ac:dyDescent="0.15">
      <c r="B217"/>
      <c r="C217" t="s">
        <v>854</v>
      </c>
      <c r="H217" s="654">
        <v>2723203</v>
      </c>
      <c r="I217" s="654">
        <v>87403</v>
      </c>
      <c r="J217" s="654">
        <v>2810606</v>
      </c>
      <c r="K217" s="654">
        <v>2810606</v>
      </c>
      <c r="L217" s="654">
        <v>0</v>
      </c>
      <c r="M217" s="654">
        <v>0</v>
      </c>
      <c r="N217" s="654">
        <v>0</v>
      </c>
    </row>
    <row r="218" spans="1:14" x14ac:dyDescent="0.15">
      <c r="A218" s="653" t="s">
        <v>610</v>
      </c>
      <c r="B218"/>
      <c r="H218" s="654">
        <v>27814602</v>
      </c>
      <c r="I218" s="654">
        <v>-1997194</v>
      </c>
      <c r="J218" s="654">
        <v>25817408</v>
      </c>
      <c r="K218" s="654">
        <v>25817408</v>
      </c>
      <c r="L218" s="654">
        <v>0</v>
      </c>
      <c r="M218" s="654">
        <v>332823</v>
      </c>
      <c r="N218" s="654">
        <v>2200051</v>
      </c>
    </row>
    <row r="219" spans="1:14" x14ac:dyDescent="0.15">
      <c r="A219" s="653">
        <v>42675</v>
      </c>
      <c r="B219" t="s">
        <v>626</v>
      </c>
      <c r="C219" t="s">
        <v>849</v>
      </c>
      <c r="D219" t="s">
        <v>625</v>
      </c>
      <c r="E219" t="s">
        <v>594</v>
      </c>
      <c r="F219" t="s">
        <v>566</v>
      </c>
      <c r="G219" t="s">
        <v>597</v>
      </c>
      <c r="H219" s="654">
        <v>50067</v>
      </c>
      <c r="I219" s="654">
        <v>0</v>
      </c>
      <c r="J219" s="654">
        <v>50067</v>
      </c>
      <c r="K219" s="654">
        <v>50067</v>
      </c>
      <c r="L219" s="654">
        <v>0</v>
      </c>
      <c r="M219" s="654">
        <v>0</v>
      </c>
      <c r="N219" s="654">
        <v>0</v>
      </c>
    </row>
    <row r="220" spans="1:14" x14ac:dyDescent="0.15">
      <c r="B220"/>
      <c r="F220" t="s">
        <v>738</v>
      </c>
      <c r="H220" s="654">
        <v>50067</v>
      </c>
      <c r="I220" s="654">
        <v>0</v>
      </c>
      <c r="J220" s="654">
        <v>50067</v>
      </c>
      <c r="K220" s="654">
        <v>50067</v>
      </c>
      <c r="L220" s="654">
        <v>0</v>
      </c>
      <c r="M220" s="654">
        <v>0</v>
      </c>
      <c r="N220" s="654">
        <v>0</v>
      </c>
    </row>
    <row r="221" spans="1:14" x14ac:dyDescent="0.15">
      <c r="B221"/>
      <c r="E221" t="s">
        <v>768</v>
      </c>
      <c r="H221" s="654">
        <v>50067</v>
      </c>
      <c r="I221" s="654">
        <v>0</v>
      </c>
      <c r="J221" s="654">
        <v>50067</v>
      </c>
      <c r="K221" s="654">
        <v>50067</v>
      </c>
      <c r="L221" s="654">
        <v>0</v>
      </c>
      <c r="M221" s="654">
        <v>0</v>
      </c>
      <c r="N221" s="654">
        <v>0</v>
      </c>
    </row>
    <row r="222" spans="1:14" x14ac:dyDescent="0.15">
      <c r="B222"/>
      <c r="D222" t="s">
        <v>741</v>
      </c>
      <c r="H222" s="654">
        <v>50067</v>
      </c>
      <c r="I222" s="654">
        <v>0</v>
      </c>
      <c r="J222" s="654">
        <v>50067</v>
      </c>
      <c r="K222" s="654">
        <v>50067</v>
      </c>
      <c r="L222" s="654">
        <v>0</v>
      </c>
      <c r="M222" s="654">
        <v>0</v>
      </c>
      <c r="N222" s="654">
        <v>0</v>
      </c>
    </row>
    <row r="223" spans="1:14" x14ac:dyDescent="0.15">
      <c r="B223"/>
      <c r="D223" t="s">
        <v>626</v>
      </c>
      <c r="E223" t="s">
        <v>378</v>
      </c>
      <c r="F223" t="s">
        <v>626</v>
      </c>
      <c r="G223" t="s">
        <v>600</v>
      </c>
      <c r="H223" s="654">
        <v>6782102</v>
      </c>
      <c r="I223" s="654">
        <v>8355</v>
      </c>
      <c r="J223" s="654">
        <v>6790457</v>
      </c>
      <c r="K223" s="654">
        <v>6790457</v>
      </c>
      <c r="L223" s="654">
        <v>0</v>
      </c>
      <c r="M223" s="654">
        <v>46159</v>
      </c>
      <c r="N223" s="654">
        <v>879088</v>
      </c>
    </row>
    <row r="224" spans="1:14" x14ac:dyDescent="0.15">
      <c r="B224"/>
      <c r="F224" t="s">
        <v>733</v>
      </c>
      <c r="H224" s="654">
        <v>6782102</v>
      </c>
      <c r="I224" s="654">
        <v>8355</v>
      </c>
      <c r="J224" s="654">
        <v>6790457</v>
      </c>
      <c r="K224" s="654">
        <v>6790457</v>
      </c>
      <c r="L224" s="654">
        <v>0</v>
      </c>
      <c r="M224" s="654">
        <v>46159</v>
      </c>
      <c r="N224" s="654">
        <v>879088</v>
      </c>
    </row>
    <row r="225" spans="2:14" x14ac:dyDescent="0.15">
      <c r="B225"/>
      <c r="F225" t="s">
        <v>627</v>
      </c>
      <c r="G225" t="s">
        <v>599</v>
      </c>
      <c r="H225" s="654">
        <v>1446257</v>
      </c>
      <c r="I225" s="654">
        <v>-105309</v>
      </c>
      <c r="J225" s="654">
        <v>1340948</v>
      </c>
      <c r="K225" s="654">
        <v>1340948</v>
      </c>
      <c r="L225" s="654">
        <v>0</v>
      </c>
      <c r="M225" s="654">
        <v>0</v>
      </c>
      <c r="N225" s="654">
        <v>259745</v>
      </c>
    </row>
    <row r="226" spans="2:14" x14ac:dyDescent="0.15">
      <c r="B226"/>
      <c r="F226" t="s">
        <v>734</v>
      </c>
      <c r="H226" s="654">
        <v>1446257</v>
      </c>
      <c r="I226" s="654">
        <v>-105309</v>
      </c>
      <c r="J226" s="654">
        <v>1340948</v>
      </c>
      <c r="K226" s="654">
        <v>1340948</v>
      </c>
      <c r="L226" s="654">
        <v>0</v>
      </c>
      <c r="M226" s="654">
        <v>0</v>
      </c>
      <c r="N226" s="654">
        <v>259745</v>
      </c>
    </row>
    <row r="227" spans="2:14" x14ac:dyDescent="0.15">
      <c r="B227"/>
      <c r="F227" t="s">
        <v>628</v>
      </c>
      <c r="G227" t="s">
        <v>598</v>
      </c>
      <c r="H227" s="654">
        <v>636206</v>
      </c>
      <c r="I227" s="654">
        <v>0</v>
      </c>
      <c r="J227" s="654">
        <v>636206</v>
      </c>
      <c r="K227" s="654">
        <v>636206</v>
      </c>
      <c r="L227" s="654">
        <v>0</v>
      </c>
      <c r="M227" s="654">
        <v>0</v>
      </c>
      <c r="N227" s="654">
        <v>0</v>
      </c>
    </row>
    <row r="228" spans="2:14" x14ac:dyDescent="0.15">
      <c r="B228"/>
      <c r="F228" t="s">
        <v>735</v>
      </c>
      <c r="H228" s="654">
        <v>636206</v>
      </c>
      <c r="I228" s="654">
        <v>0</v>
      </c>
      <c r="J228" s="654">
        <v>636206</v>
      </c>
      <c r="K228" s="654">
        <v>636206</v>
      </c>
      <c r="L228" s="654">
        <v>0</v>
      </c>
      <c r="M228" s="654">
        <v>0</v>
      </c>
      <c r="N228" s="654">
        <v>0</v>
      </c>
    </row>
    <row r="229" spans="2:14" x14ac:dyDescent="0.15">
      <c r="B229"/>
      <c r="E229" t="s">
        <v>769</v>
      </c>
      <c r="H229" s="654">
        <v>8864565</v>
      </c>
      <c r="I229" s="654">
        <v>-96954</v>
      </c>
      <c r="J229" s="654">
        <v>8767611</v>
      </c>
      <c r="K229" s="654">
        <v>8767611</v>
      </c>
      <c r="L229" s="654">
        <v>0</v>
      </c>
      <c r="M229" s="654">
        <v>46159</v>
      </c>
      <c r="N229" s="654">
        <v>1138833</v>
      </c>
    </row>
    <row r="230" spans="2:14" x14ac:dyDescent="0.15">
      <c r="B230"/>
      <c r="D230" t="s">
        <v>733</v>
      </c>
      <c r="H230" s="654">
        <v>8864565</v>
      </c>
      <c r="I230" s="654">
        <v>-96954</v>
      </c>
      <c r="J230" s="654">
        <v>8767611</v>
      </c>
      <c r="K230" s="654">
        <v>8767611</v>
      </c>
      <c r="L230" s="654">
        <v>0</v>
      </c>
      <c r="M230" s="654">
        <v>46159</v>
      </c>
      <c r="N230" s="654">
        <v>1138833</v>
      </c>
    </row>
    <row r="231" spans="2:14" x14ac:dyDescent="0.15">
      <c r="B231"/>
      <c r="D231" t="s">
        <v>627</v>
      </c>
      <c r="E231" t="s">
        <v>379</v>
      </c>
      <c r="F231" t="s">
        <v>626</v>
      </c>
      <c r="G231" t="s">
        <v>600</v>
      </c>
      <c r="H231" s="654">
        <v>3961718</v>
      </c>
      <c r="I231" s="654">
        <v>-38729</v>
      </c>
      <c r="J231" s="654">
        <v>3922989</v>
      </c>
      <c r="K231" s="654">
        <v>3922989</v>
      </c>
      <c r="L231" s="654">
        <v>0</v>
      </c>
      <c r="M231" s="654">
        <v>0</v>
      </c>
      <c r="N231" s="654">
        <v>311756</v>
      </c>
    </row>
    <row r="232" spans="2:14" x14ac:dyDescent="0.15">
      <c r="B232"/>
      <c r="F232" t="s">
        <v>733</v>
      </c>
      <c r="H232" s="654">
        <v>3961718</v>
      </c>
      <c r="I232" s="654">
        <v>-38729</v>
      </c>
      <c r="J232" s="654">
        <v>3922989</v>
      </c>
      <c r="K232" s="654">
        <v>3922989</v>
      </c>
      <c r="L232" s="654">
        <v>0</v>
      </c>
      <c r="M232" s="654">
        <v>0</v>
      </c>
      <c r="N232" s="654">
        <v>311756</v>
      </c>
    </row>
    <row r="233" spans="2:14" x14ac:dyDescent="0.15">
      <c r="B233"/>
      <c r="F233" t="s">
        <v>627</v>
      </c>
      <c r="G233" t="s">
        <v>599</v>
      </c>
      <c r="H233" s="654">
        <v>404724</v>
      </c>
      <c r="I233" s="654">
        <v>0</v>
      </c>
      <c r="J233" s="654">
        <v>404724</v>
      </c>
      <c r="K233" s="654">
        <v>404724</v>
      </c>
      <c r="L233" s="654">
        <v>0</v>
      </c>
      <c r="M233" s="654">
        <v>0</v>
      </c>
      <c r="N233" s="654">
        <v>73251</v>
      </c>
    </row>
    <row r="234" spans="2:14" x14ac:dyDescent="0.15">
      <c r="B234"/>
      <c r="F234" t="s">
        <v>734</v>
      </c>
      <c r="H234" s="654">
        <v>404724</v>
      </c>
      <c r="I234" s="654">
        <v>0</v>
      </c>
      <c r="J234" s="654">
        <v>404724</v>
      </c>
      <c r="K234" s="654">
        <v>404724</v>
      </c>
      <c r="L234" s="654">
        <v>0</v>
      </c>
      <c r="M234" s="654">
        <v>0</v>
      </c>
      <c r="N234" s="654">
        <v>73251</v>
      </c>
    </row>
    <row r="235" spans="2:14" x14ac:dyDescent="0.15">
      <c r="B235"/>
      <c r="F235" t="s">
        <v>628</v>
      </c>
      <c r="G235" t="s">
        <v>598</v>
      </c>
      <c r="H235" s="654">
        <v>361404</v>
      </c>
      <c r="I235" s="654">
        <v>0</v>
      </c>
      <c r="J235" s="654">
        <v>361404</v>
      </c>
      <c r="K235" s="654">
        <v>361404</v>
      </c>
      <c r="L235" s="654">
        <v>0</v>
      </c>
      <c r="M235" s="654">
        <v>0</v>
      </c>
      <c r="N235" s="654">
        <v>0</v>
      </c>
    </row>
    <row r="236" spans="2:14" x14ac:dyDescent="0.15">
      <c r="B236"/>
      <c r="F236" t="s">
        <v>735</v>
      </c>
      <c r="H236" s="654">
        <v>361404</v>
      </c>
      <c r="I236" s="654">
        <v>0</v>
      </c>
      <c r="J236" s="654">
        <v>361404</v>
      </c>
      <c r="K236" s="654">
        <v>361404</v>
      </c>
      <c r="L236" s="654">
        <v>0</v>
      </c>
      <c r="M236" s="654">
        <v>0</v>
      </c>
      <c r="N236" s="654">
        <v>0</v>
      </c>
    </row>
    <row r="237" spans="2:14" x14ac:dyDescent="0.15">
      <c r="B237"/>
      <c r="E237" t="s">
        <v>770</v>
      </c>
      <c r="H237" s="654">
        <v>4727846</v>
      </c>
      <c r="I237" s="654">
        <v>-38729</v>
      </c>
      <c r="J237" s="654">
        <v>4689117</v>
      </c>
      <c r="K237" s="654">
        <v>4689117</v>
      </c>
      <c r="L237" s="654">
        <v>0</v>
      </c>
      <c r="M237" s="654">
        <v>0</v>
      </c>
      <c r="N237" s="654">
        <v>385007</v>
      </c>
    </row>
    <row r="238" spans="2:14" x14ac:dyDescent="0.15">
      <c r="B238"/>
      <c r="D238" t="s">
        <v>734</v>
      </c>
      <c r="H238" s="654">
        <v>4727846</v>
      </c>
      <c r="I238" s="654">
        <v>-38729</v>
      </c>
      <c r="J238" s="654">
        <v>4689117</v>
      </c>
      <c r="K238" s="654">
        <v>4689117</v>
      </c>
      <c r="L238" s="654">
        <v>0</v>
      </c>
      <c r="M238" s="654">
        <v>0</v>
      </c>
      <c r="N238" s="654">
        <v>385007</v>
      </c>
    </row>
    <row r="239" spans="2:14" x14ac:dyDescent="0.15">
      <c r="B239"/>
      <c r="D239" t="s">
        <v>628</v>
      </c>
      <c r="E239" t="s">
        <v>380</v>
      </c>
      <c r="F239" t="s">
        <v>626</v>
      </c>
      <c r="G239" t="s">
        <v>600</v>
      </c>
      <c r="H239" s="654">
        <v>2785748</v>
      </c>
      <c r="I239" s="654">
        <v>-16972</v>
      </c>
      <c r="J239" s="654">
        <v>2768776</v>
      </c>
      <c r="K239" s="654">
        <v>2768776</v>
      </c>
      <c r="L239" s="654">
        <v>0</v>
      </c>
      <c r="M239" s="654">
        <v>285884</v>
      </c>
      <c r="N239" s="654">
        <v>243668</v>
      </c>
    </row>
    <row r="240" spans="2:14" x14ac:dyDescent="0.15">
      <c r="B240"/>
      <c r="F240" t="s">
        <v>733</v>
      </c>
      <c r="H240" s="654">
        <v>2785748</v>
      </c>
      <c r="I240" s="654">
        <v>-16972</v>
      </c>
      <c r="J240" s="654">
        <v>2768776</v>
      </c>
      <c r="K240" s="654">
        <v>2768776</v>
      </c>
      <c r="L240" s="654">
        <v>0</v>
      </c>
      <c r="M240" s="654">
        <v>285884</v>
      </c>
      <c r="N240" s="654">
        <v>243668</v>
      </c>
    </row>
    <row r="241" spans="2:14" x14ac:dyDescent="0.15">
      <c r="B241"/>
      <c r="F241" t="s">
        <v>627</v>
      </c>
      <c r="G241" t="s">
        <v>599</v>
      </c>
      <c r="H241" s="654">
        <v>949264</v>
      </c>
      <c r="I241" s="654">
        <v>-61966</v>
      </c>
      <c r="J241" s="654">
        <v>887298</v>
      </c>
      <c r="K241" s="654">
        <v>887298</v>
      </c>
      <c r="L241" s="654">
        <v>0</v>
      </c>
      <c r="M241" s="654">
        <v>0</v>
      </c>
      <c r="N241" s="654">
        <v>158398</v>
      </c>
    </row>
    <row r="242" spans="2:14" x14ac:dyDescent="0.15">
      <c r="B242"/>
      <c r="F242" t="s">
        <v>734</v>
      </c>
      <c r="H242" s="654">
        <v>949264</v>
      </c>
      <c r="I242" s="654">
        <v>-61966</v>
      </c>
      <c r="J242" s="654">
        <v>887298</v>
      </c>
      <c r="K242" s="654">
        <v>887298</v>
      </c>
      <c r="L242" s="654">
        <v>0</v>
      </c>
      <c r="M242" s="654">
        <v>0</v>
      </c>
      <c r="N242" s="654">
        <v>158398</v>
      </c>
    </row>
    <row r="243" spans="2:14" x14ac:dyDescent="0.15">
      <c r="B243"/>
      <c r="E243" t="s">
        <v>771</v>
      </c>
      <c r="H243" s="654">
        <v>3735012</v>
      </c>
      <c r="I243" s="654">
        <v>-78938</v>
      </c>
      <c r="J243" s="654">
        <v>3656074</v>
      </c>
      <c r="K243" s="654">
        <v>3656074</v>
      </c>
      <c r="L243" s="654">
        <v>0</v>
      </c>
      <c r="M243" s="654">
        <v>285884</v>
      </c>
      <c r="N243" s="654">
        <v>402066</v>
      </c>
    </row>
    <row r="244" spans="2:14" x14ac:dyDescent="0.15">
      <c r="B244"/>
      <c r="D244" t="s">
        <v>735</v>
      </c>
      <c r="H244" s="654">
        <v>3735012</v>
      </c>
      <c r="I244" s="654">
        <v>-78938</v>
      </c>
      <c r="J244" s="654">
        <v>3656074</v>
      </c>
      <c r="K244" s="654">
        <v>3656074</v>
      </c>
      <c r="L244" s="654">
        <v>0</v>
      </c>
      <c r="M244" s="654">
        <v>285884</v>
      </c>
      <c r="N244" s="654">
        <v>402066</v>
      </c>
    </row>
    <row r="245" spans="2:14" x14ac:dyDescent="0.15">
      <c r="B245"/>
      <c r="D245" t="s">
        <v>629</v>
      </c>
      <c r="E245" t="s">
        <v>676</v>
      </c>
      <c r="F245" t="s">
        <v>629</v>
      </c>
      <c r="G245" t="s">
        <v>601</v>
      </c>
      <c r="H245" s="654">
        <v>2484404</v>
      </c>
      <c r="I245" s="654">
        <v>0</v>
      </c>
      <c r="J245" s="654">
        <v>2484404</v>
      </c>
      <c r="K245" s="654">
        <v>2484404</v>
      </c>
      <c r="L245" s="654">
        <v>0</v>
      </c>
      <c r="M245" s="654">
        <v>0</v>
      </c>
      <c r="N245" s="654">
        <v>95807</v>
      </c>
    </row>
    <row r="246" spans="2:14" x14ac:dyDescent="0.15">
      <c r="B246"/>
      <c r="F246" t="s">
        <v>736</v>
      </c>
      <c r="H246" s="654">
        <v>2484404</v>
      </c>
      <c r="I246" s="654">
        <v>0</v>
      </c>
      <c r="J246" s="654">
        <v>2484404</v>
      </c>
      <c r="K246" s="654">
        <v>2484404</v>
      </c>
      <c r="L246" s="654">
        <v>0</v>
      </c>
      <c r="M246" s="654">
        <v>0</v>
      </c>
      <c r="N246" s="654">
        <v>95807</v>
      </c>
    </row>
    <row r="247" spans="2:14" x14ac:dyDescent="0.15">
      <c r="B247"/>
      <c r="E247" t="s">
        <v>772</v>
      </c>
      <c r="H247" s="654">
        <v>2484404</v>
      </c>
      <c r="I247" s="654">
        <v>0</v>
      </c>
      <c r="J247" s="654">
        <v>2484404</v>
      </c>
      <c r="K247" s="654">
        <v>2484404</v>
      </c>
      <c r="L247" s="654">
        <v>0</v>
      </c>
      <c r="M247" s="654">
        <v>0</v>
      </c>
      <c r="N247" s="654">
        <v>95807</v>
      </c>
    </row>
    <row r="248" spans="2:14" x14ac:dyDescent="0.15">
      <c r="B248"/>
      <c r="D248" t="s">
        <v>736</v>
      </c>
      <c r="H248" s="654">
        <v>2484404</v>
      </c>
      <c r="I248" s="654">
        <v>0</v>
      </c>
      <c r="J248" s="654">
        <v>2484404</v>
      </c>
      <c r="K248" s="654">
        <v>2484404</v>
      </c>
      <c r="L248" s="654">
        <v>0</v>
      </c>
      <c r="M248" s="654">
        <v>0</v>
      </c>
      <c r="N248" s="654">
        <v>95807</v>
      </c>
    </row>
    <row r="249" spans="2:14" x14ac:dyDescent="0.15">
      <c r="B249"/>
      <c r="D249" t="s">
        <v>567</v>
      </c>
      <c r="E249" t="s">
        <v>473</v>
      </c>
      <c r="F249" t="s">
        <v>631</v>
      </c>
      <c r="G249" t="s">
        <v>596</v>
      </c>
      <c r="H249" s="654">
        <v>948559</v>
      </c>
      <c r="I249" s="654">
        <v>-197170</v>
      </c>
      <c r="J249" s="654">
        <v>751389</v>
      </c>
      <c r="K249" s="654">
        <v>751389</v>
      </c>
      <c r="L249" s="654">
        <v>0</v>
      </c>
      <c r="M249" s="654">
        <v>0</v>
      </c>
      <c r="N249" s="654">
        <v>72707</v>
      </c>
    </row>
    <row r="250" spans="2:14" x14ac:dyDescent="0.15">
      <c r="B250"/>
      <c r="F250" t="s">
        <v>737</v>
      </c>
      <c r="H250" s="654">
        <v>948559</v>
      </c>
      <c r="I250" s="654">
        <v>-197170</v>
      </c>
      <c r="J250" s="654">
        <v>751389</v>
      </c>
      <c r="K250" s="654">
        <v>751389</v>
      </c>
      <c r="L250" s="654">
        <v>0</v>
      </c>
      <c r="M250" s="654">
        <v>0</v>
      </c>
      <c r="N250" s="654">
        <v>72707</v>
      </c>
    </row>
    <row r="251" spans="2:14" x14ac:dyDescent="0.15">
      <c r="B251"/>
      <c r="E251" t="s">
        <v>773</v>
      </c>
      <c r="H251" s="654">
        <v>948559</v>
      </c>
      <c r="I251" s="654">
        <v>-197170</v>
      </c>
      <c r="J251" s="654">
        <v>751389</v>
      </c>
      <c r="K251" s="654">
        <v>751389</v>
      </c>
      <c r="L251" s="654">
        <v>0</v>
      </c>
      <c r="M251" s="654">
        <v>0</v>
      </c>
      <c r="N251" s="654">
        <v>72707</v>
      </c>
    </row>
    <row r="252" spans="2:14" x14ac:dyDescent="0.15">
      <c r="B252"/>
      <c r="D252" t="s">
        <v>739</v>
      </c>
      <c r="H252" s="654">
        <v>948559</v>
      </c>
      <c r="I252" s="654">
        <v>-197170</v>
      </c>
      <c r="J252" s="654">
        <v>751389</v>
      </c>
      <c r="K252" s="654">
        <v>751389</v>
      </c>
      <c r="L252" s="654">
        <v>0</v>
      </c>
      <c r="M252" s="654">
        <v>0</v>
      </c>
      <c r="N252" s="654">
        <v>72707</v>
      </c>
    </row>
    <row r="253" spans="2:14" x14ac:dyDescent="0.15">
      <c r="B253"/>
      <c r="D253" t="s">
        <v>568</v>
      </c>
      <c r="E253" t="s">
        <v>474</v>
      </c>
      <c r="F253" t="s">
        <v>631</v>
      </c>
      <c r="G253" t="s">
        <v>596</v>
      </c>
      <c r="H253" s="654">
        <v>728019</v>
      </c>
      <c r="I253" s="654">
        <v>0</v>
      </c>
      <c r="J253" s="654">
        <v>728019</v>
      </c>
      <c r="K253" s="654">
        <v>728019</v>
      </c>
      <c r="L253" s="654">
        <v>0</v>
      </c>
      <c r="M253" s="654">
        <v>0</v>
      </c>
      <c r="N253" s="654">
        <v>0</v>
      </c>
    </row>
    <row r="254" spans="2:14" x14ac:dyDescent="0.15">
      <c r="B254"/>
      <c r="F254" t="s">
        <v>737</v>
      </c>
      <c r="H254" s="654">
        <v>728019</v>
      </c>
      <c r="I254" s="654">
        <v>0</v>
      </c>
      <c r="J254" s="654">
        <v>728019</v>
      </c>
      <c r="K254" s="654">
        <v>728019</v>
      </c>
      <c r="L254" s="654">
        <v>0</v>
      </c>
      <c r="M254" s="654">
        <v>0</v>
      </c>
      <c r="N254" s="654">
        <v>0</v>
      </c>
    </row>
    <row r="255" spans="2:14" x14ac:dyDescent="0.15">
      <c r="B255"/>
      <c r="E255" t="s">
        <v>774</v>
      </c>
      <c r="H255" s="654">
        <v>728019</v>
      </c>
      <c r="I255" s="654">
        <v>0</v>
      </c>
      <c r="J255" s="654">
        <v>728019</v>
      </c>
      <c r="K255" s="654">
        <v>728019</v>
      </c>
      <c r="L255" s="654">
        <v>0</v>
      </c>
      <c r="M255" s="654">
        <v>0</v>
      </c>
      <c r="N255" s="654">
        <v>0</v>
      </c>
    </row>
    <row r="256" spans="2:14" x14ac:dyDescent="0.15">
      <c r="B256"/>
      <c r="D256" t="s">
        <v>740</v>
      </c>
      <c r="H256" s="654">
        <v>728019</v>
      </c>
      <c r="I256" s="654">
        <v>0</v>
      </c>
      <c r="J256" s="654">
        <v>728019</v>
      </c>
      <c r="K256" s="654">
        <v>728019</v>
      </c>
      <c r="L256" s="654">
        <v>0</v>
      </c>
      <c r="M256" s="654">
        <v>0</v>
      </c>
      <c r="N256" s="654">
        <v>0</v>
      </c>
    </row>
    <row r="257" spans="2:14" x14ac:dyDescent="0.15">
      <c r="B257"/>
      <c r="D257" t="s">
        <v>566</v>
      </c>
      <c r="E257" t="s">
        <v>382</v>
      </c>
      <c r="F257" t="s">
        <v>626</v>
      </c>
      <c r="G257" t="s">
        <v>600</v>
      </c>
      <c r="H257" s="654">
        <v>963609</v>
      </c>
      <c r="I257" s="654">
        <v>-43078</v>
      </c>
      <c r="J257" s="654">
        <v>920531</v>
      </c>
      <c r="K257" s="654">
        <v>920531</v>
      </c>
      <c r="L257" s="654">
        <v>0</v>
      </c>
      <c r="M257" s="654">
        <v>0</v>
      </c>
      <c r="N257" s="654">
        <v>0</v>
      </c>
    </row>
    <row r="258" spans="2:14" x14ac:dyDescent="0.15">
      <c r="B258"/>
      <c r="F258" t="s">
        <v>733</v>
      </c>
      <c r="H258" s="654">
        <v>963609</v>
      </c>
      <c r="I258" s="654">
        <v>-43078</v>
      </c>
      <c r="J258" s="654">
        <v>920531</v>
      </c>
      <c r="K258" s="654">
        <v>920531</v>
      </c>
      <c r="L258" s="654">
        <v>0</v>
      </c>
      <c r="M258" s="654">
        <v>0</v>
      </c>
      <c r="N258" s="654">
        <v>0</v>
      </c>
    </row>
    <row r="259" spans="2:14" x14ac:dyDescent="0.15">
      <c r="B259"/>
      <c r="E259" t="s">
        <v>775</v>
      </c>
      <c r="H259" s="654">
        <v>963609</v>
      </c>
      <c r="I259" s="654">
        <v>-43078</v>
      </c>
      <c r="J259" s="654">
        <v>920531</v>
      </c>
      <c r="K259" s="654">
        <v>920531</v>
      </c>
      <c r="L259" s="654">
        <v>0</v>
      </c>
      <c r="M259" s="654">
        <v>0</v>
      </c>
      <c r="N259" s="654">
        <v>0</v>
      </c>
    </row>
    <row r="260" spans="2:14" x14ac:dyDescent="0.15">
      <c r="B260"/>
      <c r="D260" t="s">
        <v>738</v>
      </c>
      <c r="H260" s="654">
        <v>963609</v>
      </c>
      <c r="I260" s="654">
        <v>-43078</v>
      </c>
      <c r="J260" s="654">
        <v>920531</v>
      </c>
      <c r="K260" s="654">
        <v>920531</v>
      </c>
      <c r="L260" s="654">
        <v>0</v>
      </c>
      <c r="M260" s="654">
        <v>0</v>
      </c>
      <c r="N260" s="654">
        <v>0</v>
      </c>
    </row>
    <row r="261" spans="2:14" x14ac:dyDescent="0.15">
      <c r="B261"/>
      <c r="D261" t="s">
        <v>631</v>
      </c>
      <c r="E261" t="s">
        <v>381</v>
      </c>
      <c r="F261" t="s">
        <v>626</v>
      </c>
      <c r="G261" t="s">
        <v>600</v>
      </c>
      <c r="H261" s="654">
        <v>2048148</v>
      </c>
      <c r="I261" s="654">
        <v>0</v>
      </c>
      <c r="J261" s="654">
        <v>2048148</v>
      </c>
      <c r="K261" s="654">
        <v>2048148</v>
      </c>
      <c r="L261" s="654">
        <v>0</v>
      </c>
      <c r="M261" s="654">
        <v>0</v>
      </c>
      <c r="N261" s="654">
        <v>0</v>
      </c>
    </row>
    <row r="262" spans="2:14" x14ac:dyDescent="0.15">
      <c r="B262"/>
      <c r="F262" t="s">
        <v>733</v>
      </c>
      <c r="H262" s="654">
        <v>2048148</v>
      </c>
      <c r="I262" s="654">
        <v>0</v>
      </c>
      <c r="J262" s="654">
        <v>2048148</v>
      </c>
      <c r="K262" s="654">
        <v>2048148</v>
      </c>
      <c r="L262" s="654">
        <v>0</v>
      </c>
      <c r="M262" s="654">
        <v>0</v>
      </c>
      <c r="N262" s="654">
        <v>0</v>
      </c>
    </row>
    <row r="263" spans="2:14" x14ac:dyDescent="0.15">
      <c r="B263"/>
      <c r="E263" t="s">
        <v>776</v>
      </c>
      <c r="H263" s="654">
        <v>2048148</v>
      </c>
      <c r="I263" s="654">
        <v>0</v>
      </c>
      <c r="J263" s="654">
        <v>2048148</v>
      </c>
      <c r="K263" s="654">
        <v>2048148</v>
      </c>
      <c r="L263" s="654">
        <v>0</v>
      </c>
      <c r="M263" s="654">
        <v>0</v>
      </c>
      <c r="N263" s="654">
        <v>0</v>
      </c>
    </row>
    <row r="264" spans="2:14" x14ac:dyDescent="0.15">
      <c r="B264"/>
      <c r="D264" t="s">
        <v>737</v>
      </c>
      <c r="H264" s="654">
        <v>2048148</v>
      </c>
      <c r="I264" s="654">
        <v>0</v>
      </c>
      <c r="J264" s="654">
        <v>2048148</v>
      </c>
      <c r="K264" s="654">
        <v>2048148</v>
      </c>
      <c r="L264" s="654">
        <v>0</v>
      </c>
      <c r="M264" s="654">
        <v>0</v>
      </c>
      <c r="N264" s="654">
        <v>0</v>
      </c>
    </row>
    <row r="265" spans="2:14" x14ac:dyDescent="0.15">
      <c r="B265"/>
      <c r="D265" t="s">
        <v>671</v>
      </c>
      <c r="E265" t="s">
        <v>383</v>
      </c>
      <c r="F265" t="s">
        <v>626</v>
      </c>
      <c r="G265" t="s">
        <v>600</v>
      </c>
      <c r="H265" s="654">
        <v>1313627</v>
      </c>
      <c r="I265" s="654">
        <v>-2482</v>
      </c>
      <c r="J265" s="654">
        <v>1311145</v>
      </c>
      <c r="K265" s="654">
        <v>1311145</v>
      </c>
      <c r="L265" s="654">
        <v>0</v>
      </c>
      <c r="M265" s="654">
        <v>0</v>
      </c>
      <c r="N265" s="654">
        <v>0</v>
      </c>
    </row>
    <row r="266" spans="2:14" x14ac:dyDescent="0.15">
      <c r="B266"/>
      <c r="F266" t="s">
        <v>733</v>
      </c>
      <c r="H266" s="654">
        <v>1313627</v>
      </c>
      <c r="I266" s="654">
        <v>-2482</v>
      </c>
      <c r="J266" s="654">
        <v>1311145</v>
      </c>
      <c r="K266" s="654">
        <v>1311145</v>
      </c>
      <c r="L266" s="654">
        <v>0</v>
      </c>
      <c r="M266" s="654">
        <v>0</v>
      </c>
      <c r="N266" s="654">
        <v>0</v>
      </c>
    </row>
    <row r="267" spans="2:14" x14ac:dyDescent="0.15">
      <c r="B267"/>
      <c r="F267" t="s">
        <v>627</v>
      </c>
      <c r="G267" t="s">
        <v>599</v>
      </c>
      <c r="H267" s="654">
        <v>2693</v>
      </c>
      <c r="I267" s="654">
        <v>0</v>
      </c>
      <c r="J267" s="654">
        <v>2693</v>
      </c>
      <c r="K267" s="654">
        <v>2693</v>
      </c>
      <c r="L267" s="654">
        <v>0</v>
      </c>
      <c r="M267" s="654">
        <v>0</v>
      </c>
      <c r="N267" s="654">
        <v>0</v>
      </c>
    </row>
    <row r="268" spans="2:14" x14ac:dyDescent="0.15">
      <c r="B268"/>
      <c r="F268" t="s">
        <v>734</v>
      </c>
      <c r="H268" s="654">
        <v>2693</v>
      </c>
      <c r="I268" s="654">
        <v>0</v>
      </c>
      <c r="J268" s="654">
        <v>2693</v>
      </c>
      <c r="K268" s="654">
        <v>2693</v>
      </c>
      <c r="L268" s="654">
        <v>0</v>
      </c>
      <c r="M268" s="654">
        <v>0</v>
      </c>
      <c r="N268" s="654">
        <v>0</v>
      </c>
    </row>
    <row r="269" spans="2:14" x14ac:dyDescent="0.15">
      <c r="B269"/>
      <c r="E269" t="s">
        <v>777</v>
      </c>
      <c r="H269" s="654">
        <v>1316320</v>
      </c>
      <c r="I269" s="654">
        <v>-2482</v>
      </c>
      <c r="J269" s="654">
        <v>1313838</v>
      </c>
      <c r="K269" s="654">
        <v>1313838</v>
      </c>
      <c r="L269" s="654">
        <v>0</v>
      </c>
      <c r="M269" s="654">
        <v>0</v>
      </c>
      <c r="N269" s="654">
        <v>0</v>
      </c>
    </row>
    <row r="270" spans="2:14" x14ac:dyDescent="0.15">
      <c r="B270"/>
      <c r="D270" t="s">
        <v>742</v>
      </c>
      <c r="H270" s="654">
        <v>1316320</v>
      </c>
      <c r="I270" s="654">
        <v>-2482</v>
      </c>
      <c r="J270" s="654">
        <v>1313838</v>
      </c>
      <c r="K270" s="654">
        <v>1313838</v>
      </c>
      <c r="L270" s="654">
        <v>0</v>
      </c>
      <c r="M270" s="654">
        <v>0</v>
      </c>
      <c r="N270" s="654">
        <v>0</v>
      </c>
    </row>
    <row r="271" spans="2:14" x14ac:dyDescent="0.15">
      <c r="B271"/>
      <c r="C271" t="s">
        <v>853</v>
      </c>
      <c r="H271" s="654">
        <v>25866549</v>
      </c>
      <c r="I271" s="654">
        <v>-457351</v>
      </c>
      <c r="J271" s="654">
        <v>25409198</v>
      </c>
      <c r="K271" s="654">
        <v>25409198</v>
      </c>
      <c r="L271" s="654">
        <v>0</v>
      </c>
      <c r="M271" s="654">
        <v>332043</v>
      </c>
      <c r="N271" s="654">
        <v>2094420</v>
      </c>
    </row>
    <row r="272" spans="2:14" x14ac:dyDescent="0.15">
      <c r="B272" t="s">
        <v>627</v>
      </c>
      <c r="C272" t="s">
        <v>847</v>
      </c>
      <c r="D272" t="s">
        <v>625</v>
      </c>
      <c r="E272" t="s">
        <v>594</v>
      </c>
      <c r="F272" t="s">
        <v>566</v>
      </c>
      <c r="G272" t="s">
        <v>597</v>
      </c>
      <c r="H272" s="654">
        <v>0</v>
      </c>
      <c r="I272" s="654">
        <v>0</v>
      </c>
      <c r="J272" s="654">
        <v>0</v>
      </c>
      <c r="K272" s="654">
        <v>0</v>
      </c>
      <c r="L272" s="654">
        <v>0</v>
      </c>
      <c r="M272" s="654">
        <v>0</v>
      </c>
      <c r="N272" s="654">
        <v>0</v>
      </c>
    </row>
    <row r="273" spans="2:14" x14ac:dyDescent="0.15">
      <c r="B273"/>
      <c r="F273" t="s">
        <v>738</v>
      </c>
      <c r="H273" s="654">
        <v>0</v>
      </c>
      <c r="I273" s="654">
        <v>0</v>
      </c>
      <c r="J273" s="654">
        <v>0</v>
      </c>
      <c r="K273" s="654">
        <v>0</v>
      </c>
      <c r="L273" s="654">
        <v>0</v>
      </c>
      <c r="M273" s="654">
        <v>0</v>
      </c>
      <c r="N273" s="654">
        <v>0</v>
      </c>
    </row>
    <row r="274" spans="2:14" x14ac:dyDescent="0.15">
      <c r="B274"/>
      <c r="E274" t="s">
        <v>768</v>
      </c>
      <c r="H274" s="654">
        <v>0</v>
      </c>
      <c r="I274" s="654">
        <v>0</v>
      </c>
      <c r="J274" s="654">
        <v>0</v>
      </c>
      <c r="K274" s="654">
        <v>0</v>
      </c>
      <c r="L274" s="654">
        <v>0</v>
      </c>
      <c r="M274" s="654">
        <v>0</v>
      </c>
      <c r="N274" s="654">
        <v>0</v>
      </c>
    </row>
    <row r="275" spans="2:14" x14ac:dyDescent="0.15">
      <c r="B275"/>
      <c r="D275" t="s">
        <v>741</v>
      </c>
      <c r="H275" s="654">
        <v>0</v>
      </c>
      <c r="I275" s="654">
        <v>0</v>
      </c>
      <c r="J275" s="654">
        <v>0</v>
      </c>
      <c r="K275" s="654">
        <v>0</v>
      </c>
      <c r="L275" s="654">
        <v>0</v>
      </c>
      <c r="M275" s="654">
        <v>0</v>
      </c>
      <c r="N275" s="654">
        <v>0</v>
      </c>
    </row>
    <row r="276" spans="2:14" x14ac:dyDescent="0.15">
      <c r="B276"/>
      <c r="D276" t="s">
        <v>626</v>
      </c>
      <c r="E276" t="s">
        <v>378</v>
      </c>
      <c r="F276" t="s">
        <v>626</v>
      </c>
      <c r="G276" t="s">
        <v>600</v>
      </c>
      <c r="H276" s="654">
        <v>18359</v>
      </c>
      <c r="I276" s="654">
        <v>-45560</v>
      </c>
      <c r="J276" s="654">
        <v>-27201</v>
      </c>
      <c r="K276" s="654">
        <v>-27201</v>
      </c>
      <c r="L276" s="654">
        <v>0</v>
      </c>
      <c r="M276" s="654">
        <v>0</v>
      </c>
      <c r="N276" s="654">
        <v>0</v>
      </c>
    </row>
    <row r="277" spans="2:14" x14ac:dyDescent="0.15">
      <c r="B277"/>
      <c r="F277" t="s">
        <v>733</v>
      </c>
      <c r="H277" s="654">
        <v>18359</v>
      </c>
      <c r="I277" s="654">
        <v>-45560</v>
      </c>
      <c r="J277" s="654">
        <v>-27201</v>
      </c>
      <c r="K277" s="654">
        <v>-27201</v>
      </c>
      <c r="L277" s="654">
        <v>0</v>
      </c>
      <c r="M277" s="654">
        <v>0</v>
      </c>
      <c r="N277" s="654">
        <v>0</v>
      </c>
    </row>
    <row r="278" spans="2:14" x14ac:dyDescent="0.15">
      <c r="B278"/>
      <c r="F278" t="s">
        <v>627</v>
      </c>
      <c r="G278" t="s">
        <v>599</v>
      </c>
      <c r="H278" s="654">
        <v>267084</v>
      </c>
      <c r="I278" s="654">
        <v>-17052</v>
      </c>
      <c r="J278" s="654">
        <v>250032</v>
      </c>
      <c r="K278" s="654">
        <v>250032</v>
      </c>
      <c r="L278" s="654">
        <v>0</v>
      </c>
      <c r="M278" s="654">
        <v>0</v>
      </c>
      <c r="N278" s="654">
        <v>0</v>
      </c>
    </row>
    <row r="279" spans="2:14" x14ac:dyDescent="0.15">
      <c r="B279"/>
      <c r="F279" t="s">
        <v>734</v>
      </c>
      <c r="H279" s="654">
        <v>267084</v>
      </c>
      <c r="I279" s="654">
        <v>-17052</v>
      </c>
      <c r="J279" s="654">
        <v>250032</v>
      </c>
      <c r="K279" s="654">
        <v>250032</v>
      </c>
      <c r="L279" s="654">
        <v>0</v>
      </c>
      <c r="M279" s="654">
        <v>0</v>
      </c>
      <c r="N279" s="654">
        <v>0</v>
      </c>
    </row>
    <row r="280" spans="2:14" x14ac:dyDescent="0.15">
      <c r="B280"/>
      <c r="F280" t="s">
        <v>628</v>
      </c>
      <c r="G280" t="s">
        <v>598</v>
      </c>
      <c r="H280" s="654">
        <v>0</v>
      </c>
      <c r="I280" s="654">
        <v>0</v>
      </c>
      <c r="J280" s="654">
        <v>0</v>
      </c>
      <c r="K280" s="654">
        <v>0</v>
      </c>
      <c r="L280" s="654">
        <v>0</v>
      </c>
      <c r="M280" s="654">
        <v>0</v>
      </c>
      <c r="N280" s="654">
        <v>0</v>
      </c>
    </row>
    <row r="281" spans="2:14" x14ac:dyDescent="0.15">
      <c r="B281"/>
      <c r="F281" t="s">
        <v>735</v>
      </c>
      <c r="H281" s="654">
        <v>0</v>
      </c>
      <c r="I281" s="654">
        <v>0</v>
      </c>
      <c r="J281" s="654">
        <v>0</v>
      </c>
      <c r="K281" s="654">
        <v>0</v>
      </c>
      <c r="L281" s="654">
        <v>0</v>
      </c>
      <c r="M281" s="654">
        <v>0</v>
      </c>
      <c r="N281" s="654">
        <v>0</v>
      </c>
    </row>
    <row r="282" spans="2:14" x14ac:dyDescent="0.15">
      <c r="B282"/>
      <c r="E282" t="s">
        <v>769</v>
      </c>
      <c r="H282" s="654">
        <v>285443</v>
      </c>
      <c r="I282" s="654">
        <v>-62612</v>
      </c>
      <c r="J282" s="654">
        <v>222831</v>
      </c>
      <c r="K282" s="654">
        <v>222831</v>
      </c>
      <c r="L282" s="654">
        <v>0</v>
      </c>
      <c r="M282" s="654">
        <v>0</v>
      </c>
      <c r="N282" s="654">
        <v>0</v>
      </c>
    </row>
    <row r="283" spans="2:14" x14ac:dyDescent="0.15">
      <c r="B283"/>
      <c r="D283" t="s">
        <v>733</v>
      </c>
      <c r="H283" s="654">
        <v>285443</v>
      </c>
      <c r="I283" s="654">
        <v>-62612</v>
      </c>
      <c r="J283" s="654">
        <v>222831</v>
      </c>
      <c r="K283" s="654">
        <v>222831</v>
      </c>
      <c r="L283" s="654">
        <v>0</v>
      </c>
      <c r="M283" s="654">
        <v>0</v>
      </c>
      <c r="N283" s="654">
        <v>0</v>
      </c>
    </row>
    <row r="284" spans="2:14" x14ac:dyDescent="0.15">
      <c r="B284"/>
      <c r="D284" t="s">
        <v>627</v>
      </c>
      <c r="E284" t="s">
        <v>379</v>
      </c>
      <c r="F284" t="s">
        <v>626</v>
      </c>
      <c r="G284" t="s">
        <v>600</v>
      </c>
      <c r="H284" s="654">
        <v>15970</v>
      </c>
      <c r="I284" s="654">
        <v>0</v>
      </c>
      <c r="J284" s="654">
        <v>15970</v>
      </c>
      <c r="K284" s="654">
        <v>15970</v>
      </c>
      <c r="L284" s="654">
        <v>0</v>
      </c>
      <c r="M284" s="654">
        <v>0</v>
      </c>
      <c r="N284" s="654">
        <v>0</v>
      </c>
    </row>
    <row r="285" spans="2:14" x14ac:dyDescent="0.15">
      <c r="B285"/>
      <c r="F285" t="s">
        <v>733</v>
      </c>
      <c r="H285" s="654">
        <v>15970</v>
      </c>
      <c r="I285" s="654">
        <v>0</v>
      </c>
      <c r="J285" s="654">
        <v>15970</v>
      </c>
      <c r="K285" s="654">
        <v>15970</v>
      </c>
      <c r="L285" s="654">
        <v>0</v>
      </c>
      <c r="M285" s="654">
        <v>0</v>
      </c>
      <c r="N285" s="654">
        <v>0</v>
      </c>
    </row>
    <row r="286" spans="2:14" x14ac:dyDescent="0.15">
      <c r="B286"/>
      <c r="F286" t="s">
        <v>627</v>
      </c>
      <c r="G286" t="s">
        <v>599</v>
      </c>
      <c r="H286" s="654">
        <v>0</v>
      </c>
      <c r="I286" s="654">
        <v>0</v>
      </c>
      <c r="J286" s="654">
        <v>0</v>
      </c>
      <c r="K286" s="654">
        <v>0</v>
      </c>
      <c r="L286" s="654">
        <v>0</v>
      </c>
      <c r="M286" s="654">
        <v>0</v>
      </c>
      <c r="N286" s="654">
        <v>0</v>
      </c>
    </row>
    <row r="287" spans="2:14" x14ac:dyDescent="0.15">
      <c r="B287"/>
      <c r="F287" t="s">
        <v>734</v>
      </c>
      <c r="H287" s="654">
        <v>0</v>
      </c>
      <c r="I287" s="654">
        <v>0</v>
      </c>
      <c r="J287" s="654">
        <v>0</v>
      </c>
      <c r="K287" s="654">
        <v>0</v>
      </c>
      <c r="L287" s="654">
        <v>0</v>
      </c>
      <c r="M287" s="654">
        <v>0</v>
      </c>
      <c r="N287" s="654">
        <v>0</v>
      </c>
    </row>
    <row r="288" spans="2:14" x14ac:dyDescent="0.15">
      <c r="B288"/>
      <c r="F288" t="s">
        <v>628</v>
      </c>
      <c r="G288" t="s">
        <v>598</v>
      </c>
      <c r="H288" s="654">
        <v>0</v>
      </c>
      <c r="I288" s="654">
        <v>0</v>
      </c>
      <c r="J288" s="654">
        <v>0</v>
      </c>
      <c r="K288" s="654">
        <v>0</v>
      </c>
      <c r="L288" s="654">
        <v>0</v>
      </c>
      <c r="M288" s="654">
        <v>0</v>
      </c>
      <c r="N288" s="654">
        <v>0</v>
      </c>
    </row>
    <row r="289" spans="2:14" x14ac:dyDescent="0.15">
      <c r="B289"/>
      <c r="F289" t="s">
        <v>735</v>
      </c>
      <c r="H289" s="654">
        <v>0</v>
      </c>
      <c r="I289" s="654">
        <v>0</v>
      </c>
      <c r="J289" s="654">
        <v>0</v>
      </c>
      <c r="K289" s="654">
        <v>0</v>
      </c>
      <c r="L289" s="654">
        <v>0</v>
      </c>
      <c r="M289" s="654">
        <v>0</v>
      </c>
      <c r="N289" s="654">
        <v>0</v>
      </c>
    </row>
    <row r="290" spans="2:14" x14ac:dyDescent="0.15">
      <c r="B290"/>
      <c r="E290" t="s">
        <v>770</v>
      </c>
      <c r="H290" s="654">
        <v>15970</v>
      </c>
      <c r="I290" s="654">
        <v>0</v>
      </c>
      <c r="J290" s="654">
        <v>15970</v>
      </c>
      <c r="K290" s="654">
        <v>15970</v>
      </c>
      <c r="L290" s="654">
        <v>0</v>
      </c>
      <c r="M290" s="654">
        <v>0</v>
      </c>
      <c r="N290" s="654">
        <v>0</v>
      </c>
    </row>
    <row r="291" spans="2:14" x14ac:dyDescent="0.15">
      <c r="B291"/>
      <c r="D291" t="s">
        <v>734</v>
      </c>
      <c r="H291" s="654">
        <v>15970</v>
      </c>
      <c r="I291" s="654">
        <v>0</v>
      </c>
      <c r="J291" s="654">
        <v>15970</v>
      </c>
      <c r="K291" s="654">
        <v>15970</v>
      </c>
      <c r="L291" s="654">
        <v>0</v>
      </c>
      <c r="M291" s="654">
        <v>0</v>
      </c>
      <c r="N291" s="654">
        <v>0</v>
      </c>
    </row>
    <row r="292" spans="2:14" x14ac:dyDescent="0.15">
      <c r="B292"/>
      <c r="D292" t="s">
        <v>628</v>
      </c>
      <c r="E292" t="s">
        <v>380</v>
      </c>
      <c r="F292" t="s">
        <v>626</v>
      </c>
      <c r="G292" t="s">
        <v>600</v>
      </c>
      <c r="H292" s="654">
        <v>308814</v>
      </c>
      <c r="I292" s="654">
        <v>0</v>
      </c>
      <c r="J292" s="654">
        <v>308814</v>
      </c>
      <c r="K292" s="654">
        <v>308814</v>
      </c>
      <c r="L292" s="654">
        <v>0</v>
      </c>
      <c r="M292" s="654">
        <v>0</v>
      </c>
      <c r="N292" s="654">
        <v>0</v>
      </c>
    </row>
    <row r="293" spans="2:14" x14ac:dyDescent="0.15">
      <c r="B293"/>
      <c r="F293" t="s">
        <v>733</v>
      </c>
      <c r="H293" s="654">
        <v>308814</v>
      </c>
      <c r="I293" s="654">
        <v>0</v>
      </c>
      <c r="J293" s="654">
        <v>308814</v>
      </c>
      <c r="K293" s="654">
        <v>308814</v>
      </c>
      <c r="L293" s="654">
        <v>0</v>
      </c>
      <c r="M293" s="654">
        <v>0</v>
      </c>
      <c r="N293" s="654">
        <v>0</v>
      </c>
    </row>
    <row r="294" spans="2:14" x14ac:dyDescent="0.15">
      <c r="B294"/>
      <c r="F294" t="s">
        <v>627</v>
      </c>
      <c r="G294" t="s">
        <v>599</v>
      </c>
      <c r="H294" s="654">
        <v>33337</v>
      </c>
      <c r="I294" s="654">
        <v>-33337</v>
      </c>
      <c r="J294" s="654">
        <v>0</v>
      </c>
      <c r="K294" s="654">
        <v>0</v>
      </c>
      <c r="L294" s="654">
        <v>0</v>
      </c>
      <c r="M294" s="654">
        <v>0</v>
      </c>
      <c r="N294" s="654">
        <v>0</v>
      </c>
    </row>
    <row r="295" spans="2:14" x14ac:dyDescent="0.15">
      <c r="B295"/>
      <c r="F295" t="s">
        <v>734</v>
      </c>
      <c r="H295" s="654">
        <v>33337</v>
      </c>
      <c r="I295" s="654">
        <v>-33337</v>
      </c>
      <c r="J295" s="654">
        <v>0</v>
      </c>
      <c r="K295" s="654">
        <v>0</v>
      </c>
      <c r="L295" s="654">
        <v>0</v>
      </c>
      <c r="M295" s="654">
        <v>0</v>
      </c>
      <c r="N295" s="654">
        <v>0</v>
      </c>
    </row>
    <row r="296" spans="2:14" x14ac:dyDescent="0.15">
      <c r="B296"/>
      <c r="E296" t="s">
        <v>771</v>
      </c>
      <c r="H296" s="654">
        <v>342151</v>
      </c>
      <c r="I296" s="654">
        <v>-33337</v>
      </c>
      <c r="J296" s="654">
        <v>308814</v>
      </c>
      <c r="K296" s="654">
        <v>308814</v>
      </c>
      <c r="L296" s="654">
        <v>0</v>
      </c>
      <c r="M296" s="654">
        <v>0</v>
      </c>
      <c r="N296" s="654">
        <v>0</v>
      </c>
    </row>
    <row r="297" spans="2:14" x14ac:dyDescent="0.15">
      <c r="B297"/>
      <c r="D297" t="s">
        <v>735</v>
      </c>
      <c r="H297" s="654">
        <v>342151</v>
      </c>
      <c r="I297" s="654">
        <v>-33337</v>
      </c>
      <c r="J297" s="654">
        <v>308814</v>
      </c>
      <c r="K297" s="654">
        <v>308814</v>
      </c>
      <c r="L297" s="654">
        <v>0</v>
      </c>
      <c r="M297" s="654">
        <v>0</v>
      </c>
      <c r="N297" s="654">
        <v>0</v>
      </c>
    </row>
    <row r="298" spans="2:14" x14ac:dyDescent="0.15">
      <c r="B298"/>
      <c r="D298" t="s">
        <v>629</v>
      </c>
      <c r="E298" t="s">
        <v>676</v>
      </c>
      <c r="F298" t="s">
        <v>629</v>
      </c>
      <c r="G298" t="s">
        <v>601</v>
      </c>
      <c r="H298" s="654">
        <v>7220</v>
      </c>
      <c r="I298" s="654">
        <v>0</v>
      </c>
      <c r="J298" s="654">
        <v>7220</v>
      </c>
      <c r="K298" s="654">
        <v>7220</v>
      </c>
      <c r="L298" s="654">
        <v>0</v>
      </c>
      <c r="M298" s="654">
        <v>0</v>
      </c>
      <c r="N298" s="654">
        <v>0</v>
      </c>
    </row>
    <row r="299" spans="2:14" x14ac:dyDescent="0.15">
      <c r="B299"/>
      <c r="F299" t="s">
        <v>736</v>
      </c>
      <c r="H299" s="654">
        <v>7220</v>
      </c>
      <c r="I299" s="654">
        <v>0</v>
      </c>
      <c r="J299" s="654">
        <v>7220</v>
      </c>
      <c r="K299" s="654">
        <v>7220</v>
      </c>
      <c r="L299" s="654">
        <v>0</v>
      </c>
      <c r="M299" s="654">
        <v>0</v>
      </c>
      <c r="N299" s="654">
        <v>0</v>
      </c>
    </row>
    <row r="300" spans="2:14" x14ac:dyDescent="0.15">
      <c r="B300"/>
      <c r="E300" t="s">
        <v>772</v>
      </c>
      <c r="H300" s="654">
        <v>7220</v>
      </c>
      <c r="I300" s="654">
        <v>0</v>
      </c>
      <c r="J300" s="654">
        <v>7220</v>
      </c>
      <c r="K300" s="654">
        <v>7220</v>
      </c>
      <c r="L300" s="654">
        <v>0</v>
      </c>
      <c r="M300" s="654">
        <v>0</v>
      </c>
      <c r="N300" s="654">
        <v>0</v>
      </c>
    </row>
    <row r="301" spans="2:14" x14ac:dyDescent="0.15">
      <c r="B301"/>
      <c r="D301" t="s">
        <v>736</v>
      </c>
      <c r="H301" s="654">
        <v>7220</v>
      </c>
      <c r="I301" s="654">
        <v>0</v>
      </c>
      <c r="J301" s="654">
        <v>7220</v>
      </c>
      <c r="K301" s="654">
        <v>7220</v>
      </c>
      <c r="L301" s="654">
        <v>0</v>
      </c>
      <c r="M301" s="654">
        <v>0</v>
      </c>
      <c r="N301" s="654">
        <v>0</v>
      </c>
    </row>
    <row r="302" spans="2:14" x14ac:dyDescent="0.15">
      <c r="B302"/>
      <c r="D302" t="s">
        <v>567</v>
      </c>
      <c r="E302" t="s">
        <v>473</v>
      </c>
      <c r="F302" t="s">
        <v>631</v>
      </c>
      <c r="G302" t="s">
        <v>596</v>
      </c>
      <c r="H302" s="654">
        <v>0</v>
      </c>
      <c r="I302" s="654">
        <v>0</v>
      </c>
      <c r="J302" s="654">
        <v>0</v>
      </c>
      <c r="K302" s="654">
        <v>0</v>
      </c>
      <c r="L302" s="654">
        <v>0</v>
      </c>
      <c r="M302" s="654">
        <v>0</v>
      </c>
      <c r="N302" s="654">
        <v>0</v>
      </c>
    </row>
    <row r="303" spans="2:14" x14ac:dyDescent="0.15">
      <c r="B303"/>
      <c r="F303" t="s">
        <v>737</v>
      </c>
      <c r="H303" s="654">
        <v>0</v>
      </c>
      <c r="I303" s="654">
        <v>0</v>
      </c>
      <c r="J303" s="654">
        <v>0</v>
      </c>
      <c r="K303" s="654">
        <v>0</v>
      </c>
      <c r="L303" s="654">
        <v>0</v>
      </c>
      <c r="M303" s="654">
        <v>0</v>
      </c>
      <c r="N303" s="654">
        <v>0</v>
      </c>
    </row>
    <row r="304" spans="2:14" x14ac:dyDescent="0.15">
      <c r="B304"/>
      <c r="E304" t="s">
        <v>773</v>
      </c>
      <c r="H304" s="654">
        <v>0</v>
      </c>
      <c r="I304" s="654">
        <v>0</v>
      </c>
      <c r="J304" s="654">
        <v>0</v>
      </c>
      <c r="K304" s="654">
        <v>0</v>
      </c>
      <c r="L304" s="654">
        <v>0</v>
      </c>
      <c r="M304" s="654">
        <v>0</v>
      </c>
      <c r="N304" s="654">
        <v>0</v>
      </c>
    </row>
    <row r="305" spans="2:14" x14ac:dyDescent="0.15">
      <c r="B305"/>
      <c r="D305" t="s">
        <v>739</v>
      </c>
      <c r="H305" s="654">
        <v>0</v>
      </c>
      <c r="I305" s="654">
        <v>0</v>
      </c>
      <c r="J305" s="654">
        <v>0</v>
      </c>
      <c r="K305" s="654">
        <v>0</v>
      </c>
      <c r="L305" s="654">
        <v>0</v>
      </c>
      <c r="M305" s="654">
        <v>0</v>
      </c>
      <c r="N305" s="654">
        <v>0</v>
      </c>
    </row>
    <row r="306" spans="2:14" x14ac:dyDescent="0.15">
      <c r="B306"/>
      <c r="D306" t="s">
        <v>568</v>
      </c>
      <c r="E306" t="s">
        <v>474</v>
      </c>
      <c r="F306" t="s">
        <v>631</v>
      </c>
      <c r="G306" t="s">
        <v>596</v>
      </c>
      <c r="H306" s="654">
        <v>0</v>
      </c>
      <c r="I306" s="654">
        <v>0</v>
      </c>
      <c r="J306" s="654">
        <v>0</v>
      </c>
      <c r="K306" s="654">
        <v>0</v>
      </c>
      <c r="L306" s="654">
        <v>0</v>
      </c>
      <c r="M306" s="654">
        <v>0</v>
      </c>
      <c r="N306" s="654">
        <v>0</v>
      </c>
    </row>
    <row r="307" spans="2:14" x14ac:dyDescent="0.15">
      <c r="B307"/>
      <c r="F307" t="s">
        <v>737</v>
      </c>
      <c r="H307" s="654">
        <v>0</v>
      </c>
      <c r="I307" s="654">
        <v>0</v>
      </c>
      <c r="J307" s="654">
        <v>0</v>
      </c>
      <c r="K307" s="654">
        <v>0</v>
      </c>
      <c r="L307" s="654">
        <v>0</v>
      </c>
      <c r="M307" s="654">
        <v>0</v>
      </c>
      <c r="N307" s="654">
        <v>0</v>
      </c>
    </row>
    <row r="308" spans="2:14" x14ac:dyDescent="0.15">
      <c r="B308"/>
      <c r="E308" t="s">
        <v>774</v>
      </c>
      <c r="H308" s="654">
        <v>0</v>
      </c>
      <c r="I308" s="654">
        <v>0</v>
      </c>
      <c r="J308" s="654">
        <v>0</v>
      </c>
      <c r="K308" s="654">
        <v>0</v>
      </c>
      <c r="L308" s="654">
        <v>0</v>
      </c>
      <c r="M308" s="654">
        <v>0</v>
      </c>
      <c r="N308" s="654">
        <v>0</v>
      </c>
    </row>
    <row r="309" spans="2:14" x14ac:dyDescent="0.15">
      <c r="B309"/>
      <c r="D309" t="s">
        <v>740</v>
      </c>
      <c r="H309" s="654">
        <v>0</v>
      </c>
      <c r="I309" s="654">
        <v>0</v>
      </c>
      <c r="J309" s="654">
        <v>0</v>
      </c>
      <c r="K309" s="654">
        <v>0</v>
      </c>
      <c r="L309" s="654">
        <v>0</v>
      </c>
      <c r="M309" s="654">
        <v>0</v>
      </c>
      <c r="N309" s="654">
        <v>0</v>
      </c>
    </row>
    <row r="310" spans="2:14" x14ac:dyDescent="0.15">
      <c r="B310"/>
      <c r="D310" t="s">
        <v>566</v>
      </c>
      <c r="E310" t="s">
        <v>382</v>
      </c>
      <c r="F310" t="s">
        <v>626</v>
      </c>
      <c r="G310" t="s">
        <v>600</v>
      </c>
      <c r="H310" s="654">
        <v>43078</v>
      </c>
      <c r="I310" s="654">
        <v>0</v>
      </c>
      <c r="J310" s="654">
        <v>43078</v>
      </c>
      <c r="K310" s="654">
        <v>43078</v>
      </c>
      <c r="L310" s="654">
        <v>0</v>
      </c>
      <c r="M310" s="654">
        <v>0</v>
      </c>
      <c r="N310" s="654">
        <v>0</v>
      </c>
    </row>
    <row r="311" spans="2:14" x14ac:dyDescent="0.15">
      <c r="B311"/>
      <c r="F311" t="s">
        <v>733</v>
      </c>
      <c r="H311" s="654">
        <v>43078</v>
      </c>
      <c r="I311" s="654">
        <v>0</v>
      </c>
      <c r="J311" s="654">
        <v>43078</v>
      </c>
      <c r="K311" s="654">
        <v>43078</v>
      </c>
      <c r="L311" s="654">
        <v>0</v>
      </c>
      <c r="M311" s="654">
        <v>0</v>
      </c>
      <c r="N311" s="654">
        <v>0</v>
      </c>
    </row>
    <row r="312" spans="2:14" x14ac:dyDescent="0.15">
      <c r="B312"/>
      <c r="E312" t="s">
        <v>775</v>
      </c>
      <c r="H312" s="654">
        <v>43078</v>
      </c>
      <c r="I312" s="654">
        <v>0</v>
      </c>
      <c r="J312" s="654">
        <v>43078</v>
      </c>
      <c r="K312" s="654">
        <v>43078</v>
      </c>
      <c r="L312" s="654">
        <v>0</v>
      </c>
      <c r="M312" s="654">
        <v>0</v>
      </c>
      <c r="N312" s="654">
        <v>0</v>
      </c>
    </row>
    <row r="313" spans="2:14" x14ac:dyDescent="0.15">
      <c r="B313"/>
      <c r="D313" t="s">
        <v>738</v>
      </c>
      <c r="H313" s="654">
        <v>43078</v>
      </c>
      <c r="I313" s="654">
        <v>0</v>
      </c>
      <c r="J313" s="654">
        <v>43078</v>
      </c>
      <c r="K313" s="654">
        <v>43078</v>
      </c>
      <c r="L313" s="654">
        <v>0</v>
      </c>
      <c r="M313" s="654">
        <v>0</v>
      </c>
      <c r="N313" s="654">
        <v>0</v>
      </c>
    </row>
    <row r="314" spans="2:14" x14ac:dyDescent="0.15">
      <c r="B314"/>
      <c r="D314" t="s">
        <v>631</v>
      </c>
      <c r="E314" t="s">
        <v>381</v>
      </c>
      <c r="F314" t="s">
        <v>626</v>
      </c>
      <c r="G314" t="s">
        <v>600</v>
      </c>
      <c r="H314" s="654">
        <v>0</v>
      </c>
      <c r="I314" s="654">
        <v>0</v>
      </c>
      <c r="J314" s="654">
        <v>0</v>
      </c>
      <c r="K314" s="654">
        <v>0</v>
      </c>
      <c r="L314" s="654">
        <v>0</v>
      </c>
      <c r="M314" s="654">
        <v>0</v>
      </c>
      <c r="N314" s="654">
        <v>0</v>
      </c>
    </row>
    <row r="315" spans="2:14" x14ac:dyDescent="0.15">
      <c r="B315"/>
      <c r="F315" t="s">
        <v>733</v>
      </c>
      <c r="H315" s="654">
        <v>0</v>
      </c>
      <c r="I315" s="654">
        <v>0</v>
      </c>
      <c r="J315" s="654">
        <v>0</v>
      </c>
      <c r="K315" s="654">
        <v>0</v>
      </c>
      <c r="L315" s="654">
        <v>0</v>
      </c>
      <c r="M315" s="654">
        <v>0</v>
      </c>
      <c r="N315" s="654">
        <v>0</v>
      </c>
    </row>
    <row r="316" spans="2:14" x14ac:dyDescent="0.15">
      <c r="B316"/>
      <c r="E316" t="s">
        <v>776</v>
      </c>
      <c r="H316" s="654">
        <v>0</v>
      </c>
      <c r="I316" s="654">
        <v>0</v>
      </c>
      <c r="J316" s="654">
        <v>0</v>
      </c>
      <c r="K316" s="654">
        <v>0</v>
      </c>
      <c r="L316" s="654">
        <v>0</v>
      </c>
      <c r="M316" s="654">
        <v>0</v>
      </c>
      <c r="N316" s="654">
        <v>0</v>
      </c>
    </row>
    <row r="317" spans="2:14" x14ac:dyDescent="0.15">
      <c r="B317"/>
      <c r="D317" t="s">
        <v>737</v>
      </c>
      <c r="H317" s="654">
        <v>0</v>
      </c>
      <c r="I317" s="654">
        <v>0</v>
      </c>
      <c r="J317" s="654">
        <v>0</v>
      </c>
      <c r="K317" s="654">
        <v>0</v>
      </c>
      <c r="L317" s="654">
        <v>0</v>
      </c>
      <c r="M317" s="654">
        <v>0</v>
      </c>
      <c r="N317" s="654">
        <v>0</v>
      </c>
    </row>
    <row r="318" spans="2:14" x14ac:dyDescent="0.15">
      <c r="B318"/>
      <c r="D318" t="s">
        <v>671</v>
      </c>
      <c r="E318" t="s">
        <v>383</v>
      </c>
      <c r="F318" t="s">
        <v>626</v>
      </c>
      <c r="G318" t="s">
        <v>600</v>
      </c>
      <c r="H318" s="654">
        <v>0</v>
      </c>
      <c r="I318" s="654">
        <v>0</v>
      </c>
      <c r="J318" s="654">
        <v>0</v>
      </c>
      <c r="K318" s="654">
        <v>0</v>
      </c>
      <c r="L318" s="654">
        <v>0</v>
      </c>
      <c r="M318" s="654">
        <v>0</v>
      </c>
      <c r="N318" s="654">
        <v>0</v>
      </c>
    </row>
    <row r="319" spans="2:14" x14ac:dyDescent="0.15">
      <c r="B319"/>
      <c r="F319" t="s">
        <v>733</v>
      </c>
      <c r="H319" s="654">
        <v>0</v>
      </c>
      <c r="I319" s="654">
        <v>0</v>
      </c>
      <c r="J319" s="654">
        <v>0</v>
      </c>
      <c r="K319" s="654">
        <v>0</v>
      </c>
      <c r="L319" s="654">
        <v>0</v>
      </c>
      <c r="M319" s="654">
        <v>0</v>
      </c>
      <c r="N319" s="654">
        <v>0</v>
      </c>
    </row>
    <row r="320" spans="2:14" x14ac:dyDescent="0.15">
      <c r="B320"/>
      <c r="F320" t="s">
        <v>627</v>
      </c>
      <c r="G320" t="s">
        <v>599</v>
      </c>
      <c r="H320" s="654">
        <v>0</v>
      </c>
      <c r="I320" s="654">
        <v>0</v>
      </c>
      <c r="J320" s="654">
        <v>0</v>
      </c>
      <c r="K320" s="654">
        <v>0</v>
      </c>
      <c r="L320" s="654">
        <v>0</v>
      </c>
      <c r="M320" s="654">
        <v>0</v>
      </c>
      <c r="N320" s="654">
        <v>0</v>
      </c>
    </row>
    <row r="321" spans="1:14" x14ac:dyDescent="0.15">
      <c r="B321"/>
      <c r="F321" t="s">
        <v>734</v>
      </c>
      <c r="H321" s="654">
        <v>0</v>
      </c>
      <c r="I321" s="654">
        <v>0</v>
      </c>
      <c r="J321" s="654">
        <v>0</v>
      </c>
      <c r="K321" s="654">
        <v>0</v>
      </c>
      <c r="L321" s="654">
        <v>0</v>
      </c>
      <c r="M321" s="654">
        <v>0</v>
      </c>
      <c r="N321" s="654">
        <v>0</v>
      </c>
    </row>
    <row r="322" spans="1:14" x14ac:dyDescent="0.15">
      <c r="B322"/>
      <c r="E322" t="s">
        <v>777</v>
      </c>
      <c r="H322" s="654">
        <v>0</v>
      </c>
      <c r="I322" s="654">
        <v>0</v>
      </c>
      <c r="J322" s="654">
        <v>0</v>
      </c>
      <c r="K322" s="654">
        <v>0</v>
      </c>
      <c r="L322" s="654">
        <v>0</v>
      </c>
      <c r="M322" s="654">
        <v>0</v>
      </c>
      <c r="N322" s="654">
        <v>0</v>
      </c>
    </row>
    <row r="323" spans="1:14" x14ac:dyDescent="0.15">
      <c r="B323"/>
      <c r="D323" t="s">
        <v>742</v>
      </c>
      <c r="H323" s="654">
        <v>0</v>
      </c>
      <c r="I323" s="654">
        <v>0</v>
      </c>
      <c r="J323" s="654">
        <v>0</v>
      </c>
      <c r="K323" s="654">
        <v>0</v>
      </c>
      <c r="L323" s="654">
        <v>0</v>
      </c>
      <c r="M323" s="654">
        <v>0</v>
      </c>
      <c r="N323" s="654">
        <v>0</v>
      </c>
    </row>
    <row r="324" spans="1:14" x14ac:dyDescent="0.15">
      <c r="B324"/>
      <c r="C324" t="s">
        <v>854</v>
      </c>
      <c r="H324" s="654">
        <v>693862</v>
      </c>
      <c r="I324" s="654">
        <v>-95949</v>
      </c>
      <c r="J324" s="654">
        <v>597913</v>
      </c>
      <c r="K324" s="654">
        <v>597913</v>
      </c>
      <c r="L324" s="654">
        <v>0</v>
      </c>
      <c r="M324" s="654">
        <v>0</v>
      </c>
      <c r="N324" s="654">
        <v>0</v>
      </c>
    </row>
    <row r="325" spans="1:14" x14ac:dyDescent="0.15">
      <c r="A325" s="653" t="s">
        <v>611</v>
      </c>
      <c r="B325"/>
      <c r="H325" s="654">
        <v>26560411</v>
      </c>
      <c r="I325" s="654">
        <v>-553300</v>
      </c>
      <c r="J325" s="654">
        <v>26007111</v>
      </c>
      <c r="K325" s="654">
        <v>26007111</v>
      </c>
      <c r="L325" s="654">
        <v>0</v>
      </c>
      <c r="M325" s="654">
        <v>332043</v>
      </c>
      <c r="N325" s="654">
        <v>2094420</v>
      </c>
    </row>
    <row r="326" spans="1:14" x14ac:dyDescent="0.15">
      <c r="A326" s="653">
        <v>42705</v>
      </c>
      <c r="B326" t="s">
        <v>626</v>
      </c>
      <c r="C326" t="s">
        <v>849</v>
      </c>
      <c r="D326" t="s">
        <v>625</v>
      </c>
      <c r="E326" t="s">
        <v>594</v>
      </c>
      <c r="F326" t="s">
        <v>566</v>
      </c>
      <c r="G326" t="s">
        <v>597</v>
      </c>
      <c r="H326" s="654">
        <v>13571</v>
      </c>
      <c r="I326" s="654">
        <v>-13571</v>
      </c>
      <c r="J326" s="654">
        <v>0</v>
      </c>
      <c r="K326" s="654">
        <v>0</v>
      </c>
      <c r="L326" s="654">
        <v>0</v>
      </c>
      <c r="M326" s="654">
        <v>0</v>
      </c>
      <c r="N326" s="654">
        <v>0</v>
      </c>
    </row>
    <row r="327" spans="1:14" x14ac:dyDescent="0.15">
      <c r="B327"/>
      <c r="F327" t="s">
        <v>738</v>
      </c>
      <c r="H327" s="654">
        <v>13571</v>
      </c>
      <c r="I327" s="654">
        <v>-13571</v>
      </c>
      <c r="J327" s="654">
        <v>0</v>
      </c>
      <c r="K327" s="654">
        <v>0</v>
      </c>
      <c r="L327" s="654">
        <v>0</v>
      </c>
      <c r="M327" s="654">
        <v>0</v>
      </c>
      <c r="N327" s="654">
        <v>0</v>
      </c>
    </row>
    <row r="328" spans="1:14" x14ac:dyDescent="0.15">
      <c r="B328"/>
      <c r="E328" t="s">
        <v>768</v>
      </c>
      <c r="H328" s="654">
        <v>13571</v>
      </c>
      <c r="I328" s="654">
        <v>-13571</v>
      </c>
      <c r="J328" s="654">
        <v>0</v>
      </c>
      <c r="K328" s="654">
        <v>0</v>
      </c>
      <c r="L328" s="654">
        <v>0</v>
      </c>
      <c r="M328" s="654">
        <v>0</v>
      </c>
      <c r="N328" s="654">
        <v>0</v>
      </c>
    </row>
    <row r="329" spans="1:14" x14ac:dyDescent="0.15">
      <c r="B329"/>
      <c r="D329" t="s">
        <v>741</v>
      </c>
      <c r="H329" s="654">
        <v>13571</v>
      </c>
      <c r="I329" s="654">
        <v>-13571</v>
      </c>
      <c r="J329" s="654">
        <v>0</v>
      </c>
      <c r="K329" s="654">
        <v>0</v>
      </c>
      <c r="L329" s="654">
        <v>0</v>
      </c>
      <c r="M329" s="654">
        <v>0</v>
      </c>
      <c r="N329" s="654">
        <v>0</v>
      </c>
    </row>
    <row r="330" spans="1:14" x14ac:dyDescent="0.15">
      <c r="B330"/>
      <c r="D330" t="s">
        <v>626</v>
      </c>
      <c r="E330" t="s">
        <v>378</v>
      </c>
      <c r="F330" t="s">
        <v>626</v>
      </c>
      <c r="G330" t="s">
        <v>600</v>
      </c>
      <c r="H330" s="654">
        <v>6845905</v>
      </c>
      <c r="I330" s="654">
        <v>-30253</v>
      </c>
      <c r="J330" s="654">
        <v>6815652</v>
      </c>
      <c r="K330" s="654">
        <v>6815652</v>
      </c>
      <c r="L330" s="654">
        <v>0</v>
      </c>
      <c r="M330" s="654">
        <v>149092</v>
      </c>
      <c r="N330" s="654">
        <v>922355</v>
      </c>
    </row>
    <row r="331" spans="1:14" x14ac:dyDescent="0.15">
      <c r="B331"/>
      <c r="F331" t="s">
        <v>733</v>
      </c>
      <c r="H331" s="654">
        <v>6845905</v>
      </c>
      <c r="I331" s="654">
        <v>-30253</v>
      </c>
      <c r="J331" s="654">
        <v>6815652</v>
      </c>
      <c r="K331" s="654">
        <v>6815652</v>
      </c>
      <c r="L331" s="654">
        <v>0</v>
      </c>
      <c r="M331" s="654">
        <v>149092</v>
      </c>
      <c r="N331" s="654">
        <v>922355</v>
      </c>
    </row>
    <row r="332" spans="1:14" x14ac:dyDescent="0.15">
      <c r="B332"/>
      <c r="F332" t="s">
        <v>627</v>
      </c>
      <c r="G332" t="s">
        <v>599</v>
      </c>
      <c r="H332" s="654">
        <v>1624853</v>
      </c>
      <c r="I332" s="654">
        <v>0</v>
      </c>
      <c r="J332" s="654">
        <v>1624853</v>
      </c>
      <c r="K332" s="654">
        <v>1624853</v>
      </c>
      <c r="L332" s="654">
        <v>0</v>
      </c>
      <c r="M332" s="654">
        <v>0</v>
      </c>
      <c r="N332" s="654">
        <v>295462</v>
      </c>
    </row>
    <row r="333" spans="1:14" x14ac:dyDescent="0.15">
      <c r="B333"/>
      <c r="F333" t="s">
        <v>734</v>
      </c>
      <c r="H333" s="654">
        <v>1624853</v>
      </c>
      <c r="I333" s="654">
        <v>0</v>
      </c>
      <c r="J333" s="654">
        <v>1624853</v>
      </c>
      <c r="K333" s="654">
        <v>1624853</v>
      </c>
      <c r="L333" s="654">
        <v>0</v>
      </c>
      <c r="M333" s="654">
        <v>0</v>
      </c>
      <c r="N333" s="654">
        <v>295462</v>
      </c>
    </row>
    <row r="334" spans="1:14" x14ac:dyDescent="0.15">
      <c r="B334"/>
      <c r="F334" t="s">
        <v>628</v>
      </c>
      <c r="G334" t="s">
        <v>598</v>
      </c>
      <c r="H334" s="654">
        <v>660526</v>
      </c>
      <c r="I334" s="654">
        <v>0</v>
      </c>
      <c r="J334" s="654">
        <v>660526</v>
      </c>
      <c r="K334" s="654">
        <v>660526</v>
      </c>
      <c r="L334" s="654">
        <v>0</v>
      </c>
      <c r="M334" s="654">
        <v>0</v>
      </c>
      <c r="N334" s="654">
        <v>0</v>
      </c>
    </row>
    <row r="335" spans="1:14" x14ac:dyDescent="0.15">
      <c r="B335"/>
      <c r="F335" t="s">
        <v>735</v>
      </c>
      <c r="H335" s="654">
        <v>660526</v>
      </c>
      <c r="I335" s="654">
        <v>0</v>
      </c>
      <c r="J335" s="654">
        <v>660526</v>
      </c>
      <c r="K335" s="654">
        <v>660526</v>
      </c>
      <c r="L335" s="654">
        <v>0</v>
      </c>
      <c r="M335" s="654">
        <v>0</v>
      </c>
      <c r="N335" s="654">
        <v>0</v>
      </c>
    </row>
    <row r="336" spans="1:14" x14ac:dyDescent="0.15">
      <c r="B336"/>
      <c r="E336" t="s">
        <v>769</v>
      </c>
      <c r="H336" s="654">
        <v>9131284</v>
      </c>
      <c r="I336" s="654">
        <v>-30253</v>
      </c>
      <c r="J336" s="654">
        <v>9101031</v>
      </c>
      <c r="K336" s="654">
        <v>9101031</v>
      </c>
      <c r="L336" s="654">
        <v>0</v>
      </c>
      <c r="M336" s="654">
        <v>149092</v>
      </c>
      <c r="N336" s="654">
        <v>1217817</v>
      </c>
    </row>
    <row r="337" spans="2:14" x14ac:dyDescent="0.15">
      <c r="B337"/>
      <c r="D337" t="s">
        <v>733</v>
      </c>
      <c r="H337" s="654">
        <v>9131284</v>
      </c>
      <c r="I337" s="654">
        <v>-30253</v>
      </c>
      <c r="J337" s="654">
        <v>9101031</v>
      </c>
      <c r="K337" s="654">
        <v>9101031</v>
      </c>
      <c r="L337" s="654">
        <v>0</v>
      </c>
      <c r="M337" s="654">
        <v>149092</v>
      </c>
      <c r="N337" s="654">
        <v>1217817</v>
      </c>
    </row>
    <row r="338" spans="2:14" x14ac:dyDescent="0.15">
      <c r="B338"/>
      <c r="D338" t="s">
        <v>627</v>
      </c>
      <c r="E338" t="s">
        <v>379</v>
      </c>
      <c r="F338" t="s">
        <v>626</v>
      </c>
      <c r="G338" t="s">
        <v>600</v>
      </c>
      <c r="H338" s="654">
        <v>4001652</v>
      </c>
      <c r="I338" s="654">
        <v>-52078</v>
      </c>
      <c r="J338" s="654">
        <v>3949574</v>
      </c>
      <c r="K338" s="654">
        <v>3949574</v>
      </c>
      <c r="L338" s="654">
        <v>0</v>
      </c>
      <c r="M338" s="654">
        <v>0</v>
      </c>
      <c r="N338" s="654">
        <v>315719</v>
      </c>
    </row>
    <row r="339" spans="2:14" x14ac:dyDescent="0.15">
      <c r="B339"/>
      <c r="F339" t="s">
        <v>733</v>
      </c>
      <c r="H339" s="654">
        <v>4001652</v>
      </c>
      <c r="I339" s="654">
        <v>-52078</v>
      </c>
      <c r="J339" s="654">
        <v>3949574</v>
      </c>
      <c r="K339" s="654">
        <v>3949574</v>
      </c>
      <c r="L339" s="654">
        <v>0</v>
      </c>
      <c r="M339" s="654">
        <v>0</v>
      </c>
      <c r="N339" s="654">
        <v>315719</v>
      </c>
    </row>
    <row r="340" spans="2:14" x14ac:dyDescent="0.15">
      <c r="B340"/>
      <c r="F340" t="s">
        <v>627</v>
      </c>
      <c r="G340" t="s">
        <v>599</v>
      </c>
      <c r="H340" s="654">
        <v>437647</v>
      </c>
      <c r="I340" s="654">
        <v>0</v>
      </c>
      <c r="J340" s="654">
        <v>437647</v>
      </c>
      <c r="K340" s="654">
        <v>437647</v>
      </c>
      <c r="L340" s="654">
        <v>0</v>
      </c>
      <c r="M340" s="654">
        <v>0</v>
      </c>
      <c r="N340" s="654">
        <v>79197</v>
      </c>
    </row>
    <row r="341" spans="2:14" x14ac:dyDescent="0.15">
      <c r="B341"/>
      <c r="F341" t="s">
        <v>734</v>
      </c>
      <c r="H341" s="654">
        <v>437647</v>
      </c>
      <c r="I341" s="654">
        <v>0</v>
      </c>
      <c r="J341" s="654">
        <v>437647</v>
      </c>
      <c r="K341" s="654">
        <v>437647</v>
      </c>
      <c r="L341" s="654">
        <v>0</v>
      </c>
      <c r="M341" s="654">
        <v>0</v>
      </c>
      <c r="N341" s="654">
        <v>79197</v>
      </c>
    </row>
    <row r="342" spans="2:14" x14ac:dyDescent="0.15">
      <c r="B342"/>
      <c r="F342" t="s">
        <v>628</v>
      </c>
      <c r="G342" t="s">
        <v>598</v>
      </c>
      <c r="H342" s="654">
        <v>370597</v>
      </c>
      <c r="I342" s="654">
        <v>0</v>
      </c>
      <c r="J342" s="654">
        <v>370597</v>
      </c>
      <c r="K342" s="654">
        <v>370597</v>
      </c>
      <c r="L342" s="654">
        <v>0</v>
      </c>
      <c r="M342" s="654">
        <v>0</v>
      </c>
      <c r="N342" s="654">
        <v>0</v>
      </c>
    </row>
    <row r="343" spans="2:14" x14ac:dyDescent="0.15">
      <c r="B343"/>
      <c r="F343" t="s">
        <v>735</v>
      </c>
      <c r="H343" s="654">
        <v>370597</v>
      </c>
      <c r="I343" s="654">
        <v>0</v>
      </c>
      <c r="J343" s="654">
        <v>370597</v>
      </c>
      <c r="K343" s="654">
        <v>370597</v>
      </c>
      <c r="L343" s="654">
        <v>0</v>
      </c>
      <c r="M343" s="654">
        <v>0</v>
      </c>
      <c r="N343" s="654">
        <v>0</v>
      </c>
    </row>
    <row r="344" spans="2:14" x14ac:dyDescent="0.15">
      <c r="B344"/>
      <c r="E344" t="s">
        <v>770</v>
      </c>
      <c r="H344" s="654">
        <v>4809896</v>
      </c>
      <c r="I344" s="654">
        <v>-52078</v>
      </c>
      <c r="J344" s="654">
        <v>4757818</v>
      </c>
      <c r="K344" s="654">
        <v>4757818</v>
      </c>
      <c r="L344" s="654">
        <v>0</v>
      </c>
      <c r="M344" s="654">
        <v>0</v>
      </c>
      <c r="N344" s="654">
        <v>394916</v>
      </c>
    </row>
    <row r="345" spans="2:14" x14ac:dyDescent="0.15">
      <c r="B345"/>
      <c r="D345" t="s">
        <v>734</v>
      </c>
      <c r="H345" s="654">
        <v>4809896</v>
      </c>
      <c r="I345" s="654">
        <v>-52078</v>
      </c>
      <c r="J345" s="654">
        <v>4757818</v>
      </c>
      <c r="K345" s="654">
        <v>4757818</v>
      </c>
      <c r="L345" s="654">
        <v>0</v>
      </c>
      <c r="M345" s="654">
        <v>0</v>
      </c>
      <c r="N345" s="654">
        <v>394916</v>
      </c>
    </row>
    <row r="346" spans="2:14" x14ac:dyDescent="0.15">
      <c r="B346"/>
      <c r="D346" t="s">
        <v>628</v>
      </c>
      <c r="E346" t="s">
        <v>380</v>
      </c>
      <c r="F346" t="s">
        <v>626</v>
      </c>
      <c r="G346" t="s">
        <v>600</v>
      </c>
      <c r="H346" s="654">
        <v>3245138</v>
      </c>
      <c r="I346" s="654">
        <v>-59027</v>
      </c>
      <c r="J346" s="654">
        <v>3186111</v>
      </c>
      <c r="K346" s="654">
        <v>3186111</v>
      </c>
      <c r="L346" s="654">
        <v>0</v>
      </c>
      <c r="M346" s="654">
        <v>28022</v>
      </c>
      <c r="N346" s="654">
        <v>276371</v>
      </c>
    </row>
    <row r="347" spans="2:14" x14ac:dyDescent="0.15">
      <c r="B347"/>
      <c r="F347" t="s">
        <v>733</v>
      </c>
      <c r="H347" s="654">
        <v>3245138</v>
      </c>
      <c r="I347" s="654">
        <v>-59027</v>
      </c>
      <c r="J347" s="654">
        <v>3186111</v>
      </c>
      <c r="K347" s="654">
        <v>3186111</v>
      </c>
      <c r="L347" s="654">
        <v>0</v>
      </c>
      <c r="M347" s="654">
        <v>28022</v>
      </c>
      <c r="N347" s="654">
        <v>276371</v>
      </c>
    </row>
    <row r="348" spans="2:14" x14ac:dyDescent="0.15">
      <c r="B348"/>
      <c r="F348" t="s">
        <v>627</v>
      </c>
      <c r="G348" t="s">
        <v>599</v>
      </c>
      <c r="H348" s="654">
        <v>1057795</v>
      </c>
      <c r="I348" s="654">
        <v>-28037</v>
      </c>
      <c r="J348" s="654">
        <v>1029758</v>
      </c>
      <c r="K348" s="654">
        <v>1029758</v>
      </c>
      <c r="L348" s="654">
        <v>0</v>
      </c>
      <c r="M348" s="654">
        <v>0</v>
      </c>
      <c r="N348" s="654">
        <v>198688</v>
      </c>
    </row>
    <row r="349" spans="2:14" x14ac:dyDescent="0.15">
      <c r="B349"/>
      <c r="F349" t="s">
        <v>734</v>
      </c>
      <c r="H349" s="654">
        <v>1057795</v>
      </c>
      <c r="I349" s="654">
        <v>-28037</v>
      </c>
      <c r="J349" s="654">
        <v>1029758</v>
      </c>
      <c r="K349" s="654">
        <v>1029758</v>
      </c>
      <c r="L349" s="654">
        <v>0</v>
      </c>
      <c r="M349" s="654">
        <v>0</v>
      </c>
      <c r="N349" s="654">
        <v>198688</v>
      </c>
    </row>
    <row r="350" spans="2:14" x14ac:dyDescent="0.15">
      <c r="B350"/>
      <c r="E350" t="s">
        <v>771</v>
      </c>
      <c r="H350" s="654">
        <v>4302933</v>
      </c>
      <c r="I350" s="654">
        <v>-87064</v>
      </c>
      <c r="J350" s="654">
        <v>4215869</v>
      </c>
      <c r="K350" s="654">
        <v>4215869</v>
      </c>
      <c r="L350" s="654">
        <v>0</v>
      </c>
      <c r="M350" s="654">
        <v>28022</v>
      </c>
      <c r="N350" s="654">
        <v>475059</v>
      </c>
    </row>
    <row r="351" spans="2:14" x14ac:dyDescent="0.15">
      <c r="B351"/>
      <c r="D351" t="s">
        <v>735</v>
      </c>
      <c r="H351" s="654">
        <v>4302933</v>
      </c>
      <c r="I351" s="654">
        <v>-87064</v>
      </c>
      <c r="J351" s="654">
        <v>4215869</v>
      </c>
      <c r="K351" s="654">
        <v>4215869</v>
      </c>
      <c r="L351" s="654">
        <v>0</v>
      </c>
      <c r="M351" s="654">
        <v>28022</v>
      </c>
      <c r="N351" s="654">
        <v>475059</v>
      </c>
    </row>
    <row r="352" spans="2:14" x14ac:dyDescent="0.15">
      <c r="B352"/>
      <c r="D352" t="s">
        <v>629</v>
      </c>
      <c r="E352" t="s">
        <v>676</v>
      </c>
      <c r="F352" t="s">
        <v>629</v>
      </c>
      <c r="G352" t="s">
        <v>601</v>
      </c>
      <c r="H352" s="654">
        <v>2516716</v>
      </c>
      <c r="I352" s="654">
        <v>-45059</v>
      </c>
      <c r="J352" s="654">
        <v>2471657</v>
      </c>
      <c r="K352" s="654">
        <v>2471657</v>
      </c>
      <c r="L352" s="654">
        <v>0</v>
      </c>
      <c r="M352" s="654">
        <v>0</v>
      </c>
      <c r="N352" s="654">
        <v>95336</v>
      </c>
    </row>
    <row r="353" spans="2:14" x14ac:dyDescent="0.15">
      <c r="B353"/>
      <c r="F353" t="s">
        <v>736</v>
      </c>
      <c r="H353" s="654">
        <v>2516716</v>
      </c>
      <c r="I353" s="654">
        <v>-45059</v>
      </c>
      <c r="J353" s="654">
        <v>2471657</v>
      </c>
      <c r="K353" s="654">
        <v>2471657</v>
      </c>
      <c r="L353" s="654">
        <v>0</v>
      </c>
      <c r="M353" s="654">
        <v>0</v>
      </c>
      <c r="N353" s="654">
        <v>95336</v>
      </c>
    </row>
    <row r="354" spans="2:14" x14ac:dyDescent="0.15">
      <c r="B354"/>
      <c r="E354" t="s">
        <v>772</v>
      </c>
      <c r="H354" s="654">
        <v>2516716</v>
      </c>
      <c r="I354" s="654">
        <v>-45059</v>
      </c>
      <c r="J354" s="654">
        <v>2471657</v>
      </c>
      <c r="K354" s="654">
        <v>2471657</v>
      </c>
      <c r="L354" s="654">
        <v>0</v>
      </c>
      <c r="M354" s="654">
        <v>0</v>
      </c>
      <c r="N354" s="654">
        <v>95336</v>
      </c>
    </row>
    <row r="355" spans="2:14" x14ac:dyDescent="0.15">
      <c r="B355"/>
      <c r="D355" t="s">
        <v>736</v>
      </c>
      <c r="H355" s="654">
        <v>2516716</v>
      </c>
      <c r="I355" s="654">
        <v>-45059</v>
      </c>
      <c r="J355" s="654">
        <v>2471657</v>
      </c>
      <c r="K355" s="654">
        <v>2471657</v>
      </c>
      <c r="L355" s="654">
        <v>0</v>
      </c>
      <c r="M355" s="654">
        <v>0</v>
      </c>
      <c r="N355" s="654">
        <v>95336</v>
      </c>
    </row>
    <row r="356" spans="2:14" x14ac:dyDescent="0.15">
      <c r="B356"/>
      <c r="D356" t="s">
        <v>567</v>
      </c>
      <c r="E356" t="s">
        <v>473</v>
      </c>
      <c r="F356" t="s">
        <v>631</v>
      </c>
      <c r="G356" t="s">
        <v>596</v>
      </c>
      <c r="H356" s="654">
        <v>965610</v>
      </c>
      <c r="I356" s="654">
        <v>-200031</v>
      </c>
      <c r="J356" s="654">
        <v>765579</v>
      </c>
      <c r="K356" s="654">
        <v>765579</v>
      </c>
      <c r="L356" s="654">
        <v>0</v>
      </c>
      <c r="M356" s="654">
        <v>0</v>
      </c>
      <c r="N356" s="654">
        <v>151302</v>
      </c>
    </row>
    <row r="357" spans="2:14" x14ac:dyDescent="0.15">
      <c r="B357"/>
      <c r="F357" t="s">
        <v>737</v>
      </c>
      <c r="H357" s="654">
        <v>965610</v>
      </c>
      <c r="I357" s="654">
        <v>-200031</v>
      </c>
      <c r="J357" s="654">
        <v>765579</v>
      </c>
      <c r="K357" s="654">
        <v>765579</v>
      </c>
      <c r="L357" s="654">
        <v>0</v>
      </c>
      <c r="M357" s="654">
        <v>0</v>
      </c>
      <c r="N357" s="654">
        <v>151302</v>
      </c>
    </row>
    <row r="358" spans="2:14" x14ac:dyDescent="0.15">
      <c r="B358"/>
      <c r="E358" t="s">
        <v>773</v>
      </c>
      <c r="H358" s="654">
        <v>965610</v>
      </c>
      <c r="I358" s="654">
        <v>-200031</v>
      </c>
      <c r="J358" s="654">
        <v>765579</v>
      </c>
      <c r="K358" s="654">
        <v>765579</v>
      </c>
      <c r="L358" s="654">
        <v>0</v>
      </c>
      <c r="M358" s="654">
        <v>0</v>
      </c>
      <c r="N358" s="654">
        <v>151302</v>
      </c>
    </row>
    <row r="359" spans="2:14" x14ac:dyDescent="0.15">
      <c r="B359"/>
      <c r="D359" t="s">
        <v>739</v>
      </c>
      <c r="H359" s="654">
        <v>965610</v>
      </c>
      <c r="I359" s="654">
        <v>-200031</v>
      </c>
      <c r="J359" s="654">
        <v>765579</v>
      </c>
      <c r="K359" s="654">
        <v>765579</v>
      </c>
      <c r="L359" s="654">
        <v>0</v>
      </c>
      <c r="M359" s="654">
        <v>0</v>
      </c>
      <c r="N359" s="654">
        <v>151302</v>
      </c>
    </row>
    <row r="360" spans="2:14" x14ac:dyDescent="0.15">
      <c r="B360"/>
      <c r="D360" t="s">
        <v>568</v>
      </c>
      <c r="E360" t="s">
        <v>474</v>
      </c>
      <c r="F360" t="s">
        <v>631</v>
      </c>
      <c r="G360" t="s">
        <v>596</v>
      </c>
      <c r="H360" s="654">
        <v>650058</v>
      </c>
      <c r="I360" s="654">
        <v>0</v>
      </c>
      <c r="J360" s="654">
        <v>650058</v>
      </c>
      <c r="K360" s="654">
        <v>650058</v>
      </c>
      <c r="L360" s="654">
        <v>0</v>
      </c>
      <c r="M360" s="654">
        <v>0</v>
      </c>
      <c r="N360" s="654">
        <v>0</v>
      </c>
    </row>
    <row r="361" spans="2:14" x14ac:dyDescent="0.15">
      <c r="B361"/>
      <c r="F361" t="s">
        <v>737</v>
      </c>
      <c r="H361" s="654">
        <v>650058</v>
      </c>
      <c r="I361" s="654">
        <v>0</v>
      </c>
      <c r="J361" s="654">
        <v>650058</v>
      </c>
      <c r="K361" s="654">
        <v>650058</v>
      </c>
      <c r="L361" s="654">
        <v>0</v>
      </c>
      <c r="M361" s="654">
        <v>0</v>
      </c>
      <c r="N361" s="654">
        <v>0</v>
      </c>
    </row>
    <row r="362" spans="2:14" x14ac:dyDescent="0.15">
      <c r="B362"/>
      <c r="E362" t="s">
        <v>774</v>
      </c>
      <c r="H362" s="654">
        <v>650058</v>
      </c>
      <c r="I362" s="654">
        <v>0</v>
      </c>
      <c r="J362" s="654">
        <v>650058</v>
      </c>
      <c r="K362" s="654">
        <v>650058</v>
      </c>
      <c r="L362" s="654">
        <v>0</v>
      </c>
      <c r="M362" s="654">
        <v>0</v>
      </c>
      <c r="N362" s="654">
        <v>0</v>
      </c>
    </row>
    <row r="363" spans="2:14" x14ac:dyDescent="0.15">
      <c r="B363"/>
      <c r="D363" t="s">
        <v>740</v>
      </c>
      <c r="H363" s="654">
        <v>650058</v>
      </c>
      <c r="I363" s="654">
        <v>0</v>
      </c>
      <c r="J363" s="654">
        <v>650058</v>
      </c>
      <c r="K363" s="654">
        <v>650058</v>
      </c>
      <c r="L363" s="654">
        <v>0</v>
      </c>
      <c r="M363" s="654">
        <v>0</v>
      </c>
      <c r="N363" s="654">
        <v>0</v>
      </c>
    </row>
    <row r="364" spans="2:14" x14ac:dyDescent="0.15">
      <c r="B364"/>
      <c r="D364" t="s">
        <v>566</v>
      </c>
      <c r="E364" t="s">
        <v>382</v>
      </c>
      <c r="F364" t="s">
        <v>626</v>
      </c>
      <c r="G364" t="s">
        <v>600</v>
      </c>
      <c r="H364" s="654">
        <v>895244</v>
      </c>
      <c r="I364" s="654">
        <v>0</v>
      </c>
      <c r="J364" s="654">
        <v>895244</v>
      </c>
      <c r="K364" s="654">
        <v>895244</v>
      </c>
      <c r="L364" s="654">
        <v>0</v>
      </c>
      <c r="M364" s="654">
        <v>0</v>
      </c>
      <c r="N364" s="654">
        <v>0</v>
      </c>
    </row>
    <row r="365" spans="2:14" x14ac:dyDescent="0.15">
      <c r="B365"/>
      <c r="F365" t="s">
        <v>733</v>
      </c>
      <c r="H365" s="654">
        <v>895244</v>
      </c>
      <c r="I365" s="654">
        <v>0</v>
      </c>
      <c r="J365" s="654">
        <v>895244</v>
      </c>
      <c r="K365" s="654">
        <v>895244</v>
      </c>
      <c r="L365" s="654">
        <v>0</v>
      </c>
      <c r="M365" s="654">
        <v>0</v>
      </c>
      <c r="N365" s="654">
        <v>0</v>
      </c>
    </row>
    <row r="366" spans="2:14" x14ac:dyDescent="0.15">
      <c r="B366"/>
      <c r="E366" t="s">
        <v>775</v>
      </c>
      <c r="H366" s="654">
        <v>895244</v>
      </c>
      <c r="I366" s="654">
        <v>0</v>
      </c>
      <c r="J366" s="654">
        <v>895244</v>
      </c>
      <c r="K366" s="654">
        <v>895244</v>
      </c>
      <c r="L366" s="654">
        <v>0</v>
      </c>
      <c r="M366" s="654">
        <v>0</v>
      </c>
      <c r="N366" s="654">
        <v>0</v>
      </c>
    </row>
    <row r="367" spans="2:14" x14ac:dyDescent="0.15">
      <c r="B367"/>
      <c r="D367" t="s">
        <v>738</v>
      </c>
      <c r="H367" s="654">
        <v>895244</v>
      </c>
      <c r="I367" s="654">
        <v>0</v>
      </c>
      <c r="J367" s="654">
        <v>895244</v>
      </c>
      <c r="K367" s="654">
        <v>895244</v>
      </c>
      <c r="L367" s="654">
        <v>0</v>
      </c>
      <c r="M367" s="654">
        <v>0</v>
      </c>
      <c r="N367" s="654">
        <v>0</v>
      </c>
    </row>
    <row r="368" spans="2:14" x14ac:dyDescent="0.15">
      <c r="B368"/>
      <c r="D368" t="s">
        <v>631</v>
      </c>
      <c r="E368" t="s">
        <v>381</v>
      </c>
      <c r="F368" t="s">
        <v>626</v>
      </c>
      <c r="G368" t="s">
        <v>600</v>
      </c>
      <c r="H368" s="654">
        <v>2353118</v>
      </c>
      <c r="I368" s="654">
        <v>0</v>
      </c>
      <c r="J368" s="654">
        <v>2353118</v>
      </c>
      <c r="K368" s="654">
        <v>2353118</v>
      </c>
      <c r="L368" s="654">
        <v>0</v>
      </c>
      <c r="M368" s="654">
        <v>0</v>
      </c>
      <c r="N368" s="654">
        <v>0</v>
      </c>
    </row>
    <row r="369" spans="2:14" x14ac:dyDescent="0.15">
      <c r="B369"/>
      <c r="F369" t="s">
        <v>733</v>
      </c>
      <c r="H369" s="654">
        <v>2353118</v>
      </c>
      <c r="I369" s="654">
        <v>0</v>
      </c>
      <c r="J369" s="654">
        <v>2353118</v>
      </c>
      <c r="K369" s="654">
        <v>2353118</v>
      </c>
      <c r="L369" s="654">
        <v>0</v>
      </c>
      <c r="M369" s="654">
        <v>0</v>
      </c>
      <c r="N369" s="654">
        <v>0</v>
      </c>
    </row>
    <row r="370" spans="2:14" x14ac:dyDescent="0.15">
      <c r="B370"/>
      <c r="E370" t="s">
        <v>776</v>
      </c>
      <c r="H370" s="654">
        <v>2353118</v>
      </c>
      <c r="I370" s="654">
        <v>0</v>
      </c>
      <c r="J370" s="654">
        <v>2353118</v>
      </c>
      <c r="K370" s="654">
        <v>2353118</v>
      </c>
      <c r="L370" s="654">
        <v>0</v>
      </c>
      <c r="M370" s="654">
        <v>0</v>
      </c>
      <c r="N370" s="654">
        <v>0</v>
      </c>
    </row>
    <row r="371" spans="2:14" x14ac:dyDescent="0.15">
      <c r="B371"/>
      <c r="D371" t="s">
        <v>737</v>
      </c>
      <c r="H371" s="654">
        <v>2353118</v>
      </c>
      <c r="I371" s="654">
        <v>0</v>
      </c>
      <c r="J371" s="654">
        <v>2353118</v>
      </c>
      <c r="K371" s="654">
        <v>2353118</v>
      </c>
      <c r="L371" s="654">
        <v>0</v>
      </c>
      <c r="M371" s="654">
        <v>0</v>
      </c>
      <c r="N371" s="654">
        <v>0</v>
      </c>
    </row>
    <row r="372" spans="2:14" x14ac:dyDescent="0.15">
      <c r="B372"/>
      <c r="D372" t="s">
        <v>671</v>
      </c>
      <c r="E372" t="s">
        <v>383</v>
      </c>
      <c r="F372" t="s">
        <v>626</v>
      </c>
      <c r="G372" t="s">
        <v>600</v>
      </c>
      <c r="H372" s="654">
        <v>1494178</v>
      </c>
      <c r="I372" s="654">
        <v>-43260</v>
      </c>
      <c r="J372" s="654">
        <v>1450918</v>
      </c>
      <c r="K372" s="654">
        <v>1450918</v>
      </c>
      <c r="L372" s="654">
        <v>0</v>
      </c>
      <c r="M372" s="654">
        <v>19602</v>
      </c>
      <c r="N372" s="654">
        <v>0</v>
      </c>
    </row>
    <row r="373" spans="2:14" x14ac:dyDescent="0.15">
      <c r="B373"/>
      <c r="F373" t="s">
        <v>733</v>
      </c>
      <c r="H373" s="654">
        <v>1494178</v>
      </c>
      <c r="I373" s="654">
        <v>-43260</v>
      </c>
      <c r="J373" s="654">
        <v>1450918</v>
      </c>
      <c r="K373" s="654">
        <v>1450918</v>
      </c>
      <c r="L373" s="654">
        <v>0</v>
      </c>
      <c r="M373" s="654">
        <v>19602</v>
      </c>
      <c r="N373" s="654">
        <v>0</v>
      </c>
    </row>
    <row r="374" spans="2:14" x14ac:dyDescent="0.15">
      <c r="B374"/>
      <c r="F374" t="s">
        <v>627</v>
      </c>
      <c r="G374" t="s">
        <v>599</v>
      </c>
      <c r="H374" s="654">
        <v>5117</v>
      </c>
      <c r="I374" s="654">
        <v>0</v>
      </c>
      <c r="J374" s="654">
        <v>5117</v>
      </c>
      <c r="K374" s="654">
        <v>5117</v>
      </c>
      <c r="L374" s="654">
        <v>0</v>
      </c>
      <c r="M374" s="654">
        <v>0</v>
      </c>
      <c r="N374" s="654">
        <v>0</v>
      </c>
    </row>
    <row r="375" spans="2:14" x14ac:dyDescent="0.15">
      <c r="B375"/>
      <c r="F375" t="s">
        <v>734</v>
      </c>
      <c r="H375" s="654">
        <v>5117</v>
      </c>
      <c r="I375" s="654">
        <v>0</v>
      </c>
      <c r="J375" s="654">
        <v>5117</v>
      </c>
      <c r="K375" s="654">
        <v>5117</v>
      </c>
      <c r="L375" s="654">
        <v>0</v>
      </c>
      <c r="M375" s="654">
        <v>0</v>
      </c>
      <c r="N375" s="654">
        <v>0</v>
      </c>
    </row>
    <row r="376" spans="2:14" x14ac:dyDescent="0.15">
      <c r="B376"/>
      <c r="E376" t="s">
        <v>777</v>
      </c>
      <c r="H376" s="654">
        <v>1499295</v>
      </c>
      <c r="I376" s="654">
        <v>-43260</v>
      </c>
      <c r="J376" s="654">
        <v>1456035</v>
      </c>
      <c r="K376" s="654">
        <v>1456035</v>
      </c>
      <c r="L376" s="654">
        <v>0</v>
      </c>
      <c r="M376" s="654">
        <v>19602</v>
      </c>
      <c r="N376" s="654">
        <v>0</v>
      </c>
    </row>
    <row r="377" spans="2:14" x14ac:dyDescent="0.15">
      <c r="B377"/>
      <c r="D377" t="s">
        <v>742</v>
      </c>
      <c r="H377" s="654">
        <v>1499295</v>
      </c>
      <c r="I377" s="654">
        <v>-43260</v>
      </c>
      <c r="J377" s="654">
        <v>1456035</v>
      </c>
      <c r="K377" s="654">
        <v>1456035</v>
      </c>
      <c r="L377" s="654">
        <v>0</v>
      </c>
      <c r="M377" s="654">
        <v>19602</v>
      </c>
      <c r="N377" s="654">
        <v>0</v>
      </c>
    </row>
    <row r="378" spans="2:14" x14ac:dyDescent="0.15">
      <c r="B378"/>
      <c r="C378" t="s">
        <v>853</v>
      </c>
      <c r="H378" s="654">
        <v>27137725</v>
      </c>
      <c r="I378" s="654">
        <v>-471316</v>
      </c>
      <c r="J378" s="654">
        <v>26666409</v>
      </c>
      <c r="K378" s="654">
        <v>26666409</v>
      </c>
      <c r="L378" s="654">
        <v>0</v>
      </c>
      <c r="M378" s="654">
        <v>196716</v>
      </c>
      <c r="N378" s="654">
        <v>2334430</v>
      </c>
    </row>
    <row r="379" spans="2:14" x14ac:dyDescent="0.15">
      <c r="B379" t="s">
        <v>627</v>
      </c>
      <c r="C379" t="s">
        <v>847</v>
      </c>
      <c r="D379" t="s">
        <v>625</v>
      </c>
      <c r="E379" t="s">
        <v>594</v>
      </c>
      <c r="F379" t="s">
        <v>566</v>
      </c>
      <c r="G379" t="s">
        <v>597</v>
      </c>
      <c r="H379" s="654">
        <v>33378</v>
      </c>
      <c r="I379" s="654">
        <v>0</v>
      </c>
      <c r="J379" s="654">
        <v>33378</v>
      </c>
      <c r="K379" s="654">
        <v>33378</v>
      </c>
      <c r="L379" s="654">
        <v>0</v>
      </c>
      <c r="M379" s="654">
        <v>0</v>
      </c>
      <c r="N379" s="654">
        <v>0</v>
      </c>
    </row>
    <row r="380" spans="2:14" x14ac:dyDescent="0.15">
      <c r="B380"/>
      <c r="F380" t="s">
        <v>738</v>
      </c>
      <c r="H380" s="654">
        <v>33378</v>
      </c>
      <c r="I380" s="654">
        <v>0</v>
      </c>
      <c r="J380" s="654">
        <v>33378</v>
      </c>
      <c r="K380" s="654">
        <v>33378</v>
      </c>
      <c r="L380" s="654">
        <v>0</v>
      </c>
      <c r="M380" s="654">
        <v>0</v>
      </c>
      <c r="N380" s="654">
        <v>0</v>
      </c>
    </row>
    <row r="381" spans="2:14" x14ac:dyDescent="0.15">
      <c r="B381"/>
      <c r="E381" t="s">
        <v>768</v>
      </c>
      <c r="H381" s="654">
        <v>33378</v>
      </c>
      <c r="I381" s="654">
        <v>0</v>
      </c>
      <c r="J381" s="654">
        <v>33378</v>
      </c>
      <c r="K381" s="654">
        <v>33378</v>
      </c>
      <c r="L381" s="654">
        <v>0</v>
      </c>
      <c r="M381" s="654">
        <v>0</v>
      </c>
      <c r="N381" s="654">
        <v>0</v>
      </c>
    </row>
    <row r="382" spans="2:14" x14ac:dyDescent="0.15">
      <c r="B382"/>
      <c r="D382" t="s">
        <v>741</v>
      </c>
      <c r="H382" s="654">
        <v>33378</v>
      </c>
      <c r="I382" s="654">
        <v>0</v>
      </c>
      <c r="J382" s="654">
        <v>33378</v>
      </c>
      <c r="K382" s="654">
        <v>33378</v>
      </c>
      <c r="L382" s="654">
        <v>0</v>
      </c>
      <c r="M382" s="654">
        <v>0</v>
      </c>
      <c r="N382" s="654">
        <v>0</v>
      </c>
    </row>
    <row r="383" spans="2:14" x14ac:dyDescent="0.15">
      <c r="B383"/>
      <c r="D383" t="s">
        <v>626</v>
      </c>
      <c r="E383" t="s">
        <v>378</v>
      </c>
      <c r="F383" t="s">
        <v>626</v>
      </c>
      <c r="G383" t="s">
        <v>600</v>
      </c>
      <c r="H383" s="654">
        <v>-43738</v>
      </c>
      <c r="I383" s="654">
        <v>-10663</v>
      </c>
      <c r="J383" s="654">
        <v>-54401</v>
      </c>
      <c r="K383" s="654">
        <v>-54401</v>
      </c>
      <c r="L383" s="654">
        <v>0</v>
      </c>
      <c r="M383" s="654">
        <v>0</v>
      </c>
      <c r="N383" s="654">
        <v>0</v>
      </c>
    </row>
    <row r="384" spans="2:14" x14ac:dyDescent="0.15">
      <c r="B384"/>
      <c r="F384" t="s">
        <v>733</v>
      </c>
      <c r="H384" s="654">
        <v>-43738</v>
      </c>
      <c r="I384" s="654">
        <v>-10663</v>
      </c>
      <c r="J384" s="654">
        <v>-54401</v>
      </c>
      <c r="K384" s="654">
        <v>-54401</v>
      </c>
      <c r="L384" s="654">
        <v>0</v>
      </c>
      <c r="M384" s="654">
        <v>0</v>
      </c>
      <c r="N384" s="654">
        <v>0</v>
      </c>
    </row>
    <row r="385" spans="2:14" x14ac:dyDescent="0.15">
      <c r="B385"/>
      <c r="F385" t="s">
        <v>627</v>
      </c>
      <c r="G385" t="s">
        <v>599</v>
      </c>
      <c r="H385" s="654">
        <v>94898</v>
      </c>
      <c r="I385" s="654">
        <v>0</v>
      </c>
      <c r="J385" s="654">
        <v>94898</v>
      </c>
      <c r="K385" s="654">
        <v>94898</v>
      </c>
      <c r="L385" s="654">
        <v>0</v>
      </c>
      <c r="M385" s="654">
        <v>0</v>
      </c>
      <c r="N385" s="654">
        <v>0</v>
      </c>
    </row>
    <row r="386" spans="2:14" x14ac:dyDescent="0.15">
      <c r="B386"/>
      <c r="F386" t="s">
        <v>734</v>
      </c>
      <c r="H386" s="654">
        <v>94898</v>
      </c>
      <c r="I386" s="654">
        <v>0</v>
      </c>
      <c r="J386" s="654">
        <v>94898</v>
      </c>
      <c r="K386" s="654">
        <v>94898</v>
      </c>
      <c r="L386" s="654">
        <v>0</v>
      </c>
      <c r="M386" s="654">
        <v>0</v>
      </c>
      <c r="N386" s="654">
        <v>0</v>
      </c>
    </row>
    <row r="387" spans="2:14" x14ac:dyDescent="0.15">
      <c r="B387"/>
      <c r="F387" t="s">
        <v>628</v>
      </c>
      <c r="G387" t="s">
        <v>598</v>
      </c>
      <c r="H387" s="654">
        <v>0</v>
      </c>
      <c r="I387" s="654">
        <v>0</v>
      </c>
      <c r="J387" s="654">
        <v>0</v>
      </c>
      <c r="K387" s="654">
        <v>0</v>
      </c>
      <c r="L387" s="654">
        <v>0</v>
      </c>
      <c r="M387" s="654">
        <v>0</v>
      </c>
      <c r="N387" s="654">
        <v>0</v>
      </c>
    </row>
    <row r="388" spans="2:14" x14ac:dyDescent="0.15">
      <c r="B388"/>
      <c r="F388" t="s">
        <v>735</v>
      </c>
      <c r="H388" s="654">
        <v>0</v>
      </c>
      <c r="I388" s="654">
        <v>0</v>
      </c>
      <c r="J388" s="654">
        <v>0</v>
      </c>
      <c r="K388" s="654">
        <v>0</v>
      </c>
      <c r="L388" s="654">
        <v>0</v>
      </c>
      <c r="M388" s="654">
        <v>0</v>
      </c>
      <c r="N388" s="654">
        <v>0</v>
      </c>
    </row>
    <row r="389" spans="2:14" x14ac:dyDescent="0.15">
      <c r="B389"/>
      <c r="E389" t="s">
        <v>769</v>
      </c>
      <c r="H389" s="654">
        <v>51160</v>
      </c>
      <c r="I389" s="654">
        <v>-10663</v>
      </c>
      <c r="J389" s="654">
        <v>40497</v>
      </c>
      <c r="K389" s="654">
        <v>40497</v>
      </c>
      <c r="L389" s="654">
        <v>0</v>
      </c>
      <c r="M389" s="654">
        <v>0</v>
      </c>
      <c r="N389" s="654">
        <v>0</v>
      </c>
    </row>
    <row r="390" spans="2:14" x14ac:dyDescent="0.15">
      <c r="B390"/>
      <c r="D390" t="s">
        <v>733</v>
      </c>
      <c r="H390" s="654">
        <v>51160</v>
      </c>
      <c r="I390" s="654">
        <v>-10663</v>
      </c>
      <c r="J390" s="654">
        <v>40497</v>
      </c>
      <c r="K390" s="654">
        <v>40497</v>
      </c>
      <c r="L390" s="654">
        <v>0</v>
      </c>
      <c r="M390" s="654">
        <v>0</v>
      </c>
      <c r="N390" s="654">
        <v>0</v>
      </c>
    </row>
    <row r="391" spans="2:14" x14ac:dyDescent="0.15">
      <c r="B391"/>
      <c r="D391" t="s">
        <v>627</v>
      </c>
      <c r="E391" t="s">
        <v>379</v>
      </c>
      <c r="F391" t="s">
        <v>626</v>
      </c>
      <c r="G391" t="s">
        <v>600</v>
      </c>
      <c r="H391" s="654">
        <v>14011</v>
      </c>
      <c r="I391" s="654">
        <v>24718</v>
      </c>
      <c r="J391" s="654">
        <v>38729</v>
      </c>
      <c r="K391" s="654">
        <v>38729</v>
      </c>
      <c r="L391" s="654">
        <v>0</v>
      </c>
      <c r="M391" s="654">
        <v>0</v>
      </c>
      <c r="N391" s="654">
        <v>0</v>
      </c>
    </row>
    <row r="392" spans="2:14" x14ac:dyDescent="0.15">
      <c r="B392"/>
      <c r="F392" t="s">
        <v>733</v>
      </c>
      <c r="H392" s="654">
        <v>14011</v>
      </c>
      <c r="I392" s="654">
        <v>24718</v>
      </c>
      <c r="J392" s="654">
        <v>38729</v>
      </c>
      <c r="K392" s="654">
        <v>38729</v>
      </c>
      <c r="L392" s="654">
        <v>0</v>
      </c>
      <c r="M392" s="654">
        <v>0</v>
      </c>
      <c r="N392" s="654">
        <v>0</v>
      </c>
    </row>
    <row r="393" spans="2:14" x14ac:dyDescent="0.15">
      <c r="B393"/>
      <c r="F393" t="s">
        <v>627</v>
      </c>
      <c r="G393" t="s">
        <v>599</v>
      </c>
      <c r="H393" s="654">
        <v>0</v>
      </c>
      <c r="I393" s="654">
        <v>0</v>
      </c>
      <c r="J393" s="654">
        <v>0</v>
      </c>
      <c r="K393" s="654">
        <v>0</v>
      </c>
      <c r="L393" s="654">
        <v>0</v>
      </c>
      <c r="M393" s="654">
        <v>0</v>
      </c>
      <c r="N393" s="654">
        <v>0</v>
      </c>
    </row>
    <row r="394" spans="2:14" x14ac:dyDescent="0.15">
      <c r="B394"/>
      <c r="F394" t="s">
        <v>734</v>
      </c>
      <c r="H394" s="654">
        <v>0</v>
      </c>
      <c r="I394" s="654">
        <v>0</v>
      </c>
      <c r="J394" s="654">
        <v>0</v>
      </c>
      <c r="K394" s="654">
        <v>0</v>
      </c>
      <c r="L394" s="654">
        <v>0</v>
      </c>
      <c r="M394" s="654">
        <v>0</v>
      </c>
      <c r="N394" s="654">
        <v>0</v>
      </c>
    </row>
    <row r="395" spans="2:14" x14ac:dyDescent="0.15">
      <c r="B395"/>
      <c r="F395" t="s">
        <v>628</v>
      </c>
      <c r="G395" t="s">
        <v>598</v>
      </c>
      <c r="H395" s="654">
        <v>0</v>
      </c>
      <c r="I395" s="654">
        <v>0</v>
      </c>
      <c r="J395" s="654">
        <v>0</v>
      </c>
      <c r="K395" s="654">
        <v>0</v>
      </c>
      <c r="L395" s="654">
        <v>0</v>
      </c>
      <c r="M395" s="654">
        <v>0</v>
      </c>
      <c r="N395" s="654">
        <v>0</v>
      </c>
    </row>
    <row r="396" spans="2:14" x14ac:dyDescent="0.15">
      <c r="B396"/>
      <c r="F396" t="s">
        <v>735</v>
      </c>
      <c r="H396" s="654">
        <v>0</v>
      </c>
      <c r="I396" s="654">
        <v>0</v>
      </c>
      <c r="J396" s="654">
        <v>0</v>
      </c>
      <c r="K396" s="654">
        <v>0</v>
      </c>
      <c r="L396" s="654">
        <v>0</v>
      </c>
      <c r="M396" s="654">
        <v>0</v>
      </c>
      <c r="N396" s="654">
        <v>0</v>
      </c>
    </row>
    <row r="397" spans="2:14" x14ac:dyDescent="0.15">
      <c r="B397"/>
      <c r="E397" t="s">
        <v>770</v>
      </c>
      <c r="H397" s="654">
        <v>14011</v>
      </c>
      <c r="I397" s="654">
        <v>24718</v>
      </c>
      <c r="J397" s="654">
        <v>38729</v>
      </c>
      <c r="K397" s="654">
        <v>38729</v>
      </c>
      <c r="L397" s="654">
        <v>0</v>
      </c>
      <c r="M397" s="654">
        <v>0</v>
      </c>
      <c r="N397" s="654">
        <v>0</v>
      </c>
    </row>
    <row r="398" spans="2:14" x14ac:dyDescent="0.15">
      <c r="B398"/>
      <c r="D398" t="s">
        <v>734</v>
      </c>
      <c r="H398" s="654">
        <v>14011</v>
      </c>
      <c r="I398" s="654">
        <v>24718</v>
      </c>
      <c r="J398" s="654">
        <v>38729</v>
      </c>
      <c r="K398" s="654">
        <v>38729</v>
      </c>
      <c r="L398" s="654">
        <v>0</v>
      </c>
      <c r="M398" s="654">
        <v>0</v>
      </c>
      <c r="N398" s="654">
        <v>0</v>
      </c>
    </row>
    <row r="399" spans="2:14" x14ac:dyDescent="0.15">
      <c r="B399"/>
      <c r="D399" t="s">
        <v>628</v>
      </c>
      <c r="E399" t="s">
        <v>380</v>
      </c>
      <c r="F399" t="s">
        <v>626</v>
      </c>
      <c r="G399" t="s">
        <v>600</v>
      </c>
      <c r="H399" s="654">
        <v>289497</v>
      </c>
      <c r="I399" s="654">
        <v>0</v>
      </c>
      <c r="J399" s="654">
        <v>289497</v>
      </c>
      <c r="K399" s="654">
        <v>289497</v>
      </c>
      <c r="L399" s="654">
        <v>0</v>
      </c>
      <c r="M399" s="654">
        <v>0</v>
      </c>
      <c r="N399" s="654">
        <v>0</v>
      </c>
    </row>
    <row r="400" spans="2:14" x14ac:dyDescent="0.15">
      <c r="B400"/>
      <c r="F400" t="s">
        <v>733</v>
      </c>
      <c r="H400" s="654">
        <v>289497</v>
      </c>
      <c r="I400" s="654">
        <v>0</v>
      </c>
      <c r="J400" s="654">
        <v>289497</v>
      </c>
      <c r="K400" s="654">
        <v>289497</v>
      </c>
      <c r="L400" s="654">
        <v>0</v>
      </c>
      <c r="M400" s="654">
        <v>0</v>
      </c>
      <c r="N400" s="654">
        <v>0</v>
      </c>
    </row>
    <row r="401" spans="2:14" x14ac:dyDescent="0.15">
      <c r="B401"/>
      <c r="F401" t="s">
        <v>627</v>
      </c>
      <c r="G401" t="s">
        <v>599</v>
      </c>
      <c r="H401" s="654">
        <v>95303</v>
      </c>
      <c r="I401" s="654">
        <v>-16154</v>
      </c>
      <c r="J401" s="654">
        <v>79149</v>
      </c>
      <c r="K401" s="654">
        <v>79149</v>
      </c>
      <c r="L401" s="654">
        <v>0</v>
      </c>
      <c r="M401" s="654">
        <v>0</v>
      </c>
      <c r="N401" s="654">
        <v>0</v>
      </c>
    </row>
    <row r="402" spans="2:14" x14ac:dyDescent="0.15">
      <c r="B402"/>
      <c r="F402" t="s">
        <v>734</v>
      </c>
      <c r="H402" s="654">
        <v>95303</v>
      </c>
      <c r="I402" s="654">
        <v>-16154</v>
      </c>
      <c r="J402" s="654">
        <v>79149</v>
      </c>
      <c r="K402" s="654">
        <v>79149</v>
      </c>
      <c r="L402" s="654">
        <v>0</v>
      </c>
      <c r="M402" s="654">
        <v>0</v>
      </c>
      <c r="N402" s="654">
        <v>0</v>
      </c>
    </row>
    <row r="403" spans="2:14" x14ac:dyDescent="0.15">
      <c r="B403"/>
      <c r="E403" t="s">
        <v>771</v>
      </c>
      <c r="H403" s="654">
        <v>384800</v>
      </c>
      <c r="I403" s="654">
        <v>-16154</v>
      </c>
      <c r="J403" s="654">
        <v>368646</v>
      </c>
      <c r="K403" s="654">
        <v>368646</v>
      </c>
      <c r="L403" s="654">
        <v>0</v>
      </c>
      <c r="M403" s="654">
        <v>0</v>
      </c>
      <c r="N403" s="654">
        <v>0</v>
      </c>
    </row>
    <row r="404" spans="2:14" x14ac:dyDescent="0.15">
      <c r="B404"/>
      <c r="D404" t="s">
        <v>735</v>
      </c>
      <c r="H404" s="654">
        <v>384800</v>
      </c>
      <c r="I404" s="654">
        <v>-16154</v>
      </c>
      <c r="J404" s="654">
        <v>368646</v>
      </c>
      <c r="K404" s="654">
        <v>368646</v>
      </c>
      <c r="L404" s="654">
        <v>0</v>
      </c>
      <c r="M404" s="654">
        <v>0</v>
      </c>
      <c r="N404" s="654">
        <v>0</v>
      </c>
    </row>
    <row r="405" spans="2:14" x14ac:dyDescent="0.15">
      <c r="B405"/>
      <c r="D405" t="s">
        <v>629</v>
      </c>
      <c r="E405" t="s">
        <v>676</v>
      </c>
      <c r="F405" t="s">
        <v>629</v>
      </c>
      <c r="G405" t="s">
        <v>601</v>
      </c>
      <c r="H405" s="654">
        <v>7513</v>
      </c>
      <c r="I405" s="654">
        <v>-7513</v>
      </c>
      <c r="J405" s="654">
        <v>0</v>
      </c>
      <c r="K405" s="654">
        <v>0</v>
      </c>
      <c r="L405" s="654">
        <v>0</v>
      </c>
      <c r="M405" s="654">
        <v>0</v>
      </c>
      <c r="N405" s="654">
        <v>0</v>
      </c>
    </row>
    <row r="406" spans="2:14" x14ac:dyDescent="0.15">
      <c r="B406"/>
      <c r="F406" t="s">
        <v>736</v>
      </c>
      <c r="H406" s="654">
        <v>7513</v>
      </c>
      <c r="I406" s="654">
        <v>-7513</v>
      </c>
      <c r="J406" s="654">
        <v>0</v>
      </c>
      <c r="K406" s="654">
        <v>0</v>
      </c>
      <c r="L406" s="654">
        <v>0</v>
      </c>
      <c r="M406" s="654">
        <v>0</v>
      </c>
      <c r="N406" s="654">
        <v>0</v>
      </c>
    </row>
    <row r="407" spans="2:14" x14ac:dyDescent="0.15">
      <c r="B407"/>
      <c r="E407" t="s">
        <v>772</v>
      </c>
      <c r="H407" s="654">
        <v>7513</v>
      </c>
      <c r="I407" s="654">
        <v>-7513</v>
      </c>
      <c r="J407" s="654">
        <v>0</v>
      </c>
      <c r="K407" s="654">
        <v>0</v>
      </c>
      <c r="L407" s="654">
        <v>0</v>
      </c>
      <c r="M407" s="654">
        <v>0</v>
      </c>
      <c r="N407" s="654">
        <v>0</v>
      </c>
    </row>
    <row r="408" spans="2:14" x14ac:dyDescent="0.15">
      <c r="B408"/>
      <c r="D408" t="s">
        <v>736</v>
      </c>
      <c r="H408" s="654">
        <v>7513</v>
      </c>
      <c r="I408" s="654">
        <v>-7513</v>
      </c>
      <c r="J408" s="654">
        <v>0</v>
      </c>
      <c r="K408" s="654">
        <v>0</v>
      </c>
      <c r="L408" s="654">
        <v>0</v>
      </c>
      <c r="M408" s="654">
        <v>0</v>
      </c>
      <c r="N408" s="654">
        <v>0</v>
      </c>
    </row>
    <row r="409" spans="2:14" x14ac:dyDescent="0.15">
      <c r="B409"/>
      <c r="D409" t="s">
        <v>567</v>
      </c>
      <c r="E409" t="s">
        <v>473</v>
      </c>
      <c r="F409" t="s">
        <v>631</v>
      </c>
      <c r="G409" t="s">
        <v>596</v>
      </c>
      <c r="H409" s="654">
        <v>948758</v>
      </c>
      <c r="I409" s="654">
        <v>0</v>
      </c>
      <c r="J409" s="654">
        <v>948758</v>
      </c>
      <c r="K409" s="654">
        <v>948758</v>
      </c>
      <c r="L409" s="654">
        <v>0</v>
      </c>
      <c r="M409" s="654">
        <v>0</v>
      </c>
      <c r="N409" s="654">
        <v>0</v>
      </c>
    </row>
    <row r="410" spans="2:14" x14ac:dyDescent="0.15">
      <c r="B410"/>
      <c r="F410" t="s">
        <v>737</v>
      </c>
      <c r="H410" s="654">
        <v>948758</v>
      </c>
      <c r="I410" s="654">
        <v>0</v>
      </c>
      <c r="J410" s="654">
        <v>948758</v>
      </c>
      <c r="K410" s="654">
        <v>948758</v>
      </c>
      <c r="L410" s="654">
        <v>0</v>
      </c>
      <c r="M410" s="654">
        <v>0</v>
      </c>
      <c r="N410" s="654">
        <v>0</v>
      </c>
    </row>
    <row r="411" spans="2:14" x14ac:dyDescent="0.15">
      <c r="B411"/>
      <c r="E411" t="s">
        <v>773</v>
      </c>
      <c r="H411" s="654">
        <v>948758</v>
      </c>
      <c r="I411" s="654">
        <v>0</v>
      </c>
      <c r="J411" s="654">
        <v>948758</v>
      </c>
      <c r="K411" s="654">
        <v>948758</v>
      </c>
      <c r="L411" s="654">
        <v>0</v>
      </c>
      <c r="M411" s="654">
        <v>0</v>
      </c>
      <c r="N411" s="654">
        <v>0</v>
      </c>
    </row>
    <row r="412" spans="2:14" x14ac:dyDescent="0.15">
      <c r="B412"/>
      <c r="D412" t="s">
        <v>739</v>
      </c>
      <c r="H412" s="654">
        <v>948758</v>
      </c>
      <c r="I412" s="654">
        <v>0</v>
      </c>
      <c r="J412" s="654">
        <v>948758</v>
      </c>
      <c r="K412" s="654">
        <v>948758</v>
      </c>
      <c r="L412" s="654">
        <v>0</v>
      </c>
      <c r="M412" s="654">
        <v>0</v>
      </c>
      <c r="N412" s="654">
        <v>0</v>
      </c>
    </row>
    <row r="413" spans="2:14" x14ac:dyDescent="0.15">
      <c r="B413"/>
      <c r="D413" t="s">
        <v>568</v>
      </c>
      <c r="E413" t="s">
        <v>474</v>
      </c>
      <c r="F413" t="s">
        <v>631</v>
      </c>
      <c r="G413" t="s">
        <v>596</v>
      </c>
      <c r="H413" s="654">
        <v>709019</v>
      </c>
      <c r="I413" s="654">
        <v>0</v>
      </c>
      <c r="J413" s="654">
        <v>709019</v>
      </c>
      <c r="K413" s="654">
        <v>709019</v>
      </c>
      <c r="L413" s="654">
        <v>0</v>
      </c>
      <c r="M413" s="654">
        <v>0</v>
      </c>
      <c r="N413" s="654">
        <v>0</v>
      </c>
    </row>
    <row r="414" spans="2:14" x14ac:dyDescent="0.15">
      <c r="B414"/>
      <c r="F414" t="s">
        <v>737</v>
      </c>
      <c r="H414" s="654">
        <v>709019</v>
      </c>
      <c r="I414" s="654">
        <v>0</v>
      </c>
      <c r="J414" s="654">
        <v>709019</v>
      </c>
      <c r="K414" s="654">
        <v>709019</v>
      </c>
      <c r="L414" s="654">
        <v>0</v>
      </c>
      <c r="M414" s="654">
        <v>0</v>
      </c>
      <c r="N414" s="654">
        <v>0</v>
      </c>
    </row>
    <row r="415" spans="2:14" x14ac:dyDescent="0.15">
      <c r="B415"/>
      <c r="E415" t="s">
        <v>774</v>
      </c>
      <c r="H415" s="654">
        <v>709019</v>
      </c>
      <c r="I415" s="654">
        <v>0</v>
      </c>
      <c r="J415" s="654">
        <v>709019</v>
      </c>
      <c r="K415" s="654">
        <v>709019</v>
      </c>
      <c r="L415" s="654">
        <v>0</v>
      </c>
      <c r="M415" s="654">
        <v>0</v>
      </c>
      <c r="N415" s="654">
        <v>0</v>
      </c>
    </row>
    <row r="416" spans="2:14" x14ac:dyDescent="0.15">
      <c r="B416"/>
      <c r="D416" t="s">
        <v>740</v>
      </c>
      <c r="H416" s="654">
        <v>709019</v>
      </c>
      <c r="I416" s="654">
        <v>0</v>
      </c>
      <c r="J416" s="654">
        <v>709019</v>
      </c>
      <c r="K416" s="654">
        <v>709019</v>
      </c>
      <c r="L416" s="654">
        <v>0</v>
      </c>
      <c r="M416" s="654">
        <v>0</v>
      </c>
      <c r="N416" s="654">
        <v>0</v>
      </c>
    </row>
    <row r="417" spans="1:14" x14ac:dyDescent="0.15">
      <c r="B417"/>
      <c r="D417" t="s">
        <v>566</v>
      </c>
      <c r="E417" t="s">
        <v>382</v>
      </c>
      <c r="F417" t="s">
        <v>626</v>
      </c>
      <c r="G417" t="s">
        <v>600</v>
      </c>
      <c r="H417" s="654">
        <v>43078</v>
      </c>
      <c r="I417" s="654">
        <v>0</v>
      </c>
      <c r="J417" s="654">
        <v>43078</v>
      </c>
      <c r="K417" s="654">
        <v>43078</v>
      </c>
      <c r="L417" s="654">
        <v>0</v>
      </c>
      <c r="M417" s="654">
        <v>0</v>
      </c>
      <c r="N417" s="654">
        <v>0</v>
      </c>
    </row>
    <row r="418" spans="1:14" x14ac:dyDescent="0.15">
      <c r="B418"/>
      <c r="F418" t="s">
        <v>733</v>
      </c>
      <c r="H418" s="654">
        <v>43078</v>
      </c>
      <c r="I418" s="654">
        <v>0</v>
      </c>
      <c r="J418" s="654">
        <v>43078</v>
      </c>
      <c r="K418" s="654">
        <v>43078</v>
      </c>
      <c r="L418" s="654">
        <v>0</v>
      </c>
      <c r="M418" s="654">
        <v>0</v>
      </c>
      <c r="N418" s="654">
        <v>0</v>
      </c>
    </row>
    <row r="419" spans="1:14" x14ac:dyDescent="0.15">
      <c r="B419"/>
      <c r="E419" t="s">
        <v>775</v>
      </c>
      <c r="H419" s="654">
        <v>43078</v>
      </c>
      <c r="I419" s="654">
        <v>0</v>
      </c>
      <c r="J419" s="654">
        <v>43078</v>
      </c>
      <c r="K419" s="654">
        <v>43078</v>
      </c>
      <c r="L419" s="654">
        <v>0</v>
      </c>
      <c r="M419" s="654">
        <v>0</v>
      </c>
      <c r="N419" s="654">
        <v>0</v>
      </c>
    </row>
    <row r="420" spans="1:14" x14ac:dyDescent="0.15">
      <c r="B420"/>
      <c r="D420" t="s">
        <v>738</v>
      </c>
      <c r="H420" s="654">
        <v>43078</v>
      </c>
      <c r="I420" s="654">
        <v>0</v>
      </c>
      <c r="J420" s="654">
        <v>43078</v>
      </c>
      <c r="K420" s="654">
        <v>43078</v>
      </c>
      <c r="L420" s="654">
        <v>0</v>
      </c>
      <c r="M420" s="654">
        <v>0</v>
      </c>
      <c r="N420" s="654">
        <v>0</v>
      </c>
    </row>
    <row r="421" spans="1:14" x14ac:dyDescent="0.15">
      <c r="B421"/>
      <c r="D421" t="s">
        <v>631</v>
      </c>
      <c r="E421" t="s">
        <v>381</v>
      </c>
      <c r="F421" t="s">
        <v>626</v>
      </c>
      <c r="G421" t="s">
        <v>600</v>
      </c>
      <c r="H421" s="654">
        <v>0</v>
      </c>
      <c r="I421" s="654">
        <v>0</v>
      </c>
      <c r="J421" s="654">
        <v>0</v>
      </c>
      <c r="K421" s="654">
        <v>0</v>
      </c>
      <c r="L421" s="654">
        <v>0</v>
      </c>
      <c r="M421" s="654">
        <v>0</v>
      </c>
      <c r="N421" s="654">
        <v>0</v>
      </c>
    </row>
    <row r="422" spans="1:14" x14ac:dyDescent="0.15">
      <c r="B422"/>
      <c r="F422" t="s">
        <v>733</v>
      </c>
      <c r="H422" s="654">
        <v>0</v>
      </c>
      <c r="I422" s="654">
        <v>0</v>
      </c>
      <c r="J422" s="654">
        <v>0</v>
      </c>
      <c r="K422" s="654">
        <v>0</v>
      </c>
      <c r="L422" s="654">
        <v>0</v>
      </c>
      <c r="M422" s="654">
        <v>0</v>
      </c>
      <c r="N422" s="654">
        <v>0</v>
      </c>
    </row>
    <row r="423" spans="1:14" x14ac:dyDescent="0.15">
      <c r="B423"/>
      <c r="E423" t="s">
        <v>776</v>
      </c>
      <c r="H423" s="654">
        <v>0</v>
      </c>
      <c r="I423" s="654">
        <v>0</v>
      </c>
      <c r="J423" s="654">
        <v>0</v>
      </c>
      <c r="K423" s="654">
        <v>0</v>
      </c>
      <c r="L423" s="654">
        <v>0</v>
      </c>
      <c r="M423" s="654">
        <v>0</v>
      </c>
      <c r="N423" s="654">
        <v>0</v>
      </c>
    </row>
    <row r="424" spans="1:14" x14ac:dyDescent="0.15">
      <c r="B424"/>
      <c r="D424" t="s">
        <v>737</v>
      </c>
      <c r="H424" s="654">
        <v>0</v>
      </c>
      <c r="I424" s="654">
        <v>0</v>
      </c>
      <c r="J424" s="654">
        <v>0</v>
      </c>
      <c r="K424" s="654">
        <v>0</v>
      </c>
      <c r="L424" s="654">
        <v>0</v>
      </c>
      <c r="M424" s="654">
        <v>0</v>
      </c>
      <c r="N424" s="654">
        <v>0</v>
      </c>
    </row>
    <row r="425" spans="1:14" x14ac:dyDescent="0.15">
      <c r="B425"/>
      <c r="D425" t="s">
        <v>671</v>
      </c>
      <c r="E425" t="s">
        <v>383</v>
      </c>
      <c r="F425" t="s">
        <v>626</v>
      </c>
      <c r="G425" t="s">
        <v>600</v>
      </c>
      <c r="H425" s="654">
        <v>39181</v>
      </c>
      <c r="I425" s="654">
        <v>0</v>
      </c>
      <c r="J425" s="654">
        <v>39181</v>
      </c>
      <c r="K425" s="654">
        <v>39181</v>
      </c>
      <c r="L425" s="654">
        <v>0</v>
      </c>
      <c r="M425" s="654">
        <v>0</v>
      </c>
      <c r="N425" s="654">
        <v>0</v>
      </c>
    </row>
    <row r="426" spans="1:14" x14ac:dyDescent="0.15">
      <c r="B426"/>
      <c r="F426" t="s">
        <v>733</v>
      </c>
      <c r="H426" s="654">
        <v>39181</v>
      </c>
      <c r="I426" s="654">
        <v>0</v>
      </c>
      <c r="J426" s="654">
        <v>39181</v>
      </c>
      <c r="K426" s="654">
        <v>39181</v>
      </c>
      <c r="L426" s="654">
        <v>0</v>
      </c>
      <c r="M426" s="654">
        <v>0</v>
      </c>
      <c r="N426" s="654">
        <v>0</v>
      </c>
    </row>
    <row r="427" spans="1:14" x14ac:dyDescent="0.15">
      <c r="B427"/>
      <c r="F427" t="s">
        <v>627</v>
      </c>
      <c r="G427" t="s">
        <v>599</v>
      </c>
      <c r="H427" s="654">
        <v>0</v>
      </c>
      <c r="I427" s="654">
        <v>0</v>
      </c>
      <c r="J427" s="654">
        <v>0</v>
      </c>
      <c r="K427" s="654">
        <v>0</v>
      </c>
      <c r="L427" s="654">
        <v>0</v>
      </c>
      <c r="M427" s="654">
        <v>0</v>
      </c>
      <c r="N427" s="654">
        <v>0</v>
      </c>
    </row>
    <row r="428" spans="1:14" x14ac:dyDescent="0.15">
      <c r="B428"/>
      <c r="F428" t="s">
        <v>734</v>
      </c>
      <c r="H428" s="654">
        <v>0</v>
      </c>
      <c r="I428" s="654">
        <v>0</v>
      </c>
      <c r="J428" s="654">
        <v>0</v>
      </c>
      <c r="K428" s="654">
        <v>0</v>
      </c>
      <c r="L428" s="654">
        <v>0</v>
      </c>
      <c r="M428" s="654">
        <v>0</v>
      </c>
      <c r="N428" s="654">
        <v>0</v>
      </c>
    </row>
    <row r="429" spans="1:14" x14ac:dyDescent="0.15">
      <c r="B429"/>
      <c r="E429" t="s">
        <v>777</v>
      </c>
      <c r="H429" s="654">
        <v>39181</v>
      </c>
      <c r="I429" s="654">
        <v>0</v>
      </c>
      <c r="J429" s="654">
        <v>39181</v>
      </c>
      <c r="K429" s="654">
        <v>39181</v>
      </c>
      <c r="L429" s="654">
        <v>0</v>
      </c>
      <c r="M429" s="654">
        <v>0</v>
      </c>
      <c r="N429" s="654">
        <v>0</v>
      </c>
    </row>
    <row r="430" spans="1:14" x14ac:dyDescent="0.15">
      <c r="B430"/>
      <c r="D430" t="s">
        <v>742</v>
      </c>
      <c r="H430" s="654">
        <v>39181</v>
      </c>
      <c r="I430" s="654">
        <v>0</v>
      </c>
      <c r="J430" s="654">
        <v>39181</v>
      </c>
      <c r="K430" s="654">
        <v>39181</v>
      </c>
      <c r="L430" s="654">
        <v>0</v>
      </c>
      <c r="M430" s="654">
        <v>0</v>
      </c>
      <c r="N430" s="654">
        <v>0</v>
      </c>
    </row>
    <row r="431" spans="1:14" x14ac:dyDescent="0.15">
      <c r="B431"/>
      <c r="C431" t="s">
        <v>854</v>
      </c>
      <c r="H431" s="654">
        <v>2230898</v>
      </c>
      <c r="I431" s="654">
        <v>-9612</v>
      </c>
      <c r="J431" s="654">
        <v>2221286</v>
      </c>
      <c r="K431" s="654">
        <v>2221286</v>
      </c>
      <c r="L431" s="654">
        <v>0</v>
      </c>
      <c r="M431" s="654">
        <v>0</v>
      </c>
      <c r="N431" s="654">
        <v>0</v>
      </c>
    </row>
    <row r="432" spans="1:14" x14ac:dyDescent="0.15">
      <c r="A432" s="653" t="s">
        <v>612</v>
      </c>
      <c r="B432"/>
      <c r="H432" s="654">
        <v>29368623</v>
      </c>
      <c r="I432" s="654">
        <v>-480928</v>
      </c>
      <c r="J432" s="654">
        <v>28887695</v>
      </c>
      <c r="K432" s="654">
        <v>28887695</v>
      </c>
      <c r="L432" s="654">
        <v>0</v>
      </c>
      <c r="M432" s="654">
        <v>196716</v>
      </c>
      <c r="N432" s="654">
        <v>2334430</v>
      </c>
    </row>
    <row r="433" spans="1:14" x14ac:dyDescent="0.15">
      <c r="A433" s="653">
        <v>42736</v>
      </c>
      <c r="B433" t="s">
        <v>626</v>
      </c>
      <c r="C433" t="s">
        <v>849</v>
      </c>
      <c r="D433" t="s">
        <v>625</v>
      </c>
      <c r="E433" t="s">
        <v>594</v>
      </c>
      <c r="F433" t="s">
        <v>566</v>
      </c>
      <c r="G433" t="s">
        <v>597</v>
      </c>
      <c r="H433" s="654">
        <v>16689</v>
      </c>
      <c r="I433" s="654">
        <v>0</v>
      </c>
      <c r="J433" s="654">
        <v>16689</v>
      </c>
      <c r="K433" s="654">
        <v>16689</v>
      </c>
      <c r="L433" s="654">
        <v>0</v>
      </c>
      <c r="M433" s="654">
        <v>0</v>
      </c>
      <c r="N433" s="654">
        <v>0</v>
      </c>
    </row>
    <row r="434" spans="1:14" x14ac:dyDescent="0.15">
      <c r="B434"/>
      <c r="F434" t="s">
        <v>738</v>
      </c>
      <c r="H434" s="654">
        <v>16689</v>
      </c>
      <c r="I434" s="654">
        <v>0</v>
      </c>
      <c r="J434" s="654">
        <v>16689</v>
      </c>
      <c r="K434" s="654">
        <v>16689</v>
      </c>
      <c r="L434" s="654">
        <v>0</v>
      </c>
      <c r="M434" s="654">
        <v>0</v>
      </c>
      <c r="N434" s="654">
        <v>0</v>
      </c>
    </row>
    <row r="435" spans="1:14" x14ac:dyDescent="0.15">
      <c r="B435"/>
      <c r="E435" t="s">
        <v>768</v>
      </c>
      <c r="H435" s="654">
        <v>16689</v>
      </c>
      <c r="I435" s="654">
        <v>0</v>
      </c>
      <c r="J435" s="654">
        <v>16689</v>
      </c>
      <c r="K435" s="654">
        <v>16689</v>
      </c>
      <c r="L435" s="654">
        <v>0</v>
      </c>
      <c r="M435" s="654">
        <v>0</v>
      </c>
      <c r="N435" s="654">
        <v>0</v>
      </c>
    </row>
    <row r="436" spans="1:14" x14ac:dyDescent="0.15">
      <c r="B436"/>
      <c r="D436" t="s">
        <v>741</v>
      </c>
      <c r="H436" s="654">
        <v>16689</v>
      </c>
      <c r="I436" s="654">
        <v>0</v>
      </c>
      <c r="J436" s="654">
        <v>16689</v>
      </c>
      <c r="K436" s="654">
        <v>16689</v>
      </c>
      <c r="L436" s="654">
        <v>0</v>
      </c>
      <c r="M436" s="654">
        <v>0</v>
      </c>
      <c r="N436" s="654">
        <v>0</v>
      </c>
    </row>
    <row r="437" spans="1:14" x14ac:dyDescent="0.15">
      <c r="B437"/>
      <c r="D437" t="s">
        <v>626</v>
      </c>
      <c r="E437" t="s">
        <v>378</v>
      </c>
      <c r="F437" t="s">
        <v>626</v>
      </c>
      <c r="G437" t="s">
        <v>600</v>
      </c>
      <c r="H437" s="654">
        <v>6240804</v>
      </c>
      <c r="I437" s="654">
        <v>-11085</v>
      </c>
      <c r="J437" s="654">
        <v>6229719</v>
      </c>
      <c r="K437" s="654">
        <v>6229719</v>
      </c>
      <c r="L437" s="654">
        <v>0</v>
      </c>
      <c r="M437" s="654">
        <v>213250</v>
      </c>
      <c r="N437" s="654">
        <v>815137</v>
      </c>
    </row>
    <row r="438" spans="1:14" x14ac:dyDescent="0.15">
      <c r="B438"/>
      <c r="F438" t="s">
        <v>733</v>
      </c>
      <c r="H438" s="654">
        <v>6240804</v>
      </c>
      <c r="I438" s="654">
        <v>-11085</v>
      </c>
      <c r="J438" s="654">
        <v>6229719</v>
      </c>
      <c r="K438" s="654">
        <v>6229719</v>
      </c>
      <c r="L438" s="654">
        <v>0</v>
      </c>
      <c r="M438" s="654">
        <v>213250</v>
      </c>
      <c r="N438" s="654">
        <v>815137</v>
      </c>
    </row>
    <row r="439" spans="1:14" x14ac:dyDescent="0.15">
      <c r="B439"/>
      <c r="F439" t="s">
        <v>627</v>
      </c>
      <c r="G439" t="s">
        <v>599</v>
      </c>
      <c r="H439" s="654">
        <v>1646369</v>
      </c>
      <c r="I439" s="654">
        <v>0</v>
      </c>
      <c r="J439" s="654">
        <v>1646369</v>
      </c>
      <c r="K439" s="654">
        <v>1646369</v>
      </c>
      <c r="L439" s="654">
        <v>0</v>
      </c>
      <c r="M439" s="654">
        <v>0</v>
      </c>
      <c r="N439" s="654">
        <v>277036</v>
      </c>
    </row>
    <row r="440" spans="1:14" x14ac:dyDescent="0.15">
      <c r="B440"/>
      <c r="F440" t="s">
        <v>734</v>
      </c>
      <c r="H440" s="654">
        <v>1646369</v>
      </c>
      <c r="I440" s="654">
        <v>0</v>
      </c>
      <c r="J440" s="654">
        <v>1646369</v>
      </c>
      <c r="K440" s="654">
        <v>1646369</v>
      </c>
      <c r="L440" s="654">
        <v>0</v>
      </c>
      <c r="M440" s="654">
        <v>0</v>
      </c>
      <c r="N440" s="654">
        <v>277036</v>
      </c>
    </row>
    <row r="441" spans="1:14" x14ac:dyDescent="0.15">
      <c r="B441"/>
      <c r="F441" t="s">
        <v>628</v>
      </c>
      <c r="G441" t="s">
        <v>598</v>
      </c>
      <c r="H441" s="654">
        <v>674885</v>
      </c>
      <c r="I441" s="654">
        <v>0</v>
      </c>
      <c r="J441" s="654">
        <v>674885</v>
      </c>
      <c r="K441" s="654">
        <v>674885</v>
      </c>
      <c r="L441" s="654">
        <v>0</v>
      </c>
      <c r="M441" s="654">
        <v>38915</v>
      </c>
      <c r="N441" s="654">
        <v>0</v>
      </c>
    </row>
    <row r="442" spans="1:14" x14ac:dyDescent="0.15">
      <c r="B442"/>
      <c r="F442" t="s">
        <v>735</v>
      </c>
      <c r="H442" s="654">
        <v>674885</v>
      </c>
      <c r="I442" s="654">
        <v>0</v>
      </c>
      <c r="J442" s="654">
        <v>674885</v>
      </c>
      <c r="K442" s="654">
        <v>674885</v>
      </c>
      <c r="L442" s="654">
        <v>0</v>
      </c>
      <c r="M442" s="654">
        <v>38915</v>
      </c>
      <c r="N442" s="654">
        <v>0</v>
      </c>
    </row>
    <row r="443" spans="1:14" x14ac:dyDescent="0.15">
      <c r="B443"/>
      <c r="E443" t="s">
        <v>769</v>
      </c>
      <c r="H443" s="654">
        <v>8562058</v>
      </c>
      <c r="I443" s="654">
        <v>-11085</v>
      </c>
      <c r="J443" s="654">
        <v>8550973</v>
      </c>
      <c r="K443" s="654">
        <v>8550973</v>
      </c>
      <c r="L443" s="654">
        <v>0</v>
      </c>
      <c r="M443" s="654">
        <v>252165</v>
      </c>
      <c r="N443" s="654">
        <v>1092173</v>
      </c>
    </row>
    <row r="444" spans="1:14" x14ac:dyDescent="0.15">
      <c r="B444"/>
      <c r="D444" t="s">
        <v>733</v>
      </c>
      <c r="H444" s="654">
        <v>8562058</v>
      </c>
      <c r="I444" s="654">
        <v>-11085</v>
      </c>
      <c r="J444" s="654">
        <v>8550973</v>
      </c>
      <c r="K444" s="654">
        <v>8550973</v>
      </c>
      <c r="L444" s="654">
        <v>0</v>
      </c>
      <c r="M444" s="654">
        <v>252165</v>
      </c>
      <c r="N444" s="654">
        <v>1092173</v>
      </c>
    </row>
    <row r="445" spans="1:14" x14ac:dyDescent="0.15">
      <c r="B445"/>
      <c r="D445" t="s">
        <v>627</v>
      </c>
      <c r="E445" t="s">
        <v>379</v>
      </c>
      <c r="F445" t="s">
        <v>626</v>
      </c>
      <c r="G445" t="s">
        <v>600</v>
      </c>
      <c r="H445" s="654">
        <v>3899636</v>
      </c>
      <c r="I445" s="654">
        <v>-21602</v>
      </c>
      <c r="J445" s="654">
        <v>3878034</v>
      </c>
      <c r="K445" s="654">
        <v>3878034</v>
      </c>
      <c r="L445" s="654">
        <v>0</v>
      </c>
      <c r="M445" s="654">
        <v>0</v>
      </c>
      <c r="N445" s="654">
        <v>311423</v>
      </c>
    </row>
    <row r="446" spans="1:14" x14ac:dyDescent="0.15">
      <c r="B446"/>
      <c r="F446" t="s">
        <v>733</v>
      </c>
      <c r="H446" s="654">
        <v>3899636</v>
      </c>
      <c r="I446" s="654">
        <v>-21602</v>
      </c>
      <c r="J446" s="654">
        <v>3878034</v>
      </c>
      <c r="K446" s="654">
        <v>3878034</v>
      </c>
      <c r="L446" s="654">
        <v>0</v>
      </c>
      <c r="M446" s="654">
        <v>0</v>
      </c>
      <c r="N446" s="654">
        <v>311423</v>
      </c>
    </row>
    <row r="447" spans="1:14" x14ac:dyDescent="0.15">
      <c r="B447"/>
      <c r="F447" t="s">
        <v>627</v>
      </c>
      <c r="G447" t="s">
        <v>599</v>
      </c>
      <c r="H447" s="654">
        <v>361265</v>
      </c>
      <c r="I447" s="654">
        <v>0</v>
      </c>
      <c r="J447" s="654">
        <v>361265</v>
      </c>
      <c r="K447" s="654">
        <v>361265</v>
      </c>
      <c r="L447" s="654">
        <v>0</v>
      </c>
      <c r="M447" s="654">
        <v>0</v>
      </c>
      <c r="N447" s="654">
        <v>65389</v>
      </c>
    </row>
    <row r="448" spans="1:14" x14ac:dyDescent="0.15">
      <c r="B448"/>
      <c r="F448" t="s">
        <v>734</v>
      </c>
      <c r="H448" s="654">
        <v>361265</v>
      </c>
      <c r="I448" s="654">
        <v>0</v>
      </c>
      <c r="J448" s="654">
        <v>361265</v>
      </c>
      <c r="K448" s="654">
        <v>361265</v>
      </c>
      <c r="L448" s="654">
        <v>0</v>
      </c>
      <c r="M448" s="654">
        <v>0</v>
      </c>
      <c r="N448" s="654">
        <v>65389</v>
      </c>
    </row>
    <row r="449" spans="2:14" x14ac:dyDescent="0.15">
      <c r="B449"/>
      <c r="F449" t="s">
        <v>628</v>
      </c>
      <c r="G449" t="s">
        <v>598</v>
      </c>
      <c r="H449" s="654">
        <v>359083</v>
      </c>
      <c r="I449" s="654">
        <v>0</v>
      </c>
      <c r="J449" s="654">
        <v>359083</v>
      </c>
      <c r="K449" s="654">
        <v>359083</v>
      </c>
      <c r="L449" s="654">
        <v>0</v>
      </c>
      <c r="M449" s="654">
        <v>0</v>
      </c>
      <c r="N449" s="654">
        <v>0</v>
      </c>
    </row>
    <row r="450" spans="2:14" x14ac:dyDescent="0.15">
      <c r="B450"/>
      <c r="F450" t="s">
        <v>735</v>
      </c>
      <c r="H450" s="654">
        <v>359083</v>
      </c>
      <c r="I450" s="654">
        <v>0</v>
      </c>
      <c r="J450" s="654">
        <v>359083</v>
      </c>
      <c r="K450" s="654">
        <v>359083</v>
      </c>
      <c r="L450" s="654">
        <v>0</v>
      </c>
      <c r="M450" s="654">
        <v>0</v>
      </c>
      <c r="N450" s="654">
        <v>0</v>
      </c>
    </row>
    <row r="451" spans="2:14" x14ac:dyDescent="0.15">
      <c r="B451"/>
      <c r="E451" t="s">
        <v>770</v>
      </c>
      <c r="H451" s="654">
        <v>4619984</v>
      </c>
      <c r="I451" s="654">
        <v>-21602</v>
      </c>
      <c r="J451" s="654">
        <v>4598382</v>
      </c>
      <c r="K451" s="654">
        <v>4598382</v>
      </c>
      <c r="L451" s="654">
        <v>0</v>
      </c>
      <c r="M451" s="654">
        <v>0</v>
      </c>
      <c r="N451" s="654">
        <v>376812</v>
      </c>
    </row>
    <row r="452" spans="2:14" x14ac:dyDescent="0.15">
      <c r="B452"/>
      <c r="D452" t="s">
        <v>734</v>
      </c>
      <c r="H452" s="654">
        <v>4619984</v>
      </c>
      <c r="I452" s="654">
        <v>-21602</v>
      </c>
      <c r="J452" s="654">
        <v>4598382</v>
      </c>
      <c r="K452" s="654">
        <v>4598382</v>
      </c>
      <c r="L452" s="654">
        <v>0</v>
      </c>
      <c r="M452" s="654">
        <v>0</v>
      </c>
      <c r="N452" s="654">
        <v>376812</v>
      </c>
    </row>
    <row r="453" spans="2:14" x14ac:dyDescent="0.15">
      <c r="B453"/>
      <c r="D453" t="s">
        <v>628</v>
      </c>
      <c r="E453" t="s">
        <v>380</v>
      </c>
      <c r="F453" t="s">
        <v>626</v>
      </c>
      <c r="G453" t="s">
        <v>600</v>
      </c>
      <c r="H453" s="654">
        <v>2934723</v>
      </c>
      <c r="I453" s="654">
        <v>-235574</v>
      </c>
      <c r="J453" s="654">
        <v>2699149</v>
      </c>
      <c r="K453" s="654">
        <v>2699149</v>
      </c>
      <c r="L453" s="654">
        <v>0</v>
      </c>
      <c r="M453" s="654">
        <v>98674</v>
      </c>
      <c r="N453" s="654">
        <v>217059</v>
      </c>
    </row>
    <row r="454" spans="2:14" x14ac:dyDescent="0.15">
      <c r="B454"/>
      <c r="F454" t="s">
        <v>733</v>
      </c>
      <c r="H454" s="654">
        <v>2934723</v>
      </c>
      <c r="I454" s="654">
        <v>-235574</v>
      </c>
      <c r="J454" s="654">
        <v>2699149</v>
      </c>
      <c r="K454" s="654">
        <v>2699149</v>
      </c>
      <c r="L454" s="654">
        <v>0</v>
      </c>
      <c r="M454" s="654">
        <v>98674</v>
      </c>
      <c r="N454" s="654">
        <v>217059</v>
      </c>
    </row>
    <row r="455" spans="2:14" x14ac:dyDescent="0.15">
      <c r="B455"/>
      <c r="F455" t="s">
        <v>627</v>
      </c>
      <c r="G455" t="s">
        <v>599</v>
      </c>
      <c r="H455" s="654">
        <v>1184413</v>
      </c>
      <c r="I455" s="654">
        <v>-12232</v>
      </c>
      <c r="J455" s="654">
        <v>1172181</v>
      </c>
      <c r="K455" s="654">
        <v>1172181</v>
      </c>
      <c r="L455" s="654">
        <v>0</v>
      </c>
      <c r="M455" s="654">
        <v>0</v>
      </c>
      <c r="N455" s="654">
        <v>224199</v>
      </c>
    </row>
    <row r="456" spans="2:14" x14ac:dyDescent="0.15">
      <c r="B456"/>
      <c r="F456" t="s">
        <v>734</v>
      </c>
      <c r="H456" s="654">
        <v>1184413</v>
      </c>
      <c r="I456" s="654">
        <v>-12232</v>
      </c>
      <c r="J456" s="654">
        <v>1172181</v>
      </c>
      <c r="K456" s="654">
        <v>1172181</v>
      </c>
      <c r="L456" s="654">
        <v>0</v>
      </c>
      <c r="M456" s="654">
        <v>0</v>
      </c>
      <c r="N456" s="654">
        <v>224199</v>
      </c>
    </row>
    <row r="457" spans="2:14" x14ac:dyDescent="0.15">
      <c r="B457"/>
      <c r="E457" t="s">
        <v>771</v>
      </c>
      <c r="H457" s="654">
        <v>4119136</v>
      </c>
      <c r="I457" s="654">
        <v>-247806</v>
      </c>
      <c r="J457" s="654">
        <v>3871330</v>
      </c>
      <c r="K457" s="654">
        <v>3871330</v>
      </c>
      <c r="L457" s="654">
        <v>0</v>
      </c>
      <c r="M457" s="654">
        <v>98674</v>
      </c>
      <c r="N457" s="654">
        <v>441258</v>
      </c>
    </row>
    <row r="458" spans="2:14" x14ac:dyDescent="0.15">
      <c r="B458"/>
      <c r="D458" t="s">
        <v>735</v>
      </c>
      <c r="H458" s="654">
        <v>4119136</v>
      </c>
      <c r="I458" s="654">
        <v>-247806</v>
      </c>
      <c r="J458" s="654">
        <v>3871330</v>
      </c>
      <c r="K458" s="654">
        <v>3871330</v>
      </c>
      <c r="L458" s="654">
        <v>0</v>
      </c>
      <c r="M458" s="654">
        <v>98674</v>
      </c>
      <c r="N458" s="654">
        <v>441258</v>
      </c>
    </row>
    <row r="459" spans="2:14" x14ac:dyDescent="0.15">
      <c r="B459"/>
      <c r="D459" t="s">
        <v>629</v>
      </c>
      <c r="E459" t="s">
        <v>676</v>
      </c>
      <c r="F459" t="s">
        <v>629</v>
      </c>
      <c r="G459" t="s">
        <v>601</v>
      </c>
      <c r="H459" s="654">
        <v>2308205</v>
      </c>
      <c r="I459" s="654">
        <v>0</v>
      </c>
      <c r="J459" s="654">
        <v>2308205</v>
      </c>
      <c r="K459" s="654">
        <v>2308205</v>
      </c>
      <c r="L459" s="654">
        <v>0</v>
      </c>
      <c r="M459" s="654">
        <v>65592</v>
      </c>
      <c r="N459" s="654">
        <v>88738</v>
      </c>
    </row>
    <row r="460" spans="2:14" x14ac:dyDescent="0.15">
      <c r="B460"/>
      <c r="F460" t="s">
        <v>736</v>
      </c>
      <c r="H460" s="654">
        <v>2308205</v>
      </c>
      <c r="I460" s="654">
        <v>0</v>
      </c>
      <c r="J460" s="654">
        <v>2308205</v>
      </c>
      <c r="K460" s="654">
        <v>2308205</v>
      </c>
      <c r="L460" s="654">
        <v>0</v>
      </c>
      <c r="M460" s="654">
        <v>65592</v>
      </c>
      <c r="N460" s="654">
        <v>88738</v>
      </c>
    </row>
    <row r="461" spans="2:14" x14ac:dyDescent="0.15">
      <c r="B461"/>
      <c r="E461" t="s">
        <v>772</v>
      </c>
      <c r="H461" s="654">
        <v>2308205</v>
      </c>
      <c r="I461" s="654">
        <v>0</v>
      </c>
      <c r="J461" s="654">
        <v>2308205</v>
      </c>
      <c r="K461" s="654">
        <v>2308205</v>
      </c>
      <c r="L461" s="654">
        <v>0</v>
      </c>
      <c r="M461" s="654">
        <v>65592</v>
      </c>
      <c r="N461" s="654">
        <v>88738</v>
      </c>
    </row>
    <row r="462" spans="2:14" x14ac:dyDescent="0.15">
      <c r="B462"/>
      <c r="D462" t="s">
        <v>736</v>
      </c>
      <c r="H462" s="654">
        <v>2308205</v>
      </c>
      <c r="I462" s="654">
        <v>0</v>
      </c>
      <c r="J462" s="654">
        <v>2308205</v>
      </c>
      <c r="K462" s="654">
        <v>2308205</v>
      </c>
      <c r="L462" s="654">
        <v>0</v>
      </c>
      <c r="M462" s="654">
        <v>65592</v>
      </c>
      <c r="N462" s="654">
        <v>88738</v>
      </c>
    </row>
    <row r="463" spans="2:14" x14ac:dyDescent="0.15">
      <c r="B463"/>
      <c r="D463" t="s">
        <v>567</v>
      </c>
      <c r="E463" t="s">
        <v>473</v>
      </c>
      <c r="F463" t="s">
        <v>631</v>
      </c>
      <c r="G463" t="s">
        <v>596</v>
      </c>
      <c r="H463" s="654">
        <v>991308</v>
      </c>
      <c r="I463" s="654">
        <v>0</v>
      </c>
      <c r="J463" s="654">
        <v>991308</v>
      </c>
      <c r="K463" s="654">
        <v>991308</v>
      </c>
      <c r="L463" s="654">
        <v>0</v>
      </c>
      <c r="M463" s="654">
        <v>0</v>
      </c>
      <c r="N463" s="654">
        <v>84778</v>
      </c>
    </row>
    <row r="464" spans="2:14" x14ac:dyDescent="0.15">
      <c r="B464"/>
      <c r="F464" t="s">
        <v>737</v>
      </c>
      <c r="H464" s="654">
        <v>991308</v>
      </c>
      <c r="I464" s="654">
        <v>0</v>
      </c>
      <c r="J464" s="654">
        <v>991308</v>
      </c>
      <c r="K464" s="654">
        <v>991308</v>
      </c>
      <c r="L464" s="654">
        <v>0</v>
      </c>
      <c r="M464" s="654">
        <v>0</v>
      </c>
      <c r="N464" s="654">
        <v>84778</v>
      </c>
    </row>
    <row r="465" spans="2:14" x14ac:dyDescent="0.15">
      <c r="B465"/>
      <c r="E465" t="s">
        <v>773</v>
      </c>
      <c r="H465" s="654">
        <v>991308</v>
      </c>
      <c r="I465" s="654">
        <v>0</v>
      </c>
      <c r="J465" s="654">
        <v>991308</v>
      </c>
      <c r="K465" s="654">
        <v>991308</v>
      </c>
      <c r="L465" s="654">
        <v>0</v>
      </c>
      <c r="M465" s="654">
        <v>0</v>
      </c>
      <c r="N465" s="654">
        <v>84778</v>
      </c>
    </row>
    <row r="466" spans="2:14" x14ac:dyDescent="0.15">
      <c r="B466"/>
      <c r="D466" t="s">
        <v>739</v>
      </c>
      <c r="H466" s="654">
        <v>991308</v>
      </c>
      <c r="I466" s="654">
        <v>0</v>
      </c>
      <c r="J466" s="654">
        <v>991308</v>
      </c>
      <c r="K466" s="654">
        <v>991308</v>
      </c>
      <c r="L466" s="654">
        <v>0</v>
      </c>
      <c r="M466" s="654">
        <v>0</v>
      </c>
      <c r="N466" s="654">
        <v>84778</v>
      </c>
    </row>
    <row r="467" spans="2:14" x14ac:dyDescent="0.15">
      <c r="B467"/>
      <c r="D467" t="s">
        <v>568</v>
      </c>
      <c r="E467" t="s">
        <v>474</v>
      </c>
      <c r="F467" t="s">
        <v>631</v>
      </c>
      <c r="G467" t="s">
        <v>596</v>
      </c>
      <c r="H467" s="654">
        <v>505339</v>
      </c>
      <c r="I467" s="654">
        <v>0</v>
      </c>
      <c r="J467" s="654">
        <v>505339</v>
      </c>
      <c r="K467" s="654">
        <v>505339</v>
      </c>
      <c r="L467" s="654">
        <v>0</v>
      </c>
      <c r="M467" s="654">
        <v>0</v>
      </c>
      <c r="N467" s="654">
        <v>0</v>
      </c>
    </row>
    <row r="468" spans="2:14" x14ac:dyDescent="0.15">
      <c r="B468"/>
      <c r="F468" t="s">
        <v>737</v>
      </c>
      <c r="H468" s="654">
        <v>505339</v>
      </c>
      <c r="I468" s="654">
        <v>0</v>
      </c>
      <c r="J468" s="654">
        <v>505339</v>
      </c>
      <c r="K468" s="654">
        <v>505339</v>
      </c>
      <c r="L468" s="654">
        <v>0</v>
      </c>
      <c r="M468" s="654">
        <v>0</v>
      </c>
      <c r="N468" s="654">
        <v>0</v>
      </c>
    </row>
    <row r="469" spans="2:14" x14ac:dyDescent="0.15">
      <c r="B469"/>
      <c r="E469" t="s">
        <v>774</v>
      </c>
      <c r="H469" s="654">
        <v>505339</v>
      </c>
      <c r="I469" s="654">
        <v>0</v>
      </c>
      <c r="J469" s="654">
        <v>505339</v>
      </c>
      <c r="K469" s="654">
        <v>505339</v>
      </c>
      <c r="L469" s="654">
        <v>0</v>
      </c>
      <c r="M469" s="654">
        <v>0</v>
      </c>
      <c r="N469" s="654">
        <v>0</v>
      </c>
    </row>
    <row r="470" spans="2:14" x14ac:dyDescent="0.15">
      <c r="B470"/>
      <c r="D470" t="s">
        <v>740</v>
      </c>
      <c r="H470" s="654">
        <v>505339</v>
      </c>
      <c r="I470" s="654">
        <v>0</v>
      </c>
      <c r="J470" s="654">
        <v>505339</v>
      </c>
      <c r="K470" s="654">
        <v>505339</v>
      </c>
      <c r="L470" s="654">
        <v>0</v>
      </c>
      <c r="M470" s="654">
        <v>0</v>
      </c>
      <c r="N470" s="654">
        <v>0</v>
      </c>
    </row>
    <row r="471" spans="2:14" x14ac:dyDescent="0.15">
      <c r="B471"/>
      <c r="D471" t="s">
        <v>566</v>
      </c>
      <c r="E471" t="s">
        <v>382</v>
      </c>
      <c r="F471" t="s">
        <v>626</v>
      </c>
      <c r="G471" t="s">
        <v>600</v>
      </c>
      <c r="H471" s="654">
        <v>672023</v>
      </c>
      <c r="I471" s="654">
        <v>0</v>
      </c>
      <c r="J471" s="654">
        <v>672023</v>
      </c>
      <c r="K471" s="654">
        <v>672023</v>
      </c>
      <c r="L471" s="654">
        <v>0</v>
      </c>
      <c r="M471" s="654">
        <v>0</v>
      </c>
      <c r="N471" s="654">
        <v>0</v>
      </c>
    </row>
    <row r="472" spans="2:14" x14ac:dyDescent="0.15">
      <c r="B472"/>
      <c r="F472" t="s">
        <v>733</v>
      </c>
      <c r="H472" s="654">
        <v>672023</v>
      </c>
      <c r="I472" s="654">
        <v>0</v>
      </c>
      <c r="J472" s="654">
        <v>672023</v>
      </c>
      <c r="K472" s="654">
        <v>672023</v>
      </c>
      <c r="L472" s="654">
        <v>0</v>
      </c>
      <c r="M472" s="654">
        <v>0</v>
      </c>
      <c r="N472" s="654">
        <v>0</v>
      </c>
    </row>
    <row r="473" spans="2:14" x14ac:dyDescent="0.15">
      <c r="B473"/>
      <c r="E473" t="s">
        <v>775</v>
      </c>
      <c r="H473" s="654">
        <v>672023</v>
      </c>
      <c r="I473" s="654">
        <v>0</v>
      </c>
      <c r="J473" s="654">
        <v>672023</v>
      </c>
      <c r="K473" s="654">
        <v>672023</v>
      </c>
      <c r="L473" s="654">
        <v>0</v>
      </c>
      <c r="M473" s="654">
        <v>0</v>
      </c>
      <c r="N473" s="654">
        <v>0</v>
      </c>
    </row>
    <row r="474" spans="2:14" x14ac:dyDescent="0.15">
      <c r="B474"/>
      <c r="D474" t="s">
        <v>738</v>
      </c>
      <c r="H474" s="654">
        <v>672023</v>
      </c>
      <c r="I474" s="654">
        <v>0</v>
      </c>
      <c r="J474" s="654">
        <v>672023</v>
      </c>
      <c r="K474" s="654">
        <v>672023</v>
      </c>
      <c r="L474" s="654">
        <v>0</v>
      </c>
      <c r="M474" s="654">
        <v>0</v>
      </c>
      <c r="N474" s="654">
        <v>0</v>
      </c>
    </row>
    <row r="475" spans="2:14" x14ac:dyDescent="0.15">
      <c r="B475"/>
      <c r="D475" t="s">
        <v>631</v>
      </c>
      <c r="E475" t="s">
        <v>381</v>
      </c>
      <c r="F475" t="s">
        <v>626</v>
      </c>
      <c r="G475" t="s">
        <v>600</v>
      </c>
      <c r="H475" s="654">
        <v>2053904</v>
      </c>
      <c r="I475" s="654">
        <v>0</v>
      </c>
      <c r="J475" s="654">
        <v>2053904</v>
      </c>
      <c r="K475" s="654">
        <v>2053904</v>
      </c>
      <c r="L475" s="654">
        <v>0</v>
      </c>
      <c r="M475" s="654">
        <v>75295</v>
      </c>
      <c r="N475" s="654">
        <v>0</v>
      </c>
    </row>
    <row r="476" spans="2:14" x14ac:dyDescent="0.15">
      <c r="B476"/>
      <c r="F476" t="s">
        <v>733</v>
      </c>
      <c r="H476" s="654">
        <v>2053904</v>
      </c>
      <c r="I476" s="654">
        <v>0</v>
      </c>
      <c r="J476" s="654">
        <v>2053904</v>
      </c>
      <c r="K476" s="654">
        <v>2053904</v>
      </c>
      <c r="L476" s="654">
        <v>0</v>
      </c>
      <c r="M476" s="654">
        <v>75295</v>
      </c>
      <c r="N476" s="654">
        <v>0</v>
      </c>
    </row>
    <row r="477" spans="2:14" x14ac:dyDescent="0.15">
      <c r="B477"/>
      <c r="E477" t="s">
        <v>776</v>
      </c>
      <c r="H477" s="654">
        <v>2053904</v>
      </c>
      <c r="I477" s="654">
        <v>0</v>
      </c>
      <c r="J477" s="654">
        <v>2053904</v>
      </c>
      <c r="K477" s="654">
        <v>2053904</v>
      </c>
      <c r="L477" s="654">
        <v>0</v>
      </c>
      <c r="M477" s="654">
        <v>75295</v>
      </c>
      <c r="N477" s="654">
        <v>0</v>
      </c>
    </row>
    <row r="478" spans="2:14" x14ac:dyDescent="0.15">
      <c r="B478"/>
      <c r="D478" t="s">
        <v>737</v>
      </c>
      <c r="H478" s="654">
        <v>2053904</v>
      </c>
      <c r="I478" s="654">
        <v>0</v>
      </c>
      <c r="J478" s="654">
        <v>2053904</v>
      </c>
      <c r="K478" s="654">
        <v>2053904</v>
      </c>
      <c r="L478" s="654">
        <v>0</v>
      </c>
      <c r="M478" s="654">
        <v>75295</v>
      </c>
      <c r="N478" s="654">
        <v>0</v>
      </c>
    </row>
    <row r="479" spans="2:14" x14ac:dyDescent="0.15">
      <c r="B479"/>
      <c r="D479" t="s">
        <v>671</v>
      </c>
      <c r="E479" t="s">
        <v>383</v>
      </c>
      <c r="F479" t="s">
        <v>626</v>
      </c>
      <c r="G479" t="s">
        <v>600</v>
      </c>
      <c r="H479" s="654">
        <v>1194569</v>
      </c>
      <c r="I479" s="654">
        <v>-2482</v>
      </c>
      <c r="J479" s="654">
        <v>1192087</v>
      </c>
      <c r="K479" s="654">
        <v>1192087</v>
      </c>
      <c r="L479" s="654">
        <v>0</v>
      </c>
      <c r="M479" s="654">
        <v>73357</v>
      </c>
      <c r="N479" s="654">
        <v>0</v>
      </c>
    </row>
    <row r="480" spans="2:14" x14ac:dyDescent="0.15">
      <c r="B480"/>
      <c r="F480" t="s">
        <v>733</v>
      </c>
      <c r="H480" s="654">
        <v>1194569</v>
      </c>
      <c r="I480" s="654">
        <v>-2482</v>
      </c>
      <c r="J480" s="654">
        <v>1192087</v>
      </c>
      <c r="K480" s="654">
        <v>1192087</v>
      </c>
      <c r="L480" s="654">
        <v>0</v>
      </c>
      <c r="M480" s="654">
        <v>73357</v>
      </c>
      <c r="N480" s="654">
        <v>0</v>
      </c>
    </row>
    <row r="481" spans="2:14" x14ac:dyDescent="0.15">
      <c r="B481"/>
      <c r="F481" t="s">
        <v>627</v>
      </c>
      <c r="G481" t="s">
        <v>599</v>
      </c>
      <c r="H481" s="654">
        <v>8422</v>
      </c>
      <c r="I481" s="654">
        <v>0</v>
      </c>
      <c r="J481" s="654">
        <v>8422</v>
      </c>
      <c r="K481" s="654">
        <v>8422</v>
      </c>
      <c r="L481" s="654">
        <v>0</v>
      </c>
      <c r="M481" s="654">
        <v>0</v>
      </c>
      <c r="N481" s="654">
        <v>0</v>
      </c>
    </row>
    <row r="482" spans="2:14" x14ac:dyDescent="0.15">
      <c r="B482"/>
      <c r="F482" t="s">
        <v>734</v>
      </c>
      <c r="H482" s="654">
        <v>8422</v>
      </c>
      <c r="I482" s="654">
        <v>0</v>
      </c>
      <c r="J482" s="654">
        <v>8422</v>
      </c>
      <c r="K482" s="654">
        <v>8422</v>
      </c>
      <c r="L482" s="654">
        <v>0</v>
      </c>
      <c r="M482" s="654">
        <v>0</v>
      </c>
      <c r="N482" s="654">
        <v>0</v>
      </c>
    </row>
    <row r="483" spans="2:14" x14ac:dyDescent="0.15">
      <c r="B483"/>
      <c r="E483" t="s">
        <v>777</v>
      </c>
      <c r="H483" s="654">
        <v>1202991</v>
      </c>
      <c r="I483" s="654">
        <v>-2482</v>
      </c>
      <c r="J483" s="654">
        <v>1200509</v>
      </c>
      <c r="K483" s="654">
        <v>1200509</v>
      </c>
      <c r="L483" s="654">
        <v>0</v>
      </c>
      <c r="M483" s="654">
        <v>73357</v>
      </c>
      <c r="N483" s="654">
        <v>0</v>
      </c>
    </row>
    <row r="484" spans="2:14" x14ac:dyDescent="0.15">
      <c r="B484"/>
      <c r="D484" t="s">
        <v>742</v>
      </c>
      <c r="H484" s="654">
        <v>1202991</v>
      </c>
      <c r="I484" s="654">
        <v>-2482</v>
      </c>
      <c r="J484" s="654">
        <v>1200509</v>
      </c>
      <c r="K484" s="654">
        <v>1200509</v>
      </c>
      <c r="L484" s="654">
        <v>0</v>
      </c>
      <c r="M484" s="654">
        <v>73357</v>
      </c>
      <c r="N484" s="654">
        <v>0</v>
      </c>
    </row>
    <row r="485" spans="2:14" x14ac:dyDescent="0.15">
      <c r="B485"/>
      <c r="C485" t="s">
        <v>853</v>
      </c>
      <c r="H485" s="654">
        <v>25051637</v>
      </c>
      <c r="I485" s="654">
        <v>-282975</v>
      </c>
      <c r="J485" s="654">
        <v>24768662</v>
      </c>
      <c r="K485" s="654">
        <v>24768662</v>
      </c>
      <c r="L485" s="654">
        <v>0</v>
      </c>
      <c r="M485" s="654">
        <v>565083</v>
      </c>
      <c r="N485" s="654">
        <v>2083759</v>
      </c>
    </row>
    <row r="486" spans="2:14" x14ac:dyDescent="0.15">
      <c r="B486" t="s">
        <v>627</v>
      </c>
      <c r="C486" t="s">
        <v>847</v>
      </c>
      <c r="D486" t="s">
        <v>625</v>
      </c>
      <c r="E486" t="s">
        <v>594</v>
      </c>
      <c r="F486" t="s">
        <v>566</v>
      </c>
      <c r="G486" t="s">
        <v>597</v>
      </c>
      <c r="H486" s="654">
        <v>33378</v>
      </c>
      <c r="I486" s="654">
        <v>0</v>
      </c>
      <c r="J486" s="654">
        <v>33378</v>
      </c>
      <c r="K486" s="654">
        <v>33378</v>
      </c>
      <c r="L486" s="654">
        <v>0</v>
      </c>
      <c r="M486" s="654">
        <v>0</v>
      </c>
      <c r="N486" s="654">
        <v>0</v>
      </c>
    </row>
    <row r="487" spans="2:14" x14ac:dyDescent="0.15">
      <c r="B487"/>
      <c r="F487" t="s">
        <v>738</v>
      </c>
      <c r="H487" s="654">
        <v>33378</v>
      </c>
      <c r="I487" s="654">
        <v>0</v>
      </c>
      <c r="J487" s="654">
        <v>33378</v>
      </c>
      <c r="K487" s="654">
        <v>33378</v>
      </c>
      <c r="L487" s="654">
        <v>0</v>
      </c>
      <c r="M487" s="654">
        <v>0</v>
      </c>
      <c r="N487" s="654">
        <v>0</v>
      </c>
    </row>
    <row r="488" spans="2:14" x14ac:dyDescent="0.15">
      <c r="B488"/>
      <c r="E488" t="s">
        <v>768</v>
      </c>
      <c r="H488" s="654">
        <v>33378</v>
      </c>
      <c r="I488" s="654">
        <v>0</v>
      </c>
      <c r="J488" s="654">
        <v>33378</v>
      </c>
      <c r="K488" s="654">
        <v>33378</v>
      </c>
      <c r="L488" s="654">
        <v>0</v>
      </c>
      <c r="M488" s="654">
        <v>0</v>
      </c>
      <c r="N488" s="654">
        <v>0</v>
      </c>
    </row>
    <row r="489" spans="2:14" x14ac:dyDescent="0.15">
      <c r="B489"/>
      <c r="D489" t="s">
        <v>741</v>
      </c>
      <c r="H489" s="654">
        <v>33378</v>
      </c>
      <c r="I489" s="654">
        <v>0</v>
      </c>
      <c r="J489" s="654">
        <v>33378</v>
      </c>
      <c r="K489" s="654">
        <v>33378</v>
      </c>
      <c r="L489" s="654">
        <v>0</v>
      </c>
      <c r="M489" s="654">
        <v>0</v>
      </c>
      <c r="N489" s="654">
        <v>0</v>
      </c>
    </row>
    <row r="490" spans="2:14" x14ac:dyDescent="0.15">
      <c r="B490"/>
      <c r="D490" t="s">
        <v>626</v>
      </c>
      <c r="E490" t="s">
        <v>378</v>
      </c>
      <c r="F490" t="s">
        <v>626</v>
      </c>
      <c r="G490" t="s">
        <v>600</v>
      </c>
      <c r="H490" s="654">
        <v>207177</v>
      </c>
      <c r="I490" s="654">
        <v>-15899</v>
      </c>
      <c r="J490" s="654">
        <v>191278</v>
      </c>
      <c r="K490" s="654">
        <v>191278</v>
      </c>
      <c r="L490" s="654">
        <v>0</v>
      </c>
      <c r="M490" s="654">
        <v>0</v>
      </c>
      <c r="N490" s="654">
        <v>0</v>
      </c>
    </row>
    <row r="491" spans="2:14" x14ac:dyDescent="0.15">
      <c r="B491"/>
      <c r="F491" t="s">
        <v>733</v>
      </c>
      <c r="H491" s="654">
        <v>207177</v>
      </c>
      <c r="I491" s="654">
        <v>-15899</v>
      </c>
      <c r="J491" s="654">
        <v>191278</v>
      </c>
      <c r="K491" s="654">
        <v>191278</v>
      </c>
      <c r="L491" s="654">
        <v>0</v>
      </c>
      <c r="M491" s="654">
        <v>0</v>
      </c>
      <c r="N491" s="654">
        <v>0</v>
      </c>
    </row>
    <row r="492" spans="2:14" x14ac:dyDescent="0.15">
      <c r="B492"/>
      <c r="F492" t="s">
        <v>627</v>
      </c>
      <c r="G492" t="s">
        <v>599</v>
      </c>
      <c r="H492" s="654">
        <v>0</v>
      </c>
      <c r="I492" s="654">
        <v>0</v>
      </c>
      <c r="J492" s="654">
        <v>0</v>
      </c>
      <c r="K492" s="654">
        <v>0</v>
      </c>
      <c r="L492" s="654">
        <v>0</v>
      </c>
      <c r="M492" s="654">
        <v>0</v>
      </c>
      <c r="N492" s="654">
        <v>0</v>
      </c>
    </row>
    <row r="493" spans="2:14" x14ac:dyDescent="0.15">
      <c r="B493"/>
      <c r="F493" t="s">
        <v>734</v>
      </c>
      <c r="H493" s="654">
        <v>0</v>
      </c>
      <c r="I493" s="654">
        <v>0</v>
      </c>
      <c r="J493" s="654">
        <v>0</v>
      </c>
      <c r="K493" s="654">
        <v>0</v>
      </c>
      <c r="L493" s="654">
        <v>0</v>
      </c>
      <c r="M493" s="654">
        <v>0</v>
      </c>
      <c r="N493" s="654">
        <v>0</v>
      </c>
    </row>
    <row r="494" spans="2:14" x14ac:dyDescent="0.15">
      <c r="B494"/>
      <c r="F494" t="s">
        <v>628</v>
      </c>
      <c r="G494" t="s">
        <v>598</v>
      </c>
      <c r="H494" s="654">
        <v>0</v>
      </c>
      <c r="I494" s="654">
        <v>0</v>
      </c>
      <c r="J494" s="654">
        <v>0</v>
      </c>
      <c r="K494" s="654">
        <v>0</v>
      </c>
      <c r="L494" s="654">
        <v>0</v>
      </c>
      <c r="M494" s="654">
        <v>0</v>
      </c>
      <c r="N494" s="654">
        <v>0</v>
      </c>
    </row>
    <row r="495" spans="2:14" x14ac:dyDescent="0.15">
      <c r="B495"/>
      <c r="F495" t="s">
        <v>735</v>
      </c>
      <c r="H495" s="654">
        <v>0</v>
      </c>
      <c r="I495" s="654">
        <v>0</v>
      </c>
      <c r="J495" s="654">
        <v>0</v>
      </c>
      <c r="K495" s="654">
        <v>0</v>
      </c>
      <c r="L495" s="654">
        <v>0</v>
      </c>
      <c r="M495" s="654">
        <v>0</v>
      </c>
      <c r="N495" s="654">
        <v>0</v>
      </c>
    </row>
    <row r="496" spans="2:14" x14ac:dyDescent="0.15">
      <c r="B496"/>
      <c r="E496" t="s">
        <v>769</v>
      </c>
      <c r="H496" s="654">
        <v>207177</v>
      </c>
      <c r="I496" s="654">
        <v>-15899</v>
      </c>
      <c r="J496" s="654">
        <v>191278</v>
      </c>
      <c r="K496" s="654">
        <v>191278</v>
      </c>
      <c r="L496" s="654">
        <v>0</v>
      </c>
      <c r="M496" s="654">
        <v>0</v>
      </c>
      <c r="N496" s="654">
        <v>0</v>
      </c>
    </row>
    <row r="497" spans="2:14" x14ac:dyDescent="0.15">
      <c r="B497"/>
      <c r="D497" t="s">
        <v>733</v>
      </c>
      <c r="H497" s="654">
        <v>207177</v>
      </c>
      <c r="I497" s="654">
        <v>-15899</v>
      </c>
      <c r="J497" s="654">
        <v>191278</v>
      </c>
      <c r="K497" s="654">
        <v>191278</v>
      </c>
      <c r="L497" s="654">
        <v>0</v>
      </c>
      <c r="M497" s="654">
        <v>0</v>
      </c>
      <c r="N497" s="654">
        <v>0</v>
      </c>
    </row>
    <row r="498" spans="2:14" x14ac:dyDescent="0.15">
      <c r="B498"/>
      <c r="D498" t="s">
        <v>627</v>
      </c>
      <c r="E498" t="s">
        <v>379</v>
      </c>
      <c r="F498" t="s">
        <v>626</v>
      </c>
      <c r="G498" t="s">
        <v>600</v>
      </c>
      <c r="H498" s="654">
        <v>83878</v>
      </c>
      <c r="I498" s="654">
        <v>-28022</v>
      </c>
      <c r="J498" s="654">
        <v>55856</v>
      </c>
      <c r="K498" s="654">
        <v>55856</v>
      </c>
      <c r="L498" s="654">
        <v>0</v>
      </c>
      <c r="M498" s="654">
        <v>0</v>
      </c>
      <c r="N498" s="654">
        <v>0</v>
      </c>
    </row>
    <row r="499" spans="2:14" x14ac:dyDescent="0.15">
      <c r="B499"/>
      <c r="F499" t="s">
        <v>733</v>
      </c>
      <c r="H499" s="654">
        <v>83878</v>
      </c>
      <c r="I499" s="654">
        <v>-28022</v>
      </c>
      <c r="J499" s="654">
        <v>55856</v>
      </c>
      <c r="K499" s="654">
        <v>55856</v>
      </c>
      <c r="L499" s="654">
        <v>0</v>
      </c>
      <c r="M499" s="654">
        <v>0</v>
      </c>
      <c r="N499" s="654">
        <v>0</v>
      </c>
    </row>
    <row r="500" spans="2:14" x14ac:dyDescent="0.15">
      <c r="B500"/>
      <c r="F500" t="s">
        <v>627</v>
      </c>
      <c r="G500" t="s">
        <v>599</v>
      </c>
      <c r="H500" s="654">
        <v>0</v>
      </c>
      <c r="I500" s="654">
        <v>0</v>
      </c>
      <c r="J500" s="654">
        <v>0</v>
      </c>
      <c r="K500" s="654">
        <v>0</v>
      </c>
      <c r="L500" s="654">
        <v>0</v>
      </c>
      <c r="M500" s="654">
        <v>0</v>
      </c>
      <c r="N500" s="654">
        <v>0</v>
      </c>
    </row>
    <row r="501" spans="2:14" x14ac:dyDescent="0.15">
      <c r="B501"/>
      <c r="F501" t="s">
        <v>734</v>
      </c>
      <c r="H501" s="654">
        <v>0</v>
      </c>
      <c r="I501" s="654">
        <v>0</v>
      </c>
      <c r="J501" s="654">
        <v>0</v>
      </c>
      <c r="K501" s="654">
        <v>0</v>
      </c>
      <c r="L501" s="654">
        <v>0</v>
      </c>
      <c r="M501" s="654">
        <v>0</v>
      </c>
      <c r="N501" s="654">
        <v>0</v>
      </c>
    </row>
    <row r="502" spans="2:14" x14ac:dyDescent="0.15">
      <c r="B502"/>
      <c r="F502" t="s">
        <v>628</v>
      </c>
      <c r="G502" t="s">
        <v>598</v>
      </c>
      <c r="H502" s="654">
        <v>0</v>
      </c>
      <c r="I502" s="654">
        <v>0</v>
      </c>
      <c r="J502" s="654">
        <v>0</v>
      </c>
      <c r="K502" s="654">
        <v>0</v>
      </c>
      <c r="L502" s="654">
        <v>0</v>
      </c>
      <c r="M502" s="654">
        <v>0</v>
      </c>
      <c r="N502" s="654">
        <v>0</v>
      </c>
    </row>
    <row r="503" spans="2:14" x14ac:dyDescent="0.15">
      <c r="B503"/>
      <c r="F503" t="s">
        <v>735</v>
      </c>
      <c r="H503" s="654">
        <v>0</v>
      </c>
      <c r="I503" s="654">
        <v>0</v>
      </c>
      <c r="J503" s="654">
        <v>0</v>
      </c>
      <c r="K503" s="654">
        <v>0</v>
      </c>
      <c r="L503" s="654">
        <v>0</v>
      </c>
      <c r="M503" s="654">
        <v>0</v>
      </c>
      <c r="N503" s="654">
        <v>0</v>
      </c>
    </row>
    <row r="504" spans="2:14" x14ac:dyDescent="0.15">
      <c r="B504"/>
      <c r="E504" t="s">
        <v>770</v>
      </c>
      <c r="H504" s="654">
        <v>83878</v>
      </c>
      <c r="I504" s="654">
        <v>-28022</v>
      </c>
      <c r="J504" s="654">
        <v>55856</v>
      </c>
      <c r="K504" s="654">
        <v>55856</v>
      </c>
      <c r="L504" s="654">
        <v>0</v>
      </c>
      <c r="M504" s="654">
        <v>0</v>
      </c>
      <c r="N504" s="654">
        <v>0</v>
      </c>
    </row>
    <row r="505" spans="2:14" x14ac:dyDescent="0.15">
      <c r="B505"/>
      <c r="D505" t="s">
        <v>734</v>
      </c>
      <c r="H505" s="654">
        <v>83878</v>
      </c>
      <c r="I505" s="654">
        <v>-28022</v>
      </c>
      <c r="J505" s="654">
        <v>55856</v>
      </c>
      <c r="K505" s="654">
        <v>55856</v>
      </c>
      <c r="L505" s="654">
        <v>0</v>
      </c>
      <c r="M505" s="654">
        <v>0</v>
      </c>
      <c r="N505" s="654">
        <v>0</v>
      </c>
    </row>
    <row r="506" spans="2:14" x14ac:dyDescent="0.15">
      <c r="B506"/>
      <c r="D506" t="s">
        <v>628</v>
      </c>
      <c r="E506" t="s">
        <v>380</v>
      </c>
      <c r="F506" t="s">
        <v>626</v>
      </c>
      <c r="G506" t="s">
        <v>600</v>
      </c>
      <c r="H506" s="654">
        <v>42818</v>
      </c>
      <c r="I506" s="654">
        <v>5116</v>
      </c>
      <c r="J506" s="654">
        <v>47934</v>
      </c>
      <c r="K506" s="654">
        <v>47934</v>
      </c>
      <c r="L506" s="654">
        <v>0</v>
      </c>
      <c r="M506" s="654">
        <v>0</v>
      </c>
      <c r="N506" s="654">
        <v>0</v>
      </c>
    </row>
    <row r="507" spans="2:14" x14ac:dyDescent="0.15">
      <c r="B507"/>
      <c r="F507" t="s">
        <v>733</v>
      </c>
      <c r="H507" s="654">
        <v>42818</v>
      </c>
      <c r="I507" s="654">
        <v>5116</v>
      </c>
      <c r="J507" s="654">
        <v>47934</v>
      </c>
      <c r="K507" s="654">
        <v>47934</v>
      </c>
      <c r="L507" s="654">
        <v>0</v>
      </c>
      <c r="M507" s="654">
        <v>0</v>
      </c>
      <c r="N507" s="654">
        <v>0</v>
      </c>
    </row>
    <row r="508" spans="2:14" x14ac:dyDescent="0.15">
      <c r="B508"/>
      <c r="F508" t="s">
        <v>627</v>
      </c>
      <c r="G508" t="s">
        <v>599</v>
      </c>
      <c r="H508" s="654">
        <v>78587</v>
      </c>
      <c r="I508" s="654">
        <v>0</v>
      </c>
      <c r="J508" s="654">
        <v>78587</v>
      </c>
      <c r="K508" s="654">
        <v>78587</v>
      </c>
      <c r="L508" s="654">
        <v>0</v>
      </c>
      <c r="M508" s="654">
        <v>0</v>
      </c>
      <c r="N508" s="654">
        <v>0</v>
      </c>
    </row>
    <row r="509" spans="2:14" x14ac:dyDescent="0.15">
      <c r="B509"/>
      <c r="F509" t="s">
        <v>734</v>
      </c>
      <c r="H509" s="654">
        <v>78587</v>
      </c>
      <c r="I509" s="654">
        <v>0</v>
      </c>
      <c r="J509" s="654">
        <v>78587</v>
      </c>
      <c r="K509" s="654">
        <v>78587</v>
      </c>
      <c r="L509" s="654">
        <v>0</v>
      </c>
      <c r="M509" s="654">
        <v>0</v>
      </c>
      <c r="N509" s="654">
        <v>0</v>
      </c>
    </row>
    <row r="510" spans="2:14" x14ac:dyDescent="0.15">
      <c r="B510"/>
      <c r="E510" t="s">
        <v>771</v>
      </c>
      <c r="H510" s="654">
        <v>121405</v>
      </c>
      <c r="I510" s="654">
        <v>5116</v>
      </c>
      <c r="J510" s="654">
        <v>126521</v>
      </c>
      <c r="K510" s="654">
        <v>126521</v>
      </c>
      <c r="L510" s="654">
        <v>0</v>
      </c>
      <c r="M510" s="654">
        <v>0</v>
      </c>
      <c r="N510" s="654">
        <v>0</v>
      </c>
    </row>
    <row r="511" spans="2:14" x14ac:dyDescent="0.15">
      <c r="B511"/>
      <c r="D511" t="s">
        <v>735</v>
      </c>
      <c r="H511" s="654">
        <v>121405</v>
      </c>
      <c r="I511" s="654">
        <v>5116</v>
      </c>
      <c r="J511" s="654">
        <v>126521</v>
      </c>
      <c r="K511" s="654">
        <v>126521</v>
      </c>
      <c r="L511" s="654">
        <v>0</v>
      </c>
      <c r="M511" s="654">
        <v>0</v>
      </c>
      <c r="N511" s="654">
        <v>0</v>
      </c>
    </row>
    <row r="512" spans="2:14" x14ac:dyDescent="0.15">
      <c r="B512"/>
      <c r="D512" t="s">
        <v>629</v>
      </c>
      <c r="E512" t="s">
        <v>676</v>
      </c>
      <c r="F512" t="s">
        <v>629</v>
      </c>
      <c r="G512" t="s">
        <v>601</v>
      </c>
      <c r="H512" s="654">
        <v>0</v>
      </c>
      <c r="I512" s="654">
        <v>0</v>
      </c>
      <c r="J512" s="654">
        <v>0</v>
      </c>
      <c r="K512" s="654">
        <v>0</v>
      </c>
      <c r="L512" s="654">
        <v>0</v>
      </c>
      <c r="M512" s="654">
        <v>0</v>
      </c>
      <c r="N512" s="654">
        <v>0</v>
      </c>
    </row>
    <row r="513" spans="2:14" x14ac:dyDescent="0.15">
      <c r="B513"/>
      <c r="F513" t="s">
        <v>736</v>
      </c>
      <c r="H513" s="654">
        <v>0</v>
      </c>
      <c r="I513" s="654">
        <v>0</v>
      </c>
      <c r="J513" s="654">
        <v>0</v>
      </c>
      <c r="K513" s="654">
        <v>0</v>
      </c>
      <c r="L513" s="654">
        <v>0</v>
      </c>
      <c r="M513" s="654">
        <v>0</v>
      </c>
      <c r="N513" s="654">
        <v>0</v>
      </c>
    </row>
    <row r="514" spans="2:14" x14ac:dyDescent="0.15">
      <c r="B514"/>
      <c r="E514" t="s">
        <v>772</v>
      </c>
      <c r="H514" s="654">
        <v>0</v>
      </c>
      <c r="I514" s="654">
        <v>0</v>
      </c>
      <c r="J514" s="654">
        <v>0</v>
      </c>
      <c r="K514" s="654">
        <v>0</v>
      </c>
      <c r="L514" s="654">
        <v>0</v>
      </c>
      <c r="M514" s="654">
        <v>0</v>
      </c>
      <c r="N514" s="654">
        <v>0</v>
      </c>
    </row>
    <row r="515" spans="2:14" x14ac:dyDescent="0.15">
      <c r="B515"/>
      <c r="D515" t="s">
        <v>736</v>
      </c>
      <c r="H515" s="654">
        <v>0</v>
      </c>
      <c r="I515" s="654">
        <v>0</v>
      </c>
      <c r="J515" s="654">
        <v>0</v>
      </c>
      <c r="K515" s="654">
        <v>0</v>
      </c>
      <c r="L515" s="654">
        <v>0</v>
      </c>
      <c r="M515" s="654">
        <v>0</v>
      </c>
      <c r="N515" s="654">
        <v>0</v>
      </c>
    </row>
    <row r="516" spans="2:14" x14ac:dyDescent="0.15">
      <c r="B516"/>
      <c r="D516" t="s">
        <v>567</v>
      </c>
      <c r="E516" t="s">
        <v>473</v>
      </c>
      <c r="F516" t="s">
        <v>631</v>
      </c>
      <c r="G516" t="s">
        <v>596</v>
      </c>
      <c r="H516" s="654">
        <v>212356</v>
      </c>
      <c r="I516" s="654">
        <v>0</v>
      </c>
      <c r="J516" s="654">
        <v>212356</v>
      </c>
      <c r="K516" s="654">
        <v>212356</v>
      </c>
      <c r="L516" s="654">
        <v>0</v>
      </c>
      <c r="M516" s="654">
        <v>0</v>
      </c>
      <c r="N516" s="654">
        <v>0</v>
      </c>
    </row>
    <row r="517" spans="2:14" x14ac:dyDescent="0.15">
      <c r="B517"/>
      <c r="F517" t="s">
        <v>737</v>
      </c>
      <c r="H517" s="654">
        <v>212356</v>
      </c>
      <c r="I517" s="654">
        <v>0</v>
      </c>
      <c r="J517" s="654">
        <v>212356</v>
      </c>
      <c r="K517" s="654">
        <v>212356</v>
      </c>
      <c r="L517" s="654">
        <v>0</v>
      </c>
      <c r="M517" s="654">
        <v>0</v>
      </c>
      <c r="N517" s="654">
        <v>0</v>
      </c>
    </row>
    <row r="518" spans="2:14" x14ac:dyDescent="0.15">
      <c r="B518"/>
      <c r="E518" t="s">
        <v>773</v>
      </c>
      <c r="H518" s="654">
        <v>212356</v>
      </c>
      <c r="I518" s="654">
        <v>0</v>
      </c>
      <c r="J518" s="654">
        <v>212356</v>
      </c>
      <c r="K518" s="654">
        <v>212356</v>
      </c>
      <c r="L518" s="654">
        <v>0</v>
      </c>
      <c r="M518" s="654">
        <v>0</v>
      </c>
      <c r="N518" s="654">
        <v>0</v>
      </c>
    </row>
    <row r="519" spans="2:14" x14ac:dyDescent="0.15">
      <c r="B519"/>
      <c r="D519" t="s">
        <v>739</v>
      </c>
      <c r="H519" s="654">
        <v>212356</v>
      </c>
      <c r="I519" s="654">
        <v>0</v>
      </c>
      <c r="J519" s="654">
        <v>212356</v>
      </c>
      <c r="K519" s="654">
        <v>212356</v>
      </c>
      <c r="L519" s="654">
        <v>0</v>
      </c>
      <c r="M519" s="654">
        <v>0</v>
      </c>
      <c r="N519" s="654">
        <v>0</v>
      </c>
    </row>
    <row r="520" spans="2:14" x14ac:dyDescent="0.15">
      <c r="B520"/>
      <c r="D520" t="s">
        <v>568</v>
      </c>
      <c r="E520" t="s">
        <v>474</v>
      </c>
      <c r="F520" t="s">
        <v>631</v>
      </c>
      <c r="G520" t="s">
        <v>596</v>
      </c>
      <c r="H520" s="654">
        <v>16193</v>
      </c>
      <c r="I520" s="654">
        <v>0</v>
      </c>
      <c r="J520" s="654">
        <v>16193</v>
      </c>
      <c r="K520" s="654">
        <v>16193</v>
      </c>
      <c r="L520" s="654">
        <v>0</v>
      </c>
      <c r="M520" s="654">
        <v>0</v>
      </c>
      <c r="N520" s="654">
        <v>0</v>
      </c>
    </row>
    <row r="521" spans="2:14" x14ac:dyDescent="0.15">
      <c r="B521"/>
      <c r="F521" t="s">
        <v>737</v>
      </c>
      <c r="H521" s="654">
        <v>16193</v>
      </c>
      <c r="I521" s="654">
        <v>0</v>
      </c>
      <c r="J521" s="654">
        <v>16193</v>
      </c>
      <c r="K521" s="654">
        <v>16193</v>
      </c>
      <c r="L521" s="654">
        <v>0</v>
      </c>
      <c r="M521" s="654">
        <v>0</v>
      </c>
      <c r="N521" s="654">
        <v>0</v>
      </c>
    </row>
    <row r="522" spans="2:14" x14ac:dyDescent="0.15">
      <c r="B522"/>
      <c r="E522" t="s">
        <v>774</v>
      </c>
      <c r="H522" s="654">
        <v>16193</v>
      </c>
      <c r="I522" s="654">
        <v>0</v>
      </c>
      <c r="J522" s="654">
        <v>16193</v>
      </c>
      <c r="K522" s="654">
        <v>16193</v>
      </c>
      <c r="L522" s="654">
        <v>0</v>
      </c>
      <c r="M522" s="654">
        <v>0</v>
      </c>
      <c r="N522" s="654">
        <v>0</v>
      </c>
    </row>
    <row r="523" spans="2:14" x14ac:dyDescent="0.15">
      <c r="B523"/>
      <c r="D523" t="s">
        <v>740</v>
      </c>
      <c r="H523" s="654">
        <v>16193</v>
      </c>
      <c r="I523" s="654">
        <v>0</v>
      </c>
      <c r="J523" s="654">
        <v>16193</v>
      </c>
      <c r="K523" s="654">
        <v>16193</v>
      </c>
      <c r="L523" s="654">
        <v>0</v>
      </c>
      <c r="M523" s="654">
        <v>0</v>
      </c>
      <c r="N523" s="654">
        <v>0</v>
      </c>
    </row>
    <row r="524" spans="2:14" x14ac:dyDescent="0.15">
      <c r="B524"/>
      <c r="D524" t="s">
        <v>566</v>
      </c>
      <c r="E524" t="s">
        <v>382</v>
      </c>
      <c r="F524" t="s">
        <v>626</v>
      </c>
      <c r="G524" t="s">
        <v>600</v>
      </c>
      <c r="H524" s="654">
        <v>0</v>
      </c>
      <c r="I524" s="654">
        <v>0</v>
      </c>
      <c r="J524" s="654">
        <v>0</v>
      </c>
      <c r="K524" s="654">
        <v>0</v>
      </c>
      <c r="L524" s="654">
        <v>0</v>
      </c>
      <c r="M524" s="654">
        <v>0</v>
      </c>
      <c r="N524" s="654">
        <v>0</v>
      </c>
    </row>
    <row r="525" spans="2:14" x14ac:dyDescent="0.15">
      <c r="B525"/>
      <c r="F525" t="s">
        <v>733</v>
      </c>
      <c r="H525" s="654">
        <v>0</v>
      </c>
      <c r="I525" s="654">
        <v>0</v>
      </c>
      <c r="J525" s="654">
        <v>0</v>
      </c>
      <c r="K525" s="654">
        <v>0</v>
      </c>
      <c r="L525" s="654">
        <v>0</v>
      </c>
      <c r="M525" s="654">
        <v>0</v>
      </c>
      <c r="N525" s="654">
        <v>0</v>
      </c>
    </row>
    <row r="526" spans="2:14" x14ac:dyDescent="0.15">
      <c r="B526"/>
      <c r="E526" t="s">
        <v>775</v>
      </c>
      <c r="H526" s="654">
        <v>0</v>
      </c>
      <c r="I526" s="654">
        <v>0</v>
      </c>
      <c r="J526" s="654">
        <v>0</v>
      </c>
      <c r="K526" s="654">
        <v>0</v>
      </c>
      <c r="L526" s="654">
        <v>0</v>
      </c>
      <c r="M526" s="654">
        <v>0</v>
      </c>
      <c r="N526" s="654">
        <v>0</v>
      </c>
    </row>
    <row r="527" spans="2:14" x14ac:dyDescent="0.15">
      <c r="B527"/>
      <c r="D527" t="s">
        <v>738</v>
      </c>
      <c r="H527" s="654">
        <v>0</v>
      </c>
      <c r="I527" s="654">
        <v>0</v>
      </c>
      <c r="J527" s="654">
        <v>0</v>
      </c>
      <c r="K527" s="654">
        <v>0</v>
      </c>
      <c r="L527" s="654">
        <v>0</v>
      </c>
      <c r="M527" s="654">
        <v>0</v>
      </c>
      <c r="N527" s="654">
        <v>0</v>
      </c>
    </row>
    <row r="528" spans="2:14" x14ac:dyDescent="0.15">
      <c r="B528"/>
      <c r="D528" t="s">
        <v>631</v>
      </c>
      <c r="E528" t="s">
        <v>381</v>
      </c>
      <c r="F528" t="s">
        <v>626</v>
      </c>
      <c r="G528" t="s">
        <v>600</v>
      </c>
      <c r="H528" s="654">
        <v>0</v>
      </c>
      <c r="I528" s="654">
        <v>0</v>
      </c>
      <c r="J528" s="654">
        <v>0</v>
      </c>
      <c r="K528" s="654">
        <v>0</v>
      </c>
      <c r="L528" s="654">
        <v>0</v>
      </c>
      <c r="M528" s="654">
        <v>0</v>
      </c>
      <c r="N528" s="654">
        <v>0</v>
      </c>
    </row>
    <row r="529" spans="1:14" x14ac:dyDescent="0.15">
      <c r="B529"/>
      <c r="F529" t="s">
        <v>733</v>
      </c>
      <c r="H529" s="654">
        <v>0</v>
      </c>
      <c r="I529" s="654">
        <v>0</v>
      </c>
      <c r="J529" s="654">
        <v>0</v>
      </c>
      <c r="K529" s="654">
        <v>0</v>
      </c>
      <c r="L529" s="654">
        <v>0</v>
      </c>
      <c r="M529" s="654">
        <v>0</v>
      </c>
      <c r="N529" s="654">
        <v>0</v>
      </c>
    </row>
    <row r="530" spans="1:14" x14ac:dyDescent="0.15">
      <c r="B530"/>
      <c r="E530" t="s">
        <v>776</v>
      </c>
      <c r="H530" s="654">
        <v>0</v>
      </c>
      <c r="I530" s="654">
        <v>0</v>
      </c>
      <c r="J530" s="654">
        <v>0</v>
      </c>
      <c r="K530" s="654">
        <v>0</v>
      </c>
      <c r="L530" s="654">
        <v>0</v>
      </c>
      <c r="M530" s="654">
        <v>0</v>
      </c>
      <c r="N530" s="654">
        <v>0</v>
      </c>
    </row>
    <row r="531" spans="1:14" x14ac:dyDescent="0.15">
      <c r="B531"/>
      <c r="D531" t="s">
        <v>737</v>
      </c>
      <c r="H531" s="654">
        <v>0</v>
      </c>
      <c r="I531" s="654">
        <v>0</v>
      </c>
      <c r="J531" s="654">
        <v>0</v>
      </c>
      <c r="K531" s="654">
        <v>0</v>
      </c>
      <c r="L531" s="654">
        <v>0</v>
      </c>
      <c r="M531" s="654">
        <v>0</v>
      </c>
      <c r="N531" s="654">
        <v>0</v>
      </c>
    </row>
    <row r="532" spans="1:14" x14ac:dyDescent="0.15">
      <c r="B532"/>
      <c r="D532" t="s">
        <v>671</v>
      </c>
      <c r="E532" t="s">
        <v>383</v>
      </c>
      <c r="F532" t="s">
        <v>626</v>
      </c>
      <c r="G532" t="s">
        <v>600</v>
      </c>
      <c r="H532" s="654">
        <v>-29236</v>
      </c>
      <c r="I532" s="654">
        <v>41367</v>
      </c>
      <c r="J532" s="654">
        <v>12131</v>
      </c>
      <c r="K532" s="654">
        <v>12131</v>
      </c>
      <c r="L532" s="654">
        <v>0</v>
      </c>
      <c r="M532" s="654">
        <v>0</v>
      </c>
      <c r="N532" s="654">
        <v>0</v>
      </c>
    </row>
    <row r="533" spans="1:14" x14ac:dyDescent="0.15">
      <c r="B533"/>
      <c r="F533" t="s">
        <v>733</v>
      </c>
      <c r="H533" s="654">
        <v>-29236</v>
      </c>
      <c r="I533" s="654">
        <v>41367</v>
      </c>
      <c r="J533" s="654">
        <v>12131</v>
      </c>
      <c r="K533" s="654">
        <v>12131</v>
      </c>
      <c r="L533" s="654">
        <v>0</v>
      </c>
      <c r="M533" s="654">
        <v>0</v>
      </c>
      <c r="N533" s="654">
        <v>0</v>
      </c>
    </row>
    <row r="534" spans="1:14" x14ac:dyDescent="0.15">
      <c r="B534"/>
      <c r="F534" t="s">
        <v>627</v>
      </c>
      <c r="G534" t="s">
        <v>599</v>
      </c>
      <c r="H534" s="654">
        <v>0</v>
      </c>
      <c r="I534" s="654">
        <v>0</v>
      </c>
      <c r="J534" s="654">
        <v>0</v>
      </c>
      <c r="K534" s="654">
        <v>0</v>
      </c>
      <c r="L534" s="654">
        <v>0</v>
      </c>
      <c r="M534" s="654">
        <v>0</v>
      </c>
      <c r="N534" s="654">
        <v>0</v>
      </c>
    </row>
    <row r="535" spans="1:14" x14ac:dyDescent="0.15">
      <c r="B535"/>
      <c r="F535" t="s">
        <v>734</v>
      </c>
      <c r="H535" s="654">
        <v>0</v>
      </c>
      <c r="I535" s="654">
        <v>0</v>
      </c>
      <c r="J535" s="654">
        <v>0</v>
      </c>
      <c r="K535" s="654">
        <v>0</v>
      </c>
      <c r="L535" s="654">
        <v>0</v>
      </c>
      <c r="M535" s="654">
        <v>0</v>
      </c>
      <c r="N535" s="654">
        <v>0</v>
      </c>
    </row>
    <row r="536" spans="1:14" x14ac:dyDescent="0.15">
      <c r="B536"/>
      <c r="E536" t="s">
        <v>777</v>
      </c>
      <c r="H536" s="654">
        <v>-29236</v>
      </c>
      <c r="I536" s="654">
        <v>41367</v>
      </c>
      <c r="J536" s="654">
        <v>12131</v>
      </c>
      <c r="K536" s="654">
        <v>12131</v>
      </c>
      <c r="L536" s="654">
        <v>0</v>
      </c>
      <c r="M536" s="654">
        <v>0</v>
      </c>
      <c r="N536" s="654">
        <v>0</v>
      </c>
    </row>
    <row r="537" spans="1:14" x14ac:dyDescent="0.15">
      <c r="B537"/>
      <c r="D537" t="s">
        <v>742</v>
      </c>
      <c r="H537" s="654">
        <v>-29236</v>
      </c>
      <c r="I537" s="654">
        <v>41367</v>
      </c>
      <c r="J537" s="654">
        <v>12131</v>
      </c>
      <c r="K537" s="654">
        <v>12131</v>
      </c>
      <c r="L537" s="654">
        <v>0</v>
      </c>
      <c r="M537" s="654">
        <v>0</v>
      </c>
      <c r="N537" s="654">
        <v>0</v>
      </c>
    </row>
    <row r="538" spans="1:14" x14ac:dyDescent="0.15">
      <c r="B538"/>
      <c r="C538" t="s">
        <v>854</v>
      </c>
      <c r="H538" s="654">
        <v>645151</v>
      </c>
      <c r="I538" s="654">
        <v>2562</v>
      </c>
      <c r="J538" s="654">
        <v>647713</v>
      </c>
      <c r="K538" s="654">
        <v>647713</v>
      </c>
      <c r="L538" s="654">
        <v>0</v>
      </c>
      <c r="M538" s="654">
        <v>0</v>
      </c>
      <c r="N538" s="654">
        <v>0</v>
      </c>
    </row>
    <row r="539" spans="1:14" x14ac:dyDescent="0.15">
      <c r="A539" s="653" t="s">
        <v>613</v>
      </c>
      <c r="B539"/>
      <c r="H539" s="654">
        <v>25696788</v>
      </c>
      <c r="I539" s="654">
        <v>-280413</v>
      </c>
      <c r="J539" s="654">
        <v>25416375</v>
      </c>
      <c r="K539" s="654">
        <v>25416375</v>
      </c>
      <c r="L539" s="654">
        <v>0</v>
      </c>
      <c r="M539" s="654">
        <v>565083</v>
      </c>
      <c r="N539" s="654">
        <v>2083759</v>
      </c>
    </row>
    <row r="540" spans="1:14" x14ac:dyDescent="0.15">
      <c r="A540" s="653">
        <v>42767</v>
      </c>
      <c r="B540" t="s">
        <v>626</v>
      </c>
      <c r="C540" t="s">
        <v>849</v>
      </c>
      <c r="D540" t="s">
        <v>626</v>
      </c>
      <c r="E540" t="s">
        <v>378</v>
      </c>
      <c r="F540" t="s">
        <v>626</v>
      </c>
      <c r="G540" t="s">
        <v>600</v>
      </c>
      <c r="H540" s="654">
        <v>6226071</v>
      </c>
      <c r="I540" s="654">
        <v>-99028</v>
      </c>
      <c r="J540" s="654">
        <v>6127043</v>
      </c>
      <c r="K540" s="654">
        <v>6127043</v>
      </c>
      <c r="L540" s="654">
        <v>0</v>
      </c>
      <c r="M540" s="654">
        <v>326159</v>
      </c>
      <c r="N540" s="654">
        <v>815137</v>
      </c>
    </row>
    <row r="541" spans="1:14" x14ac:dyDescent="0.15">
      <c r="B541"/>
      <c r="F541" t="s">
        <v>733</v>
      </c>
      <c r="H541" s="654">
        <v>6226071</v>
      </c>
      <c r="I541" s="654">
        <v>-99028</v>
      </c>
      <c r="J541" s="654">
        <v>6127043</v>
      </c>
      <c r="K541" s="654">
        <v>6127043</v>
      </c>
      <c r="L541" s="654">
        <v>0</v>
      </c>
      <c r="M541" s="654">
        <v>326159</v>
      </c>
      <c r="N541" s="654">
        <v>815137</v>
      </c>
    </row>
    <row r="542" spans="1:14" x14ac:dyDescent="0.15">
      <c r="B542"/>
      <c r="F542" t="s">
        <v>627</v>
      </c>
      <c r="G542" t="s">
        <v>599</v>
      </c>
      <c r="H542" s="654">
        <v>1502385</v>
      </c>
      <c r="I542" s="654">
        <v>-131955</v>
      </c>
      <c r="J542" s="654">
        <v>1370430</v>
      </c>
      <c r="K542" s="654">
        <v>1370430</v>
      </c>
      <c r="L542" s="654">
        <v>0</v>
      </c>
      <c r="M542" s="654">
        <v>0</v>
      </c>
      <c r="N542" s="654">
        <v>228468</v>
      </c>
    </row>
    <row r="543" spans="1:14" x14ac:dyDescent="0.15">
      <c r="B543"/>
      <c r="F543" t="s">
        <v>734</v>
      </c>
      <c r="H543" s="654">
        <v>1502385</v>
      </c>
      <c r="I543" s="654">
        <v>-131955</v>
      </c>
      <c r="J543" s="654">
        <v>1370430</v>
      </c>
      <c r="K543" s="654">
        <v>1370430</v>
      </c>
      <c r="L543" s="654">
        <v>0</v>
      </c>
      <c r="M543" s="654">
        <v>0</v>
      </c>
      <c r="N543" s="654">
        <v>228468</v>
      </c>
    </row>
    <row r="544" spans="1:14" x14ac:dyDescent="0.15">
      <c r="B544"/>
      <c r="F544" t="s">
        <v>628</v>
      </c>
      <c r="G544" t="s">
        <v>598</v>
      </c>
      <c r="H544" s="654">
        <v>778211</v>
      </c>
      <c r="I544" s="654">
        <v>0</v>
      </c>
      <c r="J544" s="654">
        <v>778211</v>
      </c>
      <c r="K544" s="654">
        <v>778211</v>
      </c>
      <c r="L544" s="654">
        <v>0</v>
      </c>
      <c r="M544" s="654">
        <v>0</v>
      </c>
      <c r="N544" s="654">
        <v>0</v>
      </c>
    </row>
    <row r="545" spans="2:14" x14ac:dyDescent="0.15">
      <c r="B545"/>
      <c r="F545" t="s">
        <v>735</v>
      </c>
      <c r="H545" s="654">
        <v>778211</v>
      </c>
      <c r="I545" s="654">
        <v>0</v>
      </c>
      <c r="J545" s="654">
        <v>778211</v>
      </c>
      <c r="K545" s="654">
        <v>778211</v>
      </c>
      <c r="L545" s="654">
        <v>0</v>
      </c>
      <c r="M545" s="654">
        <v>0</v>
      </c>
      <c r="N545" s="654">
        <v>0</v>
      </c>
    </row>
    <row r="546" spans="2:14" x14ac:dyDescent="0.15">
      <c r="B546"/>
      <c r="E546" t="s">
        <v>769</v>
      </c>
      <c r="H546" s="654">
        <v>8506667</v>
      </c>
      <c r="I546" s="654">
        <v>-230983</v>
      </c>
      <c r="J546" s="654">
        <v>8275684</v>
      </c>
      <c r="K546" s="654">
        <v>8275684</v>
      </c>
      <c r="L546" s="654">
        <v>0</v>
      </c>
      <c r="M546" s="654">
        <v>326159</v>
      </c>
      <c r="N546" s="654">
        <v>1043605</v>
      </c>
    </row>
    <row r="547" spans="2:14" x14ac:dyDescent="0.15">
      <c r="B547"/>
      <c r="D547" t="s">
        <v>733</v>
      </c>
      <c r="H547" s="654">
        <v>8506667</v>
      </c>
      <c r="I547" s="654">
        <v>-230983</v>
      </c>
      <c r="J547" s="654">
        <v>8275684</v>
      </c>
      <c r="K547" s="654">
        <v>8275684</v>
      </c>
      <c r="L547" s="654">
        <v>0</v>
      </c>
      <c r="M547" s="654">
        <v>326159</v>
      </c>
      <c r="N547" s="654">
        <v>1043605</v>
      </c>
    </row>
    <row r="548" spans="2:14" x14ac:dyDescent="0.15">
      <c r="B548"/>
      <c r="D548" t="s">
        <v>627</v>
      </c>
      <c r="E548" t="s">
        <v>379</v>
      </c>
      <c r="F548" t="s">
        <v>626</v>
      </c>
      <c r="G548" t="s">
        <v>600</v>
      </c>
      <c r="H548" s="654">
        <v>3870090</v>
      </c>
      <c r="I548" s="654">
        <v>-41691</v>
      </c>
      <c r="J548" s="654">
        <v>3828399</v>
      </c>
      <c r="K548" s="654">
        <v>3828399</v>
      </c>
      <c r="L548" s="654">
        <v>0</v>
      </c>
      <c r="M548" s="654">
        <v>0</v>
      </c>
      <c r="N548" s="654">
        <v>309401</v>
      </c>
    </row>
    <row r="549" spans="2:14" x14ac:dyDescent="0.15">
      <c r="B549"/>
      <c r="F549" t="s">
        <v>733</v>
      </c>
      <c r="H549" s="654">
        <v>3870090</v>
      </c>
      <c r="I549" s="654">
        <v>-41691</v>
      </c>
      <c r="J549" s="654">
        <v>3828399</v>
      </c>
      <c r="K549" s="654">
        <v>3828399</v>
      </c>
      <c r="L549" s="654">
        <v>0</v>
      </c>
      <c r="M549" s="654">
        <v>0</v>
      </c>
      <c r="N549" s="654">
        <v>309401</v>
      </c>
    </row>
    <row r="550" spans="2:14" x14ac:dyDescent="0.15">
      <c r="B550"/>
      <c r="F550" t="s">
        <v>627</v>
      </c>
      <c r="G550" t="s">
        <v>599</v>
      </c>
      <c r="H550" s="654">
        <v>510256</v>
      </c>
      <c r="I550" s="654">
        <v>-16154</v>
      </c>
      <c r="J550" s="654">
        <v>494102</v>
      </c>
      <c r="K550" s="654">
        <v>494102</v>
      </c>
      <c r="L550" s="654">
        <v>0</v>
      </c>
      <c r="M550" s="654">
        <v>0</v>
      </c>
      <c r="N550" s="654">
        <v>88748</v>
      </c>
    </row>
    <row r="551" spans="2:14" x14ac:dyDescent="0.15">
      <c r="B551"/>
      <c r="F551" t="s">
        <v>734</v>
      </c>
      <c r="H551" s="654">
        <v>510256</v>
      </c>
      <c r="I551" s="654">
        <v>-16154</v>
      </c>
      <c r="J551" s="654">
        <v>494102</v>
      </c>
      <c r="K551" s="654">
        <v>494102</v>
      </c>
      <c r="L551" s="654">
        <v>0</v>
      </c>
      <c r="M551" s="654">
        <v>0</v>
      </c>
      <c r="N551" s="654">
        <v>88748</v>
      </c>
    </row>
    <row r="552" spans="2:14" x14ac:dyDescent="0.15">
      <c r="B552"/>
      <c r="F552" t="s">
        <v>628</v>
      </c>
      <c r="G552" t="s">
        <v>598</v>
      </c>
      <c r="H552" s="654">
        <v>349880</v>
      </c>
      <c r="I552" s="654">
        <v>-11514</v>
      </c>
      <c r="J552" s="654">
        <v>338366</v>
      </c>
      <c r="K552" s="654">
        <v>338366</v>
      </c>
      <c r="L552" s="654">
        <v>0</v>
      </c>
      <c r="M552" s="654">
        <v>0</v>
      </c>
      <c r="N552" s="654">
        <v>0</v>
      </c>
    </row>
    <row r="553" spans="2:14" x14ac:dyDescent="0.15">
      <c r="B553"/>
      <c r="F553" t="s">
        <v>735</v>
      </c>
      <c r="H553" s="654">
        <v>349880</v>
      </c>
      <c r="I553" s="654">
        <v>-11514</v>
      </c>
      <c r="J553" s="654">
        <v>338366</v>
      </c>
      <c r="K553" s="654">
        <v>338366</v>
      </c>
      <c r="L553" s="654">
        <v>0</v>
      </c>
      <c r="M553" s="654">
        <v>0</v>
      </c>
      <c r="N553" s="654">
        <v>0</v>
      </c>
    </row>
    <row r="554" spans="2:14" x14ac:dyDescent="0.15">
      <c r="B554"/>
      <c r="E554" t="s">
        <v>770</v>
      </c>
      <c r="H554" s="654">
        <v>4730226</v>
      </c>
      <c r="I554" s="654">
        <v>-69359</v>
      </c>
      <c r="J554" s="654">
        <v>4660867</v>
      </c>
      <c r="K554" s="654">
        <v>4660867</v>
      </c>
      <c r="L554" s="654">
        <v>0</v>
      </c>
      <c r="M554" s="654">
        <v>0</v>
      </c>
      <c r="N554" s="654">
        <v>398149</v>
      </c>
    </row>
    <row r="555" spans="2:14" x14ac:dyDescent="0.15">
      <c r="B555"/>
      <c r="D555" t="s">
        <v>734</v>
      </c>
      <c r="H555" s="654">
        <v>4730226</v>
      </c>
      <c r="I555" s="654">
        <v>-69359</v>
      </c>
      <c r="J555" s="654">
        <v>4660867</v>
      </c>
      <c r="K555" s="654">
        <v>4660867</v>
      </c>
      <c r="L555" s="654">
        <v>0</v>
      </c>
      <c r="M555" s="654">
        <v>0</v>
      </c>
      <c r="N555" s="654">
        <v>398149</v>
      </c>
    </row>
    <row r="556" spans="2:14" x14ac:dyDescent="0.15">
      <c r="B556"/>
      <c r="D556" t="s">
        <v>628</v>
      </c>
      <c r="E556" t="s">
        <v>380</v>
      </c>
      <c r="F556" t="s">
        <v>626</v>
      </c>
      <c r="G556" t="s">
        <v>600</v>
      </c>
      <c r="H556" s="654">
        <v>2668880</v>
      </c>
      <c r="I556" s="654">
        <v>-16420</v>
      </c>
      <c r="J556" s="654">
        <v>2652460</v>
      </c>
      <c r="K556" s="654">
        <v>2652460</v>
      </c>
      <c r="L556" s="654">
        <v>0</v>
      </c>
      <c r="M556" s="654">
        <v>208169</v>
      </c>
      <c r="N556" s="654">
        <v>232279</v>
      </c>
    </row>
    <row r="557" spans="2:14" x14ac:dyDescent="0.15">
      <c r="B557"/>
      <c r="F557" t="s">
        <v>733</v>
      </c>
      <c r="H557" s="654">
        <v>2668880</v>
      </c>
      <c r="I557" s="654">
        <v>-16420</v>
      </c>
      <c r="J557" s="654">
        <v>2652460</v>
      </c>
      <c r="K557" s="654">
        <v>2652460</v>
      </c>
      <c r="L557" s="654">
        <v>0</v>
      </c>
      <c r="M557" s="654">
        <v>208169</v>
      </c>
      <c r="N557" s="654">
        <v>232279</v>
      </c>
    </row>
    <row r="558" spans="2:14" x14ac:dyDescent="0.15">
      <c r="B558"/>
      <c r="F558" t="s">
        <v>627</v>
      </c>
      <c r="G558" t="s">
        <v>599</v>
      </c>
      <c r="H558" s="654">
        <v>1183097</v>
      </c>
      <c r="I558" s="654">
        <v>-14807</v>
      </c>
      <c r="J558" s="654">
        <v>1168290</v>
      </c>
      <c r="K558" s="654">
        <v>1168290</v>
      </c>
      <c r="L558" s="654">
        <v>0</v>
      </c>
      <c r="M558" s="654">
        <v>0</v>
      </c>
      <c r="N558" s="654">
        <v>206946</v>
      </c>
    </row>
    <row r="559" spans="2:14" x14ac:dyDescent="0.15">
      <c r="B559"/>
      <c r="F559" t="s">
        <v>734</v>
      </c>
      <c r="H559" s="654">
        <v>1183097</v>
      </c>
      <c r="I559" s="654">
        <v>-14807</v>
      </c>
      <c r="J559" s="654">
        <v>1168290</v>
      </c>
      <c r="K559" s="654">
        <v>1168290</v>
      </c>
      <c r="L559" s="654">
        <v>0</v>
      </c>
      <c r="M559" s="654">
        <v>0</v>
      </c>
      <c r="N559" s="654">
        <v>206946</v>
      </c>
    </row>
    <row r="560" spans="2:14" x14ac:dyDescent="0.15">
      <c r="B560"/>
      <c r="E560" t="s">
        <v>771</v>
      </c>
      <c r="H560" s="654">
        <v>3851977</v>
      </c>
      <c r="I560" s="654">
        <v>-31227</v>
      </c>
      <c r="J560" s="654">
        <v>3820750</v>
      </c>
      <c r="K560" s="654">
        <v>3820750</v>
      </c>
      <c r="L560" s="654">
        <v>0</v>
      </c>
      <c r="M560" s="654">
        <v>208169</v>
      </c>
      <c r="N560" s="654">
        <v>439225</v>
      </c>
    </row>
    <row r="561" spans="2:14" x14ac:dyDescent="0.15">
      <c r="B561"/>
      <c r="D561" t="s">
        <v>735</v>
      </c>
      <c r="H561" s="654">
        <v>3851977</v>
      </c>
      <c r="I561" s="654">
        <v>-31227</v>
      </c>
      <c r="J561" s="654">
        <v>3820750</v>
      </c>
      <c r="K561" s="654">
        <v>3820750</v>
      </c>
      <c r="L561" s="654">
        <v>0</v>
      </c>
      <c r="M561" s="654">
        <v>208169</v>
      </c>
      <c r="N561" s="654">
        <v>439225</v>
      </c>
    </row>
    <row r="562" spans="2:14" x14ac:dyDescent="0.15">
      <c r="B562"/>
      <c r="D562" t="s">
        <v>629</v>
      </c>
      <c r="E562" t="s">
        <v>676</v>
      </c>
      <c r="F562" t="s">
        <v>629</v>
      </c>
      <c r="G562" t="s">
        <v>601</v>
      </c>
      <c r="H562" s="654">
        <v>2887757</v>
      </c>
      <c r="I562" s="654">
        <v>-65050</v>
      </c>
      <c r="J562" s="654">
        <v>2822707</v>
      </c>
      <c r="K562" s="654">
        <v>2822707</v>
      </c>
      <c r="L562" s="654">
        <v>0</v>
      </c>
      <c r="M562" s="654">
        <v>15821</v>
      </c>
      <c r="N562" s="654">
        <v>111359</v>
      </c>
    </row>
    <row r="563" spans="2:14" x14ac:dyDescent="0.15">
      <c r="B563"/>
      <c r="F563" t="s">
        <v>736</v>
      </c>
      <c r="H563" s="654">
        <v>2887757</v>
      </c>
      <c r="I563" s="654">
        <v>-65050</v>
      </c>
      <c r="J563" s="654">
        <v>2822707</v>
      </c>
      <c r="K563" s="654">
        <v>2822707</v>
      </c>
      <c r="L563" s="654">
        <v>0</v>
      </c>
      <c r="M563" s="654">
        <v>15821</v>
      </c>
      <c r="N563" s="654">
        <v>111359</v>
      </c>
    </row>
    <row r="564" spans="2:14" x14ac:dyDescent="0.15">
      <c r="B564"/>
      <c r="E564" t="s">
        <v>772</v>
      </c>
      <c r="H564" s="654">
        <v>2887757</v>
      </c>
      <c r="I564" s="654">
        <v>-65050</v>
      </c>
      <c r="J564" s="654">
        <v>2822707</v>
      </c>
      <c r="K564" s="654">
        <v>2822707</v>
      </c>
      <c r="L564" s="654">
        <v>0</v>
      </c>
      <c r="M564" s="654">
        <v>15821</v>
      </c>
      <c r="N564" s="654">
        <v>111359</v>
      </c>
    </row>
    <row r="565" spans="2:14" x14ac:dyDescent="0.15">
      <c r="B565"/>
      <c r="D565" t="s">
        <v>736</v>
      </c>
      <c r="H565" s="654">
        <v>2887757</v>
      </c>
      <c r="I565" s="654">
        <v>-65050</v>
      </c>
      <c r="J565" s="654">
        <v>2822707</v>
      </c>
      <c r="K565" s="654">
        <v>2822707</v>
      </c>
      <c r="L565" s="654">
        <v>0</v>
      </c>
      <c r="M565" s="654">
        <v>15821</v>
      </c>
      <c r="N565" s="654">
        <v>111359</v>
      </c>
    </row>
    <row r="566" spans="2:14" x14ac:dyDescent="0.15">
      <c r="B566"/>
      <c r="D566" t="s">
        <v>567</v>
      </c>
      <c r="E566" t="s">
        <v>473</v>
      </c>
      <c r="F566" t="s">
        <v>631</v>
      </c>
      <c r="G566" t="s">
        <v>596</v>
      </c>
      <c r="H566" s="654">
        <v>898853</v>
      </c>
      <c r="I566" s="654">
        <v>0</v>
      </c>
      <c r="J566" s="654">
        <v>898853</v>
      </c>
      <c r="K566" s="654">
        <v>898853</v>
      </c>
      <c r="L566" s="654">
        <v>0</v>
      </c>
      <c r="M566" s="654">
        <v>0</v>
      </c>
      <c r="N566" s="654">
        <v>66554</v>
      </c>
    </row>
    <row r="567" spans="2:14" x14ac:dyDescent="0.15">
      <c r="B567"/>
      <c r="F567" t="s">
        <v>737</v>
      </c>
      <c r="H567" s="654">
        <v>898853</v>
      </c>
      <c r="I567" s="654">
        <v>0</v>
      </c>
      <c r="J567" s="654">
        <v>898853</v>
      </c>
      <c r="K567" s="654">
        <v>898853</v>
      </c>
      <c r="L567" s="654">
        <v>0</v>
      </c>
      <c r="M567" s="654">
        <v>0</v>
      </c>
      <c r="N567" s="654">
        <v>66554</v>
      </c>
    </row>
    <row r="568" spans="2:14" x14ac:dyDescent="0.15">
      <c r="B568"/>
      <c r="E568" t="s">
        <v>773</v>
      </c>
      <c r="H568" s="654">
        <v>898853</v>
      </c>
      <c r="I568" s="654">
        <v>0</v>
      </c>
      <c r="J568" s="654">
        <v>898853</v>
      </c>
      <c r="K568" s="654">
        <v>898853</v>
      </c>
      <c r="L568" s="654">
        <v>0</v>
      </c>
      <c r="M568" s="654">
        <v>0</v>
      </c>
      <c r="N568" s="654">
        <v>66554</v>
      </c>
    </row>
    <row r="569" spans="2:14" x14ac:dyDescent="0.15">
      <c r="B569"/>
      <c r="D569" t="s">
        <v>739</v>
      </c>
      <c r="H569" s="654">
        <v>898853</v>
      </c>
      <c r="I569" s="654">
        <v>0</v>
      </c>
      <c r="J569" s="654">
        <v>898853</v>
      </c>
      <c r="K569" s="654">
        <v>898853</v>
      </c>
      <c r="L569" s="654">
        <v>0</v>
      </c>
      <c r="M569" s="654">
        <v>0</v>
      </c>
      <c r="N569" s="654">
        <v>66554</v>
      </c>
    </row>
    <row r="570" spans="2:14" x14ac:dyDescent="0.15">
      <c r="B570"/>
      <c r="D570" t="s">
        <v>568</v>
      </c>
      <c r="E570" t="s">
        <v>474</v>
      </c>
      <c r="F570" t="s">
        <v>631</v>
      </c>
      <c r="G570" t="s">
        <v>596</v>
      </c>
      <c r="H570" s="654">
        <v>460537</v>
      </c>
      <c r="I570" s="654">
        <v>0</v>
      </c>
      <c r="J570" s="654">
        <v>460537</v>
      </c>
      <c r="K570" s="654">
        <v>460537</v>
      </c>
      <c r="L570" s="654">
        <v>0</v>
      </c>
      <c r="M570" s="654">
        <v>0</v>
      </c>
      <c r="N570" s="654">
        <v>0</v>
      </c>
    </row>
    <row r="571" spans="2:14" x14ac:dyDescent="0.15">
      <c r="B571"/>
      <c r="F571" t="s">
        <v>737</v>
      </c>
      <c r="H571" s="654">
        <v>460537</v>
      </c>
      <c r="I571" s="654">
        <v>0</v>
      </c>
      <c r="J571" s="654">
        <v>460537</v>
      </c>
      <c r="K571" s="654">
        <v>460537</v>
      </c>
      <c r="L571" s="654">
        <v>0</v>
      </c>
      <c r="M571" s="654">
        <v>0</v>
      </c>
      <c r="N571" s="654">
        <v>0</v>
      </c>
    </row>
    <row r="572" spans="2:14" x14ac:dyDescent="0.15">
      <c r="B572"/>
      <c r="E572" t="s">
        <v>774</v>
      </c>
      <c r="H572" s="654">
        <v>460537</v>
      </c>
      <c r="I572" s="654">
        <v>0</v>
      </c>
      <c r="J572" s="654">
        <v>460537</v>
      </c>
      <c r="K572" s="654">
        <v>460537</v>
      </c>
      <c r="L572" s="654">
        <v>0</v>
      </c>
      <c r="M572" s="654">
        <v>0</v>
      </c>
      <c r="N572" s="654">
        <v>0</v>
      </c>
    </row>
    <row r="573" spans="2:14" x14ac:dyDescent="0.15">
      <c r="B573"/>
      <c r="D573" t="s">
        <v>740</v>
      </c>
      <c r="H573" s="654">
        <v>460537</v>
      </c>
      <c r="I573" s="654">
        <v>0</v>
      </c>
      <c r="J573" s="654">
        <v>460537</v>
      </c>
      <c r="K573" s="654">
        <v>460537</v>
      </c>
      <c r="L573" s="654">
        <v>0</v>
      </c>
      <c r="M573" s="654">
        <v>0</v>
      </c>
      <c r="N573" s="654">
        <v>0</v>
      </c>
    </row>
    <row r="574" spans="2:14" x14ac:dyDescent="0.15">
      <c r="B574"/>
      <c r="D574" t="s">
        <v>566</v>
      </c>
      <c r="E574" t="s">
        <v>382</v>
      </c>
      <c r="F574" t="s">
        <v>626</v>
      </c>
      <c r="G574" t="s">
        <v>600</v>
      </c>
      <c r="H574" s="654">
        <v>609299</v>
      </c>
      <c r="I574" s="654">
        <v>0</v>
      </c>
      <c r="J574" s="654">
        <v>609299</v>
      </c>
      <c r="K574" s="654">
        <v>609299</v>
      </c>
      <c r="L574" s="654">
        <v>0</v>
      </c>
      <c r="M574" s="654">
        <v>0</v>
      </c>
      <c r="N574" s="654">
        <v>0</v>
      </c>
    </row>
    <row r="575" spans="2:14" x14ac:dyDescent="0.15">
      <c r="B575"/>
      <c r="F575" t="s">
        <v>733</v>
      </c>
      <c r="H575" s="654">
        <v>609299</v>
      </c>
      <c r="I575" s="654">
        <v>0</v>
      </c>
      <c r="J575" s="654">
        <v>609299</v>
      </c>
      <c r="K575" s="654">
        <v>609299</v>
      </c>
      <c r="L575" s="654">
        <v>0</v>
      </c>
      <c r="M575" s="654">
        <v>0</v>
      </c>
      <c r="N575" s="654">
        <v>0</v>
      </c>
    </row>
    <row r="576" spans="2:14" x14ac:dyDescent="0.15">
      <c r="B576"/>
      <c r="E576" t="s">
        <v>775</v>
      </c>
      <c r="H576" s="654">
        <v>609299</v>
      </c>
      <c r="I576" s="654">
        <v>0</v>
      </c>
      <c r="J576" s="654">
        <v>609299</v>
      </c>
      <c r="K576" s="654">
        <v>609299</v>
      </c>
      <c r="L576" s="654">
        <v>0</v>
      </c>
      <c r="M576" s="654">
        <v>0</v>
      </c>
      <c r="N576" s="654">
        <v>0</v>
      </c>
    </row>
    <row r="577" spans="2:14" x14ac:dyDescent="0.15">
      <c r="B577"/>
      <c r="D577" t="s">
        <v>738</v>
      </c>
      <c r="H577" s="654">
        <v>609299</v>
      </c>
      <c r="I577" s="654">
        <v>0</v>
      </c>
      <c r="J577" s="654">
        <v>609299</v>
      </c>
      <c r="K577" s="654">
        <v>609299</v>
      </c>
      <c r="L577" s="654">
        <v>0</v>
      </c>
      <c r="M577" s="654">
        <v>0</v>
      </c>
      <c r="N577" s="654">
        <v>0</v>
      </c>
    </row>
    <row r="578" spans="2:14" x14ac:dyDescent="0.15">
      <c r="B578"/>
      <c r="D578" t="s">
        <v>631</v>
      </c>
      <c r="E578" t="s">
        <v>381</v>
      </c>
      <c r="F578" t="s">
        <v>626</v>
      </c>
      <c r="G578" t="s">
        <v>600</v>
      </c>
      <c r="H578" s="654">
        <v>2154121</v>
      </c>
      <c r="I578" s="654">
        <v>0</v>
      </c>
      <c r="J578" s="654">
        <v>2154121</v>
      </c>
      <c r="K578" s="654">
        <v>2154121</v>
      </c>
      <c r="L578" s="654">
        <v>0</v>
      </c>
      <c r="M578" s="654">
        <v>0</v>
      </c>
      <c r="N578" s="654">
        <v>0</v>
      </c>
    </row>
    <row r="579" spans="2:14" x14ac:dyDescent="0.15">
      <c r="B579"/>
      <c r="F579" t="s">
        <v>733</v>
      </c>
      <c r="H579" s="654">
        <v>2154121</v>
      </c>
      <c r="I579" s="654">
        <v>0</v>
      </c>
      <c r="J579" s="654">
        <v>2154121</v>
      </c>
      <c r="K579" s="654">
        <v>2154121</v>
      </c>
      <c r="L579" s="654">
        <v>0</v>
      </c>
      <c r="M579" s="654">
        <v>0</v>
      </c>
      <c r="N579" s="654">
        <v>0</v>
      </c>
    </row>
    <row r="580" spans="2:14" x14ac:dyDescent="0.15">
      <c r="B580"/>
      <c r="E580" t="s">
        <v>776</v>
      </c>
      <c r="H580" s="654">
        <v>2154121</v>
      </c>
      <c r="I580" s="654">
        <v>0</v>
      </c>
      <c r="J580" s="654">
        <v>2154121</v>
      </c>
      <c r="K580" s="654">
        <v>2154121</v>
      </c>
      <c r="L580" s="654">
        <v>0</v>
      </c>
      <c r="M580" s="654">
        <v>0</v>
      </c>
      <c r="N580" s="654">
        <v>0</v>
      </c>
    </row>
    <row r="581" spans="2:14" x14ac:dyDescent="0.15">
      <c r="B581"/>
      <c r="D581" t="s">
        <v>737</v>
      </c>
      <c r="H581" s="654">
        <v>2154121</v>
      </c>
      <c r="I581" s="654">
        <v>0</v>
      </c>
      <c r="J581" s="654">
        <v>2154121</v>
      </c>
      <c r="K581" s="654">
        <v>2154121</v>
      </c>
      <c r="L581" s="654">
        <v>0</v>
      </c>
      <c r="M581" s="654">
        <v>0</v>
      </c>
      <c r="N581" s="654">
        <v>0</v>
      </c>
    </row>
    <row r="582" spans="2:14" x14ac:dyDescent="0.15">
      <c r="B582"/>
      <c r="D582" t="s">
        <v>671</v>
      </c>
      <c r="E582" t="s">
        <v>383</v>
      </c>
      <c r="F582" t="s">
        <v>626</v>
      </c>
      <c r="G582" t="s">
        <v>600</v>
      </c>
      <c r="H582" s="654">
        <v>1091048</v>
      </c>
      <c r="I582" s="654">
        <v>0</v>
      </c>
      <c r="J582" s="654">
        <v>1091048</v>
      </c>
      <c r="K582" s="654">
        <v>1091048</v>
      </c>
      <c r="L582" s="654">
        <v>0</v>
      </c>
      <c r="M582" s="654">
        <v>18799</v>
      </c>
      <c r="N582" s="654">
        <v>0</v>
      </c>
    </row>
    <row r="583" spans="2:14" x14ac:dyDescent="0.15">
      <c r="B583"/>
      <c r="F583" t="s">
        <v>733</v>
      </c>
      <c r="H583" s="654">
        <v>1091048</v>
      </c>
      <c r="I583" s="654">
        <v>0</v>
      </c>
      <c r="J583" s="654">
        <v>1091048</v>
      </c>
      <c r="K583" s="654">
        <v>1091048</v>
      </c>
      <c r="L583" s="654">
        <v>0</v>
      </c>
      <c r="M583" s="654">
        <v>18799</v>
      </c>
      <c r="N583" s="654">
        <v>0</v>
      </c>
    </row>
    <row r="584" spans="2:14" x14ac:dyDescent="0.15">
      <c r="B584"/>
      <c r="F584" t="s">
        <v>627</v>
      </c>
      <c r="G584" t="s">
        <v>599</v>
      </c>
      <c r="H584" s="654">
        <v>2424</v>
      </c>
      <c r="I584" s="654">
        <v>0</v>
      </c>
      <c r="J584" s="654">
        <v>2424</v>
      </c>
      <c r="K584" s="654">
        <v>2424</v>
      </c>
      <c r="L584" s="654">
        <v>0</v>
      </c>
      <c r="M584" s="654">
        <v>0</v>
      </c>
      <c r="N584" s="654">
        <v>0</v>
      </c>
    </row>
    <row r="585" spans="2:14" x14ac:dyDescent="0.15">
      <c r="B585"/>
      <c r="F585" t="s">
        <v>734</v>
      </c>
      <c r="H585" s="654">
        <v>2424</v>
      </c>
      <c r="I585" s="654">
        <v>0</v>
      </c>
      <c r="J585" s="654">
        <v>2424</v>
      </c>
      <c r="K585" s="654">
        <v>2424</v>
      </c>
      <c r="L585" s="654">
        <v>0</v>
      </c>
      <c r="M585" s="654">
        <v>0</v>
      </c>
      <c r="N585" s="654">
        <v>0</v>
      </c>
    </row>
    <row r="586" spans="2:14" x14ac:dyDescent="0.15">
      <c r="B586"/>
      <c r="E586" t="s">
        <v>777</v>
      </c>
      <c r="H586" s="654">
        <v>1093472</v>
      </c>
      <c r="I586" s="654">
        <v>0</v>
      </c>
      <c r="J586" s="654">
        <v>1093472</v>
      </c>
      <c r="K586" s="654">
        <v>1093472</v>
      </c>
      <c r="L586" s="654">
        <v>0</v>
      </c>
      <c r="M586" s="654">
        <v>18799</v>
      </c>
      <c r="N586" s="654">
        <v>0</v>
      </c>
    </row>
    <row r="587" spans="2:14" x14ac:dyDescent="0.15">
      <c r="B587"/>
      <c r="D587" t="s">
        <v>742</v>
      </c>
      <c r="H587" s="654">
        <v>1093472</v>
      </c>
      <c r="I587" s="654">
        <v>0</v>
      </c>
      <c r="J587" s="654">
        <v>1093472</v>
      </c>
      <c r="K587" s="654">
        <v>1093472</v>
      </c>
      <c r="L587" s="654">
        <v>0</v>
      </c>
      <c r="M587" s="654">
        <v>18799</v>
      </c>
      <c r="N587" s="654">
        <v>0</v>
      </c>
    </row>
    <row r="588" spans="2:14" x14ac:dyDescent="0.15">
      <c r="B588"/>
      <c r="C588" t="s">
        <v>853</v>
      </c>
      <c r="H588" s="654">
        <v>25192909</v>
      </c>
      <c r="I588" s="654">
        <v>-396619</v>
      </c>
      <c r="J588" s="654">
        <v>24796290</v>
      </c>
      <c r="K588" s="654">
        <v>24796290</v>
      </c>
      <c r="L588" s="654">
        <v>0</v>
      </c>
      <c r="M588" s="654">
        <v>568948</v>
      </c>
      <c r="N588" s="654">
        <v>2058892</v>
      </c>
    </row>
    <row r="589" spans="2:14" x14ac:dyDescent="0.15">
      <c r="B589" t="s">
        <v>627</v>
      </c>
      <c r="C589" t="s">
        <v>847</v>
      </c>
      <c r="D589" t="s">
        <v>626</v>
      </c>
      <c r="E589" t="s">
        <v>378</v>
      </c>
      <c r="F589" t="s">
        <v>626</v>
      </c>
      <c r="G589" t="s">
        <v>600</v>
      </c>
      <c r="H589" s="654">
        <v>140748</v>
      </c>
      <c r="I589" s="654">
        <v>17718</v>
      </c>
      <c r="J589" s="654">
        <v>158466</v>
      </c>
      <c r="K589" s="654">
        <v>158466</v>
      </c>
      <c r="L589" s="654">
        <v>0</v>
      </c>
      <c r="M589" s="654">
        <v>0</v>
      </c>
      <c r="N589" s="654">
        <v>0</v>
      </c>
    </row>
    <row r="590" spans="2:14" x14ac:dyDescent="0.15">
      <c r="B590"/>
      <c r="F590" t="s">
        <v>733</v>
      </c>
      <c r="H590" s="654">
        <v>140748</v>
      </c>
      <c r="I590" s="654">
        <v>17718</v>
      </c>
      <c r="J590" s="654">
        <v>158466</v>
      </c>
      <c r="K590" s="654">
        <v>158466</v>
      </c>
      <c r="L590" s="654">
        <v>0</v>
      </c>
      <c r="M590" s="654">
        <v>0</v>
      </c>
      <c r="N590" s="654">
        <v>0</v>
      </c>
    </row>
    <row r="591" spans="2:14" x14ac:dyDescent="0.15">
      <c r="B591"/>
      <c r="F591" t="s">
        <v>627</v>
      </c>
      <c r="G591" t="s">
        <v>599</v>
      </c>
      <c r="H591" s="654">
        <v>0</v>
      </c>
      <c r="I591" s="654">
        <v>0</v>
      </c>
      <c r="J591" s="654">
        <v>0</v>
      </c>
      <c r="K591" s="654">
        <v>0</v>
      </c>
      <c r="L591" s="654">
        <v>0</v>
      </c>
      <c r="M591" s="654">
        <v>0</v>
      </c>
      <c r="N591" s="654">
        <v>0</v>
      </c>
    </row>
    <row r="592" spans="2:14" x14ac:dyDescent="0.15">
      <c r="B592"/>
      <c r="F592" t="s">
        <v>734</v>
      </c>
      <c r="H592" s="654">
        <v>0</v>
      </c>
      <c r="I592" s="654">
        <v>0</v>
      </c>
      <c r="J592" s="654">
        <v>0</v>
      </c>
      <c r="K592" s="654">
        <v>0</v>
      </c>
      <c r="L592" s="654">
        <v>0</v>
      </c>
      <c r="M592" s="654">
        <v>0</v>
      </c>
      <c r="N592" s="654">
        <v>0</v>
      </c>
    </row>
    <row r="593" spans="2:14" x14ac:dyDescent="0.15">
      <c r="B593"/>
      <c r="F593" t="s">
        <v>628</v>
      </c>
      <c r="G593" t="s">
        <v>598</v>
      </c>
      <c r="H593" s="654">
        <v>103959</v>
      </c>
      <c r="I593" s="654">
        <v>0</v>
      </c>
      <c r="J593" s="654">
        <v>103959</v>
      </c>
      <c r="K593" s="654">
        <v>103959</v>
      </c>
      <c r="L593" s="654">
        <v>0</v>
      </c>
      <c r="M593" s="654">
        <v>0</v>
      </c>
      <c r="N593" s="654">
        <v>0</v>
      </c>
    </row>
    <row r="594" spans="2:14" x14ac:dyDescent="0.15">
      <c r="B594"/>
      <c r="F594" t="s">
        <v>735</v>
      </c>
      <c r="H594" s="654">
        <v>103959</v>
      </c>
      <c r="I594" s="654">
        <v>0</v>
      </c>
      <c r="J594" s="654">
        <v>103959</v>
      </c>
      <c r="K594" s="654">
        <v>103959</v>
      </c>
      <c r="L594" s="654">
        <v>0</v>
      </c>
      <c r="M594" s="654">
        <v>0</v>
      </c>
      <c r="N594" s="654">
        <v>0</v>
      </c>
    </row>
    <row r="595" spans="2:14" x14ac:dyDescent="0.15">
      <c r="B595"/>
      <c r="E595" t="s">
        <v>769</v>
      </c>
      <c r="H595" s="654">
        <v>244707</v>
      </c>
      <c r="I595" s="654">
        <v>17718</v>
      </c>
      <c r="J595" s="654">
        <v>262425</v>
      </c>
      <c r="K595" s="654">
        <v>262425</v>
      </c>
      <c r="L595" s="654">
        <v>0</v>
      </c>
      <c r="M595" s="654">
        <v>0</v>
      </c>
      <c r="N595" s="654">
        <v>0</v>
      </c>
    </row>
    <row r="596" spans="2:14" x14ac:dyDescent="0.15">
      <c r="B596"/>
      <c r="D596" t="s">
        <v>733</v>
      </c>
      <c r="H596" s="654">
        <v>244707</v>
      </c>
      <c r="I596" s="654">
        <v>17718</v>
      </c>
      <c r="J596" s="654">
        <v>262425</v>
      </c>
      <c r="K596" s="654">
        <v>262425</v>
      </c>
      <c r="L596" s="654">
        <v>0</v>
      </c>
      <c r="M596" s="654">
        <v>0</v>
      </c>
      <c r="N596" s="654">
        <v>0</v>
      </c>
    </row>
    <row r="597" spans="2:14" x14ac:dyDescent="0.15">
      <c r="B597"/>
      <c r="D597" t="s">
        <v>627</v>
      </c>
      <c r="E597" t="s">
        <v>379</v>
      </c>
      <c r="F597" t="s">
        <v>626</v>
      </c>
      <c r="G597" t="s">
        <v>600</v>
      </c>
      <c r="H597" s="654">
        <v>57800</v>
      </c>
      <c r="I597" s="654">
        <v>28022</v>
      </c>
      <c r="J597" s="654">
        <v>85822</v>
      </c>
      <c r="K597" s="654">
        <v>85822</v>
      </c>
      <c r="L597" s="654">
        <v>0</v>
      </c>
      <c r="M597" s="654">
        <v>0</v>
      </c>
      <c r="N597" s="654">
        <v>0</v>
      </c>
    </row>
    <row r="598" spans="2:14" x14ac:dyDescent="0.15">
      <c r="B598"/>
      <c r="F598" t="s">
        <v>733</v>
      </c>
      <c r="H598" s="654">
        <v>57800</v>
      </c>
      <c r="I598" s="654">
        <v>28022</v>
      </c>
      <c r="J598" s="654">
        <v>85822</v>
      </c>
      <c r="K598" s="654">
        <v>85822</v>
      </c>
      <c r="L598" s="654">
        <v>0</v>
      </c>
      <c r="M598" s="654">
        <v>0</v>
      </c>
      <c r="N598" s="654">
        <v>0</v>
      </c>
    </row>
    <row r="599" spans="2:14" x14ac:dyDescent="0.15">
      <c r="B599"/>
      <c r="F599" t="s">
        <v>627</v>
      </c>
      <c r="G599" t="s">
        <v>599</v>
      </c>
      <c r="H599" s="654">
        <v>16154</v>
      </c>
      <c r="I599" s="654">
        <v>0</v>
      </c>
      <c r="J599" s="654">
        <v>16154</v>
      </c>
      <c r="K599" s="654">
        <v>16154</v>
      </c>
      <c r="L599" s="654">
        <v>0</v>
      </c>
      <c r="M599" s="654">
        <v>0</v>
      </c>
      <c r="N599" s="654">
        <v>0</v>
      </c>
    </row>
    <row r="600" spans="2:14" x14ac:dyDescent="0.15">
      <c r="B600"/>
      <c r="F600" t="s">
        <v>734</v>
      </c>
      <c r="H600" s="654">
        <v>16154</v>
      </c>
      <c r="I600" s="654">
        <v>0</v>
      </c>
      <c r="J600" s="654">
        <v>16154</v>
      </c>
      <c r="K600" s="654">
        <v>16154</v>
      </c>
      <c r="L600" s="654">
        <v>0</v>
      </c>
      <c r="M600" s="654">
        <v>0</v>
      </c>
      <c r="N600" s="654">
        <v>0</v>
      </c>
    </row>
    <row r="601" spans="2:14" x14ac:dyDescent="0.15">
      <c r="B601"/>
      <c r="F601" t="s">
        <v>628</v>
      </c>
      <c r="G601" t="s">
        <v>598</v>
      </c>
      <c r="H601" s="654">
        <v>0</v>
      </c>
      <c r="I601" s="654">
        <v>0</v>
      </c>
      <c r="J601" s="654">
        <v>0</v>
      </c>
      <c r="K601" s="654">
        <v>0</v>
      </c>
      <c r="L601" s="654">
        <v>0</v>
      </c>
      <c r="M601" s="654">
        <v>0</v>
      </c>
      <c r="N601" s="654">
        <v>0</v>
      </c>
    </row>
    <row r="602" spans="2:14" x14ac:dyDescent="0.15">
      <c r="B602"/>
      <c r="F602" t="s">
        <v>735</v>
      </c>
      <c r="H602" s="654">
        <v>0</v>
      </c>
      <c r="I602" s="654">
        <v>0</v>
      </c>
      <c r="J602" s="654">
        <v>0</v>
      </c>
      <c r="K602" s="654">
        <v>0</v>
      </c>
      <c r="L602" s="654">
        <v>0</v>
      </c>
      <c r="M602" s="654">
        <v>0</v>
      </c>
      <c r="N602" s="654">
        <v>0</v>
      </c>
    </row>
    <row r="603" spans="2:14" x14ac:dyDescent="0.15">
      <c r="B603"/>
      <c r="E603" t="s">
        <v>770</v>
      </c>
      <c r="H603" s="654">
        <v>73954</v>
      </c>
      <c r="I603" s="654">
        <v>28022</v>
      </c>
      <c r="J603" s="654">
        <v>101976</v>
      </c>
      <c r="K603" s="654">
        <v>101976</v>
      </c>
      <c r="L603" s="654">
        <v>0</v>
      </c>
      <c r="M603" s="654">
        <v>0</v>
      </c>
      <c r="N603" s="654">
        <v>0</v>
      </c>
    </row>
    <row r="604" spans="2:14" x14ac:dyDescent="0.15">
      <c r="B604"/>
      <c r="D604" t="s">
        <v>734</v>
      </c>
      <c r="H604" s="654">
        <v>73954</v>
      </c>
      <c r="I604" s="654">
        <v>28022</v>
      </c>
      <c r="J604" s="654">
        <v>101976</v>
      </c>
      <c r="K604" s="654">
        <v>101976</v>
      </c>
      <c r="L604" s="654">
        <v>0</v>
      </c>
      <c r="M604" s="654">
        <v>0</v>
      </c>
      <c r="N604" s="654">
        <v>0</v>
      </c>
    </row>
    <row r="605" spans="2:14" x14ac:dyDescent="0.15">
      <c r="B605"/>
      <c r="D605" t="s">
        <v>628</v>
      </c>
      <c r="E605" t="s">
        <v>380</v>
      </c>
      <c r="F605" t="s">
        <v>626</v>
      </c>
      <c r="G605" t="s">
        <v>600</v>
      </c>
      <c r="H605" s="654">
        <v>272695</v>
      </c>
      <c r="I605" s="654">
        <v>0</v>
      </c>
      <c r="J605" s="654">
        <v>272695</v>
      </c>
      <c r="K605" s="654">
        <v>272695</v>
      </c>
      <c r="L605" s="654">
        <v>0</v>
      </c>
      <c r="M605" s="654">
        <v>0</v>
      </c>
      <c r="N605" s="654">
        <v>0</v>
      </c>
    </row>
    <row r="606" spans="2:14" x14ac:dyDescent="0.15">
      <c r="B606"/>
      <c r="F606" t="s">
        <v>733</v>
      </c>
      <c r="H606" s="654">
        <v>272695</v>
      </c>
      <c r="I606" s="654">
        <v>0</v>
      </c>
      <c r="J606" s="654">
        <v>272695</v>
      </c>
      <c r="K606" s="654">
        <v>272695</v>
      </c>
      <c r="L606" s="654">
        <v>0</v>
      </c>
      <c r="M606" s="654">
        <v>0</v>
      </c>
      <c r="N606" s="654">
        <v>0</v>
      </c>
    </row>
    <row r="607" spans="2:14" x14ac:dyDescent="0.15">
      <c r="B607"/>
      <c r="F607" t="s">
        <v>627</v>
      </c>
      <c r="G607" t="s">
        <v>599</v>
      </c>
      <c r="H607" s="654">
        <v>12232</v>
      </c>
      <c r="I607" s="654">
        <v>-12232</v>
      </c>
      <c r="J607" s="654">
        <v>0</v>
      </c>
      <c r="K607" s="654">
        <v>0</v>
      </c>
      <c r="L607" s="654">
        <v>0</v>
      </c>
      <c r="M607" s="654">
        <v>0</v>
      </c>
      <c r="N607" s="654">
        <v>0</v>
      </c>
    </row>
    <row r="608" spans="2:14" x14ac:dyDescent="0.15">
      <c r="B608"/>
      <c r="F608" t="s">
        <v>734</v>
      </c>
      <c r="H608" s="654">
        <v>12232</v>
      </c>
      <c r="I608" s="654">
        <v>-12232</v>
      </c>
      <c r="J608" s="654">
        <v>0</v>
      </c>
      <c r="K608" s="654">
        <v>0</v>
      </c>
      <c r="L608" s="654">
        <v>0</v>
      </c>
      <c r="M608" s="654">
        <v>0</v>
      </c>
      <c r="N608" s="654">
        <v>0</v>
      </c>
    </row>
    <row r="609" spans="2:14" x14ac:dyDescent="0.15">
      <c r="B609"/>
      <c r="E609" t="s">
        <v>771</v>
      </c>
      <c r="H609" s="654">
        <v>284927</v>
      </c>
      <c r="I609" s="654">
        <v>-12232</v>
      </c>
      <c r="J609" s="654">
        <v>272695</v>
      </c>
      <c r="K609" s="654">
        <v>272695</v>
      </c>
      <c r="L609" s="654">
        <v>0</v>
      </c>
      <c r="M609" s="654">
        <v>0</v>
      </c>
      <c r="N609" s="654">
        <v>0</v>
      </c>
    </row>
    <row r="610" spans="2:14" x14ac:dyDescent="0.15">
      <c r="B610"/>
      <c r="D610" t="s">
        <v>735</v>
      </c>
      <c r="H610" s="654">
        <v>284927</v>
      </c>
      <c r="I610" s="654">
        <v>-12232</v>
      </c>
      <c r="J610" s="654">
        <v>272695</v>
      </c>
      <c r="K610" s="654">
        <v>272695</v>
      </c>
      <c r="L610" s="654">
        <v>0</v>
      </c>
      <c r="M610" s="654">
        <v>0</v>
      </c>
      <c r="N610" s="654">
        <v>0</v>
      </c>
    </row>
    <row r="611" spans="2:14" x14ac:dyDescent="0.15">
      <c r="B611"/>
      <c r="D611" t="s">
        <v>629</v>
      </c>
      <c r="E611" t="s">
        <v>676</v>
      </c>
      <c r="F611" t="s">
        <v>629</v>
      </c>
      <c r="G611" t="s">
        <v>601</v>
      </c>
      <c r="H611" s="654">
        <v>110767</v>
      </c>
      <c r="I611" s="654">
        <v>-52082</v>
      </c>
      <c r="J611" s="654">
        <v>58685</v>
      </c>
      <c r="K611" s="654">
        <v>58685</v>
      </c>
      <c r="L611" s="654">
        <v>0</v>
      </c>
      <c r="M611" s="654">
        <v>0</v>
      </c>
      <c r="N611" s="654">
        <v>0</v>
      </c>
    </row>
    <row r="612" spans="2:14" x14ac:dyDescent="0.15">
      <c r="B612"/>
      <c r="F612" t="s">
        <v>736</v>
      </c>
      <c r="H612" s="654">
        <v>110767</v>
      </c>
      <c r="I612" s="654">
        <v>-52082</v>
      </c>
      <c r="J612" s="654">
        <v>58685</v>
      </c>
      <c r="K612" s="654">
        <v>58685</v>
      </c>
      <c r="L612" s="654">
        <v>0</v>
      </c>
      <c r="M612" s="654">
        <v>0</v>
      </c>
      <c r="N612" s="654">
        <v>0</v>
      </c>
    </row>
    <row r="613" spans="2:14" x14ac:dyDescent="0.15">
      <c r="B613"/>
      <c r="E613" t="s">
        <v>772</v>
      </c>
      <c r="H613" s="654">
        <v>110767</v>
      </c>
      <c r="I613" s="654">
        <v>-52082</v>
      </c>
      <c r="J613" s="654">
        <v>58685</v>
      </c>
      <c r="K613" s="654">
        <v>58685</v>
      </c>
      <c r="L613" s="654">
        <v>0</v>
      </c>
      <c r="M613" s="654">
        <v>0</v>
      </c>
      <c r="N613" s="654">
        <v>0</v>
      </c>
    </row>
    <row r="614" spans="2:14" x14ac:dyDescent="0.15">
      <c r="B614"/>
      <c r="D614" t="s">
        <v>736</v>
      </c>
      <c r="H614" s="654">
        <v>110767</v>
      </c>
      <c r="I614" s="654">
        <v>-52082</v>
      </c>
      <c r="J614" s="654">
        <v>58685</v>
      </c>
      <c r="K614" s="654">
        <v>58685</v>
      </c>
      <c r="L614" s="654">
        <v>0</v>
      </c>
      <c r="M614" s="654">
        <v>0</v>
      </c>
      <c r="N614" s="654">
        <v>0</v>
      </c>
    </row>
    <row r="615" spans="2:14" x14ac:dyDescent="0.15">
      <c r="B615"/>
      <c r="D615" t="s">
        <v>567</v>
      </c>
      <c r="E615" t="s">
        <v>473</v>
      </c>
      <c r="F615" t="s">
        <v>631</v>
      </c>
      <c r="G615" t="s">
        <v>596</v>
      </c>
      <c r="H615" s="654">
        <v>0</v>
      </c>
      <c r="I615" s="654">
        <v>0</v>
      </c>
      <c r="J615" s="654">
        <v>0</v>
      </c>
      <c r="K615" s="654">
        <v>0</v>
      </c>
      <c r="L615" s="654">
        <v>0</v>
      </c>
      <c r="M615" s="654">
        <v>0</v>
      </c>
      <c r="N615" s="654">
        <v>0</v>
      </c>
    </row>
    <row r="616" spans="2:14" x14ac:dyDescent="0.15">
      <c r="B616"/>
      <c r="F616" t="s">
        <v>737</v>
      </c>
      <c r="H616" s="654">
        <v>0</v>
      </c>
      <c r="I616" s="654">
        <v>0</v>
      </c>
      <c r="J616" s="654">
        <v>0</v>
      </c>
      <c r="K616" s="654">
        <v>0</v>
      </c>
      <c r="L616" s="654">
        <v>0</v>
      </c>
      <c r="M616" s="654">
        <v>0</v>
      </c>
      <c r="N616" s="654">
        <v>0</v>
      </c>
    </row>
    <row r="617" spans="2:14" x14ac:dyDescent="0.15">
      <c r="B617"/>
      <c r="E617" t="s">
        <v>773</v>
      </c>
      <c r="H617" s="654">
        <v>0</v>
      </c>
      <c r="I617" s="654">
        <v>0</v>
      </c>
      <c r="J617" s="654">
        <v>0</v>
      </c>
      <c r="K617" s="654">
        <v>0</v>
      </c>
      <c r="L617" s="654">
        <v>0</v>
      </c>
      <c r="M617" s="654">
        <v>0</v>
      </c>
      <c r="N617" s="654">
        <v>0</v>
      </c>
    </row>
    <row r="618" spans="2:14" x14ac:dyDescent="0.15">
      <c r="B618"/>
      <c r="D618" t="s">
        <v>739</v>
      </c>
      <c r="H618" s="654">
        <v>0</v>
      </c>
      <c r="I618" s="654">
        <v>0</v>
      </c>
      <c r="J618" s="654">
        <v>0</v>
      </c>
      <c r="K618" s="654">
        <v>0</v>
      </c>
      <c r="L618" s="654">
        <v>0</v>
      </c>
      <c r="M618" s="654">
        <v>0</v>
      </c>
      <c r="N618" s="654">
        <v>0</v>
      </c>
    </row>
    <row r="619" spans="2:14" x14ac:dyDescent="0.15">
      <c r="B619"/>
      <c r="D619" t="s">
        <v>568</v>
      </c>
      <c r="E619" t="s">
        <v>474</v>
      </c>
      <c r="F619" t="s">
        <v>631</v>
      </c>
      <c r="G619" t="s">
        <v>596</v>
      </c>
      <c r="H619" s="654">
        <v>0</v>
      </c>
      <c r="I619" s="654">
        <v>0</v>
      </c>
      <c r="J619" s="654">
        <v>0</v>
      </c>
      <c r="K619" s="654">
        <v>0</v>
      </c>
      <c r="L619" s="654">
        <v>0</v>
      </c>
      <c r="M619" s="654">
        <v>0</v>
      </c>
      <c r="N619" s="654">
        <v>0</v>
      </c>
    </row>
    <row r="620" spans="2:14" x14ac:dyDescent="0.15">
      <c r="B620"/>
      <c r="F620" t="s">
        <v>737</v>
      </c>
      <c r="H620" s="654">
        <v>0</v>
      </c>
      <c r="I620" s="654">
        <v>0</v>
      </c>
      <c r="J620" s="654">
        <v>0</v>
      </c>
      <c r="K620" s="654">
        <v>0</v>
      </c>
      <c r="L620" s="654">
        <v>0</v>
      </c>
      <c r="M620" s="654">
        <v>0</v>
      </c>
      <c r="N620" s="654">
        <v>0</v>
      </c>
    </row>
    <row r="621" spans="2:14" x14ac:dyDescent="0.15">
      <c r="B621"/>
      <c r="E621" t="s">
        <v>774</v>
      </c>
      <c r="H621" s="654">
        <v>0</v>
      </c>
      <c r="I621" s="654">
        <v>0</v>
      </c>
      <c r="J621" s="654">
        <v>0</v>
      </c>
      <c r="K621" s="654">
        <v>0</v>
      </c>
      <c r="L621" s="654">
        <v>0</v>
      </c>
      <c r="M621" s="654">
        <v>0</v>
      </c>
      <c r="N621" s="654">
        <v>0</v>
      </c>
    </row>
    <row r="622" spans="2:14" x14ac:dyDescent="0.15">
      <c r="B622"/>
      <c r="D622" t="s">
        <v>740</v>
      </c>
      <c r="H622" s="654">
        <v>0</v>
      </c>
      <c r="I622" s="654">
        <v>0</v>
      </c>
      <c r="J622" s="654">
        <v>0</v>
      </c>
      <c r="K622" s="654">
        <v>0</v>
      </c>
      <c r="L622" s="654">
        <v>0</v>
      </c>
      <c r="M622" s="654">
        <v>0</v>
      </c>
      <c r="N622" s="654">
        <v>0</v>
      </c>
    </row>
    <row r="623" spans="2:14" x14ac:dyDescent="0.15">
      <c r="B623"/>
      <c r="D623" t="s">
        <v>566</v>
      </c>
      <c r="E623" t="s">
        <v>382</v>
      </c>
      <c r="F623" t="s">
        <v>626</v>
      </c>
      <c r="G623" t="s">
        <v>600</v>
      </c>
      <c r="H623" s="654">
        <v>0</v>
      </c>
      <c r="I623" s="654">
        <v>0</v>
      </c>
      <c r="J623" s="654">
        <v>0</v>
      </c>
      <c r="K623" s="654">
        <v>0</v>
      </c>
      <c r="L623" s="654">
        <v>0</v>
      </c>
      <c r="M623" s="654">
        <v>0</v>
      </c>
      <c r="N623" s="654">
        <v>0</v>
      </c>
    </row>
    <row r="624" spans="2:14" x14ac:dyDescent="0.15">
      <c r="B624"/>
      <c r="F624" t="s">
        <v>733</v>
      </c>
      <c r="H624" s="654">
        <v>0</v>
      </c>
      <c r="I624" s="654">
        <v>0</v>
      </c>
      <c r="J624" s="654">
        <v>0</v>
      </c>
      <c r="K624" s="654">
        <v>0</v>
      </c>
      <c r="L624" s="654">
        <v>0</v>
      </c>
      <c r="M624" s="654">
        <v>0</v>
      </c>
      <c r="N624" s="654">
        <v>0</v>
      </c>
    </row>
    <row r="625" spans="1:14" x14ac:dyDescent="0.15">
      <c r="B625"/>
      <c r="E625" t="s">
        <v>775</v>
      </c>
      <c r="H625" s="654">
        <v>0</v>
      </c>
      <c r="I625" s="654">
        <v>0</v>
      </c>
      <c r="J625" s="654">
        <v>0</v>
      </c>
      <c r="K625" s="654">
        <v>0</v>
      </c>
      <c r="L625" s="654">
        <v>0</v>
      </c>
      <c r="M625" s="654">
        <v>0</v>
      </c>
      <c r="N625" s="654">
        <v>0</v>
      </c>
    </row>
    <row r="626" spans="1:14" x14ac:dyDescent="0.15">
      <c r="B626"/>
      <c r="D626" t="s">
        <v>738</v>
      </c>
      <c r="H626" s="654">
        <v>0</v>
      </c>
      <c r="I626" s="654">
        <v>0</v>
      </c>
      <c r="J626" s="654">
        <v>0</v>
      </c>
      <c r="K626" s="654">
        <v>0</v>
      </c>
      <c r="L626" s="654">
        <v>0</v>
      </c>
      <c r="M626" s="654">
        <v>0</v>
      </c>
      <c r="N626" s="654">
        <v>0</v>
      </c>
    </row>
    <row r="627" spans="1:14" x14ac:dyDescent="0.15">
      <c r="B627"/>
      <c r="D627" t="s">
        <v>631</v>
      </c>
      <c r="E627" t="s">
        <v>381</v>
      </c>
      <c r="F627" t="s">
        <v>626</v>
      </c>
      <c r="G627" t="s">
        <v>600</v>
      </c>
      <c r="H627" s="654">
        <v>75295</v>
      </c>
      <c r="I627" s="654">
        <v>0</v>
      </c>
      <c r="J627" s="654">
        <v>75295</v>
      </c>
      <c r="K627" s="654">
        <v>75295</v>
      </c>
      <c r="L627" s="654">
        <v>0</v>
      </c>
      <c r="M627" s="654">
        <v>0</v>
      </c>
      <c r="N627" s="654">
        <v>0</v>
      </c>
    </row>
    <row r="628" spans="1:14" x14ac:dyDescent="0.15">
      <c r="B628"/>
      <c r="F628" t="s">
        <v>733</v>
      </c>
      <c r="H628" s="654">
        <v>75295</v>
      </c>
      <c r="I628" s="654">
        <v>0</v>
      </c>
      <c r="J628" s="654">
        <v>75295</v>
      </c>
      <c r="K628" s="654">
        <v>75295</v>
      </c>
      <c r="L628" s="654">
        <v>0</v>
      </c>
      <c r="M628" s="654">
        <v>0</v>
      </c>
      <c r="N628" s="654">
        <v>0</v>
      </c>
    </row>
    <row r="629" spans="1:14" x14ac:dyDescent="0.15">
      <c r="B629"/>
      <c r="E629" t="s">
        <v>776</v>
      </c>
      <c r="H629" s="654">
        <v>75295</v>
      </c>
      <c r="I629" s="654">
        <v>0</v>
      </c>
      <c r="J629" s="654">
        <v>75295</v>
      </c>
      <c r="K629" s="654">
        <v>75295</v>
      </c>
      <c r="L629" s="654">
        <v>0</v>
      </c>
      <c r="M629" s="654">
        <v>0</v>
      </c>
      <c r="N629" s="654">
        <v>0</v>
      </c>
    </row>
    <row r="630" spans="1:14" x14ac:dyDescent="0.15">
      <c r="B630"/>
      <c r="D630" t="s">
        <v>737</v>
      </c>
      <c r="H630" s="654">
        <v>75295</v>
      </c>
      <c r="I630" s="654">
        <v>0</v>
      </c>
      <c r="J630" s="654">
        <v>75295</v>
      </c>
      <c r="K630" s="654">
        <v>75295</v>
      </c>
      <c r="L630" s="654">
        <v>0</v>
      </c>
      <c r="M630" s="654">
        <v>0</v>
      </c>
      <c r="N630" s="654">
        <v>0</v>
      </c>
    </row>
    <row r="631" spans="1:14" x14ac:dyDescent="0.15">
      <c r="B631"/>
      <c r="D631" t="s">
        <v>671</v>
      </c>
      <c r="E631" t="s">
        <v>383</v>
      </c>
      <c r="F631" t="s">
        <v>626</v>
      </c>
      <c r="G631" t="s">
        <v>600</v>
      </c>
      <c r="H631" s="654">
        <v>83308</v>
      </c>
      <c r="I631" s="654">
        <v>0</v>
      </c>
      <c r="J631" s="654">
        <v>83308</v>
      </c>
      <c r="K631" s="654">
        <v>83308</v>
      </c>
      <c r="L631" s="654">
        <v>0</v>
      </c>
      <c r="M631" s="654">
        <v>0</v>
      </c>
      <c r="N631" s="654">
        <v>0</v>
      </c>
    </row>
    <row r="632" spans="1:14" x14ac:dyDescent="0.15">
      <c r="B632"/>
      <c r="F632" t="s">
        <v>733</v>
      </c>
      <c r="H632" s="654">
        <v>83308</v>
      </c>
      <c r="I632" s="654">
        <v>0</v>
      </c>
      <c r="J632" s="654">
        <v>83308</v>
      </c>
      <c r="K632" s="654">
        <v>83308</v>
      </c>
      <c r="L632" s="654">
        <v>0</v>
      </c>
      <c r="M632" s="654">
        <v>0</v>
      </c>
      <c r="N632" s="654">
        <v>0</v>
      </c>
    </row>
    <row r="633" spans="1:14" x14ac:dyDescent="0.15">
      <c r="B633"/>
      <c r="F633" t="s">
        <v>627</v>
      </c>
      <c r="G633" t="s">
        <v>599</v>
      </c>
      <c r="H633" s="654">
        <v>0</v>
      </c>
      <c r="I633" s="654">
        <v>0</v>
      </c>
      <c r="J633" s="654">
        <v>0</v>
      </c>
      <c r="K633" s="654">
        <v>0</v>
      </c>
      <c r="L633" s="654">
        <v>0</v>
      </c>
      <c r="M633" s="654">
        <v>0</v>
      </c>
      <c r="N633" s="654">
        <v>0</v>
      </c>
    </row>
    <row r="634" spans="1:14" x14ac:dyDescent="0.15">
      <c r="B634"/>
      <c r="F634" t="s">
        <v>734</v>
      </c>
      <c r="H634" s="654">
        <v>0</v>
      </c>
      <c r="I634" s="654">
        <v>0</v>
      </c>
      <c r="J634" s="654">
        <v>0</v>
      </c>
      <c r="K634" s="654">
        <v>0</v>
      </c>
      <c r="L634" s="654">
        <v>0</v>
      </c>
      <c r="M634" s="654">
        <v>0</v>
      </c>
      <c r="N634" s="654">
        <v>0</v>
      </c>
    </row>
    <row r="635" spans="1:14" x14ac:dyDescent="0.15">
      <c r="B635"/>
      <c r="E635" t="s">
        <v>777</v>
      </c>
      <c r="H635" s="654">
        <v>83308</v>
      </c>
      <c r="I635" s="654">
        <v>0</v>
      </c>
      <c r="J635" s="654">
        <v>83308</v>
      </c>
      <c r="K635" s="654">
        <v>83308</v>
      </c>
      <c r="L635" s="654">
        <v>0</v>
      </c>
      <c r="M635" s="654">
        <v>0</v>
      </c>
      <c r="N635" s="654">
        <v>0</v>
      </c>
    </row>
    <row r="636" spans="1:14" x14ac:dyDescent="0.15">
      <c r="B636"/>
      <c r="D636" t="s">
        <v>742</v>
      </c>
      <c r="H636" s="654">
        <v>83308</v>
      </c>
      <c r="I636" s="654">
        <v>0</v>
      </c>
      <c r="J636" s="654">
        <v>83308</v>
      </c>
      <c r="K636" s="654">
        <v>83308</v>
      </c>
      <c r="L636" s="654">
        <v>0</v>
      </c>
      <c r="M636" s="654">
        <v>0</v>
      </c>
      <c r="N636" s="654">
        <v>0</v>
      </c>
    </row>
    <row r="637" spans="1:14" x14ac:dyDescent="0.15">
      <c r="B637"/>
      <c r="C637" t="s">
        <v>854</v>
      </c>
      <c r="H637" s="654">
        <v>872958</v>
      </c>
      <c r="I637" s="654">
        <v>-18574</v>
      </c>
      <c r="J637" s="654">
        <v>854384</v>
      </c>
      <c r="K637" s="654">
        <v>854384</v>
      </c>
      <c r="L637" s="654">
        <v>0</v>
      </c>
      <c r="M637" s="654">
        <v>0</v>
      </c>
      <c r="N637" s="654">
        <v>0</v>
      </c>
    </row>
    <row r="638" spans="1:14" x14ac:dyDescent="0.15">
      <c r="A638" s="653" t="s">
        <v>614</v>
      </c>
      <c r="B638"/>
      <c r="H638" s="654">
        <v>26065867</v>
      </c>
      <c r="I638" s="654">
        <v>-415193</v>
      </c>
      <c r="J638" s="654">
        <v>25650674</v>
      </c>
      <c r="K638" s="654">
        <v>25650674</v>
      </c>
      <c r="L638" s="654">
        <v>0</v>
      </c>
      <c r="M638" s="654">
        <v>568948</v>
      </c>
      <c r="N638" s="654">
        <v>2058892</v>
      </c>
    </row>
    <row r="639" spans="1:14" x14ac:dyDescent="0.15">
      <c r="A639" s="653">
        <v>42795</v>
      </c>
      <c r="B639" t="s">
        <v>626</v>
      </c>
      <c r="C639" t="s">
        <v>849</v>
      </c>
      <c r="D639" t="s">
        <v>626</v>
      </c>
      <c r="E639" t="s">
        <v>378</v>
      </c>
      <c r="F639" t="s">
        <v>626</v>
      </c>
      <c r="G639" t="s">
        <v>600</v>
      </c>
      <c r="H639" s="654">
        <v>7111670</v>
      </c>
      <c r="I639" s="654">
        <v>0</v>
      </c>
      <c r="J639" s="654">
        <v>7111670</v>
      </c>
      <c r="K639" s="654">
        <v>7111670</v>
      </c>
      <c r="L639" s="654">
        <v>0</v>
      </c>
      <c r="M639" s="654">
        <v>0</v>
      </c>
      <c r="N639" s="654">
        <v>902014</v>
      </c>
    </row>
    <row r="640" spans="1:14" x14ac:dyDescent="0.15">
      <c r="B640"/>
      <c r="F640" t="s">
        <v>733</v>
      </c>
      <c r="H640" s="654">
        <v>7111670</v>
      </c>
      <c r="I640" s="654">
        <v>0</v>
      </c>
      <c r="J640" s="654">
        <v>7111670</v>
      </c>
      <c r="K640" s="654">
        <v>7111670</v>
      </c>
      <c r="L640" s="654">
        <v>0</v>
      </c>
      <c r="M640" s="654">
        <v>0</v>
      </c>
      <c r="N640" s="654">
        <v>902014</v>
      </c>
    </row>
    <row r="641" spans="2:14" x14ac:dyDescent="0.15">
      <c r="B641"/>
      <c r="F641" t="s">
        <v>627</v>
      </c>
      <c r="G641" t="s">
        <v>599</v>
      </c>
      <c r="H641" s="654">
        <v>1491698</v>
      </c>
      <c r="I641" s="654">
        <v>-130846</v>
      </c>
      <c r="J641" s="654">
        <v>1360852</v>
      </c>
      <c r="K641" s="654">
        <v>1360852</v>
      </c>
      <c r="L641" s="654">
        <v>0</v>
      </c>
      <c r="M641" s="654">
        <v>0</v>
      </c>
      <c r="N641" s="654">
        <v>225651</v>
      </c>
    </row>
    <row r="642" spans="2:14" x14ac:dyDescent="0.15">
      <c r="B642"/>
      <c r="F642" t="s">
        <v>734</v>
      </c>
      <c r="H642" s="654">
        <v>1491698</v>
      </c>
      <c r="I642" s="654">
        <v>-130846</v>
      </c>
      <c r="J642" s="654">
        <v>1360852</v>
      </c>
      <c r="K642" s="654">
        <v>1360852</v>
      </c>
      <c r="L642" s="654">
        <v>0</v>
      </c>
      <c r="M642" s="654">
        <v>0</v>
      </c>
      <c r="N642" s="654">
        <v>225651</v>
      </c>
    </row>
    <row r="643" spans="2:14" x14ac:dyDescent="0.15">
      <c r="B643"/>
      <c r="F643" t="s">
        <v>628</v>
      </c>
      <c r="G643" t="s">
        <v>598</v>
      </c>
      <c r="H643" s="654">
        <v>745320</v>
      </c>
      <c r="I643" s="654">
        <v>0</v>
      </c>
      <c r="J643" s="654">
        <v>745320</v>
      </c>
      <c r="K643" s="654">
        <v>745320</v>
      </c>
      <c r="L643" s="654">
        <v>0</v>
      </c>
      <c r="M643" s="654">
        <v>0</v>
      </c>
      <c r="N643" s="654">
        <v>0</v>
      </c>
    </row>
    <row r="644" spans="2:14" x14ac:dyDescent="0.15">
      <c r="B644"/>
      <c r="F644" t="s">
        <v>735</v>
      </c>
      <c r="H644" s="654">
        <v>745320</v>
      </c>
      <c r="I644" s="654">
        <v>0</v>
      </c>
      <c r="J644" s="654">
        <v>745320</v>
      </c>
      <c r="K644" s="654">
        <v>745320</v>
      </c>
      <c r="L644" s="654">
        <v>0</v>
      </c>
      <c r="M644" s="654">
        <v>0</v>
      </c>
      <c r="N644" s="654">
        <v>0</v>
      </c>
    </row>
    <row r="645" spans="2:14" x14ac:dyDescent="0.15">
      <c r="B645"/>
      <c r="E645" t="s">
        <v>769</v>
      </c>
      <c r="H645" s="654">
        <v>9348688</v>
      </c>
      <c r="I645" s="654">
        <v>-130846</v>
      </c>
      <c r="J645" s="654">
        <v>9217842</v>
      </c>
      <c r="K645" s="654">
        <v>9217842</v>
      </c>
      <c r="L645" s="654">
        <v>0</v>
      </c>
      <c r="M645" s="654">
        <v>0</v>
      </c>
      <c r="N645" s="654">
        <v>1127665</v>
      </c>
    </row>
    <row r="646" spans="2:14" x14ac:dyDescent="0.15">
      <c r="B646"/>
      <c r="D646" t="s">
        <v>733</v>
      </c>
      <c r="H646" s="654">
        <v>9348688</v>
      </c>
      <c r="I646" s="654">
        <v>-130846</v>
      </c>
      <c r="J646" s="654">
        <v>9217842</v>
      </c>
      <c r="K646" s="654">
        <v>9217842</v>
      </c>
      <c r="L646" s="654">
        <v>0</v>
      </c>
      <c r="M646" s="654">
        <v>0</v>
      </c>
      <c r="N646" s="654">
        <v>1127665</v>
      </c>
    </row>
    <row r="647" spans="2:14" x14ac:dyDescent="0.15">
      <c r="B647"/>
      <c r="D647" t="s">
        <v>627</v>
      </c>
      <c r="E647" t="s">
        <v>379</v>
      </c>
      <c r="F647" t="s">
        <v>626</v>
      </c>
      <c r="G647" t="s">
        <v>600</v>
      </c>
      <c r="H647" s="654">
        <v>3742389</v>
      </c>
      <c r="I647" s="654">
        <v>-122842</v>
      </c>
      <c r="J647" s="654">
        <v>3619547</v>
      </c>
      <c r="K647" s="654">
        <v>3619547</v>
      </c>
      <c r="L647" s="654">
        <v>0</v>
      </c>
      <c r="M647" s="654">
        <v>0</v>
      </c>
      <c r="N647" s="654">
        <v>295058</v>
      </c>
    </row>
    <row r="648" spans="2:14" x14ac:dyDescent="0.15">
      <c r="B648"/>
      <c r="F648" t="s">
        <v>733</v>
      </c>
      <c r="H648" s="654">
        <v>3742389</v>
      </c>
      <c r="I648" s="654">
        <v>-122842</v>
      </c>
      <c r="J648" s="654">
        <v>3619547</v>
      </c>
      <c r="K648" s="654">
        <v>3619547</v>
      </c>
      <c r="L648" s="654">
        <v>0</v>
      </c>
      <c r="M648" s="654">
        <v>0</v>
      </c>
      <c r="N648" s="654">
        <v>295058</v>
      </c>
    </row>
    <row r="649" spans="2:14" x14ac:dyDescent="0.15">
      <c r="B649"/>
      <c r="F649" t="s">
        <v>627</v>
      </c>
      <c r="G649" t="s">
        <v>599</v>
      </c>
      <c r="H649" s="654">
        <v>608591</v>
      </c>
      <c r="I649" s="654">
        <v>0</v>
      </c>
      <c r="J649" s="654">
        <v>608591</v>
      </c>
      <c r="K649" s="654">
        <v>608591</v>
      </c>
      <c r="L649" s="654">
        <v>0</v>
      </c>
      <c r="M649" s="654">
        <v>0</v>
      </c>
      <c r="N649" s="654">
        <v>107095</v>
      </c>
    </row>
    <row r="650" spans="2:14" x14ac:dyDescent="0.15">
      <c r="B650"/>
      <c r="F650" t="s">
        <v>734</v>
      </c>
      <c r="H650" s="654">
        <v>608591</v>
      </c>
      <c r="I650" s="654">
        <v>0</v>
      </c>
      <c r="J650" s="654">
        <v>608591</v>
      </c>
      <c r="K650" s="654">
        <v>608591</v>
      </c>
      <c r="L650" s="654">
        <v>0</v>
      </c>
      <c r="M650" s="654">
        <v>0</v>
      </c>
      <c r="N650" s="654">
        <v>107095</v>
      </c>
    </row>
    <row r="651" spans="2:14" x14ac:dyDescent="0.15">
      <c r="B651"/>
      <c r="F651" t="s">
        <v>628</v>
      </c>
      <c r="G651" t="s">
        <v>598</v>
      </c>
      <c r="H651" s="654">
        <v>349759</v>
      </c>
      <c r="I651" s="654">
        <v>0</v>
      </c>
      <c r="J651" s="654">
        <v>349759</v>
      </c>
      <c r="K651" s="654">
        <v>349759</v>
      </c>
      <c r="L651" s="654">
        <v>0</v>
      </c>
      <c r="M651" s="654">
        <v>0</v>
      </c>
      <c r="N651" s="654">
        <v>0</v>
      </c>
    </row>
    <row r="652" spans="2:14" x14ac:dyDescent="0.15">
      <c r="B652"/>
      <c r="F652" t="s">
        <v>735</v>
      </c>
      <c r="H652" s="654">
        <v>349759</v>
      </c>
      <c r="I652" s="654">
        <v>0</v>
      </c>
      <c r="J652" s="654">
        <v>349759</v>
      </c>
      <c r="K652" s="654">
        <v>349759</v>
      </c>
      <c r="L652" s="654">
        <v>0</v>
      </c>
      <c r="M652" s="654">
        <v>0</v>
      </c>
      <c r="N652" s="654">
        <v>0</v>
      </c>
    </row>
    <row r="653" spans="2:14" x14ac:dyDescent="0.15">
      <c r="B653"/>
      <c r="E653" t="s">
        <v>770</v>
      </c>
      <c r="H653" s="654">
        <v>4700739</v>
      </c>
      <c r="I653" s="654">
        <v>-122842</v>
      </c>
      <c r="J653" s="654">
        <v>4577897</v>
      </c>
      <c r="K653" s="654">
        <v>4577897</v>
      </c>
      <c r="L653" s="654">
        <v>0</v>
      </c>
      <c r="M653" s="654">
        <v>0</v>
      </c>
      <c r="N653" s="654">
        <v>402153</v>
      </c>
    </row>
    <row r="654" spans="2:14" x14ac:dyDescent="0.15">
      <c r="B654"/>
      <c r="D654" t="s">
        <v>734</v>
      </c>
      <c r="H654" s="654">
        <v>4700739</v>
      </c>
      <c r="I654" s="654">
        <v>-122842</v>
      </c>
      <c r="J654" s="654">
        <v>4577897</v>
      </c>
      <c r="K654" s="654">
        <v>4577897</v>
      </c>
      <c r="L654" s="654">
        <v>0</v>
      </c>
      <c r="M654" s="654">
        <v>0</v>
      </c>
      <c r="N654" s="654">
        <v>402153</v>
      </c>
    </row>
    <row r="655" spans="2:14" x14ac:dyDescent="0.15">
      <c r="B655"/>
      <c r="D655" t="s">
        <v>628</v>
      </c>
      <c r="E655" t="s">
        <v>380</v>
      </c>
      <c r="F655" t="s">
        <v>626</v>
      </c>
      <c r="G655" t="s">
        <v>600</v>
      </c>
      <c r="H655" s="654">
        <v>3023773</v>
      </c>
      <c r="I655" s="654">
        <v>-44675</v>
      </c>
      <c r="J655" s="654">
        <v>2979098</v>
      </c>
      <c r="K655" s="654">
        <v>2979098</v>
      </c>
      <c r="L655" s="654">
        <v>0</v>
      </c>
      <c r="M655" s="654">
        <v>40995</v>
      </c>
      <c r="N655" s="654">
        <v>250986</v>
      </c>
    </row>
    <row r="656" spans="2:14" x14ac:dyDescent="0.15">
      <c r="B656"/>
      <c r="F656" t="s">
        <v>733</v>
      </c>
      <c r="H656" s="654">
        <v>3023773</v>
      </c>
      <c r="I656" s="654">
        <v>-44675</v>
      </c>
      <c r="J656" s="654">
        <v>2979098</v>
      </c>
      <c r="K656" s="654">
        <v>2979098</v>
      </c>
      <c r="L656" s="654">
        <v>0</v>
      </c>
      <c r="M656" s="654">
        <v>40995</v>
      </c>
      <c r="N656" s="654">
        <v>250986</v>
      </c>
    </row>
    <row r="657" spans="2:14" x14ac:dyDescent="0.15">
      <c r="B657"/>
      <c r="F657" t="s">
        <v>627</v>
      </c>
      <c r="G657" t="s">
        <v>599</v>
      </c>
      <c r="H657" s="654">
        <v>1516513</v>
      </c>
      <c r="I657" s="654">
        <v>-10388</v>
      </c>
      <c r="J657" s="654">
        <v>1506125</v>
      </c>
      <c r="K657" s="654">
        <v>1506125</v>
      </c>
      <c r="L657" s="654">
        <v>0</v>
      </c>
      <c r="M657" s="654">
        <v>0</v>
      </c>
      <c r="N657" s="654">
        <v>275228</v>
      </c>
    </row>
    <row r="658" spans="2:14" x14ac:dyDescent="0.15">
      <c r="B658"/>
      <c r="F658" t="s">
        <v>734</v>
      </c>
      <c r="H658" s="654">
        <v>1516513</v>
      </c>
      <c r="I658" s="654">
        <v>-10388</v>
      </c>
      <c r="J658" s="654">
        <v>1506125</v>
      </c>
      <c r="K658" s="654">
        <v>1506125</v>
      </c>
      <c r="L658" s="654">
        <v>0</v>
      </c>
      <c r="M658" s="654">
        <v>0</v>
      </c>
      <c r="N658" s="654">
        <v>275228</v>
      </c>
    </row>
    <row r="659" spans="2:14" x14ac:dyDescent="0.15">
      <c r="B659"/>
      <c r="E659" t="s">
        <v>771</v>
      </c>
      <c r="H659" s="654">
        <v>4540286</v>
      </c>
      <c r="I659" s="654">
        <v>-55063</v>
      </c>
      <c r="J659" s="654">
        <v>4485223</v>
      </c>
      <c r="K659" s="654">
        <v>4485223</v>
      </c>
      <c r="L659" s="654">
        <v>0</v>
      </c>
      <c r="M659" s="654">
        <v>40995</v>
      </c>
      <c r="N659" s="654">
        <v>526214</v>
      </c>
    </row>
    <row r="660" spans="2:14" x14ac:dyDescent="0.15">
      <c r="B660"/>
      <c r="D660" t="s">
        <v>735</v>
      </c>
      <c r="H660" s="654">
        <v>4540286</v>
      </c>
      <c r="I660" s="654">
        <v>-55063</v>
      </c>
      <c r="J660" s="654">
        <v>4485223</v>
      </c>
      <c r="K660" s="654">
        <v>4485223</v>
      </c>
      <c r="L660" s="654">
        <v>0</v>
      </c>
      <c r="M660" s="654">
        <v>40995</v>
      </c>
      <c r="N660" s="654">
        <v>526214</v>
      </c>
    </row>
    <row r="661" spans="2:14" x14ac:dyDescent="0.15">
      <c r="B661"/>
      <c r="D661" t="s">
        <v>629</v>
      </c>
      <c r="E661" t="s">
        <v>676</v>
      </c>
      <c r="F661" t="s">
        <v>629</v>
      </c>
      <c r="G661" t="s">
        <v>601</v>
      </c>
      <c r="H661" s="654">
        <v>2964543</v>
      </c>
      <c r="I661" s="654">
        <v>-69837</v>
      </c>
      <c r="J661" s="654">
        <v>2894706</v>
      </c>
      <c r="K661" s="654">
        <v>2894706</v>
      </c>
      <c r="L661" s="654">
        <v>0</v>
      </c>
      <c r="M661" s="654">
        <v>67235</v>
      </c>
      <c r="N661" s="654">
        <v>111908</v>
      </c>
    </row>
    <row r="662" spans="2:14" x14ac:dyDescent="0.15">
      <c r="B662"/>
      <c r="F662" t="s">
        <v>736</v>
      </c>
      <c r="H662" s="654">
        <v>2964543</v>
      </c>
      <c r="I662" s="654">
        <v>-69837</v>
      </c>
      <c r="J662" s="654">
        <v>2894706</v>
      </c>
      <c r="K662" s="654">
        <v>2894706</v>
      </c>
      <c r="L662" s="654">
        <v>0</v>
      </c>
      <c r="M662" s="654">
        <v>67235</v>
      </c>
      <c r="N662" s="654">
        <v>111908</v>
      </c>
    </row>
    <row r="663" spans="2:14" x14ac:dyDescent="0.15">
      <c r="B663"/>
      <c r="E663" t="s">
        <v>772</v>
      </c>
      <c r="H663" s="654">
        <v>2964543</v>
      </c>
      <c r="I663" s="654">
        <v>-69837</v>
      </c>
      <c r="J663" s="654">
        <v>2894706</v>
      </c>
      <c r="K663" s="654">
        <v>2894706</v>
      </c>
      <c r="L663" s="654">
        <v>0</v>
      </c>
      <c r="M663" s="654">
        <v>67235</v>
      </c>
      <c r="N663" s="654">
        <v>111908</v>
      </c>
    </row>
    <row r="664" spans="2:14" x14ac:dyDescent="0.15">
      <c r="B664"/>
      <c r="D664" t="s">
        <v>736</v>
      </c>
      <c r="H664" s="654">
        <v>2964543</v>
      </c>
      <c r="I664" s="654">
        <v>-69837</v>
      </c>
      <c r="J664" s="654">
        <v>2894706</v>
      </c>
      <c r="K664" s="654">
        <v>2894706</v>
      </c>
      <c r="L664" s="654">
        <v>0</v>
      </c>
      <c r="M664" s="654">
        <v>67235</v>
      </c>
      <c r="N664" s="654">
        <v>111908</v>
      </c>
    </row>
    <row r="665" spans="2:14" x14ac:dyDescent="0.15">
      <c r="B665"/>
      <c r="D665" t="s">
        <v>567</v>
      </c>
      <c r="E665" t="s">
        <v>473</v>
      </c>
      <c r="F665" t="s">
        <v>631</v>
      </c>
      <c r="G665" t="s">
        <v>596</v>
      </c>
      <c r="H665" s="654">
        <v>991308</v>
      </c>
      <c r="I665" s="654">
        <v>-216066</v>
      </c>
      <c r="J665" s="654">
        <v>775242</v>
      </c>
      <c r="K665" s="654">
        <v>775242</v>
      </c>
      <c r="L665" s="654">
        <v>0</v>
      </c>
      <c r="M665" s="654">
        <v>0</v>
      </c>
      <c r="N665" s="654">
        <v>55552</v>
      </c>
    </row>
    <row r="666" spans="2:14" x14ac:dyDescent="0.15">
      <c r="B666"/>
      <c r="F666" t="s">
        <v>737</v>
      </c>
      <c r="H666" s="654">
        <v>991308</v>
      </c>
      <c r="I666" s="654">
        <v>-216066</v>
      </c>
      <c r="J666" s="654">
        <v>775242</v>
      </c>
      <c r="K666" s="654">
        <v>775242</v>
      </c>
      <c r="L666" s="654">
        <v>0</v>
      </c>
      <c r="M666" s="654">
        <v>0</v>
      </c>
      <c r="N666" s="654">
        <v>55552</v>
      </c>
    </row>
    <row r="667" spans="2:14" x14ac:dyDescent="0.15">
      <c r="B667"/>
      <c r="E667" t="s">
        <v>773</v>
      </c>
      <c r="H667" s="654">
        <v>991308</v>
      </c>
      <c r="I667" s="654">
        <v>-216066</v>
      </c>
      <c r="J667" s="654">
        <v>775242</v>
      </c>
      <c r="K667" s="654">
        <v>775242</v>
      </c>
      <c r="L667" s="654">
        <v>0</v>
      </c>
      <c r="M667" s="654">
        <v>0</v>
      </c>
      <c r="N667" s="654">
        <v>55552</v>
      </c>
    </row>
    <row r="668" spans="2:14" x14ac:dyDescent="0.15">
      <c r="B668"/>
      <c r="D668" t="s">
        <v>739</v>
      </c>
      <c r="H668" s="654">
        <v>991308</v>
      </c>
      <c r="I668" s="654">
        <v>-216066</v>
      </c>
      <c r="J668" s="654">
        <v>775242</v>
      </c>
      <c r="K668" s="654">
        <v>775242</v>
      </c>
      <c r="L668" s="654">
        <v>0</v>
      </c>
      <c r="M668" s="654">
        <v>0</v>
      </c>
      <c r="N668" s="654">
        <v>55552</v>
      </c>
    </row>
    <row r="669" spans="2:14" x14ac:dyDescent="0.15">
      <c r="B669"/>
      <c r="D669" t="s">
        <v>568</v>
      </c>
      <c r="E669" t="s">
        <v>474</v>
      </c>
      <c r="F669" t="s">
        <v>631</v>
      </c>
      <c r="G669" t="s">
        <v>596</v>
      </c>
      <c r="H669" s="654">
        <v>359204</v>
      </c>
      <c r="I669" s="654">
        <v>0</v>
      </c>
      <c r="J669" s="654">
        <v>359204</v>
      </c>
      <c r="K669" s="654">
        <v>359204</v>
      </c>
      <c r="L669" s="654">
        <v>0</v>
      </c>
      <c r="M669" s="654">
        <v>0</v>
      </c>
      <c r="N669" s="654">
        <v>0</v>
      </c>
    </row>
    <row r="670" spans="2:14" x14ac:dyDescent="0.15">
      <c r="B670"/>
      <c r="F670" t="s">
        <v>737</v>
      </c>
      <c r="H670" s="654">
        <v>359204</v>
      </c>
      <c r="I670" s="654">
        <v>0</v>
      </c>
      <c r="J670" s="654">
        <v>359204</v>
      </c>
      <c r="K670" s="654">
        <v>359204</v>
      </c>
      <c r="L670" s="654">
        <v>0</v>
      </c>
      <c r="M670" s="654">
        <v>0</v>
      </c>
      <c r="N670" s="654">
        <v>0</v>
      </c>
    </row>
    <row r="671" spans="2:14" x14ac:dyDescent="0.15">
      <c r="B671"/>
      <c r="E671" t="s">
        <v>774</v>
      </c>
      <c r="H671" s="654">
        <v>359204</v>
      </c>
      <c r="I671" s="654">
        <v>0</v>
      </c>
      <c r="J671" s="654">
        <v>359204</v>
      </c>
      <c r="K671" s="654">
        <v>359204</v>
      </c>
      <c r="L671" s="654">
        <v>0</v>
      </c>
      <c r="M671" s="654">
        <v>0</v>
      </c>
      <c r="N671" s="654">
        <v>0</v>
      </c>
    </row>
    <row r="672" spans="2:14" x14ac:dyDescent="0.15">
      <c r="B672"/>
      <c r="D672" t="s">
        <v>740</v>
      </c>
      <c r="H672" s="654">
        <v>359204</v>
      </c>
      <c r="I672" s="654">
        <v>0</v>
      </c>
      <c r="J672" s="654">
        <v>359204</v>
      </c>
      <c r="K672" s="654">
        <v>359204</v>
      </c>
      <c r="L672" s="654">
        <v>0</v>
      </c>
      <c r="M672" s="654">
        <v>0</v>
      </c>
      <c r="N672" s="654">
        <v>0</v>
      </c>
    </row>
    <row r="673" spans="2:14" x14ac:dyDescent="0.15">
      <c r="B673"/>
      <c r="D673" t="s">
        <v>566</v>
      </c>
      <c r="E673" t="s">
        <v>382</v>
      </c>
      <c r="F673" t="s">
        <v>626</v>
      </c>
      <c r="G673" t="s">
        <v>600</v>
      </c>
      <c r="H673" s="654">
        <v>671531</v>
      </c>
      <c r="I673" s="654">
        <v>0</v>
      </c>
      <c r="J673" s="654">
        <v>671531</v>
      </c>
      <c r="K673" s="654">
        <v>671531</v>
      </c>
      <c r="L673" s="654">
        <v>0</v>
      </c>
      <c r="M673" s="654">
        <v>0</v>
      </c>
      <c r="N673" s="654">
        <v>0</v>
      </c>
    </row>
    <row r="674" spans="2:14" x14ac:dyDescent="0.15">
      <c r="B674"/>
      <c r="F674" t="s">
        <v>733</v>
      </c>
      <c r="H674" s="654">
        <v>671531</v>
      </c>
      <c r="I674" s="654">
        <v>0</v>
      </c>
      <c r="J674" s="654">
        <v>671531</v>
      </c>
      <c r="K674" s="654">
        <v>671531</v>
      </c>
      <c r="L674" s="654">
        <v>0</v>
      </c>
      <c r="M674" s="654">
        <v>0</v>
      </c>
      <c r="N674" s="654">
        <v>0</v>
      </c>
    </row>
    <row r="675" spans="2:14" x14ac:dyDescent="0.15">
      <c r="B675"/>
      <c r="E675" t="s">
        <v>775</v>
      </c>
      <c r="H675" s="654">
        <v>671531</v>
      </c>
      <c r="I675" s="654">
        <v>0</v>
      </c>
      <c r="J675" s="654">
        <v>671531</v>
      </c>
      <c r="K675" s="654">
        <v>671531</v>
      </c>
      <c r="L675" s="654">
        <v>0</v>
      </c>
      <c r="M675" s="654">
        <v>0</v>
      </c>
      <c r="N675" s="654">
        <v>0</v>
      </c>
    </row>
    <row r="676" spans="2:14" x14ac:dyDescent="0.15">
      <c r="B676"/>
      <c r="D676" t="s">
        <v>738</v>
      </c>
      <c r="H676" s="654">
        <v>671531</v>
      </c>
      <c r="I676" s="654">
        <v>0</v>
      </c>
      <c r="J676" s="654">
        <v>671531</v>
      </c>
      <c r="K676" s="654">
        <v>671531</v>
      </c>
      <c r="L676" s="654">
        <v>0</v>
      </c>
      <c r="M676" s="654">
        <v>0</v>
      </c>
      <c r="N676" s="654">
        <v>0</v>
      </c>
    </row>
    <row r="677" spans="2:14" x14ac:dyDescent="0.15">
      <c r="B677"/>
      <c r="D677" t="s">
        <v>631</v>
      </c>
      <c r="E677" t="s">
        <v>381</v>
      </c>
      <c r="F677" t="s">
        <v>626</v>
      </c>
      <c r="G677" t="s">
        <v>600</v>
      </c>
      <c r="H677" s="654">
        <v>1985680</v>
      </c>
      <c r="I677" s="654">
        <v>0</v>
      </c>
      <c r="J677" s="654">
        <v>1985680</v>
      </c>
      <c r="K677" s="654">
        <v>1985680</v>
      </c>
      <c r="L677" s="654">
        <v>0</v>
      </c>
      <c r="M677" s="654">
        <v>0</v>
      </c>
      <c r="N677" s="654">
        <v>0</v>
      </c>
    </row>
    <row r="678" spans="2:14" x14ac:dyDescent="0.15">
      <c r="B678"/>
      <c r="F678" t="s">
        <v>733</v>
      </c>
      <c r="H678" s="654">
        <v>1985680</v>
      </c>
      <c r="I678" s="654">
        <v>0</v>
      </c>
      <c r="J678" s="654">
        <v>1985680</v>
      </c>
      <c r="K678" s="654">
        <v>1985680</v>
      </c>
      <c r="L678" s="654">
        <v>0</v>
      </c>
      <c r="M678" s="654">
        <v>0</v>
      </c>
      <c r="N678" s="654">
        <v>0</v>
      </c>
    </row>
    <row r="679" spans="2:14" x14ac:dyDescent="0.15">
      <c r="B679"/>
      <c r="E679" t="s">
        <v>776</v>
      </c>
      <c r="H679" s="654">
        <v>1985680</v>
      </c>
      <c r="I679" s="654">
        <v>0</v>
      </c>
      <c r="J679" s="654">
        <v>1985680</v>
      </c>
      <c r="K679" s="654">
        <v>1985680</v>
      </c>
      <c r="L679" s="654">
        <v>0</v>
      </c>
      <c r="M679" s="654">
        <v>0</v>
      </c>
      <c r="N679" s="654">
        <v>0</v>
      </c>
    </row>
    <row r="680" spans="2:14" x14ac:dyDescent="0.15">
      <c r="B680"/>
      <c r="D680" t="s">
        <v>737</v>
      </c>
      <c r="H680" s="654">
        <v>1985680</v>
      </c>
      <c r="I680" s="654">
        <v>0</v>
      </c>
      <c r="J680" s="654">
        <v>1985680</v>
      </c>
      <c r="K680" s="654">
        <v>1985680</v>
      </c>
      <c r="L680" s="654">
        <v>0</v>
      </c>
      <c r="M680" s="654">
        <v>0</v>
      </c>
      <c r="N680" s="654">
        <v>0</v>
      </c>
    </row>
    <row r="681" spans="2:14" x14ac:dyDescent="0.15">
      <c r="B681"/>
      <c r="D681" t="s">
        <v>671</v>
      </c>
      <c r="E681" t="s">
        <v>383</v>
      </c>
      <c r="F681" t="s">
        <v>626</v>
      </c>
      <c r="G681" t="s">
        <v>600</v>
      </c>
      <c r="H681" s="654">
        <v>1109940</v>
      </c>
      <c r="I681" s="654">
        <v>-8699</v>
      </c>
      <c r="J681" s="654">
        <v>1101241</v>
      </c>
      <c r="K681" s="654">
        <v>1101241</v>
      </c>
      <c r="L681" s="654">
        <v>0</v>
      </c>
      <c r="M681" s="654">
        <v>37299</v>
      </c>
      <c r="N681" s="654">
        <v>0</v>
      </c>
    </row>
    <row r="682" spans="2:14" x14ac:dyDescent="0.15">
      <c r="B682"/>
      <c r="F682" t="s">
        <v>733</v>
      </c>
      <c r="H682" s="654">
        <v>1109940</v>
      </c>
      <c r="I682" s="654">
        <v>-8699</v>
      </c>
      <c r="J682" s="654">
        <v>1101241</v>
      </c>
      <c r="K682" s="654">
        <v>1101241</v>
      </c>
      <c r="L682" s="654">
        <v>0</v>
      </c>
      <c r="M682" s="654">
        <v>37299</v>
      </c>
      <c r="N682" s="654">
        <v>0</v>
      </c>
    </row>
    <row r="683" spans="2:14" x14ac:dyDescent="0.15">
      <c r="B683"/>
      <c r="F683" t="s">
        <v>627</v>
      </c>
      <c r="G683" t="s">
        <v>599</v>
      </c>
      <c r="H683" s="654">
        <v>0</v>
      </c>
      <c r="I683" s="654">
        <v>0</v>
      </c>
      <c r="J683" s="654">
        <v>0</v>
      </c>
      <c r="K683" s="654">
        <v>0</v>
      </c>
      <c r="L683" s="654">
        <v>0</v>
      </c>
      <c r="M683" s="654">
        <v>0</v>
      </c>
      <c r="N683" s="654">
        <v>0</v>
      </c>
    </row>
    <row r="684" spans="2:14" x14ac:dyDescent="0.15">
      <c r="B684"/>
      <c r="F684" t="s">
        <v>734</v>
      </c>
      <c r="H684" s="654">
        <v>0</v>
      </c>
      <c r="I684" s="654">
        <v>0</v>
      </c>
      <c r="J684" s="654">
        <v>0</v>
      </c>
      <c r="K684" s="654">
        <v>0</v>
      </c>
      <c r="L684" s="654">
        <v>0</v>
      </c>
      <c r="M684" s="654">
        <v>0</v>
      </c>
      <c r="N684" s="654">
        <v>0</v>
      </c>
    </row>
    <row r="685" spans="2:14" x14ac:dyDescent="0.15">
      <c r="B685"/>
      <c r="E685" t="s">
        <v>777</v>
      </c>
      <c r="H685" s="654">
        <v>1109940</v>
      </c>
      <c r="I685" s="654">
        <v>-8699</v>
      </c>
      <c r="J685" s="654">
        <v>1101241</v>
      </c>
      <c r="K685" s="654">
        <v>1101241</v>
      </c>
      <c r="L685" s="654">
        <v>0</v>
      </c>
      <c r="M685" s="654">
        <v>37299</v>
      </c>
      <c r="N685" s="654">
        <v>0</v>
      </c>
    </row>
    <row r="686" spans="2:14" x14ac:dyDescent="0.15">
      <c r="B686"/>
      <c r="D686" t="s">
        <v>742</v>
      </c>
      <c r="H686" s="654">
        <v>1109940</v>
      </c>
      <c r="I686" s="654">
        <v>-8699</v>
      </c>
      <c r="J686" s="654">
        <v>1101241</v>
      </c>
      <c r="K686" s="654">
        <v>1101241</v>
      </c>
      <c r="L686" s="654">
        <v>0</v>
      </c>
      <c r="M686" s="654">
        <v>37299</v>
      </c>
      <c r="N686" s="654">
        <v>0</v>
      </c>
    </row>
    <row r="687" spans="2:14" x14ac:dyDescent="0.15">
      <c r="B687"/>
      <c r="C687" t="s">
        <v>853</v>
      </c>
      <c r="H687" s="654">
        <v>26671919</v>
      </c>
      <c r="I687" s="654">
        <v>-603353</v>
      </c>
      <c r="J687" s="654">
        <v>26068566</v>
      </c>
      <c r="K687" s="654">
        <v>26068566</v>
      </c>
      <c r="L687" s="654">
        <v>0</v>
      </c>
      <c r="M687" s="654">
        <v>145529</v>
      </c>
      <c r="N687" s="654">
        <v>2223492</v>
      </c>
    </row>
    <row r="688" spans="2:14" x14ac:dyDescent="0.15">
      <c r="B688" t="s">
        <v>627</v>
      </c>
      <c r="C688" t="s">
        <v>847</v>
      </c>
      <c r="D688" t="s">
        <v>626</v>
      </c>
      <c r="E688" t="s">
        <v>378</v>
      </c>
      <c r="F688" t="s">
        <v>626</v>
      </c>
      <c r="G688" t="s">
        <v>600</v>
      </c>
      <c r="H688" s="654">
        <v>491876</v>
      </c>
      <c r="I688" s="654">
        <v>-48674</v>
      </c>
      <c r="J688" s="654">
        <v>443202</v>
      </c>
      <c r="K688" s="654">
        <v>443202</v>
      </c>
      <c r="L688" s="654">
        <v>0</v>
      </c>
      <c r="M688" s="654">
        <v>0</v>
      </c>
      <c r="N688" s="654">
        <v>0</v>
      </c>
    </row>
    <row r="689" spans="2:14" x14ac:dyDescent="0.15">
      <c r="B689"/>
      <c r="F689" t="s">
        <v>733</v>
      </c>
      <c r="H689" s="654">
        <v>491876</v>
      </c>
      <c r="I689" s="654">
        <v>-48674</v>
      </c>
      <c r="J689" s="654">
        <v>443202</v>
      </c>
      <c r="K689" s="654">
        <v>443202</v>
      </c>
      <c r="L689" s="654">
        <v>0</v>
      </c>
      <c r="M689" s="654">
        <v>0</v>
      </c>
      <c r="N689" s="654">
        <v>0</v>
      </c>
    </row>
    <row r="690" spans="2:14" x14ac:dyDescent="0.15">
      <c r="B690"/>
      <c r="F690" t="s">
        <v>627</v>
      </c>
      <c r="G690" t="s">
        <v>599</v>
      </c>
      <c r="H690" s="654">
        <v>130846</v>
      </c>
      <c r="I690" s="654">
        <v>-142854</v>
      </c>
      <c r="J690" s="654">
        <v>-12008</v>
      </c>
      <c r="K690" s="654">
        <v>-12008</v>
      </c>
      <c r="L690" s="654">
        <v>0</v>
      </c>
      <c r="M690" s="654">
        <v>0</v>
      </c>
      <c r="N690" s="654">
        <v>0</v>
      </c>
    </row>
    <row r="691" spans="2:14" x14ac:dyDescent="0.15">
      <c r="B691"/>
      <c r="F691" t="s">
        <v>734</v>
      </c>
      <c r="H691" s="654">
        <v>130846</v>
      </c>
      <c r="I691" s="654">
        <v>-142854</v>
      </c>
      <c r="J691" s="654">
        <v>-12008</v>
      </c>
      <c r="K691" s="654">
        <v>-12008</v>
      </c>
      <c r="L691" s="654">
        <v>0</v>
      </c>
      <c r="M691" s="654">
        <v>0</v>
      </c>
      <c r="N691" s="654">
        <v>0</v>
      </c>
    </row>
    <row r="692" spans="2:14" x14ac:dyDescent="0.15">
      <c r="B692"/>
      <c r="F692" t="s">
        <v>628</v>
      </c>
      <c r="G692" t="s">
        <v>598</v>
      </c>
      <c r="H692" s="654">
        <v>0</v>
      </c>
      <c r="I692" s="654">
        <v>0</v>
      </c>
      <c r="J692" s="654">
        <v>0</v>
      </c>
      <c r="K692" s="654">
        <v>0</v>
      </c>
      <c r="L692" s="654">
        <v>0</v>
      </c>
      <c r="M692" s="654">
        <v>0</v>
      </c>
      <c r="N692" s="654">
        <v>0</v>
      </c>
    </row>
    <row r="693" spans="2:14" x14ac:dyDescent="0.15">
      <c r="B693"/>
      <c r="F693" t="s">
        <v>735</v>
      </c>
      <c r="H693" s="654">
        <v>0</v>
      </c>
      <c r="I693" s="654">
        <v>0</v>
      </c>
      <c r="J693" s="654">
        <v>0</v>
      </c>
      <c r="K693" s="654">
        <v>0</v>
      </c>
      <c r="L693" s="654">
        <v>0</v>
      </c>
      <c r="M693" s="654">
        <v>0</v>
      </c>
      <c r="N693" s="654">
        <v>0</v>
      </c>
    </row>
    <row r="694" spans="2:14" x14ac:dyDescent="0.15">
      <c r="B694"/>
      <c r="E694" t="s">
        <v>769</v>
      </c>
      <c r="H694" s="654">
        <v>622722</v>
      </c>
      <c r="I694" s="654">
        <v>-191528</v>
      </c>
      <c r="J694" s="654">
        <v>431194</v>
      </c>
      <c r="K694" s="654">
        <v>431194</v>
      </c>
      <c r="L694" s="654">
        <v>0</v>
      </c>
      <c r="M694" s="654">
        <v>0</v>
      </c>
      <c r="N694" s="654">
        <v>0</v>
      </c>
    </row>
    <row r="695" spans="2:14" x14ac:dyDescent="0.15">
      <c r="B695"/>
      <c r="D695" t="s">
        <v>733</v>
      </c>
      <c r="H695" s="654">
        <v>622722</v>
      </c>
      <c r="I695" s="654">
        <v>-191528</v>
      </c>
      <c r="J695" s="654">
        <v>431194</v>
      </c>
      <c r="K695" s="654">
        <v>431194</v>
      </c>
      <c r="L695" s="654">
        <v>0</v>
      </c>
      <c r="M695" s="654">
        <v>0</v>
      </c>
      <c r="N695" s="654">
        <v>0</v>
      </c>
    </row>
    <row r="696" spans="2:14" x14ac:dyDescent="0.15">
      <c r="B696"/>
      <c r="D696" t="s">
        <v>627</v>
      </c>
      <c r="E696" t="s">
        <v>379</v>
      </c>
      <c r="F696" t="s">
        <v>626</v>
      </c>
      <c r="G696" t="s">
        <v>600</v>
      </c>
      <c r="H696" s="654">
        <v>28022</v>
      </c>
      <c r="I696" s="654">
        <v>20233</v>
      </c>
      <c r="J696" s="654">
        <v>48255</v>
      </c>
      <c r="K696" s="654">
        <v>48255</v>
      </c>
      <c r="L696" s="654">
        <v>0</v>
      </c>
      <c r="M696" s="654">
        <v>0</v>
      </c>
      <c r="N696" s="654">
        <v>0</v>
      </c>
    </row>
    <row r="697" spans="2:14" x14ac:dyDescent="0.15">
      <c r="B697"/>
      <c r="F697" t="s">
        <v>733</v>
      </c>
      <c r="H697" s="654">
        <v>28022</v>
      </c>
      <c r="I697" s="654">
        <v>20233</v>
      </c>
      <c r="J697" s="654">
        <v>48255</v>
      </c>
      <c r="K697" s="654">
        <v>48255</v>
      </c>
      <c r="L697" s="654">
        <v>0</v>
      </c>
      <c r="M697" s="654">
        <v>0</v>
      </c>
      <c r="N697" s="654">
        <v>0</v>
      </c>
    </row>
    <row r="698" spans="2:14" x14ac:dyDescent="0.15">
      <c r="B698"/>
      <c r="F698" t="s">
        <v>627</v>
      </c>
      <c r="G698" t="s">
        <v>599</v>
      </c>
      <c r="H698" s="654">
        <v>16154</v>
      </c>
      <c r="I698" s="654">
        <v>-16154</v>
      </c>
      <c r="J698" s="654">
        <v>0</v>
      </c>
      <c r="K698" s="654">
        <v>0</v>
      </c>
      <c r="L698" s="654">
        <v>0</v>
      </c>
      <c r="M698" s="654">
        <v>0</v>
      </c>
      <c r="N698" s="654">
        <v>0</v>
      </c>
    </row>
    <row r="699" spans="2:14" x14ac:dyDescent="0.15">
      <c r="B699"/>
      <c r="F699" t="s">
        <v>734</v>
      </c>
      <c r="H699" s="654">
        <v>16154</v>
      </c>
      <c r="I699" s="654">
        <v>-16154</v>
      </c>
      <c r="J699" s="654">
        <v>0</v>
      </c>
      <c r="K699" s="654">
        <v>0</v>
      </c>
      <c r="L699" s="654">
        <v>0</v>
      </c>
      <c r="M699" s="654">
        <v>0</v>
      </c>
      <c r="N699" s="654">
        <v>0</v>
      </c>
    </row>
    <row r="700" spans="2:14" x14ac:dyDescent="0.15">
      <c r="B700"/>
      <c r="F700" t="s">
        <v>628</v>
      </c>
      <c r="G700" t="s">
        <v>598</v>
      </c>
      <c r="H700" s="654">
        <v>5757</v>
      </c>
      <c r="I700" s="654">
        <v>0</v>
      </c>
      <c r="J700" s="654">
        <v>5757</v>
      </c>
      <c r="K700" s="654">
        <v>5757</v>
      </c>
      <c r="L700" s="654">
        <v>0</v>
      </c>
      <c r="M700" s="654">
        <v>0</v>
      </c>
      <c r="N700" s="654">
        <v>0</v>
      </c>
    </row>
    <row r="701" spans="2:14" x14ac:dyDescent="0.15">
      <c r="B701"/>
      <c r="F701" t="s">
        <v>735</v>
      </c>
      <c r="H701" s="654">
        <v>5757</v>
      </c>
      <c r="I701" s="654">
        <v>0</v>
      </c>
      <c r="J701" s="654">
        <v>5757</v>
      </c>
      <c r="K701" s="654">
        <v>5757</v>
      </c>
      <c r="L701" s="654">
        <v>0</v>
      </c>
      <c r="M701" s="654">
        <v>0</v>
      </c>
      <c r="N701" s="654">
        <v>0</v>
      </c>
    </row>
    <row r="702" spans="2:14" x14ac:dyDescent="0.15">
      <c r="B702"/>
      <c r="E702" t="s">
        <v>770</v>
      </c>
      <c r="H702" s="654">
        <v>49933</v>
      </c>
      <c r="I702" s="654">
        <v>4079</v>
      </c>
      <c r="J702" s="654">
        <v>54012</v>
      </c>
      <c r="K702" s="654">
        <v>54012</v>
      </c>
      <c r="L702" s="654">
        <v>0</v>
      </c>
      <c r="M702" s="654">
        <v>0</v>
      </c>
      <c r="N702" s="654">
        <v>0</v>
      </c>
    </row>
    <row r="703" spans="2:14" x14ac:dyDescent="0.15">
      <c r="B703"/>
      <c r="D703" t="s">
        <v>734</v>
      </c>
      <c r="H703" s="654">
        <v>49933</v>
      </c>
      <c r="I703" s="654">
        <v>4079</v>
      </c>
      <c r="J703" s="654">
        <v>54012</v>
      </c>
      <c r="K703" s="654">
        <v>54012</v>
      </c>
      <c r="L703" s="654">
        <v>0</v>
      </c>
      <c r="M703" s="654">
        <v>0</v>
      </c>
      <c r="N703" s="654">
        <v>0</v>
      </c>
    </row>
    <row r="704" spans="2:14" x14ac:dyDescent="0.15">
      <c r="B704"/>
      <c r="D704" t="s">
        <v>628</v>
      </c>
      <c r="E704" t="s">
        <v>380</v>
      </c>
      <c r="F704" t="s">
        <v>626</v>
      </c>
      <c r="G704" t="s">
        <v>600</v>
      </c>
      <c r="H704" s="654">
        <v>167174</v>
      </c>
      <c r="I704" s="654">
        <v>16420</v>
      </c>
      <c r="J704" s="654">
        <v>183594</v>
      </c>
      <c r="K704" s="654">
        <v>183594</v>
      </c>
      <c r="L704" s="654">
        <v>0</v>
      </c>
      <c r="M704" s="654">
        <v>0</v>
      </c>
      <c r="N704" s="654">
        <v>0</v>
      </c>
    </row>
    <row r="705" spans="2:14" x14ac:dyDescent="0.15">
      <c r="B705"/>
      <c r="F705" t="s">
        <v>733</v>
      </c>
      <c r="H705" s="654">
        <v>167174</v>
      </c>
      <c r="I705" s="654">
        <v>16420</v>
      </c>
      <c r="J705" s="654">
        <v>183594</v>
      </c>
      <c r="K705" s="654">
        <v>183594</v>
      </c>
      <c r="L705" s="654">
        <v>0</v>
      </c>
      <c r="M705" s="654">
        <v>0</v>
      </c>
      <c r="N705" s="654">
        <v>0</v>
      </c>
    </row>
    <row r="706" spans="2:14" x14ac:dyDescent="0.15">
      <c r="B706"/>
      <c r="F706" t="s">
        <v>627</v>
      </c>
      <c r="G706" t="s">
        <v>599</v>
      </c>
      <c r="H706" s="654">
        <v>27039</v>
      </c>
      <c r="I706" s="654">
        <v>0</v>
      </c>
      <c r="J706" s="654">
        <v>27039</v>
      </c>
      <c r="K706" s="654">
        <v>27039</v>
      </c>
      <c r="L706" s="654">
        <v>0</v>
      </c>
      <c r="M706" s="654">
        <v>0</v>
      </c>
      <c r="N706" s="654">
        <v>0</v>
      </c>
    </row>
    <row r="707" spans="2:14" x14ac:dyDescent="0.15">
      <c r="B707"/>
      <c r="F707" t="s">
        <v>734</v>
      </c>
      <c r="H707" s="654">
        <v>27039</v>
      </c>
      <c r="I707" s="654">
        <v>0</v>
      </c>
      <c r="J707" s="654">
        <v>27039</v>
      </c>
      <c r="K707" s="654">
        <v>27039</v>
      </c>
      <c r="L707" s="654">
        <v>0</v>
      </c>
      <c r="M707" s="654">
        <v>0</v>
      </c>
      <c r="N707" s="654">
        <v>0</v>
      </c>
    </row>
    <row r="708" spans="2:14" x14ac:dyDescent="0.15">
      <c r="B708"/>
      <c r="E708" t="s">
        <v>771</v>
      </c>
      <c r="H708" s="654">
        <v>194213</v>
      </c>
      <c r="I708" s="654">
        <v>16420</v>
      </c>
      <c r="J708" s="654">
        <v>210633</v>
      </c>
      <c r="K708" s="654">
        <v>210633</v>
      </c>
      <c r="L708" s="654">
        <v>0</v>
      </c>
      <c r="M708" s="654">
        <v>0</v>
      </c>
      <c r="N708" s="654">
        <v>0</v>
      </c>
    </row>
    <row r="709" spans="2:14" x14ac:dyDescent="0.15">
      <c r="B709"/>
      <c r="D709" t="s">
        <v>735</v>
      </c>
      <c r="H709" s="654">
        <v>194213</v>
      </c>
      <c r="I709" s="654">
        <v>16420</v>
      </c>
      <c r="J709" s="654">
        <v>210633</v>
      </c>
      <c r="K709" s="654">
        <v>210633</v>
      </c>
      <c r="L709" s="654">
        <v>0</v>
      </c>
      <c r="M709" s="654">
        <v>0</v>
      </c>
      <c r="N709" s="654">
        <v>0</v>
      </c>
    </row>
    <row r="710" spans="2:14" x14ac:dyDescent="0.15">
      <c r="B710"/>
      <c r="D710" t="s">
        <v>629</v>
      </c>
      <c r="E710" t="s">
        <v>676</v>
      </c>
      <c r="F710" t="s">
        <v>629</v>
      </c>
      <c r="G710" t="s">
        <v>601</v>
      </c>
      <c r="H710" s="654">
        <v>15277</v>
      </c>
      <c r="I710" s="654">
        <v>0</v>
      </c>
      <c r="J710" s="654">
        <v>15277</v>
      </c>
      <c r="K710" s="654">
        <v>15277</v>
      </c>
      <c r="L710" s="654">
        <v>0</v>
      </c>
      <c r="M710" s="654">
        <v>0</v>
      </c>
      <c r="N710" s="654">
        <v>0</v>
      </c>
    </row>
    <row r="711" spans="2:14" x14ac:dyDescent="0.15">
      <c r="B711"/>
      <c r="F711" t="s">
        <v>736</v>
      </c>
      <c r="H711" s="654">
        <v>15277</v>
      </c>
      <c r="I711" s="654">
        <v>0</v>
      </c>
      <c r="J711" s="654">
        <v>15277</v>
      </c>
      <c r="K711" s="654">
        <v>15277</v>
      </c>
      <c r="L711" s="654">
        <v>0</v>
      </c>
      <c r="M711" s="654">
        <v>0</v>
      </c>
      <c r="N711" s="654">
        <v>0</v>
      </c>
    </row>
    <row r="712" spans="2:14" x14ac:dyDescent="0.15">
      <c r="B712"/>
      <c r="E712" t="s">
        <v>772</v>
      </c>
      <c r="H712" s="654">
        <v>15277</v>
      </c>
      <c r="I712" s="654">
        <v>0</v>
      </c>
      <c r="J712" s="654">
        <v>15277</v>
      </c>
      <c r="K712" s="654">
        <v>15277</v>
      </c>
      <c r="L712" s="654">
        <v>0</v>
      </c>
      <c r="M712" s="654">
        <v>0</v>
      </c>
      <c r="N712" s="654">
        <v>0</v>
      </c>
    </row>
    <row r="713" spans="2:14" x14ac:dyDescent="0.15">
      <c r="B713"/>
      <c r="D713" t="s">
        <v>736</v>
      </c>
      <c r="H713" s="654">
        <v>15277</v>
      </c>
      <c r="I713" s="654">
        <v>0</v>
      </c>
      <c r="J713" s="654">
        <v>15277</v>
      </c>
      <c r="K713" s="654">
        <v>15277</v>
      </c>
      <c r="L713" s="654">
        <v>0</v>
      </c>
      <c r="M713" s="654">
        <v>0</v>
      </c>
      <c r="N713" s="654">
        <v>0</v>
      </c>
    </row>
    <row r="714" spans="2:14" x14ac:dyDescent="0.15">
      <c r="B714"/>
      <c r="D714" t="s">
        <v>567</v>
      </c>
      <c r="E714" t="s">
        <v>473</v>
      </c>
      <c r="F714" t="s">
        <v>631</v>
      </c>
      <c r="G714" t="s">
        <v>596</v>
      </c>
      <c r="H714" s="654">
        <v>0</v>
      </c>
      <c r="I714" s="654">
        <v>0</v>
      </c>
      <c r="J714" s="654">
        <v>0</v>
      </c>
      <c r="K714" s="654">
        <v>0</v>
      </c>
      <c r="L714" s="654">
        <v>0</v>
      </c>
      <c r="M714" s="654">
        <v>0</v>
      </c>
      <c r="N714" s="654">
        <v>0</v>
      </c>
    </row>
    <row r="715" spans="2:14" x14ac:dyDescent="0.15">
      <c r="B715"/>
      <c r="F715" t="s">
        <v>737</v>
      </c>
      <c r="H715" s="654">
        <v>0</v>
      </c>
      <c r="I715" s="654">
        <v>0</v>
      </c>
      <c r="J715" s="654">
        <v>0</v>
      </c>
      <c r="K715" s="654">
        <v>0</v>
      </c>
      <c r="L715" s="654">
        <v>0</v>
      </c>
      <c r="M715" s="654">
        <v>0</v>
      </c>
      <c r="N715" s="654">
        <v>0</v>
      </c>
    </row>
    <row r="716" spans="2:14" x14ac:dyDescent="0.15">
      <c r="B716"/>
      <c r="E716" t="s">
        <v>773</v>
      </c>
      <c r="H716" s="654">
        <v>0</v>
      </c>
      <c r="I716" s="654">
        <v>0</v>
      </c>
      <c r="J716" s="654">
        <v>0</v>
      </c>
      <c r="K716" s="654">
        <v>0</v>
      </c>
      <c r="L716" s="654">
        <v>0</v>
      </c>
      <c r="M716" s="654">
        <v>0</v>
      </c>
      <c r="N716" s="654">
        <v>0</v>
      </c>
    </row>
    <row r="717" spans="2:14" x14ac:dyDescent="0.15">
      <c r="B717"/>
      <c r="D717" t="s">
        <v>739</v>
      </c>
      <c r="H717" s="654">
        <v>0</v>
      </c>
      <c r="I717" s="654">
        <v>0</v>
      </c>
      <c r="J717" s="654">
        <v>0</v>
      </c>
      <c r="K717" s="654">
        <v>0</v>
      </c>
      <c r="L717" s="654">
        <v>0</v>
      </c>
      <c r="M717" s="654">
        <v>0</v>
      </c>
      <c r="N717" s="654">
        <v>0</v>
      </c>
    </row>
    <row r="718" spans="2:14" x14ac:dyDescent="0.15">
      <c r="B718"/>
      <c r="D718" t="s">
        <v>568</v>
      </c>
      <c r="E718" t="s">
        <v>474</v>
      </c>
      <c r="F718" t="s">
        <v>631</v>
      </c>
      <c r="G718" t="s">
        <v>596</v>
      </c>
      <c r="H718" s="654">
        <v>0</v>
      </c>
      <c r="I718" s="654">
        <v>0</v>
      </c>
      <c r="J718" s="654">
        <v>0</v>
      </c>
      <c r="K718" s="654">
        <v>0</v>
      </c>
      <c r="L718" s="654">
        <v>0</v>
      </c>
      <c r="M718" s="654">
        <v>0</v>
      </c>
      <c r="N718" s="654">
        <v>0</v>
      </c>
    </row>
    <row r="719" spans="2:14" x14ac:dyDescent="0.15">
      <c r="B719"/>
      <c r="F719" t="s">
        <v>737</v>
      </c>
      <c r="H719" s="654">
        <v>0</v>
      </c>
      <c r="I719" s="654">
        <v>0</v>
      </c>
      <c r="J719" s="654">
        <v>0</v>
      </c>
      <c r="K719" s="654">
        <v>0</v>
      </c>
      <c r="L719" s="654">
        <v>0</v>
      </c>
      <c r="M719" s="654">
        <v>0</v>
      </c>
      <c r="N719" s="654">
        <v>0</v>
      </c>
    </row>
    <row r="720" spans="2:14" x14ac:dyDescent="0.15">
      <c r="B720"/>
      <c r="E720" t="s">
        <v>774</v>
      </c>
      <c r="H720" s="654">
        <v>0</v>
      </c>
      <c r="I720" s="654">
        <v>0</v>
      </c>
      <c r="J720" s="654">
        <v>0</v>
      </c>
      <c r="K720" s="654">
        <v>0</v>
      </c>
      <c r="L720" s="654">
        <v>0</v>
      </c>
      <c r="M720" s="654">
        <v>0</v>
      </c>
      <c r="N720" s="654">
        <v>0</v>
      </c>
    </row>
    <row r="721" spans="2:14" x14ac:dyDescent="0.15">
      <c r="B721"/>
      <c r="D721" t="s">
        <v>740</v>
      </c>
      <c r="H721" s="654">
        <v>0</v>
      </c>
      <c r="I721" s="654">
        <v>0</v>
      </c>
      <c r="J721" s="654">
        <v>0</v>
      </c>
      <c r="K721" s="654">
        <v>0</v>
      </c>
      <c r="L721" s="654">
        <v>0</v>
      </c>
      <c r="M721" s="654">
        <v>0</v>
      </c>
      <c r="N721" s="654">
        <v>0</v>
      </c>
    </row>
    <row r="722" spans="2:14" x14ac:dyDescent="0.15">
      <c r="B722"/>
      <c r="D722" t="s">
        <v>566</v>
      </c>
      <c r="E722" t="s">
        <v>382</v>
      </c>
      <c r="F722" t="s">
        <v>626</v>
      </c>
      <c r="G722" t="s">
        <v>600</v>
      </c>
      <c r="H722" s="654">
        <v>-28130</v>
      </c>
      <c r="I722" s="654">
        <v>0</v>
      </c>
      <c r="J722" s="654">
        <v>-28130</v>
      </c>
      <c r="K722" s="654">
        <v>-28130</v>
      </c>
      <c r="L722" s="654">
        <v>0</v>
      </c>
      <c r="M722" s="654">
        <v>0</v>
      </c>
      <c r="N722" s="654">
        <v>0</v>
      </c>
    </row>
    <row r="723" spans="2:14" x14ac:dyDescent="0.15">
      <c r="B723"/>
      <c r="F723" t="s">
        <v>733</v>
      </c>
      <c r="H723" s="654">
        <v>-28130</v>
      </c>
      <c r="I723" s="654">
        <v>0</v>
      </c>
      <c r="J723" s="654">
        <v>-28130</v>
      </c>
      <c r="K723" s="654">
        <v>-28130</v>
      </c>
      <c r="L723" s="654">
        <v>0</v>
      </c>
      <c r="M723" s="654">
        <v>0</v>
      </c>
      <c r="N723" s="654">
        <v>0</v>
      </c>
    </row>
    <row r="724" spans="2:14" x14ac:dyDescent="0.15">
      <c r="B724"/>
      <c r="E724" t="s">
        <v>775</v>
      </c>
      <c r="H724" s="654">
        <v>-28130</v>
      </c>
      <c r="I724" s="654">
        <v>0</v>
      </c>
      <c r="J724" s="654">
        <v>-28130</v>
      </c>
      <c r="K724" s="654">
        <v>-28130</v>
      </c>
      <c r="L724" s="654">
        <v>0</v>
      </c>
      <c r="M724" s="654">
        <v>0</v>
      </c>
      <c r="N724" s="654">
        <v>0</v>
      </c>
    </row>
    <row r="725" spans="2:14" x14ac:dyDescent="0.15">
      <c r="B725"/>
      <c r="D725" t="s">
        <v>738</v>
      </c>
      <c r="H725" s="654">
        <v>-28130</v>
      </c>
      <c r="I725" s="654">
        <v>0</v>
      </c>
      <c r="J725" s="654">
        <v>-28130</v>
      </c>
      <c r="K725" s="654">
        <v>-28130</v>
      </c>
      <c r="L725" s="654">
        <v>0</v>
      </c>
      <c r="M725" s="654">
        <v>0</v>
      </c>
      <c r="N725" s="654">
        <v>0</v>
      </c>
    </row>
    <row r="726" spans="2:14" x14ac:dyDescent="0.15">
      <c r="B726"/>
      <c r="D726" t="s">
        <v>631</v>
      </c>
      <c r="E726" t="s">
        <v>381</v>
      </c>
      <c r="F726" t="s">
        <v>626</v>
      </c>
      <c r="G726" t="s">
        <v>600</v>
      </c>
      <c r="H726" s="654">
        <v>28130</v>
      </c>
      <c r="I726" s="654">
        <v>0</v>
      </c>
      <c r="J726" s="654">
        <v>28130</v>
      </c>
      <c r="K726" s="654">
        <v>28130</v>
      </c>
      <c r="L726" s="654">
        <v>0</v>
      </c>
      <c r="M726" s="654">
        <v>0</v>
      </c>
      <c r="N726" s="654">
        <v>0</v>
      </c>
    </row>
    <row r="727" spans="2:14" x14ac:dyDescent="0.15">
      <c r="B727"/>
      <c r="F727" t="s">
        <v>733</v>
      </c>
      <c r="H727" s="654">
        <v>28130</v>
      </c>
      <c r="I727" s="654">
        <v>0</v>
      </c>
      <c r="J727" s="654">
        <v>28130</v>
      </c>
      <c r="K727" s="654">
        <v>28130</v>
      </c>
      <c r="L727" s="654">
        <v>0</v>
      </c>
      <c r="M727" s="654">
        <v>0</v>
      </c>
      <c r="N727" s="654">
        <v>0</v>
      </c>
    </row>
    <row r="728" spans="2:14" x14ac:dyDescent="0.15">
      <c r="B728"/>
      <c r="E728" t="s">
        <v>776</v>
      </c>
      <c r="H728" s="654">
        <v>28130</v>
      </c>
      <c r="I728" s="654">
        <v>0</v>
      </c>
      <c r="J728" s="654">
        <v>28130</v>
      </c>
      <c r="K728" s="654">
        <v>28130</v>
      </c>
      <c r="L728" s="654">
        <v>0</v>
      </c>
      <c r="M728" s="654">
        <v>0</v>
      </c>
      <c r="N728" s="654">
        <v>0</v>
      </c>
    </row>
    <row r="729" spans="2:14" x14ac:dyDescent="0.15">
      <c r="B729"/>
      <c r="D729" t="s">
        <v>737</v>
      </c>
      <c r="H729" s="654">
        <v>28130</v>
      </c>
      <c r="I729" s="654">
        <v>0</v>
      </c>
      <c r="J729" s="654">
        <v>28130</v>
      </c>
      <c r="K729" s="654">
        <v>28130</v>
      </c>
      <c r="L729" s="654">
        <v>0</v>
      </c>
      <c r="M729" s="654">
        <v>0</v>
      </c>
      <c r="N729" s="654">
        <v>0</v>
      </c>
    </row>
    <row r="730" spans="2:14" x14ac:dyDescent="0.15">
      <c r="B730"/>
      <c r="D730" t="s">
        <v>671</v>
      </c>
      <c r="E730" t="s">
        <v>383</v>
      </c>
      <c r="F730" t="s">
        <v>626</v>
      </c>
      <c r="G730" t="s">
        <v>600</v>
      </c>
      <c r="H730" s="654">
        <v>50505</v>
      </c>
      <c r="I730" s="654">
        <v>-23774</v>
      </c>
      <c r="J730" s="654">
        <v>26731</v>
      </c>
      <c r="K730" s="654">
        <v>26731</v>
      </c>
      <c r="L730" s="654">
        <v>0</v>
      </c>
      <c r="M730" s="654">
        <v>0</v>
      </c>
      <c r="N730" s="654">
        <v>0</v>
      </c>
    </row>
    <row r="731" spans="2:14" x14ac:dyDescent="0.15">
      <c r="B731"/>
      <c r="F731" t="s">
        <v>733</v>
      </c>
      <c r="H731" s="654">
        <v>50505</v>
      </c>
      <c r="I731" s="654">
        <v>-23774</v>
      </c>
      <c r="J731" s="654">
        <v>26731</v>
      </c>
      <c r="K731" s="654">
        <v>26731</v>
      </c>
      <c r="L731" s="654">
        <v>0</v>
      </c>
      <c r="M731" s="654">
        <v>0</v>
      </c>
      <c r="N731" s="654">
        <v>0</v>
      </c>
    </row>
    <row r="732" spans="2:14" x14ac:dyDescent="0.15">
      <c r="B732"/>
      <c r="F732" t="s">
        <v>627</v>
      </c>
      <c r="G732" t="s">
        <v>599</v>
      </c>
      <c r="H732" s="654">
        <v>0</v>
      </c>
      <c r="I732" s="654">
        <v>0</v>
      </c>
      <c r="J732" s="654">
        <v>0</v>
      </c>
      <c r="K732" s="654">
        <v>0</v>
      </c>
      <c r="L732" s="654">
        <v>0</v>
      </c>
      <c r="M732" s="654">
        <v>0</v>
      </c>
      <c r="N732" s="654">
        <v>0</v>
      </c>
    </row>
    <row r="733" spans="2:14" x14ac:dyDescent="0.15">
      <c r="B733"/>
      <c r="F733" t="s">
        <v>734</v>
      </c>
      <c r="H733" s="654">
        <v>0</v>
      </c>
      <c r="I733" s="654">
        <v>0</v>
      </c>
      <c r="J733" s="654">
        <v>0</v>
      </c>
      <c r="K733" s="654">
        <v>0</v>
      </c>
      <c r="L733" s="654">
        <v>0</v>
      </c>
      <c r="M733" s="654">
        <v>0</v>
      </c>
      <c r="N733" s="654">
        <v>0</v>
      </c>
    </row>
    <row r="734" spans="2:14" x14ac:dyDescent="0.15">
      <c r="B734"/>
      <c r="E734" t="s">
        <v>777</v>
      </c>
      <c r="H734" s="654">
        <v>50505</v>
      </c>
      <c r="I734" s="654">
        <v>-23774</v>
      </c>
      <c r="J734" s="654">
        <v>26731</v>
      </c>
      <c r="K734" s="654">
        <v>26731</v>
      </c>
      <c r="L734" s="654">
        <v>0</v>
      </c>
      <c r="M734" s="654">
        <v>0</v>
      </c>
      <c r="N734" s="654">
        <v>0</v>
      </c>
    </row>
    <row r="735" spans="2:14" x14ac:dyDescent="0.15">
      <c r="B735"/>
      <c r="D735" t="s">
        <v>742</v>
      </c>
      <c r="H735" s="654">
        <v>50505</v>
      </c>
      <c r="I735" s="654">
        <v>-23774</v>
      </c>
      <c r="J735" s="654">
        <v>26731</v>
      </c>
      <c r="K735" s="654">
        <v>26731</v>
      </c>
      <c r="L735" s="654">
        <v>0</v>
      </c>
      <c r="M735" s="654">
        <v>0</v>
      </c>
      <c r="N735" s="654">
        <v>0</v>
      </c>
    </row>
    <row r="736" spans="2:14" x14ac:dyDescent="0.15">
      <c r="B736"/>
      <c r="C736" t="s">
        <v>854</v>
      </c>
      <c r="H736" s="654">
        <v>932650</v>
      </c>
      <c r="I736" s="654">
        <v>-194803</v>
      </c>
      <c r="J736" s="654">
        <v>737847</v>
      </c>
      <c r="K736" s="654">
        <v>737847</v>
      </c>
      <c r="L736" s="654">
        <v>0</v>
      </c>
      <c r="M736" s="654">
        <v>0</v>
      </c>
      <c r="N736" s="654">
        <v>0</v>
      </c>
    </row>
    <row r="737" spans="1:14" x14ac:dyDescent="0.15">
      <c r="A737" s="653" t="s">
        <v>615</v>
      </c>
      <c r="B737"/>
      <c r="H737" s="654">
        <v>27604569</v>
      </c>
      <c r="I737" s="654">
        <v>-798156</v>
      </c>
      <c r="J737" s="654">
        <v>26806413</v>
      </c>
      <c r="K737" s="654">
        <v>26806413</v>
      </c>
      <c r="L737" s="654">
        <v>0</v>
      </c>
      <c r="M737" s="654">
        <v>145529</v>
      </c>
      <c r="N737" s="654">
        <v>2223492</v>
      </c>
    </row>
    <row r="738" spans="1:14" x14ac:dyDescent="0.15">
      <c r="A738" s="653">
        <v>42826</v>
      </c>
      <c r="B738" t="s">
        <v>626</v>
      </c>
      <c r="C738" t="s">
        <v>849</v>
      </c>
      <c r="D738" t="s">
        <v>626</v>
      </c>
      <c r="E738" t="s">
        <v>378</v>
      </c>
      <c r="F738" t="s">
        <v>626</v>
      </c>
      <c r="G738" t="s">
        <v>600</v>
      </c>
      <c r="H738" s="654">
        <v>7383618</v>
      </c>
      <c r="I738" s="654">
        <v>-20778</v>
      </c>
      <c r="J738" s="654">
        <v>7362840</v>
      </c>
      <c r="K738" s="654">
        <v>7362840</v>
      </c>
      <c r="L738" s="654">
        <v>0</v>
      </c>
      <c r="M738" s="654">
        <v>73700</v>
      </c>
      <c r="N738" s="654">
        <v>1307359</v>
      </c>
    </row>
    <row r="739" spans="1:14" x14ac:dyDescent="0.15">
      <c r="B739"/>
      <c r="F739" t="s">
        <v>733</v>
      </c>
      <c r="H739" s="654">
        <v>7383618</v>
      </c>
      <c r="I739" s="654">
        <v>-20778</v>
      </c>
      <c r="J739" s="654">
        <v>7362840</v>
      </c>
      <c r="K739" s="654">
        <v>7362840</v>
      </c>
      <c r="L739" s="654">
        <v>0</v>
      </c>
      <c r="M739" s="654">
        <v>73700</v>
      </c>
      <c r="N739" s="654">
        <v>1307359</v>
      </c>
    </row>
    <row r="740" spans="1:14" x14ac:dyDescent="0.15">
      <c r="B740"/>
      <c r="F740" t="s">
        <v>627</v>
      </c>
      <c r="G740" t="s">
        <v>599</v>
      </c>
      <c r="H740" s="654">
        <v>1633700</v>
      </c>
      <c r="I740" s="654">
        <v>0</v>
      </c>
      <c r="J740" s="654">
        <v>1633700</v>
      </c>
      <c r="K740" s="654">
        <v>1633700</v>
      </c>
      <c r="L740" s="654">
        <v>0</v>
      </c>
      <c r="M740" s="654">
        <v>0</v>
      </c>
      <c r="N740" s="654">
        <v>404827</v>
      </c>
    </row>
    <row r="741" spans="1:14" x14ac:dyDescent="0.15">
      <c r="B741"/>
      <c r="F741" t="s">
        <v>734</v>
      </c>
      <c r="H741" s="654">
        <v>1633700</v>
      </c>
      <c r="I741" s="654">
        <v>0</v>
      </c>
      <c r="J741" s="654">
        <v>1633700</v>
      </c>
      <c r="K741" s="654">
        <v>1633700</v>
      </c>
      <c r="L741" s="654">
        <v>0</v>
      </c>
      <c r="M741" s="654">
        <v>0</v>
      </c>
      <c r="N741" s="654">
        <v>404827</v>
      </c>
    </row>
    <row r="742" spans="1:14" x14ac:dyDescent="0.15">
      <c r="B742"/>
      <c r="F742" t="s">
        <v>628</v>
      </c>
      <c r="G742" t="s">
        <v>598</v>
      </c>
      <c r="H742" s="654">
        <v>619566</v>
      </c>
      <c r="I742" s="654">
        <v>0</v>
      </c>
      <c r="J742" s="654">
        <v>619566</v>
      </c>
      <c r="K742" s="654">
        <v>619566</v>
      </c>
      <c r="L742" s="654">
        <v>0</v>
      </c>
      <c r="M742" s="654">
        <v>22298</v>
      </c>
      <c r="N742" s="654">
        <v>0</v>
      </c>
    </row>
    <row r="743" spans="1:14" x14ac:dyDescent="0.15">
      <c r="B743"/>
      <c r="F743" t="s">
        <v>735</v>
      </c>
      <c r="H743" s="654">
        <v>619566</v>
      </c>
      <c r="I743" s="654">
        <v>0</v>
      </c>
      <c r="J743" s="654">
        <v>619566</v>
      </c>
      <c r="K743" s="654">
        <v>619566</v>
      </c>
      <c r="L743" s="654">
        <v>0</v>
      </c>
      <c r="M743" s="654">
        <v>22298</v>
      </c>
      <c r="N743" s="654">
        <v>0</v>
      </c>
    </row>
    <row r="744" spans="1:14" x14ac:dyDescent="0.15">
      <c r="B744"/>
      <c r="E744" t="s">
        <v>769</v>
      </c>
      <c r="H744" s="654">
        <v>9636884</v>
      </c>
      <c r="I744" s="654">
        <v>-20778</v>
      </c>
      <c r="J744" s="654">
        <v>9616106</v>
      </c>
      <c r="K744" s="654">
        <v>9616106</v>
      </c>
      <c r="L744" s="654">
        <v>0</v>
      </c>
      <c r="M744" s="654">
        <v>95998</v>
      </c>
      <c r="N744" s="654">
        <v>1712186</v>
      </c>
    </row>
    <row r="745" spans="1:14" x14ac:dyDescent="0.15">
      <c r="B745"/>
      <c r="D745" t="s">
        <v>733</v>
      </c>
      <c r="H745" s="654">
        <v>9636884</v>
      </c>
      <c r="I745" s="654">
        <v>-20778</v>
      </c>
      <c r="J745" s="654">
        <v>9616106</v>
      </c>
      <c r="K745" s="654">
        <v>9616106</v>
      </c>
      <c r="L745" s="654">
        <v>0</v>
      </c>
      <c r="M745" s="654">
        <v>95998</v>
      </c>
      <c r="N745" s="654">
        <v>1712186</v>
      </c>
    </row>
    <row r="746" spans="1:14" x14ac:dyDescent="0.15">
      <c r="B746"/>
      <c r="D746" t="s">
        <v>627</v>
      </c>
      <c r="E746" t="s">
        <v>379</v>
      </c>
      <c r="F746" t="s">
        <v>626</v>
      </c>
      <c r="G746" t="s">
        <v>600</v>
      </c>
      <c r="H746" s="654">
        <v>3574744</v>
      </c>
      <c r="I746" s="654">
        <v>-29326</v>
      </c>
      <c r="J746" s="654">
        <v>3545418</v>
      </c>
      <c r="K746" s="654">
        <v>3545418</v>
      </c>
      <c r="L746" s="654">
        <v>0</v>
      </c>
      <c r="M746" s="654">
        <v>237661</v>
      </c>
      <c r="N746" s="654">
        <v>432067</v>
      </c>
    </row>
    <row r="747" spans="1:14" x14ac:dyDescent="0.15">
      <c r="B747"/>
      <c r="F747" t="s">
        <v>733</v>
      </c>
      <c r="H747" s="654">
        <v>3574744</v>
      </c>
      <c r="I747" s="654">
        <v>-29326</v>
      </c>
      <c r="J747" s="654">
        <v>3545418</v>
      </c>
      <c r="K747" s="654">
        <v>3545418</v>
      </c>
      <c r="L747" s="654">
        <v>0</v>
      </c>
      <c r="M747" s="654">
        <v>237661</v>
      </c>
      <c r="N747" s="654">
        <v>432067</v>
      </c>
    </row>
    <row r="748" spans="1:14" x14ac:dyDescent="0.15">
      <c r="B748"/>
      <c r="F748" t="s">
        <v>627</v>
      </c>
      <c r="G748" t="s">
        <v>599</v>
      </c>
      <c r="H748" s="654">
        <v>745402</v>
      </c>
      <c r="I748" s="654">
        <v>-16154</v>
      </c>
      <c r="J748" s="654">
        <v>729248</v>
      </c>
      <c r="K748" s="654">
        <v>729248</v>
      </c>
      <c r="L748" s="654">
        <v>0</v>
      </c>
      <c r="M748" s="654">
        <v>0</v>
      </c>
      <c r="N748" s="654">
        <v>168926</v>
      </c>
    </row>
    <row r="749" spans="1:14" x14ac:dyDescent="0.15">
      <c r="B749"/>
      <c r="F749" t="s">
        <v>734</v>
      </c>
      <c r="H749" s="654">
        <v>745402</v>
      </c>
      <c r="I749" s="654">
        <v>-16154</v>
      </c>
      <c r="J749" s="654">
        <v>729248</v>
      </c>
      <c r="K749" s="654">
        <v>729248</v>
      </c>
      <c r="L749" s="654">
        <v>0</v>
      </c>
      <c r="M749" s="654">
        <v>0</v>
      </c>
      <c r="N749" s="654">
        <v>168926</v>
      </c>
    </row>
    <row r="750" spans="1:14" x14ac:dyDescent="0.15">
      <c r="B750"/>
      <c r="F750" t="s">
        <v>628</v>
      </c>
      <c r="G750" t="s">
        <v>598</v>
      </c>
      <c r="H750" s="654">
        <v>353803</v>
      </c>
      <c r="I750" s="654">
        <v>0</v>
      </c>
      <c r="J750" s="654">
        <v>353803</v>
      </c>
      <c r="K750" s="654">
        <v>353803</v>
      </c>
      <c r="L750" s="654">
        <v>0</v>
      </c>
      <c r="M750" s="654">
        <v>0</v>
      </c>
      <c r="N750" s="654">
        <v>0</v>
      </c>
    </row>
    <row r="751" spans="1:14" x14ac:dyDescent="0.15">
      <c r="B751"/>
      <c r="F751" t="s">
        <v>735</v>
      </c>
      <c r="H751" s="654">
        <v>353803</v>
      </c>
      <c r="I751" s="654">
        <v>0</v>
      </c>
      <c r="J751" s="654">
        <v>353803</v>
      </c>
      <c r="K751" s="654">
        <v>353803</v>
      </c>
      <c r="L751" s="654">
        <v>0</v>
      </c>
      <c r="M751" s="654">
        <v>0</v>
      </c>
      <c r="N751" s="654">
        <v>0</v>
      </c>
    </row>
    <row r="752" spans="1:14" x14ac:dyDescent="0.15">
      <c r="B752"/>
      <c r="E752" t="s">
        <v>770</v>
      </c>
      <c r="H752" s="654">
        <v>4673949</v>
      </c>
      <c r="I752" s="654">
        <v>-45480</v>
      </c>
      <c r="J752" s="654">
        <v>4628469</v>
      </c>
      <c r="K752" s="654">
        <v>4628469</v>
      </c>
      <c r="L752" s="654">
        <v>0</v>
      </c>
      <c r="M752" s="654">
        <v>237661</v>
      </c>
      <c r="N752" s="654">
        <v>600993</v>
      </c>
    </row>
    <row r="753" spans="2:14" x14ac:dyDescent="0.15">
      <c r="B753"/>
      <c r="D753" t="s">
        <v>734</v>
      </c>
      <c r="H753" s="654">
        <v>4673949</v>
      </c>
      <c r="I753" s="654">
        <v>-45480</v>
      </c>
      <c r="J753" s="654">
        <v>4628469</v>
      </c>
      <c r="K753" s="654">
        <v>4628469</v>
      </c>
      <c r="L753" s="654">
        <v>0</v>
      </c>
      <c r="M753" s="654">
        <v>237661</v>
      </c>
      <c r="N753" s="654">
        <v>600993</v>
      </c>
    </row>
    <row r="754" spans="2:14" x14ac:dyDescent="0.15">
      <c r="B754"/>
      <c r="D754" t="s">
        <v>628</v>
      </c>
      <c r="E754" t="s">
        <v>380</v>
      </c>
      <c r="F754" t="s">
        <v>626</v>
      </c>
      <c r="G754" t="s">
        <v>600</v>
      </c>
      <c r="H754" s="654">
        <v>3374283</v>
      </c>
      <c r="I754" s="654">
        <v>-207925</v>
      </c>
      <c r="J754" s="654">
        <v>3166358</v>
      </c>
      <c r="K754" s="654">
        <v>3166358</v>
      </c>
      <c r="L754" s="654">
        <v>0</v>
      </c>
      <c r="M754" s="654">
        <v>45028</v>
      </c>
      <c r="N754" s="654">
        <v>382692</v>
      </c>
    </row>
    <row r="755" spans="2:14" x14ac:dyDescent="0.15">
      <c r="B755"/>
      <c r="F755" t="s">
        <v>733</v>
      </c>
      <c r="H755" s="654">
        <v>3374283</v>
      </c>
      <c r="I755" s="654">
        <v>-207925</v>
      </c>
      <c r="J755" s="654">
        <v>3166358</v>
      </c>
      <c r="K755" s="654">
        <v>3166358</v>
      </c>
      <c r="L755" s="654">
        <v>0</v>
      </c>
      <c r="M755" s="654">
        <v>45028</v>
      </c>
      <c r="N755" s="654">
        <v>382692</v>
      </c>
    </row>
    <row r="756" spans="2:14" x14ac:dyDescent="0.15">
      <c r="B756"/>
      <c r="F756" t="s">
        <v>627</v>
      </c>
      <c r="G756" t="s">
        <v>599</v>
      </c>
      <c r="H756" s="654">
        <v>1508857</v>
      </c>
      <c r="I756" s="654">
        <v>0</v>
      </c>
      <c r="J756" s="654">
        <v>1508857</v>
      </c>
      <c r="K756" s="654">
        <v>1508857</v>
      </c>
      <c r="L756" s="654">
        <v>0</v>
      </c>
      <c r="M756" s="654">
        <v>0</v>
      </c>
      <c r="N756" s="654">
        <v>349812</v>
      </c>
    </row>
    <row r="757" spans="2:14" x14ac:dyDescent="0.15">
      <c r="B757"/>
      <c r="F757" t="s">
        <v>734</v>
      </c>
      <c r="H757" s="654">
        <v>1508857</v>
      </c>
      <c r="I757" s="654">
        <v>0</v>
      </c>
      <c r="J757" s="654">
        <v>1508857</v>
      </c>
      <c r="K757" s="654">
        <v>1508857</v>
      </c>
      <c r="L757" s="654">
        <v>0</v>
      </c>
      <c r="M757" s="654">
        <v>0</v>
      </c>
      <c r="N757" s="654">
        <v>349812</v>
      </c>
    </row>
    <row r="758" spans="2:14" x14ac:dyDescent="0.15">
      <c r="B758"/>
      <c r="E758" t="s">
        <v>771</v>
      </c>
      <c r="H758" s="654">
        <v>4883140</v>
      </c>
      <c r="I758" s="654">
        <v>-207925</v>
      </c>
      <c r="J758" s="654">
        <v>4675215</v>
      </c>
      <c r="K758" s="654">
        <v>4675215</v>
      </c>
      <c r="L758" s="654">
        <v>0</v>
      </c>
      <c r="M758" s="654">
        <v>45028</v>
      </c>
      <c r="N758" s="654">
        <v>732504</v>
      </c>
    </row>
    <row r="759" spans="2:14" x14ac:dyDescent="0.15">
      <c r="B759"/>
      <c r="D759" t="s">
        <v>735</v>
      </c>
      <c r="H759" s="654">
        <v>4883140</v>
      </c>
      <c r="I759" s="654">
        <v>-207925</v>
      </c>
      <c r="J759" s="654">
        <v>4675215</v>
      </c>
      <c r="K759" s="654">
        <v>4675215</v>
      </c>
      <c r="L759" s="654">
        <v>0</v>
      </c>
      <c r="M759" s="654">
        <v>45028</v>
      </c>
      <c r="N759" s="654">
        <v>732504</v>
      </c>
    </row>
    <row r="760" spans="2:14" x14ac:dyDescent="0.15">
      <c r="B760"/>
      <c r="D760" t="s">
        <v>629</v>
      </c>
      <c r="E760" t="s">
        <v>676</v>
      </c>
      <c r="F760" t="s">
        <v>629</v>
      </c>
      <c r="G760" t="s">
        <v>601</v>
      </c>
      <c r="H760" s="654">
        <v>2927934</v>
      </c>
      <c r="I760" s="654">
        <v>-125482</v>
      </c>
      <c r="J760" s="654">
        <v>2802452</v>
      </c>
      <c r="K760" s="654">
        <v>2802452</v>
      </c>
      <c r="L760" s="654">
        <v>0</v>
      </c>
      <c r="M760" s="654">
        <v>208633</v>
      </c>
      <c r="N760" s="654">
        <v>158671</v>
      </c>
    </row>
    <row r="761" spans="2:14" x14ac:dyDescent="0.15">
      <c r="B761"/>
      <c r="F761" t="s">
        <v>736</v>
      </c>
      <c r="H761" s="654">
        <v>2927934</v>
      </c>
      <c r="I761" s="654">
        <v>-125482</v>
      </c>
      <c r="J761" s="654">
        <v>2802452</v>
      </c>
      <c r="K761" s="654">
        <v>2802452</v>
      </c>
      <c r="L761" s="654">
        <v>0</v>
      </c>
      <c r="M761" s="654">
        <v>208633</v>
      </c>
      <c r="N761" s="654">
        <v>158671</v>
      </c>
    </row>
    <row r="762" spans="2:14" x14ac:dyDescent="0.15">
      <c r="B762"/>
      <c r="E762" t="s">
        <v>772</v>
      </c>
      <c r="H762" s="654">
        <v>2927934</v>
      </c>
      <c r="I762" s="654">
        <v>-125482</v>
      </c>
      <c r="J762" s="654">
        <v>2802452</v>
      </c>
      <c r="K762" s="654">
        <v>2802452</v>
      </c>
      <c r="L762" s="654">
        <v>0</v>
      </c>
      <c r="M762" s="654">
        <v>208633</v>
      </c>
      <c r="N762" s="654">
        <v>158671</v>
      </c>
    </row>
    <row r="763" spans="2:14" x14ac:dyDescent="0.15">
      <c r="B763"/>
      <c r="D763" t="s">
        <v>736</v>
      </c>
      <c r="H763" s="654">
        <v>2927934</v>
      </c>
      <c r="I763" s="654">
        <v>-125482</v>
      </c>
      <c r="J763" s="654">
        <v>2802452</v>
      </c>
      <c r="K763" s="654">
        <v>2802452</v>
      </c>
      <c r="L763" s="654">
        <v>0</v>
      </c>
      <c r="M763" s="654">
        <v>208633</v>
      </c>
      <c r="N763" s="654">
        <v>158671</v>
      </c>
    </row>
    <row r="764" spans="2:14" x14ac:dyDescent="0.15">
      <c r="B764"/>
      <c r="D764" t="s">
        <v>567</v>
      </c>
      <c r="E764" t="s">
        <v>473</v>
      </c>
      <c r="F764" t="s">
        <v>631</v>
      </c>
      <c r="G764" t="s">
        <v>596</v>
      </c>
      <c r="H764" s="654">
        <v>930807</v>
      </c>
      <c r="I764" s="654">
        <v>-930807</v>
      </c>
      <c r="J764" s="654">
        <v>0</v>
      </c>
      <c r="K764" s="654">
        <v>0</v>
      </c>
      <c r="L764" s="654">
        <v>0</v>
      </c>
      <c r="M764" s="654">
        <v>0</v>
      </c>
      <c r="N764" s="654">
        <v>0</v>
      </c>
    </row>
    <row r="765" spans="2:14" x14ac:dyDescent="0.15">
      <c r="B765"/>
      <c r="F765" t="s">
        <v>737</v>
      </c>
      <c r="H765" s="654">
        <v>930807</v>
      </c>
      <c r="I765" s="654">
        <v>-930807</v>
      </c>
      <c r="J765" s="654">
        <v>0</v>
      </c>
      <c r="K765" s="654">
        <v>0</v>
      </c>
      <c r="L765" s="654">
        <v>0</v>
      </c>
      <c r="M765" s="654">
        <v>0</v>
      </c>
      <c r="N765" s="654">
        <v>0</v>
      </c>
    </row>
    <row r="766" spans="2:14" x14ac:dyDescent="0.15">
      <c r="B766"/>
      <c r="E766" t="s">
        <v>773</v>
      </c>
      <c r="H766" s="654">
        <v>930807</v>
      </c>
      <c r="I766" s="654">
        <v>-930807</v>
      </c>
      <c r="J766" s="654">
        <v>0</v>
      </c>
      <c r="K766" s="654">
        <v>0</v>
      </c>
      <c r="L766" s="654">
        <v>0</v>
      </c>
      <c r="M766" s="654">
        <v>0</v>
      </c>
      <c r="N766" s="654">
        <v>0</v>
      </c>
    </row>
    <row r="767" spans="2:14" x14ac:dyDescent="0.15">
      <c r="B767"/>
      <c r="D767" t="s">
        <v>739</v>
      </c>
      <c r="H767" s="654">
        <v>930807</v>
      </c>
      <c r="I767" s="654">
        <v>-930807</v>
      </c>
      <c r="J767" s="654">
        <v>0</v>
      </c>
      <c r="K767" s="654">
        <v>0</v>
      </c>
      <c r="L767" s="654">
        <v>0</v>
      </c>
      <c r="M767" s="654">
        <v>0</v>
      </c>
      <c r="N767" s="654">
        <v>0</v>
      </c>
    </row>
    <row r="768" spans="2:14" x14ac:dyDescent="0.15">
      <c r="B768"/>
      <c r="D768" t="s">
        <v>568</v>
      </c>
      <c r="E768" t="s">
        <v>474</v>
      </c>
      <c r="F768" t="s">
        <v>631</v>
      </c>
      <c r="G768" t="s">
        <v>596</v>
      </c>
      <c r="H768" s="654">
        <v>522589</v>
      </c>
      <c r="I768" s="654">
        <v>-522589</v>
      </c>
      <c r="J768" s="654">
        <v>0</v>
      </c>
      <c r="K768" s="654">
        <v>0</v>
      </c>
      <c r="L768" s="654">
        <v>0</v>
      </c>
      <c r="M768" s="654">
        <v>0</v>
      </c>
      <c r="N768" s="654">
        <v>0</v>
      </c>
    </row>
    <row r="769" spans="2:14" x14ac:dyDescent="0.15">
      <c r="B769"/>
      <c r="F769" t="s">
        <v>737</v>
      </c>
      <c r="H769" s="654">
        <v>522589</v>
      </c>
      <c r="I769" s="654">
        <v>-522589</v>
      </c>
      <c r="J769" s="654">
        <v>0</v>
      </c>
      <c r="K769" s="654">
        <v>0</v>
      </c>
      <c r="L769" s="654">
        <v>0</v>
      </c>
      <c r="M769" s="654">
        <v>0</v>
      </c>
      <c r="N769" s="654">
        <v>0</v>
      </c>
    </row>
    <row r="770" spans="2:14" x14ac:dyDescent="0.15">
      <c r="B770"/>
      <c r="E770" t="s">
        <v>774</v>
      </c>
      <c r="H770" s="654">
        <v>522589</v>
      </c>
      <c r="I770" s="654">
        <v>-522589</v>
      </c>
      <c r="J770" s="654">
        <v>0</v>
      </c>
      <c r="K770" s="654">
        <v>0</v>
      </c>
      <c r="L770" s="654">
        <v>0</v>
      </c>
      <c r="M770" s="654">
        <v>0</v>
      </c>
      <c r="N770" s="654">
        <v>0</v>
      </c>
    </row>
    <row r="771" spans="2:14" x14ac:dyDescent="0.15">
      <c r="B771"/>
      <c r="D771" t="s">
        <v>740</v>
      </c>
      <c r="H771" s="654">
        <v>522589</v>
      </c>
      <c r="I771" s="654">
        <v>-522589</v>
      </c>
      <c r="J771" s="654">
        <v>0</v>
      </c>
      <c r="K771" s="654">
        <v>0</v>
      </c>
      <c r="L771" s="654">
        <v>0</v>
      </c>
      <c r="M771" s="654">
        <v>0</v>
      </c>
      <c r="N771" s="654">
        <v>0</v>
      </c>
    </row>
    <row r="772" spans="2:14" x14ac:dyDescent="0.15">
      <c r="B772"/>
      <c r="D772" t="s">
        <v>566</v>
      </c>
      <c r="E772" t="s">
        <v>382</v>
      </c>
      <c r="F772" t="s">
        <v>626</v>
      </c>
      <c r="G772" t="s">
        <v>600</v>
      </c>
      <c r="H772" s="654">
        <v>570726</v>
      </c>
      <c r="I772" s="654">
        <v>0</v>
      </c>
      <c r="J772" s="654">
        <v>570726</v>
      </c>
      <c r="K772" s="654">
        <v>570726</v>
      </c>
      <c r="L772" s="654">
        <v>0</v>
      </c>
      <c r="M772" s="654">
        <v>0</v>
      </c>
      <c r="N772" s="654">
        <v>0</v>
      </c>
    </row>
    <row r="773" spans="2:14" x14ac:dyDescent="0.15">
      <c r="B773"/>
      <c r="F773" t="s">
        <v>733</v>
      </c>
      <c r="H773" s="654">
        <v>570726</v>
      </c>
      <c r="I773" s="654">
        <v>0</v>
      </c>
      <c r="J773" s="654">
        <v>570726</v>
      </c>
      <c r="K773" s="654">
        <v>570726</v>
      </c>
      <c r="L773" s="654">
        <v>0</v>
      </c>
      <c r="M773" s="654">
        <v>0</v>
      </c>
      <c r="N773" s="654">
        <v>0</v>
      </c>
    </row>
    <row r="774" spans="2:14" x14ac:dyDescent="0.15">
      <c r="B774"/>
      <c r="E774" t="s">
        <v>775</v>
      </c>
      <c r="H774" s="654">
        <v>570726</v>
      </c>
      <c r="I774" s="654">
        <v>0</v>
      </c>
      <c r="J774" s="654">
        <v>570726</v>
      </c>
      <c r="K774" s="654">
        <v>570726</v>
      </c>
      <c r="L774" s="654">
        <v>0</v>
      </c>
      <c r="M774" s="654">
        <v>0</v>
      </c>
      <c r="N774" s="654">
        <v>0</v>
      </c>
    </row>
    <row r="775" spans="2:14" x14ac:dyDescent="0.15">
      <c r="B775"/>
      <c r="D775" t="s">
        <v>738</v>
      </c>
      <c r="H775" s="654">
        <v>570726</v>
      </c>
      <c r="I775" s="654">
        <v>0</v>
      </c>
      <c r="J775" s="654">
        <v>570726</v>
      </c>
      <c r="K775" s="654">
        <v>570726</v>
      </c>
      <c r="L775" s="654">
        <v>0</v>
      </c>
      <c r="M775" s="654">
        <v>0</v>
      </c>
      <c r="N775" s="654">
        <v>0</v>
      </c>
    </row>
    <row r="776" spans="2:14" x14ac:dyDescent="0.15">
      <c r="B776"/>
      <c r="D776" t="s">
        <v>631</v>
      </c>
      <c r="E776" t="s">
        <v>381</v>
      </c>
      <c r="F776" t="s">
        <v>626</v>
      </c>
      <c r="G776" t="s">
        <v>600</v>
      </c>
      <c r="H776" s="654">
        <v>1881228</v>
      </c>
      <c r="I776" s="654">
        <v>0</v>
      </c>
      <c r="J776" s="654">
        <v>1881228</v>
      </c>
      <c r="K776" s="654">
        <v>1881228</v>
      </c>
      <c r="L776" s="654">
        <v>0</v>
      </c>
      <c r="M776" s="654">
        <v>133111</v>
      </c>
      <c r="N776" s="654">
        <v>0</v>
      </c>
    </row>
    <row r="777" spans="2:14" x14ac:dyDescent="0.15">
      <c r="B777"/>
      <c r="F777" t="s">
        <v>733</v>
      </c>
      <c r="H777" s="654">
        <v>1881228</v>
      </c>
      <c r="I777" s="654">
        <v>0</v>
      </c>
      <c r="J777" s="654">
        <v>1881228</v>
      </c>
      <c r="K777" s="654">
        <v>1881228</v>
      </c>
      <c r="L777" s="654">
        <v>0</v>
      </c>
      <c r="M777" s="654">
        <v>133111</v>
      </c>
      <c r="N777" s="654">
        <v>0</v>
      </c>
    </row>
    <row r="778" spans="2:14" x14ac:dyDescent="0.15">
      <c r="B778"/>
      <c r="E778" t="s">
        <v>776</v>
      </c>
      <c r="H778" s="654">
        <v>1881228</v>
      </c>
      <c r="I778" s="654">
        <v>0</v>
      </c>
      <c r="J778" s="654">
        <v>1881228</v>
      </c>
      <c r="K778" s="654">
        <v>1881228</v>
      </c>
      <c r="L778" s="654">
        <v>0</v>
      </c>
      <c r="M778" s="654">
        <v>133111</v>
      </c>
      <c r="N778" s="654">
        <v>0</v>
      </c>
    </row>
    <row r="779" spans="2:14" x14ac:dyDescent="0.15">
      <c r="B779"/>
      <c r="D779" t="s">
        <v>737</v>
      </c>
      <c r="H779" s="654">
        <v>1881228</v>
      </c>
      <c r="I779" s="654">
        <v>0</v>
      </c>
      <c r="J779" s="654">
        <v>1881228</v>
      </c>
      <c r="K779" s="654">
        <v>1881228</v>
      </c>
      <c r="L779" s="654">
        <v>0</v>
      </c>
      <c r="M779" s="654">
        <v>133111</v>
      </c>
      <c r="N779" s="654">
        <v>0</v>
      </c>
    </row>
    <row r="780" spans="2:14" x14ac:dyDescent="0.15">
      <c r="B780"/>
      <c r="D780" t="s">
        <v>671</v>
      </c>
      <c r="E780" t="s">
        <v>383</v>
      </c>
      <c r="F780" t="s">
        <v>626</v>
      </c>
      <c r="G780" t="s">
        <v>600</v>
      </c>
      <c r="H780" s="654">
        <v>968062</v>
      </c>
      <c r="I780" s="654">
        <v>-12444</v>
      </c>
      <c r="J780" s="654">
        <v>955618</v>
      </c>
      <c r="K780" s="654">
        <v>955618</v>
      </c>
      <c r="L780" s="654">
        <v>0</v>
      </c>
      <c r="M780" s="654">
        <v>22180</v>
      </c>
      <c r="N780" s="654">
        <v>0</v>
      </c>
    </row>
    <row r="781" spans="2:14" x14ac:dyDescent="0.15">
      <c r="B781"/>
      <c r="F781" t="s">
        <v>733</v>
      </c>
      <c r="H781" s="654">
        <v>968062</v>
      </c>
      <c r="I781" s="654">
        <v>-12444</v>
      </c>
      <c r="J781" s="654">
        <v>955618</v>
      </c>
      <c r="K781" s="654">
        <v>955618</v>
      </c>
      <c r="L781" s="654">
        <v>0</v>
      </c>
      <c r="M781" s="654">
        <v>22180</v>
      </c>
      <c r="N781" s="654">
        <v>0</v>
      </c>
    </row>
    <row r="782" spans="2:14" x14ac:dyDescent="0.15">
      <c r="B782"/>
      <c r="F782" t="s">
        <v>627</v>
      </c>
      <c r="G782" t="s">
        <v>599</v>
      </c>
      <c r="H782" s="654">
        <v>2592</v>
      </c>
      <c r="I782" s="654">
        <v>0</v>
      </c>
      <c r="J782" s="654">
        <v>2592</v>
      </c>
      <c r="K782" s="654">
        <v>2592</v>
      </c>
      <c r="L782" s="654">
        <v>0</v>
      </c>
      <c r="M782" s="654">
        <v>0</v>
      </c>
      <c r="N782" s="654">
        <v>0</v>
      </c>
    </row>
    <row r="783" spans="2:14" x14ac:dyDescent="0.15">
      <c r="B783"/>
      <c r="F783" t="s">
        <v>734</v>
      </c>
      <c r="H783" s="654">
        <v>2592</v>
      </c>
      <c r="I783" s="654">
        <v>0</v>
      </c>
      <c r="J783" s="654">
        <v>2592</v>
      </c>
      <c r="K783" s="654">
        <v>2592</v>
      </c>
      <c r="L783" s="654">
        <v>0</v>
      </c>
      <c r="M783" s="654">
        <v>0</v>
      </c>
      <c r="N783" s="654">
        <v>0</v>
      </c>
    </row>
    <row r="784" spans="2:14" x14ac:dyDescent="0.15">
      <c r="B784"/>
      <c r="E784" t="s">
        <v>777</v>
      </c>
      <c r="H784" s="654">
        <v>970654</v>
      </c>
      <c r="I784" s="654">
        <v>-12444</v>
      </c>
      <c r="J784" s="654">
        <v>958210</v>
      </c>
      <c r="K784" s="654">
        <v>958210</v>
      </c>
      <c r="L784" s="654">
        <v>0</v>
      </c>
      <c r="M784" s="654">
        <v>22180</v>
      </c>
      <c r="N784" s="654">
        <v>0</v>
      </c>
    </row>
    <row r="785" spans="2:14" x14ac:dyDescent="0.15">
      <c r="B785"/>
      <c r="D785" t="s">
        <v>742</v>
      </c>
      <c r="H785" s="654">
        <v>970654</v>
      </c>
      <c r="I785" s="654">
        <v>-12444</v>
      </c>
      <c r="J785" s="654">
        <v>958210</v>
      </c>
      <c r="K785" s="654">
        <v>958210</v>
      </c>
      <c r="L785" s="654">
        <v>0</v>
      </c>
      <c r="M785" s="654">
        <v>22180</v>
      </c>
      <c r="N785" s="654">
        <v>0</v>
      </c>
    </row>
    <row r="786" spans="2:14" x14ac:dyDescent="0.15">
      <c r="B786"/>
      <c r="C786" t="s">
        <v>853</v>
      </c>
      <c r="H786" s="654">
        <v>26997911</v>
      </c>
      <c r="I786" s="654">
        <v>-1865505</v>
      </c>
      <c r="J786" s="654">
        <v>25132406</v>
      </c>
      <c r="K786" s="654">
        <v>25132406</v>
      </c>
      <c r="L786" s="654">
        <v>0</v>
      </c>
      <c r="M786" s="654">
        <v>742611</v>
      </c>
      <c r="N786" s="654">
        <v>3204354</v>
      </c>
    </row>
    <row r="787" spans="2:14" x14ac:dyDescent="0.15">
      <c r="B787" t="s">
        <v>627</v>
      </c>
      <c r="C787" t="s">
        <v>847</v>
      </c>
      <c r="D787" t="s">
        <v>626</v>
      </c>
      <c r="E787" t="s">
        <v>378</v>
      </c>
      <c r="F787" t="s">
        <v>626</v>
      </c>
      <c r="G787" t="s">
        <v>600</v>
      </c>
      <c r="H787" s="654">
        <v>-119623</v>
      </c>
      <c r="I787" s="654">
        <v>0</v>
      </c>
      <c r="J787" s="654">
        <v>-119623</v>
      </c>
      <c r="K787" s="654">
        <v>-119623</v>
      </c>
      <c r="L787" s="654">
        <v>0</v>
      </c>
      <c r="M787" s="654">
        <v>0</v>
      </c>
      <c r="N787" s="654">
        <v>0</v>
      </c>
    </row>
    <row r="788" spans="2:14" x14ac:dyDescent="0.15">
      <c r="B788"/>
      <c r="F788" t="s">
        <v>733</v>
      </c>
      <c r="H788" s="654">
        <v>-119623</v>
      </c>
      <c r="I788" s="654">
        <v>0</v>
      </c>
      <c r="J788" s="654">
        <v>-119623</v>
      </c>
      <c r="K788" s="654">
        <v>-119623</v>
      </c>
      <c r="L788" s="654">
        <v>0</v>
      </c>
      <c r="M788" s="654">
        <v>0</v>
      </c>
      <c r="N788" s="654">
        <v>0</v>
      </c>
    </row>
    <row r="789" spans="2:14" x14ac:dyDescent="0.15">
      <c r="B789"/>
      <c r="F789" t="s">
        <v>627</v>
      </c>
      <c r="G789" t="s">
        <v>599</v>
      </c>
      <c r="H789" s="654">
        <v>282651</v>
      </c>
      <c r="I789" s="654">
        <v>0</v>
      </c>
      <c r="J789" s="654">
        <v>282651</v>
      </c>
      <c r="K789" s="654">
        <v>282651</v>
      </c>
      <c r="L789" s="654">
        <v>0</v>
      </c>
      <c r="M789" s="654">
        <v>0</v>
      </c>
      <c r="N789" s="654">
        <v>0</v>
      </c>
    </row>
    <row r="790" spans="2:14" x14ac:dyDescent="0.15">
      <c r="B790"/>
      <c r="F790" t="s">
        <v>734</v>
      </c>
      <c r="H790" s="654">
        <v>282651</v>
      </c>
      <c r="I790" s="654">
        <v>0</v>
      </c>
      <c r="J790" s="654">
        <v>282651</v>
      </c>
      <c r="K790" s="654">
        <v>282651</v>
      </c>
      <c r="L790" s="654">
        <v>0</v>
      </c>
      <c r="M790" s="654">
        <v>0</v>
      </c>
      <c r="N790" s="654">
        <v>0</v>
      </c>
    </row>
    <row r="791" spans="2:14" x14ac:dyDescent="0.15">
      <c r="B791"/>
      <c r="F791" t="s">
        <v>628</v>
      </c>
      <c r="G791" t="s">
        <v>598</v>
      </c>
      <c r="H791" s="654">
        <v>0</v>
      </c>
      <c r="I791" s="654">
        <v>0</v>
      </c>
      <c r="J791" s="654">
        <v>0</v>
      </c>
      <c r="K791" s="654">
        <v>0</v>
      </c>
      <c r="L791" s="654">
        <v>0</v>
      </c>
      <c r="M791" s="654">
        <v>0</v>
      </c>
      <c r="N791" s="654">
        <v>0</v>
      </c>
    </row>
    <row r="792" spans="2:14" x14ac:dyDescent="0.15">
      <c r="B792"/>
      <c r="F792" t="s">
        <v>735</v>
      </c>
      <c r="H792" s="654">
        <v>0</v>
      </c>
      <c r="I792" s="654">
        <v>0</v>
      </c>
      <c r="J792" s="654">
        <v>0</v>
      </c>
      <c r="K792" s="654">
        <v>0</v>
      </c>
      <c r="L792" s="654">
        <v>0</v>
      </c>
      <c r="M792" s="654">
        <v>0</v>
      </c>
      <c r="N792" s="654">
        <v>0</v>
      </c>
    </row>
    <row r="793" spans="2:14" x14ac:dyDescent="0.15">
      <c r="B793"/>
      <c r="E793" t="s">
        <v>769</v>
      </c>
      <c r="H793" s="654">
        <v>163028</v>
      </c>
      <c r="I793" s="654">
        <v>0</v>
      </c>
      <c r="J793" s="654">
        <v>163028</v>
      </c>
      <c r="K793" s="654">
        <v>163028</v>
      </c>
      <c r="L793" s="654">
        <v>0</v>
      </c>
      <c r="M793" s="654">
        <v>0</v>
      </c>
      <c r="N793" s="654">
        <v>0</v>
      </c>
    </row>
    <row r="794" spans="2:14" x14ac:dyDescent="0.15">
      <c r="B794"/>
      <c r="D794" t="s">
        <v>733</v>
      </c>
      <c r="H794" s="654">
        <v>163028</v>
      </c>
      <c r="I794" s="654">
        <v>0</v>
      </c>
      <c r="J794" s="654">
        <v>163028</v>
      </c>
      <c r="K794" s="654">
        <v>163028</v>
      </c>
      <c r="L794" s="654">
        <v>0</v>
      </c>
      <c r="M794" s="654">
        <v>0</v>
      </c>
      <c r="N794" s="654">
        <v>0</v>
      </c>
    </row>
    <row r="795" spans="2:14" x14ac:dyDescent="0.15">
      <c r="B795"/>
      <c r="D795" t="s">
        <v>627</v>
      </c>
      <c r="E795" t="s">
        <v>379</v>
      </c>
      <c r="F795" t="s">
        <v>626</v>
      </c>
      <c r="G795" t="s">
        <v>600</v>
      </c>
      <c r="H795" s="654">
        <v>0</v>
      </c>
      <c r="I795" s="654">
        <v>45072</v>
      </c>
      <c r="J795" s="654">
        <v>45072</v>
      </c>
      <c r="K795" s="654">
        <v>45072</v>
      </c>
      <c r="L795" s="654">
        <v>0</v>
      </c>
      <c r="M795" s="654">
        <v>0</v>
      </c>
      <c r="N795" s="654">
        <v>0</v>
      </c>
    </row>
    <row r="796" spans="2:14" x14ac:dyDescent="0.15">
      <c r="B796"/>
      <c r="F796" t="s">
        <v>733</v>
      </c>
      <c r="H796" s="654">
        <v>0</v>
      </c>
      <c r="I796" s="654">
        <v>45072</v>
      </c>
      <c r="J796" s="654">
        <v>45072</v>
      </c>
      <c r="K796" s="654">
        <v>45072</v>
      </c>
      <c r="L796" s="654">
        <v>0</v>
      </c>
      <c r="M796" s="654">
        <v>0</v>
      </c>
      <c r="N796" s="654">
        <v>0</v>
      </c>
    </row>
    <row r="797" spans="2:14" x14ac:dyDescent="0.15">
      <c r="B797"/>
      <c r="F797" t="s">
        <v>627</v>
      </c>
      <c r="G797" t="s">
        <v>599</v>
      </c>
      <c r="H797" s="654">
        <v>16154</v>
      </c>
      <c r="I797" s="654">
        <v>0</v>
      </c>
      <c r="J797" s="654">
        <v>16154</v>
      </c>
      <c r="K797" s="654">
        <v>16154</v>
      </c>
      <c r="L797" s="654">
        <v>0</v>
      </c>
      <c r="M797" s="654">
        <v>0</v>
      </c>
      <c r="N797" s="654">
        <v>0</v>
      </c>
    </row>
    <row r="798" spans="2:14" x14ac:dyDescent="0.15">
      <c r="B798"/>
      <c r="F798" t="s">
        <v>734</v>
      </c>
      <c r="H798" s="654">
        <v>16154</v>
      </c>
      <c r="I798" s="654">
        <v>0</v>
      </c>
      <c r="J798" s="654">
        <v>16154</v>
      </c>
      <c r="K798" s="654">
        <v>16154</v>
      </c>
      <c r="L798" s="654">
        <v>0</v>
      </c>
      <c r="M798" s="654">
        <v>0</v>
      </c>
      <c r="N798" s="654">
        <v>0</v>
      </c>
    </row>
    <row r="799" spans="2:14" x14ac:dyDescent="0.15">
      <c r="B799"/>
      <c r="F799" t="s">
        <v>628</v>
      </c>
      <c r="G799" t="s">
        <v>598</v>
      </c>
      <c r="H799" s="654">
        <v>0</v>
      </c>
      <c r="I799" s="654">
        <v>0</v>
      </c>
      <c r="J799" s="654">
        <v>0</v>
      </c>
      <c r="K799" s="654">
        <v>0</v>
      </c>
      <c r="L799" s="654">
        <v>0</v>
      </c>
      <c r="M799" s="654">
        <v>0</v>
      </c>
      <c r="N799" s="654">
        <v>0</v>
      </c>
    </row>
    <row r="800" spans="2:14" x14ac:dyDescent="0.15">
      <c r="B800"/>
      <c r="F800" t="s">
        <v>735</v>
      </c>
      <c r="H800" s="654">
        <v>0</v>
      </c>
      <c r="I800" s="654">
        <v>0</v>
      </c>
      <c r="J800" s="654">
        <v>0</v>
      </c>
      <c r="K800" s="654">
        <v>0</v>
      </c>
      <c r="L800" s="654">
        <v>0</v>
      </c>
      <c r="M800" s="654">
        <v>0</v>
      </c>
      <c r="N800" s="654">
        <v>0</v>
      </c>
    </row>
    <row r="801" spans="2:14" x14ac:dyDescent="0.15">
      <c r="B801"/>
      <c r="E801" t="s">
        <v>770</v>
      </c>
      <c r="H801" s="654">
        <v>16154</v>
      </c>
      <c r="I801" s="654">
        <v>45072</v>
      </c>
      <c r="J801" s="654">
        <v>61226</v>
      </c>
      <c r="K801" s="654">
        <v>61226</v>
      </c>
      <c r="L801" s="654">
        <v>0</v>
      </c>
      <c r="M801" s="654">
        <v>0</v>
      </c>
      <c r="N801" s="654">
        <v>0</v>
      </c>
    </row>
    <row r="802" spans="2:14" x14ac:dyDescent="0.15">
      <c r="B802"/>
      <c r="D802" t="s">
        <v>734</v>
      </c>
      <c r="H802" s="654">
        <v>16154</v>
      </c>
      <c r="I802" s="654">
        <v>45072</v>
      </c>
      <c r="J802" s="654">
        <v>61226</v>
      </c>
      <c r="K802" s="654">
        <v>61226</v>
      </c>
      <c r="L802" s="654">
        <v>0</v>
      </c>
      <c r="M802" s="654">
        <v>0</v>
      </c>
      <c r="N802" s="654">
        <v>0</v>
      </c>
    </row>
    <row r="803" spans="2:14" x14ac:dyDescent="0.15">
      <c r="B803"/>
      <c r="D803" t="s">
        <v>628</v>
      </c>
      <c r="E803" t="s">
        <v>380</v>
      </c>
      <c r="F803" t="s">
        <v>626</v>
      </c>
      <c r="G803" t="s">
        <v>600</v>
      </c>
      <c r="H803" s="654">
        <v>86464</v>
      </c>
      <c r="I803" s="654">
        <v>6729</v>
      </c>
      <c r="J803" s="654">
        <v>93193</v>
      </c>
      <c r="K803" s="654">
        <v>93193</v>
      </c>
      <c r="L803" s="654">
        <v>0</v>
      </c>
      <c r="M803" s="654">
        <v>0</v>
      </c>
      <c r="N803" s="654">
        <v>0</v>
      </c>
    </row>
    <row r="804" spans="2:14" x14ac:dyDescent="0.15">
      <c r="B804"/>
      <c r="F804" t="s">
        <v>733</v>
      </c>
      <c r="H804" s="654">
        <v>86464</v>
      </c>
      <c r="I804" s="654">
        <v>6729</v>
      </c>
      <c r="J804" s="654">
        <v>93193</v>
      </c>
      <c r="K804" s="654">
        <v>93193</v>
      </c>
      <c r="L804" s="654">
        <v>0</v>
      </c>
      <c r="M804" s="654">
        <v>0</v>
      </c>
      <c r="N804" s="654">
        <v>0</v>
      </c>
    </row>
    <row r="805" spans="2:14" x14ac:dyDescent="0.15">
      <c r="B805"/>
      <c r="F805" t="s">
        <v>627</v>
      </c>
      <c r="G805" t="s">
        <v>599</v>
      </c>
      <c r="H805" s="654">
        <v>10388</v>
      </c>
      <c r="I805" s="654">
        <v>0</v>
      </c>
      <c r="J805" s="654">
        <v>10388</v>
      </c>
      <c r="K805" s="654">
        <v>10388</v>
      </c>
      <c r="L805" s="654">
        <v>0</v>
      </c>
      <c r="M805" s="654">
        <v>0</v>
      </c>
      <c r="N805" s="654">
        <v>0</v>
      </c>
    </row>
    <row r="806" spans="2:14" x14ac:dyDescent="0.15">
      <c r="B806"/>
      <c r="F806" t="s">
        <v>734</v>
      </c>
      <c r="H806" s="654">
        <v>10388</v>
      </c>
      <c r="I806" s="654">
        <v>0</v>
      </c>
      <c r="J806" s="654">
        <v>10388</v>
      </c>
      <c r="K806" s="654">
        <v>10388</v>
      </c>
      <c r="L806" s="654">
        <v>0</v>
      </c>
      <c r="M806" s="654">
        <v>0</v>
      </c>
      <c r="N806" s="654">
        <v>0</v>
      </c>
    </row>
    <row r="807" spans="2:14" x14ac:dyDescent="0.15">
      <c r="B807"/>
      <c r="E807" t="s">
        <v>771</v>
      </c>
      <c r="H807" s="654">
        <v>96852</v>
      </c>
      <c r="I807" s="654">
        <v>6729</v>
      </c>
      <c r="J807" s="654">
        <v>103581</v>
      </c>
      <c r="K807" s="654">
        <v>103581</v>
      </c>
      <c r="L807" s="654">
        <v>0</v>
      </c>
      <c r="M807" s="654">
        <v>0</v>
      </c>
      <c r="N807" s="654">
        <v>0</v>
      </c>
    </row>
    <row r="808" spans="2:14" x14ac:dyDescent="0.15">
      <c r="B808"/>
      <c r="D808" t="s">
        <v>735</v>
      </c>
      <c r="H808" s="654">
        <v>96852</v>
      </c>
      <c r="I808" s="654">
        <v>6729</v>
      </c>
      <c r="J808" s="654">
        <v>103581</v>
      </c>
      <c r="K808" s="654">
        <v>103581</v>
      </c>
      <c r="L808" s="654">
        <v>0</v>
      </c>
      <c r="M808" s="654">
        <v>0</v>
      </c>
      <c r="N808" s="654">
        <v>0</v>
      </c>
    </row>
    <row r="809" spans="2:14" x14ac:dyDescent="0.15">
      <c r="B809"/>
      <c r="D809" t="s">
        <v>629</v>
      </c>
      <c r="E809" t="s">
        <v>676</v>
      </c>
      <c r="F809" t="s">
        <v>629</v>
      </c>
      <c r="G809" t="s">
        <v>601</v>
      </c>
      <c r="H809" s="654">
        <v>67235</v>
      </c>
      <c r="I809" s="654">
        <v>-8768</v>
      </c>
      <c r="J809" s="654">
        <v>58467</v>
      </c>
      <c r="K809" s="654">
        <v>58467</v>
      </c>
      <c r="L809" s="654">
        <v>0</v>
      </c>
      <c r="M809" s="654">
        <v>0</v>
      </c>
      <c r="N809" s="654">
        <v>0</v>
      </c>
    </row>
    <row r="810" spans="2:14" x14ac:dyDescent="0.15">
      <c r="B810"/>
      <c r="F810" t="s">
        <v>736</v>
      </c>
      <c r="H810" s="654">
        <v>67235</v>
      </c>
      <c r="I810" s="654">
        <v>-8768</v>
      </c>
      <c r="J810" s="654">
        <v>58467</v>
      </c>
      <c r="K810" s="654">
        <v>58467</v>
      </c>
      <c r="L810" s="654">
        <v>0</v>
      </c>
      <c r="M810" s="654">
        <v>0</v>
      </c>
      <c r="N810" s="654">
        <v>0</v>
      </c>
    </row>
    <row r="811" spans="2:14" x14ac:dyDescent="0.15">
      <c r="B811"/>
      <c r="E811" t="s">
        <v>772</v>
      </c>
      <c r="H811" s="654">
        <v>67235</v>
      </c>
      <c r="I811" s="654">
        <v>-8768</v>
      </c>
      <c r="J811" s="654">
        <v>58467</v>
      </c>
      <c r="K811" s="654">
        <v>58467</v>
      </c>
      <c r="L811" s="654">
        <v>0</v>
      </c>
      <c r="M811" s="654">
        <v>0</v>
      </c>
      <c r="N811" s="654">
        <v>0</v>
      </c>
    </row>
    <row r="812" spans="2:14" x14ac:dyDescent="0.15">
      <c r="B812"/>
      <c r="D812" t="s">
        <v>736</v>
      </c>
      <c r="H812" s="654">
        <v>67235</v>
      </c>
      <c r="I812" s="654">
        <v>-8768</v>
      </c>
      <c r="J812" s="654">
        <v>58467</v>
      </c>
      <c r="K812" s="654">
        <v>58467</v>
      </c>
      <c r="L812" s="654">
        <v>0</v>
      </c>
      <c r="M812" s="654">
        <v>0</v>
      </c>
      <c r="N812" s="654">
        <v>0</v>
      </c>
    </row>
    <row r="813" spans="2:14" x14ac:dyDescent="0.15">
      <c r="B813"/>
      <c r="D813" t="s">
        <v>567</v>
      </c>
      <c r="E813" t="s">
        <v>473</v>
      </c>
      <c r="F813" t="s">
        <v>631</v>
      </c>
      <c r="G813" t="s">
        <v>596</v>
      </c>
      <c r="H813" s="654">
        <v>216066</v>
      </c>
      <c r="I813" s="654">
        <v>-216066</v>
      </c>
      <c r="J813" s="654">
        <v>0</v>
      </c>
      <c r="K813" s="654">
        <v>0</v>
      </c>
      <c r="L813" s="654">
        <v>0</v>
      </c>
      <c r="M813" s="654">
        <v>0</v>
      </c>
      <c r="N813" s="654">
        <v>0</v>
      </c>
    </row>
    <row r="814" spans="2:14" x14ac:dyDescent="0.15">
      <c r="B814"/>
      <c r="F814" t="s">
        <v>737</v>
      </c>
      <c r="H814" s="654">
        <v>216066</v>
      </c>
      <c r="I814" s="654">
        <v>-216066</v>
      </c>
      <c r="J814" s="654">
        <v>0</v>
      </c>
      <c r="K814" s="654">
        <v>0</v>
      </c>
      <c r="L814" s="654">
        <v>0</v>
      </c>
      <c r="M814" s="654">
        <v>0</v>
      </c>
      <c r="N814" s="654">
        <v>0</v>
      </c>
    </row>
    <row r="815" spans="2:14" x14ac:dyDescent="0.15">
      <c r="B815"/>
      <c r="E815" t="s">
        <v>773</v>
      </c>
      <c r="H815" s="654">
        <v>216066</v>
      </c>
      <c r="I815" s="654">
        <v>-216066</v>
      </c>
      <c r="J815" s="654">
        <v>0</v>
      </c>
      <c r="K815" s="654">
        <v>0</v>
      </c>
      <c r="L815" s="654">
        <v>0</v>
      </c>
      <c r="M815" s="654">
        <v>0</v>
      </c>
      <c r="N815" s="654">
        <v>0</v>
      </c>
    </row>
    <row r="816" spans="2:14" x14ac:dyDescent="0.15">
      <c r="B816"/>
      <c r="D816" t="s">
        <v>739</v>
      </c>
      <c r="H816" s="654">
        <v>216066</v>
      </c>
      <c r="I816" s="654">
        <v>-216066</v>
      </c>
      <c r="J816" s="654">
        <v>0</v>
      </c>
      <c r="K816" s="654">
        <v>0</v>
      </c>
      <c r="L816" s="654">
        <v>0</v>
      </c>
      <c r="M816" s="654">
        <v>0</v>
      </c>
      <c r="N816" s="654">
        <v>0</v>
      </c>
    </row>
    <row r="817" spans="2:14" x14ac:dyDescent="0.15">
      <c r="B817"/>
      <c r="D817" t="s">
        <v>568</v>
      </c>
      <c r="E817" t="s">
        <v>474</v>
      </c>
      <c r="F817" t="s">
        <v>631</v>
      </c>
      <c r="G817" t="s">
        <v>596</v>
      </c>
      <c r="H817" s="654">
        <v>0</v>
      </c>
      <c r="I817" s="654">
        <v>0</v>
      </c>
      <c r="J817" s="654">
        <v>0</v>
      </c>
      <c r="K817" s="654">
        <v>0</v>
      </c>
      <c r="L817" s="654">
        <v>0</v>
      </c>
      <c r="M817" s="654">
        <v>0</v>
      </c>
      <c r="N817" s="654">
        <v>0</v>
      </c>
    </row>
    <row r="818" spans="2:14" x14ac:dyDescent="0.15">
      <c r="B818"/>
      <c r="F818" t="s">
        <v>737</v>
      </c>
      <c r="H818" s="654">
        <v>0</v>
      </c>
      <c r="I818" s="654">
        <v>0</v>
      </c>
      <c r="J818" s="654">
        <v>0</v>
      </c>
      <c r="K818" s="654">
        <v>0</v>
      </c>
      <c r="L818" s="654">
        <v>0</v>
      </c>
      <c r="M818" s="654">
        <v>0</v>
      </c>
      <c r="N818" s="654">
        <v>0</v>
      </c>
    </row>
    <row r="819" spans="2:14" x14ac:dyDescent="0.15">
      <c r="B819"/>
      <c r="E819" t="s">
        <v>774</v>
      </c>
      <c r="H819" s="654">
        <v>0</v>
      </c>
      <c r="I819" s="654">
        <v>0</v>
      </c>
      <c r="J819" s="654">
        <v>0</v>
      </c>
      <c r="K819" s="654">
        <v>0</v>
      </c>
      <c r="L819" s="654">
        <v>0</v>
      </c>
      <c r="M819" s="654">
        <v>0</v>
      </c>
      <c r="N819" s="654">
        <v>0</v>
      </c>
    </row>
    <row r="820" spans="2:14" x14ac:dyDescent="0.15">
      <c r="B820"/>
      <c r="D820" t="s">
        <v>740</v>
      </c>
      <c r="H820" s="654">
        <v>0</v>
      </c>
      <c r="I820" s="654">
        <v>0</v>
      </c>
      <c r="J820" s="654">
        <v>0</v>
      </c>
      <c r="K820" s="654">
        <v>0</v>
      </c>
      <c r="L820" s="654">
        <v>0</v>
      </c>
      <c r="M820" s="654">
        <v>0</v>
      </c>
      <c r="N820" s="654">
        <v>0</v>
      </c>
    </row>
    <row r="821" spans="2:14" x14ac:dyDescent="0.15">
      <c r="B821"/>
      <c r="D821" t="s">
        <v>566</v>
      </c>
      <c r="E821" t="s">
        <v>382</v>
      </c>
      <c r="F821" t="s">
        <v>626</v>
      </c>
      <c r="G821" t="s">
        <v>600</v>
      </c>
      <c r="H821" s="654">
        <v>0</v>
      </c>
      <c r="I821" s="654">
        <v>0</v>
      </c>
      <c r="J821" s="654">
        <v>0</v>
      </c>
      <c r="K821" s="654">
        <v>0</v>
      </c>
      <c r="L821" s="654">
        <v>0</v>
      </c>
      <c r="M821" s="654">
        <v>0</v>
      </c>
      <c r="N821" s="654">
        <v>0</v>
      </c>
    </row>
    <row r="822" spans="2:14" x14ac:dyDescent="0.15">
      <c r="B822"/>
      <c r="F822" t="s">
        <v>733</v>
      </c>
      <c r="H822" s="654">
        <v>0</v>
      </c>
      <c r="I822" s="654">
        <v>0</v>
      </c>
      <c r="J822" s="654">
        <v>0</v>
      </c>
      <c r="K822" s="654">
        <v>0</v>
      </c>
      <c r="L822" s="654">
        <v>0</v>
      </c>
      <c r="M822" s="654">
        <v>0</v>
      </c>
      <c r="N822" s="654">
        <v>0</v>
      </c>
    </row>
    <row r="823" spans="2:14" x14ac:dyDescent="0.15">
      <c r="B823"/>
      <c r="E823" t="s">
        <v>775</v>
      </c>
      <c r="H823" s="654">
        <v>0</v>
      </c>
      <c r="I823" s="654">
        <v>0</v>
      </c>
      <c r="J823" s="654">
        <v>0</v>
      </c>
      <c r="K823" s="654">
        <v>0</v>
      </c>
      <c r="L823" s="654">
        <v>0</v>
      </c>
      <c r="M823" s="654">
        <v>0</v>
      </c>
      <c r="N823" s="654">
        <v>0</v>
      </c>
    </row>
    <row r="824" spans="2:14" x14ac:dyDescent="0.15">
      <c r="B824"/>
      <c r="D824" t="s">
        <v>738</v>
      </c>
      <c r="H824" s="654">
        <v>0</v>
      </c>
      <c r="I824" s="654">
        <v>0</v>
      </c>
      <c r="J824" s="654">
        <v>0</v>
      </c>
      <c r="K824" s="654">
        <v>0</v>
      </c>
      <c r="L824" s="654">
        <v>0</v>
      </c>
      <c r="M824" s="654">
        <v>0</v>
      </c>
      <c r="N824" s="654">
        <v>0</v>
      </c>
    </row>
    <row r="825" spans="2:14" x14ac:dyDescent="0.15">
      <c r="B825"/>
      <c r="D825" t="s">
        <v>631</v>
      </c>
      <c r="E825" t="s">
        <v>381</v>
      </c>
      <c r="F825" t="s">
        <v>626</v>
      </c>
      <c r="G825" t="s">
        <v>600</v>
      </c>
      <c r="H825" s="654">
        <v>0</v>
      </c>
      <c r="I825" s="654">
        <v>0</v>
      </c>
      <c r="J825" s="654">
        <v>0</v>
      </c>
      <c r="K825" s="654">
        <v>0</v>
      </c>
      <c r="L825" s="654">
        <v>0</v>
      </c>
      <c r="M825" s="654">
        <v>0</v>
      </c>
      <c r="N825" s="654">
        <v>0</v>
      </c>
    </row>
    <row r="826" spans="2:14" x14ac:dyDescent="0.15">
      <c r="B826"/>
      <c r="F826" t="s">
        <v>733</v>
      </c>
      <c r="H826" s="654">
        <v>0</v>
      </c>
      <c r="I826" s="654">
        <v>0</v>
      </c>
      <c r="J826" s="654">
        <v>0</v>
      </c>
      <c r="K826" s="654">
        <v>0</v>
      </c>
      <c r="L826" s="654">
        <v>0</v>
      </c>
      <c r="M826" s="654">
        <v>0</v>
      </c>
      <c r="N826" s="654">
        <v>0</v>
      </c>
    </row>
    <row r="827" spans="2:14" x14ac:dyDescent="0.15">
      <c r="B827"/>
      <c r="E827" t="s">
        <v>776</v>
      </c>
      <c r="H827" s="654">
        <v>0</v>
      </c>
      <c r="I827" s="654">
        <v>0</v>
      </c>
      <c r="J827" s="654">
        <v>0</v>
      </c>
      <c r="K827" s="654">
        <v>0</v>
      </c>
      <c r="L827" s="654">
        <v>0</v>
      </c>
      <c r="M827" s="654">
        <v>0</v>
      </c>
      <c r="N827" s="654">
        <v>0</v>
      </c>
    </row>
    <row r="828" spans="2:14" x14ac:dyDescent="0.15">
      <c r="B828"/>
      <c r="D828" t="s">
        <v>737</v>
      </c>
      <c r="H828" s="654">
        <v>0</v>
      </c>
      <c r="I828" s="654">
        <v>0</v>
      </c>
      <c r="J828" s="654">
        <v>0</v>
      </c>
      <c r="K828" s="654">
        <v>0</v>
      </c>
      <c r="L828" s="654">
        <v>0</v>
      </c>
      <c r="M828" s="654">
        <v>0</v>
      </c>
      <c r="N828" s="654">
        <v>0</v>
      </c>
    </row>
    <row r="829" spans="2:14" x14ac:dyDescent="0.15">
      <c r="B829"/>
      <c r="D829" t="s">
        <v>671</v>
      </c>
      <c r="E829" t="s">
        <v>383</v>
      </c>
      <c r="F829" t="s">
        <v>626</v>
      </c>
      <c r="G829" t="s">
        <v>600</v>
      </c>
      <c r="H829" s="654">
        <v>68542</v>
      </c>
      <c r="I829" s="654">
        <v>4975</v>
      </c>
      <c r="J829" s="654">
        <v>73517</v>
      </c>
      <c r="K829" s="654">
        <v>73517</v>
      </c>
      <c r="L829" s="654">
        <v>0</v>
      </c>
      <c r="M829" s="654">
        <v>0</v>
      </c>
      <c r="N829" s="654">
        <v>0</v>
      </c>
    </row>
    <row r="830" spans="2:14" x14ac:dyDescent="0.15">
      <c r="B830"/>
      <c r="F830" t="s">
        <v>733</v>
      </c>
      <c r="H830" s="654">
        <v>68542</v>
      </c>
      <c r="I830" s="654">
        <v>4975</v>
      </c>
      <c r="J830" s="654">
        <v>73517</v>
      </c>
      <c r="K830" s="654">
        <v>73517</v>
      </c>
      <c r="L830" s="654">
        <v>0</v>
      </c>
      <c r="M830" s="654">
        <v>0</v>
      </c>
      <c r="N830" s="654">
        <v>0</v>
      </c>
    </row>
    <row r="831" spans="2:14" x14ac:dyDescent="0.15">
      <c r="B831"/>
      <c r="F831" t="s">
        <v>627</v>
      </c>
      <c r="G831" t="s">
        <v>599</v>
      </c>
      <c r="H831" s="654">
        <v>0</v>
      </c>
      <c r="I831" s="654">
        <v>0</v>
      </c>
      <c r="J831" s="654">
        <v>0</v>
      </c>
      <c r="K831" s="654">
        <v>0</v>
      </c>
      <c r="L831" s="654">
        <v>0</v>
      </c>
      <c r="M831" s="654">
        <v>0</v>
      </c>
      <c r="N831" s="654">
        <v>0</v>
      </c>
    </row>
    <row r="832" spans="2:14" x14ac:dyDescent="0.15">
      <c r="B832"/>
      <c r="F832" t="s">
        <v>734</v>
      </c>
      <c r="H832" s="654">
        <v>0</v>
      </c>
      <c r="I832" s="654">
        <v>0</v>
      </c>
      <c r="J832" s="654">
        <v>0</v>
      </c>
      <c r="K832" s="654">
        <v>0</v>
      </c>
      <c r="L832" s="654">
        <v>0</v>
      </c>
      <c r="M832" s="654">
        <v>0</v>
      </c>
      <c r="N832" s="654">
        <v>0</v>
      </c>
    </row>
    <row r="833" spans="1:14" x14ac:dyDescent="0.15">
      <c r="B833"/>
      <c r="E833" t="s">
        <v>777</v>
      </c>
      <c r="H833" s="654">
        <v>68542</v>
      </c>
      <c r="I833" s="654">
        <v>4975</v>
      </c>
      <c r="J833" s="654">
        <v>73517</v>
      </c>
      <c r="K833" s="654">
        <v>73517</v>
      </c>
      <c r="L833" s="654">
        <v>0</v>
      </c>
      <c r="M833" s="654">
        <v>0</v>
      </c>
      <c r="N833" s="654">
        <v>0</v>
      </c>
    </row>
    <row r="834" spans="1:14" x14ac:dyDescent="0.15">
      <c r="B834"/>
      <c r="D834" t="s">
        <v>742</v>
      </c>
      <c r="H834" s="654">
        <v>68542</v>
      </c>
      <c r="I834" s="654">
        <v>4975</v>
      </c>
      <c r="J834" s="654">
        <v>73517</v>
      </c>
      <c r="K834" s="654">
        <v>73517</v>
      </c>
      <c r="L834" s="654">
        <v>0</v>
      </c>
      <c r="M834" s="654">
        <v>0</v>
      </c>
      <c r="N834" s="654">
        <v>0</v>
      </c>
    </row>
    <row r="835" spans="1:14" x14ac:dyDescent="0.15">
      <c r="B835"/>
      <c r="C835" t="s">
        <v>854</v>
      </c>
      <c r="H835" s="654">
        <v>627877</v>
      </c>
      <c r="I835" s="654">
        <v>-168058</v>
      </c>
      <c r="J835" s="654">
        <v>459819</v>
      </c>
      <c r="K835" s="654">
        <v>459819</v>
      </c>
      <c r="L835" s="654">
        <v>0</v>
      </c>
      <c r="M835" s="654">
        <v>0</v>
      </c>
      <c r="N835" s="654">
        <v>0</v>
      </c>
    </row>
    <row r="836" spans="1:14" x14ac:dyDescent="0.15">
      <c r="A836" s="653" t="s">
        <v>616</v>
      </c>
      <c r="B836"/>
      <c r="H836" s="654">
        <v>27625788</v>
      </c>
      <c r="I836" s="654">
        <v>-2033563</v>
      </c>
      <c r="J836" s="654">
        <v>25592225</v>
      </c>
      <c r="K836" s="654">
        <v>25592225</v>
      </c>
      <c r="L836" s="654">
        <v>0</v>
      </c>
      <c r="M836" s="654">
        <v>742611</v>
      </c>
      <c r="N836" s="654">
        <v>3204354</v>
      </c>
    </row>
    <row r="837" spans="1:14" x14ac:dyDescent="0.15">
      <c r="A837" s="653">
        <v>42856</v>
      </c>
      <c r="B837" t="s">
        <v>626</v>
      </c>
      <c r="C837" t="s">
        <v>849</v>
      </c>
      <c r="D837" t="s">
        <v>626</v>
      </c>
      <c r="E837" t="s">
        <v>378</v>
      </c>
      <c r="F837" t="s">
        <v>626</v>
      </c>
      <c r="G837" t="s">
        <v>600</v>
      </c>
      <c r="H837" s="654">
        <v>7409027</v>
      </c>
      <c r="I837" s="654">
        <v>0</v>
      </c>
      <c r="J837" s="654">
        <v>7409027</v>
      </c>
      <c r="K837" s="654">
        <v>7409027</v>
      </c>
      <c r="L837" s="654">
        <v>0</v>
      </c>
      <c r="M837" s="654">
        <v>83972</v>
      </c>
      <c r="N837" s="654">
        <v>1399143</v>
      </c>
    </row>
    <row r="838" spans="1:14" x14ac:dyDescent="0.15">
      <c r="B838"/>
      <c r="F838" t="s">
        <v>733</v>
      </c>
      <c r="H838" s="654">
        <v>7409027</v>
      </c>
      <c r="I838" s="654">
        <v>0</v>
      </c>
      <c r="J838" s="654">
        <v>7409027</v>
      </c>
      <c r="K838" s="654">
        <v>7409027</v>
      </c>
      <c r="L838" s="654">
        <v>0</v>
      </c>
      <c r="M838" s="654">
        <v>83972</v>
      </c>
      <c r="N838" s="654">
        <v>1399143</v>
      </c>
    </row>
    <row r="839" spans="1:14" x14ac:dyDescent="0.15">
      <c r="B839"/>
      <c r="F839" t="s">
        <v>627</v>
      </c>
      <c r="G839" t="s">
        <v>599</v>
      </c>
      <c r="H839" s="654">
        <v>1888880</v>
      </c>
      <c r="I839" s="654">
        <v>-144925</v>
      </c>
      <c r="J839" s="654">
        <v>1743955</v>
      </c>
      <c r="K839" s="654">
        <v>1743955</v>
      </c>
      <c r="L839" s="654">
        <v>0</v>
      </c>
      <c r="M839" s="654">
        <v>0</v>
      </c>
      <c r="N839" s="654">
        <v>375748</v>
      </c>
    </row>
    <row r="840" spans="1:14" x14ac:dyDescent="0.15">
      <c r="B840"/>
      <c r="F840" t="s">
        <v>734</v>
      </c>
      <c r="H840" s="654">
        <v>1888880</v>
      </c>
      <c r="I840" s="654">
        <v>-144925</v>
      </c>
      <c r="J840" s="654">
        <v>1743955</v>
      </c>
      <c r="K840" s="654">
        <v>1743955</v>
      </c>
      <c r="L840" s="654">
        <v>0</v>
      </c>
      <c r="M840" s="654">
        <v>0</v>
      </c>
      <c r="N840" s="654">
        <v>375748</v>
      </c>
    </row>
    <row r="841" spans="1:14" x14ac:dyDescent="0.15">
      <c r="B841"/>
      <c r="F841" t="s">
        <v>628</v>
      </c>
      <c r="G841" t="s">
        <v>598</v>
      </c>
      <c r="H841" s="654">
        <v>694925</v>
      </c>
      <c r="I841" s="654">
        <v>0</v>
      </c>
      <c r="J841" s="654">
        <v>694925</v>
      </c>
      <c r="K841" s="654">
        <v>694925</v>
      </c>
      <c r="L841" s="654">
        <v>0</v>
      </c>
      <c r="M841" s="654">
        <v>0</v>
      </c>
      <c r="N841" s="654">
        <v>0</v>
      </c>
    </row>
    <row r="842" spans="1:14" x14ac:dyDescent="0.15">
      <c r="B842"/>
      <c r="F842" t="s">
        <v>735</v>
      </c>
      <c r="H842" s="654">
        <v>694925</v>
      </c>
      <c r="I842" s="654">
        <v>0</v>
      </c>
      <c r="J842" s="654">
        <v>694925</v>
      </c>
      <c r="K842" s="654">
        <v>694925</v>
      </c>
      <c r="L842" s="654">
        <v>0</v>
      </c>
      <c r="M842" s="654">
        <v>0</v>
      </c>
      <c r="N842" s="654">
        <v>0</v>
      </c>
    </row>
    <row r="843" spans="1:14" x14ac:dyDescent="0.15">
      <c r="B843"/>
      <c r="E843" t="s">
        <v>769</v>
      </c>
      <c r="H843" s="654">
        <v>9992832</v>
      </c>
      <c r="I843" s="654">
        <v>-144925</v>
      </c>
      <c r="J843" s="654">
        <v>9847907</v>
      </c>
      <c r="K843" s="654">
        <v>9847907</v>
      </c>
      <c r="L843" s="654">
        <v>0</v>
      </c>
      <c r="M843" s="654">
        <v>83972</v>
      </c>
      <c r="N843" s="654">
        <v>1774891</v>
      </c>
    </row>
    <row r="844" spans="1:14" x14ac:dyDescent="0.15">
      <c r="B844"/>
      <c r="D844" t="s">
        <v>733</v>
      </c>
      <c r="H844" s="654">
        <v>9992832</v>
      </c>
      <c r="I844" s="654">
        <v>-144925</v>
      </c>
      <c r="J844" s="654">
        <v>9847907</v>
      </c>
      <c r="K844" s="654">
        <v>9847907</v>
      </c>
      <c r="L844" s="654">
        <v>0</v>
      </c>
      <c r="M844" s="654">
        <v>83972</v>
      </c>
      <c r="N844" s="654">
        <v>1774891</v>
      </c>
    </row>
    <row r="845" spans="1:14" x14ac:dyDescent="0.15">
      <c r="B845"/>
      <c r="D845" t="s">
        <v>627</v>
      </c>
      <c r="E845" t="s">
        <v>379</v>
      </c>
      <c r="F845" t="s">
        <v>626</v>
      </c>
      <c r="G845" t="s">
        <v>600</v>
      </c>
      <c r="H845" s="654">
        <v>4103895</v>
      </c>
      <c r="I845" s="654">
        <v>-179186</v>
      </c>
      <c r="J845" s="654">
        <v>3924709</v>
      </c>
      <c r="K845" s="654">
        <v>3924709</v>
      </c>
      <c r="L845" s="654">
        <v>0</v>
      </c>
      <c r="M845" s="654">
        <v>29348</v>
      </c>
      <c r="N845" s="654">
        <v>506157</v>
      </c>
    </row>
    <row r="846" spans="1:14" x14ac:dyDescent="0.15">
      <c r="B846"/>
      <c r="F846" t="s">
        <v>733</v>
      </c>
      <c r="H846" s="654">
        <v>4103895</v>
      </c>
      <c r="I846" s="654">
        <v>-179186</v>
      </c>
      <c r="J846" s="654">
        <v>3924709</v>
      </c>
      <c r="K846" s="654">
        <v>3924709</v>
      </c>
      <c r="L846" s="654">
        <v>0</v>
      </c>
      <c r="M846" s="654">
        <v>29348</v>
      </c>
      <c r="N846" s="654">
        <v>506157</v>
      </c>
    </row>
    <row r="847" spans="1:14" x14ac:dyDescent="0.15">
      <c r="B847"/>
      <c r="F847" t="s">
        <v>627</v>
      </c>
      <c r="G847" t="s">
        <v>599</v>
      </c>
      <c r="H847" s="654">
        <v>746212</v>
      </c>
      <c r="I847" s="654">
        <v>0</v>
      </c>
      <c r="J847" s="654">
        <v>746212</v>
      </c>
      <c r="K847" s="654">
        <v>746212</v>
      </c>
      <c r="L847" s="654">
        <v>0</v>
      </c>
      <c r="M847" s="654">
        <v>0</v>
      </c>
      <c r="N847" s="654">
        <v>168386</v>
      </c>
    </row>
    <row r="848" spans="1:14" x14ac:dyDescent="0.15">
      <c r="B848"/>
      <c r="F848" t="s">
        <v>734</v>
      </c>
      <c r="H848" s="654">
        <v>746212</v>
      </c>
      <c r="I848" s="654">
        <v>0</v>
      </c>
      <c r="J848" s="654">
        <v>746212</v>
      </c>
      <c r="K848" s="654">
        <v>746212</v>
      </c>
      <c r="L848" s="654">
        <v>0</v>
      </c>
      <c r="M848" s="654">
        <v>0</v>
      </c>
      <c r="N848" s="654">
        <v>168386</v>
      </c>
    </row>
    <row r="849" spans="2:14" x14ac:dyDescent="0.15">
      <c r="B849"/>
      <c r="F849" t="s">
        <v>628</v>
      </c>
      <c r="G849" t="s">
        <v>598</v>
      </c>
      <c r="H849" s="654">
        <v>363715</v>
      </c>
      <c r="I849" s="654">
        <v>0</v>
      </c>
      <c r="J849" s="654">
        <v>363715</v>
      </c>
      <c r="K849" s="654">
        <v>363715</v>
      </c>
      <c r="L849" s="654">
        <v>0</v>
      </c>
      <c r="M849" s="654">
        <v>0</v>
      </c>
      <c r="N849" s="654">
        <v>0</v>
      </c>
    </row>
    <row r="850" spans="2:14" x14ac:dyDescent="0.15">
      <c r="B850"/>
      <c r="F850" t="s">
        <v>735</v>
      </c>
      <c r="H850" s="654">
        <v>363715</v>
      </c>
      <c r="I850" s="654">
        <v>0</v>
      </c>
      <c r="J850" s="654">
        <v>363715</v>
      </c>
      <c r="K850" s="654">
        <v>363715</v>
      </c>
      <c r="L850" s="654">
        <v>0</v>
      </c>
      <c r="M850" s="654">
        <v>0</v>
      </c>
      <c r="N850" s="654">
        <v>0</v>
      </c>
    </row>
    <row r="851" spans="2:14" x14ac:dyDescent="0.15">
      <c r="B851"/>
      <c r="E851" t="s">
        <v>770</v>
      </c>
      <c r="H851" s="654">
        <v>5213822</v>
      </c>
      <c r="I851" s="654">
        <v>-179186</v>
      </c>
      <c r="J851" s="654">
        <v>5034636</v>
      </c>
      <c r="K851" s="654">
        <v>5034636</v>
      </c>
      <c r="L851" s="654">
        <v>0</v>
      </c>
      <c r="M851" s="654">
        <v>29348</v>
      </c>
      <c r="N851" s="654">
        <v>674543</v>
      </c>
    </row>
    <row r="852" spans="2:14" x14ac:dyDescent="0.15">
      <c r="B852"/>
      <c r="D852" t="s">
        <v>734</v>
      </c>
      <c r="H852" s="654">
        <v>5213822</v>
      </c>
      <c r="I852" s="654">
        <v>-179186</v>
      </c>
      <c r="J852" s="654">
        <v>5034636</v>
      </c>
      <c r="K852" s="654">
        <v>5034636</v>
      </c>
      <c r="L852" s="654">
        <v>0</v>
      </c>
      <c r="M852" s="654">
        <v>29348</v>
      </c>
      <c r="N852" s="654">
        <v>674543</v>
      </c>
    </row>
    <row r="853" spans="2:14" x14ac:dyDescent="0.15">
      <c r="B853"/>
      <c r="D853" t="s">
        <v>628</v>
      </c>
      <c r="E853" t="s">
        <v>380</v>
      </c>
      <c r="F853" t="s">
        <v>626</v>
      </c>
      <c r="G853" t="s">
        <v>600</v>
      </c>
      <c r="H853" s="654">
        <v>3003094</v>
      </c>
      <c r="I853" s="654">
        <v>-14674</v>
      </c>
      <c r="J853" s="654">
        <v>2988420</v>
      </c>
      <c r="K853" s="654">
        <v>2988420</v>
      </c>
      <c r="L853" s="654">
        <v>0</v>
      </c>
      <c r="M853" s="654">
        <v>0</v>
      </c>
      <c r="N853" s="654">
        <v>382703</v>
      </c>
    </row>
    <row r="854" spans="2:14" x14ac:dyDescent="0.15">
      <c r="B854"/>
      <c r="F854" t="s">
        <v>733</v>
      </c>
      <c r="H854" s="654">
        <v>3003094</v>
      </c>
      <c r="I854" s="654">
        <v>-14674</v>
      </c>
      <c r="J854" s="654">
        <v>2988420</v>
      </c>
      <c r="K854" s="654">
        <v>2988420</v>
      </c>
      <c r="L854" s="654">
        <v>0</v>
      </c>
      <c r="M854" s="654">
        <v>0</v>
      </c>
      <c r="N854" s="654">
        <v>382703</v>
      </c>
    </row>
    <row r="855" spans="2:14" x14ac:dyDescent="0.15">
      <c r="B855"/>
      <c r="F855" t="s">
        <v>627</v>
      </c>
      <c r="G855" t="s">
        <v>599</v>
      </c>
      <c r="H855" s="654">
        <v>2029970</v>
      </c>
      <c r="I855" s="654">
        <v>-206411</v>
      </c>
      <c r="J855" s="654">
        <v>1823559</v>
      </c>
      <c r="K855" s="654">
        <v>1823559</v>
      </c>
      <c r="L855" s="654">
        <v>0</v>
      </c>
      <c r="M855" s="654">
        <v>0</v>
      </c>
      <c r="N855" s="654">
        <v>424065</v>
      </c>
    </row>
    <row r="856" spans="2:14" x14ac:dyDescent="0.15">
      <c r="B856"/>
      <c r="F856" t="s">
        <v>734</v>
      </c>
      <c r="H856" s="654">
        <v>2029970</v>
      </c>
      <c r="I856" s="654">
        <v>-206411</v>
      </c>
      <c r="J856" s="654">
        <v>1823559</v>
      </c>
      <c r="K856" s="654">
        <v>1823559</v>
      </c>
      <c r="L856" s="654">
        <v>0</v>
      </c>
      <c r="M856" s="654">
        <v>0</v>
      </c>
      <c r="N856" s="654">
        <v>424065</v>
      </c>
    </row>
    <row r="857" spans="2:14" x14ac:dyDescent="0.15">
      <c r="B857"/>
      <c r="E857" t="s">
        <v>771</v>
      </c>
      <c r="H857" s="654">
        <v>5033064</v>
      </c>
      <c r="I857" s="654">
        <v>-221085</v>
      </c>
      <c r="J857" s="654">
        <v>4811979</v>
      </c>
      <c r="K857" s="654">
        <v>4811979</v>
      </c>
      <c r="L857" s="654">
        <v>0</v>
      </c>
      <c r="M857" s="654">
        <v>0</v>
      </c>
      <c r="N857" s="654">
        <v>806768</v>
      </c>
    </row>
    <row r="858" spans="2:14" x14ac:dyDescent="0.15">
      <c r="B858"/>
      <c r="D858" t="s">
        <v>735</v>
      </c>
      <c r="H858" s="654">
        <v>5033064</v>
      </c>
      <c r="I858" s="654">
        <v>-221085</v>
      </c>
      <c r="J858" s="654">
        <v>4811979</v>
      </c>
      <c r="K858" s="654">
        <v>4811979</v>
      </c>
      <c r="L858" s="654">
        <v>0</v>
      </c>
      <c r="M858" s="654">
        <v>0</v>
      </c>
      <c r="N858" s="654">
        <v>806768</v>
      </c>
    </row>
    <row r="859" spans="2:14" x14ac:dyDescent="0.15">
      <c r="B859"/>
      <c r="D859" t="s">
        <v>629</v>
      </c>
      <c r="E859" t="s">
        <v>676</v>
      </c>
      <c r="F859" t="s">
        <v>629</v>
      </c>
      <c r="G859" t="s">
        <v>601</v>
      </c>
      <c r="H859" s="654">
        <v>3159951</v>
      </c>
      <c r="I859" s="654">
        <v>-88919</v>
      </c>
      <c r="J859" s="654">
        <v>3071032</v>
      </c>
      <c r="K859" s="654">
        <v>3071032</v>
      </c>
      <c r="L859" s="654">
        <v>0</v>
      </c>
      <c r="M859" s="654">
        <v>55593</v>
      </c>
      <c r="N859" s="654">
        <v>187859</v>
      </c>
    </row>
    <row r="860" spans="2:14" x14ac:dyDescent="0.15">
      <c r="B860"/>
      <c r="F860" t="s">
        <v>736</v>
      </c>
      <c r="H860" s="654">
        <v>3159951</v>
      </c>
      <c r="I860" s="654">
        <v>-88919</v>
      </c>
      <c r="J860" s="654">
        <v>3071032</v>
      </c>
      <c r="K860" s="654">
        <v>3071032</v>
      </c>
      <c r="L860" s="654">
        <v>0</v>
      </c>
      <c r="M860" s="654">
        <v>55593</v>
      </c>
      <c r="N860" s="654">
        <v>187859</v>
      </c>
    </row>
    <row r="861" spans="2:14" x14ac:dyDescent="0.15">
      <c r="B861"/>
      <c r="E861" t="s">
        <v>772</v>
      </c>
      <c r="H861" s="654">
        <v>3159951</v>
      </c>
      <c r="I861" s="654">
        <v>-88919</v>
      </c>
      <c r="J861" s="654">
        <v>3071032</v>
      </c>
      <c r="K861" s="654">
        <v>3071032</v>
      </c>
      <c r="L861" s="654">
        <v>0</v>
      </c>
      <c r="M861" s="654">
        <v>55593</v>
      </c>
      <c r="N861" s="654">
        <v>187859</v>
      </c>
    </row>
    <row r="862" spans="2:14" x14ac:dyDescent="0.15">
      <c r="B862"/>
      <c r="D862" t="s">
        <v>736</v>
      </c>
      <c r="H862" s="654">
        <v>3159951</v>
      </c>
      <c r="I862" s="654">
        <v>-88919</v>
      </c>
      <c r="J862" s="654">
        <v>3071032</v>
      </c>
      <c r="K862" s="654">
        <v>3071032</v>
      </c>
      <c r="L862" s="654">
        <v>0</v>
      </c>
      <c r="M862" s="654">
        <v>55593</v>
      </c>
      <c r="N862" s="654">
        <v>187859</v>
      </c>
    </row>
    <row r="863" spans="2:14" x14ac:dyDescent="0.15">
      <c r="B863"/>
      <c r="D863" t="s">
        <v>567</v>
      </c>
      <c r="E863" t="s">
        <v>473</v>
      </c>
      <c r="F863" t="s">
        <v>631</v>
      </c>
      <c r="G863" t="s">
        <v>596</v>
      </c>
      <c r="H863" s="654">
        <v>901284</v>
      </c>
      <c r="I863" s="654">
        <v>-901284</v>
      </c>
      <c r="J863" s="654">
        <v>0</v>
      </c>
      <c r="K863" s="654">
        <v>0</v>
      </c>
      <c r="L863" s="654">
        <v>0</v>
      </c>
      <c r="M863" s="654">
        <v>0</v>
      </c>
      <c r="N863" s="654">
        <v>0</v>
      </c>
    </row>
    <row r="864" spans="2:14" x14ac:dyDescent="0.15">
      <c r="B864"/>
      <c r="F864" t="s">
        <v>737</v>
      </c>
      <c r="H864" s="654">
        <v>901284</v>
      </c>
      <c r="I864" s="654">
        <v>-901284</v>
      </c>
      <c r="J864" s="654">
        <v>0</v>
      </c>
      <c r="K864" s="654">
        <v>0</v>
      </c>
      <c r="L864" s="654">
        <v>0</v>
      </c>
      <c r="M864" s="654">
        <v>0</v>
      </c>
      <c r="N864" s="654">
        <v>0</v>
      </c>
    </row>
    <row r="865" spans="2:14" x14ac:dyDescent="0.15">
      <c r="B865"/>
      <c r="E865" t="s">
        <v>773</v>
      </c>
      <c r="H865" s="654">
        <v>901284</v>
      </c>
      <c r="I865" s="654">
        <v>-901284</v>
      </c>
      <c r="J865" s="654">
        <v>0</v>
      </c>
      <c r="K865" s="654">
        <v>0</v>
      </c>
      <c r="L865" s="654">
        <v>0</v>
      </c>
      <c r="M865" s="654">
        <v>0</v>
      </c>
      <c r="N865" s="654">
        <v>0</v>
      </c>
    </row>
    <row r="866" spans="2:14" x14ac:dyDescent="0.15">
      <c r="B866"/>
      <c r="D866" t="s">
        <v>739</v>
      </c>
      <c r="H866" s="654">
        <v>901284</v>
      </c>
      <c r="I866" s="654">
        <v>-901284</v>
      </c>
      <c r="J866" s="654">
        <v>0</v>
      </c>
      <c r="K866" s="654">
        <v>0</v>
      </c>
      <c r="L866" s="654">
        <v>0</v>
      </c>
      <c r="M866" s="654">
        <v>0</v>
      </c>
      <c r="N866" s="654">
        <v>0</v>
      </c>
    </row>
    <row r="867" spans="2:14" x14ac:dyDescent="0.15">
      <c r="B867"/>
      <c r="D867" t="s">
        <v>568</v>
      </c>
      <c r="E867" t="s">
        <v>474</v>
      </c>
      <c r="F867" t="s">
        <v>631</v>
      </c>
      <c r="G867" t="s">
        <v>596</v>
      </c>
      <c r="H867" s="654">
        <v>739665</v>
      </c>
      <c r="I867" s="654">
        <v>-1640949</v>
      </c>
      <c r="J867" s="654">
        <v>-901284</v>
      </c>
      <c r="K867" s="654">
        <v>-901284</v>
      </c>
      <c r="L867" s="654">
        <v>0</v>
      </c>
      <c r="M867" s="654">
        <v>0</v>
      </c>
      <c r="N867" s="654">
        <v>0</v>
      </c>
    </row>
    <row r="868" spans="2:14" x14ac:dyDescent="0.15">
      <c r="B868"/>
      <c r="F868" t="s">
        <v>737</v>
      </c>
      <c r="H868" s="654">
        <v>739665</v>
      </c>
      <c r="I868" s="654">
        <v>-1640949</v>
      </c>
      <c r="J868" s="654">
        <v>-901284</v>
      </c>
      <c r="K868" s="654">
        <v>-901284</v>
      </c>
      <c r="L868" s="654">
        <v>0</v>
      </c>
      <c r="M868" s="654">
        <v>0</v>
      </c>
      <c r="N868" s="654">
        <v>0</v>
      </c>
    </row>
    <row r="869" spans="2:14" x14ac:dyDescent="0.15">
      <c r="B869"/>
      <c r="E869" t="s">
        <v>774</v>
      </c>
      <c r="H869" s="654">
        <v>739665</v>
      </c>
      <c r="I869" s="654">
        <v>-1640949</v>
      </c>
      <c r="J869" s="654">
        <v>-901284</v>
      </c>
      <c r="K869" s="654">
        <v>-901284</v>
      </c>
      <c r="L869" s="654">
        <v>0</v>
      </c>
      <c r="M869" s="654">
        <v>0</v>
      </c>
      <c r="N869" s="654">
        <v>0</v>
      </c>
    </row>
    <row r="870" spans="2:14" x14ac:dyDescent="0.15">
      <c r="B870"/>
      <c r="D870" t="s">
        <v>740</v>
      </c>
      <c r="H870" s="654">
        <v>739665</v>
      </c>
      <c r="I870" s="654">
        <v>-1640949</v>
      </c>
      <c r="J870" s="654">
        <v>-901284</v>
      </c>
      <c r="K870" s="654">
        <v>-901284</v>
      </c>
      <c r="L870" s="654">
        <v>0</v>
      </c>
      <c r="M870" s="654">
        <v>0</v>
      </c>
      <c r="N870" s="654">
        <v>0</v>
      </c>
    </row>
    <row r="871" spans="2:14" x14ac:dyDescent="0.15">
      <c r="B871"/>
      <c r="D871" t="s">
        <v>566</v>
      </c>
      <c r="E871" t="s">
        <v>382</v>
      </c>
      <c r="F871" t="s">
        <v>626</v>
      </c>
      <c r="G871" t="s">
        <v>600</v>
      </c>
      <c r="H871" s="654">
        <v>421867</v>
      </c>
      <c r="I871" s="654">
        <v>0</v>
      </c>
      <c r="J871" s="654">
        <v>421867</v>
      </c>
      <c r="K871" s="654">
        <v>421867</v>
      </c>
      <c r="L871" s="654">
        <v>0</v>
      </c>
      <c r="M871" s="654">
        <v>0</v>
      </c>
      <c r="N871" s="654">
        <v>0</v>
      </c>
    </row>
    <row r="872" spans="2:14" x14ac:dyDescent="0.15">
      <c r="B872"/>
      <c r="F872" t="s">
        <v>733</v>
      </c>
      <c r="H872" s="654">
        <v>421867</v>
      </c>
      <c r="I872" s="654">
        <v>0</v>
      </c>
      <c r="J872" s="654">
        <v>421867</v>
      </c>
      <c r="K872" s="654">
        <v>421867</v>
      </c>
      <c r="L872" s="654">
        <v>0</v>
      </c>
      <c r="M872" s="654">
        <v>0</v>
      </c>
      <c r="N872" s="654">
        <v>0</v>
      </c>
    </row>
    <row r="873" spans="2:14" x14ac:dyDescent="0.15">
      <c r="B873"/>
      <c r="E873" t="s">
        <v>775</v>
      </c>
      <c r="H873" s="654">
        <v>421867</v>
      </c>
      <c r="I873" s="654">
        <v>0</v>
      </c>
      <c r="J873" s="654">
        <v>421867</v>
      </c>
      <c r="K873" s="654">
        <v>421867</v>
      </c>
      <c r="L873" s="654">
        <v>0</v>
      </c>
      <c r="M873" s="654">
        <v>0</v>
      </c>
      <c r="N873" s="654">
        <v>0</v>
      </c>
    </row>
    <row r="874" spans="2:14" x14ac:dyDescent="0.15">
      <c r="B874"/>
      <c r="D874" t="s">
        <v>738</v>
      </c>
      <c r="H874" s="654">
        <v>421867</v>
      </c>
      <c r="I874" s="654">
        <v>0</v>
      </c>
      <c r="J874" s="654">
        <v>421867</v>
      </c>
      <c r="K874" s="654">
        <v>421867</v>
      </c>
      <c r="L874" s="654">
        <v>0</v>
      </c>
      <c r="M874" s="654">
        <v>0</v>
      </c>
      <c r="N874" s="654">
        <v>0</v>
      </c>
    </row>
    <row r="875" spans="2:14" x14ac:dyDescent="0.15">
      <c r="B875"/>
      <c r="D875" t="s">
        <v>631</v>
      </c>
      <c r="E875" t="s">
        <v>381</v>
      </c>
      <c r="F875" t="s">
        <v>626</v>
      </c>
      <c r="G875" t="s">
        <v>600</v>
      </c>
      <c r="H875" s="654">
        <v>2221926</v>
      </c>
      <c r="I875" s="654">
        <v>0</v>
      </c>
      <c r="J875" s="654">
        <v>2221926</v>
      </c>
      <c r="K875" s="654">
        <v>2221926</v>
      </c>
      <c r="L875" s="654">
        <v>0</v>
      </c>
      <c r="M875" s="654">
        <v>0</v>
      </c>
      <c r="N875" s="654">
        <v>0</v>
      </c>
    </row>
    <row r="876" spans="2:14" x14ac:dyDescent="0.15">
      <c r="B876"/>
      <c r="F876" t="s">
        <v>733</v>
      </c>
      <c r="H876" s="654">
        <v>2221926</v>
      </c>
      <c r="I876" s="654">
        <v>0</v>
      </c>
      <c r="J876" s="654">
        <v>2221926</v>
      </c>
      <c r="K876" s="654">
        <v>2221926</v>
      </c>
      <c r="L876" s="654">
        <v>0</v>
      </c>
      <c r="M876" s="654">
        <v>0</v>
      </c>
      <c r="N876" s="654">
        <v>0</v>
      </c>
    </row>
    <row r="877" spans="2:14" x14ac:dyDescent="0.15">
      <c r="B877"/>
      <c r="E877" t="s">
        <v>776</v>
      </c>
      <c r="H877" s="654">
        <v>2221926</v>
      </c>
      <c r="I877" s="654">
        <v>0</v>
      </c>
      <c r="J877" s="654">
        <v>2221926</v>
      </c>
      <c r="K877" s="654">
        <v>2221926</v>
      </c>
      <c r="L877" s="654">
        <v>0</v>
      </c>
      <c r="M877" s="654">
        <v>0</v>
      </c>
      <c r="N877" s="654">
        <v>0</v>
      </c>
    </row>
    <row r="878" spans="2:14" x14ac:dyDescent="0.15">
      <c r="B878"/>
      <c r="D878" t="s">
        <v>737</v>
      </c>
      <c r="H878" s="654">
        <v>2221926</v>
      </c>
      <c r="I878" s="654">
        <v>0</v>
      </c>
      <c r="J878" s="654">
        <v>2221926</v>
      </c>
      <c r="K878" s="654">
        <v>2221926</v>
      </c>
      <c r="L878" s="654">
        <v>0</v>
      </c>
      <c r="M878" s="654">
        <v>0</v>
      </c>
      <c r="N878" s="654">
        <v>0</v>
      </c>
    </row>
    <row r="879" spans="2:14" x14ac:dyDescent="0.15">
      <c r="B879"/>
      <c r="D879" t="s">
        <v>671</v>
      </c>
      <c r="E879" t="s">
        <v>383</v>
      </c>
      <c r="F879" t="s">
        <v>626</v>
      </c>
      <c r="G879" t="s">
        <v>600</v>
      </c>
      <c r="H879" s="654">
        <v>1213195</v>
      </c>
      <c r="I879" s="654">
        <v>-6505</v>
      </c>
      <c r="J879" s="654">
        <v>1206690</v>
      </c>
      <c r="K879" s="654">
        <v>1206690</v>
      </c>
      <c r="L879" s="654">
        <v>0</v>
      </c>
      <c r="M879" s="654">
        <v>10411</v>
      </c>
      <c r="N879" s="654">
        <v>0</v>
      </c>
    </row>
    <row r="880" spans="2:14" x14ac:dyDescent="0.15">
      <c r="B880"/>
      <c r="F880" t="s">
        <v>733</v>
      </c>
      <c r="H880" s="654">
        <v>1213195</v>
      </c>
      <c r="I880" s="654">
        <v>-6505</v>
      </c>
      <c r="J880" s="654">
        <v>1206690</v>
      </c>
      <c r="K880" s="654">
        <v>1206690</v>
      </c>
      <c r="L880" s="654">
        <v>0</v>
      </c>
      <c r="M880" s="654">
        <v>10411</v>
      </c>
      <c r="N880" s="654">
        <v>0</v>
      </c>
    </row>
    <row r="881" spans="2:14" x14ac:dyDescent="0.15">
      <c r="B881"/>
      <c r="F881" t="s">
        <v>627</v>
      </c>
      <c r="G881" t="s">
        <v>599</v>
      </c>
      <c r="H881" s="654">
        <v>10440</v>
      </c>
      <c r="I881" s="654">
        <v>0</v>
      </c>
      <c r="J881" s="654">
        <v>10440</v>
      </c>
      <c r="K881" s="654">
        <v>10440</v>
      </c>
      <c r="L881" s="654">
        <v>0</v>
      </c>
      <c r="M881" s="654">
        <v>0</v>
      </c>
      <c r="N881" s="654">
        <v>0</v>
      </c>
    </row>
    <row r="882" spans="2:14" x14ac:dyDescent="0.15">
      <c r="B882"/>
      <c r="F882" t="s">
        <v>734</v>
      </c>
      <c r="H882" s="654">
        <v>10440</v>
      </c>
      <c r="I882" s="654">
        <v>0</v>
      </c>
      <c r="J882" s="654">
        <v>10440</v>
      </c>
      <c r="K882" s="654">
        <v>10440</v>
      </c>
      <c r="L882" s="654">
        <v>0</v>
      </c>
      <c r="M882" s="654">
        <v>0</v>
      </c>
      <c r="N882" s="654">
        <v>0</v>
      </c>
    </row>
    <row r="883" spans="2:14" x14ac:dyDescent="0.15">
      <c r="B883"/>
      <c r="E883" t="s">
        <v>777</v>
      </c>
      <c r="H883" s="654">
        <v>1223635</v>
      </c>
      <c r="I883" s="654">
        <v>-6505</v>
      </c>
      <c r="J883" s="654">
        <v>1217130</v>
      </c>
      <c r="K883" s="654">
        <v>1217130</v>
      </c>
      <c r="L883" s="654">
        <v>0</v>
      </c>
      <c r="M883" s="654">
        <v>10411</v>
      </c>
      <c r="N883" s="654">
        <v>0</v>
      </c>
    </row>
    <row r="884" spans="2:14" x14ac:dyDescent="0.15">
      <c r="B884"/>
      <c r="D884" t="s">
        <v>742</v>
      </c>
      <c r="H884" s="654">
        <v>1223635</v>
      </c>
      <c r="I884" s="654">
        <v>-6505</v>
      </c>
      <c r="J884" s="654">
        <v>1217130</v>
      </c>
      <c r="K884" s="654">
        <v>1217130</v>
      </c>
      <c r="L884" s="654">
        <v>0</v>
      </c>
      <c r="M884" s="654">
        <v>10411</v>
      </c>
      <c r="N884" s="654">
        <v>0</v>
      </c>
    </row>
    <row r="885" spans="2:14" x14ac:dyDescent="0.15">
      <c r="B885"/>
      <c r="C885" t="s">
        <v>853</v>
      </c>
      <c r="H885" s="654">
        <v>28908046</v>
      </c>
      <c r="I885" s="654">
        <v>-3182853</v>
      </c>
      <c r="J885" s="654">
        <v>25725193</v>
      </c>
      <c r="K885" s="654">
        <v>25725193</v>
      </c>
      <c r="L885" s="654">
        <v>0</v>
      </c>
      <c r="M885" s="654">
        <v>179324</v>
      </c>
      <c r="N885" s="654">
        <v>3444061</v>
      </c>
    </row>
    <row r="886" spans="2:14" x14ac:dyDescent="0.15">
      <c r="B886" t="s">
        <v>627</v>
      </c>
      <c r="C886" t="s">
        <v>847</v>
      </c>
      <c r="D886" t="s">
        <v>626</v>
      </c>
      <c r="E886" t="s">
        <v>378</v>
      </c>
      <c r="F886" t="s">
        <v>626</v>
      </c>
      <c r="G886" t="s">
        <v>600</v>
      </c>
      <c r="H886" s="654">
        <v>-24647</v>
      </c>
      <c r="I886" s="654">
        <v>-2407</v>
      </c>
      <c r="J886" s="654">
        <v>-27054</v>
      </c>
      <c r="K886" s="654">
        <v>-27054</v>
      </c>
      <c r="L886" s="654">
        <v>0</v>
      </c>
      <c r="M886" s="654">
        <v>0</v>
      </c>
      <c r="N886" s="654">
        <v>0</v>
      </c>
    </row>
    <row r="887" spans="2:14" x14ac:dyDescent="0.15">
      <c r="B887"/>
      <c r="F887" t="s">
        <v>733</v>
      </c>
      <c r="H887" s="654">
        <v>-24647</v>
      </c>
      <c r="I887" s="654">
        <v>-2407</v>
      </c>
      <c r="J887" s="654">
        <v>-27054</v>
      </c>
      <c r="K887" s="654">
        <v>-27054</v>
      </c>
      <c r="L887" s="654">
        <v>0</v>
      </c>
      <c r="M887" s="654">
        <v>0</v>
      </c>
      <c r="N887" s="654">
        <v>0</v>
      </c>
    </row>
    <row r="888" spans="2:14" x14ac:dyDescent="0.15">
      <c r="B888"/>
      <c r="F888" t="s">
        <v>627</v>
      </c>
      <c r="G888" t="s">
        <v>599</v>
      </c>
      <c r="H888" s="654">
        <v>0</v>
      </c>
      <c r="I888" s="654">
        <v>0</v>
      </c>
      <c r="J888" s="654">
        <v>0</v>
      </c>
      <c r="K888" s="654">
        <v>0</v>
      </c>
      <c r="L888" s="654">
        <v>0</v>
      </c>
      <c r="M888" s="654">
        <v>0</v>
      </c>
      <c r="N888" s="654">
        <v>0</v>
      </c>
    </row>
    <row r="889" spans="2:14" x14ac:dyDescent="0.15">
      <c r="B889"/>
      <c r="F889" t="s">
        <v>734</v>
      </c>
      <c r="H889" s="654">
        <v>0</v>
      </c>
      <c r="I889" s="654">
        <v>0</v>
      </c>
      <c r="J889" s="654">
        <v>0</v>
      </c>
      <c r="K889" s="654">
        <v>0</v>
      </c>
      <c r="L889" s="654">
        <v>0</v>
      </c>
      <c r="M889" s="654">
        <v>0</v>
      </c>
      <c r="N889" s="654">
        <v>0</v>
      </c>
    </row>
    <row r="890" spans="2:14" x14ac:dyDescent="0.15">
      <c r="B890"/>
      <c r="F890" t="s">
        <v>628</v>
      </c>
      <c r="G890" t="s">
        <v>598</v>
      </c>
      <c r="H890" s="654">
        <v>43313</v>
      </c>
      <c r="I890" s="654">
        <v>0</v>
      </c>
      <c r="J890" s="654">
        <v>43313</v>
      </c>
      <c r="K890" s="654">
        <v>43313</v>
      </c>
      <c r="L890" s="654">
        <v>0</v>
      </c>
      <c r="M890" s="654">
        <v>0</v>
      </c>
      <c r="N890" s="654">
        <v>0</v>
      </c>
    </row>
    <row r="891" spans="2:14" x14ac:dyDescent="0.15">
      <c r="B891"/>
      <c r="F891" t="s">
        <v>735</v>
      </c>
      <c r="H891" s="654">
        <v>43313</v>
      </c>
      <c r="I891" s="654">
        <v>0</v>
      </c>
      <c r="J891" s="654">
        <v>43313</v>
      </c>
      <c r="K891" s="654">
        <v>43313</v>
      </c>
      <c r="L891" s="654">
        <v>0</v>
      </c>
      <c r="M891" s="654">
        <v>0</v>
      </c>
      <c r="N891" s="654">
        <v>0</v>
      </c>
    </row>
    <row r="892" spans="2:14" x14ac:dyDescent="0.15">
      <c r="B892"/>
      <c r="E892" t="s">
        <v>769</v>
      </c>
      <c r="H892" s="654">
        <v>18666</v>
      </c>
      <c r="I892" s="654">
        <v>-2407</v>
      </c>
      <c r="J892" s="654">
        <v>16259</v>
      </c>
      <c r="K892" s="654">
        <v>16259</v>
      </c>
      <c r="L892" s="654">
        <v>0</v>
      </c>
      <c r="M892" s="654">
        <v>0</v>
      </c>
      <c r="N892" s="654">
        <v>0</v>
      </c>
    </row>
    <row r="893" spans="2:14" x14ac:dyDescent="0.15">
      <c r="B893"/>
      <c r="D893" t="s">
        <v>733</v>
      </c>
      <c r="H893" s="654">
        <v>18666</v>
      </c>
      <c r="I893" s="654">
        <v>-2407</v>
      </c>
      <c r="J893" s="654">
        <v>16259</v>
      </c>
      <c r="K893" s="654">
        <v>16259</v>
      </c>
      <c r="L893" s="654">
        <v>0</v>
      </c>
      <c r="M893" s="654">
        <v>0</v>
      </c>
      <c r="N893" s="654">
        <v>0</v>
      </c>
    </row>
    <row r="894" spans="2:14" x14ac:dyDescent="0.15">
      <c r="B894"/>
      <c r="D894" t="s">
        <v>627</v>
      </c>
      <c r="E894" t="s">
        <v>379</v>
      </c>
      <c r="F894" t="s">
        <v>626</v>
      </c>
      <c r="G894" t="s">
        <v>600</v>
      </c>
      <c r="H894" s="654">
        <v>232401</v>
      </c>
      <c r="I894" s="654">
        <v>-134079</v>
      </c>
      <c r="J894" s="654">
        <v>98322</v>
      </c>
      <c r="K894" s="654">
        <v>98322</v>
      </c>
      <c r="L894" s="654">
        <v>0</v>
      </c>
      <c r="M894" s="654">
        <v>0</v>
      </c>
      <c r="N894" s="654">
        <v>0</v>
      </c>
    </row>
    <row r="895" spans="2:14" x14ac:dyDescent="0.15">
      <c r="B895"/>
      <c r="F895" t="s">
        <v>733</v>
      </c>
      <c r="H895" s="654">
        <v>232401</v>
      </c>
      <c r="I895" s="654">
        <v>-134079</v>
      </c>
      <c r="J895" s="654">
        <v>98322</v>
      </c>
      <c r="K895" s="654">
        <v>98322</v>
      </c>
      <c r="L895" s="654">
        <v>0</v>
      </c>
      <c r="M895" s="654">
        <v>0</v>
      </c>
      <c r="N895" s="654">
        <v>0</v>
      </c>
    </row>
    <row r="896" spans="2:14" x14ac:dyDescent="0.15">
      <c r="B896"/>
      <c r="F896" t="s">
        <v>627</v>
      </c>
      <c r="G896" t="s">
        <v>599</v>
      </c>
      <c r="H896" s="654">
        <v>0</v>
      </c>
      <c r="I896" s="654">
        <v>0</v>
      </c>
      <c r="J896" s="654">
        <v>0</v>
      </c>
      <c r="K896" s="654">
        <v>0</v>
      </c>
      <c r="L896" s="654">
        <v>0</v>
      </c>
      <c r="M896" s="654">
        <v>0</v>
      </c>
      <c r="N896" s="654">
        <v>0</v>
      </c>
    </row>
    <row r="897" spans="2:14" x14ac:dyDescent="0.15">
      <c r="B897"/>
      <c r="F897" t="s">
        <v>734</v>
      </c>
      <c r="H897" s="654">
        <v>0</v>
      </c>
      <c r="I897" s="654">
        <v>0</v>
      </c>
      <c r="J897" s="654">
        <v>0</v>
      </c>
      <c r="K897" s="654">
        <v>0</v>
      </c>
      <c r="L897" s="654">
        <v>0</v>
      </c>
      <c r="M897" s="654">
        <v>0</v>
      </c>
      <c r="N897" s="654">
        <v>0</v>
      </c>
    </row>
    <row r="898" spans="2:14" x14ac:dyDescent="0.15">
      <c r="B898"/>
      <c r="F898" t="s">
        <v>628</v>
      </c>
      <c r="G898" t="s">
        <v>598</v>
      </c>
      <c r="H898" s="654">
        <v>0</v>
      </c>
      <c r="I898" s="654">
        <v>0</v>
      </c>
      <c r="J898" s="654">
        <v>0</v>
      </c>
      <c r="K898" s="654">
        <v>0</v>
      </c>
      <c r="L898" s="654">
        <v>0</v>
      </c>
      <c r="M898" s="654">
        <v>0</v>
      </c>
      <c r="N898" s="654">
        <v>0</v>
      </c>
    </row>
    <row r="899" spans="2:14" x14ac:dyDescent="0.15">
      <c r="B899"/>
      <c r="F899" t="s">
        <v>735</v>
      </c>
      <c r="H899" s="654">
        <v>0</v>
      </c>
      <c r="I899" s="654">
        <v>0</v>
      </c>
      <c r="J899" s="654">
        <v>0</v>
      </c>
      <c r="K899" s="654">
        <v>0</v>
      </c>
      <c r="L899" s="654">
        <v>0</v>
      </c>
      <c r="M899" s="654">
        <v>0</v>
      </c>
      <c r="N899" s="654">
        <v>0</v>
      </c>
    </row>
    <row r="900" spans="2:14" x14ac:dyDescent="0.15">
      <c r="B900"/>
      <c r="E900" t="s">
        <v>770</v>
      </c>
      <c r="H900" s="654">
        <v>232401</v>
      </c>
      <c r="I900" s="654">
        <v>-134079</v>
      </c>
      <c r="J900" s="654">
        <v>98322</v>
      </c>
      <c r="K900" s="654">
        <v>98322</v>
      </c>
      <c r="L900" s="654">
        <v>0</v>
      </c>
      <c r="M900" s="654">
        <v>0</v>
      </c>
      <c r="N900" s="654">
        <v>0</v>
      </c>
    </row>
    <row r="901" spans="2:14" x14ac:dyDescent="0.15">
      <c r="B901"/>
      <c r="D901" t="s">
        <v>734</v>
      </c>
      <c r="H901" s="654">
        <v>232401</v>
      </c>
      <c r="I901" s="654">
        <v>-134079</v>
      </c>
      <c r="J901" s="654">
        <v>98322</v>
      </c>
      <c r="K901" s="654">
        <v>98322</v>
      </c>
      <c r="L901" s="654">
        <v>0</v>
      </c>
      <c r="M901" s="654">
        <v>0</v>
      </c>
      <c r="N901" s="654">
        <v>0</v>
      </c>
    </row>
    <row r="902" spans="2:14" x14ac:dyDescent="0.15">
      <c r="B902"/>
      <c r="D902" t="s">
        <v>628</v>
      </c>
      <c r="E902" t="s">
        <v>380</v>
      </c>
      <c r="F902" t="s">
        <v>626</v>
      </c>
      <c r="G902" t="s">
        <v>600</v>
      </c>
      <c r="H902" s="654">
        <v>84707</v>
      </c>
      <c r="I902" s="654">
        <v>163925</v>
      </c>
      <c r="J902" s="654">
        <v>248632</v>
      </c>
      <c r="K902" s="654">
        <v>248632</v>
      </c>
      <c r="L902" s="654">
        <v>0</v>
      </c>
      <c r="M902" s="654">
        <v>0</v>
      </c>
      <c r="N902" s="654">
        <v>0</v>
      </c>
    </row>
    <row r="903" spans="2:14" x14ac:dyDescent="0.15">
      <c r="B903"/>
      <c r="F903" t="s">
        <v>733</v>
      </c>
      <c r="H903" s="654">
        <v>84707</v>
      </c>
      <c r="I903" s="654">
        <v>163925</v>
      </c>
      <c r="J903" s="654">
        <v>248632</v>
      </c>
      <c r="K903" s="654">
        <v>248632</v>
      </c>
      <c r="L903" s="654">
        <v>0</v>
      </c>
      <c r="M903" s="654">
        <v>0</v>
      </c>
      <c r="N903" s="654">
        <v>0</v>
      </c>
    </row>
    <row r="904" spans="2:14" x14ac:dyDescent="0.15">
      <c r="B904"/>
      <c r="F904" t="s">
        <v>627</v>
      </c>
      <c r="G904" t="s">
        <v>599</v>
      </c>
      <c r="H904" s="654">
        <v>-7854</v>
      </c>
      <c r="I904" s="654">
        <v>0</v>
      </c>
      <c r="J904" s="654">
        <v>-7854</v>
      </c>
      <c r="K904" s="654">
        <v>-7854</v>
      </c>
      <c r="L904" s="654">
        <v>0</v>
      </c>
      <c r="M904" s="654">
        <v>0</v>
      </c>
      <c r="N904" s="654">
        <v>0</v>
      </c>
    </row>
    <row r="905" spans="2:14" x14ac:dyDescent="0.15">
      <c r="B905"/>
      <c r="F905" t="s">
        <v>734</v>
      </c>
      <c r="H905" s="654">
        <v>-7854</v>
      </c>
      <c r="I905" s="654">
        <v>0</v>
      </c>
      <c r="J905" s="654">
        <v>-7854</v>
      </c>
      <c r="K905" s="654">
        <v>-7854</v>
      </c>
      <c r="L905" s="654">
        <v>0</v>
      </c>
      <c r="M905" s="654">
        <v>0</v>
      </c>
      <c r="N905" s="654">
        <v>0</v>
      </c>
    </row>
    <row r="906" spans="2:14" x14ac:dyDescent="0.15">
      <c r="B906"/>
      <c r="E906" t="s">
        <v>771</v>
      </c>
      <c r="H906" s="654">
        <v>76853</v>
      </c>
      <c r="I906" s="654">
        <v>163925</v>
      </c>
      <c r="J906" s="654">
        <v>240778</v>
      </c>
      <c r="K906" s="654">
        <v>240778</v>
      </c>
      <c r="L906" s="654">
        <v>0</v>
      </c>
      <c r="M906" s="654">
        <v>0</v>
      </c>
      <c r="N906" s="654">
        <v>0</v>
      </c>
    </row>
    <row r="907" spans="2:14" x14ac:dyDescent="0.15">
      <c r="B907"/>
      <c r="D907" t="s">
        <v>735</v>
      </c>
      <c r="H907" s="654">
        <v>76853</v>
      </c>
      <c r="I907" s="654">
        <v>163925</v>
      </c>
      <c r="J907" s="654">
        <v>240778</v>
      </c>
      <c r="K907" s="654">
        <v>240778</v>
      </c>
      <c r="L907" s="654">
        <v>0</v>
      </c>
      <c r="M907" s="654">
        <v>0</v>
      </c>
      <c r="N907" s="654">
        <v>0</v>
      </c>
    </row>
    <row r="908" spans="2:14" x14ac:dyDescent="0.15">
      <c r="B908"/>
      <c r="D908" t="s">
        <v>629</v>
      </c>
      <c r="E908" t="s">
        <v>676</v>
      </c>
      <c r="F908" t="s">
        <v>629</v>
      </c>
      <c r="G908" t="s">
        <v>601</v>
      </c>
      <c r="H908" s="654">
        <v>238719</v>
      </c>
      <c r="I908" s="654">
        <v>55593</v>
      </c>
      <c r="J908" s="654">
        <v>294312</v>
      </c>
      <c r="K908" s="654">
        <v>294312</v>
      </c>
      <c r="L908" s="654">
        <v>0</v>
      </c>
      <c r="M908" s="654">
        <v>0</v>
      </c>
      <c r="N908" s="654">
        <v>0</v>
      </c>
    </row>
    <row r="909" spans="2:14" x14ac:dyDescent="0.15">
      <c r="B909"/>
      <c r="F909" t="s">
        <v>736</v>
      </c>
      <c r="H909" s="654">
        <v>238719</v>
      </c>
      <c r="I909" s="654">
        <v>55593</v>
      </c>
      <c r="J909" s="654">
        <v>294312</v>
      </c>
      <c r="K909" s="654">
        <v>294312</v>
      </c>
      <c r="L909" s="654">
        <v>0</v>
      </c>
      <c r="M909" s="654">
        <v>0</v>
      </c>
      <c r="N909" s="654">
        <v>0</v>
      </c>
    </row>
    <row r="910" spans="2:14" x14ac:dyDescent="0.15">
      <c r="B910"/>
      <c r="E910" t="s">
        <v>772</v>
      </c>
      <c r="H910" s="654">
        <v>238719</v>
      </c>
      <c r="I910" s="654">
        <v>55593</v>
      </c>
      <c r="J910" s="654">
        <v>294312</v>
      </c>
      <c r="K910" s="654">
        <v>294312</v>
      </c>
      <c r="L910" s="654">
        <v>0</v>
      </c>
      <c r="M910" s="654">
        <v>0</v>
      </c>
      <c r="N910" s="654">
        <v>0</v>
      </c>
    </row>
    <row r="911" spans="2:14" x14ac:dyDescent="0.15">
      <c r="B911"/>
      <c r="D911" t="s">
        <v>736</v>
      </c>
      <c r="H911" s="654">
        <v>238719</v>
      </c>
      <c r="I911" s="654">
        <v>55593</v>
      </c>
      <c r="J911" s="654">
        <v>294312</v>
      </c>
      <c r="K911" s="654">
        <v>294312</v>
      </c>
      <c r="L911" s="654">
        <v>0</v>
      </c>
      <c r="M911" s="654">
        <v>0</v>
      </c>
      <c r="N911" s="654">
        <v>0</v>
      </c>
    </row>
    <row r="912" spans="2:14" x14ac:dyDescent="0.15">
      <c r="B912"/>
      <c r="D912" t="s">
        <v>567</v>
      </c>
      <c r="E912" t="s">
        <v>473</v>
      </c>
      <c r="F912" t="s">
        <v>631</v>
      </c>
      <c r="G912" t="s">
        <v>596</v>
      </c>
      <c r="H912" s="654">
        <v>930807</v>
      </c>
      <c r="I912" s="654">
        <v>-930807</v>
      </c>
      <c r="J912" s="654">
        <v>0</v>
      </c>
      <c r="K912" s="654">
        <v>0</v>
      </c>
      <c r="L912" s="654">
        <v>0</v>
      </c>
      <c r="M912" s="654">
        <v>0</v>
      </c>
      <c r="N912" s="654">
        <v>0</v>
      </c>
    </row>
    <row r="913" spans="2:14" x14ac:dyDescent="0.15">
      <c r="B913"/>
      <c r="F913" t="s">
        <v>737</v>
      </c>
      <c r="H913" s="654">
        <v>930807</v>
      </c>
      <c r="I913" s="654">
        <v>-930807</v>
      </c>
      <c r="J913" s="654">
        <v>0</v>
      </c>
      <c r="K913" s="654">
        <v>0</v>
      </c>
      <c r="L913" s="654">
        <v>0</v>
      </c>
      <c r="M913" s="654">
        <v>0</v>
      </c>
      <c r="N913" s="654">
        <v>0</v>
      </c>
    </row>
    <row r="914" spans="2:14" x14ac:dyDescent="0.15">
      <c r="B914"/>
      <c r="E914" t="s">
        <v>773</v>
      </c>
      <c r="H914" s="654">
        <v>930807</v>
      </c>
      <c r="I914" s="654">
        <v>-930807</v>
      </c>
      <c r="J914" s="654">
        <v>0</v>
      </c>
      <c r="K914" s="654">
        <v>0</v>
      </c>
      <c r="L914" s="654">
        <v>0</v>
      </c>
      <c r="M914" s="654">
        <v>0</v>
      </c>
      <c r="N914" s="654">
        <v>0</v>
      </c>
    </row>
    <row r="915" spans="2:14" x14ac:dyDescent="0.15">
      <c r="B915"/>
      <c r="D915" t="s">
        <v>739</v>
      </c>
      <c r="H915" s="654">
        <v>930807</v>
      </c>
      <c r="I915" s="654">
        <v>-930807</v>
      </c>
      <c r="J915" s="654">
        <v>0</v>
      </c>
      <c r="K915" s="654">
        <v>0</v>
      </c>
      <c r="L915" s="654">
        <v>0</v>
      </c>
      <c r="M915" s="654">
        <v>0</v>
      </c>
      <c r="N915" s="654">
        <v>0</v>
      </c>
    </row>
    <row r="916" spans="2:14" x14ac:dyDescent="0.15">
      <c r="B916"/>
      <c r="D916" t="s">
        <v>568</v>
      </c>
      <c r="E916" t="s">
        <v>474</v>
      </c>
      <c r="F916" t="s">
        <v>631</v>
      </c>
      <c r="G916" t="s">
        <v>596</v>
      </c>
      <c r="H916" s="654">
        <v>537293</v>
      </c>
      <c r="I916" s="654">
        <v>363991</v>
      </c>
      <c r="J916" s="654">
        <v>901284</v>
      </c>
      <c r="K916" s="654">
        <v>901284</v>
      </c>
      <c r="L916" s="654">
        <v>0</v>
      </c>
      <c r="M916" s="654">
        <v>0</v>
      </c>
      <c r="N916" s="654">
        <v>0</v>
      </c>
    </row>
    <row r="917" spans="2:14" x14ac:dyDescent="0.15">
      <c r="B917"/>
      <c r="F917" t="s">
        <v>737</v>
      </c>
      <c r="H917" s="654">
        <v>537293</v>
      </c>
      <c r="I917" s="654">
        <v>363991</v>
      </c>
      <c r="J917" s="654">
        <v>901284</v>
      </c>
      <c r="K917" s="654">
        <v>901284</v>
      </c>
      <c r="L917" s="654">
        <v>0</v>
      </c>
      <c r="M917" s="654">
        <v>0</v>
      </c>
      <c r="N917" s="654">
        <v>0</v>
      </c>
    </row>
    <row r="918" spans="2:14" x14ac:dyDescent="0.15">
      <c r="B918"/>
      <c r="E918" t="s">
        <v>774</v>
      </c>
      <c r="H918" s="654">
        <v>537293</v>
      </c>
      <c r="I918" s="654">
        <v>363991</v>
      </c>
      <c r="J918" s="654">
        <v>901284</v>
      </c>
      <c r="K918" s="654">
        <v>901284</v>
      </c>
      <c r="L918" s="654">
        <v>0</v>
      </c>
      <c r="M918" s="654">
        <v>0</v>
      </c>
      <c r="N918" s="654">
        <v>0</v>
      </c>
    </row>
    <row r="919" spans="2:14" x14ac:dyDescent="0.15">
      <c r="B919"/>
      <c r="D919" t="s">
        <v>740</v>
      </c>
      <c r="H919" s="654">
        <v>537293</v>
      </c>
      <c r="I919" s="654">
        <v>363991</v>
      </c>
      <c r="J919" s="654">
        <v>901284</v>
      </c>
      <c r="K919" s="654">
        <v>901284</v>
      </c>
      <c r="L919" s="654">
        <v>0</v>
      </c>
      <c r="M919" s="654">
        <v>0</v>
      </c>
      <c r="N919" s="654">
        <v>0</v>
      </c>
    </row>
    <row r="920" spans="2:14" x14ac:dyDescent="0.15">
      <c r="B920"/>
      <c r="D920" t="s">
        <v>566</v>
      </c>
      <c r="E920" t="s">
        <v>382</v>
      </c>
      <c r="F920" t="s">
        <v>626</v>
      </c>
      <c r="G920" t="s">
        <v>600</v>
      </c>
      <c r="H920" s="654">
        <v>0</v>
      </c>
      <c r="I920" s="654">
        <v>0</v>
      </c>
      <c r="J920" s="654">
        <v>0</v>
      </c>
      <c r="K920" s="654">
        <v>0</v>
      </c>
      <c r="L920" s="654">
        <v>0</v>
      </c>
      <c r="M920" s="654">
        <v>0</v>
      </c>
      <c r="N920" s="654">
        <v>0</v>
      </c>
    </row>
    <row r="921" spans="2:14" x14ac:dyDescent="0.15">
      <c r="B921"/>
      <c r="F921" t="s">
        <v>733</v>
      </c>
      <c r="H921" s="654">
        <v>0</v>
      </c>
      <c r="I921" s="654">
        <v>0</v>
      </c>
      <c r="J921" s="654">
        <v>0</v>
      </c>
      <c r="K921" s="654">
        <v>0</v>
      </c>
      <c r="L921" s="654">
        <v>0</v>
      </c>
      <c r="M921" s="654">
        <v>0</v>
      </c>
      <c r="N921" s="654">
        <v>0</v>
      </c>
    </row>
    <row r="922" spans="2:14" x14ac:dyDescent="0.15">
      <c r="B922"/>
      <c r="E922" t="s">
        <v>775</v>
      </c>
      <c r="H922" s="654">
        <v>0</v>
      </c>
      <c r="I922" s="654">
        <v>0</v>
      </c>
      <c r="J922" s="654">
        <v>0</v>
      </c>
      <c r="K922" s="654">
        <v>0</v>
      </c>
      <c r="L922" s="654">
        <v>0</v>
      </c>
      <c r="M922" s="654">
        <v>0</v>
      </c>
      <c r="N922" s="654">
        <v>0</v>
      </c>
    </row>
    <row r="923" spans="2:14" x14ac:dyDescent="0.15">
      <c r="B923"/>
      <c r="D923" t="s">
        <v>738</v>
      </c>
      <c r="H923" s="654">
        <v>0</v>
      </c>
      <c r="I923" s="654">
        <v>0</v>
      </c>
      <c r="J923" s="654">
        <v>0</v>
      </c>
      <c r="K923" s="654">
        <v>0</v>
      </c>
      <c r="L923" s="654">
        <v>0</v>
      </c>
      <c r="M923" s="654">
        <v>0</v>
      </c>
      <c r="N923" s="654">
        <v>0</v>
      </c>
    </row>
    <row r="924" spans="2:14" x14ac:dyDescent="0.15">
      <c r="B924"/>
      <c r="D924" t="s">
        <v>631</v>
      </c>
      <c r="E924" t="s">
        <v>381</v>
      </c>
      <c r="F924" t="s">
        <v>626</v>
      </c>
      <c r="G924" t="s">
        <v>600</v>
      </c>
      <c r="H924" s="654">
        <v>270024</v>
      </c>
      <c r="I924" s="654">
        <v>0</v>
      </c>
      <c r="J924" s="654">
        <v>270024</v>
      </c>
      <c r="K924" s="654">
        <v>270024</v>
      </c>
      <c r="L924" s="654">
        <v>0</v>
      </c>
      <c r="M924" s="654">
        <v>0</v>
      </c>
      <c r="N924" s="654">
        <v>0</v>
      </c>
    </row>
    <row r="925" spans="2:14" x14ac:dyDescent="0.15">
      <c r="B925"/>
      <c r="F925" t="s">
        <v>733</v>
      </c>
      <c r="H925" s="654">
        <v>270024</v>
      </c>
      <c r="I925" s="654">
        <v>0</v>
      </c>
      <c r="J925" s="654">
        <v>270024</v>
      </c>
      <c r="K925" s="654">
        <v>270024</v>
      </c>
      <c r="L925" s="654">
        <v>0</v>
      </c>
      <c r="M925" s="654">
        <v>0</v>
      </c>
      <c r="N925" s="654">
        <v>0</v>
      </c>
    </row>
    <row r="926" spans="2:14" x14ac:dyDescent="0.15">
      <c r="B926"/>
      <c r="E926" t="s">
        <v>776</v>
      </c>
      <c r="H926" s="654">
        <v>270024</v>
      </c>
      <c r="I926" s="654">
        <v>0</v>
      </c>
      <c r="J926" s="654">
        <v>270024</v>
      </c>
      <c r="K926" s="654">
        <v>270024</v>
      </c>
      <c r="L926" s="654">
        <v>0</v>
      </c>
      <c r="M926" s="654">
        <v>0</v>
      </c>
      <c r="N926" s="654">
        <v>0</v>
      </c>
    </row>
    <row r="927" spans="2:14" x14ac:dyDescent="0.15">
      <c r="B927"/>
      <c r="D927" t="s">
        <v>737</v>
      </c>
      <c r="H927" s="654">
        <v>270024</v>
      </c>
      <c r="I927" s="654">
        <v>0</v>
      </c>
      <c r="J927" s="654">
        <v>270024</v>
      </c>
      <c r="K927" s="654">
        <v>270024</v>
      </c>
      <c r="L927" s="654">
        <v>0</v>
      </c>
      <c r="M927" s="654">
        <v>0</v>
      </c>
      <c r="N927" s="654">
        <v>0</v>
      </c>
    </row>
    <row r="928" spans="2:14" x14ac:dyDescent="0.15">
      <c r="B928"/>
      <c r="D928" t="s">
        <v>671</v>
      </c>
      <c r="E928" t="s">
        <v>383</v>
      </c>
      <c r="F928" t="s">
        <v>626</v>
      </c>
      <c r="G928" t="s">
        <v>600</v>
      </c>
      <c r="H928" s="654">
        <v>10380</v>
      </c>
      <c r="I928" s="654">
        <v>12444</v>
      </c>
      <c r="J928" s="654">
        <v>22824</v>
      </c>
      <c r="K928" s="654">
        <v>22824</v>
      </c>
      <c r="L928" s="654">
        <v>0</v>
      </c>
      <c r="M928" s="654">
        <v>0</v>
      </c>
      <c r="N928" s="654">
        <v>0</v>
      </c>
    </row>
    <row r="929" spans="1:14" x14ac:dyDescent="0.15">
      <c r="B929"/>
      <c r="F929" t="s">
        <v>733</v>
      </c>
      <c r="H929" s="654">
        <v>10380</v>
      </c>
      <c r="I929" s="654">
        <v>12444</v>
      </c>
      <c r="J929" s="654">
        <v>22824</v>
      </c>
      <c r="K929" s="654">
        <v>22824</v>
      </c>
      <c r="L929" s="654">
        <v>0</v>
      </c>
      <c r="M929" s="654">
        <v>0</v>
      </c>
      <c r="N929" s="654">
        <v>0</v>
      </c>
    </row>
    <row r="930" spans="1:14" x14ac:dyDescent="0.15">
      <c r="B930"/>
      <c r="F930" t="s">
        <v>627</v>
      </c>
      <c r="G930" t="s">
        <v>599</v>
      </c>
      <c r="H930" s="654">
        <v>0</v>
      </c>
      <c r="I930" s="654">
        <v>0</v>
      </c>
      <c r="J930" s="654">
        <v>0</v>
      </c>
      <c r="K930" s="654">
        <v>0</v>
      </c>
      <c r="L930" s="654">
        <v>0</v>
      </c>
      <c r="M930" s="654">
        <v>0</v>
      </c>
      <c r="N930" s="654">
        <v>0</v>
      </c>
    </row>
    <row r="931" spans="1:14" x14ac:dyDescent="0.15">
      <c r="B931"/>
      <c r="F931" t="s">
        <v>734</v>
      </c>
      <c r="H931" s="654">
        <v>0</v>
      </c>
      <c r="I931" s="654">
        <v>0</v>
      </c>
      <c r="J931" s="654">
        <v>0</v>
      </c>
      <c r="K931" s="654">
        <v>0</v>
      </c>
      <c r="L931" s="654">
        <v>0</v>
      </c>
      <c r="M931" s="654">
        <v>0</v>
      </c>
      <c r="N931" s="654">
        <v>0</v>
      </c>
    </row>
    <row r="932" spans="1:14" x14ac:dyDescent="0.15">
      <c r="B932"/>
      <c r="E932" t="s">
        <v>777</v>
      </c>
      <c r="H932" s="654">
        <v>10380</v>
      </c>
      <c r="I932" s="654">
        <v>12444</v>
      </c>
      <c r="J932" s="654">
        <v>22824</v>
      </c>
      <c r="K932" s="654">
        <v>22824</v>
      </c>
      <c r="L932" s="654">
        <v>0</v>
      </c>
      <c r="M932" s="654">
        <v>0</v>
      </c>
      <c r="N932" s="654">
        <v>0</v>
      </c>
    </row>
    <row r="933" spans="1:14" x14ac:dyDescent="0.15">
      <c r="B933"/>
      <c r="D933" t="s">
        <v>742</v>
      </c>
      <c r="H933" s="654">
        <v>10380</v>
      </c>
      <c r="I933" s="654">
        <v>12444</v>
      </c>
      <c r="J933" s="654">
        <v>22824</v>
      </c>
      <c r="K933" s="654">
        <v>22824</v>
      </c>
      <c r="L933" s="654">
        <v>0</v>
      </c>
      <c r="M933" s="654">
        <v>0</v>
      </c>
      <c r="N933" s="654">
        <v>0</v>
      </c>
    </row>
    <row r="934" spans="1:14" x14ac:dyDescent="0.15">
      <c r="B934"/>
      <c r="C934" t="s">
        <v>854</v>
      </c>
      <c r="H934" s="654">
        <v>2315143</v>
      </c>
      <c r="I934" s="654">
        <v>-471340</v>
      </c>
      <c r="J934" s="654">
        <v>1843803</v>
      </c>
      <c r="K934" s="654">
        <v>1843803</v>
      </c>
      <c r="L934" s="654">
        <v>0</v>
      </c>
      <c r="M934" s="654">
        <v>0</v>
      </c>
      <c r="N934" s="654">
        <v>0</v>
      </c>
    </row>
    <row r="935" spans="1:14" x14ac:dyDescent="0.15">
      <c r="A935" s="653" t="s">
        <v>617</v>
      </c>
      <c r="B935"/>
      <c r="H935" s="654">
        <v>31223189</v>
      </c>
      <c r="I935" s="654">
        <v>-3654193</v>
      </c>
      <c r="J935" s="654">
        <v>27568996</v>
      </c>
      <c r="K935" s="654">
        <v>27568996</v>
      </c>
      <c r="L935" s="654">
        <v>0</v>
      </c>
      <c r="M935" s="654">
        <v>179324</v>
      </c>
      <c r="N935" s="654">
        <v>3444061</v>
      </c>
    </row>
    <row r="936" spans="1:14" x14ac:dyDescent="0.15">
      <c r="A936" s="653">
        <v>42887</v>
      </c>
      <c r="B936" t="s">
        <v>626</v>
      </c>
      <c r="C936" t="s">
        <v>849</v>
      </c>
      <c r="D936" t="s">
        <v>626</v>
      </c>
      <c r="E936" t="s">
        <v>378</v>
      </c>
      <c r="F936" t="s">
        <v>626</v>
      </c>
      <c r="G936" t="s">
        <v>600</v>
      </c>
      <c r="H936" s="654">
        <v>6966301</v>
      </c>
      <c r="I936" s="654">
        <v>-14209</v>
      </c>
      <c r="J936" s="654">
        <v>6952092</v>
      </c>
      <c r="K936" s="654">
        <v>6952092</v>
      </c>
      <c r="L936" s="654">
        <v>0</v>
      </c>
      <c r="M936" s="654">
        <v>62413</v>
      </c>
      <c r="N936" s="654">
        <v>1238192</v>
      </c>
    </row>
    <row r="937" spans="1:14" x14ac:dyDescent="0.15">
      <c r="B937"/>
      <c r="F937" t="s">
        <v>733</v>
      </c>
      <c r="H937" s="654">
        <v>6966301</v>
      </c>
      <c r="I937" s="654">
        <v>-14209</v>
      </c>
      <c r="J937" s="654">
        <v>6952092</v>
      </c>
      <c r="K937" s="654">
        <v>6952092</v>
      </c>
      <c r="L937" s="654">
        <v>0</v>
      </c>
      <c r="M937" s="654">
        <v>62413</v>
      </c>
      <c r="N937" s="654">
        <v>1238192</v>
      </c>
    </row>
    <row r="938" spans="1:14" x14ac:dyDescent="0.15">
      <c r="B938"/>
      <c r="F938" t="s">
        <v>627</v>
      </c>
      <c r="G938" t="s">
        <v>599</v>
      </c>
      <c r="H938" s="654">
        <v>1545222</v>
      </c>
      <c r="I938" s="654">
        <v>-112758</v>
      </c>
      <c r="J938" s="654">
        <v>1432464</v>
      </c>
      <c r="K938" s="654">
        <v>1432464</v>
      </c>
      <c r="L938" s="654">
        <v>0</v>
      </c>
      <c r="M938" s="654">
        <v>0</v>
      </c>
      <c r="N938" s="654">
        <v>311062</v>
      </c>
    </row>
    <row r="939" spans="1:14" x14ac:dyDescent="0.15">
      <c r="B939"/>
      <c r="F939" t="s">
        <v>734</v>
      </c>
      <c r="H939" s="654">
        <v>1545222</v>
      </c>
      <c r="I939" s="654">
        <v>-112758</v>
      </c>
      <c r="J939" s="654">
        <v>1432464</v>
      </c>
      <c r="K939" s="654">
        <v>1432464</v>
      </c>
      <c r="L939" s="654">
        <v>0</v>
      </c>
      <c r="M939" s="654">
        <v>0</v>
      </c>
      <c r="N939" s="654">
        <v>311062</v>
      </c>
    </row>
    <row r="940" spans="1:14" x14ac:dyDescent="0.15">
      <c r="B940"/>
      <c r="F940" t="s">
        <v>628</v>
      </c>
      <c r="G940" t="s">
        <v>598</v>
      </c>
      <c r="H940" s="654">
        <v>716389</v>
      </c>
      <c r="I940" s="654">
        <v>0</v>
      </c>
      <c r="J940" s="654">
        <v>716389</v>
      </c>
      <c r="K940" s="654">
        <v>716389</v>
      </c>
      <c r="L940" s="654">
        <v>0</v>
      </c>
      <c r="M940" s="654">
        <v>0</v>
      </c>
      <c r="N940" s="654">
        <v>0</v>
      </c>
    </row>
    <row r="941" spans="1:14" x14ac:dyDescent="0.15">
      <c r="B941"/>
      <c r="F941" t="s">
        <v>735</v>
      </c>
      <c r="H941" s="654">
        <v>716389</v>
      </c>
      <c r="I941" s="654">
        <v>0</v>
      </c>
      <c r="J941" s="654">
        <v>716389</v>
      </c>
      <c r="K941" s="654">
        <v>716389</v>
      </c>
      <c r="L941" s="654">
        <v>0</v>
      </c>
      <c r="M941" s="654">
        <v>0</v>
      </c>
      <c r="N941" s="654">
        <v>0</v>
      </c>
    </row>
    <row r="942" spans="1:14" x14ac:dyDescent="0.15">
      <c r="B942"/>
      <c r="E942" t="s">
        <v>769</v>
      </c>
      <c r="H942" s="654">
        <v>9227912</v>
      </c>
      <c r="I942" s="654">
        <v>-126967</v>
      </c>
      <c r="J942" s="654">
        <v>9100945</v>
      </c>
      <c r="K942" s="654">
        <v>9100945</v>
      </c>
      <c r="L942" s="654">
        <v>0</v>
      </c>
      <c r="M942" s="654">
        <v>62413</v>
      </c>
      <c r="N942" s="654">
        <v>1549254</v>
      </c>
    </row>
    <row r="943" spans="1:14" x14ac:dyDescent="0.15">
      <c r="B943"/>
      <c r="D943" t="s">
        <v>733</v>
      </c>
      <c r="H943" s="654">
        <v>9227912</v>
      </c>
      <c r="I943" s="654">
        <v>-126967</v>
      </c>
      <c r="J943" s="654">
        <v>9100945</v>
      </c>
      <c r="K943" s="654">
        <v>9100945</v>
      </c>
      <c r="L943" s="654">
        <v>0</v>
      </c>
      <c r="M943" s="654">
        <v>62413</v>
      </c>
      <c r="N943" s="654">
        <v>1549254</v>
      </c>
    </row>
    <row r="944" spans="1:14" x14ac:dyDescent="0.15">
      <c r="B944"/>
      <c r="D944" t="s">
        <v>627</v>
      </c>
      <c r="E944" t="s">
        <v>379</v>
      </c>
      <c r="F944" t="s">
        <v>626</v>
      </c>
      <c r="G944" t="s">
        <v>600</v>
      </c>
      <c r="H944" s="654">
        <v>4203706</v>
      </c>
      <c r="I944" s="654">
        <v>-63901</v>
      </c>
      <c r="J944" s="654">
        <v>4139805</v>
      </c>
      <c r="K944" s="654">
        <v>4139805</v>
      </c>
      <c r="L944" s="654">
        <v>0</v>
      </c>
      <c r="M944" s="654">
        <v>23193</v>
      </c>
      <c r="N944" s="654">
        <v>489137</v>
      </c>
    </row>
    <row r="945" spans="2:14" x14ac:dyDescent="0.15">
      <c r="B945"/>
      <c r="F945" t="s">
        <v>733</v>
      </c>
      <c r="H945" s="654">
        <v>4203706</v>
      </c>
      <c r="I945" s="654">
        <v>-63901</v>
      </c>
      <c r="J945" s="654">
        <v>4139805</v>
      </c>
      <c r="K945" s="654">
        <v>4139805</v>
      </c>
      <c r="L945" s="654">
        <v>0</v>
      </c>
      <c r="M945" s="654">
        <v>23193</v>
      </c>
      <c r="N945" s="654">
        <v>489137</v>
      </c>
    </row>
    <row r="946" spans="2:14" x14ac:dyDescent="0.15">
      <c r="B946"/>
      <c r="F946" t="s">
        <v>627</v>
      </c>
      <c r="G946" t="s">
        <v>599</v>
      </c>
      <c r="H946" s="654">
        <v>822858</v>
      </c>
      <c r="I946" s="654">
        <v>-126266</v>
      </c>
      <c r="J946" s="654">
        <v>696592</v>
      </c>
      <c r="K946" s="654">
        <v>696592</v>
      </c>
      <c r="L946" s="654">
        <v>0</v>
      </c>
      <c r="M946" s="654">
        <v>0</v>
      </c>
      <c r="N946" s="654">
        <v>157860</v>
      </c>
    </row>
    <row r="947" spans="2:14" x14ac:dyDescent="0.15">
      <c r="B947"/>
      <c r="F947" t="s">
        <v>734</v>
      </c>
      <c r="H947" s="654">
        <v>822858</v>
      </c>
      <c r="I947" s="654">
        <v>-126266</v>
      </c>
      <c r="J947" s="654">
        <v>696592</v>
      </c>
      <c r="K947" s="654">
        <v>696592</v>
      </c>
      <c r="L947" s="654">
        <v>0</v>
      </c>
      <c r="M947" s="654">
        <v>0</v>
      </c>
      <c r="N947" s="654">
        <v>157860</v>
      </c>
    </row>
    <row r="948" spans="2:14" x14ac:dyDescent="0.15">
      <c r="B948"/>
      <c r="F948" t="s">
        <v>628</v>
      </c>
      <c r="G948" t="s">
        <v>598</v>
      </c>
      <c r="H948" s="654">
        <v>383360</v>
      </c>
      <c r="I948" s="654">
        <v>0</v>
      </c>
      <c r="J948" s="654">
        <v>383360</v>
      </c>
      <c r="K948" s="654">
        <v>383360</v>
      </c>
      <c r="L948" s="654">
        <v>0</v>
      </c>
      <c r="M948" s="654">
        <v>0</v>
      </c>
      <c r="N948" s="654">
        <v>0</v>
      </c>
    </row>
    <row r="949" spans="2:14" x14ac:dyDescent="0.15">
      <c r="B949"/>
      <c r="F949" t="s">
        <v>735</v>
      </c>
      <c r="H949" s="654">
        <v>383360</v>
      </c>
      <c r="I949" s="654">
        <v>0</v>
      </c>
      <c r="J949" s="654">
        <v>383360</v>
      </c>
      <c r="K949" s="654">
        <v>383360</v>
      </c>
      <c r="L949" s="654">
        <v>0</v>
      </c>
      <c r="M949" s="654">
        <v>0</v>
      </c>
      <c r="N949" s="654">
        <v>0</v>
      </c>
    </row>
    <row r="950" spans="2:14" x14ac:dyDescent="0.15">
      <c r="B950"/>
      <c r="E950" t="s">
        <v>770</v>
      </c>
      <c r="H950" s="654">
        <v>5409924</v>
      </c>
      <c r="I950" s="654">
        <v>-190167</v>
      </c>
      <c r="J950" s="654">
        <v>5219757</v>
      </c>
      <c r="K950" s="654">
        <v>5219757</v>
      </c>
      <c r="L950" s="654">
        <v>0</v>
      </c>
      <c r="M950" s="654">
        <v>23193</v>
      </c>
      <c r="N950" s="654">
        <v>646997</v>
      </c>
    </row>
    <row r="951" spans="2:14" x14ac:dyDescent="0.15">
      <c r="B951"/>
      <c r="D951" t="s">
        <v>734</v>
      </c>
      <c r="H951" s="654">
        <v>5409924</v>
      </c>
      <c r="I951" s="654">
        <v>-190167</v>
      </c>
      <c r="J951" s="654">
        <v>5219757</v>
      </c>
      <c r="K951" s="654">
        <v>5219757</v>
      </c>
      <c r="L951" s="654">
        <v>0</v>
      </c>
      <c r="M951" s="654">
        <v>23193</v>
      </c>
      <c r="N951" s="654">
        <v>646997</v>
      </c>
    </row>
    <row r="952" spans="2:14" x14ac:dyDescent="0.15">
      <c r="B952"/>
      <c r="D952" t="s">
        <v>628</v>
      </c>
      <c r="E952" t="s">
        <v>380</v>
      </c>
      <c r="F952" t="s">
        <v>626</v>
      </c>
      <c r="G952" t="s">
        <v>600</v>
      </c>
      <c r="H952" s="654">
        <v>3021191</v>
      </c>
      <c r="I952" s="654">
        <v>-34078</v>
      </c>
      <c r="J952" s="654">
        <v>2987113</v>
      </c>
      <c r="K952" s="654">
        <v>2987113</v>
      </c>
      <c r="L952" s="654">
        <v>0</v>
      </c>
      <c r="M952" s="654">
        <v>67758</v>
      </c>
      <c r="N952" s="654">
        <v>345767</v>
      </c>
    </row>
    <row r="953" spans="2:14" x14ac:dyDescent="0.15">
      <c r="B953"/>
      <c r="F953" t="s">
        <v>733</v>
      </c>
      <c r="H953" s="654">
        <v>3021191</v>
      </c>
      <c r="I953" s="654">
        <v>-34078</v>
      </c>
      <c r="J953" s="654">
        <v>2987113</v>
      </c>
      <c r="K953" s="654">
        <v>2987113</v>
      </c>
      <c r="L953" s="654">
        <v>0</v>
      </c>
      <c r="M953" s="654">
        <v>67758</v>
      </c>
      <c r="N953" s="654">
        <v>345767</v>
      </c>
    </row>
    <row r="954" spans="2:14" x14ac:dyDescent="0.15">
      <c r="B954"/>
      <c r="F954" t="s">
        <v>627</v>
      </c>
      <c r="G954" t="s">
        <v>599</v>
      </c>
      <c r="H954" s="654">
        <v>2182981</v>
      </c>
      <c r="I954" s="654">
        <v>0</v>
      </c>
      <c r="J954" s="654">
        <v>2182981</v>
      </c>
      <c r="K954" s="654">
        <v>2182981</v>
      </c>
      <c r="L954" s="654">
        <v>0</v>
      </c>
      <c r="M954" s="654">
        <v>0</v>
      </c>
      <c r="N954" s="654">
        <v>541700</v>
      </c>
    </row>
    <row r="955" spans="2:14" x14ac:dyDescent="0.15">
      <c r="B955"/>
      <c r="F955" t="s">
        <v>734</v>
      </c>
      <c r="H955" s="654">
        <v>2182981</v>
      </c>
      <c r="I955" s="654">
        <v>0</v>
      </c>
      <c r="J955" s="654">
        <v>2182981</v>
      </c>
      <c r="K955" s="654">
        <v>2182981</v>
      </c>
      <c r="L955" s="654">
        <v>0</v>
      </c>
      <c r="M955" s="654">
        <v>0</v>
      </c>
      <c r="N955" s="654">
        <v>541700</v>
      </c>
    </row>
    <row r="956" spans="2:14" x14ac:dyDescent="0.15">
      <c r="B956"/>
      <c r="E956" t="s">
        <v>771</v>
      </c>
      <c r="H956" s="654">
        <v>5204172</v>
      </c>
      <c r="I956" s="654">
        <v>-34078</v>
      </c>
      <c r="J956" s="654">
        <v>5170094</v>
      </c>
      <c r="K956" s="654">
        <v>5170094</v>
      </c>
      <c r="L956" s="654">
        <v>0</v>
      </c>
      <c r="M956" s="654">
        <v>67758</v>
      </c>
      <c r="N956" s="654">
        <v>887467</v>
      </c>
    </row>
    <row r="957" spans="2:14" x14ac:dyDescent="0.15">
      <c r="B957"/>
      <c r="D957" t="s">
        <v>735</v>
      </c>
      <c r="H957" s="654">
        <v>5204172</v>
      </c>
      <c r="I957" s="654">
        <v>-34078</v>
      </c>
      <c r="J957" s="654">
        <v>5170094</v>
      </c>
      <c r="K957" s="654">
        <v>5170094</v>
      </c>
      <c r="L957" s="654">
        <v>0</v>
      </c>
      <c r="M957" s="654">
        <v>67758</v>
      </c>
      <c r="N957" s="654">
        <v>887467</v>
      </c>
    </row>
    <row r="958" spans="2:14" x14ac:dyDescent="0.15">
      <c r="B958"/>
      <c r="D958" t="s">
        <v>629</v>
      </c>
      <c r="E958" t="s">
        <v>676</v>
      </c>
      <c r="F958" t="s">
        <v>629</v>
      </c>
      <c r="G958" t="s">
        <v>601</v>
      </c>
      <c r="H958" s="654">
        <v>3136628</v>
      </c>
      <c r="I958" s="654">
        <v>0</v>
      </c>
      <c r="J958" s="654">
        <v>3136628</v>
      </c>
      <c r="K958" s="654">
        <v>3136628</v>
      </c>
      <c r="L958" s="654">
        <v>0</v>
      </c>
      <c r="M958" s="654">
        <v>0</v>
      </c>
      <c r="N958" s="654">
        <v>187729</v>
      </c>
    </row>
    <row r="959" spans="2:14" x14ac:dyDescent="0.15">
      <c r="B959"/>
      <c r="F959" t="s">
        <v>736</v>
      </c>
      <c r="H959" s="654">
        <v>3136628</v>
      </c>
      <c r="I959" s="654">
        <v>0</v>
      </c>
      <c r="J959" s="654">
        <v>3136628</v>
      </c>
      <c r="K959" s="654">
        <v>3136628</v>
      </c>
      <c r="L959" s="654">
        <v>0</v>
      </c>
      <c r="M959" s="654">
        <v>0</v>
      </c>
      <c r="N959" s="654">
        <v>187729</v>
      </c>
    </row>
    <row r="960" spans="2:14" x14ac:dyDescent="0.15">
      <c r="B960"/>
      <c r="E960" t="s">
        <v>772</v>
      </c>
      <c r="H960" s="654">
        <v>3136628</v>
      </c>
      <c r="I960" s="654">
        <v>0</v>
      </c>
      <c r="J960" s="654">
        <v>3136628</v>
      </c>
      <c r="K960" s="654">
        <v>3136628</v>
      </c>
      <c r="L960" s="654">
        <v>0</v>
      </c>
      <c r="M960" s="654">
        <v>0</v>
      </c>
      <c r="N960" s="654">
        <v>187729</v>
      </c>
    </row>
    <row r="961" spans="2:14" x14ac:dyDescent="0.15">
      <c r="B961"/>
      <c r="D961" t="s">
        <v>736</v>
      </c>
      <c r="H961" s="654">
        <v>3136628</v>
      </c>
      <c r="I961" s="654">
        <v>0</v>
      </c>
      <c r="J961" s="654">
        <v>3136628</v>
      </c>
      <c r="K961" s="654">
        <v>3136628</v>
      </c>
      <c r="L961" s="654">
        <v>0</v>
      </c>
      <c r="M961" s="654">
        <v>0</v>
      </c>
      <c r="N961" s="654">
        <v>187729</v>
      </c>
    </row>
    <row r="962" spans="2:14" x14ac:dyDescent="0.15">
      <c r="B962"/>
      <c r="D962" t="s">
        <v>567</v>
      </c>
      <c r="E962" t="s">
        <v>473</v>
      </c>
      <c r="F962" t="s">
        <v>631</v>
      </c>
      <c r="G962" t="s">
        <v>596</v>
      </c>
      <c r="H962" s="654">
        <v>978154</v>
      </c>
      <c r="I962" s="654">
        <v>0</v>
      </c>
      <c r="J962" s="654">
        <v>978154</v>
      </c>
      <c r="K962" s="654">
        <v>978154</v>
      </c>
      <c r="L962" s="654">
        <v>0</v>
      </c>
      <c r="M962" s="654">
        <v>0</v>
      </c>
      <c r="N962" s="654">
        <v>431509</v>
      </c>
    </row>
    <row r="963" spans="2:14" x14ac:dyDescent="0.15">
      <c r="B963"/>
      <c r="F963" t="s">
        <v>737</v>
      </c>
      <c r="H963" s="654">
        <v>978154</v>
      </c>
      <c r="I963" s="654">
        <v>0</v>
      </c>
      <c r="J963" s="654">
        <v>978154</v>
      </c>
      <c r="K963" s="654">
        <v>978154</v>
      </c>
      <c r="L963" s="654">
        <v>0</v>
      </c>
      <c r="M963" s="654">
        <v>0</v>
      </c>
      <c r="N963" s="654">
        <v>431509</v>
      </c>
    </row>
    <row r="964" spans="2:14" x14ac:dyDescent="0.15">
      <c r="B964"/>
      <c r="E964" t="s">
        <v>773</v>
      </c>
      <c r="H964" s="654">
        <v>978154</v>
      </c>
      <c r="I964" s="654">
        <v>0</v>
      </c>
      <c r="J964" s="654">
        <v>978154</v>
      </c>
      <c r="K964" s="654">
        <v>978154</v>
      </c>
      <c r="L964" s="654">
        <v>0</v>
      </c>
      <c r="M964" s="654">
        <v>0</v>
      </c>
      <c r="N964" s="654">
        <v>431509</v>
      </c>
    </row>
    <row r="965" spans="2:14" x14ac:dyDescent="0.15">
      <c r="B965"/>
      <c r="D965" t="s">
        <v>739</v>
      </c>
      <c r="H965" s="654">
        <v>978154</v>
      </c>
      <c r="I965" s="654">
        <v>0</v>
      </c>
      <c r="J965" s="654">
        <v>978154</v>
      </c>
      <c r="K965" s="654">
        <v>978154</v>
      </c>
      <c r="L965" s="654">
        <v>0</v>
      </c>
      <c r="M965" s="654">
        <v>0</v>
      </c>
      <c r="N965" s="654">
        <v>431509</v>
      </c>
    </row>
    <row r="966" spans="2:14" x14ac:dyDescent="0.15">
      <c r="B966"/>
      <c r="D966" t="s">
        <v>568</v>
      </c>
      <c r="E966" t="s">
        <v>474</v>
      </c>
      <c r="F966" t="s">
        <v>631</v>
      </c>
      <c r="G966" t="s">
        <v>596</v>
      </c>
      <c r="H966" s="654">
        <v>943056</v>
      </c>
      <c r="I966" s="654">
        <v>0</v>
      </c>
      <c r="J966" s="654">
        <v>943056</v>
      </c>
      <c r="K966" s="654">
        <v>943056</v>
      </c>
      <c r="L966" s="654">
        <v>0</v>
      </c>
      <c r="M966" s="654">
        <v>0</v>
      </c>
      <c r="N966" s="654">
        <v>0</v>
      </c>
    </row>
    <row r="967" spans="2:14" x14ac:dyDescent="0.15">
      <c r="B967"/>
      <c r="F967" t="s">
        <v>737</v>
      </c>
      <c r="H967" s="654">
        <v>943056</v>
      </c>
      <c r="I967" s="654">
        <v>0</v>
      </c>
      <c r="J967" s="654">
        <v>943056</v>
      </c>
      <c r="K967" s="654">
        <v>943056</v>
      </c>
      <c r="L967" s="654">
        <v>0</v>
      </c>
      <c r="M967" s="654">
        <v>0</v>
      </c>
      <c r="N967" s="654">
        <v>0</v>
      </c>
    </row>
    <row r="968" spans="2:14" x14ac:dyDescent="0.15">
      <c r="B968"/>
      <c r="E968" t="s">
        <v>774</v>
      </c>
      <c r="H968" s="654">
        <v>943056</v>
      </c>
      <c r="I968" s="654">
        <v>0</v>
      </c>
      <c r="J968" s="654">
        <v>943056</v>
      </c>
      <c r="K968" s="654">
        <v>943056</v>
      </c>
      <c r="L968" s="654">
        <v>0</v>
      </c>
      <c r="M968" s="654">
        <v>0</v>
      </c>
      <c r="N968" s="654">
        <v>0</v>
      </c>
    </row>
    <row r="969" spans="2:14" x14ac:dyDescent="0.15">
      <c r="B969"/>
      <c r="D969" t="s">
        <v>740</v>
      </c>
      <c r="H969" s="654">
        <v>943056</v>
      </c>
      <c r="I969" s="654">
        <v>0</v>
      </c>
      <c r="J969" s="654">
        <v>943056</v>
      </c>
      <c r="K969" s="654">
        <v>943056</v>
      </c>
      <c r="L969" s="654">
        <v>0</v>
      </c>
      <c r="M969" s="654">
        <v>0</v>
      </c>
      <c r="N969" s="654">
        <v>0</v>
      </c>
    </row>
    <row r="970" spans="2:14" x14ac:dyDescent="0.15">
      <c r="B970"/>
      <c r="D970" t="s">
        <v>582</v>
      </c>
      <c r="E970" t="s">
        <v>384</v>
      </c>
      <c r="F970" t="s">
        <v>631</v>
      </c>
      <c r="G970" t="s">
        <v>596</v>
      </c>
      <c r="H970" s="654">
        <v>1647056</v>
      </c>
      <c r="I970" s="654">
        <v>0</v>
      </c>
      <c r="J970" s="654">
        <v>1647056</v>
      </c>
      <c r="K970" s="654">
        <v>1647056</v>
      </c>
      <c r="L970" s="654">
        <v>0</v>
      </c>
      <c r="M970" s="654">
        <v>0</v>
      </c>
      <c r="N970" s="654">
        <v>0</v>
      </c>
    </row>
    <row r="971" spans="2:14" x14ac:dyDescent="0.15">
      <c r="B971"/>
      <c r="F971" t="s">
        <v>737</v>
      </c>
      <c r="H971" s="654">
        <v>1647056</v>
      </c>
      <c r="I971" s="654">
        <v>0</v>
      </c>
      <c r="J971" s="654">
        <v>1647056</v>
      </c>
      <c r="K971" s="654">
        <v>1647056</v>
      </c>
      <c r="L971" s="654">
        <v>0</v>
      </c>
      <c r="M971" s="654">
        <v>0</v>
      </c>
      <c r="N971" s="654">
        <v>0</v>
      </c>
    </row>
    <row r="972" spans="2:14" x14ac:dyDescent="0.15">
      <c r="B972"/>
      <c r="E972" t="s">
        <v>778</v>
      </c>
      <c r="H972" s="654">
        <v>1647056</v>
      </c>
      <c r="I972" s="654">
        <v>0</v>
      </c>
      <c r="J972" s="654">
        <v>1647056</v>
      </c>
      <c r="K972" s="654">
        <v>1647056</v>
      </c>
      <c r="L972" s="654">
        <v>0</v>
      </c>
      <c r="M972" s="654">
        <v>0</v>
      </c>
      <c r="N972" s="654">
        <v>0</v>
      </c>
    </row>
    <row r="973" spans="2:14" x14ac:dyDescent="0.15">
      <c r="B973"/>
      <c r="D973" t="s">
        <v>743</v>
      </c>
      <c r="H973" s="654">
        <v>1647056</v>
      </c>
      <c r="I973" s="654">
        <v>0</v>
      </c>
      <c r="J973" s="654">
        <v>1647056</v>
      </c>
      <c r="K973" s="654">
        <v>1647056</v>
      </c>
      <c r="L973" s="654">
        <v>0</v>
      </c>
      <c r="M973" s="654">
        <v>0</v>
      </c>
      <c r="N973" s="654">
        <v>0</v>
      </c>
    </row>
    <row r="974" spans="2:14" x14ac:dyDescent="0.15">
      <c r="B974"/>
      <c r="D974" t="s">
        <v>631</v>
      </c>
      <c r="E974" t="s">
        <v>381</v>
      </c>
      <c r="F974" t="s">
        <v>626</v>
      </c>
      <c r="G974" t="s">
        <v>600</v>
      </c>
      <c r="H974" s="654">
        <v>2170929</v>
      </c>
      <c r="I974" s="654">
        <v>0</v>
      </c>
      <c r="J974" s="654">
        <v>2170929</v>
      </c>
      <c r="K974" s="654">
        <v>2170929</v>
      </c>
      <c r="L974" s="654">
        <v>0</v>
      </c>
      <c r="M974" s="654">
        <v>0</v>
      </c>
      <c r="N974" s="654">
        <v>0</v>
      </c>
    </row>
    <row r="975" spans="2:14" x14ac:dyDescent="0.15">
      <c r="B975"/>
      <c r="F975" t="s">
        <v>733</v>
      </c>
      <c r="H975" s="654">
        <v>2170929</v>
      </c>
      <c r="I975" s="654">
        <v>0</v>
      </c>
      <c r="J975" s="654">
        <v>2170929</v>
      </c>
      <c r="K975" s="654">
        <v>2170929</v>
      </c>
      <c r="L975" s="654">
        <v>0</v>
      </c>
      <c r="M975" s="654">
        <v>0</v>
      </c>
      <c r="N975" s="654">
        <v>0</v>
      </c>
    </row>
    <row r="976" spans="2:14" x14ac:dyDescent="0.15">
      <c r="B976"/>
      <c r="E976" t="s">
        <v>776</v>
      </c>
      <c r="H976" s="654">
        <v>2170929</v>
      </c>
      <c r="I976" s="654">
        <v>0</v>
      </c>
      <c r="J976" s="654">
        <v>2170929</v>
      </c>
      <c r="K976" s="654">
        <v>2170929</v>
      </c>
      <c r="L976" s="654">
        <v>0</v>
      </c>
      <c r="M976" s="654">
        <v>0</v>
      </c>
      <c r="N976" s="654">
        <v>0</v>
      </c>
    </row>
    <row r="977" spans="2:14" x14ac:dyDescent="0.15">
      <c r="B977"/>
      <c r="D977" t="s">
        <v>737</v>
      </c>
      <c r="H977" s="654">
        <v>2170929</v>
      </c>
      <c r="I977" s="654">
        <v>0</v>
      </c>
      <c r="J977" s="654">
        <v>2170929</v>
      </c>
      <c r="K977" s="654">
        <v>2170929</v>
      </c>
      <c r="L977" s="654">
        <v>0</v>
      </c>
      <c r="M977" s="654">
        <v>0</v>
      </c>
      <c r="N977" s="654">
        <v>0</v>
      </c>
    </row>
    <row r="978" spans="2:14" x14ac:dyDescent="0.15">
      <c r="B978"/>
      <c r="D978" t="s">
        <v>671</v>
      </c>
      <c r="E978" t="s">
        <v>383</v>
      </c>
      <c r="F978" t="s">
        <v>626</v>
      </c>
      <c r="G978" t="s">
        <v>600</v>
      </c>
      <c r="H978" s="654">
        <v>1060232</v>
      </c>
      <c r="I978" s="654">
        <v>-9169</v>
      </c>
      <c r="J978" s="654">
        <v>1051063</v>
      </c>
      <c r="K978" s="654">
        <v>1051063</v>
      </c>
      <c r="L978" s="654">
        <v>0</v>
      </c>
      <c r="M978" s="654">
        <v>2600</v>
      </c>
      <c r="N978" s="654">
        <v>0</v>
      </c>
    </row>
    <row r="979" spans="2:14" x14ac:dyDescent="0.15">
      <c r="B979"/>
      <c r="F979" t="s">
        <v>733</v>
      </c>
      <c r="H979" s="654">
        <v>1060232</v>
      </c>
      <c r="I979" s="654">
        <v>-9169</v>
      </c>
      <c r="J979" s="654">
        <v>1051063</v>
      </c>
      <c r="K979" s="654">
        <v>1051063</v>
      </c>
      <c r="L979" s="654">
        <v>0</v>
      </c>
      <c r="M979" s="654">
        <v>2600</v>
      </c>
      <c r="N979" s="654">
        <v>0</v>
      </c>
    </row>
    <row r="980" spans="2:14" x14ac:dyDescent="0.15">
      <c r="B980"/>
      <c r="F980" t="s">
        <v>627</v>
      </c>
      <c r="G980" t="s">
        <v>599</v>
      </c>
      <c r="H980" s="654">
        <v>7122</v>
      </c>
      <c r="I980" s="654">
        <v>0</v>
      </c>
      <c r="J980" s="654">
        <v>7122</v>
      </c>
      <c r="K980" s="654">
        <v>7122</v>
      </c>
      <c r="L980" s="654">
        <v>0</v>
      </c>
      <c r="M980" s="654">
        <v>0</v>
      </c>
      <c r="N980" s="654">
        <v>0</v>
      </c>
    </row>
    <row r="981" spans="2:14" x14ac:dyDescent="0.15">
      <c r="B981"/>
      <c r="F981" t="s">
        <v>734</v>
      </c>
      <c r="H981" s="654">
        <v>7122</v>
      </c>
      <c r="I981" s="654">
        <v>0</v>
      </c>
      <c r="J981" s="654">
        <v>7122</v>
      </c>
      <c r="K981" s="654">
        <v>7122</v>
      </c>
      <c r="L981" s="654">
        <v>0</v>
      </c>
      <c r="M981" s="654">
        <v>0</v>
      </c>
      <c r="N981" s="654">
        <v>0</v>
      </c>
    </row>
    <row r="982" spans="2:14" x14ac:dyDescent="0.15">
      <c r="B982"/>
      <c r="E982" t="s">
        <v>777</v>
      </c>
      <c r="H982" s="654">
        <v>1067354</v>
      </c>
      <c r="I982" s="654">
        <v>-9169</v>
      </c>
      <c r="J982" s="654">
        <v>1058185</v>
      </c>
      <c r="K982" s="654">
        <v>1058185</v>
      </c>
      <c r="L982" s="654">
        <v>0</v>
      </c>
      <c r="M982" s="654">
        <v>2600</v>
      </c>
      <c r="N982" s="654">
        <v>0</v>
      </c>
    </row>
    <row r="983" spans="2:14" x14ac:dyDescent="0.15">
      <c r="B983"/>
      <c r="D983" t="s">
        <v>742</v>
      </c>
      <c r="H983" s="654">
        <v>1067354</v>
      </c>
      <c r="I983" s="654">
        <v>-9169</v>
      </c>
      <c r="J983" s="654">
        <v>1058185</v>
      </c>
      <c r="K983" s="654">
        <v>1058185</v>
      </c>
      <c r="L983" s="654">
        <v>0</v>
      </c>
      <c r="M983" s="654">
        <v>2600</v>
      </c>
      <c r="N983" s="654">
        <v>0</v>
      </c>
    </row>
    <row r="984" spans="2:14" x14ac:dyDescent="0.15">
      <c r="B984"/>
      <c r="C984" t="s">
        <v>853</v>
      </c>
      <c r="H984" s="654">
        <v>29785185</v>
      </c>
      <c r="I984" s="654">
        <v>-360381</v>
      </c>
      <c r="J984" s="654">
        <v>29424804</v>
      </c>
      <c r="K984" s="654">
        <v>29424804</v>
      </c>
      <c r="L984" s="654">
        <v>0</v>
      </c>
      <c r="M984" s="654">
        <v>155964</v>
      </c>
      <c r="N984" s="654">
        <v>3702956</v>
      </c>
    </row>
    <row r="985" spans="2:14" x14ac:dyDescent="0.15">
      <c r="B985" t="s">
        <v>627</v>
      </c>
      <c r="C985" t="s">
        <v>847</v>
      </c>
      <c r="D985" t="s">
        <v>626</v>
      </c>
      <c r="E985" t="s">
        <v>378</v>
      </c>
      <c r="F985" t="s">
        <v>626</v>
      </c>
      <c r="G985" t="s">
        <v>600</v>
      </c>
      <c r="H985" s="654">
        <v>154022</v>
      </c>
      <c r="I985" s="654">
        <v>12775</v>
      </c>
      <c r="J985" s="654">
        <v>166797</v>
      </c>
      <c r="K985" s="654">
        <v>166797</v>
      </c>
      <c r="L985" s="654">
        <v>0</v>
      </c>
      <c r="M985" s="654">
        <v>0</v>
      </c>
      <c r="N985" s="654">
        <v>0</v>
      </c>
    </row>
    <row r="986" spans="2:14" x14ac:dyDescent="0.15">
      <c r="B986"/>
      <c r="F986" t="s">
        <v>733</v>
      </c>
      <c r="H986" s="654">
        <v>154022</v>
      </c>
      <c r="I986" s="654">
        <v>12775</v>
      </c>
      <c r="J986" s="654">
        <v>166797</v>
      </c>
      <c r="K986" s="654">
        <v>166797</v>
      </c>
      <c r="L986" s="654">
        <v>0</v>
      </c>
      <c r="M986" s="654">
        <v>0</v>
      </c>
      <c r="N986" s="654">
        <v>0</v>
      </c>
    </row>
    <row r="987" spans="2:14" x14ac:dyDescent="0.15">
      <c r="B987"/>
      <c r="F987" t="s">
        <v>627</v>
      </c>
      <c r="G987" t="s">
        <v>599</v>
      </c>
      <c r="H987" s="654">
        <v>152047</v>
      </c>
      <c r="I987" s="654">
        <v>-122475</v>
      </c>
      <c r="J987" s="654">
        <v>29572</v>
      </c>
      <c r="K987" s="654">
        <v>29572</v>
      </c>
      <c r="L987" s="654">
        <v>0</v>
      </c>
      <c r="M987" s="654">
        <v>0</v>
      </c>
      <c r="N987" s="654">
        <v>0</v>
      </c>
    </row>
    <row r="988" spans="2:14" x14ac:dyDescent="0.15">
      <c r="B988"/>
      <c r="F988" t="s">
        <v>734</v>
      </c>
      <c r="H988" s="654">
        <v>152047</v>
      </c>
      <c r="I988" s="654">
        <v>-122475</v>
      </c>
      <c r="J988" s="654">
        <v>29572</v>
      </c>
      <c r="K988" s="654">
        <v>29572</v>
      </c>
      <c r="L988" s="654">
        <v>0</v>
      </c>
      <c r="M988" s="654">
        <v>0</v>
      </c>
      <c r="N988" s="654">
        <v>0</v>
      </c>
    </row>
    <row r="989" spans="2:14" x14ac:dyDescent="0.15">
      <c r="B989"/>
      <c r="F989" t="s">
        <v>628</v>
      </c>
      <c r="G989" t="s">
        <v>598</v>
      </c>
      <c r="H989" s="654">
        <v>14359</v>
      </c>
      <c r="I989" s="654">
        <v>0</v>
      </c>
      <c r="J989" s="654">
        <v>14359</v>
      </c>
      <c r="K989" s="654">
        <v>14359</v>
      </c>
      <c r="L989" s="654">
        <v>0</v>
      </c>
      <c r="M989" s="654">
        <v>0</v>
      </c>
      <c r="N989" s="654">
        <v>0</v>
      </c>
    </row>
    <row r="990" spans="2:14" x14ac:dyDescent="0.15">
      <c r="B990"/>
      <c r="F990" t="s">
        <v>735</v>
      </c>
      <c r="H990" s="654">
        <v>14359</v>
      </c>
      <c r="I990" s="654">
        <v>0</v>
      </c>
      <c r="J990" s="654">
        <v>14359</v>
      </c>
      <c r="K990" s="654">
        <v>14359</v>
      </c>
      <c r="L990" s="654">
        <v>0</v>
      </c>
      <c r="M990" s="654">
        <v>0</v>
      </c>
      <c r="N990" s="654">
        <v>0</v>
      </c>
    </row>
    <row r="991" spans="2:14" x14ac:dyDescent="0.15">
      <c r="B991"/>
      <c r="E991" t="s">
        <v>769</v>
      </c>
      <c r="H991" s="654">
        <v>320428</v>
      </c>
      <c r="I991" s="654">
        <v>-109700</v>
      </c>
      <c r="J991" s="654">
        <v>210728</v>
      </c>
      <c r="K991" s="654">
        <v>210728</v>
      </c>
      <c r="L991" s="654">
        <v>0</v>
      </c>
      <c r="M991" s="654">
        <v>0</v>
      </c>
      <c r="N991" s="654">
        <v>0</v>
      </c>
    </row>
    <row r="992" spans="2:14" x14ac:dyDescent="0.15">
      <c r="B992"/>
      <c r="D992" t="s">
        <v>733</v>
      </c>
      <c r="H992" s="654">
        <v>320428</v>
      </c>
      <c r="I992" s="654">
        <v>-109700</v>
      </c>
      <c r="J992" s="654">
        <v>210728</v>
      </c>
      <c r="K992" s="654">
        <v>210728</v>
      </c>
      <c r="L992" s="654">
        <v>0</v>
      </c>
      <c r="M992" s="654">
        <v>0</v>
      </c>
      <c r="N992" s="654">
        <v>0</v>
      </c>
    </row>
    <row r="993" spans="2:14" x14ac:dyDescent="0.15">
      <c r="B993"/>
      <c r="D993" t="s">
        <v>627</v>
      </c>
      <c r="E993" t="s">
        <v>379</v>
      </c>
      <c r="F993" t="s">
        <v>626</v>
      </c>
      <c r="G993" t="s">
        <v>600</v>
      </c>
      <c r="H993" s="654">
        <v>121002</v>
      </c>
      <c r="I993" s="654">
        <v>-53744</v>
      </c>
      <c r="J993" s="654">
        <v>67258</v>
      </c>
      <c r="K993" s="654">
        <v>67258</v>
      </c>
      <c r="L993" s="654">
        <v>0</v>
      </c>
      <c r="M993" s="654">
        <v>0</v>
      </c>
      <c r="N993" s="654">
        <v>0</v>
      </c>
    </row>
    <row r="994" spans="2:14" x14ac:dyDescent="0.15">
      <c r="B994"/>
      <c r="F994" t="s">
        <v>733</v>
      </c>
      <c r="H994" s="654">
        <v>121002</v>
      </c>
      <c r="I994" s="654">
        <v>-53744</v>
      </c>
      <c r="J994" s="654">
        <v>67258</v>
      </c>
      <c r="K994" s="654">
        <v>67258</v>
      </c>
      <c r="L994" s="654">
        <v>0</v>
      </c>
      <c r="M994" s="654">
        <v>0</v>
      </c>
      <c r="N994" s="654">
        <v>0</v>
      </c>
    </row>
    <row r="995" spans="2:14" x14ac:dyDescent="0.15">
      <c r="B995"/>
      <c r="F995" t="s">
        <v>627</v>
      </c>
      <c r="G995" t="s">
        <v>599</v>
      </c>
      <c r="H995" s="654">
        <v>0</v>
      </c>
      <c r="I995" s="654">
        <v>0</v>
      </c>
      <c r="J995" s="654">
        <v>0</v>
      </c>
      <c r="K995" s="654">
        <v>0</v>
      </c>
      <c r="L995" s="654">
        <v>0</v>
      </c>
      <c r="M995" s="654">
        <v>0</v>
      </c>
      <c r="N995" s="654">
        <v>0</v>
      </c>
    </row>
    <row r="996" spans="2:14" x14ac:dyDescent="0.15">
      <c r="B996"/>
      <c r="F996" t="s">
        <v>734</v>
      </c>
      <c r="H996" s="654">
        <v>0</v>
      </c>
      <c r="I996" s="654">
        <v>0</v>
      </c>
      <c r="J996" s="654">
        <v>0</v>
      </c>
      <c r="K996" s="654">
        <v>0</v>
      </c>
      <c r="L996" s="654">
        <v>0</v>
      </c>
      <c r="M996" s="654">
        <v>0</v>
      </c>
      <c r="N996" s="654">
        <v>0</v>
      </c>
    </row>
    <row r="997" spans="2:14" x14ac:dyDescent="0.15">
      <c r="B997"/>
      <c r="F997" t="s">
        <v>628</v>
      </c>
      <c r="G997" t="s">
        <v>598</v>
      </c>
      <c r="H997" s="654">
        <v>0</v>
      </c>
      <c r="I997" s="654">
        <v>0</v>
      </c>
      <c r="J997" s="654">
        <v>0</v>
      </c>
      <c r="K997" s="654">
        <v>0</v>
      </c>
      <c r="L997" s="654">
        <v>0</v>
      </c>
      <c r="M997" s="654">
        <v>0</v>
      </c>
      <c r="N997" s="654">
        <v>0</v>
      </c>
    </row>
    <row r="998" spans="2:14" x14ac:dyDescent="0.15">
      <c r="B998"/>
      <c r="F998" t="s">
        <v>735</v>
      </c>
      <c r="H998" s="654">
        <v>0</v>
      </c>
      <c r="I998" s="654">
        <v>0</v>
      </c>
      <c r="J998" s="654">
        <v>0</v>
      </c>
      <c r="K998" s="654">
        <v>0</v>
      </c>
      <c r="L998" s="654">
        <v>0</v>
      </c>
      <c r="M998" s="654">
        <v>0</v>
      </c>
      <c r="N998" s="654">
        <v>0</v>
      </c>
    </row>
    <row r="999" spans="2:14" x14ac:dyDescent="0.15">
      <c r="B999"/>
      <c r="E999" t="s">
        <v>770</v>
      </c>
      <c r="H999" s="654">
        <v>121002</v>
      </c>
      <c r="I999" s="654">
        <v>-53744</v>
      </c>
      <c r="J999" s="654">
        <v>67258</v>
      </c>
      <c r="K999" s="654">
        <v>67258</v>
      </c>
      <c r="L999" s="654">
        <v>0</v>
      </c>
      <c r="M999" s="654">
        <v>0</v>
      </c>
      <c r="N999" s="654">
        <v>0</v>
      </c>
    </row>
    <row r="1000" spans="2:14" x14ac:dyDescent="0.15">
      <c r="B1000"/>
      <c r="D1000" t="s">
        <v>734</v>
      </c>
      <c r="H1000" s="654">
        <v>121002</v>
      </c>
      <c r="I1000" s="654">
        <v>-53744</v>
      </c>
      <c r="J1000" s="654">
        <v>67258</v>
      </c>
      <c r="K1000" s="654">
        <v>67258</v>
      </c>
      <c r="L1000" s="654">
        <v>0</v>
      </c>
      <c r="M1000" s="654">
        <v>0</v>
      </c>
      <c r="N1000" s="654">
        <v>0</v>
      </c>
    </row>
    <row r="1001" spans="2:14" x14ac:dyDescent="0.15">
      <c r="B1001"/>
      <c r="D1001" t="s">
        <v>628</v>
      </c>
      <c r="E1001" t="s">
        <v>380</v>
      </c>
      <c r="F1001" t="s">
        <v>626</v>
      </c>
      <c r="G1001" t="s">
        <v>600</v>
      </c>
      <c r="H1001" s="654">
        <v>30630</v>
      </c>
      <c r="I1001" s="654">
        <v>31856</v>
      </c>
      <c r="J1001" s="654">
        <v>62486</v>
      </c>
      <c r="K1001" s="654">
        <v>62486</v>
      </c>
      <c r="L1001" s="654">
        <v>0</v>
      </c>
      <c r="M1001" s="654">
        <v>0</v>
      </c>
      <c r="N1001" s="654">
        <v>0</v>
      </c>
    </row>
    <row r="1002" spans="2:14" x14ac:dyDescent="0.15">
      <c r="B1002"/>
      <c r="F1002" t="s">
        <v>733</v>
      </c>
      <c r="H1002" s="654">
        <v>30630</v>
      </c>
      <c r="I1002" s="654">
        <v>31856</v>
      </c>
      <c r="J1002" s="654">
        <v>62486</v>
      </c>
      <c r="K1002" s="654">
        <v>62486</v>
      </c>
      <c r="L1002" s="654">
        <v>0</v>
      </c>
      <c r="M1002" s="654">
        <v>0</v>
      </c>
      <c r="N1002" s="654">
        <v>0</v>
      </c>
    </row>
    <row r="1003" spans="2:14" x14ac:dyDescent="0.15">
      <c r="B1003"/>
      <c r="F1003" t="s">
        <v>627</v>
      </c>
      <c r="G1003" t="s">
        <v>599</v>
      </c>
      <c r="H1003" s="654">
        <v>169640</v>
      </c>
      <c r="I1003" s="654">
        <v>0</v>
      </c>
      <c r="J1003" s="654">
        <v>169640</v>
      </c>
      <c r="K1003" s="654">
        <v>169640</v>
      </c>
      <c r="L1003" s="654">
        <v>0</v>
      </c>
      <c r="M1003" s="654">
        <v>0</v>
      </c>
      <c r="N1003" s="654">
        <v>0</v>
      </c>
    </row>
    <row r="1004" spans="2:14" x14ac:dyDescent="0.15">
      <c r="B1004"/>
      <c r="F1004" t="s">
        <v>734</v>
      </c>
      <c r="H1004" s="654">
        <v>169640</v>
      </c>
      <c r="I1004" s="654">
        <v>0</v>
      </c>
      <c r="J1004" s="654">
        <v>169640</v>
      </c>
      <c r="K1004" s="654">
        <v>169640</v>
      </c>
      <c r="L1004" s="654">
        <v>0</v>
      </c>
      <c r="M1004" s="654">
        <v>0</v>
      </c>
      <c r="N1004" s="654">
        <v>0</v>
      </c>
    </row>
    <row r="1005" spans="2:14" x14ac:dyDescent="0.15">
      <c r="B1005"/>
      <c r="E1005" t="s">
        <v>771</v>
      </c>
      <c r="H1005" s="654">
        <v>200270</v>
      </c>
      <c r="I1005" s="654">
        <v>31856</v>
      </c>
      <c r="J1005" s="654">
        <v>232126</v>
      </c>
      <c r="K1005" s="654">
        <v>232126</v>
      </c>
      <c r="L1005" s="654">
        <v>0</v>
      </c>
      <c r="M1005" s="654">
        <v>0</v>
      </c>
      <c r="N1005" s="654">
        <v>0</v>
      </c>
    </row>
    <row r="1006" spans="2:14" x14ac:dyDescent="0.15">
      <c r="B1006"/>
      <c r="D1006" t="s">
        <v>735</v>
      </c>
      <c r="H1006" s="654">
        <v>200270</v>
      </c>
      <c r="I1006" s="654">
        <v>31856</v>
      </c>
      <c r="J1006" s="654">
        <v>232126</v>
      </c>
      <c r="K1006" s="654">
        <v>232126</v>
      </c>
      <c r="L1006" s="654">
        <v>0</v>
      </c>
      <c r="M1006" s="654">
        <v>0</v>
      </c>
      <c r="N1006" s="654">
        <v>0</v>
      </c>
    </row>
    <row r="1007" spans="2:14" x14ac:dyDescent="0.15">
      <c r="B1007"/>
      <c r="D1007" t="s">
        <v>629</v>
      </c>
      <c r="E1007" t="s">
        <v>676</v>
      </c>
      <c r="F1007" t="s">
        <v>629</v>
      </c>
      <c r="G1007" t="s">
        <v>601</v>
      </c>
      <c r="H1007" s="654">
        <v>270883</v>
      </c>
      <c r="I1007" s="654">
        <v>8224</v>
      </c>
      <c r="J1007" s="654">
        <v>279107</v>
      </c>
      <c r="K1007" s="654">
        <v>279107</v>
      </c>
      <c r="L1007" s="654">
        <v>0</v>
      </c>
      <c r="M1007" s="654">
        <v>0</v>
      </c>
      <c r="N1007" s="654">
        <v>0</v>
      </c>
    </row>
    <row r="1008" spans="2:14" x14ac:dyDescent="0.15">
      <c r="B1008"/>
      <c r="F1008" t="s">
        <v>736</v>
      </c>
      <c r="H1008" s="654">
        <v>270883</v>
      </c>
      <c r="I1008" s="654">
        <v>8224</v>
      </c>
      <c r="J1008" s="654">
        <v>279107</v>
      </c>
      <c r="K1008" s="654">
        <v>279107</v>
      </c>
      <c r="L1008" s="654">
        <v>0</v>
      </c>
      <c r="M1008" s="654">
        <v>0</v>
      </c>
      <c r="N1008" s="654">
        <v>0</v>
      </c>
    </row>
    <row r="1009" spans="2:14" x14ac:dyDescent="0.15">
      <c r="B1009"/>
      <c r="E1009" t="s">
        <v>772</v>
      </c>
      <c r="H1009" s="654">
        <v>270883</v>
      </c>
      <c r="I1009" s="654">
        <v>8224</v>
      </c>
      <c r="J1009" s="654">
        <v>279107</v>
      </c>
      <c r="K1009" s="654">
        <v>279107</v>
      </c>
      <c r="L1009" s="654">
        <v>0</v>
      </c>
      <c r="M1009" s="654">
        <v>0</v>
      </c>
      <c r="N1009" s="654">
        <v>0</v>
      </c>
    </row>
    <row r="1010" spans="2:14" x14ac:dyDescent="0.15">
      <c r="B1010"/>
      <c r="D1010" t="s">
        <v>736</v>
      </c>
      <c r="H1010" s="654">
        <v>270883</v>
      </c>
      <c r="I1010" s="654">
        <v>8224</v>
      </c>
      <c r="J1010" s="654">
        <v>279107</v>
      </c>
      <c r="K1010" s="654">
        <v>279107</v>
      </c>
      <c r="L1010" s="654">
        <v>0</v>
      </c>
      <c r="M1010" s="654">
        <v>0</v>
      </c>
      <c r="N1010" s="654">
        <v>0</v>
      </c>
    </row>
    <row r="1011" spans="2:14" x14ac:dyDescent="0.15">
      <c r="B1011"/>
      <c r="D1011" t="s">
        <v>567</v>
      </c>
      <c r="E1011" t="s">
        <v>473</v>
      </c>
      <c r="F1011" t="s">
        <v>631</v>
      </c>
      <c r="G1011" t="s">
        <v>596</v>
      </c>
      <c r="H1011" s="654">
        <v>1865721</v>
      </c>
      <c r="I1011" s="654">
        <v>-205502</v>
      </c>
      <c r="J1011" s="654">
        <v>1660219</v>
      </c>
      <c r="K1011" s="654">
        <v>1660219</v>
      </c>
      <c r="L1011" s="654">
        <v>0</v>
      </c>
      <c r="M1011" s="654">
        <v>0</v>
      </c>
      <c r="N1011" s="654">
        <v>0</v>
      </c>
    </row>
    <row r="1012" spans="2:14" x14ac:dyDescent="0.15">
      <c r="B1012"/>
      <c r="F1012" t="s">
        <v>737</v>
      </c>
      <c r="H1012" s="654">
        <v>1865721</v>
      </c>
      <c r="I1012" s="654">
        <v>-205502</v>
      </c>
      <c r="J1012" s="654">
        <v>1660219</v>
      </c>
      <c r="K1012" s="654">
        <v>1660219</v>
      </c>
      <c r="L1012" s="654">
        <v>0</v>
      </c>
      <c r="M1012" s="654">
        <v>0</v>
      </c>
      <c r="N1012" s="654">
        <v>0</v>
      </c>
    </row>
    <row r="1013" spans="2:14" x14ac:dyDescent="0.15">
      <c r="B1013"/>
      <c r="E1013" t="s">
        <v>773</v>
      </c>
      <c r="H1013" s="654">
        <v>1865721</v>
      </c>
      <c r="I1013" s="654">
        <v>-205502</v>
      </c>
      <c r="J1013" s="654">
        <v>1660219</v>
      </c>
      <c r="K1013" s="654">
        <v>1660219</v>
      </c>
      <c r="L1013" s="654">
        <v>0</v>
      </c>
      <c r="M1013" s="654">
        <v>0</v>
      </c>
      <c r="N1013" s="654">
        <v>0</v>
      </c>
    </row>
    <row r="1014" spans="2:14" x14ac:dyDescent="0.15">
      <c r="B1014"/>
      <c r="D1014" t="s">
        <v>739</v>
      </c>
      <c r="H1014" s="654">
        <v>1865721</v>
      </c>
      <c r="I1014" s="654">
        <v>-205502</v>
      </c>
      <c r="J1014" s="654">
        <v>1660219</v>
      </c>
      <c r="K1014" s="654">
        <v>1660219</v>
      </c>
      <c r="L1014" s="654">
        <v>0</v>
      </c>
      <c r="M1014" s="654">
        <v>0</v>
      </c>
      <c r="N1014" s="654">
        <v>0</v>
      </c>
    </row>
    <row r="1015" spans="2:14" x14ac:dyDescent="0.15">
      <c r="B1015"/>
      <c r="D1015" t="s">
        <v>568</v>
      </c>
      <c r="E1015" t="s">
        <v>474</v>
      </c>
      <c r="F1015" t="s">
        <v>631</v>
      </c>
      <c r="G1015" t="s">
        <v>596</v>
      </c>
      <c r="H1015" s="654">
        <v>1304016</v>
      </c>
      <c r="I1015" s="654">
        <v>0</v>
      </c>
      <c r="J1015" s="654">
        <v>1304016</v>
      </c>
      <c r="K1015" s="654">
        <v>1304016</v>
      </c>
      <c r="L1015" s="654">
        <v>0</v>
      </c>
      <c r="M1015" s="654">
        <v>0</v>
      </c>
      <c r="N1015" s="654">
        <v>0</v>
      </c>
    </row>
    <row r="1016" spans="2:14" x14ac:dyDescent="0.15">
      <c r="B1016"/>
      <c r="F1016" t="s">
        <v>737</v>
      </c>
      <c r="H1016" s="654">
        <v>1304016</v>
      </c>
      <c r="I1016" s="654">
        <v>0</v>
      </c>
      <c r="J1016" s="654">
        <v>1304016</v>
      </c>
      <c r="K1016" s="654">
        <v>1304016</v>
      </c>
      <c r="L1016" s="654">
        <v>0</v>
      </c>
      <c r="M1016" s="654">
        <v>0</v>
      </c>
      <c r="N1016" s="654">
        <v>0</v>
      </c>
    </row>
    <row r="1017" spans="2:14" x14ac:dyDescent="0.15">
      <c r="B1017"/>
      <c r="E1017" t="s">
        <v>774</v>
      </c>
      <c r="H1017" s="654">
        <v>1304016</v>
      </c>
      <c r="I1017" s="654">
        <v>0</v>
      </c>
      <c r="J1017" s="654">
        <v>1304016</v>
      </c>
      <c r="K1017" s="654">
        <v>1304016</v>
      </c>
      <c r="L1017" s="654">
        <v>0</v>
      </c>
      <c r="M1017" s="654">
        <v>0</v>
      </c>
      <c r="N1017" s="654">
        <v>0</v>
      </c>
    </row>
    <row r="1018" spans="2:14" x14ac:dyDescent="0.15">
      <c r="B1018"/>
      <c r="D1018" t="s">
        <v>740</v>
      </c>
      <c r="H1018" s="654">
        <v>1304016</v>
      </c>
      <c r="I1018" s="654">
        <v>0</v>
      </c>
      <c r="J1018" s="654">
        <v>1304016</v>
      </c>
      <c r="K1018" s="654">
        <v>1304016</v>
      </c>
      <c r="L1018" s="654">
        <v>0</v>
      </c>
      <c r="M1018" s="654">
        <v>0</v>
      </c>
      <c r="N1018" s="654">
        <v>0</v>
      </c>
    </row>
    <row r="1019" spans="2:14" x14ac:dyDescent="0.15">
      <c r="B1019"/>
      <c r="D1019" t="s">
        <v>582</v>
      </c>
      <c r="E1019" t="s">
        <v>384</v>
      </c>
      <c r="F1019" t="s">
        <v>631</v>
      </c>
      <c r="G1019" t="s">
        <v>596</v>
      </c>
      <c r="H1019" s="654">
        <v>0</v>
      </c>
      <c r="I1019" s="654">
        <v>0</v>
      </c>
      <c r="J1019" s="654">
        <v>0</v>
      </c>
      <c r="K1019" s="654">
        <v>0</v>
      </c>
      <c r="L1019" s="654">
        <v>0</v>
      </c>
      <c r="M1019" s="654">
        <v>0</v>
      </c>
      <c r="N1019" s="654">
        <v>0</v>
      </c>
    </row>
    <row r="1020" spans="2:14" x14ac:dyDescent="0.15">
      <c r="B1020"/>
      <c r="F1020" t="s">
        <v>737</v>
      </c>
      <c r="H1020" s="654">
        <v>0</v>
      </c>
      <c r="I1020" s="654">
        <v>0</v>
      </c>
      <c r="J1020" s="654">
        <v>0</v>
      </c>
      <c r="K1020" s="654">
        <v>0</v>
      </c>
      <c r="L1020" s="654">
        <v>0</v>
      </c>
      <c r="M1020" s="654">
        <v>0</v>
      </c>
      <c r="N1020" s="654">
        <v>0</v>
      </c>
    </row>
    <row r="1021" spans="2:14" x14ac:dyDescent="0.15">
      <c r="B1021"/>
      <c r="E1021" t="s">
        <v>778</v>
      </c>
      <c r="H1021" s="654">
        <v>0</v>
      </c>
      <c r="I1021" s="654">
        <v>0</v>
      </c>
      <c r="J1021" s="654">
        <v>0</v>
      </c>
      <c r="K1021" s="654">
        <v>0</v>
      </c>
      <c r="L1021" s="654">
        <v>0</v>
      </c>
      <c r="M1021" s="654">
        <v>0</v>
      </c>
      <c r="N1021" s="654">
        <v>0</v>
      </c>
    </row>
    <row r="1022" spans="2:14" x14ac:dyDescent="0.15">
      <c r="B1022"/>
      <c r="D1022" t="s">
        <v>743</v>
      </c>
      <c r="H1022" s="654">
        <v>0</v>
      </c>
      <c r="I1022" s="654">
        <v>0</v>
      </c>
      <c r="J1022" s="654">
        <v>0</v>
      </c>
      <c r="K1022" s="654">
        <v>0</v>
      </c>
      <c r="L1022" s="654">
        <v>0</v>
      </c>
      <c r="M1022" s="654">
        <v>0</v>
      </c>
      <c r="N1022" s="654">
        <v>0</v>
      </c>
    </row>
    <row r="1023" spans="2:14" x14ac:dyDescent="0.15">
      <c r="B1023"/>
      <c r="D1023" t="s">
        <v>631</v>
      </c>
      <c r="E1023" t="s">
        <v>381</v>
      </c>
      <c r="F1023" t="s">
        <v>626</v>
      </c>
      <c r="G1023" t="s">
        <v>600</v>
      </c>
      <c r="H1023" s="654">
        <v>0</v>
      </c>
      <c r="I1023" s="654">
        <v>0</v>
      </c>
      <c r="J1023" s="654">
        <v>0</v>
      </c>
      <c r="K1023" s="654">
        <v>0</v>
      </c>
      <c r="L1023" s="654">
        <v>0</v>
      </c>
      <c r="M1023" s="654">
        <v>0</v>
      </c>
      <c r="N1023" s="654">
        <v>0</v>
      </c>
    </row>
    <row r="1024" spans="2:14" x14ac:dyDescent="0.15">
      <c r="B1024"/>
      <c r="F1024" t="s">
        <v>733</v>
      </c>
      <c r="H1024" s="654">
        <v>0</v>
      </c>
      <c r="I1024" s="654">
        <v>0</v>
      </c>
      <c r="J1024" s="654">
        <v>0</v>
      </c>
      <c r="K1024" s="654">
        <v>0</v>
      </c>
      <c r="L1024" s="654">
        <v>0</v>
      </c>
      <c r="M1024" s="654">
        <v>0</v>
      </c>
      <c r="N1024" s="654">
        <v>0</v>
      </c>
    </row>
    <row r="1025" spans="1:14" x14ac:dyDescent="0.15">
      <c r="B1025"/>
      <c r="E1025" t="s">
        <v>776</v>
      </c>
      <c r="H1025" s="654">
        <v>0</v>
      </c>
      <c r="I1025" s="654">
        <v>0</v>
      </c>
      <c r="J1025" s="654">
        <v>0</v>
      </c>
      <c r="K1025" s="654">
        <v>0</v>
      </c>
      <c r="L1025" s="654">
        <v>0</v>
      </c>
      <c r="M1025" s="654">
        <v>0</v>
      </c>
      <c r="N1025" s="654">
        <v>0</v>
      </c>
    </row>
    <row r="1026" spans="1:14" x14ac:dyDescent="0.15">
      <c r="B1026"/>
      <c r="D1026" t="s">
        <v>737</v>
      </c>
      <c r="H1026" s="654">
        <v>0</v>
      </c>
      <c r="I1026" s="654">
        <v>0</v>
      </c>
      <c r="J1026" s="654">
        <v>0</v>
      </c>
      <c r="K1026" s="654">
        <v>0</v>
      </c>
      <c r="L1026" s="654">
        <v>0</v>
      </c>
      <c r="M1026" s="654">
        <v>0</v>
      </c>
      <c r="N1026" s="654">
        <v>0</v>
      </c>
    </row>
    <row r="1027" spans="1:14" x14ac:dyDescent="0.15">
      <c r="B1027"/>
      <c r="D1027" t="s">
        <v>671</v>
      </c>
      <c r="E1027" t="s">
        <v>383</v>
      </c>
      <c r="F1027" t="s">
        <v>626</v>
      </c>
      <c r="G1027" t="s">
        <v>600</v>
      </c>
      <c r="H1027" s="654">
        <v>18285</v>
      </c>
      <c r="I1027" s="654">
        <v>6505</v>
      </c>
      <c r="J1027" s="654">
        <v>24790</v>
      </c>
      <c r="K1027" s="654">
        <v>24790</v>
      </c>
      <c r="L1027" s="654">
        <v>0</v>
      </c>
      <c r="M1027" s="654">
        <v>0</v>
      </c>
      <c r="N1027" s="654">
        <v>0</v>
      </c>
    </row>
    <row r="1028" spans="1:14" x14ac:dyDescent="0.15">
      <c r="B1028"/>
      <c r="F1028" t="s">
        <v>733</v>
      </c>
      <c r="H1028" s="654">
        <v>18285</v>
      </c>
      <c r="I1028" s="654">
        <v>6505</v>
      </c>
      <c r="J1028" s="654">
        <v>24790</v>
      </c>
      <c r="K1028" s="654">
        <v>24790</v>
      </c>
      <c r="L1028" s="654">
        <v>0</v>
      </c>
      <c r="M1028" s="654">
        <v>0</v>
      </c>
      <c r="N1028" s="654">
        <v>0</v>
      </c>
    </row>
    <row r="1029" spans="1:14" x14ac:dyDescent="0.15">
      <c r="B1029"/>
      <c r="F1029" t="s">
        <v>627</v>
      </c>
      <c r="G1029" t="s">
        <v>599</v>
      </c>
      <c r="H1029" s="654">
        <v>0</v>
      </c>
      <c r="I1029" s="654">
        <v>0</v>
      </c>
      <c r="J1029" s="654">
        <v>0</v>
      </c>
      <c r="K1029" s="654">
        <v>0</v>
      </c>
      <c r="L1029" s="654">
        <v>0</v>
      </c>
      <c r="M1029" s="654">
        <v>0</v>
      </c>
      <c r="N1029" s="654">
        <v>0</v>
      </c>
    </row>
    <row r="1030" spans="1:14" x14ac:dyDescent="0.15">
      <c r="B1030"/>
      <c r="F1030" t="s">
        <v>734</v>
      </c>
      <c r="H1030" s="654">
        <v>0</v>
      </c>
      <c r="I1030" s="654">
        <v>0</v>
      </c>
      <c r="J1030" s="654">
        <v>0</v>
      </c>
      <c r="K1030" s="654">
        <v>0</v>
      </c>
      <c r="L1030" s="654">
        <v>0</v>
      </c>
      <c r="M1030" s="654">
        <v>0</v>
      </c>
      <c r="N1030" s="654">
        <v>0</v>
      </c>
    </row>
    <row r="1031" spans="1:14" x14ac:dyDescent="0.15">
      <c r="B1031"/>
      <c r="E1031" t="s">
        <v>777</v>
      </c>
      <c r="H1031" s="654">
        <v>18285</v>
      </c>
      <c r="I1031" s="654">
        <v>6505</v>
      </c>
      <c r="J1031" s="654">
        <v>24790</v>
      </c>
      <c r="K1031" s="654">
        <v>24790</v>
      </c>
      <c r="L1031" s="654">
        <v>0</v>
      </c>
      <c r="M1031" s="654">
        <v>0</v>
      </c>
      <c r="N1031" s="654">
        <v>0</v>
      </c>
    </row>
    <row r="1032" spans="1:14" x14ac:dyDescent="0.15">
      <c r="B1032"/>
      <c r="D1032" t="s">
        <v>742</v>
      </c>
      <c r="H1032" s="654">
        <v>18285</v>
      </c>
      <c r="I1032" s="654">
        <v>6505</v>
      </c>
      <c r="J1032" s="654">
        <v>24790</v>
      </c>
      <c r="K1032" s="654">
        <v>24790</v>
      </c>
      <c r="L1032" s="654">
        <v>0</v>
      </c>
      <c r="M1032" s="654">
        <v>0</v>
      </c>
      <c r="N1032" s="654">
        <v>0</v>
      </c>
    </row>
    <row r="1033" spans="1:14" x14ac:dyDescent="0.15">
      <c r="B1033"/>
      <c r="C1033" t="s">
        <v>854</v>
      </c>
      <c r="H1033" s="654">
        <v>4100605</v>
      </c>
      <c r="I1033" s="654">
        <v>-322361</v>
      </c>
      <c r="J1033" s="654">
        <v>3778244</v>
      </c>
      <c r="K1033" s="654">
        <v>3778244</v>
      </c>
      <c r="L1033" s="654">
        <v>0</v>
      </c>
      <c r="M1033" s="654">
        <v>0</v>
      </c>
      <c r="N1033" s="654">
        <v>0</v>
      </c>
    </row>
    <row r="1034" spans="1:14" x14ac:dyDescent="0.15">
      <c r="A1034" s="653" t="s">
        <v>618</v>
      </c>
      <c r="B1034"/>
      <c r="H1034" s="654">
        <v>33885790</v>
      </c>
      <c r="I1034" s="654">
        <v>-682742</v>
      </c>
      <c r="J1034" s="654">
        <v>33203048</v>
      </c>
      <c r="K1034" s="654">
        <v>33203048</v>
      </c>
      <c r="L1034" s="654">
        <v>0</v>
      </c>
      <c r="M1034" s="654">
        <v>155964</v>
      </c>
      <c r="N1034" s="654">
        <v>3702956</v>
      </c>
    </row>
    <row r="1035" spans="1:14" x14ac:dyDescent="0.15">
      <c r="A1035" s="653">
        <v>42917</v>
      </c>
      <c r="B1035" t="s">
        <v>626</v>
      </c>
      <c r="C1035" t="s">
        <v>849</v>
      </c>
      <c r="D1035" t="s">
        <v>626</v>
      </c>
      <c r="E1035" t="s">
        <v>378</v>
      </c>
      <c r="F1035" t="s">
        <v>626</v>
      </c>
      <c r="G1035" t="s">
        <v>600</v>
      </c>
      <c r="H1035" s="654">
        <v>7445997</v>
      </c>
      <c r="I1035" s="654">
        <v>0</v>
      </c>
      <c r="J1035" s="654">
        <v>7445997</v>
      </c>
      <c r="K1035" s="654">
        <v>7445997</v>
      </c>
      <c r="L1035" s="654">
        <v>0</v>
      </c>
      <c r="M1035" s="654">
        <v>98567</v>
      </c>
      <c r="N1035" s="654">
        <v>1322317</v>
      </c>
    </row>
    <row r="1036" spans="1:14" x14ac:dyDescent="0.15">
      <c r="B1036"/>
      <c r="F1036" t="s">
        <v>733</v>
      </c>
      <c r="H1036" s="654">
        <v>7445997</v>
      </c>
      <c r="I1036" s="654">
        <v>0</v>
      </c>
      <c r="J1036" s="654">
        <v>7445997</v>
      </c>
      <c r="K1036" s="654">
        <v>7445997</v>
      </c>
      <c r="L1036" s="654">
        <v>0</v>
      </c>
      <c r="M1036" s="654">
        <v>98567</v>
      </c>
      <c r="N1036" s="654">
        <v>1322317</v>
      </c>
    </row>
    <row r="1037" spans="1:14" x14ac:dyDescent="0.15">
      <c r="B1037"/>
      <c r="F1037" t="s">
        <v>627</v>
      </c>
      <c r="G1037" t="s">
        <v>599</v>
      </c>
      <c r="H1037" s="654">
        <v>1653112</v>
      </c>
      <c r="I1037" s="654">
        <v>0</v>
      </c>
      <c r="J1037" s="654">
        <v>1653112</v>
      </c>
      <c r="K1037" s="654">
        <v>1653112</v>
      </c>
      <c r="L1037" s="654">
        <v>0</v>
      </c>
      <c r="M1037" s="654">
        <v>0</v>
      </c>
      <c r="N1037" s="654">
        <v>410348</v>
      </c>
    </row>
    <row r="1038" spans="1:14" x14ac:dyDescent="0.15">
      <c r="B1038"/>
      <c r="F1038" t="s">
        <v>734</v>
      </c>
      <c r="H1038" s="654">
        <v>1653112</v>
      </c>
      <c r="I1038" s="654">
        <v>0</v>
      </c>
      <c r="J1038" s="654">
        <v>1653112</v>
      </c>
      <c r="K1038" s="654">
        <v>1653112</v>
      </c>
      <c r="L1038" s="654">
        <v>0</v>
      </c>
      <c r="M1038" s="654">
        <v>0</v>
      </c>
      <c r="N1038" s="654">
        <v>410348</v>
      </c>
    </row>
    <row r="1039" spans="1:14" x14ac:dyDescent="0.15">
      <c r="B1039"/>
      <c r="F1039" t="s">
        <v>628</v>
      </c>
      <c r="G1039" t="s">
        <v>598</v>
      </c>
      <c r="H1039" s="654">
        <v>677356</v>
      </c>
      <c r="I1039" s="654">
        <v>0</v>
      </c>
      <c r="J1039" s="654">
        <v>677356</v>
      </c>
      <c r="K1039" s="654">
        <v>677356</v>
      </c>
      <c r="L1039" s="654">
        <v>0</v>
      </c>
      <c r="M1039" s="654">
        <v>0</v>
      </c>
      <c r="N1039" s="654">
        <v>0</v>
      </c>
    </row>
    <row r="1040" spans="1:14" x14ac:dyDescent="0.15">
      <c r="B1040"/>
      <c r="F1040" t="s">
        <v>735</v>
      </c>
      <c r="H1040" s="654">
        <v>677356</v>
      </c>
      <c r="I1040" s="654">
        <v>0</v>
      </c>
      <c r="J1040" s="654">
        <v>677356</v>
      </c>
      <c r="K1040" s="654">
        <v>677356</v>
      </c>
      <c r="L1040" s="654">
        <v>0</v>
      </c>
      <c r="M1040" s="654">
        <v>0</v>
      </c>
      <c r="N1040" s="654">
        <v>0</v>
      </c>
    </row>
    <row r="1041" spans="2:14" x14ac:dyDescent="0.15">
      <c r="B1041"/>
      <c r="E1041" t="s">
        <v>769</v>
      </c>
      <c r="H1041" s="654">
        <v>9776465</v>
      </c>
      <c r="I1041" s="654">
        <v>0</v>
      </c>
      <c r="J1041" s="654">
        <v>9776465</v>
      </c>
      <c r="K1041" s="654">
        <v>9776465</v>
      </c>
      <c r="L1041" s="654">
        <v>0</v>
      </c>
      <c r="M1041" s="654">
        <v>98567</v>
      </c>
      <c r="N1041" s="654">
        <v>1732665</v>
      </c>
    </row>
    <row r="1042" spans="2:14" x14ac:dyDescent="0.15">
      <c r="B1042"/>
      <c r="D1042" t="s">
        <v>733</v>
      </c>
      <c r="H1042" s="654">
        <v>9776465</v>
      </c>
      <c r="I1042" s="654">
        <v>0</v>
      </c>
      <c r="J1042" s="654">
        <v>9776465</v>
      </c>
      <c r="K1042" s="654">
        <v>9776465</v>
      </c>
      <c r="L1042" s="654">
        <v>0</v>
      </c>
      <c r="M1042" s="654">
        <v>98567</v>
      </c>
      <c r="N1042" s="654">
        <v>1732665</v>
      </c>
    </row>
    <row r="1043" spans="2:14" x14ac:dyDescent="0.15">
      <c r="B1043"/>
      <c r="D1043" t="s">
        <v>627</v>
      </c>
      <c r="E1043" t="s">
        <v>379</v>
      </c>
      <c r="F1043" t="s">
        <v>626</v>
      </c>
      <c r="G1043" t="s">
        <v>600</v>
      </c>
      <c r="H1043" s="654">
        <v>4096138</v>
      </c>
      <c r="I1043" s="654">
        <v>-3392</v>
      </c>
      <c r="J1043" s="654">
        <v>4092746</v>
      </c>
      <c r="K1043" s="654">
        <v>4092746</v>
      </c>
      <c r="L1043" s="654">
        <v>0</v>
      </c>
      <c r="M1043" s="654">
        <v>0</v>
      </c>
      <c r="N1043" s="654">
        <v>459731</v>
      </c>
    </row>
    <row r="1044" spans="2:14" x14ac:dyDescent="0.15">
      <c r="B1044"/>
      <c r="F1044" t="s">
        <v>733</v>
      </c>
      <c r="H1044" s="654">
        <v>4096138</v>
      </c>
      <c r="I1044" s="654">
        <v>-3392</v>
      </c>
      <c r="J1044" s="654">
        <v>4092746</v>
      </c>
      <c r="K1044" s="654">
        <v>4092746</v>
      </c>
      <c r="L1044" s="654">
        <v>0</v>
      </c>
      <c r="M1044" s="654">
        <v>0</v>
      </c>
      <c r="N1044" s="654">
        <v>459731</v>
      </c>
    </row>
    <row r="1045" spans="2:14" x14ac:dyDescent="0.15">
      <c r="B1045"/>
      <c r="F1045" t="s">
        <v>627</v>
      </c>
      <c r="G1045" t="s">
        <v>599</v>
      </c>
      <c r="H1045" s="654">
        <v>930164</v>
      </c>
      <c r="I1045" s="654">
        <v>-131079</v>
      </c>
      <c r="J1045" s="654">
        <v>799085</v>
      </c>
      <c r="K1045" s="654">
        <v>799085</v>
      </c>
      <c r="L1045" s="654">
        <v>0</v>
      </c>
      <c r="M1045" s="654">
        <v>0</v>
      </c>
      <c r="N1045" s="654">
        <v>204311</v>
      </c>
    </row>
    <row r="1046" spans="2:14" x14ac:dyDescent="0.15">
      <c r="B1046"/>
      <c r="F1046" t="s">
        <v>734</v>
      </c>
      <c r="H1046" s="654">
        <v>930164</v>
      </c>
      <c r="I1046" s="654">
        <v>-131079</v>
      </c>
      <c r="J1046" s="654">
        <v>799085</v>
      </c>
      <c r="K1046" s="654">
        <v>799085</v>
      </c>
      <c r="L1046" s="654">
        <v>0</v>
      </c>
      <c r="M1046" s="654">
        <v>0</v>
      </c>
      <c r="N1046" s="654">
        <v>204311</v>
      </c>
    </row>
    <row r="1047" spans="2:14" x14ac:dyDescent="0.15">
      <c r="B1047"/>
      <c r="F1047" t="s">
        <v>628</v>
      </c>
      <c r="G1047" t="s">
        <v>598</v>
      </c>
      <c r="H1047" s="654">
        <v>440665</v>
      </c>
      <c r="I1047" s="654">
        <v>0</v>
      </c>
      <c r="J1047" s="654">
        <v>440665</v>
      </c>
      <c r="K1047" s="654">
        <v>440665</v>
      </c>
      <c r="L1047" s="654">
        <v>0</v>
      </c>
      <c r="M1047" s="654">
        <v>0</v>
      </c>
      <c r="N1047" s="654">
        <v>0</v>
      </c>
    </row>
    <row r="1048" spans="2:14" x14ac:dyDescent="0.15">
      <c r="B1048"/>
      <c r="F1048" t="s">
        <v>735</v>
      </c>
      <c r="H1048" s="654">
        <v>440665</v>
      </c>
      <c r="I1048" s="654">
        <v>0</v>
      </c>
      <c r="J1048" s="654">
        <v>440665</v>
      </c>
      <c r="K1048" s="654">
        <v>440665</v>
      </c>
      <c r="L1048" s="654">
        <v>0</v>
      </c>
      <c r="M1048" s="654">
        <v>0</v>
      </c>
      <c r="N1048" s="654">
        <v>0</v>
      </c>
    </row>
    <row r="1049" spans="2:14" x14ac:dyDescent="0.15">
      <c r="B1049"/>
      <c r="E1049" t="s">
        <v>770</v>
      </c>
      <c r="H1049" s="654">
        <v>5466967</v>
      </c>
      <c r="I1049" s="654">
        <v>-134471</v>
      </c>
      <c r="J1049" s="654">
        <v>5332496</v>
      </c>
      <c r="K1049" s="654">
        <v>5332496</v>
      </c>
      <c r="L1049" s="654">
        <v>0</v>
      </c>
      <c r="M1049" s="654">
        <v>0</v>
      </c>
      <c r="N1049" s="654">
        <v>664042</v>
      </c>
    </row>
    <row r="1050" spans="2:14" x14ac:dyDescent="0.15">
      <c r="B1050"/>
      <c r="D1050" t="s">
        <v>734</v>
      </c>
      <c r="H1050" s="654">
        <v>5466967</v>
      </c>
      <c r="I1050" s="654">
        <v>-134471</v>
      </c>
      <c r="J1050" s="654">
        <v>5332496</v>
      </c>
      <c r="K1050" s="654">
        <v>5332496</v>
      </c>
      <c r="L1050" s="654">
        <v>0</v>
      </c>
      <c r="M1050" s="654">
        <v>0</v>
      </c>
      <c r="N1050" s="654">
        <v>664042</v>
      </c>
    </row>
    <row r="1051" spans="2:14" x14ac:dyDescent="0.15">
      <c r="B1051"/>
      <c r="D1051" t="s">
        <v>628</v>
      </c>
      <c r="E1051" t="s">
        <v>380</v>
      </c>
      <c r="F1051" t="s">
        <v>626</v>
      </c>
      <c r="G1051" t="s">
        <v>600</v>
      </c>
      <c r="H1051" s="654">
        <v>3447166</v>
      </c>
      <c r="I1051" s="654">
        <v>-43746</v>
      </c>
      <c r="J1051" s="654">
        <v>3403420</v>
      </c>
      <c r="K1051" s="654">
        <v>3403420</v>
      </c>
      <c r="L1051" s="654">
        <v>0</v>
      </c>
      <c r="M1051" s="654">
        <v>6210</v>
      </c>
      <c r="N1051" s="654">
        <v>394909</v>
      </c>
    </row>
    <row r="1052" spans="2:14" x14ac:dyDescent="0.15">
      <c r="B1052"/>
      <c r="F1052" t="s">
        <v>733</v>
      </c>
      <c r="H1052" s="654">
        <v>3447166</v>
      </c>
      <c r="I1052" s="654">
        <v>-43746</v>
      </c>
      <c r="J1052" s="654">
        <v>3403420</v>
      </c>
      <c r="K1052" s="654">
        <v>3403420</v>
      </c>
      <c r="L1052" s="654">
        <v>0</v>
      </c>
      <c r="M1052" s="654">
        <v>6210</v>
      </c>
      <c r="N1052" s="654">
        <v>394909</v>
      </c>
    </row>
    <row r="1053" spans="2:14" x14ac:dyDescent="0.15">
      <c r="B1053"/>
      <c r="F1053" t="s">
        <v>627</v>
      </c>
      <c r="G1053" t="s">
        <v>599</v>
      </c>
      <c r="H1053" s="654">
        <v>2123008</v>
      </c>
      <c r="I1053" s="654">
        <v>0</v>
      </c>
      <c r="J1053" s="654">
        <v>2123008</v>
      </c>
      <c r="K1053" s="654">
        <v>2123008</v>
      </c>
      <c r="L1053" s="654">
        <v>0</v>
      </c>
      <c r="M1053" s="654">
        <v>0</v>
      </c>
      <c r="N1053" s="654">
        <v>490767</v>
      </c>
    </row>
    <row r="1054" spans="2:14" x14ac:dyDescent="0.15">
      <c r="B1054"/>
      <c r="F1054" t="s">
        <v>734</v>
      </c>
      <c r="H1054" s="654">
        <v>2123008</v>
      </c>
      <c r="I1054" s="654">
        <v>0</v>
      </c>
      <c r="J1054" s="654">
        <v>2123008</v>
      </c>
      <c r="K1054" s="654">
        <v>2123008</v>
      </c>
      <c r="L1054" s="654">
        <v>0</v>
      </c>
      <c r="M1054" s="654">
        <v>0</v>
      </c>
      <c r="N1054" s="654">
        <v>490767</v>
      </c>
    </row>
    <row r="1055" spans="2:14" x14ac:dyDescent="0.15">
      <c r="B1055"/>
      <c r="E1055" t="s">
        <v>771</v>
      </c>
      <c r="H1055" s="654">
        <v>5570174</v>
      </c>
      <c r="I1055" s="654">
        <v>-43746</v>
      </c>
      <c r="J1055" s="654">
        <v>5526428</v>
      </c>
      <c r="K1055" s="654">
        <v>5526428</v>
      </c>
      <c r="L1055" s="654">
        <v>0</v>
      </c>
      <c r="M1055" s="654">
        <v>6210</v>
      </c>
      <c r="N1055" s="654">
        <v>885676</v>
      </c>
    </row>
    <row r="1056" spans="2:14" x14ac:dyDescent="0.15">
      <c r="B1056"/>
      <c r="D1056" t="s">
        <v>735</v>
      </c>
      <c r="H1056" s="654">
        <v>5570174</v>
      </c>
      <c r="I1056" s="654">
        <v>-43746</v>
      </c>
      <c r="J1056" s="654">
        <v>5526428</v>
      </c>
      <c r="K1056" s="654">
        <v>5526428</v>
      </c>
      <c r="L1056" s="654">
        <v>0</v>
      </c>
      <c r="M1056" s="654">
        <v>6210</v>
      </c>
      <c r="N1056" s="654">
        <v>885676</v>
      </c>
    </row>
    <row r="1057" spans="2:14" x14ac:dyDescent="0.15">
      <c r="B1057"/>
      <c r="D1057" t="s">
        <v>629</v>
      </c>
      <c r="E1057" t="s">
        <v>676</v>
      </c>
      <c r="F1057" t="s">
        <v>629</v>
      </c>
      <c r="G1057" t="s">
        <v>601</v>
      </c>
      <c r="H1057" s="654">
        <v>3426262</v>
      </c>
      <c r="I1057" s="654">
        <v>-37369</v>
      </c>
      <c r="J1057" s="654">
        <v>3388893</v>
      </c>
      <c r="K1057" s="654">
        <v>3388893</v>
      </c>
      <c r="L1057" s="654">
        <v>0</v>
      </c>
      <c r="M1057" s="654">
        <v>0</v>
      </c>
      <c r="N1057" s="654">
        <v>190666</v>
      </c>
    </row>
    <row r="1058" spans="2:14" x14ac:dyDescent="0.15">
      <c r="B1058"/>
      <c r="F1058" t="s">
        <v>736</v>
      </c>
      <c r="H1058" s="654">
        <v>3426262</v>
      </c>
      <c r="I1058" s="654">
        <v>-37369</v>
      </c>
      <c r="J1058" s="654">
        <v>3388893</v>
      </c>
      <c r="K1058" s="654">
        <v>3388893</v>
      </c>
      <c r="L1058" s="654">
        <v>0</v>
      </c>
      <c r="M1058" s="654">
        <v>0</v>
      </c>
      <c r="N1058" s="654">
        <v>190666</v>
      </c>
    </row>
    <row r="1059" spans="2:14" x14ac:dyDescent="0.15">
      <c r="B1059"/>
      <c r="E1059" t="s">
        <v>772</v>
      </c>
      <c r="H1059" s="654">
        <v>3426262</v>
      </c>
      <c r="I1059" s="654">
        <v>-37369</v>
      </c>
      <c r="J1059" s="654">
        <v>3388893</v>
      </c>
      <c r="K1059" s="654">
        <v>3388893</v>
      </c>
      <c r="L1059" s="654">
        <v>0</v>
      </c>
      <c r="M1059" s="654">
        <v>0</v>
      </c>
      <c r="N1059" s="654">
        <v>190666</v>
      </c>
    </row>
    <row r="1060" spans="2:14" x14ac:dyDescent="0.15">
      <c r="B1060"/>
      <c r="D1060" t="s">
        <v>736</v>
      </c>
      <c r="H1060" s="654">
        <v>3426262</v>
      </c>
      <c r="I1060" s="654">
        <v>-37369</v>
      </c>
      <c r="J1060" s="654">
        <v>3388893</v>
      </c>
      <c r="K1060" s="654">
        <v>3388893</v>
      </c>
      <c r="L1060" s="654">
        <v>0</v>
      </c>
      <c r="M1060" s="654">
        <v>0</v>
      </c>
      <c r="N1060" s="654">
        <v>190666</v>
      </c>
    </row>
    <row r="1061" spans="2:14" x14ac:dyDescent="0.15">
      <c r="B1061"/>
      <c r="D1061" t="s">
        <v>567</v>
      </c>
      <c r="E1061" t="s">
        <v>473</v>
      </c>
      <c r="F1061" t="s">
        <v>631</v>
      </c>
      <c r="G1061" t="s">
        <v>596</v>
      </c>
      <c r="H1061" s="654">
        <v>1019564</v>
      </c>
      <c r="I1061" s="654">
        <v>0</v>
      </c>
      <c r="J1061" s="654">
        <v>1019564</v>
      </c>
      <c r="K1061" s="654">
        <v>1019564</v>
      </c>
      <c r="L1061" s="654">
        <v>0</v>
      </c>
      <c r="M1061" s="654">
        <v>0</v>
      </c>
      <c r="N1061" s="654">
        <v>256019</v>
      </c>
    </row>
    <row r="1062" spans="2:14" x14ac:dyDescent="0.15">
      <c r="B1062"/>
      <c r="F1062" t="s">
        <v>737</v>
      </c>
      <c r="H1062" s="654">
        <v>1019564</v>
      </c>
      <c r="I1062" s="654">
        <v>0</v>
      </c>
      <c r="J1062" s="654">
        <v>1019564</v>
      </c>
      <c r="K1062" s="654">
        <v>1019564</v>
      </c>
      <c r="L1062" s="654">
        <v>0</v>
      </c>
      <c r="M1062" s="654">
        <v>0</v>
      </c>
      <c r="N1062" s="654">
        <v>256019</v>
      </c>
    </row>
    <row r="1063" spans="2:14" x14ac:dyDescent="0.15">
      <c r="B1063"/>
      <c r="E1063" t="s">
        <v>773</v>
      </c>
      <c r="H1063" s="654">
        <v>1019564</v>
      </c>
      <c r="I1063" s="654">
        <v>0</v>
      </c>
      <c r="J1063" s="654">
        <v>1019564</v>
      </c>
      <c r="K1063" s="654">
        <v>1019564</v>
      </c>
      <c r="L1063" s="654">
        <v>0</v>
      </c>
      <c r="M1063" s="654">
        <v>0</v>
      </c>
      <c r="N1063" s="654">
        <v>256019</v>
      </c>
    </row>
    <row r="1064" spans="2:14" x14ac:dyDescent="0.15">
      <c r="B1064"/>
      <c r="D1064" t="s">
        <v>739</v>
      </c>
      <c r="H1064" s="654">
        <v>1019564</v>
      </c>
      <c r="I1064" s="654">
        <v>0</v>
      </c>
      <c r="J1064" s="654">
        <v>1019564</v>
      </c>
      <c r="K1064" s="654">
        <v>1019564</v>
      </c>
      <c r="L1064" s="654">
        <v>0</v>
      </c>
      <c r="M1064" s="654">
        <v>0</v>
      </c>
      <c r="N1064" s="654">
        <v>256019</v>
      </c>
    </row>
    <row r="1065" spans="2:14" x14ac:dyDescent="0.15">
      <c r="B1065"/>
      <c r="D1065" t="s">
        <v>568</v>
      </c>
      <c r="E1065" t="s">
        <v>474</v>
      </c>
      <c r="F1065" t="s">
        <v>631</v>
      </c>
      <c r="G1065" t="s">
        <v>596</v>
      </c>
      <c r="H1065" s="654">
        <v>983492</v>
      </c>
      <c r="I1065" s="654">
        <v>0</v>
      </c>
      <c r="J1065" s="654">
        <v>983492</v>
      </c>
      <c r="K1065" s="654">
        <v>983492</v>
      </c>
      <c r="L1065" s="654">
        <v>0</v>
      </c>
      <c r="M1065" s="654">
        <v>0</v>
      </c>
      <c r="N1065" s="654">
        <v>0</v>
      </c>
    </row>
    <row r="1066" spans="2:14" x14ac:dyDescent="0.15">
      <c r="B1066"/>
      <c r="F1066" t="s">
        <v>737</v>
      </c>
      <c r="H1066" s="654">
        <v>983492</v>
      </c>
      <c r="I1066" s="654">
        <v>0</v>
      </c>
      <c r="J1066" s="654">
        <v>983492</v>
      </c>
      <c r="K1066" s="654">
        <v>983492</v>
      </c>
      <c r="L1066" s="654">
        <v>0</v>
      </c>
      <c r="M1066" s="654">
        <v>0</v>
      </c>
      <c r="N1066" s="654">
        <v>0</v>
      </c>
    </row>
    <row r="1067" spans="2:14" x14ac:dyDescent="0.15">
      <c r="B1067"/>
      <c r="E1067" t="s">
        <v>774</v>
      </c>
      <c r="H1067" s="654">
        <v>983492</v>
      </c>
      <c r="I1067" s="654">
        <v>0</v>
      </c>
      <c r="J1067" s="654">
        <v>983492</v>
      </c>
      <c r="K1067" s="654">
        <v>983492</v>
      </c>
      <c r="L1067" s="654">
        <v>0</v>
      </c>
      <c r="M1067" s="654">
        <v>0</v>
      </c>
      <c r="N1067" s="654">
        <v>0</v>
      </c>
    </row>
    <row r="1068" spans="2:14" x14ac:dyDescent="0.15">
      <c r="B1068"/>
      <c r="D1068" t="s">
        <v>740</v>
      </c>
      <c r="H1068" s="654">
        <v>983492</v>
      </c>
      <c r="I1068" s="654">
        <v>0</v>
      </c>
      <c r="J1068" s="654">
        <v>983492</v>
      </c>
      <c r="K1068" s="654">
        <v>983492</v>
      </c>
      <c r="L1068" s="654">
        <v>0</v>
      </c>
      <c r="M1068" s="654">
        <v>0</v>
      </c>
      <c r="N1068" s="654">
        <v>0</v>
      </c>
    </row>
    <row r="1069" spans="2:14" x14ac:dyDescent="0.15">
      <c r="B1069"/>
      <c r="D1069" t="s">
        <v>582</v>
      </c>
      <c r="E1069" t="s">
        <v>384</v>
      </c>
      <c r="F1069" t="s">
        <v>631</v>
      </c>
      <c r="G1069" t="s">
        <v>596</v>
      </c>
      <c r="H1069" s="654">
        <v>1874549</v>
      </c>
      <c r="I1069" s="654">
        <v>-217608</v>
      </c>
      <c r="J1069" s="654">
        <v>1656941</v>
      </c>
      <c r="K1069" s="654">
        <v>1656941</v>
      </c>
      <c r="L1069" s="654">
        <v>0</v>
      </c>
      <c r="M1069" s="654">
        <v>0</v>
      </c>
      <c r="N1069" s="654">
        <v>0</v>
      </c>
    </row>
    <row r="1070" spans="2:14" x14ac:dyDescent="0.15">
      <c r="B1070"/>
      <c r="F1070" t="s">
        <v>737</v>
      </c>
      <c r="H1070" s="654">
        <v>1874549</v>
      </c>
      <c r="I1070" s="654">
        <v>-217608</v>
      </c>
      <c r="J1070" s="654">
        <v>1656941</v>
      </c>
      <c r="K1070" s="654">
        <v>1656941</v>
      </c>
      <c r="L1070" s="654">
        <v>0</v>
      </c>
      <c r="M1070" s="654">
        <v>0</v>
      </c>
      <c r="N1070" s="654">
        <v>0</v>
      </c>
    </row>
    <row r="1071" spans="2:14" x14ac:dyDescent="0.15">
      <c r="B1071"/>
      <c r="E1071" t="s">
        <v>778</v>
      </c>
      <c r="H1071" s="654">
        <v>1874549</v>
      </c>
      <c r="I1071" s="654">
        <v>-217608</v>
      </c>
      <c r="J1071" s="654">
        <v>1656941</v>
      </c>
      <c r="K1071" s="654">
        <v>1656941</v>
      </c>
      <c r="L1071" s="654">
        <v>0</v>
      </c>
      <c r="M1071" s="654">
        <v>0</v>
      </c>
      <c r="N1071" s="654">
        <v>0</v>
      </c>
    </row>
    <row r="1072" spans="2:14" x14ac:dyDescent="0.15">
      <c r="B1072"/>
      <c r="D1072" t="s">
        <v>743</v>
      </c>
      <c r="H1072" s="654">
        <v>1874549</v>
      </c>
      <c r="I1072" s="654">
        <v>-217608</v>
      </c>
      <c r="J1072" s="654">
        <v>1656941</v>
      </c>
      <c r="K1072" s="654">
        <v>1656941</v>
      </c>
      <c r="L1072" s="654">
        <v>0</v>
      </c>
      <c r="M1072" s="654">
        <v>0</v>
      </c>
      <c r="N1072" s="654">
        <v>0</v>
      </c>
    </row>
    <row r="1073" spans="2:14" x14ac:dyDescent="0.15">
      <c r="B1073"/>
      <c r="D1073" t="s">
        <v>631</v>
      </c>
      <c r="E1073" t="s">
        <v>381</v>
      </c>
      <c r="F1073" t="s">
        <v>626</v>
      </c>
      <c r="G1073" t="s">
        <v>600</v>
      </c>
      <c r="H1073" s="654">
        <v>2304959</v>
      </c>
      <c r="I1073" s="654">
        <v>0</v>
      </c>
      <c r="J1073" s="654">
        <v>2304959</v>
      </c>
      <c r="K1073" s="654">
        <v>2304959</v>
      </c>
      <c r="L1073" s="654">
        <v>0</v>
      </c>
      <c r="M1073" s="654">
        <v>0</v>
      </c>
      <c r="N1073" s="654">
        <v>0</v>
      </c>
    </row>
    <row r="1074" spans="2:14" x14ac:dyDescent="0.15">
      <c r="B1074"/>
      <c r="F1074" t="s">
        <v>733</v>
      </c>
      <c r="H1074" s="654">
        <v>2304959</v>
      </c>
      <c r="I1074" s="654">
        <v>0</v>
      </c>
      <c r="J1074" s="654">
        <v>2304959</v>
      </c>
      <c r="K1074" s="654">
        <v>2304959</v>
      </c>
      <c r="L1074" s="654">
        <v>0</v>
      </c>
      <c r="M1074" s="654">
        <v>0</v>
      </c>
      <c r="N1074" s="654">
        <v>0</v>
      </c>
    </row>
    <row r="1075" spans="2:14" x14ac:dyDescent="0.15">
      <c r="B1075"/>
      <c r="E1075" t="s">
        <v>776</v>
      </c>
      <c r="H1075" s="654">
        <v>2304959</v>
      </c>
      <c r="I1075" s="654">
        <v>0</v>
      </c>
      <c r="J1075" s="654">
        <v>2304959</v>
      </c>
      <c r="K1075" s="654">
        <v>2304959</v>
      </c>
      <c r="L1075" s="654">
        <v>0</v>
      </c>
      <c r="M1075" s="654">
        <v>0</v>
      </c>
      <c r="N1075" s="654">
        <v>0</v>
      </c>
    </row>
    <row r="1076" spans="2:14" x14ac:dyDescent="0.15">
      <c r="B1076"/>
      <c r="D1076" t="s">
        <v>737</v>
      </c>
      <c r="H1076" s="654">
        <v>2304959</v>
      </c>
      <c r="I1076" s="654">
        <v>0</v>
      </c>
      <c r="J1076" s="654">
        <v>2304959</v>
      </c>
      <c r="K1076" s="654">
        <v>2304959</v>
      </c>
      <c r="L1076" s="654">
        <v>0</v>
      </c>
      <c r="M1076" s="654">
        <v>0</v>
      </c>
      <c r="N1076" s="654">
        <v>0</v>
      </c>
    </row>
    <row r="1077" spans="2:14" x14ac:dyDescent="0.15">
      <c r="B1077"/>
      <c r="D1077" t="s">
        <v>671</v>
      </c>
      <c r="E1077" t="s">
        <v>383</v>
      </c>
      <c r="F1077" t="s">
        <v>626</v>
      </c>
      <c r="G1077" t="s">
        <v>600</v>
      </c>
      <c r="H1077" s="654">
        <v>1136231</v>
      </c>
      <c r="I1077" s="654">
        <v>-39418</v>
      </c>
      <c r="J1077" s="654">
        <v>1096813</v>
      </c>
      <c r="K1077" s="654">
        <v>1096813</v>
      </c>
      <c r="L1077" s="654">
        <v>0</v>
      </c>
      <c r="M1077" s="654">
        <v>0</v>
      </c>
      <c r="N1077" s="654">
        <v>0</v>
      </c>
    </row>
    <row r="1078" spans="2:14" x14ac:dyDescent="0.15">
      <c r="B1078"/>
      <c r="F1078" t="s">
        <v>733</v>
      </c>
      <c r="H1078" s="654">
        <v>1136231</v>
      </c>
      <c r="I1078" s="654">
        <v>-39418</v>
      </c>
      <c r="J1078" s="654">
        <v>1096813</v>
      </c>
      <c r="K1078" s="654">
        <v>1096813</v>
      </c>
      <c r="L1078" s="654">
        <v>0</v>
      </c>
      <c r="M1078" s="654">
        <v>0</v>
      </c>
      <c r="N1078" s="654">
        <v>0</v>
      </c>
    </row>
    <row r="1079" spans="2:14" x14ac:dyDescent="0.15">
      <c r="B1079"/>
      <c r="F1079" t="s">
        <v>627</v>
      </c>
      <c r="G1079" t="s">
        <v>599</v>
      </c>
      <c r="H1079" s="654">
        <v>5184</v>
      </c>
      <c r="I1079" s="654">
        <v>0</v>
      </c>
      <c r="J1079" s="654">
        <v>5184</v>
      </c>
      <c r="K1079" s="654">
        <v>5184</v>
      </c>
      <c r="L1079" s="654">
        <v>0</v>
      </c>
      <c r="M1079" s="654">
        <v>0</v>
      </c>
      <c r="N1079" s="654">
        <v>0</v>
      </c>
    </row>
    <row r="1080" spans="2:14" x14ac:dyDescent="0.15">
      <c r="B1080"/>
      <c r="F1080" t="s">
        <v>734</v>
      </c>
      <c r="H1080" s="654">
        <v>5184</v>
      </c>
      <c r="I1080" s="654">
        <v>0</v>
      </c>
      <c r="J1080" s="654">
        <v>5184</v>
      </c>
      <c r="K1080" s="654">
        <v>5184</v>
      </c>
      <c r="L1080" s="654">
        <v>0</v>
      </c>
      <c r="M1080" s="654">
        <v>0</v>
      </c>
      <c r="N1080" s="654">
        <v>0</v>
      </c>
    </row>
    <row r="1081" spans="2:14" x14ac:dyDescent="0.15">
      <c r="B1081"/>
      <c r="E1081" t="s">
        <v>777</v>
      </c>
      <c r="H1081" s="654">
        <v>1141415</v>
      </c>
      <c r="I1081" s="654">
        <v>-39418</v>
      </c>
      <c r="J1081" s="654">
        <v>1101997</v>
      </c>
      <c r="K1081" s="654">
        <v>1101997</v>
      </c>
      <c r="L1081" s="654">
        <v>0</v>
      </c>
      <c r="M1081" s="654">
        <v>0</v>
      </c>
      <c r="N1081" s="654">
        <v>0</v>
      </c>
    </row>
    <row r="1082" spans="2:14" x14ac:dyDescent="0.15">
      <c r="B1082"/>
      <c r="D1082" t="s">
        <v>742</v>
      </c>
      <c r="H1082" s="654">
        <v>1141415</v>
      </c>
      <c r="I1082" s="654">
        <v>-39418</v>
      </c>
      <c r="J1082" s="654">
        <v>1101997</v>
      </c>
      <c r="K1082" s="654">
        <v>1101997</v>
      </c>
      <c r="L1082" s="654">
        <v>0</v>
      </c>
      <c r="M1082" s="654">
        <v>0</v>
      </c>
      <c r="N1082" s="654">
        <v>0</v>
      </c>
    </row>
    <row r="1083" spans="2:14" x14ac:dyDescent="0.15">
      <c r="B1083"/>
      <c r="C1083" t="s">
        <v>853</v>
      </c>
      <c r="H1083" s="654">
        <v>31563847</v>
      </c>
      <c r="I1083" s="654">
        <v>-472612</v>
      </c>
      <c r="J1083" s="654">
        <v>31091235</v>
      </c>
      <c r="K1083" s="654">
        <v>31091235</v>
      </c>
      <c r="L1083" s="654">
        <v>0</v>
      </c>
      <c r="M1083" s="654">
        <v>104777</v>
      </c>
      <c r="N1083" s="654">
        <v>3729068</v>
      </c>
    </row>
    <row r="1084" spans="2:14" x14ac:dyDescent="0.15">
      <c r="B1084" t="s">
        <v>627</v>
      </c>
      <c r="C1084" t="s">
        <v>847</v>
      </c>
      <c r="D1084" t="s">
        <v>626</v>
      </c>
      <c r="E1084" t="s">
        <v>378</v>
      </c>
      <c r="F1084" t="s">
        <v>626</v>
      </c>
      <c r="G1084" t="s">
        <v>600</v>
      </c>
      <c r="H1084" s="654">
        <v>90821</v>
      </c>
      <c r="I1084" s="654">
        <v>24619</v>
      </c>
      <c r="J1084" s="654">
        <v>115440</v>
      </c>
      <c r="K1084" s="654">
        <v>115440</v>
      </c>
      <c r="L1084" s="654">
        <v>0</v>
      </c>
      <c r="M1084" s="654">
        <v>0</v>
      </c>
      <c r="N1084" s="654">
        <v>0</v>
      </c>
    </row>
    <row r="1085" spans="2:14" x14ac:dyDescent="0.15">
      <c r="B1085"/>
      <c r="F1085" t="s">
        <v>733</v>
      </c>
      <c r="H1085" s="654">
        <v>90821</v>
      </c>
      <c r="I1085" s="654">
        <v>24619</v>
      </c>
      <c r="J1085" s="654">
        <v>115440</v>
      </c>
      <c r="K1085" s="654">
        <v>115440</v>
      </c>
      <c r="L1085" s="654">
        <v>0</v>
      </c>
      <c r="M1085" s="654">
        <v>0</v>
      </c>
      <c r="N1085" s="654">
        <v>0</v>
      </c>
    </row>
    <row r="1086" spans="2:14" x14ac:dyDescent="0.15">
      <c r="B1086"/>
      <c r="F1086" t="s">
        <v>627</v>
      </c>
      <c r="G1086" t="s">
        <v>599</v>
      </c>
      <c r="H1086" s="654">
        <v>246174</v>
      </c>
      <c r="I1086" s="654">
        <v>0</v>
      </c>
      <c r="J1086" s="654">
        <v>246174</v>
      </c>
      <c r="K1086" s="654">
        <v>246174</v>
      </c>
      <c r="L1086" s="654">
        <v>0</v>
      </c>
      <c r="M1086" s="654">
        <v>0</v>
      </c>
      <c r="N1086" s="654">
        <v>0</v>
      </c>
    </row>
    <row r="1087" spans="2:14" x14ac:dyDescent="0.15">
      <c r="B1087"/>
      <c r="F1087" t="s">
        <v>734</v>
      </c>
      <c r="H1087" s="654">
        <v>246174</v>
      </c>
      <c r="I1087" s="654">
        <v>0</v>
      </c>
      <c r="J1087" s="654">
        <v>246174</v>
      </c>
      <c r="K1087" s="654">
        <v>246174</v>
      </c>
      <c r="L1087" s="654">
        <v>0</v>
      </c>
      <c r="M1087" s="654">
        <v>0</v>
      </c>
      <c r="N1087" s="654">
        <v>0</v>
      </c>
    </row>
    <row r="1088" spans="2:14" x14ac:dyDescent="0.15">
      <c r="B1088"/>
      <c r="F1088" t="s">
        <v>628</v>
      </c>
      <c r="G1088" t="s">
        <v>598</v>
      </c>
      <c r="H1088" s="654">
        <v>0</v>
      </c>
      <c r="I1088" s="654">
        <v>0</v>
      </c>
      <c r="J1088" s="654">
        <v>0</v>
      </c>
      <c r="K1088" s="654">
        <v>0</v>
      </c>
      <c r="L1088" s="654">
        <v>0</v>
      </c>
      <c r="M1088" s="654">
        <v>0</v>
      </c>
      <c r="N1088" s="654">
        <v>0</v>
      </c>
    </row>
    <row r="1089" spans="2:14" x14ac:dyDescent="0.15">
      <c r="B1089"/>
      <c r="F1089" t="s">
        <v>735</v>
      </c>
      <c r="H1089" s="654">
        <v>0</v>
      </c>
      <c r="I1089" s="654">
        <v>0</v>
      </c>
      <c r="J1089" s="654">
        <v>0</v>
      </c>
      <c r="K1089" s="654">
        <v>0</v>
      </c>
      <c r="L1089" s="654">
        <v>0</v>
      </c>
      <c r="M1089" s="654">
        <v>0</v>
      </c>
      <c r="N1089" s="654">
        <v>0</v>
      </c>
    </row>
    <row r="1090" spans="2:14" x14ac:dyDescent="0.15">
      <c r="B1090"/>
      <c r="E1090" t="s">
        <v>769</v>
      </c>
      <c r="H1090" s="654">
        <v>336995</v>
      </c>
      <c r="I1090" s="654">
        <v>24619</v>
      </c>
      <c r="J1090" s="654">
        <v>361614</v>
      </c>
      <c r="K1090" s="654">
        <v>361614</v>
      </c>
      <c r="L1090" s="654">
        <v>0</v>
      </c>
      <c r="M1090" s="654">
        <v>0</v>
      </c>
      <c r="N1090" s="654">
        <v>0</v>
      </c>
    </row>
    <row r="1091" spans="2:14" x14ac:dyDescent="0.15">
      <c r="B1091"/>
      <c r="D1091" t="s">
        <v>733</v>
      </c>
      <c r="H1091" s="654">
        <v>336995</v>
      </c>
      <c r="I1091" s="654">
        <v>24619</v>
      </c>
      <c r="J1091" s="654">
        <v>361614</v>
      </c>
      <c r="K1091" s="654">
        <v>361614</v>
      </c>
      <c r="L1091" s="654">
        <v>0</v>
      </c>
      <c r="M1091" s="654">
        <v>0</v>
      </c>
      <c r="N1091" s="654">
        <v>0</v>
      </c>
    </row>
    <row r="1092" spans="2:14" x14ac:dyDescent="0.15">
      <c r="B1092"/>
      <c r="D1092" t="s">
        <v>627</v>
      </c>
      <c r="E1092" t="s">
        <v>379</v>
      </c>
      <c r="F1092" t="s">
        <v>626</v>
      </c>
      <c r="G1092" t="s">
        <v>600</v>
      </c>
      <c r="H1092" s="654">
        <v>83693</v>
      </c>
      <c r="I1092" s="654">
        <v>-377962</v>
      </c>
      <c r="J1092" s="654">
        <v>-294269</v>
      </c>
      <c r="K1092" s="654">
        <v>-294269</v>
      </c>
      <c r="L1092" s="654">
        <v>0</v>
      </c>
      <c r="M1092" s="654">
        <v>0</v>
      </c>
      <c r="N1092" s="654">
        <v>0</v>
      </c>
    </row>
    <row r="1093" spans="2:14" x14ac:dyDescent="0.15">
      <c r="B1093"/>
      <c r="F1093" t="s">
        <v>733</v>
      </c>
      <c r="H1093" s="654">
        <v>83693</v>
      </c>
      <c r="I1093" s="654">
        <v>-377962</v>
      </c>
      <c r="J1093" s="654">
        <v>-294269</v>
      </c>
      <c r="K1093" s="654">
        <v>-294269</v>
      </c>
      <c r="L1093" s="654">
        <v>0</v>
      </c>
      <c r="M1093" s="654">
        <v>0</v>
      </c>
      <c r="N1093" s="654">
        <v>0</v>
      </c>
    </row>
    <row r="1094" spans="2:14" x14ac:dyDescent="0.15">
      <c r="B1094"/>
      <c r="F1094" t="s">
        <v>627</v>
      </c>
      <c r="G1094" t="s">
        <v>599</v>
      </c>
      <c r="H1094" s="654">
        <v>123479</v>
      </c>
      <c r="I1094" s="654">
        <v>-51876</v>
      </c>
      <c r="J1094" s="654">
        <v>71603</v>
      </c>
      <c r="K1094" s="654">
        <v>71603</v>
      </c>
      <c r="L1094" s="654">
        <v>0</v>
      </c>
      <c r="M1094" s="654">
        <v>0</v>
      </c>
      <c r="N1094" s="654">
        <v>0</v>
      </c>
    </row>
    <row r="1095" spans="2:14" x14ac:dyDescent="0.15">
      <c r="B1095"/>
      <c r="F1095" t="s">
        <v>734</v>
      </c>
      <c r="H1095" s="654">
        <v>123479</v>
      </c>
      <c r="I1095" s="654">
        <v>-51876</v>
      </c>
      <c r="J1095" s="654">
        <v>71603</v>
      </c>
      <c r="K1095" s="654">
        <v>71603</v>
      </c>
      <c r="L1095" s="654">
        <v>0</v>
      </c>
      <c r="M1095" s="654">
        <v>0</v>
      </c>
      <c r="N1095" s="654">
        <v>0</v>
      </c>
    </row>
    <row r="1096" spans="2:14" x14ac:dyDescent="0.15">
      <c r="B1096"/>
      <c r="F1096" t="s">
        <v>628</v>
      </c>
      <c r="G1096" t="s">
        <v>598</v>
      </c>
      <c r="H1096" s="654">
        <v>9072</v>
      </c>
      <c r="I1096" s="654">
        <v>0</v>
      </c>
      <c r="J1096" s="654">
        <v>9072</v>
      </c>
      <c r="K1096" s="654">
        <v>9072</v>
      </c>
      <c r="L1096" s="654">
        <v>0</v>
      </c>
      <c r="M1096" s="654">
        <v>0</v>
      </c>
      <c r="N1096" s="654">
        <v>0</v>
      </c>
    </row>
    <row r="1097" spans="2:14" x14ac:dyDescent="0.15">
      <c r="B1097"/>
      <c r="F1097" t="s">
        <v>735</v>
      </c>
      <c r="H1097" s="654">
        <v>9072</v>
      </c>
      <c r="I1097" s="654">
        <v>0</v>
      </c>
      <c r="J1097" s="654">
        <v>9072</v>
      </c>
      <c r="K1097" s="654">
        <v>9072</v>
      </c>
      <c r="L1097" s="654">
        <v>0</v>
      </c>
      <c r="M1097" s="654">
        <v>0</v>
      </c>
      <c r="N1097" s="654">
        <v>0</v>
      </c>
    </row>
    <row r="1098" spans="2:14" x14ac:dyDescent="0.15">
      <c r="B1098"/>
      <c r="E1098" t="s">
        <v>770</v>
      </c>
      <c r="H1098" s="654">
        <v>216244</v>
      </c>
      <c r="I1098" s="654">
        <v>-429838</v>
      </c>
      <c r="J1098" s="654">
        <v>-213594</v>
      </c>
      <c r="K1098" s="654">
        <v>-213594</v>
      </c>
      <c r="L1098" s="654">
        <v>0</v>
      </c>
      <c r="M1098" s="654">
        <v>0</v>
      </c>
      <c r="N1098" s="654">
        <v>0</v>
      </c>
    </row>
    <row r="1099" spans="2:14" x14ac:dyDescent="0.15">
      <c r="B1099"/>
      <c r="D1099" t="s">
        <v>734</v>
      </c>
      <c r="H1099" s="654">
        <v>216244</v>
      </c>
      <c r="I1099" s="654">
        <v>-429838</v>
      </c>
      <c r="J1099" s="654">
        <v>-213594</v>
      </c>
      <c r="K1099" s="654">
        <v>-213594</v>
      </c>
      <c r="L1099" s="654">
        <v>0</v>
      </c>
      <c r="M1099" s="654">
        <v>0</v>
      </c>
      <c r="N1099" s="654">
        <v>0</v>
      </c>
    </row>
    <row r="1100" spans="2:14" x14ac:dyDescent="0.15">
      <c r="B1100"/>
      <c r="D1100" t="s">
        <v>628</v>
      </c>
      <c r="E1100" t="s">
        <v>380</v>
      </c>
      <c r="F1100" t="s">
        <v>626</v>
      </c>
      <c r="G1100" t="s">
        <v>600</v>
      </c>
      <c r="H1100" s="654">
        <v>107758</v>
      </c>
      <c r="I1100" s="654">
        <v>-43304</v>
      </c>
      <c r="J1100" s="654">
        <v>64454</v>
      </c>
      <c r="K1100" s="654">
        <v>64454</v>
      </c>
      <c r="L1100" s="654">
        <v>0</v>
      </c>
      <c r="M1100" s="654">
        <v>0</v>
      </c>
      <c r="N1100" s="654">
        <v>0</v>
      </c>
    </row>
    <row r="1101" spans="2:14" x14ac:dyDescent="0.15">
      <c r="B1101"/>
      <c r="F1101" t="s">
        <v>733</v>
      </c>
      <c r="H1101" s="654">
        <v>107758</v>
      </c>
      <c r="I1101" s="654">
        <v>-43304</v>
      </c>
      <c r="J1101" s="654">
        <v>64454</v>
      </c>
      <c r="K1101" s="654">
        <v>64454</v>
      </c>
      <c r="L1101" s="654">
        <v>0</v>
      </c>
      <c r="M1101" s="654">
        <v>0</v>
      </c>
      <c r="N1101" s="654">
        <v>0</v>
      </c>
    </row>
    <row r="1102" spans="2:14" x14ac:dyDescent="0.15">
      <c r="B1102"/>
      <c r="F1102" t="s">
        <v>627</v>
      </c>
      <c r="G1102" t="s">
        <v>599</v>
      </c>
      <c r="H1102" s="654">
        <v>0</v>
      </c>
      <c r="I1102" s="654">
        <v>0</v>
      </c>
      <c r="J1102" s="654">
        <v>0</v>
      </c>
      <c r="K1102" s="654">
        <v>0</v>
      </c>
      <c r="L1102" s="654">
        <v>0</v>
      </c>
      <c r="M1102" s="654">
        <v>0</v>
      </c>
      <c r="N1102" s="654">
        <v>0</v>
      </c>
    </row>
    <row r="1103" spans="2:14" x14ac:dyDescent="0.15">
      <c r="B1103"/>
      <c r="F1103" t="s">
        <v>734</v>
      </c>
      <c r="H1103" s="654">
        <v>0</v>
      </c>
      <c r="I1103" s="654">
        <v>0</v>
      </c>
      <c r="J1103" s="654">
        <v>0</v>
      </c>
      <c r="K1103" s="654">
        <v>0</v>
      </c>
      <c r="L1103" s="654">
        <v>0</v>
      </c>
      <c r="M1103" s="654">
        <v>0</v>
      </c>
      <c r="N1103" s="654">
        <v>0</v>
      </c>
    </row>
    <row r="1104" spans="2:14" x14ac:dyDescent="0.15">
      <c r="B1104"/>
      <c r="E1104" t="s">
        <v>771</v>
      </c>
      <c r="H1104" s="654">
        <v>107758</v>
      </c>
      <c r="I1104" s="654">
        <v>-43304</v>
      </c>
      <c r="J1104" s="654">
        <v>64454</v>
      </c>
      <c r="K1104" s="654">
        <v>64454</v>
      </c>
      <c r="L1104" s="654">
        <v>0</v>
      </c>
      <c r="M1104" s="654">
        <v>0</v>
      </c>
      <c r="N1104" s="654">
        <v>0</v>
      </c>
    </row>
    <row r="1105" spans="2:14" x14ac:dyDescent="0.15">
      <c r="B1105"/>
      <c r="D1105" t="s">
        <v>735</v>
      </c>
      <c r="H1105" s="654">
        <v>107758</v>
      </c>
      <c r="I1105" s="654">
        <v>-43304</v>
      </c>
      <c r="J1105" s="654">
        <v>64454</v>
      </c>
      <c r="K1105" s="654">
        <v>64454</v>
      </c>
      <c r="L1105" s="654">
        <v>0</v>
      </c>
      <c r="M1105" s="654">
        <v>0</v>
      </c>
      <c r="N1105" s="654">
        <v>0</v>
      </c>
    </row>
    <row r="1106" spans="2:14" x14ac:dyDescent="0.15">
      <c r="B1106"/>
      <c r="D1106" t="s">
        <v>629</v>
      </c>
      <c r="E1106" t="s">
        <v>676</v>
      </c>
      <c r="F1106" t="s">
        <v>629</v>
      </c>
      <c r="G1106" t="s">
        <v>601</v>
      </c>
      <c r="H1106" s="654">
        <v>34746</v>
      </c>
      <c r="I1106" s="654">
        <v>0</v>
      </c>
      <c r="J1106" s="654">
        <v>34746</v>
      </c>
      <c r="K1106" s="654">
        <v>34746</v>
      </c>
      <c r="L1106" s="654">
        <v>0</v>
      </c>
      <c r="M1106" s="654">
        <v>0</v>
      </c>
      <c r="N1106" s="654">
        <v>0</v>
      </c>
    </row>
    <row r="1107" spans="2:14" x14ac:dyDescent="0.15">
      <c r="B1107"/>
      <c r="F1107" t="s">
        <v>736</v>
      </c>
      <c r="H1107" s="654">
        <v>34746</v>
      </c>
      <c r="I1107" s="654">
        <v>0</v>
      </c>
      <c r="J1107" s="654">
        <v>34746</v>
      </c>
      <c r="K1107" s="654">
        <v>34746</v>
      </c>
      <c r="L1107" s="654">
        <v>0</v>
      </c>
      <c r="M1107" s="654">
        <v>0</v>
      </c>
      <c r="N1107" s="654">
        <v>0</v>
      </c>
    </row>
    <row r="1108" spans="2:14" x14ac:dyDescent="0.15">
      <c r="B1108"/>
      <c r="E1108" t="s">
        <v>772</v>
      </c>
      <c r="H1108" s="654">
        <v>34746</v>
      </c>
      <c r="I1108" s="654">
        <v>0</v>
      </c>
      <c r="J1108" s="654">
        <v>34746</v>
      </c>
      <c r="K1108" s="654">
        <v>34746</v>
      </c>
      <c r="L1108" s="654">
        <v>0</v>
      </c>
      <c r="M1108" s="654">
        <v>0</v>
      </c>
      <c r="N1108" s="654">
        <v>0</v>
      </c>
    </row>
    <row r="1109" spans="2:14" x14ac:dyDescent="0.15">
      <c r="B1109"/>
      <c r="D1109" t="s">
        <v>736</v>
      </c>
      <c r="H1109" s="654">
        <v>34746</v>
      </c>
      <c r="I1109" s="654">
        <v>0</v>
      </c>
      <c r="J1109" s="654">
        <v>34746</v>
      </c>
      <c r="K1109" s="654">
        <v>34746</v>
      </c>
      <c r="L1109" s="654">
        <v>0</v>
      </c>
      <c r="M1109" s="654">
        <v>0</v>
      </c>
      <c r="N1109" s="654">
        <v>0</v>
      </c>
    </row>
    <row r="1110" spans="2:14" x14ac:dyDescent="0.15">
      <c r="B1110"/>
      <c r="D1110" t="s">
        <v>567</v>
      </c>
      <c r="E1110" t="s">
        <v>473</v>
      </c>
      <c r="F1110" t="s">
        <v>631</v>
      </c>
      <c r="G1110" t="s">
        <v>596</v>
      </c>
      <c r="H1110" s="654">
        <v>205502</v>
      </c>
      <c r="I1110" s="654">
        <v>0</v>
      </c>
      <c r="J1110" s="654">
        <v>205502</v>
      </c>
      <c r="K1110" s="654">
        <v>205502</v>
      </c>
      <c r="L1110" s="654">
        <v>0</v>
      </c>
      <c r="M1110" s="654">
        <v>0</v>
      </c>
      <c r="N1110" s="654">
        <v>0</v>
      </c>
    </row>
    <row r="1111" spans="2:14" x14ac:dyDescent="0.15">
      <c r="B1111"/>
      <c r="F1111" t="s">
        <v>737</v>
      </c>
      <c r="H1111" s="654">
        <v>205502</v>
      </c>
      <c r="I1111" s="654">
        <v>0</v>
      </c>
      <c r="J1111" s="654">
        <v>205502</v>
      </c>
      <c r="K1111" s="654">
        <v>205502</v>
      </c>
      <c r="L1111" s="654">
        <v>0</v>
      </c>
      <c r="M1111" s="654">
        <v>0</v>
      </c>
      <c r="N1111" s="654">
        <v>0</v>
      </c>
    </row>
    <row r="1112" spans="2:14" x14ac:dyDescent="0.15">
      <c r="B1112"/>
      <c r="E1112" t="s">
        <v>773</v>
      </c>
      <c r="H1112" s="654">
        <v>205502</v>
      </c>
      <c r="I1112" s="654">
        <v>0</v>
      </c>
      <c r="J1112" s="654">
        <v>205502</v>
      </c>
      <c r="K1112" s="654">
        <v>205502</v>
      </c>
      <c r="L1112" s="654">
        <v>0</v>
      </c>
      <c r="M1112" s="654">
        <v>0</v>
      </c>
      <c r="N1112" s="654">
        <v>0</v>
      </c>
    </row>
    <row r="1113" spans="2:14" x14ac:dyDescent="0.15">
      <c r="B1113"/>
      <c r="D1113" t="s">
        <v>739</v>
      </c>
      <c r="H1113" s="654">
        <v>205502</v>
      </c>
      <c r="I1113" s="654">
        <v>0</v>
      </c>
      <c r="J1113" s="654">
        <v>205502</v>
      </c>
      <c r="K1113" s="654">
        <v>205502</v>
      </c>
      <c r="L1113" s="654">
        <v>0</v>
      </c>
      <c r="M1113" s="654">
        <v>0</v>
      </c>
      <c r="N1113" s="654">
        <v>0</v>
      </c>
    </row>
    <row r="1114" spans="2:14" x14ac:dyDescent="0.15">
      <c r="B1114"/>
      <c r="D1114" t="s">
        <v>568</v>
      </c>
      <c r="E1114" t="s">
        <v>474</v>
      </c>
      <c r="F1114" t="s">
        <v>631</v>
      </c>
      <c r="G1114" t="s">
        <v>596</v>
      </c>
      <c r="H1114" s="654">
        <v>0</v>
      </c>
      <c r="I1114" s="654">
        <v>0</v>
      </c>
      <c r="J1114" s="654">
        <v>0</v>
      </c>
      <c r="K1114" s="654">
        <v>0</v>
      </c>
      <c r="L1114" s="654">
        <v>0</v>
      </c>
      <c r="M1114" s="654">
        <v>0</v>
      </c>
      <c r="N1114" s="654">
        <v>0</v>
      </c>
    </row>
    <row r="1115" spans="2:14" x14ac:dyDescent="0.15">
      <c r="B1115"/>
      <c r="F1115" t="s">
        <v>737</v>
      </c>
      <c r="H1115" s="654">
        <v>0</v>
      </c>
      <c r="I1115" s="654">
        <v>0</v>
      </c>
      <c r="J1115" s="654">
        <v>0</v>
      </c>
      <c r="K1115" s="654">
        <v>0</v>
      </c>
      <c r="L1115" s="654">
        <v>0</v>
      </c>
      <c r="M1115" s="654">
        <v>0</v>
      </c>
      <c r="N1115" s="654">
        <v>0</v>
      </c>
    </row>
    <row r="1116" spans="2:14" x14ac:dyDescent="0.15">
      <c r="B1116"/>
      <c r="E1116" t="s">
        <v>774</v>
      </c>
      <c r="H1116" s="654">
        <v>0</v>
      </c>
      <c r="I1116" s="654">
        <v>0</v>
      </c>
      <c r="J1116" s="654">
        <v>0</v>
      </c>
      <c r="K1116" s="654">
        <v>0</v>
      </c>
      <c r="L1116" s="654">
        <v>0</v>
      </c>
      <c r="M1116" s="654">
        <v>0</v>
      </c>
      <c r="N1116" s="654">
        <v>0</v>
      </c>
    </row>
    <row r="1117" spans="2:14" x14ac:dyDescent="0.15">
      <c r="B1117"/>
      <c r="D1117" t="s">
        <v>740</v>
      </c>
      <c r="H1117" s="654">
        <v>0</v>
      </c>
      <c r="I1117" s="654">
        <v>0</v>
      </c>
      <c r="J1117" s="654">
        <v>0</v>
      </c>
      <c r="K1117" s="654">
        <v>0</v>
      </c>
      <c r="L1117" s="654">
        <v>0</v>
      </c>
      <c r="M1117" s="654">
        <v>0</v>
      </c>
      <c r="N1117" s="654">
        <v>0</v>
      </c>
    </row>
    <row r="1118" spans="2:14" x14ac:dyDescent="0.15">
      <c r="B1118"/>
      <c r="D1118" t="s">
        <v>582</v>
      </c>
      <c r="E1118" t="s">
        <v>384</v>
      </c>
      <c r="F1118" t="s">
        <v>631</v>
      </c>
      <c r="G1118" t="s">
        <v>596</v>
      </c>
      <c r="H1118" s="654">
        <v>0</v>
      </c>
      <c r="I1118" s="654">
        <v>0</v>
      </c>
      <c r="J1118" s="654">
        <v>0</v>
      </c>
      <c r="K1118" s="654">
        <v>0</v>
      </c>
      <c r="L1118" s="654">
        <v>0</v>
      </c>
      <c r="M1118" s="654">
        <v>0</v>
      </c>
      <c r="N1118" s="654">
        <v>0</v>
      </c>
    </row>
    <row r="1119" spans="2:14" x14ac:dyDescent="0.15">
      <c r="B1119"/>
      <c r="F1119" t="s">
        <v>737</v>
      </c>
      <c r="H1119" s="654">
        <v>0</v>
      </c>
      <c r="I1119" s="654">
        <v>0</v>
      </c>
      <c r="J1119" s="654">
        <v>0</v>
      </c>
      <c r="K1119" s="654">
        <v>0</v>
      </c>
      <c r="L1119" s="654">
        <v>0</v>
      </c>
      <c r="M1119" s="654">
        <v>0</v>
      </c>
      <c r="N1119" s="654">
        <v>0</v>
      </c>
    </row>
    <row r="1120" spans="2:14" x14ac:dyDescent="0.15">
      <c r="B1120"/>
      <c r="E1120" t="s">
        <v>778</v>
      </c>
      <c r="H1120" s="654">
        <v>0</v>
      </c>
      <c r="I1120" s="654">
        <v>0</v>
      </c>
      <c r="J1120" s="654">
        <v>0</v>
      </c>
      <c r="K1120" s="654">
        <v>0</v>
      </c>
      <c r="L1120" s="654">
        <v>0</v>
      </c>
      <c r="M1120" s="654">
        <v>0</v>
      </c>
      <c r="N1120" s="654">
        <v>0</v>
      </c>
    </row>
    <row r="1121" spans="1:14" x14ac:dyDescent="0.15">
      <c r="B1121"/>
      <c r="D1121" t="s">
        <v>743</v>
      </c>
      <c r="H1121" s="654">
        <v>0</v>
      </c>
      <c r="I1121" s="654">
        <v>0</v>
      </c>
      <c r="J1121" s="654">
        <v>0</v>
      </c>
      <c r="K1121" s="654">
        <v>0</v>
      </c>
      <c r="L1121" s="654">
        <v>0</v>
      </c>
      <c r="M1121" s="654">
        <v>0</v>
      </c>
      <c r="N1121" s="654">
        <v>0</v>
      </c>
    </row>
    <row r="1122" spans="1:14" x14ac:dyDescent="0.15">
      <c r="B1122"/>
      <c r="D1122" t="s">
        <v>631</v>
      </c>
      <c r="E1122" t="s">
        <v>381</v>
      </c>
      <c r="F1122" t="s">
        <v>626</v>
      </c>
      <c r="G1122" t="s">
        <v>600</v>
      </c>
      <c r="H1122" s="654">
        <v>0</v>
      </c>
      <c r="I1122" s="654">
        <v>0</v>
      </c>
      <c r="J1122" s="654">
        <v>0</v>
      </c>
      <c r="K1122" s="654">
        <v>0</v>
      </c>
      <c r="L1122" s="654">
        <v>0</v>
      </c>
      <c r="M1122" s="654">
        <v>0</v>
      </c>
      <c r="N1122" s="654">
        <v>0</v>
      </c>
    </row>
    <row r="1123" spans="1:14" x14ac:dyDescent="0.15">
      <c r="B1123"/>
      <c r="F1123" t="s">
        <v>733</v>
      </c>
      <c r="H1123" s="654">
        <v>0</v>
      </c>
      <c r="I1123" s="654">
        <v>0</v>
      </c>
      <c r="J1123" s="654">
        <v>0</v>
      </c>
      <c r="K1123" s="654">
        <v>0</v>
      </c>
      <c r="L1123" s="654">
        <v>0</v>
      </c>
      <c r="M1123" s="654">
        <v>0</v>
      </c>
      <c r="N1123" s="654">
        <v>0</v>
      </c>
    </row>
    <row r="1124" spans="1:14" x14ac:dyDescent="0.15">
      <c r="B1124"/>
      <c r="E1124" t="s">
        <v>776</v>
      </c>
      <c r="H1124" s="654">
        <v>0</v>
      </c>
      <c r="I1124" s="654">
        <v>0</v>
      </c>
      <c r="J1124" s="654">
        <v>0</v>
      </c>
      <c r="K1124" s="654">
        <v>0</v>
      </c>
      <c r="L1124" s="654">
        <v>0</v>
      </c>
      <c r="M1124" s="654">
        <v>0</v>
      </c>
      <c r="N1124" s="654">
        <v>0</v>
      </c>
    </row>
    <row r="1125" spans="1:14" x14ac:dyDescent="0.15">
      <c r="B1125"/>
      <c r="D1125" t="s">
        <v>737</v>
      </c>
      <c r="H1125" s="654">
        <v>0</v>
      </c>
      <c r="I1125" s="654">
        <v>0</v>
      </c>
      <c r="J1125" s="654">
        <v>0</v>
      </c>
      <c r="K1125" s="654">
        <v>0</v>
      </c>
      <c r="L1125" s="654">
        <v>0</v>
      </c>
      <c r="M1125" s="654">
        <v>0</v>
      </c>
      <c r="N1125" s="654">
        <v>0</v>
      </c>
    </row>
    <row r="1126" spans="1:14" x14ac:dyDescent="0.15">
      <c r="B1126"/>
      <c r="D1126" t="s">
        <v>671</v>
      </c>
      <c r="E1126" t="s">
        <v>383</v>
      </c>
      <c r="F1126" t="s">
        <v>626</v>
      </c>
      <c r="G1126" t="s">
        <v>600</v>
      </c>
      <c r="H1126" s="654">
        <v>2600</v>
      </c>
      <c r="I1126" s="654">
        <v>9169</v>
      </c>
      <c r="J1126" s="654">
        <v>11769</v>
      </c>
      <c r="K1126" s="654">
        <v>11769</v>
      </c>
      <c r="L1126" s="654">
        <v>0</v>
      </c>
      <c r="M1126" s="654">
        <v>0</v>
      </c>
      <c r="N1126" s="654">
        <v>0</v>
      </c>
    </row>
    <row r="1127" spans="1:14" x14ac:dyDescent="0.15">
      <c r="B1127"/>
      <c r="F1127" t="s">
        <v>733</v>
      </c>
      <c r="H1127" s="654">
        <v>2600</v>
      </c>
      <c r="I1127" s="654">
        <v>9169</v>
      </c>
      <c r="J1127" s="654">
        <v>11769</v>
      </c>
      <c r="K1127" s="654">
        <v>11769</v>
      </c>
      <c r="L1127" s="654">
        <v>0</v>
      </c>
      <c r="M1127" s="654">
        <v>0</v>
      </c>
      <c r="N1127" s="654">
        <v>0</v>
      </c>
    </row>
    <row r="1128" spans="1:14" x14ac:dyDescent="0.15">
      <c r="B1128"/>
      <c r="F1128" t="s">
        <v>627</v>
      </c>
      <c r="G1128" t="s">
        <v>599</v>
      </c>
      <c r="H1128" s="654">
        <v>0</v>
      </c>
      <c r="I1128" s="654">
        <v>0</v>
      </c>
      <c r="J1128" s="654">
        <v>0</v>
      </c>
      <c r="K1128" s="654">
        <v>0</v>
      </c>
      <c r="L1128" s="654">
        <v>0</v>
      </c>
      <c r="M1128" s="654">
        <v>0</v>
      </c>
      <c r="N1128" s="654">
        <v>0</v>
      </c>
    </row>
    <row r="1129" spans="1:14" x14ac:dyDescent="0.15">
      <c r="B1129"/>
      <c r="F1129" t="s">
        <v>734</v>
      </c>
      <c r="H1129" s="654">
        <v>0</v>
      </c>
      <c r="I1129" s="654">
        <v>0</v>
      </c>
      <c r="J1129" s="654">
        <v>0</v>
      </c>
      <c r="K1129" s="654">
        <v>0</v>
      </c>
      <c r="L1129" s="654">
        <v>0</v>
      </c>
      <c r="M1129" s="654">
        <v>0</v>
      </c>
      <c r="N1129" s="654">
        <v>0</v>
      </c>
    </row>
    <row r="1130" spans="1:14" x14ac:dyDescent="0.15">
      <c r="B1130"/>
      <c r="E1130" t="s">
        <v>777</v>
      </c>
      <c r="H1130" s="654">
        <v>2600</v>
      </c>
      <c r="I1130" s="654">
        <v>9169</v>
      </c>
      <c r="J1130" s="654">
        <v>11769</v>
      </c>
      <c r="K1130" s="654">
        <v>11769</v>
      </c>
      <c r="L1130" s="654">
        <v>0</v>
      </c>
      <c r="M1130" s="654">
        <v>0</v>
      </c>
      <c r="N1130" s="654">
        <v>0</v>
      </c>
    </row>
    <row r="1131" spans="1:14" x14ac:dyDescent="0.15">
      <c r="B1131"/>
      <c r="D1131" t="s">
        <v>742</v>
      </c>
      <c r="H1131" s="654">
        <v>2600</v>
      </c>
      <c r="I1131" s="654">
        <v>9169</v>
      </c>
      <c r="J1131" s="654">
        <v>11769</v>
      </c>
      <c r="K1131" s="654">
        <v>11769</v>
      </c>
      <c r="L1131" s="654">
        <v>0</v>
      </c>
      <c r="M1131" s="654">
        <v>0</v>
      </c>
      <c r="N1131" s="654">
        <v>0</v>
      </c>
    </row>
    <row r="1132" spans="1:14" x14ac:dyDescent="0.15">
      <c r="B1132"/>
      <c r="C1132" t="s">
        <v>854</v>
      </c>
      <c r="H1132" s="654">
        <v>903845</v>
      </c>
      <c r="I1132" s="654">
        <v>-439354</v>
      </c>
      <c r="J1132" s="654">
        <v>464491</v>
      </c>
      <c r="K1132" s="654">
        <v>464491</v>
      </c>
      <c r="L1132" s="654">
        <v>0</v>
      </c>
      <c r="M1132" s="654">
        <v>0</v>
      </c>
      <c r="N1132" s="654">
        <v>0</v>
      </c>
    </row>
    <row r="1133" spans="1:14" x14ac:dyDescent="0.15">
      <c r="A1133" s="653" t="s">
        <v>619</v>
      </c>
      <c r="B1133"/>
      <c r="H1133" s="654">
        <v>32467692</v>
      </c>
      <c r="I1133" s="654">
        <v>-911966</v>
      </c>
      <c r="J1133" s="654">
        <v>31555726</v>
      </c>
      <c r="K1133" s="654">
        <v>31555726</v>
      </c>
      <c r="L1133" s="654">
        <v>0</v>
      </c>
      <c r="M1133" s="654">
        <v>104777</v>
      </c>
      <c r="N1133" s="654">
        <v>3729068</v>
      </c>
    </row>
    <row r="1134" spans="1:14" x14ac:dyDescent="0.15">
      <c r="A1134" s="653">
        <v>42948</v>
      </c>
      <c r="B1134" t="s">
        <v>626</v>
      </c>
      <c r="C1134" t="s">
        <v>849</v>
      </c>
      <c r="D1134" t="s">
        <v>626</v>
      </c>
      <c r="E1134" t="s">
        <v>378</v>
      </c>
      <c r="F1134" t="s">
        <v>626</v>
      </c>
      <c r="G1134" t="s">
        <v>600</v>
      </c>
      <c r="H1134" s="654">
        <v>7594429</v>
      </c>
      <c r="I1134" s="654">
        <v>0</v>
      </c>
      <c r="J1134" s="654">
        <v>7594429</v>
      </c>
      <c r="K1134" s="654">
        <v>7594429</v>
      </c>
      <c r="L1134" s="654">
        <v>0</v>
      </c>
      <c r="M1134" s="654">
        <v>100152</v>
      </c>
      <c r="N1134" s="654">
        <v>1351019</v>
      </c>
    </row>
    <row r="1135" spans="1:14" x14ac:dyDescent="0.15">
      <c r="B1135"/>
      <c r="F1135" t="s">
        <v>733</v>
      </c>
      <c r="H1135" s="654">
        <v>7594429</v>
      </c>
      <c r="I1135" s="654">
        <v>0</v>
      </c>
      <c r="J1135" s="654">
        <v>7594429</v>
      </c>
      <c r="K1135" s="654">
        <v>7594429</v>
      </c>
      <c r="L1135" s="654">
        <v>0</v>
      </c>
      <c r="M1135" s="654">
        <v>100152</v>
      </c>
      <c r="N1135" s="654">
        <v>1351019</v>
      </c>
    </row>
    <row r="1136" spans="1:14" x14ac:dyDescent="0.15">
      <c r="B1136"/>
      <c r="F1136" t="s">
        <v>627</v>
      </c>
      <c r="G1136" t="s">
        <v>599</v>
      </c>
      <c r="H1136" s="654">
        <v>1507926</v>
      </c>
      <c r="I1136" s="654">
        <v>-120466</v>
      </c>
      <c r="J1136" s="654">
        <v>1387460</v>
      </c>
      <c r="K1136" s="654">
        <v>1387460</v>
      </c>
      <c r="L1136" s="654">
        <v>0</v>
      </c>
      <c r="M1136" s="654">
        <v>0</v>
      </c>
      <c r="N1136" s="654">
        <v>324818</v>
      </c>
    </row>
    <row r="1137" spans="2:14" x14ac:dyDescent="0.15">
      <c r="B1137"/>
      <c r="F1137" t="s">
        <v>734</v>
      </c>
      <c r="H1137" s="654">
        <v>1507926</v>
      </c>
      <c r="I1137" s="654">
        <v>-120466</v>
      </c>
      <c r="J1137" s="654">
        <v>1387460</v>
      </c>
      <c r="K1137" s="654">
        <v>1387460</v>
      </c>
      <c r="L1137" s="654">
        <v>0</v>
      </c>
      <c r="M1137" s="654">
        <v>0</v>
      </c>
      <c r="N1137" s="654">
        <v>324818</v>
      </c>
    </row>
    <row r="1138" spans="2:14" x14ac:dyDescent="0.15">
      <c r="B1138"/>
      <c r="F1138" t="s">
        <v>628</v>
      </c>
      <c r="G1138" t="s">
        <v>598</v>
      </c>
      <c r="H1138" s="654">
        <v>671675</v>
      </c>
      <c r="I1138" s="654">
        <v>0</v>
      </c>
      <c r="J1138" s="654">
        <v>671675</v>
      </c>
      <c r="K1138" s="654">
        <v>671675</v>
      </c>
      <c r="L1138" s="654">
        <v>0</v>
      </c>
      <c r="M1138" s="654">
        <v>0</v>
      </c>
      <c r="N1138" s="654">
        <v>0</v>
      </c>
    </row>
    <row r="1139" spans="2:14" x14ac:dyDescent="0.15">
      <c r="B1139"/>
      <c r="F1139" t="s">
        <v>735</v>
      </c>
      <c r="H1139" s="654">
        <v>671675</v>
      </c>
      <c r="I1139" s="654">
        <v>0</v>
      </c>
      <c r="J1139" s="654">
        <v>671675</v>
      </c>
      <c r="K1139" s="654">
        <v>671675</v>
      </c>
      <c r="L1139" s="654">
        <v>0</v>
      </c>
      <c r="M1139" s="654">
        <v>0</v>
      </c>
      <c r="N1139" s="654">
        <v>0</v>
      </c>
    </row>
    <row r="1140" spans="2:14" x14ac:dyDescent="0.15">
      <c r="B1140"/>
      <c r="E1140" t="s">
        <v>769</v>
      </c>
      <c r="H1140" s="654">
        <v>9774030</v>
      </c>
      <c r="I1140" s="654">
        <v>-120466</v>
      </c>
      <c r="J1140" s="654">
        <v>9653564</v>
      </c>
      <c r="K1140" s="654">
        <v>9653564</v>
      </c>
      <c r="L1140" s="654">
        <v>0</v>
      </c>
      <c r="M1140" s="654">
        <v>100152</v>
      </c>
      <c r="N1140" s="654">
        <v>1675837</v>
      </c>
    </row>
    <row r="1141" spans="2:14" x14ac:dyDescent="0.15">
      <c r="B1141"/>
      <c r="D1141" t="s">
        <v>733</v>
      </c>
      <c r="H1141" s="654">
        <v>9774030</v>
      </c>
      <c r="I1141" s="654">
        <v>-120466</v>
      </c>
      <c r="J1141" s="654">
        <v>9653564</v>
      </c>
      <c r="K1141" s="654">
        <v>9653564</v>
      </c>
      <c r="L1141" s="654">
        <v>0</v>
      </c>
      <c r="M1141" s="654">
        <v>100152</v>
      </c>
      <c r="N1141" s="654">
        <v>1675837</v>
      </c>
    </row>
    <row r="1142" spans="2:14" x14ac:dyDescent="0.15">
      <c r="B1142"/>
      <c r="D1142" t="s">
        <v>627</v>
      </c>
      <c r="E1142" t="s">
        <v>379</v>
      </c>
      <c r="F1142" t="s">
        <v>626</v>
      </c>
      <c r="G1142" t="s">
        <v>600</v>
      </c>
      <c r="H1142" s="654">
        <v>3936467</v>
      </c>
      <c r="I1142" s="654">
        <v>-59131</v>
      </c>
      <c r="J1142" s="654">
        <v>3877336</v>
      </c>
      <c r="K1142" s="654">
        <v>3877336</v>
      </c>
      <c r="L1142" s="654">
        <v>0</v>
      </c>
      <c r="M1142" s="654">
        <v>0</v>
      </c>
      <c r="N1142" s="654">
        <v>436057</v>
      </c>
    </row>
    <row r="1143" spans="2:14" x14ac:dyDescent="0.15">
      <c r="B1143"/>
      <c r="F1143" t="s">
        <v>733</v>
      </c>
      <c r="H1143" s="654">
        <v>3936467</v>
      </c>
      <c r="I1143" s="654">
        <v>-59131</v>
      </c>
      <c r="J1143" s="654">
        <v>3877336</v>
      </c>
      <c r="K1143" s="654">
        <v>3877336</v>
      </c>
      <c r="L1143" s="654">
        <v>0</v>
      </c>
      <c r="M1143" s="654">
        <v>0</v>
      </c>
      <c r="N1143" s="654">
        <v>436057</v>
      </c>
    </row>
    <row r="1144" spans="2:14" x14ac:dyDescent="0.15">
      <c r="B1144"/>
      <c r="F1144" t="s">
        <v>627</v>
      </c>
      <c r="G1144" t="s">
        <v>599</v>
      </c>
      <c r="H1144" s="654">
        <v>725401</v>
      </c>
      <c r="I1144" s="654">
        <v>-20733</v>
      </c>
      <c r="J1144" s="654">
        <v>704668</v>
      </c>
      <c r="K1144" s="654">
        <v>704668</v>
      </c>
      <c r="L1144" s="654">
        <v>0</v>
      </c>
      <c r="M1144" s="654">
        <v>0</v>
      </c>
      <c r="N1144" s="654">
        <v>198848</v>
      </c>
    </row>
    <row r="1145" spans="2:14" x14ac:dyDescent="0.15">
      <c r="B1145"/>
      <c r="F1145" t="s">
        <v>734</v>
      </c>
      <c r="H1145" s="654">
        <v>725401</v>
      </c>
      <c r="I1145" s="654">
        <v>-20733</v>
      </c>
      <c r="J1145" s="654">
        <v>704668</v>
      </c>
      <c r="K1145" s="654">
        <v>704668</v>
      </c>
      <c r="L1145" s="654">
        <v>0</v>
      </c>
      <c r="M1145" s="654">
        <v>0</v>
      </c>
      <c r="N1145" s="654">
        <v>198848</v>
      </c>
    </row>
    <row r="1146" spans="2:14" x14ac:dyDescent="0.15">
      <c r="B1146"/>
      <c r="F1146" t="s">
        <v>628</v>
      </c>
      <c r="G1146" t="s">
        <v>598</v>
      </c>
      <c r="H1146" s="654">
        <v>474864</v>
      </c>
      <c r="I1146" s="654">
        <v>0</v>
      </c>
      <c r="J1146" s="654">
        <v>474864</v>
      </c>
      <c r="K1146" s="654">
        <v>474864</v>
      </c>
      <c r="L1146" s="654">
        <v>0</v>
      </c>
      <c r="M1146" s="654">
        <v>0</v>
      </c>
      <c r="N1146" s="654">
        <v>0</v>
      </c>
    </row>
    <row r="1147" spans="2:14" x14ac:dyDescent="0.15">
      <c r="B1147"/>
      <c r="F1147" t="s">
        <v>735</v>
      </c>
      <c r="H1147" s="654">
        <v>474864</v>
      </c>
      <c r="I1147" s="654">
        <v>0</v>
      </c>
      <c r="J1147" s="654">
        <v>474864</v>
      </c>
      <c r="K1147" s="654">
        <v>474864</v>
      </c>
      <c r="L1147" s="654">
        <v>0</v>
      </c>
      <c r="M1147" s="654">
        <v>0</v>
      </c>
      <c r="N1147" s="654">
        <v>0</v>
      </c>
    </row>
    <row r="1148" spans="2:14" x14ac:dyDescent="0.15">
      <c r="B1148"/>
      <c r="E1148" t="s">
        <v>770</v>
      </c>
      <c r="H1148" s="654">
        <v>5136732</v>
      </c>
      <c r="I1148" s="654">
        <v>-79864</v>
      </c>
      <c r="J1148" s="654">
        <v>5056868</v>
      </c>
      <c r="K1148" s="654">
        <v>5056868</v>
      </c>
      <c r="L1148" s="654">
        <v>0</v>
      </c>
      <c r="M1148" s="654">
        <v>0</v>
      </c>
      <c r="N1148" s="654">
        <v>634905</v>
      </c>
    </row>
    <row r="1149" spans="2:14" x14ac:dyDescent="0.15">
      <c r="B1149"/>
      <c r="D1149" t="s">
        <v>734</v>
      </c>
      <c r="H1149" s="654">
        <v>5136732</v>
      </c>
      <c r="I1149" s="654">
        <v>-79864</v>
      </c>
      <c r="J1149" s="654">
        <v>5056868</v>
      </c>
      <c r="K1149" s="654">
        <v>5056868</v>
      </c>
      <c r="L1149" s="654">
        <v>0</v>
      </c>
      <c r="M1149" s="654">
        <v>0</v>
      </c>
      <c r="N1149" s="654">
        <v>634905</v>
      </c>
    </row>
    <row r="1150" spans="2:14" x14ac:dyDescent="0.15">
      <c r="B1150"/>
      <c r="D1150" t="s">
        <v>628</v>
      </c>
      <c r="E1150" t="s">
        <v>380</v>
      </c>
      <c r="F1150" t="s">
        <v>626</v>
      </c>
      <c r="G1150" t="s">
        <v>600</v>
      </c>
      <c r="H1150" s="654">
        <v>3601142</v>
      </c>
      <c r="I1150" s="654">
        <v>-124522</v>
      </c>
      <c r="J1150" s="654">
        <v>3476620</v>
      </c>
      <c r="K1150" s="654">
        <v>3476620</v>
      </c>
      <c r="L1150" s="654">
        <v>0</v>
      </c>
      <c r="M1150" s="654">
        <v>0</v>
      </c>
      <c r="N1150" s="654">
        <v>392966</v>
      </c>
    </row>
    <row r="1151" spans="2:14" x14ac:dyDescent="0.15">
      <c r="B1151"/>
      <c r="F1151" t="s">
        <v>733</v>
      </c>
      <c r="H1151" s="654">
        <v>3601142</v>
      </c>
      <c r="I1151" s="654">
        <v>-124522</v>
      </c>
      <c r="J1151" s="654">
        <v>3476620</v>
      </c>
      <c r="K1151" s="654">
        <v>3476620</v>
      </c>
      <c r="L1151" s="654">
        <v>0</v>
      </c>
      <c r="M1151" s="654">
        <v>0</v>
      </c>
      <c r="N1151" s="654">
        <v>392966</v>
      </c>
    </row>
    <row r="1152" spans="2:14" x14ac:dyDescent="0.15">
      <c r="B1152"/>
      <c r="F1152" t="s">
        <v>627</v>
      </c>
      <c r="G1152" t="s">
        <v>599</v>
      </c>
      <c r="H1152" s="654">
        <v>2017857</v>
      </c>
      <c r="I1152" s="654">
        <v>0</v>
      </c>
      <c r="J1152" s="654">
        <v>2017857</v>
      </c>
      <c r="K1152" s="654">
        <v>2017857</v>
      </c>
      <c r="L1152" s="654">
        <v>0</v>
      </c>
      <c r="M1152" s="654">
        <v>0</v>
      </c>
      <c r="N1152" s="654">
        <v>466306</v>
      </c>
    </row>
    <row r="1153" spans="2:14" x14ac:dyDescent="0.15">
      <c r="B1153"/>
      <c r="F1153" t="s">
        <v>734</v>
      </c>
      <c r="H1153" s="654">
        <v>2017857</v>
      </c>
      <c r="I1153" s="654">
        <v>0</v>
      </c>
      <c r="J1153" s="654">
        <v>2017857</v>
      </c>
      <c r="K1153" s="654">
        <v>2017857</v>
      </c>
      <c r="L1153" s="654">
        <v>0</v>
      </c>
      <c r="M1153" s="654">
        <v>0</v>
      </c>
      <c r="N1153" s="654">
        <v>466306</v>
      </c>
    </row>
    <row r="1154" spans="2:14" x14ac:dyDescent="0.15">
      <c r="B1154"/>
      <c r="E1154" t="s">
        <v>771</v>
      </c>
      <c r="H1154" s="654">
        <v>5618999</v>
      </c>
      <c r="I1154" s="654">
        <v>-124522</v>
      </c>
      <c r="J1154" s="654">
        <v>5494477</v>
      </c>
      <c r="K1154" s="654">
        <v>5494477</v>
      </c>
      <c r="L1154" s="654">
        <v>0</v>
      </c>
      <c r="M1154" s="654">
        <v>0</v>
      </c>
      <c r="N1154" s="654">
        <v>859272</v>
      </c>
    </row>
    <row r="1155" spans="2:14" x14ac:dyDescent="0.15">
      <c r="B1155"/>
      <c r="D1155" t="s">
        <v>735</v>
      </c>
      <c r="H1155" s="654">
        <v>5618999</v>
      </c>
      <c r="I1155" s="654">
        <v>-124522</v>
      </c>
      <c r="J1155" s="654">
        <v>5494477</v>
      </c>
      <c r="K1155" s="654">
        <v>5494477</v>
      </c>
      <c r="L1155" s="654">
        <v>0</v>
      </c>
      <c r="M1155" s="654">
        <v>0</v>
      </c>
      <c r="N1155" s="654">
        <v>859272</v>
      </c>
    </row>
    <row r="1156" spans="2:14" x14ac:dyDescent="0.15">
      <c r="B1156"/>
      <c r="D1156" t="s">
        <v>629</v>
      </c>
      <c r="E1156" t="s">
        <v>676</v>
      </c>
      <c r="F1156" t="s">
        <v>629</v>
      </c>
      <c r="G1156" t="s">
        <v>601</v>
      </c>
      <c r="H1156" s="654">
        <v>3078216</v>
      </c>
      <c r="I1156" s="654">
        <v>-73912</v>
      </c>
      <c r="J1156" s="654">
        <v>3004304</v>
      </c>
      <c r="K1156" s="654">
        <v>3004304</v>
      </c>
      <c r="L1156" s="654">
        <v>0</v>
      </c>
      <c r="M1156" s="654">
        <v>0</v>
      </c>
      <c r="N1156" s="654">
        <v>167502</v>
      </c>
    </row>
    <row r="1157" spans="2:14" x14ac:dyDescent="0.15">
      <c r="B1157"/>
      <c r="F1157" t="s">
        <v>736</v>
      </c>
      <c r="H1157" s="654">
        <v>3078216</v>
      </c>
      <c r="I1157" s="654">
        <v>-73912</v>
      </c>
      <c r="J1157" s="654">
        <v>3004304</v>
      </c>
      <c r="K1157" s="654">
        <v>3004304</v>
      </c>
      <c r="L1157" s="654">
        <v>0</v>
      </c>
      <c r="M1157" s="654">
        <v>0</v>
      </c>
      <c r="N1157" s="654">
        <v>167502</v>
      </c>
    </row>
    <row r="1158" spans="2:14" x14ac:dyDescent="0.15">
      <c r="B1158"/>
      <c r="E1158" t="s">
        <v>772</v>
      </c>
      <c r="H1158" s="654">
        <v>3078216</v>
      </c>
      <c r="I1158" s="654">
        <v>-73912</v>
      </c>
      <c r="J1158" s="654">
        <v>3004304</v>
      </c>
      <c r="K1158" s="654">
        <v>3004304</v>
      </c>
      <c r="L1158" s="654">
        <v>0</v>
      </c>
      <c r="M1158" s="654">
        <v>0</v>
      </c>
      <c r="N1158" s="654">
        <v>167502</v>
      </c>
    </row>
    <row r="1159" spans="2:14" x14ac:dyDescent="0.15">
      <c r="B1159"/>
      <c r="D1159" t="s">
        <v>736</v>
      </c>
      <c r="H1159" s="654">
        <v>3078216</v>
      </c>
      <c r="I1159" s="654">
        <v>-73912</v>
      </c>
      <c r="J1159" s="654">
        <v>3004304</v>
      </c>
      <c r="K1159" s="654">
        <v>3004304</v>
      </c>
      <c r="L1159" s="654">
        <v>0</v>
      </c>
      <c r="M1159" s="654">
        <v>0</v>
      </c>
      <c r="N1159" s="654">
        <v>167502</v>
      </c>
    </row>
    <row r="1160" spans="2:14" x14ac:dyDescent="0.15">
      <c r="B1160"/>
      <c r="D1160" t="s">
        <v>567</v>
      </c>
      <c r="E1160" t="s">
        <v>473</v>
      </c>
      <c r="F1160" t="s">
        <v>631</v>
      </c>
      <c r="G1160" t="s">
        <v>596</v>
      </c>
      <c r="H1160" s="654">
        <v>998363</v>
      </c>
      <c r="I1160" s="654">
        <v>0</v>
      </c>
      <c r="J1160" s="654">
        <v>998363</v>
      </c>
      <c r="K1160" s="654">
        <v>998363</v>
      </c>
      <c r="L1160" s="654">
        <v>0</v>
      </c>
      <c r="M1160" s="654">
        <v>0</v>
      </c>
      <c r="N1160" s="654">
        <v>251984</v>
      </c>
    </row>
    <row r="1161" spans="2:14" x14ac:dyDescent="0.15">
      <c r="B1161"/>
      <c r="F1161" t="s">
        <v>737</v>
      </c>
      <c r="H1161" s="654">
        <v>998363</v>
      </c>
      <c r="I1161" s="654">
        <v>0</v>
      </c>
      <c r="J1161" s="654">
        <v>998363</v>
      </c>
      <c r="K1161" s="654">
        <v>998363</v>
      </c>
      <c r="L1161" s="654">
        <v>0</v>
      </c>
      <c r="M1161" s="654">
        <v>0</v>
      </c>
      <c r="N1161" s="654">
        <v>251984</v>
      </c>
    </row>
    <row r="1162" spans="2:14" x14ac:dyDescent="0.15">
      <c r="B1162"/>
      <c r="E1162" t="s">
        <v>773</v>
      </c>
      <c r="H1162" s="654">
        <v>998363</v>
      </c>
      <c r="I1162" s="654">
        <v>0</v>
      </c>
      <c r="J1162" s="654">
        <v>998363</v>
      </c>
      <c r="K1162" s="654">
        <v>998363</v>
      </c>
      <c r="L1162" s="654">
        <v>0</v>
      </c>
      <c r="M1162" s="654">
        <v>0</v>
      </c>
      <c r="N1162" s="654">
        <v>251984</v>
      </c>
    </row>
    <row r="1163" spans="2:14" x14ac:dyDescent="0.15">
      <c r="B1163"/>
      <c r="D1163" t="s">
        <v>739</v>
      </c>
      <c r="H1163" s="654">
        <v>998363</v>
      </c>
      <c r="I1163" s="654">
        <v>0</v>
      </c>
      <c r="J1163" s="654">
        <v>998363</v>
      </c>
      <c r="K1163" s="654">
        <v>998363</v>
      </c>
      <c r="L1163" s="654">
        <v>0</v>
      </c>
      <c r="M1163" s="654">
        <v>0</v>
      </c>
      <c r="N1163" s="654">
        <v>251984</v>
      </c>
    </row>
    <row r="1164" spans="2:14" x14ac:dyDescent="0.15">
      <c r="B1164"/>
      <c r="D1164" t="s">
        <v>568</v>
      </c>
      <c r="E1164" t="s">
        <v>474</v>
      </c>
      <c r="F1164" t="s">
        <v>631</v>
      </c>
      <c r="G1164" t="s">
        <v>596</v>
      </c>
      <c r="H1164" s="654">
        <v>983492</v>
      </c>
      <c r="I1164" s="654">
        <v>0</v>
      </c>
      <c r="J1164" s="654">
        <v>983492</v>
      </c>
      <c r="K1164" s="654">
        <v>983492</v>
      </c>
      <c r="L1164" s="654">
        <v>0</v>
      </c>
      <c r="M1164" s="654">
        <v>0</v>
      </c>
      <c r="N1164" s="654">
        <v>0</v>
      </c>
    </row>
    <row r="1165" spans="2:14" x14ac:dyDescent="0.15">
      <c r="B1165"/>
      <c r="F1165" t="s">
        <v>737</v>
      </c>
      <c r="H1165" s="654">
        <v>983492</v>
      </c>
      <c r="I1165" s="654">
        <v>0</v>
      </c>
      <c r="J1165" s="654">
        <v>983492</v>
      </c>
      <c r="K1165" s="654">
        <v>983492</v>
      </c>
      <c r="L1165" s="654">
        <v>0</v>
      </c>
      <c r="M1165" s="654">
        <v>0</v>
      </c>
      <c r="N1165" s="654">
        <v>0</v>
      </c>
    </row>
    <row r="1166" spans="2:14" x14ac:dyDescent="0.15">
      <c r="B1166"/>
      <c r="E1166" t="s">
        <v>774</v>
      </c>
      <c r="H1166" s="654">
        <v>983492</v>
      </c>
      <c r="I1166" s="654">
        <v>0</v>
      </c>
      <c r="J1166" s="654">
        <v>983492</v>
      </c>
      <c r="K1166" s="654">
        <v>983492</v>
      </c>
      <c r="L1166" s="654">
        <v>0</v>
      </c>
      <c r="M1166" s="654">
        <v>0</v>
      </c>
      <c r="N1166" s="654">
        <v>0</v>
      </c>
    </row>
    <row r="1167" spans="2:14" x14ac:dyDescent="0.15">
      <c r="B1167"/>
      <c r="D1167" t="s">
        <v>740</v>
      </c>
      <c r="H1167" s="654">
        <v>983492</v>
      </c>
      <c r="I1167" s="654">
        <v>0</v>
      </c>
      <c r="J1167" s="654">
        <v>983492</v>
      </c>
      <c r="K1167" s="654">
        <v>983492</v>
      </c>
      <c r="L1167" s="654">
        <v>0</v>
      </c>
      <c r="M1167" s="654">
        <v>0</v>
      </c>
      <c r="N1167" s="654">
        <v>0</v>
      </c>
    </row>
    <row r="1168" spans="2:14" x14ac:dyDescent="0.15">
      <c r="B1168"/>
      <c r="D1168" t="s">
        <v>582</v>
      </c>
      <c r="E1168" t="s">
        <v>384</v>
      </c>
      <c r="F1168" t="s">
        <v>631</v>
      </c>
      <c r="G1168" t="s">
        <v>596</v>
      </c>
      <c r="H1168" s="654">
        <v>2107435</v>
      </c>
      <c r="I1168" s="654">
        <v>-282238</v>
      </c>
      <c r="J1168" s="654">
        <v>1825197</v>
      </c>
      <c r="K1168" s="654">
        <v>1825197</v>
      </c>
      <c r="L1168" s="654">
        <v>0</v>
      </c>
      <c r="M1168" s="654">
        <v>0</v>
      </c>
      <c r="N1168" s="654">
        <v>0</v>
      </c>
    </row>
    <row r="1169" spans="2:14" x14ac:dyDescent="0.15">
      <c r="B1169"/>
      <c r="F1169" t="s">
        <v>737</v>
      </c>
      <c r="H1169" s="654">
        <v>2107435</v>
      </c>
      <c r="I1169" s="654">
        <v>-282238</v>
      </c>
      <c r="J1169" s="654">
        <v>1825197</v>
      </c>
      <c r="K1169" s="654">
        <v>1825197</v>
      </c>
      <c r="L1169" s="654">
        <v>0</v>
      </c>
      <c r="M1169" s="654">
        <v>0</v>
      </c>
      <c r="N1169" s="654">
        <v>0</v>
      </c>
    </row>
    <row r="1170" spans="2:14" x14ac:dyDescent="0.15">
      <c r="B1170"/>
      <c r="E1170" t="s">
        <v>778</v>
      </c>
      <c r="H1170" s="654">
        <v>2107435</v>
      </c>
      <c r="I1170" s="654">
        <v>-282238</v>
      </c>
      <c r="J1170" s="654">
        <v>1825197</v>
      </c>
      <c r="K1170" s="654">
        <v>1825197</v>
      </c>
      <c r="L1170" s="654">
        <v>0</v>
      </c>
      <c r="M1170" s="654">
        <v>0</v>
      </c>
      <c r="N1170" s="654">
        <v>0</v>
      </c>
    </row>
    <row r="1171" spans="2:14" x14ac:dyDescent="0.15">
      <c r="B1171"/>
      <c r="D1171" t="s">
        <v>743</v>
      </c>
      <c r="H1171" s="654">
        <v>2107435</v>
      </c>
      <c r="I1171" s="654">
        <v>-282238</v>
      </c>
      <c r="J1171" s="654">
        <v>1825197</v>
      </c>
      <c r="K1171" s="654">
        <v>1825197</v>
      </c>
      <c r="L1171" s="654">
        <v>0</v>
      </c>
      <c r="M1171" s="654">
        <v>0</v>
      </c>
      <c r="N1171" s="654">
        <v>0</v>
      </c>
    </row>
    <row r="1172" spans="2:14" x14ac:dyDescent="0.15">
      <c r="B1172"/>
      <c r="D1172" t="s">
        <v>631</v>
      </c>
      <c r="E1172" t="s">
        <v>381</v>
      </c>
      <c r="F1172" t="s">
        <v>626</v>
      </c>
      <c r="G1172" t="s">
        <v>600</v>
      </c>
      <c r="H1172" s="654">
        <v>2326894</v>
      </c>
      <c r="I1172" s="654">
        <v>0</v>
      </c>
      <c r="J1172" s="654">
        <v>2326894</v>
      </c>
      <c r="K1172" s="654">
        <v>2326894</v>
      </c>
      <c r="L1172" s="654">
        <v>0</v>
      </c>
      <c r="M1172" s="654">
        <v>0</v>
      </c>
      <c r="N1172" s="654">
        <v>0</v>
      </c>
    </row>
    <row r="1173" spans="2:14" x14ac:dyDescent="0.15">
      <c r="B1173"/>
      <c r="F1173" t="s">
        <v>733</v>
      </c>
      <c r="H1173" s="654">
        <v>2326894</v>
      </c>
      <c r="I1173" s="654">
        <v>0</v>
      </c>
      <c r="J1173" s="654">
        <v>2326894</v>
      </c>
      <c r="K1173" s="654">
        <v>2326894</v>
      </c>
      <c r="L1173" s="654">
        <v>0</v>
      </c>
      <c r="M1173" s="654">
        <v>0</v>
      </c>
      <c r="N1173" s="654">
        <v>0</v>
      </c>
    </row>
    <row r="1174" spans="2:14" x14ac:dyDescent="0.15">
      <c r="B1174"/>
      <c r="E1174" t="s">
        <v>776</v>
      </c>
      <c r="H1174" s="654">
        <v>2326894</v>
      </c>
      <c r="I1174" s="654">
        <v>0</v>
      </c>
      <c r="J1174" s="654">
        <v>2326894</v>
      </c>
      <c r="K1174" s="654">
        <v>2326894</v>
      </c>
      <c r="L1174" s="654">
        <v>0</v>
      </c>
      <c r="M1174" s="654">
        <v>0</v>
      </c>
      <c r="N1174" s="654">
        <v>0</v>
      </c>
    </row>
    <row r="1175" spans="2:14" x14ac:dyDescent="0.15">
      <c r="B1175"/>
      <c r="D1175" t="s">
        <v>737</v>
      </c>
      <c r="H1175" s="654">
        <v>2326894</v>
      </c>
      <c r="I1175" s="654">
        <v>0</v>
      </c>
      <c r="J1175" s="654">
        <v>2326894</v>
      </c>
      <c r="K1175" s="654">
        <v>2326894</v>
      </c>
      <c r="L1175" s="654">
        <v>0</v>
      </c>
      <c r="M1175" s="654">
        <v>0</v>
      </c>
      <c r="N1175" s="654">
        <v>0</v>
      </c>
    </row>
    <row r="1176" spans="2:14" x14ac:dyDescent="0.15">
      <c r="B1176"/>
      <c r="D1176" t="s">
        <v>671</v>
      </c>
      <c r="E1176" t="s">
        <v>383</v>
      </c>
      <c r="F1176" t="s">
        <v>626</v>
      </c>
      <c r="G1176" t="s">
        <v>600</v>
      </c>
      <c r="H1176" s="654">
        <v>1269664</v>
      </c>
      <c r="I1176" s="654">
        <v>-6559</v>
      </c>
      <c r="J1176" s="654">
        <v>1263105</v>
      </c>
      <c r="K1176" s="654">
        <v>1263105</v>
      </c>
      <c r="L1176" s="654">
        <v>0</v>
      </c>
      <c r="M1176" s="654">
        <v>9159</v>
      </c>
      <c r="N1176" s="654">
        <v>0</v>
      </c>
    </row>
    <row r="1177" spans="2:14" x14ac:dyDescent="0.15">
      <c r="B1177"/>
      <c r="F1177" t="s">
        <v>733</v>
      </c>
      <c r="H1177" s="654">
        <v>1269664</v>
      </c>
      <c r="I1177" s="654">
        <v>-6559</v>
      </c>
      <c r="J1177" s="654">
        <v>1263105</v>
      </c>
      <c r="K1177" s="654">
        <v>1263105</v>
      </c>
      <c r="L1177" s="654">
        <v>0</v>
      </c>
      <c r="M1177" s="654">
        <v>9159</v>
      </c>
      <c r="N1177" s="654">
        <v>0</v>
      </c>
    </row>
    <row r="1178" spans="2:14" x14ac:dyDescent="0.15">
      <c r="B1178"/>
      <c r="F1178" t="s">
        <v>627</v>
      </c>
      <c r="G1178" t="s">
        <v>599</v>
      </c>
      <c r="H1178" s="654">
        <v>2592</v>
      </c>
      <c r="I1178" s="654">
        <v>0</v>
      </c>
      <c r="J1178" s="654">
        <v>2592</v>
      </c>
      <c r="K1178" s="654">
        <v>2592</v>
      </c>
      <c r="L1178" s="654">
        <v>0</v>
      </c>
      <c r="M1178" s="654">
        <v>0</v>
      </c>
      <c r="N1178" s="654">
        <v>0</v>
      </c>
    </row>
    <row r="1179" spans="2:14" x14ac:dyDescent="0.15">
      <c r="B1179"/>
      <c r="F1179" t="s">
        <v>734</v>
      </c>
      <c r="H1179" s="654">
        <v>2592</v>
      </c>
      <c r="I1179" s="654">
        <v>0</v>
      </c>
      <c r="J1179" s="654">
        <v>2592</v>
      </c>
      <c r="K1179" s="654">
        <v>2592</v>
      </c>
      <c r="L1179" s="654">
        <v>0</v>
      </c>
      <c r="M1179" s="654">
        <v>0</v>
      </c>
      <c r="N1179" s="654">
        <v>0</v>
      </c>
    </row>
    <row r="1180" spans="2:14" x14ac:dyDescent="0.15">
      <c r="B1180"/>
      <c r="E1180" t="s">
        <v>777</v>
      </c>
      <c r="H1180" s="654">
        <v>1272256</v>
      </c>
      <c r="I1180" s="654">
        <v>-6559</v>
      </c>
      <c r="J1180" s="654">
        <v>1265697</v>
      </c>
      <c r="K1180" s="654">
        <v>1265697</v>
      </c>
      <c r="L1180" s="654">
        <v>0</v>
      </c>
      <c r="M1180" s="654">
        <v>9159</v>
      </c>
      <c r="N1180" s="654">
        <v>0</v>
      </c>
    </row>
    <row r="1181" spans="2:14" x14ac:dyDescent="0.15">
      <c r="B1181"/>
      <c r="D1181" t="s">
        <v>742</v>
      </c>
      <c r="H1181" s="654">
        <v>1272256</v>
      </c>
      <c r="I1181" s="654">
        <v>-6559</v>
      </c>
      <c r="J1181" s="654">
        <v>1265697</v>
      </c>
      <c r="K1181" s="654">
        <v>1265697</v>
      </c>
      <c r="L1181" s="654">
        <v>0</v>
      </c>
      <c r="M1181" s="654">
        <v>9159</v>
      </c>
      <c r="N1181" s="654">
        <v>0</v>
      </c>
    </row>
    <row r="1182" spans="2:14" x14ac:dyDescent="0.15">
      <c r="B1182"/>
      <c r="C1182" t="s">
        <v>853</v>
      </c>
      <c r="H1182" s="654">
        <v>31296417</v>
      </c>
      <c r="I1182" s="654">
        <v>-687561</v>
      </c>
      <c r="J1182" s="654">
        <v>30608856</v>
      </c>
      <c r="K1182" s="654">
        <v>30608856</v>
      </c>
      <c r="L1182" s="654">
        <v>0</v>
      </c>
      <c r="M1182" s="654">
        <v>109311</v>
      </c>
      <c r="N1182" s="654">
        <v>3589500</v>
      </c>
    </row>
    <row r="1183" spans="2:14" x14ac:dyDescent="0.15">
      <c r="B1183" t="s">
        <v>627</v>
      </c>
      <c r="C1183" t="s">
        <v>847</v>
      </c>
      <c r="D1183" t="s">
        <v>626</v>
      </c>
      <c r="E1183" t="s">
        <v>378</v>
      </c>
      <c r="F1183" t="s">
        <v>626</v>
      </c>
      <c r="G1183" t="s">
        <v>600</v>
      </c>
      <c r="H1183" s="654">
        <v>22170</v>
      </c>
      <c r="I1183" s="654">
        <v>-34240</v>
      </c>
      <c r="J1183" s="654">
        <v>-12070</v>
      </c>
      <c r="K1183" s="654">
        <v>-12070</v>
      </c>
      <c r="L1183" s="654">
        <v>0</v>
      </c>
      <c r="M1183" s="654">
        <v>0</v>
      </c>
      <c r="N1183" s="654">
        <v>0</v>
      </c>
    </row>
    <row r="1184" spans="2:14" x14ac:dyDescent="0.15">
      <c r="B1184"/>
      <c r="F1184" t="s">
        <v>733</v>
      </c>
      <c r="H1184" s="654">
        <v>22170</v>
      </c>
      <c r="I1184" s="654">
        <v>-34240</v>
      </c>
      <c r="J1184" s="654">
        <v>-12070</v>
      </c>
      <c r="K1184" s="654">
        <v>-12070</v>
      </c>
      <c r="L1184" s="654">
        <v>0</v>
      </c>
      <c r="M1184" s="654">
        <v>0</v>
      </c>
      <c r="N1184" s="654">
        <v>0</v>
      </c>
    </row>
    <row r="1185" spans="2:14" x14ac:dyDescent="0.15">
      <c r="B1185"/>
      <c r="F1185" t="s">
        <v>627</v>
      </c>
      <c r="G1185" t="s">
        <v>599</v>
      </c>
      <c r="H1185" s="654">
        <v>0</v>
      </c>
      <c r="I1185" s="654">
        <v>120466</v>
      </c>
      <c r="J1185" s="654">
        <v>120466</v>
      </c>
      <c r="K1185" s="654">
        <v>120466</v>
      </c>
      <c r="L1185" s="654">
        <v>0</v>
      </c>
      <c r="M1185" s="654">
        <v>0</v>
      </c>
      <c r="N1185" s="654">
        <v>0</v>
      </c>
    </row>
    <row r="1186" spans="2:14" x14ac:dyDescent="0.15">
      <c r="B1186"/>
      <c r="F1186" t="s">
        <v>734</v>
      </c>
      <c r="H1186" s="654">
        <v>0</v>
      </c>
      <c r="I1186" s="654">
        <v>120466</v>
      </c>
      <c r="J1186" s="654">
        <v>120466</v>
      </c>
      <c r="K1186" s="654">
        <v>120466</v>
      </c>
      <c r="L1186" s="654">
        <v>0</v>
      </c>
      <c r="M1186" s="654">
        <v>0</v>
      </c>
      <c r="N1186" s="654">
        <v>0</v>
      </c>
    </row>
    <row r="1187" spans="2:14" x14ac:dyDescent="0.15">
      <c r="B1187"/>
      <c r="F1187" t="s">
        <v>628</v>
      </c>
      <c r="G1187" t="s">
        <v>598</v>
      </c>
      <c r="H1187" s="654">
        <v>14359</v>
      </c>
      <c r="I1187" s="654">
        <v>0</v>
      </c>
      <c r="J1187" s="654">
        <v>14359</v>
      </c>
      <c r="K1187" s="654">
        <v>14359</v>
      </c>
      <c r="L1187" s="654">
        <v>0</v>
      </c>
      <c r="M1187" s="654">
        <v>0</v>
      </c>
      <c r="N1187" s="654">
        <v>0</v>
      </c>
    </row>
    <row r="1188" spans="2:14" x14ac:dyDescent="0.15">
      <c r="B1188"/>
      <c r="F1188" t="s">
        <v>735</v>
      </c>
      <c r="H1188" s="654">
        <v>14359</v>
      </c>
      <c r="I1188" s="654">
        <v>0</v>
      </c>
      <c r="J1188" s="654">
        <v>14359</v>
      </c>
      <c r="K1188" s="654">
        <v>14359</v>
      </c>
      <c r="L1188" s="654">
        <v>0</v>
      </c>
      <c r="M1188" s="654">
        <v>0</v>
      </c>
      <c r="N1188" s="654">
        <v>0</v>
      </c>
    </row>
    <row r="1189" spans="2:14" x14ac:dyDescent="0.15">
      <c r="B1189"/>
      <c r="E1189" t="s">
        <v>769</v>
      </c>
      <c r="H1189" s="654">
        <v>36529</v>
      </c>
      <c r="I1189" s="654">
        <v>86226</v>
      </c>
      <c r="J1189" s="654">
        <v>122755</v>
      </c>
      <c r="K1189" s="654">
        <v>122755</v>
      </c>
      <c r="L1189" s="654">
        <v>0</v>
      </c>
      <c r="M1189" s="654">
        <v>0</v>
      </c>
      <c r="N1189" s="654">
        <v>0</v>
      </c>
    </row>
    <row r="1190" spans="2:14" x14ac:dyDescent="0.15">
      <c r="B1190"/>
      <c r="D1190" t="s">
        <v>733</v>
      </c>
      <c r="H1190" s="654">
        <v>36529</v>
      </c>
      <c r="I1190" s="654">
        <v>86226</v>
      </c>
      <c r="J1190" s="654">
        <v>122755</v>
      </c>
      <c r="K1190" s="654">
        <v>122755</v>
      </c>
      <c r="L1190" s="654">
        <v>0</v>
      </c>
      <c r="M1190" s="654">
        <v>0</v>
      </c>
      <c r="N1190" s="654">
        <v>0</v>
      </c>
    </row>
    <row r="1191" spans="2:14" x14ac:dyDescent="0.15">
      <c r="B1191"/>
      <c r="D1191" t="s">
        <v>627</v>
      </c>
      <c r="E1191" t="s">
        <v>379</v>
      </c>
      <c r="F1191" t="s">
        <v>626</v>
      </c>
      <c r="G1191" t="s">
        <v>600</v>
      </c>
      <c r="H1191" s="654">
        <v>0</v>
      </c>
      <c r="I1191" s="654">
        <v>3392</v>
      </c>
      <c r="J1191" s="654">
        <v>3392</v>
      </c>
      <c r="K1191" s="654">
        <v>3392</v>
      </c>
      <c r="L1191" s="654">
        <v>0</v>
      </c>
      <c r="M1191" s="654">
        <v>0</v>
      </c>
      <c r="N1191" s="654">
        <v>0</v>
      </c>
    </row>
    <row r="1192" spans="2:14" x14ac:dyDescent="0.15">
      <c r="B1192"/>
      <c r="F1192" t="s">
        <v>733</v>
      </c>
      <c r="H1192" s="654">
        <v>0</v>
      </c>
      <c r="I1192" s="654">
        <v>3392</v>
      </c>
      <c r="J1192" s="654">
        <v>3392</v>
      </c>
      <c r="K1192" s="654">
        <v>3392</v>
      </c>
      <c r="L1192" s="654">
        <v>0</v>
      </c>
      <c r="M1192" s="654">
        <v>0</v>
      </c>
      <c r="N1192" s="654">
        <v>0</v>
      </c>
    </row>
    <row r="1193" spans="2:14" x14ac:dyDescent="0.15">
      <c r="B1193"/>
      <c r="F1193" t="s">
        <v>627</v>
      </c>
      <c r="G1193" t="s">
        <v>599</v>
      </c>
      <c r="H1193" s="654">
        <v>204441</v>
      </c>
      <c r="I1193" s="654">
        <v>0</v>
      </c>
      <c r="J1193" s="654">
        <v>204441</v>
      </c>
      <c r="K1193" s="654">
        <v>204441</v>
      </c>
      <c r="L1193" s="654">
        <v>0</v>
      </c>
      <c r="M1193" s="654">
        <v>0</v>
      </c>
      <c r="N1193" s="654">
        <v>0</v>
      </c>
    </row>
    <row r="1194" spans="2:14" x14ac:dyDescent="0.15">
      <c r="B1194"/>
      <c r="F1194" t="s">
        <v>734</v>
      </c>
      <c r="H1194" s="654">
        <v>204441</v>
      </c>
      <c r="I1194" s="654">
        <v>0</v>
      </c>
      <c r="J1194" s="654">
        <v>204441</v>
      </c>
      <c r="K1194" s="654">
        <v>204441</v>
      </c>
      <c r="L1194" s="654">
        <v>0</v>
      </c>
      <c r="M1194" s="654">
        <v>0</v>
      </c>
      <c r="N1194" s="654">
        <v>0</v>
      </c>
    </row>
    <row r="1195" spans="2:14" x14ac:dyDescent="0.15">
      <c r="B1195"/>
      <c r="F1195" t="s">
        <v>628</v>
      </c>
      <c r="G1195" t="s">
        <v>598</v>
      </c>
      <c r="H1195" s="654">
        <v>0</v>
      </c>
      <c r="I1195" s="654">
        <v>0</v>
      </c>
      <c r="J1195" s="654">
        <v>0</v>
      </c>
      <c r="K1195" s="654">
        <v>0</v>
      </c>
      <c r="L1195" s="654">
        <v>0</v>
      </c>
      <c r="M1195" s="654">
        <v>0</v>
      </c>
      <c r="N1195" s="654">
        <v>0</v>
      </c>
    </row>
    <row r="1196" spans="2:14" x14ac:dyDescent="0.15">
      <c r="B1196"/>
      <c r="F1196" t="s">
        <v>735</v>
      </c>
      <c r="H1196" s="654">
        <v>0</v>
      </c>
      <c r="I1196" s="654">
        <v>0</v>
      </c>
      <c r="J1196" s="654">
        <v>0</v>
      </c>
      <c r="K1196" s="654">
        <v>0</v>
      </c>
      <c r="L1196" s="654">
        <v>0</v>
      </c>
      <c r="M1196" s="654">
        <v>0</v>
      </c>
      <c r="N1196" s="654">
        <v>0</v>
      </c>
    </row>
    <row r="1197" spans="2:14" x14ac:dyDescent="0.15">
      <c r="B1197"/>
      <c r="E1197" t="s">
        <v>770</v>
      </c>
      <c r="H1197" s="654">
        <v>204441</v>
      </c>
      <c r="I1197" s="654">
        <v>3392</v>
      </c>
      <c r="J1197" s="654">
        <v>207833</v>
      </c>
      <c r="K1197" s="654">
        <v>207833</v>
      </c>
      <c r="L1197" s="654">
        <v>0</v>
      </c>
      <c r="M1197" s="654">
        <v>0</v>
      </c>
      <c r="N1197" s="654">
        <v>0</v>
      </c>
    </row>
    <row r="1198" spans="2:14" x14ac:dyDescent="0.15">
      <c r="B1198"/>
      <c r="D1198" t="s">
        <v>734</v>
      </c>
      <c r="H1198" s="654">
        <v>204441</v>
      </c>
      <c r="I1198" s="654">
        <v>3392</v>
      </c>
      <c r="J1198" s="654">
        <v>207833</v>
      </c>
      <c r="K1198" s="654">
        <v>207833</v>
      </c>
      <c r="L1198" s="654">
        <v>0</v>
      </c>
      <c r="M1198" s="654">
        <v>0</v>
      </c>
      <c r="N1198" s="654">
        <v>0</v>
      </c>
    </row>
    <row r="1199" spans="2:14" x14ac:dyDescent="0.15">
      <c r="B1199"/>
      <c r="D1199" t="s">
        <v>628</v>
      </c>
      <c r="E1199" t="s">
        <v>380</v>
      </c>
      <c r="F1199" t="s">
        <v>626</v>
      </c>
      <c r="G1199" t="s">
        <v>600</v>
      </c>
      <c r="H1199" s="654">
        <v>6210</v>
      </c>
      <c r="I1199" s="654">
        <v>52597</v>
      </c>
      <c r="J1199" s="654">
        <v>58807</v>
      </c>
      <c r="K1199" s="654">
        <v>58807</v>
      </c>
      <c r="L1199" s="654">
        <v>0</v>
      </c>
      <c r="M1199" s="654">
        <v>0</v>
      </c>
      <c r="N1199" s="654">
        <v>0</v>
      </c>
    </row>
    <row r="1200" spans="2:14" x14ac:dyDescent="0.15">
      <c r="B1200"/>
      <c r="F1200" t="s">
        <v>733</v>
      </c>
      <c r="H1200" s="654">
        <v>6210</v>
      </c>
      <c r="I1200" s="654">
        <v>52597</v>
      </c>
      <c r="J1200" s="654">
        <v>58807</v>
      </c>
      <c r="K1200" s="654">
        <v>58807</v>
      </c>
      <c r="L1200" s="654">
        <v>0</v>
      </c>
      <c r="M1200" s="654">
        <v>0</v>
      </c>
      <c r="N1200" s="654">
        <v>0</v>
      </c>
    </row>
    <row r="1201" spans="2:14" x14ac:dyDescent="0.15">
      <c r="B1201"/>
      <c r="F1201" t="s">
        <v>627</v>
      </c>
      <c r="G1201" t="s">
        <v>599</v>
      </c>
      <c r="H1201" s="654">
        <v>0</v>
      </c>
      <c r="I1201" s="654">
        <v>0</v>
      </c>
      <c r="J1201" s="654">
        <v>0</v>
      </c>
      <c r="K1201" s="654">
        <v>0</v>
      </c>
      <c r="L1201" s="654">
        <v>0</v>
      </c>
      <c r="M1201" s="654">
        <v>0</v>
      </c>
      <c r="N1201" s="654">
        <v>0</v>
      </c>
    </row>
    <row r="1202" spans="2:14" x14ac:dyDescent="0.15">
      <c r="B1202"/>
      <c r="F1202" t="s">
        <v>734</v>
      </c>
      <c r="H1202" s="654">
        <v>0</v>
      </c>
      <c r="I1202" s="654">
        <v>0</v>
      </c>
      <c r="J1202" s="654">
        <v>0</v>
      </c>
      <c r="K1202" s="654">
        <v>0</v>
      </c>
      <c r="L1202" s="654">
        <v>0</v>
      </c>
      <c r="M1202" s="654">
        <v>0</v>
      </c>
      <c r="N1202" s="654">
        <v>0</v>
      </c>
    </row>
    <row r="1203" spans="2:14" x14ac:dyDescent="0.15">
      <c r="B1203"/>
      <c r="E1203" t="s">
        <v>771</v>
      </c>
      <c r="H1203" s="654">
        <v>6210</v>
      </c>
      <c r="I1203" s="654">
        <v>52597</v>
      </c>
      <c r="J1203" s="654">
        <v>58807</v>
      </c>
      <c r="K1203" s="654">
        <v>58807</v>
      </c>
      <c r="L1203" s="654">
        <v>0</v>
      </c>
      <c r="M1203" s="654">
        <v>0</v>
      </c>
      <c r="N1203" s="654">
        <v>0</v>
      </c>
    </row>
    <row r="1204" spans="2:14" x14ac:dyDescent="0.15">
      <c r="B1204"/>
      <c r="D1204" t="s">
        <v>735</v>
      </c>
      <c r="H1204" s="654">
        <v>6210</v>
      </c>
      <c r="I1204" s="654">
        <v>52597</v>
      </c>
      <c r="J1204" s="654">
        <v>58807</v>
      </c>
      <c r="K1204" s="654">
        <v>58807</v>
      </c>
      <c r="L1204" s="654">
        <v>0</v>
      </c>
      <c r="M1204" s="654">
        <v>0</v>
      </c>
      <c r="N1204" s="654">
        <v>0</v>
      </c>
    </row>
    <row r="1205" spans="2:14" x14ac:dyDescent="0.15">
      <c r="B1205"/>
      <c r="D1205" t="s">
        <v>629</v>
      </c>
      <c r="E1205" t="s">
        <v>676</v>
      </c>
      <c r="F1205" t="s">
        <v>629</v>
      </c>
      <c r="G1205" t="s">
        <v>601</v>
      </c>
      <c r="H1205" s="654">
        <v>0</v>
      </c>
      <c r="I1205" s="654">
        <v>0</v>
      </c>
      <c r="J1205" s="654">
        <v>0</v>
      </c>
      <c r="K1205" s="654">
        <v>0</v>
      </c>
      <c r="L1205" s="654">
        <v>0</v>
      </c>
      <c r="M1205" s="654">
        <v>0</v>
      </c>
      <c r="N1205" s="654">
        <v>0</v>
      </c>
    </row>
    <row r="1206" spans="2:14" x14ac:dyDescent="0.15">
      <c r="B1206"/>
      <c r="F1206" t="s">
        <v>736</v>
      </c>
      <c r="H1206" s="654">
        <v>0</v>
      </c>
      <c r="I1206" s="654">
        <v>0</v>
      </c>
      <c r="J1206" s="654">
        <v>0</v>
      </c>
      <c r="K1206" s="654">
        <v>0</v>
      </c>
      <c r="L1206" s="654">
        <v>0</v>
      </c>
      <c r="M1206" s="654">
        <v>0</v>
      </c>
      <c r="N1206" s="654">
        <v>0</v>
      </c>
    </row>
    <row r="1207" spans="2:14" x14ac:dyDescent="0.15">
      <c r="B1207"/>
      <c r="E1207" t="s">
        <v>772</v>
      </c>
      <c r="H1207" s="654">
        <v>0</v>
      </c>
      <c r="I1207" s="654">
        <v>0</v>
      </c>
      <c r="J1207" s="654">
        <v>0</v>
      </c>
      <c r="K1207" s="654">
        <v>0</v>
      </c>
      <c r="L1207" s="654">
        <v>0</v>
      </c>
      <c r="M1207" s="654">
        <v>0</v>
      </c>
      <c r="N1207" s="654">
        <v>0</v>
      </c>
    </row>
    <row r="1208" spans="2:14" x14ac:dyDescent="0.15">
      <c r="B1208"/>
      <c r="D1208" t="s">
        <v>736</v>
      </c>
      <c r="H1208" s="654">
        <v>0</v>
      </c>
      <c r="I1208" s="654">
        <v>0</v>
      </c>
      <c r="J1208" s="654">
        <v>0</v>
      </c>
      <c r="K1208" s="654">
        <v>0</v>
      </c>
      <c r="L1208" s="654">
        <v>0</v>
      </c>
      <c r="M1208" s="654">
        <v>0</v>
      </c>
      <c r="N1208" s="654">
        <v>0</v>
      </c>
    </row>
    <row r="1209" spans="2:14" x14ac:dyDescent="0.15">
      <c r="B1209"/>
      <c r="D1209" t="s">
        <v>567</v>
      </c>
      <c r="E1209" t="s">
        <v>473</v>
      </c>
      <c r="F1209" t="s">
        <v>631</v>
      </c>
      <c r="G1209" t="s">
        <v>596</v>
      </c>
      <c r="H1209" s="654">
        <v>0</v>
      </c>
      <c r="I1209" s="654">
        <v>0</v>
      </c>
      <c r="J1209" s="654">
        <v>0</v>
      </c>
      <c r="K1209" s="654">
        <v>0</v>
      </c>
      <c r="L1209" s="654">
        <v>0</v>
      </c>
      <c r="M1209" s="654">
        <v>0</v>
      </c>
      <c r="N1209" s="654">
        <v>0</v>
      </c>
    </row>
    <row r="1210" spans="2:14" x14ac:dyDescent="0.15">
      <c r="B1210"/>
      <c r="F1210" t="s">
        <v>737</v>
      </c>
      <c r="H1210" s="654">
        <v>0</v>
      </c>
      <c r="I1210" s="654">
        <v>0</v>
      </c>
      <c r="J1210" s="654">
        <v>0</v>
      </c>
      <c r="K1210" s="654">
        <v>0</v>
      </c>
      <c r="L1210" s="654">
        <v>0</v>
      </c>
      <c r="M1210" s="654">
        <v>0</v>
      </c>
      <c r="N1210" s="654">
        <v>0</v>
      </c>
    </row>
    <row r="1211" spans="2:14" x14ac:dyDescent="0.15">
      <c r="B1211"/>
      <c r="E1211" t="s">
        <v>773</v>
      </c>
      <c r="H1211" s="654">
        <v>0</v>
      </c>
      <c r="I1211" s="654">
        <v>0</v>
      </c>
      <c r="J1211" s="654">
        <v>0</v>
      </c>
      <c r="K1211" s="654">
        <v>0</v>
      </c>
      <c r="L1211" s="654">
        <v>0</v>
      </c>
      <c r="M1211" s="654">
        <v>0</v>
      </c>
      <c r="N1211" s="654">
        <v>0</v>
      </c>
    </row>
    <row r="1212" spans="2:14" x14ac:dyDescent="0.15">
      <c r="B1212"/>
      <c r="D1212" t="s">
        <v>739</v>
      </c>
      <c r="H1212" s="654">
        <v>0</v>
      </c>
      <c r="I1212" s="654">
        <v>0</v>
      </c>
      <c r="J1212" s="654">
        <v>0</v>
      </c>
      <c r="K1212" s="654">
        <v>0</v>
      </c>
      <c r="L1212" s="654">
        <v>0</v>
      </c>
      <c r="M1212" s="654">
        <v>0</v>
      </c>
      <c r="N1212" s="654">
        <v>0</v>
      </c>
    </row>
    <row r="1213" spans="2:14" x14ac:dyDescent="0.15">
      <c r="B1213"/>
      <c r="D1213" t="s">
        <v>568</v>
      </c>
      <c r="E1213" t="s">
        <v>474</v>
      </c>
      <c r="F1213" t="s">
        <v>631</v>
      </c>
      <c r="G1213" t="s">
        <v>596</v>
      </c>
      <c r="H1213" s="654">
        <v>0</v>
      </c>
      <c r="I1213" s="654">
        <v>0</v>
      </c>
      <c r="J1213" s="654">
        <v>0</v>
      </c>
      <c r="K1213" s="654">
        <v>0</v>
      </c>
      <c r="L1213" s="654">
        <v>0</v>
      </c>
      <c r="M1213" s="654">
        <v>0</v>
      </c>
      <c r="N1213" s="654">
        <v>0</v>
      </c>
    </row>
    <row r="1214" spans="2:14" x14ac:dyDescent="0.15">
      <c r="B1214"/>
      <c r="F1214" t="s">
        <v>737</v>
      </c>
      <c r="H1214" s="654">
        <v>0</v>
      </c>
      <c r="I1214" s="654">
        <v>0</v>
      </c>
      <c r="J1214" s="654">
        <v>0</v>
      </c>
      <c r="K1214" s="654">
        <v>0</v>
      </c>
      <c r="L1214" s="654">
        <v>0</v>
      </c>
      <c r="M1214" s="654">
        <v>0</v>
      </c>
      <c r="N1214" s="654">
        <v>0</v>
      </c>
    </row>
    <row r="1215" spans="2:14" x14ac:dyDescent="0.15">
      <c r="B1215"/>
      <c r="E1215" t="s">
        <v>774</v>
      </c>
      <c r="H1215" s="654">
        <v>0</v>
      </c>
      <c r="I1215" s="654">
        <v>0</v>
      </c>
      <c r="J1215" s="654">
        <v>0</v>
      </c>
      <c r="K1215" s="654">
        <v>0</v>
      </c>
      <c r="L1215" s="654">
        <v>0</v>
      </c>
      <c r="M1215" s="654">
        <v>0</v>
      </c>
      <c r="N1215" s="654">
        <v>0</v>
      </c>
    </row>
    <row r="1216" spans="2:14" x14ac:dyDescent="0.15">
      <c r="B1216"/>
      <c r="D1216" t="s">
        <v>740</v>
      </c>
      <c r="H1216" s="654">
        <v>0</v>
      </c>
      <c r="I1216" s="654">
        <v>0</v>
      </c>
      <c r="J1216" s="654">
        <v>0</v>
      </c>
      <c r="K1216" s="654">
        <v>0</v>
      </c>
      <c r="L1216" s="654">
        <v>0</v>
      </c>
      <c r="M1216" s="654">
        <v>0</v>
      </c>
      <c r="N1216" s="654">
        <v>0</v>
      </c>
    </row>
    <row r="1217" spans="1:14" x14ac:dyDescent="0.15">
      <c r="B1217"/>
      <c r="D1217" t="s">
        <v>582</v>
      </c>
      <c r="E1217" t="s">
        <v>384</v>
      </c>
      <c r="F1217" t="s">
        <v>631</v>
      </c>
      <c r="G1217" t="s">
        <v>596</v>
      </c>
      <c r="H1217" s="654">
        <v>20236</v>
      </c>
      <c r="I1217" s="654">
        <v>-20236</v>
      </c>
      <c r="J1217" s="654">
        <v>0</v>
      </c>
      <c r="K1217" s="654">
        <v>0</v>
      </c>
      <c r="L1217" s="654">
        <v>0</v>
      </c>
      <c r="M1217" s="654">
        <v>0</v>
      </c>
      <c r="N1217" s="654">
        <v>0</v>
      </c>
    </row>
    <row r="1218" spans="1:14" x14ac:dyDescent="0.15">
      <c r="B1218"/>
      <c r="F1218" t="s">
        <v>737</v>
      </c>
      <c r="H1218" s="654">
        <v>20236</v>
      </c>
      <c r="I1218" s="654">
        <v>-20236</v>
      </c>
      <c r="J1218" s="654">
        <v>0</v>
      </c>
      <c r="K1218" s="654">
        <v>0</v>
      </c>
      <c r="L1218" s="654">
        <v>0</v>
      </c>
      <c r="M1218" s="654">
        <v>0</v>
      </c>
      <c r="N1218" s="654">
        <v>0</v>
      </c>
    </row>
    <row r="1219" spans="1:14" x14ac:dyDescent="0.15">
      <c r="B1219"/>
      <c r="E1219" t="s">
        <v>778</v>
      </c>
      <c r="H1219" s="654">
        <v>20236</v>
      </c>
      <c r="I1219" s="654">
        <v>-20236</v>
      </c>
      <c r="J1219" s="654">
        <v>0</v>
      </c>
      <c r="K1219" s="654">
        <v>0</v>
      </c>
      <c r="L1219" s="654">
        <v>0</v>
      </c>
      <c r="M1219" s="654">
        <v>0</v>
      </c>
      <c r="N1219" s="654">
        <v>0</v>
      </c>
    </row>
    <row r="1220" spans="1:14" x14ac:dyDescent="0.15">
      <c r="B1220"/>
      <c r="D1220" t="s">
        <v>743</v>
      </c>
      <c r="H1220" s="654">
        <v>20236</v>
      </c>
      <c r="I1220" s="654">
        <v>-20236</v>
      </c>
      <c r="J1220" s="654">
        <v>0</v>
      </c>
      <c r="K1220" s="654">
        <v>0</v>
      </c>
      <c r="L1220" s="654">
        <v>0</v>
      </c>
      <c r="M1220" s="654">
        <v>0</v>
      </c>
      <c r="N1220" s="654">
        <v>0</v>
      </c>
    </row>
    <row r="1221" spans="1:14" x14ac:dyDescent="0.15">
      <c r="B1221"/>
      <c r="D1221" t="s">
        <v>631</v>
      </c>
      <c r="E1221" t="s">
        <v>381</v>
      </c>
      <c r="F1221" t="s">
        <v>626</v>
      </c>
      <c r="G1221" t="s">
        <v>600</v>
      </c>
      <c r="H1221" s="654">
        <v>0</v>
      </c>
      <c r="I1221" s="654">
        <v>0</v>
      </c>
      <c r="J1221" s="654">
        <v>0</v>
      </c>
      <c r="K1221" s="654">
        <v>0</v>
      </c>
      <c r="L1221" s="654">
        <v>0</v>
      </c>
      <c r="M1221" s="654">
        <v>0</v>
      </c>
      <c r="N1221" s="654">
        <v>0</v>
      </c>
    </row>
    <row r="1222" spans="1:14" x14ac:dyDescent="0.15">
      <c r="B1222"/>
      <c r="F1222" t="s">
        <v>733</v>
      </c>
      <c r="H1222" s="654">
        <v>0</v>
      </c>
      <c r="I1222" s="654">
        <v>0</v>
      </c>
      <c r="J1222" s="654">
        <v>0</v>
      </c>
      <c r="K1222" s="654">
        <v>0</v>
      </c>
      <c r="L1222" s="654">
        <v>0</v>
      </c>
      <c r="M1222" s="654">
        <v>0</v>
      </c>
      <c r="N1222" s="654">
        <v>0</v>
      </c>
    </row>
    <row r="1223" spans="1:14" x14ac:dyDescent="0.15">
      <c r="B1223"/>
      <c r="E1223" t="s">
        <v>776</v>
      </c>
      <c r="H1223" s="654">
        <v>0</v>
      </c>
      <c r="I1223" s="654">
        <v>0</v>
      </c>
      <c r="J1223" s="654">
        <v>0</v>
      </c>
      <c r="K1223" s="654">
        <v>0</v>
      </c>
      <c r="L1223" s="654">
        <v>0</v>
      </c>
      <c r="M1223" s="654">
        <v>0</v>
      </c>
      <c r="N1223" s="654">
        <v>0</v>
      </c>
    </row>
    <row r="1224" spans="1:14" x14ac:dyDescent="0.15">
      <c r="B1224"/>
      <c r="D1224" t="s">
        <v>737</v>
      </c>
      <c r="H1224" s="654">
        <v>0</v>
      </c>
      <c r="I1224" s="654">
        <v>0</v>
      </c>
      <c r="J1224" s="654">
        <v>0</v>
      </c>
      <c r="K1224" s="654">
        <v>0</v>
      </c>
      <c r="L1224" s="654">
        <v>0</v>
      </c>
      <c r="M1224" s="654">
        <v>0</v>
      </c>
      <c r="N1224" s="654">
        <v>0</v>
      </c>
    </row>
    <row r="1225" spans="1:14" x14ac:dyDescent="0.15">
      <c r="B1225"/>
      <c r="D1225" t="s">
        <v>671</v>
      </c>
      <c r="E1225" t="s">
        <v>383</v>
      </c>
      <c r="F1225" t="s">
        <v>626</v>
      </c>
      <c r="G1225" t="s">
        <v>600</v>
      </c>
      <c r="H1225" s="654">
        <v>40723</v>
      </c>
      <c r="I1225" s="654">
        <v>0</v>
      </c>
      <c r="J1225" s="654">
        <v>40723</v>
      </c>
      <c r="K1225" s="654">
        <v>40723</v>
      </c>
      <c r="L1225" s="654">
        <v>0</v>
      </c>
      <c r="M1225" s="654">
        <v>0</v>
      </c>
      <c r="N1225" s="654">
        <v>0</v>
      </c>
    </row>
    <row r="1226" spans="1:14" x14ac:dyDescent="0.15">
      <c r="B1226"/>
      <c r="F1226" t="s">
        <v>733</v>
      </c>
      <c r="H1226" s="654">
        <v>40723</v>
      </c>
      <c r="I1226" s="654">
        <v>0</v>
      </c>
      <c r="J1226" s="654">
        <v>40723</v>
      </c>
      <c r="K1226" s="654">
        <v>40723</v>
      </c>
      <c r="L1226" s="654">
        <v>0</v>
      </c>
      <c r="M1226" s="654">
        <v>0</v>
      </c>
      <c r="N1226" s="654">
        <v>0</v>
      </c>
    </row>
    <row r="1227" spans="1:14" x14ac:dyDescent="0.15">
      <c r="B1227"/>
      <c r="F1227" t="s">
        <v>627</v>
      </c>
      <c r="G1227" t="s">
        <v>599</v>
      </c>
      <c r="H1227" s="654">
        <v>0</v>
      </c>
      <c r="I1227" s="654">
        <v>0</v>
      </c>
      <c r="J1227" s="654">
        <v>0</v>
      </c>
      <c r="K1227" s="654">
        <v>0</v>
      </c>
      <c r="L1227" s="654">
        <v>0</v>
      </c>
      <c r="M1227" s="654">
        <v>0</v>
      </c>
      <c r="N1227" s="654">
        <v>0</v>
      </c>
    </row>
    <row r="1228" spans="1:14" x14ac:dyDescent="0.15">
      <c r="B1228"/>
      <c r="F1228" t="s">
        <v>734</v>
      </c>
      <c r="H1228" s="654">
        <v>0</v>
      </c>
      <c r="I1228" s="654">
        <v>0</v>
      </c>
      <c r="J1228" s="654">
        <v>0</v>
      </c>
      <c r="K1228" s="654">
        <v>0</v>
      </c>
      <c r="L1228" s="654">
        <v>0</v>
      </c>
      <c r="M1228" s="654">
        <v>0</v>
      </c>
      <c r="N1228" s="654">
        <v>0</v>
      </c>
    </row>
    <row r="1229" spans="1:14" x14ac:dyDescent="0.15">
      <c r="B1229"/>
      <c r="E1229" t="s">
        <v>777</v>
      </c>
      <c r="H1229" s="654">
        <v>40723</v>
      </c>
      <c r="I1229" s="654">
        <v>0</v>
      </c>
      <c r="J1229" s="654">
        <v>40723</v>
      </c>
      <c r="K1229" s="654">
        <v>40723</v>
      </c>
      <c r="L1229" s="654">
        <v>0</v>
      </c>
      <c r="M1229" s="654">
        <v>0</v>
      </c>
      <c r="N1229" s="654">
        <v>0</v>
      </c>
    </row>
    <row r="1230" spans="1:14" x14ac:dyDescent="0.15">
      <c r="B1230"/>
      <c r="D1230" t="s">
        <v>742</v>
      </c>
      <c r="H1230" s="654">
        <v>40723</v>
      </c>
      <c r="I1230" s="654">
        <v>0</v>
      </c>
      <c r="J1230" s="654">
        <v>40723</v>
      </c>
      <c r="K1230" s="654">
        <v>40723</v>
      </c>
      <c r="L1230" s="654">
        <v>0</v>
      </c>
      <c r="M1230" s="654">
        <v>0</v>
      </c>
      <c r="N1230" s="654">
        <v>0</v>
      </c>
    </row>
    <row r="1231" spans="1:14" x14ac:dyDescent="0.15">
      <c r="B1231"/>
      <c r="C1231" t="s">
        <v>854</v>
      </c>
      <c r="H1231" s="654">
        <v>308139</v>
      </c>
      <c r="I1231" s="654">
        <v>121979</v>
      </c>
      <c r="J1231" s="654">
        <v>430118</v>
      </c>
      <c r="K1231" s="654">
        <v>430118</v>
      </c>
      <c r="L1231" s="654">
        <v>0</v>
      </c>
      <c r="M1231" s="654">
        <v>0</v>
      </c>
      <c r="N1231" s="654">
        <v>0</v>
      </c>
    </row>
    <row r="1232" spans="1:14" x14ac:dyDescent="0.15">
      <c r="A1232" s="653" t="s">
        <v>620</v>
      </c>
      <c r="B1232"/>
      <c r="H1232" s="654">
        <v>31604556</v>
      </c>
      <c r="I1232" s="654">
        <v>-565582</v>
      </c>
      <c r="J1232" s="654">
        <v>31038974</v>
      </c>
      <c r="K1232" s="654">
        <v>31038974</v>
      </c>
      <c r="L1232" s="654">
        <v>0</v>
      </c>
      <c r="M1232" s="654">
        <v>109311</v>
      </c>
      <c r="N1232" s="654">
        <v>3589500</v>
      </c>
    </row>
    <row r="1233" spans="1:14" x14ac:dyDescent="0.15">
      <c r="A1233" s="653">
        <v>42979</v>
      </c>
      <c r="B1233" t="s">
        <v>626</v>
      </c>
      <c r="C1233" t="s">
        <v>849</v>
      </c>
      <c r="D1233" t="s">
        <v>626</v>
      </c>
      <c r="E1233" t="s">
        <v>378</v>
      </c>
      <c r="F1233" t="s">
        <v>626</v>
      </c>
      <c r="G1233" t="s">
        <v>600</v>
      </c>
      <c r="H1233" s="654">
        <v>8117968</v>
      </c>
      <c r="I1233" s="654">
        <v>-245734</v>
      </c>
      <c r="J1233" s="654">
        <v>7872234</v>
      </c>
      <c r="K1233" s="654">
        <v>7872234</v>
      </c>
      <c r="L1233" s="654">
        <v>0</v>
      </c>
      <c r="M1233" s="654">
        <v>0</v>
      </c>
      <c r="N1233" s="654">
        <v>1418859</v>
      </c>
    </row>
    <row r="1234" spans="1:14" x14ac:dyDescent="0.15">
      <c r="B1234"/>
      <c r="F1234" t="s">
        <v>733</v>
      </c>
      <c r="H1234" s="654">
        <v>8117968</v>
      </c>
      <c r="I1234" s="654">
        <v>-245734</v>
      </c>
      <c r="J1234" s="654">
        <v>7872234</v>
      </c>
      <c r="K1234" s="654">
        <v>7872234</v>
      </c>
      <c r="L1234" s="654">
        <v>0</v>
      </c>
      <c r="M1234" s="654">
        <v>0</v>
      </c>
      <c r="N1234" s="654">
        <v>1418859</v>
      </c>
    </row>
    <row r="1235" spans="1:14" x14ac:dyDescent="0.15">
      <c r="B1235"/>
      <c r="F1235" t="s">
        <v>627</v>
      </c>
      <c r="G1235" t="s">
        <v>599</v>
      </c>
      <c r="H1235" s="654">
        <v>1360933</v>
      </c>
      <c r="I1235" s="654">
        <v>0</v>
      </c>
      <c r="J1235" s="654">
        <v>1360933</v>
      </c>
      <c r="K1235" s="654">
        <v>1360933</v>
      </c>
      <c r="L1235" s="654">
        <v>0</v>
      </c>
      <c r="M1235" s="654">
        <v>0</v>
      </c>
      <c r="N1235" s="654">
        <v>287532</v>
      </c>
    </row>
    <row r="1236" spans="1:14" x14ac:dyDescent="0.15">
      <c r="B1236"/>
      <c r="F1236" t="s">
        <v>734</v>
      </c>
      <c r="H1236" s="654">
        <v>1360933</v>
      </c>
      <c r="I1236" s="654">
        <v>0</v>
      </c>
      <c r="J1236" s="654">
        <v>1360933</v>
      </c>
      <c r="K1236" s="654">
        <v>1360933</v>
      </c>
      <c r="L1236" s="654">
        <v>0</v>
      </c>
      <c r="M1236" s="654">
        <v>0</v>
      </c>
      <c r="N1236" s="654">
        <v>287532</v>
      </c>
    </row>
    <row r="1237" spans="1:14" x14ac:dyDescent="0.15">
      <c r="B1237"/>
      <c r="F1237" t="s">
        <v>628</v>
      </c>
      <c r="G1237" t="s">
        <v>598</v>
      </c>
      <c r="H1237" s="654">
        <v>669653</v>
      </c>
      <c r="I1237" s="654">
        <v>0</v>
      </c>
      <c r="J1237" s="654">
        <v>669653</v>
      </c>
      <c r="K1237" s="654">
        <v>669653</v>
      </c>
      <c r="L1237" s="654">
        <v>0</v>
      </c>
      <c r="M1237" s="654">
        <v>0</v>
      </c>
      <c r="N1237" s="654">
        <v>0</v>
      </c>
    </row>
    <row r="1238" spans="1:14" x14ac:dyDescent="0.15">
      <c r="B1238"/>
      <c r="F1238" t="s">
        <v>735</v>
      </c>
      <c r="H1238" s="654">
        <v>669653</v>
      </c>
      <c r="I1238" s="654">
        <v>0</v>
      </c>
      <c r="J1238" s="654">
        <v>669653</v>
      </c>
      <c r="K1238" s="654">
        <v>669653</v>
      </c>
      <c r="L1238" s="654">
        <v>0</v>
      </c>
      <c r="M1238" s="654">
        <v>0</v>
      </c>
      <c r="N1238" s="654">
        <v>0</v>
      </c>
    </row>
    <row r="1239" spans="1:14" x14ac:dyDescent="0.15">
      <c r="B1239"/>
      <c r="E1239" t="s">
        <v>769</v>
      </c>
      <c r="H1239" s="654">
        <v>10148554</v>
      </c>
      <c r="I1239" s="654">
        <v>-245734</v>
      </c>
      <c r="J1239" s="654">
        <v>9902820</v>
      </c>
      <c r="K1239" s="654">
        <v>9902820</v>
      </c>
      <c r="L1239" s="654">
        <v>0</v>
      </c>
      <c r="M1239" s="654">
        <v>0</v>
      </c>
      <c r="N1239" s="654">
        <v>1706391</v>
      </c>
    </row>
    <row r="1240" spans="1:14" x14ac:dyDescent="0.15">
      <c r="B1240"/>
      <c r="D1240" t="s">
        <v>733</v>
      </c>
      <c r="H1240" s="654">
        <v>10148554</v>
      </c>
      <c r="I1240" s="654">
        <v>-245734</v>
      </c>
      <c r="J1240" s="654">
        <v>9902820</v>
      </c>
      <c r="K1240" s="654">
        <v>9902820</v>
      </c>
      <c r="L1240" s="654">
        <v>0</v>
      </c>
      <c r="M1240" s="654">
        <v>0</v>
      </c>
      <c r="N1240" s="654">
        <v>1706391</v>
      </c>
    </row>
    <row r="1241" spans="1:14" x14ac:dyDescent="0.15">
      <c r="B1241"/>
      <c r="D1241" t="s">
        <v>627</v>
      </c>
      <c r="E1241" t="s">
        <v>379</v>
      </c>
      <c r="F1241" t="s">
        <v>626</v>
      </c>
      <c r="G1241" t="s">
        <v>600</v>
      </c>
      <c r="H1241" s="654">
        <v>4303508</v>
      </c>
      <c r="I1241" s="654">
        <v>-5635</v>
      </c>
      <c r="J1241" s="654">
        <v>4297873</v>
      </c>
      <c r="K1241" s="654">
        <v>4297873</v>
      </c>
      <c r="L1241" s="654">
        <v>0</v>
      </c>
      <c r="M1241" s="654">
        <v>0</v>
      </c>
      <c r="N1241" s="654">
        <v>485836</v>
      </c>
    </row>
    <row r="1242" spans="1:14" x14ac:dyDescent="0.15">
      <c r="B1242"/>
      <c r="F1242" t="s">
        <v>733</v>
      </c>
      <c r="H1242" s="654">
        <v>4303508</v>
      </c>
      <c r="I1242" s="654">
        <v>-5635</v>
      </c>
      <c r="J1242" s="654">
        <v>4297873</v>
      </c>
      <c r="K1242" s="654">
        <v>4297873</v>
      </c>
      <c r="L1242" s="654">
        <v>0</v>
      </c>
      <c r="M1242" s="654">
        <v>0</v>
      </c>
      <c r="N1242" s="654">
        <v>485836</v>
      </c>
    </row>
    <row r="1243" spans="1:14" x14ac:dyDescent="0.15">
      <c r="B1243"/>
      <c r="F1243" t="s">
        <v>627</v>
      </c>
      <c r="G1243" t="s">
        <v>599</v>
      </c>
      <c r="H1243" s="654">
        <v>880595</v>
      </c>
      <c r="I1243" s="654">
        <v>0</v>
      </c>
      <c r="J1243" s="654">
        <v>880595</v>
      </c>
      <c r="K1243" s="654">
        <v>880595</v>
      </c>
      <c r="L1243" s="654">
        <v>0</v>
      </c>
      <c r="M1243" s="654">
        <v>0</v>
      </c>
      <c r="N1243" s="654">
        <v>206491</v>
      </c>
    </row>
    <row r="1244" spans="1:14" x14ac:dyDescent="0.15">
      <c r="B1244"/>
      <c r="F1244" t="s">
        <v>734</v>
      </c>
      <c r="H1244" s="654">
        <v>880595</v>
      </c>
      <c r="I1244" s="654">
        <v>0</v>
      </c>
      <c r="J1244" s="654">
        <v>880595</v>
      </c>
      <c r="K1244" s="654">
        <v>880595</v>
      </c>
      <c r="L1244" s="654">
        <v>0</v>
      </c>
      <c r="M1244" s="654">
        <v>0</v>
      </c>
      <c r="N1244" s="654">
        <v>206491</v>
      </c>
    </row>
    <row r="1245" spans="1:14" x14ac:dyDescent="0.15">
      <c r="B1245"/>
      <c r="F1245" t="s">
        <v>628</v>
      </c>
      <c r="G1245" t="s">
        <v>598</v>
      </c>
      <c r="H1245" s="654">
        <v>488830</v>
      </c>
      <c r="I1245" s="654">
        <v>0</v>
      </c>
      <c r="J1245" s="654">
        <v>488830</v>
      </c>
      <c r="K1245" s="654">
        <v>488830</v>
      </c>
      <c r="L1245" s="654">
        <v>0</v>
      </c>
      <c r="M1245" s="654">
        <v>0</v>
      </c>
      <c r="N1245" s="654">
        <v>0</v>
      </c>
    </row>
    <row r="1246" spans="1:14" x14ac:dyDescent="0.15">
      <c r="B1246"/>
      <c r="F1246" t="s">
        <v>735</v>
      </c>
      <c r="H1246" s="654">
        <v>488830</v>
      </c>
      <c r="I1246" s="654">
        <v>0</v>
      </c>
      <c r="J1246" s="654">
        <v>488830</v>
      </c>
      <c r="K1246" s="654">
        <v>488830</v>
      </c>
      <c r="L1246" s="654">
        <v>0</v>
      </c>
      <c r="M1246" s="654">
        <v>0</v>
      </c>
      <c r="N1246" s="654">
        <v>0</v>
      </c>
    </row>
    <row r="1247" spans="1:14" x14ac:dyDescent="0.15">
      <c r="B1247"/>
      <c r="E1247" t="s">
        <v>770</v>
      </c>
      <c r="H1247" s="654">
        <v>5672933</v>
      </c>
      <c r="I1247" s="654">
        <v>-5635</v>
      </c>
      <c r="J1247" s="654">
        <v>5667298</v>
      </c>
      <c r="K1247" s="654">
        <v>5667298</v>
      </c>
      <c r="L1247" s="654">
        <v>0</v>
      </c>
      <c r="M1247" s="654">
        <v>0</v>
      </c>
      <c r="N1247" s="654">
        <v>692327</v>
      </c>
    </row>
    <row r="1248" spans="1:14" x14ac:dyDescent="0.15">
      <c r="B1248"/>
      <c r="D1248" t="s">
        <v>734</v>
      </c>
      <c r="H1248" s="654">
        <v>5672933</v>
      </c>
      <c r="I1248" s="654">
        <v>-5635</v>
      </c>
      <c r="J1248" s="654">
        <v>5667298</v>
      </c>
      <c r="K1248" s="654">
        <v>5667298</v>
      </c>
      <c r="L1248" s="654">
        <v>0</v>
      </c>
      <c r="M1248" s="654">
        <v>0</v>
      </c>
      <c r="N1248" s="654">
        <v>692327</v>
      </c>
    </row>
    <row r="1249" spans="2:14" x14ac:dyDescent="0.15">
      <c r="B1249"/>
      <c r="D1249" t="s">
        <v>628</v>
      </c>
      <c r="E1249" t="s">
        <v>380</v>
      </c>
      <c r="F1249" t="s">
        <v>626</v>
      </c>
      <c r="G1249" t="s">
        <v>600</v>
      </c>
      <c r="H1249" s="654">
        <v>3535638</v>
      </c>
      <c r="I1249" s="654">
        <v>0</v>
      </c>
      <c r="J1249" s="654">
        <v>3535638</v>
      </c>
      <c r="K1249" s="654">
        <v>3535638</v>
      </c>
      <c r="L1249" s="654">
        <v>0</v>
      </c>
      <c r="M1249" s="654">
        <v>22575</v>
      </c>
      <c r="N1249" s="654">
        <v>404497</v>
      </c>
    </row>
    <row r="1250" spans="2:14" x14ac:dyDescent="0.15">
      <c r="B1250"/>
      <c r="F1250" t="s">
        <v>733</v>
      </c>
      <c r="H1250" s="654">
        <v>3535638</v>
      </c>
      <c r="I1250" s="654">
        <v>0</v>
      </c>
      <c r="J1250" s="654">
        <v>3535638</v>
      </c>
      <c r="K1250" s="654">
        <v>3535638</v>
      </c>
      <c r="L1250" s="654">
        <v>0</v>
      </c>
      <c r="M1250" s="654">
        <v>22575</v>
      </c>
      <c r="N1250" s="654">
        <v>404497</v>
      </c>
    </row>
    <row r="1251" spans="2:14" x14ac:dyDescent="0.15">
      <c r="B1251"/>
      <c r="F1251" t="s">
        <v>627</v>
      </c>
      <c r="G1251" t="s">
        <v>599</v>
      </c>
      <c r="H1251" s="654">
        <v>1897088</v>
      </c>
      <c r="I1251" s="654">
        <v>0</v>
      </c>
      <c r="J1251" s="654">
        <v>1897088</v>
      </c>
      <c r="K1251" s="654">
        <v>1897088</v>
      </c>
      <c r="L1251" s="654">
        <v>0</v>
      </c>
      <c r="M1251" s="654">
        <v>0</v>
      </c>
      <c r="N1251" s="654">
        <v>437767</v>
      </c>
    </row>
    <row r="1252" spans="2:14" x14ac:dyDescent="0.15">
      <c r="B1252"/>
      <c r="F1252" t="s">
        <v>734</v>
      </c>
      <c r="H1252" s="654">
        <v>1897088</v>
      </c>
      <c r="I1252" s="654">
        <v>0</v>
      </c>
      <c r="J1252" s="654">
        <v>1897088</v>
      </c>
      <c r="K1252" s="654">
        <v>1897088</v>
      </c>
      <c r="L1252" s="654">
        <v>0</v>
      </c>
      <c r="M1252" s="654">
        <v>0</v>
      </c>
      <c r="N1252" s="654">
        <v>437767</v>
      </c>
    </row>
    <row r="1253" spans="2:14" x14ac:dyDescent="0.15">
      <c r="B1253"/>
      <c r="E1253" t="s">
        <v>771</v>
      </c>
      <c r="H1253" s="654">
        <v>5432726</v>
      </c>
      <c r="I1253" s="654">
        <v>0</v>
      </c>
      <c r="J1253" s="654">
        <v>5432726</v>
      </c>
      <c r="K1253" s="654">
        <v>5432726</v>
      </c>
      <c r="L1253" s="654">
        <v>0</v>
      </c>
      <c r="M1253" s="654">
        <v>22575</v>
      </c>
      <c r="N1253" s="654">
        <v>842264</v>
      </c>
    </row>
    <row r="1254" spans="2:14" x14ac:dyDescent="0.15">
      <c r="B1254"/>
      <c r="D1254" t="s">
        <v>735</v>
      </c>
      <c r="H1254" s="654">
        <v>5432726</v>
      </c>
      <c r="I1254" s="654">
        <v>0</v>
      </c>
      <c r="J1254" s="654">
        <v>5432726</v>
      </c>
      <c r="K1254" s="654">
        <v>5432726</v>
      </c>
      <c r="L1254" s="654">
        <v>0</v>
      </c>
      <c r="M1254" s="654">
        <v>22575</v>
      </c>
      <c r="N1254" s="654">
        <v>842264</v>
      </c>
    </row>
    <row r="1255" spans="2:14" x14ac:dyDescent="0.15">
      <c r="B1255"/>
      <c r="D1255" t="s">
        <v>629</v>
      </c>
      <c r="E1255" t="s">
        <v>676</v>
      </c>
      <c r="F1255" t="s">
        <v>629</v>
      </c>
      <c r="G1255" t="s">
        <v>601</v>
      </c>
      <c r="H1255" s="654">
        <v>2955968</v>
      </c>
      <c r="I1255" s="654">
        <v>-90611</v>
      </c>
      <c r="J1255" s="654">
        <v>2865357</v>
      </c>
      <c r="K1255" s="654">
        <v>2865357</v>
      </c>
      <c r="L1255" s="654">
        <v>0</v>
      </c>
      <c r="M1255" s="654">
        <v>0</v>
      </c>
      <c r="N1255" s="654">
        <v>165400</v>
      </c>
    </row>
    <row r="1256" spans="2:14" x14ac:dyDescent="0.15">
      <c r="B1256"/>
      <c r="F1256" t="s">
        <v>736</v>
      </c>
      <c r="H1256" s="654">
        <v>2955968</v>
      </c>
      <c r="I1256" s="654">
        <v>-90611</v>
      </c>
      <c r="J1256" s="654">
        <v>2865357</v>
      </c>
      <c r="K1256" s="654">
        <v>2865357</v>
      </c>
      <c r="L1256" s="654">
        <v>0</v>
      </c>
      <c r="M1256" s="654">
        <v>0</v>
      </c>
      <c r="N1256" s="654">
        <v>165400</v>
      </c>
    </row>
    <row r="1257" spans="2:14" x14ac:dyDescent="0.15">
      <c r="B1257"/>
      <c r="E1257" t="s">
        <v>772</v>
      </c>
      <c r="H1257" s="654">
        <v>2955968</v>
      </c>
      <c r="I1257" s="654">
        <v>-90611</v>
      </c>
      <c r="J1257" s="654">
        <v>2865357</v>
      </c>
      <c r="K1257" s="654">
        <v>2865357</v>
      </c>
      <c r="L1257" s="654">
        <v>0</v>
      </c>
      <c r="M1257" s="654">
        <v>0</v>
      </c>
      <c r="N1257" s="654">
        <v>165400</v>
      </c>
    </row>
    <row r="1258" spans="2:14" x14ac:dyDescent="0.15">
      <c r="B1258"/>
      <c r="D1258" t="s">
        <v>736</v>
      </c>
      <c r="H1258" s="654">
        <v>2955968</v>
      </c>
      <c r="I1258" s="654">
        <v>-90611</v>
      </c>
      <c r="J1258" s="654">
        <v>2865357</v>
      </c>
      <c r="K1258" s="654">
        <v>2865357</v>
      </c>
      <c r="L1258" s="654">
        <v>0</v>
      </c>
      <c r="M1258" s="654">
        <v>0</v>
      </c>
      <c r="N1258" s="654">
        <v>165400</v>
      </c>
    </row>
    <row r="1259" spans="2:14" x14ac:dyDescent="0.15">
      <c r="B1259"/>
      <c r="D1259" t="s">
        <v>567</v>
      </c>
      <c r="E1259" t="s">
        <v>473</v>
      </c>
      <c r="F1259" t="s">
        <v>631</v>
      </c>
      <c r="G1259" t="s">
        <v>596</v>
      </c>
      <c r="H1259" s="654">
        <v>982096</v>
      </c>
      <c r="I1259" s="654">
        <v>0</v>
      </c>
      <c r="J1259" s="654">
        <v>982096</v>
      </c>
      <c r="K1259" s="654">
        <v>982096</v>
      </c>
      <c r="L1259" s="654">
        <v>0</v>
      </c>
      <c r="M1259" s="654">
        <v>0</v>
      </c>
      <c r="N1259" s="654">
        <v>266247</v>
      </c>
    </row>
    <row r="1260" spans="2:14" x14ac:dyDescent="0.15">
      <c r="B1260"/>
      <c r="F1260" t="s">
        <v>737</v>
      </c>
      <c r="H1260" s="654">
        <v>982096</v>
      </c>
      <c r="I1260" s="654">
        <v>0</v>
      </c>
      <c r="J1260" s="654">
        <v>982096</v>
      </c>
      <c r="K1260" s="654">
        <v>982096</v>
      </c>
      <c r="L1260" s="654">
        <v>0</v>
      </c>
      <c r="M1260" s="654">
        <v>0</v>
      </c>
      <c r="N1260" s="654">
        <v>266247</v>
      </c>
    </row>
    <row r="1261" spans="2:14" x14ac:dyDescent="0.15">
      <c r="B1261"/>
      <c r="E1261" t="s">
        <v>773</v>
      </c>
      <c r="H1261" s="654">
        <v>982096</v>
      </c>
      <c r="I1261" s="654">
        <v>0</v>
      </c>
      <c r="J1261" s="654">
        <v>982096</v>
      </c>
      <c r="K1261" s="654">
        <v>982096</v>
      </c>
      <c r="L1261" s="654">
        <v>0</v>
      </c>
      <c r="M1261" s="654">
        <v>0</v>
      </c>
      <c r="N1261" s="654">
        <v>266247</v>
      </c>
    </row>
    <row r="1262" spans="2:14" x14ac:dyDescent="0.15">
      <c r="B1262"/>
      <c r="D1262" t="s">
        <v>739</v>
      </c>
      <c r="H1262" s="654">
        <v>982096</v>
      </c>
      <c r="I1262" s="654">
        <v>0</v>
      </c>
      <c r="J1262" s="654">
        <v>982096</v>
      </c>
      <c r="K1262" s="654">
        <v>982096</v>
      </c>
      <c r="L1262" s="654">
        <v>0</v>
      </c>
      <c r="M1262" s="654">
        <v>0</v>
      </c>
      <c r="N1262" s="654">
        <v>266247</v>
      </c>
    </row>
    <row r="1263" spans="2:14" x14ac:dyDescent="0.15">
      <c r="B1263"/>
      <c r="D1263" t="s">
        <v>568</v>
      </c>
      <c r="E1263" t="s">
        <v>474</v>
      </c>
      <c r="F1263" t="s">
        <v>631</v>
      </c>
      <c r="G1263" t="s">
        <v>596</v>
      </c>
      <c r="H1263" s="654">
        <v>937378</v>
      </c>
      <c r="I1263" s="654">
        <v>0</v>
      </c>
      <c r="J1263" s="654">
        <v>937378</v>
      </c>
      <c r="K1263" s="654">
        <v>937378</v>
      </c>
      <c r="L1263" s="654">
        <v>0</v>
      </c>
      <c r="M1263" s="654">
        <v>0</v>
      </c>
      <c r="N1263" s="654">
        <v>0</v>
      </c>
    </row>
    <row r="1264" spans="2:14" x14ac:dyDescent="0.15">
      <c r="B1264"/>
      <c r="F1264" t="s">
        <v>737</v>
      </c>
      <c r="H1264" s="654">
        <v>937378</v>
      </c>
      <c r="I1264" s="654">
        <v>0</v>
      </c>
      <c r="J1264" s="654">
        <v>937378</v>
      </c>
      <c r="K1264" s="654">
        <v>937378</v>
      </c>
      <c r="L1264" s="654">
        <v>0</v>
      </c>
      <c r="M1264" s="654">
        <v>0</v>
      </c>
      <c r="N1264" s="654">
        <v>0</v>
      </c>
    </row>
    <row r="1265" spans="2:14" x14ac:dyDescent="0.15">
      <c r="B1265"/>
      <c r="E1265" t="s">
        <v>774</v>
      </c>
      <c r="H1265" s="654">
        <v>937378</v>
      </c>
      <c r="I1265" s="654">
        <v>0</v>
      </c>
      <c r="J1265" s="654">
        <v>937378</v>
      </c>
      <c r="K1265" s="654">
        <v>937378</v>
      </c>
      <c r="L1265" s="654">
        <v>0</v>
      </c>
      <c r="M1265" s="654">
        <v>0</v>
      </c>
      <c r="N1265" s="654">
        <v>0</v>
      </c>
    </row>
    <row r="1266" spans="2:14" x14ac:dyDescent="0.15">
      <c r="B1266"/>
      <c r="D1266" t="s">
        <v>740</v>
      </c>
      <c r="H1266" s="654">
        <v>937378</v>
      </c>
      <c r="I1266" s="654">
        <v>0</v>
      </c>
      <c r="J1266" s="654">
        <v>937378</v>
      </c>
      <c r="K1266" s="654">
        <v>937378</v>
      </c>
      <c r="L1266" s="654">
        <v>0</v>
      </c>
      <c r="M1266" s="654">
        <v>0</v>
      </c>
      <c r="N1266" s="654">
        <v>0</v>
      </c>
    </row>
    <row r="1267" spans="2:14" x14ac:dyDescent="0.15">
      <c r="B1267"/>
      <c r="D1267" t="s">
        <v>582</v>
      </c>
      <c r="E1267" t="s">
        <v>384</v>
      </c>
      <c r="F1267" t="s">
        <v>631</v>
      </c>
      <c r="G1267" t="s">
        <v>596</v>
      </c>
      <c r="H1267" s="654">
        <v>2099753</v>
      </c>
      <c r="I1267" s="654">
        <v>-210912</v>
      </c>
      <c r="J1267" s="654">
        <v>1888841</v>
      </c>
      <c r="K1267" s="654">
        <v>1888841</v>
      </c>
      <c r="L1267" s="654">
        <v>0</v>
      </c>
      <c r="M1267" s="654">
        <v>0</v>
      </c>
      <c r="N1267" s="654">
        <v>0</v>
      </c>
    </row>
    <row r="1268" spans="2:14" x14ac:dyDescent="0.15">
      <c r="B1268"/>
      <c r="F1268" t="s">
        <v>737</v>
      </c>
      <c r="H1268" s="654">
        <v>2099753</v>
      </c>
      <c r="I1268" s="654">
        <v>-210912</v>
      </c>
      <c r="J1268" s="654">
        <v>1888841</v>
      </c>
      <c r="K1268" s="654">
        <v>1888841</v>
      </c>
      <c r="L1268" s="654">
        <v>0</v>
      </c>
      <c r="M1268" s="654">
        <v>0</v>
      </c>
      <c r="N1268" s="654">
        <v>0</v>
      </c>
    </row>
    <row r="1269" spans="2:14" x14ac:dyDescent="0.15">
      <c r="B1269"/>
      <c r="E1269" t="s">
        <v>778</v>
      </c>
      <c r="H1269" s="654">
        <v>2099753</v>
      </c>
      <c r="I1269" s="654">
        <v>-210912</v>
      </c>
      <c r="J1269" s="654">
        <v>1888841</v>
      </c>
      <c r="K1269" s="654">
        <v>1888841</v>
      </c>
      <c r="L1269" s="654">
        <v>0</v>
      </c>
      <c r="M1269" s="654">
        <v>0</v>
      </c>
      <c r="N1269" s="654">
        <v>0</v>
      </c>
    </row>
    <row r="1270" spans="2:14" x14ac:dyDescent="0.15">
      <c r="B1270"/>
      <c r="D1270" t="s">
        <v>743</v>
      </c>
      <c r="H1270" s="654">
        <v>2099753</v>
      </c>
      <c r="I1270" s="654">
        <v>-210912</v>
      </c>
      <c r="J1270" s="654">
        <v>1888841</v>
      </c>
      <c r="K1270" s="654">
        <v>1888841</v>
      </c>
      <c r="L1270" s="654">
        <v>0</v>
      </c>
      <c r="M1270" s="654">
        <v>0</v>
      </c>
      <c r="N1270" s="654">
        <v>0</v>
      </c>
    </row>
    <row r="1271" spans="2:14" x14ac:dyDescent="0.15">
      <c r="B1271"/>
      <c r="D1271" t="s">
        <v>631</v>
      </c>
      <c r="E1271" t="s">
        <v>381</v>
      </c>
      <c r="F1271" t="s">
        <v>626</v>
      </c>
      <c r="G1271" t="s">
        <v>600</v>
      </c>
      <c r="H1271" s="654">
        <v>2383506</v>
      </c>
      <c r="I1271" s="654">
        <v>0</v>
      </c>
      <c r="J1271" s="654">
        <v>2383506</v>
      </c>
      <c r="K1271" s="654">
        <v>2383506</v>
      </c>
      <c r="L1271" s="654">
        <v>0</v>
      </c>
      <c r="M1271" s="654">
        <v>0</v>
      </c>
      <c r="N1271" s="654">
        <v>0</v>
      </c>
    </row>
    <row r="1272" spans="2:14" x14ac:dyDescent="0.15">
      <c r="B1272"/>
      <c r="F1272" t="s">
        <v>733</v>
      </c>
      <c r="H1272" s="654">
        <v>2383506</v>
      </c>
      <c r="I1272" s="654">
        <v>0</v>
      </c>
      <c r="J1272" s="654">
        <v>2383506</v>
      </c>
      <c r="K1272" s="654">
        <v>2383506</v>
      </c>
      <c r="L1272" s="654">
        <v>0</v>
      </c>
      <c r="M1272" s="654">
        <v>0</v>
      </c>
      <c r="N1272" s="654">
        <v>0</v>
      </c>
    </row>
    <row r="1273" spans="2:14" x14ac:dyDescent="0.15">
      <c r="B1273"/>
      <c r="E1273" t="s">
        <v>776</v>
      </c>
      <c r="H1273" s="654">
        <v>2383506</v>
      </c>
      <c r="I1273" s="654">
        <v>0</v>
      </c>
      <c r="J1273" s="654">
        <v>2383506</v>
      </c>
      <c r="K1273" s="654">
        <v>2383506</v>
      </c>
      <c r="L1273" s="654">
        <v>0</v>
      </c>
      <c r="M1273" s="654">
        <v>0</v>
      </c>
      <c r="N1273" s="654">
        <v>0</v>
      </c>
    </row>
    <row r="1274" spans="2:14" x14ac:dyDescent="0.15">
      <c r="B1274"/>
      <c r="D1274" t="s">
        <v>737</v>
      </c>
      <c r="H1274" s="654">
        <v>2383506</v>
      </c>
      <c r="I1274" s="654">
        <v>0</v>
      </c>
      <c r="J1274" s="654">
        <v>2383506</v>
      </c>
      <c r="K1274" s="654">
        <v>2383506</v>
      </c>
      <c r="L1274" s="654">
        <v>0</v>
      </c>
      <c r="M1274" s="654">
        <v>0</v>
      </c>
      <c r="N1274" s="654">
        <v>0</v>
      </c>
    </row>
    <row r="1275" spans="2:14" x14ac:dyDescent="0.15">
      <c r="B1275"/>
      <c r="D1275" t="s">
        <v>671</v>
      </c>
      <c r="E1275" t="s">
        <v>383</v>
      </c>
      <c r="F1275" t="s">
        <v>626</v>
      </c>
      <c r="G1275" t="s">
        <v>600</v>
      </c>
      <c r="H1275" s="654">
        <v>1407947</v>
      </c>
      <c r="I1275" s="654">
        <v>0</v>
      </c>
      <c r="J1275" s="654">
        <v>1407947</v>
      </c>
      <c r="K1275" s="654">
        <v>1407947</v>
      </c>
      <c r="L1275" s="654">
        <v>0</v>
      </c>
      <c r="M1275" s="654">
        <v>48577</v>
      </c>
      <c r="N1275" s="654">
        <v>0</v>
      </c>
    </row>
    <row r="1276" spans="2:14" x14ac:dyDescent="0.15">
      <c r="B1276"/>
      <c r="F1276" t="s">
        <v>733</v>
      </c>
      <c r="H1276" s="654">
        <v>1407947</v>
      </c>
      <c r="I1276" s="654">
        <v>0</v>
      </c>
      <c r="J1276" s="654">
        <v>1407947</v>
      </c>
      <c r="K1276" s="654">
        <v>1407947</v>
      </c>
      <c r="L1276" s="654">
        <v>0</v>
      </c>
      <c r="M1276" s="654">
        <v>48577</v>
      </c>
      <c r="N1276" s="654">
        <v>0</v>
      </c>
    </row>
    <row r="1277" spans="2:14" x14ac:dyDescent="0.15">
      <c r="B1277"/>
      <c r="F1277" t="s">
        <v>627</v>
      </c>
      <c r="G1277" t="s">
        <v>599</v>
      </c>
      <c r="H1277" s="654">
        <v>0</v>
      </c>
      <c r="I1277" s="654">
        <v>0</v>
      </c>
      <c r="J1277" s="654">
        <v>0</v>
      </c>
      <c r="K1277" s="654">
        <v>0</v>
      </c>
      <c r="L1277" s="654">
        <v>0</v>
      </c>
      <c r="M1277" s="654">
        <v>0</v>
      </c>
      <c r="N1277" s="654">
        <v>0</v>
      </c>
    </row>
    <row r="1278" spans="2:14" x14ac:dyDescent="0.15">
      <c r="B1278"/>
      <c r="F1278" t="s">
        <v>734</v>
      </c>
      <c r="H1278" s="654">
        <v>0</v>
      </c>
      <c r="I1278" s="654">
        <v>0</v>
      </c>
      <c r="J1278" s="654">
        <v>0</v>
      </c>
      <c r="K1278" s="654">
        <v>0</v>
      </c>
      <c r="L1278" s="654">
        <v>0</v>
      </c>
      <c r="M1278" s="654">
        <v>0</v>
      </c>
      <c r="N1278" s="654">
        <v>0</v>
      </c>
    </row>
    <row r="1279" spans="2:14" x14ac:dyDescent="0.15">
      <c r="B1279"/>
      <c r="E1279" t="s">
        <v>777</v>
      </c>
      <c r="H1279" s="654">
        <v>1407947</v>
      </c>
      <c r="I1279" s="654">
        <v>0</v>
      </c>
      <c r="J1279" s="654">
        <v>1407947</v>
      </c>
      <c r="K1279" s="654">
        <v>1407947</v>
      </c>
      <c r="L1279" s="654">
        <v>0</v>
      </c>
      <c r="M1279" s="654">
        <v>48577</v>
      </c>
      <c r="N1279" s="654">
        <v>0</v>
      </c>
    </row>
    <row r="1280" spans="2:14" x14ac:dyDescent="0.15">
      <c r="B1280"/>
      <c r="D1280" t="s">
        <v>742</v>
      </c>
      <c r="H1280" s="654">
        <v>1407947</v>
      </c>
      <c r="I1280" s="654">
        <v>0</v>
      </c>
      <c r="J1280" s="654">
        <v>1407947</v>
      </c>
      <c r="K1280" s="654">
        <v>1407947</v>
      </c>
      <c r="L1280" s="654">
        <v>0</v>
      </c>
      <c r="M1280" s="654">
        <v>48577</v>
      </c>
      <c r="N1280" s="654">
        <v>0</v>
      </c>
    </row>
    <row r="1281" spans="2:14" x14ac:dyDescent="0.15">
      <c r="B1281"/>
      <c r="C1281" t="s">
        <v>853</v>
      </c>
      <c r="H1281" s="654">
        <v>32020861</v>
      </c>
      <c r="I1281" s="654">
        <v>-552892</v>
      </c>
      <c r="J1281" s="654">
        <v>31467969</v>
      </c>
      <c r="K1281" s="654">
        <v>31467969</v>
      </c>
      <c r="L1281" s="654">
        <v>0</v>
      </c>
      <c r="M1281" s="654">
        <v>71152</v>
      </c>
      <c r="N1281" s="654">
        <v>3672629</v>
      </c>
    </row>
    <row r="1282" spans="2:14" x14ac:dyDescent="0.15">
      <c r="B1282" t="s">
        <v>627</v>
      </c>
      <c r="C1282" t="s">
        <v>847</v>
      </c>
      <c r="D1282" t="s">
        <v>626</v>
      </c>
      <c r="E1282" t="s">
        <v>378</v>
      </c>
      <c r="F1282" t="s">
        <v>626</v>
      </c>
      <c r="G1282" t="s">
        <v>600</v>
      </c>
      <c r="H1282" s="654">
        <v>134392</v>
      </c>
      <c r="I1282" s="654">
        <v>-28408</v>
      </c>
      <c r="J1282" s="654">
        <v>105984</v>
      </c>
      <c r="K1282" s="654">
        <v>105984</v>
      </c>
      <c r="L1282" s="654">
        <v>0</v>
      </c>
      <c r="M1282" s="654">
        <v>0</v>
      </c>
      <c r="N1282" s="654">
        <v>0</v>
      </c>
    </row>
    <row r="1283" spans="2:14" x14ac:dyDescent="0.15">
      <c r="B1283"/>
      <c r="F1283" t="s">
        <v>733</v>
      </c>
      <c r="H1283" s="654">
        <v>134392</v>
      </c>
      <c r="I1283" s="654">
        <v>-28408</v>
      </c>
      <c r="J1283" s="654">
        <v>105984</v>
      </c>
      <c r="K1283" s="654">
        <v>105984</v>
      </c>
      <c r="L1283" s="654">
        <v>0</v>
      </c>
      <c r="M1283" s="654">
        <v>0</v>
      </c>
      <c r="N1283" s="654">
        <v>0</v>
      </c>
    </row>
    <row r="1284" spans="2:14" x14ac:dyDescent="0.15">
      <c r="B1284"/>
      <c r="F1284" t="s">
        <v>627</v>
      </c>
      <c r="G1284" t="s">
        <v>599</v>
      </c>
      <c r="H1284" s="654">
        <v>112147</v>
      </c>
      <c r="I1284" s="654">
        <v>-112147</v>
      </c>
      <c r="J1284" s="654">
        <v>0</v>
      </c>
      <c r="K1284" s="654">
        <v>0</v>
      </c>
      <c r="L1284" s="654">
        <v>0</v>
      </c>
      <c r="M1284" s="654">
        <v>0</v>
      </c>
      <c r="N1284" s="654">
        <v>0</v>
      </c>
    </row>
    <row r="1285" spans="2:14" x14ac:dyDescent="0.15">
      <c r="B1285"/>
      <c r="F1285" t="s">
        <v>734</v>
      </c>
      <c r="H1285" s="654">
        <v>112147</v>
      </c>
      <c r="I1285" s="654">
        <v>-112147</v>
      </c>
      <c r="J1285" s="654">
        <v>0</v>
      </c>
      <c r="K1285" s="654">
        <v>0</v>
      </c>
      <c r="L1285" s="654">
        <v>0</v>
      </c>
      <c r="M1285" s="654">
        <v>0</v>
      </c>
      <c r="N1285" s="654">
        <v>0</v>
      </c>
    </row>
    <row r="1286" spans="2:14" x14ac:dyDescent="0.15">
      <c r="B1286"/>
      <c r="F1286" t="s">
        <v>628</v>
      </c>
      <c r="G1286" t="s">
        <v>598</v>
      </c>
      <c r="H1286" s="654">
        <v>0</v>
      </c>
      <c r="I1286" s="654">
        <v>0</v>
      </c>
      <c r="J1286" s="654">
        <v>0</v>
      </c>
      <c r="K1286" s="654">
        <v>0</v>
      </c>
      <c r="L1286" s="654">
        <v>0</v>
      </c>
      <c r="M1286" s="654">
        <v>0</v>
      </c>
      <c r="N1286" s="654">
        <v>0</v>
      </c>
    </row>
    <row r="1287" spans="2:14" x14ac:dyDescent="0.15">
      <c r="B1287"/>
      <c r="F1287" t="s">
        <v>735</v>
      </c>
      <c r="H1287" s="654">
        <v>0</v>
      </c>
      <c r="I1287" s="654">
        <v>0</v>
      </c>
      <c r="J1287" s="654">
        <v>0</v>
      </c>
      <c r="K1287" s="654">
        <v>0</v>
      </c>
      <c r="L1287" s="654">
        <v>0</v>
      </c>
      <c r="M1287" s="654">
        <v>0</v>
      </c>
      <c r="N1287" s="654">
        <v>0</v>
      </c>
    </row>
    <row r="1288" spans="2:14" x14ac:dyDescent="0.15">
      <c r="B1288"/>
      <c r="E1288" t="s">
        <v>769</v>
      </c>
      <c r="H1288" s="654">
        <v>246539</v>
      </c>
      <c r="I1288" s="654">
        <v>-140555</v>
      </c>
      <c r="J1288" s="654">
        <v>105984</v>
      </c>
      <c r="K1288" s="654">
        <v>105984</v>
      </c>
      <c r="L1288" s="654">
        <v>0</v>
      </c>
      <c r="M1288" s="654">
        <v>0</v>
      </c>
      <c r="N1288" s="654">
        <v>0</v>
      </c>
    </row>
    <row r="1289" spans="2:14" x14ac:dyDescent="0.15">
      <c r="B1289"/>
      <c r="D1289" t="s">
        <v>733</v>
      </c>
      <c r="H1289" s="654">
        <v>246539</v>
      </c>
      <c r="I1289" s="654">
        <v>-140555</v>
      </c>
      <c r="J1289" s="654">
        <v>105984</v>
      </c>
      <c r="K1289" s="654">
        <v>105984</v>
      </c>
      <c r="L1289" s="654">
        <v>0</v>
      </c>
      <c r="M1289" s="654">
        <v>0</v>
      </c>
      <c r="N1289" s="654">
        <v>0</v>
      </c>
    </row>
    <row r="1290" spans="2:14" x14ac:dyDescent="0.15">
      <c r="B1290"/>
      <c r="D1290" t="s">
        <v>627</v>
      </c>
      <c r="E1290" t="s">
        <v>379</v>
      </c>
      <c r="F1290" t="s">
        <v>626</v>
      </c>
      <c r="G1290" t="s">
        <v>600</v>
      </c>
      <c r="H1290" s="654">
        <v>532781</v>
      </c>
      <c r="I1290" s="654">
        <v>-488034</v>
      </c>
      <c r="J1290" s="654">
        <v>44747</v>
      </c>
      <c r="K1290" s="654">
        <v>44747</v>
      </c>
      <c r="L1290" s="654">
        <v>0</v>
      </c>
      <c r="M1290" s="654">
        <v>0</v>
      </c>
      <c r="N1290" s="654">
        <v>0</v>
      </c>
    </row>
    <row r="1291" spans="2:14" x14ac:dyDescent="0.15">
      <c r="B1291"/>
      <c r="F1291" t="s">
        <v>733</v>
      </c>
      <c r="H1291" s="654">
        <v>532781</v>
      </c>
      <c r="I1291" s="654">
        <v>-488034</v>
      </c>
      <c r="J1291" s="654">
        <v>44747</v>
      </c>
      <c r="K1291" s="654">
        <v>44747</v>
      </c>
      <c r="L1291" s="654">
        <v>0</v>
      </c>
      <c r="M1291" s="654">
        <v>0</v>
      </c>
      <c r="N1291" s="654">
        <v>0</v>
      </c>
    </row>
    <row r="1292" spans="2:14" x14ac:dyDescent="0.15">
      <c r="B1292"/>
      <c r="F1292" t="s">
        <v>627</v>
      </c>
      <c r="G1292" t="s">
        <v>599</v>
      </c>
      <c r="H1292" s="654">
        <v>25058</v>
      </c>
      <c r="I1292" s="654">
        <v>0</v>
      </c>
      <c r="J1292" s="654">
        <v>25058</v>
      </c>
      <c r="K1292" s="654">
        <v>25058</v>
      </c>
      <c r="L1292" s="654">
        <v>0</v>
      </c>
      <c r="M1292" s="654">
        <v>0</v>
      </c>
      <c r="N1292" s="654">
        <v>0</v>
      </c>
    </row>
    <row r="1293" spans="2:14" x14ac:dyDescent="0.15">
      <c r="B1293"/>
      <c r="F1293" t="s">
        <v>734</v>
      </c>
      <c r="H1293" s="654">
        <v>25058</v>
      </c>
      <c r="I1293" s="654">
        <v>0</v>
      </c>
      <c r="J1293" s="654">
        <v>25058</v>
      </c>
      <c r="K1293" s="654">
        <v>25058</v>
      </c>
      <c r="L1293" s="654">
        <v>0</v>
      </c>
      <c r="M1293" s="654">
        <v>0</v>
      </c>
      <c r="N1293" s="654">
        <v>0</v>
      </c>
    </row>
    <row r="1294" spans="2:14" x14ac:dyDescent="0.15">
      <c r="B1294"/>
      <c r="F1294" t="s">
        <v>628</v>
      </c>
      <c r="G1294" t="s">
        <v>598</v>
      </c>
      <c r="H1294" s="654">
        <v>18265</v>
      </c>
      <c r="I1294" s="654">
        <v>0</v>
      </c>
      <c r="J1294" s="654">
        <v>18265</v>
      </c>
      <c r="K1294" s="654">
        <v>18265</v>
      </c>
      <c r="L1294" s="654">
        <v>0</v>
      </c>
      <c r="M1294" s="654">
        <v>0</v>
      </c>
      <c r="N1294" s="654">
        <v>0</v>
      </c>
    </row>
    <row r="1295" spans="2:14" x14ac:dyDescent="0.15">
      <c r="B1295"/>
      <c r="F1295" t="s">
        <v>735</v>
      </c>
      <c r="H1295" s="654">
        <v>18265</v>
      </c>
      <c r="I1295" s="654">
        <v>0</v>
      </c>
      <c r="J1295" s="654">
        <v>18265</v>
      </c>
      <c r="K1295" s="654">
        <v>18265</v>
      </c>
      <c r="L1295" s="654">
        <v>0</v>
      </c>
      <c r="M1295" s="654">
        <v>0</v>
      </c>
      <c r="N1295" s="654">
        <v>0</v>
      </c>
    </row>
    <row r="1296" spans="2:14" x14ac:dyDescent="0.15">
      <c r="B1296"/>
      <c r="E1296" t="s">
        <v>770</v>
      </c>
      <c r="H1296" s="654">
        <v>576104</v>
      </c>
      <c r="I1296" s="654">
        <v>-488034</v>
      </c>
      <c r="J1296" s="654">
        <v>88070</v>
      </c>
      <c r="K1296" s="654">
        <v>88070</v>
      </c>
      <c r="L1296" s="654">
        <v>0</v>
      </c>
      <c r="M1296" s="654">
        <v>0</v>
      </c>
      <c r="N1296" s="654">
        <v>0</v>
      </c>
    </row>
    <row r="1297" spans="2:14" x14ac:dyDescent="0.15">
      <c r="B1297"/>
      <c r="D1297" t="s">
        <v>734</v>
      </c>
      <c r="H1297" s="654">
        <v>576104</v>
      </c>
      <c r="I1297" s="654">
        <v>-488034</v>
      </c>
      <c r="J1297" s="654">
        <v>88070</v>
      </c>
      <c r="K1297" s="654">
        <v>88070</v>
      </c>
      <c r="L1297" s="654">
        <v>0</v>
      </c>
      <c r="M1297" s="654">
        <v>0</v>
      </c>
      <c r="N1297" s="654">
        <v>0</v>
      </c>
    </row>
    <row r="1298" spans="2:14" x14ac:dyDescent="0.15">
      <c r="B1298"/>
      <c r="D1298" t="s">
        <v>628</v>
      </c>
      <c r="E1298" t="s">
        <v>380</v>
      </c>
      <c r="F1298" t="s">
        <v>626</v>
      </c>
      <c r="G1298" t="s">
        <v>600</v>
      </c>
      <c r="H1298" s="654">
        <v>43746</v>
      </c>
      <c r="I1298" s="654">
        <v>123096</v>
      </c>
      <c r="J1298" s="654">
        <v>166842</v>
      </c>
      <c r="K1298" s="654">
        <v>166842</v>
      </c>
      <c r="L1298" s="654">
        <v>0</v>
      </c>
      <c r="M1298" s="654">
        <v>0</v>
      </c>
      <c r="N1298" s="654">
        <v>0</v>
      </c>
    </row>
    <row r="1299" spans="2:14" x14ac:dyDescent="0.15">
      <c r="B1299"/>
      <c r="F1299" t="s">
        <v>733</v>
      </c>
      <c r="H1299" s="654">
        <v>43746</v>
      </c>
      <c r="I1299" s="654">
        <v>123096</v>
      </c>
      <c r="J1299" s="654">
        <v>166842</v>
      </c>
      <c r="K1299" s="654">
        <v>166842</v>
      </c>
      <c r="L1299" s="654">
        <v>0</v>
      </c>
      <c r="M1299" s="654">
        <v>0</v>
      </c>
      <c r="N1299" s="654">
        <v>0</v>
      </c>
    </row>
    <row r="1300" spans="2:14" x14ac:dyDescent="0.15">
      <c r="B1300"/>
      <c r="F1300" t="s">
        <v>627</v>
      </c>
      <c r="G1300" t="s">
        <v>599</v>
      </c>
      <c r="H1300" s="654">
        <v>0</v>
      </c>
      <c r="I1300" s="654">
        <v>0</v>
      </c>
      <c r="J1300" s="654">
        <v>0</v>
      </c>
      <c r="K1300" s="654">
        <v>0</v>
      </c>
      <c r="L1300" s="654">
        <v>0</v>
      </c>
      <c r="M1300" s="654">
        <v>0</v>
      </c>
      <c r="N1300" s="654">
        <v>0</v>
      </c>
    </row>
    <row r="1301" spans="2:14" x14ac:dyDescent="0.15">
      <c r="B1301"/>
      <c r="F1301" t="s">
        <v>734</v>
      </c>
      <c r="H1301" s="654">
        <v>0</v>
      </c>
      <c r="I1301" s="654">
        <v>0</v>
      </c>
      <c r="J1301" s="654">
        <v>0</v>
      </c>
      <c r="K1301" s="654">
        <v>0</v>
      </c>
      <c r="L1301" s="654">
        <v>0</v>
      </c>
      <c r="M1301" s="654">
        <v>0</v>
      </c>
      <c r="N1301" s="654">
        <v>0</v>
      </c>
    </row>
    <row r="1302" spans="2:14" x14ac:dyDescent="0.15">
      <c r="B1302"/>
      <c r="E1302" t="s">
        <v>771</v>
      </c>
      <c r="H1302" s="654">
        <v>43746</v>
      </c>
      <c r="I1302" s="654">
        <v>123096</v>
      </c>
      <c r="J1302" s="654">
        <v>166842</v>
      </c>
      <c r="K1302" s="654">
        <v>166842</v>
      </c>
      <c r="L1302" s="654">
        <v>0</v>
      </c>
      <c r="M1302" s="654">
        <v>0</v>
      </c>
      <c r="N1302" s="654">
        <v>0</v>
      </c>
    </row>
    <row r="1303" spans="2:14" x14ac:dyDescent="0.15">
      <c r="B1303"/>
      <c r="D1303" t="s">
        <v>735</v>
      </c>
      <c r="H1303" s="654">
        <v>43746</v>
      </c>
      <c r="I1303" s="654">
        <v>123096</v>
      </c>
      <c r="J1303" s="654">
        <v>166842</v>
      </c>
      <c r="K1303" s="654">
        <v>166842</v>
      </c>
      <c r="L1303" s="654">
        <v>0</v>
      </c>
      <c r="M1303" s="654">
        <v>0</v>
      </c>
      <c r="N1303" s="654">
        <v>0</v>
      </c>
    </row>
    <row r="1304" spans="2:14" x14ac:dyDescent="0.15">
      <c r="B1304"/>
      <c r="D1304" t="s">
        <v>629</v>
      </c>
      <c r="E1304" t="s">
        <v>676</v>
      </c>
      <c r="F1304" t="s">
        <v>629</v>
      </c>
      <c r="G1304" t="s">
        <v>601</v>
      </c>
      <c r="H1304" s="654">
        <v>91991</v>
      </c>
      <c r="I1304" s="654">
        <v>0</v>
      </c>
      <c r="J1304" s="654">
        <v>91991</v>
      </c>
      <c r="K1304" s="654">
        <v>91991</v>
      </c>
      <c r="L1304" s="654">
        <v>0</v>
      </c>
      <c r="M1304" s="654">
        <v>0</v>
      </c>
      <c r="N1304" s="654">
        <v>0</v>
      </c>
    </row>
    <row r="1305" spans="2:14" x14ac:dyDescent="0.15">
      <c r="B1305"/>
      <c r="F1305" t="s">
        <v>736</v>
      </c>
      <c r="H1305" s="654">
        <v>91991</v>
      </c>
      <c r="I1305" s="654">
        <v>0</v>
      </c>
      <c r="J1305" s="654">
        <v>91991</v>
      </c>
      <c r="K1305" s="654">
        <v>91991</v>
      </c>
      <c r="L1305" s="654">
        <v>0</v>
      </c>
      <c r="M1305" s="654">
        <v>0</v>
      </c>
      <c r="N1305" s="654">
        <v>0</v>
      </c>
    </row>
    <row r="1306" spans="2:14" x14ac:dyDescent="0.15">
      <c r="B1306"/>
      <c r="E1306" t="s">
        <v>772</v>
      </c>
      <c r="H1306" s="654">
        <v>91991</v>
      </c>
      <c r="I1306" s="654">
        <v>0</v>
      </c>
      <c r="J1306" s="654">
        <v>91991</v>
      </c>
      <c r="K1306" s="654">
        <v>91991</v>
      </c>
      <c r="L1306" s="654">
        <v>0</v>
      </c>
      <c r="M1306" s="654">
        <v>0</v>
      </c>
      <c r="N1306" s="654">
        <v>0</v>
      </c>
    </row>
    <row r="1307" spans="2:14" x14ac:dyDescent="0.15">
      <c r="B1307"/>
      <c r="D1307" t="s">
        <v>736</v>
      </c>
      <c r="H1307" s="654">
        <v>91991</v>
      </c>
      <c r="I1307" s="654">
        <v>0</v>
      </c>
      <c r="J1307" s="654">
        <v>91991</v>
      </c>
      <c r="K1307" s="654">
        <v>91991</v>
      </c>
      <c r="L1307" s="654">
        <v>0</v>
      </c>
      <c r="M1307" s="654">
        <v>0</v>
      </c>
      <c r="N1307" s="654">
        <v>0</v>
      </c>
    </row>
    <row r="1308" spans="2:14" x14ac:dyDescent="0.15">
      <c r="B1308"/>
      <c r="D1308" t="s">
        <v>567</v>
      </c>
      <c r="E1308" t="s">
        <v>473</v>
      </c>
      <c r="F1308" t="s">
        <v>631</v>
      </c>
      <c r="G1308" t="s">
        <v>596</v>
      </c>
      <c r="H1308" s="654">
        <v>425162</v>
      </c>
      <c r="I1308" s="654">
        <v>-209096</v>
      </c>
      <c r="J1308" s="654">
        <v>216066</v>
      </c>
      <c r="K1308" s="654">
        <v>216066</v>
      </c>
      <c r="L1308" s="654">
        <v>0</v>
      </c>
      <c r="M1308" s="654">
        <v>0</v>
      </c>
      <c r="N1308" s="654">
        <v>0</v>
      </c>
    </row>
    <row r="1309" spans="2:14" x14ac:dyDescent="0.15">
      <c r="B1309"/>
      <c r="F1309" t="s">
        <v>737</v>
      </c>
      <c r="H1309" s="654">
        <v>425162</v>
      </c>
      <c r="I1309" s="654">
        <v>-209096</v>
      </c>
      <c r="J1309" s="654">
        <v>216066</v>
      </c>
      <c r="K1309" s="654">
        <v>216066</v>
      </c>
      <c r="L1309" s="654">
        <v>0</v>
      </c>
      <c r="M1309" s="654">
        <v>0</v>
      </c>
      <c r="N1309" s="654">
        <v>0</v>
      </c>
    </row>
    <row r="1310" spans="2:14" x14ac:dyDescent="0.15">
      <c r="B1310"/>
      <c r="E1310" t="s">
        <v>773</v>
      </c>
      <c r="H1310" s="654">
        <v>425162</v>
      </c>
      <c r="I1310" s="654">
        <v>-209096</v>
      </c>
      <c r="J1310" s="654">
        <v>216066</v>
      </c>
      <c r="K1310" s="654">
        <v>216066</v>
      </c>
      <c r="L1310" s="654">
        <v>0</v>
      </c>
      <c r="M1310" s="654">
        <v>0</v>
      </c>
      <c r="N1310" s="654">
        <v>0</v>
      </c>
    </row>
    <row r="1311" spans="2:14" x14ac:dyDescent="0.15">
      <c r="B1311"/>
      <c r="D1311" t="s">
        <v>739</v>
      </c>
      <c r="H1311" s="654">
        <v>425162</v>
      </c>
      <c r="I1311" s="654">
        <v>-209096</v>
      </c>
      <c r="J1311" s="654">
        <v>216066</v>
      </c>
      <c r="K1311" s="654">
        <v>216066</v>
      </c>
      <c r="L1311" s="654">
        <v>0</v>
      </c>
      <c r="M1311" s="654">
        <v>0</v>
      </c>
      <c r="N1311" s="654">
        <v>0</v>
      </c>
    </row>
    <row r="1312" spans="2:14" x14ac:dyDescent="0.15">
      <c r="B1312"/>
      <c r="D1312" t="s">
        <v>568</v>
      </c>
      <c r="E1312" t="s">
        <v>474</v>
      </c>
      <c r="F1312" t="s">
        <v>631</v>
      </c>
      <c r="G1312" t="s">
        <v>596</v>
      </c>
      <c r="H1312" s="654">
        <v>0</v>
      </c>
      <c r="I1312" s="654">
        <v>0</v>
      </c>
      <c r="J1312" s="654">
        <v>0</v>
      </c>
      <c r="K1312" s="654">
        <v>0</v>
      </c>
      <c r="L1312" s="654">
        <v>0</v>
      </c>
      <c r="M1312" s="654">
        <v>0</v>
      </c>
      <c r="N1312" s="654">
        <v>0</v>
      </c>
    </row>
    <row r="1313" spans="2:14" x14ac:dyDescent="0.15">
      <c r="B1313"/>
      <c r="F1313" t="s">
        <v>737</v>
      </c>
      <c r="H1313" s="654">
        <v>0</v>
      </c>
      <c r="I1313" s="654">
        <v>0</v>
      </c>
      <c r="J1313" s="654">
        <v>0</v>
      </c>
      <c r="K1313" s="654">
        <v>0</v>
      </c>
      <c r="L1313" s="654">
        <v>0</v>
      </c>
      <c r="M1313" s="654">
        <v>0</v>
      </c>
      <c r="N1313" s="654">
        <v>0</v>
      </c>
    </row>
    <row r="1314" spans="2:14" x14ac:dyDescent="0.15">
      <c r="B1314"/>
      <c r="E1314" t="s">
        <v>774</v>
      </c>
      <c r="H1314" s="654">
        <v>0</v>
      </c>
      <c r="I1314" s="654">
        <v>0</v>
      </c>
      <c r="J1314" s="654">
        <v>0</v>
      </c>
      <c r="K1314" s="654">
        <v>0</v>
      </c>
      <c r="L1314" s="654">
        <v>0</v>
      </c>
      <c r="M1314" s="654">
        <v>0</v>
      </c>
      <c r="N1314" s="654">
        <v>0</v>
      </c>
    </row>
    <row r="1315" spans="2:14" x14ac:dyDescent="0.15">
      <c r="B1315"/>
      <c r="D1315" t="s">
        <v>740</v>
      </c>
      <c r="H1315" s="654">
        <v>0</v>
      </c>
      <c r="I1315" s="654">
        <v>0</v>
      </c>
      <c r="J1315" s="654">
        <v>0</v>
      </c>
      <c r="K1315" s="654">
        <v>0</v>
      </c>
      <c r="L1315" s="654">
        <v>0</v>
      </c>
      <c r="M1315" s="654">
        <v>0</v>
      </c>
      <c r="N1315" s="654">
        <v>0</v>
      </c>
    </row>
    <row r="1316" spans="2:14" x14ac:dyDescent="0.15">
      <c r="B1316"/>
      <c r="D1316" t="s">
        <v>582</v>
      </c>
      <c r="E1316" t="s">
        <v>384</v>
      </c>
      <c r="F1316" t="s">
        <v>631</v>
      </c>
      <c r="G1316" t="s">
        <v>596</v>
      </c>
      <c r="H1316" s="654">
        <v>479923</v>
      </c>
      <c r="I1316" s="654">
        <v>-435216</v>
      </c>
      <c r="J1316" s="654">
        <v>44707</v>
      </c>
      <c r="K1316" s="654">
        <v>44707</v>
      </c>
      <c r="L1316" s="654">
        <v>0</v>
      </c>
      <c r="M1316" s="654">
        <v>0</v>
      </c>
      <c r="N1316" s="654">
        <v>0</v>
      </c>
    </row>
    <row r="1317" spans="2:14" x14ac:dyDescent="0.15">
      <c r="B1317"/>
      <c r="F1317" t="s">
        <v>737</v>
      </c>
      <c r="H1317" s="654">
        <v>479923</v>
      </c>
      <c r="I1317" s="654">
        <v>-435216</v>
      </c>
      <c r="J1317" s="654">
        <v>44707</v>
      </c>
      <c r="K1317" s="654">
        <v>44707</v>
      </c>
      <c r="L1317" s="654">
        <v>0</v>
      </c>
      <c r="M1317" s="654">
        <v>0</v>
      </c>
      <c r="N1317" s="654">
        <v>0</v>
      </c>
    </row>
    <row r="1318" spans="2:14" x14ac:dyDescent="0.15">
      <c r="B1318"/>
      <c r="E1318" t="s">
        <v>778</v>
      </c>
      <c r="H1318" s="654">
        <v>479923</v>
      </c>
      <c r="I1318" s="654">
        <v>-435216</v>
      </c>
      <c r="J1318" s="654">
        <v>44707</v>
      </c>
      <c r="K1318" s="654">
        <v>44707</v>
      </c>
      <c r="L1318" s="654">
        <v>0</v>
      </c>
      <c r="M1318" s="654">
        <v>0</v>
      </c>
      <c r="N1318" s="654">
        <v>0</v>
      </c>
    </row>
    <row r="1319" spans="2:14" x14ac:dyDescent="0.15">
      <c r="B1319"/>
      <c r="D1319" t="s">
        <v>743</v>
      </c>
      <c r="H1319" s="654">
        <v>479923</v>
      </c>
      <c r="I1319" s="654">
        <v>-435216</v>
      </c>
      <c r="J1319" s="654">
        <v>44707</v>
      </c>
      <c r="K1319" s="654">
        <v>44707</v>
      </c>
      <c r="L1319" s="654">
        <v>0</v>
      </c>
      <c r="M1319" s="654">
        <v>0</v>
      </c>
      <c r="N1319" s="654">
        <v>0</v>
      </c>
    </row>
    <row r="1320" spans="2:14" x14ac:dyDescent="0.15">
      <c r="B1320"/>
      <c r="D1320" t="s">
        <v>631</v>
      </c>
      <c r="E1320" t="s">
        <v>381</v>
      </c>
      <c r="F1320" t="s">
        <v>626</v>
      </c>
      <c r="G1320" t="s">
        <v>600</v>
      </c>
      <c r="H1320" s="654">
        <v>0</v>
      </c>
      <c r="I1320" s="654">
        <v>0</v>
      </c>
      <c r="J1320" s="654">
        <v>0</v>
      </c>
      <c r="K1320" s="654">
        <v>0</v>
      </c>
      <c r="L1320" s="654">
        <v>0</v>
      </c>
      <c r="M1320" s="654">
        <v>0</v>
      </c>
      <c r="N1320" s="654">
        <v>0</v>
      </c>
    </row>
    <row r="1321" spans="2:14" x14ac:dyDescent="0.15">
      <c r="B1321"/>
      <c r="F1321" t="s">
        <v>733</v>
      </c>
      <c r="H1321" s="654">
        <v>0</v>
      </c>
      <c r="I1321" s="654">
        <v>0</v>
      </c>
      <c r="J1321" s="654">
        <v>0</v>
      </c>
      <c r="K1321" s="654">
        <v>0</v>
      </c>
      <c r="L1321" s="654">
        <v>0</v>
      </c>
      <c r="M1321" s="654">
        <v>0</v>
      </c>
      <c r="N1321" s="654">
        <v>0</v>
      </c>
    </row>
    <row r="1322" spans="2:14" x14ac:dyDescent="0.15">
      <c r="B1322"/>
      <c r="E1322" t="s">
        <v>776</v>
      </c>
      <c r="H1322" s="654">
        <v>0</v>
      </c>
      <c r="I1322" s="654">
        <v>0</v>
      </c>
      <c r="J1322" s="654">
        <v>0</v>
      </c>
      <c r="K1322" s="654">
        <v>0</v>
      </c>
      <c r="L1322" s="654">
        <v>0</v>
      </c>
      <c r="M1322" s="654">
        <v>0</v>
      </c>
      <c r="N1322" s="654">
        <v>0</v>
      </c>
    </row>
    <row r="1323" spans="2:14" x14ac:dyDescent="0.15">
      <c r="B1323"/>
      <c r="D1323" t="s">
        <v>737</v>
      </c>
      <c r="H1323" s="654">
        <v>0</v>
      </c>
      <c r="I1323" s="654">
        <v>0</v>
      </c>
      <c r="J1323" s="654">
        <v>0</v>
      </c>
      <c r="K1323" s="654">
        <v>0</v>
      </c>
      <c r="L1323" s="654">
        <v>0</v>
      </c>
      <c r="M1323" s="654">
        <v>0</v>
      </c>
      <c r="N1323" s="654">
        <v>0</v>
      </c>
    </row>
    <row r="1324" spans="2:14" x14ac:dyDescent="0.15">
      <c r="B1324"/>
      <c r="D1324" t="s">
        <v>671</v>
      </c>
      <c r="E1324" t="s">
        <v>383</v>
      </c>
      <c r="F1324" t="s">
        <v>626</v>
      </c>
      <c r="G1324" t="s">
        <v>600</v>
      </c>
      <c r="H1324" s="654">
        <v>6559</v>
      </c>
      <c r="I1324" s="654">
        <v>0</v>
      </c>
      <c r="J1324" s="654">
        <v>6559</v>
      </c>
      <c r="K1324" s="654">
        <v>6559</v>
      </c>
      <c r="L1324" s="654">
        <v>0</v>
      </c>
      <c r="M1324" s="654">
        <v>0</v>
      </c>
      <c r="N1324" s="654">
        <v>0</v>
      </c>
    </row>
    <row r="1325" spans="2:14" x14ac:dyDescent="0.15">
      <c r="B1325"/>
      <c r="F1325" t="s">
        <v>733</v>
      </c>
      <c r="H1325" s="654">
        <v>6559</v>
      </c>
      <c r="I1325" s="654">
        <v>0</v>
      </c>
      <c r="J1325" s="654">
        <v>6559</v>
      </c>
      <c r="K1325" s="654">
        <v>6559</v>
      </c>
      <c r="L1325" s="654">
        <v>0</v>
      </c>
      <c r="M1325" s="654">
        <v>0</v>
      </c>
      <c r="N1325" s="654">
        <v>0</v>
      </c>
    </row>
    <row r="1326" spans="2:14" x14ac:dyDescent="0.15">
      <c r="B1326"/>
      <c r="F1326" t="s">
        <v>627</v>
      </c>
      <c r="G1326" t="s">
        <v>599</v>
      </c>
      <c r="H1326" s="654">
        <v>0</v>
      </c>
      <c r="I1326" s="654">
        <v>0</v>
      </c>
      <c r="J1326" s="654">
        <v>0</v>
      </c>
      <c r="K1326" s="654">
        <v>0</v>
      </c>
      <c r="L1326" s="654">
        <v>0</v>
      </c>
      <c r="M1326" s="654">
        <v>0</v>
      </c>
      <c r="N1326" s="654">
        <v>0</v>
      </c>
    </row>
    <row r="1327" spans="2:14" x14ac:dyDescent="0.15">
      <c r="B1327"/>
      <c r="F1327" t="s">
        <v>734</v>
      </c>
      <c r="H1327" s="654">
        <v>0</v>
      </c>
      <c r="I1327" s="654">
        <v>0</v>
      </c>
      <c r="J1327" s="654">
        <v>0</v>
      </c>
      <c r="K1327" s="654">
        <v>0</v>
      </c>
      <c r="L1327" s="654">
        <v>0</v>
      </c>
      <c r="M1327" s="654">
        <v>0</v>
      </c>
      <c r="N1327" s="654">
        <v>0</v>
      </c>
    </row>
    <row r="1328" spans="2:14" x14ac:dyDescent="0.15">
      <c r="B1328"/>
      <c r="E1328" t="s">
        <v>777</v>
      </c>
      <c r="H1328" s="654">
        <v>6559</v>
      </c>
      <c r="I1328" s="654">
        <v>0</v>
      </c>
      <c r="J1328" s="654">
        <v>6559</v>
      </c>
      <c r="K1328" s="654">
        <v>6559</v>
      </c>
      <c r="L1328" s="654">
        <v>0</v>
      </c>
      <c r="M1328" s="654">
        <v>0</v>
      </c>
      <c r="N1328" s="654">
        <v>0</v>
      </c>
    </row>
    <row r="1329" spans="1:14" x14ac:dyDescent="0.15">
      <c r="B1329"/>
      <c r="D1329" t="s">
        <v>742</v>
      </c>
      <c r="H1329" s="654">
        <v>6559</v>
      </c>
      <c r="I1329" s="654">
        <v>0</v>
      </c>
      <c r="J1329" s="654">
        <v>6559</v>
      </c>
      <c r="K1329" s="654">
        <v>6559</v>
      </c>
      <c r="L1329" s="654">
        <v>0</v>
      </c>
      <c r="M1329" s="654">
        <v>0</v>
      </c>
      <c r="N1329" s="654">
        <v>0</v>
      </c>
    </row>
    <row r="1330" spans="1:14" x14ac:dyDescent="0.15">
      <c r="B1330"/>
      <c r="C1330" t="s">
        <v>854</v>
      </c>
      <c r="H1330" s="654">
        <v>1870024</v>
      </c>
      <c r="I1330" s="654">
        <v>-1149805</v>
      </c>
      <c r="J1330" s="654">
        <v>720219</v>
      </c>
      <c r="K1330" s="654">
        <v>720219</v>
      </c>
      <c r="L1330" s="654">
        <v>0</v>
      </c>
      <c r="M1330" s="654">
        <v>0</v>
      </c>
      <c r="N1330" s="654">
        <v>0</v>
      </c>
    </row>
    <row r="1331" spans="1:14" x14ac:dyDescent="0.15">
      <c r="A1331" s="653" t="s">
        <v>621</v>
      </c>
      <c r="B1331"/>
      <c r="H1331" s="654">
        <v>33890885</v>
      </c>
      <c r="I1331" s="654">
        <v>-1702697</v>
      </c>
      <c r="J1331" s="654">
        <v>32188188</v>
      </c>
      <c r="K1331" s="654">
        <v>32188188</v>
      </c>
      <c r="L1331" s="654">
        <v>0</v>
      </c>
      <c r="M1331" s="654">
        <v>71152</v>
      </c>
      <c r="N1331" s="654">
        <v>3672629</v>
      </c>
    </row>
    <row r="1332" spans="1:14" x14ac:dyDescent="0.15">
      <c r="A1332" s="653">
        <v>43009</v>
      </c>
      <c r="B1332" t="s">
        <v>626</v>
      </c>
      <c r="C1332" t="s">
        <v>849</v>
      </c>
      <c r="D1332" t="s">
        <v>626</v>
      </c>
      <c r="E1332" t="s">
        <v>378</v>
      </c>
      <c r="F1332" t="s">
        <v>626</v>
      </c>
      <c r="G1332" t="s">
        <v>600</v>
      </c>
      <c r="H1332" s="654">
        <v>7914873</v>
      </c>
      <c r="I1332" s="654">
        <v>-14209</v>
      </c>
      <c r="J1332" s="654">
        <v>7900664</v>
      </c>
      <c r="K1332" s="654">
        <v>7900664</v>
      </c>
      <c r="L1332" s="654">
        <v>0</v>
      </c>
      <c r="M1332" s="654">
        <v>148364</v>
      </c>
      <c r="N1332" s="654">
        <v>1392417</v>
      </c>
    </row>
    <row r="1333" spans="1:14" x14ac:dyDescent="0.15">
      <c r="B1333"/>
      <c r="F1333" t="s">
        <v>733</v>
      </c>
      <c r="H1333" s="654">
        <v>7914873</v>
      </c>
      <c r="I1333" s="654">
        <v>-14209</v>
      </c>
      <c r="J1333" s="654">
        <v>7900664</v>
      </c>
      <c r="K1333" s="654">
        <v>7900664</v>
      </c>
      <c r="L1333" s="654">
        <v>0</v>
      </c>
      <c r="M1333" s="654">
        <v>148364</v>
      </c>
      <c r="N1333" s="654">
        <v>1392417</v>
      </c>
    </row>
    <row r="1334" spans="1:14" x14ac:dyDescent="0.15">
      <c r="B1334"/>
      <c r="F1334" t="s">
        <v>627</v>
      </c>
      <c r="G1334" t="s">
        <v>599</v>
      </c>
      <c r="H1334" s="654">
        <v>1512177</v>
      </c>
      <c r="I1334" s="654">
        <v>0</v>
      </c>
      <c r="J1334" s="654">
        <v>1512177</v>
      </c>
      <c r="K1334" s="654">
        <v>1512177</v>
      </c>
      <c r="L1334" s="654">
        <v>0</v>
      </c>
      <c r="M1334" s="654">
        <v>0</v>
      </c>
      <c r="N1334" s="654">
        <v>314563</v>
      </c>
    </row>
    <row r="1335" spans="1:14" x14ac:dyDescent="0.15">
      <c r="B1335"/>
      <c r="F1335" t="s">
        <v>734</v>
      </c>
      <c r="H1335" s="654">
        <v>1512177</v>
      </c>
      <c r="I1335" s="654">
        <v>0</v>
      </c>
      <c r="J1335" s="654">
        <v>1512177</v>
      </c>
      <c r="K1335" s="654">
        <v>1512177</v>
      </c>
      <c r="L1335" s="654">
        <v>0</v>
      </c>
      <c r="M1335" s="654">
        <v>0</v>
      </c>
      <c r="N1335" s="654">
        <v>314563</v>
      </c>
    </row>
    <row r="1336" spans="1:14" x14ac:dyDescent="0.15">
      <c r="B1336"/>
      <c r="F1336" t="s">
        <v>628</v>
      </c>
      <c r="G1336" t="s">
        <v>598</v>
      </c>
      <c r="H1336" s="654">
        <v>665042</v>
      </c>
      <c r="I1336" s="654">
        <v>0</v>
      </c>
      <c r="J1336" s="654">
        <v>665042</v>
      </c>
      <c r="K1336" s="654">
        <v>665042</v>
      </c>
      <c r="L1336" s="654">
        <v>0</v>
      </c>
      <c r="M1336" s="654">
        <v>0</v>
      </c>
      <c r="N1336" s="654">
        <v>0</v>
      </c>
    </row>
    <row r="1337" spans="1:14" x14ac:dyDescent="0.15">
      <c r="B1337"/>
      <c r="F1337" t="s">
        <v>735</v>
      </c>
      <c r="H1337" s="654">
        <v>665042</v>
      </c>
      <c r="I1337" s="654">
        <v>0</v>
      </c>
      <c r="J1337" s="654">
        <v>665042</v>
      </c>
      <c r="K1337" s="654">
        <v>665042</v>
      </c>
      <c r="L1337" s="654">
        <v>0</v>
      </c>
      <c r="M1337" s="654">
        <v>0</v>
      </c>
      <c r="N1337" s="654">
        <v>0</v>
      </c>
    </row>
    <row r="1338" spans="1:14" x14ac:dyDescent="0.15">
      <c r="B1338"/>
      <c r="E1338" t="s">
        <v>769</v>
      </c>
      <c r="H1338" s="654">
        <v>10092092</v>
      </c>
      <c r="I1338" s="654">
        <v>-14209</v>
      </c>
      <c r="J1338" s="654">
        <v>10077883</v>
      </c>
      <c r="K1338" s="654">
        <v>10077883</v>
      </c>
      <c r="L1338" s="654">
        <v>0</v>
      </c>
      <c r="M1338" s="654">
        <v>148364</v>
      </c>
      <c r="N1338" s="654">
        <v>1706980</v>
      </c>
    </row>
    <row r="1339" spans="1:14" x14ac:dyDescent="0.15">
      <c r="B1339"/>
      <c r="D1339" t="s">
        <v>733</v>
      </c>
      <c r="H1339" s="654">
        <v>10092092</v>
      </c>
      <c r="I1339" s="654">
        <v>-14209</v>
      </c>
      <c r="J1339" s="654">
        <v>10077883</v>
      </c>
      <c r="K1339" s="654">
        <v>10077883</v>
      </c>
      <c r="L1339" s="654">
        <v>0</v>
      </c>
      <c r="M1339" s="654">
        <v>148364</v>
      </c>
      <c r="N1339" s="654">
        <v>1706980</v>
      </c>
    </row>
    <row r="1340" spans="1:14" x14ac:dyDescent="0.15">
      <c r="B1340"/>
      <c r="D1340" t="s">
        <v>627</v>
      </c>
      <c r="E1340" t="s">
        <v>379</v>
      </c>
      <c r="F1340" t="s">
        <v>626</v>
      </c>
      <c r="G1340" t="s">
        <v>600</v>
      </c>
      <c r="H1340" s="654">
        <v>4136126</v>
      </c>
      <c r="I1340" s="654">
        <v>0</v>
      </c>
      <c r="J1340" s="654">
        <v>4136126</v>
      </c>
      <c r="K1340" s="654">
        <v>4136126</v>
      </c>
      <c r="L1340" s="654">
        <v>0</v>
      </c>
      <c r="M1340" s="654">
        <v>0</v>
      </c>
      <c r="N1340" s="654">
        <v>476289</v>
      </c>
    </row>
    <row r="1341" spans="1:14" x14ac:dyDescent="0.15">
      <c r="B1341"/>
      <c r="F1341" t="s">
        <v>733</v>
      </c>
      <c r="H1341" s="654">
        <v>4136126</v>
      </c>
      <c r="I1341" s="654">
        <v>0</v>
      </c>
      <c r="J1341" s="654">
        <v>4136126</v>
      </c>
      <c r="K1341" s="654">
        <v>4136126</v>
      </c>
      <c r="L1341" s="654">
        <v>0</v>
      </c>
      <c r="M1341" s="654">
        <v>0</v>
      </c>
      <c r="N1341" s="654">
        <v>476289</v>
      </c>
    </row>
    <row r="1342" spans="1:14" x14ac:dyDescent="0.15">
      <c r="B1342"/>
      <c r="F1342" t="s">
        <v>627</v>
      </c>
      <c r="G1342" t="s">
        <v>599</v>
      </c>
      <c r="H1342" s="654">
        <v>976621</v>
      </c>
      <c r="I1342" s="654">
        <v>0</v>
      </c>
      <c r="J1342" s="654">
        <v>976621</v>
      </c>
      <c r="K1342" s="654">
        <v>976621</v>
      </c>
      <c r="L1342" s="654">
        <v>0</v>
      </c>
      <c r="M1342" s="654">
        <v>0</v>
      </c>
      <c r="N1342" s="654">
        <v>222984</v>
      </c>
    </row>
    <row r="1343" spans="1:14" x14ac:dyDescent="0.15">
      <c r="B1343"/>
      <c r="F1343" t="s">
        <v>734</v>
      </c>
      <c r="H1343" s="654">
        <v>976621</v>
      </c>
      <c r="I1343" s="654">
        <v>0</v>
      </c>
      <c r="J1343" s="654">
        <v>976621</v>
      </c>
      <c r="K1343" s="654">
        <v>976621</v>
      </c>
      <c r="L1343" s="654">
        <v>0</v>
      </c>
      <c r="M1343" s="654">
        <v>0</v>
      </c>
      <c r="N1343" s="654">
        <v>222984</v>
      </c>
    </row>
    <row r="1344" spans="1:14" x14ac:dyDescent="0.15">
      <c r="B1344"/>
      <c r="F1344" t="s">
        <v>628</v>
      </c>
      <c r="G1344" t="s">
        <v>598</v>
      </c>
      <c r="H1344" s="654">
        <v>459051</v>
      </c>
      <c r="I1344" s="654">
        <v>0</v>
      </c>
      <c r="J1344" s="654">
        <v>459051</v>
      </c>
      <c r="K1344" s="654">
        <v>459051</v>
      </c>
      <c r="L1344" s="654">
        <v>0</v>
      </c>
      <c r="M1344" s="654">
        <v>0</v>
      </c>
      <c r="N1344" s="654">
        <v>0</v>
      </c>
    </row>
    <row r="1345" spans="2:14" x14ac:dyDescent="0.15">
      <c r="B1345"/>
      <c r="F1345" t="s">
        <v>735</v>
      </c>
      <c r="H1345" s="654">
        <v>459051</v>
      </c>
      <c r="I1345" s="654">
        <v>0</v>
      </c>
      <c r="J1345" s="654">
        <v>459051</v>
      </c>
      <c r="K1345" s="654">
        <v>459051</v>
      </c>
      <c r="L1345" s="654">
        <v>0</v>
      </c>
      <c r="M1345" s="654">
        <v>0</v>
      </c>
      <c r="N1345" s="654">
        <v>0</v>
      </c>
    </row>
    <row r="1346" spans="2:14" x14ac:dyDescent="0.15">
      <c r="B1346"/>
      <c r="E1346" t="s">
        <v>770</v>
      </c>
      <c r="H1346" s="654">
        <v>5571798</v>
      </c>
      <c r="I1346" s="654">
        <v>0</v>
      </c>
      <c r="J1346" s="654">
        <v>5571798</v>
      </c>
      <c r="K1346" s="654">
        <v>5571798</v>
      </c>
      <c r="L1346" s="654">
        <v>0</v>
      </c>
      <c r="M1346" s="654">
        <v>0</v>
      </c>
      <c r="N1346" s="654">
        <v>699273</v>
      </c>
    </row>
    <row r="1347" spans="2:14" x14ac:dyDescent="0.15">
      <c r="B1347"/>
      <c r="D1347" t="s">
        <v>734</v>
      </c>
      <c r="H1347" s="654">
        <v>5571798</v>
      </c>
      <c r="I1347" s="654">
        <v>0</v>
      </c>
      <c r="J1347" s="654">
        <v>5571798</v>
      </c>
      <c r="K1347" s="654">
        <v>5571798</v>
      </c>
      <c r="L1347" s="654">
        <v>0</v>
      </c>
      <c r="M1347" s="654">
        <v>0</v>
      </c>
      <c r="N1347" s="654">
        <v>699273</v>
      </c>
    </row>
    <row r="1348" spans="2:14" x14ac:dyDescent="0.15">
      <c r="B1348"/>
      <c r="D1348" t="s">
        <v>628</v>
      </c>
      <c r="E1348" t="s">
        <v>380</v>
      </c>
      <c r="F1348" t="s">
        <v>626</v>
      </c>
      <c r="G1348" t="s">
        <v>600</v>
      </c>
      <c r="H1348" s="654">
        <v>3735293</v>
      </c>
      <c r="I1348" s="654">
        <v>-30531</v>
      </c>
      <c r="J1348" s="654">
        <v>3704762</v>
      </c>
      <c r="K1348" s="654">
        <v>3704762</v>
      </c>
      <c r="L1348" s="654">
        <v>0</v>
      </c>
      <c r="M1348" s="654">
        <v>14674</v>
      </c>
      <c r="N1348" s="654">
        <v>401316</v>
      </c>
    </row>
    <row r="1349" spans="2:14" x14ac:dyDescent="0.15">
      <c r="B1349"/>
      <c r="F1349" t="s">
        <v>733</v>
      </c>
      <c r="H1349" s="654">
        <v>3735293</v>
      </c>
      <c r="I1349" s="654">
        <v>-30531</v>
      </c>
      <c r="J1349" s="654">
        <v>3704762</v>
      </c>
      <c r="K1349" s="654">
        <v>3704762</v>
      </c>
      <c r="L1349" s="654">
        <v>0</v>
      </c>
      <c r="M1349" s="654">
        <v>14674</v>
      </c>
      <c r="N1349" s="654">
        <v>401316</v>
      </c>
    </row>
    <row r="1350" spans="2:14" x14ac:dyDescent="0.15">
      <c r="B1350"/>
      <c r="F1350" t="s">
        <v>627</v>
      </c>
      <c r="G1350" t="s">
        <v>599</v>
      </c>
      <c r="H1350" s="654">
        <v>1950738</v>
      </c>
      <c r="I1350" s="654">
        <v>-76267</v>
      </c>
      <c r="J1350" s="654">
        <v>1874471</v>
      </c>
      <c r="K1350" s="654">
        <v>1874471</v>
      </c>
      <c r="L1350" s="654">
        <v>0</v>
      </c>
      <c r="M1350" s="654">
        <v>0</v>
      </c>
      <c r="N1350" s="654">
        <v>432798</v>
      </c>
    </row>
    <row r="1351" spans="2:14" x14ac:dyDescent="0.15">
      <c r="B1351"/>
      <c r="F1351" t="s">
        <v>734</v>
      </c>
      <c r="H1351" s="654">
        <v>1950738</v>
      </c>
      <c r="I1351" s="654">
        <v>-76267</v>
      </c>
      <c r="J1351" s="654">
        <v>1874471</v>
      </c>
      <c r="K1351" s="654">
        <v>1874471</v>
      </c>
      <c r="L1351" s="654">
        <v>0</v>
      </c>
      <c r="M1351" s="654">
        <v>0</v>
      </c>
      <c r="N1351" s="654">
        <v>432798</v>
      </c>
    </row>
    <row r="1352" spans="2:14" x14ac:dyDescent="0.15">
      <c r="B1352"/>
      <c r="E1352" t="s">
        <v>771</v>
      </c>
      <c r="H1352" s="654">
        <v>5686031</v>
      </c>
      <c r="I1352" s="654">
        <v>-106798</v>
      </c>
      <c r="J1352" s="654">
        <v>5579233</v>
      </c>
      <c r="K1352" s="654">
        <v>5579233</v>
      </c>
      <c r="L1352" s="654">
        <v>0</v>
      </c>
      <c r="M1352" s="654">
        <v>14674</v>
      </c>
      <c r="N1352" s="654">
        <v>834114</v>
      </c>
    </row>
    <row r="1353" spans="2:14" x14ac:dyDescent="0.15">
      <c r="B1353"/>
      <c r="D1353" t="s">
        <v>735</v>
      </c>
      <c r="H1353" s="654">
        <v>5686031</v>
      </c>
      <c r="I1353" s="654">
        <v>-106798</v>
      </c>
      <c r="J1353" s="654">
        <v>5579233</v>
      </c>
      <c r="K1353" s="654">
        <v>5579233</v>
      </c>
      <c r="L1353" s="654">
        <v>0</v>
      </c>
      <c r="M1353" s="654">
        <v>14674</v>
      </c>
      <c r="N1353" s="654">
        <v>834114</v>
      </c>
    </row>
    <row r="1354" spans="2:14" x14ac:dyDescent="0.15">
      <c r="B1354"/>
      <c r="D1354" t="s">
        <v>629</v>
      </c>
      <c r="E1354" t="s">
        <v>676</v>
      </c>
      <c r="F1354" t="s">
        <v>629</v>
      </c>
      <c r="G1354" t="s">
        <v>601</v>
      </c>
      <c r="H1354" s="654">
        <v>3076553</v>
      </c>
      <c r="I1354" s="654">
        <v>-50755</v>
      </c>
      <c r="J1354" s="654">
        <v>3025798</v>
      </c>
      <c r="K1354" s="654">
        <v>3025798</v>
      </c>
      <c r="L1354" s="654">
        <v>0</v>
      </c>
      <c r="M1354" s="654">
        <v>0</v>
      </c>
      <c r="N1354" s="654">
        <v>173798</v>
      </c>
    </row>
    <row r="1355" spans="2:14" x14ac:dyDescent="0.15">
      <c r="B1355"/>
      <c r="F1355" t="s">
        <v>736</v>
      </c>
      <c r="H1355" s="654">
        <v>3076553</v>
      </c>
      <c r="I1355" s="654">
        <v>-50755</v>
      </c>
      <c r="J1355" s="654">
        <v>3025798</v>
      </c>
      <c r="K1355" s="654">
        <v>3025798</v>
      </c>
      <c r="L1355" s="654">
        <v>0</v>
      </c>
      <c r="M1355" s="654">
        <v>0</v>
      </c>
      <c r="N1355" s="654">
        <v>173798</v>
      </c>
    </row>
    <row r="1356" spans="2:14" x14ac:dyDescent="0.15">
      <c r="B1356"/>
      <c r="E1356" t="s">
        <v>772</v>
      </c>
      <c r="H1356" s="654">
        <v>3076553</v>
      </c>
      <c r="I1356" s="654">
        <v>-50755</v>
      </c>
      <c r="J1356" s="654">
        <v>3025798</v>
      </c>
      <c r="K1356" s="654">
        <v>3025798</v>
      </c>
      <c r="L1356" s="654">
        <v>0</v>
      </c>
      <c r="M1356" s="654">
        <v>0</v>
      </c>
      <c r="N1356" s="654">
        <v>173798</v>
      </c>
    </row>
    <row r="1357" spans="2:14" x14ac:dyDescent="0.15">
      <c r="B1357"/>
      <c r="D1357" t="s">
        <v>736</v>
      </c>
      <c r="H1357" s="654">
        <v>3076553</v>
      </c>
      <c r="I1357" s="654">
        <v>-50755</v>
      </c>
      <c r="J1357" s="654">
        <v>3025798</v>
      </c>
      <c r="K1357" s="654">
        <v>3025798</v>
      </c>
      <c r="L1357" s="654">
        <v>0</v>
      </c>
      <c r="M1357" s="654">
        <v>0</v>
      </c>
      <c r="N1357" s="654">
        <v>173798</v>
      </c>
    </row>
    <row r="1358" spans="2:14" x14ac:dyDescent="0.15">
      <c r="B1358"/>
      <c r="D1358" t="s">
        <v>567</v>
      </c>
      <c r="E1358" t="s">
        <v>473</v>
      </c>
      <c r="F1358" t="s">
        <v>631</v>
      </c>
      <c r="G1358" t="s">
        <v>596</v>
      </c>
      <c r="H1358" s="654">
        <v>1013496</v>
      </c>
      <c r="I1358" s="654">
        <v>0</v>
      </c>
      <c r="J1358" s="654">
        <v>1013496</v>
      </c>
      <c r="K1358" s="654">
        <v>1013496</v>
      </c>
      <c r="L1358" s="654">
        <v>0</v>
      </c>
      <c r="M1358" s="654">
        <v>0</v>
      </c>
      <c r="N1358" s="654">
        <v>332983</v>
      </c>
    </row>
    <row r="1359" spans="2:14" x14ac:dyDescent="0.15">
      <c r="B1359"/>
      <c r="F1359" t="s">
        <v>737</v>
      </c>
      <c r="H1359" s="654">
        <v>1013496</v>
      </c>
      <c r="I1359" s="654">
        <v>0</v>
      </c>
      <c r="J1359" s="654">
        <v>1013496</v>
      </c>
      <c r="K1359" s="654">
        <v>1013496</v>
      </c>
      <c r="L1359" s="654">
        <v>0</v>
      </c>
      <c r="M1359" s="654">
        <v>0</v>
      </c>
      <c r="N1359" s="654">
        <v>332983</v>
      </c>
    </row>
    <row r="1360" spans="2:14" x14ac:dyDescent="0.15">
      <c r="B1360"/>
      <c r="E1360" t="s">
        <v>773</v>
      </c>
      <c r="H1360" s="654">
        <v>1013496</v>
      </c>
      <c r="I1360" s="654">
        <v>0</v>
      </c>
      <c r="J1360" s="654">
        <v>1013496</v>
      </c>
      <c r="K1360" s="654">
        <v>1013496</v>
      </c>
      <c r="L1360" s="654">
        <v>0</v>
      </c>
      <c r="M1360" s="654">
        <v>0</v>
      </c>
      <c r="N1360" s="654">
        <v>332983</v>
      </c>
    </row>
    <row r="1361" spans="2:14" x14ac:dyDescent="0.15">
      <c r="B1361"/>
      <c r="D1361" t="s">
        <v>739</v>
      </c>
      <c r="H1361" s="654">
        <v>1013496</v>
      </c>
      <c r="I1361" s="654">
        <v>0</v>
      </c>
      <c r="J1361" s="654">
        <v>1013496</v>
      </c>
      <c r="K1361" s="654">
        <v>1013496</v>
      </c>
      <c r="L1361" s="654">
        <v>0</v>
      </c>
      <c r="M1361" s="654">
        <v>0</v>
      </c>
      <c r="N1361" s="654">
        <v>332983</v>
      </c>
    </row>
    <row r="1362" spans="2:14" x14ac:dyDescent="0.15">
      <c r="B1362"/>
      <c r="D1362" t="s">
        <v>568</v>
      </c>
      <c r="E1362" t="s">
        <v>474</v>
      </c>
      <c r="F1362" t="s">
        <v>631</v>
      </c>
      <c r="G1362" t="s">
        <v>596</v>
      </c>
      <c r="H1362" s="654">
        <v>983492</v>
      </c>
      <c r="I1362" s="654">
        <v>0</v>
      </c>
      <c r="J1362" s="654">
        <v>983492</v>
      </c>
      <c r="K1362" s="654">
        <v>983492</v>
      </c>
      <c r="L1362" s="654">
        <v>0</v>
      </c>
      <c r="M1362" s="654">
        <v>0</v>
      </c>
      <c r="N1362" s="654">
        <v>0</v>
      </c>
    </row>
    <row r="1363" spans="2:14" x14ac:dyDescent="0.15">
      <c r="B1363"/>
      <c r="F1363" t="s">
        <v>737</v>
      </c>
      <c r="H1363" s="654">
        <v>983492</v>
      </c>
      <c r="I1363" s="654">
        <v>0</v>
      </c>
      <c r="J1363" s="654">
        <v>983492</v>
      </c>
      <c r="K1363" s="654">
        <v>983492</v>
      </c>
      <c r="L1363" s="654">
        <v>0</v>
      </c>
      <c r="M1363" s="654">
        <v>0</v>
      </c>
      <c r="N1363" s="654">
        <v>0</v>
      </c>
    </row>
    <row r="1364" spans="2:14" x14ac:dyDescent="0.15">
      <c r="B1364"/>
      <c r="E1364" t="s">
        <v>774</v>
      </c>
      <c r="H1364" s="654">
        <v>983492</v>
      </c>
      <c r="I1364" s="654">
        <v>0</v>
      </c>
      <c r="J1364" s="654">
        <v>983492</v>
      </c>
      <c r="K1364" s="654">
        <v>983492</v>
      </c>
      <c r="L1364" s="654">
        <v>0</v>
      </c>
      <c r="M1364" s="654">
        <v>0</v>
      </c>
      <c r="N1364" s="654">
        <v>0</v>
      </c>
    </row>
    <row r="1365" spans="2:14" x14ac:dyDescent="0.15">
      <c r="B1365"/>
      <c r="D1365" t="s">
        <v>740</v>
      </c>
      <c r="H1365" s="654">
        <v>983492</v>
      </c>
      <c r="I1365" s="654">
        <v>0</v>
      </c>
      <c r="J1365" s="654">
        <v>983492</v>
      </c>
      <c r="K1365" s="654">
        <v>983492</v>
      </c>
      <c r="L1365" s="654">
        <v>0</v>
      </c>
      <c r="M1365" s="654">
        <v>0</v>
      </c>
      <c r="N1365" s="654">
        <v>0</v>
      </c>
    </row>
    <row r="1366" spans="2:14" x14ac:dyDescent="0.15">
      <c r="B1366"/>
      <c r="D1366" t="s">
        <v>582</v>
      </c>
      <c r="E1366" t="s">
        <v>384</v>
      </c>
      <c r="F1366" t="s">
        <v>631</v>
      </c>
      <c r="G1366" t="s">
        <v>596</v>
      </c>
      <c r="H1366" s="654">
        <v>2389370</v>
      </c>
      <c r="I1366" s="654">
        <v>0</v>
      </c>
      <c r="J1366" s="654">
        <v>2389370</v>
      </c>
      <c r="K1366" s="654">
        <v>2389370</v>
      </c>
      <c r="L1366" s="654">
        <v>0</v>
      </c>
      <c r="M1366" s="654">
        <v>0</v>
      </c>
      <c r="N1366" s="654">
        <v>0</v>
      </c>
    </row>
    <row r="1367" spans="2:14" x14ac:dyDescent="0.15">
      <c r="B1367"/>
      <c r="F1367" t="s">
        <v>737</v>
      </c>
      <c r="H1367" s="654">
        <v>2389370</v>
      </c>
      <c r="I1367" s="654">
        <v>0</v>
      </c>
      <c r="J1367" s="654">
        <v>2389370</v>
      </c>
      <c r="K1367" s="654">
        <v>2389370</v>
      </c>
      <c r="L1367" s="654">
        <v>0</v>
      </c>
      <c r="M1367" s="654">
        <v>0</v>
      </c>
      <c r="N1367" s="654">
        <v>0</v>
      </c>
    </row>
    <row r="1368" spans="2:14" x14ac:dyDescent="0.15">
      <c r="B1368"/>
      <c r="E1368" t="s">
        <v>778</v>
      </c>
      <c r="H1368" s="654">
        <v>2389370</v>
      </c>
      <c r="I1368" s="654">
        <v>0</v>
      </c>
      <c r="J1368" s="654">
        <v>2389370</v>
      </c>
      <c r="K1368" s="654">
        <v>2389370</v>
      </c>
      <c r="L1368" s="654">
        <v>0</v>
      </c>
      <c r="M1368" s="654">
        <v>0</v>
      </c>
      <c r="N1368" s="654">
        <v>0</v>
      </c>
    </row>
    <row r="1369" spans="2:14" x14ac:dyDescent="0.15">
      <c r="B1369"/>
      <c r="D1369" t="s">
        <v>743</v>
      </c>
      <c r="H1369" s="654">
        <v>2389370</v>
      </c>
      <c r="I1369" s="654">
        <v>0</v>
      </c>
      <c r="J1369" s="654">
        <v>2389370</v>
      </c>
      <c r="K1369" s="654">
        <v>2389370</v>
      </c>
      <c r="L1369" s="654">
        <v>0</v>
      </c>
      <c r="M1369" s="654">
        <v>0</v>
      </c>
      <c r="N1369" s="654">
        <v>0</v>
      </c>
    </row>
    <row r="1370" spans="2:14" x14ac:dyDescent="0.15">
      <c r="B1370"/>
      <c r="D1370" t="s">
        <v>631</v>
      </c>
      <c r="E1370" t="s">
        <v>381</v>
      </c>
      <c r="F1370" t="s">
        <v>626</v>
      </c>
      <c r="G1370" t="s">
        <v>600</v>
      </c>
      <c r="H1370" s="654">
        <v>2140629</v>
      </c>
      <c r="I1370" s="654">
        <v>0</v>
      </c>
      <c r="J1370" s="654">
        <v>2140629</v>
      </c>
      <c r="K1370" s="654">
        <v>2140629</v>
      </c>
      <c r="L1370" s="654">
        <v>0</v>
      </c>
      <c r="M1370" s="654">
        <v>0</v>
      </c>
      <c r="N1370" s="654">
        <v>0</v>
      </c>
    </row>
    <row r="1371" spans="2:14" x14ac:dyDescent="0.15">
      <c r="B1371"/>
      <c r="F1371" t="s">
        <v>733</v>
      </c>
      <c r="H1371" s="654">
        <v>2140629</v>
      </c>
      <c r="I1371" s="654">
        <v>0</v>
      </c>
      <c r="J1371" s="654">
        <v>2140629</v>
      </c>
      <c r="K1371" s="654">
        <v>2140629</v>
      </c>
      <c r="L1371" s="654">
        <v>0</v>
      </c>
      <c r="M1371" s="654">
        <v>0</v>
      </c>
      <c r="N1371" s="654">
        <v>0</v>
      </c>
    </row>
    <row r="1372" spans="2:14" x14ac:dyDescent="0.15">
      <c r="B1372"/>
      <c r="E1372" t="s">
        <v>776</v>
      </c>
      <c r="H1372" s="654">
        <v>2140629</v>
      </c>
      <c r="I1372" s="654">
        <v>0</v>
      </c>
      <c r="J1372" s="654">
        <v>2140629</v>
      </c>
      <c r="K1372" s="654">
        <v>2140629</v>
      </c>
      <c r="L1372" s="654">
        <v>0</v>
      </c>
      <c r="M1372" s="654">
        <v>0</v>
      </c>
      <c r="N1372" s="654">
        <v>0</v>
      </c>
    </row>
    <row r="1373" spans="2:14" x14ac:dyDescent="0.15">
      <c r="B1373"/>
      <c r="D1373" t="s">
        <v>737</v>
      </c>
      <c r="H1373" s="654">
        <v>2140629</v>
      </c>
      <c r="I1373" s="654">
        <v>0</v>
      </c>
      <c r="J1373" s="654">
        <v>2140629</v>
      </c>
      <c r="K1373" s="654">
        <v>2140629</v>
      </c>
      <c r="L1373" s="654">
        <v>0</v>
      </c>
      <c r="M1373" s="654">
        <v>0</v>
      </c>
      <c r="N1373" s="654">
        <v>0</v>
      </c>
    </row>
    <row r="1374" spans="2:14" x14ac:dyDescent="0.15">
      <c r="B1374"/>
      <c r="D1374" t="s">
        <v>671</v>
      </c>
      <c r="E1374" t="s">
        <v>383</v>
      </c>
      <c r="F1374" t="s">
        <v>626</v>
      </c>
      <c r="G1374" t="s">
        <v>600</v>
      </c>
      <c r="H1374" s="654">
        <v>1243781</v>
      </c>
      <c r="I1374" s="654">
        <v>-2836</v>
      </c>
      <c r="J1374" s="654">
        <v>1240945</v>
      </c>
      <c r="K1374" s="654">
        <v>1240945</v>
      </c>
      <c r="L1374" s="654">
        <v>0</v>
      </c>
      <c r="M1374" s="654">
        <v>6515</v>
      </c>
      <c r="N1374" s="654">
        <v>0</v>
      </c>
    </row>
    <row r="1375" spans="2:14" x14ac:dyDescent="0.15">
      <c r="B1375"/>
      <c r="F1375" t="s">
        <v>733</v>
      </c>
      <c r="H1375" s="654">
        <v>1243781</v>
      </c>
      <c r="I1375" s="654">
        <v>-2836</v>
      </c>
      <c r="J1375" s="654">
        <v>1240945</v>
      </c>
      <c r="K1375" s="654">
        <v>1240945</v>
      </c>
      <c r="L1375" s="654">
        <v>0</v>
      </c>
      <c r="M1375" s="654">
        <v>6515</v>
      </c>
      <c r="N1375" s="654">
        <v>0</v>
      </c>
    </row>
    <row r="1376" spans="2:14" x14ac:dyDescent="0.15">
      <c r="B1376"/>
      <c r="F1376" t="s">
        <v>627</v>
      </c>
      <c r="G1376" t="s">
        <v>599</v>
      </c>
      <c r="H1376" s="654">
        <v>0</v>
      </c>
      <c r="I1376" s="654">
        <v>0</v>
      </c>
      <c r="J1376" s="654">
        <v>0</v>
      </c>
      <c r="K1376" s="654">
        <v>0</v>
      </c>
      <c r="L1376" s="654">
        <v>0</v>
      </c>
      <c r="M1376" s="654">
        <v>0</v>
      </c>
      <c r="N1376" s="654">
        <v>0</v>
      </c>
    </row>
    <row r="1377" spans="2:14" x14ac:dyDescent="0.15">
      <c r="B1377"/>
      <c r="F1377" t="s">
        <v>734</v>
      </c>
      <c r="H1377" s="654">
        <v>0</v>
      </c>
      <c r="I1377" s="654">
        <v>0</v>
      </c>
      <c r="J1377" s="654">
        <v>0</v>
      </c>
      <c r="K1377" s="654">
        <v>0</v>
      </c>
      <c r="L1377" s="654">
        <v>0</v>
      </c>
      <c r="M1377" s="654">
        <v>0</v>
      </c>
      <c r="N1377" s="654">
        <v>0</v>
      </c>
    </row>
    <row r="1378" spans="2:14" x14ac:dyDescent="0.15">
      <c r="B1378"/>
      <c r="E1378" t="s">
        <v>777</v>
      </c>
      <c r="H1378" s="654">
        <v>1243781</v>
      </c>
      <c r="I1378" s="654">
        <v>-2836</v>
      </c>
      <c r="J1378" s="654">
        <v>1240945</v>
      </c>
      <c r="K1378" s="654">
        <v>1240945</v>
      </c>
      <c r="L1378" s="654">
        <v>0</v>
      </c>
      <c r="M1378" s="654">
        <v>6515</v>
      </c>
      <c r="N1378" s="654">
        <v>0</v>
      </c>
    </row>
    <row r="1379" spans="2:14" x14ac:dyDescent="0.15">
      <c r="B1379"/>
      <c r="D1379" t="s">
        <v>742</v>
      </c>
      <c r="H1379" s="654">
        <v>1243781</v>
      </c>
      <c r="I1379" s="654">
        <v>-2836</v>
      </c>
      <c r="J1379" s="654">
        <v>1240945</v>
      </c>
      <c r="K1379" s="654">
        <v>1240945</v>
      </c>
      <c r="L1379" s="654">
        <v>0</v>
      </c>
      <c r="M1379" s="654">
        <v>6515</v>
      </c>
      <c r="N1379" s="654">
        <v>0</v>
      </c>
    </row>
    <row r="1380" spans="2:14" x14ac:dyDescent="0.15">
      <c r="B1380"/>
      <c r="C1380" t="s">
        <v>853</v>
      </c>
      <c r="H1380" s="654">
        <v>32197242</v>
      </c>
      <c r="I1380" s="654">
        <v>-174598</v>
      </c>
      <c r="J1380" s="654">
        <v>32022644</v>
      </c>
      <c r="K1380" s="654">
        <v>32022644</v>
      </c>
      <c r="L1380" s="654">
        <v>0</v>
      </c>
      <c r="M1380" s="654">
        <v>169553</v>
      </c>
      <c r="N1380" s="654">
        <v>3747148</v>
      </c>
    </row>
    <row r="1381" spans="2:14" x14ac:dyDescent="0.15">
      <c r="B1381" t="s">
        <v>627</v>
      </c>
      <c r="C1381" t="s">
        <v>847</v>
      </c>
      <c r="D1381" t="s">
        <v>626</v>
      </c>
      <c r="E1381" t="s">
        <v>378</v>
      </c>
      <c r="F1381" t="s">
        <v>626</v>
      </c>
      <c r="G1381" t="s">
        <v>600</v>
      </c>
      <c r="H1381" s="654">
        <v>217305</v>
      </c>
      <c r="I1381" s="654">
        <v>45057</v>
      </c>
      <c r="J1381" s="654">
        <v>262362</v>
      </c>
      <c r="K1381" s="654">
        <v>262362</v>
      </c>
      <c r="L1381" s="654">
        <v>0</v>
      </c>
      <c r="M1381" s="654">
        <v>0</v>
      </c>
      <c r="N1381" s="654">
        <v>0</v>
      </c>
    </row>
    <row r="1382" spans="2:14" x14ac:dyDescent="0.15">
      <c r="B1382"/>
      <c r="F1382" t="s">
        <v>733</v>
      </c>
      <c r="H1382" s="654">
        <v>217305</v>
      </c>
      <c r="I1382" s="654">
        <v>45057</v>
      </c>
      <c r="J1382" s="654">
        <v>262362</v>
      </c>
      <c r="K1382" s="654">
        <v>262362</v>
      </c>
      <c r="L1382" s="654">
        <v>0</v>
      </c>
      <c r="M1382" s="654">
        <v>0</v>
      </c>
      <c r="N1382" s="654">
        <v>0</v>
      </c>
    </row>
    <row r="1383" spans="2:14" x14ac:dyDescent="0.15">
      <c r="B1383"/>
      <c r="F1383" t="s">
        <v>627</v>
      </c>
      <c r="G1383" t="s">
        <v>599</v>
      </c>
      <c r="H1383" s="654">
        <v>0</v>
      </c>
      <c r="I1383" s="654">
        <v>0</v>
      </c>
      <c r="J1383" s="654">
        <v>0</v>
      </c>
      <c r="K1383" s="654">
        <v>0</v>
      </c>
      <c r="L1383" s="654">
        <v>0</v>
      </c>
      <c r="M1383" s="654">
        <v>0</v>
      </c>
      <c r="N1383" s="654">
        <v>0</v>
      </c>
    </row>
    <row r="1384" spans="2:14" x14ac:dyDescent="0.15">
      <c r="B1384"/>
      <c r="F1384" t="s">
        <v>734</v>
      </c>
      <c r="H1384" s="654">
        <v>0</v>
      </c>
      <c r="I1384" s="654">
        <v>0</v>
      </c>
      <c r="J1384" s="654">
        <v>0</v>
      </c>
      <c r="K1384" s="654">
        <v>0</v>
      </c>
      <c r="L1384" s="654">
        <v>0</v>
      </c>
      <c r="M1384" s="654">
        <v>0</v>
      </c>
      <c r="N1384" s="654">
        <v>0</v>
      </c>
    </row>
    <row r="1385" spans="2:14" x14ac:dyDescent="0.15">
      <c r="B1385"/>
      <c r="F1385" t="s">
        <v>628</v>
      </c>
      <c r="G1385" t="s">
        <v>598</v>
      </c>
      <c r="H1385" s="654">
        <v>0</v>
      </c>
      <c r="I1385" s="654">
        <v>0</v>
      </c>
      <c r="J1385" s="654">
        <v>0</v>
      </c>
      <c r="K1385" s="654">
        <v>0</v>
      </c>
      <c r="L1385" s="654">
        <v>0</v>
      </c>
      <c r="M1385" s="654">
        <v>0</v>
      </c>
      <c r="N1385" s="654">
        <v>0</v>
      </c>
    </row>
    <row r="1386" spans="2:14" x14ac:dyDescent="0.15">
      <c r="B1386"/>
      <c r="F1386" t="s">
        <v>735</v>
      </c>
      <c r="H1386" s="654">
        <v>0</v>
      </c>
      <c r="I1386" s="654">
        <v>0</v>
      </c>
      <c r="J1386" s="654">
        <v>0</v>
      </c>
      <c r="K1386" s="654">
        <v>0</v>
      </c>
      <c r="L1386" s="654">
        <v>0</v>
      </c>
      <c r="M1386" s="654">
        <v>0</v>
      </c>
      <c r="N1386" s="654">
        <v>0</v>
      </c>
    </row>
    <row r="1387" spans="2:14" x14ac:dyDescent="0.15">
      <c r="B1387"/>
      <c r="E1387" t="s">
        <v>769</v>
      </c>
      <c r="H1387" s="654">
        <v>217305</v>
      </c>
      <c r="I1387" s="654">
        <v>45057</v>
      </c>
      <c r="J1387" s="654">
        <v>262362</v>
      </c>
      <c r="K1387" s="654">
        <v>262362</v>
      </c>
      <c r="L1387" s="654">
        <v>0</v>
      </c>
      <c r="M1387" s="654">
        <v>0</v>
      </c>
      <c r="N1387" s="654">
        <v>0</v>
      </c>
    </row>
    <row r="1388" spans="2:14" x14ac:dyDescent="0.15">
      <c r="B1388"/>
      <c r="D1388" t="s">
        <v>733</v>
      </c>
      <c r="H1388" s="654">
        <v>217305</v>
      </c>
      <c r="I1388" s="654">
        <v>45057</v>
      </c>
      <c r="J1388" s="654">
        <v>262362</v>
      </c>
      <c r="K1388" s="654">
        <v>262362</v>
      </c>
      <c r="L1388" s="654">
        <v>0</v>
      </c>
      <c r="M1388" s="654">
        <v>0</v>
      </c>
      <c r="N1388" s="654">
        <v>0</v>
      </c>
    </row>
    <row r="1389" spans="2:14" x14ac:dyDescent="0.15">
      <c r="B1389"/>
      <c r="D1389" t="s">
        <v>627</v>
      </c>
      <c r="E1389" t="s">
        <v>379</v>
      </c>
      <c r="F1389" t="s">
        <v>626</v>
      </c>
      <c r="G1389" t="s">
        <v>600</v>
      </c>
      <c r="H1389" s="654">
        <v>521902</v>
      </c>
      <c r="I1389" s="654">
        <v>-191439</v>
      </c>
      <c r="J1389" s="654">
        <v>330463</v>
      </c>
      <c r="K1389" s="654">
        <v>330463</v>
      </c>
      <c r="L1389" s="654">
        <v>0</v>
      </c>
      <c r="M1389" s="654">
        <v>0</v>
      </c>
      <c r="N1389" s="654">
        <v>0</v>
      </c>
    </row>
    <row r="1390" spans="2:14" x14ac:dyDescent="0.15">
      <c r="B1390"/>
      <c r="F1390" t="s">
        <v>733</v>
      </c>
      <c r="H1390" s="654">
        <v>521902</v>
      </c>
      <c r="I1390" s="654">
        <v>-191439</v>
      </c>
      <c r="J1390" s="654">
        <v>330463</v>
      </c>
      <c r="K1390" s="654">
        <v>330463</v>
      </c>
      <c r="L1390" s="654">
        <v>0</v>
      </c>
      <c r="M1390" s="654">
        <v>0</v>
      </c>
      <c r="N1390" s="654">
        <v>0</v>
      </c>
    </row>
    <row r="1391" spans="2:14" x14ac:dyDescent="0.15">
      <c r="B1391"/>
      <c r="F1391" t="s">
        <v>627</v>
      </c>
      <c r="G1391" t="s">
        <v>599</v>
      </c>
      <c r="H1391" s="654">
        <v>0</v>
      </c>
      <c r="I1391" s="654">
        <v>0</v>
      </c>
      <c r="J1391" s="654">
        <v>0</v>
      </c>
      <c r="K1391" s="654">
        <v>0</v>
      </c>
      <c r="L1391" s="654">
        <v>0</v>
      </c>
      <c r="M1391" s="654">
        <v>0</v>
      </c>
      <c r="N1391" s="654">
        <v>0</v>
      </c>
    </row>
    <row r="1392" spans="2:14" x14ac:dyDescent="0.15">
      <c r="B1392"/>
      <c r="F1392" t="s">
        <v>734</v>
      </c>
      <c r="H1392" s="654">
        <v>0</v>
      </c>
      <c r="I1392" s="654">
        <v>0</v>
      </c>
      <c r="J1392" s="654">
        <v>0</v>
      </c>
      <c r="K1392" s="654">
        <v>0</v>
      </c>
      <c r="L1392" s="654">
        <v>0</v>
      </c>
      <c r="M1392" s="654">
        <v>0</v>
      </c>
      <c r="N1392" s="654">
        <v>0</v>
      </c>
    </row>
    <row r="1393" spans="2:14" x14ac:dyDescent="0.15">
      <c r="B1393"/>
      <c r="F1393" t="s">
        <v>628</v>
      </c>
      <c r="G1393" t="s">
        <v>598</v>
      </c>
      <c r="H1393" s="654">
        <v>0</v>
      </c>
      <c r="I1393" s="654">
        <v>0</v>
      </c>
      <c r="J1393" s="654">
        <v>0</v>
      </c>
      <c r="K1393" s="654">
        <v>0</v>
      </c>
      <c r="L1393" s="654">
        <v>0</v>
      </c>
      <c r="M1393" s="654">
        <v>0</v>
      </c>
      <c r="N1393" s="654">
        <v>0</v>
      </c>
    </row>
    <row r="1394" spans="2:14" x14ac:dyDescent="0.15">
      <c r="B1394"/>
      <c r="F1394" t="s">
        <v>735</v>
      </c>
      <c r="H1394" s="654">
        <v>0</v>
      </c>
      <c r="I1394" s="654">
        <v>0</v>
      </c>
      <c r="J1394" s="654">
        <v>0</v>
      </c>
      <c r="K1394" s="654">
        <v>0</v>
      </c>
      <c r="L1394" s="654">
        <v>0</v>
      </c>
      <c r="M1394" s="654">
        <v>0</v>
      </c>
      <c r="N1394" s="654">
        <v>0</v>
      </c>
    </row>
    <row r="1395" spans="2:14" x14ac:dyDescent="0.15">
      <c r="B1395"/>
      <c r="E1395" t="s">
        <v>770</v>
      </c>
      <c r="H1395" s="654">
        <v>521902</v>
      </c>
      <c r="I1395" s="654">
        <v>-191439</v>
      </c>
      <c r="J1395" s="654">
        <v>330463</v>
      </c>
      <c r="K1395" s="654">
        <v>330463</v>
      </c>
      <c r="L1395" s="654">
        <v>0</v>
      </c>
      <c r="M1395" s="654">
        <v>0</v>
      </c>
      <c r="N1395" s="654">
        <v>0</v>
      </c>
    </row>
    <row r="1396" spans="2:14" x14ac:dyDescent="0.15">
      <c r="B1396"/>
      <c r="D1396" t="s">
        <v>734</v>
      </c>
      <c r="H1396" s="654">
        <v>521902</v>
      </c>
      <c r="I1396" s="654">
        <v>-191439</v>
      </c>
      <c r="J1396" s="654">
        <v>330463</v>
      </c>
      <c r="K1396" s="654">
        <v>330463</v>
      </c>
      <c r="L1396" s="654">
        <v>0</v>
      </c>
      <c r="M1396" s="654">
        <v>0</v>
      </c>
      <c r="N1396" s="654">
        <v>0</v>
      </c>
    </row>
    <row r="1397" spans="2:14" x14ac:dyDescent="0.15">
      <c r="B1397"/>
      <c r="D1397" t="s">
        <v>628</v>
      </c>
      <c r="E1397" t="s">
        <v>380</v>
      </c>
      <c r="F1397" t="s">
        <v>626</v>
      </c>
      <c r="G1397" t="s">
        <v>600</v>
      </c>
      <c r="H1397" s="654">
        <v>0</v>
      </c>
      <c r="I1397" s="654">
        <v>-13569</v>
      </c>
      <c r="J1397" s="654">
        <v>-13569</v>
      </c>
      <c r="K1397" s="654">
        <v>-13569</v>
      </c>
      <c r="L1397" s="654">
        <v>0</v>
      </c>
      <c r="M1397" s="654">
        <v>0</v>
      </c>
      <c r="N1397" s="654">
        <v>0</v>
      </c>
    </row>
    <row r="1398" spans="2:14" x14ac:dyDescent="0.15">
      <c r="B1398"/>
      <c r="F1398" t="s">
        <v>733</v>
      </c>
      <c r="H1398" s="654">
        <v>0</v>
      </c>
      <c r="I1398" s="654">
        <v>-13569</v>
      </c>
      <c r="J1398" s="654">
        <v>-13569</v>
      </c>
      <c r="K1398" s="654">
        <v>-13569</v>
      </c>
      <c r="L1398" s="654">
        <v>0</v>
      </c>
      <c r="M1398" s="654">
        <v>0</v>
      </c>
      <c r="N1398" s="654">
        <v>0</v>
      </c>
    </row>
    <row r="1399" spans="2:14" x14ac:dyDescent="0.15">
      <c r="B1399"/>
      <c r="F1399" t="s">
        <v>627</v>
      </c>
      <c r="G1399" t="s">
        <v>599</v>
      </c>
      <c r="H1399" s="654">
        <v>0</v>
      </c>
      <c r="I1399" s="654">
        <v>0</v>
      </c>
      <c r="J1399" s="654">
        <v>0</v>
      </c>
      <c r="K1399" s="654">
        <v>0</v>
      </c>
      <c r="L1399" s="654">
        <v>0</v>
      </c>
      <c r="M1399" s="654">
        <v>0</v>
      </c>
      <c r="N1399" s="654">
        <v>0</v>
      </c>
    </row>
    <row r="1400" spans="2:14" x14ac:dyDescent="0.15">
      <c r="B1400"/>
      <c r="F1400" t="s">
        <v>734</v>
      </c>
      <c r="H1400" s="654">
        <v>0</v>
      </c>
      <c r="I1400" s="654">
        <v>0</v>
      </c>
      <c r="J1400" s="654">
        <v>0</v>
      </c>
      <c r="K1400" s="654">
        <v>0</v>
      </c>
      <c r="L1400" s="654">
        <v>0</v>
      </c>
      <c r="M1400" s="654">
        <v>0</v>
      </c>
      <c r="N1400" s="654">
        <v>0</v>
      </c>
    </row>
    <row r="1401" spans="2:14" x14ac:dyDescent="0.15">
      <c r="B1401"/>
      <c r="E1401" t="s">
        <v>771</v>
      </c>
      <c r="H1401" s="654">
        <v>0</v>
      </c>
      <c r="I1401" s="654">
        <v>-13569</v>
      </c>
      <c r="J1401" s="654">
        <v>-13569</v>
      </c>
      <c r="K1401" s="654">
        <v>-13569</v>
      </c>
      <c r="L1401" s="654">
        <v>0</v>
      </c>
      <c r="M1401" s="654">
        <v>0</v>
      </c>
      <c r="N1401" s="654">
        <v>0</v>
      </c>
    </row>
    <row r="1402" spans="2:14" x14ac:dyDescent="0.15">
      <c r="B1402"/>
      <c r="D1402" t="s">
        <v>735</v>
      </c>
      <c r="H1402" s="654">
        <v>0</v>
      </c>
      <c r="I1402" s="654">
        <v>-13569</v>
      </c>
      <c r="J1402" s="654">
        <v>-13569</v>
      </c>
      <c r="K1402" s="654">
        <v>-13569</v>
      </c>
      <c r="L1402" s="654">
        <v>0</v>
      </c>
      <c r="M1402" s="654">
        <v>0</v>
      </c>
      <c r="N1402" s="654">
        <v>0</v>
      </c>
    </row>
    <row r="1403" spans="2:14" x14ac:dyDescent="0.15">
      <c r="B1403"/>
      <c r="D1403" t="s">
        <v>629</v>
      </c>
      <c r="E1403" t="s">
        <v>676</v>
      </c>
      <c r="F1403" t="s">
        <v>629</v>
      </c>
      <c r="G1403" t="s">
        <v>601</v>
      </c>
      <c r="H1403" s="654">
        <v>79043</v>
      </c>
      <c r="I1403" s="654">
        <v>0</v>
      </c>
      <c r="J1403" s="654">
        <v>79043</v>
      </c>
      <c r="K1403" s="654">
        <v>79043</v>
      </c>
      <c r="L1403" s="654">
        <v>0</v>
      </c>
      <c r="M1403" s="654">
        <v>0</v>
      </c>
      <c r="N1403" s="654">
        <v>0</v>
      </c>
    </row>
    <row r="1404" spans="2:14" x14ac:dyDescent="0.15">
      <c r="B1404"/>
      <c r="F1404" t="s">
        <v>736</v>
      </c>
      <c r="H1404" s="654">
        <v>79043</v>
      </c>
      <c r="I1404" s="654">
        <v>0</v>
      </c>
      <c r="J1404" s="654">
        <v>79043</v>
      </c>
      <c r="K1404" s="654">
        <v>79043</v>
      </c>
      <c r="L1404" s="654">
        <v>0</v>
      </c>
      <c r="M1404" s="654">
        <v>0</v>
      </c>
      <c r="N1404" s="654">
        <v>0</v>
      </c>
    </row>
    <row r="1405" spans="2:14" x14ac:dyDescent="0.15">
      <c r="B1405"/>
      <c r="E1405" t="s">
        <v>772</v>
      </c>
      <c r="H1405" s="654">
        <v>79043</v>
      </c>
      <c r="I1405" s="654">
        <v>0</v>
      </c>
      <c r="J1405" s="654">
        <v>79043</v>
      </c>
      <c r="K1405" s="654">
        <v>79043</v>
      </c>
      <c r="L1405" s="654">
        <v>0</v>
      </c>
      <c r="M1405" s="654">
        <v>0</v>
      </c>
      <c r="N1405" s="654">
        <v>0</v>
      </c>
    </row>
    <row r="1406" spans="2:14" x14ac:dyDescent="0.15">
      <c r="B1406"/>
      <c r="D1406" t="s">
        <v>736</v>
      </c>
      <c r="H1406" s="654">
        <v>79043</v>
      </c>
      <c r="I1406" s="654">
        <v>0</v>
      </c>
      <c r="J1406" s="654">
        <v>79043</v>
      </c>
      <c r="K1406" s="654">
        <v>79043</v>
      </c>
      <c r="L1406" s="654">
        <v>0</v>
      </c>
      <c r="M1406" s="654">
        <v>0</v>
      </c>
      <c r="N1406" s="654">
        <v>0</v>
      </c>
    </row>
    <row r="1407" spans="2:14" x14ac:dyDescent="0.15">
      <c r="B1407"/>
      <c r="D1407" t="s">
        <v>567</v>
      </c>
      <c r="E1407" t="s">
        <v>473</v>
      </c>
      <c r="F1407" t="s">
        <v>631</v>
      </c>
      <c r="G1407" t="s">
        <v>596</v>
      </c>
      <c r="H1407" s="654">
        <v>209096</v>
      </c>
      <c r="I1407" s="654">
        <v>-209096</v>
      </c>
      <c r="J1407" s="654">
        <v>0</v>
      </c>
      <c r="K1407" s="654">
        <v>0</v>
      </c>
      <c r="L1407" s="654">
        <v>0</v>
      </c>
      <c r="M1407" s="654">
        <v>0</v>
      </c>
      <c r="N1407" s="654">
        <v>0</v>
      </c>
    </row>
    <row r="1408" spans="2:14" x14ac:dyDescent="0.15">
      <c r="B1408"/>
      <c r="F1408" t="s">
        <v>737</v>
      </c>
      <c r="H1408" s="654">
        <v>209096</v>
      </c>
      <c r="I1408" s="654">
        <v>-209096</v>
      </c>
      <c r="J1408" s="654">
        <v>0</v>
      </c>
      <c r="K1408" s="654">
        <v>0</v>
      </c>
      <c r="L1408" s="654">
        <v>0</v>
      </c>
      <c r="M1408" s="654">
        <v>0</v>
      </c>
      <c r="N1408" s="654">
        <v>0</v>
      </c>
    </row>
    <row r="1409" spans="2:14" x14ac:dyDescent="0.15">
      <c r="B1409"/>
      <c r="E1409" t="s">
        <v>773</v>
      </c>
      <c r="H1409" s="654">
        <v>209096</v>
      </c>
      <c r="I1409" s="654">
        <v>-209096</v>
      </c>
      <c r="J1409" s="654">
        <v>0</v>
      </c>
      <c r="K1409" s="654">
        <v>0</v>
      </c>
      <c r="L1409" s="654">
        <v>0</v>
      </c>
      <c r="M1409" s="654">
        <v>0</v>
      </c>
      <c r="N1409" s="654">
        <v>0</v>
      </c>
    </row>
    <row r="1410" spans="2:14" x14ac:dyDescent="0.15">
      <c r="B1410"/>
      <c r="D1410" t="s">
        <v>739</v>
      </c>
      <c r="H1410" s="654">
        <v>209096</v>
      </c>
      <c r="I1410" s="654">
        <v>-209096</v>
      </c>
      <c r="J1410" s="654">
        <v>0</v>
      </c>
      <c r="K1410" s="654">
        <v>0</v>
      </c>
      <c r="L1410" s="654">
        <v>0</v>
      </c>
      <c r="M1410" s="654">
        <v>0</v>
      </c>
      <c r="N1410" s="654">
        <v>0</v>
      </c>
    </row>
    <row r="1411" spans="2:14" x14ac:dyDescent="0.15">
      <c r="B1411"/>
      <c r="D1411" t="s">
        <v>568</v>
      </c>
      <c r="E1411" t="s">
        <v>474</v>
      </c>
      <c r="F1411" t="s">
        <v>631</v>
      </c>
      <c r="G1411" t="s">
        <v>596</v>
      </c>
      <c r="H1411" s="654">
        <v>0</v>
      </c>
      <c r="I1411" s="654">
        <v>0</v>
      </c>
      <c r="J1411" s="654">
        <v>0</v>
      </c>
      <c r="K1411" s="654">
        <v>0</v>
      </c>
      <c r="L1411" s="654">
        <v>0</v>
      </c>
      <c r="M1411" s="654">
        <v>0</v>
      </c>
      <c r="N1411" s="654">
        <v>0</v>
      </c>
    </row>
    <row r="1412" spans="2:14" x14ac:dyDescent="0.15">
      <c r="B1412"/>
      <c r="F1412" t="s">
        <v>737</v>
      </c>
      <c r="H1412" s="654">
        <v>0</v>
      </c>
      <c r="I1412" s="654">
        <v>0</v>
      </c>
      <c r="J1412" s="654">
        <v>0</v>
      </c>
      <c r="K1412" s="654">
        <v>0</v>
      </c>
      <c r="L1412" s="654">
        <v>0</v>
      </c>
      <c r="M1412" s="654">
        <v>0</v>
      </c>
      <c r="N1412" s="654">
        <v>0</v>
      </c>
    </row>
    <row r="1413" spans="2:14" x14ac:dyDescent="0.15">
      <c r="B1413"/>
      <c r="E1413" t="s">
        <v>774</v>
      </c>
      <c r="H1413" s="654">
        <v>0</v>
      </c>
      <c r="I1413" s="654">
        <v>0</v>
      </c>
      <c r="J1413" s="654">
        <v>0</v>
      </c>
      <c r="K1413" s="654">
        <v>0</v>
      </c>
      <c r="L1413" s="654">
        <v>0</v>
      </c>
      <c r="M1413" s="654">
        <v>0</v>
      </c>
      <c r="N1413" s="654">
        <v>0</v>
      </c>
    </row>
    <row r="1414" spans="2:14" x14ac:dyDescent="0.15">
      <c r="B1414"/>
      <c r="D1414" t="s">
        <v>740</v>
      </c>
      <c r="H1414" s="654">
        <v>0</v>
      </c>
      <c r="I1414" s="654">
        <v>0</v>
      </c>
      <c r="J1414" s="654">
        <v>0</v>
      </c>
      <c r="K1414" s="654">
        <v>0</v>
      </c>
      <c r="L1414" s="654">
        <v>0</v>
      </c>
      <c r="M1414" s="654">
        <v>0</v>
      </c>
      <c r="N1414" s="654">
        <v>0</v>
      </c>
    </row>
    <row r="1415" spans="2:14" x14ac:dyDescent="0.15">
      <c r="B1415"/>
      <c r="D1415" t="s">
        <v>582</v>
      </c>
      <c r="E1415" t="s">
        <v>384</v>
      </c>
      <c r="F1415" t="s">
        <v>631</v>
      </c>
      <c r="G1415" t="s">
        <v>596</v>
      </c>
      <c r="H1415" s="654">
        <v>646128</v>
      </c>
      <c r="I1415" s="654">
        <v>0</v>
      </c>
      <c r="J1415" s="654">
        <v>646128</v>
      </c>
      <c r="K1415" s="654">
        <v>646128</v>
      </c>
      <c r="L1415" s="654">
        <v>0</v>
      </c>
      <c r="M1415" s="654">
        <v>0</v>
      </c>
      <c r="N1415" s="654">
        <v>0</v>
      </c>
    </row>
    <row r="1416" spans="2:14" x14ac:dyDescent="0.15">
      <c r="B1416"/>
      <c r="F1416" t="s">
        <v>737</v>
      </c>
      <c r="H1416" s="654">
        <v>646128</v>
      </c>
      <c r="I1416" s="654">
        <v>0</v>
      </c>
      <c r="J1416" s="654">
        <v>646128</v>
      </c>
      <c r="K1416" s="654">
        <v>646128</v>
      </c>
      <c r="L1416" s="654">
        <v>0</v>
      </c>
      <c r="M1416" s="654">
        <v>0</v>
      </c>
      <c r="N1416" s="654">
        <v>0</v>
      </c>
    </row>
    <row r="1417" spans="2:14" x14ac:dyDescent="0.15">
      <c r="B1417"/>
      <c r="E1417" t="s">
        <v>778</v>
      </c>
      <c r="H1417" s="654">
        <v>646128</v>
      </c>
      <c r="I1417" s="654">
        <v>0</v>
      </c>
      <c r="J1417" s="654">
        <v>646128</v>
      </c>
      <c r="K1417" s="654">
        <v>646128</v>
      </c>
      <c r="L1417" s="654">
        <v>0</v>
      </c>
      <c r="M1417" s="654">
        <v>0</v>
      </c>
      <c r="N1417" s="654">
        <v>0</v>
      </c>
    </row>
    <row r="1418" spans="2:14" x14ac:dyDescent="0.15">
      <c r="B1418"/>
      <c r="D1418" t="s">
        <v>743</v>
      </c>
      <c r="H1418" s="654">
        <v>646128</v>
      </c>
      <c r="I1418" s="654">
        <v>0</v>
      </c>
      <c r="J1418" s="654">
        <v>646128</v>
      </c>
      <c r="K1418" s="654">
        <v>646128</v>
      </c>
      <c r="L1418" s="654">
        <v>0</v>
      </c>
      <c r="M1418" s="654">
        <v>0</v>
      </c>
      <c r="N1418" s="654">
        <v>0</v>
      </c>
    </row>
    <row r="1419" spans="2:14" x14ac:dyDescent="0.15">
      <c r="B1419"/>
      <c r="D1419" t="s">
        <v>631</v>
      </c>
      <c r="E1419" t="s">
        <v>381</v>
      </c>
      <c r="F1419" t="s">
        <v>626</v>
      </c>
      <c r="G1419" t="s">
        <v>600</v>
      </c>
      <c r="H1419" s="654">
        <v>0</v>
      </c>
      <c r="I1419" s="654">
        <v>0</v>
      </c>
      <c r="J1419" s="654">
        <v>0</v>
      </c>
      <c r="K1419" s="654">
        <v>0</v>
      </c>
      <c r="L1419" s="654">
        <v>0</v>
      </c>
      <c r="M1419" s="654">
        <v>0</v>
      </c>
      <c r="N1419" s="654">
        <v>0</v>
      </c>
    </row>
    <row r="1420" spans="2:14" x14ac:dyDescent="0.15">
      <c r="B1420"/>
      <c r="F1420" t="s">
        <v>733</v>
      </c>
      <c r="H1420" s="654">
        <v>0</v>
      </c>
      <c r="I1420" s="654">
        <v>0</v>
      </c>
      <c r="J1420" s="654">
        <v>0</v>
      </c>
      <c r="K1420" s="654">
        <v>0</v>
      </c>
      <c r="L1420" s="654">
        <v>0</v>
      </c>
      <c r="M1420" s="654">
        <v>0</v>
      </c>
      <c r="N1420" s="654">
        <v>0</v>
      </c>
    </row>
    <row r="1421" spans="2:14" x14ac:dyDescent="0.15">
      <c r="B1421"/>
      <c r="E1421" t="s">
        <v>776</v>
      </c>
      <c r="H1421" s="654">
        <v>0</v>
      </c>
      <c r="I1421" s="654">
        <v>0</v>
      </c>
      <c r="J1421" s="654">
        <v>0</v>
      </c>
      <c r="K1421" s="654">
        <v>0</v>
      </c>
      <c r="L1421" s="654">
        <v>0</v>
      </c>
      <c r="M1421" s="654">
        <v>0</v>
      </c>
      <c r="N1421" s="654">
        <v>0</v>
      </c>
    </row>
    <row r="1422" spans="2:14" x14ac:dyDescent="0.15">
      <c r="B1422"/>
      <c r="D1422" t="s">
        <v>737</v>
      </c>
      <c r="H1422" s="654">
        <v>0</v>
      </c>
      <c r="I1422" s="654">
        <v>0</v>
      </c>
      <c r="J1422" s="654">
        <v>0</v>
      </c>
      <c r="K1422" s="654">
        <v>0</v>
      </c>
      <c r="L1422" s="654">
        <v>0</v>
      </c>
      <c r="M1422" s="654">
        <v>0</v>
      </c>
      <c r="N1422" s="654">
        <v>0</v>
      </c>
    </row>
    <row r="1423" spans="2:14" x14ac:dyDescent="0.15">
      <c r="B1423"/>
      <c r="D1423" t="s">
        <v>671</v>
      </c>
      <c r="E1423" t="s">
        <v>383</v>
      </c>
      <c r="F1423" t="s">
        <v>626</v>
      </c>
      <c r="G1423" t="s">
        <v>600</v>
      </c>
      <c r="H1423" s="654">
        <v>9159</v>
      </c>
      <c r="I1423" s="654">
        <v>0</v>
      </c>
      <c r="J1423" s="654">
        <v>9159</v>
      </c>
      <c r="K1423" s="654">
        <v>9159</v>
      </c>
      <c r="L1423" s="654">
        <v>0</v>
      </c>
      <c r="M1423" s="654">
        <v>0</v>
      </c>
      <c r="N1423" s="654">
        <v>0</v>
      </c>
    </row>
    <row r="1424" spans="2:14" x14ac:dyDescent="0.15">
      <c r="B1424"/>
      <c r="F1424" t="s">
        <v>733</v>
      </c>
      <c r="H1424" s="654">
        <v>9159</v>
      </c>
      <c r="I1424" s="654">
        <v>0</v>
      </c>
      <c r="J1424" s="654">
        <v>9159</v>
      </c>
      <c r="K1424" s="654">
        <v>9159</v>
      </c>
      <c r="L1424" s="654">
        <v>0</v>
      </c>
      <c r="M1424" s="654">
        <v>0</v>
      </c>
      <c r="N1424" s="654">
        <v>0</v>
      </c>
    </row>
    <row r="1425" spans="1:14" x14ac:dyDescent="0.15">
      <c r="B1425"/>
      <c r="F1425" t="s">
        <v>627</v>
      </c>
      <c r="G1425" t="s">
        <v>599</v>
      </c>
      <c r="H1425" s="654">
        <v>0</v>
      </c>
      <c r="I1425" s="654">
        <v>0</v>
      </c>
      <c r="J1425" s="654">
        <v>0</v>
      </c>
      <c r="K1425" s="654">
        <v>0</v>
      </c>
      <c r="L1425" s="654">
        <v>0</v>
      </c>
      <c r="M1425" s="654">
        <v>0</v>
      </c>
      <c r="N1425" s="654">
        <v>0</v>
      </c>
    </row>
    <row r="1426" spans="1:14" x14ac:dyDescent="0.15">
      <c r="B1426"/>
      <c r="F1426" t="s">
        <v>734</v>
      </c>
      <c r="H1426" s="654">
        <v>0</v>
      </c>
      <c r="I1426" s="654">
        <v>0</v>
      </c>
      <c r="J1426" s="654">
        <v>0</v>
      </c>
      <c r="K1426" s="654">
        <v>0</v>
      </c>
      <c r="L1426" s="654">
        <v>0</v>
      </c>
      <c r="M1426" s="654">
        <v>0</v>
      </c>
      <c r="N1426" s="654">
        <v>0</v>
      </c>
    </row>
    <row r="1427" spans="1:14" x14ac:dyDescent="0.15">
      <c r="B1427"/>
      <c r="E1427" t="s">
        <v>777</v>
      </c>
      <c r="H1427" s="654">
        <v>9159</v>
      </c>
      <c r="I1427" s="654">
        <v>0</v>
      </c>
      <c r="J1427" s="654">
        <v>9159</v>
      </c>
      <c r="K1427" s="654">
        <v>9159</v>
      </c>
      <c r="L1427" s="654">
        <v>0</v>
      </c>
      <c r="M1427" s="654">
        <v>0</v>
      </c>
      <c r="N1427" s="654">
        <v>0</v>
      </c>
    </row>
    <row r="1428" spans="1:14" x14ac:dyDescent="0.15">
      <c r="B1428"/>
      <c r="D1428" t="s">
        <v>742</v>
      </c>
      <c r="H1428" s="654">
        <v>9159</v>
      </c>
      <c r="I1428" s="654">
        <v>0</v>
      </c>
      <c r="J1428" s="654">
        <v>9159</v>
      </c>
      <c r="K1428" s="654">
        <v>9159</v>
      </c>
      <c r="L1428" s="654">
        <v>0</v>
      </c>
      <c r="M1428" s="654">
        <v>0</v>
      </c>
      <c r="N1428" s="654">
        <v>0</v>
      </c>
    </row>
    <row r="1429" spans="1:14" x14ac:dyDescent="0.15">
      <c r="B1429"/>
      <c r="C1429" t="s">
        <v>854</v>
      </c>
      <c r="H1429" s="654">
        <v>1682633</v>
      </c>
      <c r="I1429" s="654">
        <v>-369047</v>
      </c>
      <c r="J1429" s="654">
        <v>1313586</v>
      </c>
      <c r="K1429" s="654">
        <v>1313586</v>
      </c>
      <c r="L1429" s="654">
        <v>0</v>
      </c>
      <c r="M1429" s="654">
        <v>0</v>
      </c>
      <c r="N1429" s="654">
        <v>0</v>
      </c>
    </row>
    <row r="1430" spans="1:14" x14ac:dyDescent="0.15">
      <c r="A1430" s="653" t="s">
        <v>622</v>
      </c>
      <c r="B1430"/>
      <c r="H1430" s="654">
        <v>33879875</v>
      </c>
      <c r="I1430" s="654">
        <v>-543645</v>
      </c>
      <c r="J1430" s="654">
        <v>33336230</v>
      </c>
      <c r="K1430" s="654">
        <v>33336230</v>
      </c>
      <c r="L1430" s="654">
        <v>0</v>
      </c>
      <c r="M1430" s="654">
        <v>169553</v>
      </c>
      <c r="N1430" s="654">
        <v>3747148</v>
      </c>
    </row>
    <row r="1431" spans="1:14" x14ac:dyDescent="0.15">
      <c r="A1431" s="653">
        <v>43040</v>
      </c>
      <c r="B1431" t="s">
        <v>626</v>
      </c>
      <c r="C1431" t="s">
        <v>849</v>
      </c>
      <c r="D1431" t="s">
        <v>626</v>
      </c>
      <c r="E1431" t="s">
        <v>378</v>
      </c>
      <c r="F1431" t="s">
        <v>626</v>
      </c>
      <c r="G1431" t="s">
        <v>600</v>
      </c>
      <c r="H1431" s="654">
        <v>7703529</v>
      </c>
      <c r="I1431" s="654">
        <v>-375355</v>
      </c>
      <c r="J1431" s="654">
        <v>7328174</v>
      </c>
      <c r="K1431" s="654">
        <v>7328174</v>
      </c>
      <c r="L1431" s="654">
        <v>0</v>
      </c>
      <c r="M1431" s="654">
        <v>31137</v>
      </c>
      <c r="N1431" s="654">
        <v>1293794</v>
      </c>
    </row>
    <row r="1432" spans="1:14" x14ac:dyDescent="0.15">
      <c r="B1432"/>
      <c r="F1432" t="s">
        <v>733</v>
      </c>
      <c r="H1432" s="654">
        <v>7703529</v>
      </c>
      <c r="I1432" s="654">
        <v>-375355</v>
      </c>
      <c r="J1432" s="654">
        <v>7328174</v>
      </c>
      <c r="K1432" s="654">
        <v>7328174</v>
      </c>
      <c r="L1432" s="654">
        <v>0</v>
      </c>
      <c r="M1432" s="654">
        <v>31137</v>
      </c>
      <c r="N1432" s="654">
        <v>1293794</v>
      </c>
    </row>
    <row r="1433" spans="1:14" x14ac:dyDescent="0.15">
      <c r="B1433"/>
      <c r="F1433" t="s">
        <v>627</v>
      </c>
      <c r="G1433" t="s">
        <v>599</v>
      </c>
      <c r="H1433" s="654">
        <v>1517375</v>
      </c>
      <c r="I1433" s="654">
        <v>-230591</v>
      </c>
      <c r="J1433" s="654">
        <v>1286784</v>
      </c>
      <c r="K1433" s="654">
        <v>1286784</v>
      </c>
      <c r="L1433" s="654">
        <v>0</v>
      </c>
      <c r="M1433" s="654">
        <v>0</v>
      </c>
      <c r="N1433" s="654">
        <v>268515</v>
      </c>
    </row>
    <row r="1434" spans="1:14" x14ac:dyDescent="0.15">
      <c r="B1434"/>
      <c r="F1434" t="s">
        <v>734</v>
      </c>
      <c r="H1434" s="654">
        <v>1517375</v>
      </c>
      <c r="I1434" s="654">
        <v>-230591</v>
      </c>
      <c r="J1434" s="654">
        <v>1286784</v>
      </c>
      <c r="K1434" s="654">
        <v>1286784</v>
      </c>
      <c r="L1434" s="654">
        <v>0</v>
      </c>
      <c r="M1434" s="654">
        <v>0</v>
      </c>
      <c r="N1434" s="654">
        <v>268515</v>
      </c>
    </row>
    <row r="1435" spans="1:14" x14ac:dyDescent="0.15">
      <c r="B1435"/>
      <c r="F1435" t="s">
        <v>628</v>
      </c>
      <c r="G1435" t="s">
        <v>598</v>
      </c>
      <c r="H1435" s="654">
        <v>671793</v>
      </c>
      <c r="I1435" s="654">
        <v>0</v>
      </c>
      <c r="J1435" s="654">
        <v>671793</v>
      </c>
      <c r="K1435" s="654">
        <v>671793</v>
      </c>
      <c r="L1435" s="654">
        <v>0</v>
      </c>
      <c r="M1435" s="654">
        <v>11149</v>
      </c>
      <c r="N1435" s="654">
        <v>0</v>
      </c>
    </row>
    <row r="1436" spans="1:14" x14ac:dyDescent="0.15">
      <c r="B1436"/>
      <c r="F1436" t="s">
        <v>735</v>
      </c>
      <c r="H1436" s="654">
        <v>671793</v>
      </c>
      <c r="I1436" s="654">
        <v>0</v>
      </c>
      <c r="J1436" s="654">
        <v>671793</v>
      </c>
      <c r="K1436" s="654">
        <v>671793</v>
      </c>
      <c r="L1436" s="654">
        <v>0</v>
      </c>
      <c r="M1436" s="654">
        <v>11149</v>
      </c>
      <c r="N1436" s="654">
        <v>0</v>
      </c>
    </row>
    <row r="1437" spans="1:14" x14ac:dyDescent="0.15">
      <c r="B1437"/>
      <c r="E1437" t="s">
        <v>769</v>
      </c>
      <c r="H1437" s="654">
        <v>9892697</v>
      </c>
      <c r="I1437" s="654">
        <v>-605946</v>
      </c>
      <c r="J1437" s="654">
        <v>9286751</v>
      </c>
      <c r="K1437" s="654">
        <v>9286751</v>
      </c>
      <c r="L1437" s="654">
        <v>0</v>
      </c>
      <c r="M1437" s="654">
        <v>42286</v>
      </c>
      <c r="N1437" s="654">
        <v>1562309</v>
      </c>
    </row>
    <row r="1438" spans="1:14" x14ac:dyDescent="0.15">
      <c r="B1438"/>
      <c r="D1438" t="s">
        <v>733</v>
      </c>
      <c r="H1438" s="654">
        <v>9892697</v>
      </c>
      <c r="I1438" s="654">
        <v>-605946</v>
      </c>
      <c r="J1438" s="654">
        <v>9286751</v>
      </c>
      <c r="K1438" s="654">
        <v>9286751</v>
      </c>
      <c r="L1438" s="654">
        <v>0</v>
      </c>
      <c r="M1438" s="654">
        <v>42286</v>
      </c>
      <c r="N1438" s="654">
        <v>1562309</v>
      </c>
    </row>
    <row r="1439" spans="1:14" x14ac:dyDescent="0.15">
      <c r="B1439"/>
      <c r="D1439" t="s">
        <v>627</v>
      </c>
      <c r="E1439" t="s">
        <v>379</v>
      </c>
      <c r="F1439" t="s">
        <v>626</v>
      </c>
      <c r="G1439" t="s">
        <v>600</v>
      </c>
      <c r="H1439" s="654">
        <v>4199450</v>
      </c>
      <c r="I1439" s="654">
        <v>0</v>
      </c>
      <c r="J1439" s="654">
        <v>4199450</v>
      </c>
      <c r="K1439" s="654">
        <v>4199450</v>
      </c>
      <c r="L1439" s="654">
        <v>0</v>
      </c>
      <c r="M1439" s="654">
        <v>0</v>
      </c>
      <c r="N1439" s="654">
        <v>466832</v>
      </c>
    </row>
    <row r="1440" spans="1:14" x14ac:dyDescent="0.15">
      <c r="B1440"/>
      <c r="F1440" t="s">
        <v>733</v>
      </c>
      <c r="H1440" s="654">
        <v>4199450</v>
      </c>
      <c r="I1440" s="654">
        <v>0</v>
      </c>
      <c r="J1440" s="654">
        <v>4199450</v>
      </c>
      <c r="K1440" s="654">
        <v>4199450</v>
      </c>
      <c r="L1440" s="654">
        <v>0</v>
      </c>
      <c r="M1440" s="654">
        <v>0</v>
      </c>
      <c r="N1440" s="654">
        <v>466832</v>
      </c>
    </row>
    <row r="1441" spans="2:14" x14ac:dyDescent="0.15">
      <c r="B1441"/>
      <c r="F1441" t="s">
        <v>627</v>
      </c>
      <c r="G1441" t="s">
        <v>599</v>
      </c>
      <c r="H1441" s="654">
        <v>971375</v>
      </c>
      <c r="I1441" s="654">
        <v>0</v>
      </c>
      <c r="J1441" s="654">
        <v>971375</v>
      </c>
      <c r="K1441" s="654">
        <v>971375</v>
      </c>
      <c r="L1441" s="654">
        <v>0</v>
      </c>
      <c r="M1441" s="654">
        <v>0</v>
      </c>
      <c r="N1441" s="654">
        <v>221766</v>
      </c>
    </row>
    <row r="1442" spans="2:14" x14ac:dyDescent="0.15">
      <c r="B1442"/>
      <c r="F1442" t="s">
        <v>734</v>
      </c>
      <c r="H1442" s="654">
        <v>971375</v>
      </c>
      <c r="I1442" s="654">
        <v>0</v>
      </c>
      <c r="J1442" s="654">
        <v>971375</v>
      </c>
      <c r="K1442" s="654">
        <v>971375</v>
      </c>
      <c r="L1442" s="654">
        <v>0</v>
      </c>
      <c r="M1442" s="654">
        <v>0</v>
      </c>
      <c r="N1442" s="654">
        <v>221766</v>
      </c>
    </row>
    <row r="1443" spans="2:14" x14ac:dyDescent="0.15">
      <c r="B1443"/>
      <c r="F1443" t="s">
        <v>628</v>
      </c>
      <c r="G1443" t="s">
        <v>598</v>
      </c>
      <c r="H1443" s="654">
        <v>436023</v>
      </c>
      <c r="I1443" s="654">
        <v>0</v>
      </c>
      <c r="J1443" s="654">
        <v>436023</v>
      </c>
      <c r="K1443" s="654">
        <v>436023</v>
      </c>
      <c r="L1443" s="654">
        <v>0</v>
      </c>
      <c r="M1443" s="654">
        <v>0</v>
      </c>
      <c r="N1443" s="654">
        <v>0</v>
      </c>
    </row>
    <row r="1444" spans="2:14" x14ac:dyDescent="0.15">
      <c r="B1444"/>
      <c r="F1444" t="s">
        <v>735</v>
      </c>
      <c r="H1444" s="654">
        <v>436023</v>
      </c>
      <c r="I1444" s="654">
        <v>0</v>
      </c>
      <c r="J1444" s="654">
        <v>436023</v>
      </c>
      <c r="K1444" s="654">
        <v>436023</v>
      </c>
      <c r="L1444" s="654">
        <v>0</v>
      </c>
      <c r="M1444" s="654">
        <v>0</v>
      </c>
      <c r="N1444" s="654">
        <v>0</v>
      </c>
    </row>
    <row r="1445" spans="2:14" x14ac:dyDescent="0.15">
      <c r="B1445"/>
      <c r="E1445" t="s">
        <v>770</v>
      </c>
      <c r="H1445" s="654">
        <v>5606848</v>
      </c>
      <c r="I1445" s="654">
        <v>0</v>
      </c>
      <c r="J1445" s="654">
        <v>5606848</v>
      </c>
      <c r="K1445" s="654">
        <v>5606848</v>
      </c>
      <c r="L1445" s="654">
        <v>0</v>
      </c>
      <c r="M1445" s="654">
        <v>0</v>
      </c>
      <c r="N1445" s="654">
        <v>688598</v>
      </c>
    </row>
    <row r="1446" spans="2:14" x14ac:dyDescent="0.15">
      <c r="B1446"/>
      <c r="D1446" t="s">
        <v>734</v>
      </c>
      <c r="H1446" s="654">
        <v>5606848</v>
      </c>
      <c r="I1446" s="654">
        <v>0</v>
      </c>
      <c r="J1446" s="654">
        <v>5606848</v>
      </c>
      <c r="K1446" s="654">
        <v>5606848</v>
      </c>
      <c r="L1446" s="654">
        <v>0</v>
      </c>
      <c r="M1446" s="654">
        <v>0</v>
      </c>
      <c r="N1446" s="654">
        <v>688598</v>
      </c>
    </row>
    <row r="1447" spans="2:14" x14ac:dyDescent="0.15">
      <c r="B1447"/>
      <c r="D1447" t="s">
        <v>628</v>
      </c>
      <c r="E1447" t="s">
        <v>380</v>
      </c>
      <c r="F1447" t="s">
        <v>626</v>
      </c>
      <c r="G1447" t="s">
        <v>600</v>
      </c>
      <c r="H1447" s="654">
        <v>3725222</v>
      </c>
      <c r="I1447" s="654">
        <v>0</v>
      </c>
      <c r="J1447" s="654">
        <v>3725222</v>
      </c>
      <c r="K1447" s="654">
        <v>3725222</v>
      </c>
      <c r="L1447" s="654">
        <v>0</v>
      </c>
      <c r="M1447" s="654">
        <v>119605</v>
      </c>
      <c r="N1447" s="654">
        <v>411480</v>
      </c>
    </row>
    <row r="1448" spans="2:14" x14ac:dyDescent="0.15">
      <c r="B1448"/>
      <c r="F1448" t="s">
        <v>733</v>
      </c>
      <c r="H1448" s="654">
        <v>3725222</v>
      </c>
      <c r="I1448" s="654">
        <v>0</v>
      </c>
      <c r="J1448" s="654">
        <v>3725222</v>
      </c>
      <c r="K1448" s="654">
        <v>3725222</v>
      </c>
      <c r="L1448" s="654">
        <v>0</v>
      </c>
      <c r="M1448" s="654">
        <v>119605</v>
      </c>
      <c r="N1448" s="654">
        <v>411480</v>
      </c>
    </row>
    <row r="1449" spans="2:14" x14ac:dyDescent="0.15">
      <c r="B1449"/>
      <c r="F1449" t="s">
        <v>627</v>
      </c>
      <c r="G1449" t="s">
        <v>599</v>
      </c>
      <c r="H1449" s="654">
        <v>1840148</v>
      </c>
      <c r="I1449" s="654">
        <v>-41265</v>
      </c>
      <c r="J1449" s="654">
        <v>1798883</v>
      </c>
      <c r="K1449" s="654">
        <v>1798883</v>
      </c>
      <c r="L1449" s="654">
        <v>0</v>
      </c>
      <c r="M1449" s="654">
        <v>0</v>
      </c>
      <c r="N1449" s="654">
        <v>432828</v>
      </c>
    </row>
    <row r="1450" spans="2:14" x14ac:dyDescent="0.15">
      <c r="B1450"/>
      <c r="F1450" t="s">
        <v>734</v>
      </c>
      <c r="H1450" s="654">
        <v>1840148</v>
      </c>
      <c r="I1450" s="654">
        <v>-41265</v>
      </c>
      <c r="J1450" s="654">
        <v>1798883</v>
      </c>
      <c r="K1450" s="654">
        <v>1798883</v>
      </c>
      <c r="L1450" s="654">
        <v>0</v>
      </c>
      <c r="M1450" s="654">
        <v>0</v>
      </c>
      <c r="N1450" s="654">
        <v>432828</v>
      </c>
    </row>
    <row r="1451" spans="2:14" x14ac:dyDescent="0.15">
      <c r="B1451"/>
      <c r="E1451" t="s">
        <v>771</v>
      </c>
      <c r="H1451" s="654">
        <v>5565370</v>
      </c>
      <c r="I1451" s="654">
        <v>-41265</v>
      </c>
      <c r="J1451" s="654">
        <v>5524105</v>
      </c>
      <c r="K1451" s="654">
        <v>5524105</v>
      </c>
      <c r="L1451" s="654">
        <v>0</v>
      </c>
      <c r="M1451" s="654">
        <v>119605</v>
      </c>
      <c r="N1451" s="654">
        <v>844308</v>
      </c>
    </row>
    <row r="1452" spans="2:14" x14ac:dyDescent="0.15">
      <c r="B1452"/>
      <c r="D1452" t="s">
        <v>735</v>
      </c>
      <c r="H1452" s="654">
        <v>5565370</v>
      </c>
      <c r="I1452" s="654">
        <v>-41265</v>
      </c>
      <c r="J1452" s="654">
        <v>5524105</v>
      </c>
      <c r="K1452" s="654">
        <v>5524105</v>
      </c>
      <c r="L1452" s="654">
        <v>0</v>
      </c>
      <c r="M1452" s="654">
        <v>119605</v>
      </c>
      <c r="N1452" s="654">
        <v>844308</v>
      </c>
    </row>
    <row r="1453" spans="2:14" x14ac:dyDescent="0.15">
      <c r="B1453"/>
      <c r="D1453" t="s">
        <v>629</v>
      </c>
      <c r="E1453" t="s">
        <v>676</v>
      </c>
      <c r="F1453" t="s">
        <v>629</v>
      </c>
      <c r="G1453" t="s">
        <v>601</v>
      </c>
      <c r="H1453" s="654">
        <v>3271508</v>
      </c>
      <c r="I1453" s="654">
        <v>-2080</v>
      </c>
      <c r="J1453" s="654">
        <v>3269428</v>
      </c>
      <c r="K1453" s="654">
        <v>3269428</v>
      </c>
      <c r="L1453" s="654">
        <v>0</v>
      </c>
      <c r="M1453" s="654">
        <v>57391</v>
      </c>
      <c r="N1453" s="654">
        <v>184210</v>
      </c>
    </row>
    <row r="1454" spans="2:14" x14ac:dyDescent="0.15">
      <c r="B1454"/>
      <c r="F1454" t="s">
        <v>736</v>
      </c>
      <c r="H1454" s="654">
        <v>3271508</v>
      </c>
      <c r="I1454" s="654">
        <v>-2080</v>
      </c>
      <c r="J1454" s="654">
        <v>3269428</v>
      </c>
      <c r="K1454" s="654">
        <v>3269428</v>
      </c>
      <c r="L1454" s="654">
        <v>0</v>
      </c>
      <c r="M1454" s="654">
        <v>57391</v>
      </c>
      <c r="N1454" s="654">
        <v>184210</v>
      </c>
    </row>
    <row r="1455" spans="2:14" x14ac:dyDescent="0.15">
      <c r="B1455"/>
      <c r="E1455" t="s">
        <v>772</v>
      </c>
      <c r="H1455" s="654">
        <v>3271508</v>
      </c>
      <c r="I1455" s="654">
        <v>-2080</v>
      </c>
      <c r="J1455" s="654">
        <v>3269428</v>
      </c>
      <c r="K1455" s="654">
        <v>3269428</v>
      </c>
      <c r="L1455" s="654">
        <v>0</v>
      </c>
      <c r="M1455" s="654">
        <v>57391</v>
      </c>
      <c r="N1455" s="654">
        <v>184210</v>
      </c>
    </row>
    <row r="1456" spans="2:14" x14ac:dyDescent="0.15">
      <c r="B1456"/>
      <c r="D1456" t="s">
        <v>736</v>
      </c>
      <c r="H1456" s="654">
        <v>3271508</v>
      </c>
      <c r="I1456" s="654">
        <v>-2080</v>
      </c>
      <c r="J1456" s="654">
        <v>3269428</v>
      </c>
      <c r="K1456" s="654">
        <v>3269428</v>
      </c>
      <c r="L1456" s="654">
        <v>0</v>
      </c>
      <c r="M1456" s="654">
        <v>57391</v>
      </c>
      <c r="N1456" s="654">
        <v>184210</v>
      </c>
    </row>
    <row r="1457" spans="2:14" x14ac:dyDescent="0.15">
      <c r="B1457"/>
      <c r="D1457" t="s">
        <v>567</v>
      </c>
      <c r="E1457" t="s">
        <v>473</v>
      </c>
      <c r="F1457" t="s">
        <v>631</v>
      </c>
      <c r="G1457" t="s">
        <v>596</v>
      </c>
      <c r="H1457" s="654">
        <v>978313</v>
      </c>
      <c r="I1457" s="654">
        <v>0</v>
      </c>
      <c r="J1457" s="654">
        <v>978313</v>
      </c>
      <c r="K1457" s="654">
        <v>978313</v>
      </c>
      <c r="L1457" s="654">
        <v>0</v>
      </c>
      <c r="M1457" s="654">
        <v>0</v>
      </c>
      <c r="N1457" s="654">
        <v>293704</v>
      </c>
    </row>
    <row r="1458" spans="2:14" x14ac:dyDescent="0.15">
      <c r="B1458"/>
      <c r="F1458" t="s">
        <v>737</v>
      </c>
      <c r="H1458" s="654">
        <v>978313</v>
      </c>
      <c r="I1458" s="654">
        <v>0</v>
      </c>
      <c r="J1458" s="654">
        <v>978313</v>
      </c>
      <c r="K1458" s="654">
        <v>978313</v>
      </c>
      <c r="L1458" s="654">
        <v>0</v>
      </c>
      <c r="M1458" s="654">
        <v>0</v>
      </c>
      <c r="N1458" s="654">
        <v>293704</v>
      </c>
    </row>
    <row r="1459" spans="2:14" x14ac:dyDescent="0.15">
      <c r="B1459"/>
      <c r="E1459" t="s">
        <v>773</v>
      </c>
      <c r="H1459" s="654">
        <v>978313</v>
      </c>
      <c r="I1459" s="654">
        <v>0</v>
      </c>
      <c r="J1459" s="654">
        <v>978313</v>
      </c>
      <c r="K1459" s="654">
        <v>978313</v>
      </c>
      <c r="L1459" s="654">
        <v>0</v>
      </c>
      <c r="M1459" s="654">
        <v>0</v>
      </c>
      <c r="N1459" s="654">
        <v>293704</v>
      </c>
    </row>
    <row r="1460" spans="2:14" x14ac:dyDescent="0.15">
      <c r="B1460"/>
      <c r="D1460" t="s">
        <v>739</v>
      </c>
      <c r="H1460" s="654">
        <v>978313</v>
      </c>
      <c r="I1460" s="654">
        <v>0</v>
      </c>
      <c r="J1460" s="654">
        <v>978313</v>
      </c>
      <c r="K1460" s="654">
        <v>978313</v>
      </c>
      <c r="L1460" s="654">
        <v>0</v>
      </c>
      <c r="M1460" s="654">
        <v>0</v>
      </c>
      <c r="N1460" s="654">
        <v>293704</v>
      </c>
    </row>
    <row r="1461" spans="2:14" x14ac:dyDescent="0.15">
      <c r="B1461"/>
      <c r="D1461" t="s">
        <v>568</v>
      </c>
      <c r="E1461" t="s">
        <v>474</v>
      </c>
      <c r="F1461" t="s">
        <v>631</v>
      </c>
      <c r="G1461" t="s">
        <v>596</v>
      </c>
      <c r="H1461" s="654">
        <v>922792</v>
      </c>
      <c r="I1461" s="654">
        <v>0</v>
      </c>
      <c r="J1461" s="654">
        <v>922792</v>
      </c>
      <c r="K1461" s="654">
        <v>922792</v>
      </c>
      <c r="L1461" s="654">
        <v>0</v>
      </c>
      <c r="M1461" s="654">
        <v>0</v>
      </c>
      <c r="N1461" s="654">
        <v>0</v>
      </c>
    </row>
    <row r="1462" spans="2:14" x14ac:dyDescent="0.15">
      <c r="B1462"/>
      <c r="F1462" t="s">
        <v>737</v>
      </c>
      <c r="H1462" s="654">
        <v>922792</v>
      </c>
      <c r="I1462" s="654">
        <v>0</v>
      </c>
      <c r="J1462" s="654">
        <v>922792</v>
      </c>
      <c r="K1462" s="654">
        <v>922792</v>
      </c>
      <c r="L1462" s="654">
        <v>0</v>
      </c>
      <c r="M1462" s="654">
        <v>0</v>
      </c>
      <c r="N1462" s="654">
        <v>0</v>
      </c>
    </row>
    <row r="1463" spans="2:14" x14ac:dyDescent="0.15">
      <c r="B1463"/>
      <c r="E1463" t="s">
        <v>774</v>
      </c>
      <c r="H1463" s="654">
        <v>922792</v>
      </c>
      <c r="I1463" s="654">
        <v>0</v>
      </c>
      <c r="J1463" s="654">
        <v>922792</v>
      </c>
      <c r="K1463" s="654">
        <v>922792</v>
      </c>
      <c r="L1463" s="654">
        <v>0</v>
      </c>
      <c r="M1463" s="654">
        <v>0</v>
      </c>
      <c r="N1463" s="654">
        <v>0</v>
      </c>
    </row>
    <row r="1464" spans="2:14" x14ac:dyDescent="0.15">
      <c r="B1464"/>
      <c r="D1464" t="s">
        <v>740</v>
      </c>
      <c r="H1464" s="654">
        <v>922792</v>
      </c>
      <c r="I1464" s="654">
        <v>0</v>
      </c>
      <c r="J1464" s="654">
        <v>922792</v>
      </c>
      <c r="K1464" s="654">
        <v>922792</v>
      </c>
      <c r="L1464" s="654">
        <v>0</v>
      </c>
      <c r="M1464" s="654">
        <v>0</v>
      </c>
      <c r="N1464" s="654">
        <v>0</v>
      </c>
    </row>
    <row r="1465" spans="2:14" x14ac:dyDescent="0.15">
      <c r="B1465"/>
      <c r="D1465" t="s">
        <v>582</v>
      </c>
      <c r="E1465" t="s">
        <v>384</v>
      </c>
      <c r="F1465" t="s">
        <v>631</v>
      </c>
      <c r="G1465" t="s">
        <v>596</v>
      </c>
      <c r="H1465" s="654">
        <v>2385860</v>
      </c>
      <c r="I1465" s="654">
        <v>0</v>
      </c>
      <c r="J1465" s="654">
        <v>2385860</v>
      </c>
      <c r="K1465" s="654">
        <v>2385860</v>
      </c>
      <c r="L1465" s="654">
        <v>0</v>
      </c>
      <c r="M1465" s="654">
        <v>0</v>
      </c>
      <c r="N1465" s="654">
        <v>0</v>
      </c>
    </row>
    <row r="1466" spans="2:14" x14ac:dyDescent="0.15">
      <c r="B1466"/>
      <c r="F1466" t="s">
        <v>737</v>
      </c>
      <c r="H1466" s="654">
        <v>2385860</v>
      </c>
      <c r="I1466" s="654">
        <v>0</v>
      </c>
      <c r="J1466" s="654">
        <v>2385860</v>
      </c>
      <c r="K1466" s="654">
        <v>2385860</v>
      </c>
      <c r="L1466" s="654">
        <v>0</v>
      </c>
      <c r="M1466" s="654">
        <v>0</v>
      </c>
      <c r="N1466" s="654">
        <v>0</v>
      </c>
    </row>
    <row r="1467" spans="2:14" x14ac:dyDescent="0.15">
      <c r="B1467"/>
      <c r="E1467" t="s">
        <v>778</v>
      </c>
      <c r="H1467" s="654">
        <v>2385860</v>
      </c>
      <c r="I1467" s="654">
        <v>0</v>
      </c>
      <c r="J1467" s="654">
        <v>2385860</v>
      </c>
      <c r="K1467" s="654">
        <v>2385860</v>
      </c>
      <c r="L1467" s="654">
        <v>0</v>
      </c>
      <c r="M1467" s="654">
        <v>0</v>
      </c>
      <c r="N1467" s="654">
        <v>0</v>
      </c>
    </row>
    <row r="1468" spans="2:14" x14ac:dyDescent="0.15">
      <c r="B1468"/>
      <c r="D1468" t="s">
        <v>743</v>
      </c>
      <c r="H1468" s="654">
        <v>2385860</v>
      </c>
      <c r="I1468" s="654">
        <v>0</v>
      </c>
      <c r="J1468" s="654">
        <v>2385860</v>
      </c>
      <c r="K1468" s="654">
        <v>2385860</v>
      </c>
      <c r="L1468" s="654">
        <v>0</v>
      </c>
      <c r="M1468" s="654">
        <v>0</v>
      </c>
      <c r="N1468" s="654">
        <v>0</v>
      </c>
    </row>
    <row r="1469" spans="2:14" x14ac:dyDescent="0.15">
      <c r="B1469"/>
      <c r="D1469" t="s">
        <v>631</v>
      </c>
      <c r="E1469" t="s">
        <v>381</v>
      </c>
      <c r="F1469" t="s">
        <v>626</v>
      </c>
      <c r="G1469" t="s">
        <v>600</v>
      </c>
      <c r="H1469" s="654">
        <v>2052909</v>
      </c>
      <c r="I1469" s="654">
        <v>0</v>
      </c>
      <c r="J1469" s="654">
        <v>2052909</v>
      </c>
      <c r="K1469" s="654">
        <v>2052909</v>
      </c>
      <c r="L1469" s="654">
        <v>0</v>
      </c>
      <c r="M1469" s="654">
        <v>0</v>
      </c>
      <c r="N1469" s="654">
        <v>0</v>
      </c>
    </row>
    <row r="1470" spans="2:14" x14ac:dyDescent="0.15">
      <c r="B1470"/>
      <c r="F1470" t="s">
        <v>733</v>
      </c>
      <c r="H1470" s="654">
        <v>2052909</v>
      </c>
      <c r="I1470" s="654">
        <v>0</v>
      </c>
      <c r="J1470" s="654">
        <v>2052909</v>
      </c>
      <c r="K1470" s="654">
        <v>2052909</v>
      </c>
      <c r="L1470" s="654">
        <v>0</v>
      </c>
      <c r="M1470" s="654">
        <v>0</v>
      </c>
      <c r="N1470" s="654">
        <v>0</v>
      </c>
    </row>
    <row r="1471" spans="2:14" x14ac:dyDescent="0.15">
      <c r="B1471"/>
      <c r="E1471" t="s">
        <v>776</v>
      </c>
      <c r="H1471" s="654">
        <v>2052909</v>
      </c>
      <c r="I1471" s="654">
        <v>0</v>
      </c>
      <c r="J1471" s="654">
        <v>2052909</v>
      </c>
      <c r="K1471" s="654">
        <v>2052909</v>
      </c>
      <c r="L1471" s="654">
        <v>0</v>
      </c>
      <c r="M1471" s="654">
        <v>0</v>
      </c>
      <c r="N1471" s="654">
        <v>0</v>
      </c>
    </row>
    <row r="1472" spans="2:14" x14ac:dyDescent="0.15">
      <c r="B1472"/>
      <c r="D1472" t="s">
        <v>737</v>
      </c>
      <c r="H1472" s="654">
        <v>2052909</v>
      </c>
      <c r="I1472" s="654">
        <v>0</v>
      </c>
      <c r="J1472" s="654">
        <v>2052909</v>
      </c>
      <c r="K1472" s="654">
        <v>2052909</v>
      </c>
      <c r="L1472" s="654">
        <v>0</v>
      </c>
      <c r="M1472" s="654">
        <v>0</v>
      </c>
      <c r="N1472" s="654">
        <v>0</v>
      </c>
    </row>
    <row r="1473" spans="2:14" x14ac:dyDescent="0.15">
      <c r="B1473"/>
      <c r="D1473" t="s">
        <v>671</v>
      </c>
      <c r="E1473" t="s">
        <v>383</v>
      </c>
      <c r="F1473" t="s">
        <v>626</v>
      </c>
      <c r="G1473" t="s">
        <v>600</v>
      </c>
      <c r="H1473" s="654">
        <v>1287903</v>
      </c>
      <c r="I1473" s="654">
        <v>0</v>
      </c>
      <c r="J1473" s="654">
        <v>1287903</v>
      </c>
      <c r="K1473" s="654">
        <v>1287903</v>
      </c>
      <c r="L1473" s="654">
        <v>0</v>
      </c>
      <c r="M1473" s="654">
        <v>40455</v>
      </c>
      <c r="N1473" s="654">
        <v>0</v>
      </c>
    </row>
    <row r="1474" spans="2:14" x14ac:dyDescent="0.15">
      <c r="B1474"/>
      <c r="F1474" t="s">
        <v>733</v>
      </c>
      <c r="H1474" s="654">
        <v>1287903</v>
      </c>
      <c r="I1474" s="654">
        <v>0</v>
      </c>
      <c r="J1474" s="654">
        <v>1287903</v>
      </c>
      <c r="K1474" s="654">
        <v>1287903</v>
      </c>
      <c r="L1474" s="654">
        <v>0</v>
      </c>
      <c r="M1474" s="654">
        <v>40455</v>
      </c>
      <c r="N1474" s="654">
        <v>0</v>
      </c>
    </row>
    <row r="1475" spans="2:14" x14ac:dyDescent="0.15">
      <c r="B1475"/>
      <c r="F1475" t="s">
        <v>627</v>
      </c>
      <c r="G1475" t="s">
        <v>599</v>
      </c>
      <c r="H1475" s="654">
        <v>4270</v>
      </c>
      <c r="I1475" s="654">
        <v>0</v>
      </c>
      <c r="J1475" s="654">
        <v>4270</v>
      </c>
      <c r="K1475" s="654">
        <v>4270</v>
      </c>
      <c r="L1475" s="654">
        <v>0</v>
      </c>
      <c r="M1475" s="654">
        <v>0</v>
      </c>
      <c r="N1475" s="654">
        <v>0</v>
      </c>
    </row>
    <row r="1476" spans="2:14" x14ac:dyDescent="0.15">
      <c r="B1476"/>
      <c r="F1476" t="s">
        <v>734</v>
      </c>
      <c r="H1476" s="654">
        <v>4270</v>
      </c>
      <c r="I1476" s="654">
        <v>0</v>
      </c>
      <c r="J1476" s="654">
        <v>4270</v>
      </c>
      <c r="K1476" s="654">
        <v>4270</v>
      </c>
      <c r="L1476" s="654">
        <v>0</v>
      </c>
      <c r="M1476" s="654">
        <v>0</v>
      </c>
      <c r="N1476" s="654">
        <v>0</v>
      </c>
    </row>
    <row r="1477" spans="2:14" x14ac:dyDescent="0.15">
      <c r="B1477"/>
      <c r="E1477" t="s">
        <v>777</v>
      </c>
      <c r="H1477" s="654">
        <v>1292173</v>
      </c>
      <c r="I1477" s="654">
        <v>0</v>
      </c>
      <c r="J1477" s="654">
        <v>1292173</v>
      </c>
      <c r="K1477" s="654">
        <v>1292173</v>
      </c>
      <c r="L1477" s="654">
        <v>0</v>
      </c>
      <c r="M1477" s="654">
        <v>40455</v>
      </c>
      <c r="N1477" s="654">
        <v>0</v>
      </c>
    </row>
    <row r="1478" spans="2:14" x14ac:dyDescent="0.15">
      <c r="B1478"/>
      <c r="D1478" t="s">
        <v>742</v>
      </c>
      <c r="H1478" s="654">
        <v>1292173</v>
      </c>
      <c r="I1478" s="654">
        <v>0</v>
      </c>
      <c r="J1478" s="654">
        <v>1292173</v>
      </c>
      <c r="K1478" s="654">
        <v>1292173</v>
      </c>
      <c r="L1478" s="654">
        <v>0</v>
      </c>
      <c r="M1478" s="654">
        <v>40455</v>
      </c>
      <c r="N1478" s="654">
        <v>0</v>
      </c>
    </row>
    <row r="1479" spans="2:14" x14ac:dyDescent="0.15">
      <c r="B1479"/>
      <c r="C1479" t="s">
        <v>853</v>
      </c>
      <c r="H1479" s="654">
        <v>31968470</v>
      </c>
      <c r="I1479" s="654">
        <v>-649291</v>
      </c>
      <c r="J1479" s="654">
        <v>31319179</v>
      </c>
      <c r="K1479" s="654">
        <v>31319179</v>
      </c>
      <c r="L1479" s="654">
        <v>0</v>
      </c>
      <c r="M1479" s="654">
        <v>259737</v>
      </c>
      <c r="N1479" s="654">
        <v>3573129</v>
      </c>
    </row>
    <row r="1480" spans="2:14" x14ac:dyDescent="0.15">
      <c r="B1480" t="s">
        <v>627</v>
      </c>
      <c r="C1480" t="s">
        <v>847</v>
      </c>
      <c r="D1480" t="s">
        <v>626</v>
      </c>
      <c r="E1480" t="s">
        <v>378</v>
      </c>
      <c r="F1480" t="s">
        <v>626</v>
      </c>
      <c r="G1480" t="s">
        <v>600</v>
      </c>
      <c r="H1480" s="654">
        <v>190265</v>
      </c>
      <c r="I1480" s="654">
        <v>-144310</v>
      </c>
      <c r="J1480" s="654">
        <v>45955</v>
      </c>
      <c r="K1480" s="654">
        <v>45955</v>
      </c>
      <c r="L1480" s="654">
        <v>0</v>
      </c>
      <c r="M1480" s="654">
        <v>0</v>
      </c>
      <c r="N1480" s="654">
        <v>0</v>
      </c>
    </row>
    <row r="1481" spans="2:14" x14ac:dyDescent="0.15">
      <c r="B1481"/>
      <c r="F1481" t="s">
        <v>733</v>
      </c>
      <c r="H1481" s="654">
        <v>190265</v>
      </c>
      <c r="I1481" s="654">
        <v>-144310</v>
      </c>
      <c r="J1481" s="654">
        <v>45955</v>
      </c>
      <c r="K1481" s="654">
        <v>45955</v>
      </c>
      <c r="L1481" s="654">
        <v>0</v>
      </c>
      <c r="M1481" s="654">
        <v>0</v>
      </c>
      <c r="N1481" s="654">
        <v>0</v>
      </c>
    </row>
    <row r="1482" spans="2:14" x14ac:dyDescent="0.15">
      <c r="B1482"/>
      <c r="F1482" t="s">
        <v>627</v>
      </c>
      <c r="G1482" t="s">
        <v>599</v>
      </c>
      <c r="H1482" s="654">
        <v>0</v>
      </c>
      <c r="I1482" s="654">
        <v>0</v>
      </c>
      <c r="J1482" s="654">
        <v>0</v>
      </c>
      <c r="K1482" s="654">
        <v>0</v>
      </c>
      <c r="L1482" s="654">
        <v>0</v>
      </c>
      <c r="M1482" s="654">
        <v>0</v>
      </c>
      <c r="N1482" s="654">
        <v>0</v>
      </c>
    </row>
    <row r="1483" spans="2:14" x14ac:dyDescent="0.15">
      <c r="B1483"/>
      <c r="F1483" t="s">
        <v>734</v>
      </c>
      <c r="H1483" s="654">
        <v>0</v>
      </c>
      <c r="I1483" s="654">
        <v>0</v>
      </c>
      <c r="J1483" s="654">
        <v>0</v>
      </c>
      <c r="K1483" s="654">
        <v>0</v>
      </c>
      <c r="L1483" s="654">
        <v>0</v>
      </c>
      <c r="M1483" s="654">
        <v>0</v>
      </c>
      <c r="N1483" s="654">
        <v>0</v>
      </c>
    </row>
    <row r="1484" spans="2:14" x14ac:dyDescent="0.15">
      <c r="B1484"/>
      <c r="F1484" t="s">
        <v>628</v>
      </c>
      <c r="G1484" t="s">
        <v>598</v>
      </c>
      <c r="H1484" s="654">
        <v>14359</v>
      </c>
      <c r="I1484" s="654">
        <v>0</v>
      </c>
      <c r="J1484" s="654">
        <v>14359</v>
      </c>
      <c r="K1484" s="654">
        <v>14359</v>
      </c>
      <c r="L1484" s="654">
        <v>0</v>
      </c>
      <c r="M1484" s="654">
        <v>0</v>
      </c>
      <c r="N1484" s="654">
        <v>0</v>
      </c>
    </row>
    <row r="1485" spans="2:14" x14ac:dyDescent="0.15">
      <c r="B1485"/>
      <c r="F1485" t="s">
        <v>735</v>
      </c>
      <c r="H1485" s="654">
        <v>14359</v>
      </c>
      <c r="I1485" s="654">
        <v>0</v>
      </c>
      <c r="J1485" s="654">
        <v>14359</v>
      </c>
      <c r="K1485" s="654">
        <v>14359</v>
      </c>
      <c r="L1485" s="654">
        <v>0</v>
      </c>
      <c r="M1485" s="654">
        <v>0</v>
      </c>
      <c r="N1485" s="654">
        <v>0</v>
      </c>
    </row>
    <row r="1486" spans="2:14" x14ac:dyDescent="0.15">
      <c r="B1486"/>
      <c r="E1486" t="s">
        <v>769</v>
      </c>
      <c r="H1486" s="654">
        <v>204624</v>
      </c>
      <c r="I1486" s="654">
        <v>-144310</v>
      </c>
      <c r="J1486" s="654">
        <v>60314</v>
      </c>
      <c r="K1486" s="654">
        <v>60314</v>
      </c>
      <c r="L1486" s="654">
        <v>0</v>
      </c>
      <c r="M1486" s="654">
        <v>0</v>
      </c>
      <c r="N1486" s="654">
        <v>0</v>
      </c>
    </row>
    <row r="1487" spans="2:14" x14ac:dyDescent="0.15">
      <c r="B1487"/>
      <c r="D1487" t="s">
        <v>733</v>
      </c>
      <c r="H1487" s="654">
        <v>204624</v>
      </c>
      <c r="I1487" s="654">
        <v>-144310</v>
      </c>
      <c r="J1487" s="654">
        <v>60314</v>
      </c>
      <c r="K1487" s="654">
        <v>60314</v>
      </c>
      <c r="L1487" s="654">
        <v>0</v>
      </c>
      <c r="M1487" s="654">
        <v>0</v>
      </c>
      <c r="N1487" s="654">
        <v>0</v>
      </c>
    </row>
    <row r="1488" spans="2:14" x14ac:dyDescent="0.15">
      <c r="B1488"/>
      <c r="D1488" t="s">
        <v>627</v>
      </c>
      <c r="E1488" t="s">
        <v>379</v>
      </c>
      <c r="F1488" t="s">
        <v>626</v>
      </c>
      <c r="G1488" t="s">
        <v>600</v>
      </c>
      <c r="H1488" s="654">
        <v>172839</v>
      </c>
      <c r="I1488" s="654">
        <v>-84066</v>
      </c>
      <c r="J1488" s="654">
        <v>88773</v>
      </c>
      <c r="K1488" s="654">
        <v>88773</v>
      </c>
      <c r="L1488" s="654">
        <v>0</v>
      </c>
      <c r="M1488" s="654">
        <v>0</v>
      </c>
      <c r="N1488" s="654">
        <v>0</v>
      </c>
    </row>
    <row r="1489" spans="2:14" x14ac:dyDescent="0.15">
      <c r="B1489"/>
      <c r="F1489" t="s">
        <v>733</v>
      </c>
      <c r="H1489" s="654">
        <v>172839</v>
      </c>
      <c r="I1489" s="654">
        <v>-84066</v>
      </c>
      <c r="J1489" s="654">
        <v>88773</v>
      </c>
      <c r="K1489" s="654">
        <v>88773</v>
      </c>
      <c r="L1489" s="654">
        <v>0</v>
      </c>
      <c r="M1489" s="654">
        <v>0</v>
      </c>
      <c r="N1489" s="654">
        <v>0</v>
      </c>
    </row>
    <row r="1490" spans="2:14" x14ac:dyDescent="0.15">
      <c r="B1490"/>
      <c r="F1490" t="s">
        <v>627</v>
      </c>
      <c r="G1490" t="s">
        <v>599</v>
      </c>
      <c r="H1490" s="654">
        <v>0</v>
      </c>
      <c r="I1490" s="654">
        <v>0</v>
      </c>
      <c r="J1490" s="654">
        <v>0</v>
      </c>
      <c r="K1490" s="654">
        <v>0</v>
      </c>
      <c r="L1490" s="654">
        <v>0</v>
      </c>
      <c r="M1490" s="654">
        <v>0</v>
      </c>
      <c r="N1490" s="654">
        <v>0</v>
      </c>
    </row>
    <row r="1491" spans="2:14" x14ac:dyDescent="0.15">
      <c r="B1491"/>
      <c r="F1491" t="s">
        <v>734</v>
      </c>
      <c r="H1491" s="654">
        <v>0</v>
      </c>
      <c r="I1491" s="654">
        <v>0</v>
      </c>
      <c r="J1491" s="654">
        <v>0</v>
      </c>
      <c r="K1491" s="654">
        <v>0</v>
      </c>
      <c r="L1491" s="654">
        <v>0</v>
      </c>
      <c r="M1491" s="654">
        <v>0</v>
      </c>
      <c r="N1491" s="654">
        <v>0</v>
      </c>
    </row>
    <row r="1492" spans="2:14" x14ac:dyDescent="0.15">
      <c r="B1492"/>
      <c r="F1492" t="s">
        <v>628</v>
      </c>
      <c r="G1492" t="s">
        <v>598</v>
      </c>
      <c r="H1492" s="654">
        <v>0</v>
      </c>
      <c r="I1492" s="654">
        <v>0</v>
      </c>
      <c r="J1492" s="654">
        <v>0</v>
      </c>
      <c r="K1492" s="654">
        <v>0</v>
      </c>
      <c r="L1492" s="654">
        <v>0</v>
      </c>
      <c r="M1492" s="654">
        <v>0</v>
      </c>
      <c r="N1492" s="654">
        <v>0</v>
      </c>
    </row>
    <row r="1493" spans="2:14" x14ac:dyDescent="0.15">
      <c r="B1493"/>
      <c r="F1493" t="s">
        <v>735</v>
      </c>
      <c r="H1493" s="654">
        <v>0</v>
      </c>
      <c r="I1493" s="654">
        <v>0</v>
      </c>
      <c r="J1493" s="654">
        <v>0</v>
      </c>
      <c r="K1493" s="654">
        <v>0</v>
      </c>
      <c r="L1493" s="654">
        <v>0</v>
      </c>
      <c r="M1493" s="654">
        <v>0</v>
      </c>
      <c r="N1493" s="654">
        <v>0</v>
      </c>
    </row>
    <row r="1494" spans="2:14" x14ac:dyDescent="0.15">
      <c r="B1494"/>
      <c r="E1494" t="s">
        <v>770</v>
      </c>
      <c r="H1494" s="654">
        <v>172839</v>
      </c>
      <c r="I1494" s="654">
        <v>-84066</v>
      </c>
      <c r="J1494" s="654">
        <v>88773</v>
      </c>
      <c r="K1494" s="654">
        <v>88773</v>
      </c>
      <c r="L1494" s="654">
        <v>0</v>
      </c>
      <c r="M1494" s="654">
        <v>0</v>
      </c>
      <c r="N1494" s="654">
        <v>0</v>
      </c>
    </row>
    <row r="1495" spans="2:14" x14ac:dyDescent="0.15">
      <c r="B1495"/>
      <c r="D1495" t="s">
        <v>734</v>
      </c>
      <c r="H1495" s="654">
        <v>172839</v>
      </c>
      <c r="I1495" s="654">
        <v>-84066</v>
      </c>
      <c r="J1495" s="654">
        <v>88773</v>
      </c>
      <c r="K1495" s="654">
        <v>88773</v>
      </c>
      <c r="L1495" s="654">
        <v>0</v>
      </c>
      <c r="M1495" s="654">
        <v>0</v>
      </c>
      <c r="N1495" s="654">
        <v>0</v>
      </c>
    </row>
    <row r="1496" spans="2:14" x14ac:dyDescent="0.15">
      <c r="B1496"/>
      <c r="D1496" t="s">
        <v>628</v>
      </c>
      <c r="E1496" t="s">
        <v>380</v>
      </c>
      <c r="F1496" t="s">
        <v>626</v>
      </c>
      <c r="G1496" t="s">
        <v>600</v>
      </c>
      <c r="H1496" s="654">
        <v>68265</v>
      </c>
      <c r="I1496" s="654">
        <v>0</v>
      </c>
      <c r="J1496" s="654">
        <v>68265</v>
      </c>
      <c r="K1496" s="654">
        <v>68265</v>
      </c>
      <c r="L1496" s="654">
        <v>0</v>
      </c>
      <c r="M1496" s="654">
        <v>0</v>
      </c>
      <c r="N1496" s="654">
        <v>0</v>
      </c>
    </row>
    <row r="1497" spans="2:14" x14ac:dyDescent="0.15">
      <c r="B1497"/>
      <c r="F1497" t="s">
        <v>733</v>
      </c>
      <c r="H1497" s="654">
        <v>68265</v>
      </c>
      <c r="I1497" s="654">
        <v>0</v>
      </c>
      <c r="J1497" s="654">
        <v>68265</v>
      </c>
      <c r="K1497" s="654">
        <v>68265</v>
      </c>
      <c r="L1497" s="654">
        <v>0</v>
      </c>
      <c r="M1497" s="654">
        <v>0</v>
      </c>
      <c r="N1497" s="654">
        <v>0</v>
      </c>
    </row>
    <row r="1498" spans="2:14" x14ac:dyDescent="0.15">
      <c r="B1498"/>
      <c r="F1498" t="s">
        <v>627</v>
      </c>
      <c r="G1498" t="s">
        <v>599</v>
      </c>
      <c r="H1498" s="654">
        <v>74973</v>
      </c>
      <c r="I1498" s="654">
        <v>0</v>
      </c>
      <c r="J1498" s="654">
        <v>74973</v>
      </c>
      <c r="K1498" s="654">
        <v>74973</v>
      </c>
      <c r="L1498" s="654">
        <v>0</v>
      </c>
      <c r="M1498" s="654">
        <v>0</v>
      </c>
      <c r="N1498" s="654">
        <v>0</v>
      </c>
    </row>
    <row r="1499" spans="2:14" x14ac:dyDescent="0.15">
      <c r="B1499"/>
      <c r="F1499" t="s">
        <v>734</v>
      </c>
      <c r="H1499" s="654">
        <v>74973</v>
      </c>
      <c r="I1499" s="654">
        <v>0</v>
      </c>
      <c r="J1499" s="654">
        <v>74973</v>
      </c>
      <c r="K1499" s="654">
        <v>74973</v>
      </c>
      <c r="L1499" s="654">
        <v>0</v>
      </c>
      <c r="M1499" s="654">
        <v>0</v>
      </c>
      <c r="N1499" s="654">
        <v>0</v>
      </c>
    </row>
    <row r="1500" spans="2:14" x14ac:dyDescent="0.15">
      <c r="B1500"/>
      <c r="E1500" t="s">
        <v>771</v>
      </c>
      <c r="H1500" s="654">
        <v>143238</v>
      </c>
      <c r="I1500" s="654">
        <v>0</v>
      </c>
      <c r="J1500" s="654">
        <v>143238</v>
      </c>
      <c r="K1500" s="654">
        <v>143238</v>
      </c>
      <c r="L1500" s="654">
        <v>0</v>
      </c>
      <c r="M1500" s="654">
        <v>0</v>
      </c>
      <c r="N1500" s="654">
        <v>0</v>
      </c>
    </row>
    <row r="1501" spans="2:14" x14ac:dyDescent="0.15">
      <c r="B1501"/>
      <c r="D1501" t="s">
        <v>735</v>
      </c>
      <c r="H1501" s="654">
        <v>143238</v>
      </c>
      <c r="I1501" s="654">
        <v>0</v>
      </c>
      <c r="J1501" s="654">
        <v>143238</v>
      </c>
      <c r="K1501" s="654">
        <v>143238</v>
      </c>
      <c r="L1501" s="654">
        <v>0</v>
      </c>
      <c r="M1501" s="654">
        <v>0</v>
      </c>
      <c r="N1501" s="654">
        <v>0</v>
      </c>
    </row>
    <row r="1502" spans="2:14" x14ac:dyDescent="0.15">
      <c r="B1502"/>
      <c r="D1502" t="s">
        <v>629</v>
      </c>
      <c r="E1502" t="s">
        <v>676</v>
      </c>
      <c r="F1502" t="s">
        <v>629</v>
      </c>
      <c r="G1502" t="s">
        <v>601</v>
      </c>
      <c r="H1502" s="654">
        <v>0</v>
      </c>
      <c r="I1502" s="654">
        <v>50755</v>
      </c>
      <c r="J1502" s="654">
        <v>50755</v>
      </c>
      <c r="K1502" s="654">
        <v>50755</v>
      </c>
      <c r="L1502" s="654">
        <v>0</v>
      </c>
      <c r="M1502" s="654">
        <v>0</v>
      </c>
      <c r="N1502" s="654">
        <v>0</v>
      </c>
    </row>
    <row r="1503" spans="2:14" x14ac:dyDescent="0.15">
      <c r="B1503"/>
      <c r="F1503" t="s">
        <v>736</v>
      </c>
      <c r="H1503" s="654">
        <v>0</v>
      </c>
      <c r="I1503" s="654">
        <v>50755</v>
      </c>
      <c r="J1503" s="654">
        <v>50755</v>
      </c>
      <c r="K1503" s="654">
        <v>50755</v>
      </c>
      <c r="L1503" s="654">
        <v>0</v>
      </c>
      <c r="M1503" s="654">
        <v>0</v>
      </c>
      <c r="N1503" s="654">
        <v>0</v>
      </c>
    </row>
    <row r="1504" spans="2:14" x14ac:dyDescent="0.15">
      <c r="B1504"/>
      <c r="E1504" t="s">
        <v>772</v>
      </c>
      <c r="H1504" s="654">
        <v>0</v>
      </c>
      <c r="I1504" s="654">
        <v>50755</v>
      </c>
      <c r="J1504" s="654">
        <v>50755</v>
      </c>
      <c r="K1504" s="654">
        <v>50755</v>
      </c>
      <c r="L1504" s="654">
        <v>0</v>
      </c>
      <c r="M1504" s="654">
        <v>0</v>
      </c>
      <c r="N1504" s="654">
        <v>0</v>
      </c>
    </row>
    <row r="1505" spans="2:14" x14ac:dyDescent="0.15">
      <c r="B1505"/>
      <c r="D1505" t="s">
        <v>736</v>
      </c>
      <c r="H1505" s="654">
        <v>0</v>
      </c>
      <c r="I1505" s="654">
        <v>50755</v>
      </c>
      <c r="J1505" s="654">
        <v>50755</v>
      </c>
      <c r="K1505" s="654">
        <v>50755</v>
      </c>
      <c r="L1505" s="654">
        <v>0</v>
      </c>
      <c r="M1505" s="654">
        <v>0</v>
      </c>
      <c r="N1505" s="654">
        <v>0</v>
      </c>
    </row>
    <row r="1506" spans="2:14" x14ac:dyDescent="0.15">
      <c r="B1506"/>
      <c r="D1506" t="s">
        <v>567</v>
      </c>
      <c r="E1506" t="s">
        <v>473</v>
      </c>
      <c r="F1506" t="s">
        <v>631</v>
      </c>
      <c r="G1506" t="s">
        <v>596</v>
      </c>
      <c r="H1506" s="654">
        <v>209096</v>
      </c>
      <c r="I1506" s="654">
        <v>0</v>
      </c>
      <c r="J1506" s="654">
        <v>209096</v>
      </c>
      <c r="K1506" s="654">
        <v>209096</v>
      </c>
      <c r="L1506" s="654">
        <v>0</v>
      </c>
      <c r="M1506" s="654">
        <v>0</v>
      </c>
      <c r="N1506" s="654">
        <v>0</v>
      </c>
    </row>
    <row r="1507" spans="2:14" x14ac:dyDescent="0.15">
      <c r="B1507"/>
      <c r="F1507" t="s">
        <v>737</v>
      </c>
      <c r="H1507" s="654">
        <v>209096</v>
      </c>
      <c r="I1507" s="654">
        <v>0</v>
      </c>
      <c r="J1507" s="654">
        <v>209096</v>
      </c>
      <c r="K1507" s="654">
        <v>209096</v>
      </c>
      <c r="L1507" s="654">
        <v>0</v>
      </c>
      <c r="M1507" s="654">
        <v>0</v>
      </c>
      <c r="N1507" s="654">
        <v>0</v>
      </c>
    </row>
    <row r="1508" spans="2:14" x14ac:dyDescent="0.15">
      <c r="B1508"/>
      <c r="E1508" t="s">
        <v>773</v>
      </c>
      <c r="H1508" s="654">
        <v>209096</v>
      </c>
      <c r="I1508" s="654">
        <v>0</v>
      </c>
      <c r="J1508" s="654">
        <v>209096</v>
      </c>
      <c r="K1508" s="654">
        <v>209096</v>
      </c>
      <c r="L1508" s="654">
        <v>0</v>
      </c>
      <c r="M1508" s="654">
        <v>0</v>
      </c>
      <c r="N1508" s="654">
        <v>0</v>
      </c>
    </row>
    <row r="1509" spans="2:14" x14ac:dyDescent="0.15">
      <c r="B1509"/>
      <c r="D1509" t="s">
        <v>739</v>
      </c>
      <c r="H1509" s="654">
        <v>209096</v>
      </c>
      <c r="I1509" s="654">
        <v>0</v>
      </c>
      <c r="J1509" s="654">
        <v>209096</v>
      </c>
      <c r="K1509" s="654">
        <v>209096</v>
      </c>
      <c r="L1509" s="654">
        <v>0</v>
      </c>
      <c r="M1509" s="654">
        <v>0</v>
      </c>
      <c r="N1509" s="654">
        <v>0</v>
      </c>
    </row>
    <row r="1510" spans="2:14" x14ac:dyDescent="0.15">
      <c r="B1510"/>
      <c r="D1510" t="s">
        <v>568</v>
      </c>
      <c r="E1510" t="s">
        <v>474</v>
      </c>
      <c r="F1510" t="s">
        <v>631</v>
      </c>
      <c r="G1510" t="s">
        <v>596</v>
      </c>
      <c r="H1510" s="654">
        <v>0</v>
      </c>
      <c r="I1510" s="654">
        <v>0</v>
      </c>
      <c r="J1510" s="654">
        <v>0</v>
      </c>
      <c r="K1510" s="654">
        <v>0</v>
      </c>
      <c r="L1510" s="654">
        <v>0</v>
      </c>
      <c r="M1510" s="654">
        <v>0</v>
      </c>
      <c r="N1510" s="654">
        <v>0</v>
      </c>
    </row>
    <row r="1511" spans="2:14" x14ac:dyDescent="0.15">
      <c r="B1511"/>
      <c r="F1511" t="s">
        <v>737</v>
      </c>
      <c r="H1511" s="654">
        <v>0</v>
      </c>
      <c r="I1511" s="654">
        <v>0</v>
      </c>
      <c r="J1511" s="654">
        <v>0</v>
      </c>
      <c r="K1511" s="654">
        <v>0</v>
      </c>
      <c r="L1511" s="654">
        <v>0</v>
      </c>
      <c r="M1511" s="654">
        <v>0</v>
      </c>
      <c r="N1511" s="654">
        <v>0</v>
      </c>
    </row>
    <row r="1512" spans="2:14" x14ac:dyDescent="0.15">
      <c r="B1512"/>
      <c r="E1512" t="s">
        <v>774</v>
      </c>
      <c r="H1512" s="654">
        <v>0</v>
      </c>
      <c r="I1512" s="654">
        <v>0</v>
      </c>
      <c r="J1512" s="654">
        <v>0</v>
      </c>
      <c r="K1512" s="654">
        <v>0</v>
      </c>
      <c r="L1512" s="654">
        <v>0</v>
      </c>
      <c r="M1512" s="654">
        <v>0</v>
      </c>
      <c r="N1512" s="654">
        <v>0</v>
      </c>
    </row>
    <row r="1513" spans="2:14" x14ac:dyDescent="0.15">
      <c r="B1513"/>
      <c r="D1513" t="s">
        <v>740</v>
      </c>
      <c r="H1513" s="654">
        <v>0</v>
      </c>
      <c r="I1513" s="654">
        <v>0</v>
      </c>
      <c r="J1513" s="654">
        <v>0</v>
      </c>
      <c r="K1513" s="654">
        <v>0</v>
      </c>
      <c r="L1513" s="654">
        <v>0</v>
      </c>
      <c r="M1513" s="654">
        <v>0</v>
      </c>
      <c r="N1513" s="654">
        <v>0</v>
      </c>
    </row>
    <row r="1514" spans="2:14" x14ac:dyDescent="0.15">
      <c r="B1514"/>
      <c r="D1514" t="s">
        <v>582</v>
      </c>
      <c r="E1514" t="s">
        <v>384</v>
      </c>
      <c r="F1514" t="s">
        <v>631</v>
      </c>
      <c r="G1514" t="s">
        <v>596</v>
      </c>
      <c r="H1514" s="654">
        <v>0</v>
      </c>
      <c r="I1514" s="654">
        <v>0</v>
      </c>
      <c r="J1514" s="654">
        <v>0</v>
      </c>
      <c r="K1514" s="654">
        <v>0</v>
      </c>
      <c r="L1514" s="654">
        <v>0</v>
      </c>
      <c r="M1514" s="654">
        <v>0</v>
      </c>
      <c r="N1514" s="654">
        <v>0</v>
      </c>
    </row>
    <row r="1515" spans="2:14" x14ac:dyDescent="0.15">
      <c r="B1515"/>
      <c r="F1515" t="s">
        <v>737</v>
      </c>
      <c r="H1515" s="654">
        <v>0</v>
      </c>
      <c r="I1515" s="654">
        <v>0</v>
      </c>
      <c r="J1515" s="654">
        <v>0</v>
      </c>
      <c r="K1515" s="654">
        <v>0</v>
      </c>
      <c r="L1515" s="654">
        <v>0</v>
      </c>
      <c r="M1515" s="654">
        <v>0</v>
      </c>
      <c r="N1515" s="654">
        <v>0</v>
      </c>
    </row>
    <row r="1516" spans="2:14" x14ac:dyDescent="0.15">
      <c r="B1516"/>
      <c r="E1516" t="s">
        <v>778</v>
      </c>
      <c r="H1516" s="654">
        <v>0</v>
      </c>
      <c r="I1516" s="654">
        <v>0</v>
      </c>
      <c r="J1516" s="654">
        <v>0</v>
      </c>
      <c r="K1516" s="654">
        <v>0</v>
      </c>
      <c r="L1516" s="654">
        <v>0</v>
      </c>
      <c r="M1516" s="654">
        <v>0</v>
      </c>
      <c r="N1516" s="654">
        <v>0</v>
      </c>
    </row>
    <row r="1517" spans="2:14" x14ac:dyDescent="0.15">
      <c r="B1517"/>
      <c r="D1517" t="s">
        <v>743</v>
      </c>
      <c r="H1517" s="654">
        <v>0</v>
      </c>
      <c r="I1517" s="654">
        <v>0</v>
      </c>
      <c r="J1517" s="654">
        <v>0</v>
      </c>
      <c r="K1517" s="654">
        <v>0</v>
      </c>
      <c r="L1517" s="654">
        <v>0</v>
      </c>
      <c r="M1517" s="654">
        <v>0</v>
      </c>
      <c r="N1517" s="654">
        <v>0</v>
      </c>
    </row>
    <row r="1518" spans="2:14" x14ac:dyDescent="0.15">
      <c r="B1518"/>
      <c r="D1518" t="s">
        <v>631</v>
      </c>
      <c r="E1518" t="s">
        <v>381</v>
      </c>
      <c r="F1518" t="s">
        <v>626</v>
      </c>
      <c r="G1518" t="s">
        <v>600</v>
      </c>
      <c r="H1518" s="654">
        <v>0</v>
      </c>
      <c r="I1518" s="654">
        <v>0</v>
      </c>
      <c r="J1518" s="654">
        <v>0</v>
      </c>
      <c r="K1518" s="654">
        <v>0</v>
      </c>
      <c r="L1518" s="654">
        <v>0</v>
      </c>
      <c r="M1518" s="654">
        <v>0</v>
      </c>
      <c r="N1518" s="654">
        <v>0</v>
      </c>
    </row>
    <row r="1519" spans="2:14" x14ac:dyDescent="0.15">
      <c r="B1519"/>
      <c r="F1519" t="s">
        <v>733</v>
      </c>
      <c r="H1519" s="654">
        <v>0</v>
      </c>
      <c r="I1519" s="654">
        <v>0</v>
      </c>
      <c r="J1519" s="654">
        <v>0</v>
      </c>
      <c r="K1519" s="654">
        <v>0</v>
      </c>
      <c r="L1519" s="654">
        <v>0</v>
      </c>
      <c r="M1519" s="654">
        <v>0</v>
      </c>
      <c r="N1519" s="654">
        <v>0</v>
      </c>
    </row>
    <row r="1520" spans="2:14" x14ac:dyDescent="0.15">
      <c r="B1520"/>
      <c r="E1520" t="s">
        <v>776</v>
      </c>
      <c r="H1520" s="654">
        <v>0</v>
      </c>
      <c r="I1520" s="654">
        <v>0</v>
      </c>
      <c r="J1520" s="654">
        <v>0</v>
      </c>
      <c r="K1520" s="654">
        <v>0</v>
      </c>
      <c r="L1520" s="654">
        <v>0</v>
      </c>
      <c r="M1520" s="654">
        <v>0</v>
      </c>
      <c r="N1520" s="654">
        <v>0</v>
      </c>
    </row>
    <row r="1521" spans="1:14" x14ac:dyDescent="0.15">
      <c r="B1521"/>
      <c r="D1521" t="s">
        <v>737</v>
      </c>
      <c r="H1521" s="654">
        <v>0</v>
      </c>
      <c r="I1521" s="654">
        <v>0</v>
      </c>
      <c r="J1521" s="654">
        <v>0</v>
      </c>
      <c r="K1521" s="654">
        <v>0</v>
      </c>
      <c r="L1521" s="654">
        <v>0</v>
      </c>
      <c r="M1521" s="654">
        <v>0</v>
      </c>
      <c r="N1521" s="654">
        <v>0</v>
      </c>
    </row>
    <row r="1522" spans="1:14" x14ac:dyDescent="0.15">
      <c r="B1522"/>
      <c r="D1522" t="s">
        <v>671</v>
      </c>
      <c r="E1522" t="s">
        <v>383</v>
      </c>
      <c r="F1522" t="s">
        <v>626</v>
      </c>
      <c r="G1522" t="s">
        <v>600</v>
      </c>
      <c r="H1522" s="654">
        <v>6515</v>
      </c>
      <c r="I1522" s="654">
        <v>2836</v>
      </c>
      <c r="J1522" s="654">
        <v>9351</v>
      </c>
      <c r="K1522" s="654">
        <v>9351</v>
      </c>
      <c r="L1522" s="654">
        <v>0</v>
      </c>
      <c r="M1522" s="654">
        <v>0</v>
      </c>
      <c r="N1522" s="654">
        <v>0</v>
      </c>
    </row>
    <row r="1523" spans="1:14" x14ac:dyDescent="0.15">
      <c r="B1523"/>
      <c r="F1523" t="s">
        <v>733</v>
      </c>
      <c r="H1523" s="654">
        <v>6515</v>
      </c>
      <c r="I1523" s="654">
        <v>2836</v>
      </c>
      <c r="J1523" s="654">
        <v>9351</v>
      </c>
      <c r="K1523" s="654">
        <v>9351</v>
      </c>
      <c r="L1523" s="654">
        <v>0</v>
      </c>
      <c r="M1523" s="654">
        <v>0</v>
      </c>
      <c r="N1523" s="654">
        <v>0</v>
      </c>
    </row>
    <row r="1524" spans="1:14" x14ac:dyDescent="0.15">
      <c r="B1524"/>
      <c r="F1524" t="s">
        <v>627</v>
      </c>
      <c r="G1524" t="s">
        <v>599</v>
      </c>
      <c r="H1524" s="654">
        <v>0</v>
      </c>
      <c r="I1524" s="654">
        <v>0</v>
      </c>
      <c r="J1524" s="654">
        <v>0</v>
      </c>
      <c r="K1524" s="654">
        <v>0</v>
      </c>
      <c r="L1524" s="654">
        <v>0</v>
      </c>
      <c r="M1524" s="654">
        <v>0</v>
      </c>
      <c r="N1524" s="654">
        <v>0</v>
      </c>
    </row>
    <row r="1525" spans="1:14" x14ac:dyDescent="0.15">
      <c r="B1525"/>
      <c r="F1525" t="s">
        <v>734</v>
      </c>
      <c r="H1525" s="654">
        <v>0</v>
      </c>
      <c r="I1525" s="654">
        <v>0</v>
      </c>
      <c r="J1525" s="654">
        <v>0</v>
      </c>
      <c r="K1525" s="654">
        <v>0</v>
      </c>
      <c r="L1525" s="654">
        <v>0</v>
      </c>
      <c r="M1525" s="654">
        <v>0</v>
      </c>
      <c r="N1525" s="654">
        <v>0</v>
      </c>
    </row>
    <row r="1526" spans="1:14" x14ac:dyDescent="0.15">
      <c r="B1526"/>
      <c r="E1526" t="s">
        <v>777</v>
      </c>
      <c r="H1526" s="654">
        <v>6515</v>
      </c>
      <c r="I1526" s="654">
        <v>2836</v>
      </c>
      <c r="J1526" s="654">
        <v>9351</v>
      </c>
      <c r="K1526" s="654">
        <v>9351</v>
      </c>
      <c r="L1526" s="654">
        <v>0</v>
      </c>
      <c r="M1526" s="654">
        <v>0</v>
      </c>
      <c r="N1526" s="654">
        <v>0</v>
      </c>
    </row>
    <row r="1527" spans="1:14" x14ac:dyDescent="0.15">
      <c r="B1527"/>
      <c r="D1527" t="s">
        <v>742</v>
      </c>
      <c r="H1527" s="654">
        <v>6515</v>
      </c>
      <c r="I1527" s="654">
        <v>2836</v>
      </c>
      <c r="J1527" s="654">
        <v>9351</v>
      </c>
      <c r="K1527" s="654">
        <v>9351</v>
      </c>
      <c r="L1527" s="654">
        <v>0</v>
      </c>
      <c r="M1527" s="654">
        <v>0</v>
      </c>
      <c r="N1527" s="654">
        <v>0</v>
      </c>
    </row>
    <row r="1528" spans="1:14" x14ac:dyDescent="0.15">
      <c r="B1528"/>
      <c r="C1528" t="s">
        <v>854</v>
      </c>
      <c r="H1528" s="654">
        <v>736312</v>
      </c>
      <c r="I1528" s="654">
        <v>-174785</v>
      </c>
      <c r="J1528" s="654">
        <v>561527</v>
      </c>
      <c r="K1528" s="654">
        <v>561527</v>
      </c>
      <c r="L1528" s="654">
        <v>0</v>
      </c>
      <c r="M1528" s="654">
        <v>0</v>
      </c>
      <c r="N1528" s="654">
        <v>0</v>
      </c>
    </row>
    <row r="1529" spans="1:14" x14ac:dyDescent="0.15">
      <c r="A1529" s="653" t="s">
        <v>623</v>
      </c>
      <c r="B1529"/>
      <c r="H1529" s="654">
        <v>32704782</v>
      </c>
      <c r="I1529" s="654">
        <v>-824076</v>
      </c>
      <c r="J1529" s="654">
        <v>31880706</v>
      </c>
      <c r="K1529" s="654">
        <v>31880706</v>
      </c>
      <c r="L1529" s="654">
        <v>0</v>
      </c>
      <c r="M1529" s="654">
        <v>259737</v>
      </c>
      <c r="N1529" s="654">
        <v>3573129</v>
      </c>
    </row>
    <row r="1530" spans="1:14" x14ac:dyDescent="0.15">
      <c r="A1530" s="653">
        <v>43070</v>
      </c>
      <c r="B1530" t="s">
        <v>626</v>
      </c>
      <c r="C1530" t="s">
        <v>849</v>
      </c>
      <c r="D1530" t="s">
        <v>626</v>
      </c>
      <c r="E1530" t="s">
        <v>378</v>
      </c>
      <c r="F1530" t="s">
        <v>626</v>
      </c>
      <c r="G1530" t="s">
        <v>600</v>
      </c>
      <c r="H1530" s="654">
        <v>7422306</v>
      </c>
      <c r="I1530" s="654">
        <v>-30847</v>
      </c>
      <c r="J1530" s="654">
        <v>7391459</v>
      </c>
      <c r="K1530" s="654">
        <v>7391459</v>
      </c>
      <c r="L1530" s="654">
        <v>0</v>
      </c>
      <c r="M1530" s="654">
        <v>273727</v>
      </c>
      <c r="N1530" s="654">
        <v>1313989</v>
      </c>
    </row>
    <row r="1531" spans="1:14" x14ac:dyDescent="0.15">
      <c r="B1531"/>
      <c r="F1531" t="s">
        <v>733</v>
      </c>
      <c r="H1531" s="654">
        <v>7422306</v>
      </c>
      <c r="I1531" s="654">
        <v>-30847</v>
      </c>
      <c r="J1531" s="654">
        <v>7391459</v>
      </c>
      <c r="K1531" s="654">
        <v>7391459</v>
      </c>
      <c r="L1531" s="654">
        <v>0</v>
      </c>
      <c r="M1531" s="654">
        <v>273727</v>
      </c>
      <c r="N1531" s="654">
        <v>1313989</v>
      </c>
    </row>
    <row r="1532" spans="1:14" x14ac:dyDescent="0.15">
      <c r="B1532"/>
      <c r="F1532" t="s">
        <v>627</v>
      </c>
      <c r="G1532" t="s">
        <v>599</v>
      </c>
      <c r="H1532" s="654">
        <v>1255262</v>
      </c>
      <c r="I1532" s="654">
        <v>0</v>
      </c>
      <c r="J1532" s="654">
        <v>1255262</v>
      </c>
      <c r="K1532" s="654">
        <v>1255262</v>
      </c>
      <c r="L1532" s="654">
        <v>0</v>
      </c>
      <c r="M1532" s="654">
        <v>0</v>
      </c>
      <c r="N1532" s="654">
        <v>295530</v>
      </c>
    </row>
    <row r="1533" spans="1:14" x14ac:dyDescent="0.15">
      <c r="B1533"/>
      <c r="F1533" t="s">
        <v>734</v>
      </c>
      <c r="H1533" s="654">
        <v>1255262</v>
      </c>
      <c r="I1533" s="654">
        <v>0</v>
      </c>
      <c r="J1533" s="654">
        <v>1255262</v>
      </c>
      <c r="K1533" s="654">
        <v>1255262</v>
      </c>
      <c r="L1533" s="654">
        <v>0</v>
      </c>
      <c r="M1533" s="654">
        <v>0</v>
      </c>
      <c r="N1533" s="654">
        <v>295530</v>
      </c>
    </row>
    <row r="1534" spans="1:14" x14ac:dyDescent="0.15">
      <c r="B1534"/>
      <c r="F1534" t="s">
        <v>628</v>
      </c>
      <c r="G1534" t="s">
        <v>598</v>
      </c>
      <c r="H1534" s="654">
        <v>716058</v>
      </c>
      <c r="I1534" s="654">
        <v>0</v>
      </c>
      <c r="J1534" s="654">
        <v>716058</v>
      </c>
      <c r="K1534" s="654">
        <v>716058</v>
      </c>
      <c r="L1534" s="654">
        <v>0</v>
      </c>
      <c r="M1534" s="654">
        <v>0</v>
      </c>
      <c r="N1534" s="654">
        <v>0</v>
      </c>
    </row>
    <row r="1535" spans="1:14" x14ac:dyDescent="0.15">
      <c r="B1535"/>
      <c r="F1535" t="s">
        <v>735</v>
      </c>
      <c r="H1535" s="654">
        <v>716058</v>
      </c>
      <c r="I1535" s="654">
        <v>0</v>
      </c>
      <c r="J1535" s="654">
        <v>716058</v>
      </c>
      <c r="K1535" s="654">
        <v>716058</v>
      </c>
      <c r="L1535" s="654">
        <v>0</v>
      </c>
      <c r="M1535" s="654">
        <v>0</v>
      </c>
      <c r="N1535" s="654">
        <v>0</v>
      </c>
    </row>
    <row r="1536" spans="1:14" x14ac:dyDescent="0.15">
      <c r="B1536"/>
      <c r="E1536" t="s">
        <v>769</v>
      </c>
      <c r="H1536" s="654">
        <v>9393626</v>
      </c>
      <c r="I1536" s="654">
        <v>-30847</v>
      </c>
      <c r="J1536" s="654">
        <v>9362779</v>
      </c>
      <c r="K1536" s="654">
        <v>9362779</v>
      </c>
      <c r="L1536" s="654">
        <v>0</v>
      </c>
      <c r="M1536" s="654">
        <v>273727</v>
      </c>
      <c r="N1536" s="654">
        <v>1609519</v>
      </c>
    </row>
    <row r="1537" spans="2:14" x14ac:dyDescent="0.15">
      <c r="B1537"/>
      <c r="D1537" t="s">
        <v>733</v>
      </c>
      <c r="H1537" s="654">
        <v>9393626</v>
      </c>
      <c r="I1537" s="654">
        <v>-30847</v>
      </c>
      <c r="J1537" s="654">
        <v>9362779</v>
      </c>
      <c r="K1537" s="654">
        <v>9362779</v>
      </c>
      <c r="L1537" s="654">
        <v>0</v>
      </c>
      <c r="M1537" s="654">
        <v>273727</v>
      </c>
      <c r="N1537" s="654">
        <v>1609519</v>
      </c>
    </row>
    <row r="1538" spans="2:14" x14ac:dyDescent="0.15">
      <c r="B1538"/>
      <c r="D1538" t="s">
        <v>627</v>
      </c>
      <c r="E1538" t="s">
        <v>379</v>
      </c>
      <c r="F1538" t="s">
        <v>626</v>
      </c>
      <c r="G1538" t="s">
        <v>600</v>
      </c>
      <c r="H1538" s="654">
        <v>4296093</v>
      </c>
      <c r="I1538" s="654">
        <v>-28685</v>
      </c>
      <c r="J1538" s="654">
        <v>4267408</v>
      </c>
      <c r="K1538" s="654">
        <v>4267408</v>
      </c>
      <c r="L1538" s="654">
        <v>0</v>
      </c>
      <c r="M1538" s="654">
        <v>0</v>
      </c>
      <c r="N1538" s="654">
        <v>470435</v>
      </c>
    </row>
    <row r="1539" spans="2:14" x14ac:dyDescent="0.15">
      <c r="B1539"/>
      <c r="F1539" t="s">
        <v>733</v>
      </c>
      <c r="H1539" s="654">
        <v>4296093</v>
      </c>
      <c r="I1539" s="654">
        <v>-28685</v>
      </c>
      <c r="J1539" s="654">
        <v>4267408</v>
      </c>
      <c r="K1539" s="654">
        <v>4267408</v>
      </c>
      <c r="L1539" s="654">
        <v>0</v>
      </c>
      <c r="M1539" s="654">
        <v>0</v>
      </c>
      <c r="N1539" s="654">
        <v>470435</v>
      </c>
    </row>
    <row r="1540" spans="2:14" x14ac:dyDescent="0.15">
      <c r="B1540"/>
      <c r="F1540" t="s">
        <v>627</v>
      </c>
      <c r="G1540" t="s">
        <v>599</v>
      </c>
      <c r="H1540" s="654">
        <v>1056717</v>
      </c>
      <c r="I1540" s="654">
        <v>-128853</v>
      </c>
      <c r="J1540" s="654">
        <v>927864</v>
      </c>
      <c r="K1540" s="654">
        <v>927864</v>
      </c>
      <c r="L1540" s="654">
        <v>0</v>
      </c>
      <c r="M1540" s="654">
        <v>0</v>
      </c>
      <c r="N1540" s="654">
        <v>210870</v>
      </c>
    </row>
    <row r="1541" spans="2:14" x14ac:dyDescent="0.15">
      <c r="B1541"/>
      <c r="F1541" t="s">
        <v>734</v>
      </c>
      <c r="H1541" s="654">
        <v>1056717</v>
      </c>
      <c r="I1541" s="654">
        <v>-128853</v>
      </c>
      <c r="J1541" s="654">
        <v>927864</v>
      </c>
      <c r="K1541" s="654">
        <v>927864</v>
      </c>
      <c r="L1541" s="654">
        <v>0</v>
      </c>
      <c r="M1541" s="654">
        <v>0</v>
      </c>
      <c r="N1541" s="654">
        <v>210870</v>
      </c>
    </row>
    <row r="1542" spans="2:14" x14ac:dyDescent="0.15">
      <c r="B1542"/>
      <c r="F1542" t="s">
        <v>628</v>
      </c>
      <c r="G1542" t="s">
        <v>598</v>
      </c>
      <c r="H1542" s="654">
        <v>421073</v>
      </c>
      <c r="I1542" s="654">
        <v>0</v>
      </c>
      <c r="J1542" s="654">
        <v>421073</v>
      </c>
      <c r="K1542" s="654">
        <v>421073</v>
      </c>
      <c r="L1542" s="654">
        <v>0</v>
      </c>
      <c r="M1542" s="654">
        <v>0</v>
      </c>
      <c r="N1542" s="654">
        <v>0</v>
      </c>
    </row>
    <row r="1543" spans="2:14" x14ac:dyDescent="0.15">
      <c r="B1543"/>
      <c r="F1543" t="s">
        <v>735</v>
      </c>
      <c r="H1543" s="654">
        <v>421073</v>
      </c>
      <c r="I1543" s="654">
        <v>0</v>
      </c>
      <c r="J1543" s="654">
        <v>421073</v>
      </c>
      <c r="K1543" s="654">
        <v>421073</v>
      </c>
      <c r="L1543" s="654">
        <v>0</v>
      </c>
      <c r="M1543" s="654">
        <v>0</v>
      </c>
      <c r="N1543" s="654">
        <v>0</v>
      </c>
    </row>
    <row r="1544" spans="2:14" x14ac:dyDescent="0.15">
      <c r="B1544"/>
      <c r="E1544" t="s">
        <v>770</v>
      </c>
      <c r="H1544" s="654">
        <v>5773883</v>
      </c>
      <c r="I1544" s="654">
        <v>-157538</v>
      </c>
      <c r="J1544" s="654">
        <v>5616345</v>
      </c>
      <c r="K1544" s="654">
        <v>5616345</v>
      </c>
      <c r="L1544" s="654">
        <v>0</v>
      </c>
      <c r="M1544" s="654">
        <v>0</v>
      </c>
      <c r="N1544" s="654">
        <v>681305</v>
      </c>
    </row>
    <row r="1545" spans="2:14" x14ac:dyDescent="0.15">
      <c r="B1545"/>
      <c r="D1545" t="s">
        <v>734</v>
      </c>
      <c r="H1545" s="654">
        <v>5773883</v>
      </c>
      <c r="I1545" s="654">
        <v>-157538</v>
      </c>
      <c r="J1545" s="654">
        <v>5616345</v>
      </c>
      <c r="K1545" s="654">
        <v>5616345</v>
      </c>
      <c r="L1545" s="654">
        <v>0</v>
      </c>
      <c r="M1545" s="654">
        <v>0</v>
      </c>
      <c r="N1545" s="654">
        <v>681305</v>
      </c>
    </row>
    <row r="1546" spans="2:14" x14ac:dyDescent="0.15">
      <c r="B1546"/>
      <c r="D1546" t="s">
        <v>628</v>
      </c>
      <c r="E1546" t="s">
        <v>380</v>
      </c>
      <c r="F1546" t="s">
        <v>626</v>
      </c>
      <c r="G1546" t="s">
        <v>600</v>
      </c>
      <c r="H1546" s="654">
        <v>3999702</v>
      </c>
      <c r="I1546" s="654">
        <v>-48023</v>
      </c>
      <c r="J1546" s="654">
        <v>3951679</v>
      </c>
      <c r="K1546" s="654">
        <v>3951679</v>
      </c>
      <c r="L1546" s="654">
        <v>0</v>
      </c>
      <c r="M1546" s="654">
        <v>0</v>
      </c>
      <c r="N1546" s="654">
        <v>422479</v>
      </c>
    </row>
    <row r="1547" spans="2:14" x14ac:dyDescent="0.15">
      <c r="B1547"/>
      <c r="F1547" t="s">
        <v>733</v>
      </c>
      <c r="H1547" s="654">
        <v>3999702</v>
      </c>
      <c r="I1547" s="654">
        <v>-48023</v>
      </c>
      <c r="J1547" s="654">
        <v>3951679</v>
      </c>
      <c r="K1547" s="654">
        <v>3951679</v>
      </c>
      <c r="L1547" s="654">
        <v>0</v>
      </c>
      <c r="M1547" s="654">
        <v>0</v>
      </c>
      <c r="N1547" s="654">
        <v>422479</v>
      </c>
    </row>
    <row r="1548" spans="2:14" x14ac:dyDescent="0.15">
      <c r="B1548"/>
      <c r="F1548" t="s">
        <v>627</v>
      </c>
      <c r="G1548" t="s">
        <v>599</v>
      </c>
      <c r="H1548" s="654">
        <v>1827587</v>
      </c>
      <c r="I1548" s="654">
        <v>-377232</v>
      </c>
      <c r="J1548" s="654">
        <v>1450355</v>
      </c>
      <c r="K1548" s="654">
        <v>1450355</v>
      </c>
      <c r="L1548" s="654">
        <v>0</v>
      </c>
      <c r="M1548" s="654">
        <v>0</v>
      </c>
      <c r="N1548" s="654">
        <v>337271</v>
      </c>
    </row>
    <row r="1549" spans="2:14" x14ac:dyDescent="0.15">
      <c r="B1549"/>
      <c r="F1549" t="s">
        <v>734</v>
      </c>
      <c r="H1549" s="654">
        <v>1827587</v>
      </c>
      <c r="I1549" s="654">
        <v>-377232</v>
      </c>
      <c r="J1549" s="654">
        <v>1450355</v>
      </c>
      <c r="K1549" s="654">
        <v>1450355</v>
      </c>
      <c r="L1549" s="654">
        <v>0</v>
      </c>
      <c r="M1549" s="654">
        <v>0</v>
      </c>
      <c r="N1549" s="654">
        <v>337271</v>
      </c>
    </row>
    <row r="1550" spans="2:14" x14ac:dyDescent="0.15">
      <c r="B1550"/>
      <c r="E1550" t="s">
        <v>771</v>
      </c>
      <c r="H1550" s="654">
        <v>5827289</v>
      </c>
      <c r="I1550" s="654">
        <v>-425255</v>
      </c>
      <c r="J1550" s="654">
        <v>5402034</v>
      </c>
      <c r="K1550" s="654">
        <v>5402034</v>
      </c>
      <c r="L1550" s="654">
        <v>0</v>
      </c>
      <c r="M1550" s="654">
        <v>0</v>
      </c>
      <c r="N1550" s="654">
        <v>759750</v>
      </c>
    </row>
    <row r="1551" spans="2:14" x14ac:dyDescent="0.15">
      <c r="B1551"/>
      <c r="D1551" t="s">
        <v>735</v>
      </c>
      <c r="H1551" s="654">
        <v>5827289</v>
      </c>
      <c r="I1551" s="654">
        <v>-425255</v>
      </c>
      <c r="J1551" s="654">
        <v>5402034</v>
      </c>
      <c r="K1551" s="654">
        <v>5402034</v>
      </c>
      <c r="L1551" s="654">
        <v>0</v>
      </c>
      <c r="M1551" s="654">
        <v>0</v>
      </c>
      <c r="N1551" s="654">
        <v>759750</v>
      </c>
    </row>
    <row r="1552" spans="2:14" x14ac:dyDescent="0.15">
      <c r="B1552"/>
      <c r="D1552" t="s">
        <v>629</v>
      </c>
      <c r="E1552" t="s">
        <v>676</v>
      </c>
      <c r="F1552" t="s">
        <v>629</v>
      </c>
      <c r="G1552" t="s">
        <v>601</v>
      </c>
      <c r="H1552" s="654">
        <v>3149307</v>
      </c>
      <c r="I1552" s="654">
        <v>-5225</v>
      </c>
      <c r="J1552" s="654">
        <v>3144082</v>
      </c>
      <c r="K1552" s="654">
        <v>3144082</v>
      </c>
      <c r="L1552" s="654">
        <v>0</v>
      </c>
      <c r="M1552" s="654">
        <v>71446</v>
      </c>
      <c r="N1552" s="654">
        <v>173739</v>
      </c>
    </row>
    <row r="1553" spans="2:14" x14ac:dyDescent="0.15">
      <c r="B1553"/>
      <c r="F1553" t="s">
        <v>736</v>
      </c>
      <c r="H1553" s="654">
        <v>3149307</v>
      </c>
      <c r="I1553" s="654">
        <v>-5225</v>
      </c>
      <c r="J1553" s="654">
        <v>3144082</v>
      </c>
      <c r="K1553" s="654">
        <v>3144082</v>
      </c>
      <c r="L1553" s="654">
        <v>0</v>
      </c>
      <c r="M1553" s="654">
        <v>71446</v>
      </c>
      <c r="N1553" s="654">
        <v>173739</v>
      </c>
    </row>
    <row r="1554" spans="2:14" x14ac:dyDescent="0.15">
      <c r="B1554"/>
      <c r="E1554" t="s">
        <v>772</v>
      </c>
      <c r="H1554" s="654">
        <v>3149307</v>
      </c>
      <c r="I1554" s="654">
        <v>-5225</v>
      </c>
      <c r="J1554" s="654">
        <v>3144082</v>
      </c>
      <c r="K1554" s="654">
        <v>3144082</v>
      </c>
      <c r="L1554" s="654">
        <v>0</v>
      </c>
      <c r="M1554" s="654">
        <v>71446</v>
      </c>
      <c r="N1554" s="654">
        <v>173739</v>
      </c>
    </row>
    <row r="1555" spans="2:14" x14ac:dyDescent="0.15">
      <c r="B1555"/>
      <c r="D1555" t="s">
        <v>736</v>
      </c>
      <c r="H1555" s="654">
        <v>3149307</v>
      </c>
      <c r="I1555" s="654">
        <v>-5225</v>
      </c>
      <c r="J1555" s="654">
        <v>3144082</v>
      </c>
      <c r="K1555" s="654">
        <v>3144082</v>
      </c>
      <c r="L1555" s="654">
        <v>0</v>
      </c>
      <c r="M1555" s="654">
        <v>71446</v>
      </c>
      <c r="N1555" s="654">
        <v>173739</v>
      </c>
    </row>
    <row r="1556" spans="2:14" x14ac:dyDescent="0.15">
      <c r="B1556"/>
      <c r="D1556" t="s">
        <v>567</v>
      </c>
      <c r="E1556" t="s">
        <v>473</v>
      </c>
      <c r="F1556" t="s">
        <v>631</v>
      </c>
      <c r="G1556" t="s">
        <v>596</v>
      </c>
      <c r="H1556" s="654">
        <v>998248</v>
      </c>
      <c r="I1556" s="654">
        <v>0</v>
      </c>
      <c r="J1556" s="654">
        <v>998248</v>
      </c>
      <c r="K1556" s="654">
        <v>998248</v>
      </c>
      <c r="L1556" s="654">
        <v>0</v>
      </c>
      <c r="M1556" s="654">
        <v>0</v>
      </c>
      <c r="N1556" s="654">
        <v>292855</v>
      </c>
    </row>
    <row r="1557" spans="2:14" x14ac:dyDescent="0.15">
      <c r="B1557"/>
      <c r="F1557" t="s">
        <v>737</v>
      </c>
      <c r="H1557" s="654">
        <v>998248</v>
      </c>
      <c r="I1557" s="654">
        <v>0</v>
      </c>
      <c r="J1557" s="654">
        <v>998248</v>
      </c>
      <c r="K1557" s="654">
        <v>998248</v>
      </c>
      <c r="L1557" s="654">
        <v>0</v>
      </c>
      <c r="M1557" s="654">
        <v>0</v>
      </c>
      <c r="N1557" s="654">
        <v>292855</v>
      </c>
    </row>
    <row r="1558" spans="2:14" x14ac:dyDescent="0.15">
      <c r="B1558"/>
      <c r="E1558" t="s">
        <v>773</v>
      </c>
      <c r="H1558" s="654">
        <v>998248</v>
      </c>
      <c r="I1558" s="654">
        <v>0</v>
      </c>
      <c r="J1558" s="654">
        <v>998248</v>
      </c>
      <c r="K1558" s="654">
        <v>998248</v>
      </c>
      <c r="L1558" s="654">
        <v>0</v>
      </c>
      <c r="M1558" s="654">
        <v>0</v>
      </c>
      <c r="N1558" s="654">
        <v>292855</v>
      </c>
    </row>
    <row r="1559" spans="2:14" x14ac:dyDescent="0.15">
      <c r="B1559"/>
      <c r="D1559" t="s">
        <v>739</v>
      </c>
      <c r="H1559" s="654">
        <v>998248</v>
      </c>
      <c r="I1559" s="654">
        <v>0</v>
      </c>
      <c r="J1559" s="654">
        <v>998248</v>
      </c>
      <c r="K1559" s="654">
        <v>998248</v>
      </c>
      <c r="L1559" s="654">
        <v>0</v>
      </c>
      <c r="M1559" s="654">
        <v>0</v>
      </c>
      <c r="N1559" s="654">
        <v>292855</v>
      </c>
    </row>
    <row r="1560" spans="2:14" x14ac:dyDescent="0.15">
      <c r="B1560"/>
      <c r="D1560" t="s">
        <v>568</v>
      </c>
      <c r="E1560" t="s">
        <v>474</v>
      </c>
      <c r="F1560" t="s">
        <v>631</v>
      </c>
      <c r="G1560" t="s">
        <v>596</v>
      </c>
      <c r="H1560" s="654">
        <v>983492</v>
      </c>
      <c r="I1560" s="654">
        <v>0</v>
      </c>
      <c r="J1560" s="654">
        <v>983492</v>
      </c>
      <c r="K1560" s="654">
        <v>983492</v>
      </c>
      <c r="L1560" s="654">
        <v>0</v>
      </c>
      <c r="M1560" s="654">
        <v>0</v>
      </c>
      <c r="N1560" s="654">
        <v>0</v>
      </c>
    </row>
    <row r="1561" spans="2:14" x14ac:dyDescent="0.15">
      <c r="B1561"/>
      <c r="F1561" t="s">
        <v>737</v>
      </c>
      <c r="H1561" s="654">
        <v>983492</v>
      </c>
      <c r="I1561" s="654">
        <v>0</v>
      </c>
      <c r="J1561" s="654">
        <v>983492</v>
      </c>
      <c r="K1561" s="654">
        <v>983492</v>
      </c>
      <c r="L1561" s="654">
        <v>0</v>
      </c>
      <c r="M1561" s="654">
        <v>0</v>
      </c>
      <c r="N1561" s="654">
        <v>0</v>
      </c>
    </row>
    <row r="1562" spans="2:14" x14ac:dyDescent="0.15">
      <c r="B1562"/>
      <c r="E1562" t="s">
        <v>774</v>
      </c>
      <c r="H1562" s="654">
        <v>983492</v>
      </c>
      <c r="I1562" s="654">
        <v>0</v>
      </c>
      <c r="J1562" s="654">
        <v>983492</v>
      </c>
      <c r="K1562" s="654">
        <v>983492</v>
      </c>
      <c r="L1562" s="654">
        <v>0</v>
      </c>
      <c r="M1562" s="654">
        <v>0</v>
      </c>
      <c r="N1562" s="654">
        <v>0</v>
      </c>
    </row>
    <row r="1563" spans="2:14" x14ac:dyDescent="0.15">
      <c r="B1563"/>
      <c r="D1563" t="s">
        <v>740</v>
      </c>
      <c r="H1563" s="654">
        <v>983492</v>
      </c>
      <c r="I1563" s="654">
        <v>0</v>
      </c>
      <c r="J1563" s="654">
        <v>983492</v>
      </c>
      <c r="K1563" s="654">
        <v>983492</v>
      </c>
      <c r="L1563" s="654">
        <v>0</v>
      </c>
      <c r="M1563" s="654">
        <v>0</v>
      </c>
      <c r="N1563" s="654">
        <v>0</v>
      </c>
    </row>
    <row r="1564" spans="2:14" x14ac:dyDescent="0.15">
      <c r="B1564"/>
      <c r="D1564" t="s">
        <v>582</v>
      </c>
      <c r="E1564" t="s">
        <v>384</v>
      </c>
      <c r="F1564" t="s">
        <v>631</v>
      </c>
      <c r="G1564" t="s">
        <v>596</v>
      </c>
      <c r="H1564" s="654">
        <v>2448469</v>
      </c>
      <c r="I1564" s="654">
        <v>0</v>
      </c>
      <c r="J1564" s="654">
        <v>2448469</v>
      </c>
      <c r="K1564" s="654">
        <v>2448469</v>
      </c>
      <c r="L1564" s="654">
        <v>0</v>
      </c>
      <c r="M1564" s="654">
        <v>0</v>
      </c>
      <c r="N1564" s="654">
        <v>0</v>
      </c>
    </row>
    <row r="1565" spans="2:14" x14ac:dyDescent="0.15">
      <c r="B1565"/>
      <c r="F1565" t="s">
        <v>737</v>
      </c>
      <c r="H1565" s="654">
        <v>2448469</v>
      </c>
      <c r="I1565" s="654">
        <v>0</v>
      </c>
      <c r="J1565" s="654">
        <v>2448469</v>
      </c>
      <c r="K1565" s="654">
        <v>2448469</v>
      </c>
      <c r="L1565" s="654">
        <v>0</v>
      </c>
      <c r="M1565" s="654">
        <v>0</v>
      </c>
      <c r="N1565" s="654">
        <v>0</v>
      </c>
    </row>
    <row r="1566" spans="2:14" x14ac:dyDescent="0.15">
      <c r="B1566"/>
      <c r="E1566" t="s">
        <v>778</v>
      </c>
      <c r="H1566" s="654">
        <v>2448469</v>
      </c>
      <c r="I1566" s="654">
        <v>0</v>
      </c>
      <c r="J1566" s="654">
        <v>2448469</v>
      </c>
      <c r="K1566" s="654">
        <v>2448469</v>
      </c>
      <c r="L1566" s="654">
        <v>0</v>
      </c>
      <c r="M1566" s="654">
        <v>0</v>
      </c>
      <c r="N1566" s="654">
        <v>0</v>
      </c>
    </row>
    <row r="1567" spans="2:14" x14ac:dyDescent="0.15">
      <c r="B1567"/>
      <c r="D1567" t="s">
        <v>743</v>
      </c>
      <c r="H1567" s="654">
        <v>2448469</v>
      </c>
      <c r="I1567" s="654">
        <v>0</v>
      </c>
      <c r="J1567" s="654">
        <v>2448469</v>
      </c>
      <c r="K1567" s="654">
        <v>2448469</v>
      </c>
      <c r="L1567" s="654">
        <v>0</v>
      </c>
      <c r="M1567" s="654">
        <v>0</v>
      </c>
      <c r="N1567" s="654">
        <v>0</v>
      </c>
    </row>
    <row r="1568" spans="2:14" x14ac:dyDescent="0.15">
      <c r="B1568"/>
      <c r="D1568" t="s">
        <v>631</v>
      </c>
      <c r="E1568" t="s">
        <v>381</v>
      </c>
      <c r="F1568" t="s">
        <v>626</v>
      </c>
      <c r="G1568" t="s">
        <v>600</v>
      </c>
      <c r="H1568" s="654">
        <v>2157074</v>
      </c>
      <c r="I1568" s="654">
        <v>0</v>
      </c>
      <c r="J1568" s="654">
        <v>2157074</v>
      </c>
      <c r="K1568" s="654">
        <v>2157074</v>
      </c>
      <c r="L1568" s="654">
        <v>0</v>
      </c>
      <c r="M1568" s="654">
        <v>0</v>
      </c>
      <c r="N1568" s="654">
        <v>0</v>
      </c>
    </row>
    <row r="1569" spans="2:14" x14ac:dyDescent="0.15">
      <c r="B1569"/>
      <c r="F1569" t="s">
        <v>733</v>
      </c>
      <c r="H1569" s="654">
        <v>2157074</v>
      </c>
      <c r="I1569" s="654">
        <v>0</v>
      </c>
      <c r="J1569" s="654">
        <v>2157074</v>
      </c>
      <c r="K1569" s="654">
        <v>2157074</v>
      </c>
      <c r="L1569" s="654">
        <v>0</v>
      </c>
      <c r="M1569" s="654">
        <v>0</v>
      </c>
      <c r="N1569" s="654">
        <v>0</v>
      </c>
    </row>
    <row r="1570" spans="2:14" x14ac:dyDescent="0.15">
      <c r="B1570"/>
      <c r="E1570" t="s">
        <v>776</v>
      </c>
      <c r="H1570" s="654">
        <v>2157074</v>
      </c>
      <c r="I1570" s="654">
        <v>0</v>
      </c>
      <c r="J1570" s="654">
        <v>2157074</v>
      </c>
      <c r="K1570" s="654">
        <v>2157074</v>
      </c>
      <c r="L1570" s="654">
        <v>0</v>
      </c>
      <c r="M1570" s="654">
        <v>0</v>
      </c>
      <c r="N1570" s="654">
        <v>0</v>
      </c>
    </row>
    <row r="1571" spans="2:14" x14ac:dyDescent="0.15">
      <c r="B1571"/>
      <c r="D1571" t="s">
        <v>737</v>
      </c>
      <c r="H1571" s="654">
        <v>2157074</v>
      </c>
      <c r="I1571" s="654">
        <v>0</v>
      </c>
      <c r="J1571" s="654">
        <v>2157074</v>
      </c>
      <c r="K1571" s="654">
        <v>2157074</v>
      </c>
      <c r="L1571" s="654">
        <v>0</v>
      </c>
      <c r="M1571" s="654">
        <v>0</v>
      </c>
      <c r="N1571" s="654">
        <v>0</v>
      </c>
    </row>
    <row r="1572" spans="2:14" x14ac:dyDescent="0.15">
      <c r="B1572"/>
      <c r="D1572" t="s">
        <v>671</v>
      </c>
      <c r="E1572" t="s">
        <v>383</v>
      </c>
      <c r="F1572" t="s">
        <v>626</v>
      </c>
      <c r="G1572" t="s">
        <v>600</v>
      </c>
      <c r="H1572" s="654">
        <v>1246620</v>
      </c>
      <c r="I1572" s="654">
        <v>-2600</v>
      </c>
      <c r="J1572" s="654">
        <v>1244020</v>
      </c>
      <c r="K1572" s="654">
        <v>1244020</v>
      </c>
      <c r="L1572" s="654">
        <v>0</v>
      </c>
      <c r="M1572" s="654">
        <v>9940</v>
      </c>
      <c r="N1572" s="654">
        <v>0</v>
      </c>
    </row>
    <row r="1573" spans="2:14" x14ac:dyDescent="0.15">
      <c r="B1573"/>
      <c r="F1573" t="s">
        <v>733</v>
      </c>
      <c r="H1573" s="654">
        <v>1246620</v>
      </c>
      <c r="I1573" s="654">
        <v>-2600</v>
      </c>
      <c r="J1573" s="654">
        <v>1244020</v>
      </c>
      <c r="K1573" s="654">
        <v>1244020</v>
      </c>
      <c r="L1573" s="654">
        <v>0</v>
      </c>
      <c r="M1573" s="654">
        <v>9940</v>
      </c>
      <c r="N1573" s="654">
        <v>0</v>
      </c>
    </row>
    <row r="1574" spans="2:14" x14ac:dyDescent="0.15">
      <c r="B1574"/>
      <c r="F1574" t="s">
        <v>627</v>
      </c>
      <c r="G1574" t="s">
        <v>599</v>
      </c>
      <c r="H1574" s="654">
        <v>0</v>
      </c>
      <c r="I1574" s="654">
        <v>0</v>
      </c>
      <c r="J1574" s="654">
        <v>0</v>
      </c>
      <c r="K1574" s="654">
        <v>0</v>
      </c>
      <c r="L1574" s="654">
        <v>0</v>
      </c>
      <c r="M1574" s="654">
        <v>0</v>
      </c>
      <c r="N1574" s="654">
        <v>0</v>
      </c>
    </row>
    <row r="1575" spans="2:14" x14ac:dyDescent="0.15">
      <c r="B1575"/>
      <c r="F1575" t="s">
        <v>734</v>
      </c>
      <c r="H1575" s="654">
        <v>0</v>
      </c>
      <c r="I1575" s="654">
        <v>0</v>
      </c>
      <c r="J1575" s="654">
        <v>0</v>
      </c>
      <c r="K1575" s="654">
        <v>0</v>
      </c>
      <c r="L1575" s="654">
        <v>0</v>
      </c>
      <c r="M1575" s="654">
        <v>0</v>
      </c>
      <c r="N1575" s="654">
        <v>0</v>
      </c>
    </row>
    <row r="1576" spans="2:14" x14ac:dyDescent="0.15">
      <c r="B1576"/>
      <c r="E1576" t="s">
        <v>777</v>
      </c>
      <c r="H1576" s="654">
        <v>1246620</v>
      </c>
      <c r="I1576" s="654">
        <v>-2600</v>
      </c>
      <c r="J1576" s="654">
        <v>1244020</v>
      </c>
      <c r="K1576" s="654">
        <v>1244020</v>
      </c>
      <c r="L1576" s="654">
        <v>0</v>
      </c>
      <c r="M1576" s="654">
        <v>9940</v>
      </c>
      <c r="N1576" s="654">
        <v>0</v>
      </c>
    </row>
    <row r="1577" spans="2:14" x14ac:dyDescent="0.15">
      <c r="B1577"/>
      <c r="D1577" t="s">
        <v>742</v>
      </c>
      <c r="H1577" s="654">
        <v>1246620</v>
      </c>
      <c r="I1577" s="654">
        <v>-2600</v>
      </c>
      <c r="J1577" s="654">
        <v>1244020</v>
      </c>
      <c r="K1577" s="654">
        <v>1244020</v>
      </c>
      <c r="L1577" s="654">
        <v>0</v>
      </c>
      <c r="M1577" s="654">
        <v>9940</v>
      </c>
      <c r="N1577" s="654">
        <v>0</v>
      </c>
    </row>
    <row r="1578" spans="2:14" x14ac:dyDescent="0.15">
      <c r="B1578"/>
      <c r="C1578" t="s">
        <v>853</v>
      </c>
      <c r="H1578" s="654">
        <v>31978008</v>
      </c>
      <c r="I1578" s="654">
        <v>-621465</v>
      </c>
      <c r="J1578" s="654">
        <v>31356543</v>
      </c>
      <c r="K1578" s="654">
        <v>31356543</v>
      </c>
      <c r="L1578" s="654">
        <v>0</v>
      </c>
      <c r="M1578" s="654">
        <v>355113</v>
      </c>
      <c r="N1578" s="654">
        <v>3517168</v>
      </c>
    </row>
    <row r="1579" spans="2:14" x14ac:dyDescent="0.15">
      <c r="B1579" t="s">
        <v>627</v>
      </c>
      <c r="C1579" t="s">
        <v>847</v>
      </c>
      <c r="D1579" t="s">
        <v>626</v>
      </c>
      <c r="E1579" t="s">
        <v>378</v>
      </c>
      <c r="F1579" t="s">
        <v>626</v>
      </c>
      <c r="G1579" t="s">
        <v>600</v>
      </c>
      <c r="H1579" s="654">
        <v>51230</v>
      </c>
      <c r="I1579" s="654">
        <v>42627</v>
      </c>
      <c r="J1579" s="654">
        <v>93857</v>
      </c>
      <c r="K1579" s="654">
        <v>93857</v>
      </c>
      <c r="L1579" s="654">
        <v>0</v>
      </c>
      <c r="M1579" s="654">
        <v>0</v>
      </c>
      <c r="N1579" s="654">
        <v>0</v>
      </c>
    </row>
    <row r="1580" spans="2:14" x14ac:dyDescent="0.15">
      <c r="B1580"/>
      <c r="F1580" t="s">
        <v>733</v>
      </c>
      <c r="H1580" s="654">
        <v>51230</v>
      </c>
      <c r="I1580" s="654">
        <v>42627</v>
      </c>
      <c r="J1580" s="654">
        <v>93857</v>
      </c>
      <c r="K1580" s="654">
        <v>93857</v>
      </c>
      <c r="L1580" s="654">
        <v>0</v>
      </c>
      <c r="M1580" s="654">
        <v>0</v>
      </c>
      <c r="N1580" s="654">
        <v>0</v>
      </c>
    </row>
    <row r="1581" spans="2:14" x14ac:dyDescent="0.15">
      <c r="B1581"/>
      <c r="F1581" t="s">
        <v>627</v>
      </c>
      <c r="G1581" t="s">
        <v>599</v>
      </c>
      <c r="H1581" s="654">
        <v>135527</v>
      </c>
      <c r="I1581" s="654">
        <v>0</v>
      </c>
      <c r="J1581" s="654">
        <v>135527</v>
      </c>
      <c r="K1581" s="654">
        <v>135527</v>
      </c>
      <c r="L1581" s="654">
        <v>0</v>
      </c>
      <c r="M1581" s="654">
        <v>0</v>
      </c>
      <c r="N1581" s="654">
        <v>0</v>
      </c>
    </row>
    <row r="1582" spans="2:14" x14ac:dyDescent="0.15">
      <c r="B1582"/>
      <c r="F1582" t="s">
        <v>734</v>
      </c>
      <c r="H1582" s="654">
        <v>135527</v>
      </c>
      <c r="I1582" s="654">
        <v>0</v>
      </c>
      <c r="J1582" s="654">
        <v>135527</v>
      </c>
      <c r="K1582" s="654">
        <v>135527</v>
      </c>
      <c r="L1582" s="654">
        <v>0</v>
      </c>
      <c r="M1582" s="654">
        <v>0</v>
      </c>
      <c r="N1582" s="654">
        <v>0</v>
      </c>
    </row>
    <row r="1583" spans="2:14" x14ac:dyDescent="0.15">
      <c r="B1583"/>
      <c r="F1583" t="s">
        <v>628</v>
      </c>
      <c r="G1583" t="s">
        <v>598</v>
      </c>
      <c r="H1583" s="654">
        <v>28718</v>
      </c>
      <c r="I1583" s="654">
        <v>0</v>
      </c>
      <c r="J1583" s="654">
        <v>28718</v>
      </c>
      <c r="K1583" s="654">
        <v>28718</v>
      </c>
      <c r="L1583" s="654">
        <v>0</v>
      </c>
      <c r="M1583" s="654">
        <v>0</v>
      </c>
      <c r="N1583" s="654">
        <v>0</v>
      </c>
    </row>
    <row r="1584" spans="2:14" x14ac:dyDescent="0.15">
      <c r="B1584"/>
      <c r="F1584" t="s">
        <v>735</v>
      </c>
      <c r="H1584" s="654">
        <v>28718</v>
      </c>
      <c r="I1584" s="654">
        <v>0</v>
      </c>
      <c r="J1584" s="654">
        <v>28718</v>
      </c>
      <c r="K1584" s="654">
        <v>28718</v>
      </c>
      <c r="L1584" s="654">
        <v>0</v>
      </c>
      <c r="M1584" s="654">
        <v>0</v>
      </c>
      <c r="N1584" s="654">
        <v>0</v>
      </c>
    </row>
    <row r="1585" spans="2:14" x14ac:dyDescent="0.15">
      <c r="B1585"/>
      <c r="E1585" t="s">
        <v>769</v>
      </c>
      <c r="H1585" s="654">
        <v>215475</v>
      </c>
      <c r="I1585" s="654">
        <v>42627</v>
      </c>
      <c r="J1585" s="654">
        <v>258102</v>
      </c>
      <c r="K1585" s="654">
        <v>258102</v>
      </c>
      <c r="L1585" s="654">
        <v>0</v>
      </c>
      <c r="M1585" s="654">
        <v>0</v>
      </c>
      <c r="N1585" s="654">
        <v>0</v>
      </c>
    </row>
    <row r="1586" spans="2:14" x14ac:dyDescent="0.15">
      <c r="B1586"/>
      <c r="D1586" t="s">
        <v>733</v>
      </c>
      <c r="H1586" s="654">
        <v>215475</v>
      </c>
      <c r="I1586" s="654">
        <v>42627</v>
      </c>
      <c r="J1586" s="654">
        <v>258102</v>
      </c>
      <c r="K1586" s="654">
        <v>258102</v>
      </c>
      <c r="L1586" s="654">
        <v>0</v>
      </c>
      <c r="M1586" s="654">
        <v>0</v>
      </c>
      <c r="N1586" s="654">
        <v>0</v>
      </c>
    </row>
    <row r="1587" spans="2:14" x14ac:dyDescent="0.15">
      <c r="B1587"/>
      <c r="D1587" t="s">
        <v>627</v>
      </c>
      <c r="E1587" t="s">
        <v>379</v>
      </c>
      <c r="F1587" t="s">
        <v>626</v>
      </c>
      <c r="G1587" t="s">
        <v>600</v>
      </c>
      <c r="H1587" s="654">
        <v>84066</v>
      </c>
      <c r="I1587" s="654">
        <v>-37349</v>
      </c>
      <c r="J1587" s="654">
        <v>46717</v>
      </c>
      <c r="K1587" s="654">
        <v>46717</v>
      </c>
      <c r="L1587" s="654">
        <v>0</v>
      </c>
      <c r="M1587" s="654">
        <v>0</v>
      </c>
      <c r="N1587" s="654">
        <v>0</v>
      </c>
    </row>
    <row r="1588" spans="2:14" x14ac:dyDescent="0.15">
      <c r="B1588"/>
      <c r="F1588" t="s">
        <v>733</v>
      </c>
      <c r="H1588" s="654">
        <v>84066</v>
      </c>
      <c r="I1588" s="654">
        <v>-37349</v>
      </c>
      <c r="J1588" s="654">
        <v>46717</v>
      </c>
      <c r="K1588" s="654">
        <v>46717</v>
      </c>
      <c r="L1588" s="654">
        <v>0</v>
      </c>
      <c r="M1588" s="654">
        <v>0</v>
      </c>
      <c r="N1588" s="654">
        <v>0</v>
      </c>
    </row>
    <row r="1589" spans="2:14" x14ac:dyDescent="0.15">
      <c r="B1589"/>
      <c r="F1589" t="s">
        <v>627</v>
      </c>
      <c r="G1589" t="s">
        <v>599</v>
      </c>
      <c r="H1589" s="654">
        <v>0</v>
      </c>
      <c r="I1589" s="654">
        <v>0</v>
      </c>
      <c r="J1589" s="654">
        <v>0</v>
      </c>
      <c r="K1589" s="654">
        <v>0</v>
      </c>
      <c r="L1589" s="654">
        <v>0</v>
      </c>
      <c r="M1589" s="654">
        <v>0</v>
      </c>
      <c r="N1589" s="654">
        <v>0</v>
      </c>
    </row>
    <row r="1590" spans="2:14" x14ac:dyDescent="0.15">
      <c r="B1590"/>
      <c r="F1590" t="s">
        <v>734</v>
      </c>
      <c r="H1590" s="654">
        <v>0</v>
      </c>
      <c r="I1590" s="654">
        <v>0</v>
      </c>
      <c r="J1590" s="654">
        <v>0</v>
      </c>
      <c r="K1590" s="654">
        <v>0</v>
      </c>
      <c r="L1590" s="654">
        <v>0</v>
      </c>
      <c r="M1590" s="654">
        <v>0</v>
      </c>
      <c r="N1590" s="654">
        <v>0</v>
      </c>
    </row>
    <row r="1591" spans="2:14" x14ac:dyDescent="0.15">
      <c r="B1591"/>
      <c r="F1591" t="s">
        <v>628</v>
      </c>
      <c r="G1591" t="s">
        <v>598</v>
      </c>
      <c r="H1591" s="654">
        <v>0</v>
      </c>
      <c r="I1591" s="654">
        <v>0</v>
      </c>
      <c r="J1591" s="654">
        <v>0</v>
      </c>
      <c r="K1591" s="654">
        <v>0</v>
      </c>
      <c r="L1591" s="654">
        <v>0</v>
      </c>
      <c r="M1591" s="654">
        <v>0</v>
      </c>
      <c r="N1591" s="654">
        <v>0</v>
      </c>
    </row>
    <row r="1592" spans="2:14" x14ac:dyDescent="0.15">
      <c r="B1592"/>
      <c r="F1592" t="s">
        <v>735</v>
      </c>
      <c r="H1592" s="654">
        <v>0</v>
      </c>
      <c r="I1592" s="654">
        <v>0</v>
      </c>
      <c r="J1592" s="654">
        <v>0</v>
      </c>
      <c r="K1592" s="654">
        <v>0</v>
      </c>
      <c r="L1592" s="654">
        <v>0</v>
      </c>
      <c r="M1592" s="654">
        <v>0</v>
      </c>
      <c r="N1592" s="654">
        <v>0</v>
      </c>
    </row>
    <row r="1593" spans="2:14" x14ac:dyDescent="0.15">
      <c r="B1593"/>
      <c r="E1593" t="s">
        <v>770</v>
      </c>
      <c r="H1593" s="654">
        <v>84066</v>
      </c>
      <c r="I1593" s="654">
        <v>-37349</v>
      </c>
      <c r="J1593" s="654">
        <v>46717</v>
      </c>
      <c r="K1593" s="654">
        <v>46717</v>
      </c>
      <c r="L1593" s="654">
        <v>0</v>
      </c>
      <c r="M1593" s="654">
        <v>0</v>
      </c>
      <c r="N1593" s="654">
        <v>0</v>
      </c>
    </row>
    <row r="1594" spans="2:14" x14ac:dyDescent="0.15">
      <c r="B1594"/>
      <c r="D1594" t="s">
        <v>734</v>
      </c>
      <c r="H1594" s="654">
        <v>84066</v>
      </c>
      <c r="I1594" s="654">
        <v>-37349</v>
      </c>
      <c r="J1594" s="654">
        <v>46717</v>
      </c>
      <c r="K1594" s="654">
        <v>46717</v>
      </c>
      <c r="L1594" s="654">
        <v>0</v>
      </c>
      <c r="M1594" s="654">
        <v>0</v>
      </c>
      <c r="N1594" s="654">
        <v>0</v>
      </c>
    </row>
    <row r="1595" spans="2:14" x14ac:dyDescent="0.15">
      <c r="B1595"/>
      <c r="D1595" t="s">
        <v>628</v>
      </c>
      <c r="E1595" t="s">
        <v>380</v>
      </c>
      <c r="F1595" t="s">
        <v>626</v>
      </c>
      <c r="G1595" t="s">
        <v>600</v>
      </c>
      <c r="H1595" s="654">
        <v>119605</v>
      </c>
      <c r="I1595" s="654">
        <v>-119605</v>
      </c>
      <c r="J1595" s="654">
        <v>0</v>
      </c>
      <c r="K1595" s="654">
        <v>0</v>
      </c>
      <c r="L1595" s="654">
        <v>0</v>
      </c>
      <c r="M1595" s="654">
        <v>0</v>
      </c>
      <c r="N1595" s="654">
        <v>0</v>
      </c>
    </row>
    <row r="1596" spans="2:14" x14ac:dyDescent="0.15">
      <c r="B1596"/>
      <c r="F1596" t="s">
        <v>733</v>
      </c>
      <c r="H1596" s="654">
        <v>119605</v>
      </c>
      <c r="I1596" s="654">
        <v>-119605</v>
      </c>
      <c r="J1596" s="654">
        <v>0</v>
      </c>
      <c r="K1596" s="654">
        <v>0</v>
      </c>
      <c r="L1596" s="654">
        <v>0</v>
      </c>
      <c r="M1596" s="654">
        <v>0</v>
      </c>
      <c r="N1596" s="654">
        <v>0</v>
      </c>
    </row>
    <row r="1597" spans="2:14" x14ac:dyDescent="0.15">
      <c r="B1597"/>
      <c r="F1597" t="s">
        <v>627</v>
      </c>
      <c r="G1597" t="s">
        <v>599</v>
      </c>
      <c r="H1597" s="654">
        <v>53053</v>
      </c>
      <c r="I1597" s="654">
        <v>-53053</v>
      </c>
      <c r="J1597" s="654">
        <v>0</v>
      </c>
      <c r="K1597" s="654">
        <v>0</v>
      </c>
      <c r="L1597" s="654">
        <v>0</v>
      </c>
      <c r="M1597" s="654">
        <v>0</v>
      </c>
      <c r="N1597" s="654">
        <v>0</v>
      </c>
    </row>
    <row r="1598" spans="2:14" x14ac:dyDescent="0.15">
      <c r="B1598"/>
      <c r="F1598" t="s">
        <v>734</v>
      </c>
      <c r="H1598" s="654">
        <v>53053</v>
      </c>
      <c r="I1598" s="654">
        <v>-53053</v>
      </c>
      <c r="J1598" s="654">
        <v>0</v>
      </c>
      <c r="K1598" s="654">
        <v>0</v>
      </c>
      <c r="L1598" s="654">
        <v>0</v>
      </c>
      <c r="M1598" s="654">
        <v>0</v>
      </c>
      <c r="N1598" s="654">
        <v>0</v>
      </c>
    </row>
    <row r="1599" spans="2:14" x14ac:dyDescent="0.15">
      <c r="B1599"/>
      <c r="E1599" t="s">
        <v>771</v>
      </c>
      <c r="H1599" s="654">
        <v>172658</v>
      </c>
      <c r="I1599" s="654">
        <v>-172658</v>
      </c>
      <c r="J1599" s="654">
        <v>0</v>
      </c>
      <c r="K1599" s="654">
        <v>0</v>
      </c>
      <c r="L1599" s="654">
        <v>0</v>
      </c>
      <c r="M1599" s="654">
        <v>0</v>
      </c>
      <c r="N1599" s="654">
        <v>0</v>
      </c>
    </row>
    <row r="1600" spans="2:14" x14ac:dyDescent="0.15">
      <c r="B1600"/>
      <c r="D1600" t="s">
        <v>735</v>
      </c>
      <c r="H1600" s="654">
        <v>172658</v>
      </c>
      <c r="I1600" s="654">
        <v>-172658</v>
      </c>
      <c r="J1600" s="654">
        <v>0</v>
      </c>
      <c r="K1600" s="654">
        <v>0</v>
      </c>
      <c r="L1600" s="654">
        <v>0</v>
      </c>
      <c r="M1600" s="654">
        <v>0</v>
      </c>
      <c r="N1600" s="654">
        <v>0</v>
      </c>
    </row>
    <row r="1601" spans="2:14" x14ac:dyDescent="0.15">
      <c r="B1601"/>
      <c r="D1601" t="s">
        <v>629</v>
      </c>
      <c r="E1601" t="s">
        <v>676</v>
      </c>
      <c r="F1601" t="s">
        <v>629</v>
      </c>
      <c r="G1601" t="s">
        <v>601</v>
      </c>
      <c r="H1601" s="654">
        <v>5266</v>
      </c>
      <c r="I1601" s="654">
        <v>-35467</v>
      </c>
      <c r="J1601" s="654">
        <v>-30201</v>
      </c>
      <c r="K1601" s="654">
        <v>-30201</v>
      </c>
      <c r="L1601" s="654">
        <v>0</v>
      </c>
      <c r="M1601" s="654">
        <v>0</v>
      </c>
      <c r="N1601" s="654">
        <v>0</v>
      </c>
    </row>
    <row r="1602" spans="2:14" x14ac:dyDescent="0.15">
      <c r="B1602"/>
      <c r="F1602" t="s">
        <v>736</v>
      </c>
      <c r="H1602" s="654">
        <v>5266</v>
      </c>
      <c r="I1602" s="654">
        <v>-35467</v>
      </c>
      <c r="J1602" s="654">
        <v>-30201</v>
      </c>
      <c r="K1602" s="654">
        <v>-30201</v>
      </c>
      <c r="L1602" s="654">
        <v>0</v>
      </c>
      <c r="M1602" s="654">
        <v>0</v>
      </c>
      <c r="N1602" s="654">
        <v>0</v>
      </c>
    </row>
    <row r="1603" spans="2:14" x14ac:dyDescent="0.15">
      <c r="B1603"/>
      <c r="E1603" t="s">
        <v>772</v>
      </c>
      <c r="H1603" s="654">
        <v>5266</v>
      </c>
      <c r="I1603" s="654">
        <v>-35467</v>
      </c>
      <c r="J1603" s="654">
        <v>-30201</v>
      </c>
      <c r="K1603" s="654">
        <v>-30201</v>
      </c>
      <c r="L1603" s="654">
        <v>0</v>
      </c>
      <c r="M1603" s="654">
        <v>0</v>
      </c>
      <c r="N1603" s="654">
        <v>0</v>
      </c>
    </row>
    <row r="1604" spans="2:14" x14ac:dyDescent="0.15">
      <c r="B1604"/>
      <c r="D1604" t="s">
        <v>736</v>
      </c>
      <c r="H1604" s="654">
        <v>5266</v>
      </c>
      <c r="I1604" s="654">
        <v>-35467</v>
      </c>
      <c r="J1604" s="654">
        <v>-30201</v>
      </c>
      <c r="K1604" s="654">
        <v>-30201</v>
      </c>
      <c r="L1604" s="654">
        <v>0</v>
      </c>
      <c r="M1604" s="654">
        <v>0</v>
      </c>
      <c r="N1604" s="654">
        <v>0</v>
      </c>
    </row>
    <row r="1605" spans="2:14" x14ac:dyDescent="0.15">
      <c r="B1605"/>
      <c r="D1605" t="s">
        <v>567</v>
      </c>
      <c r="E1605" t="s">
        <v>473</v>
      </c>
      <c r="F1605" t="s">
        <v>631</v>
      </c>
      <c r="G1605" t="s">
        <v>596</v>
      </c>
      <c r="H1605" s="654">
        <v>0</v>
      </c>
      <c r="I1605" s="654">
        <v>0</v>
      </c>
      <c r="J1605" s="654">
        <v>0</v>
      </c>
      <c r="K1605" s="654">
        <v>0</v>
      </c>
      <c r="L1605" s="654">
        <v>0</v>
      </c>
      <c r="M1605" s="654">
        <v>0</v>
      </c>
      <c r="N1605" s="654">
        <v>0</v>
      </c>
    </row>
    <row r="1606" spans="2:14" x14ac:dyDescent="0.15">
      <c r="B1606"/>
      <c r="F1606" t="s">
        <v>737</v>
      </c>
      <c r="H1606" s="654">
        <v>0</v>
      </c>
      <c r="I1606" s="654">
        <v>0</v>
      </c>
      <c r="J1606" s="654">
        <v>0</v>
      </c>
      <c r="K1606" s="654">
        <v>0</v>
      </c>
      <c r="L1606" s="654">
        <v>0</v>
      </c>
      <c r="M1606" s="654">
        <v>0</v>
      </c>
      <c r="N1606" s="654">
        <v>0</v>
      </c>
    </row>
    <row r="1607" spans="2:14" x14ac:dyDescent="0.15">
      <c r="B1607"/>
      <c r="E1607" t="s">
        <v>773</v>
      </c>
      <c r="H1607" s="654">
        <v>0</v>
      </c>
      <c r="I1607" s="654">
        <v>0</v>
      </c>
      <c r="J1607" s="654">
        <v>0</v>
      </c>
      <c r="K1607" s="654">
        <v>0</v>
      </c>
      <c r="L1607" s="654">
        <v>0</v>
      </c>
      <c r="M1607" s="654">
        <v>0</v>
      </c>
      <c r="N1607" s="654">
        <v>0</v>
      </c>
    </row>
    <row r="1608" spans="2:14" x14ac:dyDescent="0.15">
      <c r="B1608"/>
      <c r="D1608" t="s">
        <v>739</v>
      </c>
      <c r="H1608" s="654">
        <v>0</v>
      </c>
      <c r="I1608" s="654">
        <v>0</v>
      </c>
      <c r="J1608" s="654">
        <v>0</v>
      </c>
      <c r="K1608" s="654">
        <v>0</v>
      </c>
      <c r="L1608" s="654">
        <v>0</v>
      </c>
      <c r="M1608" s="654">
        <v>0</v>
      </c>
      <c r="N1608" s="654">
        <v>0</v>
      </c>
    </row>
    <row r="1609" spans="2:14" x14ac:dyDescent="0.15">
      <c r="B1609"/>
      <c r="D1609" t="s">
        <v>568</v>
      </c>
      <c r="E1609" t="s">
        <v>474</v>
      </c>
      <c r="F1609" t="s">
        <v>631</v>
      </c>
      <c r="G1609" t="s">
        <v>596</v>
      </c>
      <c r="H1609" s="654">
        <v>0</v>
      </c>
      <c r="I1609" s="654">
        <v>0</v>
      </c>
      <c r="J1609" s="654">
        <v>0</v>
      </c>
      <c r="K1609" s="654">
        <v>0</v>
      </c>
      <c r="L1609" s="654">
        <v>0</v>
      </c>
      <c r="M1609" s="654">
        <v>0</v>
      </c>
      <c r="N1609" s="654">
        <v>0</v>
      </c>
    </row>
    <row r="1610" spans="2:14" x14ac:dyDescent="0.15">
      <c r="B1610"/>
      <c r="F1610" t="s">
        <v>737</v>
      </c>
      <c r="H1610" s="654">
        <v>0</v>
      </c>
      <c r="I1610" s="654">
        <v>0</v>
      </c>
      <c r="J1610" s="654">
        <v>0</v>
      </c>
      <c r="K1610" s="654">
        <v>0</v>
      </c>
      <c r="L1610" s="654">
        <v>0</v>
      </c>
      <c r="M1610" s="654">
        <v>0</v>
      </c>
      <c r="N1610" s="654">
        <v>0</v>
      </c>
    </row>
    <row r="1611" spans="2:14" x14ac:dyDescent="0.15">
      <c r="B1611"/>
      <c r="E1611" t="s">
        <v>774</v>
      </c>
      <c r="H1611" s="654">
        <v>0</v>
      </c>
      <c r="I1611" s="654">
        <v>0</v>
      </c>
      <c r="J1611" s="654">
        <v>0</v>
      </c>
      <c r="K1611" s="654">
        <v>0</v>
      </c>
      <c r="L1611" s="654">
        <v>0</v>
      </c>
      <c r="M1611" s="654">
        <v>0</v>
      </c>
      <c r="N1611" s="654">
        <v>0</v>
      </c>
    </row>
    <row r="1612" spans="2:14" x14ac:dyDescent="0.15">
      <c r="B1612"/>
      <c r="D1612" t="s">
        <v>740</v>
      </c>
      <c r="H1612" s="654">
        <v>0</v>
      </c>
      <c r="I1612" s="654">
        <v>0</v>
      </c>
      <c r="J1612" s="654">
        <v>0</v>
      </c>
      <c r="K1612" s="654">
        <v>0</v>
      </c>
      <c r="L1612" s="654">
        <v>0</v>
      </c>
      <c r="M1612" s="654">
        <v>0</v>
      </c>
      <c r="N1612" s="654">
        <v>0</v>
      </c>
    </row>
    <row r="1613" spans="2:14" x14ac:dyDescent="0.15">
      <c r="B1613"/>
      <c r="D1613" t="s">
        <v>582</v>
      </c>
      <c r="E1613" t="s">
        <v>384</v>
      </c>
      <c r="F1613" t="s">
        <v>631</v>
      </c>
      <c r="G1613" t="s">
        <v>596</v>
      </c>
      <c r="H1613" s="654">
        <v>0</v>
      </c>
      <c r="I1613" s="654">
        <v>0</v>
      </c>
      <c r="J1613" s="654">
        <v>0</v>
      </c>
      <c r="K1613" s="654">
        <v>0</v>
      </c>
      <c r="L1613" s="654">
        <v>0</v>
      </c>
      <c r="M1613" s="654">
        <v>0</v>
      </c>
      <c r="N1613" s="654">
        <v>0</v>
      </c>
    </row>
    <row r="1614" spans="2:14" x14ac:dyDescent="0.15">
      <c r="B1614"/>
      <c r="F1614" t="s">
        <v>737</v>
      </c>
      <c r="H1614" s="654">
        <v>0</v>
      </c>
      <c r="I1614" s="654">
        <v>0</v>
      </c>
      <c r="J1614" s="654">
        <v>0</v>
      </c>
      <c r="K1614" s="654">
        <v>0</v>
      </c>
      <c r="L1614" s="654">
        <v>0</v>
      </c>
      <c r="M1614" s="654">
        <v>0</v>
      </c>
      <c r="N1614" s="654">
        <v>0</v>
      </c>
    </row>
    <row r="1615" spans="2:14" x14ac:dyDescent="0.15">
      <c r="B1615"/>
      <c r="E1615" t="s">
        <v>778</v>
      </c>
      <c r="H1615" s="654">
        <v>0</v>
      </c>
      <c r="I1615" s="654">
        <v>0</v>
      </c>
      <c r="J1615" s="654">
        <v>0</v>
      </c>
      <c r="K1615" s="654">
        <v>0</v>
      </c>
      <c r="L1615" s="654">
        <v>0</v>
      </c>
      <c r="M1615" s="654">
        <v>0</v>
      </c>
      <c r="N1615" s="654">
        <v>0</v>
      </c>
    </row>
    <row r="1616" spans="2:14" x14ac:dyDescent="0.15">
      <c r="B1616"/>
      <c r="D1616" t="s">
        <v>743</v>
      </c>
      <c r="H1616" s="654">
        <v>0</v>
      </c>
      <c r="I1616" s="654">
        <v>0</v>
      </c>
      <c r="J1616" s="654">
        <v>0</v>
      </c>
      <c r="K1616" s="654">
        <v>0</v>
      </c>
      <c r="L1616" s="654">
        <v>0</v>
      </c>
      <c r="M1616" s="654">
        <v>0</v>
      </c>
      <c r="N1616" s="654">
        <v>0</v>
      </c>
    </row>
    <row r="1617" spans="1:14" x14ac:dyDescent="0.15">
      <c r="B1617"/>
      <c r="D1617" t="s">
        <v>631</v>
      </c>
      <c r="E1617" t="s">
        <v>381</v>
      </c>
      <c r="F1617" t="s">
        <v>626</v>
      </c>
      <c r="G1617" t="s">
        <v>600</v>
      </c>
      <c r="H1617" s="654">
        <v>0</v>
      </c>
      <c r="I1617" s="654">
        <v>0</v>
      </c>
      <c r="J1617" s="654">
        <v>0</v>
      </c>
      <c r="K1617" s="654">
        <v>0</v>
      </c>
      <c r="L1617" s="654">
        <v>0</v>
      </c>
      <c r="M1617" s="654">
        <v>0</v>
      </c>
      <c r="N1617" s="654">
        <v>0</v>
      </c>
    </row>
    <row r="1618" spans="1:14" x14ac:dyDescent="0.15">
      <c r="B1618"/>
      <c r="F1618" t="s">
        <v>733</v>
      </c>
      <c r="H1618" s="654">
        <v>0</v>
      </c>
      <c r="I1618" s="654">
        <v>0</v>
      </c>
      <c r="J1618" s="654">
        <v>0</v>
      </c>
      <c r="K1618" s="654">
        <v>0</v>
      </c>
      <c r="L1618" s="654">
        <v>0</v>
      </c>
      <c r="M1618" s="654">
        <v>0</v>
      </c>
      <c r="N1618" s="654">
        <v>0</v>
      </c>
    </row>
    <row r="1619" spans="1:14" x14ac:dyDescent="0.15">
      <c r="B1619"/>
      <c r="E1619" t="s">
        <v>776</v>
      </c>
      <c r="H1619" s="654">
        <v>0</v>
      </c>
      <c r="I1619" s="654">
        <v>0</v>
      </c>
      <c r="J1619" s="654">
        <v>0</v>
      </c>
      <c r="K1619" s="654">
        <v>0</v>
      </c>
      <c r="L1619" s="654">
        <v>0</v>
      </c>
      <c r="M1619" s="654">
        <v>0</v>
      </c>
      <c r="N1619" s="654">
        <v>0</v>
      </c>
    </row>
    <row r="1620" spans="1:14" x14ac:dyDescent="0.15">
      <c r="B1620"/>
      <c r="D1620" t="s">
        <v>737</v>
      </c>
      <c r="H1620" s="654">
        <v>0</v>
      </c>
      <c r="I1620" s="654">
        <v>0</v>
      </c>
      <c r="J1620" s="654">
        <v>0</v>
      </c>
      <c r="K1620" s="654">
        <v>0</v>
      </c>
      <c r="L1620" s="654">
        <v>0</v>
      </c>
      <c r="M1620" s="654">
        <v>0</v>
      </c>
      <c r="N1620" s="654">
        <v>0</v>
      </c>
    </row>
    <row r="1621" spans="1:14" x14ac:dyDescent="0.15">
      <c r="B1621"/>
      <c r="D1621" t="s">
        <v>671</v>
      </c>
      <c r="E1621" t="s">
        <v>383</v>
      </c>
      <c r="F1621" t="s">
        <v>626</v>
      </c>
      <c r="G1621" t="s">
        <v>600</v>
      </c>
      <c r="H1621" s="654">
        <v>17023</v>
      </c>
      <c r="I1621" s="654">
        <v>0</v>
      </c>
      <c r="J1621" s="654">
        <v>17023</v>
      </c>
      <c r="K1621" s="654">
        <v>17023</v>
      </c>
      <c r="L1621" s="654">
        <v>0</v>
      </c>
      <c r="M1621" s="654">
        <v>0</v>
      </c>
      <c r="N1621" s="654">
        <v>0</v>
      </c>
    </row>
    <row r="1622" spans="1:14" x14ac:dyDescent="0.15">
      <c r="B1622"/>
      <c r="F1622" t="s">
        <v>733</v>
      </c>
      <c r="H1622" s="654">
        <v>17023</v>
      </c>
      <c r="I1622" s="654">
        <v>0</v>
      </c>
      <c r="J1622" s="654">
        <v>17023</v>
      </c>
      <c r="K1622" s="654">
        <v>17023</v>
      </c>
      <c r="L1622" s="654">
        <v>0</v>
      </c>
      <c r="M1622" s="654">
        <v>0</v>
      </c>
      <c r="N1622" s="654">
        <v>0</v>
      </c>
    </row>
    <row r="1623" spans="1:14" x14ac:dyDescent="0.15">
      <c r="B1623"/>
      <c r="F1623" t="s">
        <v>627</v>
      </c>
      <c r="G1623" t="s">
        <v>599</v>
      </c>
      <c r="H1623" s="654">
        <v>2592</v>
      </c>
      <c r="I1623" s="654">
        <v>0</v>
      </c>
      <c r="J1623" s="654">
        <v>2592</v>
      </c>
      <c r="K1623" s="654">
        <v>2592</v>
      </c>
      <c r="L1623" s="654">
        <v>0</v>
      </c>
      <c r="M1623" s="654">
        <v>0</v>
      </c>
      <c r="N1623" s="654">
        <v>0</v>
      </c>
    </row>
    <row r="1624" spans="1:14" x14ac:dyDescent="0.15">
      <c r="B1624"/>
      <c r="F1624" t="s">
        <v>734</v>
      </c>
      <c r="H1624" s="654">
        <v>2592</v>
      </c>
      <c r="I1624" s="654">
        <v>0</v>
      </c>
      <c r="J1624" s="654">
        <v>2592</v>
      </c>
      <c r="K1624" s="654">
        <v>2592</v>
      </c>
      <c r="L1624" s="654">
        <v>0</v>
      </c>
      <c r="M1624" s="654">
        <v>0</v>
      </c>
      <c r="N1624" s="654">
        <v>0</v>
      </c>
    </row>
    <row r="1625" spans="1:14" x14ac:dyDescent="0.15">
      <c r="B1625"/>
      <c r="E1625" t="s">
        <v>777</v>
      </c>
      <c r="H1625" s="654">
        <v>19615</v>
      </c>
      <c r="I1625" s="654">
        <v>0</v>
      </c>
      <c r="J1625" s="654">
        <v>19615</v>
      </c>
      <c r="K1625" s="654">
        <v>19615</v>
      </c>
      <c r="L1625" s="654">
        <v>0</v>
      </c>
      <c r="M1625" s="654">
        <v>0</v>
      </c>
      <c r="N1625" s="654">
        <v>0</v>
      </c>
    </row>
    <row r="1626" spans="1:14" x14ac:dyDescent="0.15">
      <c r="B1626"/>
      <c r="D1626" t="s">
        <v>742</v>
      </c>
      <c r="H1626" s="654">
        <v>19615</v>
      </c>
      <c r="I1626" s="654">
        <v>0</v>
      </c>
      <c r="J1626" s="654">
        <v>19615</v>
      </c>
      <c r="K1626" s="654">
        <v>19615</v>
      </c>
      <c r="L1626" s="654">
        <v>0</v>
      </c>
      <c r="M1626" s="654">
        <v>0</v>
      </c>
      <c r="N1626" s="654">
        <v>0</v>
      </c>
    </row>
    <row r="1627" spans="1:14" x14ac:dyDescent="0.15">
      <c r="B1627"/>
      <c r="C1627" t="s">
        <v>854</v>
      </c>
      <c r="H1627" s="654">
        <v>497080</v>
      </c>
      <c r="I1627" s="654">
        <v>-202847</v>
      </c>
      <c r="J1627" s="654">
        <v>294233</v>
      </c>
      <c r="K1627" s="654">
        <v>294233</v>
      </c>
      <c r="L1627" s="654">
        <v>0</v>
      </c>
      <c r="M1627" s="654">
        <v>0</v>
      </c>
      <c r="N1627" s="654">
        <v>0</v>
      </c>
    </row>
    <row r="1628" spans="1:14" x14ac:dyDescent="0.15">
      <c r="A1628" s="653" t="s">
        <v>632</v>
      </c>
      <c r="B1628"/>
      <c r="H1628" s="654">
        <v>32475088</v>
      </c>
      <c r="I1628" s="654">
        <v>-824312</v>
      </c>
      <c r="J1628" s="654">
        <v>31650776</v>
      </c>
      <c r="K1628" s="654">
        <v>31650776</v>
      </c>
      <c r="L1628" s="654">
        <v>0</v>
      </c>
      <c r="M1628" s="654">
        <v>355113</v>
      </c>
      <c r="N1628" s="654">
        <v>3517168</v>
      </c>
    </row>
    <row r="1629" spans="1:14" x14ac:dyDescent="0.15">
      <c r="A1629" s="653">
        <v>43101</v>
      </c>
      <c r="B1629" t="s">
        <v>626</v>
      </c>
      <c r="C1629" t="s">
        <v>849</v>
      </c>
      <c r="D1629" t="s">
        <v>626</v>
      </c>
      <c r="E1629" t="s">
        <v>378</v>
      </c>
      <c r="F1629" t="s">
        <v>626</v>
      </c>
      <c r="G1629" t="s">
        <v>600</v>
      </c>
      <c r="H1629" s="654">
        <v>7219564</v>
      </c>
      <c r="I1629" s="654">
        <v>-152025</v>
      </c>
      <c r="J1629" s="654">
        <v>7067539</v>
      </c>
      <c r="K1629" s="654">
        <v>7067539</v>
      </c>
      <c r="L1629" s="654">
        <v>0</v>
      </c>
      <c r="M1629" s="654">
        <v>15717</v>
      </c>
      <c r="N1629" s="654">
        <v>1418859</v>
      </c>
    </row>
    <row r="1630" spans="1:14" x14ac:dyDescent="0.15">
      <c r="B1630"/>
      <c r="F1630" t="s">
        <v>733</v>
      </c>
      <c r="H1630" s="654">
        <v>7219564</v>
      </c>
      <c r="I1630" s="654">
        <v>-152025</v>
      </c>
      <c r="J1630" s="654">
        <v>7067539</v>
      </c>
      <c r="K1630" s="654">
        <v>7067539</v>
      </c>
      <c r="L1630" s="654">
        <v>0</v>
      </c>
      <c r="M1630" s="654">
        <v>15717</v>
      </c>
      <c r="N1630" s="654">
        <v>1418859</v>
      </c>
    </row>
    <row r="1631" spans="1:14" x14ac:dyDescent="0.15">
      <c r="B1631"/>
      <c r="F1631" t="s">
        <v>627</v>
      </c>
      <c r="G1631" t="s">
        <v>599</v>
      </c>
      <c r="H1631" s="654">
        <v>1381127</v>
      </c>
      <c r="I1631" s="654">
        <v>0</v>
      </c>
      <c r="J1631" s="654">
        <v>1381127</v>
      </c>
      <c r="K1631" s="654">
        <v>1381127</v>
      </c>
      <c r="L1631" s="654">
        <v>0</v>
      </c>
      <c r="M1631" s="654">
        <v>0</v>
      </c>
      <c r="N1631" s="654">
        <v>297676</v>
      </c>
    </row>
    <row r="1632" spans="1:14" x14ac:dyDescent="0.15">
      <c r="B1632"/>
      <c r="F1632" t="s">
        <v>734</v>
      </c>
      <c r="H1632" s="654">
        <v>1381127</v>
      </c>
      <c r="I1632" s="654">
        <v>0</v>
      </c>
      <c r="J1632" s="654">
        <v>1381127</v>
      </c>
      <c r="K1632" s="654">
        <v>1381127</v>
      </c>
      <c r="L1632" s="654">
        <v>0</v>
      </c>
      <c r="M1632" s="654">
        <v>0</v>
      </c>
      <c r="N1632" s="654">
        <v>297676</v>
      </c>
    </row>
    <row r="1633" spans="2:14" x14ac:dyDescent="0.15">
      <c r="B1633"/>
      <c r="F1633" t="s">
        <v>628</v>
      </c>
      <c r="G1633" t="s">
        <v>598</v>
      </c>
      <c r="H1633" s="654">
        <v>749741</v>
      </c>
      <c r="I1633" s="654">
        <v>0</v>
      </c>
      <c r="J1633" s="654">
        <v>749741</v>
      </c>
      <c r="K1633" s="654">
        <v>749741</v>
      </c>
      <c r="L1633" s="654">
        <v>0</v>
      </c>
      <c r="M1633" s="654">
        <v>0</v>
      </c>
      <c r="N1633" s="654">
        <v>0</v>
      </c>
    </row>
    <row r="1634" spans="2:14" x14ac:dyDescent="0.15">
      <c r="B1634"/>
      <c r="F1634" t="s">
        <v>735</v>
      </c>
      <c r="H1634" s="654">
        <v>749741</v>
      </c>
      <c r="I1634" s="654">
        <v>0</v>
      </c>
      <c r="J1634" s="654">
        <v>749741</v>
      </c>
      <c r="K1634" s="654">
        <v>749741</v>
      </c>
      <c r="L1634" s="654">
        <v>0</v>
      </c>
      <c r="M1634" s="654">
        <v>0</v>
      </c>
      <c r="N1634" s="654">
        <v>0</v>
      </c>
    </row>
    <row r="1635" spans="2:14" x14ac:dyDescent="0.15">
      <c r="B1635"/>
      <c r="E1635" t="s">
        <v>769</v>
      </c>
      <c r="H1635" s="654">
        <v>9350432</v>
      </c>
      <c r="I1635" s="654">
        <v>-152025</v>
      </c>
      <c r="J1635" s="654">
        <v>9198407</v>
      </c>
      <c r="K1635" s="654">
        <v>9198407</v>
      </c>
      <c r="L1635" s="654">
        <v>0</v>
      </c>
      <c r="M1635" s="654">
        <v>15717</v>
      </c>
      <c r="N1635" s="654">
        <v>1716535</v>
      </c>
    </row>
    <row r="1636" spans="2:14" x14ac:dyDescent="0.15">
      <c r="B1636"/>
      <c r="D1636" t="s">
        <v>733</v>
      </c>
      <c r="H1636" s="654">
        <v>9350432</v>
      </c>
      <c r="I1636" s="654">
        <v>-152025</v>
      </c>
      <c r="J1636" s="654">
        <v>9198407</v>
      </c>
      <c r="K1636" s="654">
        <v>9198407</v>
      </c>
      <c r="L1636" s="654">
        <v>0</v>
      </c>
      <c r="M1636" s="654">
        <v>15717</v>
      </c>
      <c r="N1636" s="654">
        <v>1716535</v>
      </c>
    </row>
    <row r="1637" spans="2:14" x14ac:dyDescent="0.15">
      <c r="B1637"/>
      <c r="D1637" t="s">
        <v>627</v>
      </c>
      <c r="E1637" t="s">
        <v>379</v>
      </c>
      <c r="F1637" t="s">
        <v>626</v>
      </c>
      <c r="G1637" t="s">
        <v>600</v>
      </c>
      <c r="H1637" s="654">
        <v>4021205</v>
      </c>
      <c r="I1637" s="654">
        <v>-152543</v>
      </c>
      <c r="J1637" s="654">
        <v>3868662</v>
      </c>
      <c r="K1637" s="654">
        <v>3868662</v>
      </c>
      <c r="L1637" s="654">
        <v>0</v>
      </c>
      <c r="M1637" s="654">
        <v>19989</v>
      </c>
      <c r="N1637" s="654">
        <v>421938</v>
      </c>
    </row>
    <row r="1638" spans="2:14" x14ac:dyDescent="0.15">
      <c r="B1638"/>
      <c r="F1638" t="s">
        <v>733</v>
      </c>
      <c r="H1638" s="654">
        <v>4021205</v>
      </c>
      <c r="I1638" s="654">
        <v>-152543</v>
      </c>
      <c r="J1638" s="654">
        <v>3868662</v>
      </c>
      <c r="K1638" s="654">
        <v>3868662</v>
      </c>
      <c r="L1638" s="654">
        <v>0</v>
      </c>
      <c r="M1638" s="654">
        <v>19989</v>
      </c>
      <c r="N1638" s="654">
        <v>421938</v>
      </c>
    </row>
    <row r="1639" spans="2:14" x14ac:dyDescent="0.15">
      <c r="B1639"/>
      <c r="F1639" t="s">
        <v>627</v>
      </c>
      <c r="G1639" t="s">
        <v>599</v>
      </c>
      <c r="H1639" s="654">
        <v>947767</v>
      </c>
      <c r="I1639" s="654">
        <v>-82913</v>
      </c>
      <c r="J1639" s="654">
        <v>864854</v>
      </c>
      <c r="K1639" s="654">
        <v>864854</v>
      </c>
      <c r="L1639" s="654">
        <v>0</v>
      </c>
      <c r="M1639" s="654">
        <v>0</v>
      </c>
      <c r="N1639" s="654">
        <v>195922</v>
      </c>
    </row>
    <row r="1640" spans="2:14" x14ac:dyDescent="0.15">
      <c r="B1640"/>
      <c r="F1640" t="s">
        <v>734</v>
      </c>
      <c r="H1640" s="654">
        <v>947767</v>
      </c>
      <c r="I1640" s="654">
        <v>-82913</v>
      </c>
      <c r="J1640" s="654">
        <v>864854</v>
      </c>
      <c r="K1640" s="654">
        <v>864854</v>
      </c>
      <c r="L1640" s="654">
        <v>0</v>
      </c>
      <c r="M1640" s="654">
        <v>0</v>
      </c>
      <c r="N1640" s="654">
        <v>195922</v>
      </c>
    </row>
    <row r="1641" spans="2:14" x14ac:dyDescent="0.15">
      <c r="B1641"/>
      <c r="F1641" t="s">
        <v>628</v>
      </c>
      <c r="G1641" t="s">
        <v>598</v>
      </c>
      <c r="H1641" s="654">
        <v>421194</v>
      </c>
      <c r="I1641" s="654">
        <v>0</v>
      </c>
      <c r="J1641" s="654">
        <v>421194</v>
      </c>
      <c r="K1641" s="654">
        <v>421194</v>
      </c>
      <c r="L1641" s="654">
        <v>0</v>
      </c>
      <c r="M1641" s="654">
        <v>0</v>
      </c>
      <c r="N1641" s="654">
        <v>0</v>
      </c>
    </row>
    <row r="1642" spans="2:14" x14ac:dyDescent="0.15">
      <c r="B1642"/>
      <c r="F1642" t="s">
        <v>735</v>
      </c>
      <c r="H1642" s="654">
        <v>421194</v>
      </c>
      <c r="I1642" s="654">
        <v>0</v>
      </c>
      <c r="J1642" s="654">
        <v>421194</v>
      </c>
      <c r="K1642" s="654">
        <v>421194</v>
      </c>
      <c r="L1642" s="654">
        <v>0</v>
      </c>
      <c r="M1642" s="654">
        <v>0</v>
      </c>
      <c r="N1642" s="654">
        <v>0</v>
      </c>
    </row>
    <row r="1643" spans="2:14" x14ac:dyDescent="0.15">
      <c r="B1643"/>
      <c r="E1643" t="s">
        <v>770</v>
      </c>
      <c r="H1643" s="654">
        <v>5390166</v>
      </c>
      <c r="I1643" s="654">
        <v>-235456</v>
      </c>
      <c r="J1643" s="654">
        <v>5154710</v>
      </c>
      <c r="K1643" s="654">
        <v>5154710</v>
      </c>
      <c r="L1643" s="654">
        <v>0</v>
      </c>
      <c r="M1643" s="654">
        <v>19989</v>
      </c>
      <c r="N1643" s="654">
        <v>617860</v>
      </c>
    </row>
    <row r="1644" spans="2:14" x14ac:dyDescent="0.15">
      <c r="B1644"/>
      <c r="D1644" t="s">
        <v>734</v>
      </c>
      <c r="H1644" s="654">
        <v>5390166</v>
      </c>
      <c r="I1644" s="654">
        <v>-235456</v>
      </c>
      <c r="J1644" s="654">
        <v>5154710</v>
      </c>
      <c r="K1644" s="654">
        <v>5154710</v>
      </c>
      <c r="L1644" s="654">
        <v>0</v>
      </c>
      <c r="M1644" s="654">
        <v>19989</v>
      </c>
      <c r="N1644" s="654">
        <v>617860</v>
      </c>
    </row>
    <row r="1645" spans="2:14" x14ac:dyDescent="0.15">
      <c r="B1645"/>
      <c r="D1645" t="s">
        <v>628</v>
      </c>
      <c r="E1645" t="s">
        <v>380</v>
      </c>
      <c r="F1645" t="s">
        <v>626</v>
      </c>
      <c r="G1645" t="s">
        <v>600</v>
      </c>
      <c r="H1645" s="654">
        <v>3526471</v>
      </c>
      <c r="I1645" s="654">
        <v>-39403</v>
      </c>
      <c r="J1645" s="654">
        <v>3487068</v>
      </c>
      <c r="K1645" s="654">
        <v>3487068</v>
      </c>
      <c r="L1645" s="654">
        <v>0</v>
      </c>
      <c r="M1645" s="654">
        <v>29138</v>
      </c>
      <c r="N1645" s="654">
        <v>379228</v>
      </c>
    </row>
    <row r="1646" spans="2:14" x14ac:dyDescent="0.15">
      <c r="B1646"/>
      <c r="F1646" t="s">
        <v>733</v>
      </c>
      <c r="H1646" s="654">
        <v>3526471</v>
      </c>
      <c r="I1646" s="654">
        <v>-39403</v>
      </c>
      <c r="J1646" s="654">
        <v>3487068</v>
      </c>
      <c r="K1646" s="654">
        <v>3487068</v>
      </c>
      <c r="L1646" s="654">
        <v>0</v>
      </c>
      <c r="M1646" s="654">
        <v>29138</v>
      </c>
      <c r="N1646" s="654">
        <v>379228</v>
      </c>
    </row>
    <row r="1647" spans="2:14" x14ac:dyDescent="0.15">
      <c r="B1647"/>
      <c r="F1647" t="s">
        <v>627</v>
      </c>
      <c r="G1647" t="s">
        <v>599</v>
      </c>
      <c r="H1647" s="654">
        <v>1904318</v>
      </c>
      <c r="I1647" s="654">
        <v>0</v>
      </c>
      <c r="J1647" s="654">
        <v>1904318</v>
      </c>
      <c r="K1647" s="654">
        <v>1904318</v>
      </c>
      <c r="L1647" s="654">
        <v>0</v>
      </c>
      <c r="M1647" s="654">
        <v>0</v>
      </c>
      <c r="N1647" s="654">
        <v>524588</v>
      </c>
    </row>
    <row r="1648" spans="2:14" x14ac:dyDescent="0.15">
      <c r="B1648"/>
      <c r="F1648" t="s">
        <v>734</v>
      </c>
      <c r="H1648" s="654">
        <v>1904318</v>
      </c>
      <c r="I1648" s="654">
        <v>0</v>
      </c>
      <c r="J1648" s="654">
        <v>1904318</v>
      </c>
      <c r="K1648" s="654">
        <v>1904318</v>
      </c>
      <c r="L1648" s="654">
        <v>0</v>
      </c>
      <c r="M1648" s="654">
        <v>0</v>
      </c>
      <c r="N1648" s="654">
        <v>524588</v>
      </c>
    </row>
    <row r="1649" spans="2:14" x14ac:dyDescent="0.15">
      <c r="B1649"/>
      <c r="E1649" t="s">
        <v>771</v>
      </c>
      <c r="H1649" s="654">
        <v>5430789</v>
      </c>
      <c r="I1649" s="654">
        <v>-39403</v>
      </c>
      <c r="J1649" s="654">
        <v>5391386</v>
      </c>
      <c r="K1649" s="654">
        <v>5391386</v>
      </c>
      <c r="L1649" s="654">
        <v>0</v>
      </c>
      <c r="M1649" s="654">
        <v>29138</v>
      </c>
      <c r="N1649" s="654">
        <v>903816</v>
      </c>
    </row>
    <row r="1650" spans="2:14" x14ac:dyDescent="0.15">
      <c r="B1650"/>
      <c r="D1650" t="s">
        <v>735</v>
      </c>
      <c r="H1650" s="654">
        <v>5430789</v>
      </c>
      <c r="I1650" s="654">
        <v>-39403</v>
      </c>
      <c r="J1650" s="654">
        <v>5391386</v>
      </c>
      <c r="K1650" s="654">
        <v>5391386</v>
      </c>
      <c r="L1650" s="654">
        <v>0</v>
      </c>
      <c r="M1650" s="654">
        <v>29138</v>
      </c>
      <c r="N1650" s="654">
        <v>903816</v>
      </c>
    </row>
    <row r="1651" spans="2:14" x14ac:dyDescent="0.15">
      <c r="B1651"/>
      <c r="D1651" t="s">
        <v>629</v>
      </c>
      <c r="E1651" t="s">
        <v>676</v>
      </c>
      <c r="F1651" t="s">
        <v>629</v>
      </c>
      <c r="G1651" t="s">
        <v>601</v>
      </c>
      <c r="H1651" s="654">
        <v>3148868</v>
      </c>
      <c r="I1651" s="654">
        <v>-14702</v>
      </c>
      <c r="J1651" s="654">
        <v>3134166</v>
      </c>
      <c r="K1651" s="654">
        <v>3134166</v>
      </c>
      <c r="L1651" s="654">
        <v>0</v>
      </c>
      <c r="M1651" s="654">
        <v>11902</v>
      </c>
      <c r="N1651" s="654">
        <v>174710</v>
      </c>
    </row>
    <row r="1652" spans="2:14" x14ac:dyDescent="0.15">
      <c r="B1652"/>
      <c r="F1652" t="s">
        <v>736</v>
      </c>
      <c r="H1652" s="654">
        <v>3148868</v>
      </c>
      <c r="I1652" s="654">
        <v>-14702</v>
      </c>
      <c r="J1652" s="654">
        <v>3134166</v>
      </c>
      <c r="K1652" s="654">
        <v>3134166</v>
      </c>
      <c r="L1652" s="654">
        <v>0</v>
      </c>
      <c r="M1652" s="654">
        <v>11902</v>
      </c>
      <c r="N1652" s="654">
        <v>174710</v>
      </c>
    </row>
    <row r="1653" spans="2:14" x14ac:dyDescent="0.15">
      <c r="B1653"/>
      <c r="E1653" t="s">
        <v>772</v>
      </c>
      <c r="H1653" s="654">
        <v>3148868</v>
      </c>
      <c r="I1653" s="654">
        <v>-14702</v>
      </c>
      <c r="J1653" s="654">
        <v>3134166</v>
      </c>
      <c r="K1653" s="654">
        <v>3134166</v>
      </c>
      <c r="L1653" s="654">
        <v>0</v>
      </c>
      <c r="M1653" s="654">
        <v>11902</v>
      </c>
      <c r="N1653" s="654">
        <v>174710</v>
      </c>
    </row>
    <row r="1654" spans="2:14" x14ac:dyDescent="0.15">
      <c r="B1654"/>
      <c r="D1654" t="s">
        <v>736</v>
      </c>
      <c r="H1654" s="654">
        <v>3148868</v>
      </c>
      <c r="I1654" s="654">
        <v>-14702</v>
      </c>
      <c r="J1654" s="654">
        <v>3134166</v>
      </c>
      <c r="K1654" s="654">
        <v>3134166</v>
      </c>
      <c r="L1654" s="654">
        <v>0</v>
      </c>
      <c r="M1654" s="654">
        <v>11902</v>
      </c>
      <c r="N1654" s="654">
        <v>174710</v>
      </c>
    </row>
    <row r="1655" spans="2:14" x14ac:dyDescent="0.15">
      <c r="B1655"/>
      <c r="D1655" t="s">
        <v>567</v>
      </c>
      <c r="E1655" t="s">
        <v>473</v>
      </c>
      <c r="F1655" t="s">
        <v>631</v>
      </c>
      <c r="G1655" t="s">
        <v>596</v>
      </c>
      <c r="H1655" s="654">
        <v>778040</v>
      </c>
      <c r="I1655" s="654">
        <v>0</v>
      </c>
      <c r="J1655" s="654">
        <v>778040</v>
      </c>
      <c r="K1655" s="654">
        <v>778040</v>
      </c>
      <c r="L1655" s="654">
        <v>0</v>
      </c>
      <c r="M1655" s="654">
        <v>0</v>
      </c>
      <c r="N1655" s="654">
        <v>271654</v>
      </c>
    </row>
    <row r="1656" spans="2:14" x14ac:dyDescent="0.15">
      <c r="B1656"/>
      <c r="F1656" t="s">
        <v>737</v>
      </c>
      <c r="H1656" s="654">
        <v>778040</v>
      </c>
      <c r="I1656" s="654">
        <v>0</v>
      </c>
      <c r="J1656" s="654">
        <v>778040</v>
      </c>
      <c r="K1656" s="654">
        <v>778040</v>
      </c>
      <c r="L1656" s="654">
        <v>0</v>
      </c>
      <c r="M1656" s="654">
        <v>0</v>
      </c>
      <c r="N1656" s="654">
        <v>271654</v>
      </c>
    </row>
    <row r="1657" spans="2:14" x14ac:dyDescent="0.15">
      <c r="B1657"/>
      <c r="E1657" t="s">
        <v>773</v>
      </c>
      <c r="H1657" s="654">
        <v>778040</v>
      </c>
      <c r="I1657" s="654">
        <v>0</v>
      </c>
      <c r="J1657" s="654">
        <v>778040</v>
      </c>
      <c r="K1657" s="654">
        <v>778040</v>
      </c>
      <c r="L1657" s="654">
        <v>0</v>
      </c>
      <c r="M1657" s="654">
        <v>0</v>
      </c>
      <c r="N1657" s="654">
        <v>271654</v>
      </c>
    </row>
    <row r="1658" spans="2:14" x14ac:dyDescent="0.15">
      <c r="B1658"/>
      <c r="D1658" t="s">
        <v>739</v>
      </c>
      <c r="H1658" s="654">
        <v>778040</v>
      </c>
      <c r="I1658" s="654">
        <v>0</v>
      </c>
      <c r="J1658" s="654">
        <v>778040</v>
      </c>
      <c r="K1658" s="654">
        <v>778040</v>
      </c>
      <c r="L1658" s="654">
        <v>0</v>
      </c>
      <c r="M1658" s="654">
        <v>0</v>
      </c>
      <c r="N1658" s="654">
        <v>271654</v>
      </c>
    </row>
    <row r="1659" spans="2:14" x14ac:dyDescent="0.15">
      <c r="B1659"/>
      <c r="D1659" t="s">
        <v>568</v>
      </c>
      <c r="E1659" t="s">
        <v>474</v>
      </c>
      <c r="F1659" t="s">
        <v>631</v>
      </c>
      <c r="G1659" t="s">
        <v>596</v>
      </c>
      <c r="H1659" s="654">
        <v>938092</v>
      </c>
      <c r="I1659" s="654">
        <v>0</v>
      </c>
      <c r="J1659" s="654">
        <v>938092</v>
      </c>
      <c r="K1659" s="654">
        <v>938092</v>
      </c>
      <c r="L1659" s="654">
        <v>0</v>
      </c>
      <c r="M1659" s="654">
        <v>0</v>
      </c>
      <c r="N1659" s="654">
        <v>0</v>
      </c>
    </row>
    <row r="1660" spans="2:14" x14ac:dyDescent="0.15">
      <c r="B1660"/>
      <c r="F1660" t="s">
        <v>737</v>
      </c>
      <c r="H1660" s="654">
        <v>938092</v>
      </c>
      <c r="I1660" s="654">
        <v>0</v>
      </c>
      <c r="J1660" s="654">
        <v>938092</v>
      </c>
      <c r="K1660" s="654">
        <v>938092</v>
      </c>
      <c r="L1660" s="654">
        <v>0</v>
      </c>
      <c r="M1660" s="654">
        <v>0</v>
      </c>
      <c r="N1660" s="654">
        <v>0</v>
      </c>
    </row>
    <row r="1661" spans="2:14" x14ac:dyDescent="0.15">
      <c r="B1661"/>
      <c r="E1661" t="s">
        <v>774</v>
      </c>
      <c r="H1661" s="654">
        <v>938092</v>
      </c>
      <c r="I1661" s="654">
        <v>0</v>
      </c>
      <c r="J1661" s="654">
        <v>938092</v>
      </c>
      <c r="K1661" s="654">
        <v>938092</v>
      </c>
      <c r="L1661" s="654">
        <v>0</v>
      </c>
      <c r="M1661" s="654">
        <v>0</v>
      </c>
      <c r="N1661" s="654">
        <v>0</v>
      </c>
    </row>
    <row r="1662" spans="2:14" x14ac:dyDescent="0.15">
      <c r="B1662"/>
      <c r="D1662" t="s">
        <v>740</v>
      </c>
      <c r="H1662" s="654">
        <v>938092</v>
      </c>
      <c r="I1662" s="654">
        <v>0</v>
      </c>
      <c r="J1662" s="654">
        <v>938092</v>
      </c>
      <c r="K1662" s="654">
        <v>938092</v>
      </c>
      <c r="L1662" s="654">
        <v>0</v>
      </c>
      <c r="M1662" s="654">
        <v>0</v>
      </c>
      <c r="N1662" s="654">
        <v>0</v>
      </c>
    </row>
    <row r="1663" spans="2:14" x14ac:dyDescent="0.15">
      <c r="B1663"/>
      <c r="D1663" t="s">
        <v>582</v>
      </c>
      <c r="E1663" t="s">
        <v>384</v>
      </c>
      <c r="F1663" t="s">
        <v>631</v>
      </c>
      <c r="G1663" t="s">
        <v>596</v>
      </c>
      <c r="H1663" s="654">
        <v>2396635</v>
      </c>
      <c r="I1663" s="654">
        <v>0</v>
      </c>
      <c r="J1663" s="654">
        <v>2396635</v>
      </c>
      <c r="K1663" s="654">
        <v>2396635</v>
      </c>
      <c r="L1663" s="654">
        <v>0</v>
      </c>
      <c r="M1663" s="654">
        <v>0</v>
      </c>
      <c r="N1663" s="654">
        <v>0</v>
      </c>
    </row>
    <row r="1664" spans="2:14" x14ac:dyDescent="0.15">
      <c r="B1664"/>
      <c r="F1664" t="s">
        <v>737</v>
      </c>
      <c r="H1664" s="654">
        <v>2396635</v>
      </c>
      <c r="I1664" s="654">
        <v>0</v>
      </c>
      <c r="J1664" s="654">
        <v>2396635</v>
      </c>
      <c r="K1664" s="654">
        <v>2396635</v>
      </c>
      <c r="L1664" s="654">
        <v>0</v>
      </c>
      <c r="M1664" s="654">
        <v>0</v>
      </c>
      <c r="N1664" s="654">
        <v>0</v>
      </c>
    </row>
    <row r="1665" spans="2:14" x14ac:dyDescent="0.15">
      <c r="B1665"/>
      <c r="E1665" t="s">
        <v>778</v>
      </c>
      <c r="H1665" s="654">
        <v>2396635</v>
      </c>
      <c r="I1665" s="654">
        <v>0</v>
      </c>
      <c r="J1665" s="654">
        <v>2396635</v>
      </c>
      <c r="K1665" s="654">
        <v>2396635</v>
      </c>
      <c r="L1665" s="654">
        <v>0</v>
      </c>
      <c r="M1665" s="654">
        <v>0</v>
      </c>
      <c r="N1665" s="654">
        <v>0</v>
      </c>
    </row>
    <row r="1666" spans="2:14" x14ac:dyDescent="0.15">
      <c r="B1666"/>
      <c r="D1666" t="s">
        <v>743</v>
      </c>
      <c r="H1666" s="654">
        <v>2396635</v>
      </c>
      <c r="I1666" s="654">
        <v>0</v>
      </c>
      <c r="J1666" s="654">
        <v>2396635</v>
      </c>
      <c r="K1666" s="654">
        <v>2396635</v>
      </c>
      <c r="L1666" s="654">
        <v>0</v>
      </c>
      <c r="M1666" s="654">
        <v>0</v>
      </c>
      <c r="N1666" s="654">
        <v>0</v>
      </c>
    </row>
    <row r="1667" spans="2:14" x14ac:dyDescent="0.15">
      <c r="B1667"/>
      <c r="D1667" t="s">
        <v>631</v>
      </c>
      <c r="E1667" t="s">
        <v>381</v>
      </c>
      <c r="F1667" t="s">
        <v>626</v>
      </c>
      <c r="G1667" t="s">
        <v>600</v>
      </c>
      <c r="H1667" s="654">
        <v>2007541</v>
      </c>
      <c r="I1667" s="654">
        <v>0</v>
      </c>
      <c r="J1667" s="654">
        <v>2007541</v>
      </c>
      <c r="K1667" s="654">
        <v>2007541</v>
      </c>
      <c r="L1667" s="654">
        <v>0</v>
      </c>
      <c r="M1667" s="654">
        <v>0</v>
      </c>
      <c r="N1667" s="654">
        <v>0</v>
      </c>
    </row>
    <row r="1668" spans="2:14" x14ac:dyDescent="0.15">
      <c r="B1668"/>
      <c r="F1668" t="s">
        <v>733</v>
      </c>
      <c r="H1668" s="654">
        <v>2007541</v>
      </c>
      <c r="I1668" s="654">
        <v>0</v>
      </c>
      <c r="J1668" s="654">
        <v>2007541</v>
      </c>
      <c r="K1668" s="654">
        <v>2007541</v>
      </c>
      <c r="L1668" s="654">
        <v>0</v>
      </c>
      <c r="M1668" s="654">
        <v>0</v>
      </c>
      <c r="N1668" s="654">
        <v>0</v>
      </c>
    </row>
    <row r="1669" spans="2:14" x14ac:dyDescent="0.15">
      <c r="B1669"/>
      <c r="E1669" t="s">
        <v>776</v>
      </c>
      <c r="H1669" s="654">
        <v>2007541</v>
      </c>
      <c r="I1669" s="654">
        <v>0</v>
      </c>
      <c r="J1669" s="654">
        <v>2007541</v>
      </c>
      <c r="K1669" s="654">
        <v>2007541</v>
      </c>
      <c r="L1669" s="654">
        <v>0</v>
      </c>
      <c r="M1669" s="654">
        <v>0</v>
      </c>
      <c r="N1669" s="654">
        <v>0</v>
      </c>
    </row>
    <row r="1670" spans="2:14" x14ac:dyDescent="0.15">
      <c r="B1670"/>
      <c r="D1670" t="s">
        <v>737</v>
      </c>
      <c r="H1670" s="654">
        <v>2007541</v>
      </c>
      <c r="I1670" s="654">
        <v>0</v>
      </c>
      <c r="J1670" s="654">
        <v>2007541</v>
      </c>
      <c r="K1670" s="654">
        <v>2007541</v>
      </c>
      <c r="L1670" s="654">
        <v>0</v>
      </c>
      <c r="M1670" s="654">
        <v>0</v>
      </c>
      <c r="N1670" s="654">
        <v>0</v>
      </c>
    </row>
    <row r="1671" spans="2:14" x14ac:dyDescent="0.15">
      <c r="B1671"/>
      <c r="D1671" t="s">
        <v>671</v>
      </c>
      <c r="E1671" t="s">
        <v>383</v>
      </c>
      <c r="F1671" t="s">
        <v>626</v>
      </c>
      <c r="G1671" t="s">
        <v>600</v>
      </c>
      <c r="H1671" s="654">
        <v>935055</v>
      </c>
      <c r="I1671" s="654">
        <v>-9116</v>
      </c>
      <c r="J1671" s="654">
        <v>925939</v>
      </c>
      <c r="K1671" s="654">
        <v>925939</v>
      </c>
      <c r="L1671" s="654">
        <v>0</v>
      </c>
      <c r="M1671" s="654">
        <v>18104</v>
      </c>
      <c r="N1671" s="654">
        <v>0</v>
      </c>
    </row>
    <row r="1672" spans="2:14" x14ac:dyDescent="0.15">
      <c r="B1672"/>
      <c r="F1672" t="s">
        <v>733</v>
      </c>
      <c r="H1672" s="654">
        <v>935055</v>
      </c>
      <c r="I1672" s="654">
        <v>-9116</v>
      </c>
      <c r="J1672" s="654">
        <v>925939</v>
      </c>
      <c r="K1672" s="654">
        <v>925939</v>
      </c>
      <c r="L1672" s="654">
        <v>0</v>
      </c>
      <c r="M1672" s="654">
        <v>18104</v>
      </c>
      <c r="N1672" s="654">
        <v>0</v>
      </c>
    </row>
    <row r="1673" spans="2:14" x14ac:dyDescent="0.15">
      <c r="B1673"/>
      <c r="F1673" t="s">
        <v>627</v>
      </c>
      <c r="G1673" t="s">
        <v>599</v>
      </c>
      <c r="H1673" s="654">
        <v>23400</v>
      </c>
      <c r="I1673" s="654">
        <v>0</v>
      </c>
      <c r="J1673" s="654">
        <v>23400</v>
      </c>
      <c r="K1673" s="654">
        <v>23400</v>
      </c>
      <c r="L1673" s="654">
        <v>0</v>
      </c>
      <c r="M1673" s="654">
        <v>0</v>
      </c>
      <c r="N1673" s="654">
        <v>0</v>
      </c>
    </row>
    <row r="1674" spans="2:14" x14ac:dyDescent="0.15">
      <c r="B1674"/>
      <c r="F1674" t="s">
        <v>734</v>
      </c>
      <c r="H1674" s="654">
        <v>23400</v>
      </c>
      <c r="I1674" s="654">
        <v>0</v>
      </c>
      <c r="J1674" s="654">
        <v>23400</v>
      </c>
      <c r="K1674" s="654">
        <v>23400</v>
      </c>
      <c r="L1674" s="654">
        <v>0</v>
      </c>
      <c r="M1674" s="654">
        <v>0</v>
      </c>
      <c r="N1674" s="654">
        <v>0</v>
      </c>
    </row>
    <row r="1675" spans="2:14" x14ac:dyDescent="0.15">
      <c r="B1675"/>
      <c r="E1675" t="s">
        <v>777</v>
      </c>
      <c r="H1675" s="654">
        <v>958455</v>
      </c>
      <c r="I1675" s="654">
        <v>-9116</v>
      </c>
      <c r="J1675" s="654">
        <v>949339</v>
      </c>
      <c r="K1675" s="654">
        <v>949339</v>
      </c>
      <c r="L1675" s="654">
        <v>0</v>
      </c>
      <c r="M1675" s="654">
        <v>18104</v>
      </c>
      <c r="N1675" s="654">
        <v>0</v>
      </c>
    </row>
    <row r="1676" spans="2:14" x14ac:dyDescent="0.15">
      <c r="B1676"/>
      <c r="D1676" t="s">
        <v>742</v>
      </c>
      <c r="H1676" s="654">
        <v>958455</v>
      </c>
      <c r="I1676" s="654">
        <v>-9116</v>
      </c>
      <c r="J1676" s="654">
        <v>949339</v>
      </c>
      <c r="K1676" s="654">
        <v>949339</v>
      </c>
      <c r="L1676" s="654">
        <v>0</v>
      </c>
      <c r="M1676" s="654">
        <v>18104</v>
      </c>
      <c r="N1676" s="654">
        <v>0</v>
      </c>
    </row>
    <row r="1677" spans="2:14" x14ac:dyDescent="0.15">
      <c r="B1677"/>
      <c r="C1677" t="s">
        <v>853</v>
      </c>
      <c r="H1677" s="654">
        <v>30399018</v>
      </c>
      <c r="I1677" s="654">
        <v>-450702</v>
      </c>
      <c r="J1677" s="654">
        <v>29948316</v>
      </c>
      <c r="K1677" s="654">
        <v>29948316</v>
      </c>
      <c r="L1677" s="654">
        <v>0</v>
      </c>
      <c r="M1677" s="654">
        <v>94850</v>
      </c>
      <c r="N1677" s="654">
        <v>3684575</v>
      </c>
    </row>
    <row r="1678" spans="2:14" x14ac:dyDescent="0.15">
      <c r="B1678" t="s">
        <v>627</v>
      </c>
      <c r="C1678" t="s">
        <v>847</v>
      </c>
      <c r="D1678" t="s">
        <v>626</v>
      </c>
      <c r="E1678" t="s">
        <v>378</v>
      </c>
      <c r="F1678" t="s">
        <v>626</v>
      </c>
      <c r="G1678" t="s">
        <v>600</v>
      </c>
      <c r="H1678" s="654">
        <v>496692</v>
      </c>
      <c r="I1678" s="654">
        <v>0</v>
      </c>
      <c r="J1678" s="654">
        <v>496692</v>
      </c>
      <c r="K1678" s="654">
        <v>496692</v>
      </c>
      <c r="L1678" s="654">
        <v>0</v>
      </c>
      <c r="M1678" s="654">
        <v>0</v>
      </c>
      <c r="N1678" s="654">
        <v>0</v>
      </c>
    </row>
    <row r="1679" spans="2:14" x14ac:dyDescent="0.15">
      <c r="B1679"/>
      <c r="F1679" t="s">
        <v>733</v>
      </c>
      <c r="H1679" s="654">
        <v>496692</v>
      </c>
      <c r="I1679" s="654">
        <v>0</v>
      </c>
      <c r="J1679" s="654">
        <v>496692</v>
      </c>
      <c r="K1679" s="654">
        <v>496692</v>
      </c>
      <c r="L1679" s="654">
        <v>0</v>
      </c>
      <c r="M1679" s="654">
        <v>0</v>
      </c>
      <c r="N1679" s="654">
        <v>0</v>
      </c>
    </row>
    <row r="1680" spans="2:14" x14ac:dyDescent="0.15">
      <c r="B1680"/>
      <c r="F1680" t="s">
        <v>627</v>
      </c>
      <c r="G1680" t="s">
        <v>599</v>
      </c>
      <c r="H1680" s="654">
        <v>0</v>
      </c>
      <c r="I1680" s="654">
        <v>0</v>
      </c>
      <c r="J1680" s="654">
        <v>0</v>
      </c>
      <c r="K1680" s="654">
        <v>0</v>
      </c>
      <c r="L1680" s="654">
        <v>0</v>
      </c>
      <c r="M1680" s="654">
        <v>0</v>
      </c>
      <c r="N1680" s="654">
        <v>0</v>
      </c>
    </row>
    <row r="1681" spans="2:14" x14ac:dyDescent="0.15">
      <c r="B1681"/>
      <c r="F1681" t="s">
        <v>734</v>
      </c>
      <c r="H1681" s="654">
        <v>0</v>
      </c>
      <c r="I1681" s="654">
        <v>0</v>
      </c>
      <c r="J1681" s="654">
        <v>0</v>
      </c>
      <c r="K1681" s="654">
        <v>0</v>
      </c>
      <c r="L1681" s="654">
        <v>0</v>
      </c>
      <c r="M1681" s="654">
        <v>0</v>
      </c>
      <c r="N1681" s="654">
        <v>0</v>
      </c>
    </row>
    <row r="1682" spans="2:14" x14ac:dyDescent="0.15">
      <c r="B1682"/>
      <c r="F1682" t="s">
        <v>628</v>
      </c>
      <c r="G1682" t="s">
        <v>598</v>
      </c>
      <c r="H1682" s="654">
        <v>17687</v>
      </c>
      <c r="I1682" s="654">
        <v>0</v>
      </c>
      <c r="J1682" s="654">
        <v>17687</v>
      </c>
      <c r="K1682" s="654">
        <v>17687</v>
      </c>
      <c r="L1682" s="654">
        <v>0</v>
      </c>
      <c r="M1682" s="654">
        <v>0</v>
      </c>
      <c r="N1682" s="654">
        <v>0</v>
      </c>
    </row>
    <row r="1683" spans="2:14" x14ac:dyDescent="0.15">
      <c r="B1683"/>
      <c r="F1683" t="s">
        <v>735</v>
      </c>
      <c r="H1683" s="654">
        <v>17687</v>
      </c>
      <c r="I1683" s="654">
        <v>0</v>
      </c>
      <c r="J1683" s="654">
        <v>17687</v>
      </c>
      <c r="K1683" s="654">
        <v>17687</v>
      </c>
      <c r="L1683" s="654">
        <v>0</v>
      </c>
      <c r="M1683" s="654">
        <v>0</v>
      </c>
      <c r="N1683" s="654">
        <v>0</v>
      </c>
    </row>
    <row r="1684" spans="2:14" x14ac:dyDescent="0.15">
      <c r="B1684"/>
      <c r="E1684" t="s">
        <v>769</v>
      </c>
      <c r="H1684" s="654">
        <v>514379</v>
      </c>
      <c r="I1684" s="654">
        <v>0</v>
      </c>
      <c r="J1684" s="654">
        <v>514379</v>
      </c>
      <c r="K1684" s="654">
        <v>514379</v>
      </c>
      <c r="L1684" s="654">
        <v>0</v>
      </c>
      <c r="M1684" s="654">
        <v>0</v>
      </c>
      <c r="N1684" s="654">
        <v>0</v>
      </c>
    </row>
    <row r="1685" spans="2:14" x14ac:dyDescent="0.15">
      <c r="B1685"/>
      <c r="D1685" t="s">
        <v>733</v>
      </c>
      <c r="H1685" s="654">
        <v>514379</v>
      </c>
      <c r="I1685" s="654">
        <v>0</v>
      </c>
      <c r="J1685" s="654">
        <v>514379</v>
      </c>
      <c r="K1685" s="654">
        <v>514379</v>
      </c>
      <c r="L1685" s="654">
        <v>0</v>
      </c>
      <c r="M1685" s="654">
        <v>0</v>
      </c>
      <c r="N1685" s="654">
        <v>0</v>
      </c>
    </row>
    <row r="1686" spans="2:14" x14ac:dyDescent="0.15">
      <c r="B1686"/>
      <c r="D1686" t="s">
        <v>627</v>
      </c>
      <c r="E1686" t="s">
        <v>379</v>
      </c>
      <c r="F1686" t="s">
        <v>626</v>
      </c>
      <c r="G1686" t="s">
        <v>600</v>
      </c>
      <c r="H1686" s="654">
        <v>0</v>
      </c>
      <c r="I1686" s="654">
        <v>0</v>
      </c>
      <c r="J1686" s="654">
        <v>0</v>
      </c>
      <c r="K1686" s="654">
        <v>0</v>
      </c>
      <c r="L1686" s="654">
        <v>0</v>
      </c>
      <c r="M1686" s="654">
        <v>0</v>
      </c>
      <c r="N1686" s="654">
        <v>0</v>
      </c>
    </row>
    <row r="1687" spans="2:14" x14ac:dyDescent="0.15">
      <c r="B1687"/>
      <c r="F1687" t="s">
        <v>733</v>
      </c>
      <c r="H1687" s="654">
        <v>0</v>
      </c>
      <c r="I1687" s="654">
        <v>0</v>
      </c>
      <c r="J1687" s="654">
        <v>0</v>
      </c>
      <c r="K1687" s="654">
        <v>0</v>
      </c>
      <c r="L1687" s="654">
        <v>0</v>
      </c>
      <c r="M1687" s="654">
        <v>0</v>
      </c>
      <c r="N1687" s="654">
        <v>0</v>
      </c>
    </row>
    <row r="1688" spans="2:14" x14ac:dyDescent="0.15">
      <c r="B1688"/>
      <c r="F1688" t="s">
        <v>627</v>
      </c>
      <c r="G1688" t="s">
        <v>599</v>
      </c>
      <c r="H1688" s="654">
        <v>0</v>
      </c>
      <c r="I1688" s="654">
        <v>0</v>
      </c>
      <c r="J1688" s="654">
        <v>0</v>
      </c>
      <c r="K1688" s="654">
        <v>0</v>
      </c>
      <c r="L1688" s="654">
        <v>0</v>
      </c>
      <c r="M1688" s="654">
        <v>0</v>
      </c>
      <c r="N1688" s="654">
        <v>0</v>
      </c>
    </row>
    <row r="1689" spans="2:14" x14ac:dyDescent="0.15">
      <c r="B1689"/>
      <c r="F1689" t="s">
        <v>734</v>
      </c>
      <c r="H1689" s="654">
        <v>0</v>
      </c>
      <c r="I1689" s="654">
        <v>0</v>
      </c>
      <c r="J1689" s="654">
        <v>0</v>
      </c>
      <c r="K1689" s="654">
        <v>0</v>
      </c>
      <c r="L1689" s="654">
        <v>0</v>
      </c>
      <c r="M1689" s="654">
        <v>0</v>
      </c>
      <c r="N1689" s="654">
        <v>0</v>
      </c>
    </row>
    <row r="1690" spans="2:14" x14ac:dyDescent="0.15">
      <c r="B1690"/>
      <c r="F1690" t="s">
        <v>628</v>
      </c>
      <c r="G1690" t="s">
        <v>598</v>
      </c>
      <c r="H1690" s="654">
        <v>0</v>
      </c>
      <c r="I1690" s="654">
        <v>0</v>
      </c>
      <c r="J1690" s="654">
        <v>0</v>
      </c>
      <c r="K1690" s="654">
        <v>0</v>
      </c>
      <c r="L1690" s="654">
        <v>0</v>
      </c>
      <c r="M1690" s="654">
        <v>0</v>
      </c>
      <c r="N1690" s="654">
        <v>0</v>
      </c>
    </row>
    <row r="1691" spans="2:14" x14ac:dyDescent="0.15">
      <c r="B1691"/>
      <c r="F1691" t="s">
        <v>735</v>
      </c>
      <c r="H1691" s="654">
        <v>0</v>
      </c>
      <c r="I1691" s="654">
        <v>0</v>
      </c>
      <c r="J1691" s="654">
        <v>0</v>
      </c>
      <c r="K1691" s="654">
        <v>0</v>
      </c>
      <c r="L1691" s="654">
        <v>0</v>
      </c>
      <c r="M1691" s="654">
        <v>0</v>
      </c>
      <c r="N1691" s="654">
        <v>0</v>
      </c>
    </row>
    <row r="1692" spans="2:14" x14ac:dyDescent="0.15">
      <c r="B1692"/>
      <c r="E1692" t="s">
        <v>770</v>
      </c>
      <c r="H1692" s="654">
        <v>0</v>
      </c>
      <c r="I1692" s="654">
        <v>0</v>
      </c>
      <c r="J1692" s="654">
        <v>0</v>
      </c>
      <c r="K1692" s="654">
        <v>0</v>
      </c>
      <c r="L1692" s="654">
        <v>0</v>
      </c>
      <c r="M1692" s="654">
        <v>0</v>
      </c>
      <c r="N1692" s="654">
        <v>0</v>
      </c>
    </row>
    <row r="1693" spans="2:14" x14ac:dyDescent="0.15">
      <c r="B1693"/>
      <c r="D1693" t="s">
        <v>734</v>
      </c>
      <c r="H1693" s="654">
        <v>0</v>
      </c>
      <c r="I1693" s="654">
        <v>0</v>
      </c>
      <c r="J1693" s="654">
        <v>0</v>
      </c>
      <c r="K1693" s="654">
        <v>0</v>
      </c>
      <c r="L1693" s="654">
        <v>0</v>
      </c>
      <c r="M1693" s="654">
        <v>0</v>
      </c>
      <c r="N1693" s="654">
        <v>0</v>
      </c>
    </row>
    <row r="1694" spans="2:14" x14ac:dyDescent="0.15">
      <c r="B1694"/>
      <c r="D1694" t="s">
        <v>628</v>
      </c>
      <c r="E1694" t="s">
        <v>380</v>
      </c>
      <c r="F1694" t="s">
        <v>626</v>
      </c>
      <c r="G1694" t="s">
        <v>600</v>
      </c>
      <c r="H1694" s="654">
        <v>159771</v>
      </c>
      <c r="I1694" s="654">
        <v>0</v>
      </c>
      <c r="J1694" s="654">
        <v>159771</v>
      </c>
      <c r="K1694" s="654">
        <v>159771</v>
      </c>
      <c r="L1694" s="654">
        <v>0</v>
      </c>
      <c r="M1694" s="654">
        <v>0</v>
      </c>
      <c r="N1694" s="654">
        <v>0</v>
      </c>
    </row>
    <row r="1695" spans="2:14" x14ac:dyDescent="0.15">
      <c r="B1695"/>
      <c r="F1695" t="s">
        <v>733</v>
      </c>
      <c r="H1695" s="654">
        <v>159771</v>
      </c>
      <c r="I1695" s="654">
        <v>0</v>
      </c>
      <c r="J1695" s="654">
        <v>159771</v>
      </c>
      <c r="K1695" s="654">
        <v>159771</v>
      </c>
      <c r="L1695" s="654">
        <v>0</v>
      </c>
      <c r="M1695" s="654">
        <v>0</v>
      </c>
      <c r="N1695" s="654">
        <v>0</v>
      </c>
    </row>
    <row r="1696" spans="2:14" x14ac:dyDescent="0.15">
      <c r="B1696"/>
      <c r="F1696" t="s">
        <v>627</v>
      </c>
      <c r="G1696" t="s">
        <v>599</v>
      </c>
      <c r="H1696" s="654">
        <v>428558</v>
      </c>
      <c r="I1696" s="654">
        <v>-53053</v>
      </c>
      <c r="J1696" s="654">
        <v>375505</v>
      </c>
      <c r="K1696" s="654">
        <v>375505</v>
      </c>
      <c r="L1696" s="654">
        <v>0</v>
      </c>
      <c r="M1696" s="654">
        <v>0</v>
      </c>
      <c r="N1696" s="654">
        <v>0</v>
      </c>
    </row>
    <row r="1697" spans="2:14" x14ac:dyDescent="0.15">
      <c r="B1697"/>
      <c r="F1697" t="s">
        <v>734</v>
      </c>
      <c r="H1697" s="654">
        <v>428558</v>
      </c>
      <c r="I1697" s="654">
        <v>-53053</v>
      </c>
      <c r="J1697" s="654">
        <v>375505</v>
      </c>
      <c r="K1697" s="654">
        <v>375505</v>
      </c>
      <c r="L1697" s="654">
        <v>0</v>
      </c>
      <c r="M1697" s="654">
        <v>0</v>
      </c>
      <c r="N1697" s="654">
        <v>0</v>
      </c>
    </row>
    <row r="1698" spans="2:14" x14ac:dyDescent="0.15">
      <c r="B1698"/>
      <c r="E1698" t="s">
        <v>771</v>
      </c>
      <c r="H1698" s="654">
        <v>588329</v>
      </c>
      <c r="I1698" s="654">
        <v>-53053</v>
      </c>
      <c r="J1698" s="654">
        <v>535276</v>
      </c>
      <c r="K1698" s="654">
        <v>535276</v>
      </c>
      <c r="L1698" s="654">
        <v>0</v>
      </c>
      <c r="M1698" s="654">
        <v>0</v>
      </c>
      <c r="N1698" s="654">
        <v>0</v>
      </c>
    </row>
    <row r="1699" spans="2:14" x14ac:dyDescent="0.15">
      <c r="B1699"/>
      <c r="D1699" t="s">
        <v>735</v>
      </c>
      <c r="H1699" s="654">
        <v>588329</v>
      </c>
      <c r="I1699" s="654">
        <v>-53053</v>
      </c>
      <c r="J1699" s="654">
        <v>535276</v>
      </c>
      <c r="K1699" s="654">
        <v>535276</v>
      </c>
      <c r="L1699" s="654">
        <v>0</v>
      </c>
      <c r="M1699" s="654">
        <v>0</v>
      </c>
      <c r="N1699" s="654">
        <v>0</v>
      </c>
    </row>
    <row r="1700" spans="2:14" x14ac:dyDescent="0.15">
      <c r="B1700"/>
      <c r="D1700" t="s">
        <v>629</v>
      </c>
      <c r="E1700" t="s">
        <v>676</v>
      </c>
      <c r="F1700" t="s">
        <v>629</v>
      </c>
      <c r="G1700" t="s">
        <v>601</v>
      </c>
      <c r="H1700" s="654">
        <v>0</v>
      </c>
      <c r="I1700" s="654">
        <v>0</v>
      </c>
      <c r="J1700" s="654">
        <v>0</v>
      </c>
      <c r="K1700" s="654">
        <v>0</v>
      </c>
      <c r="L1700" s="654">
        <v>0</v>
      </c>
      <c r="M1700" s="654">
        <v>0</v>
      </c>
      <c r="N1700" s="654">
        <v>0</v>
      </c>
    </row>
    <row r="1701" spans="2:14" x14ac:dyDescent="0.15">
      <c r="B1701"/>
      <c r="F1701" t="s">
        <v>736</v>
      </c>
      <c r="H1701" s="654">
        <v>0</v>
      </c>
      <c r="I1701" s="654">
        <v>0</v>
      </c>
      <c r="J1701" s="654">
        <v>0</v>
      </c>
      <c r="K1701" s="654">
        <v>0</v>
      </c>
      <c r="L1701" s="654">
        <v>0</v>
      </c>
      <c r="M1701" s="654">
        <v>0</v>
      </c>
      <c r="N1701" s="654">
        <v>0</v>
      </c>
    </row>
    <row r="1702" spans="2:14" x14ac:dyDescent="0.15">
      <c r="B1702"/>
      <c r="E1702" t="s">
        <v>772</v>
      </c>
      <c r="H1702" s="654">
        <v>0</v>
      </c>
      <c r="I1702" s="654">
        <v>0</v>
      </c>
      <c r="J1702" s="654">
        <v>0</v>
      </c>
      <c r="K1702" s="654">
        <v>0</v>
      </c>
      <c r="L1702" s="654">
        <v>0</v>
      </c>
      <c r="M1702" s="654">
        <v>0</v>
      </c>
      <c r="N1702" s="654">
        <v>0</v>
      </c>
    </row>
    <row r="1703" spans="2:14" x14ac:dyDescent="0.15">
      <c r="B1703"/>
      <c r="D1703" t="s">
        <v>736</v>
      </c>
      <c r="H1703" s="654">
        <v>0</v>
      </c>
      <c r="I1703" s="654">
        <v>0</v>
      </c>
      <c r="J1703" s="654">
        <v>0</v>
      </c>
      <c r="K1703" s="654">
        <v>0</v>
      </c>
      <c r="L1703" s="654">
        <v>0</v>
      </c>
      <c r="M1703" s="654">
        <v>0</v>
      </c>
      <c r="N1703" s="654">
        <v>0</v>
      </c>
    </row>
    <row r="1704" spans="2:14" x14ac:dyDescent="0.15">
      <c r="B1704"/>
      <c r="D1704" t="s">
        <v>567</v>
      </c>
      <c r="E1704" t="s">
        <v>473</v>
      </c>
      <c r="F1704" t="s">
        <v>631</v>
      </c>
      <c r="G1704" t="s">
        <v>596</v>
      </c>
      <c r="H1704" s="654">
        <v>0</v>
      </c>
      <c r="I1704" s="654">
        <v>0</v>
      </c>
      <c r="J1704" s="654">
        <v>0</v>
      </c>
      <c r="K1704" s="654">
        <v>0</v>
      </c>
      <c r="L1704" s="654">
        <v>0</v>
      </c>
      <c r="M1704" s="654">
        <v>0</v>
      </c>
      <c r="N1704" s="654">
        <v>0</v>
      </c>
    </row>
    <row r="1705" spans="2:14" x14ac:dyDescent="0.15">
      <c r="B1705"/>
      <c r="F1705" t="s">
        <v>737</v>
      </c>
      <c r="H1705" s="654">
        <v>0</v>
      </c>
      <c r="I1705" s="654">
        <v>0</v>
      </c>
      <c r="J1705" s="654">
        <v>0</v>
      </c>
      <c r="K1705" s="654">
        <v>0</v>
      </c>
      <c r="L1705" s="654">
        <v>0</v>
      </c>
      <c r="M1705" s="654">
        <v>0</v>
      </c>
      <c r="N1705" s="654">
        <v>0</v>
      </c>
    </row>
    <row r="1706" spans="2:14" x14ac:dyDescent="0.15">
      <c r="B1706"/>
      <c r="E1706" t="s">
        <v>773</v>
      </c>
      <c r="H1706" s="654">
        <v>0</v>
      </c>
      <c r="I1706" s="654">
        <v>0</v>
      </c>
      <c r="J1706" s="654">
        <v>0</v>
      </c>
      <c r="K1706" s="654">
        <v>0</v>
      </c>
      <c r="L1706" s="654">
        <v>0</v>
      </c>
      <c r="M1706" s="654">
        <v>0</v>
      </c>
      <c r="N1706" s="654">
        <v>0</v>
      </c>
    </row>
    <row r="1707" spans="2:14" x14ac:dyDescent="0.15">
      <c r="B1707"/>
      <c r="D1707" t="s">
        <v>739</v>
      </c>
      <c r="H1707" s="654">
        <v>0</v>
      </c>
      <c r="I1707" s="654">
        <v>0</v>
      </c>
      <c r="J1707" s="654">
        <v>0</v>
      </c>
      <c r="K1707" s="654">
        <v>0</v>
      </c>
      <c r="L1707" s="654">
        <v>0</v>
      </c>
      <c r="M1707" s="654">
        <v>0</v>
      </c>
      <c r="N1707" s="654">
        <v>0</v>
      </c>
    </row>
    <row r="1708" spans="2:14" x14ac:dyDescent="0.15">
      <c r="B1708"/>
      <c r="D1708" t="s">
        <v>568</v>
      </c>
      <c r="E1708" t="s">
        <v>474</v>
      </c>
      <c r="F1708" t="s">
        <v>631</v>
      </c>
      <c r="G1708" t="s">
        <v>596</v>
      </c>
      <c r="H1708" s="654">
        <v>0</v>
      </c>
      <c r="I1708" s="654">
        <v>0</v>
      </c>
      <c r="J1708" s="654">
        <v>0</v>
      </c>
      <c r="K1708" s="654">
        <v>0</v>
      </c>
      <c r="L1708" s="654">
        <v>0</v>
      </c>
      <c r="M1708" s="654">
        <v>0</v>
      </c>
      <c r="N1708" s="654">
        <v>0</v>
      </c>
    </row>
    <row r="1709" spans="2:14" x14ac:dyDescent="0.15">
      <c r="B1709"/>
      <c r="F1709" t="s">
        <v>737</v>
      </c>
      <c r="H1709" s="654">
        <v>0</v>
      </c>
      <c r="I1709" s="654">
        <v>0</v>
      </c>
      <c r="J1709" s="654">
        <v>0</v>
      </c>
      <c r="K1709" s="654">
        <v>0</v>
      </c>
      <c r="L1709" s="654">
        <v>0</v>
      </c>
      <c r="M1709" s="654">
        <v>0</v>
      </c>
      <c r="N1709" s="654">
        <v>0</v>
      </c>
    </row>
    <row r="1710" spans="2:14" x14ac:dyDescent="0.15">
      <c r="B1710"/>
      <c r="E1710" t="s">
        <v>774</v>
      </c>
      <c r="H1710" s="654">
        <v>0</v>
      </c>
      <c r="I1710" s="654">
        <v>0</v>
      </c>
      <c r="J1710" s="654">
        <v>0</v>
      </c>
      <c r="K1710" s="654">
        <v>0</v>
      </c>
      <c r="L1710" s="654">
        <v>0</v>
      </c>
      <c r="M1710" s="654">
        <v>0</v>
      </c>
      <c r="N1710" s="654">
        <v>0</v>
      </c>
    </row>
    <row r="1711" spans="2:14" x14ac:dyDescent="0.15">
      <c r="B1711"/>
      <c r="D1711" t="s">
        <v>740</v>
      </c>
      <c r="H1711" s="654">
        <v>0</v>
      </c>
      <c r="I1711" s="654">
        <v>0</v>
      </c>
      <c r="J1711" s="654">
        <v>0</v>
      </c>
      <c r="K1711" s="654">
        <v>0</v>
      </c>
      <c r="L1711" s="654">
        <v>0</v>
      </c>
      <c r="M1711" s="654">
        <v>0</v>
      </c>
      <c r="N1711" s="654">
        <v>0</v>
      </c>
    </row>
    <row r="1712" spans="2:14" x14ac:dyDescent="0.15">
      <c r="B1712"/>
      <c r="D1712" t="s">
        <v>582</v>
      </c>
      <c r="E1712" t="s">
        <v>384</v>
      </c>
      <c r="F1712" t="s">
        <v>631</v>
      </c>
      <c r="G1712" t="s">
        <v>596</v>
      </c>
      <c r="H1712" s="654">
        <v>0</v>
      </c>
      <c r="I1712" s="654">
        <v>0</v>
      </c>
      <c r="J1712" s="654">
        <v>0</v>
      </c>
      <c r="K1712" s="654">
        <v>0</v>
      </c>
      <c r="L1712" s="654">
        <v>0</v>
      </c>
      <c r="M1712" s="654">
        <v>0</v>
      </c>
      <c r="N1712" s="654">
        <v>0</v>
      </c>
    </row>
    <row r="1713" spans="1:14" x14ac:dyDescent="0.15">
      <c r="B1713"/>
      <c r="F1713" t="s">
        <v>737</v>
      </c>
      <c r="H1713" s="654">
        <v>0</v>
      </c>
      <c r="I1713" s="654">
        <v>0</v>
      </c>
      <c r="J1713" s="654">
        <v>0</v>
      </c>
      <c r="K1713" s="654">
        <v>0</v>
      </c>
      <c r="L1713" s="654">
        <v>0</v>
      </c>
      <c r="M1713" s="654">
        <v>0</v>
      </c>
      <c r="N1713" s="654">
        <v>0</v>
      </c>
    </row>
    <row r="1714" spans="1:14" x14ac:dyDescent="0.15">
      <c r="B1714"/>
      <c r="E1714" t="s">
        <v>778</v>
      </c>
      <c r="H1714" s="654">
        <v>0</v>
      </c>
      <c r="I1714" s="654">
        <v>0</v>
      </c>
      <c r="J1714" s="654">
        <v>0</v>
      </c>
      <c r="K1714" s="654">
        <v>0</v>
      </c>
      <c r="L1714" s="654">
        <v>0</v>
      </c>
      <c r="M1714" s="654">
        <v>0</v>
      </c>
      <c r="N1714" s="654">
        <v>0</v>
      </c>
    </row>
    <row r="1715" spans="1:14" x14ac:dyDescent="0.15">
      <c r="B1715"/>
      <c r="D1715" t="s">
        <v>743</v>
      </c>
      <c r="H1715" s="654">
        <v>0</v>
      </c>
      <c r="I1715" s="654">
        <v>0</v>
      </c>
      <c r="J1715" s="654">
        <v>0</v>
      </c>
      <c r="K1715" s="654">
        <v>0</v>
      </c>
      <c r="L1715" s="654">
        <v>0</v>
      </c>
      <c r="M1715" s="654">
        <v>0</v>
      </c>
      <c r="N1715" s="654">
        <v>0</v>
      </c>
    </row>
    <row r="1716" spans="1:14" x14ac:dyDescent="0.15">
      <c r="B1716"/>
      <c r="D1716" t="s">
        <v>631</v>
      </c>
      <c r="E1716" t="s">
        <v>381</v>
      </c>
      <c r="F1716" t="s">
        <v>626</v>
      </c>
      <c r="G1716" t="s">
        <v>600</v>
      </c>
      <c r="H1716" s="654">
        <v>0</v>
      </c>
      <c r="I1716" s="654">
        <v>0</v>
      </c>
      <c r="J1716" s="654">
        <v>0</v>
      </c>
      <c r="K1716" s="654">
        <v>0</v>
      </c>
      <c r="L1716" s="654">
        <v>0</v>
      </c>
      <c r="M1716" s="654">
        <v>0</v>
      </c>
      <c r="N1716" s="654">
        <v>0</v>
      </c>
    </row>
    <row r="1717" spans="1:14" x14ac:dyDescent="0.15">
      <c r="B1717"/>
      <c r="F1717" t="s">
        <v>733</v>
      </c>
      <c r="H1717" s="654">
        <v>0</v>
      </c>
      <c r="I1717" s="654">
        <v>0</v>
      </c>
      <c r="J1717" s="654">
        <v>0</v>
      </c>
      <c r="K1717" s="654">
        <v>0</v>
      </c>
      <c r="L1717" s="654">
        <v>0</v>
      </c>
      <c r="M1717" s="654">
        <v>0</v>
      </c>
      <c r="N1717" s="654">
        <v>0</v>
      </c>
    </row>
    <row r="1718" spans="1:14" x14ac:dyDescent="0.15">
      <c r="B1718"/>
      <c r="E1718" t="s">
        <v>776</v>
      </c>
      <c r="H1718" s="654">
        <v>0</v>
      </c>
      <c r="I1718" s="654">
        <v>0</v>
      </c>
      <c r="J1718" s="654">
        <v>0</v>
      </c>
      <c r="K1718" s="654">
        <v>0</v>
      </c>
      <c r="L1718" s="654">
        <v>0</v>
      </c>
      <c r="M1718" s="654">
        <v>0</v>
      </c>
      <c r="N1718" s="654">
        <v>0</v>
      </c>
    </row>
    <row r="1719" spans="1:14" x14ac:dyDescent="0.15">
      <c r="B1719"/>
      <c r="D1719" t="s">
        <v>737</v>
      </c>
      <c r="H1719" s="654">
        <v>0</v>
      </c>
      <c r="I1719" s="654">
        <v>0</v>
      </c>
      <c r="J1719" s="654">
        <v>0</v>
      </c>
      <c r="K1719" s="654">
        <v>0</v>
      </c>
      <c r="L1719" s="654">
        <v>0</v>
      </c>
      <c r="M1719" s="654">
        <v>0</v>
      </c>
      <c r="N1719" s="654">
        <v>0</v>
      </c>
    </row>
    <row r="1720" spans="1:14" x14ac:dyDescent="0.15">
      <c r="B1720"/>
      <c r="D1720" t="s">
        <v>671</v>
      </c>
      <c r="E1720" t="s">
        <v>383</v>
      </c>
      <c r="F1720" t="s">
        <v>626</v>
      </c>
      <c r="G1720" t="s">
        <v>600</v>
      </c>
      <c r="H1720" s="654">
        <v>11759</v>
      </c>
      <c r="I1720" s="654">
        <v>-13471</v>
      </c>
      <c r="J1720" s="654">
        <v>-1712</v>
      </c>
      <c r="K1720" s="654">
        <v>-1712</v>
      </c>
      <c r="L1720" s="654">
        <v>0</v>
      </c>
      <c r="M1720" s="654">
        <v>0</v>
      </c>
      <c r="N1720" s="654">
        <v>0</v>
      </c>
    </row>
    <row r="1721" spans="1:14" x14ac:dyDescent="0.15">
      <c r="B1721"/>
      <c r="F1721" t="s">
        <v>733</v>
      </c>
      <c r="H1721" s="654">
        <v>11759</v>
      </c>
      <c r="I1721" s="654">
        <v>-13471</v>
      </c>
      <c r="J1721" s="654">
        <v>-1712</v>
      </c>
      <c r="K1721" s="654">
        <v>-1712</v>
      </c>
      <c r="L1721" s="654">
        <v>0</v>
      </c>
      <c r="M1721" s="654">
        <v>0</v>
      </c>
      <c r="N1721" s="654">
        <v>0</v>
      </c>
    </row>
    <row r="1722" spans="1:14" x14ac:dyDescent="0.15">
      <c r="B1722"/>
      <c r="F1722" t="s">
        <v>627</v>
      </c>
      <c r="G1722" t="s">
        <v>599</v>
      </c>
      <c r="H1722" s="654">
        <v>0</v>
      </c>
      <c r="I1722" s="654">
        <v>0</v>
      </c>
      <c r="J1722" s="654">
        <v>0</v>
      </c>
      <c r="K1722" s="654">
        <v>0</v>
      </c>
      <c r="L1722" s="654">
        <v>0</v>
      </c>
      <c r="M1722" s="654">
        <v>0</v>
      </c>
      <c r="N1722" s="654">
        <v>0</v>
      </c>
    </row>
    <row r="1723" spans="1:14" x14ac:dyDescent="0.15">
      <c r="B1723"/>
      <c r="F1723" t="s">
        <v>734</v>
      </c>
      <c r="H1723" s="654">
        <v>0</v>
      </c>
      <c r="I1723" s="654">
        <v>0</v>
      </c>
      <c r="J1723" s="654">
        <v>0</v>
      </c>
      <c r="K1723" s="654">
        <v>0</v>
      </c>
      <c r="L1723" s="654">
        <v>0</v>
      </c>
      <c r="M1723" s="654">
        <v>0</v>
      </c>
      <c r="N1723" s="654">
        <v>0</v>
      </c>
    </row>
    <row r="1724" spans="1:14" x14ac:dyDescent="0.15">
      <c r="B1724"/>
      <c r="E1724" t="s">
        <v>777</v>
      </c>
      <c r="H1724" s="654">
        <v>11759</v>
      </c>
      <c r="I1724" s="654">
        <v>-13471</v>
      </c>
      <c r="J1724" s="654">
        <v>-1712</v>
      </c>
      <c r="K1724" s="654">
        <v>-1712</v>
      </c>
      <c r="L1724" s="654">
        <v>0</v>
      </c>
      <c r="M1724" s="654">
        <v>0</v>
      </c>
      <c r="N1724" s="654">
        <v>0</v>
      </c>
    </row>
    <row r="1725" spans="1:14" x14ac:dyDescent="0.15">
      <c r="B1725"/>
      <c r="D1725" t="s">
        <v>742</v>
      </c>
      <c r="H1725" s="654">
        <v>11759</v>
      </c>
      <c r="I1725" s="654">
        <v>-13471</v>
      </c>
      <c r="J1725" s="654">
        <v>-1712</v>
      </c>
      <c r="K1725" s="654">
        <v>-1712</v>
      </c>
      <c r="L1725" s="654">
        <v>0</v>
      </c>
      <c r="M1725" s="654">
        <v>0</v>
      </c>
      <c r="N1725" s="654">
        <v>0</v>
      </c>
    </row>
    <row r="1726" spans="1:14" x14ac:dyDescent="0.15">
      <c r="B1726"/>
      <c r="C1726" t="s">
        <v>854</v>
      </c>
      <c r="H1726" s="654">
        <v>1114467</v>
      </c>
      <c r="I1726" s="654">
        <v>-66524</v>
      </c>
      <c r="J1726" s="654">
        <v>1047943</v>
      </c>
      <c r="K1726" s="654">
        <v>1047943</v>
      </c>
      <c r="L1726" s="654">
        <v>0</v>
      </c>
      <c r="M1726" s="654">
        <v>0</v>
      </c>
      <c r="N1726" s="654">
        <v>0</v>
      </c>
    </row>
    <row r="1727" spans="1:14" x14ac:dyDescent="0.15">
      <c r="A1727" s="653" t="s">
        <v>913</v>
      </c>
      <c r="B1727"/>
      <c r="H1727" s="654">
        <v>31513485</v>
      </c>
      <c r="I1727" s="654">
        <v>-517226</v>
      </c>
      <c r="J1727" s="654">
        <v>30996259</v>
      </c>
      <c r="K1727" s="654">
        <v>30996259</v>
      </c>
      <c r="L1727" s="654">
        <v>0</v>
      </c>
      <c r="M1727" s="654">
        <v>94850</v>
      </c>
      <c r="N1727" s="654">
        <v>3684575</v>
      </c>
    </row>
    <row r="1728" spans="1:14" x14ac:dyDescent="0.15">
      <c r="A1728" s="653">
        <v>43132</v>
      </c>
      <c r="B1728" t="s">
        <v>626</v>
      </c>
      <c r="C1728" t="s">
        <v>849</v>
      </c>
      <c r="D1728" t="s">
        <v>626</v>
      </c>
      <c r="E1728" t="s">
        <v>378</v>
      </c>
      <c r="F1728" t="s">
        <v>626</v>
      </c>
      <c r="G1728" t="s">
        <v>600</v>
      </c>
      <c r="H1728" s="654">
        <v>6811919</v>
      </c>
      <c r="I1728" s="654">
        <v>0</v>
      </c>
      <c r="J1728" s="654">
        <v>6811919</v>
      </c>
      <c r="K1728" s="654">
        <v>6811919</v>
      </c>
      <c r="L1728" s="654">
        <v>0</v>
      </c>
      <c r="M1728" s="654">
        <v>139955</v>
      </c>
      <c r="N1728" s="654">
        <v>1254602</v>
      </c>
    </row>
    <row r="1729" spans="2:14" x14ac:dyDescent="0.15">
      <c r="B1729"/>
      <c r="F1729" t="s">
        <v>733</v>
      </c>
      <c r="H1729" s="654">
        <v>6811919</v>
      </c>
      <c r="I1729" s="654">
        <v>0</v>
      </c>
      <c r="J1729" s="654">
        <v>6811919</v>
      </c>
      <c r="K1729" s="654">
        <v>6811919</v>
      </c>
      <c r="L1729" s="654">
        <v>0</v>
      </c>
      <c r="M1729" s="654">
        <v>139955</v>
      </c>
      <c r="N1729" s="654">
        <v>1254602</v>
      </c>
    </row>
    <row r="1730" spans="2:14" x14ac:dyDescent="0.15">
      <c r="B1730"/>
      <c r="F1730" t="s">
        <v>627</v>
      </c>
      <c r="G1730" t="s">
        <v>599</v>
      </c>
      <c r="H1730" s="654">
        <v>1260742</v>
      </c>
      <c r="I1730" s="654">
        <v>0</v>
      </c>
      <c r="J1730" s="654">
        <v>1260742</v>
      </c>
      <c r="K1730" s="654">
        <v>1260742</v>
      </c>
      <c r="L1730" s="654">
        <v>0</v>
      </c>
      <c r="M1730" s="654">
        <v>0</v>
      </c>
      <c r="N1730" s="654">
        <v>261542</v>
      </c>
    </row>
    <row r="1731" spans="2:14" x14ac:dyDescent="0.15">
      <c r="B1731"/>
      <c r="F1731" t="s">
        <v>734</v>
      </c>
      <c r="H1731" s="654">
        <v>1260742</v>
      </c>
      <c r="I1731" s="654">
        <v>0</v>
      </c>
      <c r="J1731" s="654">
        <v>1260742</v>
      </c>
      <c r="K1731" s="654">
        <v>1260742</v>
      </c>
      <c r="L1731" s="654">
        <v>0</v>
      </c>
      <c r="M1731" s="654">
        <v>0</v>
      </c>
      <c r="N1731" s="654">
        <v>261542</v>
      </c>
    </row>
    <row r="1732" spans="2:14" x14ac:dyDescent="0.15">
      <c r="B1732"/>
      <c r="F1732" t="s">
        <v>628</v>
      </c>
      <c r="G1732" t="s">
        <v>598</v>
      </c>
      <c r="H1732" s="654">
        <v>759371</v>
      </c>
      <c r="I1732" s="654">
        <v>-11149</v>
      </c>
      <c r="J1732" s="654">
        <v>748222</v>
      </c>
      <c r="K1732" s="654">
        <v>748222</v>
      </c>
      <c r="L1732" s="654">
        <v>0</v>
      </c>
      <c r="M1732" s="654">
        <v>0</v>
      </c>
      <c r="N1732" s="654">
        <v>0</v>
      </c>
    </row>
    <row r="1733" spans="2:14" x14ac:dyDescent="0.15">
      <c r="B1733"/>
      <c r="F1733" t="s">
        <v>735</v>
      </c>
      <c r="H1733" s="654">
        <v>759371</v>
      </c>
      <c r="I1733" s="654">
        <v>-11149</v>
      </c>
      <c r="J1733" s="654">
        <v>748222</v>
      </c>
      <c r="K1733" s="654">
        <v>748222</v>
      </c>
      <c r="L1733" s="654">
        <v>0</v>
      </c>
      <c r="M1733" s="654">
        <v>0</v>
      </c>
      <c r="N1733" s="654">
        <v>0</v>
      </c>
    </row>
    <row r="1734" spans="2:14" x14ac:dyDescent="0.15">
      <c r="B1734"/>
      <c r="E1734" t="s">
        <v>769</v>
      </c>
      <c r="H1734" s="654">
        <v>8832032</v>
      </c>
      <c r="I1734" s="654">
        <v>-11149</v>
      </c>
      <c r="J1734" s="654">
        <v>8820883</v>
      </c>
      <c r="K1734" s="654">
        <v>8820883</v>
      </c>
      <c r="L1734" s="654">
        <v>0</v>
      </c>
      <c r="M1734" s="654">
        <v>139955</v>
      </c>
      <c r="N1734" s="654">
        <v>1516144</v>
      </c>
    </row>
    <row r="1735" spans="2:14" x14ac:dyDescent="0.15">
      <c r="B1735"/>
      <c r="D1735" t="s">
        <v>733</v>
      </c>
      <c r="H1735" s="654">
        <v>8832032</v>
      </c>
      <c r="I1735" s="654">
        <v>-11149</v>
      </c>
      <c r="J1735" s="654">
        <v>8820883</v>
      </c>
      <c r="K1735" s="654">
        <v>8820883</v>
      </c>
      <c r="L1735" s="654">
        <v>0</v>
      </c>
      <c r="M1735" s="654">
        <v>139955</v>
      </c>
      <c r="N1735" s="654">
        <v>1516144</v>
      </c>
    </row>
    <row r="1736" spans="2:14" x14ac:dyDescent="0.15">
      <c r="B1736"/>
      <c r="D1736" t="s">
        <v>627</v>
      </c>
      <c r="E1736" t="s">
        <v>379</v>
      </c>
      <c r="F1736" t="s">
        <v>626</v>
      </c>
      <c r="G1736" t="s">
        <v>600</v>
      </c>
      <c r="H1736" s="654">
        <v>3838746</v>
      </c>
      <c r="I1736" s="654">
        <v>-170180</v>
      </c>
      <c r="J1736" s="654">
        <v>3668566</v>
      </c>
      <c r="K1736" s="654">
        <v>3668566</v>
      </c>
      <c r="L1736" s="654">
        <v>0</v>
      </c>
      <c r="M1736" s="654">
        <v>314016</v>
      </c>
      <c r="N1736" s="654">
        <v>402033</v>
      </c>
    </row>
    <row r="1737" spans="2:14" x14ac:dyDescent="0.15">
      <c r="B1737"/>
      <c r="F1737" t="s">
        <v>733</v>
      </c>
      <c r="H1737" s="654">
        <v>3838746</v>
      </c>
      <c r="I1737" s="654">
        <v>-170180</v>
      </c>
      <c r="J1737" s="654">
        <v>3668566</v>
      </c>
      <c r="K1737" s="654">
        <v>3668566</v>
      </c>
      <c r="L1737" s="654">
        <v>0</v>
      </c>
      <c r="M1737" s="654">
        <v>314016</v>
      </c>
      <c r="N1737" s="654">
        <v>402033</v>
      </c>
    </row>
    <row r="1738" spans="2:14" x14ac:dyDescent="0.15">
      <c r="B1738"/>
      <c r="F1738" t="s">
        <v>627</v>
      </c>
      <c r="G1738" t="s">
        <v>599</v>
      </c>
      <c r="H1738" s="654">
        <v>838386</v>
      </c>
      <c r="I1738" s="654">
        <v>0</v>
      </c>
      <c r="J1738" s="654">
        <v>838386</v>
      </c>
      <c r="K1738" s="654">
        <v>838386</v>
      </c>
      <c r="L1738" s="654">
        <v>0</v>
      </c>
      <c r="M1738" s="654">
        <v>0</v>
      </c>
      <c r="N1738" s="654">
        <v>192839</v>
      </c>
    </row>
    <row r="1739" spans="2:14" x14ac:dyDescent="0.15">
      <c r="B1739"/>
      <c r="F1739" t="s">
        <v>734</v>
      </c>
      <c r="H1739" s="654">
        <v>838386</v>
      </c>
      <c r="I1739" s="654">
        <v>0</v>
      </c>
      <c r="J1739" s="654">
        <v>838386</v>
      </c>
      <c r="K1739" s="654">
        <v>838386</v>
      </c>
      <c r="L1739" s="654">
        <v>0</v>
      </c>
      <c r="M1739" s="654">
        <v>0</v>
      </c>
      <c r="N1739" s="654">
        <v>192839</v>
      </c>
    </row>
    <row r="1740" spans="2:14" x14ac:dyDescent="0.15">
      <c r="B1740"/>
      <c r="F1740" t="s">
        <v>628</v>
      </c>
      <c r="G1740" t="s">
        <v>598</v>
      </c>
      <c r="H1740" s="654">
        <v>444863</v>
      </c>
      <c r="I1740" s="654">
        <v>0</v>
      </c>
      <c r="J1740" s="654">
        <v>444863</v>
      </c>
      <c r="K1740" s="654">
        <v>444863</v>
      </c>
      <c r="L1740" s="654">
        <v>0</v>
      </c>
      <c r="M1740" s="654">
        <v>0</v>
      </c>
      <c r="N1740" s="654">
        <v>0</v>
      </c>
    </row>
    <row r="1741" spans="2:14" x14ac:dyDescent="0.15">
      <c r="B1741"/>
      <c r="F1741" t="s">
        <v>735</v>
      </c>
      <c r="H1741" s="654">
        <v>444863</v>
      </c>
      <c r="I1741" s="654">
        <v>0</v>
      </c>
      <c r="J1741" s="654">
        <v>444863</v>
      </c>
      <c r="K1741" s="654">
        <v>444863</v>
      </c>
      <c r="L1741" s="654">
        <v>0</v>
      </c>
      <c r="M1741" s="654">
        <v>0</v>
      </c>
      <c r="N1741" s="654">
        <v>0</v>
      </c>
    </row>
    <row r="1742" spans="2:14" x14ac:dyDescent="0.15">
      <c r="B1742"/>
      <c r="E1742" t="s">
        <v>770</v>
      </c>
      <c r="H1742" s="654">
        <v>5121995</v>
      </c>
      <c r="I1742" s="654">
        <v>-170180</v>
      </c>
      <c r="J1742" s="654">
        <v>4951815</v>
      </c>
      <c r="K1742" s="654">
        <v>4951815</v>
      </c>
      <c r="L1742" s="654">
        <v>0</v>
      </c>
      <c r="M1742" s="654">
        <v>314016</v>
      </c>
      <c r="N1742" s="654">
        <v>594872</v>
      </c>
    </row>
    <row r="1743" spans="2:14" x14ac:dyDescent="0.15">
      <c r="B1743"/>
      <c r="D1743" t="s">
        <v>734</v>
      </c>
      <c r="H1743" s="654">
        <v>5121995</v>
      </c>
      <c r="I1743" s="654">
        <v>-170180</v>
      </c>
      <c r="J1743" s="654">
        <v>4951815</v>
      </c>
      <c r="K1743" s="654">
        <v>4951815</v>
      </c>
      <c r="L1743" s="654">
        <v>0</v>
      </c>
      <c r="M1743" s="654">
        <v>314016</v>
      </c>
      <c r="N1743" s="654">
        <v>594872</v>
      </c>
    </row>
    <row r="1744" spans="2:14" x14ac:dyDescent="0.15">
      <c r="B1744"/>
      <c r="D1744" t="s">
        <v>628</v>
      </c>
      <c r="E1744" t="s">
        <v>380</v>
      </c>
      <c r="F1744" t="s">
        <v>626</v>
      </c>
      <c r="G1744" t="s">
        <v>600</v>
      </c>
      <c r="H1744" s="654">
        <v>3509891</v>
      </c>
      <c r="I1744" s="654">
        <v>-54034</v>
      </c>
      <c r="J1744" s="654">
        <v>3455857</v>
      </c>
      <c r="K1744" s="654">
        <v>3455857</v>
      </c>
      <c r="L1744" s="654">
        <v>0</v>
      </c>
      <c r="M1744" s="654">
        <v>122401</v>
      </c>
      <c r="N1744" s="654">
        <v>388251</v>
      </c>
    </row>
    <row r="1745" spans="2:14" x14ac:dyDescent="0.15">
      <c r="B1745"/>
      <c r="F1745" t="s">
        <v>733</v>
      </c>
      <c r="H1745" s="654">
        <v>3509891</v>
      </c>
      <c r="I1745" s="654">
        <v>-54034</v>
      </c>
      <c r="J1745" s="654">
        <v>3455857</v>
      </c>
      <c r="K1745" s="654">
        <v>3455857</v>
      </c>
      <c r="L1745" s="654">
        <v>0</v>
      </c>
      <c r="M1745" s="654">
        <v>122401</v>
      </c>
      <c r="N1745" s="654">
        <v>388251</v>
      </c>
    </row>
    <row r="1746" spans="2:14" x14ac:dyDescent="0.15">
      <c r="B1746"/>
      <c r="F1746" t="s">
        <v>627</v>
      </c>
      <c r="G1746" t="s">
        <v>599</v>
      </c>
      <c r="H1746" s="654">
        <v>1771705</v>
      </c>
      <c r="I1746" s="654">
        <v>0</v>
      </c>
      <c r="J1746" s="654">
        <v>1771705</v>
      </c>
      <c r="K1746" s="654">
        <v>1771705</v>
      </c>
      <c r="L1746" s="654">
        <v>0</v>
      </c>
      <c r="M1746" s="654">
        <v>0</v>
      </c>
      <c r="N1746" s="654">
        <v>409072</v>
      </c>
    </row>
    <row r="1747" spans="2:14" x14ac:dyDescent="0.15">
      <c r="B1747"/>
      <c r="F1747" t="s">
        <v>734</v>
      </c>
      <c r="H1747" s="654">
        <v>1771705</v>
      </c>
      <c r="I1747" s="654">
        <v>0</v>
      </c>
      <c r="J1747" s="654">
        <v>1771705</v>
      </c>
      <c r="K1747" s="654">
        <v>1771705</v>
      </c>
      <c r="L1747" s="654">
        <v>0</v>
      </c>
      <c r="M1747" s="654">
        <v>0</v>
      </c>
      <c r="N1747" s="654">
        <v>409072</v>
      </c>
    </row>
    <row r="1748" spans="2:14" x14ac:dyDescent="0.15">
      <c r="B1748"/>
      <c r="E1748" t="s">
        <v>771</v>
      </c>
      <c r="H1748" s="654">
        <v>5281596</v>
      </c>
      <c r="I1748" s="654">
        <v>-54034</v>
      </c>
      <c r="J1748" s="654">
        <v>5227562</v>
      </c>
      <c r="K1748" s="654">
        <v>5227562</v>
      </c>
      <c r="L1748" s="654">
        <v>0</v>
      </c>
      <c r="M1748" s="654">
        <v>122401</v>
      </c>
      <c r="N1748" s="654">
        <v>797323</v>
      </c>
    </row>
    <row r="1749" spans="2:14" x14ac:dyDescent="0.15">
      <c r="B1749"/>
      <c r="D1749" t="s">
        <v>735</v>
      </c>
      <c r="H1749" s="654">
        <v>5281596</v>
      </c>
      <c r="I1749" s="654">
        <v>-54034</v>
      </c>
      <c r="J1749" s="654">
        <v>5227562</v>
      </c>
      <c r="K1749" s="654">
        <v>5227562</v>
      </c>
      <c r="L1749" s="654">
        <v>0</v>
      </c>
      <c r="M1749" s="654">
        <v>122401</v>
      </c>
      <c r="N1749" s="654">
        <v>797323</v>
      </c>
    </row>
    <row r="1750" spans="2:14" x14ac:dyDescent="0.15">
      <c r="B1750"/>
      <c r="D1750" t="s">
        <v>629</v>
      </c>
      <c r="E1750" t="s">
        <v>676</v>
      </c>
      <c r="F1750" t="s">
        <v>629</v>
      </c>
      <c r="G1750" t="s">
        <v>601</v>
      </c>
      <c r="H1750" s="654">
        <v>3235791</v>
      </c>
      <c r="I1750" s="654">
        <v>0</v>
      </c>
      <c r="J1750" s="654">
        <v>3235791</v>
      </c>
      <c r="K1750" s="654">
        <v>3235791</v>
      </c>
      <c r="L1750" s="654">
        <v>0</v>
      </c>
      <c r="M1750" s="654">
        <v>0</v>
      </c>
      <c r="N1750" s="654">
        <v>184869</v>
      </c>
    </row>
    <row r="1751" spans="2:14" x14ac:dyDescent="0.15">
      <c r="B1751"/>
      <c r="F1751" t="s">
        <v>736</v>
      </c>
      <c r="H1751" s="654">
        <v>3235791</v>
      </c>
      <c r="I1751" s="654">
        <v>0</v>
      </c>
      <c r="J1751" s="654">
        <v>3235791</v>
      </c>
      <c r="K1751" s="654">
        <v>3235791</v>
      </c>
      <c r="L1751" s="654">
        <v>0</v>
      </c>
      <c r="M1751" s="654">
        <v>0</v>
      </c>
      <c r="N1751" s="654">
        <v>184869</v>
      </c>
    </row>
    <row r="1752" spans="2:14" x14ac:dyDescent="0.15">
      <c r="B1752"/>
      <c r="E1752" t="s">
        <v>772</v>
      </c>
      <c r="H1752" s="654">
        <v>3235791</v>
      </c>
      <c r="I1752" s="654">
        <v>0</v>
      </c>
      <c r="J1752" s="654">
        <v>3235791</v>
      </c>
      <c r="K1752" s="654">
        <v>3235791</v>
      </c>
      <c r="L1752" s="654">
        <v>0</v>
      </c>
      <c r="M1752" s="654">
        <v>0</v>
      </c>
      <c r="N1752" s="654">
        <v>184869</v>
      </c>
    </row>
    <row r="1753" spans="2:14" x14ac:dyDescent="0.15">
      <c r="B1753"/>
      <c r="D1753" t="s">
        <v>736</v>
      </c>
      <c r="H1753" s="654">
        <v>3235791</v>
      </c>
      <c r="I1753" s="654">
        <v>0</v>
      </c>
      <c r="J1753" s="654">
        <v>3235791</v>
      </c>
      <c r="K1753" s="654">
        <v>3235791</v>
      </c>
      <c r="L1753" s="654">
        <v>0</v>
      </c>
      <c r="M1753" s="654">
        <v>0</v>
      </c>
      <c r="N1753" s="654">
        <v>184869</v>
      </c>
    </row>
    <row r="1754" spans="2:14" x14ac:dyDescent="0.15">
      <c r="B1754"/>
      <c r="D1754" t="s">
        <v>567</v>
      </c>
      <c r="E1754" t="s">
        <v>473</v>
      </c>
      <c r="F1754" t="s">
        <v>631</v>
      </c>
      <c r="G1754" t="s">
        <v>596</v>
      </c>
      <c r="H1754" s="654">
        <v>710413</v>
      </c>
      <c r="I1754" s="654">
        <v>0</v>
      </c>
      <c r="J1754" s="654">
        <v>710413</v>
      </c>
      <c r="K1754" s="654">
        <v>710413</v>
      </c>
      <c r="L1754" s="654">
        <v>0</v>
      </c>
      <c r="M1754" s="654">
        <v>0</v>
      </c>
      <c r="N1754" s="654">
        <v>248202</v>
      </c>
    </row>
    <row r="1755" spans="2:14" x14ac:dyDescent="0.15">
      <c r="B1755"/>
      <c r="F1755" t="s">
        <v>737</v>
      </c>
      <c r="H1755" s="654">
        <v>710413</v>
      </c>
      <c r="I1755" s="654">
        <v>0</v>
      </c>
      <c r="J1755" s="654">
        <v>710413</v>
      </c>
      <c r="K1755" s="654">
        <v>710413</v>
      </c>
      <c r="L1755" s="654">
        <v>0</v>
      </c>
      <c r="M1755" s="654">
        <v>0</v>
      </c>
      <c r="N1755" s="654">
        <v>248202</v>
      </c>
    </row>
    <row r="1756" spans="2:14" x14ac:dyDescent="0.15">
      <c r="B1756"/>
      <c r="E1756" t="s">
        <v>773</v>
      </c>
      <c r="H1756" s="654">
        <v>710413</v>
      </c>
      <c r="I1756" s="654">
        <v>0</v>
      </c>
      <c r="J1756" s="654">
        <v>710413</v>
      </c>
      <c r="K1756" s="654">
        <v>710413</v>
      </c>
      <c r="L1756" s="654">
        <v>0</v>
      </c>
      <c r="M1756" s="654">
        <v>0</v>
      </c>
      <c r="N1756" s="654">
        <v>248202</v>
      </c>
    </row>
    <row r="1757" spans="2:14" x14ac:dyDescent="0.15">
      <c r="B1757"/>
      <c r="D1757" t="s">
        <v>739</v>
      </c>
      <c r="H1757" s="654">
        <v>710413</v>
      </c>
      <c r="I1757" s="654">
        <v>0</v>
      </c>
      <c r="J1757" s="654">
        <v>710413</v>
      </c>
      <c r="K1757" s="654">
        <v>710413</v>
      </c>
      <c r="L1757" s="654">
        <v>0</v>
      </c>
      <c r="M1757" s="654">
        <v>0</v>
      </c>
      <c r="N1757" s="654">
        <v>248202</v>
      </c>
    </row>
    <row r="1758" spans="2:14" x14ac:dyDescent="0.15">
      <c r="B1758"/>
      <c r="D1758" t="s">
        <v>568</v>
      </c>
      <c r="E1758" t="s">
        <v>474</v>
      </c>
      <c r="F1758" t="s">
        <v>631</v>
      </c>
      <c r="G1758" t="s">
        <v>596</v>
      </c>
      <c r="H1758" s="654">
        <v>861922</v>
      </c>
      <c r="I1758" s="654">
        <v>0</v>
      </c>
      <c r="J1758" s="654">
        <v>861922</v>
      </c>
      <c r="K1758" s="654">
        <v>861922</v>
      </c>
      <c r="L1758" s="654">
        <v>0</v>
      </c>
      <c r="M1758" s="654">
        <v>0</v>
      </c>
      <c r="N1758" s="654">
        <v>0</v>
      </c>
    </row>
    <row r="1759" spans="2:14" x14ac:dyDescent="0.15">
      <c r="B1759"/>
      <c r="F1759" t="s">
        <v>737</v>
      </c>
      <c r="H1759" s="654">
        <v>861922</v>
      </c>
      <c r="I1759" s="654">
        <v>0</v>
      </c>
      <c r="J1759" s="654">
        <v>861922</v>
      </c>
      <c r="K1759" s="654">
        <v>861922</v>
      </c>
      <c r="L1759" s="654">
        <v>0</v>
      </c>
      <c r="M1759" s="654">
        <v>0</v>
      </c>
      <c r="N1759" s="654">
        <v>0</v>
      </c>
    </row>
    <row r="1760" spans="2:14" x14ac:dyDescent="0.15">
      <c r="B1760"/>
      <c r="E1760" t="s">
        <v>774</v>
      </c>
      <c r="H1760" s="654">
        <v>861922</v>
      </c>
      <c r="I1760" s="654">
        <v>0</v>
      </c>
      <c r="J1760" s="654">
        <v>861922</v>
      </c>
      <c r="K1760" s="654">
        <v>861922</v>
      </c>
      <c r="L1760" s="654">
        <v>0</v>
      </c>
      <c r="M1760" s="654">
        <v>0</v>
      </c>
      <c r="N1760" s="654">
        <v>0</v>
      </c>
    </row>
    <row r="1761" spans="2:14" x14ac:dyDescent="0.15">
      <c r="B1761"/>
      <c r="D1761" t="s">
        <v>740</v>
      </c>
      <c r="H1761" s="654">
        <v>861922</v>
      </c>
      <c r="I1761" s="654">
        <v>0</v>
      </c>
      <c r="J1761" s="654">
        <v>861922</v>
      </c>
      <c r="K1761" s="654">
        <v>861922</v>
      </c>
      <c r="L1761" s="654">
        <v>0</v>
      </c>
      <c r="M1761" s="654">
        <v>0</v>
      </c>
      <c r="N1761" s="654">
        <v>0</v>
      </c>
    </row>
    <row r="1762" spans="2:14" x14ac:dyDescent="0.15">
      <c r="B1762"/>
      <c r="D1762" t="s">
        <v>582</v>
      </c>
      <c r="E1762" t="s">
        <v>384</v>
      </c>
      <c r="F1762" t="s">
        <v>631</v>
      </c>
      <c r="G1762" t="s">
        <v>596</v>
      </c>
      <c r="H1762" s="654">
        <v>2200178</v>
      </c>
      <c r="I1762" s="654">
        <v>0</v>
      </c>
      <c r="J1762" s="654">
        <v>2200178</v>
      </c>
      <c r="K1762" s="654">
        <v>2200178</v>
      </c>
      <c r="L1762" s="654">
        <v>0</v>
      </c>
      <c r="M1762" s="654">
        <v>0</v>
      </c>
      <c r="N1762" s="654">
        <v>0</v>
      </c>
    </row>
    <row r="1763" spans="2:14" x14ac:dyDescent="0.15">
      <c r="B1763"/>
      <c r="F1763" t="s">
        <v>737</v>
      </c>
      <c r="H1763" s="654">
        <v>2200178</v>
      </c>
      <c r="I1763" s="654">
        <v>0</v>
      </c>
      <c r="J1763" s="654">
        <v>2200178</v>
      </c>
      <c r="K1763" s="654">
        <v>2200178</v>
      </c>
      <c r="L1763" s="654">
        <v>0</v>
      </c>
      <c r="M1763" s="654">
        <v>0</v>
      </c>
      <c r="N1763" s="654">
        <v>0</v>
      </c>
    </row>
    <row r="1764" spans="2:14" x14ac:dyDescent="0.15">
      <c r="B1764"/>
      <c r="E1764" t="s">
        <v>778</v>
      </c>
      <c r="H1764" s="654">
        <v>2200178</v>
      </c>
      <c r="I1764" s="654">
        <v>0</v>
      </c>
      <c r="J1764" s="654">
        <v>2200178</v>
      </c>
      <c r="K1764" s="654">
        <v>2200178</v>
      </c>
      <c r="L1764" s="654">
        <v>0</v>
      </c>
      <c r="M1764" s="654">
        <v>0</v>
      </c>
      <c r="N1764" s="654">
        <v>0</v>
      </c>
    </row>
    <row r="1765" spans="2:14" x14ac:dyDescent="0.15">
      <c r="B1765"/>
      <c r="D1765" t="s">
        <v>743</v>
      </c>
      <c r="H1765" s="654">
        <v>2200178</v>
      </c>
      <c r="I1765" s="654">
        <v>0</v>
      </c>
      <c r="J1765" s="654">
        <v>2200178</v>
      </c>
      <c r="K1765" s="654">
        <v>2200178</v>
      </c>
      <c r="L1765" s="654">
        <v>0</v>
      </c>
      <c r="M1765" s="654">
        <v>0</v>
      </c>
      <c r="N1765" s="654">
        <v>0</v>
      </c>
    </row>
    <row r="1766" spans="2:14" x14ac:dyDescent="0.15">
      <c r="B1766"/>
      <c r="D1766" t="s">
        <v>631</v>
      </c>
      <c r="E1766" t="s">
        <v>381</v>
      </c>
      <c r="F1766" t="s">
        <v>626</v>
      </c>
      <c r="G1766" t="s">
        <v>600</v>
      </c>
      <c r="H1766" s="654">
        <v>2306499</v>
      </c>
      <c r="I1766" s="654">
        <v>0</v>
      </c>
      <c r="J1766" s="654">
        <v>2306499</v>
      </c>
      <c r="K1766" s="654">
        <v>2306499</v>
      </c>
      <c r="L1766" s="654">
        <v>0</v>
      </c>
      <c r="M1766" s="654">
        <v>0</v>
      </c>
      <c r="N1766" s="654">
        <v>0</v>
      </c>
    </row>
    <row r="1767" spans="2:14" x14ac:dyDescent="0.15">
      <c r="B1767"/>
      <c r="F1767" t="s">
        <v>733</v>
      </c>
      <c r="H1767" s="654">
        <v>2306499</v>
      </c>
      <c r="I1767" s="654">
        <v>0</v>
      </c>
      <c r="J1767" s="654">
        <v>2306499</v>
      </c>
      <c r="K1767" s="654">
        <v>2306499</v>
      </c>
      <c r="L1767" s="654">
        <v>0</v>
      </c>
      <c r="M1767" s="654">
        <v>0</v>
      </c>
      <c r="N1767" s="654">
        <v>0</v>
      </c>
    </row>
    <row r="1768" spans="2:14" x14ac:dyDescent="0.15">
      <c r="B1768"/>
      <c r="E1768" t="s">
        <v>776</v>
      </c>
      <c r="H1768" s="654">
        <v>2306499</v>
      </c>
      <c r="I1768" s="654">
        <v>0</v>
      </c>
      <c r="J1768" s="654">
        <v>2306499</v>
      </c>
      <c r="K1768" s="654">
        <v>2306499</v>
      </c>
      <c r="L1768" s="654">
        <v>0</v>
      </c>
      <c r="M1768" s="654">
        <v>0</v>
      </c>
      <c r="N1768" s="654">
        <v>0</v>
      </c>
    </row>
    <row r="1769" spans="2:14" x14ac:dyDescent="0.15">
      <c r="B1769"/>
      <c r="D1769" t="s">
        <v>737</v>
      </c>
      <c r="H1769" s="654">
        <v>2306499</v>
      </c>
      <c r="I1769" s="654">
        <v>0</v>
      </c>
      <c r="J1769" s="654">
        <v>2306499</v>
      </c>
      <c r="K1769" s="654">
        <v>2306499</v>
      </c>
      <c r="L1769" s="654">
        <v>0</v>
      </c>
      <c r="M1769" s="654">
        <v>0</v>
      </c>
      <c r="N1769" s="654">
        <v>0</v>
      </c>
    </row>
    <row r="1770" spans="2:14" x14ac:dyDescent="0.15">
      <c r="B1770"/>
      <c r="D1770" t="s">
        <v>671</v>
      </c>
      <c r="E1770" t="s">
        <v>383</v>
      </c>
      <c r="F1770" t="s">
        <v>626</v>
      </c>
      <c r="G1770" t="s">
        <v>600</v>
      </c>
      <c r="H1770" s="654">
        <v>795848</v>
      </c>
      <c r="I1770" s="654">
        <v>-1616</v>
      </c>
      <c r="J1770" s="654">
        <v>794232</v>
      </c>
      <c r="K1770" s="654">
        <v>794232</v>
      </c>
      <c r="L1770" s="654">
        <v>0</v>
      </c>
      <c r="M1770" s="654">
        <v>0</v>
      </c>
      <c r="N1770" s="654">
        <v>0</v>
      </c>
    </row>
    <row r="1771" spans="2:14" x14ac:dyDescent="0.15">
      <c r="B1771"/>
      <c r="F1771" t="s">
        <v>733</v>
      </c>
      <c r="H1771" s="654">
        <v>795848</v>
      </c>
      <c r="I1771" s="654">
        <v>-1616</v>
      </c>
      <c r="J1771" s="654">
        <v>794232</v>
      </c>
      <c r="K1771" s="654">
        <v>794232</v>
      </c>
      <c r="L1771" s="654">
        <v>0</v>
      </c>
      <c r="M1771" s="654">
        <v>0</v>
      </c>
      <c r="N1771" s="654">
        <v>0</v>
      </c>
    </row>
    <row r="1772" spans="2:14" x14ac:dyDescent="0.15">
      <c r="B1772"/>
      <c r="F1772" t="s">
        <v>627</v>
      </c>
      <c r="G1772" t="s">
        <v>599</v>
      </c>
      <c r="H1772" s="654">
        <v>0</v>
      </c>
      <c r="I1772" s="654">
        <v>0</v>
      </c>
      <c r="J1772" s="654">
        <v>0</v>
      </c>
      <c r="K1772" s="654">
        <v>0</v>
      </c>
      <c r="L1772" s="654">
        <v>0</v>
      </c>
      <c r="M1772" s="654">
        <v>0</v>
      </c>
      <c r="N1772" s="654">
        <v>0</v>
      </c>
    </row>
    <row r="1773" spans="2:14" x14ac:dyDescent="0.15">
      <c r="B1773"/>
      <c r="F1773" t="s">
        <v>734</v>
      </c>
      <c r="H1773" s="654">
        <v>0</v>
      </c>
      <c r="I1773" s="654">
        <v>0</v>
      </c>
      <c r="J1773" s="654">
        <v>0</v>
      </c>
      <c r="K1773" s="654">
        <v>0</v>
      </c>
      <c r="L1773" s="654">
        <v>0</v>
      </c>
      <c r="M1773" s="654">
        <v>0</v>
      </c>
      <c r="N1773" s="654">
        <v>0</v>
      </c>
    </row>
    <row r="1774" spans="2:14" x14ac:dyDescent="0.15">
      <c r="B1774"/>
      <c r="E1774" t="s">
        <v>777</v>
      </c>
      <c r="H1774" s="654">
        <v>795848</v>
      </c>
      <c r="I1774" s="654">
        <v>-1616</v>
      </c>
      <c r="J1774" s="654">
        <v>794232</v>
      </c>
      <c r="K1774" s="654">
        <v>794232</v>
      </c>
      <c r="L1774" s="654">
        <v>0</v>
      </c>
      <c r="M1774" s="654">
        <v>0</v>
      </c>
      <c r="N1774" s="654">
        <v>0</v>
      </c>
    </row>
    <row r="1775" spans="2:14" x14ac:dyDescent="0.15">
      <c r="B1775"/>
      <c r="D1775" t="s">
        <v>742</v>
      </c>
      <c r="H1775" s="654">
        <v>795848</v>
      </c>
      <c r="I1775" s="654">
        <v>-1616</v>
      </c>
      <c r="J1775" s="654">
        <v>794232</v>
      </c>
      <c r="K1775" s="654">
        <v>794232</v>
      </c>
      <c r="L1775" s="654">
        <v>0</v>
      </c>
      <c r="M1775" s="654">
        <v>0</v>
      </c>
      <c r="N1775" s="654">
        <v>0</v>
      </c>
    </row>
    <row r="1776" spans="2:14" x14ac:dyDescent="0.15">
      <c r="B1776"/>
      <c r="C1776" t="s">
        <v>853</v>
      </c>
      <c r="H1776" s="654">
        <v>29346274</v>
      </c>
      <c r="I1776" s="654">
        <v>-236979</v>
      </c>
      <c r="J1776" s="654">
        <v>29109295</v>
      </c>
      <c r="K1776" s="654">
        <v>29109295</v>
      </c>
      <c r="L1776" s="654">
        <v>0</v>
      </c>
      <c r="M1776" s="654">
        <v>576372</v>
      </c>
      <c r="N1776" s="654">
        <v>3341410</v>
      </c>
    </row>
    <row r="1777" spans="2:14" x14ac:dyDescent="0.15">
      <c r="B1777" t="s">
        <v>627</v>
      </c>
      <c r="C1777" t="s">
        <v>847</v>
      </c>
      <c r="D1777" t="s">
        <v>626</v>
      </c>
      <c r="E1777" t="s">
        <v>378</v>
      </c>
      <c r="F1777" t="s">
        <v>626</v>
      </c>
      <c r="G1777" t="s">
        <v>600</v>
      </c>
      <c r="H1777" s="654">
        <v>475291</v>
      </c>
      <c r="I1777" s="654">
        <v>0</v>
      </c>
      <c r="J1777" s="654">
        <v>475291</v>
      </c>
      <c r="K1777" s="654">
        <v>475291</v>
      </c>
      <c r="L1777" s="654">
        <v>0</v>
      </c>
      <c r="M1777" s="654">
        <v>0</v>
      </c>
      <c r="N1777" s="654">
        <v>0</v>
      </c>
    </row>
    <row r="1778" spans="2:14" x14ac:dyDescent="0.15">
      <c r="B1778"/>
      <c r="F1778" t="s">
        <v>733</v>
      </c>
      <c r="H1778" s="654">
        <v>475291</v>
      </c>
      <c r="I1778" s="654">
        <v>0</v>
      </c>
      <c r="J1778" s="654">
        <v>475291</v>
      </c>
      <c r="K1778" s="654">
        <v>475291</v>
      </c>
      <c r="L1778" s="654">
        <v>0</v>
      </c>
      <c r="M1778" s="654">
        <v>0</v>
      </c>
      <c r="N1778" s="654">
        <v>0</v>
      </c>
    </row>
    <row r="1779" spans="2:14" x14ac:dyDescent="0.15">
      <c r="B1779"/>
      <c r="F1779" t="s">
        <v>627</v>
      </c>
      <c r="G1779" t="s">
        <v>599</v>
      </c>
      <c r="H1779" s="654">
        <v>0</v>
      </c>
      <c r="I1779" s="654">
        <v>0</v>
      </c>
      <c r="J1779" s="654">
        <v>0</v>
      </c>
      <c r="K1779" s="654">
        <v>0</v>
      </c>
      <c r="L1779" s="654">
        <v>0</v>
      </c>
      <c r="M1779" s="654">
        <v>0</v>
      </c>
      <c r="N1779" s="654">
        <v>0</v>
      </c>
    </row>
    <row r="1780" spans="2:14" x14ac:dyDescent="0.15">
      <c r="B1780"/>
      <c r="F1780" t="s">
        <v>734</v>
      </c>
      <c r="H1780" s="654">
        <v>0</v>
      </c>
      <c r="I1780" s="654">
        <v>0</v>
      </c>
      <c r="J1780" s="654">
        <v>0</v>
      </c>
      <c r="K1780" s="654">
        <v>0</v>
      </c>
      <c r="L1780" s="654">
        <v>0</v>
      </c>
      <c r="M1780" s="654">
        <v>0</v>
      </c>
      <c r="N1780" s="654">
        <v>0</v>
      </c>
    </row>
    <row r="1781" spans="2:14" x14ac:dyDescent="0.15">
      <c r="B1781"/>
      <c r="F1781" t="s">
        <v>628</v>
      </c>
      <c r="G1781" t="s">
        <v>598</v>
      </c>
      <c r="H1781" s="654">
        <v>14359</v>
      </c>
      <c r="I1781" s="654">
        <v>0</v>
      </c>
      <c r="J1781" s="654">
        <v>14359</v>
      </c>
      <c r="K1781" s="654">
        <v>14359</v>
      </c>
      <c r="L1781" s="654">
        <v>0</v>
      </c>
      <c r="M1781" s="654">
        <v>0</v>
      </c>
      <c r="N1781" s="654">
        <v>0</v>
      </c>
    </row>
    <row r="1782" spans="2:14" x14ac:dyDescent="0.15">
      <c r="B1782"/>
      <c r="F1782" t="s">
        <v>735</v>
      </c>
      <c r="H1782" s="654">
        <v>14359</v>
      </c>
      <c r="I1782" s="654">
        <v>0</v>
      </c>
      <c r="J1782" s="654">
        <v>14359</v>
      </c>
      <c r="K1782" s="654">
        <v>14359</v>
      </c>
      <c r="L1782" s="654">
        <v>0</v>
      </c>
      <c r="M1782" s="654">
        <v>0</v>
      </c>
      <c r="N1782" s="654">
        <v>0</v>
      </c>
    </row>
    <row r="1783" spans="2:14" x14ac:dyDescent="0.15">
      <c r="B1783"/>
      <c r="E1783" t="s">
        <v>769</v>
      </c>
      <c r="H1783" s="654">
        <v>489650</v>
      </c>
      <c r="I1783" s="654">
        <v>0</v>
      </c>
      <c r="J1783" s="654">
        <v>489650</v>
      </c>
      <c r="K1783" s="654">
        <v>489650</v>
      </c>
      <c r="L1783" s="654">
        <v>0</v>
      </c>
      <c r="M1783" s="654">
        <v>0</v>
      </c>
      <c r="N1783" s="654">
        <v>0</v>
      </c>
    </row>
    <row r="1784" spans="2:14" x14ac:dyDescent="0.15">
      <c r="B1784"/>
      <c r="D1784" t="s">
        <v>733</v>
      </c>
      <c r="H1784" s="654">
        <v>489650</v>
      </c>
      <c r="I1784" s="654">
        <v>0</v>
      </c>
      <c r="J1784" s="654">
        <v>489650</v>
      </c>
      <c r="K1784" s="654">
        <v>489650</v>
      </c>
      <c r="L1784" s="654">
        <v>0</v>
      </c>
      <c r="M1784" s="654">
        <v>0</v>
      </c>
      <c r="N1784" s="654">
        <v>0</v>
      </c>
    </row>
    <row r="1785" spans="2:14" x14ac:dyDescent="0.15">
      <c r="B1785"/>
      <c r="D1785" t="s">
        <v>627</v>
      </c>
      <c r="E1785" t="s">
        <v>379</v>
      </c>
      <c r="F1785" t="s">
        <v>626</v>
      </c>
      <c r="G1785" t="s">
        <v>600</v>
      </c>
      <c r="H1785" s="654">
        <v>30287</v>
      </c>
      <c r="I1785" s="654">
        <v>42918</v>
      </c>
      <c r="J1785" s="654">
        <v>73205</v>
      </c>
      <c r="K1785" s="654">
        <v>73205</v>
      </c>
      <c r="L1785" s="654">
        <v>0</v>
      </c>
      <c r="M1785" s="654">
        <v>0</v>
      </c>
      <c r="N1785" s="654">
        <v>0</v>
      </c>
    </row>
    <row r="1786" spans="2:14" x14ac:dyDescent="0.15">
      <c r="B1786"/>
      <c r="F1786" t="s">
        <v>733</v>
      </c>
      <c r="H1786" s="654">
        <v>30287</v>
      </c>
      <c r="I1786" s="654">
        <v>42918</v>
      </c>
      <c r="J1786" s="654">
        <v>73205</v>
      </c>
      <c r="K1786" s="654">
        <v>73205</v>
      </c>
      <c r="L1786" s="654">
        <v>0</v>
      </c>
      <c r="M1786" s="654">
        <v>0</v>
      </c>
      <c r="N1786" s="654">
        <v>0</v>
      </c>
    </row>
    <row r="1787" spans="2:14" x14ac:dyDescent="0.15">
      <c r="B1787"/>
      <c r="F1787" t="s">
        <v>627</v>
      </c>
      <c r="G1787" t="s">
        <v>599</v>
      </c>
      <c r="H1787" s="654">
        <v>127125</v>
      </c>
      <c r="I1787" s="654">
        <v>-127125</v>
      </c>
      <c r="J1787" s="654">
        <v>0</v>
      </c>
      <c r="K1787" s="654">
        <v>0</v>
      </c>
      <c r="L1787" s="654">
        <v>0</v>
      </c>
      <c r="M1787" s="654">
        <v>0</v>
      </c>
      <c r="N1787" s="654">
        <v>0</v>
      </c>
    </row>
    <row r="1788" spans="2:14" x14ac:dyDescent="0.15">
      <c r="B1788"/>
      <c r="F1788" t="s">
        <v>734</v>
      </c>
      <c r="H1788" s="654">
        <v>127125</v>
      </c>
      <c r="I1788" s="654">
        <v>-127125</v>
      </c>
      <c r="J1788" s="654">
        <v>0</v>
      </c>
      <c r="K1788" s="654">
        <v>0</v>
      </c>
      <c r="L1788" s="654">
        <v>0</v>
      </c>
      <c r="M1788" s="654">
        <v>0</v>
      </c>
      <c r="N1788" s="654">
        <v>0</v>
      </c>
    </row>
    <row r="1789" spans="2:14" x14ac:dyDescent="0.15">
      <c r="B1789"/>
      <c r="F1789" t="s">
        <v>628</v>
      </c>
      <c r="G1789" t="s">
        <v>598</v>
      </c>
      <c r="H1789" s="654">
        <v>0</v>
      </c>
      <c r="I1789" s="654">
        <v>0</v>
      </c>
      <c r="J1789" s="654">
        <v>0</v>
      </c>
      <c r="K1789" s="654">
        <v>0</v>
      </c>
      <c r="L1789" s="654">
        <v>0</v>
      </c>
      <c r="M1789" s="654">
        <v>0</v>
      </c>
      <c r="N1789" s="654">
        <v>0</v>
      </c>
    </row>
    <row r="1790" spans="2:14" x14ac:dyDescent="0.15">
      <c r="B1790"/>
      <c r="F1790" t="s">
        <v>735</v>
      </c>
      <c r="H1790" s="654">
        <v>0</v>
      </c>
      <c r="I1790" s="654">
        <v>0</v>
      </c>
      <c r="J1790" s="654">
        <v>0</v>
      </c>
      <c r="K1790" s="654">
        <v>0</v>
      </c>
      <c r="L1790" s="654">
        <v>0</v>
      </c>
      <c r="M1790" s="654">
        <v>0</v>
      </c>
      <c r="N1790" s="654">
        <v>0</v>
      </c>
    </row>
    <row r="1791" spans="2:14" x14ac:dyDescent="0.15">
      <c r="B1791"/>
      <c r="E1791" t="s">
        <v>770</v>
      </c>
      <c r="H1791" s="654">
        <v>157412</v>
      </c>
      <c r="I1791" s="654">
        <v>-84207</v>
      </c>
      <c r="J1791" s="654">
        <v>73205</v>
      </c>
      <c r="K1791" s="654">
        <v>73205</v>
      </c>
      <c r="L1791" s="654">
        <v>0</v>
      </c>
      <c r="M1791" s="654">
        <v>0</v>
      </c>
      <c r="N1791" s="654">
        <v>0</v>
      </c>
    </row>
    <row r="1792" spans="2:14" x14ac:dyDescent="0.15">
      <c r="B1792"/>
      <c r="D1792" t="s">
        <v>734</v>
      </c>
      <c r="H1792" s="654">
        <v>157412</v>
      </c>
      <c r="I1792" s="654">
        <v>-84207</v>
      </c>
      <c r="J1792" s="654">
        <v>73205</v>
      </c>
      <c r="K1792" s="654">
        <v>73205</v>
      </c>
      <c r="L1792" s="654">
        <v>0</v>
      </c>
      <c r="M1792" s="654">
        <v>0</v>
      </c>
      <c r="N1792" s="654">
        <v>0</v>
      </c>
    </row>
    <row r="1793" spans="2:14" x14ac:dyDescent="0.15">
      <c r="B1793"/>
      <c r="D1793" t="s">
        <v>628</v>
      </c>
      <c r="E1793" t="s">
        <v>380</v>
      </c>
      <c r="F1793" t="s">
        <v>626</v>
      </c>
      <c r="G1793" t="s">
        <v>600</v>
      </c>
      <c r="H1793" s="654">
        <v>29138</v>
      </c>
      <c r="I1793" s="654">
        <v>189539</v>
      </c>
      <c r="J1793" s="654">
        <v>218677</v>
      </c>
      <c r="K1793" s="654">
        <v>218677</v>
      </c>
      <c r="L1793" s="654">
        <v>0</v>
      </c>
      <c r="M1793" s="654">
        <v>0</v>
      </c>
      <c r="N1793" s="654">
        <v>0</v>
      </c>
    </row>
    <row r="1794" spans="2:14" x14ac:dyDescent="0.15">
      <c r="B1794"/>
      <c r="F1794" t="s">
        <v>733</v>
      </c>
      <c r="H1794" s="654">
        <v>29138</v>
      </c>
      <c r="I1794" s="654">
        <v>189539</v>
      </c>
      <c r="J1794" s="654">
        <v>218677</v>
      </c>
      <c r="K1794" s="654">
        <v>218677</v>
      </c>
      <c r="L1794" s="654">
        <v>0</v>
      </c>
      <c r="M1794" s="654">
        <v>0</v>
      </c>
      <c r="N1794" s="654">
        <v>0</v>
      </c>
    </row>
    <row r="1795" spans="2:14" x14ac:dyDescent="0.15">
      <c r="B1795"/>
      <c r="F1795" t="s">
        <v>627</v>
      </c>
      <c r="G1795" t="s">
        <v>599</v>
      </c>
      <c r="H1795" s="654">
        <v>0</v>
      </c>
      <c r="I1795" s="654">
        <v>0</v>
      </c>
      <c r="J1795" s="654">
        <v>0</v>
      </c>
      <c r="K1795" s="654">
        <v>0</v>
      </c>
      <c r="L1795" s="654">
        <v>0</v>
      </c>
      <c r="M1795" s="654">
        <v>0</v>
      </c>
      <c r="N1795" s="654">
        <v>0</v>
      </c>
    </row>
    <row r="1796" spans="2:14" x14ac:dyDescent="0.15">
      <c r="B1796"/>
      <c r="F1796" t="s">
        <v>734</v>
      </c>
      <c r="H1796" s="654">
        <v>0</v>
      </c>
      <c r="I1796" s="654">
        <v>0</v>
      </c>
      <c r="J1796" s="654">
        <v>0</v>
      </c>
      <c r="K1796" s="654">
        <v>0</v>
      </c>
      <c r="L1796" s="654">
        <v>0</v>
      </c>
      <c r="M1796" s="654">
        <v>0</v>
      </c>
      <c r="N1796" s="654">
        <v>0</v>
      </c>
    </row>
    <row r="1797" spans="2:14" x14ac:dyDescent="0.15">
      <c r="B1797"/>
      <c r="E1797" t="s">
        <v>771</v>
      </c>
      <c r="H1797" s="654">
        <v>29138</v>
      </c>
      <c r="I1797" s="654">
        <v>189539</v>
      </c>
      <c r="J1797" s="654">
        <v>218677</v>
      </c>
      <c r="K1797" s="654">
        <v>218677</v>
      </c>
      <c r="L1797" s="654">
        <v>0</v>
      </c>
      <c r="M1797" s="654">
        <v>0</v>
      </c>
      <c r="N1797" s="654">
        <v>0</v>
      </c>
    </row>
    <row r="1798" spans="2:14" x14ac:dyDescent="0.15">
      <c r="B1798"/>
      <c r="D1798" t="s">
        <v>735</v>
      </c>
      <c r="H1798" s="654">
        <v>29138</v>
      </c>
      <c r="I1798" s="654">
        <v>189539</v>
      </c>
      <c r="J1798" s="654">
        <v>218677</v>
      </c>
      <c r="K1798" s="654">
        <v>218677</v>
      </c>
      <c r="L1798" s="654">
        <v>0</v>
      </c>
      <c r="M1798" s="654">
        <v>0</v>
      </c>
      <c r="N1798" s="654">
        <v>0</v>
      </c>
    </row>
    <row r="1799" spans="2:14" x14ac:dyDescent="0.15">
      <c r="B1799"/>
      <c r="D1799" t="s">
        <v>629</v>
      </c>
      <c r="E1799" t="s">
        <v>676</v>
      </c>
      <c r="F1799" t="s">
        <v>629</v>
      </c>
      <c r="G1799" t="s">
        <v>601</v>
      </c>
      <c r="H1799" s="654">
        <v>144167</v>
      </c>
      <c r="I1799" s="654">
        <v>-60819</v>
      </c>
      <c r="J1799" s="654">
        <v>83348</v>
      </c>
      <c r="K1799" s="654">
        <v>83348</v>
      </c>
      <c r="L1799" s="654">
        <v>0</v>
      </c>
      <c r="M1799" s="654">
        <v>0</v>
      </c>
      <c r="N1799" s="654">
        <v>0</v>
      </c>
    </row>
    <row r="1800" spans="2:14" x14ac:dyDescent="0.15">
      <c r="B1800"/>
      <c r="F1800" t="s">
        <v>736</v>
      </c>
      <c r="H1800" s="654">
        <v>144167</v>
      </c>
      <c r="I1800" s="654">
        <v>-60819</v>
      </c>
      <c r="J1800" s="654">
        <v>83348</v>
      </c>
      <c r="K1800" s="654">
        <v>83348</v>
      </c>
      <c r="L1800" s="654">
        <v>0</v>
      </c>
      <c r="M1800" s="654">
        <v>0</v>
      </c>
      <c r="N1800" s="654">
        <v>0</v>
      </c>
    </row>
    <row r="1801" spans="2:14" x14ac:dyDescent="0.15">
      <c r="B1801"/>
      <c r="E1801" t="s">
        <v>772</v>
      </c>
      <c r="H1801" s="654">
        <v>144167</v>
      </c>
      <c r="I1801" s="654">
        <v>-60819</v>
      </c>
      <c r="J1801" s="654">
        <v>83348</v>
      </c>
      <c r="K1801" s="654">
        <v>83348</v>
      </c>
      <c r="L1801" s="654">
        <v>0</v>
      </c>
      <c r="M1801" s="654">
        <v>0</v>
      </c>
      <c r="N1801" s="654">
        <v>0</v>
      </c>
    </row>
    <row r="1802" spans="2:14" x14ac:dyDescent="0.15">
      <c r="B1802"/>
      <c r="D1802" t="s">
        <v>736</v>
      </c>
      <c r="H1802" s="654">
        <v>144167</v>
      </c>
      <c r="I1802" s="654">
        <v>-60819</v>
      </c>
      <c r="J1802" s="654">
        <v>83348</v>
      </c>
      <c r="K1802" s="654">
        <v>83348</v>
      </c>
      <c r="L1802" s="654">
        <v>0</v>
      </c>
      <c r="M1802" s="654">
        <v>0</v>
      </c>
      <c r="N1802" s="654">
        <v>0</v>
      </c>
    </row>
    <row r="1803" spans="2:14" x14ac:dyDescent="0.15">
      <c r="B1803"/>
      <c r="D1803" t="s">
        <v>567</v>
      </c>
      <c r="E1803" t="s">
        <v>473</v>
      </c>
      <c r="F1803" t="s">
        <v>631</v>
      </c>
      <c r="G1803" t="s">
        <v>596</v>
      </c>
      <c r="H1803" s="654">
        <v>0</v>
      </c>
      <c r="I1803" s="654">
        <v>0</v>
      </c>
      <c r="J1803" s="654">
        <v>0</v>
      </c>
      <c r="K1803" s="654">
        <v>0</v>
      </c>
      <c r="L1803" s="654">
        <v>0</v>
      </c>
      <c r="M1803" s="654">
        <v>0</v>
      </c>
      <c r="N1803" s="654">
        <v>0</v>
      </c>
    </row>
    <row r="1804" spans="2:14" x14ac:dyDescent="0.15">
      <c r="B1804"/>
      <c r="F1804" t="s">
        <v>737</v>
      </c>
      <c r="H1804" s="654">
        <v>0</v>
      </c>
      <c r="I1804" s="654">
        <v>0</v>
      </c>
      <c r="J1804" s="654">
        <v>0</v>
      </c>
      <c r="K1804" s="654">
        <v>0</v>
      </c>
      <c r="L1804" s="654">
        <v>0</v>
      </c>
      <c r="M1804" s="654">
        <v>0</v>
      </c>
      <c r="N1804" s="654">
        <v>0</v>
      </c>
    </row>
    <row r="1805" spans="2:14" x14ac:dyDescent="0.15">
      <c r="B1805"/>
      <c r="E1805" t="s">
        <v>773</v>
      </c>
      <c r="H1805" s="654">
        <v>0</v>
      </c>
      <c r="I1805" s="654">
        <v>0</v>
      </c>
      <c r="J1805" s="654">
        <v>0</v>
      </c>
      <c r="K1805" s="654">
        <v>0</v>
      </c>
      <c r="L1805" s="654">
        <v>0</v>
      </c>
      <c r="M1805" s="654">
        <v>0</v>
      </c>
      <c r="N1805" s="654">
        <v>0</v>
      </c>
    </row>
    <row r="1806" spans="2:14" x14ac:dyDescent="0.15">
      <c r="B1806"/>
      <c r="D1806" t="s">
        <v>739</v>
      </c>
      <c r="H1806" s="654">
        <v>0</v>
      </c>
      <c r="I1806" s="654">
        <v>0</v>
      </c>
      <c r="J1806" s="654">
        <v>0</v>
      </c>
      <c r="K1806" s="654">
        <v>0</v>
      </c>
      <c r="L1806" s="654">
        <v>0</v>
      </c>
      <c r="M1806" s="654">
        <v>0</v>
      </c>
      <c r="N1806" s="654">
        <v>0</v>
      </c>
    </row>
    <row r="1807" spans="2:14" x14ac:dyDescent="0.15">
      <c r="B1807"/>
      <c r="D1807" t="s">
        <v>568</v>
      </c>
      <c r="E1807" t="s">
        <v>474</v>
      </c>
      <c r="F1807" t="s">
        <v>631</v>
      </c>
      <c r="G1807" t="s">
        <v>596</v>
      </c>
      <c r="H1807" s="654">
        <v>0</v>
      </c>
      <c r="I1807" s="654">
        <v>0</v>
      </c>
      <c r="J1807" s="654">
        <v>0</v>
      </c>
      <c r="K1807" s="654">
        <v>0</v>
      </c>
      <c r="L1807" s="654">
        <v>0</v>
      </c>
      <c r="M1807" s="654">
        <v>0</v>
      </c>
      <c r="N1807" s="654">
        <v>0</v>
      </c>
    </row>
    <row r="1808" spans="2:14" x14ac:dyDescent="0.15">
      <c r="B1808"/>
      <c r="F1808" t="s">
        <v>737</v>
      </c>
      <c r="H1808" s="654">
        <v>0</v>
      </c>
      <c r="I1808" s="654">
        <v>0</v>
      </c>
      <c r="J1808" s="654">
        <v>0</v>
      </c>
      <c r="K1808" s="654">
        <v>0</v>
      </c>
      <c r="L1808" s="654">
        <v>0</v>
      </c>
      <c r="M1808" s="654">
        <v>0</v>
      </c>
      <c r="N1808" s="654">
        <v>0</v>
      </c>
    </row>
    <row r="1809" spans="2:14" x14ac:dyDescent="0.15">
      <c r="B1809"/>
      <c r="E1809" t="s">
        <v>774</v>
      </c>
      <c r="H1809" s="654">
        <v>0</v>
      </c>
      <c r="I1809" s="654">
        <v>0</v>
      </c>
      <c r="J1809" s="654">
        <v>0</v>
      </c>
      <c r="K1809" s="654">
        <v>0</v>
      </c>
      <c r="L1809" s="654">
        <v>0</v>
      </c>
      <c r="M1809" s="654">
        <v>0</v>
      </c>
      <c r="N1809" s="654">
        <v>0</v>
      </c>
    </row>
    <row r="1810" spans="2:14" x14ac:dyDescent="0.15">
      <c r="B1810"/>
      <c r="D1810" t="s">
        <v>740</v>
      </c>
      <c r="H1810" s="654">
        <v>0</v>
      </c>
      <c r="I1810" s="654">
        <v>0</v>
      </c>
      <c r="J1810" s="654">
        <v>0</v>
      </c>
      <c r="K1810" s="654">
        <v>0</v>
      </c>
      <c r="L1810" s="654">
        <v>0</v>
      </c>
      <c r="M1810" s="654">
        <v>0</v>
      </c>
      <c r="N1810" s="654">
        <v>0</v>
      </c>
    </row>
    <row r="1811" spans="2:14" x14ac:dyDescent="0.15">
      <c r="B1811"/>
      <c r="D1811" t="s">
        <v>582</v>
      </c>
      <c r="E1811" t="s">
        <v>384</v>
      </c>
      <c r="F1811" t="s">
        <v>631</v>
      </c>
      <c r="G1811" t="s">
        <v>596</v>
      </c>
      <c r="H1811" s="654">
        <v>0</v>
      </c>
      <c r="I1811" s="654">
        <v>0</v>
      </c>
      <c r="J1811" s="654">
        <v>0</v>
      </c>
      <c r="K1811" s="654">
        <v>0</v>
      </c>
      <c r="L1811" s="654">
        <v>0</v>
      </c>
      <c r="M1811" s="654">
        <v>0</v>
      </c>
      <c r="N1811" s="654">
        <v>0</v>
      </c>
    </row>
    <row r="1812" spans="2:14" x14ac:dyDescent="0.15">
      <c r="B1812"/>
      <c r="F1812" t="s">
        <v>737</v>
      </c>
      <c r="H1812" s="654">
        <v>0</v>
      </c>
      <c r="I1812" s="654">
        <v>0</v>
      </c>
      <c r="J1812" s="654">
        <v>0</v>
      </c>
      <c r="K1812" s="654">
        <v>0</v>
      </c>
      <c r="L1812" s="654">
        <v>0</v>
      </c>
      <c r="M1812" s="654">
        <v>0</v>
      </c>
      <c r="N1812" s="654">
        <v>0</v>
      </c>
    </row>
    <row r="1813" spans="2:14" x14ac:dyDescent="0.15">
      <c r="B1813"/>
      <c r="E1813" t="s">
        <v>778</v>
      </c>
      <c r="H1813" s="654">
        <v>0</v>
      </c>
      <c r="I1813" s="654">
        <v>0</v>
      </c>
      <c r="J1813" s="654">
        <v>0</v>
      </c>
      <c r="K1813" s="654">
        <v>0</v>
      </c>
      <c r="L1813" s="654">
        <v>0</v>
      </c>
      <c r="M1813" s="654">
        <v>0</v>
      </c>
      <c r="N1813" s="654">
        <v>0</v>
      </c>
    </row>
    <row r="1814" spans="2:14" x14ac:dyDescent="0.15">
      <c r="B1814"/>
      <c r="D1814" t="s">
        <v>743</v>
      </c>
      <c r="H1814" s="654">
        <v>0</v>
      </c>
      <c r="I1814" s="654">
        <v>0</v>
      </c>
      <c r="J1814" s="654">
        <v>0</v>
      </c>
      <c r="K1814" s="654">
        <v>0</v>
      </c>
      <c r="L1814" s="654">
        <v>0</v>
      </c>
      <c r="M1814" s="654">
        <v>0</v>
      </c>
      <c r="N1814" s="654">
        <v>0</v>
      </c>
    </row>
    <row r="1815" spans="2:14" x14ac:dyDescent="0.15">
      <c r="B1815"/>
      <c r="D1815" t="s">
        <v>631</v>
      </c>
      <c r="E1815" t="s">
        <v>381</v>
      </c>
      <c r="F1815" t="s">
        <v>626</v>
      </c>
      <c r="G1815" t="s">
        <v>600</v>
      </c>
      <c r="H1815" s="654">
        <v>0</v>
      </c>
      <c r="I1815" s="654">
        <v>0</v>
      </c>
      <c r="J1815" s="654">
        <v>0</v>
      </c>
      <c r="K1815" s="654">
        <v>0</v>
      </c>
      <c r="L1815" s="654">
        <v>0</v>
      </c>
      <c r="M1815" s="654">
        <v>0</v>
      </c>
      <c r="N1815" s="654">
        <v>0</v>
      </c>
    </row>
    <row r="1816" spans="2:14" x14ac:dyDescent="0.15">
      <c r="B1816"/>
      <c r="F1816" t="s">
        <v>733</v>
      </c>
      <c r="H1816" s="654">
        <v>0</v>
      </c>
      <c r="I1816" s="654">
        <v>0</v>
      </c>
      <c r="J1816" s="654">
        <v>0</v>
      </c>
      <c r="K1816" s="654">
        <v>0</v>
      </c>
      <c r="L1816" s="654">
        <v>0</v>
      </c>
      <c r="M1816" s="654">
        <v>0</v>
      </c>
      <c r="N1816" s="654">
        <v>0</v>
      </c>
    </row>
    <row r="1817" spans="2:14" x14ac:dyDescent="0.15">
      <c r="B1817"/>
      <c r="E1817" t="s">
        <v>776</v>
      </c>
      <c r="H1817" s="654">
        <v>0</v>
      </c>
      <c r="I1817" s="654">
        <v>0</v>
      </c>
      <c r="J1817" s="654">
        <v>0</v>
      </c>
      <c r="K1817" s="654">
        <v>0</v>
      </c>
      <c r="L1817" s="654">
        <v>0</v>
      </c>
      <c r="M1817" s="654">
        <v>0</v>
      </c>
      <c r="N1817" s="654">
        <v>0</v>
      </c>
    </row>
    <row r="1818" spans="2:14" x14ac:dyDescent="0.15">
      <c r="B1818"/>
      <c r="D1818" t="s">
        <v>737</v>
      </c>
      <c r="H1818" s="654">
        <v>0</v>
      </c>
      <c r="I1818" s="654">
        <v>0</v>
      </c>
      <c r="J1818" s="654">
        <v>0</v>
      </c>
      <c r="K1818" s="654">
        <v>0</v>
      </c>
      <c r="L1818" s="654">
        <v>0</v>
      </c>
      <c r="M1818" s="654">
        <v>0</v>
      </c>
      <c r="N1818" s="654">
        <v>0</v>
      </c>
    </row>
    <row r="1819" spans="2:14" x14ac:dyDescent="0.15">
      <c r="B1819"/>
      <c r="D1819" t="s">
        <v>671</v>
      </c>
      <c r="E1819" t="s">
        <v>383</v>
      </c>
      <c r="F1819" t="s">
        <v>626</v>
      </c>
      <c r="G1819" t="s">
        <v>600</v>
      </c>
      <c r="H1819" s="654">
        <v>25487</v>
      </c>
      <c r="I1819" s="654">
        <v>5254</v>
      </c>
      <c r="J1819" s="654">
        <v>30741</v>
      </c>
      <c r="K1819" s="654">
        <v>30741</v>
      </c>
      <c r="L1819" s="654">
        <v>0</v>
      </c>
      <c r="M1819" s="654">
        <v>0</v>
      </c>
      <c r="N1819" s="654">
        <v>0</v>
      </c>
    </row>
    <row r="1820" spans="2:14" x14ac:dyDescent="0.15">
      <c r="B1820"/>
      <c r="F1820" t="s">
        <v>733</v>
      </c>
      <c r="H1820" s="654">
        <v>25487</v>
      </c>
      <c r="I1820" s="654">
        <v>5254</v>
      </c>
      <c r="J1820" s="654">
        <v>30741</v>
      </c>
      <c r="K1820" s="654">
        <v>30741</v>
      </c>
      <c r="L1820" s="654">
        <v>0</v>
      </c>
      <c r="M1820" s="654">
        <v>0</v>
      </c>
      <c r="N1820" s="654">
        <v>0</v>
      </c>
    </row>
    <row r="1821" spans="2:14" x14ac:dyDescent="0.15">
      <c r="B1821"/>
      <c r="F1821" t="s">
        <v>627</v>
      </c>
      <c r="G1821" t="s">
        <v>599</v>
      </c>
      <c r="H1821" s="654">
        <v>0</v>
      </c>
      <c r="I1821" s="654">
        <v>0</v>
      </c>
      <c r="J1821" s="654">
        <v>0</v>
      </c>
      <c r="K1821" s="654">
        <v>0</v>
      </c>
      <c r="L1821" s="654">
        <v>0</v>
      </c>
      <c r="M1821" s="654">
        <v>0</v>
      </c>
      <c r="N1821" s="654">
        <v>0</v>
      </c>
    </row>
    <row r="1822" spans="2:14" x14ac:dyDescent="0.15">
      <c r="B1822"/>
      <c r="F1822" t="s">
        <v>734</v>
      </c>
      <c r="H1822" s="654">
        <v>0</v>
      </c>
      <c r="I1822" s="654">
        <v>0</v>
      </c>
      <c r="J1822" s="654">
        <v>0</v>
      </c>
      <c r="K1822" s="654">
        <v>0</v>
      </c>
      <c r="L1822" s="654">
        <v>0</v>
      </c>
      <c r="M1822" s="654">
        <v>0</v>
      </c>
      <c r="N1822" s="654">
        <v>0</v>
      </c>
    </row>
    <row r="1823" spans="2:14" x14ac:dyDescent="0.15">
      <c r="B1823"/>
      <c r="E1823" t="s">
        <v>777</v>
      </c>
      <c r="H1823" s="654">
        <v>25487</v>
      </c>
      <c r="I1823" s="654">
        <v>5254</v>
      </c>
      <c r="J1823" s="654">
        <v>30741</v>
      </c>
      <c r="K1823" s="654">
        <v>30741</v>
      </c>
      <c r="L1823" s="654">
        <v>0</v>
      </c>
      <c r="M1823" s="654">
        <v>0</v>
      </c>
      <c r="N1823" s="654">
        <v>0</v>
      </c>
    </row>
    <row r="1824" spans="2:14" x14ac:dyDescent="0.15">
      <c r="B1824"/>
      <c r="D1824" t="s">
        <v>742</v>
      </c>
      <c r="H1824" s="654">
        <v>25487</v>
      </c>
      <c r="I1824" s="654">
        <v>5254</v>
      </c>
      <c r="J1824" s="654">
        <v>30741</v>
      </c>
      <c r="K1824" s="654">
        <v>30741</v>
      </c>
      <c r="L1824" s="654">
        <v>0</v>
      </c>
      <c r="M1824" s="654">
        <v>0</v>
      </c>
      <c r="N1824" s="654">
        <v>0</v>
      </c>
    </row>
    <row r="1825" spans="1:14" x14ac:dyDescent="0.15">
      <c r="B1825"/>
      <c r="C1825" t="s">
        <v>854</v>
      </c>
      <c r="H1825" s="654">
        <v>845854</v>
      </c>
      <c r="I1825" s="654">
        <v>49767</v>
      </c>
      <c r="J1825" s="654">
        <v>895621</v>
      </c>
      <c r="K1825" s="654">
        <v>895621</v>
      </c>
      <c r="L1825" s="654">
        <v>0</v>
      </c>
      <c r="M1825" s="654">
        <v>0</v>
      </c>
      <c r="N1825" s="654">
        <v>0</v>
      </c>
    </row>
    <row r="1826" spans="1:14" x14ac:dyDescent="0.15">
      <c r="A1826" s="653" t="s">
        <v>933</v>
      </c>
      <c r="B1826"/>
      <c r="H1826" s="654">
        <v>30192128</v>
      </c>
      <c r="I1826" s="654">
        <v>-187212</v>
      </c>
      <c r="J1826" s="654">
        <v>30004916</v>
      </c>
      <c r="K1826" s="654">
        <v>30004916</v>
      </c>
      <c r="L1826" s="654">
        <v>0</v>
      </c>
      <c r="M1826" s="654">
        <v>576372</v>
      </c>
      <c r="N1826" s="654">
        <v>3341410</v>
      </c>
    </row>
    <row r="1827" spans="1:14" x14ac:dyDescent="0.15">
      <c r="A1827" s="653">
        <v>43160</v>
      </c>
      <c r="B1827" t="s">
        <v>626</v>
      </c>
      <c r="C1827" t="s">
        <v>849</v>
      </c>
      <c r="D1827" t="s">
        <v>626</v>
      </c>
      <c r="E1827" t="s">
        <v>378</v>
      </c>
      <c r="F1827" t="s">
        <v>626</v>
      </c>
      <c r="G1827" t="s">
        <v>600</v>
      </c>
      <c r="H1827" s="654">
        <v>7878756</v>
      </c>
      <c r="I1827" s="654">
        <v>-279001</v>
      </c>
      <c r="J1827" s="654">
        <v>7599755</v>
      </c>
      <c r="K1827" s="654">
        <v>7599755</v>
      </c>
      <c r="L1827" s="654">
        <v>0</v>
      </c>
      <c r="M1827" s="654">
        <v>125896</v>
      </c>
      <c r="N1827" s="654">
        <v>1292025</v>
      </c>
    </row>
    <row r="1828" spans="1:14" x14ac:dyDescent="0.15">
      <c r="B1828"/>
      <c r="F1828" t="s">
        <v>733</v>
      </c>
      <c r="H1828" s="654">
        <v>7878756</v>
      </c>
      <c r="I1828" s="654">
        <v>-279001</v>
      </c>
      <c r="J1828" s="654">
        <v>7599755</v>
      </c>
      <c r="K1828" s="654">
        <v>7599755</v>
      </c>
      <c r="L1828" s="654">
        <v>0</v>
      </c>
      <c r="M1828" s="654">
        <v>125896</v>
      </c>
      <c r="N1828" s="654">
        <v>1292025</v>
      </c>
    </row>
    <row r="1829" spans="1:14" x14ac:dyDescent="0.15">
      <c r="B1829"/>
      <c r="F1829" t="s">
        <v>627</v>
      </c>
      <c r="G1829" t="s">
        <v>599</v>
      </c>
      <c r="H1829" s="654">
        <v>1269395</v>
      </c>
      <c r="I1829" s="654">
        <v>0</v>
      </c>
      <c r="J1829" s="654">
        <v>1269395</v>
      </c>
      <c r="K1829" s="654">
        <v>1269395</v>
      </c>
      <c r="L1829" s="654">
        <v>0</v>
      </c>
      <c r="M1829" s="654">
        <v>23433</v>
      </c>
      <c r="N1829" s="654">
        <v>269529</v>
      </c>
    </row>
    <row r="1830" spans="1:14" x14ac:dyDescent="0.15">
      <c r="B1830"/>
      <c r="F1830" t="s">
        <v>734</v>
      </c>
      <c r="H1830" s="654">
        <v>1269395</v>
      </c>
      <c r="I1830" s="654">
        <v>0</v>
      </c>
      <c r="J1830" s="654">
        <v>1269395</v>
      </c>
      <c r="K1830" s="654">
        <v>1269395</v>
      </c>
      <c r="L1830" s="654">
        <v>0</v>
      </c>
      <c r="M1830" s="654">
        <v>23433</v>
      </c>
      <c r="N1830" s="654">
        <v>269529</v>
      </c>
    </row>
    <row r="1831" spans="1:14" x14ac:dyDescent="0.15">
      <c r="B1831"/>
      <c r="F1831" t="s">
        <v>628</v>
      </c>
      <c r="G1831" t="s">
        <v>598</v>
      </c>
      <c r="H1831" s="654">
        <v>730653</v>
      </c>
      <c r="I1831" s="654">
        <v>-14477</v>
      </c>
      <c r="J1831" s="654">
        <v>716176</v>
      </c>
      <c r="K1831" s="654">
        <v>716176</v>
      </c>
      <c r="L1831" s="654">
        <v>0</v>
      </c>
      <c r="M1831" s="654">
        <v>14477</v>
      </c>
      <c r="N1831" s="654">
        <v>0</v>
      </c>
    </row>
    <row r="1832" spans="1:14" x14ac:dyDescent="0.15">
      <c r="B1832"/>
      <c r="F1832" t="s">
        <v>735</v>
      </c>
      <c r="H1832" s="654">
        <v>730653</v>
      </c>
      <c r="I1832" s="654">
        <v>-14477</v>
      </c>
      <c r="J1832" s="654">
        <v>716176</v>
      </c>
      <c r="K1832" s="654">
        <v>716176</v>
      </c>
      <c r="L1832" s="654">
        <v>0</v>
      </c>
      <c r="M1832" s="654">
        <v>14477</v>
      </c>
      <c r="N1832" s="654">
        <v>0</v>
      </c>
    </row>
    <row r="1833" spans="1:14" x14ac:dyDescent="0.15">
      <c r="B1833"/>
      <c r="E1833" t="s">
        <v>769</v>
      </c>
      <c r="H1833" s="654">
        <v>9878804</v>
      </c>
      <c r="I1833" s="654">
        <v>-293478</v>
      </c>
      <c r="J1833" s="654">
        <v>9585326</v>
      </c>
      <c r="K1833" s="654">
        <v>9585326</v>
      </c>
      <c r="L1833" s="654">
        <v>0</v>
      </c>
      <c r="M1833" s="654">
        <v>163806</v>
      </c>
      <c r="N1833" s="654">
        <v>1561554</v>
      </c>
    </row>
    <row r="1834" spans="1:14" x14ac:dyDescent="0.15">
      <c r="B1834"/>
      <c r="D1834" t="s">
        <v>733</v>
      </c>
      <c r="H1834" s="654">
        <v>9878804</v>
      </c>
      <c r="I1834" s="654">
        <v>-293478</v>
      </c>
      <c r="J1834" s="654">
        <v>9585326</v>
      </c>
      <c r="K1834" s="654">
        <v>9585326</v>
      </c>
      <c r="L1834" s="654">
        <v>0</v>
      </c>
      <c r="M1834" s="654">
        <v>163806</v>
      </c>
      <c r="N1834" s="654">
        <v>1561554</v>
      </c>
    </row>
    <row r="1835" spans="1:14" x14ac:dyDescent="0.15">
      <c r="B1835"/>
      <c r="D1835" t="s">
        <v>627</v>
      </c>
      <c r="E1835" t="s">
        <v>379</v>
      </c>
      <c r="F1835" t="s">
        <v>626</v>
      </c>
      <c r="G1835" t="s">
        <v>600</v>
      </c>
      <c r="H1835" s="654">
        <v>4773750</v>
      </c>
      <c r="I1835" s="654">
        <v>-370184</v>
      </c>
      <c r="J1835" s="654">
        <v>4403566</v>
      </c>
      <c r="K1835" s="654">
        <v>4403566</v>
      </c>
      <c r="L1835" s="654">
        <v>0</v>
      </c>
      <c r="M1835" s="654">
        <v>20066</v>
      </c>
      <c r="N1835" s="654">
        <v>520816</v>
      </c>
    </row>
    <row r="1836" spans="1:14" x14ac:dyDescent="0.15">
      <c r="B1836"/>
      <c r="F1836" t="s">
        <v>733</v>
      </c>
      <c r="H1836" s="654">
        <v>4773750</v>
      </c>
      <c r="I1836" s="654">
        <v>-370184</v>
      </c>
      <c r="J1836" s="654">
        <v>4403566</v>
      </c>
      <c r="K1836" s="654">
        <v>4403566</v>
      </c>
      <c r="L1836" s="654">
        <v>0</v>
      </c>
      <c r="M1836" s="654">
        <v>20066</v>
      </c>
      <c r="N1836" s="654">
        <v>520816</v>
      </c>
    </row>
    <row r="1837" spans="1:14" x14ac:dyDescent="0.15">
      <c r="B1837"/>
      <c r="F1837" t="s">
        <v>627</v>
      </c>
      <c r="G1837" t="s">
        <v>599</v>
      </c>
      <c r="H1837" s="654">
        <v>908370</v>
      </c>
      <c r="I1837" s="654">
        <v>-14893</v>
      </c>
      <c r="J1837" s="654">
        <v>893477</v>
      </c>
      <c r="K1837" s="654">
        <v>893477</v>
      </c>
      <c r="L1837" s="654">
        <v>0</v>
      </c>
      <c r="M1837" s="654">
        <v>0</v>
      </c>
      <c r="N1837" s="654">
        <v>208652</v>
      </c>
    </row>
    <row r="1838" spans="1:14" x14ac:dyDescent="0.15">
      <c r="B1838"/>
      <c r="F1838" t="s">
        <v>734</v>
      </c>
      <c r="H1838" s="654">
        <v>908370</v>
      </c>
      <c r="I1838" s="654">
        <v>-14893</v>
      </c>
      <c r="J1838" s="654">
        <v>893477</v>
      </c>
      <c r="K1838" s="654">
        <v>893477</v>
      </c>
      <c r="L1838" s="654">
        <v>0</v>
      </c>
      <c r="M1838" s="654">
        <v>0</v>
      </c>
      <c r="N1838" s="654">
        <v>208652</v>
      </c>
    </row>
    <row r="1839" spans="1:14" x14ac:dyDescent="0.15">
      <c r="B1839"/>
      <c r="F1839" t="s">
        <v>628</v>
      </c>
      <c r="G1839" t="s">
        <v>598</v>
      </c>
      <c r="H1839" s="654">
        <v>453304</v>
      </c>
      <c r="I1839" s="654">
        <v>0</v>
      </c>
      <c r="J1839" s="654">
        <v>453304</v>
      </c>
      <c r="K1839" s="654">
        <v>453304</v>
      </c>
      <c r="L1839" s="654">
        <v>0</v>
      </c>
      <c r="M1839" s="654">
        <v>0</v>
      </c>
      <c r="N1839" s="654">
        <v>0</v>
      </c>
    </row>
    <row r="1840" spans="1:14" x14ac:dyDescent="0.15">
      <c r="B1840"/>
      <c r="F1840" t="s">
        <v>735</v>
      </c>
      <c r="H1840" s="654">
        <v>453304</v>
      </c>
      <c r="I1840" s="654">
        <v>0</v>
      </c>
      <c r="J1840" s="654">
        <v>453304</v>
      </c>
      <c r="K1840" s="654">
        <v>453304</v>
      </c>
      <c r="L1840" s="654">
        <v>0</v>
      </c>
      <c r="M1840" s="654">
        <v>0</v>
      </c>
      <c r="N1840" s="654">
        <v>0</v>
      </c>
    </row>
    <row r="1841" spans="2:14" x14ac:dyDescent="0.15">
      <c r="B1841"/>
      <c r="E1841" t="s">
        <v>770</v>
      </c>
      <c r="H1841" s="654">
        <v>6135424</v>
      </c>
      <c r="I1841" s="654">
        <v>-385077</v>
      </c>
      <c r="J1841" s="654">
        <v>5750347</v>
      </c>
      <c r="K1841" s="654">
        <v>5750347</v>
      </c>
      <c r="L1841" s="654">
        <v>0</v>
      </c>
      <c r="M1841" s="654">
        <v>20066</v>
      </c>
      <c r="N1841" s="654">
        <v>729468</v>
      </c>
    </row>
    <row r="1842" spans="2:14" x14ac:dyDescent="0.15">
      <c r="B1842"/>
      <c r="D1842" t="s">
        <v>734</v>
      </c>
      <c r="H1842" s="654">
        <v>6135424</v>
      </c>
      <c r="I1842" s="654">
        <v>-385077</v>
      </c>
      <c r="J1842" s="654">
        <v>5750347</v>
      </c>
      <c r="K1842" s="654">
        <v>5750347</v>
      </c>
      <c r="L1842" s="654">
        <v>0</v>
      </c>
      <c r="M1842" s="654">
        <v>20066</v>
      </c>
      <c r="N1842" s="654">
        <v>729468</v>
      </c>
    </row>
    <row r="1843" spans="2:14" x14ac:dyDescent="0.15">
      <c r="B1843"/>
      <c r="D1843" t="s">
        <v>628</v>
      </c>
      <c r="E1843" t="s">
        <v>380</v>
      </c>
      <c r="F1843" t="s">
        <v>626</v>
      </c>
      <c r="G1843" t="s">
        <v>600</v>
      </c>
      <c r="H1843" s="654">
        <v>4129249</v>
      </c>
      <c r="I1843" s="654">
        <v>-13569</v>
      </c>
      <c r="J1843" s="654">
        <v>4115680</v>
      </c>
      <c r="K1843" s="654">
        <v>4115680</v>
      </c>
      <c r="L1843" s="654">
        <v>0</v>
      </c>
      <c r="M1843" s="654">
        <v>232399</v>
      </c>
      <c r="N1843" s="654">
        <v>404767</v>
      </c>
    </row>
    <row r="1844" spans="2:14" x14ac:dyDescent="0.15">
      <c r="B1844"/>
      <c r="F1844" t="s">
        <v>733</v>
      </c>
      <c r="H1844" s="654">
        <v>4129249</v>
      </c>
      <c r="I1844" s="654">
        <v>-13569</v>
      </c>
      <c r="J1844" s="654">
        <v>4115680</v>
      </c>
      <c r="K1844" s="654">
        <v>4115680</v>
      </c>
      <c r="L1844" s="654">
        <v>0</v>
      </c>
      <c r="M1844" s="654">
        <v>232399</v>
      </c>
      <c r="N1844" s="654">
        <v>404767</v>
      </c>
    </row>
    <row r="1845" spans="2:14" x14ac:dyDescent="0.15">
      <c r="B1845"/>
      <c r="F1845" t="s">
        <v>627</v>
      </c>
      <c r="G1845" t="s">
        <v>599</v>
      </c>
      <c r="H1845" s="654">
        <v>1866278</v>
      </c>
      <c r="I1845" s="654">
        <v>-242124</v>
      </c>
      <c r="J1845" s="654">
        <v>1624154</v>
      </c>
      <c r="K1845" s="654">
        <v>1624154</v>
      </c>
      <c r="L1845" s="654">
        <v>0</v>
      </c>
      <c r="M1845" s="654">
        <v>0</v>
      </c>
      <c r="N1845" s="654">
        <v>377692</v>
      </c>
    </row>
    <row r="1846" spans="2:14" x14ac:dyDescent="0.15">
      <c r="B1846"/>
      <c r="F1846" t="s">
        <v>734</v>
      </c>
      <c r="H1846" s="654">
        <v>1866278</v>
      </c>
      <c r="I1846" s="654">
        <v>-242124</v>
      </c>
      <c r="J1846" s="654">
        <v>1624154</v>
      </c>
      <c r="K1846" s="654">
        <v>1624154</v>
      </c>
      <c r="L1846" s="654">
        <v>0</v>
      </c>
      <c r="M1846" s="654">
        <v>0</v>
      </c>
      <c r="N1846" s="654">
        <v>377692</v>
      </c>
    </row>
    <row r="1847" spans="2:14" x14ac:dyDescent="0.15">
      <c r="B1847"/>
      <c r="E1847" t="s">
        <v>771</v>
      </c>
      <c r="H1847" s="654">
        <v>5995527</v>
      </c>
      <c r="I1847" s="654">
        <v>-255693</v>
      </c>
      <c r="J1847" s="654">
        <v>5739834</v>
      </c>
      <c r="K1847" s="654">
        <v>5739834</v>
      </c>
      <c r="L1847" s="654">
        <v>0</v>
      </c>
      <c r="M1847" s="654">
        <v>232399</v>
      </c>
      <c r="N1847" s="654">
        <v>782459</v>
      </c>
    </row>
    <row r="1848" spans="2:14" x14ac:dyDescent="0.15">
      <c r="B1848"/>
      <c r="D1848" t="s">
        <v>735</v>
      </c>
      <c r="H1848" s="654">
        <v>5995527</v>
      </c>
      <c r="I1848" s="654">
        <v>-255693</v>
      </c>
      <c r="J1848" s="654">
        <v>5739834</v>
      </c>
      <c r="K1848" s="654">
        <v>5739834</v>
      </c>
      <c r="L1848" s="654">
        <v>0</v>
      </c>
      <c r="M1848" s="654">
        <v>232399</v>
      </c>
      <c r="N1848" s="654">
        <v>782459</v>
      </c>
    </row>
    <row r="1849" spans="2:14" x14ac:dyDescent="0.15">
      <c r="B1849"/>
      <c r="D1849" t="s">
        <v>629</v>
      </c>
      <c r="E1849" t="s">
        <v>676</v>
      </c>
      <c r="F1849" t="s">
        <v>629</v>
      </c>
      <c r="G1849" t="s">
        <v>601</v>
      </c>
      <c r="H1849" s="654">
        <v>3678425</v>
      </c>
      <c r="I1849" s="654">
        <v>-98971</v>
      </c>
      <c r="J1849" s="654">
        <v>3579454</v>
      </c>
      <c r="K1849" s="654">
        <v>3579454</v>
      </c>
      <c r="L1849" s="654">
        <v>0</v>
      </c>
      <c r="M1849" s="654">
        <v>0</v>
      </c>
      <c r="N1849" s="654">
        <v>186659</v>
      </c>
    </row>
    <row r="1850" spans="2:14" x14ac:dyDescent="0.15">
      <c r="B1850"/>
      <c r="F1850" t="s">
        <v>736</v>
      </c>
      <c r="H1850" s="654">
        <v>3678425</v>
      </c>
      <c r="I1850" s="654">
        <v>-98971</v>
      </c>
      <c r="J1850" s="654">
        <v>3579454</v>
      </c>
      <c r="K1850" s="654">
        <v>3579454</v>
      </c>
      <c r="L1850" s="654">
        <v>0</v>
      </c>
      <c r="M1850" s="654">
        <v>0</v>
      </c>
      <c r="N1850" s="654">
        <v>186659</v>
      </c>
    </row>
    <row r="1851" spans="2:14" x14ac:dyDescent="0.15">
      <c r="B1851"/>
      <c r="E1851" t="s">
        <v>772</v>
      </c>
      <c r="H1851" s="654">
        <v>3678425</v>
      </c>
      <c r="I1851" s="654">
        <v>-98971</v>
      </c>
      <c r="J1851" s="654">
        <v>3579454</v>
      </c>
      <c r="K1851" s="654">
        <v>3579454</v>
      </c>
      <c r="L1851" s="654">
        <v>0</v>
      </c>
      <c r="M1851" s="654">
        <v>0</v>
      </c>
      <c r="N1851" s="654">
        <v>186659</v>
      </c>
    </row>
    <row r="1852" spans="2:14" x14ac:dyDescent="0.15">
      <c r="B1852"/>
      <c r="D1852" t="s">
        <v>736</v>
      </c>
      <c r="H1852" s="654">
        <v>3678425</v>
      </c>
      <c r="I1852" s="654">
        <v>-98971</v>
      </c>
      <c r="J1852" s="654">
        <v>3579454</v>
      </c>
      <c r="K1852" s="654">
        <v>3579454</v>
      </c>
      <c r="L1852" s="654">
        <v>0</v>
      </c>
      <c r="M1852" s="654">
        <v>0</v>
      </c>
      <c r="N1852" s="654">
        <v>186659</v>
      </c>
    </row>
    <row r="1853" spans="2:14" x14ac:dyDescent="0.15">
      <c r="B1853"/>
      <c r="D1853" t="s">
        <v>567</v>
      </c>
      <c r="E1853" t="s">
        <v>473</v>
      </c>
      <c r="F1853" t="s">
        <v>631</v>
      </c>
      <c r="G1853" t="s">
        <v>596</v>
      </c>
      <c r="H1853" s="654">
        <v>789390</v>
      </c>
      <c r="I1853" s="654">
        <v>0</v>
      </c>
      <c r="J1853" s="654">
        <v>789390</v>
      </c>
      <c r="K1853" s="654">
        <v>789390</v>
      </c>
      <c r="L1853" s="654">
        <v>0</v>
      </c>
      <c r="M1853" s="654">
        <v>0</v>
      </c>
      <c r="N1853" s="654">
        <v>268227</v>
      </c>
    </row>
    <row r="1854" spans="2:14" x14ac:dyDescent="0.15">
      <c r="B1854"/>
      <c r="F1854" t="s">
        <v>737</v>
      </c>
      <c r="H1854" s="654">
        <v>789390</v>
      </c>
      <c r="I1854" s="654">
        <v>0</v>
      </c>
      <c r="J1854" s="654">
        <v>789390</v>
      </c>
      <c r="K1854" s="654">
        <v>789390</v>
      </c>
      <c r="L1854" s="654">
        <v>0</v>
      </c>
      <c r="M1854" s="654">
        <v>0</v>
      </c>
      <c r="N1854" s="654">
        <v>268227</v>
      </c>
    </row>
    <row r="1855" spans="2:14" x14ac:dyDescent="0.15">
      <c r="B1855"/>
      <c r="E1855" t="s">
        <v>773</v>
      </c>
      <c r="H1855" s="654">
        <v>789390</v>
      </c>
      <c r="I1855" s="654">
        <v>0</v>
      </c>
      <c r="J1855" s="654">
        <v>789390</v>
      </c>
      <c r="K1855" s="654">
        <v>789390</v>
      </c>
      <c r="L1855" s="654">
        <v>0</v>
      </c>
      <c r="M1855" s="654">
        <v>0</v>
      </c>
      <c r="N1855" s="654">
        <v>268227</v>
      </c>
    </row>
    <row r="1856" spans="2:14" x14ac:dyDescent="0.15">
      <c r="B1856"/>
      <c r="D1856" t="s">
        <v>739</v>
      </c>
      <c r="H1856" s="654">
        <v>789390</v>
      </c>
      <c r="I1856" s="654">
        <v>0</v>
      </c>
      <c r="J1856" s="654">
        <v>789390</v>
      </c>
      <c r="K1856" s="654">
        <v>789390</v>
      </c>
      <c r="L1856" s="654">
        <v>0</v>
      </c>
      <c r="M1856" s="654">
        <v>0</v>
      </c>
      <c r="N1856" s="654">
        <v>268227</v>
      </c>
    </row>
    <row r="1857" spans="2:14" x14ac:dyDescent="0.15">
      <c r="B1857"/>
      <c r="D1857" t="s">
        <v>568</v>
      </c>
      <c r="E1857" t="s">
        <v>474</v>
      </c>
      <c r="F1857" t="s">
        <v>631</v>
      </c>
      <c r="G1857" t="s">
        <v>596</v>
      </c>
      <c r="H1857" s="654">
        <v>847336</v>
      </c>
      <c r="I1857" s="654">
        <v>0</v>
      </c>
      <c r="J1857" s="654">
        <v>847336</v>
      </c>
      <c r="K1857" s="654">
        <v>847336</v>
      </c>
      <c r="L1857" s="654">
        <v>0</v>
      </c>
      <c r="M1857" s="654">
        <v>0</v>
      </c>
      <c r="N1857" s="654">
        <v>0</v>
      </c>
    </row>
    <row r="1858" spans="2:14" x14ac:dyDescent="0.15">
      <c r="B1858"/>
      <c r="F1858" t="s">
        <v>737</v>
      </c>
      <c r="H1858" s="654">
        <v>847336</v>
      </c>
      <c r="I1858" s="654">
        <v>0</v>
      </c>
      <c r="J1858" s="654">
        <v>847336</v>
      </c>
      <c r="K1858" s="654">
        <v>847336</v>
      </c>
      <c r="L1858" s="654">
        <v>0</v>
      </c>
      <c r="M1858" s="654">
        <v>0</v>
      </c>
      <c r="N1858" s="654">
        <v>0</v>
      </c>
    </row>
    <row r="1859" spans="2:14" x14ac:dyDescent="0.15">
      <c r="B1859"/>
      <c r="E1859" t="s">
        <v>774</v>
      </c>
      <c r="H1859" s="654">
        <v>847336</v>
      </c>
      <c r="I1859" s="654">
        <v>0</v>
      </c>
      <c r="J1859" s="654">
        <v>847336</v>
      </c>
      <c r="K1859" s="654">
        <v>847336</v>
      </c>
      <c r="L1859" s="654">
        <v>0</v>
      </c>
      <c r="M1859" s="654">
        <v>0</v>
      </c>
      <c r="N1859" s="654">
        <v>0</v>
      </c>
    </row>
    <row r="1860" spans="2:14" x14ac:dyDescent="0.15">
      <c r="B1860"/>
      <c r="D1860" t="s">
        <v>740</v>
      </c>
      <c r="H1860" s="654">
        <v>847336</v>
      </c>
      <c r="I1860" s="654">
        <v>0</v>
      </c>
      <c r="J1860" s="654">
        <v>847336</v>
      </c>
      <c r="K1860" s="654">
        <v>847336</v>
      </c>
      <c r="L1860" s="654">
        <v>0</v>
      </c>
      <c r="M1860" s="654">
        <v>0</v>
      </c>
      <c r="N1860" s="654">
        <v>0</v>
      </c>
    </row>
    <row r="1861" spans="2:14" x14ac:dyDescent="0.15">
      <c r="B1861"/>
      <c r="D1861" t="s">
        <v>582</v>
      </c>
      <c r="E1861" t="s">
        <v>384</v>
      </c>
      <c r="F1861" t="s">
        <v>631</v>
      </c>
      <c r="G1861" t="s">
        <v>596</v>
      </c>
      <c r="H1861" s="654">
        <v>2426031</v>
      </c>
      <c r="I1861" s="654">
        <v>0</v>
      </c>
      <c r="J1861" s="654">
        <v>2426031</v>
      </c>
      <c r="K1861" s="654">
        <v>2426031</v>
      </c>
      <c r="L1861" s="654">
        <v>0</v>
      </c>
      <c r="M1861" s="654">
        <v>0</v>
      </c>
      <c r="N1861" s="654">
        <v>0</v>
      </c>
    </row>
    <row r="1862" spans="2:14" x14ac:dyDescent="0.15">
      <c r="B1862"/>
      <c r="F1862" t="s">
        <v>737</v>
      </c>
      <c r="H1862" s="654">
        <v>2426031</v>
      </c>
      <c r="I1862" s="654">
        <v>0</v>
      </c>
      <c r="J1862" s="654">
        <v>2426031</v>
      </c>
      <c r="K1862" s="654">
        <v>2426031</v>
      </c>
      <c r="L1862" s="654">
        <v>0</v>
      </c>
      <c r="M1862" s="654">
        <v>0</v>
      </c>
      <c r="N1862" s="654">
        <v>0</v>
      </c>
    </row>
    <row r="1863" spans="2:14" x14ac:dyDescent="0.15">
      <c r="B1863"/>
      <c r="E1863" t="s">
        <v>778</v>
      </c>
      <c r="H1863" s="654">
        <v>2426031</v>
      </c>
      <c r="I1863" s="654">
        <v>0</v>
      </c>
      <c r="J1863" s="654">
        <v>2426031</v>
      </c>
      <c r="K1863" s="654">
        <v>2426031</v>
      </c>
      <c r="L1863" s="654">
        <v>0</v>
      </c>
      <c r="M1863" s="654">
        <v>0</v>
      </c>
      <c r="N1863" s="654">
        <v>0</v>
      </c>
    </row>
    <row r="1864" spans="2:14" x14ac:dyDescent="0.15">
      <c r="B1864"/>
      <c r="D1864" t="s">
        <v>743</v>
      </c>
      <c r="H1864" s="654">
        <v>2426031</v>
      </c>
      <c r="I1864" s="654">
        <v>0</v>
      </c>
      <c r="J1864" s="654">
        <v>2426031</v>
      </c>
      <c r="K1864" s="654">
        <v>2426031</v>
      </c>
      <c r="L1864" s="654">
        <v>0</v>
      </c>
      <c r="M1864" s="654">
        <v>0</v>
      </c>
      <c r="N1864" s="654">
        <v>0</v>
      </c>
    </row>
    <row r="1865" spans="2:14" x14ac:dyDescent="0.15">
      <c r="B1865"/>
      <c r="D1865" t="s">
        <v>631</v>
      </c>
      <c r="E1865" t="s">
        <v>381</v>
      </c>
      <c r="F1865" t="s">
        <v>626</v>
      </c>
      <c r="G1865" t="s">
        <v>600</v>
      </c>
      <c r="H1865" s="654">
        <v>2198815</v>
      </c>
      <c r="I1865" s="654">
        <v>0</v>
      </c>
      <c r="J1865" s="654">
        <v>2198815</v>
      </c>
      <c r="K1865" s="654">
        <v>2198815</v>
      </c>
      <c r="L1865" s="654">
        <v>0</v>
      </c>
      <c r="M1865" s="654">
        <v>98472</v>
      </c>
      <c r="N1865" s="654">
        <v>0</v>
      </c>
    </row>
    <row r="1866" spans="2:14" x14ac:dyDescent="0.15">
      <c r="B1866"/>
      <c r="F1866" t="s">
        <v>733</v>
      </c>
      <c r="H1866" s="654">
        <v>2198815</v>
      </c>
      <c r="I1866" s="654">
        <v>0</v>
      </c>
      <c r="J1866" s="654">
        <v>2198815</v>
      </c>
      <c r="K1866" s="654">
        <v>2198815</v>
      </c>
      <c r="L1866" s="654">
        <v>0</v>
      </c>
      <c r="M1866" s="654">
        <v>98472</v>
      </c>
      <c r="N1866" s="654">
        <v>0</v>
      </c>
    </row>
    <row r="1867" spans="2:14" x14ac:dyDescent="0.15">
      <c r="B1867"/>
      <c r="E1867" t="s">
        <v>776</v>
      </c>
      <c r="H1867" s="654">
        <v>2198815</v>
      </c>
      <c r="I1867" s="654">
        <v>0</v>
      </c>
      <c r="J1867" s="654">
        <v>2198815</v>
      </c>
      <c r="K1867" s="654">
        <v>2198815</v>
      </c>
      <c r="L1867" s="654">
        <v>0</v>
      </c>
      <c r="M1867" s="654">
        <v>98472</v>
      </c>
      <c r="N1867" s="654">
        <v>0</v>
      </c>
    </row>
    <row r="1868" spans="2:14" x14ac:dyDescent="0.15">
      <c r="B1868"/>
      <c r="D1868" t="s">
        <v>737</v>
      </c>
      <c r="H1868" s="654">
        <v>2198815</v>
      </c>
      <c r="I1868" s="654">
        <v>0</v>
      </c>
      <c r="J1868" s="654">
        <v>2198815</v>
      </c>
      <c r="K1868" s="654">
        <v>2198815</v>
      </c>
      <c r="L1868" s="654">
        <v>0</v>
      </c>
      <c r="M1868" s="654">
        <v>98472</v>
      </c>
      <c r="N1868" s="654">
        <v>0</v>
      </c>
    </row>
    <row r="1869" spans="2:14" x14ac:dyDescent="0.15">
      <c r="B1869"/>
      <c r="D1869" t="s">
        <v>671</v>
      </c>
      <c r="E1869" t="s">
        <v>383</v>
      </c>
      <c r="F1869" t="s">
        <v>626</v>
      </c>
      <c r="G1869" t="s">
        <v>600</v>
      </c>
      <c r="H1869" s="654">
        <v>782647</v>
      </c>
      <c r="I1869" s="654">
        <v>-2023</v>
      </c>
      <c r="J1869" s="654">
        <v>780624</v>
      </c>
      <c r="K1869" s="654">
        <v>780624</v>
      </c>
      <c r="L1869" s="654">
        <v>0</v>
      </c>
      <c r="M1869" s="654">
        <v>0</v>
      </c>
      <c r="N1869" s="654">
        <v>0</v>
      </c>
    </row>
    <row r="1870" spans="2:14" x14ac:dyDescent="0.15">
      <c r="B1870"/>
      <c r="F1870" t="s">
        <v>733</v>
      </c>
      <c r="H1870" s="654">
        <v>782647</v>
      </c>
      <c r="I1870" s="654">
        <v>-2023</v>
      </c>
      <c r="J1870" s="654">
        <v>780624</v>
      </c>
      <c r="K1870" s="654">
        <v>780624</v>
      </c>
      <c r="L1870" s="654">
        <v>0</v>
      </c>
      <c r="M1870" s="654">
        <v>0</v>
      </c>
      <c r="N1870" s="654">
        <v>0</v>
      </c>
    </row>
    <row r="1871" spans="2:14" x14ac:dyDescent="0.15">
      <c r="B1871"/>
      <c r="F1871" t="s">
        <v>627</v>
      </c>
      <c r="G1871" t="s">
        <v>599</v>
      </c>
      <c r="H1871" s="654">
        <v>41560</v>
      </c>
      <c r="I1871" s="654">
        <v>0</v>
      </c>
      <c r="J1871" s="654">
        <v>41560</v>
      </c>
      <c r="K1871" s="654">
        <v>41560</v>
      </c>
      <c r="L1871" s="654">
        <v>0</v>
      </c>
      <c r="M1871" s="654">
        <v>0</v>
      </c>
      <c r="N1871" s="654">
        <v>0</v>
      </c>
    </row>
    <row r="1872" spans="2:14" x14ac:dyDescent="0.15">
      <c r="B1872"/>
      <c r="F1872" t="s">
        <v>734</v>
      </c>
      <c r="H1872" s="654">
        <v>41560</v>
      </c>
      <c r="I1872" s="654">
        <v>0</v>
      </c>
      <c r="J1872" s="654">
        <v>41560</v>
      </c>
      <c r="K1872" s="654">
        <v>41560</v>
      </c>
      <c r="L1872" s="654">
        <v>0</v>
      </c>
      <c r="M1872" s="654">
        <v>0</v>
      </c>
      <c r="N1872" s="654">
        <v>0</v>
      </c>
    </row>
    <row r="1873" spans="2:14" x14ac:dyDescent="0.15">
      <c r="B1873"/>
      <c r="E1873" t="s">
        <v>777</v>
      </c>
      <c r="H1873" s="654">
        <v>824207</v>
      </c>
      <c r="I1873" s="654">
        <v>-2023</v>
      </c>
      <c r="J1873" s="654">
        <v>822184</v>
      </c>
      <c r="K1873" s="654">
        <v>822184</v>
      </c>
      <c r="L1873" s="654">
        <v>0</v>
      </c>
      <c r="M1873" s="654">
        <v>0</v>
      </c>
      <c r="N1873" s="654">
        <v>0</v>
      </c>
    </row>
    <row r="1874" spans="2:14" x14ac:dyDescent="0.15">
      <c r="B1874"/>
      <c r="D1874" t="s">
        <v>742</v>
      </c>
      <c r="H1874" s="654">
        <v>824207</v>
      </c>
      <c r="I1874" s="654">
        <v>-2023</v>
      </c>
      <c r="J1874" s="654">
        <v>822184</v>
      </c>
      <c r="K1874" s="654">
        <v>822184</v>
      </c>
      <c r="L1874" s="654">
        <v>0</v>
      </c>
      <c r="M1874" s="654">
        <v>0</v>
      </c>
      <c r="N1874" s="654">
        <v>0</v>
      </c>
    </row>
    <row r="1875" spans="2:14" x14ac:dyDescent="0.15">
      <c r="B1875"/>
      <c r="C1875" t="s">
        <v>853</v>
      </c>
      <c r="H1875" s="654">
        <v>32773959</v>
      </c>
      <c r="I1875" s="654">
        <v>-1035242</v>
      </c>
      <c r="J1875" s="654">
        <v>31738717</v>
      </c>
      <c r="K1875" s="654">
        <v>31738717</v>
      </c>
      <c r="L1875" s="654">
        <v>0</v>
      </c>
      <c r="M1875" s="654">
        <v>514743</v>
      </c>
      <c r="N1875" s="654">
        <v>3528367</v>
      </c>
    </row>
    <row r="1876" spans="2:14" x14ac:dyDescent="0.15">
      <c r="B1876" t="s">
        <v>627</v>
      </c>
      <c r="C1876" t="s">
        <v>847</v>
      </c>
      <c r="D1876" t="s">
        <v>626</v>
      </c>
      <c r="E1876" t="s">
        <v>378</v>
      </c>
      <c r="F1876" t="s">
        <v>626</v>
      </c>
      <c r="G1876" t="s">
        <v>600</v>
      </c>
      <c r="H1876" s="654">
        <v>139955</v>
      </c>
      <c r="I1876" s="654">
        <v>0</v>
      </c>
      <c r="J1876" s="654">
        <v>139955</v>
      </c>
      <c r="K1876" s="654">
        <v>139955</v>
      </c>
      <c r="L1876" s="654">
        <v>0</v>
      </c>
      <c r="M1876" s="654">
        <v>0</v>
      </c>
      <c r="N1876" s="654">
        <v>0</v>
      </c>
    </row>
    <row r="1877" spans="2:14" x14ac:dyDescent="0.15">
      <c r="B1877"/>
      <c r="F1877" t="s">
        <v>733</v>
      </c>
      <c r="H1877" s="654">
        <v>139955</v>
      </c>
      <c r="I1877" s="654">
        <v>0</v>
      </c>
      <c r="J1877" s="654">
        <v>139955</v>
      </c>
      <c r="K1877" s="654">
        <v>139955</v>
      </c>
      <c r="L1877" s="654">
        <v>0</v>
      </c>
      <c r="M1877" s="654">
        <v>0</v>
      </c>
      <c r="N1877" s="654">
        <v>0</v>
      </c>
    </row>
    <row r="1878" spans="2:14" x14ac:dyDescent="0.15">
      <c r="B1878"/>
      <c r="F1878" t="s">
        <v>627</v>
      </c>
      <c r="G1878" t="s">
        <v>599</v>
      </c>
      <c r="H1878" s="654">
        <v>0</v>
      </c>
      <c r="I1878" s="654">
        <v>0</v>
      </c>
      <c r="J1878" s="654">
        <v>0</v>
      </c>
      <c r="K1878" s="654">
        <v>0</v>
      </c>
      <c r="L1878" s="654">
        <v>0</v>
      </c>
      <c r="M1878" s="654"/>
      <c r="N1878" s="654">
        <v>0</v>
      </c>
    </row>
    <row r="1879" spans="2:14" x14ac:dyDescent="0.15">
      <c r="B1879"/>
      <c r="F1879" t="s">
        <v>734</v>
      </c>
      <c r="H1879" s="654">
        <v>0</v>
      </c>
      <c r="I1879" s="654">
        <v>0</v>
      </c>
      <c r="J1879" s="654">
        <v>0</v>
      </c>
      <c r="K1879" s="654">
        <v>0</v>
      </c>
      <c r="L1879" s="654">
        <v>0</v>
      </c>
      <c r="M1879" s="654"/>
      <c r="N1879" s="654">
        <v>0</v>
      </c>
    </row>
    <row r="1880" spans="2:14" x14ac:dyDescent="0.15">
      <c r="B1880"/>
      <c r="F1880" t="s">
        <v>628</v>
      </c>
      <c r="G1880" t="s">
        <v>598</v>
      </c>
      <c r="H1880" s="654">
        <v>25626</v>
      </c>
      <c r="I1880" s="654">
        <v>0</v>
      </c>
      <c r="J1880" s="654">
        <v>25626</v>
      </c>
      <c r="K1880" s="654">
        <v>25626</v>
      </c>
      <c r="L1880" s="654">
        <v>0</v>
      </c>
      <c r="M1880" s="654"/>
      <c r="N1880" s="654">
        <v>0</v>
      </c>
    </row>
    <row r="1881" spans="2:14" x14ac:dyDescent="0.15">
      <c r="B1881"/>
      <c r="F1881" t="s">
        <v>735</v>
      </c>
      <c r="H1881" s="654">
        <v>25626</v>
      </c>
      <c r="I1881" s="654">
        <v>0</v>
      </c>
      <c r="J1881" s="654">
        <v>25626</v>
      </c>
      <c r="K1881" s="654">
        <v>25626</v>
      </c>
      <c r="L1881" s="654">
        <v>0</v>
      </c>
      <c r="M1881" s="654"/>
      <c r="N1881" s="654">
        <v>0</v>
      </c>
    </row>
    <row r="1882" spans="2:14" x14ac:dyDescent="0.15">
      <c r="B1882"/>
      <c r="E1882" t="s">
        <v>769</v>
      </c>
      <c r="H1882" s="654">
        <v>165581</v>
      </c>
      <c r="I1882" s="654">
        <v>0</v>
      </c>
      <c r="J1882" s="654">
        <v>165581</v>
      </c>
      <c r="K1882" s="654">
        <v>165581</v>
      </c>
      <c r="L1882" s="654">
        <v>0</v>
      </c>
      <c r="M1882" s="654">
        <v>0</v>
      </c>
      <c r="N1882" s="654">
        <v>0</v>
      </c>
    </row>
    <row r="1883" spans="2:14" x14ac:dyDescent="0.15">
      <c r="B1883"/>
      <c r="D1883" t="s">
        <v>733</v>
      </c>
      <c r="H1883" s="654">
        <v>165581</v>
      </c>
      <c r="I1883" s="654">
        <v>0</v>
      </c>
      <c r="J1883" s="654">
        <v>165581</v>
      </c>
      <c r="K1883" s="654">
        <v>165581</v>
      </c>
      <c r="L1883" s="654">
        <v>0</v>
      </c>
      <c r="M1883" s="654">
        <v>0</v>
      </c>
      <c r="N1883" s="654">
        <v>0</v>
      </c>
    </row>
    <row r="1884" spans="2:14" x14ac:dyDescent="0.15">
      <c r="B1884"/>
      <c r="D1884" t="s">
        <v>627</v>
      </c>
      <c r="E1884" t="s">
        <v>379</v>
      </c>
      <c r="F1884" t="s">
        <v>626</v>
      </c>
      <c r="G1884" t="s">
        <v>600</v>
      </c>
      <c r="H1884" s="654">
        <v>314769</v>
      </c>
      <c r="I1884" s="654">
        <v>-1172410</v>
      </c>
      <c r="J1884" s="654">
        <v>-857641</v>
      </c>
      <c r="K1884" s="654">
        <v>-857641</v>
      </c>
      <c r="L1884" s="654">
        <v>0</v>
      </c>
      <c r="M1884" s="654">
        <v>0</v>
      </c>
      <c r="N1884" s="654">
        <v>0</v>
      </c>
    </row>
    <row r="1885" spans="2:14" x14ac:dyDescent="0.15">
      <c r="B1885"/>
      <c r="F1885" t="s">
        <v>733</v>
      </c>
      <c r="H1885" s="654">
        <v>314769</v>
      </c>
      <c r="I1885" s="654">
        <v>-1172410</v>
      </c>
      <c r="J1885" s="654">
        <v>-857641</v>
      </c>
      <c r="K1885" s="654">
        <v>-857641</v>
      </c>
      <c r="L1885" s="654">
        <v>0</v>
      </c>
      <c r="M1885" s="654">
        <v>0</v>
      </c>
      <c r="N1885" s="654">
        <v>0</v>
      </c>
    </row>
    <row r="1886" spans="2:14" x14ac:dyDescent="0.15">
      <c r="B1886"/>
      <c r="F1886" t="s">
        <v>627</v>
      </c>
      <c r="G1886" t="s">
        <v>599</v>
      </c>
      <c r="H1886" s="654">
        <v>21252</v>
      </c>
      <c r="I1886" s="654">
        <v>-13960</v>
      </c>
      <c r="J1886" s="654">
        <v>7292</v>
      </c>
      <c r="K1886" s="654">
        <v>7292</v>
      </c>
      <c r="L1886" s="654">
        <v>0</v>
      </c>
      <c r="M1886" s="654">
        <v>0</v>
      </c>
      <c r="N1886" s="654">
        <v>0</v>
      </c>
    </row>
    <row r="1887" spans="2:14" x14ac:dyDescent="0.15">
      <c r="B1887"/>
      <c r="F1887" t="s">
        <v>734</v>
      </c>
      <c r="H1887" s="654">
        <v>21252</v>
      </c>
      <c r="I1887" s="654">
        <v>-13960</v>
      </c>
      <c r="J1887" s="654">
        <v>7292</v>
      </c>
      <c r="K1887" s="654">
        <v>7292</v>
      </c>
      <c r="L1887" s="654">
        <v>0</v>
      </c>
      <c r="M1887" s="654">
        <v>0</v>
      </c>
      <c r="N1887" s="654">
        <v>0</v>
      </c>
    </row>
    <row r="1888" spans="2:14" x14ac:dyDescent="0.15">
      <c r="B1888"/>
      <c r="F1888" t="s">
        <v>628</v>
      </c>
      <c r="G1888" t="s">
        <v>598</v>
      </c>
      <c r="H1888" s="654">
        <v>29900</v>
      </c>
      <c r="I1888" s="654">
        <v>0</v>
      </c>
      <c r="J1888" s="654">
        <v>29900</v>
      </c>
      <c r="K1888" s="654">
        <v>29900</v>
      </c>
      <c r="L1888" s="654">
        <v>0</v>
      </c>
      <c r="M1888" s="654">
        <v>0</v>
      </c>
      <c r="N1888" s="654">
        <v>0</v>
      </c>
    </row>
    <row r="1889" spans="2:14" x14ac:dyDescent="0.15">
      <c r="B1889"/>
      <c r="F1889" t="s">
        <v>735</v>
      </c>
      <c r="H1889" s="654">
        <v>29900</v>
      </c>
      <c r="I1889" s="654">
        <v>0</v>
      </c>
      <c r="J1889" s="654">
        <v>29900</v>
      </c>
      <c r="K1889" s="654">
        <v>29900</v>
      </c>
      <c r="L1889" s="654">
        <v>0</v>
      </c>
      <c r="M1889" s="654">
        <v>0</v>
      </c>
      <c r="N1889" s="654">
        <v>0</v>
      </c>
    </row>
    <row r="1890" spans="2:14" x14ac:dyDescent="0.15">
      <c r="B1890"/>
      <c r="E1890" t="s">
        <v>770</v>
      </c>
      <c r="H1890" s="654">
        <v>365921</v>
      </c>
      <c r="I1890" s="654">
        <v>-1186370</v>
      </c>
      <c r="J1890" s="654">
        <v>-820449</v>
      </c>
      <c r="K1890" s="654">
        <v>-820449</v>
      </c>
      <c r="L1890" s="654">
        <v>0</v>
      </c>
      <c r="M1890" s="654">
        <v>0</v>
      </c>
      <c r="N1890" s="654">
        <v>0</v>
      </c>
    </row>
    <row r="1891" spans="2:14" x14ac:dyDescent="0.15">
      <c r="B1891"/>
      <c r="D1891" t="s">
        <v>734</v>
      </c>
      <c r="H1891" s="654">
        <v>365921</v>
      </c>
      <c r="I1891" s="654">
        <v>-1186370</v>
      </c>
      <c r="J1891" s="654">
        <v>-820449</v>
      </c>
      <c r="K1891" s="654">
        <v>-820449</v>
      </c>
      <c r="L1891" s="654">
        <v>0</v>
      </c>
      <c r="M1891" s="654">
        <v>0</v>
      </c>
      <c r="N1891" s="654">
        <v>0</v>
      </c>
    </row>
    <row r="1892" spans="2:14" x14ac:dyDescent="0.15">
      <c r="B1892"/>
      <c r="D1892" t="s">
        <v>628</v>
      </c>
      <c r="E1892" t="s">
        <v>380</v>
      </c>
      <c r="F1892" t="s">
        <v>626</v>
      </c>
      <c r="G1892" t="s">
        <v>600</v>
      </c>
      <c r="H1892" s="654">
        <v>87846</v>
      </c>
      <c r="I1892" s="654">
        <v>-287573</v>
      </c>
      <c r="J1892" s="654">
        <v>-199727</v>
      </c>
      <c r="K1892" s="654">
        <v>-199727</v>
      </c>
      <c r="L1892" s="654">
        <v>0</v>
      </c>
      <c r="M1892" s="654">
        <v>0</v>
      </c>
      <c r="N1892" s="654">
        <v>0</v>
      </c>
    </row>
    <row r="1893" spans="2:14" x14ac:dyDescent="0.15">
      <c r="B1893"/>
      <c r="F1893" t="s">
        <v>733</v>
      </c>
      <c r="H1893" s="654">
        <v>87846</v>
      </c>
      <c r="I1893" s="654">
        <v>-287573</v>
      </c>
      <c r="J1893" s="654">
        <v>-199727</v>
      </c>
      <c r="K1893" s="654">
        <v>-199727</v>
      </c>
      <c r="L1893" s="654">
        <v>0</v>
      </c>
      <c r="M1893" s="654">
        <v>0</v>
      </c>
      <c r="N1893" s="654">
        <v>0</v>
      </c>
    </row>
    <row r="1894" spans="2:14" x14ac:dyDescent="0.15">
      <c r="B1894"/>
      <c r="F1894" t="s">
        <v>627</v>
      </c>
      <c r="G1894" t="s">
        <v>599</v>
      </c>
      <c r="H1894" s="654">
        <v>0</v>
      </c>
      <c r="I1894" s="654">
        <v>0</v>
      </c>
      <c r="J1894" s="654">
        <v>0</v>
      </c>
      <c r="K1894" s="654">
        <v>0</v>
      </c>
      <c r="L1894" s="654">
        <v>0</v>
      </c>
      <c r="M1894" s="654">
        <v>0</v>
      </c>
      <c r="N1894" s="654">
        <v>3</v>
      </c>
    </row>
    <row r="1895" spans="2:14" x14ac:dyDescent="0.15">
      <c r="B1895"/>
      <c r="F1895" t="s">
        <v>734</v>
      </c>
      <c r="H1895" s="654">
        <v>0</v>
      </c>
      <c r="I1895" s="654">
        <v>0</v>
      </c>
      <c r="J1895" s="654">
        <v>0</v>
      </c>
      <c r="K1895" s="654">
        <v>0</v>
      </c>
      <c r="L1895" s="654">
        <v>0</v>
      </c>
      <c r="M1895" s="654">
        <v>0</v>
      </c>
      <c r="N1895" s="654">
        <v>3</v>
      </c>
    </row>
    <row r="1896" spans="2:14" x14ac:dyDescent="0.15">
      <c r="B1896"/>
      <c r="E1896" t="s">
        <v>771</v>
      </c>
      <c r="H1896" s="654">
        <v>87846</v>
      </c>
      <c r="I1896" s="654">
        <v>-287573</v>
      </c>
      <c r="J1896" s="654">
        <v>-199727</v>
      </c>
      <c r="K1896" s="654">
        <v>-199727</v>
      </c>
      <c r="L1896" s="654">
        <v>0</v>
      </c>
      <c r="M1896" s="654">
        <v>0</v>
      </c>
      <c r="N1896" s="654">
        <v>3</v>
      </c>
    </row>
    <row r="1897" spans="2:14" x14ac:dyDescent="0.15">
      <c r="B1897"/>
      <c r="D1897" t="s">
        <v>735</v>
      </c>
      <c r="H1897" s="654">
        <v>87846</v>
      </c>
      <c r="I1897" s="654">
        <v>-287573</v>
      </c>
      <c r="J1897" s="654">
        <v>-199727</v>
      </c>
      <c r="K1897" s="654">
        <v>-199727</v>
      </c>
      <c r="L1897" s="654">
        <v>0</v>
      </c>
      <c r="M1897" s="654">
        <v>0</v>
      </c>
      <c r="N1897" s="654">
        <v>3</v>
      </c>
    </row>
    <row r="1898" spans="2:14" x14ac:dyDescent="0.15">
      <c r="B1898"/>
      <c r="D1898" t="s">
        <v>629</v>
      </c>
      <c r="E1898" t="s">
        <v>676</v>
      </c>
      <c r="F1898" t="s">
        <v>629</v>
      </c>
      <c r="G1898" t="s">
        <v>601</v>
      </c>
      <c r="H1898" s="654">
        <v>96286</v>
      </c>
      <c r="I1898" s="654">
        <v>-430470</v>
      </c>
      <c r="J1898" s="654">
        <v>-334184</v>
      </c>
      <c r="K1898" s="654">
        <v>-334184</v>
      </c>
      <c r="L1898" s="654">
        <v>0</v>
      </c>
      <c r="M1898" s="654">
        <v>0</v>
      </c>
      <c r="N1898" s="654">
        <v>0</v>
      </c>
    </row>
    <row r="1899" spans="2:14" x14ac:dyDescent="0.15">
      <c r="B1899"/>
      <c r="F1899" t="s">
        <v>736</v>
      </c>
      <c r="H1899" s="654">
        <v>96286</v>
      </c>
      <c r="I1899" s="654">
        <v>-430470</v>
      </c>
      <c r="J1899" s="654">
        <v>-334184</v>
      </c>
      <c r="K1899" s="654">
        <v>-334184</v>
      </c>
      <c r="L1899" s="654">
        <v>0</v>
      </c>
      <c r="M1899" s="654">
        <v>0</v>
      </c>
      <c r="N1899" s="654">
        <v>0</v>
      </c>
    </row>
    <row r="1900" spans="2:14" x14ac:dyDescent="0.15">
      <c r="B1900"/>
      <c r="E1900" t="s">
        <v>772</v>
      </c>
      <c r="H1900" s="654">
        <v>96286</v>
      </c>
      <c r="I1900" s="654">
        <v>-430470</v>
      </c>
      <c r="J1900" s="654">
        <v>-334184</v>
      </c>
      <c r="K1900" s="654">
        <v>-334184</v>
      </c>
      <c r="L1900" s="654">
        <v>0</v>
      </c>
      <c r="M1900" s="654">
        <v>0</v>
      </c>
      <c r="N1900" s="654">
        <v>0</v>
      </c>
    </row>
    <row r="1901" spans="2:14" x14ac:dyDescent="0.15">
      <c r="B1901"/>
      <c r="D1901" t="s">
        <v>736</v>
      </c>
      <c r="H1901" s="654">
        <v>96286</v>
      </c>
      <c r="I1901" s="654">
        <v>-430470</v>
      </c>
      <c r="J1901" s="654">
        <v>-334184</v>
      </c>
      <c r="K1901" s="654">
        <v>-334184</v>
      </c>
      <c r="L1901" s="654">
        <v>0</v>
      </c>
      <c r="M1901" s="654">
        <v>0</v>
      </c>
      <c r="N1901" s="654">
        <v>0</v>
      </c>
    </row>
    <row r="1902" spans="2:14" x14ac:dyDescent="0.15">
      <c r="B1902"/>
      <c r="D1902" t="s">
        <v>567</v>
      </c>
      <c r="E1902" t="s">
        <v>473</v>
      </c>
      <c r="F1902" t="s">
        <v>631</v>
      </c>
      <c r="G1902" t="s">
        <v>596</v>
      </c>
      <c r="H1902" s="654">
        <v>0</v>
      </c>
      <c r="I1902" s="654">
        <v>0</v>
      </c>
      <c r="J1902" s="654">
        <v>0</v>
      </c>
      <c r="K1902" s="654">
        <v>0</v>
      </c>
      <c r="L1902" s="654">
        <v>0</v>
      </c>
      <c r="M1902" s="654">
        <v>0</v>
      </c>
      <c r="N1902" s="654">
        <v>0</v>
      </c>
    </row>
    <row r="1903" spans="2:14" x14ac:dyDescent="0.15">
      <c r="B1903"/>
      <c r="F1903" t="s">
        <v>737</v>
      </c>
      <c r="H1903" s="654">
        <v>0</v>
      </c>
      <c r="I1903" s="654">
        <v>0</v>
      </c>
      <c r="J1903" s="654">
        <v>0</v>
      </c>
      <c r="K1903" s="654">
        <v>0</v>
      </c>
      <c r="L1903" s="654">
        <v>0</v>
      </c>
      <c r="M1903" s="654">
        <v>0</v>
      </c>
      <c r="N1903" s="654">
        <v>0</v>
      </c>
    </row>
    <row r="1904" spans="2:14" x14ac:dyDescent="0.15">
      <c r="B1904"/>
      <c r="E1904" t="s">
        <v>773</v>
      </c>
      <c r="H1904" s="654">
        <v>0</v>
      </c>
      <c r="I1904" s="654">
        <v>0</v>
      </c>
      <c r="J1904" s="654">
        <v>0</v>
      </c>
      <c r="K1904" s="654">
        <v>0</v>
      </c>
      <c r="L1904" s="654">
        <v>0</v>
      </c>
      <c r="M1904" s="654">
        <v>0</v>
      </c>
      <c r="N1904" s="654">
        <v>0</v>
      </c>
    </row>
    <row r="1905" spans="2:14" x14ac:dyDescent="0.15">
      <c r="B1905"/>
      <c r="D1905" t="s">
        <v>739</v>
      </c>
      <c r="H1905" s="654">
        <v>0</v>
      </c>
      <c r="I1905" s="654">
        <v>0</v>
      </c>
      <c r="J1905" s="654">
        <v>0</v>
      </c>
      <c r="K1905" s="654">
        <v>0</v>
      </c>
      <c r="L1905" s="654">
        <v>0</v>
      </c>
      <c r="M1905" s="654">
        <v>0</v>
      </c>
      <c r="N1905" s="654">
        <v>0</v>
      </c>
    </row>
    <row r="1906" spans="2:14" x14ac:dyDescent="0.15">
      <c r="B1906"/>
      <c r="D1906" t="s">
        <v>568</v>
      </c>
      <c r="E1906" t="s">
        <v>474</v>
      </c>
      <c r="F1906" t="s">
        <v>631</v>
      </c>
      <c r="G1906" t="s">
        <v>596</v>
      </c>
      <c r="H1906" s="654">
        <v>0</v>
      </c>
      <c r="I1906" s="654">
        <v>0</v>
      </c>
      <c r="J1906" s="654">
        <v>0</v>
      </c>
      <c r="K1906" s="654">
        <v>0</v>
      </c>
      <c r="L1906" s="654">
        <v>0</v>
      </c>
      <c r="M1906" s="654">
        <v>0</v>
      </c>
      <c r="N1906" s="654">
        <v>0</v>
      </c>
    </row>
    <row r="1907" spans="2:14" x14ac:dyDescent="0.15">
      <c r="B1907"/>
      <c r="F1907" t="s">
        <v>737</v>
      </c>
      <c r="H1907" s="654">
        <v>0</v>
      </c>
      <c r="I1907" s="654">
        <v>0</v>
      </c>
      <c r="J1907" s="654">
        <v>0</v>
      </c>
      <c r="K1907" s="654">
        <v>0</v>
      </c>
      <c r="L1907" s="654">
        <v>0</v>
      </c>
      <c r="M1907" s="654">
        <v>0</v>
      </c>
      <c r="N1907" s="654">
        <v>0</v>
      </c>
    </row>
    <row r="1908" spans="2:14" x14ac:dyDescent="0.15">
      <c r="B1908"/>
      <c r="E1908" t="s">
        <v>774</v>
      </c>
      <c r="H1908" s="654">
        <v>0</v>
      </c>
      <c r="I1908" s="654">
        <v>0</v>
      </c>
      <c r="J1908" s="654">
        <v>0</v>
      </c>
      <c r="K1908" s="654">
        <v>0</v>
      </c>
      <c r="L1908" s="654">
        <v>0</v>
      </c>
      <c r="M1908" s="654">
        <v>0</v>
      </c>
      <c r="N1908" s="654">
        <v>0</v>
      </c>
    </row>
    <row r="1909" spans="2:14" x14ac:dyDescent="0.15">
      <c r="B1909"/>
      <c r="D1909" t="s">
        <v>740</v>
      </c>
      <c r="H1909" s="654">
        <v>0</v>
      </c>
      <c r="I1909" s="654">
        <v>0</v>
      </c>
      <c r="J1909" s="654">
        <v>0</v>
      </c>
      <c r="K1909" s="654">
        <v>0</v>
      </c>
      <c r="L1909" s="654">
        <v>0</v>
      </c>
      <c r="M1909" s="654">
        <v>0</v>
      </c>
      <c r="N1909" s="654">
        <v>0</v>
      </c>
    </row>
    <row r="1910" spans="2:14" x14ac:dyDescent="0.15">
      <c r="B1910"/>
      <c r="D1910" t="s">
        <v>582</v>
      </c>
      <c r="E1910" t="s">
        <v>384</v>
      </c>
      <c r="F1910" t="s">
        <v>631</v>
      </c>
      <c r="G1910" t="s">
        <v>596</v>
      </c>
      <c r="H1910" s="654">
        <v>0</v>
      </c>
      <c r="I1910" s="654">
        <v>0</v>
      </c>
      <c r="J1910" s="654">
        <v>0</v>
      </c>
      <c r="K1910" s="654">
        <v>0</v>
      </c>
      <c r="L1910" s="654">
        <v>0</v>
      </c>
      <c r="M1910" s="654">
        <v>0</v>
      </c>
      <c r="N1910" s="654">
        <v>0</v>
      </c>
    </row>
    <row r="1911" spans="2:14" x14ac:dyDescent="0.15">
      <c r="B1911"/>
      <c r="F1911" t="s">
        <v>737</v>
      </c>
      <c r="H1911" s="654">
        <v>0</v>
      </c>
      <c r="I1911" s="654">
        <v>0</v>
      </c>
      <c r="J1911" s="654">
        <v>0</v>
      </c>
      <c r="K1911" s="654">
        <v>0</v>
      </c>
      <c r="L1911" s="654">
        <v>0</v>
      </c>
      <c r="M1911" s="654">
        <v>0</v>
      </c>
      <c r="N1911" s="654">
        <v>0</v>
      </c>
    </row>
    <row r="1912" spans="2:14" x14ac:dyDescent="0.15">
      <c r="B1912"/>
      <c r="E1912" t="s">
        <v>778</v>
      </c>
      <c r="H1912" s="654">
        <v>0</v>
      </c>
      <c r="I1912" s="654">
        <v>0</v>
      </c>
      <c r="J1912" s="654">
        <v>0</v>
      </c>
      <c r="K1912" s="654">
        <v>0</v>
      </c>
      <c r="L1912" s="654">
        <v>0</v>
      </c>
      <c r="M1912" s="654">
        <v>0</v>
      </c>
      <c r="N1912" s="654">
        <v>0</v>
      </c>
    </row>
    <row r="1913" spans="2:14" x14ac:dyDescent="0.15">
      <c r="B1913"/>
      <c r="D1913" t="s">
        <v>743</v>
      </c>
      <c r="H1913" s="654">
        <v>0</v>
      </c>
      <c r="I1913" s="654">
        <v>0</v>
      </c>
      <c r="J1913" s="654">
        <v>0</v>
      </c>
      <c r="K1913" s="654">
        <v>0</v>
      </c>
      <c r="L1913" s="654">
        <v>0</v>
      </c>
      <c r="M1913" s="654">
        <v>0</v>
      </c>
      <c r="N1913" s="654">
        <v>0</v>
      </c>
    </row>
    <row r="1914" spans="2:14" x14ac:dyDescent="0.15">
      <c r="B1914"/>
      <c r="D1914" t="s">
        <v>631</v>
      </c>
      <c r="E1914" t="s">
        <v>381</v>
      </c>
      <c r="F1914" t="s">
        <v>626</v>
      </c>
      <c r="G1914" t="s">
        <v>600</v>
      </c>
      <c r="H1914" s="654">
        <v>0</v>
      </c>
      <c r="I1914" s="654">
        <v>0</v>
      </c>
      <c r="J1914" s="654">
        <v>0</v>
      </c>
      <c r="K1914" s="654">
        <v>0</v>
      </c>
      <c r="L1914" s="654">
        <v>0</v>
      </c>
      <c r="M1914" s="654">
        <v>0</v>
      </c>
      <c r="N1914" s="654">
        <v>0</v>
      </c>
    </row>
    <row r="1915" spans="2:14" x14ac:dyDescent="0.15">
      <c r="B1915"/>
      <c r="F1915" t="s">
        <v>733</v>
      </c>
      <c r="H1915" s="654">
        <v>0</v>
      </c>
      <c r="I1915" s="654">
        <v>0</v>
      </c>
      <c r="J1915" s="654">
        <v>0</v>
      </c>
      <c r="K1915" s="654">
        <v>0</v>
      </c>
      <c r="L1915" s="654">
        <v>0</v>
      </c>
      <c r="M1915" s="654">
        <v>0</v>
      </c>
      <c r="N1915" s="654">
        <v>0</v>
      </c>
    </row>
    <row r="1916" spans="2:14" x14ac:dyDescent="0.15">
      <c r="B1916"/>
      <c r="E1916" t="s">
        <v>776</v>
      </c>
      <c r="H1916" s="654">
        <v>0</v>
      </c>
      <c r="I1916" s="654">
        <v>0</v>
      </c>
      <c r="J1916" s="654">
        <v>0</v>
      </c>
      <c r="K1916" s="654">
        <v>0</v>
      </c>
      <c r="L1916" s="654">
        <v>0</v>
      </c>
      <c r="M1916" s="654">
        <v>0</v>
      </c>
      <c r="N1916" s="654">
        <v>0</v>
      </c>
    </row>
    <row r="1917" spans="2:14" x14ac:dyDescent="0.15">
      <c r="B1917"/>
      <c r="D1917" t="s">
        <v>737</v>
      </c>
      <c r="H1917" s="654">
        <v>0</v>
      </c>
      <c r="I1917" s="654">
        <v>0</v>
      </c>
      <c r="J1917" s="654">
        <v>0</v>
      </c>
      <c r="K1917" s="654">
        <v>0</v>
      </c>
      <c r="L1917" s="654">
        <v>0</v>
      </c>
      <c r="M1917" s="654">
        <v>0</v>
      </c>
      <c r="N1917" s="654">
        <v>0</v>
      </c>
    </row>
    <row r="1918" spans="2:14" x14ac:dyDescent="0.15">
      <c r="B1918"/>
      <c r="D1918" t="s">
        <v>671</v>
      </c>
      <c r="E1918" t="s">
        <v>383</v>
      </c>
      <c r="F1918" t="s">
        <v>626</v>
      </c>
      <c r="G1918" t="s">
        <v>600</v>
      </c>
      <c r="H1918" s="654">
        <v>2600</v>
      </c>
      <c r="I1918" s="654">
        <v>1616</v>
      </c>
      <c r="J1918" s="654">
        <v>4216</v>
      </c>
      <c r="K1918" s="654">
        <v>4216</v>
      </c>
      <c r="L1918" s="654">
        <v>0</v>
      </c>
      <c r="M1918" s="654">
        <v>0</v>
      </c>
      <c r="N1918" s="654">
        <v>0</v>
      </c>
    </row>
    <row r="1919" spans="2:14" x14ac:dyDescent="0.15">
      <c r="B1919"/>
      <c r="F1919" t="s">
        <v>733</v>
      </c>
      <c r="H1919" s="654">
        <v>2600</v>
      </c>
      <c r="I1919" s="654">
        <v>1616</v>
      </c>
      <c r="J1919" s="654">
        <v>4216</v>
      </c>
      <c r="K1919" s="654">
        <v>4216</v>
      </c>
      <c r="L1919" s="654">
        <v>0</v>
      </c>
      <c r="M1919" s="654">
        <v>0</v>
      </c>
      <c r="N1919" s="654">
        <v>0</v>
      </c>
    </row>
    <row r="1920" spans="2:14" x14ac:dyDescent="0.15">
      <c r="B1920"/>
      <c r="F1920" t="s">
        <v>627</v>
      </c>
      <c r="G1920" t="s">
        <v>599</v>
      </c>
      <c r="H1920" s="654">
        <v>0</v>
      </c>
      <c r="I1920" s="654">
        <v>0</v>
      </c>
      <c r="J1920" s="654">
        <v>0</v>
      </c>
      <c r="K1920" s="654">
        <v>0</v>
      </c>
      <c r="L1920" s="654">
        <v>0</v>
      </c>
      <c r="M1920" s="654">
        <v>0</v>
      </c>
      <c r="N1920" s="654">
        <v>0</v>
      </c>
    </row>
    <row r="1921" spans="1:14" x14ac:dyDescent="0.15">
      <c r="B1921"/>
      <c r="F1921" t="s">
        <v>734</v>
      </c>
      <c r="H1921" s="654">
        <v>0</v>
      </c>
      <c r="I1921" s="654">
        <v>0</v>
      </c>
      <c r="J1921" s="654">
        <v>0</v>
      </c>
      <c r="K1921" s="654">
        <v>0</v>
      </c>
      <c r="L1921" s="654">
        <v>0</v>
      </c>
      <c r="M1921" s="654">
        <v>0</v>
      </c>
      <c r="N1921" s="654">
        <v>0</v>
      </c>
    </row>
    <row r="1922" spans="1:14" x14ac:dyDescent="0.15">
      <c r="B1922"/>
      <c r="E1922" t="s">
        <v>777</v>
      </c>
      <c r="H1922" s="654">
        <v>2600</v>
      </c>
      <c r="I1922" s="654">
        <v>1616</v>
      </c>
      <c r="J1922" s="654">
        <v>4216</v>
      </c>
      <c r="K1922" s="654">
        <v>4216</v>
      </c>
      <c r="L1922" s="654">
        <v>0</v>
      </c>
      <c r="M1922" s="654">
        <v>0</v>
      </c>
      <c r="N1922" s="654">
        <v>0</v>
      </c>
    </row>
    <row r="1923" spans="1:14" x14ac:dyDescent="0.15">
      <c r="B1923"/>
      <c r="D1923" t="s">
        <v>742</v>
      </c>
      <c r="H1923" s="654">
        <v>2600</v>
      </c>
      <c r="I1923" s="654">
        <v>1616</v>
      </c>
      <c r="J1923" s="654">
        <v>4216</v>
      </c>
      <c r="K1923" s="654">
        <v>4216</v>
      </c>
      <c r="L1923" s="654">
        <v>0</v>
      </c>
      <c r="M1923" s="654">
        <v>0</v>
      </c>
      <c r="N1923" s="654">
        <v>0</v>
      </c>
    </row>
    <row r="1924" spans="1:14" x14ac:dyDescent="0.15">
      <c r="B1924"/>
      <c r="C1924" t="s">
        <v>854</v>
      </c>
      <c r="H1924" s="654">
        <v>718234</v>
      </c>
      <c r="I1924" s="654">
        <v>-1902797</v>
      </c>
      <c r="J1924" s="654">
        <v>-1184563</v>
      </c>
      <c r="K1924" s="654">
        <v>-1184563</v>
      </c>
      <c r="L1924" s="654">
        <v>0</v>
      </c>
      <c r="M1924" s="654">
        <v>0</v>
      </c>
      <c r="N1924" s="654">
        <v>3</v>
      </c>
    </row>
    <row r="1925" spans="1:14" x14ac:dyDescent="0.15">
      <c r="A1925" s="653" t="s">
        <v>963</v>
      </c>
      <c r="B1925"/>
      <c r="H1925" s="654">
        <v>33492193</v>
      </c>
      <c r="I1925" s="654">
        <v>-2938039</v>
      </c>
      <c r="J1925" s="654">
        <v>30554154</v>
      </c>
      <c r="K1925" s="654">
        <v>30554154</v>
      </c>
      <c r="L1925" s="654">
        <v>0</v>
      </c>
      <c r="M1925" s="654">
        <v>514743</v>
      </c>
      <c r="N1925" s="654">
        <v>3528370</v>
      </c>
    </row>
    <row r="1926" spans="1:14" x14ac:dyDescent="0.15">
      <c r="A1926" s="653">
        <v>43191</v>
      </c>
      <c r="B1926" t="s">
        <v>626</v>
      </c>
      <c r="C1926" t="s">
        <v>849</v>
      </c>
      <c r="D1926" t="s">
        <v>626</v>
      </c>
      <c r="E1926" t="s">
        <v>378</v>
      </c>
      <c r="F1926" t="s">
        <v>626</v>
      </c>
      <c r="G1926" t="s">
        <v>600</v>
      </c>
      <c r="H1926" s="654">
        <v>7973312</v>
      </c>
      <c r="I1926" s="654">
        <v>-39247</v>
      </c>
      <c r="J1926" s="654">
        <v>7934065</v>
      </c>
      <c r="K1926" s="654">
        <v>7934065</v>
      </c>
      <c r="L1926" s="654">
        <v>0</v>
      </c>
      <c r="M1926" s="654">
        <v>111322</v>
      </c>
      <c r="N1926" s="654">
        <v>1369946</v>
      </c>
    </row>
    <row r="1927" spans="1:14" x14ac:dyDescent="0.15">
      <c r="B1927"/>
      <c r="F1927" t="s">
        <v>733</v>
      </c>
      <c r="H1927" s="654">
        <v>7973312</v>
      </c>
      <c r="I1927" s="654">
        <v>-39247</v>
      </c>
      <c r="J1927" s="654">
        <v>7934065</v>
      </c>
      <c r="K1927" s="654">
        <v>7934065</v>
      </c>
      <c r="L1927" s="654">
        <v>0</v>
      </c>
      <c r="M1927" s="654">
        <v>111322</v>
      </c>
      <c r="N1927" s="654">
        <v>1369946</v>
      </c>
    </row>
    <row r="1928" spans="1:14" x14ac:dyDescent="0.15">
      <c r="B1928"/>
      <c r="F1928" t="s">
        <v>627</v>
      </c>
      <c r="G1928" t="s">
        <v>599</v>
      </c>
      <c r="H1928" s="654">
        <v>1148121</v>
      </c>
      <c r="I1928" s="654">
        <v>-99693</v>
      </c>
      <c r="J1928" s="654">
        <v>1048428</v>
      </c>
      <c r="K1928" s="654">
        <v>1048428</v>
      </c>
      <c r="L1928" s="654">
        <v>0</v>
      </c>
      <c r="M1928" s="654">
        <v>0</v>
      </c>
      <c r="N1928" s="654">
        <v>231734</v>
      </c>
    </row>
    <row r="1929" spans="1:14" x14ac:dyDescent="0.15">
      <c r="B1929"/>
      <c r="F1929" t="s">
        <v>734</v>
      </c>
      <c r="H1929" s="654">
        <v>1148121</v>
      </c>
      <c r="I1929" s="654">
        <v>-99693</v>
      </c>
      <c r="J1929" s="654">
        <v>1048428</v>
      </c>
      <c r="K1929" s="654">
        <v>1048428</v>
      </c>
      <c r="L1929" s="654">
        <v>0</v>
      </c>
      <c r="M1929" s="654">
        <v>0</v>
      </c>
      <c r="N1929" s="654">
        <v>231734</v>
      </c>
    </row>
    <row r="1930" spans="1:14" x14ac:dyDescent="0.15">
      <c r="B1930"/>
      <c r="F1930" t="s">
        <v>628</v>
      </c>
      <c r="G1930" t="s">
        <v>598</v>
      </c>
      <c r="H1930" s="654">
        <v>670235</v>
      </c>
      <c r="I1930" s="654">
        <v>0</v>
      </c>
      <c r="J1930" s="654">
        <v>670235</v>
      </c>
      <c r="K1930" s="654">
        <v>670235</v>
      </c>
      <c r="L1930" s="654">
        <v>0</v>
      </c>
      <c r="M1930" s="654">
        <v>0</v>
      </c>
      <c r="N1930" s="654">
        <v>0</v>
      </c>
    </row>
    <row r="1931" spans="1:14" x14ac:dyDescent="0.15">
      <c r="B1931"/>
      <c r="F1931" t="s">
        <v>735</v>
      </c>
      <c r="H1931" s="654">
        <v>670235</v>
      </c>
      <c r="I1931" s="654">
        <v>0</v>
      </c>
      <c r="J1931" s="654">
        <v>670235</v>
      </c>
      <c r="K1931" s="654">
        <v>670235</v>
      </c>
      <c r="L1931" s="654">
        <v>0</v>
      </c>
      <c r="M1931" s="654">
        <v>0</v>
      </c>
      <c r="N1931" s="654">
        <v>0</v>
      </c>
    </row>
    <row r="1932" spans="1:14" x14ac:dyDescent="0.15">
      <c r="B1932"/>
      <c r="E1932" t="s">
        <v>769</v>
      </c>
      <c r="H1932" s="654">
        <v>9791668</v>
      </c>
      <c r="I1932" s="654">
        <v>-138940</v>
      </c>
      <c r="J1932" s="654">
        <v>9652728</v>
      </c>
      <c r="K1932" s="654">
        <v>9652728</v>
      </c>
      <c r="L1932" s="654">
        <v>0</v>
      </c>
      <c r="M1932" s="654">
        <v>111322</v>
      </c>
      <c r="N1932" s="654">
        <v>1601680</v>
      </c>
    </row>
    <row r="1933" spans="1:14" x14ac:dyDescent="0.15">
      <c r="B1933"/>
      <c r="D1933" t="s">
        <v>733</v>
      </c>
      <c r="H1933" s="654">
        <v>9791668</v>
      </c>
      <c r="I1933" s="654">
        <v>-138940</v>
      </c>
      <c r="J1933" s="654">
        <v>9652728</v>
      </c>
      <c r="K1933" s="654">
        <v>9652728</v>
      </c>
      <c r="L1933" s="654">
        <v>0</v>
      </c>
      <c r="M1933" s="654">
        <v>111322</v>
      </c>
      <c r="N1933" s="654">
        <v>1601680</v>
      </c>
    </row>
    <row r="1934" spans="1:14" x14ac:dyDescent="0.15">
      <c r="B1934"/>
      <c r="D1934" t="s">
        <v>627</v>
      </c>
      <c r="E1934" t="s">
        <v>379</v>
      </c>
      <c r="F1934" t="s">
        <v>626</v>
      </c>
      <c r="G1934" t="s">
        <v>600</v>
      </c>
      <c r="H1934" s="654">
        <v>4702059</v>
      </c>
      <c r="I1934" s="654">
        <v>-113492</v>
      </c>
      <c r="J1934" s="654">
        <v>4588567</v>
      </c>
      <c r="K1934" s="654">
        <v>4588567</v>
      </c>
      <c r="L1934" s="654">
        <v>0</v>
      </c>
      <c r="M1934" s="654">
        <v>0</v>
      </c>
      <c r="N1934" s="654">
        <v>580162</v>
      </c>
    </row>
    <row r="1935" spans="1:14" x14ac:dyDescent="0.15">
      <c r="B1935"/>
      <c r="F1935" t="s">
        <v>733</v>
      </c>
      <c r="H1935" s="654">
        <v>4702059</v>
      </c>
      <c r="I1935" s="654">
        <v>-113492</v>
      </c>
      <c r="J1935" s="654">
        <v>4588567</v>
      </c>
      <c r="K1935" s="654">
        <v>4588567</v>
      </c>
      <c r="L1935" s="654">
        <v>0</v>
      </c>
      <c r="M1935" s="654">
        <v>0</v>
      </c>
      <c r="N1935" s="654">
        <v>580162</v>
      </c>
    </row>
    <row r="1936" spans="1:14" x14ac:dyDescent="0.15">
      <c r="B1936"/>
      <c r="F1936" t="s">
        <v>627</v>
      </c>
      <c r="G1936" t="s">
        <v>599</v>
      </c>
      <c r="H1936" s="654">
        <v>913269</v>
      </c>
      <c r="I1936" s="654">
        <v>-55677</v>
      </c>
      <c r="J1936" s="654">
        <v>857592</v>
      </c>
      <c r="K1936" s="654">
        <v>857592</v>
      </c>
      <c r="L1936" s="654">
        <v>0</v>
      </c>
      <c r="M1936" s="654">
        <v>0</v>
      </c>
      <c r="N1936" s="654">
        <v>205308</v>
      </c>
    </row>
    <row r="1937" spans="2:14" x14ac:dyDescent="0.15">
      <c r="B1937"/>
      <c r="F1937" t="s">
        <v>734</v>
      </c>
      <c r="H1937" s="654">
        <v>913269</v>
      </c>
      <c r="I1937" s="654">
        <v>-55677</v>
      </c>
      <c r="J1937" s="654">
        <v>857592</v>
      </c>
      <c r="K1937" s="654">
        <v>857592</v>
      </c>
      <c r="L1937" s="654">
        <v>0</v>
      </c>
      <c r="M1937" s="654">
        <v>0</v>
      </c>
      <c r="N1937" s="654">
        <v>205308</v>
      </c>
    </row>
    <row r="1938" spans="2:14" x14ac:dyDescent="0.15">
      <c r="B1938"/>
      <c r="F1938" t="s">
        <v>628</v>
      </c>
      <c r="G1938" t="s">
        <v>598</v>
      </c>
      <c r="H1938" s="654">
        <v>429208</v>
      </c>
      <c r="I1938" s="654">
        <v>0</v>
      </c>
      <c r="J1938" s="654">
        <v>429208</v>
      </c>
      <c r="K1938" s="654">
        <v>429208</v>
      </c>
      <c r="L1938" s="654">
        <v>0</v>
      </c>
      <c r="M1938" s="654">
        <v>0</v>
      </c>
      <c r="N1938" s="654">
        <v>0</v>
      </c>
    </row>
    <row r="1939" spans="2:14" x14ac:dyDescent="0.15">
      <c r="B1939"/>
      <c r="F1939" t="s">
        <v>735</v>
      </c>
      <c r="H1939" s="654">
        <v>429208</v>
      </c>
      <c r="I1939" s="654">
        <v>0</v>
      </c>
      <c r="J1939" s="654">
        <v>429208</v>
      </c>
      <c r="K1939" s="654">
        <v>429208</v>
      </c>
      <c r="L1939" s="654">
        <v>0</v>
      </c>
      <c r="M1939" s="654">
        <v>0</v>
      </c>
      <c r="N1939" s="654">
        <v>0</v>
      </c>
    </row>
    <row r="1940" spans="2:14" x14ac:dyDescent="0.15">
      <c r="B1940"/>
      <c r="E1940" t="s">
        <v>770</v>
      </c>
      <c r="H1940" s="654">
        <v>6044536</v>
      </c>
      <c r="I1940" s="654">
        <v>-169169</v>
      </c>
      <c r="J1940" s="654">
        <v>5875367</v>
      </c>
      <c r="K1940" s="654">
        <v>5875367</v>
      </c>
      <c r="L1940" s="654">
        <v>0</v>
      </c>
      <c r="M1940" s="654">
        <v>0</v>
      </c>
      <c r="N1940" s="654">
        <v>785470</v>
      </c>
    </row>
    <row r="1941" spans="2:14" x14ac:dyDescent="0.15">
      <c r="B1941"/>
      <c r="D1941" t="s">
        <v>734</v>
      </c>
      <c r="H1941" s="654">
        <v>6044536</v>
      </c>
      <c r="I1941" s="654">
        <v>-169169</v>
      </c>
      <c r="J1941" s="654">
        <v>5875367</v>
      </c>
      <c r="K1941" s="654">
        <v>5875367</v>
      </c>
      <c r="L1941" s="654">
        <v>0</v>
      </c>
      <c r="M1941" s="654">
        <v>0</v>
      </c>
      <c r="N1941" s="654">
        <v>785470</v>
      </c>
    </row>
    <row r="1942" spans="2:14" x14ac:dyDescent="0.15">
      <c r="B1942"/>
      <c r="D1942" t="s">
        <v>628</v>
      </c>
      <c r="E1942" t="s">
        <v>380</v>
      </c>
      <c r="F1942" t="s">
        <v>626</v>
      </c>
      <c r="G1942" t="s">
        <v>600</v>
      </c>
      <c r="H1942" s="654">
        <v>4183861</v>
      </c>
      <c r="I1942" s="654">
        <v>-105403</v>
      </c>
      <c r="J1942" s="654">
        <v>4078458</v>
      </c>
      <c r="K1942" s="654">
        <v>4078458</v>
      </c>
      <c r="L1942" s="654">
        <v>0</v>
      </c>
      <c r="M1942" s="654">
        <v>266062</v>
      </c>
      <c r="N1942" s="654">
        <v>494085</v>
      </c>
    </row>
    <row r="1943" spans="2:14" x14ac:dyDescent="0.15">
      <c r="B1943"/>
      <c r="F1943" t="s">
        <v>733</v>
      </c>
      <c r="H1943" s="654">
        <v>4183861</v>
      </c>
      <c r="I1943" s="654">
        <v>-105403</v>
      </c>
      <c r="J1943" s="654">
        <v>4078458</v>
      </c>
      <c r="K1943" s="654">
        <v>4078458</v>
      </c>
      <c r="L1943" s="654">
        <v>0</v>
      </c>
      <c r="M1943" s="654">
        <v>266062</v>
      </c>
      <c r="N1943" s="654">
        <v>494085</v>
      </c>
    </row>
    <row r="1944" spans="2:14" x14ac:dyDescent="0.15">
      <c r="B1944"/>
      <c r="F1944" t="s">
        <v>627</v>
      </c>
      <c r="G1944" t="s">
        <v>599</v>
      </c>
      <c r="H1944" s="654">
        <v>1598647</v>
      </c>
      <c r="I1944" s="654">
        <v>0</v>
      </c>
      <c r="J1944" s="654">
        <v>1598647</v>
      </c>
      <c r="K1944" s="654">
        <v>1598647</v>
      </c>
      <c r="L1944" s="654">
        <v>0</v>
      </c>
      <c r="M1944" s="654">
        <v>0</v>
      </c>
      <c r="N1944" s="654">
        <v>428061</v>
      </c>
    </row>
    <row r="1945" spans="2:14" x14ac:dyDescent="0.15">
      <c r="B1945"/>
      <c r="F1945" t="s">
        <v>734</v>
      </c>
      <c r="H1945" s="654">
        <v>1598647</v>
      </c>
      <c r="I1945" s="654">
        <v>0</v>
      </c>
      <c r="J1945" s="654">
        <v>1598647</v>
      </c>
      <c r="K1945" s="654">
        <v>1598647</v>
      </c>
      <c r="L1945" s="654">
        <v>0</v>
      </c>
      <c r="M1945" s="654">
        <v>0</v>
      </c>
      <c r="N1945" s="654">
        <v>428061</v>
      </c>
    </row>
    <row r="1946" spans="2:14" x14ac:dyDescent="0.15">
      <c r="B1946"/>
      <c r="E1946" t="s">
        <v>771</v>
      </c>
      <c r="H1946" s="654">
        <v>5782508</v>
      </c>
      <c r="I1946" s="654">
        <v>-105403</v>
      </c>
      <c r="J1946" s="654">
        <v>5677105</v>
      </c>
      <c r="K1946" s="654">
        <v>5677105</v>
      </c>
      <c r="L1946" s="654">
        <v>0</v>
      </c>
      <c r="M1946" s="654">
        <v>266062</v>
      </c>
      <c r="N1946" s="654">
        <v>922146</v>
      </c>
    </row>
    <row r="1947" spans="2:14" x14ac:dyDescent="0.15">
      <c r="B1947"/>
      <c r="D1947" t="s">
        <v>735</v>
      </c>
      <c r="H1947" s="654">
        <v>5782508</v>
      </c>
      <c r="I1947" s="654">
        <v>-105403</v>
      </c>
      <c r="J1947" s="654">
        <v>5677105</v>
      </c>
      <c r="K1947" s="654">
        <v>5677105</v>
      </c>
      <c r="L1947" s="654">
        <v>0</v>
      </c>
      <c r="M1947" s="654">
        <v>266062</v>
      </c>
      <c r="N1947" s="654">
        <v>922146</v>
      </c>
    </row>
    <row r="1948" spans="2:14" x14ac:dyDescent="0.15">
      <c r="B1948"/>
      <c r="D1948" t="s">
        <v>629</v>
      </c>
      <c r="E1948" t="s">
        <v>676</v>
      </c>
      <c r="F1948" t="s">
        <v>629</v>
      </c>
      <c r="G1948" t="s">
        <v>601</v>
      </c>
      <c r="H1948" s="654">
        <v>4198450</v>
      </c>
      <c r="I1948" s="654">
        <v>-2592</v>
      </c>
      <c r="J1948" s="654">
        <v>4195858</v>
      </c>
      <c r="K1948" s="654">
        <v>4195858</v>
      </c>
      <c r="L1948" s="654">
        <v>0</v>
      </c>
      <c r="M1948" s="654">
        <v>0</v>
      </c>
      <c r="N1948" s="654">
        <v>247531</v>
      </c>
    </row>
    <row r="1949" spans="2:14" x14ac:dyDescent="0.15">
      <c r="B1949"/>
      <c r="F1949" t="s">
        <v>736</v>
      </c>
      <c r="H1949" s="654">
        <v>4198450</v>
      </c>
      <c r="I1949" s="654">
        <v>-2592</v>
      </c>
      <c r="J1949" s="654">
        <v>4195858</v>
      </c>
      <c r="K1949" s="654">
        <v>4195858</v>
      </c>
      <c r="L1949" s="654">
        <v>0</v>
      </c>
      <c r="M1949" s="654">
        <v>0</v>
      </c>
      <c r="N1949" s="654">
        <v>247531</v>
      </c>
    </row>
    <row r="1950" spans="2:14" x14ac:dyDescent="0.15">
      <c r="B1950"/>
      <c r="E1950" t="s">
        <v>772</v>
      </c>
      <c r="H1950" s="654">
        <v>4198450</v>
      </c>
      <c r="I1950" s="654">
        <v>-2592</v>
      </c>
      <c r="J1950" s="654">
        <v>4195858</v>
      </c>
      <c r="K1950" s="654">
        <v>4195858</v>
      </c>
      <c r="L1950" s="654">
        <v>0</v>
      </c>
      <c r="M1950" s="654">
        <v>0</v>
      </c>
      <c r="N1950" s="654">
        <v>247531</v>
      </c>
    </row>
    <row r="1951" spans="2:14" x14ac:dyDescent="0.15">
      <c r="B1951"/>
      <c r="D1951" t="s">
        <v>736</v>
      </c>
      <c r="H1951" s="654">
        <v>4198450</v>
      </c>
      <c r="I1951" s="654">
        <v>-2592</v>
      </c>
      <c r="J1951" s="654">
        <v>4195858</v>
      </c>
      <c r="K1951" s="654">
        <v>4195858</v>
      </c>
      <c r="L1951" s="654">
        <v>0</v>
      </c>
      <c r="M1951" s="654">
        <v>0</v>
      </c>
      <c r="N1951" s="654">
        <v>247531</v>
      </c>
    </row>
    <row r="1952" spans="2:14" x14ac:dyDescent="0.15">
      <c r="B1952"/>
      <c r="D1952" t="s">
        <v>567</v>
      </c>
      <c r="E1952" t="s">
        <v>473</v>
      </c>
      <c r="F1952" t="s">
        <v>631</v>
      </c>
      <c r="G1952" t="s">
        <v>596</v>
      </c>
      <c r="H1952" s="654">
        <v>777456</v>
      </c>
      <c r="I1952" s="654">
        <v>0</v>
      </c>
      <c r="J1952" s="654">
        <v>777456</v>
      </c>
      <c r="K1952" s="654">
        <v>777456</v>
      </c>
      <c r="L1952" s="654">
        <v>0</v>
      </c>
      <c r="M1952" s="654">
        <v>0</v>
      </c>
      <c r="N1952" s="654">
        <v>273762</v>
      </c>
    </row>
    <row r="1953" spans="2:14" x14ac:dyDescent="0.15">
      <c r="B1953"/>
      <c r="F1953" t="s">
        <v>737</v>
      </c>
      <c r="H1953" s="654">
        <v>777456</v>
      </c>
      <c r="I1953" s="654">
        <v>0</v>
      </c>
      <c r="J1953" s="654">
        <v>777456</v>
      </c>
      <c r="K1953" s="654">
        <v>777456</v>
      </c>
      <c r="L1953" s="654">
        <v>0</v>
      </c>
      <c r="M1953" s="654">
        <v>0</v>
      </c>
      <c r="N1953" s="654">
        <v>273762</v>
      </c>
    </row>
    <row r="1954" spans="2:14" x14ac:dyDescent="0.15">
      <c r="B1954"/>
      <c r="E1954" t="s">
        <v>773</v>
      </c>
      <c r="H1954" s="654">
        <v>777456</v>
      </c>
      <c r="I1954" s="654">
        <v>0</v>
      </c>
      <c r="J1954" s="654">
        <v>777456</v>
      </c>
      <c r="K1954" s="654">
        <v>777456</v>
      </c>
      <c r="L1954" s="654">
        <v>0</v>
      </c>
      <c r="M1954" s="654">
        <v>0</v>
      </c>
      <c r="N1954" s="654">
        <v>273762</v>
      </c>
    </row>
    <row r="1955" spans="2:14" x14ac:dyDescent="0.15">
      <c r="B1955"/>
      <c r="D1955" t="s">
        <v>739</v>
      </c>
      <c r="H1955" s="654">
        <v>777456</v>
      </c>
      <c r="I1955" s="654">
        <v>0</v>
      </c>
      <c r="J1955" s="654">
        <v>777456</v>
      </c>
      <c r="K1955" s="654">
        <v>777456</v>
      </c>
      <c r="L1955" s="654">
        <v>0</v>
      </c>
      <c r="M1955" s="654">
        <v>0</v>
      </c>
      <c r="N1955" s="654">
        <v>273762</v>
      </c>
    </row>
    <row r="1956" spans="2:14" x14ac:dyDescent="0.15">
      <c r="B1956"/>
      <c r="D1956" t="s">
        <v>568</v>
      </c>
      <c r="E1956" t="s">
        <v>474</v>
      </c>
      <c r="F1956" t="s">
        <v>631</v>
      </c>
      <c r="G1956" t="s">
        <v>596</v>
      </c>
      <c r="H1956" s="654">
        <v>960460</v>
      </c>
      <c r="I1956" s="654">
        <v>0</v>
      </c>
      <c r="J1956" s="654">
        <v>960460</v>
      </c>
      <c r="K1956" s="654">
        <v>960460</v>
      </c>
      <c r="L1956" s="654">
        <v>0</v>
      </c>
      <c r="M1956" s="654">
        <v>0</v>
      </c>
      <c r="N1956" s="654">
        <v>0</v>
      </c>
    </row>
    <row r="1957" spans="2:14" x14ac:dyDescent="0.15">
      <c r="B1957"/>
      <c r="F1957" t="s">
        <v>737</v>
      </c>
      <c r="H1957" s="654">
        <v>960460</v>
      </c>
      <c r="I1957" s="654">
        <v>0</v>
      </c>
      <c r="J1957" s="654">
        <v>960460</v>
      </c>
      <c r="K1957" s="654">
        <v>960460</v>
      </c>
      <c r="L1957" s="654">
        <v>0</v>
      </c>
      <c r="M1957" s="654">
        <v>0</v>
      </c>
      <c r="N1957" s="654">
        <v>0</v>
      </c>
    </row>
    <row r="1958" spans="2:14" x14ac:dyDescent="0.15">
      <c r="B1958"/>
      <c r="E1958" t="s">
        <v>774</v>
      </c>
      <c r="H1958" s="654">
        <v>960460</v>
      </c>
      <c r="I1958" s="654">
        <v>0</v>
      </c>
      <c r="J1958" s="654">
        <v>960460</v>
      </c>
      <c r="K1958" s="654">
        <v>960460</v>
      </c>
      <c r="L1958" s="654">
        <v>0</v>
      </c>
      <c r="M1958" s="654">
        <v>0</v>
      </c>
      <c r="N1958" s="654">
        <v>0</v>
      </c>
    </row>
    <row r="1959" spans="2:14" x14ac:dyDescent="0.15">
      <c r="B1959"/>
      <c r="D1959" t="s">
        <v>740</v>
      </c>
      <c r="H1959" s="654">
        <v>960460</v>
      </c>
      <c r="I1959" s="654">
        <v>0</v>
      </c>
      <c r="J1959" s="654">
        <v>960460</v>
      </c>
      <c r="K1959" s="654">
        <v>960460</v>
      </c>
      <c r="L1959" s="654">
        <v>0</v>
      </c>
      <c r="M1959" s="654">
        <v>0</v>
      </c>
      <c r="N1959" s="654">
        <v>0</v>
      </c>
    </row>
    <row r="1960" spans="2:14" x14ac:dyDescent="0.15">
      <c r="B1960"/>
      <c r="D1960" t="s">
        <v>582</v>
      </c>
      <c r="E1960" t="s">
        <v>384</v>
      </c>
      <c r="F1960" t="s">
        <v>631</v>
      </c>
      <c r="G1960" t="s">
        <v>596</v>
      </c>
      <c r="H1960" s="654">
        <v>2405342</v>
      </c>
      <c r="I1960" s="654">
        <v>0</v>
      </c>
      <c r="J1960" s="654">
        <v>2405342</v>
      </c>
      <c r="K1960" s="654">
        <v>2405342</v>
      </c>
      <c r="L1960" s="654">
        <v>0</v>
      </c>
      <c r="M1960" s="654">
        <v>0</v>
      </c>
      <c r="N1960" s="654">
        <v>0</v>
      </c>
    </row>
    <row r="1961" spans="2:14" x14ac:dyDescent="0.15">
      <c r="B1961"/>
      <c r="F1961" t="s">
        <v>737</v>
      </c>
      <c r="H1961" s="654">
        <v>2405342</v>
      </c>
      <c r="I1961" s="654">
        <v>0</v>
      </c>
      <c r="J1961" s="654">
        <v>2405342</v>
      </c>
      <c r="K1961" s="654">
        <v>2405342</v>
      </c>
      <c r="L1961" s="654">
        <v>0</v>
      </c>
      <c r="M1961" s="654">
        <v>0</v>
      </c>
      <c r="N1961" s="654">
        <v>0</v>
      </c>
    </row>
    <row r="1962" spans="2:14" x14ac:dyDescent="0.15">
      <c r="B1962"/>
      <c r="E1962" t="s">
        <v>778</v>
      </c>
      <c r="H1962" s="654">
        <v>2405342</v>
      </c>
      <c r="I1962" s="654">
        <v>0</v>
      </c>
      <c r="J1962" s="654">
        <v>2405342</v>
      </c>
      <c r="K1962" s="654">
        <v>2405342</v>
      </c>
      <c r="L1962" s="654">
        <v>0</v>
      </c>
      <c r="M1962" s="654">
        <v>0</v>
      </c>
      <c r="N1962" s="654">
        <v>0</v>
      </c>
    </row>
    <row r="1963" spans="2:14" x14ac:dyDescent="0.15">
      <c r="B1963"/>
      <c r="D1963" t="s">
        <v>743</v>
      </c>
      <c r="H1963" s="654">
        <v>2405342</v>
      </c>
      <c r="I1963" s="654">
        <v>0</v>
      </c>
      <c r="J1963" s="654">
        <v>2405342</v>
      </c>
      <c r="K1963" s="654">
        <v>2405342</v>
      </c>
      <c r="L1963" s="654">
        <v>0</v>
      </c>
      <c r="M1963" s="654">
        <v>0</v>
      </c>
      <c r="N1963" s="654">
        <v>0</v>
      </c>
    </row>
    <row r="1964" spans="2:14" x14ac:dyDescent="0.15">
      <c r="B1964"/>
      <c r="D1964" t="s">
        <v>631</v>
      </c>
      <c r="E1964" t="s">
        <v>381</v>
      </c>
      <c r="F1964" t="s">
        <v>626</v>
      </c>
      <c r="G1964" t="s">
        <v>600</v>
      </c>
      <c r="H1964" s="654">
        <v>2291722</v>
      </c>
      <c r="I1964" s="654">
        <v>0</v>
      </c>
      <c r="J1964" s="654">
        <v>2291722</v>
      </c>
      <c r="K1964" s="654">
        <v>2291722</v>
      </c>
      <c r="L1964" s="654">
        <v>0</v>
      </c>
      <c r="M1964" s="654">
        <v>0</v>
      </c>
      <c r="N1964" s="654">
        <v>0</v>
      </c>
    </row>
    <row r="1965" spans="2:14" x14ac:dyDescent="0.15">
      <c r="B1965"/>
      <c r="F1965" t="s">
        <v>733</v>
      </c>
      <c r="H1965" s="654">
        <v>2291722</v>
      </c>
      <c r="I1965" s="654">
        <v>0</v>
      </c>
      <c r="J1965" s="654">
        <v>2291722</v>
      </c>
      <c r="K1965" s="654">
        <v>2291722</v>
      </c>
      <c r="L1965" s="654">
        <v>0</v>
      </c>
      <c r="M1965" s="654">
        <v>0</v>
      </c>
      <c r="N1965" s="654">
        <v>0</v>
      </c>
    </row>
    <row r="1966" spans="2:14" x14ac:dyDescent="0.15">
      <c r="B1966"/>
      <c r="E1966" t="s">
        <v>776</v>
      </c>
      <c r="H1966" s="654">
        <v>2291722</v>
      </c>
      <c r="I1966" s="654">
        <v>0</v>
      </c>
      <c r="J1966" s="654">
        <v>2291722</v>
      </c>
      <c r="K1966" s="654">
        <v>2291722</v>
      </c>
      <c r="L1966" s="654">
        <v>0</v>
      </c>
      <c r="M1966" s="654">
        <v>0</v>
      </c>
      <c r="N1966" s="654">
        <v>0</v>
      </c>
    </row>
    <row r="1967" spans="2:14" x14ac:dyDescent="0.15">
      <c r="B1967"/>
      <c r="D1967" t="s">
        <v>737</v>
      </c>
      <c r="H1967" s="654">
        <v>2291722</v>
      </c>
      <c r="I1967" s="654">
        <v>0</v>
      </c>
      <c r="J1967" s="654">
        <v>2291722</v>
      </c>
      <c r="K1967" s="654">
        <v>2291722</v>
      </c>
      <c r="L1967" s="654">
        <v>0</v>
      </c>
      <c r="M1967" s="654">
        <v>0</v>
      </c>
      <c r="N1967" s="654">
        <v>0</v>
      </c>
    </row>
    <row r="1968" spans="2:14" x14ac:dyDescent="0.15">
      <c r="B1968"/>
      <c r="D1968" t="s">
        <v>671</v>
      </c>
      <c r="E1968" t="s">
        <v>383</v>
      </c>
      <c r="F1968" t="s">
        <v>626</v>
      </c>
      <c r="G1968" t="s">
        <v>600</v>
      </c>
      <c r="H1968" s="654">
        <v>823704</v>
      </c>
      <c r="I1968" s="654">
        <v>0</v>
      </c>
      <c r="J1968" s="654">
        <v>823704</v>
      </c>
      <c r="K1968" s="654">
        <v>823704</v>
      </c>
      <c r="L1968" s="654">
        <v>0</v>
      </c>
      <c r="M1968" s="654">
        <v>0</v>
      </c>
      <c r="N1968" s="654">
        <v>0</v>
      </c>
    </row>
    <row r="1969" spans="2:14" x14ac:dyDescent="0.15">
      <c r="B1969"/>
      <c r="F1969" t="s">
        <v>733</v>
      </c>
      <c r="H1969" s="654">
        <v>823704</v>
      </c>
      <c r="I1969" s="654">
        <v>0</v>
      </c>
      <c r="J1969" s="654">
        <v>823704</v>
      </c>
      <c r="K1969" s="654">
        <v>823704</v>
      </c>
      <c r="L1969" s="654">
        <v>0</v>
      </c>
      <c r="M1969" s="654">
        <v>0</v>
      </c>
      <c r="N1969" s="654">
        <v>0</v>
      </c>
    </row>
    <row r="1970" spans="2:14" x14ac:dyDescent="0.15">
      <c r="B1970"/>
      <c r="F1970" t="s">
        <v>627</v>
      </c>
      <c r="G1970" t="s">
        <v>599</v>
      </c>
      <c r="H1970" s="654">
        <v>60400</v>
      </c>
      <c r="I1970" s="654">
        <v>0</v>
      </c>
      <c r="J1970" s="654">
        <v>60400</v>
      </c>
      <c r="K1970" s="654">
        <v>60400</v>
      </c>
      <c r="L1970" s="654">
        <v>0</v>
      </c>
      <c r="M1970" s="654">
        <v>0</v>
      </c>
      <c r="N1970" s="654">
        <v>0</v>
      </c>
    </row>
    <row r="1971" spans="2:14" x14ac:dyDescent="0.15">
      <c r="B1971"/>
      <c r="F1971" t="s">
        <v>734</v>
      </c>
      <c r="H1971" s="654">
        <v>60400</v>
      </c>
      <c r="I1971" s="654">
        <v>0</v>
      </c>
      <c r="J1971" s="654">
        <v>60400</v>
      </c>
      <c r="K1971" s="654">
        <v>60400</v>
      </c>
      <c r="L1971" s="654">
        <v>0</v>
      </c>
      <c r="M1971" s="654">
        <v>0</v>
      </c>
      <c r="N1971" s="654">
        <v>0</v>
      </c>
    </row>
    <row r="1972" spans="2:14" x14ac:dyDescent="0.15">
      <c r="B1972"/>
      <c r="E1972" t="s">
        <v>777</v>
      </c>
      <c r="H1972" s="654">
        <v>884104</v>
      </c>
      <c r="I1972" s="654">
        <v>0</v>
      </c>
      <c r="J1972" s="654">
        <v>884104</v>
      </c>
      <c r="K1972" s="654">
        <v>884104</v>
      </c>
      <c r="L1972" s="654">
        <v>0</v>
      </c>
      <c r="M1972" s="654">
        <v>0</v>
      </c>
      <c r="N1972" s="654">
        <v>0</v>
      </c>
    </row>
    <row r="1973" spans="2:14" x14ac:dyDescent="0.15">
      <c r="B1973"/>
      <c r="D1973" t="s">
        <v>742</v>
      </c>
      <c r="H1973" s="654">
        <v>884104</v>
      </c>
      <c r="I1973" s="654">
        <v>0</v>
      </c>
      <c r="J1973" s="654">
        <v>884104</v>
      </c>
      <c r="K1973" s="654">
        <v>884104</v>
      </c>
      <c r="L1973" s="654">
        <v>0</v>
      </c>
      <c r="M1973" s="654">
        <v>0</v>
      </c>
      <c r="N1973" s="654">
        <v>0</v>
      </c>
    </row>
    <row r="1974" spans="2:14" x14ac:dyDescent="0.15">
      <c r="B1974"/>
      <c r="C1974" t="s">
        <v>853</v>
      </c>
      <c r="H1974" s="654">
        <v>33136246</v>
      </c>
      <c r="I1974" s="654">
        <v>-416104</v>
      </c>
      <c r="J1974" s="654">
        <v>32720142</v>
      </c>
      <c r="K1974" s="654">
        <v>32720142</v>
      </c>
      <c r="L1974" s="654">
        <v>0</v>
      </c>
      <c r="M1974" s="654">
        <v>377384</v>
      </c>
      <c r="N1974" s="654">
        <v>3830589</v>
      </c>
    </row>
    <row r="1975" spans="2:14" x14ac:dyDescent="0.15">
      <c r="B1975" t="s">
        <v>627</v>
      </c>
      <c r="C1975" t="s">
        <v>847</v>
      </c>
      <c r="D1975" t="s">
        <v>626</v>
      </c>
      <c r="E1975" t="s">
        <v>378</v>
      </c>
      <c r="F1975" t="s">
        <v>626</v>
      </c>
      <c r="G1975" t="s">
        <v>600</v>
      </c>
      <c r="H1975" s="654">
        <v>125896</v>
      </c>
      <c r="I1975" s="654">
        <v>78344</v>
      </c>
      <c r="J1975" s="654">
        <v>204240</v>
      </c>
      <c r="K1975" s="654">
        <v>204240</v>
      </c>
      <c r="L1975" s="654">
        <v>0</v>
      </c>
      <c r="M1975" s="654">
        <v>0</v>
      </c>
      <c r="N1975" s="654">
        <v>0</v>
      </c>
    </row>
    <row r="1976" spans="2:14" x14ac:dyDescent="0.15">
      <c r="B1976"/>
      <c r="F1976" t="s">
        <v>733</v>
      </c>
      <c r="H1976" s="654">
        <v>125896</v>
      </c>
      <c r="I1976" s="654">
        <v>78344</v>
      </c>
      <c r="J1976" s="654">
        <v>204240</v>
      </c>
      <c r="K1976" s="654">
        <v>204240</v>
      </c>
      <c r="L1976" s="654">
        <v>0</v>
      </c>
      <c r="M1976" s="654">
        <v>0</v>
      </c>
      <c r="N1976" s="654">
        <v>0</v>
      </c>
    </row>
    <row r="1977" spans="2:14" x14ac:dyDescent="0.15">
      <c r="B1977"/>
      <c r="F1977" t="s">
        <v>627</v>
      </c>
      <c r="G1977" t="s">
        <v>599</v>
      </c>
      <c r="H1977" s="654">
        <v>0</v>
      </c>
      <c r="I1977" s="654">
        <v>0</v>
      </c>
      <c r="J1977" s="654">
        <v>0</v>
      </c>
      <c r="K1977" s="654">
        <v>0</v>
      </c>
      <c r="L1977" s="654">
        <v>0</v>
      </c>
      <c r="M1977" s="654">
        <v>0</v>
      </c>
      <c r="N1977" s="654">
        <v>0</v>
      </c>
    </row>
    <row r="1978" spans="2:14" x14ac:dyDescent="0.15">
      <c r="B1978"/>
      <c r="F1978" t="s">
        <v>734</v>
      </c>
      <c r="H1978" s="654">
        <v>0</v>
      </c>
      <c r="I1978" s="654">
        <v>0</v>
      </c>
      <c r="J1978" s="654">
        <v>0</v>
      </c>
      <c r="K1978" s="654">
        <v>0</v>
      </c>
      <c r="L1978" s="654">
        <v>0</v>
      </c>
      <c r="M1978" s="654">
        <v>0</v>
      </c>
      <c r="N1978" s="654">
        <v>0</v>
      </c>
    </row>
    <row r="1979" spans="2:14" x14ac:dyDescent="0.15">
      <c r="B1979"/>
      <c r="F1979" t="s">
        <v>628</v>
      </c>
      <c r="G1979" t="s">
        <v>598</v>
      </c>
      <c r="H1979" s="654">
        <v>32164</v>
      </c>
      <c r="I1979" s="654">
        <v>-17687</v>
      </c>
      <c r="J1979" s="654">
        <v>14477</v>
      </c>
      <c r="K1979" s="654">
        <v>14477</v>
      </c>
      <c r="L1979" s="654">
        <v>0</v>
      </c>
      <c r="M1979" s="654">
        <v>0</v>
      </c>
      <c r="N1979" s="654">
        <v>0</v>
      </c>
    </row>
    <row r="1980" spans="2:14" x14ac:dyDescent="0.15">
      <c r="B1980"/>
      <c r="F1980" t="s">
        <v>735</v>
      </c>
      <c r="H1980" s="654">
        <v>32164</v>
      </c>
      <c r="I1980" s="654">
        <v>-17687</v>
      </c>
      <c r="J1980" s="654">
        <v>14477</v>
      </c>
      <c r="K1980" s="654">
        <v>14477</v>
      </c>
      <c r="L1980" s="654">
        <v>0</v>
      </c>
      <c r="M1980" s="654">
        <v>0</v>
      </c>
      <c r="N1980" s="654">
        <v>0</v>
      </c>
    </row>
    <row r="1981" spans="2:14" x14ac:dyDescent="0.15">
      <c r="B1981"/>
      <c r="E1981" t="s">
        <v>769</v>
      </c>
      <c r="H1981" s="654">
        <v>158060</v>
      </c>
      <c r="I1981" s="654">
        <v>60657</v>
      </c>
      <c r="J1981" s="654">
        <v>218717</v>
      </c>
      <c r="K1981" s="654">
        <v>218717</v>
      </c>
      <c r="L1981" s="654">
        <v>0</v>
      </c>
      <c r="M1981" s="654">
        <v>0</v>
      </c>
      <c r="N1981" s="654">
        <v>0</v>
      </c>
    </row>
    <row r="1982" spans="2:14" x14ac:dyDescent="0.15">
      <c r="B1982"/>
      <c r="D1982" t="s">
        <v>733</v>
      </c>
      <c r="H1982" s="654">
        <v>158060</v>
      </c>
      <c r="I1982" s="654">
        <v>60657</v>
      </c>
      <c r="J1982" s="654">
        <v>218717</v>
      </c>
      <c r="K1982" s="654">
        <v>218717</v>
      </c>
      <c r="L1982" s="654">
        <v>0</v>
      </c>
      <c r="M1982" s="654">
        <v>0</v>
      </c>
      <c r="N1982" s="654">
        <v>0</v>
      </c>
    </row>
    <row r="1983" spans="2:14" x14ac:dyDescent="0.15">
      <c r="B1983"/>
      <c r="D1983" t="s">
        <v>627</v>
      </c>
      <c r="E1983" t="s">
        <v>379</v>
      </c>
      <c r="F1983" t="s">
        <v>626</v>
      </c>
      <c r="G1983" t="s">
        <v>600</v>
      </c>
      <c r="H1983" s="654">
        <v>1388220</v>
      </c>
      <c r="I1983" s="654">
        <v>-71670</v>
      </c>
      <c r="J1983" s="654">
        <v>1316550</v>
      </c>
      <c r="K1983" s="654">
        <v>1316550</v>
      </c>
      <c r="L1983" s="654">
        <v>0</v>
      </c>
      <c r="M1983" s="654">
        <v>0</v>
      </c>
      <c r="N1983" s="654">
        <v>0</v>
      </c>
    </row>
    <row r="1984" spans="2:14" x14ac:dyDescent="0.15">
      <c r="B1984"/>
      <c r="F1984" t="s">
        <v>733</v>
      </c>
      <c r="H1984" s="654">
        <v>1388220</v>
      </c>
      <c r="I1984" s="654">
        <v>-71670</v>
      </c>
      <c r="J1984" s="654">
        <v>1316550</v>
      </c>
      <c r="K1984" s="654">
        <v>1316550</v>
      </c>
      <c r="L1984" s="654">
        <v>0</v>
      </c>
      <c r="M1984" s="654">
        <v>0</v>
      </c>
      <c r="N1984" s="654">
        <v>0</v>
      </c>
    </row>
    <row r="1985" spans="2:14" x14ac:dyDescent="0.15">
      <c r="B1985"/>
      <c r="F1985" t="s">
        <v>627</v>
      </c>
      <c r="G1985" t="s">
        <v>599</v>
      </c>
      <c r="H1985" s="654">
        <v>28853</v>
      </c>
      <c r="I1985" s="654">
        <v>0</v>
      </c>
      <c r="J1985" s="654">
        <v>28853</v>
      </c>
      <c r="K1985" s="654">
        <v>28853</v>
      </c>
      <c r="L1985" s="654">
        <v>0</v>
      </c>
      <c r="M1985" s="654">
        <v>0</v>
      </c>
      <c r="N1985" s="654">
        <v>0</v>
      </c>
    </row>
    <row r="1986" spans="2:14" x14ac:dyDescent="0.15">
      <c r="B1986"/>
      <c r="F1986" t="s">
        <v>734</v>
      </c>
      <c r="H1986" s="654">
        <v>28853</v>
      </c>
      <c r="I1986" s="654">
        <v>0</v>
      </c>
      <c r="J1986" s="654">
        <v>28853</v>
      </c>
      <c r="K1986" s="654">
        <v>28853</v>
      </c>
      <c r="L1986" s="654">
        <v>0</v>
      </c>
      <c r="M1986" s="654">
        <v>0</v>
      </c>
      <c r="N1986" s="654">
        <v>0</v>
      </c>
    </row>
    <row r="1987" spans="2:14" x14ac:dyDescent="0.15">
      <c r="B1987"/>
      <c r="F1987" t="s">
        <v>628</v>
      </c>
      <c r="G1987" t="s">
        <v>598</v>
      </c>
      <c r="H1987" s="654">
        <v>11514</v>
      </c>
      <c r="I1987" s="654">
        <v>0</v>
      </c>
      <c r="J1987" s="654">
        <v>11514</v>
      </c>
      <c r="K1987" s="654">
        <v>11514</v>
      </c>
      <c r="L1987" s="654">
        <v>0</v>
      </c>
      <c r="M1987" s="654">
        <v>0</v>
      </c>
      <c r="N1987" s="654">
        <v>0</v>
      </c>
    </row>
    <row r="1988" spans="2:14" x14ac:dyDescent="0.15">
      <c r="B1988"/>
      <c r="F1988" t="s">
        <v>735</v>
      </c>
      <c r="H1988" s="654">
        <v>11514</v>
      </c>
      <c r="I1988" s="654">
        <v>0</v>
      </c>
      <c r="J1988" s="654">
        <v>11514</v>
      </c>
      <c r="K1988" s="654">
        <v>11514</v>
      </c>
      <c r="L1988" s="654">
        <v>0</v>
      </c>
      <c r="M1988" s="654">
        <v>0</v>
      </c>
      <c r="N1988" s="654">
        <v>0</v>
      </c>
    </row>
    <row r="1989" spans="2:14" x14ac:dyDescent="0.15">
      <c r="B1989"/>
      <c r="E1989" t="s">
        <v>770</v>
      </c>
      <c r="H1989" s="654">
        <v>1428587</v>
      </c>
      <c r="I1989" s="654">
        <v>-71670</v>
      </c>
      <c r="J1989" s="654">
        <v>1356917</v>
      </c>
      <c r="K1989" s="654">
        <v>1356917</v>
      </c>
      <c r="L1989" s="654">
        <v>0</v>
      </c>
      <c r="M1989" s="654">
        <v>0</v>
      </c>
      <c r="N1989" s="654">
        <v>0</v>
      </c>
    </row>
    <row r="1990" spans="2:14" x14ac:dyDescent="0.15">
      <c r="B1990"/>
      <c r="D1990" t="s">
        <v>734</v>
      </c>
      <c r="H1990" s="654">
        <v>1428587</v>
      </c>
      <c r="I1990" s="654">
        <v>-71670</v>
      </c>
      <c r="J1990" s="654">
        <v>1356917</v>
      </c>
      <c r="K1990" s="654">
        <v>1356917</v>
      </c>
      <c r="L1990" s="654">
        <v>0</v>
      </c>
      <c r="M1990" s="654">
        <v>0</v>
      </c>
      <c r="N1990" s="654">
        <v>0</v>
      </c>
    </row>
    <row r="1991" spans="2:14" x14ac:dyDescent="0.15">
      <c r="B1991"/>
      <c r="D1991" t="s">
        <v>628</v>
      </c>
      <c r="E1991" t="s">
        <v>380</v>
      </c>
      <c r="F1991" t="s">
        <v>626</v>
      </c>
      <c r="G1991" t="s">
        <v>600</v>
      </c>
      <c r="H1991" s="654">
        <v>484146</v>
      </c>
      <c r="I1991" s="654">
        <v>28232</v>
      </c>
      <c r="J1991" s="654">
        <v>512378</v>
      </c>
      <c r="K1991" s="654">
        <v>512378</v>
      </c>
      <c r="L1991" s="654">
        <v>0</v>
      </c>
      <c r="M1991" s="654">
        <v>0</v>
      </c>
      <c r="N1991" s="654">
        <v>0</v>
      </c>
    </row>
    <row r="1992" spans="2:14" x14ac:dyDescent="0.15">
      <c r="B1992"/>
      <c r="F1992" t="s">
        <v>733</v>
      </c>
      <c r="H1992" s="654">
        <v>484146</v>
      </c>
      <c r="I1992" s="654">
        <v>28232</v>
      </c>
      <c r="J1992" s="654">
        <v>512378</v>
      </c>
      <c r="K1992" s="654">
        <v>512378</v>
      </c>
      <c r="L1992" s="654">
        <v>0</v>
      </c>
      <c r="M1992" s="654">
        <v>0</v>
      </c>
      <c r="N1992" s="654">
        <v>0</v>
      </c>
    </row>
    <row r="1993" spans="2:14" x14ac:dyDescent="0.15">
      <c r="B1993"/>
      <c r="F1993" t="s">
        <v>627</v>
      </c>
      <c r="G1993" t="s">
        <v>599</v>
      </c>
      <c r="H1993" s="654">
        <v>242124</v>
      </c>
      <c r="I1993" s="654">
        <v>0</v>
      </c>
      <c r="J1993" s="654">
        <v>242124</v>
      </c>
      <c r="K1993" s="654">
        <v>242124</v>
      </c>
      <c r="L1993" s="654">
        <v>0</v>
      </c>
      <c r="M1993" s="654">
        <v>0</v>
      </c>
      <c r="N1993" s="654">
        <v>0</v>
      </c>
    </row>
    <row r="1994" spans="2:14" x14ac:dyDescent="0.15">
      <c r="B1994"/>
      <c r="F1994" t="s">
        <v>734</v>
      </c>
      <c r="H1994" s="654">
        <v>242124</v>
      </c>
      <c r="I1994" s="654">
        <v>0</v>
      </c>
      <c r="J1994" s="654">
        <v>242124</v>
      </c>
      <c r="K1994" s="654">
        <v>242124</v>
      </c>
      <c r="L1994" s="654">
        <v>0</v>
      </c>
      <c r="M1994" s="654">
        <v>0</v>
      </c>
      <c r="N1994" s="654">
        <v>0</v>
      </c>
    </row>
    <row r="1995" spans="2:14" x14ac:dyDescent="0.15">
      <c r="B1995"/>
      <c r="E1995" t="s">
        <v>771</v>
      </c>
      <c r="H1995" s="654">
        <v>726270</v>
      </c>
      <c r="I1995" s="654">
        <v>28232</v>
      </c>
      <c r="J1995" s="654">
        <v>754502</v>
      </c>
      <c r="K1995" s="654">
        <v>754502</v>
      </c>
      <c r="L1995" s="654">
        <v>0</v>
      </c>
      <c r="M1995" s="654">
        <v>0</v>
      </c>
      <c r="N1995" s="654">
        <v>0</v>
      </c>
    </row>
    <row r="1996" spans="2:14" x14ac:dyDescent="0.15">
      <c r="B1996"/>
      <c r="D1996" t="s">
        <v>735</v>
      </c>
      <c r="H1996" s="654">
        <v>726270</v>
      </c>
      <c r="I1996" s="654">
        <v>28232</v>
      </c>
      <c r="J1996" s="654">
        <v>754502</v>
      </c>
      <c r="K1996" s="654">
        <v>754502</v>
      </c>
      <c r="L1996" s="654">
        <v>0</v>
      </c>
      <c r="M1996" s="654">
        <v>0</v>
      </c>
      <c r="N1996" s="654">
        <v>0</v>
      </c>
    </row>
    <row r="1997" spans="2:14" x14ac:dyDescent="0.15">
      <c r="B1997"/>
      <c r="D1997" t="s">
        <v>629</v>
      </c>
      <c r="E1997" t="s">
        <v>676</v>
      </c>
      <c r="F1997" t="s">
        <v>629</v>
      </c>
      <c r="G1997" t="s">
        <v>601</v>
      </c>
      <c r="H1997" s="654">
        <v>213633</v>
      </c>
      <c r="I1997" s="654">
        <v>61174</v>
      </c>
      <c r="J1997" s="654">
        <v>274807</v>
      </c>
      <c r="K1997" s="654">
        <v>274807</v>
      </c>
      <c r="L1997" s="654">
        <v>0</v>
      </c>
      <c r="M1997" s="654">
        <v>0</v>
      </c>
      <c r="N1997" s="654">
        <v>0</v>
      </c>
    </row>
    <row r="1998" spans="2:14" x14ac:dyDescent="0.15">
      <c r="B1998"/>
      <c r="F1998" t="s">
        <v>736</v>
      </c>
      <c r="H1998" s="654">
        <v>213633</v>
      </c>
      <c r="I1998" s="654">
        <v>61174</v>
      </c>
      <c r="J1998" s="654">
        <v>274807</v>
      </c>
      <c r="K1998" s="654">
        <v>274807</v>
      </c>
      <c r="L1998" s="654">
        <v>0</v>
      </c>
      <c r="M1998" s="654">
        <v>0</v>
      </c>
      <c r="N1998" s="654">
        <v>0</v>
      </c>
    </row>
    <row r="1999" spans="2:14" x14ac:dyDescent="0.15">
      <c r="B1999"/>
      <c r="E1999" t="s">
        <v>772</v>
      </c>
      <c r="H1999" s="654">
        <v>213633</v>
      </c>
      <c r="I1999" s="654">
        <v>61174</v>
      </c>
      <c r="J1999" s="654">
        <v>274807</v>
      </c>
      <c r="K1999" s="654">
        <v>274807</v>
      </c>
      <c r="L1999" s="654">
        <v>0</v>
      </c>
      <c r="M1999" s="654">
        <v>0</v>
      </c>
      <c r="N1999" s="654">
        <v>0</v>
      </c>
    </row>
    <row r="2000" spans="2:14" x14ac:dyDescent="0.15">
      <c r="B2000"/>
      <c r="D2000" t="s">
        <v>736</v>
      </c>
      <c r="H2000" s="654">
        <v>213633</v>
      </c>
      <c r="I2000" s="654">
        <v>61174</v>
      </c>
      <c r="J2000" s="654">
        <v>274807</v>
      </c>
      <c r="K2000" s="654">
        <v>274807</v>
      </c>
      <c r="L2000" s="654">
        <v>0</v>
      </c>
      <c r="M2000" s="654">
        <v>0</v>
      </c>
      <c r="N2000" s="654">
        <v>0</v>
      </c>
    </row>
    <row r="2001" spans="2:14" x14ac:dyDescent="0.15">
      <c r="B2001"/>
      <c r="D2001" t="s">
        <v>567</v>
      </c>
      <c r="E2001" t="s">
        <v>473</v>
      </c>
      <c r="F2001" t="s">
        <v>631</v>
      </c>
      <c r="G2001" t="s">
        <v>596</v>
      </c>
      <c r="H2001" s="654">
        <v>0</v>
      </c>
      <c r="I2001" s="654">
        <v>0</v>
      </c>
      <c r="J2001" s="654">
        <v>0</v>
      </c>
      <c r="K2001" s="654">
        <v>0</v>
      </c>
      <c r="L2001" s="654">
        <v>0</v>
      </c>
      <c r="M2001" s="654">
        <v>0</v>
      </c>
      <c r="N2001" s="654">
        <v>0</v>
      </c>
    </row>
    <row r="2002" spans="2:14" x14ac:dyDescent="0.15">
      <c r="B2002"/>
      <c r="F2002" t="s">
        <v>737</v>
      </c>
      <c r="H2002" s="654">
        <v>0</v>
      </c>
      <c r="I2002" s="654">
        <v>0</v>
      </c>
      <c r="J2002" s="654">
        <v>0</v>
      </c>
      <c r="K2002" s="654">
        <v>0</v>
      </c>
      <c r="L2002" s="654">
        <v>0</v>
      </c>
      <c r="M2002" s="654">
        <v>0</v>
      </c>
      <c r="N2002" s="654">
        <v>0</v>
      </c>
    </row>
    <row r="2003" spans="2:14" x14ac:dyDescent="0.15">
      <c r="B2003"/>
      <c r="E2003" t="s">
        <v>773</v>
      </c>
      <c r="H2003" s="654">
        <v>0</v>
      </c>
      <c r="I2003" s="654">
        <v>0</v>
      </c>
      <c r="J2003" s="654">
        <v>0</v>
      </c>
      <c r="K2003" s="654">
        <v>0</v>
      </c>
      <c r="L2003" s="654">
        <v>0</v>
      </c>
      <c r="M2003" s="654">
        <v>0</v>
      </c>
      <c r="N2003" s="654">
        <v>0</v>
      </c>
    </row>
    <row r="2004" spans="2:14" x14ac:dyDescent="0.15">
      <c r="B2004"/>
      <c r="D2004" t="s">
        <v>739</v>
      </c>
      <c r="H2004" s="654">
        <v>0</v>
      </c>
      <c r="I2004" s="654">
        <v>0</v>
      </c>
      <c r="J2004" s="654">
        <v>0</v>
      </c>
      <c r="K2004" s="654">
        <v>0</v>
      </c>
      <c r="L2004" s="654">
        <v>0</v>
      </c>
      <c r="M2004" s="654">
        <v>0</v>
      </c>
      <c r="N2004" s="654">
        <v>0</v>
      </c>
    </row>
    <row r="2005" spans="2:14" x14ac:dyDescent="0.15">
      <c r="B2005"/>
      <c r="D2005" t="s">
        <v>568</v>
      </c>
      <c r="E2005" t="s">
        <v>474</v>
      </c>
      <c r="F2005" t="s">
        <v>631</v>
      </c>
      <c r="G2005" t="s">
        <v>596</v>
      </c>
      <c r="H2005" s="654">
        <v>0</v>
      </c>
      <c r="I2005" s="654">
        <v>0</v>
      </c>
      <c r="J2005" s="654">
        <v>0</v>
      </c>
      <c r="K2005" s="654">
        <v>0</v>
      </c>
      <c r="L2005" s="654">
        <v>0</v>
      </c>
      <c r="M2005" s="654">
        <v>0</v>
      </c>
      <c r="N2005" s="654">
        <v>0</v>
      </c>
    </row>
    <row r="2006" spans="2:14" x14ac:dyDescent="0.15">
      <c r="B2006"/>
      <c r="F2006" t="s">
        <v>737</v>
      </c>
      <c r="H2006" s="654">
        <v>0</v>
      </c>
      <c r="I2006" s="654">
        <v>0</v>
      </c>
      <c r="J2006" s="654">
        <v>0</v>
      </c>
      <c r="K2006" s="654">
        <v>0</v>
      </c>
      <c r="L2006" s="654">
        <v>0</v>
      </c>
      <c r="M2006" s="654">
        <v>0</v>
      </c>
      <c r="N2006" s="654">
        <v>0</v>
      </c>
    </row>
    <row r="2007" spans="2:14" x14ac:dyDescent="0.15">
      <c r="B2007"/>
      <c r="E2007" t="s">
        <v>774</v>
      </c>
      <c r="H2007" s="654">
        <v>0</v>
      </c>
      <c r="I2007" s="654">
        <v>0</v>
      </c>
      <c r="J2007" s="654">
        <v>0</v>
      </c>
      <c r="K2007" s="654">
        <v>0</v>
      </c>
      <c r="L2007" s="654">
        <v>0</v>
      </c>
      <c r="M2007" s="654">
        <v>0</v>
      </c>
      <c r="N2007" s="654">
        <v>0</v>
      </c>
    </row>
    <row r="2008" spans="2:14" x14ac:dyDescent="0.15">
      <c r="B2008"/>
      <c r="D2008" t="s">
        <v>740</v>
      </c>
      <c r="H2008" s="654">
        <v>0</v>
      </c>
      <c r="I2008" s="654">
        <v>0</v>
      </c>
      <c r="J2008" s="654">
        <v>0</v>
      </c>
      <c r="K2008" s="654">
        <v>0</v>
      </c>
      <c r="L2008" s="654">
        <v>0</v>
      </c>
      <c r="M2008" s="654">
        <v>0</v>
      </c>
      <c r="N2008" s="654">
        <v>0</v>
      </c>
    </row>
    <row r="2009" spans="2:14" x14ac:dyDescent="0.15">
      <c r="B2009"/>
      <c r="D2009" t="s">
        <v>582</v>
      </c>
      <c r="E2009" t="s">
        <v>384</v>
      </c>
      <c r="F2009" t="s">
        <v>631</v>
      </c>
      <c r="G2009" t="s">
        <v>596</v>
      </c>
      <c r="H2009" s="654">
        <v>0</v>
      </c>
      <c r="I2009" s="654">
        <v>0</v>
      </c>
      <c r="J2009" s="654">
        <v>0</v>
      </c>
      <c r="K2009" s="654">
        <v>0</v>
      </c>
      <c r="L2009" s="654">
        <v>0</v>
      </c>
      <c r="M2009" s="654">
        <v>0</v>
      </c>
      <c r="N2009" s="654">
        <v>0</v>
      </c>
    </row>
    <row r="2010" spans="2:14" x14ac:dyDescent="0.15">
      <c r="B2010"/>
      <c r="F2010" t="s">
        <v>737</v>
      </c>
      <c r="H2010" s="654">
        <v>0</v>
      </c>
      <c r="I2010" s="654">
        <v>0</v>
      </c>
      <c r="J2010" s="654">
        <v>0</v>
      </c>
      <c r="K2010" s="654">
        <v>0</v>
      </c>
      <c r="L2010" s="654">
        <v>0</v>
      </c>
      <c r="M2010" s="654">
        <v>0</v>
      </c>
      <c r="N2010" s="654">
        <v>0</v>
      </c>
    </row>
    <row r="2011" spans="2:14" x14ac:dyDescent="0.15">
      <c r="B2011"/>
      <c r="E2011" t="s">
        <v>778</v>
      </c>
      <c r="H2011" s="654">
        <v>0</v>
      </c>
      <c r="I2011" s="654">
        <v>0</v>
      </c>
      <c r="J2011" s="654">
        <v>0</v>
      </c>
      <c r="K2011" s="654">
        <v>0</v>
      </c>
      <c r="L2011" s="654">
        <v>0</v>
      </c>
      <c r="M2011" s="654">
        <v>0</v>
      </c>
      <c r="N2011" s="654">
        <v>0</v>
      </c>
    </row>
    <row r="2012" spans="2:14" x14ac:dyDescent="0.15">
      <c r="B2012"/>
      <c r="D2012" t="s">
        <v>743</v>
      </c>
      <c r="H2012" s="654">
        <v>0</v>
      </c>
      <c r="I2012" s="654">
        <v>0</v>
      </c>
      <c r="J2012" s="654">
        <v>0</v>
      </c>
      <c r="K2012" s="654">
        <v>0</v>
      </c>
      <c r="L2012" s="654">
        <v>0</v>
      </c>
      <c r="M2012" s="654">
        <v>0</v>
      </c>
      <c r="N2012" s="654">
        <v>0</v>
      </c>
    </row>
    <row r="2013" spans="2:14" x14ac:dyDescent="0.15">
      <c r="B2013"/>
      <c r="D2013" t="s">
        <v>631</v>
      </c>
      <c r="E2013" t="s">
        <v>381</v>
      </c>
      <c r="F2013" t="s">
        <v>626</v>
      </c>
      <c r="G2013" t="s">
        <v>600</v>
      </c>
      <c r="H2013" s="654">
        <v>98472</v>
      </c>
      <c r="I2013" s="654">
        <v>0</v>
      </c>
      <c r="J2013" s="654">
        <v>98472</v>
      </c>
      <c r="K2013" s="654">
        <v>98472</v>
      </c>
      <c r="L2013" s="654">
        <v>0</v>
      </c>
      <c r="M2013" s="654">
        <v>0</v>
      </c>
      <c r="N2013" s="654">
        <v>0</v>
      </c>
    </row>
    <row r="2014" spans="2:14" x14ac:dyDescent="0.15">
      <c r="B2014"/>
      <c r="F2014" t="s">
        <v>733</v>
      </c>
      <c r="H2014" s="654">
        <v>98472</v>
      </c>
      <c r="I2014" s="654">
        <v>0</v>
      </c>
      <c r="J2014" s="654">
        <v>98472</v>
      </c>
      <c r="K2014" s="654">
        <v>98472</v>
      </c>
      <c r="L2014" s="654">
        <v>0</v>
      </c>
      <c r="M2014" s="654">
        <v>0</v>
      </c>
      <c r="N2014" s="654">
        <v>0</v>
      </c>
    </row>
    <row r="2015" spans="2:14" x14ac:dyDescent="0.15">
      <c r="B2015"/>
      <c r="E2015" t="s">
        <v>776</v>
      </c>
      <c r="H2015" s="654">
        <v>98472</v>
      </c>
      <c r="I2015" s="654">
        <v>0</v>
      </c>
      <c r="J2015" s="654">
        <v>98472</v>
      </c>
      <c r="K2015" s="654">
        <v>98472</v>
      </c>
      <c r="L2015" s="654">
        <v>0</v>
      </c>
      <c r="M2015" s="654">
        <v>0</v>
      </c>
      <c r="N2015" s="654">
        <v>0</v>
      </c>
    </row>
    <row r="2016" spans="2:14" x14ac:dyDescent="0.15">
      <c r="B2016"/>
      <c r="D2016" t="s">
        <v>737</v>
      </c>
      <c r="H2016" s="654">
        <v>98472</v>
      </c>
      <c r="I2016" s="654">
        <v>0</v>
      </c>
      <c r="J2016" s="654">
        <v>98472</v>
      </c>
      <c r="K2016" s="654">
        <v>98472</v>
      </c>
      <c r="L2016" s="654">
        <v>0</v>
      </c>
      <c r="M2016" s="654">
        <v>0</v>
      </c>
      <c r="N2016" s="654">
        <v>0</v>
      </c>
    </row>
    <row r="2017" spans="1:14" x14ac:dyDescent="0.15">
      <c r="B2017"/>
      <c r="D2017" t="s">
        <v>671</v>
      </c>
      <c r="E2017" t="s">
        <v>383</v>
      </c>
      <c r="F2017" t="s">
        <v>626</v>
      </c>
      <c r="G2017" t="s">
        <v>600</v>
      </c>
      <c r="H2017" s="654">
        <v>0</v>
      </c>
      <c r="I2017" s="654">
        <v>0</v>
      </c>
      <c r="J2017" s="654">
        <v>0</v>
      </c>
      <c r="K2017" s="654">
        <v>0</v>
      </c>
      <c r="L2017" s="654">
        <v>0</v>
      </c>
      <c r="M2017" s="654">
        <v>0</v>
      </c>
      <c r="N2017" s="654">
        <v>0</v>
      </c>
    </row>
    <row r="2018" spans="1:14" x14ac:dyDescent="0.15">
      <c r="B2018"/>
      <c r="F2018" t="s">
        <v>733</v>
      </c>
      <c r="H2018" s="654">
        <v>0</v>
      </c>
      <c r="I2018" s="654">
        <v>0</v>
      </c>
      <c r="J2018" s="654">
        <v>0</v>
      </c>
      <c r="K2018" s="654">
        <v>0</v>
      </c>
      <c r="L2018" s="654">
        <v>0</v>
      </c>
      <c r="M2018" s="654">
        <v>0</v>
      </c>
      <c r="N2018" s="654">
        <v>0</v>
      </c>
    </row>
    <row r="2019" spans="1:14" x14ac:dyDescent="0.15">
      <c r="B2019"/>
      <c r="F2019" t="s">
        <v>627</v>
      </c>
      <c r="G2019" t="s">
        <v>599</v>
      </c>
      <c r="H2019" s="654">
        <v>28635</v>
      </c>
      <c r="I2019" s="654">
        <v>0</v>
      </c>
      <c r="J2019" s="654">
        <v>28635</v>
      </c>
      <c r="K2019" s="654">
        <v>28635</v>
      </c>
      <c r="L2019" s="654">
        <v>0</v>
      </c>
      <c r="M2019" s="654">
        <v>0</v>
      </c>
      <c r="N2019" s="654">
        <v>0</v>
      </c>
    </row>
    <row r="2020" spans="1:14" x14ac:dyDescent="0.15">
      <c r="B2020"/>
      <c r="F2020" t="s">
        <v>734</v>
      </c>
      <c r="H2020" s="654">
        <v>28635</v>
      </c>
      <c r="I2020" s="654">
        <v>0</v>
      </c>
      <c r="J2020" s="654">
        <v>28635</v>
      </c>
      <c r="K2020" s="654">
        <v>28635</v>
      </c>
      <c r="L2020" s="654">
        <v>0</v>
      </c>
      <c r="M2020" s="654">
        <v>0</v>
      </c>
      <c r="N2020" s="654">
        <v>0</v>
      </c>
    </row>
    <row r="2021" spans="1:14" x14ac:dyDescent="0.15">
      <c r="B2021"/>
      <c r="E2021" t="s">
        <v>777</v>
      </c>
      <c r="H2021" s="654">
        <v>28635</v>
      </c>
      <c r="I2021" s="654">
        <v>0</v>
      </c>
      <c r="J2021" s="654">
        <v>28635</v>
      </c>
      <c r="K2021" s="654">
        <v>28635</v>
      </c>
      <c r="L2021" s="654">
        <v>0</v>
      </c>
      <c r="M2021" s="654">
        <v>0</v>
      </c>
      <c r="N2021" s="654">
        <v>0</v>
      </c>
    </row>
    <row r="2022" spans="1:14" x14ac:dyDescent="0.15">
      <c r="B2022"/>
      <c r="D2022" t="s">
        <v>742</v>
      </c>
      <c r="H2022" s="654">
        <v>28635</v>
      </c>
      <c r="I2022" s="654">
        <v>0</v>
      </c>
      <c r="J2022" s="654">
        <v>28635</v>
      </c>
      <c r="K2022" s="654">
        <v>28635</v>
      </c>
      <c r="L2022" s="654">
        <v>0</v>
      </c>
      <c r="M2022" s="654">
        <v>0</v>
      </c>
      <c r="N2022" s="654">
        <v>0</v>
      </c>
    </row>
    <row r="2023" spans="1:14" x14ac:dyDescent="0.15">
      <c r="B2023"/>
      <c r="C2023" t="s">
        <v>854</v>
      </c>
      <c r="H2023" s="654">
        <v>2653657</v>
      </c>
      <c r="I2023" s="654">
        <v>78393</v>
      </c>
      <c r="J2023" s="654">
        <v>2732050</v>
      </c>
      <c r="K2023" s="654">
        <v>2732050</v>
      </c>
      <c r="L2023" s="654">
        <v>0</v>
      </c>
      <c r="M2023" s="654">
        <v>0</v>
      </c>
      <c r="N2023" s="654">
        <v>0</v>
      </c>
    </row>
    <row r="2024" spans="1:14" x14ac:dyDescent="0.15">
      <c r="A2024" s="653" t="s">
        <v>990</v>
      </c>
      <c r="B2024"/>
      <c r="H2024" s="654">
        <v>35789903</v>
      </c>
      <c r="I2024" s="654">
        <v>-337711</v>
      </c>
      <c r="J2024" s="654">
        <v>35452192</v>
      </c>
      <c r="K2024" s="654">
        <v>35452192</v>
      </c>
      <c r="L2024" s="654">
        <v>0</v>
      </c>
      <c r="M2024" s="654">
        <v>377384</v>
      </c>
      <c r="N2024" s="654">
        <v>3830589</v>
      </c>
    </row>
    <row r="2025" spans="1:14" x14ac:dyDescent="0.15">
      <c r="A2025" s="653">
        <v>43221</v>
      </c>
      <c r="B2025" t="s">
        <v>626</v>
      </c>
      <c r="C2025" t="s">
        <v>849</v>
      </c>
      <c r="D2025" t="s">
        <v>626</v>
      </c>
      <c r="E2025" t="s">
        <v>378</v>
      </c>
      <c r="F2025" t="s">
        <v>626</v>
      </c>
      <c r="G2025" t="s">
        <v>600</v>
      </c>
      <c r="H2025" s="654">
        <v>8193772</v>
      </c>
      <c r="I2025" s="654">
        <v>-16841</v>
      </c>
      <c r="J2025" s="654">
        <v>8176931</v>
      </c>
      <c r="K2025" s="654">
        <v>8176931</v>
      </c>
      <c r="L2025" s="654">
        <v>0</v>
      </c>
      <c r="M2025" s="654">
        <v>194017</v>
      </c>
      <c r="N2025" s="654">
        <v>1381326</v>
      </c>
    </row>
    <row r="2026" spans="1:14" x14ac:dyDescent="0.15">
      <c r="B2026"/>
      <c r="F2026" t="s">
        <v>733</v>
      </c>
      <c r="H2026" s="654">
        <v>8193772</v>
      </c>
      <c r="I2026" s="654">
        <v>-16841</v>
      </c>
      <c r="J2026" s="654">
        <v>8176931</v>
      </c>
      <c r="K2026" s="654">
        <v>8176931</v>
      </c>
      <c r="L2026" s="654">
        <v>0</v>
      </c>
      <c r="M2026" s="654">
        <v>194017</v>
      </c>
      <c r="N2026" s="654">
        <v>1381326</v>
      </c>
    </row>
    <row r="2027" spans="1:14" x14ac:dyDescent="0.15">
      <c r="B2027"/>
      <c r="F2027" t="s">
        <v>627</v>
      </c>
      <c r="G2027" t="s">
        <v>599</v>
      </c>
      <c r="H2027" s="654">
        <v>1249320</v>
      </c>
      <c r="I2027" s="654">
        <v>0</v>
      </c>
      <c r="J2027" s="654">
        <v>1249320</v>
      </c>
      <c r="K2027" s="654">
        <v>1249320</v>
      </c>
      <c r="L2027" s="654">
        <v>0</v>
      </c>
      <c r="M2027" s="654">
        <v>0</v>
      </c>
      <c r="N2027" s="654">
        <v>295743</v>
      </c>
    </row>
    <row r="2028" spans="1:14" x14ac:dyDescent="0.15">
      <c r="B2028"/>
      <c r="F2028" t="s">
        <v>734</v>
      </c>
      <c r="H2028" s="654">
        <v>1249320</v>
      </c>
      <c r="I2028" s="654">
        <v>0</v>
      </c>
      <c r="J2028" s="654">
        <v>1249320</v>
      </c>
      <c r="K2028" s="654">
        <v>1249320</v>
      </c>
      <c r="L2028" s="654">
        <v>0</v>
      </c>
      <c r="M2028" s="654">
        <v>0</v>
      </c>
      <c r="N2028" s="654">
        <v>295743</v>
      </c>
    </row>
    <row r="2029" spans="1:14" x14ac:dyDescent="0.15">
      <c r="B2029"/>
      <c r="F2029" t="s">
        <v>628</v>
      </c>
      <c r="G2029" t="s">
        <v>598</v>
      </c>
      <c r="H2029" s="654">
        <v>644331</v>
      </c>
      <c r="I2029" s="654">
        <v>0</v>
      </c>
      <c r="J2029" s="654">
        <v>644331</v>
      </c>
      <c r="K2029" s="654">
        <v>644331</v>
      </c>
      <c r="L2029" s="654">
        <v>0</v>
      </c>
      <c r="M2029" s="654">
        <v>11267</v>
      </c>
      <c r="N2029" s="654">
        <v>0</v>
      </c>
    </row>
    <row r="2030" spans="1:14" x14ac:dyDescent="0.15">
      <c r="B2030"/>
      <c r="F2030" t="s">
        <v>735</v>
      </c>
      <c r="H2030" s="654">
        <v>644331</v>
      </c>
      <c r="I2030" s="654">
        <v>0</v>
      </c>
      <c r="J2030" s="654">
        <v>644331</v>
      </c>
      <c r="K2030" s="654">
        <v>644331</v>
      </c>
      <c r="L2030" s="654">
        <v>0</v>
      </c>
      <c r="M2030" s="654">
        <v>11267</v>
      </c>
      <c r="N2030" s="654">
        <v>0</v>
      </c>
    </row>
    <row r="2031" spans="1:14" x14ac:dyDescent="0.15">
      <c r="B2031"/>
      <c r="E2031" t="s">
        <v>769</v>
      </c>
      <c r="H2031" s="654">
        <v>10087423</v>
      </c>
      <c r="I2031" s="654">
        <v>-16841</v>
      </c>
      <c r="J2031" s="654">
        <v>10070582</v>
      </c>
      <c r="K2031" s="654">
        <v>10070582</v>
      </c>
      <c r="L2031" s="654">
        <v>0</v>
      </c>
      <c r="M2031" s="654">
        <v>205284</v>
      </c>
      <c r="N2031" s="654">
        <v>1677069</v>
      </c>
    </row>
    <row r="2032" spans="1:14" x14ac:dyDescent="0.15">
      <c r="B2032"/>
      <c r="D2032" t="s">
        <v>733</v>
      </c>
      <c r="H2032" s="654">
        <v>10087423</v>
      </c>
      <c r="I2032" s="654">
        <v>-16841</v>
      </c>
      <c r="J2032" s="654">
        <v>10070582</v>
      </c>
      <c r="K2032" s="654">
        <v>10070582</v>
      </c>
      <c r="L2032" s="654">
        <v>0</v>
      </c>
      <c r="M2032" s="654">
        <v>205284</v>
      </c>
      <c r="N2032" s="654">
        <v>1677069</v>
      </c>
    </row>
    <row r="2033" spans="2:14" x14ac:dyDescent="0.15">
      <c r="B2033"/>
      <c r="D2033" t="s">
        <v>627</v>
      </c>
      <c r="E2033" t="s">
        <v>379</v>
      </c>
      <c r="F2033" t="s">
        <v>626</v>
      </c>
      <c r="G2033" t="s">
        <v>600</v>
      </c>
      <c r="H2033" s="654">
        <v>4790167</v>
      </c>
      <c r="I2033" s="654">
        <v>-72422</v>
      </c>
      <c r="J2033" s="654">
        <v>4717745</v>
      </c>
      <c r="K2033" s="654">
        <v>4717745</v>
      </c>
      <c r="L2033" s="654">
        <v>0</v>
      </c>
      <c r="M2033" s="654">
        <v>0</v>
      </c>
      <c r="N2033" s="654">
        <v>518576</v>
      </c>
    </row>
    <row r="2034" spans="2:14" x14ac:dyDescent="0.15">
      <c r="B2034"/>
      <c r="F2034" t="s">
        <v>733</v>
      </c>
      <c r="H2034" s="654">
        <v>4790167</v>
      </c>
      <c r="I2034" s="654">
        <v>-72422</v>
      </c>
      <c r="J2034" s="654">
        <v>4717745</v>
      </c>
      <c r="K2034" s="654">
        <v>4717745</v>
      </c>
      <c r="L2034" s="654">
        <v>0</v>
      </c>
      <c r="M2034" s="654">
        <v>0</v>
      </c>
      <c r="N2034" s="654">
        <v>518576</v>
      </c>
    </row>
    <row r="2035" spans="2:14" x14ac:dyDescent="0.15">
      <c r="B2035"/>
      <c r="F2035" t="s">
        <v>627</v>
      </c>
      <c r="G2035" t="s">
        <v>599</v>
      </c>
      <c r="H2035" s="654">
        <v>972966</v>
      </c>
      <c r="I2035" s="654">
        <v>-19511</v>
      </c>
      <c r="J2035" s="654">
        <v>953455</v>
      </c>
      <c r="K2035" s="654">
        <v>953455</v>
      </c>
      <c r="L2035" s="654">
        <v>0</v>
      </c>
      <c r="M2035" s="654">
        <v>0</v>
      </c>
      <c r="N2035" s="654">
        <v>233805</v>
      </c>
    </row>
    <row r="2036" spans="2:14" x14ac:dyDescent="0.15">
      <c r="B2036"/>
      <c r="F2036" t="s">
        <v>734</v>
      </c>
      <c r="H2036" s="654">
        <v>972966</v>
      </c>
      <c r="I2036" s="654">
        <v>-19511</v>
      </c>
      <c r="J2036" s="654">
        <v>953455</v>
      </c>
      <c r="K2036" s="654">
        <v>953455</v>
      </c>
      <c r="L2036" s="654">
        <v>0</v>
      </c>
      <c r="M2036" s="654">
        <v>0</v>
      </c>
      <c r="N2036" s="654">
        <v>233805</v>
      </c>
    </row>
    <row r="2037" spans="2:14" x14ac:dyDescent="0.15">
      <c r="B2037"/>
      <c r="F2037" t="s">
        <v>628</v>
      </c>
      <c r="G2037" t="s">
        <v>598</v>
      </c>
      <c r="H2037" s="654">
        <v>465738</v>
      </c>
      <c r="I2037" s="654">
        <v>-18431</v>
      </c>
      <c r="J2037" s="654">
        <v>447307</v>
      </c>
      <c r="K2037" s="654">
        <v>447307</v>
      </c>
      <c r="L2037" s="654">
        <v>0</v>
      </c>
      <c r="M2037" s="654">
        <v>0</v>
      </c>
      <c r="N2037" s="654">
        <v>0</v>
      </c>
    </row>
    <row r="2038" spans="2:14" x14ac:dyDescent="0.15">
      <c r="B2038"/>
      <c r="F2038" t="s">
        <v>735</v>
      </c>
      <c r="H2038" s="654">
        <v>465738</v>
      </c>
      <c r="I2038" s="654">
        <v>-18431</v>
      </c>
      <c r="J2038" s="654">
        <v>447307</v>
      </c>
      <c r="K2038" s="654">
        <v>447307</v>
      </c>
      <c r="L2038" s="654">
        <v>0</v>
      </c>
      <c r="M2038" s="654">
        <v>0</v>
      </c>
      <c r="N2038" s="654">
        <v>0</v>
      </c>
    </row>
    <row r="2039" spans="2:14" x14ac:dyDescent="0.15">
      <c r="B2039"/>
      <c r="E2039" t="s">
        <v>770</v>
      </c>
      <c r="H2039" s="654">
        <v>6228871</v>
      </c>
      <c r="I2039" s="654">
        <v>-110364</v>
      </c>
      <c r="J2039" s="654">
        <v>6118507</v>
      </c>
      <c r="K2039" s="654">
        <v>6118507</v>
      </c>
      <c r="L2039" s="654">
        <v>0</v>
      </c>
      <c r="M2039" s="654">
        <v>0</v>
      </c>
      <c r="N2039" s="654">
        <v>752381</v>
      </c>
    </row>
    <row r="2040" spans="2:14" x14ac:dyDescent="0.15">
      <c r="B2040"/>
      <c r="D2040" t="s">
        <v>734</v>
      </c>
      <c r="H2040" s="654">
        <v>6228871</v>
      </c>
      <c r="I2040" s="654">
        <v>-110364</v>
      </c>
      <c r="J2040" s="654">
        <v>6118507</v>
      </c>
      <c r="K2040" s="654">
        <v>6118507</v>
      </c>
      <c r="L2040" s="654">
        <v>0</v>
      </c>
      <c r="M2040" s="654">
        <v>0</v>
      </c>
      <c r="N2040" s="654">
        <v>752381</v>
      </c>
    </row>
    <row r="2041" spans="2:14" x14ac:dyDescent="0.15">
      <c r="B2041"/>
      <c r="D2041" t="s">
        <v>628</v>
      </c>
      <c r="E2041" t="s">
        <v>380</v>
      </c>
      <c r="F2041" t="s">
        <v>626</v>
      </c>
      <c r="G2041" t="s">
        <v>600</v>
      </c>
      <c r="H2041" s="654">
        <v>4299495</v>
      </c>
      <c r="I2041" s="654">
        <v>-142589</v>
      </c>
      <c r="J2041" s="654">
        <v>4156906</v>
      </c>
      <c r="K2041" s="654">
        <v>4156906</v>
      </c>
      <c r="L2041" s="654">
        <v>0</v>
      </c>
      <c r="M2041" s="654">
        <v>8133</v>
      </c>
      <c r="N2041" s="654">
        <v>468481</v>
      </c>
    </row>
    <row r="2042" spans="2:14" x14ac:dyDescent="0.15">
      <c r="B2042"/>
      <c r="F2042" t="s">
        <v>733</v>
      </c>
      <c r="H2042" s="654">
        <v>4299495</v>
      </c>
      <c r="I2042" s="654">
        <v>-142589</v>
      </c>
      <c r="J2042" s="654">
        <v>4156906</v>
      </c>
      <c r="K2042" s="654">
        <v>4156906</v>
      </c>
      <c r="L2042" s="654">
        <v>0</v>
      </c>
      <c r="M2042" s="654">
        <v>8133</v>
      </c>
      <c r="N2042" s="654">
        <v>468481</v>
      </c>
    </row>
    <row r="2043" spans="2:14" x14ac:dyDescent="0.15">
      <c r="B2043"/>
      <c r="F2043" t="s">
        <v>627</v>
      </c>
      <c r="G2043" t="s">
        <v>599</v>
      </c>
      <c r="H2043" s="654">
        <v>1488856</v>
      </c>
      <c r="I2043" s="654">
        <v>-20862</v>
      </c>
      <c r="J2043" s="654">
        <v>1467994</v>
      </c>
      <c r="K2043" s="654">
        <v>1467994</v>
      </c>
      <c r="L2043" s="654">
        <v>0</v>
      </c>
      <c r="M2043" s="654">
        <v>0</v>
      </c>
      <c r="N2043" s="654">
        <v>341347</v>
      </c>
    </row>
    <row r="2044" spans="2:14" x14ac:dyDescent="0.15">
      <c r="B2044"/>
      <c r="F2044" t="s">
        <v>734</v>
      </c>
      <c r="H2044" s="654">
        <v>1488856</v>
      </c>
      <c r="I2044" s="654">
        <v>-20862</v>
      </c>
      <c r="J2044" s="654">
        <v>1467994</v>
      </c>
      <c r="K2044" s="654">
        <v>1467994</v>
      </c>
      <c r="L2044" s="654">
        <v>0</v>
      </c>
      <c r="M2044" s="654">
        <v>0</v>
      </c>
      <c r="N2044" s="654">
        <v>341347</v>
      </c>
    </row>
    <row r="2045" spans="2:14" x14ac:dyDescent="0.15">
      <c r="B2045"/>
      <c r="E2045" t="s">
        <v>771</v>
      </c>
      <c r="H2045" s="654">
        <v>5788351</v>
      </c>
      <c r="I2045" s="654">
        <v>-163451</v>
      </c>
      <c r="J2045" s="654">
        <v>5624900</v>
      </c>
      <c r="K2045" s="654">
        <v>5624900</v>
      </c>
      <c r="L2045" s="654">
        <v>0</v>
      </c>
      <c r="M2045" s="654">
        <v>8133</v>
      </c>
      <c r="N2045" s="654">
        <v>809828</v>
      </c>
    </row>
    <row r="2046" spans="2:14" x14ac:dyDescent="0.15">
      <c r="B2046"/>
      <c r="D2046" t="s">
        <v>735</v>
      </c>
      <c r="H2046" s="654">
        <v>5788351</v>
      </c>
      <c r="I2046" s="654">
        <v>-163451</v>
      </c>
      <c r="J2046" s="654">
        <v>5624900</v>
      </c>
      <c r="K2046" s="654">
        <v>5624900</v>
      </c>
      <c r="L2046" s="654">
        <v>0</v>
      </c>
      <c r="M2046" s="654">
        <v>8133</v>
      </c>
      <c r="N2046" s="654">
        <v>809828</v>
      </c>
    </row>
    <row r="2047" spans="2:14" x14ac:dyDescent="0.15">
      <c r="B2047"/>
      <c r="D2047" t="s">
        <v>629</v>
      </c>
      <c r="E2047" t="s">
        <v>676</v>
      </c>
      <c r="F2047" t="s">
        <v>629</v>
      </c>
      <c r="G2047" t="s">
        <v>601</v>
      </c>
      <c r="H2047" s="654">
        <v>4098308</v>
      </c>
      <c r="I2047" s="654">
        <v>0</v>
      </c>
      <c r="J2047" s="654">
        <v>4098308</v>
      </c>
      <c r="K2047" s="654">
        <v>4098308</v>
      </c>
      <c r="L2047" s="654">
        <v>0</v>
      </c>
      <c r="M2047" s="654">
        <v>0</v>
      </c>
      <c r="N2047" s="654">
        <v>231845</v>
      </c>
    </row>
    <row r="2048" spans="2:14" x14ac:dyDescent="0.15">
      <c r="B2048"/>
      <c r="F2048" t="s">
        <v>736</v>
      </c>
      <c r="H2048" s="654">
        <v>4098308</v>
      </c>
      <c r="I2048" s="654">
        <v>0</v>
      </c>
      <c r="J2048" s="654">
        <v>4098308</v>
      </c>
      <c r="K2048" s="654">
        <v>4098308</v>
      </c>
      <c r="L2048" s="654">
        <v>0</v>
      </c>
      <c r="M2048" s="654">
        <v>0</v>
      </c>
      <c r="N2048" s="654">
        <v>231845</v>
      </c>
    </row>
    <row r="2049" spans="2:14" x14ac:dyDescent="0.15">
      <c r="B2049"/>
      <c r="E2049" t="s">
        <v>772</v>
      </c>
      <c r="H2049" s="654">
        <v>4098308</v>
      </c>
      <c r="I2049" s="654">
        <v>0</v>
      </c>
      <c r="J2049" s="654">
        <v>4098308</v>
      </c>
      <c r="K2049" s="654">
        <v>4098308</v>
      </c>
      <c r="L2049" s="654">
        <v>0</v>
      </c>
      <c r="M2049" s="654">
        <v>0</v>
      </c>
      <c r="N2049" s="654">
        <v>231845</v>
      </c>
    </row>
    <row r="2050" spans="2:14" x14ac:dyDescent="0.15">
      <c r="B2050"/>
      <c r="D2050" t="s">
        <v>736</v>
      </c>
      <c r="H2050" s="654">
        <v>4098308</v>
      </c>
      <c r="I2050" s="654">
        <v>0</v>
      </c>
      <c r="J2050" s="654">
        <v>4098308</v>
      </c>
      <c r="K2050" s="654">
        <v>4098308</v>
      </c>
      <c r="L2050" s="654">
        <v>0</v>
      </c>
      <c r="M2050" s="654">
        <v>0</v>
      </c>
      <c r="N2050" s="654">
        <v>231845</v>
      </c>
    </row>
    <row r="2051" spans="2:14" x14ac:dyDescent="0.15">
      <c r="B2051"/>
      <c r="D2051" t="s">
        <v>567</v>
      </c>
      <c r="E2051" t="s">
        <v>473</v>
      </c>
      <c r="F2051" t="s">
        <v>631</v>
      </c>
      <c r="G2051" t="s">
        <v>596</v>
      </c>
      <c r="H2051" s="654">
        <v>802372</v>
      </c>
      <c r="I2051" s="654">
        <v>0</v>
      </c>
      <c r="J2051" s="654">
        <v>802372</v>
      </c>
      <c r="K2051" s="654">
        <v>802372</v>
      </c>
      <c r="L2051" s="654">
        <v>0</v>
      </c>
      <c r="M2051" s="654">
        <v>0</v>
      </c>
      <c r="N2051" s="654">
        <v>283493</v>
      </c>
    </row>
    <row r="2052" spans="2:14" x14ac:dyDescent="0.15">
      <c r="B2052"/>
      <c r="F2052" t="s">
        <v>737</v>
      </c>
      <c r="H2052" s="654">
        <v>802372</v>
      </c>
      <c r="I2052" s="654">
        <v>0</v>
      </c>
      <c r="J2052" s="654">
        <v>802372</v>
      </c>
      <c r="K2052" s="654">
        <v>802372</v>
      </c>
      <c r="L2052" s="654">
        <v>0</v>
      </c>
      <c r="M2052" s="654">
        <v>0</v>
      </c>
      <c r="N2052" s="654">
        <v>283493</v>
      </c>
    </row>
    <row r="2053" spans="2:14" x14ac:dyDescent="0.15">
      <c r="B2053"/>
      <c r="E2053" t="s">
        <v>773</v>
      </c>
      <c r="H2053" s="654">
        <v>802372</v>
      </c>
      <c r="I2053" s="654">
        <v>0</v>
      </c>
      <c r="J2053" s="654">
        <v>802372</v>
      </c>
      <c r="K2053" s="654">
        <v>802372</v>
      </c>
      <c r="L2053" s="654">
        <v>0</v>
      </c>
      <c r="M2053" s="654">
        <v>0</v>
      </c>
      <c r="N2053" s="654">
        <v>283493</v>
      </c>
    </row>
    <row r="2054" spans="2:14" x14ac:dyDescent="0.15">
      <c r="B2054"/>
      <c r="D2054" t="s">
        <v>739</v>
      </c>
      <c r="H2054" s="654">
        <v>802372</v>
      </c>
      <c r="I2054" s="654">
        <v>0</v>
      </c>
      <c r="J2054" s="654">
        <v>802372</v>
      </c>
      <c r="K2054" s="654">
        <v>802372</v>
      </c>
      <c r="L2054" s="654">
        <v>0</v>
      </c>
      <c r="M2054" s="654">
        <v>0</v>
      </c>
      <c r="N2054" s="654">
        <v>283493</v>
      </c>
    </row>
    <row r="2055" spans="2:14" x14ac:dyDescent="0.15">
      <c r="B2055"/>
      <c r="D2055" t="s">
        <v>568</v>
      </c>
      <c r="E2055" t="s">
        <v>474</v>
      </c>
      <c r="F2055" t="s">
        <v>631</v>
      </c>
      <c r="G2055" t="s">
        <v>596</v>
      </c>
      <c r="H2055" s="654">
        <v>1007268</v>
      </c>
      <c r="I2055" s="654">
        <v>0</v>
      </c>
      <c r="J2055" s="654">
        <v>1007268</v>
      </c>
      <c r="K2055" s="654">
        <v>1007268</v>
      </c>
      <c r="L2055" s="654">
        <v>0</v>
      </c>
      <c r="M2055" s="654">
        <v>0</v>
      </c>
      <c r="N2055" s="654">
        <v>0</v>
      </c>
    </row>
    <row r="2056" spans="2:14" x14ac:dyDescent="0.15">
      <c r="B2056"/>
      <c r="F2056" t="s">
        <v>737</v>
      </c>
      <c r="H2056" s="654">
        <v>1007268</v>
      </c>
      <c r="I2056" s="654">
        <v>0</v>
      </c>
      <c r="J2056" s="654">
        <v>1007268</v>
      </c>
      <c r="K2056" s="654">
        <v>1007268</v>
      </c>
      <c r="L2056" s="654">
        <v>0</v>
      </c>
      <c r="M2056" s="654">
        <v>0</v>
      </c>
      <c r="N2056" s="654">
        <v>0</v>
      </c>
    </row>
    <row r="2057" spans="2:14" x14ac:dyDescent="0.15">
      <c r="B2057"/>
      <c r="E2057" t="s">
        <v>774</v>
      </c>
      <c r="H2057" s="654">
        <v>1007268</v>
      </c>
      <c r="I2057" s="654">
        <v>0</v>
      </c>
      <c r="J2057" s="654">
        <v>1007268</v>
      </c>
      <c r="K2057" s="654">
        <v>1007268</v>
      </c>
      <c r="L2057" s="654">
        <v>0</v>
      </c>
      <c r="M2057" s="654">
        <v>0</v>
      </c>
      <c r="N2057" s="654">
        <v>0</v>
      </c>
    </row>
    <row r="2058" spans="2:14" x14ac:dyDescent="0.15">
      <c r="B2058"/>
      <c r="D2058" t="s">
        <v>740</v>
      </c>
      <c r="H2058" s="654">
        <v>1007268</v>
      </c>
      <c r="I2058" s="654">
        <v>0</v>
      </c>
      <c r="J2058" s="654">
        <v>1007268</v>
      </c>
      <c r="K2058" s="654">
        <v>1007268</v>
      </c>
      <c r="L2058" s="654">
        <v>0</v>
      </c>
      <c r="M2058" s="654">
        <v>0</v>
      </c>
      <c r="N2058" s="654">
        <v>0</v>
      </c>
    </row>
    <row r="2059" spans="2:14" x14ac:dyDescent="0.15">
      <c r="B2059"/>
      <c r="D2059" t="s">
        <v>582</v>
      </c>
      <c r="E2059" t="s">
        <v>384</v>
      </c>
      <c r="F2059" t="s">
        <v>631</v>
      </c>
      <c r="G2059" t="s">
        <v>596</v>
      </c>
      <c r="H2059" s="654">
        <v>2474409</v>
      </c>
      <c r="I2059" s="654">
        <v>0</v>
      </c>
      <c r="J2059" s="654">
        <v>2474409</v>
      </c>
      <c r="K2059" s="654">
        <v>2474409</v>
      </c>
      <c r="L2059" s="654">
        <v>0</v>
      </c>
      <c r="M2059" s="654">
        <v>0</v>
      </c>
      <c r="N2059" s="654">
        <v>0</v>
      </c>
    </row>
    <row r="2060" spans="2:14" x14ac:dyDescent="0.15">
      <c r="B2060"/>
      <c r="F2060" t="s">
        <v>737</v>
      </c>
      <c r="H2060" s="654">
        <v>2474409</v>
      </c>
      <c r="I2060" s="654">
        <v>0</v>
      </c>
      <c r="J2060" s="654">
        <v>2474409</v>
      </c>
      <c r="K2060" s="654">
        <v>2474409</v>
      </c>
      <c r="L2060" s="654">
        <v>0</v>
      </c>
      <c r="M2060" s="654">
        <v>0</v>
      </c>
      <c r="N2060" s="654">
        <v>0</v>
      </c>
    </row>
    <row r="2061" spans="2:14" x14ac:dyDescent="0.15">
      <c r="B2061"/>
      <c r="E2061" t="s">
        <v>778</v>
      </c>
      <c r="H2061" s="654">
        <v>2474409</v>
      </c>
      <c r="I2061" s="654">
        <v>0</v>
      </c>
      <c r="J2061" s="654">
        <v>2474409</v>
      </c>
      <c r="K2061" s="654">
        <v>2474409</v>
      </c>
      <c r="L2061" s="654">
        <v>0</v>
      </c>
      <c r="M2061" s="654">
        <v>0</v>
      </c>
      <c r="N2061" s="654">
        <v>0</v>
      </c>
    </row>
    <row r="2062" spans="2:14" x14ac:dyDescent="0.15">
      <c r="B2062"/>
      <c r="D2062" t="s">
        <v>743</v>
      </c>
      <c r="H2062" s="654">
        <v>2474409</v>
      </c>
      <c r="I2062" s="654">
        <v>0</v>
      </c>
      <c r="J2062" s="654">
        <v>2474409</v>
      </c>
      <c r="K2062" s="654">
        <v>2474409</v>
      </c>
      <c r="L2062" s="654">
        <v>0</v>
      </c>
      <c r="M2062" s="654">
        <v>0</v>
      </c>
      <c r="N2062" s="654">
        <v>0</v>
      </c>
    </row>
    <row r="2063" spans="2:14" x14ac:dyDescent="0.15">
      <c r="B2063"/>
      <c r="D2063" t="s">
        <v>631</v>
      </c>
      <c r="E2063" t="s">
        <v>381</v>
      </c>
      <c r="F2063" t="s">
        <v>626</v>
      </c>
      <c r="G2063" t="s">
        <v>600</v>
      </c>
      <c r="H2063" s="654">
        <v>2293370</v>
      </c>
      <c r="I2063" s="654">
        <v>0</v>
      </c>
      <c r="J2063" s="654">
        <v>2293370</v>
      </c>
      <c r="K2063" s="654">
        <v>2293370</v>
      </c>
      <c r="L2063" s="654">
        <v>0</v>
      </c>
      <c r="M2063" s="654">
        <v>0</v>
      </c>
      <c r="N2063" s="654">
        <v>0</v>
      </c>
    </row>
    <row r="2064" spans="2:14" x14ac:dyDescent="0.15">
      <c r="B2064"/>
      <c r="F2064" t="s">
        <v>733</v>
      </c>
      <c r="H2064" s="654">
        <v>2293370</v>
      </c>
      <c r="I2064" s="654">
        <v>0</v>
      </c>
      <c r="J2064" s="654">
        <v>2293370</v>
      </c>
      <c r="K2064" s="654">
        <v>2293370</v>
      </c>
      <c r="L2064" s="654">
        <v>0</v>
      </c>
      <c r="M2064" s="654">
        <v>0</v>
      </c>
      <c r="N2064" s="654">
        <v>0</v>
      </c>
    </row>
    <row r="2065" spans="2:14" x14ac:dyDescent="0.15">
      <c r="B2065"/>
      <c r="E2065" t="s">
        <v>776</v>
      </c>
      <c r="H2065" s="654">
        <v>2293370</v>
      </c>
      <c r="I2065" s="654">
        <v>0</v>
      </c>
      <c r="J2065" s="654">
        <v>2293370</v>
      </c>
      <c r="K2065" s="654">
        <v>2293370</v>
      </c>
      <c r="L2065" s="654">
        <v>0</v>
      </c>
      <c r="M2065" s="654">
        <v>0</v>
      </c>
      <c r="N2065" s="654">
        <v>0</v>
      </c>
    </row>
    <row r="2066" spans="2:14" x14ac:dyDescent="0.15">
      <c r="B2066"/>
      <c r="D2066" t="s">
        <v>737</v>
      </c>
      <c r="H2066" s="654">
        <v>2293370</v>
      </c>
      <c r="I2066" s="654">
        <v>0</v>
      </c>
      <c r="J2066" s="654">
        <v>2293370</v>
      </c>
      <c r="K2066" s="654">
        <v>2293370</v>
      </c>
      <c r="L2066" s="654">
        <v>0</v>
      </c>
      <c r="M2066" s="654">
        <v>0</v>
      </c>
      <c r="N2066" s="654">
        <v>0</v>
      </c>
    </row>
    <row r="2067" spans="2:14" x14ac:dyDescent="0.15">
      <c r="B2067"/>
      <c r="D2067" t="s">
        <v>671</v>
      </c>
      <c r="E2067" t="s">
        <v>383</v>
      </c>
      <c r="F2067" t="s">
        <v>626</v>
      </c>
      <c r="G2067" t="s">
        <v>600</v>
      </c>
      <c r="H2067" s="654">
        <v>864418</v>
      </c>
      <c r="I2067" s="654">
        <v>0</v>
      </c>
      <c r="J2067" s="654">
        <v>864418</v>
      </c>
      <c r="K2067" s="654">
        <v>864418</v>
      </c>
      <c r="L2067" s="654">
        <v>0</v>
      </c>
      <c r="M2067" s="654">
        <v>26209</v>
      </c>
      <c r="N2067" s="654">
        <v>0</v>
      </c>
    </row>
    <row r="2068" spans="2:14" x14ac:dyDescent="0.15">
      <c r="B2068"/>
      <c r="F2068" t="s">
        <v>733</v>
      </c>
      <c r="H2068" s="654">
        <v>864418</v>
      </c>
      <c r="I2068" s="654">
        <v>0</v>
      </c>
      <c r="J2068" s="654">
        <v>864418</v>
      </c>
      <c r="K2068" s="654">
        <v>864418</v>
      </c>
      <c r="L2068" s="654">
        <v>0</v>
      </c>
      <c r="M2068" s="654">
        <v>26209</v>
      </c>
      <c r="N2068" s="654">
        <v>0</v>
      </c>
    </row>
    <row r="2069" spans="2:14" x14ac:dyDescent="0.15">
      <c r="B2069"/>
      <c r="F2069" t="s">
        <v>627</v>
      </c>
      <c r="G2069" t="s">
        <v>599</v>
      </c>
      <c r="H2069" s="654">
        <v>50890</v>
      </c>
      <c r="I2069" s="654">
        <v>0</v>
      </c>
      <c r="J2069" s="654">
        <v>50890</v>
      </c>
      <c r="K2069" s="654">
        <v>50890</v>
      </c>
      <c r="L2069" s="654">
        <v>0</v>
      </c>
      <c r="M2069" s="654">
        <v>0</v>
      </c>
      <c r="N2069" s="654">
        <v>0</v>
      </c>
    </row>
    <row r="2070" spans="2:14" x14ac:dyDescent="0.15">
      <c r="B2070"/>
      <c r="F2070" t="s">
        <v>734</v>
      </c>
      <c r="H2070" s="654">
        <v>50890</v>
      </c>
      <c r="I2070" s="654">
        <v>0</v>
      </c>
      <c r="J2070" s="654">
        <v>50890</v>
      </c>
      <c r="K2070" s="654">
        <v>50890</v>
      </c>
      <c r="L2070" s="654">
        <v>0</v>
      </c>
      <c r="M2070" s="654">
        <v>0</v>
      </c>
      <c r="N2070" s="654">
        <v>0</v>
      </c>
    </row>
    <row r="2071" spans="2:14" x14ac:dyDescent="0.15">
      <c r="B2071"/>
      <c r="E2071" t="s">
        <v>777</v>
      </c>
      <c r="H2071" s="654">
        <v>915308</v>
      </c>
      <c r="I2071" s="654">
        <v>0</v>
      </c>
      <c r="J2071" s="654">
        <v>915308</v>
      </c>
      <c r="K2071" s="654">
        <v>915308</v>
      </c>
      <c r="L2071" s="654">
        <v>0</v>
      </c>
      <c r="M2071" s="654">
        <v>26209</v>
      </c>
      <c r="N2071" s="654">
        <v>0</v>
      </c>
    </row>
    <row r="2072" spans="2:14" x14ac:dyDescent="0.15">
      <c r="B2072"/>
      <c r="D2072" t="s">
        <v>742</v>
      </c>
      <c r="H2072" s="654">
        <v>915308</v>
      </c>
      <c r="I2072" s="654">
        <v>0</v>
      </c>
      <c r="J2072" s="654">
        <v>915308</v>
      </c>
      <c r="K2072" s="654">
        <v>915308</v>
      </c>
      <c r="L2072" s="654">
        <v>0</v>
      </c>
      <c r="M2072" s="654">
        <v>26209</v>
      </c>
      <c r="N2072" s="654">
        <v>0</v>
      </c>
    </row>
    <row r="2073" spans="2:14" x14ac:dyDescent="0.15">
      <c r="B2073"/>
      <c r="C2073" t="s">
        <v>853</v>
      </c>
      <c r="H2073" s="654">
        <v>33695680</v>
      </c>
      <c r="I2073" s="654">
        <v>-290656</v>
      </c>
      <c r="J2073" s="654">
        <v>33405024</v>
      </c>
      <c r="K2073" s="654">
        <v>33405024</v>
      </c>
      <c r="L2073" s="654">
        <v>0</v>
      </c>
      <c r="M2073" s="654">
        <v>239626</v>
      </c>
      <c r="N2073" s="654">
        <v>3754616</v>
      </c>
    </row>
    <row r="2074" spans="2:14" x14ac:dyDescent="0.15">
      <c r="B2074" t="s">
        <v>627</v>
      </c>
      <c r="C2074" t="s">
        <v>847</v>
      </c>
      <c r="D2074" t="s">
        <v>626</v>
      </c>
      <c r="E2074" t="s">
        <v>378</v>
      </c>
      <c r="F2074" t="s">
        <v>626</v>
      </c>
      <c r="G2074" t="s">
        <v>600</v>
      </c>
      <c r="H2074" s="654">
        <v>128099</v>
      </c>
      <c r="I2074" s="654">
        <v>15504</v>
      </c>
      <c r="J2074" s="654">
        <v>143603</v>
      </c>
      <c r="K2074" s="654">
        <v>143603</v>
      </c>
      <c r="L2074" s="654">
        <v>0</v>
      </c>
      <c r="M2074" s="654">
        <v>0</v>
      </c>
      <c r="N2074" s="654">
        <v>0</v>
      </c>
    </row>
    <row r="2075" spans="2:14" x14ac:dyDescent="0.15">
      <c r="B2075"/>
      <c r="F2075" t="s">
        <v>733</v>
      </c>
      <c r="H2075" s="654">
        <v>128099</v>
      </c>
      <c r="I2075" s="654">
        <v>15504</v>
      </c>
      <c r="J2075" s="654">
        <v>143603</v>
      </c>
      <c r="K2075" s="654">
        <v>143603</v>
      </c>
      <c r="L2075" s="654">
        <v>0</v>
      </c>
      <c r="M2075" s="654">
        <v>0</v>
      </c>
      <c r="N2075" s="654">
        <v>0</v>
      </c>
    </row>
    <row r="2076" spans="2:14" x14ac:dyDescent="0.15">
      <c r="B2076"/>
      <c r="F2076" t="s">
        <v>627</v>
      </c>
      <c r="G2076" t="s">
        <v>599</v>
      </c>
      <c r="H2076" s="654">
        <v>114882</v>
      </c>
      <c r="I2076" s="654">
        <v>0</v>
      </c>
      <c r="J2076" s="654">
        <v>114882</v>
      </c>
      <c r="K2076" s="654">
        <v>114882</v>
      </c>
      <c r="L2076" s="654">
        <v>0</v>
      </c>
      <c r="M2076" s="654">
        <v>0</v>
      </c>
      <c r="N2076" s="654">
        <v>0</v>
      </c>
    </row>
    <row r="2077" spans="2:14" x14ac:dyDescent="0.15">
      <c r="B2077"/>
      <c r="F2077" t="s">
        <v>734</v>
      </c>
      <c r="H2077" s="654">
        <v>114882</v>
      </c>
      <c r="I2077" s="654">
        <v>0</v>
      </c>
      <c r="J2077" s="654">
        <v>114882</v>
      </c>
      <c r="K2077" s="654">
        <v>114882</v>
      </c>
      <c r="L2077" s="654">
        <v>0</v>
      </c>
      <c r="M2077" s="654">
        <v>0</v>
      </c>
      <c r="N2077" s="654">
        <v>0</v>
      </c>
    </row>
    <row r="2078" spans="2:14" x14ac:dyDescent="0.15">
      <c r="B2078"/>
      <c r="F2078" t="s">
        <v>628</v>
      </c>
      <c r="G2078" t="s">
        <v>598</v>
      </c>
      <c r="H2078" s="654">
        <v>17687</v>
      </c>
      <c r="I2078" s="654">
        <v>0</v>
      </c>
      <c r="J2078" s="654">
        <v>17687</v>
      </c>
      <c r="K2078" s="654">
        <v>17687</v>
      </c>
      <c r="L2078" s="654">
        <v>0</v>
      </c>
      <c r="M2078" s="654">
        <v>0</v>
      </c>
      <c r="N2078" s="654">
        <v>0</v>
      </c>
    </row>
    <row r="2079" spans="2:14" x14ac:dyDescent="0.15">
      <c r="B2079"/>
      <c r="F2079" t="s">
        <v>735</v>
      </c>
      <c r="H2079" s="654">
        <v>17687</v>
      </c>
      <c r="I2079" s="654">
        <v>0</v>
      </c>
      <c r="J2079" s="654">
        <v>17687</v>
      </c>
      <c r="K2079" s="654">
        <v>17687</v>
      </c>
      <c r="L2079" s="654">
        <v>0</v>
      </c>
      <c r="M2079" s="654">
        <v>0</v>
      </c>
      <c r="N2079" s="654">
        <v>0</v>
      </c>
    </row>
    <row r="2080" spans="2:14" x14ac:dyDescent="0.15">
      <c r="B2080"/>
      <c r="E2080" t="s">
        <v>769</v>
      </c>
      <c r="H2080" s="654">
        <v>260668</v>
      </c>
      <c r="I2080" s="654">
        <v>15504</v>
      </c>
      <c r="J2080" s="654">
        <v>276172</v>
      </c>
      <c r="K2080" s="654">
        <v>276172</v>
      </c>
      <c r="L2080" s="654">
        <v>0</v>
      </c>
      <c r="M2080" s="654">
        <v>0</v>
      </c>
      <c r="N2080" s="654">
        <v>0</v>
      </c>
    </row>
    <row r="2081" spans="2:14" x14ac:dyDescent="0.15">
      <c r="B2081"/>
      <c r="D2081" t="s">
        <v>733</v>
      </c>
      <c r="H2081" s="654">
        <v>260668</v>
      </c>
      <c r="I2081" s="654">
        <v>15504</v>
      </c>
      <c r="J2081" s="654">
        <v>276172</v>
      </c>
      <c r="K2081" s="654">
        <v>276172</v>
      </c>
      <c r="L2081" s="654">
        <v>0</v>
      </c>
      <c r="M2081" s="654">
        <v>0</v>
      </c>
      <c r="N2081" s="654">
        <v>0</v>
      </c>
    </row>
    <row r="2082" spans="2:14" x14ac:dyDescent="0.15">
      <c r="B2082"/>
      <c r="D2082" t="s">
        <v>627</v>
      </c>
      <c r="E2082" t="s">
        <v>379</v>
      </c>
      <c r="F2082" t="s">
        <v>626</v>
      </c>
      <c r="G2082" t="s">
        <v>600</v>
      </c>
      <c r="H2082" s="654">
        <v>56785</v>
      </c>
      <c r="I2082" s="654">
        <v>0</v>
      </c>
      <c r="J2082" s="654">
        <v>56785</v>
      </c>
      <c r="K2082" s="654">
        <v>56785</v>
      </c>
      <c r="L2082" s="654">
        <v>0</v>
      </c>
      <c r="M2082" s="654">
        <v>0</v>
      </c>
      <c r="N2082" s="654">
        <v>0</v>
      </c>
    </row>
    <row r="2083" spans="2:14" x14ac:dyDescent="0.15">
      <c r="B2083"/>
      <c r="F2083" t="s">
        <v>733</v>
      </c>
      <c r="H2083" s="654">
        <v>56785</v>
      </c>
      <c r="I2083" s="654">
        <v>0</v>
      </c>
      <c r="J2083" s="654">
        <v>56785</v>
      </c>
      <c r="K2083" s="654">
        <v>56785</v>
      </c>
      <c r="L2083" s="654">
        <v>0</v>
      </c>
      <c r="M2083" s="654">
        <v>0</v>
      </c>
      <c r="N2083" s="654">
        <v>0</v>
      </c>
    </row>
    <row r="2084" spans="2:14" x14ac:dyDescent="0.15">
      <c r="B2084"/>
      <c r="F2084" t="s">
        <v>627</v>
      </c>
      <c r="G2084" t="s">
        <v>599</v>
      </c>
      <c r="H2084" s="654">
        <v>55677</v>
      </c>
      <c r="I2084" s="654">
        <v>0</v>
      </c>
      <c r="J2084" s="654">
        <v>55677</v>
      </c>
      <c r="K2084" s="654">
        <v>55677</v>
      </c>
      <c r="L2084" s="654">
        <v>0</v>
      </c>
      <c r="M2084" s="654">
        <v>0</v>
      </c>
      <c r="N2084" s="654">
        <v>0</v>
      </c>
    </row>
    <row r="2085" spans="2:14" x14ac:dyDescent="0.15">
      <c r="B2085"/>
      <c r="F2085" t="s">
        <v>734</v>
      </c>
      <c r="H2085" s="654">
        <v>55677</v>
      </c>
      <c r="I2085" s="654">
        <v>0</v>
      </c>
      <c r="J2085" s="654">
        <v>55677</v>
      </c>
      <c r="K2085" s="654">
        <v>55677</v>
      </c>
      <c r="L2085" s="654">
        <v>0</v>
      </c>
      <c r="M2085" s="654">
        <v>0</v>
      </c>
      <c r="N2085" s="654">
        <v>0</v>
      </c>
    </row>
    <row r="2086" spans="2:14" x14ac:dyDescent="0.15">
      <c r="B2086"/>
      <c r="F2086" t="s">
        <v>628</v>
      </c>
      <c r="G2086" t="s">
        <v>598</v>
      </c>
      <c r="H2086" s="654">
        <v>0</v>
      </c>
      <c r="I2086" s="654">
        <v>0</v>
      </c>
      <c r="J2086" s="654">
        <v>0</v>
      </c>
      <c r="K2086" s="654">
        <v>0</v>
      </c>
      <c r="L2086" s="654">
        <v>0</v>
      </c>
      <c r="M2086" s="654">
        <v>0</v>
      </c>
      <c r="N2086" s="654">
        <v>0</v>
      </c>
    </row>
    <row r="2087" spans="2:14" x14ac:dyDescent="0.15">
      <c r="B2087"/>
      <c r="F2087" t="s">
        <v>735</v>
      </c>
      <c r="H2087" s="654">
        <v>0</v>
      </c>
      <c r="I2087" s="654">
        <v>0</v>
      </c>
      <c r="J2087" s="654">
        <v>0</v>
      </c>
      <c r="K2087" s="654">
        <v>0</v>
      </c>
      <c r="L2087" s="654">
        <v>0</v>
      </c>
      <c r="M2087" s="654">
        <v>0</v>
      </c>
      <c r="N2087" s="654">
        <v>0</v>
      </c>
    </row>
    <row r="2088" spans="2:14" x14ac:dyDescent="0.15">
      <c r="B2088"/>
      <c r="E2088" t="s">
        <v>770</v>
      </c>
      <c r="H2088" s="654">
        <v>112462</v>
      </c>
      <c r="I2088" s="654">
        <v>0</v>
      </c>
      <c r="J2088" s="654">
        <v>112462</v>
      </c>
      <c r="K2088" s="654">
        <v>112462</v>
      </c>
      <c r="L2088" s="654">
        <v>0</v>
      </c>
      <c r="M2088" s="654">
        <v>0</v>
      </c>
      <c r="N2088" s="654">
        <v>0</v>
      </c>
    </row>
    <row r="2089" spans="2:14" x14ac:dyDescent="0.15">
      <c r="B2089"/>
      <c r="D2089" t="s">
        <v>734</v>
      </c>
      <c r="H2089" s="654">
        <v>112462</v>
      </c>
      <c r="I2089" s="654">
        <v>0</v>
      </c>
      <c r="J2089" s="654">
        <v>112462</v>
      </c>
      <c r="K2089" s="654">
        <v>112462</v>
      </c>
      <c r="L2089" s="654">
        <v>0</v>
      </c>
      <c r="M2089" s="654">
        <v>0</v>
      </c>
      <c r="N2089" s="654">
        <v>0</v>
      </c>
    </row>
    <row r="2090" spans="2:14" x14ac:dyDescent="0.15">
      <c r="B2090"/>
      <c r="D2090" t="s">
        <v>628</v>
      </c>
      <c r="E2090" t="s">
        <v>380</v>
      </c>
      <c r="F2090" t="s">
        <v>626</v>
      </c>
      <c r="G2090" t="s">
        <v>600</v>
      </c>
      <c r="H2090" s="654">
        <v>363033</v>
      </c>
      <c r="I2090" s="654">
        <v>72939</v>
      </c>
      <c r="J2090" s="654">
        <v>435972</v>
      </c>
      <c r="K2090" s="654">
        <v>435972</v>
      </c>
      <c r="L2090" s="654">
        <v>0</v>
      </c>
      <c r="M2090" s="654">
        <v>0</v>
      </c>
      <c r="N2090" s="654">
        <v>0</v>
      </c>
    </row>
    <row r="2091" spans="2:14" x14ac:dyDescent="0.15">
      <c r="B2091"/>
      <c r="F2091" t="s">
        <v>733</v>
      </c>
      <c r="H2091" s="654">
        <v>363033</v>
      </c>
      <c r="I2091" s="654">
        <v>72939</v>
      </c>
      <c r="J2091" s="654">
        <v>435972</v>
      </c>
      <c r="K2091" s="654">
        <v>435972</v>
      </c>
      <c r="L2091" s="654">
        <v>0</v>
      </c>
      <c r="M2091" s="654">
        <v>0</v>
      </c>
      <c r="N2091" s="654">
        <v>0</v>
      </c>
    </row>
    <row r="2092" spans="2:14" x14ac:dyDescent="0.15">
      <c r="B2092"/>
      <c r="F2092" t="s">
        <v>627</v>
      </c>
      <c r="G2092" t="s">
        <v>599</v>
      </c>
      <c r="H2092" s="654">
        <v>0</v>
      </c>
      <c r="I2092" s="654">
        <v>0</v>
      </c>
      <c r="J2092" s="654">
        <v>0</v>
      </c>
      <c r="K2092" s="654">
        <v>0</v>
      </c>
      <c r="L2092" s="654">
        <v>0</v>
      </c>
      <c r="M2092" s="654">
        <v>0</v>
      </c>
      <c r="N2092" s="654">
        <v>0</v>
      </c>
    </row>
    <row r="2093" spans="2:14" x14ac:dyDescent="0.15">
      <c r="B2093"/>
      <c r="F2093" t="s">
        <v>734</v>
      </c>
      <c r="H2093" s="654">
        <v>0</v>
      </c>
      <c r="I2093" s="654">
        <v>0</v>
      </c>
      <c r="J2093" s="654">
        <v>0</v>
      </c>
      <c r="K2093" s="654">
        <v>0</v>
      </c>
      <c r="L2093" s="654">
        <v>0</v>
      </c>
      <c r="M2093" s="654">
        <v>0</v>
      </c>
      <c r="N2093" s="654">
        <v>0</v>
      </c>
    </row>
    <row r="2094" spans="2:14" x14ac:dyDescent="0.15">
      <c r="B2094"/>
      <c r="E2094" t="s">
        <v>771</v>
      </c>
      <c r="H2094" s="654">
        <v>363033</v>
      </c>
      <c r="I2094" s="654">
        <v>72939</v>
      </c>
      <c r="J2094" s="654">
        <v>435972</v>
      </c>
      <c r="K2094" s="654">
        <v>435972</v>
      </c>
      <c r="L2094" s="654">
        <v>0</v>
      </c>
      <c r="M2094" s="654">
        <v>0</v>
      </c>
      <c r="N2094" s="654">
        <v>0</v>
      </c>
    </row>
    <row r="2095" spans="2:14" x14ac:dyDescent="0.15">
      <c r="B2095"/>
      <c r="D2095" t="s">
        <v>735</v>
      </c>
      <c r="H2095" s="654">
        <v>363033</v>
      </c>
      <c r="I2095" s="654">
        <v>72939</v>
      </c>
      <c r="J2095" s="654">
        <v>435972</v>
      </c>
      <c r="K2095" s="654">
        <v>435972</v>
      </c>
      <c r="L2095" s="654">
        <v>0</v>
      </c>
      <c r="M2095" s="654">
        <v>0</v>
      </c>
      <c r="N2095" s="654">
        <v>0</v>
      </c>
    </row>
    <row r="2096" spans="2:14" x14ac:dyDescent="0.15">
      <c r="B2096"/>
      <c r="D2096" t="s">
        <v>629</v>
      </c>
      <c r="E2096" t="s">
        <v>676</v>
      </c>
      <c r="F2096" t="s">
        <v>629</v>
      </c>
      <c r="G2096" t="s">
        <v>601</v>
      </c>
      <c r="H2096" s="654">
        <v>92580</v>
      </c>
      <c r="I2096" s="654">
        <v>0</v>
      </c>
      <c r="J2096" s="654">
        <v>92580</v>
      </c>
      <c r="K2096" s="654">
        <v>92580</v>
      </c>
      <c r="L2096" s="654">
        <v>0</v>
      </c>
      <c r="M2096" s="654">
        <v>0</v>
      </c>
      <c r="N2096" s="654">
        <v>0</v>
      </c>
    </row>
    <row r="2097" spans="2:14" x14ac:dyDescent="0.15">
      <c r="B2097"/>
      <c r="F2097" t="s">
        <v>736</v>
      </c>
      <c r="H2097" s="654">
        <v>92580</v>
      </c>
      <c r="I2097" s="654">
        <v>0</v>
      </c>
      <c r="J2097" s="654">
        <v>92580</v>
      </c>
      <c r="K2097" s="654">
        <v>92580</v>
      </c>
      <c r="L2097" s="654">
        <v>0</v>
      </c>
      <c r="M2097" s="654">
        <v>0</v>
      </c>
      <c r="N2097" s="654">
        <v>0</v>
      </c>
    </row>
    <row r="2098" spans="2:14" x14ac:dyDescent="0.15">
      <c r="B2098"/>
      <c r="E2098" t="s">
        <v>772</v>
      </c>
      <c r="H2098" s="654">
        <v>92580</v>
      </c>
      <c r="I2098" s="654">
        <v>0</v>
      </c>
      <c r="J2098" s="654">
        <v>92580</v>
      </c>
      <c r="K2098" s="654">
        <v>92580</v>
      </c>
      <c r="L2098" s="654">
        <v>0</v>
      </c>
      <c r="M2098" s="654">
        <v>0</v>
      </c>
      <c r="N2098" s="654">
        <v>0</v>
      </c>
    </row>
    <row r="2099" spans="2:14" x14ac:dyDescent="0.15">
      <c r="B2099"/>
      <c r="D2099" t="s">
        <v>736</v>
      </c>
      <c r="H2099" s="654">
        <v>92580</v>
      </c>
      <c r="I2099" s="654">
        <v>0</v>
      </c>
      <c r="J2099" s="654">
        <v>92580</v>
      </c>
      <c r="K2099" s="654">
        <v>92580</v>
      </c>
      <c r="L2099" s="654">
        <v>0</v>
      </c>
      <c r="M2099" s="654">
        <v>0</v>
      </c>
      <c r="N2099" s="654">
        <v>0</v>
      </c>
    </row>
    <row r="2100" spans="2:14" x14ac:dyDescent="0.15">
      <c r="B2100"/>
      <c r="D2100" t="s">
        <v>567</v>
      </c>
      <c r="E2100" t="s">
        <v>473</v>
      </c>
      <c r="F2100" t="s">
        <v>631</v>
      </c>
      <c r="G2100" t="s">
        <v>596</v>
      </c>
      <c r="H2100" s="654">
        <v>0</v>
      </c>
      <c r="I2100" s="654">
        <v>0</v>
      </c>
      <c r="J2100" s="654">
        <v>0</v>
      </c>
      <c r="K2100" s="654">
        <v>0</v>
      </c>
      <c r="L2100" s="654">
        <v>0</v>
      </c>
      <c r="M2100" s="654">
        <v>0</v>
      </c>
      <c r="N2100" s="654">
        <v>0</v>
      </c>
    </row>
    <row r="2101" spans="2:14" x14ac:dyDescent="0.15">
      <c r="B2101"/>
      <c r="F2101" t="s">
        <v>737</v>
      </c>
      <c r="H2101" s="654">
        <v>0</v>
      </c>
      <c r="I2101" s="654">
        <v>0</v>
      </c>
      <c r="J2101" s="654">
        <v>0</v>
      </c>
      <c r="K2101" s="654">
        <v>0</v>
      </c>
      <c r="L2101" s="654">
        <v>0</v>
      </c>
      <c r="M2101" s="654">
        <v>0</v>
      </c>
      <c r="N2101" s="654">
        <v>0</v>
      </c>
    </row>
    <row r="2102" spans="2:14" x14ac:dyDescent="0.15">
      <c r="B2102"/>
      <c r="E2102" t="s">
        <v>773</v>
      </c>
      <c r="H2102" s="654">
        <v>0</v>
      </c>
      <c r="I2102" s="654">
        <v>0</v>
      </c>
      <c r="J2102" s="654">
        <v>0</v>
      </c>
      <c r="K2102" s="654">
        <v>0</v>
      </c>
      <c r="L2102" s="654">
        <v>0</v>
      </c>
      <c r="M2102" s="654">
        <v>0</v>
      </c>
      <c r="N2102" s="654">
        <v>0</v>
      </c>
    </row>
    <row r="2103" spans="2:14" x14ac:dyDescent="0.15">
      <c r="B2103"/>
      <c r="D2103" t="s">
        <v>739</v>
      </c>
      <c r="H2103" s="654">
        <v>0</v>
      </c>
      <c r="I2103" s="654">
        <v>0</v>
      </c>
      <c r="J2103" s="654">
        <v>0</v>
      </c>
      <c r="K2103" s="654">
        <v>0</v>
      </c>
      <c r="L2103" s="654">
        <v>0</v>
      </c>
      <c r="M2103" s="654">
        <v>0</v>
      </c>
      <c r="N2103" s="654">
        <v>0</v>
      </c>
    </row>
    <row r="2104" spans="2:14" x14ac:dyDescent="0.15">
      <c r="B2104"/>
      <c r="D2104" t="s">
        <v>568</v>
      </c>
      <c r="E2104" t="s">
        <v>474</v>
      </c>
      <c r="F2104" t="s">
        <v>631</v>
      </c>
      <c r="G2104" t="s">
        <v>596</v>
      </c>
      <c r="H2104" s="654">
        <v>0</v>
      </c>
      <c r="I2104" s="654">
        <v>0</v>
      </c>
      <c r="J2104" s="654">
        <v>0</v>
      </c>
      <c r="K2104" s="654">
        <v>0</v>
      </c>
      <c r="L2104" s="654">
        <v>0</v>
      </c>
      <c r="M2104" s="654">
        <v>0</v>
      </c>
      <c r="N2104" s="654">
        <v>0</v>
      </c>
    </row>
    <row r="2105" spans="2:14" x14ac:dyDescent="0.15">
      <c r="B2105"/>
      <c r="F2105" t="s">
        <v>737</v>
      </c>
      <c r="H2105" s="654">
        <v>0</v>
      </c>
      <c r="I2105" s="654">
        <v>0</v>
      </c>
      <c r="J2105" s="654">
        <v>0</v>
      </c>
      <c r="K2105" s="654">
        <v>0</v>
      </c>
      <c r="L2105" s="654">
        <v>0</v>
      </c>
      <c r="M2105" s="654">
        <v>0</v>
      </c>
      <c r="N2105" s="654">
        <v>0</v>
      </c>
    </row>
    <row r="2106" spans="2:14" x14ac:dyDescent="0.15">
      <c r="B2106"/>
      <c r="E2106" t="s">
        <v>774</v>
      </c>
      <c r="H2106" s="654">
        <v>0</v>
      </c>
      <c r="I2106" s="654">
        <v>0</v>
      </c>
      <c r="J2106" s="654">
        <v>0</v>
      </c>
      <c r="K2106" s="654">
        <v>0</v>
      </c>
      <c r="L2106" s="654">
        <v>0</v>
      </c>
      <c r="M2106" s="654">
        <v>0</v>
      </c>
      <c r="N2106" s="654">
        <v>0</v>
      </c>
    </row>
    <row r="2107" spans="2:14" x14ac:dyDescent="0.15">
      <c r="B2107"/>
      <c r="D2107" t="s">
        <v>740</v>
      </c>
      <c r="H2107" s="654">
        <v>0</v>
      </c>
      <c r="I2107" s="654">
        <v>0</v>
      </c>
      <c r="J2107" s="654">
        <v>0</v>
      </c>
      <c r="K2107" s="654">
        <v>0</v>
      </c>
      <c r="L2107" s="654">
        <v>0</v>
      </c>
      <c r="M2107" s="654">
        <v>0</v>
      </c>
      <c r="N2107" s="654">
        <v>0</v>
      </c>
    </row>
    <row r="2108" spans="2:14" x14ac:dyDescent="0.15">
      <c r="B2108"/>
      <c r="D2108" t="s">
        <v>582</v>
      </c>
      <c r="E2108" t="s">
        <v>384</v>
      </c>
      <c r="F2108" t="s">
        <v>631</v>
      </c>
      <c r="G2108" t="s">
        <v>596</v>
      </c>
      <c r="H2108" s="654">
        <v>0</v>
      </c>
      <c r="I2108" s="654">
        <v>0</v>
      </c>
      <c r="J2108" s="654">
        <v>0</v>
      </c>
      <c r="K2108" s="654">
        <v>0</v>
      </c>
      <c r="L2108" s="654">
        <v>0</v>
      </c>
      <c r="M2108" s="654">
        <v>0</v>
      </c>
      <c r="N2108" s="654">
        <v>0</v>
      </c>
    </row>
    <row r="2109" spans="2:14" x14ac:dyDescent="0.15">
      <c r="B2109"/>
      <c r="F2109" t="s">
        <v>737</v>
      </c>
      <c r="H2109" s="654">
        <v>0</v>
      </c>
      <c r="I2109" s="654">
        <v>0</v>
      </c>
      <c r="J2109" s="654">
        <v>0</v>
      </c>
      <c r="K2109" s="654">
        <v>0</v>
      </c>
      <c r="L2109" s="654">
        <v>0</v>
      </c>
      <c r="M2109" s="654">
        <v>0</v>
      </c>
      <c r="N2109" s="654">
        <v>0</v>
      </c>
    </row>
    <row r="2110" spans="2:14" x14ac:dyDescent="0.15">
      <c r="B2110"/>
      <c r="E2110" t="s">
        <v>778</v>
      </c>
      <c r="H2110" s="654">
        <v>0</v>
      </c>
      <c r="I2110" s="654">
        <v>0</v>
      </c>
      <c r="J2110" s="654">
        <v>0</v>
      </c>
      <c r="K2110" s="654">
        <v>0</v>
      </c>
      <c r="L2110" s="654">
        <v>0</v>
      </c>
      <c r="M2110" s="654">
        <v>0</v>
      </c>
      <c r="N2110" s="654">
        <v>0</v>
      </c>
    </row>
    <row r="2111" spans="2:14" x14ac:dyDescent="0.15">
      <c r="B2111"/>
      <c r="D2111" t="s">
        <v>743</v>
      </c>
      <c r="H2111" s="654">
        <v>0</v>
      </c>
      <c r="I2111" s="654">
        <v>0</v>
      </c>
      <c r="J2111" s="654">
        <v>0</v>
      </c>
      <c r="K2111" s="654">
        <v>0</v>
      </c>
      <c r="L2111" s="654">
        <v>0</v>
      </c>
      <c r="M2111" s="654">
        <v>0</v>
      </c>
      <c r="N2111" s="654">
        <v>0</v>
      </c>
    </row>
    <row r="2112" spans="2:14" x14ac:dyDescent="0.15">
      <c r="B2112"/>
      <c r="D2112" t="s">
        <v>631</v>
      </c>
      <c r="E2112" t="s">
        <v>381</v>
      </c>
      <c r="F2112" t="s">
        <v>626</v>
      </c>
      <c r="G2112" t="s">
        <v>600</v>
      </c>
      <c r="H2112" s="654">
        <v>0</v>
      </c>
      <c r="I2112" s="654">
        <v>0</v>
      </c>
      <c r="J2112" s="654">
        <v>0</v>
      </c>
      <c r="K2112" s="654">
        <v>0</v>
      </c>
      <c r="L2112" s="654">
        <v>0</v>
      </c>
      <c r="M2112" s="654">
        <v>0</v>
      </c>
      <c r="N2112" s="654">
        <v>0</v>
      </c>
    </row>
    <row r="2113" spans="1:14" x14ac:dyDescent="0.15">
      <c r="B2113"/>
      <c r="F2113" t="s">
        <v>733</v>
      </c>
      <c r="H2113" s="654">
        <v>0</v>
      </c>
      <c r="I2113" s="654">
        <v>0</v>
      </c>
      <c r="J2113" s="654">
        <v>0</v>
      </c>
      <c r="K2113" s="654">
        <v>0</v>
      </c>
      <c r="L2113" s="654">
        <v>0</v>
      </c>
      <c r="M2113" s="654">
        <v>0</v>
      </c>
      <c r="N2113" s="654">
        <v>0</v>
      </c>
    </row>
    <row r="2114" spans="1:14" x14ac:dyDescent="0.15">
      <c r="B2114"/>
      <c r="E2114" t="s">
        <v>776</v>
      </c>
      <c r="H2114" s="654">
        <v>0</v>
      </c>
      <c r="I2114" s="654">
        <v>0</v>
      </c>
      <c r="J2114" s="654">
        <v>0</v>
      </c>
      <c r="K2114" s="654">
        <v>0</v>
      </c>
      <c r="L2114" s="654">
        <v>0</v>
      </c>
      <c r="M2114" s="654">
        <v>0</v>
      </c>
      <c r="N2114" s="654">
        <v>0</v>
      </c>
    </row>
    <row r="2115" spans="1:14" x14ac:dyDescent="0.15">
      <c r="B2115"/>
      <c r="D2115" t="s">
        <v>737</v>
      </c>
      <c r="H2115" s="654">
        <v>0</v>
      </c>
      <c r="I2115" s="654">
        <v>0</v>
      </c>
      <c r="J2115" s="654">
        <v>0</v>
      </c>
      <c r="K2115" s="654">
        <v>0</v>
      </c>
      <c r="L2115" s="654">
        <v>0</v>
      </c>
      <c r="M2115" s="654">
        <v>0</v>
      </c>
      <c r="N2115" s="654">
        <v>0</v>
      </c>
    </row>
    <row r="2116" spans="1:14" x14ac:dyDescent="0.15">
      <c r="B2116"/>
      <c r="D2116" t="s">
        <v>671</v>
      </c>
      <c r="E2116" t="s">
        <v>383</v>
      </c>
      <c r="F2116" t="s">
        <v>626</v>
      </c>
      <c r="G2116" t="s">
        <v>600</v>
      </c>
      <c r="H2116" s="654">
        <v>1305</v>
      </c>
      <c r="I2116" s="654">
        <v>0</v>
      </c>
      <c r="J2116" s="654">
        <v>1305</v>
      </c>
      <c r="K2116" s="654">
        <v>1305</v>
      </c>
      <c r="L2116" s="654">
        <v>0</v>
      </c>
      <c r="M2116" s="654">
        <v>0</v>
      </c>
      <c r="N2116" s="654">
        <v>0</v>
      </c>
    </row>
    <row r="2117" spans="1:14" x14ac:dyDescent="0.15">
      <c r="B2117"/>
      <c r="F2117" t="s">
        <v>733</v>
      </c>
      <c r="H2117" s="654">
        <v>1305</v>
      </c>
      <c r="I2117" s="654">
        <v>0</v>
      </c>
      <c r="J2117" s="654">
        <v>1305</v>
      </c>
      <c r="K2117" s="654">
        <v>1305</v>
      </c>
      <c r="L2117" s="654">
        <v>0</v>
      </c>
      <c r="M2117" s="654">
        <v>0</v>
      </c>
      <c r="N2117" s="654">
        <v>0</v>
      </c>
    </row>
    <row r="2118" spans="1:14" x14ac:dyDescent="0.15">
      <c r="B2118"/>
      <c r="F2118" t="s">
        <v>627</v>
      </c>
      <c r="G2118" t="s">
        <v>599</v>
      </c>
      <c r="H2118" s="654">
        <v>0</v>
      </c>
      <c r="I2118" s="654">
        <v>0</v>
      </c>
      <c r="J2118" s="654">
        <v>0</v>
      </c>
      <c r="K2118" s="654">
        <v>0</v>
      </c>
      <c r="L2118" s="654">
        <v>0</v>
      </c>
      <c r="M2118" s="654">
        <v>0</v>
      </c>
      <c r="N2118" s="654">
        <v>0</v>
      </c>
    </row>
    <row r="2119" spans="1:14" x14ac:dyDescent="0.15">
      <c r="B2119"/>
      <c r="F2119" t="s">
        <v>734</v>
      </c>
      <c r="H2119" s="654">
        <v>0</v>
      </c>
      <c r="I2119" s="654">
        <v>0</v>
      </c>
      <c r="J2119" s="654">
        <v>0</v>
      </c>
      <c r="K2119" s="654">
        <v>0</v>
      </c>
      <c r="L2119" s="654">
        <v>0</v>
      </c>
      <c r="M2119" s="654">
        <v>0</v>
      </c>
      <c r="N2119" s="654">
        <v>0</v>
      </c>
    </row>
    <row r="2120" spans="1:14" x14ac:dyDescent="0.15">
      <c r="B2120"/>
      <c r="E2120" t="s">
        <v>777</v>
      </c>
      <c r="H2120" s="654">
        <v>1305</v>
      </c>
      <c r="I2120" s="654">
        <v>0</v>
      </c>
      <c r="J2120" s="654">
        <v>1305</v>
      </c>
      <c r="K2120" s="654">
        <v>1305</v>
      </c>
      <c r="L2120" s="654">
        <v>0</v>
      </c>
      <c r="M2120" s="654">
        <v>0</v>
      </c>
      <c r="N2120" s="654">
        <v>0</v>
      </c>
    </row>
    <row r="2121" spans="1:14" x14ac:dyDescent="0.15">
      <c r="B2121"/>
      <c r="D2121" t="s">
        <v>742</v>
      </c>
      <c r="H2121" s="654">
        <v>1305</v>
      </c>
      <c r="I2121" s="654">
        <v>0</v>
      </c>
      <c r="J2121" s="654">
        <v>1305</v>
      </c>
      <c r="K2121" s="654">
        <v>1305</v>
      </c>
      <c r="L2121" s="654">
        <v>0</v>
      </c>
      <c r="M2121" s="654">
        <v>0</v>
      </c>
      <c r="N2121" s="654">
        <v>0</v>
      </c>
    </row>
    <row r="2122" spans="1:14" x14ac:dyDescent="0.15">
      <c r="B2122"/>
      <c r="C2122" t="s">
        <v>854</v>
      </c>
      <c r="H2122" s="654">
        <v>830048</v>
      </c>
      <c r="I2122" s="654">
        <v>88443</v>
      </c>
      <c r="J2122" s="654">
        <v>918491</v>
      </c>
      <c r="K2122" s="654">
        <v>918491</v>
      </c>
      <c r="L2122" s="654">
        <v>0</v>
      </c>
      <c r="M2122" s="654">
        <v>0</v>
      </c>
      <c r="N2122" s="654">
        <v>0</v>
      </c>
    </row>
    <row r="2123" spans="1:14" x14ac:dyDescent="0.15">
      <c r="A2123" s="653" t="s">
        <v>1008</v>
      </c>
      <c r="B2123"/>
      <c r="H2123" s="654">
        <v>34525728</v>
      </c>
      <c r="I2123" s="654">
        <v>-202213</v>
      </c>
      <c r="J2123" s="654">
        <v>34323515</v>
      </c>
      <c r="K2123" s="654">
        <v>34323515</v>
      </c>
      <c r="L2123" s="654">
        <v>0</v>
      </c>
      <c r="M2123" s="654">
        <v>239626</v>
      </c>
      <c r="N2123" s="654">
        <v>3754616</v>
      </c>
    </row>
    <row r="2124" spans="1:14" x14ac:dyDescent="0.15">
      <c r="A2124" s="653">
        <v>43252</v>
      </c>
      <c r="B2124" t="s">
        <v>626</v>
      </c>
      <c r="C2124" t="s">
        <v>849</v>
      </c>
      <c r="D2124" t="s">
        <v>626</v>
      </c>
      <c r="E2124" t="s">
        <v>378</v>
      </c>
      <c r="F2124" t="s">
        <v>626</v>
      </c>
      <c r="G2124" t="s">
        <v>600</v>
      </c>
      <c r="H2124" s="654">
        <v>7562429</v>
      </c>
      <c r="I2124" s="654">
        <v>-30827</v>
      </c>
      <c r="J2124" s="654">
        <v>7531602</v>
      </c>
      <c r="K2124" s="654">
        <v>7531602</v>
      </c>
      <c r="L2124" s="654">
        <v>0</v>
      </c>
      <c r="M2124" s="654">
        <v>0</v>
      </c>
      <c r="N2124" s="654">
        <v>1264475</v>
      </c>
    </row>
    <row r="2125" spans="1:14" x14ac:dyDescent="0.15">
      <c r="B2125"/>
      <c r="F2125" t="s">
        <v>733</v>
      </c>
      <c r="H2125" s="654">
        <v>7562429</v>
      </c>
      <c r="I2125" s="654">
        <v>-30827</v>
      </c>
      <c r="J2125" s="654">
        <v>7531602</v>
      </c>
      <c r="K2125" s="654">
        <v>7531602</v>
      </c>
      <c r="L2125" s="654">
        <v>0</v>
      </c>
      <c r="M2125" s="654">
        <v>0</v>
      </c>
      <c r="N2125" s="654">
        <v>1264475</v>
      </c>
    </row>
    <row r="2126" spans="1:14" x14ac:dyDescent="0.15">
      <c r="B2126"/>
      <c r="F2126" t="s">
        <v>627</v>
      </c>
      <c r="G2126" t="s">
        <v>599</v>
      </c>
      <c r="H2126" s="654">
        <v>1288468</v>
      </c>
      <c r="I2126" s="654">
        <v>0</v>
      </c>
      <c r="J2126" s="654">
        <v>1288468</v>
      </c>
      <c r="K2126" s="654">
        <v>1288468</v>
      </c>
      <c r="L2126" s="654">
        <v>0</v>
      </c>
      <c r="M2126" s="654">
        <v>0</v>
      </c>
      <c r="N2126" s="654">
        <v>270557</v>
      </c>
    </row>
    <row r="2127" spans="1:14" x14ac:dyDescent="0.15">
      <c r="B2127"/>
      <c r="F2127" t="s">
        <v>734</v>
      </c>
      <c r="H2127" s="654">
        <v>1288468</v>
      </c>
      <c r="I2127" s="654">
        <v>0</v>
      </c>
      <c r="J2127" s="654">
        <v>1288468</v>
      </c>
      <c r="K2127" s="654">
        <v>1288468</v>
      </c>
      <c r="L2127" s="654">
        <v>0</v>
      </c>
      <c r="M2127" s="654">
        <v>0</v>
      </c>
      <c r="N2127" s="654">
        <v>270557</v>
      </c>
    </row>
    <row r="2128" spans="1:14" x14ac:dyDescent="0.15">
      <c r="B2128"/>
      <c r="F2128" t="s">
        <v>628</v>
      </c>
      <c r="G2128" t="s">
        <v>598</v>
      </c>
      <c r="H2128" s="654">
        <v>684712</v>
      </c>
      <c r="I2128" s="654">
        <v>0</v>
      </c>
      <c r="J2128" s="654">
        <v>684712</v>
      </c>
      <c r="K2128" s="654">
        <v>684712</v>
      </c>
      <c r="L2128" s="654">
        <v>0</v>
      </c>
      <c r="M2128" s="654">
        <v>0</v>
      </c>
      <c r="N2128" s="654">
        <v>0</v>
      </c>
    </row>
    <row r="2129" spans="2:14" x14ac:dyDescent="0.15">
      <c r="B2129"/>
      <c r="F2129" t="s">
        <v>735</v>
      </c>
      <c r="H2129" s="654">
        <v>684712</v>
      </c>
      <c r="I2129" s="654">
        <v>0</v>
      </c>
      <c r="J2129" s="654">
        <v>684712</v>
      </c>
      <c r="K2129" s="654">
        <v>684712</v>
      </c>
      <c r="L2129" s="654">
        <v>0</v>
      </c>
      <c r="M2129" s="654">
        <v>0</v>
      </c>
      <c r="N2129" s="654">
        <v>0</v>
      </c>
    </row>
    <row r="2130" spans="2:14" x14ac:dyDescent="0.15">
      <c r="B2130"/>
      <c r="E2130" t="s">
        <v>769</v>
      </c>
      <c r="H2130" s="654">
        <v>9535609</v>
      </c>
      <c r="I2130" s="654">
        <v>-30827</v>
      </c>
      <c r="J2130" s="654">
        <v>9504782</v>
      </c>
      <c r="K2130" s="654">
        <v>9504782</v>
      </c>
      <c r="L2130" s="654">
        <v>0</v>
      </c>
      <c r="M2130" s="654">
        <v>0</v>
      </c>
      <c r="N2130" s="654">
        <v>1535032</v>
      </c>
    </row>
    <row r="2131" spans="2:14" x14ac:dyDescent="0.15">
      <c r="B2131"/>
      <c r="D2131" t="s">
        <v>733</v>
      </c>
      <c r="H2131" s="654">
        <v>9535609</v>
      </c>
      <c r="I2131" s="654">
        <v>-30827</v>
      </c>
      <c r="J2131" s="654">
        <v>9504782</v>
      </c>
      <c r="K2131" s="654">
        <v>9504782</v>
      </c>
      <c r="L2131" s="654">
        <v>0</v>
      </c>
      <c r="M2131" s="654">
        <v>0</v>
      </c>
      <c r="N2131" s="654">
        <v>1535032</v>
      </c>
    </row>
    <row r="2132" spans="2:14" x14ac:dyDescent="0.15">
      <c r="B2132"/>
      <c r="D2132" t="s">
        <v>627</v>
      </c>
      <c r="E2132" t="s">
        <v>379</v>
      </c>
      <c r="F2132" t="s">
        <v>626</v>
      </c>
      <c r="G2132" t="s">
        <v>600</v>
      </c>
      <c r="H2132" s="654">
        <v>4235406</v>
      </c>
      <c r="I2132" s="654">
        <v>-105669</v>
      </c>
      <c r="J2132" s="654">
        <v>4129737</v>
      </c>
      <c r="K2132" s="654">
        <v>4129737</v>
      </c>
      <c r="L2132" s="654">
        <v>0</v>
      </c>
      <c r="M2132" s="654">
        <v>15083</v>
      </c>
      <c r="N2132" s="654">
        <v>516297</v>
      </c>
    </row>
    <row r="2133" spans="2:14" x14ac:dyDescent="0.15">
      <c r="B2133"/>
      <c r="F2133" t="s">
        <v>733</v>
      </c>
      <c r="H2133" s="654">
        <v>4235406</v>
      </c>
      <c r="I2133" s="654">
        <v>-105669</v>
      </c>
      <c r="J2133" s="654">
        <v>4129737</v>
      </c>
      <c r="K2133" s="654">
        <v>4129737</v>
      </c>
      <c r="L2133" s="654">
        <v>0</v>
      </c>
      <c r="M2133" s="654">
        <v>15083</v>
      </c>
      <c r="N2133" s="654">
        <v>516297</v>
      </c>
    </row>
    <row r="2134" spans="2:14" x14ac:dyDescent="0.15">
      <c r="B2134"/>
      <c r="F2134" t="s">
        <v>627</v>
      </c>
      <c r="G2134" t="s">
        <v>599</v>
      </c>
      <c r="H2134" s="654">
        <v>978164</v>
      </c>
      <c r="I2134" s="654">
        <v>-115343</v>
      </c>
      <c r="J2134" s="654">
        <v>862821</v>
      </c>
      <c r="K2134" s="654">
        <v>862821</v>
      </c>
      <c r="L2134" s="654">
        <v>0</v>
      </c>
      <c r="M2134" s="654">
        <v>146456</v>
      </c>
      <c r="N2134" s="654">
        <v>199219</v>
      </c>
    </row>
    <row r="2135" spans="2:14" x14ac:dyDescent="0.15">
      <c r="B2135"/>
      <c r="F2135" t="s">
        <v>734</v>
      </c>
      <c r="H2135" s="654">
        <v>978164</v>
      </c>
      <c r="I2135" s="654">
        <v>-115343</v>
      </c>
      <c r="J2135" s="654">
        <v>862821</v>
      </c>
      <c r="K2135" s="654">
        <v>862821</v>
      </c>
      <c r="L2135" s="654">
        <v>0</v>
      </c>
      <c r="M2135" s="654">
        <v>146456</v>
      </c>
      <c r="N2135" s="654">
        <v>199219</v>
      </c>
    </row>
    <row r="2136" spans="2:14" x14ac:dyDescent="0.15">
      <c r="B2136"/>
      <c r="F2136" t="s">
        <v>628</v>
      </c>
      <c r="G2136" t="s">
        <v>598</v>
      </c>
      <c r="H2136" s="654">
        <v>479063</v>
      </c>
      <c r="I2136" s="654">
        <v>-15116</v>
      </c>
      <c r="J2136" s="654">
        <v>463947</v>
      </c>
      <c r="K2136" s="654">
        <v>463947</v>
      </c>
      <c r="L2136" s="654">
        <v>0</v>
      </c>
      <c r="M2136" s="654">
        <v>0</v>
      </c>
      <c r="N2136" s="654">
        <v>0</v>
      </c>
    </row>
    <row r="2137" spans="2:14" x14ac:dyDescent="0.15">
      <c r="B2137"/>
      <c r="F2137" t="s">
        <v>735</v>
      </c>
      <c r="H2137" s="654">
        <v>479063</v>
      </c>
      <c r="I2137" s="654">
        <v>-15116</v>
      </c>
      <c r="J2137" s="654">
        <v>463947</v>
      </c>
      <c r="K2137" s="654">
        <v>463947</v>
      </c>
      <c r="L2137" s="654">
        <v>0</v>
      </c>
      <c r="M2137" s="654">
        <v>0</v>
      </c>
      <c r="N2137" s="654">
        <v>0</v>
      </c>
    </row>
    <row r="2138" spans="2:14" x14ac:dyDescent="0.15">
      <c r="B2138"/>
      <c r="E2138" t="s">
        <v>770</v>
      </c>
      <c r="H2138" s="654">
        <v>5692633</v>
      </c>
      <c r="I2138" s="654">
        <v>-236128</v>
      </c>
      <c r="J2138" s="654">
        <v>5456505</v>
      </c>
      <c r="K2138" s="654">
        <v>5456505</v>
      </c>
      <c r="L2138" s="654">
        <v>0</v>
      </c>
      <c r="M2138" s="654">
        <v>161539</v>
      </c>
      <c r="N2138" s="654">
        <v>715516</v>
      </c>
    </row>
    <row r="2139" spans="2:14" x14ac:dyDescent="0.15">
      <c r="B2139"/>
      <c r="D2139" t="s">
        <v>734</v>
      </c>
      <c r="H2139" s="654">
        <v>5692633</v>
      </c>
      <c r="I2139" s="654">
        <v>-236128</v>
      </c>
      <c r="J2139" s="654">
        <v>5456505</v>
      </c>
      <c r="K2139" s="654">
        <v>5456505</v>
      </c>
      <c r="L2139" s="654">
        <v>0</v>
      </c>
      <c r="M2139" s="654">
        <v>161539</v>
      </c>
      <c r="N2139" s="654">
        <v>715516</v>
      </c>
    </row>
    <row r="2140" spans="2:14" x14ac:dyDescent="0.15">
      <c r="B2140"/>
      <c r="D2140" t="s">
        <v>628</v>
      </c>
      <c r="E2140" t="s">
        <v>380</v>
      </c>
      <c r="F2140" t="s">
        <v>626</v>
      </c>
      <c r="G2140" t="s">
        <v>600</v>
      </c>
      <c r="H2140" s="654">
        <v>4566124</v>
      </c>
      <c r="I2140" s="654">
        <v>-243</v>
      </c>
      <c r="J2140" s="654">
        <v>4565881</v>
      </c>
      <c r="K2140" s="654">
        <v>4565881</v>
      </c>
      <c r="L2140" s="654">
        <v>0</v>
      </c>
      <c r="M2140" s="654">
        <v>10210</v>
      </c>
      <c r="N2140" s="654">
        <v>494657</v>
      </c>
    </row>
    <row r="2141" spans="2:14" x14ac:dyDescent="0.15">
      <c r="B2141"/>
      <c r="F2141" t="s">
        <v>733</v>
      </c>
      <c r="H2141" s="654">
        <v>4566124</v>
      </c>
      <c r="I2141" s="654">
        <v>-243</v>
      </c>
      <c r="J2141" s="654">
        <v>4565881</v>
      </c>
      <c r="K2141" s="654">
        <v>4565881</v>
      </c>
      <c r="L2141" s="654">
        <v>0</v>
      </c>
      <c r="M2141" s="654">
        <v>10210</v>
      </c>
      <c r="N2141" s="654">
        <v>494657</v>
      </c>
    </row>
    <row r="2142" spans="2:14" x14ac:dyDescent="0.15">
      <c r="B2142"/>
      <c r="F2142" t="s">
        <v>627</v>
      </c>
      <c r="G2142" t="s">
        <v>599</v>
      </c>
      <c r="H2142" s="654">
        <v>1762102</v>
      </c>
      <c r="I2142" s="654">
        <v>0</v>
      </c>
      <c r="J2142" s="654">
        <v>1762102</v>
      </c>
      <c r="K2142" s="654">
        <v>1762102</v>
      </c>
      <c r="L2142" s="654">
        <v>0</v>
      </c>
      <c r="M2142" s="654">
        <v>0</v>
      </c>
      <c r="N2142" s="654">
        <v>414592</v>
      </c>
    </row>
    <row r="2143" spans="2:14" x14ac:dyDescent="0.15">
      <c r="B2143"/>
      <c r="F2143" t="s">
        <v>734</v>
      </c>
      <c r="H2143" s="654">
        <v>1762102</v>
      </c>
      <c r="I2143" s="654">
        <v>0</v>
      </c>
      <c r="J2143" s="654">
        <v>1762102</v>
      </c>
      <c r="K2143" s="654">
        <v>1762102</v>
      </c>
      <c r="L2143" s="654">
        <v>0</v>
      </c>
      <c r="M2143" s="654">
        <v>0</v>
      </c>
      <c r="N2143" s="654">
        <v>414592</v>
      </c>
    </row>
    <row r="2144" spans="2:14" x14ac:dyDescent="0.15">
      <c r="B2144"/>
      <c r="E2144" t="s">
        <v>771</v>
      </c>
      <c r="H2144" s="654">
        <v>6328226</v>
      </c>
      <c r="I2144" s="654">
        <v>-243</v>
      </c>
      <c r="J2144" s="654">
        <v>6327983</v>
      </c>
      <c r="K2144" s="654">
        <v>6327983</v>
      </c>
      <c r="L2144" s="654">
        <v>0</v>
      </c>
      <c r="M2144" s="654">
        <v>10210</v>
      </c>
      <c r="N2144" s="654">
        <v>909249</v>
      </c>
    </row>
    <row r="2145" spans="2:14" x14ac:dyDescent="0.15">
      <c r="B2145"/>
      <c r="D2145" t="s">
        <v>735</v>
      </c>
      <c r="H2145" s="654">
        <v>6328226</v>
      </c>
      <c r="I2145" s="654">
        <v>-243</v>
      </c>
      <c r="J2145" s="654">
        <v>6327983</v>
      </c>
      <c r="K2145" s="654">
        <v>6327983</v>
      </c>
      <c r="L2145" s="654">
        <v>0</v>
      </c>
      <c r="M2145" s="654">
        <v>10210</v>
      </c>
      <c r="N2145" s="654">
        <v>909249</v>
      </c>
    </row>
    <row r="2146" spans="2:14" x14ac:dyDescent="0.15">
      <c r="B2146"/>
      <c r="D2146" t="s">
        <v>629</v>
      </c>
      <c r="E2146" t="s">
        <v>676</v>
      </c>
      <c r="F2146" t="s">
        <v>629</v>
      </c>
      <c r="G2146" t="s">
        <v>601</v>
      </c>
      <c r="H2146" s="654">
        <v>3928452</v>
      </c>
      <c r="I2146" s="654">
        <v>-8433</v>
      </c>
      <c r="J2146" s="654">
        <v>3920019</v>
      </c>
      <c r="K2146" s="654">
        <v>3920019</v>
      </c>
      <c r="L2146" s="654">
        <v>0</v>
      </c>
      <c r="M2146" s="654">
        <v>0</v>
      </c>
      <c r="N2146" s="654">
        <v>218824</v>
      </c>
    </row>
    <row r="2147" spans="2:14" x14ac:dyDescent="0.15">
      <c r="B2147"/>
      <c r="F2147" t="s">
        <v>736</v>
      </c>
      <c r="H2147" s="654">
        <v>3928452</v>
      </c>
      <c r="I2147" s="654">
        <v>-8433</v>
      </c>
      <c r="J2147" s="654">
        <v>3920019</v>
      </c>
      <c r="K2147" s="654">
        <v>3920019</v>
      </c>
      <c r="L2147" s="654">
        <v>0</v>
      </c>
      <c r="M2147" s="654">
        <v>0</v>
      </c>
      <c r="N2147" s="654">
        <v>218824</v>
      </c>
    </row>
    <row r="2148" spans="2:14" x14ac:dyDescent="0.15">
      <c r="B2148"/>
      <c r="E2148" t="s">
        <v>772</v>
      </c>
      <c r="H2148" s="654">
        <v>3928452</v>
      </c>
      <c r="I2148" s="654">
        <v>-8433</v>
      </c>
      <c r="J2148" s="654">
        <v>3920019</v>
      </c>
      <c r="K2148" s="654">
        <v>3920019</v>
      </c>
      <c r="L2148" s="654">
        <v>0</v>
      </c>
      <c r="M2148" s="654">
        <v>0</v>
      </c>
      <c r="N2148" s="654">
        <v>218824</v>
      </c>
    </row>
    <row r="2149" spans="2:14" x14ac:dyDescent="0.15">
      <c r="B2149"/>
      <c r="D2149" t="s">
        <v>736</v>
      </c>
      <c r="H2149" s="654">
        <v>3928452</v>
      </c>
      <c r="I2149" s="654">
        <v>-8433</v>
      </c>
      <c r="J2149" s="654">
        <v>3920019</v>
      </c>
      <c r="K2149" s="654">
        <v>3920019</v>
      </c>
      <c r="L2149" s="654">
        <v>0</v>
      </c>
      <c r="M2149" s="654">
        <v>0</v>
      </c>
      <c r="N2149" s="654">
        <v>218824</v>
      </c>
    </row>
    <row r="2150" spans="2:14" x14ac:dyDescent="0.15">
      <c r="B2150"/>
      <c r="D2150" t="s">
        <v>567</v>
      </c>
      <c r="E2150" t="s">
        <v>473</v>
      </c>
      <c r="F2150" t="s">
        <v>631</v>
      </c>
      <c r="G2150" t="s">
        <v>596</v>
      </c>
      <c r="H2150" s="654">
        <v>777456</v>
      </c>
      <c r="I2150" s="654">
        <v>-259501</v>
      </c>
      <c r="J2150" s="654">
        <v>517955</v>
      </c>
      <c r="K2150" s="654">
        <v>517955</v>
      </c>
      <c r="L2150" s="654">
        <v>0</v>
      </c>
      <c r="M2150" s="654">
        <v>0</v>
      </c>
      <c r="N2150" s="654">
        <v>242054</v>
      </c>
    </row>
    <row r="2151" spans="2:14" x14ac:dyDescent="0.15">
      <c r="B2151"/>
      <c r="F2151" t="s">
        <v>737</v>
      </c>
      <c r="H2151" s="654">
        <v>777456</v>
      </c>
      <c r="I2151" s="654">
        <v>-259501</v>
      </c>
      <c r="J2151" s="654">
        <v>517955</v>
      </c>
      <c r="K2151" s="654">
        <v>517955</v>
      </c>
      <c r="L2151" s="654">
        <v>0</v>
      </c>
      <c r="M2151" s="654">
        <v>0</v>
      </c>
      <c r="N2151" s="654">
        <v>242054</v>
      </c>
    </row>
    <row r="2152" spans="2:14" x14ac:dyDescent="0.15">
      <c r="B2152"/>
      <c r="E2152" t="s">
        <v>773</v>
      </c>
      <c r="H2152" s="654">
        <v>777456</v>
      </c>
      <c r="I2152" s="654">
        <v>-259501</v>
      </c>
      <c r="J2152" s="654">
        <v>517955</v>
      </c>
      <c r="K2152" s="654">
        <v>517955</v>
      </c>
      <c r="L2152" s="654">
        <v>0</v>
      </c>
      <c r="M2152" s="654">
        <v>0</v>
      </c>
      <c r="N2152" s="654">
        <v>242054</v>
      </c>
    </row>
    <row r="2153" spans="2:14" x14ac:dyDescent="0.15">
      <c r="B2153"/>
      <c r="D2153" t="s">
        <v>739</v>
      </c>
      <c r="H2153" s="654">
        <v>777456</v>
      </c>
      <c r="I2153" s="654">
        <v>-259501</v>
      </c>
      <c r="J2153" s="654">
        <v>517955</v>
      </c>
      <c r="K2153" s="654">
        <v>517955</v>
      </c>
      <c r="L2153" s="654">
        <v>0</v>
      </c>
      <c r="M2153" s="654">
        <v>0</v>
      </c>
      <c r="N2153" s="654">
        <v>242054</v>
      </c>
    </row>
    <row r="2154" spans="2:14" x14ac:dyDescent="0.15">
      <c r="B2154"/>
      <c r="D2154" t="s">
        <v>568</v>
      </c>
      <c r="E2154" t="s">
        <v>474</v>
      </c>
      <c r="F2154" t="s">
        <v>631</v>
      </c>
      <c r="G2154" t="s">
        <v>596</v>
      </c>
      <c r="H2154" s="654">
        <v>976056</v>
      </c>
      <c r="I2154" s="654">
        <v>0</v>
      </c>
      <c r="J2154" s="654">
        <v>976056</v>
      </c>
      <c r="K2154" s="654">
        <v>976056</v>
      </c>
      <c r="L2154" s="654">
        <v>0</v>
      </c>
      <c r="M2154" s="654">
        <v>0</v>
      </c>
      <c r="N2154" s="654">
        <v>0</v>
      </c>
    </row>
    <row r="2155" spans="2:14" x14ac:dyDescent="0.15">
      <c r="B2155"/>
      <c r="F2155" t="s">
        <v>737</v>
      </c>
      <c r="H2155" s="654">
        <v>976056</v>
      </c>
      <c r="I2155" s="654">
        <v>0</v>
      </c>
      <c r="J2155" s="654">
        <v>976056</v>
      </c>
      <c r="K2155" s="654">
        <v>976056</v>
      </c>
      <c r="L2155" s="654">
        <v>0</v>
      </c>
      <c r="M2155" s="654">
        <v>0</v>
      </c>
      <c r="N2155" s="654">
        <v>0</v>
      </c>
    </row>
    <row r="2156" spans="2:14" x14ac:dyDescent="0.15">
      <c r="B2156"/>
      <c r="E2156" t="s">
        <v>774</v>
      </c>
      <c r="H2156" s="654">
        <v>976056</v>
      </c>
      <c r="I2156" s="654">
        <v>0</v>
      </c>
      <c r="J2156" s="654">
        <v>976056</v>
      </c>
      <c r="K2156" s="654">
        <v>976056</v>
      </c>
      <c r="L2156" s="654">
        <v>0</v>
      </c>
      <c r="M2156" s="654">
        <v>0</v>
      </c>
      <c r="N2156" s="654">
        <v>0</v>
      </c>
    </row>
    <row r="2157" spans="2:14" x14ac:dyDescent="0.15">
      <c r="B2157"/>
      <c r="D2157" t="s">
        <v>740</v>
      </c>
      <c r="H2157" s="654">
        <v>976056</v>
      </c>
      <c r="I2157" s="654">
        <v>0</v>
      </c>
      <c r="J2157" s="654">
        <v>976056</v>
      </c>
      <c r="K2157" s="654">
        <v>976056</v>
      </c>
      <c r="L2157" s="654">
        <v>0</v>
      </c>
      <c r="M2157" s="654">
        <v>0</v>
      </c>
      <c r="N2157" s="654">
        <v>0</v>
      </c>
    </row>
    <row r="2158" spans="2:14" x14ac:dyDescent="0.15">
      <c r="B2158"/>
      <c r="D2158" t="s">
        <v>582</v>
      </c>
      <c r="E2158" t="s">
        <v>384</v>
      </c>
      <c r="F2158" t="s">
        <v>631</v>
      </c>
      <c r="G2158" t="s">
        <v>596</v>
      </c>
      <c r="H2158" s="654">
        <v>2397545</v>
      </c>
      <c r="I2158" s="654">
        <v>-228527</v>
      </c>
      <c r="J2158" s="654">
        <v>2169018</v>
      </c>
      <c r="K2158" s="654">
        <v>2169018</v>
      </c>
      <c r="L2158" s="654">
        <v>0</v>
      </c>
      <c r="M2158" s="654">
        <v>0</v>
      </c>
      <c r="N2158" s="654">
        <v>0</v>
      </c>
    </row>
    <row r="2159" spans="2:14" x14ac:dyDescent="0.15">
      <c r="B2159"/>
      <c r="F2159" t="s">
        <v>737</v>
      </c>
      <c r="H2159" s="654">
        <v>2397545</v>
      </c>
      <c r="I2159" s="654">
        <v>-228527</v>
      </c>
      <c r="J2159" s="654">
        <v>2169018</v>
      </c>
      <c r="K2159" s="654">
        <v>2169018</v>
      </c>
      <c r="L2159" s="654">
        <v>0</v>
      </c>
      <c r="M2159" s="654">
        <v>0</v>
      </c>
      <c r="N2159" s="654">
        <v>0</v>
      </c>
    </row>
    <row r="2160" spans="2:14" x14ac:dyDescent="0.15">
      <c r="B2160"/>
      <c r="E2160" t="s">
        <v>778</v>
      </c>
      <c r="H2160" s="654">
        <v>2397545</v>
      </c>
      <c r="I2160" s="654">
        <v>-228527</v>
      </c>
      <c r="J2160" s="654">
        <v>2169018</v>
      </c>
      <c r="K2160" s="654">
        <v>2169018</v>
      </c>
      <c r="L2160" s="654">
        <v>0</v>
      </c>
      <c r="M2160" s="654">
        <v>0</v>
      </c>
      <c r="N2160" s="654">
        <v>0</v>
      </c>
    </row>
    <row r="2161" spans="2:14" x14ac:dyDescent="0.15">
      <c r="B2161"/>
      <c r="D2161" t="s">
        <v>743</v>
      </c>
      <c r="H2161" s="654">
        <v>2397545</v>
      </c>
      <c r="I2161" s="654">
        <v>-228527</v>
      </c>
      <c r="J2161" s="654">
        <v>2169018</v>
      </c>
      <c r="K2161" s="654">
        <v>2169018</v>
      </c>
      <c r="L2161" s="654">
        <v>0</v>
      </c>
      <c r="M2161" s="654">
        <v>0</v>
      </c>
      <c r="N2161" s="654">
        <v>0</v>
      </c>
    </row>
    <row r="2162" spans="2:14" x14ac:dyDescent="0.15">
      <c r="B2162"/>
      <c r="D2162" t="s">
        <v>631</v>
      </c>
      <c r="E2162" t="s">
        <v>381</v>
      </c>
      <c r="F2162" t="s">
        <v>626</v>
      </c>
      <c r="G2162" t="s">
        <v>600</v>
      </c>
      <c r="H2162" s="654">
        <v>2039297</v>
      </c>
      <c r="I2162" s="654">
        <v>0</v>
      </c>
      <c r="J2162" s="654">
        <v>2039297</v>
      </c>
      <c r="K2162" s="654">
        <v>2039297</v>
      </c>
      <c r="L2162" s="654">
        <v>0</v>
      </c>
      <c r="M2162" s="654">
        <v>0</v>
      </c>
      <c r="N2162" s="654">
        <v>0</v>
      </c>
    </row>
    <row r="2163" spans="2:14" x14ac:dyDescent="0.15">
      <c r="B2163"/>
      <c r="F2163" t="s">
        <v>733</v>
      </c>
      <c r="H2163" s="654">
        <v>2039297</v>
      </c>
      <c r="I2163" s="654">
        <v>0</v>
      </c>
      <c r="J2163" s="654">
        <v>2039297</v>
      </c>
      <c r="K2163" s="654">
        <v>2039297</v>
      </c>
      <c r="L2163" s="654">
        <v>0</v>
      </c>
      <c r="M2163" s="654">
        <v>0</v>
      </c>
      <c r="N2163" s="654">
        <v>0</v>
      </c>
    </row>
    <row r="2164" spans="2:14" x14ac:dyDescent="0.15">
      <c r="B2164"/>
      <c r="E2164" t="s">
        <v>776</v>
      </c>
      <c r="H2164" s="654">
        <v>2039297</v>
      </c>
      <c r="I2164" s="654">
        <v>0</v>
      </c>
      <c r="J2164" s="654">
        <v>2039297</v>
      </c>
      <c r="K2164" s="654">
        <v>2039297</v>
      </c>
      <c r="L2164" s="654">
        <v>0</v>
      </c>
      <c r="M2164" s="654">
        <v>0</v>
      </c>
      <c r="N2164" s="654">
        <v>0</v>
      </c>
    </row>
    <row r="2165" spans="2:14" x14ac:dyDescent="0.15">
      <c r="B2165"/>
      <c r="D2165" t="s">
        <v>737</v>
      </c>
      <c r="H2165" s="654">
        <v>2039297</v>
      </c>
      <c r="I2165" s="654">
        <v>0</v>
      </c>
      <c r="J2165" s="654">
        <v>2039297</v>
      </c>
      <c r="K2165" s="654">
        <v>2039297</v>
      </c>
      <c r="L2165" s="654">
        <v>0</v>
      </c>
      <c r="M2165" s="654">
        <v>0</v>
      </c>
      <c r="N2165" s="654">
        <v>0</v>
      </c>
    </row>
    <row r="2166" spans="2:14" x14ac:dyDescent="0.15">
      <c r="B2166"/>
      <c r="D2166" t="s">
        <v>671</v>
      </c>
      <c r="E2166" t="s">
        <v>383</v>
      </c>
      <c r="F2166" t="s">
        <v>626</v>
      </c>
      <c r="G2166" t="s">
        <v>600</v>
      </c>
      <c r="H2166" s="654">
        <v>887407</v>
      </c>
      <c r="I2166" s="654">
        <v>0</v>
      </c>
      <c r="J2166" s="654">
        <v>887407</v>
      </c>
      <c r="K2166" s="654">
        <v>887407</v>
      </c>
      <c r="L2166" s="654">
        <v>0</v>
      </c>
      <c r="M2166" s="654">
        <v>0</v>
      </c>
      <c r="N2166" s="654">
        <v>0</v>
      </c>
    </row>
    <row r="2167" spans="2:14" x14ac:dyDescent="0.15">
      <c r="B2167"/>
      <c r="F2167" t="s">
        <v>733</v>
      </c>
      <c r="H2167" s="654">
        <v>887407</v>
      </c>
      <c r="I2167" s="654">
        <v>0</v>
      </c>
      <c r="J2167" s="654">
        <v>887407</v>
      </c>
      <c r="K2167" s="654">
        <v>887407</v>
      </c>
      <c r="L2167" s="654">
        <v>0</v>
      </c>
      <c r="M2167" s="654">
        <v>0</v>
      </c>
      <c r="N2167" s="654">
        <v>0</v>
      </c>
    </row>
    <row r="2168" spans="2:14" x14ac:dyDescent="0.15">
      <c r="B2168"/>
      <c r="F2168" t="s">
        <v>627</v>
      </c>
      <c r="G2168" t="s">
        <v>599</v>
      </c>
      <c r="H2168" s="654">
        <v>26796</v>
      </c>
      <c r="I2168" s="654">
        <v>0</v>
      </c>
      <c r="J2168" s="654">
        <v>26796</v>
      </c>
      <c r="K2168" s="654">
        <v>26796</v>
      </c>
      <c r="L2168" s="654">
        <v>0</v>
      </c>
      <c r="M2168" s="654">
        <v>0</v>
      </c>
      <c r="N2168" s="654">
        <v>0</v>
      </c>
    </row>
    <row r="2169" spans="2:14" x14ac:dyDescent="0.15">
      <c r="B2169"/>
      <c r="F2169" t="s">
        <v>734</v>
      </c>
      <c r="H2169" s="654">
        <v>26796</v>
      </c>
      <c r="I2169" s="654">
        <v>0</v>
      </c>
      <c r="J2169" s="654">
        <v>26796</v>
      </c>
      <c r="K2169" s="654">
        <v>26796</v>
      </c>
      <c r="L2169" s="654">
        <v>0</v>
      </c>
      <c r="M2169" s="654">
        <v>0</v>
      </c>
      <c r="N2169" s="654">
        <v>0</v>
      </c>
    </row>
    <row r="2170" spans="2:14" x14ac:dyDescent="0.15">
      <c r="B2170"/>
      <c r="E2170" t="s">
        <v>777</v>
      </c>
      <c r="H2170" s="654">
        <v>914203</v>
      </c>
      <c r="I2170" s="654">
        <v>0</v>
      </c>
      <c r="J2170" s="654">
        <v>914203</v>
      </c>
      <c r="K2170" s="654">
        <v>914203</v>
      </c>
      <c r="L2170" s="654">
        <v>0</v>
      </c>
      <c r="M2170" s="654">
        <v>0</v>
      </c>
      <c r="N2170" s="654">
        <v>0</v>
      </c>
    </row>
    <row r="2171" spans="2:14" x14ac:dyDescent="0.15">
      <c r="B2171"/>
      <c r="D2171" t="s">
        <v>742</v>
      </c>
      <c r="H2171" s="654">
        <v>914203</v>
      </c>
      <c r="I2171" s="654">
        <v>0</v>
      </c>
      <c r="J2171" s="654">
        <v>914203</v>
      </c>
      <c r="K2171" s="654">
        <v>914203</v>
      </c>
      <c r="L2171" s="654">
        <v>0</v>
      </c>
      <c r="M2171" s="654">
        <v>0</v>
      </c>
      <c r="N2171" s="654">
        <v>0</v>
      </c>
    </row>
    <row r="2172" spans="2:14" x14ac:dyDescent="0.15">
      <c r="B2172"/>
      <c r="D2172" t="s">
        <v>965</v>
      </c>
      <c r="E2172" t="s">
        <v>986</v>
      </c>
      <c r="F2172" t="s">
        <v>626</v>
      </c>
      <c r="G2172" t="s">
        <v>600</v>
      </c>
      <c r="H2172" s="654">
        <v>264787</v>
      </c>
      <c r="I2172" s="654">
        <v>-264787</v>
      </c>
      <c r="J2172" s="654">
        <v>0</v>
      </c>
      <c r="K2172" s="654">
        <v>0</v>
      </c>
      <c r="L2172" s="654">
        <v>0</v>
      </c>
      <c r="M2172" s="654">
        <v>0</v>
      </c>
      <c r="N2172" s="654">
        <v>0</v>
      </c>
    </row>
    <row r="2173" spans="2:14" x14ac:dyDescent="0.15">
      <c r="B2173"/>
      <c r="F2173" t="s">
        <v>733</v>
      </c>
      <c r="H2173" s="654">
        <v>264787</v>
      </c>
      <c r="I2173" s="654">
        <v>-264787</v>
      </c>
      <c r="J2173" s="654">
        <v>0</v>
      </c>
      <c r="K2173" s="654">
        <v>0</v>
      </c>
      <c r="L2173" s="654">
        <v>0</v>
      </c>
      <c r="M2173" s="654">
        <v>0</v>
      </c>
      <c r="N2173" s="654">
        <v>0</v>
      </c>
    </row>
    <row r="2174" spans="2:14" x14ac:dyDescent="0.15">
      <c r="B2174"/>
      <c r="F2174" t="s">
        <v>627</v>
      </c>
      <c r="G2174" t="s">
        <v>599</v>
      </c>
      <c r="H2174" s="654">
        <v>97685</v>
      </c>
      <c r="I2174" s="654">
        <v>0</v>
      </c>
      <c r="J2174" s="654">
        <v>97685</v>
      </c>
      <c r="K2174" s="654">
        <v>97685</v>
      </c>
      <c r="L2174" s="654">
        <v>0</v>
      </c>
      <c r="M2174" s="654">
        <v>0</v>
      </c>
      <c r="N2174" s="654">
        <v>22715</v>
      </c>
    </row>
    <row r="2175" spans="2:14" x14ac:dyDescent="0.15">
      <c r="B2175"/>
      <c r="F2175" t="s">
        <v>734</v>
      </c>
      <c r="H2175" s="654">
        <v>97685</v>
      </c>
      <c r="I2175" s="654">
        <v>0</v>
      </c>
      <c r="J2175" s="654">
        <v>97685</v>
      </c>
      <c r="K2175" s="654">
        <v>97685</v>
      </c>
      <c r="L2175" s="654">
        <v>0</v>
      </c>
      <c r="M2175" s="654">
        <v>0</v>
      </c>
      <c r="N2175" s="654">
        <v>22715</v>
      </c>
    </row>
    <row r="2176" spans="2:14" x14ac:dyDescent="0.15">
      <c r="B2176"/>
      <c r="E2176" t="s">
        <v>1138</v>
      </c>
      <c r="H2176" s="654">
        <v>362472</v>
      </c>
      <c r="I2176" s="654">
        <v>-264787</v>
      </c>
      <c r="J2176" s="654">
        <v>97685</v>
      </c>
      <c r="K2176" s="654">
        <v>97685</v>
      </c>
      <c r="L2176" s="654">
        <v>0</v>
      </c>
      <c r="M2176" s="654">
        <v>0</v>
      </c>
      <c r="N2176" s="654">
        <v>22715</v>
      </c>
    </row>
    <row r="2177" spans="2:14" x14ac:dyDescent="0.15">
      <c r="B2177"/>
      <c r="D2177" t="s">
        <v>1139</v>
      </c>
      <c r="H2177" s="654">
        <v>362472</v>
      </c>
      <c r="I2177" s="654">
        <v>-264787</v>
      </c>
      <c r="J2177" s="654">
        <v>97685</v>
      </c>
      <c r="K2177" s="654">
        <v>97685</v>
      </c>
      <c r="L2177" s="654">
        <v>0</v>
      </c>
      <c r="M2177" s="654">
        <v>0</v>
      </c>
      <c r="N2177" s="654">
        <v>22715</v>
      </c>
    </row>
    <row r="2178" spans="2:14" x14ac:dyDescent="0.15">
      <c r="B2178"/>
      <c r="C2178" t="s">
        <v>853</v>
      </c>
      <c r="H2178" s="654">
        <v>32951949</v>
      </c>
      <c r="I2178" s="654">
        <v>-1028446</v>
      </c>
      <c r="J2178" s="654">
        <v>31923503</v>
      </c>
      <c r="K2178" s="654">
        <v>31923503</v>
      </c>
      <c r="L2178" s="654">
        <v>0</v>
      </c>
      <c r="M2178" s="654">
        <v>171749</v>
      </c>
      <c r="N2178" s="654">
        <v>3643390</v>
      </c>
    </row>
    <row r="2179" spans="2:14" x14ac:dyDescent="0.15">
      <c r="B2179" t="s">
        <v>627</v>
      </c>
      <c r="C2179" t="s">
        <v>847</v>
      </c>
      <c r="D2179" t="s">
        <v>626</v>
      </c>
      <c r="E2179" t="s">
        <v>378</v>
      </c>
      <c r="F2179" t="s">
        <v>626</v>
      </c>
      <c r="G2179" t="s">
        <v>600</v>
      </c>
      <c r="H2179" s="654">
        <v>0</v>
      </c>
      <c r="I2179" s="654">
        <v>14209</v>
      </c>
      <c r="J2179" s="654">
        <v>14209</v>
      </c>
      <c r="K2179" s="654">
        <v>14209</v>
      </c>
      <c r="L2179" s="654">
        <v>0</v>
      </c>
      <c r="M2179" s="654">
        <v>0</v>
      </c>
      <c r="N2179" s="654">
        <v>0</v>
      </c>
    </row>
    <row r="2180" spans="2:14" x14ac:dyDescent="0.15">
      <c r="B2180"/>
      <c r="F2180" t="s">
        <v>733</v>
      </c>
      <c r="H2180" s="654">
        <v>0</v>
      </c>
      <c r="I2180" s="654">
        <v>14209</v>
      </c>
      <c r="J2180" s="654">
        <v>14209</v>
      </c>
      <c r="K2180" s="654">
        <v>14209</v>
      </c>
      <c r="L2180" s="654">
        <v>0</v>
      </c>
      <c r="M2180" s="654">
        <v>0</v>
      </c>
      <c r="N2180" s="654">
        <v>0</v>
      </c>
    </row>
    <row r="2181" spans="2:14" x14ac:dyDescent="0.15">
      <c r="B2181"/>
      <c r="F2181" t="s">
        <v>627</v>
      </c>
      <c r="G2181" t="s">
        <v>599</v>
      </c>
      <c r="H2181" s="654">
        <v>0</v>
      </c>
      <c r="I2181" s="654">
        <v>0</v>
      </c>
      <c r="J2181" s="654">
        <v>0</v>
      </c>
      <c r="K2181" s="654">
        <v>0</v>
      </c>
      <c r="L2181" s="654">
        <v>0</v>
      </c>
      <c r="M2181" s="654">
        <v>0</v>
      </c>
      <c r="N2181" s="654">
        <v>0</v>
      </c>
    </row>
    <row r="2182" spans="2:14" x14ac:dyDescent="0.15">
      <c r="B2182"/>
      <c r="F2182" t="s">
        <v>734</v>
      </c>
      <c r="H2182" s="654">
        <v>0</v>
      </c>
      <c r="I2182" s="654">
        <v>0</v>
      </c>
      <c r="J2182" s="654">
        <v>0</v>
      </c>
      <c r="K2182" s="654">
        <v>0</v>
      </c>
      <c r="L2182" s="654">
        <v>0</v>
      </c>
      <c r="M2182" s="654">
        <v>0</v>
      </c>
      <c r="N2182" s="654">
        <v>0</v>
      </c>
    </row>
    <row r="2183" spans="2:14" x14ac:dyDescent="0.15">
      <c r="B2183"/>
      <c r="F2183" t="s">
        <v>628</v>
      </c>
      <c r="G2183" t="s">
        <v>598</v>
      </c>
      <c r="H2183" s="654">
        <v>46801</v>
      </c>
      <c r="I2183" s="654">
        <v>-17687</v>
      </c>
      <c r="J2183" s="654">
        <v>29114</v>
      </c>
      <c r="K2183" s="654">
        <v>29114</v>
      </c>
      <c r="L2183" s="654">
        <v>0</v>
      </c>
      <c r="M2183" s="654">
        <v>0</v>
      </c>
      <c r="N2183" s="654">
        <v>0</v>
      </c>
    </row>
    <row r="2184" spans="2:14" x14ac:dyDescent="0.15">
      <c r="B2184"/>
      <c r="F2184" t="s">
        <v>735</v>
      </c>
      <c r="H2184" s="654">
        <v>46801</v>
      </c>
      <c r="I2184" s="654">
        <v>-17687</v>
      </c>
      <c r="J2184" s="654">
        <v>29114</v>
      </c>
      <c r="K2184" s="654">
        <v>29114</v>
      </c>
      <c r="L2184" s="654">
        <v>0</v>
      </c>
      <c r="M2184" s="654">
        <v>0</v>
      </c>
      <c r="N2184" s="654">
        <v>0</v>
      </c>
    </row>
    <row r="2185" spans="2:14" x14ac:dyDescent="0.15">
      <c r="B2185"/>
      <c r="E2185" t="s">
        <v>769</v>
      </c>
      <c r="H2185" s="654">
        <v>46801</v>
      </c>
      <c r="I2185" s="654">
        <v>-3478</v>
      </c>
      <c r="J2185" s="654">
        <v>43323</v>
      </c>
      <c r="K2185" s="654">
        <v>43323</v>
      </c>
      <c r="L2185" s="654">
        <v>0</v>
      </c>
      <c r="M2185" s="654">
        <v>0</v>
      </c>
      <c r="N2185" s="654">
        <v>0</v>
      </c>
    </row>
    <row r="2186" spans="2:14" x14ac:dyDescent="0.15">
      <c r="B2186"/>
      <c r="D2186" t="s">
        <v>733</v>
      </c>
      <c r="H2186" s="654">
        <v>46801</v>
      </c>
      <c r="I2186" s="654">
        <v>-3478</v>
      </c>
      <c r="J2186" s="654">
        <v>43323</v>
      </c>
      <c r="K2186" s="654">
        <v>43323</v>
      </c>
      <c r="L2186" s="654">
        <v>0</v>
      </c>
      <c r="M2186" s="654">
        <v>0</v>
      </c>
      <c r="N2186" s="654">
        <v>0</v>
      </c>
    </row>
    <row r="2187" spans="2:14" x14ac:dyDescent="0.15">
      <c r="B2187"/>
      <c r="D2187" t="s">
        <v>627</v>
      </c>
      <c r="E2187" t="s">
        <v>379</v>
      </c>
      <c r="F2187" t="s">
        <v>626</v>
      </c>
      <c r="G2187" t="s">
        <v>600</v>
      </c>
      <c r="H2187" s="654">
        <v>596695</v>
      </c>
      <c r="I2187" s="654">
        <v>1172</v>
      </c>
      <c r="J2187" s="654">
        <v>597867</v>
      </c>
      <c r="K2187" s="654">
        <v>597867</v>
      </c>
      <c r="L2187" s="654">
        <v>0</v>
      </c>
      <c r="M2187" s="654">
        <v>0</v>
      </c>
      <c r="N2187" s="654">
        <v>0</v>
      </c>
    </row>
    <row r="2188" spans="2:14" x14ac:dyDescent="0.15">
      <c r="B2188"/>
      <c r="F2188" t="s">
        <v>733</v>
      </c>
      <c r="H2188" s="654">
        <v>596695</v>
      </c>
      <c r="I2188" s="654">
        <v>1172</v>
      </c>
      <c r="J2188" s="654">
        <v>597867</v>
      </c>
      <c r="K2188" s="654">
        <v>597867</v>
      </c>
      <c r="L2188" s="654">
        <v>0</v>
      </c>
      <c r="M2188" s="654">
        <v>0</v>
      </c>
      <c r="N2188" s="654">
        <v>0</v>
      </c>
    </row>
    <row r="2189" spans="2:14" x14ac:dyDescent="0.15">
      <c r="B2189"/>
      <c r="F2189" t="s">
        <v>627</v>
      </c>
      <c r="G2189" t="s">
        <v>599</v>
      </c>
      <c r="H2189" s="654">
        <v>0</v>
      </c>
      <c r="I2189" s="654">
        <v>0</v>
      </c>
      <c r="J2189" s="654">
        <v>0</v>
      </c>
      <c r="K2189" s="654">
        <v>0</v>
      </c>
      <c r="L2189" s="654">
        <v>0</v>
      </c>
      <c r="M2189" s="654">
        <v>0</v>
      </c>
      <c r="N2189" s="654">
        <v>0</v>
      </c>
    </row>
    <row r="2190" spans="2:14" x14ac:dyDescent="0.15">
      <c r="B2190"/>
      <c r="F2190" t="s">
        <v>734</v>
      </c>
      <c r="H2190" s="654">
        <v>0</v>
      </c>
      <c r="I2190" s="654">
        <v>0</v>
      </c>
      <c r="J2190" s="654">
        <v>0</v>
      </c>
      <c r="K2190" s="654">
        <v>0</v>
      </c>
      <c r="L2190" s="654">
        <v>0</v>
      </c>
      <c r="M2190" s="654">
        <v>0</v>
      </c>
      <c r="N2190" s="654">
        <v>0</v>
      </c>
    </row>
    <row r="2191" spans="2:14" x14ac:dyDescent="0.15">
      <c r="B2191"/>
      <c r="F2191" t="s">
        <v>628</v>
      </c>
      <c r="G2191" t="s">
        <v>598</v>
      </c>
      <c r="H2191" s="654">
        <v>14950</v>
      </c>
      <c r="I2191" s="654">
        <v>0</v>
      </c>
      <c r="J2191" s="654">
        <v>14950</v>
      </c>
      <c r="K2191" s="654">
        <v>14950</v>
      </c>
      <c r="L2191" s="654">
        <v>0</v>
      </c>
      <c r="M2191" s="654">
        <v>0</v>
      </c>
      <c r="N2191" s="654">
        <v>0</v>
      </c>
    </row>
    <row r="2192" spans="2:14" x14ac:dyDescent="0.15">
      <c r="B2192"/>
      <c r="F2192" t="s">
        <v>735</v>
      </c>
      <c r="H2192" s="654">
        <v>14950</v>
      </c>
      <c r="I2192" s="654">
        <v>0</v>
      </c>
      <c r="J2192" s="654">
        <v>14950</v>
      </c>
      <c r="K2192" s="654">
        <v>14950</v>
      </c>
      <c r="L2192" s="654">
        <v>0</v>
      </c>
      <c r="M2192" s="654">
        <v>0</v>
      </c>
      <c r="N2192" s="654">
        <v>0</v>
      </c>
    </row>
    <row r="2193" spans="2:14" x14ac:dyDescent="0.15">
      <c r="B2193"/>
      <c r="E2193" t="s">
        <v>770</v>
      </c>
      <c r="H2193" s="654">
        <v>611645</v>
      </c>
      <c r="I2193" s="654">
        <v>1172</v>
      </c>
      <c r="J2193" s="654">
        <v>612817</v>
      </c>
      <c r="K2193" s="654">
        <v>612817</v>
      </c>
      <c r="L2193" s="654">
        <v>0</v>
      </c>
      <c r="M2193" s="654">
        <v>0</v>
      </c>
      <c r="N2193" s="654">
        <v>0</v>
      </c>
    </row>
    <row r="2194" spans="2:14" x14ac:dyDescent="0.15">
      <c r="B2194"/>
      <c r="D2194" t="s">
        <v>734</v>
      </c>
      <c r="H2194" s="654">
        <v>611645</v>
      </c>
      <c r="I2194" s="654">
        <v>1172</v>
      </c>
      <c r="J2194" s="654">
        <v>612817</v>
      </c>
      <c r="K2194" s="654">
        <v>612817</v>
      </c>
      <c r="L2194" s="654">
        <v>0</v>
      </c>
      <c r="M2194" s="654">
        <v>0</v>
      </c>
      <c r="N2194" s="654">
        <v>0</v>
      </c>
    </row>
    <row r="2195" spans="2:14" x14ac:dyDescent="0.15">
      <c r="B2195"/>
      <c r="D2195" t="s">
        <v>628</v>
      </c>
      <c r="E2195" t="s">
        <v>380</v>
      </c>
      <c r="F2195" t="s">
        <v>626</v>
      </c>
      <c r="G2195" t="s">
        <v>600</v>
      </c>
      <c r="H2195" s="654">
        <v>19347</v>
      </c>
      <c r="I2195" s="654">
        <v>145109</v>
      </c>
      <c r="J2195" s="654">
        <v>164456</v>
      </c>
      <c r="K2195" s="654">
        <v>164456</v>
      </c>
      <c r="L2195" s="654">
        <v>0</v>
      </c>
      <c r="M2195" s="654">
        <v>0</v>
      </c>
      <c r="N2195" s="654">
        <v>0</v>
      </c>
    </row>
    <row r="2196" spans="2:14" x14ac:dyDescent="0.15">
      <c r="B2196"/>
      <c r="F2196" t="s">
        <v>733</v>
      </c>
      <c r="H2196" s="654">
        <v>19347</v>
      </c>
      <c r="I2196" s="654">
        <v>145109</v>
      </c>
      <c r="J2196" s="654">
        <v>164456</v>
      </c>
      <c r="K2196" s="654">
        <v>164456</v>
      </c>
      <c r="L2196" s="654">
        <v>0</v>
      </c>
      <c r="M2196" s="654">
        <v>0</v>
      </c>
      <c r="N2196" s="654">
        <v>0</v>
      </c>
    </row>
    <row r="2197" spans="2:14" x14ac:dyDescent="0.15">
      <c r="B2197"/>
      <c r="F2197" t="s">
        <v>627</v>
      </c>
      <c r="G2197" t="s">
        <v>599</v>
      </c>
      <c r="H2197" s="654">
        <v>20862</v>
      </c>
      <c r="I2197" s="654">
        <v>0</v>
      </c>
      <c r="J2197" s="654">
        <v>20862</v>
      </c>
      <c r="K2197" s="654">
        <v>20862</v>
      </c>
      <c r="L2197" s="654">
        <v>0</v>
      </c>
      <c r="M2197" s="654">
        <v>0</v>
      </c>
      <c r="N2197" s="654">
        <v>0</v>
      </c>
    </row>
    <row r="2198" spans="2:14" x14ac:dyDescent="0.15">
      <c r="B2198"/>
      <c r="F2198" t="s">
        <v>734</v>
      </c>
      <c r="H2198" s="654">
        <v>20862</v>
      </c>
      <c r="I2198" s="654">
        <v>0</v>
      </c>
      <c r="J2198" s="654">
        <v>20862</v>
      </c>
      <c r="K2198" s="654">
        <v>20862</v>
      </c>
      <c r="L2198" s="654">
        <v>0</v>
      </c>
      <c r="M2198" s="654">
        <v>0</v>
      </c>
      <c r="N2198" s="654">
        <v>0</v>
      </c>
    </row>
    <row r="2199" spans="2:14" x14ac:dyDescent="0.15">
      <c r="B2199"/>
      <c r="E2199" t="s">
        <v>771</v>
      </c>
      <c r="H2199" s="654">
        <v>40209</v>
      </c>
      <c r="I2199" s="654">
        <v>145109</v>
      </c>
      <c r="J2199" s="654">
        <v>185318</v>
      </c>
      <c r="K2199" s="654">
        <v>185318</v>
      </c>
      <c r="L2199" s="654">
        <v>0</v>
      </c>
      <c r="M2199" s="654">
        <v>0</v>
      </c>
      <c r="N2199" s="654">
        <v>0</v>
      </c>
    </row>
    <row r="2200" spans="2:14" x14ac:dyDescent="0.15">
      <c r="B2200"/>
      <c r="D2200" t="s">
        <v>735</v>
      </c>
      <c r="H2200" s="654">
        <v>40209</v>
      </c>
      <c r="I2200" s="654">
        <v>145109</v>
      </c>
      <c r="J2200" s="654">
        <v>185318</v>
      </c>
      <c r="K2200" s="654">
        <v>185318</v>
      </c>
      <c r="L2200" s="654">
        <v>0</v>
      </c>
      <c r="M2200" s="654">
        <v>0</v>
      </c>
      <c r="N2200" s="654">
        <v>0</v>
      </c>
    </row>
    <row r="2201" spans="2:14" x14ac:dyDescent="0.15">
      <c r="B2201"/>
      <c r="D2201" t="s">
        <v>629</v>
      </c>
      <c r="E2201" t="s">
        <v>676</v>
      </c>
      <c r="F2201" t="s">
        <v>629</v>
      </c>
      <c r="G2201" t="s">
        <v>601</v>
      </c>
      <c r="H2201" s="654">
        <v>0</v>
      </c>
      <c r="I2201" s="654">
        <v>0</v>
      </c>
      <c r="J2201" s="654">
        <v>0</v>
      </c>
      <c r="K2201" s="654">
        <v>0</v>
      </c>
      <c r="L2201" s="654">
        <v>0</v>
      </c>
      <c r="M2201" s="654">
        <v>0</v>
      </c>
      <c r="N2201" s="654">
        <v>0</v>
      </c>
    </row>
    <row r="2202" spans="2:14" x14ac:dyDescent="0.15">
      <c r="B2202"/>
      <c r="F2202" t="s">
        <v>736</v>
      </c>
      <c r="H2202" s="654">
        <v>0</v>
      </c>
      <c r="I2202" s="654">
        <v>0</v>
      </c>
      <c r="J2202" s="654">
        <v>0</v>
      </c>
      <c r="K2202" s="654">
        <v>0</v>
      </c>
      <c r="L2202" s="654">
        <v>0</v>
      </c>
      <c r="M2202" s="654">
        <v>0</v>
      </c>
      <c r="N2202" s="654">
        <v>0</v>
      </c>
    </row>
    <row r="2203" spans="2:14" x14ac:dyDescent="0.15">
      <c r="B2203"/>
      <c r="E2203" t="s">
        <v>772</v>
      </c>
      <c r="H2203" s="654">
        <v>0</v>
      </c>
      <c r="I2203" s="654">
        <v>0</v>
      </c>
      <c r="J2203" s="654">
        <v>0</v>
      </c>
      <c r="K2203" s="654">
        <v>0</v>
      </c>
      <c r="L2203" s="654">
        <v>0</v>
      </c>
      <c r="M2203" s="654">
        <v>0</v>
      </c>
      <c r="N2203" s="654">
        <v>0</v>
      </c>
    </row>
    <row r="2204" spans="2:14" x14ac:dyDescent="0.15">
      <c r="B2204"/>
      <c r="D2204" t="s">
        <v>736</v>
      </c>
      <c r="H2204" s="654">
        <v>0</v>
      </c>
      <c r="I2204" s="654">
        <v>0</v>
      </c>
      <c r="J2204" s="654">
        <v>0</v>
      </c>
      <c r="K2204" s="654">
        <v>0</v>
      </c>
      <c r="L2204" s="654">
        <v>0</v>
      </c>
      <c r="M2204" s="654">
        <v>0</v>
      </c>
      <c r="N2204" s="654">
        <v>0</v>
      </c>
    </row>
    <row r="2205" spans="2:14" x14ac:dyDescent="0.15">
      <c r="B2205"/>
      <c r="D2205" t="s">
        <v>567</v>
      </c>
      <c r="E2205" t="s">
        <v>473</v>
      </c>
      <c r="F2205" t="s">
        <v>631</v>
      </c>
      <c r="G2205" t="s">
        <v>596</v>
      </c>
      <c r="H2205" s="654">
        <v>0</v>
      </c>
      <c r="I2205" s="654">
        <v>0</v>
      </c>
      <c r="J2205" s="654">
        <v>0</v>
      </c>
      <c r="K2205" s="654">
        <v>0</v>
      </c>
      <c r="L2205" s="654">
        <v>0</v>
      </c>
      <c r="M2205" s="654">
        <v>0</v>
      </c>
      <c r="N2205" s="654">
        <v>0</v>
      </c>
    </row>
    <row r="2206" spans="2:14" x14ac:dyDescent="0.15">
      <c r="B2206"/>
      <c r="F2206" t="s">
        <v>737</v>
      </c>
      <c r="H2206" s="654">
        <v>0</v>
      </c>
      <c r="I2206" s="654">
        <v>0</v>
      </c>
      <c r="J2206" s="654">
        <v>0</v>
      </c>
      <c r="K2206" s="654">
        <v>0</v>
      </c>
      <c r="L2206" s="654">
        <v>0</v>
      </c>
      <c r="M2206" s="654">
        <v>0</v>
      </c>
      <c r="N2206" s="654">
        <v>0</v>
      </c>
    </row>
    <row r="2207" spans="2:14" x14ac:dyDescent="0.15">
      <c r="B2207"/>
      <c r="E2207" t="s">
        <v>773</v>
      </c>
      <c r="H2207" s="654">
        <v>0</v>
      </c>
      <c r="I2207" s="654">
        <v>0</v>
      </c>
      <c r="J2207" s="654">
        <v>0</v>
      </c>
      <c r="K2207" s="654">
        <v>0</v>
      </c>
      <c r="L2207" s="654">
        <v>0</v>
      </c>
      <c r="M2207" s="654">
        <v>0</v>
      </c>
      <c r="N2207" s="654">
        <v>0</v>
      </c>
    </row>
    <row r="2208" spans="2:14" x14ac:dyDescent="0.15">
      <c r="B2208"/>
      <c r="D2208" t="s">
        <v>739</v>
      </c>
      <c r="H2208" s="654">
        <v>0</v>
      </c>
      <c r="I2208" s="654">
        <v>0</v>
      </c>
      <c r="J2208" s="654">
        <v>0</v>
      </c>
      <c r="K2208" s="654">
        <v>0</v>
      </c>
      <c r="L2208" s="654">
        <v>0</v>
      </c>
      <c r="M2208" s="654">
        <v>0</v>
      </c>
      <c r="N2208" s="654">
        <v>0</v>
      </c>
    </row>
    <row r="2209" spans="2:14" x14ac:dyDescent="0.15">
      <c r="B2209"/>
      <c r="D2209" t="s">
        <v>568</v>
      </c>
      <c r="E2209" t="s">
        <v>474</v>
      </c>
      <c r="F2209" t="s">
        <v>631</v>
      </c>
      <c r="G2209" t="s">
        <v>596</v>
      </c>
      <c r="H2209" s="654">
        <v>0</v>
      </c>
      <c r="I2209" s="654">
        <v>0</v>
      </c>
      <c r="J2209" s="654">
        <v>0</v>
      </c>
      <c r="K2209" s="654">
        <v>0</v>
      </c>
      <c r="L2209" s="654">
        <v>0</v>
      </c>
      <c r="M2209" s="654">
        <v>0</v>
      </c>
      <c r="N2209" s="654">
        <v>0</v>
      </c>
    </row>
    <row r="2210" spans="2:14" x14ac:dyDescent="0.15">
      <c r="B2210"/>
      <c r="F2210" t="s">
        <v>737</v>
      </c>
      <c r="H2210" s="654">
        <v>0</v>
      </c>
      <c r="I2210" s="654">
        <v>0</v>
      </c>
      <c r="J2210" s="654">
        <v>0</v>
      </c>
      <c r="K2210" s="654">
        <v>0</v>
      </c>
      <c r="L2210" s="654">
        <v>0</v>
      </c>
      <c r="M2210" s="654">
        <v>0</v>
      </c>
      <c r="N2210" s="654">
        <v>0</v>
      </c>
    </row>
    <row r="2211" spans="2:14" x14ac:dyDescent="0.15">
      <c r="B2211"/>
      <c r="E2211" t="s">
        <v>774</v>
      </c>
      <c r="H2211" s="654">
        <v>0</v>
      </c>
      <c r="I2211" s="654">
        <v>0</v>
      </c>
      <c r="J2211" s="654">
        <v>0</v>
      </c>
      <c r="K2211" s="654">
        <v>0</v>
      </c>
      <c r="L2211" s="654">
        <v>0</v>
      </c>
      <c r="M2211" s="654">
        <v>0</v>
      </c>
      <c r="N2211" s="654">
        <v>0</v>
      </c>
    </row>
    <row r="2212" spans="2:14" x14ac:dyDescent="0.15">
      <c r="B2212"/>
      <c r="D2212" t="s">
        <v>740</v>
      </c>
      <c r="H2212" s="654">
        <v>0</v>
      </c>
      <c r="I2212" s="654">
        <v>0</v>
      </c>
      <c r="J2212" s="654">
        <v>0</v>
      </c>
      <c r="K2212" s="654">
        <v>0</v>
      </c>
      <c r="L2212" s="654">
        <v>0</v>
      </c>
      <c r="M2212" s="654">
        <v>0</v>
      </c>
      <c r="N2212" s="654">
        <v>0</v>
      </c>
    </row>
    <row r="2213" spans="2:14" x14ac:dyDescent="0.15">
      <c r="B2213"/>
      <c r="D2213" t="s">
        <v>582</v>
      </c>
      <c r="E2213" t="s">
        <v>384</v>
      </c>
      <c r="F2213" t="s">
        <v>631</v>
      </c>
      <c r="G2213" t="s">
        <v>596</v>
      </c>
      <c r="H2213" s="654">
        <v>0</v>
      </c>
      <c r="I2213" s="654">
        <v>0</v>
      </c>
      <c r="J2213" s="654">
        <v>0</v>
      </c>
      <c r="K2213" s="654">
        <v>0</v>
      </c>
      <c r="L2213" s="654">
        <v>0</v>
      </c>
      <c r="M2213" s="654">
        <v>0</v>
      </c>
      <c r="N2213" s="654">
        <v>0</v>
      </c>
    </row>
    <row r="2214" spans="2:14" x14ac:dyDescent="0.15">
      <c r="B2214"/>
      <c r="F2214" t="s">
        <v>737</v>
      </c>
      <c r="H2214" s="654">
        <v>0</v>
      </c>
      <c r="I2214" s="654">
        <v>0</v>
      </c>
      <c r="J2214" s="654">
        <v>0</v>
      </c>
      <c r="K2214" s="654">
        <v>0</v>
      </c>
      <c r="L2214" s="654">
        <v>0</v>
      </c>
      <c r="M2214" s="654">
        <v>0</v>
      </c>
      <c r="N2214" s="654">
        <v>0</v>
      </c>
    </row>
    <row r="2215" spans="2:14" x14ac:dyDescent="0.15">
      <c r="B2215"/>
      <c r="E2215" t="s">
        <v>778</v>
      </c>
      <c r="H2215" s="654">
        <v>0</v>
      </c>
      <c r="I2215" s="654">
        <v>0</v>
      </c>
      <c r="J2215" s="654">
        <v>0</v>
      </c>
      <c r="K2215" s="654">
        <v>0</v>
      </c>
      <c r="L2215" s="654">
        <v>0</v>
      </c>
      <c r="M2215" s="654">
        <v>0</v>
      </c>
      <c r="N2215" s="654">
        <v>0</v>
      </c>
    </row>
    <row r="2216" spans="2:14" x14ac:dyDescent="0.15">
      <c r="B2216"/>
      <c r="D2216" t="s">
        <v>743</v>
      </c>
      <c r="H2216" s="654">
        <v>0</v>
      </c>
      <c r="I2216" s="654">
        <v>0</v>
      </c>
      <c r="J2216" s="654">
        <v>0</v>
      </c>
      <c r="K2216" s="654">
        <v>0</v>
      </c>
      <c r="L2216" s="654">
        <v>0</v>
      </c>
      <c r="M2216" s="654">
        <v>0</v>
      </c>
      <c r="N2216" s="654">
        <v>0</v>
      </c>
    </row>
    <row r="2217" spans="2:14" x14ac:dyDescent="0.15">
      <c r="B2217"/>
      <c r="D2217" t="s">
        <v>631</v>
      </c>
      <c r="E2217" t="s">
        <v>381</v>
      </c>
      <c r="F2217" t="s">
        <v>626</v>
      </c>
      <c r="G2217" t="s">
        <v>600</v>
      </c>
      <c r="H2217" s="654">
        <v>0</v>
      </c>
      <c r="I2217" s="654">
        <v>0</v>
      </c>
      <c r="J2217" s="654">
        <v>0</v>
      </c>
      <c r="K2217" s="654">
        <v>0</v>
      </c>
      <c r="L2217" s="654">
        <v>0</v>
      </c>
      <c r="M2217" s="654">
        <v>0</v>
      </c>
      <c r="N2217" s="654">
        <v>0</v>
      </c>
    </row>
    <row r="2218" spans="2:14" x14ac:dyDescent="0.15">
      <c r="B2218"/>
      <c r="F2218" t="s">
        <v>733</v>
      </c>
      <c r="H2218" s="654">
        <v>0</v>
      </c>
      <c r="I2218" s="654">
        <v>0</v>
      </c>
      <c r="J2218" s="654">
        <v>0</v>
      </c>
      <c r="K2218" s="654">
        <v>0</v>
      </c>
      <c r="L2218" s="654">
        <v>0</v>
      </c>
      <c r="M2218" s="654">
        <v>0</v>
      </c>
      <c r="N2218" s="654">
        <v>0</v>
      </c>
    </row>
    <row r="2219" spans="2:14" x14ac:dyDescent="0.15">
      <c r="B2219"/>
      <c r="E2219" t="s">
        <v>776</v>
      </c>
      <c r="H2219" s="654">
        <v>0</v>
      </c>
      <c r="I2219" s="654">
        <v>0</v>
      </c>
      <c r="J2219" s="654">
        <v>0</v>
      </c>
      <c r="K2219" s="654">
        <v>0</v>
      </c>
      <c r="L2219" s="654">
        <v>0</v>
      </c>
      <c r="M2219" s="654">
        <v>0</v>
      </c>
      <c r="N2219" s="654">
        <v>0</v>
      </c>
    </row>
    <row r="2220" spans="2:14" x14ac:dyDescent="0.15">
      <c r="B2220"/>
      <c r="D2220" t="s">
        <v>737</v>
      </c>
      <c r="H2220" s="654">
        <v>0</v>
      </c>
      <c r="I2220" s="654">
        <v>0</v>
      </c>
      <c r="J2220" s="654">
        <v>0</v>
      </c>
      <c r="K2220" s="654">
        <v>0</v>
      </c>
      <c r="L2220" s="654">
        <v>0</v>
      </c>
      <c r="M2220" s="654">
        <v>0</v>
      </c>
      <c r="N2220" s="654">
        <v>0</v>
      </c>
    </row>
    <row r="2221" spans="2:14" x14ac:dyDescent="0.15">
      <c r="B2221"/>
      <c r="D2221" t="s">
        <v>671</v>
      </c>
      <c r="E2221" t="s">
        <v>383</v>
      </c>
      <c r="F2221" t="s">
        <v>626</v>
      </c>
      <c r="G2221" t="s">
        <v>600</v>
      </c>
      <c r="H2221" s="654">
        <v>19709</v>
      </c>
      <c r="I2221" s="654">
        <v>0</v>
      </c>
      <c r="J2221" s="654">
        <v>19709</v>
      </c>
      <c r="K2221" s="654">
        <v>19709</v>
      </c>
      <c r="L2221" s="654">
        <v>0</v>
      </c>
      <c r="M2221" s="654">
        <v>0</v>
      </c>
      <c r="N2221" s="654">
        <v>0</v>
      </c>
    </row>
    <row r="2222" spans="2:14" x14ac:dyDescent="0.15">
      <c r="B2222"/>
      <c r="F2222" t="s">
        <v>733</v>
      </c>
      <c r="H2222" s="654">
        <v>19709</v>
      </c>
      <c r="I2222" s="654">
        <v>0</v>
      </c>
      <c r="J2222" s="654">
        <v>19709</v>
      </c>
      <c r="K2222" s="654">
        <v>19709</v>
      </c>
      <c r="L2222" s="654">
        <v>0</v>
      </c>
      <c r="M2222" s="654">
        <v>0</v>
      </c>
      <c r="N2222" s="654">
        <v>0</v>
      </c>
    </row>
    <row r="2223" spans="2:14" x14ac:dyDescent="0.15">
      <c r="B2223"/>
      <c r="F2223" t="s">
        <v>627</v>
      </c>
      <c r="G2223" t="s">
        <v>599</v>
      </c>
      <c r="H2223" s="654">
        <v>0</v>
      </c>
      <c r="I2223" s="654">
        <v>0</v>
      </c>
      <c r="J2223" s="654">
        <v>0</v>
      </c>
      <c r="K2223" s="654">
        <v>0</v>
      </c>
      <c r="L2223" s="654">
        <v>0</v>
      </c>
      <c r="M2223" s="654">
        <v>0</v>
      </c>
      <c r="N2223" s="654">
        <v>0</v>
      </c>
    </row>
    <row r="2224" spans="2:14" x14ac:dyDescent="0.15">
      <c r="B2224"/>
      <c r="F2224" t="s">
        <v>734</v>
      </c>
      <c r="H2224" s="654">
        <v>0</v>
      </c>
      <c r="I2224" s="654">
        <v>0</v>
      </c>
      <c r="J2224" s="654">
        <v>0</v>
      </c>
      <c r="K2224" s="654">
        <v>0</v>
      </c>
      <c r="L2224" s="654">
        <v>0</v>
      </c>
      <c r="M2224" s="654">
        <v>0</v>
      </c>
      <c r="N2224" s="654">
        <v>0</v>
      </c>
    </row>
    <row r="2225" spans="1:14" x14ac:dyDescent="0.15">
      <c r="B2225"/>
      <c r="E2225" t="s">
        <v>777</v>
      </c>
      <c r="H2225" s="654">
        <v>19709</v>
      </c>
      <c r="I2225" s="654">
        <v>0</v>
      </c>
      <c r="J2225" s="654">
        <v>19709</v>
      </c>
      <c r="K2225" s="654">
        <v>19709</v>
      </c>
      <c r="L2225" s="654">
        <v>0</v>
      </c>
      <c r="M2225" s="654">
        <v>0</v>
      </c>
      <c r="N2225" s="654">
        <v>0</v>
      </c>
    </row>
    <row r="2226" spans="1:14" x14ac:dyDescent="0.15">
      <c r="B2226"/>
      <c r="D2226" t="s">
        <v>742</v>
      </c>
      <c r="H2226" s="654">
        <v>19709</v>
      </c>
      <c r="I2226" s="654">
        <v>0</v>
      </c>
      <c r="J2226" s="654">
        <v>19709</v>
      </c>
      <c r="K2226" s="654">
        <v>19709</v>
      </c>
      <c r="L2226" s="654">
        <v>0</v>
      </c>
      <c r="M2226" s="654">
        <v>0</v>
      </c>
      <c r="N2226" s="654">
        <v>0</v>
      </c>
    </row>
    <row r="2227" spans="1:14" x14ac:dyDescent="0.15">
      <c r="B2227"/>
      <c r="D2227" t="s">
        <v>965</v>
      </c>
      <c r="E2227" t="s">
        <v>986</v>
      </c>
      <c r="F2227" t="s">
        <v>626</v>
      </c>
      <c r="G2227" t="s">
        <v>600</v>
      </c>
      <c r="H2227" s="654">
        <v>0</v>
      </c>
      <c r="I2227" s="654">
        <v>0</v>
      </c>
      <c r="J2227" s="654">
        <v>0</v>
      </c>
      <c r="K2227" s="654">
        <v>0</v>
      </c>
      <c r="L2227" s="654">
        <v>0</v>
      </c>
      <c r="M2227" s="654">
        <v>0</v>
      </c>
      <c r="N2227" s="654">
        <v>0</v>
      </c>
    </row>
    <row r="2228" spans="1:14" x14ac:dyDescent="0.15">
      <c r="B2228"/>
      <c r="F2228" t="s">
        <v>733</v>
      </c>
      <c r="H2228" s="654">
        <v>0</v>
      </c>
      <c r="I2228" s="654">
        <v>0</v>
      </c>
      <c r="J2228" s="654">
        <v>0</v>
      </c>
      <c r="K2228" s="654">
        <v>0</v>
      </c>
      <c r="L2228" s="654">
        <v>0</v>
      </c>
      <c r="M2228" s="654">
        <v>0</v>
      </c>
      <c r="N2228" s="654">
        <v>0</v>
      </c>
    </row>
    <row r="2229" spans="1:14" x14ac:dyDescent="0.15">
      <c r="B2229"/>
      <c r="F2229" t="s">
        <v>627</v>
      </c>
      <c r="G2229" t="s">
        <v>599</v>
      </c>
      <c r="H2229" s="654">
        <v>0</v>
      </c>
      <c r="I2229" s="654">
        <v>0</v>
      </c>
      <c r="J2229" s="654">
        <v>0</v>
      </c>
      <c r="K2229" s="654">
        <v>0</v>
      </c>
      <c r="L2229" s="654">
        <v>0</v>
      </c>
      <c r="M2229" s="654">
        <v>0</v>
      </c>
      <c r="N2229" s="654">
        <v>0</v>
      </c>
    </row>
    <row r="2230" spans="1:14" x14ac:dyDescent="0.15">
      <c r="B2230"/>
      <c r="F2230" t="s">
        <v>734</v>
      </c>
      <c r="H2230" s="654">
        <v>0</v>
      </c>
      <c r="I2230" s="654">
        <v>0</v>
      </c>
      <c r="J2230" s="654">
        <v>0</v>
      </c>
      <c r="K2230" s="654">
        <v>0</v>
      </c>
      <c r="L2230" s="654">
        <v>0</v>
      </c>
      <c r="M2230" s="654">
        <v>0</v>
      </c>
      <c r="N2230" s="654">
        <v>0</v>
      </c>
    </row>
    <row r="2231" spans="1:14" x14ac:dyDescent="0.15">
      <c r="B2231"/>
      <c r="E2231" t="s">
        <v>1138</v>
      </c>
      <c r="H2231" s="654">
        <v>0</v>
      </c>
      <c r="I2231" s="654">
        <v>0</v>
      </c>
      <c r="J2231" s="654">
        <v>0</v>
      </c>
      <c r="K2231" s="654">
        <v>0</v>
      </c>
      <c r="L2231" s="654">
        <v>0</v>
      </c>
      <c r="M2231" s="654">
        <v>0</v>
      </c>
      <c r="N2231" s="654">
        <v>0</v>
      </c>
    </row>
    <row r="2232" spans="1:14" x14ac:dyDescent="0.15">
      <c r="B2232"/>
      <c r="D2232" t="s">
        <v>1139</v>
      </c>
      <c r="H2232" s="654">
        <v>0</v>
      </c>
      <c r="I2232" s="654">
        <v>0</v>
      </c>
      <c r="J2232" s="654">
        <v>0</v>
      </c>
      <c r="K2232" s="654">
        <v>0</v>
      </c>
      <c r="L2232" s="654">
        <v>0</v>
      </c>
      <c r="M2232" s="654">
        <v>0</v>
      </c>
      <c r="N2232" s="654">
        <v>0</v>
      </c>
    </row>
    <row r="2233" spans="1:14" x14ac:dyDescent="0.15">
      <c r="B2233"/>
      <c r="C2233" t="s">
        <v>854</v>
      </c>
      <c r="H2233" s="654">
        <v>718364</v>
      </c>
      <c r="I2233" s="654">
        <v>142803</v>
      </c>
      <c r="J2233" s="654">
        <v>861167</v>
      </c>
      <c r="K2233" s="654">
        <v>861167</v>
      </c>
      <c r="L2233" s="654">
        <v>0</v>
      </c>
      <c r="M2233" s="654">
        <v>0</v>
      </c>
      <c r="N2233" s="654">
        <v>0</v>
      </c>
    </row>
    <row r="2234" spans="1:14" x14ac:dyDescent="0.15">
      <c r="A2234" s="653" t="s">
        <v>1129</v>
      </c>
      <c r="B2234"/>
      <c r="H2234" s="654">
        <v>33670313</v>
      </c>
      <c r="I2234" s="654">
        <v>-885643</v>
      </c>
      <c r="J2234" s="654">
        <v>32784670</v>
      </c>
      <c r="K2234" s="654">
        <v>32784670</v>
      </c>
      <c r="L2234" s="654">
        <v>0</v>
      </c>
      <c r="M2234" s="654">
        <v>171749</v>
      </c>
      <c r="N2234" s="654">
        <v>3643390</v>
      </c>
    </row>
    <row r="2235" spans="1:14" x14ac:dyDescent="0.15">
      <c r="A2235" s="653">
        <v>43282</v>
      </c>
      <c r="B2235" t="s">
        <v>626</v>
      </c>
      <c r="C2235" t="s">
        <v>849</v>
      </c>
      <c r="D2235" t="s">
        <v>626</v>
      </c>
      <c r="E2235" t="s">
        <v>378</v>
      </c>
      <c r="F2235" t="s">
        <v>626</v>
      </c>
      <c r="G2235" t="s">
        <v>600</v>
      </c>
      <c r="H2235" s="654">
        <v>8342757</v>
      </c>
      <c r="I2235" s="654">
        <v>-143155</v>
      </c>
      <c r="J2235" s="654">
        <v>8199602</v>
      </c>
      <c r="K2235" s="654">
        <v>8199602</v>
      </c>
      <c r="L2235" s="654">
        <v>0</v>
      </c>
      <c r="M2235" s="654">
        <v>0</v>
      </c>
      <c r="N2235" s="654">
        <v>1329824</v>
      </c>
    </row>
    <row r="2236" spans="1:14" x14ac:dyDescent="0.15">
      <c r="B2236"/>
      <c r="F2236" t="s">
        <v>733</v>
      </c>
      <c r="H2236" s="654">
        <v>8342757</v>
      </c>
      <c r="I2236" s="654">
        <v>-143155</v>
      </c>
      <c r="J2236" s="654">
        <v>8199602</v>
      </c>
      <c r="K2236" s="654">
        <v>8199602</v>
      </c>
      <c r="L2236" s="654">
        <v>0</v>
      </c>
      <c r="M2236" s="654">
        <v>0</v>
      </c>
      <c r="N2236" s="654">
        <v>1329824</v>
      </c>
    </row>
    <row r="2237" spans="1:14" x14ac:dyDescent="0.15">
      <c r="B2237"/>
      <c r="F2237" t="s">
        <v>627</v>
      </c>
      <c r="G2237" t="s">
        <v>599</v>
      </c>
      <c r="H2237" s="654">
        <v>1395600</v>
      </c>
      <c r="I2237" s="654">
        <v>-84704</v>
      </c>
      <c r="J2237" s="654">
        <v>1310896</v>
      </c>
      <c r="K2237" s="654">
        <v>1310896</v>
      </c>
      <c r="L2237" s="654">
        <v>0</v>
      </c>
      <c r="M2237" s="654">
        <v>0</v>
      </c>
      <c r="N2237" s="654">
        <v>275953</v>
      </c>
    </row>
    <row r="2238" spans="1:14" x14ac:dyDescent="0.15">
      <c r="B2238"/>
      <c r="F2238" t="s">
        <v>734</v>
      </c>
      <c r="H2238" s="654">
        <v>1395600</v>
      </c>
      <c r="I2238" s="654">
        <v>-84704</v>
      </c>
      <c r="J2238" s="654">
        <v>1310896</v>
      </c>
      <c r="K2238" s="654">
        <v>1310896</v>
      </c>
      <c r="L2238" s="654">
        <v>0</v>
      </c>
      <c r="M2238" s="654">
        <v>0</v>
      </c>
      <c r="N2238" s="654">
        <v>275953</v>
      </c>
    </row>
    <row r="2239" spans="1:14" x14ac:dyDescent="0.15">
      <c r="B2239"/>
      <c r="F2239" t="s">
        <v>628</v>
      </c>
      <c r="G2239" t="s">
        <v>598</v>
      </c>
      <c r="H2239" s="654">
        <v>690972</v>
      </c>
      <c r="I2239" s="654">
        <v>0</v>
      </c>
      <c r="J2239" s="654">
        <v>690972</v>
      </c>
      <c r="K2239" s="654">
        <v>690972</v>
      </c>
      <c r="L2239" s="654">
        <v>0</v>
      </c>
      <c r="M2239" s="654">
        <v>0</v>
      </c>
      <c r="N2239" s="654">
        <v>0</v>
      </c>
    </row>
    <row r="2240" spans="1:14" x14ac:dyDescent="0.15">
      <c r="B2240"/>
      <c r="F2240" t="s">
        <v>735</v>
      </c>
      <c r="H2240" s="654">
        <v>690972</v>
      </c>
      <c r="I2240" s="654">
        <v>0</v>
      </c>
      <c r="J2240" s="654">
        <v>690972</v>
      </c>
      <c r="K2240" s="654">
        <v>690972</v>
      </c>
      <c r="L2240" s="654">
        <v>0</v>
      </c>
      <c r="M2240" s="654">
        <v>0</v>
      </c>
      <c r="N2240" s="654">
        <v>0</v>
      </c>
    </row>
    <row r="2241" spans="2:14" x14ac:dyDescent="0.15">
      <c r="B2241"/>
      <c r="E2241" t="s">
        <v>769</v>
      </c>
      <c r="H2241" s="654">
        <v>10429329</v>
      </c>
      <c r="I2241" s="654">
        <v>-227859</v>
      </c>
      <c r="J2241" s="654">
        <v>10201470</v>
      </c>
      <c r="K2241" s="654">
        <v>10201470</v>
      </c>
      <c r="L2241" s="654">
        <v>0</v>
      </c>
      <c r="M2241" s="654">
        <v>0</v>
      </c>
      <c r="N2241" s="654">
        <v>1605777</v>
      </c>
    </row>
    <row r="2242" spans="2:14" x14ac:dyDescent="0.15">
      <c r="B2242"/>
      <c r="D2242" t="s">
        <v>733</v>
      </c>
      <c r="H2242" s="654">
        <v>10429329</v>
      </c>
      <c r="I2242" s="654">
        <v>-227859</v>
      </c>
      <c r="J2242" s="654">
        <v>10201470</v>
      </c>
      <c r="K2242" s="654">
        <v>10201470</v>
      </c>
      <c r="L2242" s="654">
        <v>0</v>
      </c>
      <c r="M2242" s="654">
        <v>0</v>
      </c>
      <c r="N2242" s="654">
        <v>1605777</v>
      </c>
    </row>
    <row r="2243" spans="2:14" x14ac:dyDescent="0.15">
      <c r="B2243"/>
      <c r="D2243" t="s">
        <v>627</v>
      </c>
      <c r="E2243" t="s">
        <v>379</v>
      </c>
      <c r="F2243" t="s">
        <v>626</v>
      </c>
      <c r="G2243" t="s">
        <v>600</v>
      </c>
      <c r="H2243" s="654">
        <v>4138802</v>
      </c>
      <c r="I2243" s="654">
        <v>-76785</v>
      </c>
      <c r="J2243" s="654">
        <v>4062017</v>
      </c>
      <c r="K2243" s="654">
        <v>4062017</v>
      </c>
      <c r="L2243" s="654">
        <v>0</v>
      </c>
      <c r="M2243" s="654">
        <v>349270</v>
      </c>
      <c r="N2243" s="654">
        <v>448243</v>
      </c>
    </row>
    <row r="2244" spans="2:14" x14ac:dyDescent="0.15">
      <c r="B2244"/>
      <c r="F2244" t="s">
        <v>733</v>
      </c>
      <c r="H2244" s="654">
        <v>4138802</v>
      </c>
      <c r="I2244" s="654">
        <v>-76785</v>
      </c>
      <c r="J2244" s="654">
        <v>4062017</v>
      </c>
      <c r="K2244" s="654">
        <v>4062017</v>
      </c>
      <c r="L2244" s="654">
        <v>0</v>
      </c>
      <c r="M2244" s="654">
        <v>349270</v>
      </c>
      <c r="N2244" s="654">
        <v>448243</v>
      </c>
    </row>
    <row r="2245" spans="2:14" x14ac:dyDescent="0.15">
      <c r="B2245"/>
      <c r="F2245" t="s">
        <v>627</v>
      </c>
      <c r="G2245" t="s">
        <v>599</v>
      </c>
      <c r="H2245" s="654">
        <v>949172</v>
      </c>
      <c r="I2245" s="654">
        <v>0</v>
      </c>
      <c r="J2245" s="654">
        <v>949172</v>
      </c>
      <c r="K2245" s="654">
        <v>949172</v>
      </c>
      <c r="L2245" s="654">
        <v>0</v>
      </c>
      <c r="M2245" s="654">
        <v>0</v>
      </c>
      <c r="N2245" s="654">
        <v>223199</v>
      </c>
    </row>
    <row r="2246" spans="2:14" x14ac:dyDescent="0.15">
      <c r="B2246"/>
      <c r="F2246" t="s">
        <v>734</v>
      </c>
      <c r="H2246" s="654">
        <v>949172</v>
      </c>
      <c r="I2246" s="654">
        <v>0</v>
      </c>
      <c r="J2246" s="654">
        <v>949172</v>
      </c>
      <c r="K2246" s="654">
        <v>949172</v>
      </c>
      <c r="L2246" s="654">
        <v>0</v>
      </c>
      <c r="M2246" s="654">
        <v>0</v>
      </c>
      <c r="N2246" s="654">
        <v>223199</v>
      </c>
    </row>
    <row r="2247" spans="2:14" x14ac:dyDescent="0.15">
      <c r="B2247"/>
      <c r="F2247" t="s">
        <v>628</v>
      </c>
      <c r="G2247" t="s">
        <v>598</v>
      </c>
      <c r="H2247" s="654">
        <v>507858</v>
      </c>
      <c r="I2247" s="654">
        <v>0</v>
      </c>
      <c r="J2247" s="654">
        <v>507858</v>
      </c>
      <c r="K2247" s="654">
        <v>507858</v>
      </c>
      <c r="L2247" s="654">
        <v>0</v>
      </c>
      <c r="M2247" s="654">
        <v>10829</v>
      </c>
      <c r="N2247" s="654">
        <v>0</v>
      </c>
    </row>
    <row r="2248" spans="2:14" x14ac:dyDescent="0.15">
      <c r="B2248"/>
      <c r="F2248" t="s">
        <v>735</v>
      </c>
      <c r="H2248" s="654">
        <v>507858</v>
      </c>
      <c r="I2248" s="654">
        <v>0</v>
      </c>
      <c r="J2248" s="654">
        <v>507858</v>
      </c>
      <c r="K2248" s="654">
        <v>507858</v>
      </c>
      <c r="L2248" s="654">
        <v>0</v>
      </c>
      <c r="M2248" s="654">
        <v>10829</v>
      </c>
      <c r="N2248" s="654">
        <v>0</v>
      </c>
    </row>
    <row r="2249" spans="2:14" x14ac:dyDescent="0.15">
      <c r="B2249"/>
      <c r="E2249" t="s">
        <v>770</v>
      </c>
      <c r="H2249" s="654">
        <v>5595832</v>
      </c>
      <c r="I2249" s="654">
        <v>-76785</v>
      </c>
      <c r="J2249" s="654">
        <v>5519047</v>
      </c>
      <c r="K2249" s="654">
        <v>5519047</v>
      </c>
      <c r="L2249" s="654">
        <v>0</v>
      </c>
      <c r="M2249" s="654">
        <v>360099</v>
      </c>
      <c r="N2249" s="654">
        <v>671442</v>
      </c>
    </row>
    <row r="2250" spans="2:14" x14ac:dyDescent="0.15">
      <c r="B2250"/>
      <c r="D2250" t="s">
        <v>734</v>
      </c>
      <c r="H2250" s="654">
        <v>5595832</v>
      </c>
      <c r="I2250" s="654">
        <v>-76785</v>
      </c>
      <c r="J2250" s="654">
        <v>5519047</v>
      </c>
      <c r="K2250" s="654">
        <v>5519047</v>
      </c>
      <c r="L2250" s="654">
        <v>0</v>
      </c>
      <c r="M2250" s="654">
        <v>360099</v>
      </c>
      <c r="N2250" s="654">
        <v>671442</v>
      </c>
    </row>
    <row r="2251" spans="2:14" x14ac:dyDescent="0.15">
      <c r="B2251"/>
      <c r="D2251" t="s">
        <v>628</v>
      </c>
      <c r="E2251" t="s">
        <v>380</v>
      </c>
      <c r="F2251" t="s">
        <v>626</v>
      </c>
      <c r="G2251" t="s">
        <v>600</v>
      </c>
      <c r="H2251" s="654">
        <v>4842637</v>
      </c>
      <c r="I2251" s="654">
        <v>-41934</v>
      </c>
      <c r="J2251" s="654">
        <v>4800703</v>
      </c>
      <c r="K2251" s="654">
        <v>4800703</v>
      </c>
      <c r="L2251" s="654">
        <v>0</v>
      </c>
      <c r="M2251" s="654">
        <v>60145</v>
      </c>
      <c r="N2251" s="654">
        <v>501273</v>
      </c>
    </row>
    <row r="2252" spans="2:14" x14ac:dyDescent="0.15">
      <c r="B2252"/>
      <c r="F2252" t="s">
        <v>733</v>
      </c>
      <c r="H2252" s="654">
        <v>4842637</v>
      </c>
      <c r="I2252" s="654">
        <v>-41934</v>
      </c>
      <c r="J2252" s="654">
        <v>4800703</v>
      </c>
      <c r="K2252" s="654">
        <v>4800703</v>
      </c>
      <c r="L2252" s="654">
        <v>0</v>
      </c>
      <c r="M2252" s="654">
        <v>60145</v>
      </c>
      <c r="N2252" s="654">
        <v>501273</v>
      </c>
    </row>
    <row r="2253" spans="2:14" x14ac:dyDescent="0.15">
      <c r="B2253"/>
      <c r="F2253" t="s">
        <v>627</v>
      </c>
      <c r="G2253" t="s">
        <v>599</v>
      </c>
      <c r="H2253" s="654">
        <v>1836690</v>
      </c>
      <c r="I2253" s="654">
        <v>0</v>
      </c>
      <c r="J2253" s="654">
        <v>1836690</v>
      </c>
      <c r="K2253" s="654">
        <v>1836690</v>
      </c>
      <c r="L2253" s="654">
        <v>0</v>
      </c>
      <c r="M2253" s="654">
        <v>0</v>
      </c>
      <c r="N2253" s="654">
        <v>427104</v>
      </c>
    </row>
    <row r="2254" spans="2:14" x14ac:dyDescent="0.15">
      <c r="B2254"/>
      <c r="F2254" t="s">
        <v>734</v>
      </c>
      <c r="H2254" s="654">
        <v>1836690</v>
      </c>
      <c r="I2254" s="654">
        <v>0</v>
      </c>
      <c r="J2254" s="654">
        <v>1836690</v>
      </c>
      <c r="K2254" s="654">
        <v>1836690</v>
      </c>
      <c r="L2254" s="654">
        <v>0</v>
      </c>
      <c r="M2254" s="654">
        <v>0</v>
      </c>
      <c r="N2254" s="654">
        <v>427104</v>
      </c>
    </row>
    <row r="2255" spans="2:14" x14ac:dyDescent="0.15">
      <c r="B2255"/>
      <c r="E2255" t="s">
        <v>771</v>
      </c>
      <c r="H2255" s="654">
        <v>6679327</v>
      </c>
      <c r="I2255" s="654">
        <v>-41934</v>
      </c>
      <c r="J2255" s="654">
        <v>6637393</v>
      </c>
      <c r="K2255" s="654">
        <v>6637393</v>
      </c>
      <c r="L2255" s="654">
        <v>0</v>
      </c>
      <c r="M2255" s="654">
        <v>60145</v>
      </c>
      <c r="N2255" s="654">
        <v>928377</v>
      </c>
    </row>
    <row r="2256" spans="2:14" x14ac:dyDescent="0.15">
      <c r="B2256"/>
      <c r="D2256" t="s">
        <v>735</v>
      </c>
      <c r="H2256" s="654">
        <v>6679327</v>
      </c>
      <c r="I2256" s="654">
        <v>-41934</v>
      </c>
      <c r="J2256" s="654">
        <v>6637393</v>
      </c>
      <c r="K2256" s="654">
        <v>6637393</v>
      </c>
      <c r="L2256" s="654">
        <v>0</v>
      </c>
      <c r="M2256" s="654">
        <v>60145</v>
      </c>
      <c r="N2256" s="654">
        <v>928377</v>
      </c>
    </row>
    <row r="2257" spans="2:14" x14ac:dyDescent="0.15">
      <c r="B2257"/>
      <c r="D2257" t="s">
        <v>629</v>
      </c>
      <c r="E2257" t="s">
        <v>676</v>
      </c>
      <c r="F2257" t="s">
        <v>629</v>
      </c>
      <c r="G2257" t="s">
        <v>601</v>
      </c>
      <c r="H2257" s="654">
        <v>4234658</v>
      </c>
      <c r="I2257" s="654">
        <v>-20157</v>
      </c>
      <c r="J2257" s="654">
        <v>4214501</v>
      </c>
      <c r="K2257" s="654">
        <v>4214501</v>
      </c>
      <c r="L2257" s="654">
        <v>0</v>
      </c>
      <c r="M2257" s="654">
        <v>0</v>
      </c>
      <c r="N2257" s="654">
        <v>234931</v>
      </c>
    </row>
    <row r="2258" spans="2:14" x14ac:dyDescent="0.15">
      <c r="B2258"/>
      <c r="F2258" t="s">
        <v>736</v>
      </c>
      <c r="H2258" s="654">
        <v>4234658</v>
      </c>
      <c r="I2258" s="654">
        <v>-20157</v>
      </c>
      <c r="J2258" s="654">
        <v>4214501</v>
      </c>
      <c r="K2258" s="654">
        <v>4214501</v>
      </c>
      <c r="L2258" s="654">
        <v>0</v>
      </c>
      <c r="M2258" s="654">
        <v>0</v>
      </c>
      <c r="N2258" s="654">
        <v>234931</v>
      </c>
    </row>
    <row r="2259" spans="2:14" x14ac:dyDescent="0.15">
      <c r="B2259"/>
      <c r="E2259" t="s">
        <v>772</v>
      </c>
      <c r="H2259" s="654">
        <v>4234658</v>
      </c>
      <c r="I2259" s="654">
        <v>-20157</v>
      </c>
      <c r="J2259" s="654">
        <v>4214501</v>
      </c>
      <c r="K2259" s="654">
        <v>4214501</v>
      </c>
      <c r="L2259" s="654">
        <v>0</v>
      </c>
      <c r="M2259" s="654">
        <v>0</v>
      </c>
      <c r="N2259" s="654">
        <v>234931</v>
      </c>
    </row>
    <row r="2260" spans="2:14" x14ac:dyDescent="0.15">
      <c r="B2260"/>
      <c r="D2260" t="s">
        <v>736</v>
      </c>
      <c r="H2260" s="654">
        <v>4234658</v>
      </c>
      <c r="I2260" s="654">
        <v>-20157</v>
      </c>
      <c r="J2260" s="654">
        <v>4214501</v>
      </c>
      <c r="K2260" s="654">
        <v>4214501</v>
      </c>
      <c r="L2260" s="654">
        <v>0</v>
      </c>
      <c r="M2260" s="654">
        <v>0</v>
      </c>
      <c r="N2260" s="654">
        <v>234931</v>
      </c>
    </row>
    <row r="2261" spans="2:14" x14ac:dyDescent="0.15">
      <c r="B2261"/>
      <c r="D2261" t="s">
        <v>567</v>
      </c>
      <c r="E2261" t="s">
        <v>473</v>
      </c>
      <c r="F2261" t="s">
        <v>631</v>
      </c>
      <c r="G2261" t="s">
        <v>596</v>
      </c>
      <c r="H2261" s="654">
        <v>839546</v>
      </c>
      <c r="I2261" s="654">
        <v>0</v>
      </c>
      <c r="J2261" s="654">
        <v>839546</v>
      </c>
      <c r="K2261" s="654">
        <v>839546</v>
      </c>
      <c r="L2261" s="654">
        <v>0</v>
      </c>
      <c r="M2261" s="654">
        <v>0</v>
      </c>
      <c r="N2261" s="654">
        <v>318645</v>
      </c>
    </row>
    <row r="2262" spans="2:14" x14ac:dyDescent="0.15">
      <c r="B2262"/>
      <c r="F2262" t="s">
        <v>737</v>
      </c>
      <c r="H2262" s="654">
        <v>839546</v>
      </c>
      <c r="I2262" s="654">
        <v>0</v>
      </c>
      <c r="J2262" s="654">
        <v>839546</v>
      </c>
      <c r="K2262" s="654">
        <v>839546</v>
      </c>
      <c r="L2262" s="654">
        <v>0</v>
      </c>
      <c r="M2262" s="654">
        <v>0</v>
      </c>
      <c r="N2262" s="654">
        <v>318645</v>
      </c>
    </row>
    <row r="2263" spans="2:14" x14ac:dyDescent="0.15">
      <c r="B2263"/>
      <c r="E2263" t="s">
        <v>773</v>
      </c>
      <c r="H2263" s="654">
        <v>839546</v>
      </c>
      <c r="I2263" s="654">
        <v>0</v>
      </c>
      <c r="J2263" s="654">
        <v>839546</v>
      </c>
      <c r="K2263" s="654">
        <v>839546</v>
      </c>
      <c r="L2263" s="654">
        <v>0</v>
      </c>
      <c r="M2263" s="654">
        <v>0</v>
      </c>
      <c r="N2263" s="654">
        <v>318645</v>
      </c>
    </row>
    <row r="2264" spans="2:14" x14ac:dyDescent="0.15">
      <c r="B2264"/>
      <c r="D2264" t="s">
        <v>739</v>
      </c>
      <c r="H2264" s="654">
        <v>839546</v>
      </c>
      <c r="I2264" s="654">
        <v>0</v>
      </c>
      <c r="J2264" s="654">
        <v>839546</v>
      </c>
      <c r="K2264" s="654">
        <v>839546</v>
      </c>
      <c r="L2264" s="654">
        <v>0</v>
      </c>
      <c r="M2264" s="654">
        <v>0</v>
      </c>
      <c r="N2264" s="654">
        <v>318645</v>
      </c>
    </row>
    <row r="2265" spans="2:14" x14ac:dyDescent="0.15">
      <c r="B2265"/>
      <c r="D2265" t="s">
        <v>568</v>
      </c>
      <c r="E2265" t="s">
        <v>474</v>
      </c>
      <c r="F2265" t="s">
        <v>631</v>
      </c>
      <c r="G2265" t="s">
        <v>596</v>
      </c>
      <c r="H2265" s="654">
        <v>1007268</v>
      </c>
      <c r="I2265" s="654">
        <v>0</v>
      </c>
      <c r="J2265" s="654">
        <v>1007268</v>
      </c>
      <c r="K2265" s="654">
        <v>1007268</v>
      </c>
      <c r="L2265" s="654">
        <v>0</v>
      </c>
      <c r="M2265" s="654">
        <v>0</v>
      </c>
      <c r="N2265" s="654">
        <v>0</v>
      </c>
    </row>
    <row r="2266" spans="2:14" x14ac:dyDescent="0.15">
      <c r="B2266"/>
      <c r="F2266" t="s">
        <v>737</v>
      </c>
      <c r="H2266" s="654">
        <v>1007268</v>
      </c>
      <c r="I2266" s="654">
        <v>0</v>
      </c>
      <c r="J2266" s="654">
        <v>1007268</v>
      </c>
      <c r="K2266" s="654">
        <v>1007268</v>
      </c>
      <c r="L2266" s="654">
        <v>0</v>
      </c>
      <c r="M2266" s="654">
        <v>0</v>
      </c>
      <c r="N2266" s="654">
        <v>0</v>
      </c>
    </row>
    <row r="2267" spans="2:14" x14ac:dyDescent="0.15">
      <c r="B2267"/>
      <c r="E2267" t="s">
        <v>774</v>
      </c>
      <c r="H2267" s="654">
        <v>1007268</v>
      </c>
      <c r="I2267" s="654">
        <v>0</v>
      </c>
      <c r="J2267" s="654">
        <v>1007268</v>
      </c>
      <c r="K2267" s="654">
        <v>1007268</v>
      </c>
      <c r="L2267" s="654">
        <v>0</v>
      </c>
      <c r="M2267" s="654">
        <v>0</v>
      </c>
      <c r="N2267" s="654">
        <v>0</v>
      </c>
    </row>
    <row r="2268" spans="2:14" x14ac:dyDescent="0.15">
      <c r="B2268"/>
      <c r="D2268" t="s">
        <v>740</v>
      </c>
      <c r="H2268" s="654">
        <v>1007268</v>
      </c>
      <c r="I2268" s="654">
        <v>0</v>
      </c>
      <c r="J2268" s="654">
        <v>1007268</v>
      </c>
      <c r="K2268" s="654">
        <v>1007268</v>
      </c>
      <c r="L2268" s="654">
        <v>0</v>
      </c>
      <c r="M2268" s="654">
        <v>0</v>
      </c>
      <c r="N2268" s="654">
        <v>0</v>
      </c>
    </row>
    <row r="2269" spans="2:14" x14ac:dyDescent="0.15">
      <c r="B2269"/>
      <c r="D2269" t="s">
        <v>582</v>
      </c>
      <c r="E2269" t="s">
        <v>384</v>
      </c>
      <c r="F2269" t="s">
        <v>631</v>
      </c>
      <c r="G2269" t="s">
        <v>596</v>
      </c>
      <c r="H2269" s="654">
        <v>2449461</v>
      </c>
      <c r="I2269" s="654">
        <v>0</v>
      </c>
      <c r="J2269" s="654">
        <v>2449461</v>
      </c>
      <c r="K2269" s="654">
        <v>2449461</v>
      </c>
      <c r="L2269" s="654">
        <v>0</v>
      </c>
      <c r="M2269" s="654">
        <v>0</v>
      </c>
      <c r="N2269" s="654">
        <v>0</v>
      </c>
    </row>
    <row r="2270" spans="2:14" x14ac:dyDescent="0.15">
      <c r="B2270"/>
      <c r="F2270" t="s">
        <v>737</v>
      </c>
      <c r="H2270" s="654">
        <v>2449461</v>
      </c>
      <c r="I2270" s="654">
        <v>0</v>
      </c>
      <c r="J2270" s="654">
        <v>2449461</v>
      </c>
      <c r="K2270" s="654">
        <v>2449461</v>
      </c>
      <c r="L2270" s="654">
        <v>0</v>
      </c>
      <c r="M2270" s="654">
        <v>0</v>
      </c>
      <c r="N2270" s="654">
        <v>0</v>
      </c>
    </row>
    <row r="2271" spans="2:14" x14ac:dyDescent="0.15">
      <c r="B2271"/>
      <c r="E2271" t="s">
        <v>778</v>
      </c>
      <c r="H2271" s="654">
        <v>2449461</v>
      </c>
      <c r="I2271" s="654">
        <v>0</v>
      </c>
      <c r="J2271" s="654">
        <v>2449461</v>
      </c>
      <c r="K2271" s="654">
        <v>2449461</v>
      </c>
      <c r="L2271" s="654">
        <v>0</v>
      </c>
      <c r="M2271" s="654">
        <v>0</v>
      </c>
      <c r="N2271" s="654">
        <v>0</v>
      </c>
    </row>
    <row r="2272" spans="2:14" x14ac:dyDescent="0.15">
      <c r="B2272"/>
      <c r="D2272" t="s">
        <v>743</v>
      </c>
      <c r="H2272" s="654">
        <v>2449461</v>
      </c>
      <c r="I2272" s="654">
        <v>0</v>
      </c>
      <c r="J2272" s="654">
        <v>2449461</v>
      </c>
      <c r="K2272" s="654">
        <v>2449461</v>
      </c>
      <c r="L2272" s="654">
        <v>0</v>
      </c>
      <c r="M2272" s="654">
        <v>0</v>
      </c>
      <c r="N2272" s="654">
        <v>0</v>
      </c>
    </row>
    <row r="2273" spans="2:14" x14ac:dyDescent="0.15">
      <c r="B2273"/>
      <c r="D2273" t="s">
        <v>631</v>
      </c>
      <c r="E2273" t="s">
        <v>381</v>
      </c>
      <c r="F2273" t="s">
        <v>626</v>
      </c>
      <c r="G2273" t="s">
        <v>600</v>
      </c>
      <c r="H2273" s="654">
        <v>1697883</v>
      </c>
      <c r="I2273" s="654">
        <v>-57255</v>
      </c>
      <c r="J2273" s="654">
        <v>1640628</v>
      </c>
      <c r="K2273" s="654">
        <v>1640628</v>
      </c>
      <c r="L2273" s="654">
        <v>0</v>
      </c>
      <c r="M2273" s="654">
        <v>0</v>
      </c>
      <c r="N2273" s="654">
        <v>0</v>
      </c>
    </row>
    <row r="2274" spans="2:14" x14ac:dyDescent="0.15">
      <c r="B2274"/>
      <c r="F2274" t="s">
        <v>733</v>
      </c>
      <c r="H2274" s="654">
        <v>1697883</v>
      </c>
      <c r="I2274" s="654">
        <v>-57255</v>
      </c>
      <c r="J2274" s="654">
        <v>1640628</v>
      </c>
      <c r="K2274" s="654">
        <v>1640628</v>
      </c>
      <c r="L2274" s="654">
        <v>0</v>
      </c>
      <c r="M2274" s="654">
        <v>0</v>
      </c>
      <c r="N2274" s="654">
        <v>0</v>
      </c>
    </row>
    <row r="2275" spans="2:14" x14ac:dyDescent="0.15">
      <c r="B2275"/>
      <c r="E2275" t="s">
        <v>776</v>
      </c>
      <c r="H2275" s="654">
        <v>1697883</v>
      </c>
      <c r="I2275" s="654">
        <v>-57255</v>
      </c>
      <c r="J2275" s="654">
        <v>1640628</v>
      </c>
      <c r="K2275" s="654">
        <v>1640628</v>
      </c>
      <c r="L2275" s="654">
        <v>0</v>
      </c>
      <c r="M2275" s="654">
        <v>0</v>
      </c>
      <c r="N2275" s="654">
        <v>0</v>
      </c>
    </row>
    <row r="2276" spans="2:14" x14ac:dyDescent="0.15">
      <c r="B2276"/>
      <c r="D2276" t="s">
        <v>737</v>
      </c>
      <c r="H2276" s="654">
        <v>1697883</v>
      </c>
      <c r="I2276" s="654">
        <v>-57255</v>
      </c>
      <c r="J2276" s="654">
        <v>1640628</v>
      </c>
      <c r="K2276" s="654">
        <v>1640628</v>
      </c>
      <c r="L2276" s="654">
        <v>0</v>
      </c>
      <c r="M2276" s="654">
        <v>0</v>
      </c>
      <c r="N2276" s="654">
        <v>0</v>
      </c>
    </row>
    <row r="2277" spans="2:14" x14ac:dyDescent="0.15">
      <c r="B2277"/>
      <c r="D2277" t="s">
        <v>671</v>
      </c>
      <c r="E2277" t="s">
        <v>383</v>
      </c>
      <c r="F2277" t="s">
        <v>626</v>
      </c>
      <c r="G2277" t="s">
        <v>600</v>
      </c>
      <c r="H2277" s="654">
        <v>745508</v>
      </c>
      <c r="I2277" s="654">
        <v>0</v>
      </c>
      <c r="J2277" s="654">
        <v>745508</v>
      </c>
      <c r="K2277" s="654">
        <v>745508</v>
      </c>
      <c r="L2277" s="654">
        <v>0</v>
      </c>
      <c r="M2277" s="654">
        <v>0</v>
      </c>
      <c r="N2277" s="654">
        <v>0</v>
      </c>
    </row>
    <row r="2278" spans="2:14" x14ac:dyDescent="0.15">
      <c r="B2278"/>
      <c r="F2278" t="s">
        <v>733</v>
      </c>
      <c r="H2278" s="654">
        <v>745508</v>
      </c>
      <c r="I2278" s="654">
        <v>0</v>
      </c>
      <c r="J2278" s="654">
        <v>745508</v>
      </c>
      <c r="K2278" s="654">
        <v>745508</v>
      </c>
      <c r="L2278" s="654">
        <v>0</v>
      </c>
      <c r="M2278" s="654">
        <v>0</v>
      </c>
      <c r="N2278" s="654">
        <v>0</v>
      </c>
    </row>
    <row r="2279" spans="2:14" x14ac:dyDescent="0.15">
      <c r="B2279"/>
      <c r="F2279" t="s">
        <v>627</v>
      </c>
      <c r="G2279" t="s">
        <v>599</v>
      </c>
      <c r="H2279" s="654">
        <v>19440</v>
      </c>
      <c r="I2279" s="654">
        <v>0</v>
      </c>
      <c r="J2279" s="654">
        <v>19440</v>
      </c>
      <c r="K2279" s="654">
        <v>19440</v>
      </c>
      <c r="L2279" s="654">
        <v>0</v>
      </c>
      <c r="M2279" s="654">
        <v>0</v>
      </c>
      <c r="N2279" s="654">
        <v>0</v>
      </c>
    </row>
    <row r="2280" spans="2:14" x14ac:dyDescent="0.15">
      <c r="B2280"/>
      <c r="F2280" t="s">
        <v>734</v>
      </c>
      <c r="H2280" s="654">
        <v>19440</v>
      </c>
      <c r="I2280" s="654">
        <v>0</v>
      </c>
      <c r="J2280" s="654">
        <v>19440</v>
      </c>
      <c r="K2280" s="654">
        <v>19440</v>
      </c>
      <c r="L2280" s="654">
        <v>0</v>
      </c>
      <c r="M2280" s="654">
        <v>0</v>
      </c>
      <c r="N2280" s="654">
        <v>0</v>
      </c>
    </row>
    <row r="2281" spans="2:14" x14ac:dyDescent="0.15">
      <c r="B2281"/>
      <c r="E2281" t="s">
        <v>777</v>
      </c>
      <c r="H2281" s="654">
        <v>764948</v>
      </c>
      <c r="I2281" s="654">
        <v>0</v>
      </c>
      <c r="J2281" s="654">
        <v>764948</v>
      </c>
      <c r="K2281" s="654">
        <v>764948</v>
      </c>
      <c r="L2281" s="654">
        <v>0</v>
      </c>
      <c r="M2281" s="654">
        <v>0</v>
      </c>
      <c r="N2281" s="654">
        <v>0</v>
      </c>
    </row>
    <row r="2282" spans="2:14" x14ac:dyDescent="0.15">
      <c r="B2282"/>
      <c r="D2282" t="s">
        <v>742</v>
      </c>
      <c r="H2282" s="654">
        <v>764948</v>
      </c>
      <c r="I2282" s="654">
        <v>0</v>
      </c>
      <c r="J2282" s="654">
        <v>764948</v>
      </c>
      <c r="K2282" s="654">
        <v>764948</v>
      </c>
      <c r="L2282" s="654">
        <v>0</v>
      </c>
      <c r="M2282" s="654">
        <v>0</v>
      </c>
      <c r="N2282" s="654">
        <v>0</v>
      </c>
    </row>
    <row r="2283" spans="2:14" x14ac:dyDescent="0.15">
      <c r="B2283"/>
      <c r="D2283" t="s">
        <v>965</v>
      </c>
      <c r="E2283" t="s">
        <v>986</v>
      </c>
      <c r="F2283" t="s">
        <v>626</v>
      </c>
      <c r="G2283" t="s">
        <v>600</v>
      </c>
      <c r="H2283" s="654">
        <v>252446</v>
      </c>
      <c r="I2283" s="654">
        <v>0</v>
      </c>
      <c r="J2283" s="654">
        <v>252446</v>
      </c>
      <c r="K2283" s="654">
        <v>252446</v>
      </c>
      <c r="L2283" s="654">
        <v>0</v>
      </c>
      <c r="M2283" s="654">
        <v>0</v>
      </c>
      <c r="N2283" s="654">
        <v>48263</v>
      </c>
    </row>
    <row r="2284" spans="2:14" x14ac:dyDescent="0.15">
      <c r="B2284"/>
      <c r="F2284" t="s">
        <v>733</v>
      </c>
      <c r="H2284" s="654">
        <v>252446</v>
      </c>
      <c r="I2284" s="654">
        <v>0</v>
      </c>
      <c r="J2284" s="654">
        <v>252446</v>
      </c>
      <c r="K2284" s="654">
        <v>252446</v>
      </c>
      <c r="L2284" s="654">
        <v>0</v>
      </c>
      <c r="M2284" s="654">
        <v>0</v>
      </c>
      <c r="N2284" s="654">
        <v>48263</v>
      </c>
    </row>
    <row r="2285" spans="2:14" x14ac:dyDescent="0.15">
      <c r="B2285"/>
      <c r="F2285" t="s">
        <v>627</v>
      </c>
      <c r="G2285" t="s">
        <v>599</v>
      </c>
      <c r="H2285" s="654">
        <v>168666</v>
      </c>
      <c r="I2285" s="654">
        <v>0</v>
      </c>
      <c r="J2285" s="654">
        <v>168666</v>
      </c>
      <c r="K2285" s="654">
        <v>168666</v>
      </c>
      <c r="L2285" s="654">
        <v>0</v>
      </c>
      <c r="M2285" s="654">
        <v>0</v>
      </c>
      <c r="N2285" s="654">
        <v>39217</v>
      </c>
    </row>
    <row r="2286" spans="2:14" x14ac:dyDescent="0.15">
      <c r="B2286"/>
      <c r="F2286" t="s">
        <v>734</v>
      </c>
      <c r="H2286" s="654">
        <v>168666</v>
      </c>
      <c r="I2286" s="654">
        <v>0</v>
      </c>
      <c r="J2286" s="654">
        <v>168666</v>
      </c>
      <c r="K2286" s="654">
        <v>168666</v>
      </c>
      <c r="L2286" s="654">
        <v>0</v>
      </c>
      <c r="M2286" s="654">
        <v>0</v>
      </c>
      <c r="N2286" s="654">
        <v>39217</v>
      </c>
    </row>
    <row r="2287" spans="2:14" x14ac:dyDescent="0.15">
      <c r="B2287"/>
      <c r="E2287" t="s">
        <v>1138</v>
      </c>
      <c r="H2287" s="654">
        <v>421112</v>
      </c>
      <c r="I2287" s="654">
        <v>0</v>
      </c>
      <c r="J2287" s="654">
        <v>421112</v>
      </c>
      <c r="K2287" s="654">
        <v>421112</v>
      </c>
      <c r="L2287" s="654">
        <v>0</v>
      </c>
      <c r="M2287" s="654">
        <v>0</v>
      </c>
      <c r="N2287" s="654">
        <v>87480</v>
      </c>
    </row>
    <row r="2288" spans="2:14" x14ac:dyDescent="0.15">
      <c r="B2288"/>
      <c r="D2288" t="s">
        <v>1139</v>
      </c>
      <c r="H2288" s="654">
        <v>421112</v>
      </c>
      <c r="I2288" s="654">
        <v>0</v>
      </c>
      <c r="J2288" s="654">
        <v>421112</v>
      </c>
      <c r="K2288" s="654">
        <v>421112</v>
      </c>
      <c r="L2288" s="654">
        <v>0</v>
      </c>
      <c r="M2288" s="654">
        <v>0</v>
      </c>
      <c r="N2288" s="654">
        <v>87480</v>
      </c>
    </row>
    <row r="2289" spans="2:14" x14ac:dyDescent="0.15">
      <c r="B2289"/>
      <c r="C2289" t="s">
        <v>853</v>
      </c>
      <c r="H2289" s="654">
        <v>34119364</v>
      </c>
      <c r="I2289" s="654">
        <v>-423990</v>
      </c>
      <c r="J2289" s="654">
        <v>33695374</v>
      </c>
      <c r="K2289" s="654">
        <v>33695374</v>
      </c>
      <c r="L2289" s="654">
        <v>0</v>
      </c>
      <c r="M2289" s="654">
        <v>420244</v>
      </c>
      <c r="N2289" s="654">
        <v>3846652</v>
      </c>
    </row>
    <row r="2290" spans="2:14" x14ac:dyDescent="0.15">
      <c r="B2290" t="s">
        <v>627</v>
      </c>
      <c r="C2290" t="s">
        <v>847</v>
      </c>
      <c r="D2290" t="s">
        <v>626</v>
      </c>
      <c r="E2290" t="s">
        <v>378</v>
      </c>
      <c r="F2290" t="s">
        <v>626</v>
      </c>
      <c r="G2290" t="s">
        <v>600</v>
      </c>
      <c r="H2290" s="654">
        <v>444510</v>
      </c>
      <c r="I2290" s="654">
        <v>2419</v>
      </c>
      <c r="J2290" s="654">
        <v>446929</v>
      </c>
      <c r="K2290" s="654">
        <v>446929</v>
      </c>
      <c r="L2290" s="654">
        <v>0</v>
      </c>
      <c r="M2290" s="654">
        <v>0</v>
      </c>
      <c r="N2290" s="654">
        <v>0</v>
      </c>
    </row>
    <row r="2291" spans="2:14" x14ac:dyDescent="0.15">
      <c r="B2291"/>
      <c r="F2291" t="s">
        <v>733</v>
      </c>
      <c r="H2291" s="654">
        <v>444510</v>
      </c>
      <c r="I2291" s="654">
        <v>2419</v>
      </c>
      <c r="J2291" s="654">
        <v>446929</v>
      </c>
      <c r="K2291" s="654">
        <v>446929</v>
      </c>
      <c r="L2291" s="654">
        <v>0</v>
      </c>
      <c r="M2291" s="654">
        <v>0</v>
      </c>
      <c r="N2291" s="654">
        <v>0</v>
      </c>
    </row>
    <row r="2292" spans="2:14" x14ac:dyDescent="0.15">
      <c r="B2292"/>
      <c r="F2292" t="s">
        <v>627</v>
      </c>
      <c r="G2292" t="s">
        <v>599</v>
      </c>
      <c r="H2292" s="654">
        <v>0</v>
      </c>
      <c r="I2292" s="654">
        <v>0</v>
      </c>
      <c r="J2292" s="654">
        <v>0</v>
      </c>
      <c r="K2292" s="654">
        <v>0</v>
      </c>
      <c r="L2292" s="654">
        <v>0</v>
      </c>
      <c r="M2292" s="654">
        <v>0</v>
      </c>
      <c r="N2292" s="654">
        <v>0</v>
      </c>
    </row>
    <row r="2293" spans="2:14" x14ac:dyDescent="0.15">
      <c r="B2293"/>
      <c r="F2293" t="s">
        <v>734</v>
      </c>
      <c r="H2293" s="654">
        <v>0</v>
      </c>
      <c r="I2293" s="654">
        <v>0</v>
      </c>
      <c r="J2293" s="654">
        <v>0</v>
      </c>
      <c r="K2293" s="654">
        <v>0</v>
      </c>
      <c r="L2293" s="654">
        <v>0</v>
      </c>
      <c r="M2293" s="654">
        <v>0</v>
      </c>
      <c r="N2293" s="654">
        <v>0</v>
      </c>
    </row>
    <row r="2294" spans="2:14" x14ac:dyDescent="0.15">
      <c r="B2294"/>
      <c r="F2294" t="s">
        <v>628</v>
      </c>
      <c r="G2294" t="s">
        <v>598</v>
      </c>
      <c r="H2294" s="654">
        <v>29114</v>
      </c>
      <c r="I2294" s="654">
        <v>0</v>
      </c>
      <c r="J2294" s="654">
        <v>29114</v>
      </c>
      <c r="K2294" s="654">
        <v>29114</v>
      </c>
      <c r="L2294" s="654">
        <v>0</v>
      </c>
      <c r="M2294" s="654">
        <v>0</v>
      </c>
      <c r="N2294" s="654">
        <v>0</v>
      </c>
    </row>
    <row r="2295" spans="2:14" x14ac:dyDescent="0.15">
      <c r="B2295"/>
      <c r="F2295" t="s">
        <v>735</v>
      </c>
      <c r="H2295" s="654">
        <v>29114</v>
      </c>
      <c r="I2295" s="654">
        <v>0</v>
      </c>
      <c r="J2295" s="654">
        <v>29114</v>
      </c>
      <c r="K2295" s="654">
        <v>29114</v>
      </c>
      <c r="L2295" s="654">
        <v>0</v>
      </c>
      <c r="M2295" s="654">
        <v>0</v>
      </c>
      <c r="N2295" s="654">
        <v>0</v>
      </c>
    </row>
    <row r="2296" spans="2:14" x14ac:dyDescent="0.15">
      <c r="B2296"/>
      <c r="E2296" t="s">
        <v>769</v>
      </c>
      <c r="H2296" s="654">
        <v>473624</v>
      </c>
      <c r="I2296" s="654">
        <v>2419</v>
      </c>
      <c r="J2296" s="654">
        <v>476043</v>
      </c>
      <c r="K2296" s="654">
        <v>476043</v>
      </c>
      <c r="L2296" s="654">
        <v>0</v>
      </c>
      <c r="M2296" s="654">
        <v>0</v>
      </c>
      <c r="N2296" s="654">
        <v>0</v>
      </c>
    </row>
    <row r="2297" spans="2:14" x14ac:dyDescent="0.15">
      <c r="B2297"/>
      <c r="D2297" t="s">
        <v>733</v>
      </c>
      <c r="H2297" s="654">
        <v>473624</v>
      </c>
      <c r="I2297" s="654">
        <v>2419</v>
      </c>
      <c r="J2297" s="654">
        <v>476043</v>
      </c>
      <c r="K2297" s="654">
        <v>476043</v>
      </c>
      <c r="L2297" s="654">
        <v>0</v>
      </c>
      <c r="M2297" s="654">
        <v>0</v>
      </c>
      <c r="N2297" s="654">
        <v>0</v>
      </c>
    </row>
    <row r="2298" spans="2:14" x14ac:dyDescent="0.15">
      <c r="B2298"/>
      <c r="D2298" t="s">
        <v>627</v>
      </c>
      <c r="E2298" t="s">
        <v>379</v>
      </c>
      <c r="F2298" t="s">
        <v>626</v>
      </c>
      <c r="G2298" t="s">
        <v>600</v>
      </c>
      <c r="H2298" s="654">
        <v>116188</v>
      </c>
      <c r="I2298" s="654">
        <v>-133977</v>
      </c>
      <c r="J2298" s="654">
        <v>-17789</v>
      </c>
      <c r="K2298" s="654">
        <v>-17789</v>
      </c>
      <c r="L2298" s="654">
        <v>0</v>
      </c>
      <c r="M2298" s="654">
        <v>0</v>
      </c>
      <c r="N2298" s="654">
        <v>0</v>
      </c>
    </row>
    <row r="2299" spans="2:14" x14ac:dyDescent="0.15">
      <c r="B2299"/>
      <c r="F2299" t="s">
        <v>733</v>
      </c>
      <c r="H2299" s="654">
        <v>116188</v>
      </c>
      <c r="I2299" s="654">
        <v>-133977</v>
      </c>
      <c r="J2299" s="654">
        <v>-17789</v>
      </c>
      <c r="K2299" s="654">
        <v>-17789</v>
      </c>
      <c r="L2299" s="654">
        <v>0</v>
      </c>
      <c r="M2299" s="654">
        <v>0</v>
      </c>
      <c r="N2299" s="654">
        <v>0</v>
      </c>
    </row>
    <row r="2300" spans="2:14" x14ac:dyDescent="0.15">
      <c r="B2300"/>
      <c r="F2300" t="s">
        <v>627</v>
      </c>
      <c r="G2300" t="s">
        <v>599</v>
      </c>
      <c r="H2300" s="654">
        <v>90807</v>
      </c>
      <c r="I2300" s="654">
        <v>-75351</v>
      </c>
      <c r="J2300" s="654">
        <v>15456</v>
      </c>
      <c r="K2300" s="654">
        <v>15456</v>
      </c>
      <c r="L2300" s="654">
        <v>0</v>
      </c>
      <c r="M2300" s="654">
        <v>0</v>
      </c>
      <c r="N2300" s="654">
        <v>0</v>
      </c>
    </row>
    <row r="2301" spans="2:14" x14ac:dyDescent="0.15">
      <c r="B2301"/>
      <c r="F2301" t="s">
        <v>734</v>
      </c>
      <c r="H2301" s="654">
        <v>90807</v>
      </c>
      <c r="I2301" s="654">
        <v>-75351</v>
      </c>
      <c r="J2301" s="654">
        <v>15456</v>
      </c>
      <c r="K2301" s="654">
        <v>15456</v>
      </c>
      <c r="L2301" s="654">
        <v>0</v>
      </c>
      <c r="M2301" s="654">
        <v>0</v>
      </c>
      <c r="N2301" s="654">
        <v>0</v>
      </c>
    </row>
    <row r="2302" spans="2:14" x14ac:dyDescent="0.15">
      <c r="B2302"/>
      <c r="F2302" t="s">
        <v>628</v>
      </c>
      <c r="G2302" t="s">
        <v>598</v>
      </c>
      <c r="H2302" s="654">
        <v>45182</v>
      </c>
      <c r="I2302" s="654">
        <v>0</v>
      </c>
      <c r="J2302" s="654">
        <v>45182</v>
      </c>
      <c r="K2302" s="654">
        <v>45182</v>
      </c>
      <c r="L2302" s="654">
        <v>0</v>
      </c>
      <c r="M2302" s="654">
        <v>0</v>
      </c>
      <c r="N2302" s="654">
        <v>0</v>
      </c>
    </row>
    <row r="2303" spans="2:14" x14ac:dyDescent="0.15">
      <c r="B2303"/>
      <c r="F2303" t="s">
        <v>735</v>
      </c>
      <c r="H2303" s="654">
        <v>45182</v>
      </c>
      <c r="I2303" s="654">
        <v>0</v>
      </c>
      <c r="J2303" s="654">
        <v>45182</v>
      </c>
      <c r="K2303" s="654">
        <v>45182</v>
      </c>
      <c r="L2303" s="654">
        <v>0</v>
      </c>
      <c r="M2303" s="654">
        <v>0</v>
      </c>
      <c r="N2303" s="654">
        <v>0</v>
      </c>
    </row>
    <row r="2304" spans="2:14" x14ac:dyDescent="0.15">
      <c r="B2304"/>
      <c r="E2304" t="s">
        <v>770</v>
      </c>
      <c r="H2304" s="654">
        <v>252177</v>
      </c>
      <c r="I2304" s="654">
        <v>-209328</v>
      </c>
      <c r="J2304" s="654">
        <v>42849</v>
      </c>
      <c r="K2304" s="654">
        <v>42849</v>
      </c>
      <c r="L2304" s="654">
        <v>0</v>
      </c>
      <c r="M2304" s="654">
        <v>0</v>
      </c>
      <c r="N2304" s="654">
        <v>0</v>
      </c>
    </row>
    <row r="2305" spans="2:14" x14ac:dyDescent="0.15">
      <c r="B2305"/>
      <c r="D2305" t="s">
        <v>734</v>
      </c>
      <c r="H2305" s="654">
        <v>252177</v>
      </c>
      <c r="I2305" s="654">
        <v>-209328</v>
      </c>
      <c r="J2305" s="654">
        <v>42849</v>
      </c>
      <c r="K2305" s="654">
        <v>42849</v>
      </c>
      <c r="L2305" s="654">
        <v>0</v>
      </c>
      <c r="M2305" s="654">
        <v>0</v>
      </c>
      <c r="N2305" s="654">
        <v>0</v>
      </c>
    </row>
    <row r="2306" spans="2:14" x14ac:dyDescent="0.15">
      <c r="B2306"/>
      <c r="D2306" t="s">
        <v>628</v>
      </c>
      <c r="E2306" t="s">
        <v>380</v>
      </c>
      <c r="F2306" t="s">
        <v>626</v>
      </c>
      <c r="G2306" t="s">
        <v>600</v>
      </c>
      <c r="H2306" s="654">
        <v>11613</v>
      </c>
      <c r="I2306" s="654">
        <v>0</v>
      </c>
      <c r="J2306" s="654">
        <v>11613</v>
      </c>
      <c r="K2306" s="654">
        <v>11613</v>
      </c>
      <c r="L2306" s="654">
        <v>0</v>
      </c>
      <c r="M2306" s="654">
        <v>0</v>
      </c>
      <c r="N2306" s="654">
        <v>0</v>
      </c>
    </row>
    <row r="2307" spans="2:14" x14ac:dyDescent="0.15">
      <c r="B2307"/>
      <c r="F2307" t="s">
        <v>733</v>
      </c>
      <c r="H2307" s="654">
        <v>11613</v>
      </c>
      <c r="I2307" s="654">
        <v>0</v>
      </c>
      <c r="J2307" s="654">
        <v>11613</v>
      </c>
      <c r="K2307" s="654">
        <v>11613</v>
      </c>
      <c r="L2307" s="654">
        <v>0</v>
      </c>
      <c r="M2307" s="654">
        <v>0</v>
      </c>
      <c r="N2307" s="654">
        <v>0</v>
      </c>
    </row>
    <row r="2308" spans="2:14" x14ac:dyDescent="0.15">
      <c r="B2308"/>
      <c r="F2308" t="s">
        <v>627</v>
      </c>
      <c r="G2308" t="s">
        <v>599</v>
      </c>
      <c r="H2308" s="654">
        <v>0</v>
      </c>
      <c r="I2308" s="654">
        <v>0</v>
      </c>
      <c r="J2308" s="654">
        <v>0</v>
      </c>
      <c r="K2308" s="654">
        <v>0</v>
      </c>
      <c r="L2308" s="654">
        <v>0</v>
      </c>
      <c r="M2308" s="654">
        <v>0</v>
      </c>
      <c r="N2308" s="654">
        <v>0</v>
      </c>
    </row>
    <row r="2309" spans="2:14" x14ac:dyDescent="0.15">
      <c r="B2309"/>
      <c r="F2309" t="s">
        <v>734</v>
      </c>
      <c r="H2309" s="654">
        <v>0</v>
      </c>
      <c r="I2309" s="654">
        <v>0</v>
      </c>
      <c r="J2309" s="654">
        <v>0</v>
      </c>
      <c r="K2309" s="654">
        <v>0</v>
      </c>
      <c r="L2309" s="654">
        <v>0</v>
      </c>
      <c r="M2309" s="654">
        <v>0</v>
      </c>
      <c r="N2309" s="654">
        <v>0</v>
      </c>
    </row>
    <row r="2310" spans="2:14" x14ac:dyDescent="0.15">
      <c r="B2310"/>
      <c r="E2310" t="s">
        <v>771</v>
      </c>
      <c r="H2310" s="654">
        <v>11613</v>
      </c>
      <c r="I2310" s="654">
        <v>0</v>
      </c>
      <c r="J2310" s="654">
        <v>11613</v>
      </c>
      <c r="K2310" s="654">
        <v>11613</v>
      </c>
      <c r="L2310" s="654">
        <v>0</v>
      </c>
      <c r="M2310" s="654">
        <v>0</v>
      </c>
      <c r="N2310" s="654">
        <v>0</v>
      </c>
    </row>
    <row r="2311" spans="2:14" x14ac:dyDescent="0.15">
      <c r="B2311"/>
      <c r="D2311" t="s">
        <v>735</v>
      </c>
      <c r="H2311" s="654">
        <v>11613</v>
      </c>
      <c r="I2311" s="654">
        <v>0</v>
      </c>
      <c r="J2311" s="654">
        <v>11613</v>
      </c>
      <c r="K2311" s="654">
        <v>11613</v>
      </c>
      <c r="L2311" s="654">
        <v>0</v>
      </c>
      <c r="M2311" s="654">
        <v>0</v>
      </c>
      <c r="N2311" s="654">
        <v>0</v>
      </c>
    </row>
    <row r="2312" spans="2:14" x14ac:dyDescent="0.15">
      <c r="B2312"/>
      <c r="D2312" t="s">
        <v>629</v>
      </c>
      <c r="E2312" t="s">
        <v>676</v>
      </c>
      <c r="F2312" t="s">
        <v>629</v>
      </c>
      <c r="G2312" t="s">
        <v>601</v>
      </c>
      <c r="H2312" s="654">
        <v>0</v>
      </c>
      <c r="I2312" s="654">
        <v>0</v>
      </c>
      <c r="J2312" s="654">
        <v>0</v>
      </c>
      <c r="K2312" s="654">
        <v>0</v>
      </c>
      <c r="L2312" s="654">
        <v>0</v>
      </c>
      <c r="M2312" s="654">
        <v>0</v>
      </c>
      <c r="N2312" s="654">
        <v>0</v>
      </c>
    </row>
    <row r="2313" spans="2:14" x14ac:dyDescent="0.15">
      <c r="B2313"/>
      <c r="F2313" t="s">
        <v>736</v>
      </c>
      <c r="H2313" s="654">
        <v>0</v>
      </c>
      <c r="I2313" s="654">
        <v>0</v>
      </c>
      <c r="J2313" s="654">
        <v>0</v>
      </c>
      <c r="K2313" s="654">
        <v>0</v>
      </c>
      <c r="L2313" s="654">
        <v>0</v>
      </c>
      <c r="M2313" s="654">
        <v>0</v>
      </c>
      <c r="N2313" s="654">
        <v>0</v>
      </c>
    </row>
    <row r="2314" spans="2:14" x14ac:dyDescent="0.15">
      <c r="B2314"/>
      <c r="E2314" t="s">
        <v>772</v>
      </c>
      <c r="H2314" s="654">
        <v>0</v>
      </c>
      <c r="I2314" s="654">
        <v>0</v>
      </c>
      <c r="J2314" s="654">
        <v>0</v>
      </c>
      <c r="K2314" s="654">
        <v>0</v>
      </c>
      <c r="L2314" s="654">
        <v>0</v>
      </c>
      <c r="M2314" s="654">
        <v>0</v>
      </c>
      <c r="N2314" s="654">
        <v>0</v>
      </c>
    </row>
    <row r="2315" spans="2:14" x14ac:dyDescent="0.15">
      <c r="B2315"/>
      <c r="D2315" t="s">
        <v>736</v>
      </c>
      <c r="H2315" s="654">
        <v>0</v>
      </c>
      <c r="I2315" s="654">
        <v>0</v>
      </c>
      <c r="J2315" s="654">
        <v>0</v>
      </c>
      <c r="K2315" s="654">
        <v>0</v>
      </c>
      <c r="L2315" s="654">
        <v>0</v>
      </c>
      <c r="M2315" s="654">
        <v>0</v>
      </c>
      <c r="N2315" s="654">
        <v>0</v>
      </c>
    </row>
    <row r="2316" spans="2:14" x14ac:dyDescent="0.15">
      <c r="B2316"/>
      <c r="D2316" t="s">
        <v>567</v>
      </c>
      <c r="E2316" t="s">
        <v>473</v>
      </c>
      <c r="F2316" t="s">
        <v>631</v>
      </c>
      <c r="G2316" t="s">
        <v>596</v>
      </c>
      <c r="H2316" s="654">
        <v>289428</v>
      </c>
      <c r="I2316" s="654">
        <v>0</v>
      </c>
      <c r="J2316" s="654">
        <v>289428</v>
      </c>
      <c r="K2316" s="654">
        <v>289428</v>
      </c>
      <c r="L2316" s="654">
        <v>0</v>
      </c>
      <c r="M2316" s="654">
        <v>0</v>
      </c>
      <c r="N2316" s="654">
        <v>0</v>
      </c>
    </row>
    <row r="2317" spans="2:14" x14ac:dyDescent="0.15">
      <c r="B2317"/>
      <c r="F2317" t="s">
        <v>737</v>
      </c>
      <c r="H2317" s="654">
        <v>289428</v>
      </c>
      <c r="I2317" s="654">
        <v>0</v>
      </c>
      <c r="J2317" s="654">
        <v>289428</v>
      </c>
      <c r="K2317" s="654">
        <v>289428</v>
      </c>
      <c r="L2317" s="654">
        <v>0</v>
      </c>
      <c r="M2317" s="654">
        <v>0</v>
      </c>
      <c r="N2317" s="654">
        <v>0</v>
      </c>
    </row>
    <row r="2318" spans="2:14" x14ac:dyDescent="0.15">
      <c r="B2318"/>
      <c r="E2318" t="s">
        <v>773</v>
      </c>
      <c r="H2318" s="654">
        <v>289428</v>
      </c>
      <c r="I2318" s="654">
        <v>0</v>
      </c>
      <c r="J2318" s="654">
        <v>289428</v>
      </c>
      <c r="K2318" s="654">
        <v>289428</v>
      </c>
      <c r="L2318" s="654">
        <v>0</v>
      </c>
      <c r="M2318" s="654">
        <v>0</v>
      </c>
      <c r="N2318" s="654">
        <v>0</v>
      </c>
    </row>
    <row r="2319" spans="2:14" x14ac:dyDescent="0.15">
      <c r="B2319"/>
      <c r="D2319" t="s">
        <v>739</v>
      </c>
      <c r="H2319" s="654">
        <v>289428</v>
      </c>
      <c r="I2319" s="654">
        <v>0</v>
      </c>
      <c r="J2319" s="654">
        <v>289428</v>
      </c>
      <c r="K2319" s="654">
        <v>289428</v>
      </c>
      <c r="L2319" s="654">
        <v>0</v>
      </c>
      <c r="M2319" s="654">
        <v>0</v>
      </c>
      <c r="N2319" s="654">
        <v>0</v>
      </c>
    </row>
    <row r="2320" spans="2:14" x14ac:dyDescent="0.15">
      <c r="B2320"/>
      <c r="D2320" t="s">
        <v>568</v>
      </c>
      <c r="E2320" t="s">
        <v>474</v>
      </c>
      <c r="F2320" t="s">
        <v>631</v>
      </c>
      <c r="G2320" t="s">
        <v>596</v>
      </c>
      <c r="H2320" s="654">
        <v>0</v>
      </c>
      <c r="I2320" s="654">
        <v>0</v>
      </c>
      <c r="J2320" s="654">
        <v>0</v>
      </c>
      <c r="K2320" s="654">
        <v>0</v>
      </c>
      <c r="L2320" s="654">
        <v>0</v>
      </c>
      <c r="M2320" s="654">
        <v>0</v>
      </c>
      <c r="N2320" s="654">
        <v>0</v>
      </c>
    </row>
    <row r="2321" spans="2:14" x14ac:dyDescent="0.15">
      <c r="B2321"/>
      <c r="F2321" t="s">
        <v>737</v>
      </c>
      <c r="H2321" s="654">
        <v>0</v>
      </c>
      <c r="I2321" s="654">
        <v>0</v>
      </c>
      <c r="J2321" s="654">
        <v>0</v>
      </c>
      <c r="K2321" s="654">
        <v>0</v>
      </c>
      <c r="L2321" s="654">
        <v>0</v>
      </c>
      <c r="M2321" s="654">
        <v>0</v>
      </c>
      <c r="N2321" s="654">
        <v>0</v>
      </c>
    </row>
    <row r="2322" spans="2:14" x14ac:dyDescent="0.15">
      <c r="B2322"/>
      <c r="E2322" t="s">
        <v>774</v>
      </c>
      <c r="H2322" s="654">
        <v>0</v>
      </c>
      <c r="I2322" s="654">
        <v>0</v>
      </c>
      <c r="J2322" s="654">
        <v>0</v>
      </c>
      <c r="K2322" s="654">
        <v>0</v>
      </c>
      <c r="L2322" s="654">
        <v>0</v>
      </c>
      <c r="M2322" s="654">
        <v>0</v>
      </c>
      <c r="N2322" s="654">
        <v>0</v>
      </c>
    </row>
    <row r="2323" spans="2:14" x14ac:dyDescent="0.15">
      <c r="B2323"/>
      <c r="D2323" t="s">
        <v>740</v>
      </c>
      <c r="H2323" s="654">
        <v>0</v>
      </c>
      <c r="I2323" s="654">
        <v>0</v>
      </c>
      <c r="J2323" s="654">
        <v>0</v>
      </c>
      <c r="K2323" s="654">
        <v>0</v>
      </c>
      <c r="L2323" s="654">
        <v>0</v>
      </c>
      <c r="M2323" s="654">
        <v>0</v>
      </c>
      <c r="N2323" s="654">
        <v>0</v>
      </c>
    </row>
    <row r="2324" spans="2:14" x14ac:dyDescent="0.15">
      <c r="B2324"/>
      <c r="D2324" t="s">
        <v>582</v>
      </c>
      <c r="E2324" t="s">
        <v>384</v>
      </c>
      <c r="F2324" t="s">
        <v>631</v>
      </c>
      <c r="G2324" t="s">
        <v>596</v>
      </c>
      <c r="H2324" s="654">
        <v>228527</v>
      </c>
      <c r="I2324" s="654">
        <v>0</v>
      </c>
      <c r="J2324" s="654">
        <v>228527</v>
      </c>
      <c r="K2324" s="654">
        <v>228527</v>
      </c>
      <c r="L2324" s="654">
        <v>0</v>
      </c>
      <c r="M2324" s="654">
        <v>0</v>
      </c>
      <c r="N2324" s="654">
        <v>0</v>
      </c>
    </row>
    <row r="2325" spans="2:14" x14ac:dyDescent="0.15">
      <c r="B2325"/>
      <c r="F2325" t="s">
        <v>737</v>
      </c>
      <c r="H2325" s="654">
        <v>228527</v>
      </c>
      <c r="I2325" s="654">
        <v>0</v>
      </c>
      <c r="J2325" s="654">
        <v>228527</v>
      </c>
      <c r="K2325" s="654">
        <v>228527</v>
      </c>
      <c r="L2325" s="654">
        <v>0</v>
      </c>
      <c r="M2325" s="654">
        <v>0</v>
      </c>
      <c r="N2325" s="654">
        <v>0</v>
      </c>
    </row>
    <row r="2326" spans="2:14" x14ac:dyDescent="0.15">
      <c r="B2326"/>
      <c r="E2326" t="s">
        <v>778</v>
      </c>
      <c r="H2326" s="654">
        <v>228527</v>
      </c>
      <c r="I2326" s="654">
        <v>0</v>
      </c>
      <c r="J2326" s="654">
        <v>228527</v>
      </c>
      <c r="K2326" s="654">
        <v>228527</v>
      </c>
      <c r="L2326" s="654">
        <v>0</v>
      </c>
      <c r="M2326" s="654">
        <v>0</v>
      </c>
      <c r="N2326" s="654">
        <v>0</v>
      </c>
    </row>
    <row r="2327" spans="2:14" x14ac:dyDescent="0.15">
      <c r="B2327"/>
      <c r="D2327" t="s">
        <v>743</v>
      </c>
      <c r="H2327" s="654">
        <v>228527</v>
      </c>
      <c r="I2327" s="654">
        <v>0</v>
      </c>
      <c r="J2327" s="654">
        <v>228527</v>
      </c>
      <c r="K2327" s="654">
        <v>228527</v>
      </c>
      <c r="L2327" s="654">
        <v>0</v>
      </c>
      <c r="M2327" s="654">
        <v>0</v>
      </c>
      <c r="N2327" s="654">
        <v>0</v>
      </c>
    </row>
    <row r="2328" spans="2:14" x14ac:dyDescent="0.15">
      <c r="B2328"/>
      <c r="D2328" t="s">
        <v>631</v>
      </c>
      <c r="E2328" t="s">
        <v>381</v>
      </c>
      <c r="F2328" t="s">
        <v>626</v>
      </c>
      <c r="G2328" t="s">
        <v>600</v>
      </c>
      <c r="H2328" s="654">
        <v>0</v>
      </c>
      <c r="I2328" s="654">
        <v>0</v>
      </c>
      <c r="J2328" s="654">
        <v>0</v>
      </c>
      <c r="K2328" s="654">
        <v>0</v>
      </c>
      <c r="L2328" s="654">
        <v>0</v>
      </c>
      <c r="M2328" s="654">
        <v>0</v>
      </c>
      <c r="N2328" s="654">
        <v>0</v>
      </c>
    </row>
    <row r="2329" spans="2:14" x14ac:dyDescent="0.15">
      <c r="B2329"/>
      <c r="F2329" t="s">
        <v>733</v>
      </c>
      <c r="H2329" s="654">
        <v>0</v>
      </c>
      <c r="I2329" s="654">
        <v>0</v>
      </c>
      <c r="J2329" s="654">
        <v>0</v>
      </c>
      <c r="K2329" s="654">
        <v>0</v>
      </c>
      <c r="L2329" s="654">
        <v>0</v>
      </c>
      <c r="M2329" s="654">
        <v>0</v>
      </c>
      <c r="N2329" s="654">
        <v>0</v>
      </c>
    </row>
    <row r="2330" spans="2:14" x14ac:dyDescent="0.15">
      <c r="B2330"/>
      <c r="E2330" t="s">
        <v>776</v>
      </c>
      <c r="H2330" s="654">
        <v>0</v>
      </c>
      <c r="I2330" s="654">
        <v>0</v>
      </c>
      <c r="J2330" s="654">
        <v>0</v>
      </c>
      <c r="K2330" s="654">
        <v>0</v>
      </c>
      <c r="L2330" s="654">
        <v>0</v>
      </c>
      <c r="M2330" s="654">
        <v>0</v>
      </c>
      <c r="N2330" s="654">
        <v>0</v>
      </c>
    </row>
    <row r="2331" spans="2:14" x14ac:dyDescent="0.15">
      <c r="B2331"/>
      <c r="D2331" t="s">
        <v>737</v>
      </c>
      <c r="H2331" s="654">
        <v>0</v>
      </c>
      <c r="I2331" s="654">
        <v>0</v>
      </c>
      <c r="J2331" s="654">
        <v>0</v>
      </c>
      <c r="K2331" s="654">
        <v>0</v>
      </c>
      <c r="L2331" s="654">
        <v>0</v>
      </c>
      <c r="M2331" s="654">
        <v>0</v>
      </c>
      <c r="N2331" s="654">
        <v>0</v>
      </c>
    </row>
    <row r="2332" spans="2:14" x14ac:dyDescent="0.15">
      <c r="B2332"/>
      <c r="D2332" t="s">
        <v>671</v>
      </c>
      <c r="E2332" t="s">
        <v>383</v>
      </c>
      <c r="F2332" t="s">
        <v>626</v>
      </c>
      <c r="G2332" t="s">
        <v>600</v>
      </c>
      <c r="H2332" s="654">
        <v>0</v>
      </c>
      <c r="I2332" s="654">
        <v>0</v>
      </c>
      <c r="J2332" s="654">
        <v>0</v>
      </c>
      <c r="K2332" s="654">
        <v>0</v>
      </c>
      <c r="L2332" s="654">
        <v>0</v>
      </c>
      <c r="M2332" s="654">
        <v>0</v>
      </c>
      <c r="N2332" s="654">
        <v>0</v>
      </c>
    </row>
    <row r="2333" spans="2:14" x14ac:dyDescent="0.15">
      <c r="B2333"/>
      <c r="F2333" t="s">
        <v>733</v>
      </c>
      <c r="H2333" s="654">
        <v>0</v>
      </c>
      <c r="I2333" s="654">
        <v>0</v>
      </c>
      <c r="J2333" s="654">
        <v>0</v>
      </c>
      <c r="K2333" s="654">
        <v>0</v>
      </c>
      <c r="L2333" s="654">
        <v>0</v>
      </c>
      <c r="M2333" s="654">
        <v>0</v>
      </c>
      <c r="N2333" s="654">
        <v>0</v>
      </c>
    </row>
    <row r="2334" spans="2:14" x14ac:dyDescent="0.15">
      <c r="B2334"/>
      <c r="F2334" t="s">
        <v>627</v>
      </c>
      <c r="G2334" t="s">
        <v>599</v>
      </c>
      <c r="H2334" s="654">
        <v>0</v>
      </c>
      <c r="I2334" s="654">
        <v>0</v>
      </c>
      <c r="J2334" s="654">
        <v>0</v>
      </c>
      <c r="K2334" s="654">
        <v>0</v>
      </c>
      <c r="L2334" s="654">
        <v>0</v>
      </c>
      <c r="M2334" s="654">
        <v>0</v>
      </c>
      <c r="N2334" s="654">
        <v>0</v>
      </c>
    </row>
    <row r="2335" spans="2:14" x14ac:dyDescent="0.15">
      <c r="B2335"/>
      <c r="F2335" t="s">
        <v>734</v>
      </c>
      <c r="H2335" s="654">
        <v>0</v>
      </c>
      <c r="I2335" s="654">
        <v>0</v>
      </c>
      <c r="J2335" s="654">
        <v>0</v>
      </c>
      <c r="K2335" s="654">
        <v>0</v>
      </c>
      <c r="L2335" s="654">
        <v>0</v>
      </c>
      <c r="M2335" s="654">
        <v>0</v>
      </c>
      <c r="N2335" s="654">
        <v>0</v>
      </c>
    </row>
    <row r="2336" spans="2:14" x14ac:dyDescent="0.15">
      <c r="B2336"/>
      <c r="E2336" t="s">
        <v>777</v>
      </c>
      <c r="H2336" s="654">
        <v>0</v>
      </c>
      <c r="I2336" s="654">
        <v>0</v>
      </c>
      <c r="J2336" s="654">
        <v>0</v>
      </c>
      <c r="K2336" s="654">
        <v>0</v>
      </c>
      <c r="L2336" s="654">
        <v>0</v>
      </c>
      <c r="M2336" s="654">
        <v>0</v>
      </c>
      <c r="N2336" s="654">
        <v>0</v>
      </c>
    </row>
    <row r="2337" spans="1:14" x14ac:dyDescent="0.15">
      <c r="B2337"/>
      <c r="D2337" t="s">
        <v>742</v>
      </c>
      <c r="H2337" s="654">
        <v>0</v>
      </c>
      <c r="I2337" s="654">
        <v>0</v>
      </c>
      <c r="J2337" s="654">
        <v>0</v>
      </c>
      <c r="K2337" s="654">
        <v>0</v>
      </c>
      <c r="L2337" s="654">
        <v>0</v>
      </c>
      <c r="M2337" s="654">
        <v>0</v>
      </c>
      <c r="N2337" s="654">
        <v>0</v>
      </c>
    </row>
    <row r="2338" spans="1:14" x14ac:dyDescent="0.15">
      <c r="B2338"/>
      <c r="D2338" t="s">
        <v>965</v>
      </c>
      <c r="E2338" t="s">
        <v>986</v>
      </c>
      <c r="F2338" t="s">
        <v>626</v>
      </c>
      <c r="G2338" t="s">
        <v>600</v>
      </c>
      <c r="H2338" s="654">
        <v>241538</v>
      </c>
      <c r="I2338" s="654">
        <v>0</v>
      </c>
      <c r="J2338" s="654">
        <v>241538</v>
      </c>
      <c r="K2338" s="654">
        <v>241538</v>
      </c>
      <c r="L2338" s="654">
        <v>0</v>
      </c>
      <c r="M2338" s="654">
        <v>0</v>
      </c>
      <c r="N2338" s="654">
        <v>0</v>
      </c>
    </row>
    <row r="2339" spans="1:14" x14ac:dyDescent="0.15">
      <c r="B2339"/>
      <c r="F2339" t="s">
        <v>733</v>
      </c>
      <c r="H2339" s="654">
        <v>241538</v>
      </c>
      <c r="I2339" s="654">
        <v>0</v>
      </c>
      <c r="J2339" s="654">
        <v>241538</v>
      </c>
      <c r="K2339" s="654">
        <v>241538</v>
      </c>
      <c r="L2339" s="654">
        <v>0</v>
      </c>
      <c r="M2339" s="654">
        <v>0</v>
      </c>
      <c r="N2339" s="654">
        <v>0</v>
      </c>
    </row>
    <row r="2340" spans="1:14" x14ac:dyDescent="0.15">
      <c r="B2340"/>
      <c r="F2340" t="s">
        <v>627</v>
      </c>
      <c r="G2340" t="s">
        <v>599</v>
      </c>
      <c r="H2340" s="654">
        <v>0</v>
      </c>
      <c r="I2340" s="654">
        <v>0</v>
      </c>
      <c r="J2340" s="654">
        <v>0</v>
      </c>
      <c r="K2340" s="654">
        <v>0</v>
      </c>
      <c r="L2340" s="654">
        <v>0</v>
      </c>
      <c r="M2340" s="654">
        <v>0</v>
      </c>
      <c r="N2340" s="654">
        <v>0</v>
      </c>
    </row>
    <row r="2341" spans="1:14" x14ac:dyDescent="0.15">
      <c r="B2341"/>
      <c r="F2341" t="s">
        <v>734</v>
      </c>
      <c r="H2341" s="654">
        <v>0</v>
      </c>
      <c r="I2341" s="654">
        <v>0</v>
      </c>
      <c r="J2341" s="654">
        <v>0</v>
      </c>
      <c r="K2341" s="654">
        <v>0</v>
      </c>
      <c r="L2341" s="654">
        <v>0</v>
      </c>
      <c r="M2341" s="654">
        <v>0</v>
      </c>
      <c r="N2341" s="654">
        <v>0</v>
      </c>
    </row>
    <row r="2342" spans="1:14" x14ac:dyDescent="0.15">
      <c r="B2342"/>
      <c r="E2342" t="s">
        <v>1138</v>
      </c>
      <c r="H2342" s="654">
        <v>241538</v>
      </c>
      <c r="I2342" s="654">
        <v>0</v>
      </c>
      <c r="J2342" s="654">
        <v>241538</v>
      </c>
      <c r="K2342" s="654">
        <v>241538</v>
      </c>
      <c r="L2342" s="654">
        <v>0</v>
      </c>
      <c r="M2342" s="654">
        <v>0</v>
      </c>
      <c r="N2342" s="654">
        <v>0</v>
      </c>
    </row>
    <row r="2343" spans="1:14" x14ac:dyDescent="0.15">
      <c r="B2343"/>
      <c r="D2343" t="s">
        <v>1139</v>
      </c>
      <c r="H2343" s="654">
        <v>241538</v>
      </c>
      <c r="I2343" s="654">
        <v>0</v>
      </c>
      <c r="J2343" s="654">
        <v>241538</v>
      </c>
      <c r="K2343" s="654">
        <v>241538</v>
      </c>
      <c r="L2343" s="654">
        <v>0</v>
      </c>
      <c r="M2343" s="654">
        <v>0</v>
      </c>
      <c r="N2343" s="654">
        <v>0</v>
      </c>
    </row>
    <row r="2344" spans="1:14" x14ac:dyDescent="0.15">
      <c r="B2344"/>
      <c r="C2344" t="s">
        <v>854</v>
      </c>
      <c r="H2344" s="654">
        <v>1496907</v>
      </c>
      <c r="I2344" s="654">
        <v>-206909</v>
      </c>
      <c r="J2344" s="654">
        <v>1289998</v>
      </c>
      <c r="K2344" s="654">
        <v>1289998</v>
      </c>
      <c r="L2344" s="654">
        <v>0</v>
      </c>
      <c r="M2344" s="654">
        <v>0</v>
      </c>
      <c r="N2344" s="654">
        <v>0</v>
      </c>
    </row>
    <row r="2345" spans="1:14" x14ac:dyDescent="0.15">
      <c r="A2345" s="653" t="s">
        <v>1217</v>
      </c>
      <c r="B2345"/>
      <c r="H2345" s="654">
        <v>35616271</v>
      </c>
      <c r="I2345" s="654">
        <v>-630899</v>
      </c>
      <c r="J2345" s="654">
        <v>34985372</v>
      </c>
      <c r="K2345" s="654">
        <v>34985372</v>
      </c>
      <c r="L2345" s="654">
        <v>0</v>
      </c>
      <c r="M2345" s="654">
        <v>420244</v>
      </c>
      <c r="N2345" s="654">
        <v>3846652</v>
      </c>
    </row>
    <row r="2346" spans="1:14" x14ac:dyDescent="0.15">
      <c r="A2346" s="653">
        <v>43313</v>
      </c>
      <c r="B2346" t="s">
        <v>626</v>
      </c>
      <c r="C2346" t="s">
        <v>849</v>
      </c>
      <c r="D2346" t="s">
        <v>626</v>
      </c>
      <c r="E2346" t="s">
        <v>378</v>
      </c>
      <c r="F2346" t="s">
        <v>626</v>
      </c>
      <c r="G2346" t="s">
        <v>600</v>
      </c>
      <c r="H2346" s="654">
        <v>7730030</v>
      </c>
      <c r="I2346" s="654">
        <v>-191155</v>
      </c>
      <c r="J2346" s="654">
        <v>7538875</v>
      </c>
      <c r="K2346" s="654">
        <v>7538875</v>
      </c>
      <c r="L2346" s="654">
        <v>0</v>
      </c>
      <c r="M2346" s="654">
        <v>97380</v>
      </c>
      <c r="N2346" s="654">
        <v>1186196</v>
      </c>
    </row>
    <row r="2347" spans="1:14" x14ac:dyDescent="0.15">
      <c r="B2347"/>
      <c r="F2347" t="s">
        <v>733</v>
      </c>
      <c r="H2347" s="654">
        <v>7730030</v>
      </c>
      <c r="I2347" s="654">
        <v>-191155</v>
      </c>
      <c r="J2347" s="654">
        <v>7538875</v>
      </c>
      <c r="K2347" s="654">
        <v>7538875</v>
      </c>
      <c r="L2347" s="654">
        <v>0</v>
      </c>
      <c r="M2347" s="654">
        <v>97380</v>
      </c>
      <c r="N2347" s="654">
        <v>1186196</v>
      </c>
    </row>
    <row r="2348" spans="1:14" x14ac:dyDescent="0.15">
      <c r="B2348"/>
      <c r="F2348" t="s">
        <v>627</v>
      </c>
      <c r="G2348" t="s">
        <v>599</v>
      </c>
      <c r="H2348" s="654">
        <v>1515977</v>
      </c>
      <c r="I2348" s="654">
        <v>-482819</v>
      </c>
      <c r="J2348" s="654">
        <v>1033158</v>
      </c>
      <c r="K2348" s="654">
        <v>1033158</v>
      </c>
      <c r="L2348" s="654">
        <v>0</v>
      </c>
      <c r="M2348" s="654">
        <v>0</v>
      </c>
      <c r="N2348" s="654">
        <v>250906</v>
      </c>
    </row>
    <row r="2349" spans="1:14" x14ac:dyDescent="0.15">
      <c r="B2349"/>
      <c r="F2349" t="s">
        <v>734</v>
      </c>
      <c r="H2349" s="654">
        <v>1515977</v>
      </c>
      <c r="I2349" s="654">
        <v>-482819</v>
      </c>
      <c r="J2349" s="654">
        <v>1033158</v>
      </c>
      <c r="K2349" s="654">
        <v>1033158</v>
      </c>
      <c r="L2349" s="654">
        <v>0</v>
      </c>
      <c r="M2349" s="654">
        <v>0</v>
      </c>
      <c r="N2349" s="654">
        <v>250906</v>
      </c>
    </row>
    <row r="2350" spans="1:14" x14ac:dyDescent="0.15">
      <c r="B2350"/>
      <c r="F2350" t="s">
        <v>628</v>
      </c>
      <c r="G2350" t="s">
        <v>598</v>
      </c>
      <c r="H2350" s="654">
        <v>668845</v>
      </c>
      <c r="I2350" s="654">
        <v>0</v>
      </c>
      <c r="J2350" s="654">
        <v>668845</v>
      </c>
      <c r="K2350" s="654">
        <v>668845</v>
      </c>
      <c r="L2350" s="654">
        <v>0</v>
      </c>
      <c r="M2350" s="654">
        <v>0</v>
      </c>
      <c r="N2350" s="654">
        <v>0</v>
      </c>
    </row>
    <row r="2351" spans="1:14" x14ac:dyDescent="0.15">
      <c r="B2351"/>
      <c r="F2351" t="s">
        <v>735</v>
      </c>
      <c r="H2351" s="654">
        <v>668845</v>
      </c>
      <c r="I2351" s="654">
        <v>0</v>
      </c>
      <c r="J2351" s="654">
        <v>668845</v>
      </c>
      <c r="K2351" s="654">
        <v>668845</v>
      </c>
      <c r="L2351" s="654">
        <v>0</v>
      </c>
      <c r="M2351" s="654">
        <v>0</v>
      </c>
      <c r="N2351" s="654">
        <v>0</v>
      </c>
    </row>
    <row r="2352" spans="1:14" x14ac:dyDescent="0.15">
      <c r="B2352"/>
      <c r="E2352" t="s">
        <v>769</v>
      </c>
      <c r="H2352" s="654">
        <v>9914852</v>
      </c>
      <c r="I2352" s="654">
        <v>-673974</v>
      </c>
      <c r="J2352" s="654">
        <v>9240878</v>
      </c>
      <c r="K2352" s="654">
        <v>9240878</v>
      </c>
      <c r="L2352" s="654">
        <v>0</v>
      </c>
      <c r="M2352" s="654">
        <v>97380</v>
      </c>
      <c r="N2352" s="654">
        <v>1437102</v>
      </c>
    </row>
    <row r="2353" spans="2:14" x14ac:dyDescent="0.15">
      <c r="B2353"/>
      <c r="D2353" t="s">
        <v>733</v>
      </c>
      <c r="H2353" s="654">
        <v>9914852</v>
      </c>
      <c r="I2353" s="654">
        <v>-673974</v>
      </c>
      <c r="J2353" s="654">
        <v>9240878</v>
      </c>
      <c r="K2353" s="654">
        <v>9240878</v>
      </c>
      <c r="L2353" s="654">
        <v>0</v>
      </c>
      <c r="M2353" s="654">
        <v>97380</v>
      </c>
      <c r="N2353" s="654">
        <v>1437102</v>
      </c>
    </row>
    <row r="2354" spans="2:14" x14ac:dyDescent="0.15">
      <c r="B2354"/>
      <c r="D2354" t="s">
        <v>627</v>
      </c>
      <c r="E2354" t="s">
        <v>379</v>
      </c>
      <c r="F2354" t="s">
        <v>626</v>
      </c>
      <c r="G2354" t="s">
        <v>600</v>
      </c>
      <c r="H2354" s="654">
        <v>4428564</v>
      </c>
      <c r="I2354" s="654">
        <v>-256247</v>
      </c>
      <c r="J2354" s="654">
        <v>4172317</v>
      </c>
      <c r="K2354" s="654">
        <v>4172317</v>
      </c>
      <c r="L2354" s="654">
        <v>0</v>
      </c>
      <c r="M2354" s="654">
        <v>18951</v>
      </c>
      <c r="N2354" s="654">
        <v>460193</v>
      </c>
    </row>
    <row r="2355" spans="2:14" x14ac:dyDescent="0.15">
      <c r="B2355"/>
      <c r="F2355" t="s">
        <v>733</v>
      </c>
      <c r="H2355" s="654">
        <v>4428564</v>
      </c>
      <c r="I2355" s="654">
        <v>-256247</v>
      </c>
      <c r="J2355" s="654">
        <v>4172317</v>
      </c>
      <c r="K2355" s="654">
        <v>4172317</v>
      </c>
      <c r="L2355" s="654">
        <v>0</v>
      </c>
      <c r="M2355" s="654">
        <v>18951</v>
      </c>
      <c r="N2355" s="654">
        <v>460193</v>
      </c>
    </row>
    <row r="2356" spans="2:14" x14ac:dyDescent="0.15">
      <c r="B2356"/>
      <c r="F2356" t="s">
        <v>627</v>
      </c>
      <c r="G2356" t="s">
        <v>599</v>
      </c>
      <c r="H2356" s="654">
        <v>930784</v>
      </c>
      <c r="I2356" s="654">
        <v>-137634</v>
      </c>
      <c r="J2356" s="654">
        <v>793150</v>
      </c>
      <c r="K2356" s="654">
        <v>793150</v>
      </c>
      <c r="L2356" s="654">
        <v>0</v>
      </c>
      <c r="M2356" s="654">
        <v>24416</v>
      </c>
      <c r="N2356" s="654">
        <v>202922</v>
      </c>
    </row>
    <row r="2357" spans="2:14" x14ac:dyDescent="0.15">
      <c r="B2357"/>
      <c r="F2357" t="s">
        <v>734</v>
      </c>
      <c r="H2357" s="654">
        <v>930784</v>
      </c>
      <c r="I2357" s="654">
        <v>-137634</v>
      </c>
      <c r="J2357" s="654">
        <v>793150</v>
      </c>
      <c r="K2357" s="654">
        <v>793150</v>
      </c>
      <c r="L2357" s="654">
        <v>0</v>
      </c>
      <c r="M2357" s="654">
        <v>24416</v>
      </c>
      <c r="N2357" s="654">
        <v>202922</v>
      </c>
    </row>
    <row r="2358" spans="2:14" x14ac:dyDescent="0.15">
      <c r="B2358"/>
      <c r="F2358" t="s">
        <v>628</v>
      </c>
      <c r="G2358" t="s">
        <v>598</v>
      </c>
      <c r="H2358" s="654">
        <v>510532</v>
      </c>
      <c r="I2358" s="654">
        <v>0</v>
      </c>
      <c r="J2358" s="654">
        <v>510532</v>
      </c>
      <c r="K2358" s="654">
        <v>510532</v>
      </c>
      <c r="L2358" s="654">
        <v>0</v>
      </c>
      <c r="M2358" s="654">
        <v>0</v>
      </c>
      <c r="N2358" s="654">
        <v>0</v>
      </c>
    </row>
    <row r="2359" spans="2:14" x14ac:dyDescent="0.15">
      <c r="B2359"/>
      <c r="F2359" t="s">
        <v>735</v>
      </c>
      <c r="H2359" s="654">
        <v>510532</v>
      </c>
      <c r="I2359" s="654">
        <v>0</v>
      </c>
      <c r="J2359" s="654">
        <v>510532</v>
      </c>
      <c r="K2359" s="654">
        <v>510532</v>
      </c>
      <c r="L2359" s="654">
        <v>0</v>
      </c>
      <c r="M2359" s="654">
        <v>0</v>
      </c>
      <c r="N2359" s="654">
        <v>0</v>
      </c>
    </row>
    <row r="2360" spans="2:14" x14ac:dyDescent="0.15">
      <c r="B2360"/>
      <c r="E2360" t="s">
        <v>770</v>
      </c>
      <c r="H2360" s="654">
        <v>5869880</v>
      </c>
      <c r="I2360" s="654">
        <v>-393881</v>
      </c>
      <c r="J2360" s="654">
        <v>5475999</v>
      </c>
      <c r="K2360" s="654">
        <v>5475999</v>
      </c>
      <c r="L2360" s="654">
        <v>0</v>
      </c>
      <c r="M2360" s="654">
        <v>43367</v>
      </c>
      <c r="N2360" s="654">
        <v>663115</v>
      </c>
    </row>
    <row r="2361" spans="2:14" x14ac:dyDescent="0.15">
      <c r="B2361"/>
      <c r="D2361" t="s">
        <v>734</v>
      </c>
      <c r="H2361" s="654">
        <v>5869880</v>
      </c>
      <c r="I2361" s="654">
        <v>-393881</v>
      </c>
      <c r="J2361" s="654">
        <v>5475999</v>
      </c>
      <c r="K2361" s="654">
        <v>5475999</v>
      </c>
      <c r="L2361" s="654">
        <v>0</v>
      </c>
      <c r="M2361" s="654">
        <v>43367</v>
      </c>
      <c r="N2361" s="654">
        <v>663115</v>
      </c>
    </row>
    <row r="2362" spans="2:14" x14ac:dyDescent="0.15">
      <c r="B2362"/>
      <c r="D2362" t="s">
        <v>628</v>
      </c>
      <c r="E2362" t="s">
        <v>380</v>
      </c>
      <c r="F2362" t="s">
        <v>626</v>
      </c>
      <c r="G2362" t="s">
        <v>600</v>
      </c>
      <c r="H2362" s="654">
        <v>5397626</v>
      </c>
      <c r="I2362" s="654">
        <v>-5878</v>
      </c>
      <c r="J2362" s="654">
        <v>5391748</v>
      </c>
      <c r="K2362" s="654">
        <v>5391748</v>
      </c>
      <c r="L2362" s="654">
        <v>0</v>
      </c>
      <c r="M2362" s="654">
        <v>18409</v>
      </c>
      <c r="N2362" s="654">
        <v>580102</v>
      </c>
    </row>
    <row r="2363" spans="2:14" x14ac:dyDescent="0.15">
      <c r="B2363"/>
      <c r="F2363" t="s">
        <v>733</v>
      </c>
      <c r="H2363" s="654">
        <v>5397626</v>
      </c>
      <c r="I2363" s="654">
        <v>-5878</v>
      </c>
      <c r="J2363" s="654">
        <v>5391748</v>
      </c>
      <c r="K2363" s="654">
        <v>5391748</v>
      </c>
      <c r="L2363" s="654">
        <v>0</v>
      </c>
      <c r="M2363" s="654">
        <v>18409</v>
      </c>
      <c r="N2363" s="654">
        <v>580102</v>
      </c>
    </row>
    <row r="2364" spans="2:14" x14ac:dyDescent="0.15">
      <c r="B2364"/>
      <c r="F2364" t="s">
        <v>627</v>
      </c>
      <c r="G2364" t="s">
        <v>599</v>
      </c>
      <c r="H2364" s="654">
        <v>1787227</v>
      </c>
      <c r="I2364" s="654">
        <v>0</v>
      </c>
      <c r="J2364" s="654">
        <v>1787227</v>
      </c>
      <c r="K2364" s="654">
        <v>1787227</v>
      </c>
      <c r="L2364" s="654">
        <v>0</v>
      </c>
      <c r="M2364" s="654">
        <v>0</v>
      </c>
      <c r="N2364" s="654">
        <v>415616</v>
      </c>
    </row>
    <row r="2365" spans="2:14" x14ac:dyDescent="0.15">
      <c r="B2365"/>
      <c r="F2365" t="s">
        <v>734</v>
      </c>
      <c r="H2365" s="654">
        <v>1787227</v>
      </c>
      <c r="I2365" s="654">
        <v>0</v>
      </c>
      <c r="J2365" s="654">
        <v>1787227</v>
      </c>
      <c r="K2365" s="654">
        <v>1787227</v>
      </c>
      <c r="L2365" s="654">
        <v>0</v>
      </c>
      <c r="M2365" s="654">
        <v>0</v>
      </c>
      <c r="N2365" s="654">
        <v>415616</v>
      </c>
    </row>
    <row r="2366" spans="2:14" x14ac:dyDescent="0.15">
      <c r="B2366"/>
      <c r="E2366" t="s">
        <v>771</v>
      </c>
      <c r="H2366" s="654">
        <v>7184853</v>
      </c>
      <c r="I2366" s="654">
        <v>-5878</v>
      </c>
      <c r="J2366" s="654">
        <v>7178975</v>
      </c>
      <c r="K2366" s="654">
        <v>7178975</v>
      </c>
      <c r="L2366" s="654">
        <v>0</v>
      </c>
      <c r="M2366" s="654">
        <v>18409</v>
      </c>
      <c r="N2366" s="654">
        <v>995718</v>
      </c>
    </row>
    <row r="2367" spans="2:14" x14ac:dyDescent="0.15">
      <c r="B2367"/>
      <c r="D2367" t="s">
        <v>735</v>
      </c>
      <c r="H2367" s="654">
        <v>7184853</v>
      </c>
      <c r="I2367" s="654">
        <v>-5878</v>
      </c>
      <c r="J2367" s="654">
        <v>7178975</v>
      </c>
      <c r="K2367" s="654">
        <v>7178975</v>
      </c>
      <c r="L2367" s="654">
        <v>0</v>
      </c>
      <c r="M2367" s="654">
        <v>18409</v>
      </c>
      <c r="N2367" s="654">
        <v>995718</v>
      </c>
    </row>
    <row r="2368" spans="2:14" x14ac:dyDescent="0.15">
      <c r="B2368"/>
      <c r="D2368" t="s">
        <v>629</v>
      </c>
      <c r="E2368" t="s">
        <v>676</v>
      </c>
      <c r="F2368" t="s">
        <v>629</v>
      </c>
      <c r="G2368" t="s">
        <v>601</v>
      </c>
      <c r="H2368" s="654">
        <v>4173142</v>
      </c>
      <c r="I2368" s="654">
        <v>0</v>
      </c>
      <c r="J2368" s="654">
        <v>4173142</v>
      </c>
      <c r="K2368" s="654">
        <v>4173142</v>
      </c>
      <c r="L2368" s="654">
        <v>0</v>
      </c>
      <c r="M2368" s="654">
        <v>0</v>
      </c>
      <c r="N2368" s="654">
        <v>235524</v>
      </c>
    </row>
    <row r="2369" spans="2:14" x14ac:dyDescent="0.15">
      <c r="B2369"/>
      <c r="F2369" t="s">
        <v>736</v>
      </c>
      <c r="H2369" s="654">
        <v>4173142</v>
      </c>
      <c r="I2369" s="654">
        <v>0</v>
      </c>
      <c r="J2369" s="654">
        <v>4173142</v>
      </c>
      <c r="K2369" s="654">
        <v>4173142</v>
      </c>
      <c r="L2369" s="654">
        <v>0</v>
      </c>
      <c r="M2369" s="654">
        <v>0</v>
      </c>
      <c r="N2369" s="654">
        <v>235524</v>
      </c>
    </row>
    <row r="2370" spans="2:14" x14ac:dyDescent="0.15">
      <c r="B2370"/>
      <c r="E2370" t="s">
        <v>772</v>
      </c>
      <c r="H2370" s="654">
        <v>4173142</v>
      </c>
      <c r="I2370" s="654">
        <v>0</v>
      </c>
      <c r="J2370" s="654">
        <v>4173142</v>
      </c>
      <c r="K2370" s="654">
        <v>4173142</v>
      </c>
      <c r="L2370" s="654">
        <v>0</v>
      </c>
      <c r="M2370" s="654">
        <v>0</v>
      </c>
      <c r="N2370" s="654">
        <v>235524</v>
      </c>
    </row>
    <row r="2371" spans="2:14" x14ac:dyDescent="0.15">
      <c r="B2371"/>
      <c r="D2371" t="s">
        <v>736</v>
      </c>
      <c r="H2371" s="654">
        <v>4173142</v>
      </c>
      <c r="I2371" s="654">
        <v>0</v>
      </c>
      <c r="J2371" s="654">
        <v>4173142</v>
      </c>
      <c r="K2371" s="654">
        <v>4173142</v>
      </c>
      <c r="L2371" s="654">
        <v>0</v>
      </c>
      <c r="M2371" s="654">
        <v>0</v>
      </c>
      <c r="N2371" s="654">
        <v>235524</v>
      </c>
    </row>
    <row r="2372" spans="2:14" x14ac:dyDescent="0.15">
      <c r="B2372"/>
      <c r="D2372" t="s">
        <v>567</v>
      </c>
      <c r="E2372" t="s">
        <v>473</v>
      </c>
      <c r="F2372" t="s">
        <v>631</v>
      </c>
      <c r="G2372" t="s">
        <v>596</v>
      </c>
      <c r="H2372" s="654">
        <v>839546</v>
      </c>
      <c r="I2372" s="654">
        <v>0</v>
      </c>
      <c r="J2372" s="654">
        <v>839546</v>
      </c>
      <c r="K2372" s="654">
        <v>839546</v>
      </c>
      <c r="L2372" s="654">
        <v>0</v>
      </c>
      <c r="M2372" s="654">
        <v>0</v>
      </c>
      <c r="N2372" s="654">
        <v>255357</v>
      </c>
    </row>
    <row r="2373" spans="2:14" x14ac:dyDescent="0.15">
      <c r="B2373"/>
      <c r="F2373" t="s">
        <v>737</v>
      </c>
      <c r="H2373" s="654">
        <v>839546</v>
      </c>
      <c r="I2373" s="654">
        <v>0</v>
      </c>
      <c r="J2373" s="654">
        <v>839546</v>
      </c>
      <c r="K2373" s="654">
        <v>839546</v>
      </c>
      <c r="L2373" s="654">
        <v>0</v>
      </c>
      <c r="M2373" s="654">
        <v>0</v>
      </c>
      <c r="N2373" s="654">
        <v>255357</v>
      </c>
    </row>
    <row r="2374" spans="2:14" x14ac:dyDescent="0.15">
      <c r="B2374"/>
      <c r="E2374" t="s">
        <v>773</v>
      </c>
      <c r="H2374" s="654">
        <v>839546</v>
      </c>
      <c r="I2374" s="654">
        <v>0</v>
      </c>
      <c r="J2374" s="654">
        <v>839546</v>
      </c>
      <c r="K2374" s="654">
        <v>839546</v>
      </c>
      <c r="L2374" s="654">
        <v>0</v>
      </c>
      <c r="M2374" s="654">
        <v>0</v>
      </c>
      <c r="N2374" s="654">
        <v>255357</v>
      </c>
    </row>
    <row r="2375" spans="2:14" x14ac:dyDescent="0.15">
      <c r="B2375"/>
      <c r="D2375" t="s">
        <v>739</v>
      </c>
      <c r="H2375" s="654">
        <v>839546</v>
      </c>
      <c r="I2375" s="654">
        <v>0</v>
      </c>
      <c r="J2375" s="654">
        <v>839546</v>
      </c>
      <c r="K2375" s="654">
        <v>839546</v>
      </c>
      <c r="L2375" s="654">
        <v>0</v>
      </c>
      <c r="M2375" s="654">
        <v>0</v>
      </c>
      <c r="N2375" s="654">
        <v>255357</v>
      </c>
    </row>
    <row r="2376" spans="2:14" x14ac:dyDescent="0.15">
      <c r="B2376"/>
      <c r="D2376" t="s">
        <v>568</v>
      </c>
      <c r="E2376" t="s">
        <v>474</v>
      </c>
      <c r="F2376" t="s">
        <v>631</v>
      </c>
      <c r="G2376" t="s">
        <v>596</v>
      </c>
      <c r="H2376" s="654">
        <v>827999</v>
      </c>
      <c r="I2376" s="654">
        <v>0</v>
      </c>
      <c r="J2376" s="654">
        <v>827999</v>
      </c>
      <c r="K2376" s="654">
        <v>827999</v>
      </c>
      <c r="L2376" s="654">
        <v>0</v>
      </c>
      <c r="M2376" s="654">
        <v>0</v>
      </c>
      <c r="N2376" s="654">
        <v>0</v>
      </c>
    </row>
    <row r="2377" spans="2:14" x14ac:dyDescent="0.15">
      <c r="B2377"/>
      <c r="F2377" t="s">
        <v>737</v>
      </c>
      <c r="H2377" s="654">
        <v>827999</v>
      </c>
      <c r="I2377" s="654">
        <v>0</v>
      </c>
      <c r="J2377" s="654">
        <v>827999</v>
      </c>
      <c r="K2377" s="654">
        <v>827999</v>
      </c>
      <c r="L2377" s="654">
        <v>0</v>
      </c>
      <c r="M2377" s="654">
        <v>0</v>
      </c>
      <c r="N2377" s="654">
        <v>0</v>
      </c>
    </row>
    <row r="2378" spans="2:14" x14ac:dyDescent="0.15">
      <c r="B2378"/>
      <c r="E2378" t="s">
        <v>774</v>
      </c>
      <c r="H2378" s="654">
        <v>827999</v>
      </c>
      <c r="I2378" s="654">
        <v>0</v>
      </c>
      <c r="J2378" s="654">
        <v>827999</v>
      </c>
      <c r="K2378" s="654">
        <v>827999</v>
      </c>
      <c r="L2378" s="654">
        <v>0</v>
      </c>
      <c r="M2378" s="654">
        <v>0</v>
      </c>
      <c r="N2378" s="654">
        <v>0</v>
      </c>
    </row>
    <row r="2379" spans="2:14" x14ac:dyDescent="0.15">
      <c r="B2379"/>
      <c r="D2379" t="s">
        <v>740</v>
      </c>
      <c r="H2379" s="654">
        <v>827999</v>
      </c>
      <c r="I2379" s="654">
        <v>0</v>
      </c>
      <c r="J2379" s="654">
        <v>827999</v>
      </c>
      <c r="K2379" s="654">
        <v>827999</v>
      </c>
      <c r="L2379" s="654">
        <v>0</v>
      </c>
      <c r="M2379" s="654">
        <v>0</v>
      </c>
      <c r="N2379" s="654">
        <v>0</v>
      </c>
    </row>
    <row r="2380" spans="2:14" x14ac:dyDescent="0.15">
      <c r="B2380"/>
      <c r="D2380" t="s">
        <v>582</v>
      </c>
      <c r="E2380" t="s">
        <v>384</v>
      </c>
      <c r="F2380" t="s">
        <v>631</v>
      </c>
      <c r="G2380" t="s">
        <v>596</v>
      </c>
      <c r="H2380" s="654">
        <v>2198275</v>
      </c>
      <c r="I2380" s="654">
        <v>0</v>
      </c>
      <c r="J2380" s="654">
        <v>2198275</v>
      </c>
      <c r="K2380" s="654">
        <v>2198275</v>
      </c>
      <c r="L2380" s="654">
        <v>0</v>
      </c>
      <c r="M2380" s="654">
        <v>0</v>
      </c>
      <c r="N2380" s="654">
        <v>0</v>
      </c>
    </row>
    <row r="2381" spans="2:14" x14ac:dyDescent="0.15">
      <c r="B2381"/>
      <c r="F2381" t="s">
        <v>737</v>
      </c>
      <c r="H2381" s="654">
        <v>2198275</v>
      </c>
      <c r="I2381" s="654">
        <v>0</v>
      </c>
      <c r="J2381" s="654">
        <v>2198275</v>
      </c>
      <c r="K2381" s="654">
        <v>2198275</v>
      </c>
      <c r="L2381" s="654">
        <v>0</v>
      </c>
      <c r="M2381" s="654">
        <v>0</v>
      </c>
      <c r="N2381" s="654">
        <v>0</v>
      </c>
    </row>
    <row r="2382" spans="2:14" x14ac:dyDescent="0.15">
      <c r="B2382"/>
      <c r="E2382" t="s">
        <v>778</v>
      </c>
      <c r="H2382" s="654">
        <v>2198275</v>
      </c>
      <c r="I2382" s="654">
        <v>0</v>
      </c>
      <c r="J2382" s="654">
        <v>2198275</v>
      </c>
      <c r="K2382" s="654">
        <v>2198275</v>
      </c>
      <c r="L2382" s="654">
        <v>0</v>
      </c>
      <c r="M2382" s="654">
        <v>0</v>
      </c>
      <c r="N2382" s="654">
        <v>0</v>
      </c>
    </row>
    <row r="2383" spans="2:14" x14ac:dyDescent="0.15">
      <c r="B2383"/>
      <c r="D2383" t="s">
        <v>743</v>
      </c>
      <c r="H2383" s="654">
        <v>2198275</v>
      </c>
      <c r="I2383" s="654">
        <v>0</v>
      </c>
      <c r="J2383" s="654">
        <v>2198275</v>
      </c>
      <c r="K2383" s="654">
        <v>2198275</v>
      </c>
      <c r="L2383" s="654">
        <v>0</v>
      </c>
      <c r="M2383" s="654">
        <v>0</v>
      </c>
      <c r="N2383" s="654">
        <v>0</v>
      </c>
    </row>
    <row r="2384" spans="2:14" x14ac:dyDescent="0.15">
      <c r="B2384"/>
      <c r="D2384" t="s">
        <v>631</v>
      </c>
      <c r="E2384" t="s">
        <v>381</v>
      </c>
      <c r="F2384" t="s">
        <v>626</v>
      </c>
      <c r="G2384" t="s">
        <v>600</v>
      </c>
      <c r="H2384" s="654">
        <v>1573689</v>
      </c>
      <c r="I2384" s="654">
        <v>0</v>
      </c>
      <c r="J2384" s="654">
        <v>1573689</v>
      </c>
      <c r="K2384" s="654">
        <v>1573689</v>
      </c>
      <c r="L2384" s="654">
        <v>0</v>
      </c>
      <c r="M2384" s="654">
        <v>186693</v>
      </c>
      <c r="N2384" s="654">
        <v>0</v>
      </c>
    </row>
    <row r="2385" spans="2:14" x14ac:dyDescent="0.15">
      <c r="B2385"/>
      <c r="F2385" t="s">
        <v>733</v>
      </c>
      <c r="H2385" s="654">
        <v>1573689</v>
      </c>
      <c r="I2385" s="654">
        <v>0</v>
      </c>
      <c r="J2385" s="654">
        <v>1573689</v>
      </c>
      <c r="K2385" s="654">
        <v>1573689</v>
      </c>
      <c r="L2385" s="654">
        <v>0</v>
      </c>
      <c r="M2385" s="654">
        <v>186693</v>
      </c>
      <c r="N2385" s="654">
        <v>0</v>
      </c>
    </row>
    <row r="2386" spans="2:14" x14ac:dyDescent="0.15">
      <c r="B2386"/>
      <c r="E2386" t="s">
        <v>776</v>
      </c>
      <c r="H2386" s="654">
        <v>1573689</v>
      </c>
      <c r="I2386" s="654">
        <v>0</v>
      </c>
      <c r="J2386" s="654">
        <v>1573689</v>
      </c>
      <c r="K2386" s="654">
        <v>1573689</v>
      </c>
      <c r="L2386" s="654">
        <v>0</v>
      </c>
      <c r="M2386" s="654">
        <v>186693</v>
      </c>
      <c r="N2386" s="654">
        <v>0</v>
      </c>
    </row>
    <row r="2387" spans="2:14" x14ac:dyDescent="0.15">
      <c r="B2387"/>
      <c r="D2387" t="s">
        <v>737</v>
      </c>
      <c r="H2387" s="654">
        <v>1573689</v>
      </c>
      <c r="I2387" s="654">
        <v>0</v>
      </c>
      <c r="J2387" s="654">
        <v>1573689</v>
      </c>
      <c r="K2387" s="654">
        <v>1573689</v>
      </c>
      <c r="L2387" s="654">
        <v>0</v>
      </c>
      <c r="M2387" s="654">
        <v>186693</v>
      </c>
      <c r="N2387" s="654">
        <v>0</v>
      </c>
    </row>
    <row r="2388" spans="2:14" x14ac:dyDescent="0.15">
      <c r="B2388"/>
      <c r="D2388" t="s">
        <v>671</v>
      </c>
      <c r="E2388" t="s">
        <v>383</v>
      </c>
      <c r="F2388" t="s">
        <v>626</v>
      </c>
      <c r="G2388" t="s">
        <v>600</v>
      </c>
      <c r="H2388" s="654">
        <v>512163</v>
      </c>
      <c r="I2388" s="654">
        <v>0</v>
      </c>
      <c r="J2388" s="654">
        <v>512163</v>
      </c>
      <c r="K2388" s="654">
        <v>512163</v>
      </c>
      <c r="L2388" s="654">
        <v>0</v>
      </c>
      <c r="M2388" s="654">
        <v>0</v>
      </c>
      <c r="N2388" s="654">
        <v>0</v>
      </c>
    </row>
    <row r="2389" spans="2:14" x14ac:dyDescent="0.15">
      <c r="B2389"/>
      <c r="F2389" t="s">
        <v>733</v>
      </c>
      <c r="H2389" s="654">
        <v>512163</v>
      </c>
      <c r="I2389" s="654">
        <v>0</v>
      </c>
      <c r="J2389" s="654">
        <v>512163</v>
      </c>
      <c r="K2389" s="654">
        <v>512163</v>
      </c>
      <c r="L2389" s="654">
        <v>0</v>
      </c>
      <c r="M2389" s="654">
        <v>0</v>
      </c>
      <c r="N2389" s="654">
        <v>0</v>
      </c>
    </row>
    <row r="2390" spans="2:14" x14ac:dyDescent="0.15">
      <c r="B2390"/>
      <c r="F2390" t="s">
        <v>627</v>
      </c>
      <c r="G2390" t="s">
        <v>599</v>
      </c>
      <c r="H2390" s="654">
        <v>52190</v>
      </c>
      <c r="I2390" s="654">
        <v>0</v>
      </c>
      <c r="J2390" s="654">
        <v>52190</v>
      </c>
      <c r="K2390" s="654">
        <v>52190</v>
      </c>
      <c r="L2390" s="654">
        <v>0</v>
      </c>
      <c r="M2390" s="654">
        <v>0</v>
      </c>
      <c r="N2390" s="654">
        <v>0</v>
      </c>
    </row>
    <row r="2391" spans="2:14" x14ac:dyDescent="0.15">
      <c r="B2391"/>
      <c r="F2391" t="s">
        <v>734</v>
      </c>
      <c r="H2391" s="654">
        <v>52190</v>
      </c>
      <c r="I2391" s="654">
        <v>0</v>
      </c>
      <c r="J2391" s="654">
        <v>52190</v>
      </c>
      <c r="K2391" s="654">
        <v>52190</v>
      </c>
      <c r="L2391" s="654">
        <v>0</v>
      </c>
      <c r="M2391" s="654">
        <v>0</v>
      </c>
      <c r="N2391" s="654">
        <v>0</v>
      </c>
    </row>
    <row r="2392" spans="2:14" x14ac:dyDescent="0.15">
      <c r="B2392"/>
      <c r="E2392" t="s">
        <v>777</v>
      </c>
      <c r="H2392" s="654">
        <v>564353</v>
      </c>
      <c r="I2392" s="654">
        <v>0</v>
      </c>
      <c r="J2392" s="654">
        <v>564353</v>
      </c>
      <c r="K2392" s="654">
        <v>564353</v>
      </c>
      <c r="L2392" s="654">
        <v>0</v>
      </c>
      <c r="M2392" s="654">
        <v>0</v>
      </c>
      <c r="N2392" s="654">
        <v>0</v>
      </c>
    </row>
    <row r="2393" spans="2:14" x14ac:dyDescent="0.15">
      <c r="B2393"/>
      <c r="D2393" t="s">
        <v>742</v>
      </c>
      <c r="H2393" s="654">
        <v>564353</v>
      </c>
      <c r="I2393" s="654">
        <v>0</v>
      </c>
      <c r="J2393" s="654">
        <v>564353</v>
      </c>
      <c r="K2393" s="654">
        <v>564353</v>
      </c>
      <c r="L2393" s="654">
        <v>0</v>
      </c>
      <c r="M2393" s="654">
        <v>0</v>
      </c>
      <c r="N2393" s="654">
        <v>0</v>
      </c>
    </row>
    <row r="2394" spans="2:14" x14ac:dyDescent="0.15">
      <c r="B2394"/>
      <c r="D2394" t="s">
        <v>965</v>
      </c>
      <c r="E2394" t="s">
        <v>986</v>
      </c>
      <c r="F2394" t="s">
        <v>626</v>
      </c>
      <c r="G2394" t="s">
        <v>600</v>
      </c>
      <c r="H2394" s="654">
        <v>791579</v>
      </c>
      <c r="I2394" s="654">
        <v>-201562</v>
      </c>
      <c r="J2394" s="654">
        <v>590017</v>
      </c>
      <c r="K2394" s="654">
        <v>590017</v>
      </c>
      <c r="L2394" s="654">
        <v>0</v>
      </c>
      <c r="M2394" s="654">
        <v>192619</v>
      </c>
      <c r="N2394" s="654">
        <v>50020</v>
      </c>
    </row>
    <row r="2395" spans="2:14" x14ac:dyDescent="0.15">
      <c r="B2395"/>
      <c r="F2395" t="s">
        <v>733</v>
      </c>
      <c r="H2395" s="654">
        <v>791579</v>
      </c>
      <c r="I2395" s="654">
        <v>-201562</v>
      </c>
      <c r="J2395" s="654">
        <v>590017</v>
      </c>
      <c r="K2395" s="654">
        <v>590017</v>
      </c>
      <c r="L2395" s="654">
        <v>0</v>
      </c>
      <c r="M2395" s="654">
        <v>192619</v>
      </c>
      <c r="N2395" s="654">
        <v>50020</v>
      </c>
    </row>
    <row r="2396" spans="2:14" x14ac:dyDescent="0.15">
      <c r="B2396"/>
      <c r="F2396" t="s">
        <v>627</v>
      </c>
      <c r="G2396" t="s">
        <v>599</v>
      </c>
      <c r="H2396" s="654">
        <v>129186</v>
      </c>
      <c r="I2396" s="654">
        <v>0</v>
      </c>
      <c r="J2396" s="654">
        <v>129186</v>
      </c>
      <c r="K2396" s="654">
        <v>129186</v>
      </c>
      <c r="L2396" s="654">
        <v>0</v>
      </c>
      <c r="M2396" s="654">
        <v>19198</v>
      </c>
      <c r="N2396" s="654">
        <v>5777</v>
      </c>
    </row>
    <row r="2397" spans="2:14" x14ac:dyDescent="0.15">
      <c r="B2397"/>
      <c r="F2397" t="s">
        <v>734</v>
      </c>
      <c r="H2397" s="654">
        <v>129186</v>
      </c>
      <c r="I2397" s="654">
        <v>0</v>
      </c>
      <c r="J2397" s="654">
        <v>129186</v>
      </c>
      <c r="K2397" s="654">
        <v>129186</v>
      </c>
      <c r="L2397" s="654">
        <v>0</v>
      </c>
      <c r="M2397" s="654">
        <v>19198</v>
      </c>
      <c r="N2397" s="654">
        <v>5777</v>
      </c>
    </row>
    <row r="2398" spans="2:14" x14ac:dyDescent="0.15">
      <c r="B2398"/>
      <c r="E2398" t="s">
        <v>1138</v>
      </c>
      <c r="H2398" s="654">
        <v>920765</v>
      </c>
      <c r="I2398" s="654">
        <v>-201562</v>
      </c>
      <c r="J2398" s="654">
        <v>719203</v>
      </c>
      <c r="K2398" s="654">
        <v>719203</v>
      </c>
      <c r="L2398" s="654">
        <v>0</v>
      </c>
      <c r="M2398" s="654">
        <v>211817</v>
      </c>
      <c r="N2398" s="654">
        <v>55797</v>
      </c>
    </row>
    <row r="2399" spans="2:14" x14ac:dyDescent="0.15">
      <c r="B2399"/>
      <c r="D2399" t="s">
        <v>1139</v>
      </c>
      <c r="H2399" s="654">
        <v>920765</v>
      </c>
      <c r="I2399" s="654">
        <v>-201562</v>
      </c>
      <c r="J2399" s="654">
        <v>719203</v>
      </c>
      <c r="K2399" s="654">
        <v>719203</v>
      </c>
      <c r="L2399" s="654">
        <v>0</v>
      </c>
      <c r="M2399" s="654">
        <v>211817</v>
      </c>
      <c r="N2399" s="654">
        <v>55797</v>
      </c>
    </row>
    <row r="2400" spans="2:14" x14ac:dyDescent="0.15">
      <c r="B2400"/>
      <c r="C2400" t="s">
        <v>853</v>
      </c>
      <c r="H2400" s="654">
        <v>34067354</v>
      </c>
      <c r="I2400" s="654">
        <v>-1275295</v>
      </c>
      <c r="J2400" s="654">
        <v>32792059</v>
      </c>
      <c r="K2400" s="654">
        <v>32792059</v>
      </c>
      <c r="L2400" s="654">
        <v>0</v>
      </c>
      <c r="M2400" s="654">
        <v>557666</v>
      </c>
      <c r="N2400" s="654">
        <v>3642613</v>
      </c>
    </row>
    <row r="2401" spans="2:14" x14ac:dyDescent="0.15">
      <c r="B2401" t="s">
        <v>627</v>
      </c>
      <c r="C2401" t="s">
        <v>847</v>
      </c>
      <c r="D2401" t="s">
        <v>626</v>
      </c>
      <c r="E2401" t="s">
        <v>378</v>
      </c>
      <c r="F2401" t="s">
        <v>626</v>
      </c>
      <c r="G2401" t="s">
        <v>600</v>
      </c>
      <c r="H2401" s="654">
        <v>206274</v>
      </c>
      <c r="I2401" s="654">
        <v>21036</v>
      </c>
      <c r="J2401" s="654">
        <v>227310</v>
      </c>
      <c r="K2401" s="654">
        <v>227310</v>
      </c>
      <c r="L2401" s="654">
        <v>0</v>
      </c>
      <c r="M2401" s="654">
        <v>0</v>
      </c>
      <c r="N2401" s="654">
        <v>0</v>
      </c>
    </row>
    <row r="2402" spans="2:14" x14ac:dyDescent="0.15">
      <c r="B2402"/>
      <c r="F2402" t="s">
        <v>733</v>
      </c>
      <c r="H2402" s="654">
        <v>206274</v>
      </c>
      <c r="I2402" s="654">
        <v>21036</v>
      </c>
      <c r="J2402" s="654">
        <v>227310</v>
      </c>
      <c r="K2402" s="654">
        <v>227310</v>
      </c>
      <c r="L2402" s="654">
        <v>0</v>
      </c>
      <c r="M2402" s="654">
        <v>0</v>
      </c>
      <c r="N2402" s="654">
        <v>0</v>
      </c>
    </row>
    <row r="2403" spans="2:14" x14ac:dyDescent="0.15">
      <c r="B2403"/>
      <c r="F2403" t="s">
        <v>627</v>
      </c>
      <c r="G2403" t="s">
        <v>599</v>
      </c>
      <c r="H2403" s="654">
        <v>36644</v>
      </c>
      <c r="I2403" s="654">
        <v>0</v>
      </c>
      <c r="J2403" s="654">
        <v>36644</v>
      </c>
      <c r="K2403" s="654">
        <v>36644</v>
      </c>
      <c r="L2403" s="654">
        <v>0</v>
      </c>
      <c r="M2403" s="654">
        <v>0</v>
      </c>
      <c r="N2403" s="654">
        <v>0</v>
      </c>
    </row>
    <row r="2404" spans="2:14" x14ac:dyDescent="0.15">
      <c r="B2404"/>
      <c r="F2404" t="s">
        <v>734</v>
      </c>
      <c r="H2404" s="654">
        <v>36644</v>
      </c>
      <c r="I2404" s="654">
        <v>0</v>
      </c>
      <c r="J2404" s="654">
        <v>36644</v>
      </c>
      <c r="K2404" s="654">
        <v>36644</v>
      </c>
      <c r="L2404" s="654">
        <v>0</v>
      </c>
      <c r="M2404" s="654">
        <v>0</v>
      </c>
      <c r="N2404" s="654">
        <v>0</v>
      </c>
    </row>
    <row r="2405" spans="2:14" x14ac:dyDescent="0.15">
      <c r="B2405"/>
      <c r="F2405" t="s">
        <v>628</v>
      </c>
      <c r="G2405" t="s">
        <v>598</v>
      </c>
      <c r="H2405" s="654">
        <v>17687</v>
      </c>
      <c r="I2405" s="654">
        <v>-17687</v>
      </c>
      <c r="J2405" s="654">
        <v>0</v>
      </c>
      <c r="K2405" s="654">
        <v>0</v>
      </c>
      <c r="L2405" s="654">
        <v>0</v>
      </c>
      <c r="M2405" s="654">
        <v>0</v>
      </c>
      <c r="N2405" s="654">
        <v>0</v>
      </c>
    </row>
    <row r="2406" spans="2:14" x14ac:dyDescent="0.15">
      <c r="B2406"/>
      <c r="F2406" t="s">
        <v>735</v>
      </c>
      <c r="H2406" s="654">
        <v>17687</v>
      </c>
      <c r="I2406" s="654">
        <v>-17687</v>
      </c>
      <c r="J2406" s="654">
        <v>0</v>
      </c>
      <c r="K2406" s="654">
        <v>0</v>
      </c>
      <c r="L2406" s="654">
        <v>0</v>
      </c>
      <c r="M2406" s="654">
        <v>0</v>
      </c>
      <c r="N2406" s="654">
        <v>0</v>
      </c>
    </row>
    <row r="2407" spans="2:14" x14ac:dyDescent="0.15">
      <c r="B2407"/>
      <c r="E2407" t="s">
        <v>769</v>
      </c>
      <c r="H2407" s="654">
        <v>260605</v>
      </c>
      <c r="I2407" s="654">
        <v>3349</v>
      </c>
      <c r="J2407" s="654">
        <v>263954</v>
      </c>
      <c r="K2407" s="654">
        <v>263954</v>
      </c>
      <c r="L2407" s="654">
        <v>0</v>
      </c>
      <c r="M2407" s="654">
        <v>0</v>
      </c>
      <c r="N2407" s="654">
        <v>0</v>
      </c>
    </row>
    <row r="2408" spans="2:14" x14ac:dyDescent="0.15">
      <c r="B2408"/>
      <c r="D2408" t="s">
        <v>733</v>
      </c>
      <c r="H2408" s="654">
        <v>260605</v>
      </c>
      <c r="I2408" s="654">
        <v>3349</v>
      </c>
      <c r="J2408" s="654">
        <v>263954</v>
      </c>
      <c r="K2408" s="654">
        <v>263954</v>
      </c>
      <c r="L2408" s="654">
        <v>0</v>
      </c>
      <c r="M2408" s="654">
        <v>0</v>
      </c>
      <c r="N2408" s="654">
        <v>0</v>
      </c>
    </row>
    <row r="2409" spans="2:14" x14ac:dyDescent="0.15">
      <c r="B2409"/>
      <c r="D2409" t="s">
        <v>627</v>
      </c>
      <c r="E2409" t="s">
        <v>379</v>
      </c>
      <c r="F2409" t="s">
        <v>626</v>
      </c>
      <c r="G2409" t="s">
        <v>600</v>
      </c>
      <c r="H2409" s="654">
        <v>247858</v>
      </c>
      <c r="I2409" s="654">
        <v>15967</v>
      </c>
      <c r="J2409" s="654">
        <v>263825</v>
      </c>
      <c r="K2409" s="654">
        <v>263825</v>
      </c>
      <c r="L2409" s="654">
        <v>0</v>
      </c>
      <c r="M2409" s="654">
        <v>0</v>
      </c>
      <c r="N2409" s="654">
        <v>0</v>
      </c>
    </row>
    <row r="2410" spans="2:14" x14ac:dyDescent="0.15">
      <c r="B2410"/>
      <c r="F2410" t="s">
        <v>733</v>
      </c>
      <c r="H2410" s="654">
        <v>247858</v>
      </c>
      <c r="I2410" s="654">
        <v>15967</v>
      </c>
      <c r="J2410" s="654">
        <v>263825</v>
      </c>
      <c r="K2410" s="654">
        <v>263825</v>
      </c>
      <c r="L2410" s="654">
        <v>0</v>
      </c>
      <c r="M2410" s="654">
        <v>0</v>
      </c>
      <c r="N2410" s="654">
        <v>0</v>
      </c>
    </row>
    <row r="2411" spans="2:14" x14ac:dyDescent="0.15">
      <c r="B2411"/>
      <c r="F2411" t="s">
        <v>627</v>
      </c>
      <c r="G2411" t="s">
        <v>599</v>
      </c>
      <c r="H2411" s="654">
        <v>198400</v>
      </c>
      <c r="I2411" s="654">
        <v>-115343</v>
      </c>
      <c r="J2411" s="654">
        <v>83057</v>
      </c>
      <c r="K2411" s="654">
        <v>83057</v>
      </c>
      <c r="L2411" s="654">
        <v>0</v>
      </c>
      <c r="M2411" s="654">
        <v>0</v>
      </c>
      <c r="N2411" s="654">
        <v>0</v>
      </c>
    </row>
    <row r="2412" spans="2:14" x14ac:dyDescent="0.15">
      <c r="B2412"/>
      <c r="F2412" t="s">
        <v>734</v>
      </c>
      <c r="H2412" s="654">
        <v>198400</v>
      </c>
      <c r="I2412" s="654">
        <v>-115343</v>
      </c>
      <c r="J2412" s="654">
        <v>83057</v>
      </c>
      <c r="K2412" s="654">
        <v>83057</v>
      </c>
      <c r="L2412" s="654">
        <v>0</v>
      </c>
      <c r="M2412" s="654">
        <v>0</v>
      </c>
      <c r="N2412" s="654">
        <v>0</v>
      </c>
    </row>
    <row r="2413" spans="2:14" x14ac:dyDescent="0.15">
      <c r="B2413"/>
      <c r="F2413" t="s">
        <v>628</v>
      </c>
      <c r="G2413" t="s">
        <v>598</v>
      </c>
      <c r="H2413" s="654">
        <v>15116</v>
      </c>
      <c r="I2413" s="654">
        <v>-11635</v>
      </c>
      <c r="J2413" s="654">
        <v>3481</v>
      </c>
      <c r="K2413" s="654">
        <v>3481</v>
      </c>
      <c r="L2413" s="654">
        <v>0</v>
      </c>
      <c r="M2413" s="654">
        <v>0</v>
      </c>
      <c r="N2413" s="654">
        <v>0</v>
      </c>
    </row>
    <row r="2414" spans="2:14" x14ac:dyDescent="0.15">
      <c r="B2414"/>
      <c r="F2414" t="s">
        <v>735</v>
      </c>
      <c r="H2414" s="654">
        <v>15116</v>
      </c>
      <c r="I2414" s="654">
        <v>-11635</v>
      </c>
      <c r="J2414" s="654">
        <v>3481</v>
      </c>
      <c r="K2414" s="654">
        <v>3481</v>
      </c>
      <c r="L2414" s="654">
        <v>0</v>
      </c>
      <c r="M2414" s="654">
        <v>0</v>
      </c>
      <c r="N2414" s="654">
        <v>0</v>
      </c>
    </row>
    <row r="2415" spans="2:14" x14ac:dyDescent="0.15">
      <c r="B2415"/>
      <c r="E2415" t="s">
        <v>770</v>
      </c>
      <c r="H2415" s="654">
        <v>461374</v>
      </c>
      <c r="I2415" s="654">
        <v>-111011</v>
      </c>
      <c r="J2415" s="654">
        <v>350363</v>
      </c>
      <c r="K2415" s="654">
        <v>350363</v>
      </c>
      <c r="L2415" s="654">
        <v>0</v>
      </c>
      <c r="M2415" s="654">
        <v>0</v>
      </c>
      <c r="N2415" s="654">
        <v>0</v>
      </c>
    </row>
    <row r="2416" spans="2:14" x14ac:dyDescent="0.15">
      <c r="B2416"/>
      <c r="D2416" t="s">
        <v>734</v>
      </c>
      <c r="H2416" s="654">
        <v>461374</v>
      </c>
      <c r="I2416" s="654">
        <v>-111011</v>
      </c>
      <c r="J2416" s="654">
        <v>350363</v>
      </c>
      <c r="K2416" s="654">
        <v>350363</v>
      </c>
      <c r="L2416" s="654">
        <v>0</v>
      </c>
      <c r="M2416" s="654">
        <v>0</v>
      </c>
      <c r="N2416" s="654">
        <v>0</v>
      </c>
    </row>
    <row r="2417" spans="2:14" x14ac:dyDescent="0.15">
      <c r="B2417"/>
      <c r="D2417" t="s">
        <v>628</v>
      </c>
      <c r="E2417" t="s">
        <v>380</v>
      </c>
      <c r="F2417" t="s">
        <v>626</v>
      </c>
      <c r="G2417" t="s">
        <v>600</v>
      </c>
      <c r="H2417" s="654">
        <v>68388</v>
      </c>
      <c r="I2417" s="654">
        <v>-6111</v>
      </c>
      <c r="J2417" s="654">
        <v>62277</v>
      </c>
      <c r="K2417" s="654">
        <v>62277</v>
      </c>
      <c r="L2417" s="654">
        <v>0</v>
      </c>
      <c r="M2417" s="654">
        <v>0</v>
      </c>
      <c r="N2417" s="654">
        <v>0</v>
      </c>
    </row>
    <row r="2418" spans="2:14" x14ac:dyDescent="0.15">
      <c r="B2418"/>
      <c r="F2418" t="s">
        <v>733</v>
      </c>
      <c r="H2418" s="654">
        <v>68388</v>
      </c>
      <c r="I2418" s="654">
        <v>-6111</v>
      </c>
      <c r="J2418" s="654">
        <v>62277</v>
      </c>
      <c r="K2418" s="654">
        <v>62277</v>
      </c>
      <c r="L2418" s="654">
        <v>0</v>
      </c>
      <c r="M2418" s="654">
        <v>0</v>
      </c>
      <c r="N2418" s="654">
        <v>0</v>
      </c>
    </row>
    <row r="2419" spans="2:14" x14ac:dyDescent="0.15">
      <c r="B2419"/>
      <c r="F2419" t="s">
        <v>627</v>
      </c>
      <c r="G2419" t="s">
        <v>599</v>
      </c>
      <c r="H2419" s="654">
        <v>0</v>
      </c>
      <c r="I2419" s="654">
        <v>0</v>
      </c>
      <c r="J2419" s="654">
        <v>0</v>
      </c>
      <c r="K2419" s="654">
        <v>0</v>
      </c>
      <c r="L2419" s="654">
        <v>0</v>
      </c>
      <c r="M2419" s="654">
        <v>0</v>
      </c>
      <c r="N2419" s="654">
        <v>0</v>
      </c>
    </row>
    <row r="2420" spans="2:14" x14ac:dyDescent="0.15">
      <c r="B2420"/>
      <c r="F2420" t="s">
        <v>734</v>
      </c>
      <c r="H2420" s="654">
        <v>0</v>
      </c>
      <c r="I2420" s="654">
        <v>0</v>
      </c>
      <c r="J2420" s="654">
        <v>0</v>
      </c>
      <c r="K2420" s="654">
        <v>0</v>
      </c>
      <c r="L2420" s="654">
        <v>0</v>
      </c>
      <c r="M2420" s="654">
        <v>0</v>
      </c>
      <c r="N2420" s="654">
        <v>0</v>
      </c>
    </row>
    <row r="2421" spans="2:14" x14ac:dyDescent="0.15">
      <c r="B2421"/>
      <c r="E2421" t="s">
        <v>771</v>
      </c>
      <c r="H2421" s="654">
        <v>68388</v>
      </c>
      <c r="I2421" s="654">
        <v>-6111</v>
      </c>
      <c r="J2421" s="654">
        <v>62277</v>
      </c>
      <c r="K2421" s="654">
        <v>62277</v>
      </c>
      <c r="L2421" s="654">
        <v>0</v>
      </c>
      <c r="M2421" s="654">
        <v>0</v>
      </c>
      <c r="N2421" s="654">
        <v>0</v>
      </c>
    </row>
    <row r="2422" spans="2:14" x14ac:dyDescent="0.15">
      <c r="B2422"/>
      <c r="D2422" t="s">
        <v>735</v>
      </c>
      <c r="H2422" s="654">
        <v>68388</v>
      </c>
      <c r="I2422" s="654">
        <v>-6111</v>
      </c>
      <c r="J2422" s="654">
        <v>62277</v>
      </c>
      <c r="K2422" s="654">
        <v>62277</v>
      </c>
      <c r="L2422" s="654">
        <v>0</v>
      </c>
      <c r="M2422" s="654">
        <v>0</v>
      </c>
      <c r="N2422" s="654">
        <v>0</v>
      </c>
    </row>
    <row r="2423" spans="2:14" x14ac:dyDescent="0.15">
      <c r="B2423"/>
      <c r="D2423" t="s">
        <v>629</v>
      </c>
      <c r="E2423" t="s">
        <v>676</v>
      </c>
      <c r="F2423" t="s">
        <v>629</v>
      </c>
      <c r="G2423" t="s">
        <v>601</v>
      </c>
      <c r="H2423" s="654">
        <v>105439</v>
      </c>
      <c r="I2423" s="654">
        <v>-49846</v>
      </c>
      <c r="J2423" s="654">
        <v>55593</v>
      </c>
      <c r="K2423" s="654">
        <v>55593</v>
      </c>
      <c r="L2423" s="654">
        <v>0</v>
      </c>
      <c r="M2423" s="654">
        <v>0</v>
      </c>
      <c r="N2423" s="654">
        <v>0</v>
      </c>
    </row>
    <row r="2424" spans="2:14" x14ac:dyDescent="0.15">
      <c r="B2424"/>
      <c r="F2424" t="s">
        <v>736</v>
      </c>
      <c r="H2424" s="654">
        <v>105439</v>
      </c>
      <c r="I2424" s="654">
        <v>-49846</v>
      </c>
      <c r="J2424" s="654">
        <v>55593</v>
      </c>
      <c r="K2424" s="654">
        <v>55593</v>
      </c>
      <c r="L2424" s="654">
        <v>0</v>
      </c>
      <c r="M2424" s="654">
        <v>0</v>
      </c>
      <c r="N2424" s="654">
        <v>0</v>
      </c>
    </row>
    <row r="2425" spans="2:14" x14ac:dyDescent="0.15">
      <c r="B2425"/>
      <c r="E2425" t="s">
        <v>772</v>
      </c>
      <c r="H2425" s="654">
        <v>105439</v>
      </c>
      <c r="I2425" s="654">
        <v>-49846</v>
      </c>
      <c r="J2425" s="654">
        <v>55593</v>
      </c>
      <c r="K2425" s="654">
        <v>55593</v>
      </c>
      <c r="L2425" s="654">
        <v>0</v>
      </c>
      <c r="M2425" s="654">
        <v>0</v>
      </c>
      <c r="N2425" s="654">
        <v>0</v>
      </c>
    </row>
    <row r="2426" spans="2:14" x14ac:dyDescent="0.15">
      <c r="B2426"/>
      <c r="D2426" t="s">
        <v>736</v>
      </c>
      <c r="H2426" s="654">
        <v>105439</v>
      </c>
      <c r="I2426" s="654">
        <v>-49846</v>
      </c>
      <c r="J2426" s="654">
        <v>55593</v>
      </c>
      <c r="K2426" s="654">
        <v>55593</v>
      </c>
      <c r="L2426" s="654">
        <v>0</v>
      </c>
      <c r="M2426" s="654">
        <v>0</v>
      </c>
      <c r="N2426" s="654">
        <v>0</v>
      </c>
    </row>
    <row r="2427" spans="2:14" x14ac:dyDescent="0.15">
      <c r="B2427"/>
      <c r="D2427" t="s">
        <v>567</v>
      </c>
      <c r="E2427" t="s">
        <v>473</v>
      </c>
      <c r="F2427" t="s">
        <v>631</v>
      </c>
      <c r="G2427" t="s">
        <v>596</v>
      </c>
      <c r="H2427" s="654">
        <v>0</v>
      </c>
      <c r="I2427" s="654">
        <v>0</v>
      </c>
      <c r="J2427" s="654">
        <v>0</v>
      </c>
      <c r="K2427" s="654">
        <v>0</v>
      </c>
      <c r="L2427" s="654">
        <v>0</v>
      </c>
      <c r="M2427" s="654">
        <v>0</v>
      </c>
      <c r="N2427" s="654">
        <v>0</v>
      </c>
    </row>
    <row r="2428" spans="2:14" x14ac:dyDescent="0.15">
      <c r="B2428"/>
      <c r="F2428" t="s">
        <v>737</v>
      </c>
      <c r="H2428" s="654">
        <v>0</v>
      </c>
      <c r="I2428" s="654">
        <v>0</v>
      </c>
      <c r="J2428" s="654">
        <v>0</v>
      </c>
      <c r="K2428" s="654">
        <v>0</v>
      </c>
      <c r="L2428" s="654">
        <v>0</v>
      </c>
      <c r="M2428" s="654">
        <v>0</v>
      </c>
      <c r="N2428" s="654">
        <v>0</v>
      </c>
    </row>
    <row r="2429" spans="2:14" x14ac:dyDescent="0.15">
      <c r="B2429"/>
      <c r="E2429" t="s">
        <v>773</v>
      </c>
      <c r="H2429" s="654">
        <v>0</v>
      </c>
      <c r="I2429" s="654">
        <v>0</v>
      </c>
      <c r="J2429" s="654">
        <v>0</v>
      </c>
      <c r="K2429" s="654">
        <v>0</v>
      </c>
      <c r="L2429" s="654">
        <v>0</v>
      </c>
      <c r="M2429" s="654">
        <v>0</v>
      </c>
      <c r="N2429" s="654">
        <v>0</v>
      </c>
    </row>
    <row r="2430" spans="2:14" x14ac:dyDescent="0.15">
      <c r="B2430"/>
      <c r="D2430" t="s">
        <v>739</v>
      </c>
      <c r="H2430" s="654">
        <v>0</v>
      </c>
      <c r="I2430" s="654">
        <v>0</v>
      </c>
      <c r="J2430" s="654">
        <v>0</v>
      </c>
      <c r="K2430" s="654">
        <v>0</v>
      </c>
      <c r="L2430" s="654">
        <v>0</v>
      </c>
      <c r="M2430" s="654">
        <v>0</v>
      </c>
      <c r="N2430" s="654">
        <v>0</v>
      </c>
    </row>
    <row r="2431" spans="2:14" x14ac:dyDescent="0.15">
      <c r="B2431"/>
      <c r="D2431" t="s">
        <v>568</v>
      </c>
      <c r="E2431" t="s">
        <v>474</v>
      </c>
      <c r="F2431" t="s">
        <v>631</v>
      </c>
      <c r="G2431" t="s">
        <v>596</v>
      </c>
      <c r="H2431" s="654">
        <v>0</v>
      </c>
      <c r="I2431" s="654">
        <v>0</v>
      </c>
      <c r="J2431" s="654">
        <v>0</v>
      </c>
      <c r="K2431" s="654">
        <v>0</v>
      </c>
      <c r="L2431" s="654">
        <v>0</v>
      </c>
      <c r="M2431" s="654">
        <v>0</v>
      </c>
      <c r="N2431" s="654">
        <v>0</v>
      </c>
    </row>
    <row r="2432" spans="2:14" x14ac:dyDescent="0.15">
      <c r="B2432"/>
      <c r="F2432" t="s">
        <v>737</v>
      </c>
      <c r="H2432" s="654">
        <v>0</v>
      </c>
      <c r="I2432" s="654">
        <v>0</v>
      </c>
      <c r="J2432" s="654">
        <v>0</v>
      </c>
      <c r="K2432" s="654">
        <v>0</v>
      </c>
      <c r="L2432" s="654">
        <v>0</v>
      </c>
      <c r="M2432" s="654">
        <v>0</v>
      </c>
      <c r="N2432" s="654">
        <v>0</v>
      </c>
    </row>
    <row r="2433" spans="2:14" x14ac:dyDescent="0.15">
      <c r="B2433"/>
      <c r="E2433" t="s">
        <v>774</v>
      </c>
      <c r="H2433" s="654">
        <v>0</v>
      </c>
      <c r="I2433" s="654">
        <v>0</v>
      </c>
      <c r="J2433" s="654">
        <v>0</v>
      </c>
      <c r="K2433" s="654">
        <v>0</v>
      </c>
      <c r="L2433" s="654">
        <v>0</v>
      </c>
      <c r="M2433" s="654">
        <v>0</v>
      </c>
      <c r="N2433" s="654">
        <v>0</v>
      </c>
    </row>
    <row r="2434" spans="2:14" x14ac:dyDescent="0.15">
      <c r="B2434"/>
      <c r="D2434" t="s">
        <v>740</v>
      </c>
      <c r="H2434" s="654">
        <v>0</v>
      </c>
      <c r="I2434" s="654">
        <v>0</v>
      </c>
      <c r="J2434" s="654">
        <v>0</v>
      </c>
      <c r="K2434" s="654">
        <v>0</v>
      </c>
      <c r="L2434" s="654">
        <v>0</v>
      </c>
      <c r="M2434" s="654">
        <v>0</v>
      </c>
      <c r="N2434" s="654">
        <v>0</v>
      </c>
    </row>
    <row r="2435" spans="2:14" x14ac:dyDescent="0.15">
      <c r="B2435"/>
      <c r="D2435" t="s">
        <v>582</v>
      </c>
      <c r="E2435" t="s">
        <v>384</v>
      </c>
      <c r="F2435" t="s">
        <v>631</v>
      </c>
      <c r="G2435" t="s">
        <v>596</v>
      </c>
      <c r="H2435" s="654">
        <v>0</v>
      </c>
      <c r="I2435" s="654">
        <v>0</v>
      </c>
      <c r="J2435" s="654">
        <v>0</v>
      </c>
      <c r="K2435" s="654">
        <v>0</v>
      </c>
      <c r="L2435" s="654">
        <v>0</v>
      </c>
      <c r="M2435" s="654">
        <v>0</v>
      </c>
      <c r="N2435" s="654">
        <v>0</v>
      </c>
    </row>
    <row r="2436" spans="2:14" x14ac:dyDescent="0.15">
      <c r="B2436"/>
      <c r="F2436" t="s">
        <v>737</v>
      </c>
      <c r="H2436" s="654">
        <v>0</v>
      </c>
      <c r="I2436" s="654">
        <v>0</v>
      </c>
      <c r="J2436" s="654">
        <v>0</v>
      </c>
      <c r="K2436" s="654">
        <v>0</v>
      </c>
      <c r="L2436" s="654">
        <v>0</v>
      </c>
      <c r="M2436" s="654">
        <v>0</v>
      </c>
      <c r="N2436" s="654">
        <v>0</v>
      </c>
    </row>
    <row r="2437" spans="2:14" x14ac:dyDescent="0.15">
      <c r="B2437"/>
      <c r="E2437" t="s">
        <v>778</v>
      </c>
      <c r="H2437" s="654">
        <v>0</v>
      </c>
      <c r="I2437" s="654">
        <v>0</v>
      </c>
      <c r="J2437" s="654">
        <v>0</v>
      </c>
      <c r="K2437" s="654">
        <v>0</v>
      </c>
      <c r="L2437" s="654">
        <v>0</v>
      </c>
      <c r="M2437" s="654">
        <v>0</v>
      </c>
      <c r="N2437" s="654">
        <v>0</v>
      </c>
    </row>
    <row r="2438" spans="2:14" x14ac:dyDescent="0.15">
      <c r="B2438"/>
      <c r="D2438" t="s">
        <v>743</v>
      </c>
      <c r="H2438" s="654">
        <v>0</v>
      </c>
      <c r="I2438" s="654">
        <v>0</v>
      </c>
      <c r="J2438" s="654">
        <v>0</v>
      </c>
      <c r="K2438" s="654">
        <v>0</v>
      </c>
      <c r="L2438" s="654">
        <v>0</v>
      </c>
      <c r="M2438" s="654">
        <v>0</v>
      </c>
      <c r="N2438" s="654">
        <v>0</v>
      </c>
    </row>
    <row r="2439" spans="2:14" x14ac:dyDescent="0.15">
      <c r="B2439"/>
      <c r="D2439" t="s">
        <v>631</v>
      </c>
      <c r="E2439" t="s">
        <v>381</v>
      </c>
      <c r="F2439" t="s">
        <v>626</v>
      </c>
      <c r="G2439" t="s">
        <v>600</v>
      </c>
      <c r="H2439" s="654">
        <v>0</v>
      </c>
      <c r="I2439" s="654">
        <v>0</v>
      </c>
      <c r="J2439" s="654">
        <v>0</v>
      </c>
      <c r="K2439" s="654">
        <v>0</v>
      </c>
      <c r="L2439" s="654">
        <v>0</v>
      </c>
      <c r="M2439" s="654">
        <v>0</v>
      </c>
      <c r="N2439" s="654">
        <v>0</v>
      </c>
    </row>
    <row r="2440" spans="2:14" x14ac:dyDescent="0.15">
      <c r="B2440"/>
      <c r="F2440" t="s">
        <v>733</v>
      </c>
      <c r="H2440" s="654">
        <v>0</v>
      </c>
      <c r="I2440" s="654">
        <v>0</v>
      </c>
      <c r="J2440" s="654">
        <v>0</v>
      </c>
      <c r="K2440" s="654">
        <v>0</v>
      </c>
      <c r="L2440" s="654">
        <v>0</v>
      </c>
      <c r="M2440" s="654">
        <v>0</v>
      </c>
      <c r="N2440" s="654">
        <v>0</v>
      </c>
    </row>
    <row r="2441" spans="2:14" x14ac:dyDescent="0.15">
      <c r="B2441"/>
      <c r="E2441" t="s">
        <v>776</v>
      </c>
      <c r="H2441" s="654">
        <v>0</v>
      </c>
      <c r="I2441" s="654">
        <v>0</v>
      </c>
      <c r="J2441" s="654">
        <v>0</v>
      </c>
      <c r="K2441" s="654">
        <v>0</v>
      </c>
      <c r="L2441" s="654">
        <v>0</v>
      </c>
      <c r="M2441" s="654">
        <v>0</v>
      </c>
      <c r="N2441" s="654">
        <v>0</v>
      </c>
    </row>
    <row r="2442" spans="2:14" x14ac:dyDescent="0.15">
      <c r="B2442"/>
      <c r="D2442" t="s">
        <v>737</v>
      </c>
      <c r="H2442" s="654">
        <v>0</v>
      </c>
      <c r="I2442" s="654">
        <v>0</v>
      </c>
      <c r="J2442" s="654">
        <v>0</v>
      </c>
      <c r="K2442" s="654">
        <v>0</v>
      </c>
      <c r="L2442" s="654">
        <v>0</v>
      </c>
      <c r="M2442" s="654">
        <v>0</v>
      </c>
      <c r="N2442" s="654">
        <v>0</v>
      </c>
    </row>
    <row r="2443" spans="2:14" x14ac:dyDescent="0.15">
      <c r="B2443"/>
      <c r="D2443" t="s">
        <v>671</v>
      </c>
      <c r="E2443" t="s">
        <v>383</v>
      </c>
      <c r="F2443" t="s">
        <v>626</v>
      </c>
      <c r="G2443" t="s">
        <v>600</v>
      </c>
      <c r="H2443" s="654">
        <v>0</v>
      </c>
      <c r="I2443" s="654">
        <v>0</v>
      </c>
      <c r="J2443" s="654">
        <v>0</v>
      </c>
      <c r="K2443" s="654">
        <v>0</v>
      </c>
      <c r="L2443" s="654">
        <v>0</v>
      </c>
      <c r="M2443" s="654">
        <v>0</v>
      </c>
      <c r="N2443" s="654">
        <v>0</v>
      </c>
    </row>
    <row r="2444" spans="2:14" x14ac:dyDescent="0.15">
      <c r="B2444"/>
      <c r="F2444" t="s">
        <v>733</v>
      </c>
      <c r="H2444" s="654">
        <v>0</v>
      </c>
      <c r="I2444" s="654">
        <v>0</v>
      </c>
      <c r="J2444" s="654">
        <v>0</v>
      </c>
      <c r="K2444" s="654">
        <v>0</v>
      </c>
      <c r="L2444" s="654">
        <v>0</v>
      </c>
      <c r="M2444" s="654">
        <v>0</v>
      </c>
      <c r="N2444" s="654">
        <v>0</v>
      </c>
    </row>
    <row r="2445" spans="2:14" x14ac:dyDescent="0.15">
      <c r="B2445"/>
      <c r="F2445" t="s">
        <v>627</v>
      </c>
      <c r="G2445" t="s">
        <v>599</v>
      </c>
      <c r="H2445" s="654">
        <v>0</v>
      </c>
      <c r="I2445" s="654">
        <v>0</v>
      </c>
      <c r="J2445" s="654">
        <v>0</v>
      </c>
      <c r="K2445" s="654">
        <v>0</v>
      </c>
      <c r="L2445" s="654">
        <v>0</v>
      </c>
      <c r="M2445" s="654">
        <v>0</v>
      </c>
      <c r="N2445" s="654">
        <v>0</v>
      </c>
    </row>
    <row r="2446" spans="2:14" x14ac:dyDescent="0.15">
      <c r="B2446"/>
      <c r="F2446" t="s">
        <v>734</v>
      </c>
      <c r="H2446" s="654">
        <v>0</v>
      </c>
      <c r="I2446" s="654">
        <v>0</v>
      </c>
      <c r="J2446" s="654">
        <v>0</v>
      </c>
      <c r="K2446" s="654">
        <v>0</v>
      </c>
      <c r="L2446" s="654">
        <v>0</v>
      </c>
      <c r="M2446" s="654">
        <v>0</v>
      </c>
      <c r="N2446" s="654">
        <v>0</v>
      </c>
    </row>
    <row r="2447" spans="2:14" x14ac:dyDescent="0.15">
      <c r="B2447"/>
      <c r="E2447" t="s">
        <v>777</v>
      </c>
      <c r="H2447" s="654">
        <v>0</v>
      </c>
      <c r="I2447" s="654">
        <v>0</v>
      </c>
      <c r="J2447" s="654">
        <v>0</v>
      </c>
      <c r="K2447" s="654">
        <v>0</v>
      </c>
      <c r="L2447" s="654">
        <v>0</v>
      </c>
      <c r="M2447" s="654">
        <v>0</v>
      </c>
      <c r="N2447" s="654">
        <v>0</v>
      </c>
    </row>
    <row r="2448" spans="2:14" x14ac:dyDescent="0.15">
      <c r="B2448"/>
      <c r="D2448" t="s">
        <v>742</v>
      </c>
      <c r="H2448" s="654">
        <v>0</v>
      </c>
      <c r="I2448" s="654">
        <v>0</v>
      </c>
      <c r="J2448" s="654">
        <v>0</v>
      </c>
      <c r="K2448" s="654">
        <v>0</v>
      </c>
      <c r="L2448" s="654">
        <v>0</v>
      </c>
      <c r="M2448" s="654">
        <v>0</v>
      </c>
      <c r="N2448" s="654">
        <v>0</v>
      </c>
    </row>
    <row r="2449" spans="1:14" x14ac:dyDescent="0.15">
      <c r="B2449"/>
      <c r="D2449" t="s">
        <v>965</v>
      </c>
      <c r="E2449" t="s">
        <v>986</v>
      </c>
      <c r="F2449" t="s">
        <v>626</v>
      </c>
      <c r="G2449" t="s">
        <v>600</v>
      </c>
      <c r="H2449" s="654">
        <v>0</v>
      </c>
      <c r="I2449" s="654">
        <v>-104334</v>
      </c>
      <c r="J2449" s="654">
        <v>-104334</v>
      </c>
      <c r="K2449" s="654">
        <v>-104334</v>
      </c>
      <c r="L2449" s="654">
        <v>0</v>
      </c>
      <c r="M2449" s="654">
        <v>0</v>
      </c>
      <c r="N2449" s="654">
        <v>0</v>
      </c>
    </row>
    <row r="2450" spans="1:14" x14ac:dyDescent="0.15">
      <c r="B2450"/>
      <c r="F2450" t="s">
        <v>733</v>
      </c>
      <c r="H2450" s="654">
        <v>0</v>
      </c>
      <c r="I2450" s="654">
        <v>-104334</v>
      </c>
      <c r="J2450" s="654">
        <v>-104334</v>
      </c>
      <c r="K2450" s="654">
        <v>-104334</v>
      </c>
      <c r="L2450" s="654">
        <v>0</v>
      </c>
      <c r="M2450" s="654">
        <v>0</v>
      </c>
      <c r="N2450" s="654">
        <v>0</v>
      </c>
    </row>
    <row r="2451" spans="1:14" x14ac:dyDescent="0.15">
      <c r="B2451"/>
      <c r="F2451" t="s">
        <v>627</v>
      </c>
      <c r="G2451" t="s">
        <v>599</v>
      </c>
      <c r="H2451" s="654">
        <v>0</v>
      </c>
      <c r="I2451" s="654">
        <v>0</v>
      </c>
      <c r="J2451" s="654">
        <v>0</v>
      </c>
      <c r="K2451" s="654">
        <v>0</v>
      </c>
      <c r="L2451" s="654">
        <v>0</v>
      </c>
      <c r="M2451" s="654">
        <v>0</v>
      </c>
      <c r="N2451" s="654">
        <v>0</v>
      </c>
    </row>
    <row r="2452" spans="1:14" x14ac:dyDescent="0.15">
      <c r="B2452"/>
      <c r="F2452" t="s">
        <v>734</v>
      </c>
      <c r="H2452" s="654">
        <v>0</v>
      </c>
      <c r="I2452" s="654">
        <v>0</v>
      </c>
      <c r="J2452" s="654">
        <v>0</v>
      </c>
      <c r="K2452" s="654">
        <v>0</v>
      </c>
      <c r="L2452" s="654">
        <v>0</v>
      </c>
      <c r="M2452" s="654">
        <v>0</v>
      </c>
      <c r="N2452" s="654">
        <v>0</v>
      </c>
    </row>
    <row r="2453" spans="1:14" x14ac:dyDescent="0.15">
      <c r="B2453"/>
      <c r="E2453" t="s">
        <v>1138</v>
      </c>
      <c r="H2453" s="654">
        <v>0</v>
      </c>
      <c r="I2453" s="654">
        <v>-104334</v>
      </c>
      <c r="J2453" s="654">
        <v>-104334</v>
      </c>
      <c r="K2453" s="654">
        <v>-104334</v>
      </c>
      <c r="L2453" s="654">
        <v>0</v>
      </c>
      <c r="M2453" s="654">
        <v>0</v>
      </c>
      <c r="N2453" s="654">
        <v>0</v>
      </c>
    </row>
    <row r="2454" spans="1:14" x14ac:dyDescent="0.15">
      <c r="B2454"/>
      <c r="D2454" t="s">
        <v>1139</v>
      </c>
      <c r="H2454" s="654">
        <v>0</v>
      </c>
      <c r="I2454" s="654">
        <v>-104334</v>
      </c>
      <c r="J2454" s="654">
        <v>-104334</v>
      </c>
      <c r="K2454" s="654">
        <v>-104334</v>
      </c>
      <c r="L2454" s="654">
        <v>0</v>
      </c>
      <c r="M2454" s="654">
        <v>0</v>
      </c>
      <c r="N2454" s="654">
        <v>0</v>
      </c>
    </row>
    <row r="2455" spans="1:14" x14ac:dyDescent="0.15">
      <c r="B2455"/>
      <c r="C2455" t="s">
        <v>854</v>
      </c>
      <c r="H2455" s="654">
        <v>895806</v>
      </c>
      <c r="I2455" s="654">
        <v>-267953</v>
      </c>
      <c r="J2455" s="654">
        <v>627853</v>
      </c>
      <c r="K2455" s="654">
        <v>627853</v>
      </c>
      <c r="L2455" s="654">
        <v>0</v>
      </c>
      <c r="M2455" s="654">
        <v>0</v>
      </c>
      <c r="N2455" s="654">
        <v>0</v>
      </c>
    </row>
    <row r="2456" spans="1:14" x14ac:dyDescent="0.15">
      <c r="A2456" s="653" t="s">
        <v>1298</v>
      </c>
      <c r="B2456"/>
      <c r="H2456" s="654">
        <v>34963160</v>
      </c>
      <c r="I2456" s="654">
        <v>-1543248</v>
      </c>
      <c r="J2456" s="654">
        <v>33419912</v>
      </c>
      <c r="K2456" s="654">
        <v>33419912</v>
      </c>
      <c r="L2456" s="654">
        <v>0</v>
      </c>
      <c r="M2456" s="654">
        <v>557666</v>
      </c>
      <c r="N2456" s="654">
        <v>3642613</v>
      </c>
    </row>
    <row r="2457" spans="1:14" x14ac:dyDescent="0.15">
      <c r="A2457" s="653">
        <v>43344</v>
      </c>
      <c r="B2457" t="s">
        <v>626</v>
      </c>
      <c r="C2457" t="s">
        <v>849</v>
      </c>
      <c r="D2457" t="s">
        <v>626</v>
      </c>
      <c r="E2457" t="s">
        <v>378</v>
      </c>
      <c r="F2457" t="s">
        <v>626</v>
      </c>
      <c r="G2457" t="s">
        <v>600</v>
      </c>
      <c r="H2457" s="654">
        <v>8266776</v>
      </c>
      <c r="I2457" s="654">
        <v>-49540</v>
      </c>
      <c r="J2457" s="654">
        <v>8217236</v>
      </c>
      <c r="K2457" s="654">
        <v>8217236</v>
      </c>
      <c r="L2457" s="654">
        <v>0</v>
      </c>
      <c r="M2457" s="654">
        <v>64937</v>
      </c>
      <c r="N2457" s="654">
        <v>1222108</v>
      </c>
    </row>
    <row r="2458" spans="1:14" x14ac:dyDescent="0.15">
      <c r="B2458"/>
      <c r="F2458" t="s">
        <v>733</v>
      </c>
      <c r="H2458" s="654">
        <v>8266776</v>
      </c>
      <c r="I2458" s="654">
        <v>-49540</v>
      </c>
      <c r="J2458" s="654">
        <v>8217236</v>
      </c>
      <c r="K2458" s="654">
        <v>8217236</v>
      </c>
      <c r="L2458" s="654">
        <v>0</v>
      </c>
      <c r="M2458" s="654">
        <v>64937</v>
      </c>
      <c r="N2458" s="654">
        <v>1222108</v>
      </c>
    </row>
    <row r="2459" spans="1:14" x14ac:dyDescent="0.15">
      <c r="B2459"/>
      <c r="F2459" t="s">
        <v>627</v>
      </c>
      <c r="G2459" t="s">
        <v>599</v>
      </c>
      <c r="H2459" s="654">
        <v>1668411</v>
      </c>
      <c r="I2459" s="654">
        <v>-325451</v>
      </c>
      <c r="J2459" s="654">
        <v>1342960</v>
      </c>
      <c r="K2459" s="654">
        <v>1342960</v>
      </c>
      <c r="L2459" s="654">
        <v>0</v>
      </c>
      <c r="M2459" s="654">
        <v>0</v>
      </c>
      <c r="N2459" s="654">
        <v>353946</v>
      </c>
    </row>
    <row r="2460" spans="1:14" x14ac:dyDescent="0.15">
      <c r="B2460"/>
      <c r="F2460" t="s">
        <v>734</v>
      </c>
      <c r="H2460" s="654">
        <v>1668411</v>
      </c>
      <c r="I2460" s="654">
        <v>-325451</v>
      </c>
      <c r="J2460" s="654">
        <v>1342960</v>
      </c>
      <c r="K2460" s="654">
        <v>1342960</v>
      </c>
      <c r="L2460" s="654">
        <v>0</v>
      </c>
      <c r="M2460" s="654">
        <v>0</v>
      </c>
      <c r="N2460" s="654">
        <v>353946</v>
      </c>
    </row>
    <row r="2461" spans="1:14" x14ac:dyDescent="0.15">
      <c r="B2461"/>
      <c r="F2461" t="s">
        <v>628</v>
      </c>
      <c r="G2461" t="s">
        <v>598</v>
      </c>
      <c r="H2461" s="654">
        <v>671232</v>
      </c>
      <c r="I2461" s="654">
        <v>0</v>
      </c>
      <c r="J2461" s="654">
        <v>671232</v>
      </c>
      <c r="K2461" s="654">
        <v>671232</v>
      </c>
      <c r="L2461" s="654">
        <v>0</v>
      </c>
      <c r="M2461" s="654">
        <v>11267</v>
      </c>
      <c r="N2461" s="654">
        <v>0</v>
      </c>
    </row>
    <row r="2462" spans="1:14" x14ac:dyDescent="0.15">
      <c r="B2462"/>
      <c r="F2462" t="s">
        <v>735</v>
      </c>
      <c r="H2462" s="654">
        <v>671232</v>
      </c>
      <c r="I2462" s="654">
        <v>0</v>
      </c>
      <c r="J2462" s="654">
        <v>671232</v>
      </c>
      <c r="K2462" s="654">
        <v>671232</v>
      </c>
      <c r="L2462" s="654">
        <v>0</v>
      </c>
      <c r="M2462" s="654">
        <v>11267</v>
      </c>
      <c r="N2462" s="654">
        <v>0</v>
      </c>
    </row>
    <row r="2463" spans="1:14" x14ac:dyDescent="0.15">
      <c r="B2463"/>
      <c r="E2463" t="s">
        <v>769</v>
      </c>
      <c r="H2463" s="654">
        <v>10606419</v>
      </c>
      <c r="I2463" s="654">
        <v>-374991</v>
      </c>
      <c r="J2463" s="654">
        <v>10231428</v>
      </c>
      <c r="K2463" s="654">
        <v>10231428</v>
      </c>
      <c r="L2463" s="654">
        <v>0</v>
      </c>
      <c r="M2463" s="654">
        <v>76204</v>
      </c>
      <c r="N2463" s="654">
        <v>1576054</v>
      </c>
    </row>
    <row r="2464" spans="1:14" x14ac:dyDescent="0.15">
      <c r="B2464"/>
      <c r="D2464" t="s">
        <v>733</v>
      </c>
      <c r="H2464" s="654">
        <v>10606419</v>
      </c>
      <c r="I2464" s="654">
        <v>-374991</v>
      </c>
      <c r="J2464" s="654">
        <v>10231428</v>
      </c>
      <c r="K2464" s="654">
        <v>10231428</v>
      </c>
      <c r="L2464" s="654">
        <v>0</v>
      </c>
      <c r="M2464" s="654">
        <v>76204</v>
      </c>
      <c r="N2464" s="654">
        <v>1576054</v>
      </c>
    </row>
    <row r="2465" spans="2:14" x14ac:dyDescent="0.15">
      <c r="B2465"/>
      <c r="D2465" t="s">
        <v>627</v>
      </c>
      <c r="E2465" t="s">
        <v>379</v>
      </c>
      <c r="F2465" t="s">
        <v>626</v>
      </c>
      <c r="G2465" t="s">
        <v>600</v>
      </c>
      <c r="H2465" s="654">
        <v>4489345</v>
      </c>
      <c r="I2465" s="654">
        <v>-316425</v>
      </c>
      <c r="J2465" s="654">
        <v>4172920</v>
      </c>
      <c r="K2465" s="654">
        <v>4172920</v>
      </c>
      <c r="L2465" s="654">
        <v>0</v>
      </c>
      <c r="M2465" s="654">
        <v>111008</v>
      </c>
      <c r="N2465" s="654">
        <v>480619</v>
      </c>
    </row>
    <row r="2466" spans="2:14" x14ac:dyDescent="0.15">
      <c r="B2466"/>
      <c r="F2466" t="s">
        <v>733</v>
      </c>
      <c r="H2466" s="654">
        <v>4489345</v>
      </c>
      <c r="I2466" s="654">
        <v>-316425</v>
      </c>
      <c r="J2466" s="654">
        <v>4172920</v>
      </c>
      <c r="K2466" s="654">
        <v>4172920</v>
      </c>
      <c r="L2466" s="654">
        <v>0</v>
      </c>
      <c r="M2466" s="654">
        <v>111008</v>
      </c>
      <c r="N2466" s="654">
        <v>480619</v>
      </c>
    </row>
    <row r="2467" spans="2:14" x14ac:dyDescent="0.15">
      <c r="B2467"/>
      <c r="F2467" t="s">
        <v>627</v>
      </c>
      <c r="G2467" t="s">
        <v>599</v>
      </c>
      <c r="H2467" s="654">
        <v>1104301</v>
      </c>
      <c r="I2467" s="654">
        <v>-250557</v>
      </c>
      <c r="J2467" s="654">
        <v>853744</v>
      </c>
      <c r="K2467" s="654">
        <v>853744</v>
      </c>
      <c r="L2467" s="654">
        <v>0</v>
      </c>
      <c r="M2467" s="654">
        <v>0</v>
      </c>
      <c r="N2467" s="654">
        <v>206934</v>
      </c>
    </row>
    <row r="2468" spans="2:14" x14ac:dyDescent="0.15">
      <c r="B2468"/>
      <c r="F2468" t="s">
        <v>734</v>
      </c>
      <c r="H2468" s="654">
        <v>1104301</v>
      </c>
      <c r="I2468" s="654">
        <v>-250557</v>
      </c>
      <c r="J2468" s="654">
        <v>853744</v>
      </c>
      <c r="K2468" s="654">
        <v>853744</v>
      </c>
      <c r="L2468" s="654">
        <v>0</v>
      </c>
      <c r="M2468" s="654">
        <v>0</v>
      </c>
      <c r="N2468" s="654">
        <v>206934</v>
      </c>
    </row>
    <row r="2469" spans="2:14" x14ac:dyDescent="0.15">
      <c r="B2469"/>
      <c r="F2469" t="s">
        <v>628</v>
      </c>
      <c r="G2469" t="s">
        <v>598</v>
      </c>
      <c r="H2469" s="654">
        <v>490864</v>
      </c>
      <c r="I2469" s="654">
        <v>0</v>
      </c>
      <c r="J2469" s="654">
        <v>490864</v>
      </c>
      <c r="K2469" s="654">
        <v>490864</v>
      </c>
      <c r="L2469" s="654">
        <v>0</v>
      </c>
      <c r="M2469" s="654">
        <v>0</v>
      </c>
      <c r="N2469" s="654">
        <v>0</v>
      </c>
    </row>
    <row r="2470" spans="2:14" x14ac:dyDescent="0.15">
      <c r="B2470"/>
      <c r="F2470" t="s">
        <v>735</v>
      </c>
      <c r="H2470" s="654">
        <v>490864</v>
      </c>
      <c r="I2470" s="654">
        <v>0</v>
      </c>
      <c r="J2470" s="654">
        <v>490864</v>
      </c>
      <c r="K2470" s="654">
        <v>490864</v>
      </c>
      <c r="L2470" s="654">
        <v>0</v>
      </c>
      <c r="M2470" s="654">
        <v>0</v>
      </c>
      <c r="N2470" s="654">
        <v>0</v>
      </c>
    </row>
    <row r="2471" spans="2:14" x14ac:dyDescent="0.15">
      <c r="B2471"/>
      <c r="E2471" t="s">
        <v>770</v>
      </c>
      <c r="H2471" s="654">
        <v>6084510</v>
      </c>
      <c r="I2471" s="654">
        <v>-566982</v>
      </c>
      <c r="J2471" s="654">
        <v>5517528</v>
      </c>
      <c r="K2471" s="654">
        <v>5517528</v>
      </c>
      <c r="L2471" s="654">
        <v>0</v>
      </c>
      <c r="M2471" s="654">
        <v>111008</v>
      </c>
      <c r="N2471" s="654">
        <v>687553</v>
      </c>
    </row>
    <row r="2472" spans="2:14" x14ac:dyDescent="0.15">
      <c r="B2472"/>
      <c r="D2472" t="s">
        <v>734</v>
      </c>
      <c r="H2472" s="654">
        <v>6084510</v>
      </c>
      <c r="I2472" s="654">
        <v>-566982</v>
      </c>
      <c r="J2472" s="654">
        <v>5517528</v>
      </c>
      <c r="K2472" s="654">
        <v>5517528</v>
      </c>
      <c r="L2472" s="654">
        <v>0</v>
      </c>
      <c r="M2472" s="654">
        <v>111008</v>
      </c>
      <c r="N2472" s="654">
        <v>687553</v>
      </c>
    </row>
    <row r="2473" spans="2:14" x14ac:dyDescent="0.15">
      <c r="B2473"/>
      <c r="D2473" t="s">
        <v>628</v>
      </c>
      <c r="E2473" t="s">
        <v>380</v>
      </c>
      <c r="F2473" t="s">
        <v>626</v>
      </c>
      <c r="G2473" t="s">
        <v>600</v>
      </c>
      <c r="H2473" s="654">
        <v>4825674</v>
      </c>
      <c r="I2473" s="654">
        <v>-108255</v>
      </c>
      <c r="J2473" s="654">
        <v>4717419</v>
      </c>
      <c r="K2473" s="654">
        <v>4717419</v>
      </c>
      <c r="L2473" s="654">
        <v>0</v>
      </c>
      <c r="M2473" s="654">
        <v>84533</v>
      </c>
      <c r="N2473" s="654">
        <v>517769</v>
      </c>
    </row>
    <row r="2474" spans="2:14" x14ac:dyDescent="0.15">
      <c r="B2474"/>
      <c r="F2474" t="s">
        <v>733</v>
      </c>
      <c r="H2474" s="654">
        <v>4825674</v>
      </c>
      <c r="I2474" s="654">
        <v>-108255</v>
      </c>
      <c r="J2474" s="654">
        <v>4717419</v>
      </c>
      <c r="K2474" s="654">
        <v>4717419</v>
      </c>
      <c r="L2474" s="654">
        <v>0</v>
      </c>
      <c r="M2474" s="654">
        <v>84533</v>
      </c>
      <c r="N2474" s="654">
        <v>517769</v>
      </c>
    </row>
    <row r="2475" spans="2:14" x14ac:dyDescent="0.15">
      <c r="B2475"/>
      <c r="F2475" t="s">
        <v>627</v>
      </c>
      <c r="G2475" t="s">
        <v>599</v>
      </c>
      <c r="H2475" s="654">
        <v>1715822</v>
      </c>
      <c r="I2475" s="654">
        <v>5878</v>
      </c>
      <c r="J2475" s="654">
        <v>1721700</v>
      </c>
      <c r="K2475" s="654">
        <v>1721700</v>
      </c>
      <c r="L2475" s="654">
        <v>0</v>
      </c>
      <c r="M2475" s="654">
        <v>0</v>
      </c>
      <c r="N2475" s="654">
        <v>399005</v>
      </c>
    </row>
    <row r="2476" spans="2:14" x14ac:dyDescent="0.15">
      <c r="B2476"/>
      <c r="F2476" t="s">
        <v>734</v>
      </c>
      <c r="H2476" s="654">
        <v>1715822</v>
      </c>
      <c r="I2476" s="654">
        <v>5878</v>
      </c>
      <c r="J2476" s="654">
        <v>1721700</v>
      </c>
      <c r="K2476" s="654">
        <v>1721700</v>
      </c>
      <c r="L2476" s="654">
        <v>0</v>
      </c>
      <c r="M2476" s="654">
        <v>0</v>
      </c>
      <c r="N2476" s="654">
        <v>399005</v>
      </c>
    </row>
    <row r="2477" spans="2:14" x14ac:dyDescent="0.15">
      <c r="B2477"/>
      <c r="E2477" t="s">
        <v>771</v>
      </c>
      <c r="H2477" s="654">
        <v>6541496</v>
      </c>
      <c r="I2477" s="654">
        <v>-102377</v>
      </c>
      <c r="J2477" s="654">
        <v>6439119</v>
      </c>
      <c r="K2477" s="654">
        <v>6439119</v>
      </c>
      <c r="L2477" s="654">
        <v>0</v>
      </c>
      <c r="M2477" s="654">
        <v>84533</v>
      </c>
      <c r="N2477" s="654">
        <v>916774</v>
      </c>
    </row>
    <row r="2478" spans="2:14" x14ac:dyDescent="0.15">
      <c r="B2478"/>
      <c r="D2478" t="s">
        <v>735</v>
      </c>
      <c r="H2478" s="654">
        <v>6541496</v>
      </c>
      <c r="I2478" s="654">
        <v>-102377</v>
      </c>
      <c r="J2478" s="654">
        <v>6439119</v>
      </c>
      <c r="K2478" s="654">
        <v>6439119</v>
      </c>
      <c r="L2478" s="654">
        <v>0</v>
      </c>
      <c r="M2478" s="654">
        <v>84533</v>
      </c>
      <c r="N2478" s="654">
        <v>916774</v>
      </c>
    </row>
    <row r="2479" spans="2:14" x14ac:dyDescent="0.15">
      <c r="B2479"/>
      <c r="D2479" t="s">
        <v>629</v>
      </c>
      <c r="E2479" t="s">
        <v>676</v>
      </c>
      <c r="F2479" t="s">
        <v>629</v>
      </c>
      <c r="G2479" t="s">
        <v>601</v>
      </c>
      <c r="H2479" s="654">
        <v>3905307</v>
      </c>
      <c r="I2479" s="654">
        <v>-36627</v>
      </c>
      <c r="J2479" s="654">
        <v>3868680</v>
      </c>
      <c r="K2479" s="654">
        <v>3868680</v>
      </c>
      <c r="L2479" s="654">
        <v>0</v>
      </c>
      <c r="M2479" s="654">
        <v>266055</v>
      </c>
      <c r="N2479" s="654">
        <v>233085</v>
      </c>
    </row>
    <row r="2480" spans="2:14" x14ac:dyDescent="0.15">
      <c r="B2480"/>
      <c r="F2480" t="s">
        <v>736</v>
      </c>
      <c r="H2480" s="654">
        <v>3905307</v>
      </c>
      <c r="I2480" s="654">
        <v>-36627</v>
      </c>
      <c r="J2480" s="654">
        <v>3868680</v>
      </c>
      <c r="K2480" s="654">
        <v>3868680</v>
      </c>
      <c r="L2480" s="654">
        <v>0</v>
      </c>
      <c r="M2480" s="654">
        <v>266055</v>
      </c>
      <c r="N2480" s="654">
        <v>233085</v>
      </c>
    </row>
    <row r="2481" spans="2:14" x14ac:dyDescent="0.15">
      <c r="B2481"/>
      <c r="E2481" t="s">
        <v>772</v>
      </c>
      <c r="H2481" s="654">
        <v>3905307</v>
      </c>
      <c r="I2481" s="654">
        <v>-36627</v>
      </c>
      <c r="J2481" s="654">
        <v>3868680</v>
      </c>
      <c r="K2481" s="654">
        <v>3868680</v>
      </c>
      <c r="L2481" s="654">
        <v>0</v>
      </c>
      <c r="M2481" s="654">
        <v>266055</v>
      </c>
      <c r="N2481" s="654">
        <v>233085</v>
      </c>
    </row>
    <row r="2482" spans="2:14" x14ac:dyDescent="0.15">
      <c r="B2482"/>
      <c r="D2482" t="s">
        <v>736</v>
      </c>
      <c r="H2482" s="654">
        <v>3905307</v>
      </c>
      <c r="I2482" s="654">
        <v>-36627</v>
      </c>
      <c r="J2482" s="654">
        <v>3868680</v>
      </c>
      <c r="K2482" s="654">
        <v>3868680</v>
      </c>
      <c r="L2482" s="654">
        <v>0</v>
      </c>
      <c r="M2482" s="654">
        <v>266055</v>
      </c>
      <c r="N2482" s="654">
        <v>233085</v>
      </c>
    </row>
    <row r="2483" spans="2:14" x14ac:dyDescent="0.15">
      <c r="B2483"/>
      <c r="D2483" t="s">
        <v>567</v>
      </c>
      <c r="E2483" t="s">
        <v>473</v>
      </c>
      <c r="F2483" t="s">
        <v>631</v>
      </c>
      <c r="G2483" t="s">
        <v>596</v>
      </c>
      <c r="H2483" s="654">
        <v>813636</v>
      </c>
      <c r="I2483" s="654">
        <v>0</v>
      </c>
      <c r="J2483" s="654">
        <v>813636</v>
      </c>
      <c r="K2483" s="654">
        <v>813636</v>
      </c>
      <c r="L2483" s="654">
        <v>0</v>
      </c>
      <c r="M2483" s="654">
        <v>0</v>
      </c>
      <c r="N2483" s="654">
        <v>272142</v>
      </c>
    </row>
    <row r="2484" spans="2:14" x14ac:dyDescent="0.15">
      <c r="B2484"/>
      <c r="F2484" t="s">
        <v>737</v>
      </c>
      <c r="H2484" s="654">
        <v>813636</v>
      </c>
      <c r="I2484" s="654">
        <v>0</v>
      </c>
      <c r="J2484" s="654">
        <v>813636</v>
      </c>
      <c r="K2484" s="654">
        <v>813636</v>
      </c>
      <c r="L2484" s="654">
        <v>0</v>
      </c>
      <c r="M2484" s="654">
        <v>0</v>
      </c>
      <c r="N2484" s="654">
        <v>272142</v>
      </c>
    </row>
    <row r="2485" spans="2:14" x14ac:dyDescent="0.15">
      <c r="B2485"/>
      <c r="E2485" t="s">
        <v>773</v>
      </c>
      <c r="H2485" s="654">
        <v>813636</v>
      </c>
      <c r="I2485" s="654">
        <v>0</v>
      </c>
      <c r="J2485" s="654">
        <v>813636</v>
      </c>
      <c r="K2485" s="654">
        <v>813636</v>
      </c>
      <c r="L2485" s="654">
        <v>0</v>
      </c>
      <c r="M2485" s="654">
        <v>0</v>
      </c>
      <c r="N2485" s="654">
        <v>272142</v>
      </c>
    </row>
    <row r="2486" spans="2:14" x14ac:dyDescent="0.15">
      <c r="B2486"/>
      <c r="D2486" t="s">
        <v>739</v>
      </c>
      <c r="H2486" s="654">
        <v>813636</v>
      </c>
      <c r="I2486" s="654">
        <v>0</v>
      </c>
      <c r="J2486" s="654">
        <v>813636</v>
      </c>
      <c r="K2486" s="654">
        <v>813636</v>
      </c>
      <c r="L2486" s="654">
        <v>0</v>
      </c>
      <c r="M2486" s="654">
        <v>0</v>
      </c>
      <c r="N2486" s="654">
        <v>272142</v>
      </c>
    </row>
    <row r="2487" spans="2:14" x14ac:dyDescent="0.15">
      <c r="B2487"/>
      <c r="D2487" t="s">
        <v>568</v>
      </c>
      <c r="E2487" t="s">
        <v>474</v>
      </c>
      <c r="F2487" t="s">
        <v>631</v>
      </c>
      <c r="G2487" t="s">
        <v>596</v>
      </c>
      <c r="H2487" s="654">
        <v>1003585</v>
      </c>
      <c r="I2487" s="654">
        <v>0</v>
      </c>
      <c r="J2487" s="654">
        <v>1003585</v>
      </c>
      <c r="K2487" s="654">
        <v>1003585</v>
      </c>
      <c r="L2487" s="654">
        <v>0</v>
      </c>
      <c r="M2487" s="654">
        <v>0</v>
      </c>
      <c r="N2487" s="654">
        <v>0</v>
      </c>
    </row>
    <row r="2488" spans="2:14" x14ac:dyDescent="0.15">
      <c r="B2488"/>
      <c r="F2488" t="s">
        <v>737</v>
      </c>
      <c r="H2488" s="654">
        <v>1003585</v>
      </c>
      <c r="I2488" s="654">
        <v>0</v>
      </c>
      <c r="J2488" s="654">
        <v>1003585</v>
      </c>
      <c r="K2488" s="654">
        <v>1003585</v>
      </c>
      <c r="L2488" s="654">
        <v>0</v>
      </c>
      <c r="M2488" s="654">
        <v>0</v>
      </c>
      <c r="N2488" s="654">
        <v>0</v>
      </c>
    </row>
    <row r="2489" spans="2:14" x14ac:dyDescent="0.15">
      <c r="B2489"/>
      <c r="E2489" t="s">
        <v>774</v>
      </c>
      <c r="H2489" s="654">
        <v>1003585</v>
      </c>
      <c r="I2489" s="654">
        <v>0</v>
      </c>
      <c r="J2489" s="654">
        <v>1003585</v>
      </c>
      <c r="K2489" s="654">
        <v>1003585</v>
      </c>
      <c r="L2489" s="654">
        <v>0</v>
      </c>
      <c r="M2489" s="654">
        <v>0</v>
      </c>
      <c r="N2489" s="654">
        <v>0</v>
      </c>
    </row>
    <row r="2490" spans="2:14" x14ac:dyDescent="0.15">
      <c r="B2490"/>
      <c r="D2490" t="s">
        <v>740</v>
      </c>
      <c r="H2490" s="654">
        <v>1003585</v>
      </c>
      <c r="I2490" s="654">
        <v>0</v>
      </c>
      <c r="J2490" s="654">
        <v>1003585</v>
      </c>
      <c r="K2490" s="654">
        <v>1003585</v>
      </c>
      <c r="L2490" s="654">
        <v>0</v>
      </c>
      <c r="M2490" s="654">
        <v>0</v>
      </c>
      <c r="N2490" s="654">
        <v>0</v>
      </c>
    </row>
    <row r="2491" spans="2:14" x14ac:dyDescent="0.15">
      <c r="B2491"/>
      <c r="D2491" t="s">
        <v>582</v>
      </c>
      <c r="E2491" t="s">
        <v>384</v>
      </c>
      <c r="F2491" t="s">
        <v>631</v>
      </c>
      <c r="G2491" t="s">
        <v>596</v>
      </c>
      <c r="H2491" s="654">
        <v>2292635</v>
      </c>
      <c r="I2491" s="654">
        <v>0</v>
      </c>
      <c r="J2491" s="654">
        <v>2292635</v>
      </c>
      <c r="K2491" s="654">
        <v>2292635</v>
      </c>
      <c r="L2491" s="654">
        <v>0</v>
      </c>
      <c r="M2491" s="654">
        <v>0</v>
      </c>
      <c r="N2491" s="654">
        <v>0</v>
      </c>
    </row>
    <row r="2492" spans="2:14" x14ac:dyDescent="0.15">
      <c r="B2492"/>
      <c r="F2492" t="s">
        <v>737</v>
      </c>
      <c r="H2492" s="654">
        <v>2292635</v>
      </c>
      <c r="I2492" s="654">
        <v>0</v>
      </c>
      <c r="J2492" s="654">
        <v>2292635</v>
      </c>
      <c r="K2492" s="654">
        <v>2292635</v>
      </c>
      <c r="L2492" s="654">
        <v>0</v>
      </c>
      <c r="M2492" s="654">
        <v>0</v>
      </c>
      <c r="N2492" s="654">
        <v>0</v>
      </c>
    </row>
    <row r="2493" spans="2:14" x14ac:dyDescent="0.15">
      <c r="B2493"/>
      <c r="E2493" t="s">
        <v>778</v>
      </c>
      <c r="H2493" s="654">
        <v>2292635</v>
      </c>
      <c r="I2493" s="654">
        <v>0</v>
      </c>
      <c r="J2493" s="654">
        <v>2292635</v>
      </c>
      <c r="K2493" s="654">
        <v>2292635</v>
      </c>
      <c r="L2493" s="654">
        <v>0</v>
      </c>
      <c r="M2493" s="654">
        <v>0</v>
      </c>
      <c r="N2493" s="654">
        <v>0</v>
      </c>
    </row>
    <row r="2494" spans="2:14" x14ac:dyDescent="0.15">
      <c r="B2494"/>
      <c r="D2494" t="s">
        <v>743</v>
      </c>
      <c r="H2494" s="654">
        <v>2292635</v>
      </c>
      <c r="I2494" s="654">
        <v>0</v>
      </c>
      <c r="J2494" s="654">
        <v>2292635</v>
      </c>
      <c r="K2494" s="654">
        <v>2292635</v>
      </c>
      <c r="L2494" s="654">
        <v>0</v>
      </c>
      <c r="M2494" s="654">
        <v>0</v>
      </c>
      <c r="N2494" s="654">
        <v>0</v>
      </c>
    </row>
    <row r="2495" spans="2:14" x14ac:dyDescent="0.15">
      <c r="B2495"/>
      <c r="D2495" t="s">
        <v>631</v>
      </c>
      <c r="E2495" t="s">
        <v>381</v>
      </c>
      <c r="F2495" t="s">
        <v>626</v>
      </c>
      <c r="G2495" t="s">
        <v>600</v>
      </c>
      <c r="H2495" s="654">
        <v>1331333</v>
      </c>
      <c r="I2495" s="654">
        <v>0</v>
      </c>
      <c r="J2495" s="654">
        <v>1331333</v>
      </c>
      <c r="K2495" s="654">
        <v>1331333</v>
      </c>
      <c r="L2495" s="654">
        <v>0</v>
      </c>
      <c r="M2495" s="654">
        <v>441502</v>
      </c>
      <c r="N2495" s="654">
        <v>0</v>
      </c>
    </row>
    <row r="2496" spans="2:14" x14ac:dyDescent="0.15">
      <c r="B2496"/>
      <c r="F2496" t="s">
        <v>733</v>
      </c>
      <c r="H2496" s="654">
        <v>1331333</v>
      </c>
      <c r="I2496" s="654">
        <v>0</v>
      </c>
      <c r="J2496" s="654">
        <v>1331333</v>
      </c>
      <c r="K2496" s="654">
        <v>1331333</v>
      </c>
      <c r="L2496" s="654">
        <v>0</v>
      </c>
      <c r="M2496" s="654">
        <v>441502</v>
      </c>
      <c r="N2496" s="654">
        <v>0</v>
      </c>
    </row>
    <row r="2497" spans="2:14" x14ac:dyDescent="0.15">
      <c r="B2497"/>
      <c r="E2497" t="s">
        <v>776</v>
      </c>
      <c r="H2497" s="654">
        <v>1331333</v>
      </c>
      <c r="I2497" s="654">
        <v>0</v>
      </c>
      <c r="J2497" s="654">
        <v>1331333</v>
      </c>
      <c r="K2497" s="654">
        <v>1331333</v>
      </c>
      <c r="L2497" s="654">
        <v>0</v>
      </c>
      <c r="M2497" s="654">
        <v>441502</v>
      </c>
      <c r="N2497" s="654">
        <v>0</v>
      </c>
    </row>
    <row r="2498" spans="2:14" x14ac:dyDescent="0.15">
      <c r="B2498"/>
      <c r="D2498" t="s">
        <v>737</v>
      </c>
      <c r="H2498" s="654">
        <v>1331333</v>
      </c>
      <c r="I2498" s="654">
        <v>0</v>
      </c>
      <c r="J2498" s="654">
        <v>1331333</v>
      </c>
      <c r="K2498" s="654">
        <v>1331333</v>
      </c>
      <c r="L2498" s="654">
        <v>0</v>
      </c>
      <c r="M2498" s="654">
        <v>441502</v>
      </c>
      <c r="N2498" s="654">
        <v>0</v>
      </c>
    </row>
    <row r="2499" spans="2:14" x14ac:dyDescent="0.15">
      <c r="B2499"/>
      <c r="D2499" t="s">
        <v>671</v>
      </c>
      <c r="E2499" t="s">
        <v>383</v>
      </c>
      <c r="F2499" t="s">
        <v>626</v>
      </c>
      <c r="G2499" t="s">
        <v>600</v>
      </c>
      <c r="H2499" s="654">
        <v>379821</v>
      </c>
      <c r="I2499" s="654">
        <v>0</v>
      </c>
      <c r="J2499" s="654">
        <v>379821</v>
      </c>
      <c r="K2499" s="654">
        <v>379821</v>
      </c>
      <c r="L2499" s="654">
        <v>0</v>
      </c>
      <c r="M2499" s="654">
        <v>0</v>
      </c>
      <c r="N2499" s="654">
        <v>0</v>
      </c>
    </row>
    <row r="2500" spans="2:14" x14ac:dyDescent="0.15">
      <c r="B2500"/>
      <c r="F2500" t="s">
        <v>733</v>
      </c>
      <c r="H2500" s="654">
        <v>379821</v>
      </c>
      <c r="I2500" s="654">
        <v>0</v>
      </c>
      <c r="J2500" s="654">
        <v>379821</v>
      </c>
      <c r="K2500" s="654">
        <v>379821</v>
      </c>
      <c r="L2500" s="654">
        <v>0</v>
      </c>
      <c r="M2500" s="654">
        <v>0</v>
      </c>
      <c r="N2500" s="654">
        <v>0</v>
      </c>
    </row>
    <row r="2501" spans="2:14" x14ac:dyDescent="0.15">
      <c r="B2501"/>
      <c r="F2501" t="s">
        <v>627</v>
      </c>
      <c r="G2501" t="s">
        <v>599</v>
      </c>
      <c r="H2501" s="654">
        <v>19400</v>
      </c>
      <c r="I2501" s="654">
        <v>0</v>
      </c>
      <c r="J2501" s="654">
        <v>19400</v>
      </c>
      <c r="K2501" s="654">
        <v>19400</v>
      </c>
      <c r="L2501" s="654">
        <v>0</v>
      </c>
      <c r="M2501" s="654">
        <v>0</v>
      </c>
      <c r="N2501" s="654">
        <v>0</v>
      </c>
    </row>
    <row r="2502" spans="2:14" x14ac:dyDescent="0.15">
      <c r="B2502"/>
      <c r="F2502" t="s">
        <v>734</v>
      </c>
      <c r="H2502" s="654">
        <v>19400</v>
      </c>
      <c r="I2502" s="654">
        <v>0</v>
      </c>
      <c r="J2502" s="654">
        <v>19400</v>
      </c>
      <c r="K2502" s="654">
        <v>19400</v>
      </c>
      <c r="L2502" s="654">
        <v>0</v>
      </c>
      <c r="M2502" s="654">
        <v>0</v>
      </c>
      <c r="N2502" s="654">
        <v>0</v>
      </c>
    </row>
    <row r="2503" spans="2:14" x14ac:dyDescent="0.15">
      <c r="B2503"/>
      <c r="E2503" t="s">
        <v>777</v>
      </c>
      <c r="H2503" s="654">
        <v>399221</v>
      </c>
      <c r="I2503" s="654">
        <v>0</v>
      </c>
      <c r="J2503" s="654">
        <v>399221</v>
      </c>
      <c r="K2503" s="654">
        <v>399221</v>
      </c>
      <c r="L2503" s="654">
        <v>0</v>
      </c>
      <c r="M2503" s="654">
        <v>0</v>
      </c>
      <c r="N2503" s="654">
        <v>0</v>
      </c>
    </row>
    <row r="2504" spans="2:14" x14ac:dyDescent="0.15">
      <c r="B2504"/>
      <c r="D2504" t="s">
        <v>742</v>
      </c>
      <c r="H2504" s="654">
        <v>399221</v>
      </c>
      <c r="I2504" s="654">
        <v>0</v>
      </c>
      <c r="J2504" s="654">
        <v>399221</v>
      </c>
      <c r="K2504" s="654">
        <v>399221</v>
      </c>
      <c r="L2504" s="654">
        <v>0</v>
      </c>
      <c r="M2504" s="654">
        <v>0</v>
      </c>
      <c r="N2504" s="654">
        <v>0</v>
      </c>
    </row>
    <row r="2505" spans="2:14" x14ac:dyDescent="0.15">
      <c r="B2505"/>
      <c r="D2505" t="s">
        <v>965</v>
      </c>
      <c r="E2505" t="s">
        <v>986</v>
      </c>
      <c r="F2505" t="s">
        <v>626</v>
      </c>
      <c r="G2505" t="s">
        <v>600</v>
      </c>
      <c r="H2505" s="654">
        <v>970747</v>
      </c>
      <c r="I2505" s="654">
        <v>-47568</v>
      </c>
      <c r="J2505" s="654">
        <v>923179</v>
      </c>
      <c r="K2505" s="654">
        <v>923179</v>
      </c>
      <c r="L2505" s="654">
        <v>0</v>
      </c>
      <c r="M2505" s="654">
        <v>578401</v>
      </c>
      <c r="N2505" s="654">
        <v>78006</v>
      </c>
    </row>
    <row r="2506" spans="2:14" x14ac:dyDescent="0.15">
      <c r="B2506"/>
      <c r="F2506" t="s">
        <v>733</v>
      </c>
      <c r="H2506" s="654">
        <v>970747</v>
      </c>
      <c r="I2506" s="654">
        <v>-47568</v>
      </c>
      <c r="J2506" s="654">
        <v>923179</v>
      </c>
      <c r="K2506" s="654">
        <v>923179</v>
      </c>
      <c r="L2506" s="654">
        <v>0</v>
      </c>
      <c r="M2506" s="654">
        <v>578401</v>
      </c>
      <c r="N2506" s="654">
        <v>78006</v>
      </c>
    </row>
    <row r="2507" spans="2:14" x14ac:dyDescent="0.15">
      <c r="B2507"/>
      <c r="F2507" t="s">
        <v>627</v>
      </c>
      <c r="G2507" t="s">
        <v>599</v>
      </c>
      <c r="H2507" s="654">
        <v>166920</v>
      </c>
      <c r="I2507" s="654">
        <v>0</v>
      </c>
      <c r="J2507" s="654">
        <v>166920</v>
      </c>
      <c r="K2507" s="654">
        <v>166920</v>
      </c>
      <c r="L2507" s="654">
        <v>0</v>
      </c>
      <c r="M2507" s="654">
        <v>0</v>
      </c>
      <c r="N2507" s="654">
        <v>61451</v>
      </c>
    </row>
    <row r="2508" spans="2:14" x14ac:dyDescent="0.15">
      <c r="B2508"/>
      <c r="F2508" t="s">
        <v>734</v>
      </c>
      <c r="H2508" s="654">
        <v>166920</v>
      </c>
      <c r="I2508" s="654">
        <v>0</v>
      </c>
      <c r="J2508" s="654">
        <v>166920</v>
      </c>
      <c r="K2508" s="654">
        <v>166920</v>
      </c>
      <c r="L2508" s="654">
        <v>0</v>
      </c>
      <c r="M2508" s="654">
        <v>0</v>
      </c>
      <c r="N2508" s="654">
        <v>61451</v>
      </c>
    </row>
    <row r="2509" spans="2:14" x14ac:dyDescent="0.15">
      <c r="B2509"/>
      <c r="E2509" t="s">
        <v>1138</v>
      </c>
      <c r="H2509" s="654">
        <v>1137667</v>
      </c>
      <c r="I2509" s="654">
        <v>-47568</v>
      </c>
      <c r="J2509" s="654">
        <v>1090099</v>
      </c>
      <c r="K2509" s="654">
        <v>1090099</v>
      </c>
      <c r="L2509" s="654">
        <v>0</v>
      </c>
      <c r="M2509" s="654">
        <v>578401</v>
      </c>
      <c r="N2509" s="654">
        <v>139457</v>
      </c>
    </row>
    <row r="2510" spans="2:14" x14ac:dyDescent="0.15">
      <c r="B2510"/>
      <c r="D2510" t="s">
        <v>1139</v>
      </c>
      <c r="H2510" s="654">
        <v>1137667</v>
      </c>
      <c r="I2510" s="654">
        <v>-47568</v>
      </c>
      <c r="J2510" s="654">
        <v>1090099</v>
      </c>
      <c r="K2510" s="654">
        <v>1090099</v>
      </c>
      <c r="L2510" s="654">
        <v>0</v>
      </c>
      <c r="M2510" s="654">
        <v>578401</v>
      </c>
      <c r="N2510" s="654">
        <v>139457</v>
      </c>
    </row>
    <row r="2511" spans="2:14" x14ac:dyDescent="0.15">
      <c r="B2511"/>
      <c r="C2511" t="s">
        <v>853</v>
      </c>
      <c r="H2511" s="654">
        <v>34115809</v>
      </c>
      <c r="I2511" s="654">
        <v>-1128545</v>
      </c>
      <c r="J2511" s="654">
        <v>32987264</v>
      </c>
      <c r="K2511" s="654">
        <v>32987264</v>
      </c>
      <c r="L2511" s="654">
        <v>0</v>
      </c>
      <c r="M2511" s="654">
        <v>1557703</v>
      </c>
      <c r="N2511" s="654">
        <v>3825065</v>
      </c>
    </row>
    <row r="2512" spans="2:14" x14ac:dyDescent="0.15">
      <c r="B2512" t="s">
        <v>627</v>
      </c>
      <c r="C2512" t="s">
        <v>847</v>
      </c>
      <c r="D2512" t="s">
        <v>626</v>
      </c>
      <c r="E2512" t="s">
        <v>378</v>
      </c>
      <c r="F2512" t="s">
        <v>626</v>
      </c>
      <c r="G2512" t="s">
        <v>600</v>
      </c>
      <c r="H2512" s="654">
        <v>382246</v>
      </c>
      <c r="I2512" s="654">
        <v>-170278</v>
      </c>
      <c r="J2512" s="654">
        <v>211968</v>
      </c>
      <c r="K2512" s="654">
        <v>211968</v>
      </c>
      <c r="L2512" s="654">
        <v>0</v>
      </c>
      <c r="M2512" s="654">
        <v>0</v>
      </c>
      <c r="N2512" s="654">
        <v>0</v>
      </c>
    </row>
    <row r="2513" spans="2:14" x14ac:dyDescent="0.15">
      <c r="B2513"/>
      <c r="F2513" t="s">
        <v>733</v>
      </c>
      <c r="H2513" s="654">
        <v>382246</v>
      </c>
      <c r="I2513" s="654">
        <v>-170278</v>
      </c>
      <c r="J2513" s="654">
        <v>211968</v>
      </c>
      <c r="K2513" s="654">
        <v>211968</v>
      </c>
      <c r="L2513" s="654">
        <v>0</v>
      </c>
      <c r="M2513" s="654">
        <v>0</v>
      </c>
      <c r="N2513" s="654">
        <v>0</v>
      </c>
    </row>
    <row r="2514" spans="2:14" x14ac:dyDescent="0.15">
      <c r="B2514"/>
      <c r="F2514" t="s">
        <v>627</v>
      </c>
      <c r="G2514" t="s">
        <v>599</v>
      </c>
      <c r="H2514" s="654">
        <v>432416</v>
      </c>
      <c r="I2514" s="654">
        <v>0</v>
      </c>
      <c r="J2514" s="654">
        <v>432416</v>
      </c>
      <c r="K2514" s="654">
        <v>432416</v>
      </c>
      <c r="L2514" s="654">
        <v>0</v>
      </c>
      <c r="M2514" s="654">
        <v>0</v>
      </c>
      <c r="N2514" s="654">
        <v>0</v>
      </c>
    </row>
    <row r="2515" spans="2:14" x14ac:dyDescent="0.15">
      <c r="B2515"/>
      <c r="F2515" t="s">
        <v>734</v>
      </c>
      <c r="H2515" s="654">
        <v>432416</v>
      </c>
      <c r="I2515" s="654">
        <v>0</v>
      </c>
      <c r="J2515" s="654">
        <v>432416</v>
      </c>
      <c r="K2515" s="654">
        <v>432416</v>
      </c>
      <c r="L2515" s="654">
        <v>0</v>
      </c>
      <c r="M2515" s="654">
        <v>0</v>
      </c>
      <c r="N2515" s="654">
        <v>0</v>
      </c>
    </row>
    <row r="2516" spans="2:14" x14ac:dyDescent="0.15">
      <c r="B2516"/>
      <c r="F2516" t="s">
        <v>628</v>
      </c>
      <c r="G2516" t="s">
        <v>598</v>
      </c>
      <c r="H2516" s="654">
        <v>43431</v>
      </c>
      <c r="I2516" s="654">
        <v>-14477</v>
      </c>
      <c r="J2516" s="654">
        <v>28954</v>
      </c>
      <c r="K2516" s="654">
        <v>28954</v>
      </c>
      <c r="L2516" s="654">
        <v>0</v>
      </c>
      <c r="M2516" s="654">
        <v>0</v>
      </c>
      <c r="N2516" s="654">
        <v>0</v>
      </c>
    </row>
    <row r="2517" spans="2:14" x14ac:dyDescent="0.15">
      <c r="B2517"/>
      <c r="F2517" t="s">
        <v>735</v>
      </c>
      <c r="H2517" s="654">
        <v>43431</v>
      </c>
      <c r="I2517" s="654">
        <v>-14477</v>
      </c>
      <c r="J2517" s="654">
        <v>28954</v>
      </c>
      <c r="K2517" s="654">
        <v>28954</v>
      </c>
      <c r="L2517" s="654">
        <v>0</v>
      </c>
      <c r="M2517" s="654">
        <v>0</v>
      </c>
      <c r="N2517" s="654">
        <v>0</v>
      </c>
    </row>
    <row r="2518" spans="2:14" x14ac:dyDescent="0.15">
      <c r="B2518"/>
      <c r="E2518" t="s">
        <v>769</v>
      </c>
      <c r="H2518" s="654">
        <v>858093</v>
      </c>
      <c r="I2518" s="654">
        <v>-184755</v>
      </c>
      <c r="J2518" s="654">
        <v>673338</v>
      </c>
      <c r="K2518" s="654">
        <v>673338</v>
      </c>
      <c r="L2518" s="654">
        <v>0</v>
      </c>
      <c r="M2518" s="654">
        <v>0</v>
      </c>
      <c r="N2518" s="654">
        <v>0</v>
      </c>
    </row>
    <row r="2519" spans="2:14" x14ac:dyDescent="0.15">
      <c r="B2519"/>
      <c r="D2519" t="s">
        <v>733</v>
      </c>
      <c r="H2519" s="654">
        <v>858093</v>
      </c>
      <c r="I2519" s="654">
        <v>-184755</v>
      </c>
      <c r="J2519" s="654">
        <v>673338</v>
      </c>
      <c r="K2519" s="654">
        <v>673338</v>
      </c>
      <c r="L2519" s="654">
        <v>0</v>
      </c>
      <c r="M2519" s="654">
        <v>0</v>
      </c>
      <c r="N2519" s="654">
        <v>0</v>
      </c>
    </row>
    <row r="2520" spans="2:14" x14ac:dyDescent="0.15">
      <c r="B2520"/>
      <c r="D2520" t="s">
        <v>627</v>
      </c>
      <c r="E2520" t="s">
        <v>379</v>
      </c>
      <c r="F2520" t="s">
        <v>626</v>
      </c>
      <c r="G2520" t="s">
        <v>600</v>
      </c>
      <c r="H2520" s="654">
        <v>300026</v>
      </c>
      <c r="I2520" s="654">
        <v>-78718</v>
      </c>
      <c r="J2520" s="654">
        <v>221308</v>
      </c>
      <c r="K2520" s="654">
        <v>221308</v>
      </c>
      <c r="L2520" s="654">
        <v>0</v>
      </c>
      <c r="M2520" s="654">
        <v>0</v>
      </c>
      <c r="N2520" s="654">
        <v>0</v>
      </c>
    </row>
    <row r="2521" spans="2:14" x14ac:dyDescent="0.15">
      <c r="B2521"/>
      <c r="F2521" t="s">
        <v>733</v>
      </c>
      <c r="H2521" s="654">
        <v>300026</v>
      </c>
      <c r="I2521" s="654">
        <v>-78718</v>
      </c>
      <c r="J2521" s="654">
        <v>221308</v>
      </c>
      <c r="K2521" s="654">
        <v>221308</v>
      </c>
      <c r="L2521" s="654">
        <v>0</v>
      </c>
      <c r="M2521" s="654">
        <v>0</v>
      </c>
      <c r="N2521" s="654">
        <v>0</v>
      </c>
    </row>
    <row r="2522" spans="2:14" x14ac:dyDescent="0.15">
      <c r="B2522"/>
      <c r="F2522" t="s">
        <v>627</v>
      </c>
      <c r="G2522" t="s">
        <v>599</v>
      </c>
      <c r="H2522" s="654">
        <v>39740</v>
      </c>
      <c r="I2522" s="654">
        <v>0</v>
      </c>
      <c r="J2522" s="654">
        <v>39740</v>
      </c>
      <c r="K2522" s="654">
        <v>39740</v>
      </c>
      <c r="L2522" s="654">
        <v>0</v>
      </c>
      <c r="M2522" s="654">
        <v>0</v>
      </c>
      <c r="N2522" s="654">
        <v>0</v>
      </c>
    </row>
    <row r="2523" spans="2:14" x14ac:dyDescent="0.15">
      <c r="B2523"/>
      <c r="F2523" t="s">
        <v>734</v>
      </c>
      <c r="H2523" s="654">
        <v>39740</v>
      </c>
      <c r="I2523" s="654">
        <v>0</v>
      </c>
      <c r="J2523" s="654">
        <v>39740</v>
      </c>
      <c r="K2523" s="654">
        <v>39740</v>
      </c>
      <c r="L2523" s="654">
        <v>0</v>
      </c>
      <c r="M2523" s="654">
        <v>0</v>
      </c>
      <c r="N2523" s="654">
        <v>0</v>
      </c>
    </row>
    <row r="2524" spans="2:14" x14ac:dyDescent="0.15">
      <c r="B2524"/>
      <c r="F2524" t="s">
        <v>628</v>
      </c>
      <c r="G2524" t="s">
        <v>598</v>
      </c>
      <c r="H2524" s="654">
        <v>14950</v>
      </c>
      <c r="I2524" s="654">
        <v>0</v>
      </c>
      <c r="J2524" s="654">
        <v>14950</v>
      </c>
      <c r="K2524" s="654">
        <v>14950</v>
      </c>
      <c r="L2524" s="654">
        <v>0</v>
      </c>
      <c r="M2524" s="654">
        <v>0</v>
      </c>
      <c r="N2524" s="654">
        <v>0</v>
      </c>
    </row>
    <row r="2525" spans="2:14" x14ac:dyDescent="0.15">
      <c r="B2525"/>
      <c r="F2525" t="s">
        <v>735</v>
      </c>
      <c r="H2525" s="654">
        <v>14950</v>
      </c>
      <c r="I2525" s="654">
        <v>0</v>
      </c>
      <c r="J2525" s="654">
        <v>14950</v>
      </c>
      <c r="K2525" s="654">
        <v>14950</v>
      </c>
      <c r="L2525" s="654">
        <v>0</v>
      </c>
      <c r="M2525" s="654">
        <v>0</v>
      </c>
      <c r="N2525" s="654">
        <v>0</v>
      </c>
    </row>
    <row r="2526" spans="2:14" x14ac:dyDescent="0.15">
      <c r="B2526"/>
      <c r="E2526" t="s">
        <v>770</v>
      </c>
      <c r="H2526" s="654">
        <v>354716</v>
      </c>
      <c r="I2526" s="654">
        <v>-78718</v>
      </c>
      <c r="J2526" s="654">
        <v>275998</v>
      </c>
      <c r="K2526" s="654">
        <v>275998</v>
      </c>
      <c r="L2526" s="654">
        <v>0</v>
      </c>
      <c r="M2526" s="654">
        <v>0</v>
      </c>
      <c r="N2526" s="654">
        <v>0</v>
      </c>
    </row>
    <row r="2527" spans="2:14" x14ac:dyDescent="0.15">
      <c r="B2527"/>
      <c r="D2527" t="s">
        <v>734</v>
      </c>
      <c r="H2527" s="654">
        <v>354716</v>
      </c>
      <c r="I2527" s="654">
        <v>-78718</v>
      </c>
      <c r="J2527" s="654">
        <v>275998</v>
      </c>
      <c r="K2527" s="654">
        <v>275998</v>
      </c>
      <c r="L2527" s="654">
        <v>0</v>
      </c>
      <c r="M2527" s="654">
        <v>0</v>
      </c>
      <c r="N2527" s="654">
        <v>0</v>
      </c>
    </row>
    <row r="2528" spans="2:14" x14ac:dyDescent="0.15">
      <c r="B2528"/>
      <c r="D2528" t="s">
        <v>628</v>
      </c>
      <c r="E2528" t="s">
        <v>380</v>
      </c>
      <c r="F2528" t="s">
        <v>626</v>
      </c>
      <c r="G2528" t="s">
        <v>600</v>
      </c>
      <c r="H2528" s="654">
        <v>24376</v>
      </c>
      <c r="I2528" s="654">
        <v>0</v>
      </c>
      <c r="J2528" s="654">
        <v>24376</v>
      </c>
      <c r="K2528" s="654">
        <v>24376</v>
      </c>
      <c r="L2528" s="654">
        <v>0</v>
      </c>
      <c r="M2528" s="654">
        <v>0</v>
      </c>
      <c r="N2528" s="654">
        <v>0</v>
      </c>
    </row>
    <row r="2529" spans="2:14" x14ac:dyDescent="0.15">
      <c r="B2529"/>
      <c r="F2529" t="s">
        <v>733</v>
      </c>
      <c r="H2529" s="654">
        <v>24376</v>
      </c>
      <c r="I2529" s="654">
        <v>0</v>
      </c>
      <c r="J2529" s="654">
        <v>24376</v>
      </c>
      <c r="K2529" s="654">
        <v>24376</v>
      </c>
      <c r="L2529" s="654">
        <v>0</v>
      </c>
      <c r="M2529" s="654">
        <v>0</v>
      </c>
      <c r="N2529" s="654">
        <v>0</v>
      </c>
    </row>
    <row r="2530" spans="2:14" x14ac:dyDescent="0.15">
      <c r="B2530"/>
      <c r="F2530" t="s">
        <v>627</v>
      </c>
      <c r="G2530" t="s">
        <v>599</v>
      </c>
      <c r="H2530" s="654">
        <v>0</v>
      </c>
      <c r="I2530" s="654">
        <v>0</v>
      </c>
      <c r="J2530" s="654">
        <v>0</v>
      </c>
      <c r="K2530" s="654">
        <v>0</v>
      </c>
      <c r="L2530" s="654">
        <v>0</v>
      </c>
      <c r="M2530" s="654">
        <v>0</v>
      </c>
      <c r="N2530" s="654">
        <v>0</v>
      </c>
    </row>
    <row r="2531" spans="2:14" x14ac:dyDescent="0.15">
      <c r="B2531"/>
      <c r="F2531" t="s">
        <v>734</v>
      </c>
      <c r="H2531" s="654">
        <v>0</v>
      </c>
      <c r="I2531" s="654">
        <v>0</v>
      </c>
      <c r="J2531" s="654">
        <v>0</v>
      </c>
      <c r="K2531" s="654">
        <v>0</v>
      </c>
      <c r="L2531" s="654">
        <v>0</v>
      </c>
      <c r="M2531" s="654">
        <v>0</v>
      </c>
      <c r="N2531" s="654">
        <v>0</v>
      </c>
    </row>
    <row r="2532" spans="2:14" x14ac:dyDescent="0.15">
      <c r="B2532"/>
      <c r="E2532" t="s">
        <v>771</v>
      </c>
      <c r="H2532" s="654">
        <v>24376</v>
      </c>
      <c r="I2532" s="654">
        <v>0</v>
      </c>
      <c r="J2532" s="654">
        <v>24376</v>
      </c>
      <c r="K2532" s="654">
        <v>24376</v>
      </c>
      <c r="L2532" s="654">
        <v>0</v>
      </c>
      <c r="M2532" s="654">
        <v>0</v>
      </c>
      <c r="N2532" s="654">
        <v>0</v>
      </c>
    </row>
    <row r="2533" spans="2:14" x14ac:dyDescent="0.15">
      <c r="B2533"/>
      <c r="D2533" t="s">
        <v>735</v>
      </c>
      <c r="H2533" s="654">
        <v>24376</v>
      </c>
      <c r="I2533" s="654">
        <v>0</v>
      </c>
      <c r="J2533" s="654">
        <v>24376</v>
      </c>
      <c r="K2533" s="654">
        <v>24376</v>
      </c>
      <c r="L2533" s="654">
        <v>0</v>
      </c>
      <c r="M2533" s="654">
        <v>0</v>
      </c>
      <c r="N2533" s="654">
        <v>0</v>
      </c>
    </row>
    <row r="2534" spans="2:14" x14ac:dyDescent="0.15">
      <c r="B2534"/>
      <c r="D2534" t="s">
        <v>629</v>
      </c>
      <c r="E2534" t="s">
        <v>676</v>
      </c>
      <c r="F2534" t="s">
        <v>629</v>
      </c>
      <c r="G2534" t="s">
        <v>601</v>
      </c>
      <c r="H2534" s="654">
        <v>266075</v>
      </c>
      <c r="I2534" s="654">
        <v>49846</v>
      </c>
      <c r="J2534" s="654">
        <v>315921</v>
      </c>
      <c r="K2534" s="654">
        <v>315921</v>
      </c>
      <c r="L2534" s="654">
        <v>0</v>
      </c>
      <c r="M2534" s="654">
        <v>0</v>
      </c>
      <c r="N2534" s="654">
        <v>0</v>
      </c>
    </row>
    <row r="2535" spans="2:14" x14ac:dyDescent="0.15">
      <c r="B2535"/>
      <c r="F2535" t="s">
        <v>736</v>
      </c>
      <c r="H2535" s="654">
        <v>266075</v>
      </c>
      <c r="I2535" s="654">
        <v>49846</v>
      </c>
      <c r="J2535" s="654">
        <v>315921</v>
      </c>
      <c r="K2535" s="654">
        <v>315921</v>
      </c>
      <c r="L2535" s="654">
        <v>0</v>
      </c>
      <c r="M2535" s="654">
        <v>0</v>
      </c>
      <c r="N2535" s="654">
        <v>0</v>
      </c>
    </row>
    <row r="2536" spans="2:14" x14ac:dyDescent="0.15">
      <c r="B2536"/>
      <c r="E2536" t="s">
        <v>772</v>
      </c>
      <c r="H2536" s="654">
        <v>266075</v>
      </c>
      <c r="I2536" s="654">
        <v>49846</v>
      </c>
      <c r="J2536" s="654">
        <v>315921</v>
      </c>
      <c r="K2536" s="654">
        <v>315921</v>
      </c>
      <c r="L2536" s="654">
        <v>0</v>
      </c>
      <c r="M2536" s="654">
        <v>0</v>
      </c>
      <c r="N2536" s="654">
        <v>0</v>
      </c>
    </row>
    <row r="2537" spans="2:14" x14ac:dyDescent="0.15">
      <c r="B2537"/>
      <c r="D2537" t="s">
        <v>736</v>
      </c>
      <c r="H2537" s="654">
        <v>266075</v>
      </c>
      <c r="I2537" s="654">
        <v>49846</v>
      </c>
      <c r="J2537" s="654">
        <v>315921</v>
      </c>
      <c r="K2537" s="654">
        <v>315921</v>
      </c>
      <c r="L2537" s="654">
        <v>0</v>
      </c>
      <c r="M2537" s="654">
        <v>0</v>
      </c>
      <c r="N2537" s="654">
        <v>0</v>
      </c>
    </row>
    <row r="2538" spans="2:14" x14ac:dyDescent="0.15">
      <c r="B2538"/>
      <c r="D2538" t="s">
        <v>567</v>
      </c>
      <c r="E2538" t="s">
        <v>473</v>
      </c>
      <c r="F2538" t="s">
        <v>631</v>
      </c>
      <c r="G2538" t="s">
        <v>596</v>
      </c>
      <c r="H2538" s="654">
        <v>0</v>
      </c>
      <c r="I2538" s="654">
        <v>0</v>
      </c>
      <c r="J2538" s="654">
        <v>0</v>
      </c>
      <c r="K2538" s="654">
        <v>0</v>
      </c>
      <c r="L2538" s="654">
        <v>0</v>
      </c>
      <c r="M2538" s="654">
        <v>0</v>
      </c>
      <c r="N2538" s="654">
        <v>0</v>
      </c>
    </row>
    <row r="2539" spans="2:14" x14ac:dyDescent="0.15">
      <c r="B2539"/>
      <c r="F2539" t="s">
        <v>737</v>
      </c>
      <c r="H2539" s="654">
        <v>0</v>
      </c>
      <c r="I2539" s="654">
        <v>0</v>
      </c>
      <c r="J2539" s="654">
        <v>0</v>
      </c>
      <c r="K2539" s="654">
        <v>0</v>
      </c>
      <c r="L2539" s="654">
        <v>0</v>
      </c>
      <c r="M2539" s="654">
        <v>0</v>
      </c>
      <c r="N2539" s="654">
        <v>0</v>
      </c>
    </row>
    <row r="2540" spans="2:14" x14ac:dyDescent="0.15">
      <c r="B2540"/>
      <c r="E2540" t="s">
        <v>773</v>
      </c>
      <c r="H2540" s="654">
        <v>0</v>
      </c>
      <c r="I2540" s="654">
        <v>0</v>
      </c>
      <c r="J2540" s="654">
        <v>0</v>
      </c>
      <c r="K2540" s="654">
        <v>0</v>
      </c>
      <c r="L2540" s="654">
        <v>0</v>
      </c>
      <c r="M2540" s="654">
        <v>0</v>
      </c>
      <c r="N2540" s="654">
        <v>0</v>
      </c>
    </row>
    <row r="2541" spans="2:14" x14ac:dyDescent="0.15">
      <c r="B2541"/>
      <c r="D2541" t="s">
        <v>739</v>
      </c>
      <c r="H2541" s="654">
        <v>0</v>
      </c>
      <c r="I2541" s="654">
        <v>0</v>
      </c>
      <c r="J2541" s="654">
        <v>0</v>
      </c>
      <c r="K2541" s="654">
        <v>0</v>
      </c>
      <c r="L2541" s="654">
        <v>0</v>
      </c>
      <c r="M2541" s="654">
        <v>0</v>
      </c>
      <c r="N2541" s="654">
        <v>0</v>
      </c>
    </row>
    <row r="2542" spans="2:14" x14ac:dyDescent="0.15">
      <c r="B2542"/>
      <c r="D2542" t="s">
        <v>568</v>
      </c>
      <c r="E2542" t="s">
        <v>474</v>
      </c>
      <c r="F2542" t="s">
        <v>631</v>
      </c>
      <c r="G2542" t="s">
        <v>596</v>
      </c>
      <c r="H2542" s="654">
        <v>0</v>
      </c>
      <c r="I2542" s="654">
        <v>0</v>
      </c>
      <c r="J2542" s="654">
        <v>0</v>
      </c>
      <c r="K2542" s="654">
        <v>0</v>
      </c>
      <c r="L2542" s="654">
        <v>0</v>
      </c>
      <c r="M2542" s="654">
        <v>0</v>
      </c>
      <c r="N2542" s="654">
        <v>0</v>
      </c>
    </row>
    <row r="2543" spans="2:14" x14ac:dyDescent="0.15">
      <c r="B2543"/>
      <c r="F2543" t="s">
        <v>737</v>
      </c>
      <c r="H2543" s="654">
        <v>0</v>
      </c>
      <c r="I2543" s="654">
        <v>0</v>
      </c>
      <c r="J2543" s="654">
        <v>0</v>
      </c>
      <c r="K2543" s="654">
        <v>0</v>
      </c>
      <c r="L2543" s="654">
        <v>0</v>
      </c>
      <c r="M2543" s="654">
        <v>0</v>
      </c>
      <c r="N2543" s="654">
        <v>0</v>
      </c>
    </row>
    <row r="2544" spans="2:14" x14ac:dyDescent="0.15">
      <c r="B2544"/>
      <c r="E2544" t="s">
        <v>774</v>
      </c>
      <c r="H2544" s="654">
        <v>0</v>
      </c>
      <c r="I2544" s="654">
        <v>0</v>
      </c>
      <c r="J2544" s="654">
        <v>0</v>
      </c>
      <c r="K2544" s="654">
        <v>0</v>
      </c>
      <c r="L2544" s="654">
        <v>0</v>
      </c>
      <c r="M2544" s="654">
        <v>0</v>
      </c>
      <c r="N2544" s="654">
        <v>0</v>
      </c>
    </row>
    <row r="2545" spans="2:14" x14ac:dyDescent="0.15">
      <c r="B2545"/>
      <c r="D2545" t="s">
        <v>740</v>
      </c>
      <c r="H2545" s="654">
        <v>0</v>
      </c>
      <c r="I2545" s="654">
        <v>0</v>
      </c>
      <c r="J2545" s="654">
        <v>0</v>
      </c>
      <c r="K2545" s="654">
        <v>0</v>
      </c>
      <c r="L2545" s="654">
        <v>0</v>
      </c>
      <c r="M2545" s="654">
        <v>0</v>
      </c>
      <c r="N2545" s="654">
        <v>0</v>
      </c>
    </row>
    <row r="2546" spans="2:14" x14ac:dyDescent="0.15">
      <c r="B2546"/>
      <c r="D2546" t="s">
        <v>582</v>
      </c>
      <c r="E2546" t="s">
        <v>384</v>
      </c>
      <c r="F2546" t="s">
        <v>631</v>
      </c>
      <c r="G2546" t="s">
        <v>596</v>
      </c>
      <c r="H2546" s="654">
        <v>0</v>
      </c>
      <c r="I2546" s="654">
        <v>0</v>
      </c>
      <c r="J2546" s="654">
        <v>0</v>
      </c>
      <c r="K2546" s="654">
        <v>0</v>
      </c>
      <c r="L2546" s="654">
        <v>0</v>
      </c>
      <c r="M2546" s="654">
        <v>0</v>
      </c>
      <c r="N2546" s="654">
        <v>0</v>
      </c>
    </row>
    <row r="2547" spans="2:14" x14ac:dyDescent="0.15">
      <c r="B2547"/>
      <c r="F2547" t="s">
        <v>737</v>
      </c>
      <c r="H2547" s="654">
        <v>0</v>
      </c>
      <c r="I2547" s="654">
        <v>0</v>
      </c>
      <c r="J2547" s="654">
        <v>0</v>
      </c>
      <c r="K2547" s="654">
        <v>0</v>
      </c>
      <c r="L2547" s="654">
        <v>0</v>
      </c>
      <c r="M2547" s="654">
        <v>0</v>
      </c>
      <c r="N2547" s="654">
        <v>0</v>
      </c>
    </row>
    <row r="2548" spans="2:14" x14ac:dyDescent="0.15">
      <c r="B2548"/>
      <c r="E2548" t="s">
        <v>778</v>
      </c>
      <c r="H2548" s="654">
        <v>0</v>
      </c>
      <c r="I2548" s="654">
        <v>0</v>
      </c>
      <c r="J2548" s="654">
        <v>0</v>
      </c>
      <c r="K2548" s="654">
        <v>0</v>
      </c>
      <c r="L2548" s="654">
        <v>0</v>
      </c>
      <c r="M2548" s="654">
        <v>0</v>
      </c>
      <c r="N2548" s="654">
        <v>0</v>
      </c>
    </row>
    <row r="2549" spans="2:14" x14ac:dyDescent="0.15">
      <c r="B2549"/>
      <c r="D2549" t="s">
        <v>743</v>
      </c>
      <c r="H2549" s="654">
        <v>0</v>
      </c>
      <c r="I2549" s="654">
        <v>0</v>
      </c>
      <c r="J2549" s="654">
        <v>0</v>
      </c>
      <c r="K2549" s="654">
        <v>0</v>
      </c>
      <c r="L2549" s="654">
        <v>0</v>
      </c>
      <c r="M2549" s="654">
        <v>0</v>
      </c>
      <c r="N2549" s="654">
        <v>0</v>
      </c>
    </row>
    <row r="2550" spans="2:14" x14ac:dyDescent="0.15">
      <c r="B2550"/>
      <c r="D2550" t="s">
        <v>631</v>
      </c>
      <c r="E2550" t="s">
        <v>381</v>
      </c>
      <c r="F2550" t="s">
        <v>626</v>
      </c>
      <c r="G2550" t="s">
        <v>600</v>
      </c>
      <c r="H2550" s="654">
        <v>0</v>
      </c>
      <c r="I2550" s="654">
        <v>0</v>
      </c>
      <c r="J2550" s="654">
        <v>0</v>
      </c>
      <c r="K2550" s="654">
        <v>0</v>
      </c>
      <c r="L2550" s="654">
        <v>0</v>
      </c>
      <c r="M2550" s="654">
        <v>0</v>
      </c>
      <c r="N2550" s="654">
        <v>0</v>
      </c>
    </row>
    <row r="2551" spans="2:14" x14ac:dyDescent="0.15">
      <c r="B2551"/>
      <c r="F2551" t="s">
        <v>733</v>
      </c>
      <c r="H2551" s="654">
        <v>0</v>
      </c>
      <c r="I2551" s="654">
        <v>0</v>
      </c>
      <c r="J2551" s="654">
        <v>0</v>
      </c>
      <c r="K2551" s="654">
        <v>0</v>
      </c>
      <c r="L2551" s="654">
        <v>0</v>
      </c>
      <c r="M2551" s="654">
        <v>0</v>
      </c>
      <c r="N2551" s="654">
        <v>0</v>
      </c>
    </row>
    <row r="2552" spans="2:14" x14ac:dyDescent="0.15">
      <c r="B2552"/>
      <c r="E2552" t="s">
        <v>776</v>
      </c>
      <c r="H2552" s="654">
        <v>0</v>
      </c>
      <c r="I2552" s="654">
        <v>0</v>
      </c>
      <c r="J2552" s="654">
        <v>0</v>
      </c>
      <c r="K2552" s="654">
        <v>0</v>
      </c>
      <c r="L2552" s="654">
        <v>0</v>
      </c>
      <c r="M2552" s="654">
        <v>0</v>
      </c>
      <c r="N2552" s="654">
        <v>0</v>
      </c>
    </row>
    <row r="2553" spans="2:14" x14ac:dyDescent="0.15">
      <c r="B2553"/>
      <c r="D2553" t="s">
        <v>737</v>
      </c>
      <c r="H2553" s="654">
        <v>0</v>
      </c>
      <c r="I2553" s="654">
        <v>0</v>
      </c>
      <c r="J2553" s="654">
        <v>0</v>
      </c>
      <c r="K2553" s="654">
        <v>0</v>
      </c>
      <c r="L2553" s="654">
        <v>0</v>
      </c>
      <c r="M2553" s="654">
        <v>0</v>
      </c>
      <c r="N2553" s="654">
        <v>0</v>
      </c>
    </row>
    <row r="2554" spans="2:14" x14ac:dyDescent="0.15">
      <c r="B2554"/>
      <c r="D2554" t="s">
        <v>671</v>
      </c>
      <c r="E2554" t="s">
        <v>383</v>
      </c>
      <c r="F2554" t="s">
        <v>626</v>
      </c>
      <c r="G2554" t="s">
        <v>600</v>
      </c>
      <c r="H2554" s="654">
        <v>0</v>
      </c>
      <c r="I2554" s="654">
        <v>0</v>
      </c>
      <c r="J2554" s="654">
        <v>0</v>
      </c>
      <c r="K2554" s="654">
        <v>0</v>
      </c>
      <c r="L2554" s="654">
        <v>0</v>
      </c>
      <c r="M2554" s="654">
        <v>0</v>
      </c>
      <c r="N2554" s="654">
        <v>0</v>
      </c>
    </row>
    <row r="2555" spans="2:14" x14ac:dyDescent="0.15">
      <c r="B2555"/>
      <c r="F2555" t="s">
        <v>733</v>
      </c>
      <c r="H2555" s="654">
        <v>0</v>
      </c>
      <c r="I2555" s="654">
        <v>0</v>
      </c>
      <c r="J2555" s="654">
        <v>0</v>
      </c>
      <c r="K2555" s="654">
        <v>0</v>
      </c>
      <c r="L2555" s="654">
        <v>0</v>
      </c>
      <c r="M2555" s="654">
        <v>0</v>
      </c>
      <c r="N2555" s="654">
        <v>0</v>
      </c>
    </row>
    <row r="2556" spans="2:14" x14ac:dyDescent="0.15">
      <c r="B2556"/>
      <c r="F2556" t="s">
        <v>627</v>
      </c>
      <c r="G2556" t="s">
        <v>599</v>
      </c>
      <c r="H2556" s="654">
        <v>0</v>
      </c>
      <c r="I2556" s="654">
        <v>0</v>
      </c>
      <c r="J2556" s="654">
        <v>0</v>
      </c>
      <c r="K2556" s="654">
        <v>0</v>
      </c>
      <c r="L2556" s="654">
        <v>0</v>
      </c>
      <c r="M2556" s="654">
        <v>0</v>
      </c>
      <c r="N2556" s="654">
        <v>0</v>
      </c>
    </row>
    <row r="2557" spans="2:14" x14ac:dyDescent="0.15">
      <c r="B2557"/>
      <c r="F2557" t="s">
        <v>734</v>
      </c>
      <c r="H2557" s="654">
        <v>0</v>
      </c>
      <c r="I2557" s="654">
        <v>0</v>
      </c>
      <c r="J2557" s="654">
        <v>0</v>
      </c>
      <c r="K2557" s="654">
        <v>0</v>
      </c>
      <c r="L2557" s="654">
        <v>0</v>
      </c>
      <c r="M2557" s="654">
        <v>0</v>
      </c>
      <c r="N2557" s="654">
        <v>0</v>
      </c>
    </row>
    <row r="2558" spans="2:14" x14ac:dyDescent="0.15">
      <c r="B2558"/>
      <c r="E2558" t="s">
        <v>777</v>
      </c>
      <c r="H2558" s="654">
        <v>0</v>
      </c>
      <c r="I2558" s="654">
        <v>0</v>
      </c>
      <c r="J2558" s="654">
        <v>0</v>
      </c>
      <c r="K2558" s="654">
        <v>0</v>
      </c>
      <c r="L2558" s="654">
        <v>0</v>
      </c>
      <c r="M2558" s="654">
        <v>0</v>
      </c>
      <c r="N2558" s="654">
        <v>0</v>
      </c>
    </row>
    <row r="2559" spans="2:14" x14ac:dyDescent="0.15">
      <c r="B2559"/>
      <c r="D2559" t="s">
        <v>742</v>
      </c>
      <c r="H2559" s="654">
        <v>0</v>
      </c>
      <c r="I2559" s="654">
        <v>0</v>
      </c>
      <c r="J2559" s="654">
        <v>0</v>
      </c>
      <c r="K2559" s="654">
        <v>0</v>
      </c>
      <c r="L2559" s="654">
        <v>0</v>
      </c>
      <c r="M2559" s="654">
        <v>0</v>
      </c>
      <c r="N2559" s="654">
        <v>0</v>
      </c>
    </row>
    <row r="2560" spans="2:14" x14ac:dyDescent="0.15">
      <c r="B2560"/>
      <c r="D2560" t="s">
        <v>965</v>
      </c>
      <c r="E2560" t="s">
        <v>986</v>
      </c>
      <c r="F2560" t="s">
        <v>626</v>
      </c>
      <c r="G2560" t="s">
        <v>600</v>
      </c>
      <c r="H2560" s="654">
        <v>0</v>
      </c>
      <c r="I2560" s="654">
        <v>2210</v>
      </c>
      <c r="J2560" s="654">
        <v>2210</v>
      </c>
      <c r="K2560" s="654">
        <v>2210</v>
      </c>
      <c r="L2560" s="654">
        <v>0</v>
      </c>
      <c r="M2560" s="654">
        <v>0</v>
      </c>
      <c r="N2560" s="654">
        <v>0</v>
      </c>
    </row>
    <row r="2561" spans="1:14" x14ac:dyDescent="0.15">
      <c r="B2561"/>
      <c r="F2561" t="s">
        <v>733</v>
      </c>
      <c r="H2561" s="654">
        <v>0</v>
      </c>
      <c r="I2561" s="654">
        <v>2210</v>
      </c>
      <c r="J2561" s="654">
        <v>2210</v>
      </c>
      <c r="K2561" s="654">
        <v>2210</v>
      </c>
      <c r="L2561" s="654">
        <v>0</v>
      </c>
      <c r="M2561" s="654">
        <v>0</v>
      </c>
      <c r="N2561" s="654">
        <v>0</v>
      </c>
    </row>
    <row r="2562" spans="1:14" x14ac:dyDescent="0.15">
      <c r="B2562"/>
      <c r="F2562" t="s">
        <v>627</v>
      </c>
      <c r="G2562" t="s">
        <v>599</v>
      </c>
      <c r="H2562" s="654">
        <v>97369</v>
      </c>
      <c r="I2562" s="654">
        <v>0</v>
      </c>
      <c r="J2562" s="654">
        <v>97369</v>
      </c>
      <c r="K2562" s="654">
        <v>97369</v>
      </c>
      <c r="L2562" s="654">
        <v>0</v>
      </c>
      <c r="M2562" s="654">
        <v>0</v>
      </c>
      <c r="N2562" s="654">
        <v>0</v>
      </c>
    </row>
    <row r="2563" spans="1:14" x14ac:dyDescent="0.15">
      <c r="B2563"/>
      <c r="F2563" t="s">
        <v>734</v>
      </c>
      <c r="H2563" s="654">
        <v>97369</v>
      </c>
      <c r="I2563" s="654">
        <v>0</v>
      </c>
      <c r="J2563" s="654">
        <v>97369</v>
      </c>
      <c r="K2563" s="654">
        <v>97369</v>
      </c>
      <c r="L2563" s="654">
        <v>0</v>
      </c>
      <c r="M2563" s="654">
        <v>0</v>
      </c>
      <c r="N2563" s="654">
        <v>0</v>
      </c>
    </row>
    <row r="2564" spans="1:14" x14ac:dyDescent="0.15">
      <c r="B2564"/>
      <c r="E2564" t="s">
        <v>1138</v>
      </c>
      <c r="H2564" s="654">
        <v>97369</v>
      </c>
      <c r="I2564" s="654">
        <v>2210</v>
      </c>
      <c r="J2564" s="654">
        <v>99579</v>
      </c>
      <c r="K2564" s="654">
        <v>99579</v>
      </c>
      <c r="L2564" s="654">
        <v>0</v>
      </c>
      <c r="M2564" s="654">
        <v>0</v>
      </c>
      <c r="N2564" s="654">
        <v>0</v>
      </c>
    </row>
    <row r="2565" spans="1:14" x14ac:dyDescent="0.15">
      <c r="B2565"/>
      <c r="D2565" t="s">
        <v>1139</v>
      </c>
      <c r="H2565" s="654">
        <v>97369</v>
      </c>
      <c r="I2565" s="654">
        <v>2210</v>
      </c>
      <c r="J2565" s="654">
        <v>99579</v>
      </c>
      <c r="K2565" s="654">
        <v>99579</v>
      </c>
      <c r="L2565" s="654">
        <v>0</v>
      </c>
      <c r="M2565" s="654">
        <v>0</v>
      </c>
      <c r="N2565" s="654">
        <v>0</v>
      </c>
    </row>
    <row r="2566" spans="1:14" x14ac:dyDescent="0.15">
      <c r="B2566"/>
      <c r="C2566" t="s">
        <v>854</v>
      </c>
      <c r="H2566" s="654">
        <v>1600629</v>
      </c>
      <c r="I2566" s="654">
        <v>-211417</v>
      </c>
      <c r="J2566" s="654">
        <v>1389212</v>
      </c>
      <c r="K2566" s="654">
        <v>1389212</v>
      </c>
      <c r="L2566" s="654">
        <v>0</v>
      </c>
      <c r="M2566" s="654">
        <v>0</v>
      </c>
      <c r="N2566" s="654">
        <v>0</v>
      </c>
    </row>
    <row r="2567" spans="1:14" x14ac:dyDescent="0.15">
      <c r="A2567" s="653" t="s">
        <v>1332</v>
      </c>
      <c r="B2567"/>
      <c r="H2567" s="654">
        <v>35716438</v>
      </c>
      <c r="I2567" s="654">
        <v>-1339962</v>
      </c>
      <c r="J2567" s="654">
        <v>34376476</v>
      </c>
      <c r="K2567" s="654">
        <v>34376476</v>
      </c>
      <c r="L2567" s="654">
        <v>0</v>
      </c>
      <c r="M2567" s="654">
        <v>1557703</v>
      </c>
      <c r="N2567" s="654">
        <v>3825065</v>
      </c>
    </row>
    <row r="2568" spans="1:14" x14ac:dyDescent="0.15">
      <c r="A2568" s="653">
        <v>43374</v>
      </c>
      <c r="B2568" t="s">
        <v>626</v>
      </c>
      <c r="C2568" t="s">
        <v>849</v>
      </c>
      <c r="D2568" t="s">
        <v>626</v>
      </c>
      <c r="E2568" t="s">
        <v>378</v>
      </c>
      <c r="F2568" t="s">
        <v>626</v>
      </c>
      <c r="G2568" t="s">
        <v>600</v>
      </c>
      <c r="H2568" s="654">
        <v>8979289</v>
      </c>
      <c r="I2568" s="654">
        <v>0</v>
      </c>
      <c r="J2568" s="654">
        <v>8979289</v>
      </c>
      <c r="K2568" s="654">
        <v>8979289</v>
      </c>
      <c r="L2568" s="654">
        <v>0</v>
      </c>
      <c r="M2568" s="654">
        <v>333697</v>
      </c>
      <c r="N2568" s="654">
        <v>1303050</v>
      </c>
    </row>
    <row r="2569" spans="1:14" x14ac:dyDescent="0.15">
      <c r="B2569"/>
      <c r="F2569" t="s">
        <v>733</v>
      </c>
      <c r="H2569" s="654">
        <v>8979289</v>
      </c>
      <c r="I2569" s="654">
        <v>0</v>
      </c>
      <c r="J2569" s="654">
        <v>8979289</v>
      </c>
      <c r="K2569" s="654">
        <v>8979289</v>
      </c>
      <c r="L2569" s="654">
        <v>0</v>
      </c>
      <c r="M2569" s="654">
        <v>333697</v>
      </c>
      <c r="N2569" s="654">
        <v>1303050</v>
      </c>
    </row>
    <row r="2570" spans="1:14" x14ac:dyDescent="0.15">
      <c r="B2570"/>
      <c r="F2570" t="s">
        <v>627</v>
      </c>
      <c r="G2570" t="s">
        <v>599</v>
      </c>
      <c r="H2570" s="654">
        <v>1856180</v>
      </c>
      <c r="I2570" s="654">
        <v>-536942</v>
      </c>
      <c r="J2570" s="654">
        <v>1319238</v>
      </c>
      <c r="K2570" s="654">
        <v>1319238</v>
      </c>
      <c r="L2570" s="654">
        <v>0</v>
      </c>
      <c r="M2570" s="654">
        <v>42442</v>
      </c>
      <c r="N2570" s="654">
        <v>360476</v>
      </c>
    </row>
    <row r="2571" spans="1:14" x14ac:dyDescent="0.15">
      <c r="B2571"/>
      <c r="F2571" t="s">
        <v>734</v>
      </c>
      <c r="H2571" s="654">
        <v>1856180</v>
      </c>
      <c r="I2571" s="654">
        <v>-536942</v>
      </c>
      <c r="J2571" s="654">
        <v>1319238</v>
      </c>
      <c r="K2571" s="654">
        <v>1319238</v>
      </c>
      <c r="L2571" s="654">
        <v>0</v>
      </c>
      <c r="M2571" s="654">
        <v>42442</v>
      </c>
      <c r="N2571" s="654">
        <v>360476</v>
      </c>
    </row>
    <row r="2572" spans="1:14" x14ac:dyDescent="0.15">
      <c r="B2572"/>
      <c r="F2572" t="s">
        <v>628</v>
      </c>
      <c r="G2572" t="s">
        <v>598</v>
      </c>
      <c r="H2572" s="654">
        <v>687762</v>
      </c>
      <c r="I2572" s="654">
        <v>0</v>
      </c>
      <c r="J2572" s="654">
        <v>687762</v>
      </c>
      <c r="K2572" s="654">
        <v>687762</v>
      </c>
      <c r="L2572" s="654">
        <v>0</v>
      </c>
      <c r="M2572" s="654">
        <v>0</v>
      </c>
      <c r="N2572" s="654">
        <v>0</v>
      </c>
    </row>
    <row r="2573" spans="1:14" x14ac:dyDescent="0.15">
      <c r="B2573"/>
      <c r="F2573" t="s">
        <v>735</v>
      </c>
      <c r="H2573" s="654">
        <v>687762</v>
      </c>
      <c r="I2573" s="654">
        <v>0</v>
      </c>
      <c r="J2573" s="654">
        <v>687762</v>
      </c>
      <c r="K2573" s="654">
        <v>687762</v>
      </c>
      <c r="L2573" s="654">
        <v>0</v>
      </c>
      <c r="M2573" s="654">
        <v>0</v>
      </c>
      <c r="N2573" s="654">
        <v>0</v>
      </c>
    </row>
    <row r="2574" spans="1:14" x14ac:dyDescent="0.15">
      <c r="B2574"/>
      <c r="E2574" t="s">
        <v>769</v>
      </c>
      <c r="H2574" s="654">
        <v>11523231</v>
      </c>
      <c r="I2574" s="654">
        <v>-536942</v>
      </c>
      <c r="J2574" s="654">
        <v>10986289</v>
      </c>
      <c r="K2574" s="654">
        <v>10986289</v>
      </c>
      <c r="L2574" s="654">
        <v>0</v>
      </c>
      <c r="M2574" s="654">
        <v>376139</v>
      </c>
      <c r="N2574" s="654">
        <v>1663526</v>
      </c>
    </row>
    <row r="2575" spans="1:14" x14ac:dyDescent="0.15">
      <c r="B2575"/>
      <c r="D2575" t="s">
        <v>733</v>
      </c>
      <c r="H2575" s="654">
        <v>11523231</v>
      </c>
      <c r="I2575" s="654">
        <v>-536942</v>
      </c>
      <c r="J2575" s="654">
        <v>10986289</v>
      </c>
      <c r="K2575" s="654">
        <v>10986289</v>
      </c>
      <c r="L2575" s="654">
        <v>0</v>
      </c>
      <c r="M2575" s="654">
        <v>376139</v>
      </c>
      <c r="N2575" s="654">
        <v>1663526</v>
      </c>
    </row>
    <row r="2576" spans="1:14" x14ac:dyDescent="0.15">
      <c r="B2576"/>
      <c r="D2576" t="s">
        <v>627</v>
      </c>
      <c r="E2576" t="s">
        <v>379</v>
      </c>
      <c r="F2576" t="s">
        <v>626</v>
      </c>
      <c r="G2576" t="s">
        <v>600</v>
      </c>
      <c r="H2576" s="654">
        <v>4920936</v>
      </c>
      <c r="I2576" s="654">
        <v>-28497</v>
      </c>
      <c r="J2576" s="654">
        <v>4892439</v>
      </c>
      <c r="K2576" s="654">
        <v>4892439</v>
      </c>
      <c r="L2576" s="654">
        <v>0</v>
      </c>
      <c r="M2576" s="654">
        <v>0</v>
      </c>
      <c r="N2576" s="654">
        <v>567983</v>
      </c>
    </row>
    <row r="2577" spans="2:14" x14ac:dyDescent="0.15">
      <c r="B2577"/>
      <c r="F2577" t="s">
        <v>733</v>
      </c>
      <c r="H2577" s="654">
        <v>4920936</v>
      </c>
      <c r="I2577" s="654">
        <v>-28497</v>
      </c>
      <c r="J2577" s="654">
        <v>4892439</v>
      </c>
      <c r="K2577" s="654">
        <v>4892439</v>
      </c>
      <c r="L2577" s="654">
        <v>0</v>
      </c>
      <c r="M2577" s="654">
        <v>0</v>
      </c>
      <c r="N2577" s="654">
        <v>567983</v>
      </c>
    </row>
    <row r="2578" spans="2:14" x14ac:dyDescent="0.15">
      <c r="B2578"/>
      <c r="F2578" t="s">
        <v>627</v>
      </c>
      <c r="G2578" t="s">
        <v>599</v>
      </c>
      <c r="H2578" s="654">
        <v>1525581</v>
      </c>
      <c r="I2578" s="654">
        <v>-371613</v>
      </c>
      <c r="J2578" s="654">
        <v>1153968</v>
      </c>
      <c r="K2578" s="654">
        <v>1153968</v>
      </c>
      <c r="L2578" s="654">
        <v>0</v>
      </c>
      <c r="M2578" s="654">
        <v>55307</v>
      </c>
      <c r="N2578" s="654">
        <v>323954</v>
      </c>
    </row>
    <row r="2579" spans="2:14" x14ac:dyDescent="0.15">
      <c r="B2579"/>
      <c r="F2579" t="s">
        <v>734</v>
      </c>
      <c r="H2579" s="654">
        <v>1525581</v>
      </c>
      <c r="I2579" s="654">
        <v>-371613</v>
      </c>
      <c r="J2579" s="654">
        <v>1153968</v>
      </c>
      <c r="K2579" s="654">
        <v>1153968</v>
      </c>
      <c r="L2579" s="654">
        <v>0</v>
      </c>
      <c r="M2579" s="654">
        <v>55307</v>
      </c>
      <c r="N2579" s="654">
        <v>323954</v>
      </c>
    </row>
    <row r="2580" spans="2:14" x14ac:dyDescent="0.15">
      <c r="B2580"/>
      <c r="F2580" t="s">
        <v>628</v>
      </c>
      <c r="G2580" t="s">
        <v>598</v>
      </c>
      <c r="H2580" s="654">
        <v>530963</v>
      </c>
      <c r="I2580" s="654">
        <v>0</v>
      </c>
      <c r="J2580" s="654">
        <v>530963</v>
      </c>
      <c r="K2580" s="654">
        <v>530963</v>
      </c>
      <c r="L2580" s="654">
        <v>0</v>
      </c>
      <c r="M2580" s="654">
        <v>0</v>
      </c>
      <c r="N2580" s="654">
        <v>0</v>
      </c>
    </row>
    <row r="2581" spans="2:14" x14ac:dyDescent="0.15">
      <c r="B2581"/>
      <c r="F2581" t="s">
        <v>735</v>
      </c>
      <c r="H2581" s="654">
        <v>530963</v>
      </c>
      <c r="I2581" s="654">
        <v>0</v>
      </c>
      <c r="J2581" s="654">
        <v>530963</v>
      </c>
      <c r="K2581" s="654">
        <v>530963</v>
      </c>
      <c r="L2581" s="654">
        <v>0</v>
      </c>
      <c r="M2581" s="654">
        <v>0</v>
      </c>
      <c r="N2581" s="654">
        <v>0</v>
      </c>
    </row>
    <row r="2582" spans="2:14" x14ac:dyDescent="0.15">
      <c r="B2582"/>
      <c r="E2582" t="s">
        <v>770</v>
      </c>
      <c r="H2582" s="654">
        <v>6977480</v>
      </c>
      <c r="I2582" s="654">
        <v>-400110</v>
      </c>
      <c r="J2582" s="654">
        <v>6577370</v>
      </c>
      <c r="K2582" s="654">
        <v>6577370</v>
      </c>
      <c r="L2582" s="654">
        <v>0</v>
      </c>
      <c r="M2582" s="654">
        <v>55307</v>
      </c>
      <c r="N2582" s="654">
        <v>891937</v>
      </c>
    </row>
    <row r="2583" spans="2:14" x14ac:dyDescent="0.15">
      <c r="B2583"/>
      <c r="D2583" t="s">
        <v>734</v>
      </c>
      <c r="H2583" s="654">
        <v>6977480</v>
      </c>
      <c r="I2583" s="654">
        <v>-400110</v>
      </c>
      <c r="J2583" s="654">
        <v>6577370</v>
      </c>
      <c r="K2583" s="654">
        <v>6577370</v>
      </c>
      <c r="L2583" s="654">
        <v>0</v>
      </c>
      <c r="M2583" s="654">
        <v>55307</v>
      </c>
      <c r="N2583" s="654">
        <v>891937</v>
      </c>
    </row>
    <row r="2584" spans="2:14" x14ac:dyDescent="0.15">
      <c r="B2584"/>
      <c r="D2584" t="s">
        <v>628</v>
      </c>
      <c r="E2584" t="s">
        <v>380</v>
      </c>
      <c r="F2584" t="s">
        <v>626</v>
      </c>
      <c r="G2584" t="s">
        <v>600</v>
      </c>
      <c r="H2584" s="654">
        <v>4963639</v>
      </c>
      <c r="I2584" s="654">
        <v>0</v>
      </c>
      <c r="J2584" s="654">
        <v>4963639</v>
      </c>
      <c r="K2584" s="654">
        <v>4963639</v>
      </c>
      <c r="L2584" s="654">
        <v>0</v>
      </c>
      <c r="M2584" s="654">
        <v>425856</v>
      </c>
      <c r="N2584" s="654">
        <v>520929</v>
      </c>
    </row>
    <row r="2585" spans="2:14" x14ac:dyDescent="0.15">
      <c r="B2585"/>
      <c r="F2585" t="s">
        <v>733</v>
      </c>
      <c r="H2585" s="654">
        <v>4963639</v>
      </c>
      <c r="I2585" s="654">
        <v>0</v>
      </c>
      <c r="J2585" s="654">
        <v>4963639</v>
      </c>
      <c r="K2585" s="654">
        <v>4963639</v>
      </c>
      <c r="L2585" s="654">
        <v>0</v>
      </c>
      <c r="M2585" s="654">
        <v>425856</v>
      </c>
      <c r="N2585" s="654">
        <v>520929</v>
      </c>
    </row>
    <row r="2586" spans="2:14" x14ac:dyDescent="0.15">
      <c r="B2586"/>
      <c r="F2586" t="s">
        <v>627</v>
      </c>
      <c r="G2586" t="s">
        <v>599</v>
      </c>
      <c r="H2586" s="654">
        <v>1992855</v>
      </c>
      <c r="I2586" s="654">
        <v>-115768</v>
      </c>
      <c r="J2586" s="654">
        <v>1877087</v>
      </c>
      <c r="K2586" s="654">
        <v>1877087</v>
      </c>
      <c r="L2586" s="654">
        <v>0</v>
      </c>
      <c r="M2586" s="654">
        <v>0</v>
      </c>
      <c r="N2586" s="654">
        <v>436467</v>
      </c>
    </row>
    <row r="2587" spans="2:14" x14ac:dyDescent="0.15">
      <c r="B2587"/>
      <c r="F2587" t="s">
        <v>734</v>
      </c>
      <c r="H2587" s="654">
        <v>1992855</v>
      </c>
      <c r="I2587" s="654">
        <v>-115768</v>
      </c>
      <c r="J2587" s="654">
        <v>1877087</v>
      </c>
      <c r="K2587" s="654">
        <v>1877087</v>
      </c>
      <c r="L2587" s="654">
        <v>0</v>
      </c>
      <c r="M2587" s="654">
        <v>0</v>
      </c>
      <c r="N2587" s="654">
        <v>436467</v>
      </c>
    </row>
    <row r="2588" spans="2:14" x14ac:dyDescent="0.15">
      <c r="B2588"/>
      <c r="E2588" t="s">
        <v>771</v>
      </c>
      <c r="H2588" s="654">
        <v>6956494</v>
      </c>
      <c r="I2588" s="654">
        <v>-115768</v>
      </c>
      <c r="J2588" s="654">
        <v>6840726</v>
      </c>
      <c r="K2588" s="654">
        <v>6840726</v>
      </c>
      <c r="L2588" s="654">
        <v>0</v>
      </c>
      <c r="M2588" s="654">
        <v>425856</v>
      </c>
      <c r="N2588" s="654">
        <v>957396</v>
      </c>
    </row>
    <row r="2589" spans="2:14" x14ac:dyDescent="0.15">
      <c r="B2589"/>
      <c r="D2589" t="s">
        <v>735</v>
      </c>
      <c r="H2589" s="654">
        <v>6956494</v>
      </c>
      <c r="I2589" s="654">
        <v>-115768</v>
      </c>
      <c r="J2589" s="654">
        <v>6840726</v>
      </c>
      <c r="K2589" s="654">
        <v>6840726</v>
      </c>
      <c r="L2589" s="654">
        <v>0</v>
      </c>
      <c r="M2589" s="654">
        <v>425856</v>
      </c>
      <c r="N2589" s="654">
        <v>957396</v>
      </c>
    </row>
    <row r="2590" spans="2:14" x14ac:dyDescent="0.15">
      <c r="B2590"/>
      <c r="D2590" t="s">
        <v>629</v>
      </c>
      <c r="E2590" t="s">
        <v>676</v>
      </c>
      <c r="F2590" t="s">
        <v>629</v>
      </c>
      <c r="G2590" t="s">
        <v>601</v>
      </c>
      <c r="H2590" s="654">
        <v>4207155</v>
      </c>
      <c r="I2590" s="654">
        <v>-132809</v>
      </c>
      <c r="J2590" s="654">
        <v>4074346</v>
      </c>
      <c r="K2590" s="654">
        <v>4074346</v>
      </c>
      <c r="L2590" s="654">
        <v>0</v>
      </c>
      <c r="M2590" s="654">
        <v>0</v>
      </c>
      <c r="N2590" s="654">
        <v>234125</v>
      </c>
    </row>
    <row r="2591" spans="2:14" x14ac:dyDescent="0.15">
      <c r="B2591"/>
      <c r="F2591" t="s">
        <v>736</v>
      </c>
      <c r="H2591" s="654">
        <v>4207155</v>
      </c>
      <c r="I2591" s="654">
        <v>-132809</v>
      </c>
      <c r="J2591" s="654">
        <v>4074346</v>
      </c>
      <c r="K2591" s="654">
        <v>4074346</v>
      </c>
      <c r="L2591" s="654">
        <v>0</v>
      </c>
      <c r="M2591" s="654">
        <v>0</v>
      </c>
      <c r="N2591" s="654">
        <v>234125</v>
      </c>
    </row>
    <row r="2592" spans="2:14" x14ac:dyDescent="0.15">
      <c r="B2592"/>
      <c r="E2592" t="s">
        <v>772</v>
      </c>
      <c r="H2592" s="654">
        <v>4207155</v>
      </c>
      <c r="I2592" s="654">
        <v>-132809</v>
      </c>
      <c r="J2592" s="654">
        <v>4074346</v>
      </c>
      <c r="K2592" s="654">
        <v>4074346</v>
      </c>
      <c r="L2592" s="654">
        <v>0</v>
      </c>
      <c r="M2592" s="654">
        <v>0</v>
      </c>
      <c r="N2592" s="654">
        <v>234125</v>
      </c>
    </row>
    <row r="2593" spans="2:14" x14ac:dyDescent="0.15">
      <c r="B2593"/>
      <c r="D2593" t="s">
        <v>736</v>
      </c>
      <c r="H2593" s="654">
        <v>4207155</v>
      </c>
      <c r="I2593" s="654">
        <v>-132809</v>
      </c>
      <c r="J2593" s="654">
        <v>4074346</v>
      </c>
      <c r="K2593" s="654">
        <v>4074346</v>
      </c>
      <c r="L2593" s="654">
        <v>0</v>
      </c>
      <c r="M2593" s="654">
        <v>0</v>
      </c>
      <c r="N2593" s="654">
        <v>234125</v>
      </c>
    </row>
    <row r="2594" spans="2:14" x14ac:dyDescent="0.15">
      <c r="B2594"/>
      <c r="D2594" t="s">
        <v>567</v>
      </c>
      <c r="E2594" t="s">
        <v>473</v>
      </c>
      <c r="F2594" t="s">
        <v>631</v>
      </c>
      <c r="G2594" t="s">
        <v>596</v>
      </c>
      <c r="H2594" s="654">
        <v>1101110</v>
      </c>
      <c r="I2594" s="654">
        <v>0</v>
      </c>
      <c r="J2594" s="654">
        <v>1101110</v>
      </c>
      <c r="K2594" s="654">
        <v>1101110</v>
      </c>
      <c r="L2594" s="654">
        <v>0</v>
      </c>
      <c r="M2594" s="654">
        <v>0</v>
      </c>
      <c r="N2594" s="654">
        <v>306754</v>
      </c>
    </row>
    <row r="2595" spans="2:14" x14ac:dyDescent="0.15">
      <c r="B2595"/>
      <c r="F2595" t="s">
        <v>737</v>
      </c>
      <c r="H2595" s="654">
        <v>1101110</v>
      </c>
      <c r="I2595" s="654">
        <v>0</v>
      </c>
      <c r="J2595" s="654">
        <v>1101110</v>
      </c>
      <c r="K2595" s="654">
        <v>1101110</v>
      </c>
      <c r="L2595" s="654">
        <v>0</v>
      </c>
      <c r="M2595" s="654">
        <v>0</v>
      </c>
      <c r="N2595" s="654">
        <v>306754</v>
      </c>
    </row>
    <row r="2596" spans="2:14" x14ac:dyDescent="0.15">
      <c r="B2596"/>
      <c r="E2596" t="s">
        <v>773</v>
      </c>
      <c r="H2596" s="654">
        <v>1101110</v>
      </c>
      <c r="I2596" s="654">
        <v>0</v>
      </c>
      <c r="J2596" s="654">
        <v>1101110</v>
      </c>
      <c r="K2596" s="654">
        <v>1101110</v>
      </c>
      <c r="L2596" s="654">
        <v>0</v>
      </c>
      <c r="M2596" s="654">
        <v>0</v>
      </c>
      <c r="N2596" s="654">
        <v>306754</v>
      </c>
    </row>
    <row r="2597" spans="2:14" x14ac:dyDescent="0.15">
      <c r="B2597"/>
      <c r="D2597" t="s">
        <v>739</v>
      </c>
      <c r="H2597" s="654">
        <v>1101110</v>
      </c>
      <c r="I2597" s="654">
        <v>0</v>
      </c>
      <c r="J2597" s="654">
        <v>1101110</v>
      </c>
      <c r="K2597" s="654">
        <v>1101110</v>
      </c>
      <c r="L2597" s="654">
        <v>0</v>
      </c>
      <c r="M2597" s="654">
        <v>0</v>
      </c>
      <c r="N2597" s="654">
        <v>306754</v>
      </c>
    </row>
    <row r="2598" spans="2:14" x14ac:dyDescent="0.15">
      <c r="B2598"/>
      <c r="D2598" t="s">
        <v>568</v>
      </c>
      <c r="E2598" t="s">
        <v>474</v>
      </c>
      <c r="F2598" t="s">
        <v>631</v>
      </c>
      <c r="G2598" t="s">
        <v>596</v>
      </c>
      <c r="H2598" s="654">
        <v>1019657</v>
      </c>
      <c r="I2598" s="654">
        <v>0</v>
      </c>
      <c r="J2598" s="654">
        <v>1019657</v>
      </c>
      <c r="K2598" s="654">
        <v>1019657</v>
      </c>
      <c r="L2598" s="654">
        <v>0</v>
      </c>
      <c r="M2598" s="654">
        <v>0</v>
      </c>
      <c r="N2598" s="654">
        <v>0</v>
      </c>
    </row>
    <row r="2599" spans="2:14" x14ac:dyDescent="0.15">
      <c r="B2599"/>
      <c r="F2599" t="s">
        <v>737</v>
      </c>
      <c r="H2599" s="654">
        <v>1019657</v>
      </c>
      <c r="I2599" s="654">
        <v>0</v>
      </c>
      <c r="J2599" s="654">
        <v>1019657</v>
      </c>
      <c r="K2599" s="654">
        <v>1019657</v>
      </c>
      <c r="L2599" s="654">
        <v>0</v>
      </c>
      <c r="M2599" s="654">
        <v>0</v>
      </c>
      <c r="N2599" s="654">
        <v>0</v>
      </c>
    </row>
    <row r="2600" spans="2:14" x14ac:dyDescent="0.15">
      <c r="B2600"/>
      <c r="E2600" t="s">
        <v>774</v>
      </c>
      <c r="H2600" s="654">
        <v>1019657</v>
      </c>
      <c r="I2600" s="654">
        <v>0</v>
      </c>
      <c r="J2600" s="654">
        <v>1019657</v>
      </c>
      <c r="K2600" s="654">
        <v>1019657</v>
      </c>
      <c r="L2600" s="654">
        <v>0</v>
      </c>
      <c r="M2600" s="654">
        <v>0</v>
      </c>
      <c r="N2600" s="654">
        <v>0</v>
      </c>
    </row>
    <row r="2601" spans="2:14" x14ac:dyDescent="0.15">
      <c r="B2601"/>
      <c r="D2601" t="s">
        <v>740</v>
      </c>
      <c r="H2601" s="654">
        <v>1019657</v>
      </c>
      <c r="I2601" s="654">
        <v>0</v>
      </c>
      <c r="J2601" s="654">
        <v>1019657</v>
      </c>
      <c r="K2601" s="654">
        <v>1019657</v>
      </c>
      <c r="L2601" s="654">
        <v>0</v>
      </c>
      <c r="M2601" s="654">
        <v>0</v>
      </c>
      <c r="N2601" s="654">
        <v>0</v>
      </c>
    </row>
    <row r="2602" spans="2:14" x14ac:dyDescent="0.15">
      <c r="B2602"/>
      <c r="D2602" t="s">
        <v>582</v>
      </c>
      <c r="E2602" t="s">
        <v>384</v>
      </c>
      <c r="F2602" t="s">
        <v>631</v>
      </c>
      <c r="G2602" t="s">
        <v>596</v>
      </c>
      <c r="H2602" s="654">
        <v>2500912</v>
      </c>
      <c r="I2602" s="654">
        <v>0</v>
      </c>
      <c r="J2602" s="654">
        <v>2500912</v>
      </c>
      <c r="K2602" s="654">
        <v>2500912</v>
      </c>
      <c r="L2602" s="654">
        <v>0</v>
      </c>
      <c r="M2602" s="654">
        <v>0</v>
      </c>
      <c r="N2602" s="654">
        <v>0</v>
      </c>
    </row>
    <row r="2603" spans="2:14" x14ac:dyDescent="0.15">
      <c r="B2603"/>
      <c r="F2603" t="s">
        <v>737</v>
      </c>
      <c r="H2603" s="654">
        <v>2500912</v>
      </c>
      <c r="I2603" s="654">
        <v>0</v>
      </c>
      <c r="J2603" s="654">
        <v>2500912</v>
      </c>
      <c r="K2603" s="654">
        <v>2500912</v>
      </c>
      <c r="L2603" s="654">
        <v>0</v>
      </c>
      <c r="M2603" s="654">
        <v>0</v>
      </c>
      <c r="N2603" s="654">
        <v>0</v>
      </c>
    </row>
    <row r="2604" spans="2:14" x14ac:dyDescent="0.15">
      <c r="B2604"/>
      <c r="E2604" t="s">
        <v>778</v>
      </c>
      <c r="H2604" s="654">
        <v>2500912</v>
      </c>
      <c r="I2604" s="654">
        <v>0</v>
      </c>
      <c r="J2604" s="654">
        <v>2500912</v>
      </c>
      <c r="K2604" s="654">
        <v>2500912</v>
      </c>
      <c r="L2604" s="654">
        <v>0</v>
      </c>
      <c r="M2604" s="654">
        <v>0</v>
      </c>
      <c r="N2604" s="654">
        <v>0</v>
      </c>
    </row>
    <row r="2605" spans="2:14" x14ac:dyDescent="0.15">
      <c r="B2605"/>
      <c r="D2605" t="s">
        <v>743</v>
      </c>
      <c r="H2605" s="654">
        <v>2500912</v>
      </c>
      <c r="I2605" s="654">
        <v>0</v>
      </c>
      <c r="J2605" s="654">
        <v>2500912</v>
      </c>
      <c r="K2605" s="654">
        <v>2500912</v>
      </c>
      <c r="L2605" s="654">
        <v>0</v>
      </c>
      <c r="M2605" s="654">
        <v>0</v>
      </c>
      <c r="N2605" s="654">
        <v>0</v>
      </c>
    </row>
    <row r="2606" spans="2:14" x14ac:dyDescent="0.15">
      <c r="B2606"/>
      <c r="D2606" t="s">
        <v>631</v>
      </c>
      <c r="E2606" t="s">
        <v>381</v>
      </c>
      <c r="F2606" t="s">
        <v>626</v>
      </c>
      <c r="G2606" t="s">
        <v>600</v>
      </c>
      <c r="H2606" s="654">
        <v>1489051</v>
      </c>
      <c r="I2606" s="654">
        <v>0</v>
      </c>
      <c r="J2606" s="654">
        <v>1489051</v>
      </c>
      <c r="K2606" s="654">
        <v>1489051</v>
      </c>
      <c r="L2606" s="654">
        <v>0</v>
      </c>
      <c r="M2606" s="654">
        <v>190845</v>
      </c>
      <c r="N2606" s="654">
        <v>0</v>
      </c>
    </row>
    <row r="2607" spans="2:14" x14ac:dyDescent="0.15">
      <c r="B2607"/>
      <c r="F2607" t="s">
        <v>733</v>
      </c>
      <c r="H2607" s="654">
        <v>1489051</v>
      </c>
      <c r="I2607" s="654">
        <v>0</v>
      </c>
      <c r="J2607" s="654">
        <v>1489051</v>
      </c>
      <c r="K2607" s="654">
        <v>1489051</v>
      </c>
      <c r="L2607" s="654">
        <v>0</v>
      </c>
      <c r="M2607" s="654">
        <v>190845</v>
      </c>
      <c r="N2607" s="654">
        <v>0</v>
      </c>
    </row>
    <row r="2608" spans="2:14" x14ac:dyDescent="0.15">
      <c r="B2608"/>
      <c r="E2608" t="s">
        <v>776</v>
      </c>
      <c r="H2608" s="654">
        <v>1489051</v>
      </c>
      <c r="I2608" s="654">
        <v>0</v>
      </c>
      <c r="J2608" s="654">
        <v>1489051</v>
      </c>
      <c r="K2608" s="654">
        <v>1489051</v>
      </c>
      <c r="L2608" s="654">
        <v>0</v>
      </c>
      <c r="M2608" s="654">
        <v>190845</v>
      </c>
      <c r="N2608" s="654">
        <v>0</v>
      </c>
    </row>
    <row r="2609" spans="2:14" x14ac:dyDescent="0.15">
      <c r="B2609"/>
      <c r="D2609" t="s">
        <v>737</v>
      </c>
      <c r="H2609" s="654">
        <v>1489051</v>
      </c>
      <c r="I2609" s="654">
        <v>0</v>
      </c>
      <c r="J2609" s="654">
        <v>1489051</v>
      </c>
      <c r="K2609" s="654">
        <v>1489051</v>
      </c>
      <c r="L2609" s="654">
        <v>0</v>
      </c>
      <c r="M2609" s="654">
        <v>190845</v>
      </c>
      <c r="N2609" s="654">
        <v>0</v>
      </c>
    </row>
    <row r="2610" spans="2:14" x14ac:dyDescent="0.15">
      <c r="B2610"/>
      <c r="D2610" t="s">
        <v>965</v>
      </c>
      <c r="E2610" t="s">
        <v>986</v>
      </c>
      <c r="F2610" t="s">
        <v>626</v>
      </c>
      <c r="G2610" t="s">
        <v>600</v>
      </c>
      <c r="H2610" s="654">
        <v>1450129</v>
      </c>
      <c r="I2610" s="654">
        <v>-268636</v>
      </c>
      <c r="J2610" s="654">
        <v>1181493</v>
      </c>
      <c r="K2610" s="654">
        <v>1181493</v>
      </c>
      <c r="L2610" s="654">
        <v>0</v>
      </c>
      <c r="M2610" s="654">
        <v>23350</v>
      </c>
      <c r="N2610" s="654">
        <v>0</v>
      </c>
    </row>
    <row r="2611" spans="2:14" x14ac:dyDescent="0.15">
      <c r="B2611"/>
      <c r="F2611" t="s">
        <v>733</v>
      </c>
      <c r="H2611" s="654">
        <v>1450129</v>
      </c>
      <c r="I2611" s="654">
        <v>-268636</v>
      </c>
      <c r="J2611" s="654">
        <v>1181493</v>
      </c>
      <c r="K2611" s="654">
        <v>1181493</v>
      </c>
      <c r="L2611" s="654">
        <v>0</v>
      </c>
      <c r="M2611" s="654">
        <v>23350</v>
      </c>
      <c r="N2611" s="654">
        <v>0</v>
      </c>
    </row>
    <row r="2612" spans="2:14" x14ac:dyDescent="0.15">
      <c r="B2612"/>
      <c r="F2612" t="s">
        <v>627</v>
      </c>
      <c r="G2612" t="s">
        <v>599</v>
      </c>
      <c r="H2612" s="654">
        <v>208231</v>
      </c>
      <c r="I2612" s="654">
        <v>-102731</v>
      </c>
      <c r="J2612" s="654">
        <v>105500</v>
      </c>
      <c r="K2612" s="654">
        <v>105500</v>
      </c>
      <c r="L2612" s="654">
        <v>0</v>
      </c>
      <c r="M2612" s="654">
        <v>0</v>
      </c>
      <c r="N2612" s="654">
        <v>21396</v>
      </c>
    </row>
    <row r="2613" spans="2:14" x14ac:dyDescent="0.15">
      <c r="B2613"/>
      <c r="F2613" t="s">
        <v>734</v>
      </c>
      <c r="H2613" s="654">
        <v>208231</v>
      </c>
      <c r="I2613" s="654">
        <v>-102731</v>
      </c>
      <c r="J2613" s="654">
        <v>105500</v>
      </c>
      <c r="K2613" s="654">
        <v>105500</v>
      </c>
      <c r="L2613" s="654">
        <v>0</v>
      </c>
      <c r="M2613" s="654">
        <v>0</v>
      </c>
      <c r="N2613" s="654">
        <v>21396</v>
      </c>
    </row>
    <row r="2614" spans="2:14" x14ac:dyDescent="0.15">
      <c r="B2614"/>
      <c r="E2614" t="s">
        <v>1138</v>
      </c>
      <c r="H2614" s="654">
        <v>1658360</v>
      </c>
      <c r="I2614" s="654">
        <v>-371367</v>
      </c>
      <c r="J2614" s="654">
        <v>1286993</v>
      </c>
      <c r="K2614" s="654">
        <v>1286993</v>
      </c>
      <c r="L2614" s="654">
        <v>0</v>
      </c>
      <c r="M2614" s="654">
        <v>23350</v>
      </c>
      <c r="N2614" s="654">
        <v>21396</v>
      </c>
    </row>
    <row r="2615" spans="2:14" x14ac:dyDescent="0.15">
      <c r="B2615"/>
      <c r="D2615" t="s">
        <v>1139</v>
      </c>
      <c r="H2615" s="654">
        <v>1658360</v>
      </c>
      <c r="I2615" s="654">
        <v>-371367</v>
      </c>
      <c r="J2615" s="654">
        <v>1286993</v>
      </c>
      <c r="K2615" s="654">
        <v>1286993</v>
      </c>
      <c r="L2615" s="654">
        <v>0</v>
      </c>
      <c r="M2615" s="654">
        <v>23350</v>
      </c>
      <c r="N2615" s="654">
        <v>21396</v>
      </c>
    </row>
    <row r="2616" spans="2:14" x14ac:dyDescent="0.15">
      <c r="B2616"/>
      <c r="D2616" t="s">
        <v>1201</v>
      </c>
      <c r="E2616" t="s">
        <v>1199</v>
      </c>
      <c r="F2616" t="s">
        <v>626</v>
      </c>
      <c r="G2616" t="s">
        <v>600</v>
      </c>
      <c r="H2616" s="654">
        <v>219733</v>
      </c>
      <c r="I2616" s="654">
        <v>-44906</v>
      </c>
      <c r="J2616" s="654">
        <v>174827</v>
      </c>
      <c r="K2616" s="654">
        <v>174827</v>
      </c>
      <c r="L2616" s="654">
        <v>0</v>
      </c>
      <c r="M2616" s="654">
        <v>0</v>
      </c>
      <c r="N2616" s="654">
        <v>13766</v>
      </c>
    </row>
    <row r="2617" spans="2:14" x14ac:dyDescent="0.15">
      <c r="B2617"/>
      <c r="F2617" t="s">
        <v>733</v>
      </c>
      <c r="H2617" s="654">
        <v>219733</v>
      </c>
      <c r="I2617" s="654">
        <v>-44906</v>
      </c>
      <c r="J2617" s="654">
        <v>174827</v>
      </c>
      <c r="K2617" s="654">
        <v>174827</v>
      </c>
      <c r="L2617" s="654">
        <v>0</v>
      </c>
      <c r="M2617" s="654">
        <v>0</v>
      </c>
      <c r="N2617" s="654">
        <v>13766</v>
      </c>
    </row>
    <row r="2618" spans="2:14" x14ac:dyDescent="0.15">
      <c r="B2618"/>
      <c r="F2618" t="s">
        <v>627</v>
      </c>
      <c r="G2618" t="s">
        <v>599</v>
      </c>
      <c r="H2618" s="654">
        <v>59457</v>
      </c>
      <c r="I2618" s="654">
        <v>0</v>
      </c>
      <c r="J2618" s="654">
        <v>59457</v>
      </c>
      <c r="K2618" s="654">
        <v>59457</v>
      </c>
      <c r="L2618" s="654">
        <v>0</v>
      </c>
      <c r="M2618" s="654">
        <v>0</v>
      </c>
      <c r="N2618" s="654">
        <v>13820</v>
      </c>
    </row>
    <row r="2619" spans="2:14" x14ac:dyDescent="0.15">
      <c r="B2619"/>
      <c r="F2619" t="s">
        <v>734</v>
      </c>
      <c r="H2619" s="654">
        <v>59457</v>
      </c>
      <c r="I2619" s="654">
        <v>0</v>
      </c>
      <c r="J2619" s="654">
        <v>59457</v>
      </c>
      <c r="K2619" s="654">
        <v>59457</v>
      </c>
      <c r="L2619" s="654">
        <v>0</v>
      </c>
      <c r="M2619" s="654">
        <v>0</v>
      </c>
      <c r="N2619" s="654">
        <v>13820</v>
      </c>
    </row>
    <row r="2620" spans="2:14" x14ac:dyDescent="0.15">
      <c r="B2620"/>
      <c r="E2620" t="s">
        <v>1379</v>
      </c>
      <c r="H2620" s="654">
        <v>279190</v>
      </c>
      <c r="I2620" s="654">
        <v>-44906</v>
      </c>
      <c r="J2620" s="654">
        <v>234284</v>
      </c>
      <c r="K2620" s="654">
        <v>234284</v>
      </c>
      <c r="L2620" s="654">
        <v>0</v>
      </c>
      <c r="M2620" s="654">
        <v>0</v>
      </c>
      <c r="N2620" s="654">
        <v>27586</v>
      </c>
    </row>
    <row r="2621" spans="2:14" x14ac:dyDescent="0.15">
      <c r="B2621"/>
      <c r="D2621" t="s">
        <v>1380</v>
      </c>
      <c r="H2621" s="654">
        <v>279190</v>
      </c>
      <c r="I2621" s="654">
        <v>-44906</v>
      </c>
      <c r="J2621" s="654">
        <v>234284</v>
      </c>
      <c r="K2621" s="654">
        <v>234284</v>
      </c>
      <c r="L2621" s="654">
        <v>0</v>
      </c>
      <c r="M2621" s="654">
        <v>0</v>
      </c>
      <c r="N2621" s="654">
        <v>27586</v>
      </c>
    </row>
    <row r="2622" spans="2:14" x14ac:dyDescent="0.15">
      <c r="B2622"/>
      <c r="C2622" t="s">
        <v>853</v>
      </c>
      <c r="H2622" s="654">
        <v>37712640</v>
      </c>
      <c r="I2622" s="654">
        <v>-1601902</v>
      </c>
      <c r="J2622" s="654">
        <v>36110738</v>
      </c>
      <c r="K2622" s="654">
        <v>36110738</v>
      </c>
      <c r="L2622" s="654">
        <v>0</v>
      </c>
      <c r="M2622" s="654">
        <v>1071497</v>
      </c>
      <c r="N2622" s="654">
        <v>4102720</v>
      </c>
    </row>
    <row r="2623" spans="2:14" x14ac:dyDescent="0.15">
      <c r="B2623" t="s">
        <v>627</v>
      </c>
      <c r="C2623" t="s">
        <v>847</v>
      </c>
      <c r="D2623" t="s">
        <v>626</v>
      </c>
      <c r="E2623" t="s">
        <v>378</v>
      </c>
      <c r="F2623" t="s">
        <v>626</v>
      </c>
      <c r="G2623" t="s">
        <v>600</v>
      </c>
      <c r="H2623" s="654">
        <v>170278</v>
      </c>
      <c r="I2623" s="654">
        <v>49540</v>
      </c>
      <c r="J2623" s="654">
        <v>219818</v>
      </c>
      <c r="K2623" s="654">
        <v>219818</v>
      </c>
      <c r="L2623" s="654">
        <v>0</v>
      </c>
      <c r="M2623" s="654">
        <v>0</v>
      </c>
      <c r="N2623" s="654">
        <v>0</v>
      </c>
    </row>
    <row r="2624" spans="2:14" x14ac:dyDescent="0.15">
      <c r="B2624"/>
      <c r="F2624" t="s">
        <v>733</v>
      </c>
      <c r="H2624" s="654">
        <v>170278</v>
      </c>
      <c r="I2624" s="654">
        <v>49540</v>
      </c>
      <c r="J2624" s="654">
        <v>219818</v>
      </c>
      <c r="K2624" s="654">
        <v>219818</v>
      </c>
      <c r="L2624" s="654">
        <v>0</v>
      </c>
      <c r="M2624" s="654">
        <v>0</v>
      </c>
      <c r="N2624" s="654">
        <v>0</v>
      </c>
    </row>
    <row r="2625" spans="2:14" x14ac:dyDescent="0.15">
      <c r="B2625"/>
      <c r="F2625" t="s">
        <v>627</v>
      </c>
      <c r="G2625" t="s">
        <v>599</v>
      </c>
      <c r="H2625" s="654">
        <v>328938</v>
      </c>
      <c r="I2625" s="654">
        <v>0</v>
      </c>
      <c r="J2625" s="654">
        <v>328938</v>
      </c>
      <c r="K2625" s="654">
        <v>328938</v>
      </c>
      <c r="L2625" s="654">
        <v>0</v>
      </c>
      <c r="M2625" s="654">
        <v>0</v>
      </c>
      <c r="N2625" s="654">
        <v>0</v>
      </c>
    </row>
    <row r="2626" spans="2:14" x14ac:dyDescent="0.15">
      <c r="B2626"/>
      <c r="F2626" t="s">
        <v>734</v>
      </c>
      <c r="H2626" s="654">
        <v>328938</v>
      </c>
      <c r="I2626" s="654">
        <v>0</v>
      </c>
      <c r="J2626" s="654">
        <v>328938</v>
      </c>
      <c r="K2626" s="654">
        <v>328938</v>
      </c>
      <c r="L2626" s="654">
        <v>0</v>
      </c>
      <c r="M2626" s="654">
        <v>0</v>
      </c>
      <c r="N2626" s="654">
        <v>0</v>
      </c>
    </row>
    <row r="2627" spans="2:14" x14ac:dyDescent="0.15">
      <c r="B2627"/>
      <c r="F2627" t="s">
        <v>628</v>
      </c>
      <c r="G2627" t="s">
        <v>598</v>
      </c>
      <c r="H2627" s="654">
        <v>27349</v>
      </c>
      <c r="I2627" s="654">
        <v>0</v>
      </c>
      <c r="J2627" s="654">
        <v>27349</v>
      </c>
      <c r="K2627" s="654">
        <v>27349</v>
      </c>
      <c r="L2627" s="654">
        <v>0</v>
      </c>
      <c r="M2627" s="654">
        <v>0</v>
      </c>
      <c r="N2627" s="654">
        <v>0</v>
      </c>
    </row>
    <row r="2628" spans="2:14" x14ac:dyDescent="0.15">
      <c r="B2628"/>
      <c r="F2628" t="s">
        <v>735</v>
      </c>
      <c r="H2628" s="654">
        <v>27349</v>
      </c>
      <c r="I2628" s="654">
        <v>0</v>
      </c>
      <c r="J2628" s="654">
        <v>27349</v>
      </c>
      <c r="K2628" s="654">
        <v>27349</v>
      </c>
      <c r="L2628" s="654">
        <v>0</v>
      </c>
      <c r="M2628" s="654">
        <v>0</v>
      </c>
      <c r="N2628" s="654">
        <v>0</v>
      </c>
    </row>
    <row r="2629" spans="2:14" x14ac:dyDescent="0.15">
      <c r="B2629"/>
      <c r="E2629" t="s">
        <v>769</v>
      </c>
      <c r="H2629" s="654">
        <v>526565</v>
      </c>
      <c r="I2629" s="654">
        <v>49540</v>
      </c>
      <c r="J2629" s="654">
        <v>576105</v>
      </c>
      <c r="K2629" s="654">
        <v>576105</v>
      </c>
      <c r="L2629" s="654">
        <v>0</v>
      </c>
      <c r="M2629" s="654">
        <v>0</v>
      </c>
      <c r="N2629" s="654">
        <v>0</v>
      </c>
    </row>
    <row r="2630" spans="2:14" x14ac:dyDescent="0.15">
      <c r="B2630"/>
      <c r="D2630" t="s">
        <v>733</v>
      </c>
      <c r="H2630" s="654">
        <v>526565</v>
      </c>
      <c r="I2630" s="654">
        <v>49540</v>
      </c>
      <c r="J2630" s="654">
        <v>576105</v>
      </c>
      <c r="K2630" s="654">
        <v>576105</v>
      </c>
      <c r="L2630" s="654">
        <v>0</v>
      </c>
      <c r="M2630" s="654">
        <v>0</v>
      </c>
      <c r="N2630" s="654">
        <v>0</v>
      </c>
    </row>
    <row r="2631" spans="2:14" x14ac:dyDescent="0.15">
      <c r="B2631"/>
      <c r="D2631" t="s">
        <v>627</v>
      </c>
      <c r="E2631" t="s">
        <v>379</v>
      </c>
      <c r="F2631" t="s">
        <v>626</v>
      </c>
      <c r="G2631" t="s">
        <v>600</v>
      </c>
      <c r="H2631" s="654">
        <v>377717</v>
      </c>
      <c r="I2631" s="654">
        <v>-43746</v>
      </c>
      <c r="J2631" s="654">
        <v>333971</v>
      </c>
      <c r="K2631" s="654">
        <v>333971</v>
      </c>
      <c r="L2631" s="654">
        <v>0</v>
      </c>
      <c r="M2631" s="654">
        <v>0</v>
      </c>
      <c r="N2631" s="654">
        <v>0</v>
      </c>
    </row>
    <row r="2632" spans="2:14" x14ac:dyDescent="0.15">
      <c r="B2632"/>
      <c r="F2632" t="s">
        <v>733</v>
      </c>
      <c r="H2632" s="654">
        <v>377717</v>
      </c>
      <c r="I2632" s="654">
        <v>-43746</v>
      </c>
      <c r="J2632" s="654">
        <v>333971</v>
      </c>
      <c r="K2632" s="654">
        <v>333971</v>
      </c>
      <c r="L2632" s="654">
        <v>0</v>
      </c>
      <c r="M2632" s="654">
        <v>0</v>
      </c>
      <c r="N2632" s="654">
        <v>0</v>
      </c>
    </row>
    <row r="2633" spans="2:14" x14ac:dyDescent="0.15">
      <c r="B2633"/>
      <c r="F2633" t="s">
        <v>627</v>
      </c>
      <c r="G2633" t="s">
        <v>599</v>
      </c>
      <c r="H2633" s="654">
        <v>422701</v>
      </c>
      <c r="I2633" s="654">
        <v>-176340</v>
      </c>
      <c r="J2633" s="654">
        <v>246361</v>
      </c>
      <c r="K2633" s="654">
        <v>246361</v>
      </c>
      <c r="L2633" s="654">
        <v>0</v>
      </c>
      <c r="M2633" s="654">
        <v>0</v>
      </c>
      <c r="N2633" s="654">
        <v>0</v>
      </c>
    </row>
    <row r="2634" spans="2:14" x14ac:dyDescent="0.15">
      <c r="B2634"/>
      <c r="F2634" t="s">
        <v>734</v>
      </c>
      <c r="H2634" s="654">
        <v>422701</v>
      </c>
      <c r="I2634" s="654">
        <v>-176340</v>
      </c>
      <c r="J2634" s="654">
        <v>246361</v>
      </c>
      <c r="K2634" s="654">
        <v>246361</v>
      </c>
      <c r="L2634" s="654">
        <v>0</v>
      </c>
      <c r="M2634" s="654">
        <v>0</v>
      </c>
      <c r="N2634" s="654">
        <v>0</v>
      </c>
    </row>
    <row r="2635" spans="2:14" x14ac:dyDescent="0.15">
      <c r="B2635"/>
      <c r="F2635" t="s">
        <v>628</v>
      </c>
      <c r="G2635" t="s">
        <v>598</v>
      </c>
      <c r="H2635" s="654">
        <v>0</v>
      </c>
      <c r="I2635" s="654">
        <v>0</v>
      </c>
      <c r="J2635" s="654">
        <v>0</v>
      </c>
      <c r="K2635" s="654">
        <v>0</v>
      </c>
      <c r="L2635" s="654">
        <v>0</v>
      </c>
      <c r="M2635" s="654">
        <v>0</v>
      </c>
      <c r="N2635" s="654">
        <v>0</v>
      </c>
    </row>
    <row r="2636" spans="2:14" x14ac:dyDescent="0.15">
      <c r="B2636"/>
      <c r="F2636" t="s">
        <v>735</v>
      </c>
      <c r="H2636" s="654">
        <v>0</v>
      </c>
      <c r="I2636" s="654">
        <v>0</v>
      </c>
      <c r="J2636" s="654">
        <v>0</v>
      </c>
      <c r="K2636" s="654">
        <v>0</v>
      </c>
      <c r="L2636" s="654">
        <v>0</v>
      </c>
      <c r="M2636" s="654">
        <v>0</v>
      </c>
      <c r="N2636" s="654">
        <v>0</v>
      </c>
    </row>
    <row r="2637" spans="2:14" x14ac:dyDescent="0.15">
      <c r="B2637"/>
      <c r="E2637" t="s">
        <v>770</v>
      </c>
      <c r="H2637" s="654">
        <v>800418</v>
      </c>
      <c r="I2637" s="654">
        <v>-220086</v>
      </c>
      <c r="J2637" s="654">
        <v>580332</v>
      </c>
      <c r="K2637" s="654">
        <v>580332</v>
      </c>
      <c r="L2637" s="654">
        <v>0</v>
      </c>
      <c r="M2637" s="654">
        <v>0</v>
      </c>
      <c r="N2637" s="654">
        <v>0</v>
      </c>
    </row>
    <row r="2638" spans="2:14" x14ac:dyDescent="0.15">
      <c r="B2638"/>
      <c r="D2638" t="s">
        <v>734</v>
      </c>
      <c r="H2638" s="654">
        <v>800418</v>
      </c>
      <c r="I2638" s="654">
        <v>-220086</v>
      </c>
      <c r="J2638" s="654">
        <v>580332</v>
      </c>
      <c r="K2638" s="654">
        <v>580332</v>
      </c>
      <c r="L2638" s="654">
        <v>0</v>
      </c>
      <c r="M2638" s="654">
        <v>0</v>
      </c>
      <c r="N2638" s="654">
        <v>0</v>
      </c>
    </row>
    <row r="2639" spans="2:14" x14ac:dyDescent="0.15">
      <c r="B2639"/>
      <c r="D2639" t="s">
        <v>628</v>
      </c>
      <c r="E2639" t="s">
        <v>380</v>
      </c>
      <c r="F2639" t="s">
        <v>626</v>
      </c>
      <c r="G2639" t="s">
        <v>600</v>
      </c>
      <c r="H2639" s="654">
        <v>60343</v>
      </c>
      <c r="I2639" s="654">
        <v>108255</v>
      </c>
      <c r="J2639" s="654">
        <v>168598</v>
      </c>
      <c r="K2639" s="654">
        <v>168598</v>
      </c>
      <c r="L2639" s="654">
        <v>0</v>
      </c>
      <c r="M2639" s="654">
        <v>0</v>
      </c>
      <c r="N2639" s="654">
        <v>0</v>
      </c>
    </row>
    <row r="2640" spans="2:14" x14ac:dyDescent="0.15">
      <c r="B2640"/>
      <c r="F2640" t="s">
        <v>733</v>
      </c>
      <c r="H2640" s="654">
        <v>60343</v>
      </c>
      <c r="I2640" s="654">
        <v>108255</v>
      </c>
      <c r="J2640" s="654">
        <v>168598</v>
      </c>
      <c r="K2640" s="654">
        <v>168598</v>
      </c>
      <c r="L2640" s="654">
        <v>0</v>
      </c>
      <c r="M2640" s="654">
        <v>0</v>
      </c>
      <c r="N2640" s="654">
        <v>0</v>
      </c>
    </row>
    <row r="2641" spans="2:14" x14ac:dyDescent="0.15">
      <c r="B2641"/>
      <c r="F2641" t="s">
        <v>627</v>
      </c>
      <c r="G2641" t="s">
        <v>599</v>
      </c>
      <c r="H2641" s="654">
        <v>270799</v>
      </c>
      <c r="I2641" s="654">
        <v>-270799</v>
      </c>
      <c r="J2641" s="654">
        <v>0</v>
      </c>
      <c r="K2641" s="654">
        <v>0</v>
      </c>
      <c r="L2641" s="654">
        <v>0</v>
      </c>
      <c r="M2641" s="654">
        <v>0</v>
      </c>
      <c r="N2641" s="654">
        <v>0</v>
      </c>
    </row>
    <row r="2642" spans="2:14" x14ac:dyDescent="0.15">
      <c r="B2642"/>
      <c r="F2642" t="s">
        <v>734</v>
      </c>
      <c r="H2642" s="654">
        <v>270799</v>
      </c>
      <c r="I2642" s="654">
        <v>-270799</v>
      </c>
      <c r="J2642" s="654">
        <v>0</v>
      </c>
      <c r="K2642" s="654">
        <v>0</v>
      </c>
      <c r="L2642" s="654">
        <v>0</v>
      </c>
      <c r="M2642" s="654">
        <v>0</v>
      </c>
      <c r="N2642" s="654">
        <v>0</v>
      </c>
    </row>
    <row r="2643" spans="2:14" x14ac:dyDescent="0.15">
      <c r="B2643"/>
      <c r="E2643" t="s">
        <v>771</v>
      </c>
      <c r="H2643" s="654">
        <v>331142</v>
      </c>
      <c r="I2643" s="654">
        <v>-162544</v>
      </c>
      <c r="J2643" s="654">
        <v>168598</v>
      </c>
      <c r="K2643" s="654">
        <v>168598</v>
      </c>
      <c r="L2643" s="654">
        <v>0</v>
      </c>
      <c r="M2643" s="654">
        <v>0</v>
      </c>
      <c r="N2643" s="654">
        <v>0</v>
      </c>
    </row>
    <row r="2644" spans="2:14" x14ac:dyDescent="0.15">
      <c r="B2644"/>
      <c r="D2644" t="s">
        <v>735</v>
      </c>
      <c r="H2644" s="654">
        <v>331142</v>
      </c>
      <c r="I2644" s="654">
        <v>-162544</v>
      </c>
      <c r="J2644" s="654">
        <v>168598</v>
      </c>
      <c r="K2644" s="654">
        <v>168598</v>
      </c>
      <c r="L2644" s="654">
        <v>0</v>
      </c>
      <c r="M2644" s="654">
        <v>0</v>
      </c>
      <c r="N2644" s="654">
        <v>0</v>
      </c>
    </row>
    <row r="2645" spans="2:14" x14ac:dyDescent="0.15">
      <c r="B2645"/>
      <c r="D2645" t="s">
        <v>629</v>
      </c>
      <c r="E2645" t="s">
        <v>676</v>
      </c>
      <c r="F2645" t="s">
        <v>629</v>
      </c>
      <c r="G2645" t="s">
        <v>601</v>
      </c>
      <c r="H2645" s="654">
        <v>312371</v>
      </c>
      <c r="I2645" s="654">
        <v>-184317</v>
      </c>
      <c r="J2645" s="654">
        <v>128054</v>
      </c>
      <c r="K2645" s="654">
        <v>128054</v>
      </c>
      <c r="L2645" s="654">
        <v>0</v>
      </c>
      <c r="M2645" s="654">
        <v>0</v>
      </c>
      <c r="N2645" s="654">
        <v>0</v>
      </c>
    </row>
    <row r="2646" spans="2:14" x14ac:dyDescent="0.15">
      <c r="B2646"/>
      <c r="F2646" t="s">
        <v>736</v>
      </c>
      <c r="H2646" s="654">
        <v>312371</v>
      </c>
      <c r="I2646" s="654">
        <v>-184317</v>
      </c>
      <c r="J2646" s="654">
        <v>128054</v>
      </c>
      <c r="K2646" s="654">
        <v>128054</v>
      </c>
      <c r="L2646" s="654">
        <v>0</v>
      </c>
      <c r="M2646" s="654">
        <v>0</v>
      </c>
      <c r="N2646" s="654">
        <v>0</v>
      </c>
    </row>
    <row r="2647" spans="2:14" x14ac:dyDescent="0.15">
      <c r="B2647"/>
      <c r="E2647" t="s">
        <v>772</v>
      </c>
      <c r="H2647" s="654">
        <v>312371</v>
      </c>
      <c r="I2647" s="654">
        <v>-184317</v>
      </c>
      <c r="J2647" s="654">
        <v>128054</v>
      </c>
      <c r="K2647" s="654">
        <v>128054</v>
      </c>
      <c r="L2647" s="654">
        <v>0</v>
      </c>
      <c r="M2647" s="654">
        <v>0</v>
      </c>
      <c r="N2647" s="654">
        <v>0</v>
      </c>
    </row>
    <row r="2648" spans="2:14" x14ac:dyDescent="0.15">
      <c r="B2648"/>
      <c r="D2648" t="s">
        <v>736</v>
      </c>
      <c r="H2648" s="654">
        <v>312371</v>
      </c>
      <c r="I2648" s="654">
        <v>-184317</v>
      </c>
      <c r="J2648" s="654">
        <v>128054</v>
      </c>
      <c r="K2648" s="654">
        <v>128054</v>
      </c>
      <c r="L2648" s="654">
        <v>0</v>
      </c>
      <c r="M2648" s="654">
        <v>0</v>
      </c>
      <c r="N2648" s="654">
        <v>0</v>
      </c>
    </row>
    <row r="2649" spans="2:14" x14ac:dyDescent="0.15">
      <c r="B2649"/>
      <c r="D2649" t="s">
        <v>567</v>
      </c>
      <c r="E2649" t="s">
        <v>473</v>
      </c>
      <c r="F2649" t="s">
        <v>631</v>
      </c>
      <c r="G2649" t="s">
        <v>596</v>
      </c>
      <c r="H2649" s="654">
        <v>0</v>
      </c>
      <c r="I2649" s="654">
        <v>0</v>
      </c>
      <c r="J2649" s="654">
        <v>0</v>
      </c>
      <c r="K2649" s="654">
        <v>0</v>
      </c>
      <c r="L2649" s="654">
        <v>0</v>
      </c>
      <c r="M2649" s="654">
        <v>0</v>
      </c>
      <c r="N2649" s="654">
        <v>0</v>
      </c>
    </row>
    <row r="2650" spans="2:14" x14ac:dyDescent="0.15">
      <c r="B2650"/>
      <c r="F2650" t="s">
        <v>737</v>
      </c>
      <c r="H2650" s="654">
        <v>0</v>
      </c>
      <c r="I2650" s="654">
        <v>0</v>
      </c>
      <c r="J2650" s="654">
        <v>0</v>
      </c>
      <c r="K2650" s="654">
        <v>0</v>
      </c>
      <c r="L2650" s="654">
        <v>0</v>
      </c>
      <c r="M2650" s="654">
        <v>0</v>
      </c>
      <c r="N2650" s="654">
        <v>0</v>
      </c>
    </row>
    <row r="2651" spans="2:14" x14ac:dyDescent="0.15">
      <c r="B2651"/>
      <c r="E2651" t="s">
        <v>773</v>
      </c>
      <c r="H2651" s="654">
        <v>0</v>
      </c>
      <c r="I2651" s="654">
        <v>0</v>
      </c>
      <c r="J2651" s="654">
        <v>0</v>
      </c>
      <c r="K2651" s="654">
        <v>0</v>
      </c>
      <c r="L2651" s="654">
        <v>0</v>
      </c>
      <c r="M2651" s="654">
        <v>0</v>
      </c>
      <c r="N2651" s="654">
        <v>0</v>
      </c>
    </row>
    <row r="2652" spans="2:14" x14ac:dyDescent="0.15">
      <c r="B2652"/>
      <c r="D2652" t="s">
        <v>739</v>
      </c>
      <c r="H2652" s="654">
        <v>0</v>
      </c>
      <c r="I2652" s="654">
        <v>0</v>
      </c>
      <c r="J2652" s="654">
        <v>0</v>
      </c>
      <c r="K2652" s="654">
        <v>0</v>
      </c>
      <c r="L2652" s="654">
        <v>0</v>
      </c>
      <c r="M2652" s="654">
        <v>0</v>
      </c>
      <c r="N2652" s="654">
        <v>0</v>
      </c>
    </row>
    <row r="2653" spans="2:14" x14ac:dyDescent="0.15">
      <c r="B2653"/>
      <c r="D2653" t="s">
        <v>568</v>
      </c>
      <c r="E2653" t="s">
        <v>474</v>
      </c>
      <c r="F2653" t="s">
        <v>631</v>
      </c>
      <c r="G2653" t="s">
        <v>596</v>
      </c>
      <c r="H2653" s="654">
        <v>0</v>
      </c>
      <c r="I2653" s="654">
        <v>0</v>
      </c>
      <c r="J2653" s="654">
        <v>0</v>
      </c>
      <c r="K2653" s="654">
        <v>0</v>
      </c>
      <c r="L2653" s="654">
        <v>0</v>
      </c>
      <c r="M2653" s="654">
        <v>0</v>
      </c>
      <c r="N2653" s="654">
        <v>0</v>
      </c>
    </row>
    <row r="2654" spans="2:14" x14ac:dyDescent="0.15">
      <c r="B2654"/>
      <c r="F2654" t="s">
        <v>737</v>
      </c>
      <c r="H2654" s="654">
        <v>0</v>
      </c>
      <c r="I2654" s="654">
        <v>0</v>
      </c>
      <c r="J2654" s="654">
        <v>0</v>
      </c>
      <c r="K2654" s="654">
        <v>0</v>
      </c>
      <c r="L2654" s="654">
        <v>0</v>
      </c>
      <c r="M2654" s="654">
        <v>0</v>
      </c>
      <c r="N2654" s="654">
        <v>0</v>
      </c>
    </row>
    <row r="2655" spans="2:14" x14ac:dyDescent="0.15">
      <c r="B2655"/>
      <c r="E2655" t="s">
        <v>774</v>
      </c>
      <c r="H2655" s="654">
        <v>0</v>
      </c>
      <c r="I2655" s="654">
        <v>0</v>
      </c>
      <c r="J2655" s="654">
        <v>0</v>
      </c>
      <c r="K2655" s="654">
        <v>0</v>
      </c>
      <c r="L2655" s="654">
        <v>0</v>
      </c>
      <c r="M2655" s="654">
        <v>0</v>
      </c>
      <c r="N2655" s="654">
        <v>0</v>
      </c>
    </row>
    <row r="2656" spans="2:14" x14ac:dyDescent="0.15">
      <c r="B2656"/>
      <c r="D2656" t="s">
        <v>740</v>
      </c>
      <c r="H2656" s="654">
        <v>0</v>
      </c>
      <c r="I2656" s="654">
        <v>0</v>
      </c>
      <c r="J2656" s="654">
        <v>0</v>
      </c>
      <c r="K2656" s="654">
        <v>0</v>
      </c>
      <c r="L2656" s="654">
        <v>0</v>
      </c>
      <c r="M2656" s="654">
        <v>0</v>
      </c>
      <c r="N2656" s="654">
        <v>0</v>
      </c>
    </row>
    <row r="2657" spans="2:14" x14ac:dyDescent="0.15">
      <c r="B2657"/>
      <c r="D2657" t="s">
        <v>582</v>
      </c>
      <c r="E2657" t="s">
        <v>384</v>
      </c>
      <c r="F2657" t="s">
        <v>631</v>
      </c>
      <c r="G2657" t="s">
        <v>596</v>
      </c>
      <c r="H2657" s="654">
        <v>0</v>
      </c>
      <c r="I2657" s="654">
        <v>0</v>
      </c>
      <c r="J2657" s="654">
        <v>0</v>
      </c>
      <c r="K2657" s="654">
        <v>0</v>
      </c>
      <c r="L2657" s="654">
        <v>0</v>
      </c>
      <c r="M2657" s="654">
        <v>0</v>
      </c>
      <c r="N2657" s="654">
        <v>0</v>
      </c>
    </row>
    <row r="2658" spans="2:14" x14ac:dyDescent="0.15">
      <c r="B2658"/>
      <c r="F2658" t="s">
        <v>737</v>
      </c>
      <c r="H2658" s="654">
        <v>0</v>
      </c>
      <c r="I2658" s="654">
        <v>0</v>
      </c>
      <c r="J2658" s="654">
        <v>0</v>
      </c>
      <c r="K2658" s="654">
        <v>0</v>
      </c>
      <c r="L2658" s="654">
        <v>0</v>
      </c>
      <c r="M2658" s="654">
        <v>0</v>
      </c>
      <c r="N2658" s="654">
        <v>0</v>
      </c>
    </row>
    <row r="2659" spans="2:14" x14ac:dyDescent="0.15">
      <c r="B2659"/>
      <c r="E2659" t="s">
        <v>778</v>
      </c>
      <c r="H2659" s="654">
        <v>0</v>
      </c>
      <c r="I2659" s="654">
        <v>0</v>
      </c>
      <c r="J2659" s="654">
        <v>0</v>
      </c>
      <c r="K2659" s="654">
        <v>0</v>
      </c>
      <c r="L2659" s="654">
        <v>0</v>
      </c>
      <c r="M2659" s="654">
        <v>0</v>
      </c>
      <c r="N2659" s="654">
        <v>0</v>
      </c>
    </row>
    <row r="2660" spans="2:14" x14ac:dyDescent="0.15">
      <c r="B2660"/>
      <c r="D2660" t="s">
        <v>743</v>
      </c>
      <c r="H2660" s="654">
        <v>0</v>
      </c>
      <c r="I2660" s="654">
        <v>0</v>
      </c>
      <c r="J2660" s="654">
        <v>0</v>
      </c>
      <c r="K2660" s="654">
        <v>0</v>
      </c>
      <c r="L2660" s="654">
        <v>0</v>
      </c>
      <c r="M2660" s="654">
        <v>0</v>
      </c>
      <c r="N2660" s="654">
        <v>0</v>
      </c>
    </row>
    <row r="2661" spans="2:14" x14ac:dyDescent="0.15">
      <c r="B2661"/>
      <c r="D2661" t="s">
        <v>631</v>
      </c>
      <c r="E2661" t="s">
        <v>381</v>
      </c>
      <c r="F2661" t="s">
        <v>626</v>
      </c>
      <c r="G2661" t="s">
        <v>600</v>
      </c>
      <c r="H2661" s="654">
        <v>129534</v>
      </c>
      <c r="I2661" s="654">
        <v>0</v>
      </c>
      <c r="J2661" s="654">
        <v>129534</v>
      </c>
      <c r="K2661" s="654">
        <v>129534</v>
      </c>
      <c r="L2661" s="654">
        <v>0</v>
      </c>
      <c r="M2661" s="654">
        <v>0</v>
      </c>
      <c r="N2661" s="654">
        <v>0</v>
      </c>
    </row>
    <row r="2662" spans="2:14" x14ac:dyDescent="0.15">
      <c r="B2662"/>
      <c r="F2662" t="s">
        <v>733</v>
      </c>
      <c r="H2662" s="654">
        <v>129534</v>
      </c>
      <c r="I2662" s="654">
        <v>0</v>
      </c>
      <c r="J2662" s="654">
        <v>129534</v>
      </c>
      <c r="K2662" s="654">
        <v>129534</v>
      </c>
      <c r="L2662" s="654">
        <v>0</v>
      </c>
      <c r="M2662" s="654">
        <v>0</v>
      </c>
      <c r="N2662" s="654">
        <v>0</v>
      </c>
    </row>
    <row r="2663" spans="2:14" x14ac:dyDescent="0.15">
      <c r="B2663"/>
      <c r="E2663" t="s">
        <v>776</v>
      </c>
      <c r="H2663" s="654">
        <v>129534</v>
      </c>
      <c r="I2663" s="654">
        <v>0</v>
      </c>
      <c r="J2663" s="654">
        <v>129534</v>
      </c>
      <c r="K2663" s="654">
        <v>129534</v>
      </c>
      <c r="L2663" s="654">
        <v>0</v>
      </c>
      <c r="M2663" s="654">
        <v>0</v>
      </c>
      <c r="N2663" s="654">
        <v>0</v>
      </c>
    </row>
    <row r="2664" spans="2:14" x14ac:dyDescent="0.15">
      <c r="B2664"/>
      <c r="D2664" t="s">
        <v>737</v>
      </c>
      <c r="H2664" s="654">
        <v>129534</v>
      </c>
      <c r="I2664" s="654">
        <v>0</v>
      </c>
      <c r="J2664" s="654">
        <v>129534</v>
      </c>
      <c r="K2664" s="654">
        <v>129534</v>
      </c>
      <c r="L2664" s="654">
        <v>0</v>
      </c>
      <c r="M2664" s="654">
        <v>0</v>
      </c>
      <c r="N2664" s="654">
        <v>0</v>
      </c>
    </row>
    <row r="2665" spans="2:14" x14ac:dyDescent="0.15">
      <c r="B2665"/>
      <c r="D2665" t="s">
        <v>965</v>
      </c>
      <c r="E2665" t="s">
        <v>986</v>
      </c>
      <c r="F2665" t="s">
        <v>626</v>
      </c>
      <c r="G2665" t="s">
        <v>600</v>
      </c>
      <c r="H2665" s="654">
        <v>416868</v>
      </c>
      <c r="I2665" s="654">
        <v>-77415</v>
      </c>
      <c r="J2665" s="654">
        <v>339453</v>
      </c>
      <c r="K2665" s="654">
        <v>339453</v>
      </c>
      <c r="L2665" s="654">
        <v>0</v>
      </c>
      <c r="M2665" s="654">
        <v>0</v>
      </c>
      <c r="N2665" s="654">
        <v>0</v>
      </c>
    </row>
    <row r="2666" spans="2:14" x14ac:dyDescent="0.15">
      <c r="B2666"/>
      <c r="F2666" t="s">
        <v>733</v>
      </c>
      <c r="H2666" s="654">
        <v>416868</v>
      </c>
      <c r="I2666" s="654">
        <v>-77415</v>
      </c>
      <c r="J2666" s="654">
        <v>339453</v>
      </c>
      <c r="K2666" s="654">
        <v>339453</v>
      </c>
      <c r="L2666" s="654">
        <v>0</v>
      </c>
      <c r="M2666" s="654">
        <v>0</v>
      </c>
      <c r="N2666" s="654">
        <v>0</v>
      </c>
    </row>
    <row r="2667" spans="2:14" x14ac:dyDescent="0.15">
      <c r="B2667"/>
      <c r="F2667" t="s">
        <v>627</v>
      </c>
      <c r="G2667" t="s">
        <v>599</v>
      </c>
      <c r="H2667" s="654">
        <v>0</v>
      </c>
      <c r="I2667" s="654">
        <v>0</v>
      </c>
      <c r="J2667" s="654">
        <v>0</v>
      </c>
      <c r="K2667" s="654">
        <v>0</v>
      </c>
      <c r="L2667" s="654">
        <v>0</v>
      </c>
      <c r="M2667" s="654">
        <v>0</v>
      </c>
      <c r="N2667" s="654">
        <v>0</v>
      </c>
    </row>
    <row r="2668" spans="2:14" x14ac:dyDescent="0.15">
      <c r="B2668"/>
      <c r="F2668" t="s">
        <v>734</v>
      </c>
      <c r="H2668" s="654">
        <v>0</v>
      </c>
      <c r="I2668" s="654">
        <v>0</v>
      </c>
      <c r="J2668" s="654">
        <v>0</v>
      </c>
      <c r="K2668" s="654">
        <v>0</v>
      </c>
      <c r="L2668" s="654">
        <v>0</v>
      </c>
      <c r="M2668" s="654">
        <v>0</v>
      </c>
      <c r="N2668" s="654">
        <v>0</v>
      </c>
    </row>
    <row r="2669" spans="2:14" x14ac:dyDescent="0.15">
      <c r="B2669"/>
      <c r="E2669" t="s">
        <v>1138</v>
      </c>
      <c r="H2669" s="654">
        <v>416868</v>
      </c>
      <c r="I2669" s="654">
        <v>-77415</v>
      </c>
      <c r="J2669" s="654">
        <v>339453</v>
      </c>
      <c r="K2669" s="654">
        <v>339453</v>
      </c>
      <c r="L2669" s="654">
        <v>0</v>
      </c>
      <c r="M2669" s="654">
        <v>0</v>
      </c>
      <c r="N2669" s="654">
        <v>0</v>
      </c>
    </row>
    <row r="2670" spans="2:14" x14ac:dyDescent="0.15">
      <c r="B2670"/>
      <c r="D2670" t="s">
        <v>1139</v>
      </c>
      <c r="H2670" s="654">
        <v>416868</v>
      </c>
      <c r="I2670" s="654">
        <v>-77415</v>
      </c>
      <c r="J2670" s="654">
        <v>339453</v>
      </c>
      <c r="K2670" s="654">
        <v>339453</v>
      </c>
      <c r="L2670" s="654">
        <v>0</v>
      </c>
      <c r="M2670" s="654">
        <v>0</v>
      </c>
      <c r="N2670" s="654">
        <v>0</v>
      </c>
    </row>
    <row r="2671" spans="2:14" x14ac:dyDescent="0.15">
      <c r="B2671"/>
      <c r="D2671" t="s">
        <v>1201</v>
      </c>
      <c r="E2671" t="s">
        <v>1199</v>
      </c>
      <c r="F2671" t="s">
        <v>626</v>
      </c>
      <c r="G2671" t="s">
        <v>600</v>
      </c>
      <c r="H2671" s="654">
        <v>0</v>
      </c>
      <c r="I2671" s="654">
        <v>0</v>
      </c>
      <c r="J2671" s="654">
        <v>0</v>
      </c>
      <c r="K2671" s="654">
        <v>0</v>
      </c>
      <c r="L2671" s="654">
        <v>0</v>
      </c>
      <c r="M2671" s="654">
        <v>0</v>
      </c>
      <c r="N2671" s="654">
        <v>0</v>
      </c>
    </row>
    <row r="2672" spans="2:14" x14ac:dyDescent="0.15">
      <c r="B2672"/>
      <c r="F2672" t="s">
        <v>733</v>
      </c>
      <c r="H2672" s="654">
        <v>0</v>
      </c>
      <c r="I2672" s="654">
        <v>0</v>
      </c>
      <c r="J2672" s="654">
        <v>0</v>
      </c>
      <c r="K2672" s="654">
        <v>0</v>
      </c>
      <c r="L2672" s="654">
        <v>0</v>
      </c>
      <c r="M2672" s="654">
        <v>0</v>
      </c>
      <c r="N2672" s="654">
        <v>0</v>
      </c>
    </row>
    <row r="2673" spans="1:14" x14ac:dyDescent="0.15">
      <c r="B2673"/>
      <c r="F2673" t="s">
        <v>627</v>
      </c>
      <c r="G2673" t="s">
        <v>599</v>
      </c>
      <c r="H2673" s="654">
        <v>0</v>
      </c>
      <c r="I2673" s="654">
        <v>0</v>
      </c>
      <c r="J2673" s="654">
        <v>0</v>
      </c>
      <c r="K2673" s="654">
        <v>0</v>
      </c>
      <c r="L2673" s="654">
        <v>0</v>
      </c>
      <c r="M2673" s="654">
        <v>0</v>
      </c>
      <c r="N2673" s="654">
        <v>0</v>
      </c>
    </row>
    <row r="2674" spans="1:14" x14ac:dyDescent="0.15">
      <c r="B2674"/>
      <c r="F2674" t="s">
        <v>734</v>
      </c>
      <c r="H2674" s="654">
        <v>0</v>
      </c>
      <c r="I2674" s="654">
        <v>0</v>
      </c>
      <c r="J2674" s="654">
        <v>0</v>
      </c>
      <c r="K2674" s="654">
        <v>0</v>
      </c>
      <c r="L2674" s="654">
        <v>0</v>
      </c>
      <c r="M2674" s="654">
        <v>0</v>
      </c>
      <c r="N2674" s="654">
        <v>0</v>
      </c>
    </row>
    <row r="2675" spans="1:14" x14ac:dyDescent="0.15">
      <c r="B2675"/>
      <c r="E2675" t="s">
        <v>1379</v>
      </c>
      <c r="H2675" s="654">
        <v>0</v>
      </c>
      <c r="I2675" s="654">
        <v>0</v>
      </c>
      <c r="J2675" s="654">
        <v>0</v>
      </c>
      <c r="K2675" s="654">
        <v>0</v>
      </c>
      <c r="L2675" s="654">
        <v>0</v>
      </c>
      <c r="M2675" s="654">
        <v>0</v>
      </c>
      <c r="N2675" s="654">
        <v>0</v>
      </c>
    </row>
    <row r="2676" spans="1:14" x14ac:dyDescent="0.15">
      <c r="B2676"/>
      <c r="D2676" t="s">
        <v>1380</v>
      </c>
      <c r="H2676" s="654">
        <v>0</v>
      </c>
      <c r="I2676" s="654">
        <v>0</v>
      </c>
      <c r="J2676" s="654">
        <v>0</v>
      </c>
      <c r="K2676" s="654">
        <v>0</v>
      </c>
      <c r="L2676" s="654">
        <v>0</v>
      </c>
      <c r="M2676" s="654">
        <v>0</v>
      </c>
      <c r="N2676" s="654">
        <v>0</v>
      </c>
    </row>
    <row r="2677" spans="1:14" x14ac:dyDescent="0.15">
      <c r="B2677"/>
      <c r="C2677" t="s">
        <v>854</v>
      </c>
      <c r="H2677" s="654">
        <v>2516898</v>
      </c>
      <c r="I2677" s="654">
        <v>-594822</v>
      </c>
      <c r="J2677" s="654">
        <v>1922076</v>
      </c>
      <c r="K2677" s="654">
        <v>1922076</v>
      </c>
      <c r="L2677" s="654">
        <v>0</v>
      </c>
      <c r="M2677" s="654">
        <v>0</v>
      </c>
      <c r="N2677" s="654">
        <v>0</v>
      </c>
    </row>
    <row r="2678" spans="1:14" x14ac:dyDescent="0.15">
      <c r="A2678" s="653" t="s">
        <v>1381</v>
      </c>
      <c r="B2678"/>
      <c r="H2678" s="654">
        <v>40229538</v>
      </c>
      <c r="I2678" s="654">
        <v>-2196724</v>
      </c>
      <c r="J2678" s="654">
        <v>38032814</v>
      </c>
      <c r="K2678" s="654">
        <v>38032814</v>
      </c>
      <c r="L2678" s="654">
        <v>0</v>
      </c>
      <c r="M2678" s="654">
        <v>1071497</v>
      </c>
      <c r="N2678" s="654">
        <v>4102720</v>
      </c>
    </row>
    <row r="2679" spans="1:14" x14ac:dyDescent="0.15">
      <c r="A2679" s="653">
        <v>43405</v>
      </c>
      <c r="B2679" t="s">
        <v>626</v>
      </c>
      <c r="C2679" t="s">
        <v>849</v>
      </c>
      <c r="D2679" t="s">
        <v>626</v>
      </c>
      <c r="E2679" t="s">
        <v>378</v>
      </c>
      <c r="F2679" t="s">
        <v>626</v>
      </c>
      <c r="G2679" t="s">
        <v>600</v>
      </c>
      <c r="H2679" s="654">
        <v>8903706</v>
      </c>
      <c r="I2679" s="654">
        <v>-10753</v>
      </c>
      <c r="J2679" s="654">
        <v>8892953</v>
      </c>
      <c r="K2679" s="654">
        <v>8892953</v>
      </c>
      <c r="L2679" s="654">
        <v>0</v>
      </c>
      <c r="M2679" s="654">
        <v>50700</v>
      </c>
      <c r="N2679" s="654">
        <v>1441337</v>
      </c>
    </row>
    <row r="2680" spans="1:14" x14ac:dyDescent="0.15">
      <c r="B2680"/>
      <c r="F2680" t="s">
        <v>733</v>
      </c>
      <c r="H2680" s="654">
        <v>8903706</v>
      </c>
      <c r="I2680" s="654">
        <v>-10753</v>
      </c>
      <c r="J2680" s="654">
        <v>8892953</v>
      </c>
      <c r="K2680" s="654">
        <v>8892953</v>
      </c>
      <c r="L2680" s="654">
        <v>0</v>
      </c>
      <c r="M2680" s="654">
        <v>50700</v>
      </c>
      <c r="N2680" s="654">
        <v>1441337</v>
      </c>
    </row>
    <row r="2681" spans="1:14" x14ac:dyDescent="0.15">
      <c r="B2681"/>
      <c r="F2681" t="s">
        <v>627</v>
      </c>
      <c r="G2681" t="s">
        <v>599</v>
      </c>
      <c r="H2681" s="654">
        <v>2032310</v>
      </c>
      <c r="I2681" s="654">
        <v>-561163</v>
      </c>
      <c r="J2681" s="654">
        <v>1471147</v>
      </c>
      <c r="K2681" s="654">
        <v>1471147</v>
      </c>
      <c r="L2681" s="654">
        <v>0</v>
      </c>
      <c r="M2681" s="654">
        <v>92442</v>
      </c>
      <c r="N2681" s="654">
        <v>403228</v>
      </c>
    </row>
    <row r="2682" spans="1:14" x14ac:dyDescent="0.15">
      <c r="B2682"/>
      <c r="F2682" t="s">
        <v>734</v>
      </c>
      <c r="H2682" s="654">
        <v>2032310</v>
      </c>
      <c r="I2682" s="654">
        <v>-561163</v>
      </c>
      <c r="J2682" s="654">
        <v>1471147</v>
      </c>
      <c r="K2682" s="654">
        <v>1471147</v>
      </c>
      <c r="L2682" s="654">
        <v>0</v>
      </c>
      <c r="M2682" s="654">
        <v>92442</v>
      </c>
      <c r="N2682" s="654">
        <v>403228</v>
      </c>
    </row>
    <row r="2683" spans="1:14" x14ac:dyDescent="0.15">
      <c r="B2683"/>
      <c r="F2683" t="s">
        <v>628</v>
      </c>
      <c r="G2683" t="s">
        <v>598</v>
      </c>
      <c r="H2683" s="654">
        <v>707246</v>
      </c>
      <c r="I2683" s="654">
        <v>-14477</v>
      </c>
      <c r="J2683" s="654">
        <v>692769</v>
      </c>
      <c r="K2683" s="654">
        <v>692769</v>
      </c>
      <c r="L2683" s="654">
        <v>0</v>
      </c>
      <c r="M2683" s="654">
        <v>0</v>
      </c>
      <c r="N2683" s="654">
        <v>0</v>
      </c>
    </row>
    <row r="2684" spans="1:14" x14ac:dyDescent="0.15">
      <c r="B2684"/>
      <c r="F2684" t="s">
        <v>735</v>
      </c>
      <c r="H2684" s="654">
        <v>707246</v>
      </c>
      <c r="I2684" s="654">
        <v>-14477</v>
      </c>
      <c r="J2684" s="654">
        <v>692769</v>
      </c>
      <c r="K2684" s="654">
        <v>692769</v>
      </c>
      <c r="L2684" s="654">
        <v>0</v>
      </c>
      <c r="M2684" s="654">
        <v>0</v>
      </c>
      <c r="N2684" s="654">
        <v>0</v>
      </c>
    </row>
    <row r="2685" spans="1:14" x14ac:dyDescent="0.15">
      <c r="B2685"/>
      <c r="E2685" t="s">
        <v>769</v>
      </c>
      <c r="H2685" s="654">
        <v>11643262</v>
      </c>
      <c r="I2685" s="654">
        <v>-586393</v>
      </c>
      <c r="J2685" s="654">
        <v>11056869</v>
      </c>
      <c r="K2685" s="654">
        <v>11056869</v>
      </c>
      <c r="L2685" s="654">
        <v>0</v>
      </c>
      <c r="M2685" s="654">
        <v>143142</v>
      </c>
      <c r="N2685" s="654">
        <v>1844565</v>
      </c>
    </row>
    <row r="2686" spans="1:14" x14ac:dyDescent="0.15">
      <c r="B2686"/>
      <c r="D2686" t="s">
        <v>733</v>
      </c>
      <c r="H2686" s="654">
        <v>11643262</v>
      </c>
      <c r="I2686" s="654">
        <v>-586393</v>
      </c>
      <c r="J2686" s="654">
        <v>11056869</v>
      </c>
      <c r="K2686" s="654">
        <v>11056869</v>
      </c>
      <c r="L2686" s="654">
        <v>0</v>
      </c>
      <c r="M2686" s="654">
        <v>143142</v>
      </c>
      <c r="N2686" s="654">
        <v>1844565</v>
      </c>
    </row>
    <row r="2687" spans="1:14" x14ac:dyDescent="0.15">
      <c r="B2687"/>
      <c r="D2687" t="s">
        <v>627</v>
      </c>
      <c r="E2687" t="s">
        <v>379</v>
      </c>
      <c r="F2687" t="s">
        <v>626</v>
      </c>
      <c r="G2687" t="s">
        <v>600</v>
      </c>
      <c r="H2687" s="654">
        <v>4733216</v>
      </c>
      <c r="I2687" s="654">
        <v>-14939</v>
      </c>
      <c r="J2687" s="654">
        <v>4718277</v>
      </c>
      <c r="K2687" s="654">
        <v>4718277</v>
      </c>
      <c r="L2687" s="654">
        <v>0</v>
      </c>
      <c r="M2687" s="654">
        <v>55977</v>
      </c>
      <c r="N2687" s="654">
        <v>511579</v>
      </c>
    </row>
    <row r="2688" spans="1:14" x14ac:dyDescent="0.15">
      <c r="B2688"/>
      <c r="F2688" t="s">
        <v>733</v>
      </c>
      <c r="H2688" s="654">
        <v>4733216</v>
      </c>
      <c r="I2688" s="654">
        <v>-14939</v>
      </c>
      <c r="J2688" s="654">
        <v>4718277</v>
      </c>
      <c r="K2688" s="654">
        <v>4718277</v>
      </c>
      <c r="L2688" s="654">
        <v>0</v>
      </c>
      <c r="M2688" s="654">
        <v>55977</v>
      </c>
      <c r="N2688" s="654">
        <v>511579</v>
      </c>
    </row>
    <row r="2689" spans="2:14" x14ac:dyDescent="0.15">
      <c r="B2689"/>
      <c r="F2689" t="s">
        <v>627</v>
      </c>
      <c r="G2689" t="s">
        <v>599</v>
      </c>
      <c r="H2689" s="654">
        <v>1408921</v>
      </c>
      <c r="I2689" s="654">
        <v>-205060</v>
      </c>
      <c r="J2689" s="654">
        <v>1203861</v>
      </c>
      <c r="K2689" s="654">
        <v>1203861</v>
      </c>
      <c r="L2689" s="654">
        <v>0</v>
      </c>
      <c r="M2689" s="654">
        <v>0</v>
      </c>
      <c r="N2689" s="654">
        <v>360429</v>
      </c>
    </row>
    <row r="2690" spans="2:14" x14ac:dyDescent="0.15">
      <c r="B2690"/>
      <c r="F2690" t="s">
        <v>734</v>
      </c>
      <c r="H2690" s="654">
        <v>1408921</v>
      </c>
      <c r="I2690" s="654">
        <v>-205060</v>
      </c>
      <c r="J2690" s="654">
        <v>1203861</v>
      </c>
      <c r="K2690" s="654">
        <v>1203861</v>
      </c>
      <c r="L2690" s="654">
        <v>0</v>
      </c>
      <c r="M2690" s="654">
        <v>0</v>
      </c>
      <c r="N2690" s="654">
        <v>360429</v>
      </c>
    </row>
    <row r="2691" spans="2:14" x14ac:dyDescent="0.15">
      <c r="B2691"/>
      <c r="F2691" t="s">
        <v>628</v>
      </c>
      <c r="G2691" t="s">
        <v>598</v>
      </c>
      <c r="H2691" s="654">
        <v>562631</v>
      </c>
      <c r="I2691" s="654">
        <v>0</v>
      </c>
      <c r="J2691" s="654">
        <v>562631</v>
      </c>
      <c r="K2691" s="654">
        <v>562631</v>
      </c>
      <c r="L2691" s="654">
        <v>0</v>
      </c>
      <c r="M2691" s="654">
        <v>31846</v>
      </c>
      <c r="N2691" s="654">
        <v>0</v>
      </c>
    </row>
    <row r="2692" spans="2:14" x14ac:dyDescent="0.15">
      <c r="B2692"/>
      <c r="F2692" t="s">
        <v>735</v>
      </c>
      <c r="H2692" s="654">
        <v>562631</v>
      </c>
      <c r="I2692" s="654">
        <v>0</v>
      </c>
      <c r="J2692" s="654">
        <v>562631</v>
      </c>
      <c r="K2692" s="654">
        <v>562631</v>
      </c>
      <c r="L2692" s="654">
        <v>0</v>
      </c>
      <c r="M2692" s="654">
        <v>31846</v>
      </c>
      <c r="N2692" s="654">
        <v>0</v>
      </c>
    </row>
    <row r="2693" spans="2:14" x14ac:dyDescent="0.15">
      <c r="B2693"/>
      <c r="E2693" t="s">
        <v>770</v>
      </c>
      <c r="H2693" s="654">
        <v>6704768</v>
      </c>
      <c r="I2693" s="654">
        <v>-219999</v>
      </c>
      <c r="J2693" s="654">
        <v>6484769</v>
      </c>
      <c r="K2693" s="654">
        <v>6484769</v>
      </c>
      <c r="L2693" s="654">
        <v>0</v>
      </c>
      <c r="M2693" s="654">
        <v>87823</v>
      </c>
      <c r="N2693" s="654">
        <v>872008</v>
      </c>
    </row>
    <row r="2694" spans="2:14" x14ac:dyDescent="0.15">
      <c r="B2694"/>
      <c r="D2694" t="s">
        <v>734</v>
      </c>
      <c r="H2694" s="654">
        <v>6704768</v>
      </c>
      <c r="I2694" s="654">
        <v>-219999</v>
      </c>
      <c r="J2694" s="654">
        <v>6484769</v>
      </c>
      <c r="K2694" s="654">
        <v>6484769</v>
      </c>
      <c r="L2694" s="654">
        <v>0</v>
      </c>
      <c r="M2694" s="654">
        <v>87823</v>
      </c>
      <c r="N2694" s="654">
        <v>872008</v>
      </c>
    </row>
    <row r="2695" spans="2:14" x14ac:dyDescent="0.15">
      <c r="B2695"/>
      <c r="D2695" t="s">
        <v>628</v>
      </c>
      <c r="E2695" t="s">
        <v>380</v>
      </c>
      <c r="F2695" t="s">
        <v>626</v>
      </c>
      <c r="G2695" t="s">
        <v>600</v>
      </c>
      <c r="H2695" s="654">
        <v>4496022</v>
      </c>
      <c r="I2695" s="654">
        <v>0</v>
      </c>
      <c r="J2695" s="654">
        <v>4496022</v>
      </c>
      <c r="K2695" s="654">
        <v>4496022</v>
      </c>
      <c r="L2695" s="654">
        <v>0</v>
      </c>
      <c r="M2695" s="654">
        <v>26133</v>
      </c>
      <c r="N2695" s="654">
        <v>525065</v>
      </c>
    </row>
    <row r="2696" spans="2:14" x14ac:dyDescent="0.15">
      <c r="B2696"/>
      <c r="F2696" t="s">
        <v>733</v>
      </c>
      <c r="H2696" s="654">
        <v>4496022</v>
      </c>
      <c r="I2696" s="654">
        <v>0</v>
      </c>
      <c r="J2696" s="654">
        <v>4496022</v>
      </c>
      <c r="K2696" s="654">
        <v>4496022</v>
      </c>
      <c r="L2696" s="654">
        <v>0</v>
      </c>
      <c r="M2696" s="654">
        <v>26133</v>
      </c>
      <c r="N2696" s="654">
        <v>525065</v>
      </c>
    </row>
    <row r="2697" spans="2:14" x14ac:dyDescent="0.15">
      <c r="B2697"/>
      <c r="F2697" t="s">
        <v>627</v>
      </c>
      <c r="G2697" t="s">
        <v>599</v>
      </c>
      <c r="H2697" s="654">
        <v>1912543</v>
      </c>
      <c r="I2697" s="654">
        <v>-283388</v>
      </c>
      <c r="J2697" s="654">
        <v>1629155</v>
      </c>
      <c r="K2697" s="654">
        <v>1629155</v>
      </c>
      <c r="L2697" s="654">
        <v>0</v>
      </c>
      <c r="M2697" s="654">
        <v>0</v>
      </c>
      <c r="N2697" s="654">
        <v>405773</v>
      </c>
    </row>
    <row r="2698" spans="2:14" x14ac:dyDescent="0.15">
      <c r="B2698"/>
      <c r="F2698" t="s">
        <v>734</v>
      </c>
      <c r="H2698" s="654">
        <v>1912543</v>
      </c>
      <c r="I2698" s="654">
        <v>-283388</v>
      </c>
      <c r="J2698" s="654">
        <v>1629155</v>
      </c>
      <c r="K2698" s="654">
        <v>1629155</v>
      </c>
      <c r="L2698" s="654">
        <v>0</v>
      </c>
      <c r="M2698" s="654">
        <v>0</v>
      </c>
      <c r="N2698" s="654">
        <v>405773</v>
      </c>
    </row>
    <row r="2699" spans="2:14" x14ac:dyDescent="0.15">
      <c r="B2699"/>
      <c r="E2699" t="s">
        <v>771</v>
      </c>
      <c r="H2699" s="654">
        <v>6408565</v>
      </c>
      <c r="I2699" s="654">
        <v>-283388</v>
      </c>
      <c r="J2699" s="654">
        <v>6125177</v>
      </c>
      <c r="K2699" s="654">
        <v>6125177</v>
      </c>
      <c r="L2699" s="654">
        <v>0</v>
      </c>
      <c r="M2699" s="654">
        <v>26133</v>
      </c>
      <c r="N2699" s="654">
        <v>930838</v>
      </c>
    </row>
    <row r="2700" spans="2:14" x14ac:dyDescent="0.15">
      <c r="B2700"/>
      <c r="D2700" t="s">
        <v>735</v>
      </c>
      <c r="H2700" s="654">
        <v>6408565</v>
      </c>
      <c r="I2700" s="654">
        <v>-283388</v>
      </c>
      <c r="J2700" s="654">
        <v>6125177</v>
      </c>
      <c r="K2700" s="654">
        <v>6125177</v>
      </c>
      <c r="L2700" s="654">
        <v>0</v>
      </c>
      <c r="M2700" s="654">
        <v>26133</v>
      </c>
      <c r="N2700" s="654">
        <v>930838</v>
      </c>
    </row>
    <row r="2701" spans="2:14" x14ac:dyDescent="0.15">
      <c r="B2701"/>
      <c r="D2701" t="s">
        <v>629</v>
      </c>
      <c r="E2701" t="s">
        <v>676</v>
      </c>
      <c r="F2701" t="s">
        <v>629</v>
      </c>
      <c r="G2701" t="s">
        <v>601</v>
      </c>
      <c r="H2701" s="654">
        <v>4195626</v>
      </c>
      <c r="I2701" s="654">
        <v>0</v>
      </c>
      <c r="J2701" s="654">
        <v>4195626</v>
      </c>
      <c r="K2701" s="654">
        <v>4195626</v>
      </c>
      <c r="L2701" s="654">
        <v>0</v>
      </c>
      <c r="M2701" s="654">
        <v>0</v>
      </c>
      <c r="N2701" s="654">
        <v>255681</v>
      </c>
    </row>
    <row r="2702" spans="2:14" x14ac:dyDescent="0.15">
      <c r="B2702"/>
      <c r="F2702" t="s">
        <v>736</v>
      </c>
      <c r="H2702" s="654">
        <v>4195626</v>
      </c>
      <c r="I2702" s="654">
        <v>0</v>
      </c>
      <c r="J2702" s="654">
        <v>4195626</v>
      </c>
      <c r="K2702" s="654">
        <v>4195626</v>
      </c>
      <c r="L2702" s="654">
        <v>0</v>
      </c>
      <c r="M2702" s="654">
        <v>0</v>
      </c>
      <c r="N2702" s="654">
        <v>255681</v>
      </c>
    </row>
    <row r="2703" spans="2:14" x14ac:dyDescent="0.15">
      <c r="B2703"/>
      <c r="E2703" t="s">
        <v>772</v>
      </c>
      <c r="H2703" s="654">
        <v>4195626</v>
      </c>
      <c r="I2703" s="654">
        <v>0</v>
      </c>
      <c r="J2703" s="654">
        <v>4195626</v>
      </c>
      <c r="K2703" s="654">
        <v>4195626</v>
      </c>
      <c r="L2703" s="654">
        <v>0</v>
      </c>
      <c r="M2703" s="654">
        <v>0</v>
      </c>
      <c r="N2703" s="654">
        <v>255681</v>
      </c>
    </row>
    <row r="2704" spans="2:14" x14ac:dyDescent="0.15">
      <c r="B2704"/>
      <c r="D2704" t="s">
        <v>736</v>
      </c>
      <c r="H2704" s="654">
        <v>4195626</v>
      </c>
      <c r="I2704" s="654">
        <v>0</v>
      </c>
      <c r="J2704" s="654">
        <v>4195626</v>
      </c>
      <c r="K2704" s="654">
        <v>4195626</v>
      </c>
      <c r="L2704" s="654">
        <v>0</v>
      </c>
      <c r="M2704" s="654">
        <v>0</v>
      </c>
      <c r="N2704" s="654">
        <v>255681</v>
      </c>
    </row>
    <row r="2705" spans="2:14" x14ac:dyDescent="0.15">
      <c r="B2705"/>
      <c r="D2705" t="s">
        <v>567</v>
      </c>
      <c r="E2705" t="s">
        <v>473</v>
      </c>
      <c r="F2705" t="s">
        <v>631</v>
      </c>
      <c r="G2705" t="s">
        <v>596</v>
      </c>
      <c r="H2705" s="654">
        <v>1073137</v>
      </c>
      <c r="I2705" s="654">
        <v>0</v>
      </c>
      <c r="J2705" s="654">
        <v>1073137</v>
      </c>
      <c r="K2705" s="654">
        <v>1073137</v>
      </c>
      <c r="L2705" s="654">
        <v>0</v>
      </c>
      <c r="M2705" s="654">
        <v>0</v>
      </c>
      <c r="N2705" s="654">
        <v>299671</v>
      </c>
    </row>
    <row r="2706" spans="2:14" x14ac:dyDescent="0.15">
      <c r="B2706"/>
      <c r="F2706" t="s">
        <v>737</v>
      </c>
      <c r="H2706" s="654">
        <v>1073137</v>
      </c>
      <c r="I2706" s="654">
        <v>0</v>
      </c>
      <c r="J2706" s="654">
        <v>1073137</v>
      </c>
      <c r="K2706" s="654">
        <v>1073137</v>
      </c>
      <c r="L2706" s="654">
        <v>0</v>
      </c>
      <c r="M2706" s="654">
        <v>0</v>
      </c>
      <c r="N2706" s="654">
        <v>299671</v>
      </c>
    </row>
    <row r="2707" spans="2:14" x14ac:dyDescent="0.15">
      <c r="B2707"/>
      <c r="E2707" t="s">
        <v>773</v>
      </c>
      <c r="H2707" s="654">
        <v>1073137</v>
      </c>
      <c r="I2707" s="654">
        <v>0</v>
      </c>
      <c r="J2707" s="654">
        <v>1073137</v>
      </c>
      <c r="K2707" s="654">
        <v>1073137</v>
      </c>
      <c r="L2707" s="654">
        <v>0</v>
      </c>
      <c r="M2707" s="654">
        <v>0</v>
      </c>
      <c r="N2707" s="654">
        <v>299671</v>
      </c>
    </row>
    <row r="2708" spans="2:14" x14ac:dyDescent="0.15">
      <c r="B2708"/>
      <c r="D2708" t="s">
        <v>739</v>
      </c>
      <c r="H2708" s="654">
        <v>1073137</v>
      </c>
      <c r="I2708" s="654">
        <v>0</v>
      </c>
      <c r="J2708" s="654">
        <v>1073137</v>
      </c>
      <c r="K2708" s="654">
        <v>1073137</v>
      </c>
      <c r="L2708" s="654">
        <v>0</v>
      </c>
      <c r="M2708" s="654">
        <v>0</v>
      </c>
      <c r="N2708" s="654">
        <v>299671</v>
      </c>
    </row>
    <row r="2709" spans="2:14" x14ac:dyDescent="0.15">
      <c r="B2709"/>
      <c r="D2709" t="s">
        <v>568</v>
      </c>
      <c r="E2709" t="s">
        <v>474</v>
      </c>
      <c r="F2709" t="s">
        <v>631</v>
      </c>
      <c r="G2709" t="s">
        <v>596</v>
      </c>
      <c r="H2709" s="654">
        <v>1012236</v>
      </c>
      <c r="I2709" s="654">
        <v>0</v>
      </c>
      <c r="J2709" s="654">
        <v>1012236</v>
      </c>
      <c r="K2709" s="654">
        <v>1012236</v>
      </c>
      <c r="L2709" s="654">
        <v>0</v>
      </c>
      <c r="M2709" s="654">
        <v>0</v>
      </c>
      <c r="N2709" s="654">
        <v>0</v>
      </c>
    </row>
    <row r="2710" spans="2:14" x14ac:dyDescent="0.15">
      <c r="B2710"/>
      <c r="F2710" t="s">
        <v>737</v>
      </c>
      <c r="H2710" s="654">
        <v>1012236</v>
      </c>
      <c r="I2710" s="654">
        <v>0</v>
      </c>
      <c r="J2710" s="654">
        <v>1012236</v>
      </c>
      <c r="K2710" s="654">
        <v>1012236</v>
      </c>
      <c r="L2710" s="654">
        <v>0</v>
      </c>
      <c r="M2710" s="654">
        <v>0</v>
      </c>
      <c r="N2710" s="654">
        <v>0</v>
      </c>
    </row>
    <row r="2711" spans="2:14" x14ac:dyDescent="0.15">
      <c r="B2711"/>
      <c r="E2711" t="s">
        <v>774</v>
      </c>
      <c r="H2711" s="654">
        <v>1012236</v>
      </c>
      <c r="I2711" s="654">
        <v>0</v>
      </c>
      <c r="J2711" s="654">
        <v>1012236</v>
      </c>
      <c r="K2711" s="654">
        <v>1012236</v>
      </c>
      <c r="L2711" s="654">
        <v>0</v>
      </c>
      <c r="M2711" s="654">
        <v>0</v>
      </c>
      <c r="N2711" s="654">
        <v>0</v>
      </c>
    </row>
    <row r="2712" spans="2:14" x14ac:dyDescent="0.15">
      <c r="B2712"/>
      <c r="D2712" t="s">
        <v>740</v>
      </c>
      <c r="H2712" s="654">
        <v>1012236</v>
      </c>
      <c r="I2712" s="654">
        <v>0</v>
      </c>
      <c r="J2712" s="654">
        <v>1012236</v>
      </c>
      <c r="K2712" s="654">
        <v>1012236</v>
      </c>
      <c r="L2712" s="654">
        <v>0</v>
      </c>
      <c r="M2712" s="654">
        <v>0</v>
      </c>
      <c r="N2712" s="654">
        <v>0</v>
      </c>
    </row>
    <row r="2713" spans="2:14" x14ac:dyDescent="0.15">
      <c r="B2713"/>
      <c r="D2713" t="s">
        <v>582</v>
      </c>
      <c r="E2713" t="s">
        <v>384</v>
      </c>
      <c r="F2713" t="s">
        <v>631</v>
      </c>
      <c r="G2713" t="s">
        <v>596</v>
      </c>
      <c r="H2713" s="654">
        <v>2443866</v>
      </c>
      <c r="I2713" s="654">
        <v>0</v>
      </c>
      <c r="J2713" s="654">
        <v>2443866</v>
      </c>
      <c r="K2713" s="654">
        <v>2443866</v>
      </c>
      <c r="L2713" s="654">
        <v>0</v>
      </c>
      <c r="M2713" s="654">
        <v>0</v>
      </c>
      <c r="N2713" s="654">
        <v>0</v>
      </c>
    </row>
    <row r="2714" spans="2:14" x14ac:dyDescent="0.15">
      <c r="B2714"/>
      <c r="F2714" t="s">
        <v>737</v>
      </c>
      <c r="H2714" s="654">
        <v>2443866</v>
      </c>
      <c r="I2714" s="654">
        <v>0</v>
      </c>
      <c r="J2714" s="654">
        <v>2443866</v>
      </c>
      <c r="K2714" s="654">
        <v>2443866</v>
      </c>
      <c r="L2714" s="654">
        <v>0</v>
      </c>
      <c r="M2714" s="654">
        <v>0</v>
      </c>
      <c r="N2714" s="654">
        <v>0</v>
      </c>
    </row>
    <row r="2715" spans="2:14" x14ac:dyDescent="0.15">
      <c r="B2715"/>
      <c r="E2715" t="s">
        <v>778</v>
      </c>
      <c r="H2715" s="654">
        <v>2443866</v>
      </c>
      <c r="I2715" s="654">
        <v>0</v>
      </c>
      <c r="J2715" s="654">
        <v>2443866</v>
      </c>
      <c r="K2715" s="654">
        <v>2443866</v>
      </c>
      <c r="L2715" s="654">
        <v>0</v>
      </c>
      <c r="M2715" s="654">
        <v>0</v>
      </c>
      <c r="N2715" s="654">
        <v>0</v>
      </c>
    </row>
    <row r="2716" spans="2:14" x14ac:dyDescent="0.15">
      <c r="B2716"/>
      <c r="D2716" t="s">
        <v>743</v>
      </c>
      <c r="H2716" s="654">
        <v>2443866</v>
      </c>
      <c r="I2716" s="654">
        <v>0</v>
      </c>
      <c r="J2716" s="654">
        <v>2443866</v>
      </c>
      <c r="K2716" s="654">
        <v>2443866</v>
      </c>
      <c r="L2716" s="654">
        <v>0</v>
      </c>
      <c r="M2716" s="654">
        <v>0</v>
      </c>
      <c r="N2716" s="654">
        <v>0</v>
      </c>
    </row>
    <row r="2717" spans="2:14" x14ac:dyDescent="0.15">
      <c r="B2717"/>
      <c r="D2717" t="s">
        <v>631</v>
      </c>
      <c r="E2717" t="s">
        <v>381</v>
      </c>
      <c r="F2717" t="s">
        <v>626</v>
      </c>
      <c r="G2717" t="s">
        <v>600</v>
      </c>
      <c r="H2717" s="654">
        <v>1819338</v>
      </c>
      <c r="I2717" s="654">
        <v>0</v>
      </c>
      <c r="J2717" s="654">
        <v>1819338</v>
      </c>
      <c r="K2717" s="654">
        <v>1819338</v>
      </c>
      <c r="L2717" s="654">
        <v>0</v>
      </c>
      <c r="M2717" s="654">
        <v>0</v>
      </c>
      <c r="N2717" s="654">
        <v>0</v>
      </c>
    </row>
    <row r="2718" spans="2:14" x14ac:dyDescent="0.15">
      <c r="B2718"/>
      <c r="F2718" t="s">
        <v>733</v>
      </c>
      <c r="H2718" s="654">
        <v>1819338</v>
      </c>
      <c r="I2718" s="654">
        <v>0</v>
      </c>
      <c r="J2718" s="654">
        <v>1819338</v>
      </c>
      <c r="K2718" s="654">
        <v>1819338</v>
      </c>
      <c r="L2718" s="654">
        <v>0</v>
      </c>
      <c r="M2718" s="654">
        <v>0</v>
      </c>
      <c r="N2718" s="654">
        <v>0</v>
      </c>
    </row>
    <row r="2719" spans="2:14" x14ac:dyDescent="0.15">
      <c r="B2719"/>
      <c r="E2719" t="s">
        <v>776</v>
      </c>
      <c r="H2719" s="654">
        <v>1819338</v>
      </c>
      <c r="I2719" s="654">
        <v>0</v>
      </c>
      <c r="J2719" s="654">
        <v>1819338</v>
      </c>
      <c r="K2719" s="654">
        <v>1819338</v>
      </c>
      <c r="L2719" s="654">
        <v>0</v>
      </c>
      <c r="M2719" s="654">
        <v>0</v>
      </c>
      <c r="N2719" s="654">
        <v>0</v>
      </c>
    </row>
    <row r="2720" spans="2:14" x14ac:dyDescent="0.15">
      <c r="B2720"/>
      <c r="D2720" t="s">
        <v>737</v>
      </c>
      <c r="H2720" s="654">
        <v>1819338</v>
      </c>
      <c r="I2720" s="654">
        <v>0</v>
      </c>
      <c r="J2720" s="654">
        <v>1819338</v>
      </c>
      <c r="K2720" s="654">
        <v>1819338</v>
      </c>
      <c r="L2720" s="654">
        <v>0</v>
      </c>
      <c r="M2720" s="654">
        <v>0</v>
      </c>
      <c r="N2720" s="654">
        <v>0</v>
      </c>
    </row>
    <row r="2721" spans="2:14" x14ac:dyDescent="0.15">
      <c r="B2721"/>
      <c r="D2721" t="s">
        <v>965</v>
      </c>
      <c r="E2721" t="s">
        <v>986</v>
      </c>
      <c r="F2721" t="s">
        <v>626</v>
      </c>
      <c r="G2721" t="s">
        <v>600</v>
      </c>
      <c r="H2721" s="654">
        <v>1178265</v>
      </c>
      <c r="I2721" s="654">
        <v>-69349</v>
      </c>
      <c r="J2721" s="654">
        <v>1108916</v>
      </c>
      <c r="K2721" s="654">
        <v>1108916</v>
      </c>
      <c r="L2721" s="654">
        <v>0</v>
      </c>
      <c r="M2721" s="654">
        <v>0</v>
      </c>
      <c r="N2721" s="654">
        <v>104897</v>
      </c>
    </row>
    <row r="2722" spans="2:14" x14ac:dyDescent="0.15">
      <c r="B2722"/>
      <c r="F2722" t="s">
        <v>733</v>
      </c>
      <c r="H2722" s="654">
        <v>1178265</v>
      </c>
      <c r="I2722" s="654">
        <v>-69349</v>
      </c>
      <c r="J2722" s="654">
        <v>1108916</v>
      </c>
      <c r="K2722" s="654">
        <v>1108916</v>
      </c>
      <c r="L2722" s="654">
        <v>0</v>
      </c>
      <c r="M2722" s="654">
        <v>0</v>
      </c>
      <c r="N2722" s="654">
        <v>104897</v>
      </c>
    </row>
    <row r="2723" spans="2:14" x14ac:dyDescent="0.15">
      <c r="B2723"/>
      <c r="F2723" t="s">
        <v>627</v>
      </c>
      <c r="G2723" t="s">
        <v>599</v>
      </c>
      <c r="H2723" s="654">
        <v>108944</v>
      </c>
      <c r="I2723" s="654">
        <v>0</v>
      </c>
      <c r="J2723" s="654">
        <v>108944</v>
      </c>
      <c r="K2723" s="654">
        <v>108944</v>
      </c>
      <c r="L2723" s="654">
        <v>0</v>
      </c>
      <c r="M2723" s="654">
        <v>0</v>
      </c>
      <c r="N2723" s="654">
        <v>18551</v>
      </c>
    </row>
    <row r="2724" spans="2:14" x14ac:dyDescent="0.15">
      <c r="B2724"/>
      <c r="F2724" t="s">
        <v>734</v>
      </c>
      <c r="H2724" s="654">
        <v>108944</v>
      </c>
      <c r="I2724" s="654">
        <v>0</v>
      </c>
      <c r="J2724" s="654">
        <v>108944</v>
      </c>
      <c r="K2724" s="654">
        <v>108944</v>
      </c>
      <c r="L2724" s="654">
        <v>0</v>
      </c>
      <c r="M2724" s="654">
        <v>0</v>
      </c>
      <c r="N2724" s="654">
        <v>18551</v>
      </c>
    </row>
    <row r="2725" spans="2:14" x14ac:dyDescent="0.15">
      <c r="B2725"/>
      <c r="E2725" t="s">
        <v>1138</v>
      </c>
      <c r="H2725" s="654">
        <v>1287209</v>
      </c>
      <c r="I2725" s="654">
        <v>-69349</v>
      </c>
      <c r="J2725" s="654">
        <v>1217860</v>
      </c>
      <c r="K2725" s="654">
        <v>1217860</v>
      </c>
      <c r="L2725" s="654">
        <v>0</v>
      </c>
      <c r="M2725" s="654">
        <v>0</v>
      </c>
      <c r="N2725" s="654">
        <v>123448</v>
      </c>
    </row>
    <row r="2726" spans="2:14" x14ac:dyDescent="0.15">
      <c r="B2726"/>
      <c r="D2726" t="s">
        <v>1139</v>
      </c>
      <c r="H2726" s="654">
        <v>1287209</v>
      </c>
      <c r="I2726" s="654">
        <v>-69349</v>
      </c>
      <c r="J2726" s="654">
        <v>1217860</v>
      </c>
      <c r="K2726" s="654">
        <v>1217860</v>
      </c>
      <c r="L2726" s="654">
        <v>0</v>
      </c>
      <c r="M2726" s="654">
        <v>0</v>
      </c>
      <c r="N2726" s="654">
        <v>123448</v>
      </c>
    </row>
    <row r="2727" spans="2:14" x14ac:dyDescent="0.15">
      <c r="B2727"/>
      <c r="D2727" t="s">
        <v>1201</v>
      </c>
      <c r="E2727" t="s">
        <v>1199</v>
      </c>
      <c r="F2727" t="s">
        <v>626</v>
      </c>
      <c r="G2727" t="s">
        <v>600</v>
      </c>
      <c r="H2727" s="654">
        <v>336011</v>
      </c>
      <c r="I2727" s="654">
        <v>-96663</v>
      </c>
      <c r="J2727" s="654">
        <v>239348</v>
      </c>
      <c r="K2727" s="654">
        <v>239348</v>
      </c>
      <c r="L2727" s="654">
        <v>0</v>
      </c>
      <c r="M2727" s="654">
        <v>23249</v>
      </c>
      <c r="N2727" s="654">
        <v>24627</v>
      </c>
    </row>
    <row r="2728" spans="2:14" x14ac:dyDescent="0.15">
      <c r="B2728"/>
      <c r="F2728" t="s">
        <v>733</v>
      </c>
      <c r="H2728" s="654">
        <v>336011</v>
      </c>
      <c r="I2728" s="654">
        <v>-96663</v>
      </c>
      <c r="J2728" s="654">
        <v>239348</v>
      </c>
      <c r="K2728" s="654">
        <v>239348</v>
      </c>
      <c r="L2728" s="654">
        <v>0</v>
      </c>
      <c r="M2728" s="654">
        <v>23249</v>
      </c>
      <c r="N2728" s="654">
        <v>24627</v>
      </c>
    </row>
    <row r="2729" spans="2:14" x14ac:dyDescent="0.15">
      <c r="B2729"/>
      <c r="F2729" t="s">
        <v>627</v>
      </c>
      <c r="G2729" t="s">
        <v>599</v>
      </c>
      <c r="H2729" s="654">
        <v>107015</v>
      </c>
      <c r="I2729" s="654">
        <v>0</v>
      </c>
      <c r="J2729" s="654">
        <v>107015</v>
      </c>
      <c r="K2729" s="654">
        <v>107015</v>
      </c>
      <c r="L2729" s="654">
        <v>0</v>
      </c>
      <c r="M2729" s="654">
        <v>0</v>
      </c>
      <c r="N2729" s="654">
        <v>24883</v>
      </c>
    </row>
    <row r="2730" spans="2:14" x14ac:dyDescent="0.15">
      <c r="B2730"/>
      <c r="F2730" t="s">
        <v>734</v>
      </c>
      <c r="H2730" s="654">
        <v>107015</v>
      </c>
      <c r="I2730" s="654">
        <v>0</v>
      </c>
      <c r="J2730" s="654">
        <v>107015</v>
      </c>
      <c r="K2730" s="654">
        <v>107015</v>
      </c>
      <c r="L2730" s="654">
        <v>0</v>
      </c>
      <c r="M2730" s="654">
        <v>0</v>
      </c>
      <c r="N2730" s="654">
        <v>24883</v>
      </c>
    </row>
    <row r="2731" spans="2:14" x14ac:dyDescent="0.15">
      <c r="B2731"/>
      <c r="E2731" t="s">
        <v>1379</v>
      </c>
      <c r="H2731" s="654">
        <v>443026</v>
      </c>
      <c r="I2731" s="654">
        <v>-96663</v>
      </c>
      <c r="J2731" s="654">
        <v>346363</v>
      </c>
      <c r="K2731" s="654">
        <v>346363</v>
      </c>
      <c r="L2731" s="654">
        <v>0</v>
      </c>
      <c r="M2731" s="654">
        <v>23249</v>
      </c>
      <c r="N2731" s="654">
        <v>49510</v>
      </c>
    </row>
    <row r="2732" spans="2:14" x14ac:dyDescent="0.15">
      <c r="B2732"/>
      <c r="D2732" t="s">
        <v>1380</v>
      </c>
      <c r="H2732" s="654">
        <v>443026</v>
      </c>
      <c r="I2732" s="654">
        <v>-96663</v>
      </c>
      <c r="J2732" s="654">
        <v>346363</v>
      </c>
      <c r="K2732" s="654">
        <v>346363</v>
      </c>
      <c r="L2732" s="654">
        <v>0</v>
      </c>
      <c r="M2732" s="654">
        <v>23249</v>
      </c>
      <c r="N2732" s="654">
        <v>49510</v>
      </c>
    </row>
    <row r="2733" spans="2:14" x14ac:dyDescent="0.15">
      <c r="B2733"/>
      <c r="C2733" t="s">
        <v>853</v>
      </c>
      <c r="H2733" s="654">
        <v>37031033</v>
      </c>
      <c r="I2733" s="654">
        <v>-1255792</v>
      </c>
      <c r="J2733" s="654">
        <v>35775241</v>
      </c>
      <c r="K2733" s="654">
        <v>35775241</v>
      </c>
      <c r="L2733" s="654">
        <v>0</v>
      </c>
      <c r="M2733" s="654">
        <v>280347</v>
      </c>
      <c r="N2733" s="654">
        <v>4375721</v>
      </c>
    </row>
    <row r="2734" spans="2:14" x14ac:dyDescent="0.15">
      <c r="B2734" t="s">
        <v>627</v>
      </c>
      <c r="C2734" t="s">
        <v>847</v>
      </c>
      <c r="D2734" t="s">
        <v>626</v>
      </c>
      <c r="E2734" t="s">
        <v>378</v>
      </c>
      <c r="F2734" t="s">
        <v>626</v>
      </c>
      <c r="G2734" t="s">
        <v>600</v>
      </c>
      <c r="H2734" s="654">
        <v>334180</v>
      </c>
      <c r="I2734" s="654">
        <v>-3317</v>
      </c>
      <c r="J2734" s="654">
        <v>330863</v>
      </c>
      <c r="K2734" s="654">
        <v>330863</v>
      </c>
      <c r="L2734" s="654">
        <v>0</v>
      </c>
      <c r="M2734" s="654">
        <v>0</v>
      </c>
      <c r="N2734" s="654">
        <v>0</v>
      </c>
    </row>
    <row r="2735" spans="2:14" x14ac:dyDescent="0.15">
      <c r="B2735"/>
      <c r="F2735" t="s">
        <v>733</v>
      </c>
      <c r="H2735" s="654">
        <v>334180</v>
      </c>
      <c r="I2735" s="654">
        <v>-3317</v>
      </c>
      <c r="J2735" s="654">
        <v>330863</v>
      </c>
      <c r="K2735" s="654">
        <v>330863</v>
      </c>
      <c r="L2735" s="654">
        <v>0</v>
      </c>
      <c r="M2735" s="654">
        <v>0</v>
      </c>
      <c r="N2735" s="654">
        <v>0</v>
      </c>
    </row>
    <row r="2736" spans="2:14" x14ac:dyDescent="0.15">
      <c r="B2736"/>
      <c r="F2736" t="s">
        <v>627</v>
      </c>
      <c r="G2736" t="s">
        <v>599</v>
      </c>
      <c r="H2736" s="654">
        <v>553563</v>
      </c>
      <c r="I2736" s="654">
        <v>0</v>
      </c>
      <c r="J2736" s="654">
        <v>553563</v>
      </c>
      <c r="K2736" s="654">
        <v>553563</v>
      </c>
      <c r="L2736" s="654">
        <v>0</v>
      </c>
      <c r="M2736" s="654">
        <v>0</v>
      </c>
      <c r="N2736" s="654">
        <v>0</v>
      </c>
    </row>
    <row r="2737" spans="2:14" x14ac:dyDescent="0.15">
      <c r="B2737"/>
      <c r="F2737" t="s">
        <v>734</v>
      </c>
      <c r="H2737" s="654">
        <v>553563</v>
      </c>
      <c r="I2737" s="654">
        <v>0</v>
      </c>
      <c r="J2737" s="654">
        <v>553563</v>
      </c>
      <c r="K2737" s="654">
        <v>553563</v>
      </c>
      <c r="L2737" s="654">
        <v>0</v>
      </c>
      <c r="M2737" s="654">
        <v>0</v>
      </c>
      <c r="N2737" s="654">
        <v>0</v>
      </c>
    </row>
    <row r="2738" spans="2:14" x14ac:dyDescent="0.15">
      <c r="B2738"/>
      <c r="F2738" t="s">
        <v>628</v>
      </c>
      <c r="G2738" t="s">
        <v>598</v>
      </c>
      <c r="H2738" s="654">
        <v>28954</v>
      </c>
      <c r="I2738" s="654">
        <v>-14477</v>
      </c>
      <c r="J2738" s="654">
        <v>14477</v>
      </c>
      <c r="K2738" s="654">
        <v>14477</v>
      </c>
      <c r="L2738" s="654">
        <v>0</v>
      </c>
      <c r="M2738" s="654">
        <v>0</v>
      </c>
      <c r="N2738" s="654">
        <v>0</v>
      </c>
    </row>
    <row r="2739" spans="2:14" x14ac:dyDescent="0.15">
      <c r="B2739"/>
      <c r="F2739" t="s">
        <v>735</v>
      </c>
      <c r="H2739" s="654">
        <v>28954</v>
      </c>
      <c r="I2739" s="654">
        <v>-14477</v>
      </c>
      <c r="J2739" s="654">
        <v>14477</v>
      </c>
      <c r="K2739" s="654">
        <v>14477</v>
      </c>
      <c r="L2739" s="654">
        <v>0</v>
      </c>
      <c r="M2739" s="654">
        <v>0</v>
      </c>
      <c r="N2739" s="654">
        <v>0</v>
      </c>
    </row>
    <row r="2740" spans="2:14" x14ac:dyDescent="0.15">
      <c r="B2740"/>
      <c r="E2740" t="s">
        <v>769</v>
      </c>
      <c r="H2740" s="654">
        <v>916697</v>
      </c>
      <c r="I2740" s="654">
        <v>-17794</v>
      </c>
      <c r="J2740" s="654">
        <v>898903</v>
      </c>
      <c r="K2740" s="654">
        <v>898903</v>
      </c>
      <c r="L2740" s="654">
        <v>0</v>
      </c>
      <c r="M2740" s="654">
        <v>0</v>
      </c>
      <c r="N2740" s="654">
        <v>0</v>
      </c>
    </row>
    <row r="2741" spans="2:14" x14ac:dyDescent="0.15">
      <c r="B2741"/>
      <c r="D2741" t="s">
        <v>733</v>
      </c>
      <c r="H2741" s="654">
        <v>916697</v>
      </c>
      <c r="I2741" s="654">
        <v>-17794</v>
      </c>
      <c r="J2741" s="654">
        <v>898903</v>
      </c>
      <c r="K2741" s="654">
        <v>898903</v>
      </c>
      <c r="L2741" s="654">
        <v>0</v>
      </c>
      <c r="M2741" s="654">
        <v>0</v>
      </c>
      <c r="N2741" s="654">
        <v>0</v>
      </c>
    </row>
    <row r="2742" spans="2:14" x14ac:dyDescent="0.15">
      <c r="B2742"/>
      <c r="D2742" t="s">
        <v>627</v>
      </c>
      <c r="E2742" t="s">
        <v>379</v>
      </c>
      <c r="F2742" t="s">
        <v>626</v>
      </c>
      <c r="G2742" t="s">
        <v>600</v>
      </c>
      <c r="H2742" s="654">
        <v>0</v>
      </c>
      <c r="I2742" s="654">
        <v>397</v>
      </c>
      <c r="J2742" s="654">
        <v>397</v>
      </c>
      <c r="K2742" s="654">
        <v>397</v>
      </c>
      <c r="L2742" s="654">
        <v>0</v>
      </c>
      <c r="M2742" s="654">
        <v>0</v>
      </c>
      <c r="N2742" s="654">
        <v>0</v>
      </c>
    </row>
    <row r="2743" spans="2:14" x14ac:dyDescent="0.15">
      <c r="B2743"/>
      <c r="F2743" t="s">
        <v>733</v>
      </c>
      <c r="H2743" s="654">
        <v>0</v>
      </c>
      <c r="I2743" s="654">
        <v>397</v>
      </c>
      <c r="J2743" s="654">
        <v>397</v>
      </c>
      <c r="K2743" s="654">
        <v>397</v>
      </c>
      <c r="L2743" s="654">
        <v>0</v>
      </c>
      <c r="M2743" s="654">
        <v>0</v>
      </c>
      <c r="N2743" s="654">
        <v>0</v>
      </c>
    </row>
    <row r="2744" spans="2:14" x14ac:dyDescent="0.15">
      <c r="B2744"/>
      <c r="F2744" t="s">
        <v>627</v>
      </c>
      <c r="G2744" t="s">
        <v>599</v>
      </c>
      <c r="H2744" s="654">
        <v>547953</v>
      </c>
      <c r="I2744" s="654">
        <v>-196962</v>
      </c>
      <c r="J2744" s="654">
        <v>350991</v>
      </c>
      <c r="K2744" s="654">
        <v>350991</v>
      </c>
      <c r="L2744" s="654">
        <v>0</v>
      </c>
      <c r="M2744" s="654">
        <v>0</v>
      </c>
      <c r="N2744" s="654">
        <v>0</v>
      </c>
    </row>
    <row r="2745" spans="2:14" x14ac:dyDescent="0.15">
      <c r="B2745"/>
      <c r="F2745" t="s">
        <v>734</v>
      </c>
      <c r="H2745" s="654">
        <v>547953</v>
      </c>
      <c r="I2745" s="654">
        <v>-196962</v>
      </c>
      <c r="J2745" s="654">
        <v>350991</v>
      </c>
      <c r="K2745" s="654">
        <v>350991</v>
      </c>
      <c r="L2745" s="654">
        <v>0</v>
      </c>
      <c r="M2745" s="654">
        <v>0</v>
      </c>
      <c r="N2745" s="654">
        <v>0</v>
      </c>
    </row>
    <row r="2746" spans="2:14" x14ac:dyDescent="0.15">
      <c r="B2746"/>
      <c r="F2746" t="s">
        <v>628</v>
      </c>
      <c r="G2746" t="s">
        <v>598</v>
      </c>
      <c r="H2746" s="654">
        <v>60298</v>
      </c>
      <c r="I2746" s="654">
        <v>0</v>
      </c>
      <c r="J2746" s="654">
        <v>60298</v>
      </c>
      <c r="K2746" s="654">
        <v>60298</v>
      </c>
      <c r="L2746" s="654">
        <v>0</v>
      </c>
      <c r="M2746" s="654">
        <v>0</v>
      </c>
      <c r="N2746" s="654">
        <v>0</v>
      </c>
    </row>
    <row r="2747" spans="2:14" x14ac:dyDescent="0.15">
      <c r="B2747"/>
      <c r="F2747" t="s">
        <v>735</v>
      </c>
      <c r="H2747" s="654">
        <v>60298</v>
      </c>
      <c r="I2747" s="654">
        <v>0</v>
      </c>
      <c r="J2747" s="654">
        <v>60298</v>
      </c>
      <c r="K2747" s="654">
        <v>60298</v>
      </c>
      <c r="L2747" s="654">
        <v>0</v>
      </c>
      <c r="M2747" s="654">
        <v>0</v>
      </c>
      <c r="N2747" s="654">
        <v>0</v>
      </c>
    </row>
    <row r="2748" spans="2:14" x14ac:dyDescent="0.15">
      <c r="B2748"/>
      <c r="E2748" t="s">
        <v>770</v>
      </c>
      <c r="H2748" s="654">
        <v>608251</v>
      </c>
      <c r="I2748" s="654">
        <v>-196565</v>
      </c>
      <c r="J2748" s="654">
        <v>411686</v>
      </c>
      <c r="K2748" s="654">
        <v>411686</v>
      </c>
      <c r="L2748" s="654">
        <v>0</v>
      </c>
      <c r="M2748" s="654">
        <v>0</v>
      </c>
      <c r="N2748" s="654">
        <v>0</v>
      </c>
    </row>
    <row r="2749" spans="2:14" x14ac:dyDescent="0.15">
      <c r="B2749"/>
      <c r="D2749" t="s">
        <v>734</v>
      </c>
      <c r="H2749" s="654">
        <v>608251</v>
      </c>
      <c r="I2749" s="654">
        <v>-196565</v>
      </c>
      <c r="J2749" s="654">
        <v>411686</v>
      </c>
      <c r="K2749" s="654">
        <v>411686</v>
      </c>
      <c r="L2749" s="654">
        <v>0</v>
      </c>
      <c r="M2749" s="654">
        <v>0</v>
      </c>
      <c r="N2749" s="654">
        <v>0</v>
      </c>
    </row>
    <row r="2750" spans="2:14" x14ac:dyDescent="0.15">
      <c r="B2750"/>
      <c r="D2750" t="s">
        <v>628</v>
      </c>
      <c r="E2750" t="s">
        <v>380</v>
      </c>
      <c r="F2750" t="s">
        <v>626</v>
      </c>
      <c r="G2750" t="s">
        <v>600</v>
      </c>
      <c r="H2750" s="654">
        <v>496066</v>
      </c>
      <c r="I2750" s="654">
        <v>0</v>
      </c>
      <c r="J2750" s="654">
        <v>496066</v>
      </c>
      <c r="K2750" s="654">
        <v>496066</v>
      </c>
      <c r="L2750" s="654">
        <v>0</v>
      </c>
      <c r="M2750" s="654">
        <v>0</v>
      </c>
      <c r="N2750" s="654">
        <v>0</v>
      </c>
    </row>
    <row r="2751" spans="2:14" x14ac:dyDescent="0.15">
      <c r="B2751"/>
      <c r="F2751" t="s">
        <v>733</v>
      </c>
      <c r="H2751" s="654">
        <v>496066</v>
      </c>
      <c r="I2751" s="654">
        <v>0</v>
      </c>
      <c r="J2751" s="654">
        <v>496066</v>
      </c>
      <c r="K2751" s="654">
        <v>496066</v>
      </c>
      <c r="L2751" s="654">
        <v>0</v>
      </c>
      <c r="M2751" s="654">
        <v>0</v>
      </c>
      <c r="N2751" s="654">
        <v>0</v>
      </c>
    </row>
    <row r="2752" spans="2:14" x14ac:dyDescent="0.15">
      <c r="B2752"/>
      <c r="F2752" t="s">
        <v>627</v>
      </c>
      <c r="G2752" t="s">
        <v>599</v>
      </c>
      <c r="H2752" s="654">
        <v>115768</v>
      </c>
      <c r="I2752" s="654">
        <v>0</v>
      </c>
      <c r="J2752" s="654">
        <v>115768</v>
      </c>
      <c r="K2752" s="654">
        <v>115768</v>
      </c>
      <c r="L2752" s="654">
        <v>0</v>
      </c>
      <c r="M2752" s="654">
        <v>0</v>
      </c>
      <c r="N2752" s="654">
        <v>0</v>
      </c>
    </row>
    <row r="2753" spans="2:14" x14ac:dyDescent="0.15">
      <c r="B2753"/>
      <c r="F2753" t="s">
        <v>734</v>
      </c>
      <c r="H2753" s="654">
        <v>115768</v>
      </c>
      <c r="I2753" s="654">
        <v>0</v>
      </c>
      <c r="J2753" s="654">
        <v>115768</v>
      </c>
      <c r="K2753" s="654">
        <v>115768</v>
      </c>
      <c r="L2753" s="654">
        <v>0</v>
      </c>
      <c r="M2753" s="654">
        <v>0</v>
      </c>
      <c r="N2753" s="654">
        <v>0</v>
      </c>
    </row>
    <row r="2754" spans="2:14" x14ac:dyDescent="0.15">
      <c r="B2754"/>
      <c r="E2754" t="s">
        <v>771</v>
      </c>
      <c r="H2754" s="654">
        <v>611834</v>
      </c>
      <c r="I2754" s="654">
        <v>0</v>
      </c>
      <c r="J2754" s="654">
        <v>611834</v>
      </c>
      <c r="K2754" s="654">
        <v>611834</v>
      </c>
      <c r="L2754" s="654">
        <v>0</v>
      </c>
      <c r="M2754" s="654">
        <v>0</v>
      </c>
      <c r="N2754" s="654">
        <v>0</v>
      </c>
    </row>
    <row r="2755" spans="2:14" x14ac:dyDescent="0.15">
      <c r="B2755"/>
      <c r="D2755" t="s">
        <v>735</v>
      </c>
      <c r="H2755" s="654">
        <v>611834</v>
      </c>
      <c r="I2755" s="654">
        <v>0</v>
      </c>
      <c r="J2755" s="654">
        <v>611834</v>
      </c>
      <c r="K2755" s="654">
        <v>611834</v>
      </c>
      <c r="L2755" s="654">
        <v>0</v>
      </c>
      <c r="M2755" s="654">
        <v>0</v>
      </c>
      <c r="N2755" s="654">
        <v>0</v>
      </c>
    </row>
    <row r="2756" spans="2:14" x14ac:dyDescent="0.15">
      <c r="B2756"/>
      <c r="D2756" t="s">
        <v>629</v>
      </c>
      <c r="E2756" t="s">
        <v>676</v>
      </c>
      <c r="F2756" t="s">
        <v>629</v>
      </c>
      <c r="G2756" t="s">
        <v>601</v>
      </c>
      <c r="H2756" s="654">
        <v>23815</v>
      </c>
      <c r="I2756" s="654">
        <v>370890</v>
      </c>
      <c r="J2756" s="654">
        <v>394705</v>
      </c>
      <c r="K2756" s="654">
        <v>394705</v>
      </c>
      <c r="L2756" s="654">
        <v>0</v>
      </c>
      <c r="M2756" s="654">
        <v>0</v>
      </c>
      <c r="N2756" s="654">
        <v>0</v>
      </c>
    </row>
    <row r="2757" spans="2:14" x14ac:dyDescent="0.15">
      <c r="B2757"/>
      <c r="F2757" t="s">
        <v>736</v>
      </c>
      <c r="H2757" s="654">
        <v>23815</v>
      </c>
      <c r="I2757" s="654">
        <v>370890</v>
      </c>
      <c r="J2757" s="654">
        <v>394705</v>
      </c>
      <c r="K2757" s="654">
        <v>394705</v>
      </c>
      <c r="L2757" s="654">
        <v>0</v>
      </c>
      <c r="M2757" s="654">
        <v>0</v>
      </c>
      <c r="N2757" s="654">
        <v>0</v>
      </c>
    </row>
    <row r="2758" spans="2:14" x14ac:dyDescent="0.15">
      <c r="B2758"/>
      <c r="E2758" t="s">
        <v>772</v>
      </c>
      <c r="H2758" s="654">
        <v>23815</v>
      </c>
      <c r="I2758" s="654">
        <v>370890</v>
      </c>
      <c r="J2758" s="654">
        <v>394705</v>
      </c>
      <c r="K2758" s="654">
        <v>394705</v>
      </c>
      <c r="L2758" s="654">
        <v>0</v>
      </c>
      <c r="M2758" s="654">
        <v>0</v>
      </c>
      <c r="N2758" s="654">
        <v>0</v>
      </c>
    </row>
    <row r="2759" spans="2:14" x14ac:dyDescent="0.15">
      <c r="B2759"/>
      <c r="D2759" t="s">
        <v>736</v>
      </c>
      <c r="H2759" s="654">
        <v>23815</v>
      </c>
      <c r="I2759" s="654">
        <v>370890</v>
      </c>
      <c r="J2759" s="654">
        <v>394705</v>
      </c>
      <c r="K2759" s="654">
        <v>394705</v>
      </c>
      <c r="L2759" s="654">
        <v>0</v>
      </c>
      <c r="M2759" s="654">
        <v>0</v>
      </c>
      <c r="N2759" s="654">
        <v>0</v>
      </c>
    </row>
    <row r="2760" spans="2:14" x14ac:dyDescent="0.15">
      <c r="B2760"/>
      <c r="D2760" t="s">
        <v>567</v>
      </c>
      <c r="E2760" t="s">
        <v>473</v>
      </c>
      <c r="F2760" t="s">
        <v>631</v>
      </c>
      <c r="G2760" t="s">
        <v>596</v>
      </c>
      <c r="H2760" s="654">
        <v>0</v>
      </c>
      <c r="I2760" s="654">
        <v>0</v>
      </c>
      <c r="J2760" s="654">
        <v>0</v>
      </c>
      <c r="K2760" s="654">
        <v>0</v>
      </c>
      <c r="L2760" s="654">
        <v>0</v>
      </c>
      <c r="M2760" s="654">
        <v>0</v>
      </c>
      <c r="N2760" s="654">
        <v>0</v>
      </c>
    </row>
    <row r="2761" spans="2:14" x14ac:dyDescent="0.15">
      <c r="B2761"/>
      <c r="F2761" t="s">
        <v>737</v>
      </c>
      <c r="H2761" s="654">
        <v>0</v>
      </c>
      <c r="I2761" s="654">
        <v>0</v>
      </c>
      <c r="J2761" s="654">
        <v>0</v>
      </c>
      <c r="K2761" s="654">
        <v>0</v>
      </c>
      <c r="L2761" s="654">
        <v>0</v>
      </c>
      <c r="M2761" s="654">
        <v>0</v>
      </c>
      <c r="N2761" s="654">
        <v>0</v>
      </c>
    </row>
    <row r="2762" spans="2:14" x14ac:dyDescent="0.15">
      <c r="B2762"/>
      <c r="E2762" t="s">
        <v>773</v>
      </c>
      <c r="H2762" s="654">
        <v>0</v>
      </c>
      <c r="I2762" s="654">
        <v>0</v>
      </c>
      <c r="J2762" s="654">
        <v>0</v>
      </c>
      <c r="K2762" s="654">
        <v>0</v>
      </c>
      <c r="L2762" s="654">
        <v>0</v>
      </c>
      <c r="M2762" s="654">
        <v>0</v>
      </c>
      <c r="N2762" s="654">
        <v>0</v>
      </c>
    </row>
    <row r="2763" spans="2:14" x14ac:dyDescent="0.15">
      <c r="B2763"/>
      <c r="D2763" t="s">
        <v>739</v>
      </c>
      <c r="H2763" s="654">
        <v>0</v>
      </c>
      <c r="I2763" s="654">
        <v>0</v>
      </c>
      <c r="J2763" s="654">
        <v>0</v>
      </c>
      <c r="K2763" s="654">
        <v>0</v>
      </c>
      <c r="L2763" s="654">
        <v>0</v>
      </c>
      <c r="M2763" s="654">
        <v>0</v>
      </c>
      <c r="N2763" s="654">
        <v>0</v>
      </c>
    </row>
    <row r="2764" spans="2:14" x14ac:dyDescent="0.15">
      <c r="B2764"/>
      <c r="D2764" t="s">
        <v>568</v>
      </c>
      <c r="E2764" t="s">
        <v>474</v>
      </c>
      <c r="F2764" t="s">
        <v>631</v>
      </c>
      <c r="G2764" t="s">
        <v>596</v>
      </c>
      <c r="H2764" s="654">
        <v>0</v>
      </c>
      <c r="I2764" s="654">
        <v>0</v>
      </c>
      <c r="J2764" s="654">
        <v>0</v>
      </c>
      <c r="K2764" s="654">
        <v>0</v>
      </c>
      <c r="L2764" s="654">
        <v>0</v>
      </c>
      <c r="M2764" s="654">
        <v>0</v>
      </c>
      <c r="N2764" s="654">
        <v>0</v>
      </c>
    </row>
    <row r="2765" spans="2:14" x14ac:dyDescent="0.15">
      <c r="B2765"/>
      <c r="F2765" t="s">
        <v>737</v>
      </c>
      <c r="H2765" s="654">
        <v>0</v>
      </c>
      <c r="I2765" s="654">
        <v>0</v>
      </c>
      <c r="J2765" s="654">
        <v>0</v>
      </c>
      <c r="K2765" s="654">
        <v>0</v>
      </c>
      <c r="L2765" s="654">
        <v>0</v>
      </c>
      <c r="M2765" s="654">
        <v>0</v>
      </c>
      <c r="N2765" s="654">
        <v>0</v>
      </c>
    </row>
    <row r="2766" spans="2:14" x14ac:dyDescent="0.15">
      <c r="B2766"/>
      <c r="E2766" t="s">
        <v>774</v>
      </c>
      <c r="H2766" s="654">
        <v>0</v>
      </c>
      <c r="I2766" s="654">
        <v>0</v>
      </c>
      <c r="J2766" s="654">
        <v>0</v>
      </c>
      <c r="K2766" s="654">
        <v>0</v>
      </c>
      <c r="L2766" s="654">
        <v>0</v>
      </c>
      <c r="M2766" s="654">
        <v>0</v>
      </c>
      <c r="N2766" s="654">
        <v>0</v>
      </c>
    </row>
    <row r="2767" spans="2:14" x14ac:dyDescent="0.15">
      <c r="B2767"/>
      <c r="D2767" t="s">
        <v>740</v>
      </c>
      <c r="H2767" s="654">
        <v>0</v>
      </c>
      <c r="I2767" s="654">
        <v>0</v>
      </c>
      <c r="J2767" s="654">
        <v>0</v>
      </c>
      <c r="K2767" s="654">
        <v>0</v>
      </c>
      <c r="L2767" s="654">
        <v>0</v>
      </c>
      <c r="M2767" s="654">
        <v>0</v>
      </c>
      <c r="N2767" s="654">
        <v>0</v>
      </c>
    </row>
    <row r="2768" spans="2:14" x14ac:dyDescent="0.15">
      <c r="B2768"/>
      <c r="D2768" t="s">
        <v>582</v>
      </c>
      <c r="E2768" t="s">
        <v>384</v>
      </c>
      <c r="F2768" t="s">
        <v>631</v>
      </c>
      <c r="G2768" t="s">
        <v>596</v>
      </c>
      <c r="H2768" s="654">
        <v>0</v>
      </c>
      <c r="I2768" s="654">
        <v>0</v>
      </c>
      <c r="J2768" s="654">
        <v>0</v>
      </c>
      <c r="K2768" s="654">
        <v>0</v>
      </c>
      <c r="L2768" s="654">
        <v>0</v>
      </c>
      <c r="M2768" s="654">
        <v>0</v>
      </c>
      <c r="N2768" s="654">
        <v>0</v>
      </c>
    </row>
    <row r="2769" spans="2:14" x14ac:dyDescent="0.15">
      <c r="B2769"/>
      <c r="F2769" t="s">
        <v>737</v>
      </c>
      <c r="H2769" s="654">
        <v>0</v>
      </c>
      <c r="I2769" s="654">
        <v>0</v>
      </c>
      <c r="J2769" s="654">
        <v>0</v>
      </c>
      <c r="K2769" s="654">
        <v>0</v>
      </c>
      <c r="L2769" s="654">
        <v>0</v>
      </c>
      <c r="M2769" s="654">
        <v>0</v>
      </c>
      <c r="N2769" s="654">
        <v>0</v>
      </c>
    </row>
    <row r="2770" spans="2:14" x14ac:dyDescent="0.15">
      <c r="B2770"/>
      <c r="E2770" t="s">
        <v>778</v>
      </c>
      <c r="H2770" s="654">
        <v>0</v>
      </c>
      <c r="I2770" s="654">
        <v>0</v>
      </c>
      <c r="J2770" s="654">
        <v>0</v>
      </c>
      <c r="K2770" s="654">
        <v>0</v>
      </c>
      <c r="L2770" s="654">
        <v>0</v>
      </c>
      <c r="M2770" s="654">
        <v>0</v>
      </c>
      <c r="N2770" s="654">
        <v>0</v>
      </c>
    </row>
    <row r="2771" spans="2:14" x14ac:dyDescent="0.15">
      <c r="B2771"/>
      <c r="D2771" t="s">
        <v>743</v>
      </c>
      <c r="H2771" s="654">
        <v>0</v>
      </c>
      <c r="I2771" s="654">
        <v>0</v>
      </c>
      <c r="J2771" s="654">
        <v>0</v>
      </c>
      <c r="K2771" s="654">
        <v>0</v>
      </c>
      <c r="L2771" s="654">
        <v>0</v>
      </c>
      <c r="M2771" s="654">
        <v>0</v>
      </c>
      <c r="N2771" s="654">
        <v>0</v>
      </c>
    </row>
    <row r="2772" spans="2:14" x14ac:dyDescent="0.15">
      <c r="B2772"/>
      <c r="D2772" t="s">
        <v>631</v>
      </c>
      <c r="E2772" t="s">
        <v>381</v>
      </c>
      <c r="F2772" t="s">
        <v>626</v>
      </c>
      <c r="G2772" t="s">
        <v>600</v>
      </c>
      <c r="H2772" s="654">
        <v>858824</v>
      </c>
      <c r="I2772" s="654">
        <v>57255</v>
      </c>
      <c r="J2772" s="654">
        <v>916079</v>
      </c>
      <c r="K2772" s="654">
        <v>916079</v>
      </c>
      <c r="L2772" s="654">
        <v>0</v>
      </c>
      <c r="M2772" s="654">
        <v>0</v>
      </c>
      <c r="N2772" s="654">
        <v>0</v>
      </c>
    </row>
    <row r="2773" spans="2:14" x14ac:dyDescent="0.15">
      <c r="B2773"/>
      <c r="F2773" t="s">
        <v>733</v>
      </c>
      <c r="H2773" s="654">
        <v>858824</v>
      </c>
      <c r="I2773" s="654">
        <v>57255</v>
      </c>
      <c r="J2773" s="654">
        <v>916079</v>
      </c>
      <c r="K2773" s="654">
        <v>916079</v>
      </c>
      <c r="L2773" s="654">
        <v>0</v>
      </c>
      <c r="M2773" s="654">
        <v>0</v>
      </c>
      <c r="N2773" s="654">
        <v>0</v>
      </c>
    </row>
    <row r="2774" spans="2:14" x14ac:dyDescent="0.15">
      <c r="B2774"/>
      <c r="E2774" t="s">
        <v>776</v>
      </c>
      <c r="H2774" s="654">
        <v>858824</v>
      </c>
      <c r="I2774" s="654">
        <v>57255</v>
      </c>
      <c r="J2774" s="654">
        <v>916079</v>
      </c>
      <c r="K2774" s="654">
        <v>916079</v>
      </c>
      <c r="L2774" s="654">
        <v>0</v>
      </c>
      <c r="M2774" s="654">
        <v>0</v>
      </c>
      <c r="N2774" s="654">
        <v>0</v>
      </c>
    </row>
    <row r="2775" spans="2:14" x14ac:dyDescent="0.15">
      <c r="B2775"/>
      <c r="D2775" t="s">
        <v>737</v>
      </c>
      <c r="H2775" s="654">
        <v>858824</v>
      </c>
      <c r="I2775" s="654">
        <v>57255</v>
      </c>
      <c r="J2775" s="654">
        <v>916079</v>
      </c>
      <c r="K2775" s="654">
        <v>916079</v>
      </c>
      <c r="L2775" s="654">
        <v>0</v>
      </c>
      <c r="M2775" s="654">
        <v>0</v>
      </c>
      <c r="N2775" s="654">
        <v>0</v>
      </c>
    </row>
    <row r="2776" spans="2:14" x14ac:dyDescent="0.15">
      <c r="B2776"/>
      <c r="D2776" t="s">
        <v>965</v>
      </c>
      <c r="E2776" t="s">
        <v>986</v>
      </c>
      <c r="F2776" t="s">
        <v>626</v>
      </c>
      <c r="G2776" t="s">
        <v>600</v>
      </c>
      <c r="H2776" s="654">
        <v>245618</v>
      </c>
      <c r="I2776" s="654">
        <v>-172932</v>
      </c>
      <c r="J2776" s="654">
        <v>72686</v>
      </c>
      <c r="K2776" s="654">
        <v>72686</v>
      </c>
      <c r="L2776" s="654">
        <v>0</v>
      </c>
      <c r="M2776" s="654">
        <v>0</v>
      </c>
      <c r="N2776" s="654">
        <v>0</v>
      </c>
    </row>
    <row r="2777" spans="2:14" x14ac:dyDescent="0.15">
      <c r="B2777"/>
      <c r="F2777" t="s">
        <v>733</v>
      </c>
      <c r="H2777" s="654">
        <v>245618</v>
      </c>
      <c r="I2777" s="654">
        <v>-172932</v>
      </c>
      <c r="J2777" s="654">
        <v>72686</v>
      </c>
      <c r="K2777" s="654">
        <v>72686</v>
      </c>
      <c r="L2777" s="654">
        <v>0</v>
      </c>
      <c r="M2777" s="654">
        <v>0</v>
      </c>
      <c r="N2777" s="654">
        <v>0</v>
      </c>
    </row>
    <row r="2778" spans="2:14" x14ac:dyDescent="0.15">
      <c r="B2778"/>
      <c r="F2778" t="s">
        <v>627</v>
      </c>
      <c r="G2778" t="s">
        <v>599</v>
      </c>
      <c r="H2778" s="654">
        <v>102731</v>
      </c>
      <c r="I2778" s="654">
        <v>-119213</v>
      </c>
      <c r="J2778" s="654">
        <v>-16482</v>
      </c>
      <c r="K2778" s="654">
        <v>-16482</v>
      </c>
      <c r="L2778" s="654">
        <v>0</v>
      </c>
      <c r="M2778" s="654">
        <v>0</v>
      </c>
      <c r="N2778" s="654">
        <v>0</v>
      </c>
    </row>
    <row r="2779" spans="2:14" x14ac:dyDescent="0.15">
      <c r="B2779"/>
      <c r="F2779" t="s">
        <v>734</v>
      </c>
      <c r="H2779" s="654">
        <v>102731</v>
      </c>
      <c r="I2779" s="654">
        <v>-119213</v>
      </c>
      <c r="J2779" s="654">
        <v>-16482</v>
      </c>
      <c r="K2779" s="654">
        <v>-16482</v>
      </c>
      <c r="L2779" s="654">
        <v>0</v>
      </c>
      <c r="M2779" s="654">
        <v>0</v>
      </c>
      <c r="N2779" s="654">
        <v>0</v>
      </c>
    </row>
    <row r="2780" spans="2:14" x14ac:dyDescent="0.15">
      <c r="B2780"/>
      <c r="E2780" t="s">
        <v>1138</v>
      </c>
      <c r="H2780" s="654">
        <v>348349</v>
      </c>
      <c r="I2780" s="654">
        <v>-292145</v>
      </c>
      <c r="J2780" s="654">
        <v>56204</v>
      </c>
      <c r="K2780" s="654">
        <v>56204</v>
      </c>
      <c r="L2780" s="654">
        <v>0</v>
      </c>
      <c r="M2780" s="654">
        <v>0</v>
      </c>
      <c r="N2780" s="654">
        <v>0</v>
      </c>
    </row>
    <row r="2781" spans="2:14" x14ac:dyDescent="0.15">
      <c r="B2781"/>
      <c r="D2781" t="s">
        <v>1139</v>
      </c>
      <c r="H2781" s="654">
        <v>348349</v>
      </c>
      <c r="I2781" s="654">
        <v>-292145</v>
      </c>
      <c r="J2781" s="654">
        <v>56204</v>
      </c>
      <c r="K2781" s="654">
        <v>56204</v>
      </c>
      <c r="L2781" s="654">
        <v>0</v>
      </c>
      <c r="M2781" s="654">
        <v>0</v>
      </c>
      <c r="N2781" s="654">
        <v>0</v>
      </c>
    </row>
    <row r="2782" spans="2:14" x14ac:dyDescent="0.15">
      <c r="B2782"/>
      <c r="D2782" t="s">
        <v>1201</v>
      </c>
      <c r="E2782" t="s">
        <v>1199</v>
      </c>
      <c r="F2782" t="s">
        <v>626</v>
      </c>
      <c r="G2782" t="s">
        <v>600</v>
      </c>
      <c r="H2782" s="654">
        <v>86265</v>
      </c>
      <c r="I2782" s="654">
        <v>0</v>
      </c>
      <c r="J2782" s="654">
        <v>86265</v>
      </c>
      <c r="K2782" s="654">
        <v>86265</v>
      </c>
      <c r="L2782" s="654">
        <v>0</v>
      </c>
      <c r="M2782" s="654">
        <v>0</v>
      </c>
      <c r="N2782" s="654">
        <v>0</v>
      </c>
    </row>
    <row r="2783" spans="2:14" x14ac:dyDescent="0.15">
      <c r="B2783"/>
      <c r="F2783" t="s">
        <v>733</v>
      </c>
      <c r="H2783" s="654">
        <v>86265</v>
      </c>
      <c r="I2783" s="654">
        <v>0</v>
      </c>
      <c r="J2783" s="654">
        <v>86265</v>
      </c>
      <c r="K2783" s="654">
        <v>86265</v>
      </c>
      <c r="L2783" s="654">
        <v>0</v>
      </c>
      <c r="M2783" s="654">
        <v>0</v>
      </c>
      <c r="N2783" s="654">
        <v>0</v>
      </c>
    </row>
    <row r="2784" spans="2:14" x14ac:dyDescent="0.15">
      <c r="B2784"/>
      <c r="F2784" t="s">
        <v>627</v>
      </c>
      <c r="G2784" t="s">
        <v>599</v>
      </c>
      <c r="H2784" s="654">
        <v>0</v>
      </c>
      <c r="I2784" s="654">
        <v>0</v>
      </c>
      <c r="J2784" s="654">
        <v>0</v>
      </c>
      <c r="K2784" s="654">
        <v>0</v>
      </c>
      <c r="L2784" s="654">
        <v>0</v>
      </c>
      <c r="M2784" s="654">
        <v>0</v>
      </c>
      <c r="N2784" s="654">
        <v>0</v>
      </c>
    </row>
    <row r="2785" spans="1:14" x14ac:dyDescent="0.15">
      <c r="B2785"/>
      <c r="F2785" t="s">
        <v>734</v>
      </c>
      <c r="H2785" s="654">
        <v>0</v>
      </c>
      <c r="I2785" s="654">
        <v>0</v>
      </c>
      <c r="J2785" s="654">
        <v>0</v>
      </c>
      <c r="K2785" s="654">
        <v>0</v>
      </c>
      <c r="L2785" s="654">
        <v>0</v>
      </c>
      <c r="M2785" s="654">
        <v>0</v>
      </c>
      <c r="N2785" s="654">
        <v>0</v>
      </c>
    </row>
    <row r="2786" spans="1:14" x14ac:dyDescent="0.15">
      <c r="B2786"/>
      <c r="E2786" t="s">
        <v>1379</v>
      </c>
      <c r="H2786" s="654">
        <v>86265</v>
      </c>
      <c r="I2786" s="654">
        <v>0</v>
      </c>
      <c r="J2786" s="654">
        <v>86265</v>
      </c>
      <c r="K2786" s="654">
        <v>86265</v>
      </c>
      <c r="L2786" s="654">
        <v>0</v>
      </c>
      <c r="M2786" s="654">
        <v>0</v>
      </c>
      <c r="N2786" s="654">
        <v>0</v>
      </c>
    </row>
    <row r="2787" spans="1:14" x14ac:dyDescent="0.15">
      <c r="B2787"/>
      <c r="D2787" t="s">
        <v>1380</v>
      </c>
      <c r="H2787" s="654">
        <v>86265</v>
      </c>
      <c r="I2787" s="654">
        <v>0</v>
      </c>
      <c r="J2787" s="654">
        <v>86265</v>
      </c>
      <c r="K2787" s="654">
        <v>86265</v>
      </c>
      <c r="L2787" s="654">
        <v>0</v>
      </c>
      <c r="M2787" s="654">
        <v>0</v>
      </c>
      <c r="N2787" s="654">
        <v>0</v>
      </c>
    </row>
    <row r="2788" spans="1:14" x14ac:dyDescent="0.15">
      <c r="B2788"/>
      <c r="C2788" t="s">
        <v>854</v>
      </c>
      <c r="H2788" s="654">
        <v>3454035</v>
      </c>
      <c r="I2788" s="654">
        <v>-78359</v>
      </c>
      <c r="J2788" s="654">
        <v>3375676</v>
      </c>
      <c r="K2788" s="654">
        <v>3375676</v>
      </c>
      <c r="L2788" s="654">
        <v>0</v>
      </c>
      <c r="M2788" s="654">
        <v>0</v>
      </c>
      <c r="N2788" s="654">
        <v>0</v>
      </c>
    </row>
    <row r="2789" spans="1:14" x14ac:dyDescent="0.15">
      <c r="A2789" s="653" t="s">
        <v>1458</v>
      </c>
      <c r="B2789"/>
      <c r="H2789" s="654">
        <v>40485068</v>
      </c>
      <c r="I2789" s="654">
        <v>-1334151</v>
      </c>
      <c r="J2789" s="654">
        <v>39150917</v>
      </c>
      <c r="K2789" s="654">
        <v>39150917</v>
      </c>
      <c r="L2789" s="654">
        <v>0</v>
      </c>
      <c r="M2789" s="654">
        <v>280347</v>
      </c>
      <c r="N2789" s="654">
        <v>4375721</v>
      </c>
    </row>
    <row r="2790" spans="1:14" x14ac:dyDescent="0.15">
      <c r="A2790" s="653">
        <v>43435</v>
      </c>
      <c r="B2790" t="s">
        <v>626</v>
      </c>
      <c r="C2790" t="s">
        <v>849</v>
      </c>
      <c r="D2790" t="s">
        <v>626</v>
      </c>
      <c r="E2790" t="s">
        <v>378</v>
      </c>
      <c r="F2790" t="s">
        <v>626</v>
      </c>
      <c r="G2790" t="s">
        <v>600</v>
      </c>
      <c r="H2790" s="654">
        <v>8797209</v>
      </c>
      <c r="I2790" s="654">
        <v>-136658</v>
      </c>
      <c r="J2790" s="654">
        <v>8660551</v>
      </c>
      <c r="K2790" s="654">
        <v>8660551</v>
      </c>
      <c r="L2790" s="654">
        <v>0</v>
      </c>
      <c r="M2790" s="654">
        <v>45057</v>
      </c>
      <c r="N2790" s="654">
        <v>1264810</v>
      </c>
    </row>
    <row r="2791" spans="1:14" x14ac:dyDescent="0.15">
      <c r="B2791"/>
      <c r="F2791" t="s">
        <v>733</v>
      </c>
      <c r="H2791" s="654">
        <v>8797209</v>
      </c>
      <c r="I2791" s="654">
        <v>-136658</v>
      </c>
      <c r="J2791" s="654">
        <v>8660551</v>
      </c>
      <c r="K2791" s="654">
        <v>8660551</v>
      </c>
      <c r="L2791" s="654">
        <v>0</v>
      </c>
      <c r="M2791" s="654">
        <v>45057</v>
      </c>
      <c r="N2791" s="654">
        <v>1264810</v>
      </c>
    </row>
    <row r="2792" spans="1:14" x14ac:dyDescent="0.15">
      <c r="B2792"/>
      <c r="F2792" t="s">
        <v>627</v>
      </c>
      <c r="G2792" t="s">
        <v>599</v>
      </c>
      <c r="H2792" s="654">
        <v>1671762</v>
      </c>
      <c r="I2792" s="654">
        <v>0</v>
      </c>
      <c r="J2792" s="654">
        <v>1671762</v>
      </c>
      <c r="K2792" s="654">
        <v>1671762</v>
      </c>
      <c r="L2792" s="654">
        <v>0</v>
      </c>
      <c r="M2792" s="654">
        <v>42442</v>
      </c>
      <c r="N2792" s="654">
        <v>441769</v>
      </c>
    </row>
    <row r="2793" spans="1:14" x14ac:dyDescent="0.15">
      <c r="B2793"/>
      <c r="F2793" t="s">
        <v>734</v>
      </c>
      <c r="H2793" s="654">
        <v>1671762</v>
      </c>
      <c r="I2793" s="654">
        <v>0</v>
      </c>
      <c r="J2793" s="654">
        <v>1671762</v>
      </c>
      <c r="K2793" s="654">
        <v>1671762</v>
      </c>
      <c r="L2793" s="654">
        <v>0</v>
      </c>
      <c r="M2793" s="654">
        <v>42442</v>
      </c>
      <c r="N2793" s="654">
        <v>441769</v>
      </c>
    </row>
    <row r="2794" spans="1:14" x14ac:dyDescent="0.15">
      <c r="B2794"/>
      <c r="F2794" t="s">
        <v>628</v>
      </c>
      <c r="G2794" t="s">
        <v>598</v>
      </c>
      <c r="H2794" s="654">
        <v>732990</v>
      </c>
      <c r="I2794" s="654">
        <v>0</v>
      </c>
      <c r="J2794" s="654">
        <v>732990</v>
      </c>
      <c r="K2794" s="654">
        <v>732990</v>
      </c>
      <c r="L2794" s="654">
        <v>0</v>
      </c>
      <c r="M2794" s="654">
        <v>0</v>
      </c>
      <c r="N2794" s="654">
        <v>0</v>
      </c>
    </row>
    <row r="2795" spans="1:14" x14ac:dyDescent="0.15">
      <c r="B2795"/>
      <c r="F2795" t="s">
        <v>735</v>
      </c>
      <c r="H2795" s="654">
        <v>732990</v>
      </c>
      <c r="I2795" s="654">
        <v>0</v>
      </c>
      <c r="J2795" s="654">
        <v>732990</v>
      </c>
      <c r="K2795" s="654">
        <v>732990</v>
      </c>
      <c r="L2795" s="654">
        <v>0</v>
      </c>
      <c r="M2795" s="654">
        <v>0</v>
      </c>
      <c r="N2795" s="654">
        <v>0</v>
      </c>
    </row>
    <row r="2796" spans="1:14" x14ac:dyDescent="0.15">
      <c r="B2796"/>
      <c r="E2796" t="s">
        <v>769</v>
      </c>
      <c r="H2796" s="654">
        <v>11201961</v>
      </c>
      <c r="I2796" s="654">
        <v>-136658</v>
      </c>
      <c r="J2796" s="654">
        <v>11065303</v>
      </c>
      <c r="K2796" s="654">
        <v>11065303</v>
      </c>
      <c r="L2796" s="654">
        <v>0</v>
      </c>
      <c r="M2796" s="654">
        <v>87499</v>
      </c>
      <c r="N2796" s="654">
        <v>1706579</v>
      </c>
    </row>
    <row r="2797" spans="1:14" x14ac:dyDescent="0.15">
      <c r="B2797"/>
      <c r="D2797" t="s">
        <v>733</v>
      </c>
      <c r="H2797" s="654">
        <v>11201961</v>
      </c>
      <c r="I2797" s="654">
        <v>-136658</v>
      </c>
      <c r="J2797" s="654">
        <v>11065303</v>
      </c>
      <c r="K2797" s="654">
        <v>11065303</v>
      </c>
      <c r="L2797" s="654">
        <v>0</v>
      </c>
      <c r="M2797" s="654">
        <v>87499</v>
      </c>
      <c r="N2797" s="654">
        <v>1706579</v>
      </c>
    </row>
    <row r="2798" spans="1:14" x14ac:dyDescent="0.15">
      <c r="B2798"/>
      <c r="D2798" t="s">
        <v>627</v>
      </c>
      <c r="E2798" t="s">
        <v>379</v>
      </c>
      <c r="F2798" t="s">
        <v>626</v>
      </c>
      <c r="G2798" t="s">
        <v>600</v>
      </c>
      <c r="H2798" s="654">
        <v>4624537</v>
      </c>
      <c r="I2798" s="654">
        <v>-132521</v>
      </c>
      <c r="J2798" s="654">
        <v>4492016</v>
      </c>
      <c r="K2798" s="654">
        <v>4492016</v>
      </c>
      <c r="L2798" s="654">
        <v>0</v>
      </c>
      <c r="M2798" s="654">
        <v>106323</v>
      </c>
      <c r="N2798" s="654">
        <v>487200</v>
      </c>
    </row>
    <row r="2799" spans="1:14" x14ac:dyDescent="0.15">
      <c r="B2799"/>
      <c r="F2799" t="s">
        <v>733</v>
      </c>
      <c r="H2799" s="654">
        <v>4624537</v>
      </c>
      <c r="I2799" s="654">
        <v>-132521</v>
      </c>
      <c r="J2799" s="654">
        <v>4492016</v>
      </c>
      <c r="K2799" s="654">
        <v>4492016</v>
      </c>
      <c r="L2799" s="654">
        <v>0</v>
      </c>
      <c r="M2799" s="654">
        <v>106323</v>
      </c>
      <c r="N2799" s="654">
        <v>487200</v>
      </c>
    </row>
    <row r="2800" spans="1:14" x14ac:dyDescent="0.15">
      <c r="B2800"/>
      <c r="F2800" t="s">
        <v>627</v>
      </c>
      <c r="G2800" t="s">
        <v>599</v>
      </c>
      <c r="H2800" s="654">
        <v>1227707</v>
      </c>
      <c r="I2800" s="654">
        <v>-81390</v>
      </c>
      <c r="J2800" s="654">
        <v>1146317</v>
      </c>
      <c r="K2800" s="654">
        <v>1146317</v>
      </c>
      <c r="L2800" s="654">
        <v>0</v>
      </c>
      <c r="M2800" s="654">
        <v>7100</v>
      </c>
      <c r="N2800" s="654">
        <v>296398</v>
      </c>
    </row>
    <row r="2801" spans="2:14" x14ac:dyDescent="0.15">
      <c r="B2801"/>
      <c r="F2801" t="s">
        <v>734</v>
      </c>
      <c r="H2801" s="654">
        <v>1227707</v>
      </c>
      <c r="I2801" s="654">
        <v>-81390</v>
      </c>
      <c r="J2801" s="654">
        <v>1146317</v>
      </c>
      <c r="K2801" s="654">
        <v>1146317</v>
      </c>
      <c r="L2801" s="654">
        <v>0</v>
      </c>
      <c r="M2801" s="654">
        <v>7100</v>
      </c>
      <c r="N2801" s="654">
        <v>296398</v>
      </c>
    </row>
    <row r="2802" spans="2:14" x14ac:dyDescent="0.15">
      <c r="B2802"/>
      <c r="F2802" t="s">
        <v>628</v>
      </c>
      <c r="G2802" t="s">
        <v>598</v>
      </c>
      <c r="H2802" s="654">
        <v>509461</v>
      </c>
      <c r="I2802" s="654">
        <v>0</v>
      </c>
      <c r="J2802" s="654">
        <v>509461</v>
      </c>
      <c r="K2802" s="654">
        <v>509461</v>
      </c>
      <c r="L2802" s="654">
        <v>0</v>
      </c>
      <c r="M2802" s="654">
        <v>11636</v>
      </c>
      <c r="N2802" s="654">
        <v>0</v>
      </c>
    </row>
    <row r="2803" spans="2:14" x14ac:dyDescent="0.15">
      <c r="B2803"/>
      <c r="F2803" t="s">
        <v>735</v>
      </c>
      <c r="H2803" s="654">
        <v>509461</v>
      </c>
      <c r="I2803" s="654">
        <v>0</v>
      </c>
      <c r="J2803" s="654">
        <v>509461</v>
      </c>
      <c r="K2803" s="654">
        <v>509461</v>
      </c>
      <c r="L2803" s="654">
        <v>0</v>
      </c>
      <c r="M2803" s="654">
        <v>11636</v>
      </c>
      <c r="N2803" s="654">
        <v>0</v>
      </c>
    </row>
    <row r="2804" spans="2:14" x14ac:dyDescent="0.15">
      <c r="B2804"/>
      <c r="E2804" t="s">
        <v>770</v>
      </c>
      <c r="H2804" s="654">
        <v>6361705</v>
      </c>
      <c r="I2804" s="654">
        <v>-213911</v>
      </c>
      <c r="J2804" s="654">
        <v>6147794</v>
      </c>
      <c r="K2804" s="654">
        <v>6147794</v>
      </c>
      <c r="L2804" s="654">
        <v>0</v>
      </c>
      <c r="M2804" s="654">
        <v>125059</v>
      </c>
      <c r="N2804" s="654">
        <v>783598</v>
      </c>
    </row>
    <row r="2805" spans="2:14" x14ac:dyDescent="0.15">
      <c r="B2805"/>
      <c r="D2805" t="s">
        <v>734</v>
      </c>
      <c r="H2805" s="654">
        <v>6361705</v>
      </c>
      <c r="I2805" s="654">
        <v>-213911</v>
      </c>
      <c r="J2805" s="654">
        <v>6147794</v>
      </c>
      <c r="K2805" s="654">
        <v>6147794</v>
      </c>
      <c r="L2805" s="654">
        <v>0</v>
      </c>
      <c r="M2805" s="654">
        <v>125059</v>
      </c>
      <c r="N2805" s="654">
        <v>783598</v>
      </c>
    </row>
    <row r="2806" spans="2:14" x14ac:dyDescent="0.15">
      <c r="B2806"/>
      <c r="D2806" t="s">
        <v>628</v>
      </c>
      <c r="E2806" t="s">
        <v>380</v>
      </c>
      <c r="F2806" t="s">
        <v>626</v>
      </c>
      <c r="G2806" t="s">
        <v>600</v>
      </c>
      <c r="H2806" s="654">
        <v>4412058</v>
      </c>
      <c r="I2806" s="654">
        <v>-7469</v>
      </c>
      <c r="J2806" s="654">
        <v>4404589</v>
      </c>
      <c r="K2806" s="654">
        <v>4404589</v>
      </c>
      <c r="L2806" s="654">
        <v>0</v>
      </c>
      <c r="M2806" s="654">
        <v>222242</v>
      </c>
      <c r="N2806" s="654">
        <v>461604</v>
      </c>
    </row>
    <row r="2807" spans="2:14" x14ac:dyDescent="0.15">
      <c r="B2807"/>
      <c r="F2807" t="s">
        <v>733</v>
      </c>
      <c r="H2807" s="654">
        <v>4412058</v>
      </c>
      <c r="I2807" s="654">
        <v>-7469</v>
      </c>
      <c r="J2807" s="654">
        <v>4404589</v>
      </c>
      <c r="K2807" s="654">
        <v>4404589</v>
      </c>
      <c r="L2807" s="654">
        <v>0</v>
      </c>
      <c r="M2807" s="654">
        <v>222242</v>
      </c>
      <c r="N2807" s="654">
        <v>461604</v>
      </c>
    </row>
    <row r="2808" spans="2:14" x14ac:dyDescent="0.15">
      <c r="B2808"/>
      <c r="F2808" t="s">
        <v>627</v>
      </c>
      <c r="G2808" t="s">
        <v>599</v>
      </c>
      <c r="H2808" s="654">
        <v>1876364</v>
      </c>
      <c r="I2808" s="654">
        <v>0</v>
      </c>
      <c r="J2808" s="654">
        <v>1876364</v>
      </c>
      <c r="K2808" s="654">
        <v>1876364</v>
      </c>
      <c r="L2808" s="654">
        <v>0</v>
      </c>
      <c r="M2808" s="654">
        <v>0</v>
      </c>
      <c r="N2808" s="654">
        <v>502225</v>
      </c>
    </row>
    <row r="2809" spans="2:14" x14ac:dyDescent="0.15">
      <c r="B2809"/>
      <c r="F2809" t="s">
        <v>734</v>
      </c>
      <c r="H2809" s="654">
        <v>1876364</v>
      </c>
      <c r="I2809" s="654">
        <v>0</v>
      </c>
      <c r="J2809" s="654">
        <v>1876364</v>
      </c>
      <c r="K2809" s="654">
        <v>1876364</v>
      </c>
      <c r="L2809" s="654">
        <v>0</v>
      </c>
      <c r="M2809" s="654">
        <v>0</v>
      </c>
      <c r="N2809" s="654">
        <v>502225</v>
      </c>
    </row>
    <row r="2810" spans="2:14" x14ac:dyDescent="0.15">
      <c r="B2810"/>
      <c r="E2810" t="s">
        <v>771</v>
      </c>
      <c r="H2810" s="654">
        <v>6288422</v>
      </c>
      <c r="I2810" s="654">
        <v>-7469</v>
      </c>
      <c r="J2810" s="654">
        <v>6280953</v>
      </c>
      <c r="K2810" s="654">
        <v>6280953</v>
      </c>
      <c r="L2810" s="654">
        <v>0</v>
      </c>
      <c r="M2810" s="654">
        <v>222242</v>
      </c>
      <c r="N2810" s="654">
        <v>963829</v>
      </c>
    </row>
    <row r="2811" spans="2:14" x14ac:dyDescent="0.15">
      <c r="B2811"/>
      <c r="D2811" t="s">
        <v>735</v>
      </c>
      <c r="H2811" s="654">
        <v>6288422</v>
      </c>
      <c r="I2811" s="654">
        <v>-7469</v>
      </c>
      <c r="J2811" s="654">
        <v>6280953</v>
      </c>
      <c r="K2811" s="654">
        <v>6280953</v>
      </c>
      <c r="L2811" s="654">
        <v>0</v>
      </c>
      <c r="M2811" s="654">
        <v>222242</v>
      </c>
      <c r="N2811" s="654">
        <v>963829</v>
      </c>
    </row>
    <row r="2812" spans="2:14" x14ac:dyDescent="0.15">
      <c r="B2812"/>
      <c r="D2812" t="s">
        <v>629</v>
      </c>
      <c r="E2812" t="s">
        <v>676</v>
      </c>
      <c r="F2812" t="s">
        <v>629</v>
      </c>
      <c r="G2812" t="s">
        <v>601</v>
      </c>
      <c r="H2812" s="654">
        <v>4236747</v>
      </c>
      <c r="I2812" s="654">
        <v>-101594</v>
      </c>
      <c r="J2812" s="654">
        <v>4135153</v>
      </c>
      <c r="K2812" s="654">
        <v>4135153</v>
      </c>
      <c r="L2812" s="654">
        <v>0</v>
      </c>
      <c r="M2812" s="654">
        <v>0</v>
      </c>
      <c r="N2812" s="654">
        <v>228390</v>
      </c>
    </row>
    <row r="2813" spans="2:14" x14ac:dyDescent="0.15">
      <c r="B2813"/>
      <c r="F2813" t="s">
        <v>736</v>
      </c>
      <c r="H2813" s="654">
        <v>4236747</v>
      </c>
      <c r="I2813" s="654">
        <v>-101594</v>
      </c>
      <c r="J2813" s="654">
        <v>4135153</v>
      </c>
      <c r="K2813" s="654">
        <v>4135153</v>
      </c>
      <c r="L2813" s="654">
        <v>0</v>
      </c>
      <c r="M2813" s="654">
        <v>0</v>
      </c>
      <c r="N2813" s="654">
        <v>228390</v>
      </c>
    </row>
    <row r="2814" spans="2:14" x14ac:dyDescent="0.15">
      <c r="B2814"/>
      <c r="E2814" t="s">
        <v>772</v>
      </c>
      <c r="H2814" s="654">
        <v>4236747</v>
      </c>
      <c r="I2814" s="654">
        <v>-101594</v>
      </c>
      <c r="J2814" s="654">
        <v>4135153</v>
      </c>
      <c r="K2814" s="654">
        <v>4135153</v>
      </c>
      <c r="L2814" s="654">
        <v>0</v>
      </c>
      <c r="M2814" s="654">
        <v>0</v>
      </c>
      <c r="N2814" s="654">
        <v>228390</v>
      </c>
    </row>
    <row r="2815" spans="2:14" x14ac:dyDescent="0.15">
      <c r="B2815"/>
      <c r="D2815" t="s">
        <v>736</v>
      </c>
      <c r="H2815" s="654">
        <v>4236747</v>
      </c>
      <c r="I2815" s="654">
        <v>-101594</v>
      </c>
      <c r="J2815" s="654">
        <v>4135153</v>
      </c>
      <c r="K2815" s="654">
        <v>4135153</v>
      </c>
      <c r="L2815" s="654">
        <v>0</v>
      </c>
      <c r="M2815" s="654">
        <v>0</v>
      </c>
      <c r="N2815" s="654">
        <v>228390</v>
      </c>
    </row>
    <row r="2816" spans="2:14" x14ac:dyDescent="0.15">
      <c r="B2816"/>
      <c r="D2816" t="s">
        <v>567</v>
      </c>
      <c r="E2816" t="s">
        <v>473</v>
      </c>
      <c r="F2816" t="s">
        <v>631</v>
      </c>
      <c r="G2816" t="s">
        <v>596</v>
      </c>
      <c r="H2816" s="654">
        <v>1107363</v>
      </c>
      <c r="I2816" s="654">
        <v>0</v>
      </c>
      <c r="J2816" s="654">
        <v>1107363</v>
      </c>
      <c r="K2816" s="654">
        <v>1107363</v>
      </c>
      <c r="L2816" s="654">
        <v>0</v>
      </c>
      <c r="M2816" s="654">
        <v>0</v>
      </c>
      <c r="N2816" s="654">
        <v>308666</v>
      </c>
    </row>
    <row r="2817" spans="2:14" x14ac:dyDescent="0.15">
      <c r="B2817"/>
      <c r="F2817" t="s">
        <v>737</v>
      </c>
      <c r="H2817" s="654">
        <v>1107363</v>
      </c>
      <c r="I2817" s="654">
        <v>0</v>
      </c>
      <c r="J2817" s="654">
        <v>1107363</v>
      </c>
      <c r="K2817" s="654">
        <v>1107363</v>
      </c>
      <c r="L2817" s="654">
        <v>0</v>
      </c>
      <c r="M2817" s="654">
        <v>0</v>
      </c>
      <c r="N2817" s="654">
        <v>308666</v>
      </c>
    </row>
    <row r="2818" spans="2:14" x14ac:dyDescent="0.15">
      <c r="B2818"/>
      <c r="E2818" t="s">
        <v>773</v>
      </c>
      <c r="H2818" s="654">
        <v>1107363</v>
      </c>
      <c r="I2818" s="654">
        <v>0</v>
      </c>
      <c r="J2818" s="654">
        <v>1107363</v>
      </c>
      <c r="K2818" s="654">
        <v>1107363</v>
      </c>
      <c r="L2818" s="654">
        <v>0</v>
      </c>
      <c r="M2818" s="654">
        <v>0</v>
      </c>
      <c r="N2818" s="654">
        <v>308666</v>
      </c>
    </row>
    <row r="2819" spans="2:14" x14ac:dyDescent="0.15">
      <c r="B2819"/>
      <c r="D2819" t="s">
        <v>739</v>
      </c>
      <c r="H2819" s="654">
        <v>1107363</v>
      </c>
      <c r="I2819" s="654">
        <v>0</v>
      </c>
      <c r="J2819" s="654">
        <v>1107363</v>
      </c>
      <c r="K2819" s="654">
        <v>1107363</v>
      </c>
      <c r="L2819" s="654">
        <v>0</v>
      </c>
      <c r="M2819" s="654">
        <v>0</v>
      </c>
      <c r="N2819" s="654">
        <v>308666</v>
      </c>
    </row>
    <row r="2820" spans="2:14" x14ac:dyDescent="0.15">
      <c r="B2820"/>
      <c r="D2820" t="s">
        <v>568</v>
      </c>
      <c r="E2820" t="s">
        <v>474</v>
      </c>
      <c r="F2820" t="s">
        <v>631</v>
      </c>
      <c r="G2820" t="s">
        <v>596</v>
      </c>
      <c r="H2820" s="654">
        <v>1044442</v>
      </c>
      <c r="I2820" s="654">
        <v>0</v>
      </c>
      <c r="J2820" s="654">
        <v>1044442</v>
      </c>
      <c r="K2820" s="654">
        <v>1044442</v>
      </c>
      <c r="L2820" s="654">
        <v>0</v>
      </c>
      <c r="M2820" s="654">
        <v>0</v>
      </c>
      <c r="N2820" s="654">
        <v>0</v>
      </c>
    </row>
    <row r="2821" spans="2:14" x14ac:dyDescent="0.15">
      <c r="B2821"/>
      <c r="F2821" t="s">
        <v>737</v>
      </c>
      <c r="H2821" s="654">
        <v>1044442</v>
      </c>
      <c r="I2821" s="654">
        <v>0</v>
      </c>
      <c r="J2821" s="654">
        <v>1044442</v>
      </c>
      <c r="K2821" s="654">
        <v>1044442</v>
      </c>
      <c r="L2821" s="654">
        <v>0</v>
      </c>
      <c r="M2821" s="654">
        <v>0</v>
      </c>
      <c r="N2821" s="654">
        <v>0</v>
      </c>
    </row>
    <row r="2822" spans="2:14" x14ac:dyDescent="0.15">
      <c r="B2822"/>
      <c r="E2822" t="s">
        <v>774</v>
      </c>
      <c r="H2822" s="654">
        <v>1044442</v>
      </c>
      <c r="I2822" s="654">
        <v>0</v>
      </c>
      <c r="J2822" s="654">
        <v>1044442</v>
      </c>
      <c r="K2822" s="654">
        <v>1044442</v>
      </c>
      <c r="L2822" s="654">
        <v>0</v>
      </c>
      <c r="M2822" s="654">
        <v>0</v>
      </c>
      <c r="N2822" s="654">
        <v>0</v>
      </c>
    </row>
    <row r="2823" spans="2:14" x14ac:dyDescent="0.15">
      <c r="B2823"/>
      <c r="D2823" t="s">
        <v>740</v>
      </c>
      <c r="H2823" s="654">
        <v>1044442</v>
      </c>
      <c r="I2823" s="654">
        <v>0</v>
      </c>
      <c r="J2823" s="654">
        <v>1044442</v>
      </c>
      <c r="K2823" s="654">
        <v>1044442</v>
      </c>
      <c r="L2823" s="654">
        <v>0</v>
      </c>
      <c r="M2823" s="654">
        <v>0</v>
      </c>
      <c r="N2823" s="654">
        <v>0</v>
      </c>
    </row>
    <row r="2824" spans="2:14" x14ac:dyDescent="0.15">
      <c r="B2824"/>
      <c r="D2824" t="s">
        <v>582</v>
      </c>
      <c r="E2824" t="s">
        <v>384</v>
      </c>
      <c r="F2824" t="s">
        <v>631</v>
      </c>
      <c r="G2824" t="s">
        <v>596</v>
      </c>
      <c r="H2824" s="654">
        <v>2507684</v>
      </c>
      <c r="I2824" s="654">
        <v>0</v>
      </c>
      <c r="J2824" s="654">
        <v>2507684</v>
      </c>
      <c r="K2824" s="654">
        <v>2507684</v>
      </c>
      <c r="L2824" s="654">
        <v>0</v>
      </c>
      <c r="M2824" s="654">
        <v>0</v>
      </c>
      <c r="N2824" s="654">
        <v>0</v>
      </c>
    </row>
    <row r="2825" spans="2:14" x14ac:dyDescent="0.15">
      <c r="B2825"/>
      <c r="F2825" t="s">
        <v>737</v>
      </c>
      <c r="H2825" s="654">
        <v>2507684</v>
      </c>
      <c r="I2825" s="654">
        <v>0</v>
      </c>
      <c r="J2825" s="654">
        <v>2507684</v>
      </c>
      <c r="K2825" s="654">
        <v>2507684</v>
      </c>
      <c r="L2825" s="654">
        <v>0</v>
      </c>
      <c r="M2825" s="654">
        <v>0</v>
      </c>
      <c r="N2825" s="654">
        <v>0</v>
      </c>
    </row>
    <row r="2826" spans="2:14" x14ac:dyDescent="0.15">
      <c r="B2826"/>
      <c r="E2826" t="s">
        <v>778</v>
      </c>
      <c r="H2826" s="654">
        <v>2507684</v>
      </c>
      <c r="I2826" s="654">
        <v>0</v>
      </c>
      <c r="J2826" s="654">
        <v>2507684</v>
      </c>
      <c r="K2826" s="654">
        <v>2507684</v>
      </c>
      <c r="L2826" s="654">
        <v>0</v>
      </c>
      <c r="M2826" s="654">
        <v>0</v>
      </c>
      <c r="N2826" s="654">
        <v>0</v>
      </c>
    </row>
    <row r="2827" spans="2:14" x14ac:dyDescent="0.15">
      <c r="B2827"/>
      <c r="D2827" t="s">
        <v>743</v>
      </c>
      <c r="H2827" s="654">
        <v>2507684</v>
      </c>
      <c r="I2827" s="654">
        <v>0</v>
      </c>
      <c r="J2827" s="654">
        <v>2507684</v>
      </c>
      <c r="K2827" s="654">
        <v>2507684</v>
      </c>
      <c r="L2827" s="654">
        <v>0</v>
      </c>
      <c r="M2827" s="654">
        <v>0</v>
      </c>
      <c r="N2827" s="654">
        <v>0</v>
      </c>
    </row>
    <row r="2828" spans="2:14" x14ac:dyDescent="0.15">
      <c r="B2828"/>
      <c r="D2828" t="s">
        <v>631</v>
      </c>
      <c r="E2828" t="s">
        <v>381</v>
      </c>
      <c r="F2828" t="s">
        <v>626</v>
      </c>
      <c r="G2828" t="s">
        <v>600</v>
      </c>
      <c r="H2828" s="654">
        <v>1826775</v>
      </c>
      <c r="I2828" s="654">
        <v>0</v>
      </c>
      <c r="J2828" s="654">
        <v>1826775</v>
      </c>
      <c r="K2828" s="654">
        <v>1826775</v>
      </c>
      <c r="L2828" s="654">
        <v>0</v>
      </c>
      <c r="M2828" s="654">
        <v>0</v>
      </c>
      <c r="N2828" s="654">
        <v>0</v>
      </c>
    </row>
    <row r="2829" spans="2:14" x14ac:dyDescent="0.15">
      <c r="B2829"/>
      <c r="F2829" t="s">
        <v>733</v>
      </c>
      <c r="H2829" s="654">
        <v>1826775</v>
      </c>
      <c r="I2829" s="654">
        <v>0</v>
      </c>
      <c r="J2829" s="654">
        <v>1826775</v>
      </c>
      <c r="K2829" s="654">
        <v>1826775</v>
      </c>
      <c r="L2829" s="654">
        <v>0</v>
      </c>
      <c r="M2829" s="654">
        <v>0</v>
      </c>
      <c r="N2829" s="654">
        <v>0</v>
      </c>
    </row>
    <row r="2830" spans="2:14" x14ac:dyDescent="0.15">
      <c r="B2830"/>
      <c r="E2830" t="s">
        <v>776</v>
      </c>
      <c r="H2830" s="654">
        <v>1826775</v>
      </c>
      <c r="I2830" s="654">
        <v>0</v>
      </c>
      <c r="J2830" s="654">
        <v>1826775</v>
      </c>
      <c r="K2830" s="654">
        <v>1826775</v>
      </c>
      <c r="L2830" s="654">
        <v>0</v>
      </c>
      <c r="M2830" s="654">
        <v>0</v>
      </c>
      <c r="N2830" s="654">
        <v>0</v>
      </c>
    </row>
    <row r="2831" spans="2:14" x14ac:dyDescent="0.15">
      <c r="B2831"/>
      <c r="D2831" t="s">
        <v>737</v>
      </c>
      <c r="H2831" s="654">
        <v>1826775</v>
      </c>
      <c r="I2831" s="654">
        <v>0</v>
      </c>
      <c r="J2831" s="654">
        <v>1826775</v>
      </c>
      <c r="K2831" s="654">
        <v>1826775</v>
      </c>
      <c r="L2831" s="654">
        <v>0</v>
      </c>
      <c r="M2831" s="654">
        <v>0</v>
      </c>
      <c r="N2831" s="654">
        <v>0</v>
      </c>
    </row>
    <row r="2832" spans="2:14" x14ac:dyDescent="0.15">
      <c r="B2832"/>
      <c r="D2832" t="s">
        <v>965</v>
      </c>
      <c r="E2832" t="s">
        <v>986</v>
      </c>
      <c r="F2832" t="s">
        <v>626</v>
      </c>
      <c r="G2832" t="s">
        <v>600</v>
      </c>
      <c r="H2832" s="654">
        <v>928913</v>
      </c>
      <c r="I2832" s="654">
        <v>0</v>
      </c>
      <c r="J2832" s="654">
        <v>928913</v>
      </c>
      <c r="K2832" s="654">
        <v>928913</v>
      </c>
      <c r="L2832" s="654">
        <v>0</v>
      </c>
      <c r="M2832" s="654">
        <v>0</v>
      </c>
      <c r="N2832" s="654">
        <v>119784</v>
      </c>
    </row>
    <row r="2833" spans="2:14" x14ac:dyDescent="0.15">
      <c r="B2833"/>
      <c r="F2833" t="s">
        <v>733</v>
      </c>
      <c r="H2833" s="654">
        <v>928913</v>
      </c>
      <c r="I2833" s="654">
        <v>0</v>
      </c>
      <c r="J2833" s="654">
        <v>928913</v>
      </c>
      <c r="K2833" s="654">
        <v>928913</v>
      </c>
      <c r="L2833" s="654">
        <v>0</v>
      </c>
      <c r="M2833" s="654">
        <v>0</v>
      </c>
      <c r="N2833" s="654">
        <v>119784</v>
      </c>
    </row>
    <row r="2834" spans="2:14" x14ac:dyDescent="0.15">
      <c r="B2834"/>
      <c r="F2834" t="s">
        <v>627</v>
      </c>
      <c r="G2834" t="s">
        <v>599</v>
      </c>
      <c r="H2834" s="654">
        <v>137240</v>
      </c>
      <c r="I2834" s="654">
        <v>0</v>
      </c>
      <c r="J2834" s="654">
        <v>137240</v>
      </c>
      <c r="K2834" s="654">
        <v>137240</v>
      </c>
      <c r="L2834" s="654">
        <v>0</v>
      </c>
      <c r="M2834" s="654">
        <v>0</v>
      </c>
      <c r="N2834" s="654">
        <v>36611</v>
      </c>
    </row>
    <row r="2835" spans="2:14" x14ac:dyDescent="0.15">
      <c r="B2835"/>
      <c r="F2835" t="s">
        <v>734</v>
      </c>
      <c r="H2835" s="654">
        <v>137240</v>
      </c>
      <c r="I2835" s="654">
        <v>0</v>
      </c>
      <c r="J2835" s="654">
        <v>137240</v>
      </c>
      <c r="K2835" s="654">
        <v>137240</v>
      </c>
      <c r="L2835" s="654">
        <v>0</v>
      </c>
      <c r="M2835" s="654">
        <v>0</v>
      </c>
      <c r="N2835" s="654">
        <v>36611</v>
      </c>
    </row>
    <row r="2836" spans="2:14" x14ac:dyDescent="0.15">
      <c r="B2836"/>
      <c r="E2836" t="s">
        <v>1138</v>
      </c>
      <c r="H2836" s="654">
        <v>1066153</v>
      </c>
      <c r="I2836" s="654">
        <v>0</v>
      </c>
      <c r="J2836" s="654">
        <v>1066153</v>
      </c>
      <c r="K2836" s="654">
        <v>1066153</v>
      </c>
      <c r="L2836" s="654">
        <v>0</v>
      </c>
      <c r="M2836" s="654">
        <v>0</v>
      </c>
      <c r="N2836" s="654">
        <v>156395</v>
      </c>
    </row>
    <row r="2837" spans="2:14" x14ac:dyDescent="0.15">
      <c r="B2837"/>
      <c r="D2837" t="s">
        <v>1139</v>
      </c>
      <c r="H2837" s="654">
        <v>1066153</v>
      </c>
      <c r="I2837" s="654">
        <v>0</v>
      </c>
      <c r="J2837" s="654">
        <v>1066153</v>
      </c>
      <c r="K2837" s="654">
        <v>1066153</v>
      </c>
      <c r="L2837" s="654">
        <v>0</v>
      </c>
      <c r="M2837" s="654">
        <v>0</v>
      </c>
      <c r="N2837" s="654">
        <v>156395</v>
      </c>
    </row>
    <row r="2838" spans="2:14" x14ac:dyDescent="0.15">
      <c r="B2838"/>
      <c r="D2838" t="s">
        <v>1201</v>
      </c>
      <c r="E2838" t="s">
        <v>1199</v>
      </c>
      <c r="F2838" t="s">
        <v>626</v>
      </c>
      <c r="G2838" t="s">
        <v>600</v>
      </c>
      <c r="H2838" s="654">
        <v>398584</v>
      </c>
      <c r="I2838" s="654">
        <v>-18508</v>
      </c>
      <c r="J2838" s="654">
        <v>380076</v>
      </c>
      <c r="K2838" s="654">
        <v>380076</v>
      </c>
      <c r="L2838" s="654">
        <v>0</v>
      </c>
      <c r="M2838" s="654">
        <v>30133</v>
      </c>
      <c r="N2838" s="654">
        <v>45753</v>
      </c>
    </row>
    <row r="2839" spans="2:14" x14ac:dyDescent="0.15">
      <c r="B2839"/>
      <c r="F2839" t="s">
        <v>733</v>
      </c>
      <c r="H2839" s="654">
        <v>398584</v>
      </c>
      <c r="I2839" s="654">
        <v>-18508</v>
      </c>
      <c r="J2839" s="654">
        <v>380076</v>
      </c>
      <c r="K2839" s="654">
        <v>380076</v>
      </c>
      <c r="L2839" s="654">
        <v>0</v>
      </c>
      <c r="M2839" s="654">
        <v>30133</v>
      </c>
      <c r="N2839" s="654">
        <v>45753</v>
      </c>
    </row>
    <row r="2840" spans="2:14" x14ac:dyDescent="0.15">
      <c r="B2840"/>
      <c r="F2840" t="s">
        <v>627</v>
      </c>
      <c r="G2840" t="s">
        <v>599</v>
      </c>
      <c r="H2840" s="654">
        <v>157949</v>
      </c>
      <c r="I2840" s="654">
        <v>0</v>
      </c>
      <c r="J2840" s="654">
        <v>157949</v>
      </c>
      <c r="K2840" s="654">
        <v>157949</v>
      </c>
      <c r="L2840" s="654">
        <v>0</v>
      </c>
      <c r="M2840" s="654">
        <v>0</v>
      </c>
      <c r="N2840" s="654">
        <v>36720</v>
      </c>
    </row>
    <row r="2841" spans="2:14" x14ac:dyDescent="0.15">
      <c r="B2841"/>
      <c r="F2841" t="s">
        <v>734</v>
      </c>
      <c r="H2841" s="654">
        <v>157949</v>
      </c>
      <c r="I2841" s="654">
        <v>0</v>
      </c>
      <c r="J2841" s="654">
        <v>157949</v>
      </c>
      <c r="K2841" s="654">
        <v>157949</v>
      </c>
      <c r="L2841" s="654">
        <v>0</v>
      </c>
      <c r="M2841" s="654">
        <v>0</v>
      </c>
      <c r="N2841" s="654">
        <v>36720</v>
      </c>
    </row>
    <row r="2842" spans="2:14" x14ac:dyDescent="0.15">
      <c r="B2842"/>
      <c r="E2842" t="s">
        <v>1379</v>
      </c>
      <c r="H2842" s="654">
        <v>556533</v>
      </c>
      <c r="I2842" s="654">
        <v>-18508</v>
      </c>
      <c r="J2842" s="654">
        <v>538025</v>
      </c>
      <c r="K2842" s="654">
        <v>538025</v>
      </c>
      <c r="L2842" s="654">
        <v>0</v>
      </c>
      <c r="M2842" s="654">
        <v>30133</v>
      </c>
      <c r="N2842" s="654">
        <v>82473</v>
      </c>
    </row>
    <row r="2843" spans="2:14" x14ac:dyDescent="0.15">
      <c r="B2843"/>
      <c r="D2843" t="s">
        <v>1380</v>
      </c>
      <c r="H2843" s="654">
        <v>556533</v>
      </c>
      <c r="I2843" s="654">
        <v>-18508</v>
      </c>
      <c r="J2843" s="654">
        <v>538025</v>
      </c>
      <c r="K2843" s="654">
        <v>538025</v>
      </c>
      <c r="L2843" s="654">
        <v>0</v>
      </c>
      <c r="M2843" s="654">
        <v>30133</v>
      </c>
      <c r="N2843" s="654">
        <v>82473</v>
      </c>
    </row>
    <row r="2844" spans="2:14" x14ac:dyDescent="0.15">
      <c r="B2844"/>
      <c r="C2844" t="s">
        <v>853</v>
      </c>
      <c r="H2844" s="654">
        <v>36197785</v>
      </c>
      <c r="I2844" s="654">
        <v>-478140</v>
      </c>
      <c r="J2844" s="654">
        <v>35719645</v>
      </c>
      <c r="K2844" s="654">
        <v>35719645</v>
      </c>
      <c r="L2844" s="654">
        <v>0</v>
      </c>
      <c r="M2844" s="654">
        <v>464933</v>
      </c>
      <c r="N2844" s="654">
        <v>4229930</v>
      </c>
    </row>
    <row r="2845" spans="2:14" x14ac:dyDescent="0.15">
      <c r="B2845" t="s">
        <v>627</v>
      </c>
      <c r="C2845" t="s">
        <v>847</v>
      </c>
      <c r="D2845" t="s">
        <v>626</v>
      </c>
      <c r="E2845" t="s">
        <v>378</v>
      </c>
      <c r="F2845" t="s">
        <v>626</v>
      </c>
      <c r="G2845" t="s">
        <v>600</v>
      </c>
      <c r="H2845" s="654">
        <v>33254</v>
      </c>
      <c r="I2845" s="654">
        <v>-23293</v>
      </c>
      <c r="J2845" s="654">
        <v>9961</v>
      </c>
      <c r="K2845" s="654">
        <v>9961</v>
      </c>
      <c r="L2845" s="654">
        <v>0</v>
      </c>
      <c r="M2845" s="654">
        <v>0</v>
      </c>
      <c r="N2845" s="654">
        <v>0</v>
      </c>
    </row>
    <row r="2846" spans="2:14" x14ac:dyDescent="0.15">
      <c r="B2846"/>
      <c r="F2846" t="s">
        <v>733</v>
      </c>
      <c r="H2846" s="654">
        <v>33254</v>
      </c>
      <c r="I2846" s="654">
        <v>-23293</v>
      </c>
      <c r="J2846" s="654">
        <v>9961</v>
      </c>
      <c r="K2846" s="654">
        <v>9961</v>
      </c>
      <c r="L2846" s="654">
        <v>0</v>
      </c>
      <c r="M2846" s="654">
        <v>0</v>
      </c>
      <c r="N2846" s="654">
        <v>0</v>
      </c>
    </row>
    <row r="2847" spans="2:14" x14ac:dyDescent="0.15">
      <c r="B2847"/>
      <c r="F2847" t="s">
        <v>627</v>
      </c>
      <c r="G2847" t="s">
        <v>599</v>
      </c>
      <c r="H2847" s="654">
        <v>374021</v>
      </c>
      <c r="I2847" s="654">
        <v>0</v>
      </c>
      <c r="J2847" s="654">
        <v>374021</v>
      </c>
      <c r="K2847" s="654">
        <v>374021</v>
      </c>
      <c r="L2847" s="654">
        <v>0</v>
      </c>
      <c r="M2847" s="654">
        <v>0</v>
      </c>
      <c r="N2847" s="654">
        <v>0</v>
      </c>
    </row>
    <row r="2848" spans="2:14" x14ac:dyDescent="0.15">
      <c r="B2848"/>
      <c r="F2848" t="s">
        <v>734</v>
      </c>
      <c r="H2848" s="654">
        <v>374021</v>
      </c>
      <c r="I2848" s="654">
        <v>0</v>
      </c>
      <c r="J2848" s="654">
        <v>374021</v>
      </c>
      <c r="K2848" s="654">
        <v>374021</v>
      </c>
      <c r="L2848" s="654">
        <v>0</v>
      </c>
      <c r="M2848" s="654">
        <v>0</v>
      </c>
      <c r="N2848" s="654">
        <v>0</v>
      </c>
    </row>
    <row r="2849" spans="2:14" x14ac:dyDescent="0.15">
      <c r="B2849"/>
      <c r="F2849" t="s">
        <v>628</v>
      </c>
      <c r="G2849" t="s">
        <v>598</v>
      </c>
      <c r="H2849" s="654">
        <v>28954</v>
      </c>
      <c r="I2849" s="654">
        <v>-14477</v>
      </c>
      <c r="J2849" s="654">
        <v>14477</v>
      </c>
      <c r="K2849" s="654">
        <v>14477</v>
      </c>
      <c r="L2849" s="654">
        <v>0</v>
      </c>
      <c r="M2849" s="654">
        <v>0</v>
      </c>
      <c r="N2849" s="654">
        <v>0</v>
      </c>
    </row>
    <row r="2850" spans="2:14" x14ac:dyDescent="0.15">
      <c r="B2850"/>
      <c r="F2850" t="s">
        <v>735</v>
      </c>
      <c r="H2850" s="654">
        <v>28954</v>
      </c>
      <c r="I2850" s="654">
        <v>-14477</v>
      </c>
      <c r="J2850" s="654">
        <v>14477</v>
      </c>
      <c r="K2850" s="654">
        <v>14477</v>
      </c>
      <c r="L2850" s="654">
        <v>0</v>
      </c>
      <c r="M2850" s="654">
        <v>0</v>
      </c>
      <c r="N2850" s="654">
        <v>0</v>
      </c>
    </row>
    <row r="2851" spans="2:14" x14ac:dyDescent="0.15">
      <c r="B2851"/>
      <c r="E2851" t="s">
        <v>769</v>
      </c>
      <c r="H2851" s="654">
        <v>436229</v>
      </c>
      <c r="I2851" s="654">
        <v>-37770</v>
      </c>
      <c r="J2851" s="654">
        <v>398459</v>
      </c>
      <c r="K2851" s="654">
        <v>398459</v>
      </c>
      <c r="L2851" s="654">
        <v>0</v>
      </c>
      <c r="M2851" s="654">
        <v>0</v>
      </c>
      <c r="N2851" s="654">
        <v>0</v>
      </c>
    </row>
    <row r="2852" spans="2:14" x14ac:dyDescent="0.15">
      <c r="B2852"/>
      <c r="D2852" t="s">
        <v>733</v>
      </c>
      <c r="H2852" s="654">
        <v>436229</v>
      </c>
      <c r="I2852" s="654">
        <v>-37770</v>
      </c>
      <c r="J2852" s="654">
        <v>398459</v>
      </c>
      <c r="K2852" s="654">
        <v>398459</v>
      </c>
      <c r="L2852" s="654">
        <v>0</v>
      </c>
      <c r="M2852" s="654">
        <v>0</v>
      </c>
      <c r="N2852" s="654">
        <v>0</v>
      </c>
    </row>
    <row r="2853" spans="2:14" x14ac:dyDescent="0.15">
      <c r="B2853"/>
      <c r="D2853" t="s">
        <v>627</v>
      </c>
      <c r="E2853" t="s">
        <v>379</v>
      </c>
      <c r="F2853" t="s">
        <v>626</v>
      </c>
      <c r="G2853" t="s">
        <v>600</v>
      </c>
      <c r="H2853" s="654">
        <v>99227</v>
      </c>
      <c r="I2853" s="654">
        <v>-107240</v>
      </c>
      <c r="J2853" s="654">
        <v>-8013</v>
      </c>
      <c r="K2853" s="654">
        <v>-8013</v>
      </c>
      <c r="L2853" s="654">
        <v>0</v>
      </c>
      <c r="M2853" s="654">
        <v>0</v>
      </c>
      <c r="N2853" s="654">
        <v>0</v>
      </c>
    </row>
    <row r="2854" spans="2:14" x14ac:dyDescent="0.15">
      <c r="B2854"/>
      <c r="F2854" t="s">
        <v>733</v>
      </c>
      <c r="H2854" s="654">
        <v>99227</v>
      </c>
      <c r="I2854" s="654">
        <v>-107240</v>
      </c>
      <c r="J2854" s="654">
        <v>-8013</v>
      </c>
      <c r="K2854" s="654">
        <v>-8013</v>
      </c>
      <c r="L2854" s="654">
        <v>0</v>
      </c>
      <c r="M2854" s="654">
        <v>0</v>
      </c>
      <c r="N2854" s="654">
        <v>0</v>
      </c>
    </row>
    <row r="2855" spans="2:14" x14ac:dyDescent="0.15">
      <c r="B2855"/>
      <c r="F2855" t="s">
        <v>627</v>
      </c>
      <c r="G2855" t="s">
        <v>599</v>
      </c>
      <c r="H2855" s="654">
        <v>177069</v>
      </c>
      <c r="I2855" s="654">
        <v>0</v>
      </c>
      <c r="J2855" s="654">
        <v>177069</v>
      </c>
      <c r="K2855" s="654">
        <v>177069</v>
      </c>
      <c r="L2855" s="654">
        <v>0</v>
      </c>
      <c r="M2855" s="654">
        <v>0</v>
      </c>
      <c r="N2855" s="654">
        <v>0</v>
      </c>
    </row>
    <row r="2856" spans="2:14" x14ac:dyDescent="0.15">
      <c r="B2856"/>
      <c r="F2856" t="s">
        <v>734</v>
      </c>
      <c r="H2856" s="654">
        <v>177069</v>
      </c>
      <c r="I2856" s="654">
        <v>0</v>
      </c>
      <c r="J2856" s="654">
        <v>177069</v>
      </c>
      <c r="K2856" s="654">
        <v>177069</v>
      </c>
      <c r="L2856" s="654">
        <v>0</v>
      </c>
      <c r="M2856" s="654">
        <v>0</v>
      </c>
      <c r="N2856" s="654">
        <v>0</v>
      </c>
    </row>
    <row r="2857" spans="2:14" x14ac:dyDescent="0.15">
      <c r="B2857"/>
      <c r="F2857" t="s">
        <v>628</v>
      </c>
      <c r="G2857" t="s">
        <v>598</v>
      </c>
      <c r="H2857" s="654">
        <v>14950</v>
      </c>
      <c r="I2857" s="654">
        <v>-5823</v>
      </c>
      <c r="J2857" s="654">
        <v>9127</v>
      </c>
      <c r="K2857" s="654">
        <v>9127</v>
      </c>
      <c r="L2857" s="654">
        <v>0</v>
      </c>
      <c r="M2857" s="654">
        <v>0</v>
      </c>
      <c r="N2857" s="654">
        <v>0</v>
      </c>
    </row>
    <row r="2858" spans="2:14" x14ac:dyDescent="0.15">
      <c r="B2858"/>
      <c r="F2858" t="s">
        <v>735</v>
      </c>
      <c r="H2858" s="654">
        <v>14950</v>
      </c>
      <c r="I2858" s="654">
        <v>-5823</v>
      </c>
      <c r="J2858" s="654">
        <v>9127</v>
      </c>
      <c r="K2858" s="654">
        <v>9127</v>
      </c>
      <c r="L2858" s="654">
        <v>0</v>
      </c>
      <c r="M2858" s="654">
        <v>0</v>
      </c>
      <c r="N2858" s="654">
        <v>0</v>
      </c>
    </row>
    <row r="2859" spans="2:14" x14ac:dyDescent="0.15">
      <c r="B2859"/>
      <c r="E2859" t="s">
        <v>770</v>
      </c>
      <c r="H2859" s="654">
        <v>291246</v>
      </c>
      <c r="I2859" s="654">
        <v>-113063</v>
      </c>
      <c r="J2859" s="654">
        <v>178183</v>
      </c>
      <c r="K2859" s="654">
        <v>178183</v>
      </c>
      <c r="L2859" s="654">
        <v>0</v>
      </c>
      <c r="M2859" s="654">
        <v>0</v>
      </c>
      <c r="N2859" s="654">
        <v>0</v>
      </c>
    </row>
    <row r="2860" spans="2:14" x14ac:dyDescent="0.15">
      <c r="B2860"/>
      <c r="D2860" t="s">
        <v>734</v>
      </c>
      <c r="H2860" s="654">
        <v>291246</v>
      </c>
      <c r="I2860" s="654">
        <v>-113063</v>
      </c>
      <c r="J2860" s="654">
        <v>178183</v>
      </c>
      <c r="K2860" s="654">
        <v>178183</v>
      </c>
      <c r="L2860" s="654">
        <v>0</v>
      </c>
      <c r="M2860" s="654">
        <v>0</v>
      </c>
      <c r="N2860" s="654">
        <v>0</v>
      </c>
    </row>
    <row r="2861" spans="2:14" x14ac:dyDescent="0.15">
      <c r="B2861"/>
      <c r="D2861" t="s">
        <v>628</v>
      </c>
      <c r="E2861" t="s">
        <v>380</v>
      </c>
      <c r="F2861" t="s">
        <v>626</v>
      </c>
      <c r="G2861" t="s">
        <v>600</v>
      </c>
      <c r="H2861" s="654">
        <v>29713</v>
      </c>
      <c r="I2861" s="654">
        <v>0</v>
      </c>
      <c r="J2861" s="654">
        <v>29713</v>
      </c>
      <c r="K2861" s="654">
        <v>29713</v>
      </c>
      <c r="L2861" s="654">
        <v>0</v>
      </c>
      <c r="M2861" s="654">
        <v>0</v>
      </c>
      <c r="N2861" s="654">
        <v>0</v>
      </c>
    </row>
    <row r="2862" spans="2:14" x14ac:dyDescent="0.15">
      <c r="B2862"/>
      <c r="F2862" t="s">
        <v>733</v>
      </c>
      <c r="H2862" s="654">
        <v>29713</v>
      </c>
      <c r="I2862" s="654">
        <v>0</v>
      </c>
      <c r="J2862" s="654">
        <v>29713</v>
      </c>
      <c r="K2862" s="654">
        <v>29713</v>
      </c>
      <c r="L2862" s="654">
        <v>0</v>
      </c>
      <c r="M2862" s="654">
        <v>0</v>
      </c>
      <c r="N2862" s="654">
        <v>0</v>
      </c>
    </row>
    <row r="2863" spans="2:14" x14ac:dyDescent="0.15">
      <c r="B2863"/>
      <c r="F2863" t="s">
        <v>627</v>
      </c>
      <c r="G2863" t="s">
        <v>599</v>
      </c>
      <c r="H2863" s="654">
        <v>283388</v>
      </c>
      <c r="I2863" s="654">
        <v>0</v>
      </c>
      <c r="J2863" s="654">
        <v>283388</v>
      </c>
      <c r="K2863" s="654">
        <v>283388</v>
      </c>
      <c r="L2863" s="654">
        <v>0</v>
      </c>
      <c r="M2863" s="654">
        <v>0</v>
      </c>
      <c r="N2863" s="654">
        <v>0</v>
      </c>
    </row>
    <row r="2864" spans="2:14" x14ac:dyDescent="0.15">
      <c r="B2864"/>
      <c r="F2864" t="s">
        <v>734</v>
      </c>
      <c r="H2864" s="654">
        <v>283388</v>
      </c>
      <c r="I2864" s="654">
        <v>0</v>
      </c>
      <c r="J2864" s="654">
        <v>283388</v>
      </c>
      <c r="K2864" s="654">
        <v>283388</v>
      </c>
      <c r="L2864" s="654">
        <v>0</v>
      </c>
      <c r="M2864" s="654">
        <v>0</v>
      </c>
      <c r="N2864" s="654">
        <v>0</v>
      </c>
    </row>
    <row r="2865" spans="2:14" x14ac:dyDescent="0.15">
      <c r="B2865"/>
      <c r="E2865" t="s">
        <v>771</v>
      </c>
      <c r="H2865" s="654">
        <v>313101</v>
      </c>
      <c r="I2865" s="654">
        <v>0</v>
      </c>
      <c r="J2865" s="654">
        <v>313101</v>
      </c>
      <c r="K2865" s="654">
        <v>313101</v>
      </c>
      <c r="L2865" s="654">
        <v>0</v>
      </c>
      <c r="M2865" s="654">
        <v>0</v>
      </c>
      <c r="N2865" s="654">
        <v>0</v>
      </c>
    </row>
    <row r="2866" spans="2:14" x14ac:dyDescent="0.15">
      <c r="B2866"/>
      <c r="D2866" t="s">
        <v>735</v>
      </c>
      <c r="H2866" s="654">
        <v>313101</v>
      </c>
      <c r="I2866" s="654">
        <v>0</v>
      </c>
      <c r="J2866" s="654">
        <v>313101</v>
      </c>
      <c r="K2866" s="654">
        <v>313101</v>
      </c>
      <c r="L2866" s="654">
        <v>0</v>
      </c>
      <c r="M2866" s="654">
        <v>0</v>
      </c>
      <c r="N2866" s="654">
        <v>0</v>
      </c>
    </row>
    <row r="2867" spans="2:14" x14ac:dyDescent="0.15">
      <c r="B2867"/>
      <c r="D2867" t="s">
        <v>629</v>
      </c>
      <c r="E2867" t="s">
        <v>676</v>
      </c>
      <c r="F2867" t="s">
        <v>629</v>
      </c>
      <c r="G2867" t="s">
        <v>601</v>
      </c>
      <c r="H2867" s="654">
        <v>60954</v>
      </c>
      <c r="I2867" s="654">
        <v>-96013</v>
      </c>
      <c r="J2867" s="654">
        <v>-35059</v>
      </c>
      <c r="K2867" s="654">
        <v>-35059</v>
      </c>
      <c r="L2867" s="654">
        <v>0</v>
      </c>
      <c r="M2867" s="654">
        <v>0</v>
      </c>
      <c r="N2867" s="654">
        <v>0</v>
      </c>
    </row>
    <row r="2868" spans="2:14" x14ac:dyDescent="0.15">
      <c r="B2868"/>
      <c r="F2868" t="s">
        <v>736</v>
      </c>
      <c r="H2868" s="654">
        <v>60954</v>
      </c>
      <c r="I2868" s="654">
        <v>-96013</v>
      </c>
      <c r="J2868" s="654">
        <v>-35059</v>
      </c>
      <c r="K2868" s="654">
        <v>-35059</v>
      </c>
      <c r="L2868" s="654">
        <v>0</v>
      </c>
      <c r="M2868" s="654">
        <v>0</v>
      </c>
      <c r="N2868" s="654">
        <v>0</v>
      </c>
    </row>
    <row r="2869" spans="2:14" x14ac:dyDescent="0.15">
      <c r="B2869"/>
      <c r="E2869" t="s">
        <v>772</v>
      </c>
      <c r="H2869" s="654">
        <v>60954</v>
      </c>
      <c r="I2869" s="654">
        <v>-96013</v>
      </c>
      <c r="J2869" s="654">
        <v>-35059</v>
      </c>
      <c r="K2869" s="654">
        <v>-35059</v>
      </c>
      <c r="L2869" s="654">
        <v>0</v>
      </c>
      <c r="M2869" s="654">
        <v>0</v>
      </c>
      <c r="N2869" s="654">
        <v>0</v>
      </c>
    </row>
    <row r="2870" spans="2:14" x14ac:dyDescent="0.15">
      <c r="B2870"/>
      <c r="D2870" t="s">
        <v>736</v>
      </c>
      <c r="H2870" s="654">
        <v>60954</v>
      </c>
      <c r="I2870" s="654">
        <v>-96013</v>
      </c>
      <c r="J2870" s="654">
        <v>-35059</v>
      </c>
      <c r="K2870" s="654">
        <v>-35059</v>
      </c>
      <c r="L2870" s="654">
        <v>0</v>
      </c>
      <c r="M2870" s="654">
        <v>0</v>
      </c>
      <c r="N2870" s="654">
        <v>0</v>
      </c>
    </row>
    <row r="2871" spans="2:14" x14ac:dyDescent="0.15">
      <c r="B2871"/>
      <c r="D2871" t="s">
        <v>567</v>
      </c>
      <c r="E2871" t="s">
        <v>473</v>
      </c>
      <c r="F2871" t="s">
        <v>631</v>
      </c>
      <c r="G2871" t="s">
        <v>596</v>
      </c>
      <c r="H2871" s="654">
        <v>0</v>
      </c>
      <c r="I2871" s="654">
        <v>0</v>
      </c>
      <c r="J2871" s="654">
        <v>0</v>
      </c>
      <c r="K2871" s="654">
        <v>0</v>
      </c>
      <c r="L2871" s="654">
        <v>0</v>
      </c>
      <c r="M2871" s="654">
        <v>0</v>
      </c>
      <c r="N2871" s="654">
        <v>0</v>
      </c>
    </row>
    <row r="2872" spans="2:14" x14ac:dyDescent="0.15">
      <c r="B2872"/>
      <c r="F2872" t="s">
        <v>737</v>
      </c>
      <c r="H2872" s="654">
        <v>0</v>
      </c>
      <c r="I2872" s="654">
        <v>0</v>
      </c>
      <c r="J2872" s="654">
        <v>0</v>
      </c>
      <c r="K2872" s="654">
        <v>0</v>
      </c>
      <c r="L2872" s="654">
        <v>0</v>
      </c>
      <c r="M2872" s="654">
        <v>0</v>
      </c>
      <c r="N2872" s="654">
        <v>0</v>
      </c>
    </row>
    <row r="2873" spans="2:14" x14ac:dyDescent="0.15">
      <c r="B2873"/>
      <c r="E2873" t="s">
        <v>773</v>
      </c>
      <c r="H2873" s="654">
        <v>0</v>
      </c>
      <c r="I2873" s="654">
        <v>0</v>
      </c>
      <c r="J2873" s="654">
        <v>0</v>
      </c>
      <c r="K2873" s="654">
        <v>0</v>
      </c>
      <c r="L2873" s="654">
        <v>0</v>
      </c>
      <c r="M2873" s="654">
        <v>0</v>
      </c>
      <c r="N2873" s="654">
        <v>0</v>
      </c>
    </row>
    <row r="2874" spans="2:14" x14ac:dyDescent="0.15">
      <c r="B2874"/>
      <c r="D2874" t="s">
        <v>739</v>
      </c>
      <c r="H2874" s="654">
        <v>0</v>
      </c>
      <c r="I2874" s="654">
        <v>0</v>
      </c>
      <c r="J2874" s="654">
        <v>0</v>
      </c>
      <c r="K2874" s="654">
        <v>0</v>
      </c>
      <c r="L2874" s="654">
        <v>0</v>
      </c>
      <c r="M2874" s="654">
        <v>0</v>
      </c>
      <c r="N2874" s="654">
        <v>0</v>
      </c>
    </row>
    <row r="2875" spans="2:14" x14ac:dyDescent="0.15">
      <c r="B2875"/>
      <c r="D2875" t="s">
        <v>568</v>
      </c>
      <c r="E2875" t="s">
        <v>474</v>
      </c>
      <c r="F2875" t="s">
        <v>631</v>
      </c>
      <c r="G2875" t="s">
        <v>596</v>
      </c>
      <c r="H2875" s="654">
        <v>0</v>
      </c>
      <c r="I2875" s="654">
        <v>0</v>
      </c>
      <c r="J2875" s="654">
        <v>0</v>
      </c>
      <c r="K2875" s="654">
        <v>0</v>
      </c>
      <c r="L2875" s="654">
        <v>0</v>
      </c>
      <c r="M2875" s="654">
        <v>0</v>
      </c>
      <c r="N2875" s="654">
        <v>0</v>
      </c>
    </row>
    <row r="2876" spans="2:14" x14ac:dyDescent="0.15">
      <c r="B2876"/>
      <c r="F2876" t="s">
        <v>737</v>
      </c>
      <c r="H2876" s="654">
        <v>0</v>
      </c>
      <c r="I2876" s="654">
        <v>0</v>
      </c>
      <c r="J2876" s="654">
        <v>0</v>
      </c>
      <c r="K2876" s="654">
        <v>0</v>
      </c>
      <c r="L2876" s="654">
        <v>0</v>
      </c>
      <c r="M2876" s="654">
        <v>0</v>
      </c>
      <c r="N2876" s="654">
        <v>0</v>
      </c>
    </row>
    <row r="2877" spans="2:14" x14ac:dyDescent="0.15">
      <c r="B2877"/>
      <c r="E2877" t="s">
        <v>774</v>
      </c>
      <c r="H2877" s="654">
        <v>0</v>
      </c>
      <c r="I2877" s="654">
        <v>0</v>
      </c>
      <c r="J2877" s="654">
        <v>0</v>
      </c>
      <c r="K2877" s="654">
        <v>0</v>
      </c>
      <c r="L2877" s="654">
        <v>0</v>
      </c>
      <c r="M2877" s="654">
        <v>0</v>
      </c>
      <c r="N2877" s="654">
        <v>0</v>
      </c>
    </row>
    <row r="2878" spans="2:14" x14ac:dyDescent="0.15">
      <c r="B2878"/>
      <c r="D2878" t="s">
        <v>740</v>
      </c>
      <c r="H2878" s="654">
        <v>0</v>
      </c>
      <c r="I2878" s="654">
        <v>0</v>
      </c>
      <c r="J2878" s="654">
        <v>0</v>
      </c>
      <c r="K2878" s="654">
        <v>0</v>
      </c>
      <c r="L2878" s="654">
        <v>0</v>
      </c>
      <c r="M2878" s="654">
        <v>0</v>
      </c>
      <c r="N2878" s="654">
        <v>0</v>
      </c>
    </row>
    <row r="2879" spans="2:14" x14ac:dyDescent="0.15">
      <c r="B2879"/>
      <c r="D2879" t="s">
        <v>582</v>
      </c>
      <c r="E2879" t="s">
        <v>384</v>
      </c>
      <c r="F2879" t="s">
        <v>631</v>
      </c>
      <c r="G2879" t="s">
        <v>596</v>
      </c>
      <c r="H2879" s="654">
        <v>0</v>
      </c>
      <c r="I2879" s="654">
        <v>0</v>
      </c>
      <c r="J2879" s="654">
        <v>0</v>
      </c>
      <c r="K2879" s="654">
        <v>0</v>
      </c>
      <c r="L2879" s="654">
        <v>0</v>
      </c>
      <c r="M2879" s="654">
        <v>0</v>
      </c>
      <c r="N2879" s="654">
        <v>0</v>
      </c>
    </row>
    <row r="2880" spans="2:14" x14ac:dyDescent="0.15">
      <c r="B2880"/>
      <c r="F2880" t="s">
        <v>737</v>
      </c>
      <c r="H2880" s="654">
        <v>0</v>
      </c>
      <c r="I2880" s="654">
        <v>0</v>
      </c>
      <c r="J2880" s="654">
        <v>0</v>
      </c>
      <c r="K2880" s="654">
        <v>0</v>
      </c>
      <c r="L2880" s="654">
        <v>0</v>
      </c>
      <c r="M2880" s="654">
        <v>0</v>
      </c>
      <c r="N2880" s="654">
        <v>0</v>
      </c>
    </row>
    <row r="2881" spans="2:14" x14ac:dyDescent="0.15">
      <c r="B2881"/>
      <c r="E2881" t="s">
        <v>778</v>
      </c>
      <c r="H2881" s="654">
        <v>0</v>
      </c>
      <c r="I2881" s="654">
        <v>0</v>
      </c>
      <c r="J2881" s="654">
        <v>0</v>
      </c>
      <c r="K2881" s="654">
        <v>0</v>
      </c>
      <c r="L2881" s="654">
        <v>0</v>
      </c>
      <c r="M2881" s="654">
        <v>0</v>
      </c>
      <c r="N2881" s="654">
        <v>0</v>
      </c>
    </row>
    <row r="2882" spans="2:14" x14ac:dyDescent="0.15">
      <c r="B2882"/>
      <c r="D2882" t="s">
        <v>743</v>
      </c>
      <c r="H2882" s="654">
        <v>0</v>
      </c>
      <c r="I2882" s="654">
        <v>0</v>
      </c>
      <c r="J2882" s="654">
        <v>0</v>
      </c>
      <c r="K2882" s="654">
        <v>0</v>
      </c>
      <c r="L2882" s="654">
        <v>0</v>
      </c>
      <c r="M2882" s="654">
        <v>0</v>
      </c>
      <c r="N2882" s="654">
        <v>0</v>
      </c>
    </row>
    <row r="2883" spans="2:14" x14ac:dyDescent="0.15">
      <c r="B2883"/>
      <c r="D2883" t="s">
        <v>631</v>
      </c>
      <c r="E2883" t="s">
        <v>381</v>
      </c>
      <c r="F2883" t="s">
        <v>626</v>
      </c>
      <c r="G2883" t="s">
        <v>600</v>
      </c>
      <c r="H2883" s="654">
        <v>0</v>
      </c>
      <c r="I2883" s="654">
        <v>0</v>
      </c>
      <c r="J2883" s="654">
        <v>0</v>
      </c>
      <c r="K2883" s="654">
        <v>0</v>
      </c>
      <c r="L2883" s="654">
        <v>0</v>
      </c>
      <c r="M2883" s="654">
        <v>0</v>
      </c>
      <c r="N2883" s="654">
        <v>0</v>
      </c>
    </row>
    <row r="2884" spans="2:14" x14ac:dyDescent="0.15">
      <c r="B2884"/>
      <c r="F2884" t="s">
        <v>733</v>
      </c>
      <c r="H2884" s="654">
        <v>0</v>
      </c>
      <c r="I2884" s="654">
        <v>0</v>
      </c>
      <c r="J2884" s="654">
        <v>0</v>
      </c>
      <c r="K2884" s="654">
        <v>0</v>
      </c>
      <c r="L2884" s="654">
        <v>0</v>
      </c>
      <c r="M2884" s="654">
        <v>0</v>
      </c>
      <c r="N2884" s="654">
        <v>0</v>
      </c>
    </row>
    <row r="2885" spans="2:14" x14ac:dyDescent="0.15">
      <c r="B2885"/>
      <c r="E2885" t="s">
        <v>776</v>
      </c>
      <c r="H2885" s="654">
        <v>0</v>
      </c>
      <c r="I2885" s="654">
        <v>0</v>
      </c>
      <c r="J2885" s="654">
        <v>0</v>
      </c>
      <c r="K2885" s="654">
        <v>0</v>
      </c>
      <c r="L2885" s="654">
        <v>0</v>
      </c>
      <c r="M2885" s="654">
        <v>0</v>
      </c>
      <c r="N2885" s="654">
        <v>0</v>
      </c>
    </row>
    <row r="2886" spans="2:14" x14ac:dyDescent="0.15">
      <c r="B2886"/>
      <c r="D2886" t="s">
        <v>737</v>
      </c>
      <c r="H2886" s="654">
        <v>0</v>
      </c>
      <c r="I2886" s="654">
        <v>0</v>
      </c>
      <c r="J2886" s="654">
        <v>0</v>
      </c>
      <c r="K2886" s="654">
        <v>0</v>
      </c>
      <c r="L2886" s="654">
        <v>0</v>
      </c>
      <c r="M2886" s="654">
        <v>0</v>
      </c>
      <c r="N2886" s="654">
        <v>0</v>
      </c>
    </row>
    <row r="2887" spans="2:14" x14ac:dyDescent="0.15">
      <c r="B2887"/>
      <c r="D2887" t="s">
        <v>965</v>
      </c>
      <c r="E2887" t="s">
        <v>986</v>
      </c>
      <c r="F2887" t="s">
        <v>626</v>
      </c>
      <c r="G2887" t="s">
        <v>600</v>
      </c>
      <c r="H2887" s="654">
        <v>396992</v>
      </c>
      <c r="I2887" s="654">
        <v>0</v>
      </c>
      <c r="J2887" s="654">
        <v>396992</v>
      </c>
      <c r="K2887" s="654">
        <v>396992</v>
      </c>
      <c r="L2887" s="654">
        <v>0</v>
      </c>
      <c r="M2887" s="654">
        <v>0</v>
      </c>
      <c r="N2887" s="654">
        <v>0</v>
      </c>
    </row>
    <row r="2888" spans="2:14" x14ac:dyDescent="0.15">
      <c r="B2888"/>
      <c r="F2888" t="s">
        <v>733</v>
      </c>
      <c r="H2888" s="654">
        <v>396992</v>
      </c>
      <c r="I2888" s="654">
        <v>0</v>
      </c>
      <c r="J2888" s="654">
        <v>396992</v>
      </c>
      <c r="K2888" s="654">
        <v>396992</v>
      </c>
      <c r="L2888" s="654">
        <v>0</v>
      </c>
      <c r="M2888" s="654">
        <v>0</v>
      </c>
      <c r="N2888" s="654">
        <v>0</v>
      </c>
    </row>
    <row r="2889" spans="2:14" x14ac:dyDescent="0.15">
      <c r="B2889"/>
      <c r="F2889" t="s">
        <v>627</v>
      </c>
      <c r="G2889" t="s">
        <v>599</v>
      </c>
      <c r="H2889" s="654">
        <v>32918</v>
      </c>
      <c r="I2889" s="654">
        <v>0</v>
      </c>
      <c r="J2889" s="654">
        <v>32918</v>
      </c>
      <c r="K2889" s="654">
        <v>32918</v>
      </c>
      <c r="L2889" s="654">
        <v>0</v>
      </c>
      <c r="M2889" s="654">
        <v>0</v>
      </c>
      <c r="N2889" s="654">
        <v>0</v>
      </c>
    </row>
    <row r="2890" spans="2:14" x14ac:dyDescent="0.15">
      <c r="B2890"/>
      <c r="F2890" t="s">
        <v>734</v>
      </c>
      <c r="H2890" s="654">
        <v>32918</v>
      </c>
      <c r="I2890" s="654">
        <v>0</v>
      </c>
      <c r="J2890" s="654">
        <v>32918</v>
      </c>
      <c r="K2890" s="654">
        <v>32918</v>
      </c>
      <c r="L2890" s="654">
        <v>0</v>
      </c>
      <c r="M2890" s="654">
        <v>0</v>
      </c>
      <c r="N2890" s="654">
        <v>0</v>
      </c>
    </row>
    <row r="2891" spans="2:14" x14ac:dyDescent="0.15">
      <c r="B2891"/>
      <c r="E2891" t="s">
        <v>1138</v>
      </c>
      <c r="H2891" s="654">
        <v>429910</v>
      </c>
      <c r="I2891" s="654">
        <v>0</v>
      </c>
      <c r="J2891" s="654">
        <v>429910</v>
      </c>
      <c r="K2891" s="654">
        <v>429910</v>
      </c>
      <c r="L2891" s="654">
        <v>0</v>
      </c>
      <c r="M2891" s="654">
        <v>0</v>
      </c>
      <c r="N2891" s="654">
        <v>0</v>
      </c>
    </row>
    <row r="2892" spans="2:14" x14ac:dyDescent="0.15">
      <c r="B2892"/>
      <c r="D2892" t="s">
        <v>1139</v>
      </c>
      <c r="H2892" s="654">
        <v>429910</v>
      </c>
      <c r="I2892" s="654">
        <v>0</v>
      </c>
      <c r="J2892" s="654">
        <v>429910</v>
      </c>
      <c r="K2892" s="654">
        <v>429910</v>
      </c>
      <c r="L2892" s="654">
        <v>0</v>
      </c>
      <c r="M2892" s="654">
        <v>0</v>
      </c>
      <c r="N2892" s="654">
        <v>0</v>
      </c>
    </row>
    <row r="2893" spans="2:14" x14ac:dyDescent="0.15">
      <c r="B2893"/>
      <c r="D2893" t="s">
        <v>1201</v>
      </c>
      <c r="E2893" t="s">
        <v>1199</v>
      </c>
      <c r="F2893" t="s">
        <v>626</v>
      </c>
      <c r="G2893" t="s">
        <v>600</v>
      </c>
      <c r="H2893" s="654">
        <v>130741</v>
      </c>
      <c r="I2893" s="654">
        <v>0</v>
      </c>
      <c r="J2893" s="654">
        <v>130741</v>
      </c>
      <c r="K2893" s="654">
        <v>130741</v>
      </c>
      <c r="L2893" s="654">
        <v>0</v>
      </c>
      <c r="M2893" s="654">
        <v>0</v>
      </c>
      <c r="N2893" s="654">
        <v>0</v>
      </c>
    </row>
    <row r="2894" spans="2:14" x14ac:dyDescent="0.15">
      <c r="B2894"/>
      <c r="F2894" t="s">
        <v>733</v>
      </c>
      <c r="H2894" s="654">
        <v>130741</v>
      </c>
      <c r="I2894" s="654">
        <v>0</v>
      </c>
      <c r="J2894" s="654">
        <v>130741</v>
      </c>
      <c r="K2894" s="654">
        <v>130741</v>
      </c>
      <c r="L2894" s="654">
        <v>0</v>
      </c>
      <c r="M2894" s="654">
        <v>0</v>
      </c>
      <c r="N2894" s="654">
        <v>0</v>
      </c>
    </row>
    <row r="2895" spans="2:14" x14ac:dyDescent="0.15">
      <c r="B2895"/>
      <c r="F2895" t="s">
        <v>627</v>
      </c>
      <c r="G2895" t="s">
        <v>599</v>
      </c>
      <c r="H2895" s="654">
        <v>0</v>
      </c>
      <c r="I2895" s="654">
        <v>0</v>
      </c>
      <c r="J2895" s="654">
        <v>0</v>
      </c>
      <c r="K2895" s="654">
        <v>0</v>
      </c>
      <c r="L2895" s="654">
        <v>0</v>
      </c>
      <c r="M2895" s="654">
        <v>0</v>
      </c>
      <c r="N2895" s="654">
        <v>0</v>
      </c>
    </row>
    <row r="2896" spans="2:14" x14ac:dyDescent="0.15">
      <c r="B2896"/>
      <c r="F2896" t="s">
        <v>734</v>
      </c>
      <c r="H2896" s="654">
        <v>0</v>
      </c>
      <c r="I2896" s="654">
        <v>0</v>
      </c>
      <c r="J2896" s="654">
        <v>0</v>
      </c>
      <c r="K2896" s="654">
        <v>0</v>
      </c>
      <c r="L2896" s="654">
        <v>0</v>
      </c>
      <c r="M2896" s="654">
        <v>0</v>
      </c>
      <c r="N2896" s="654">
        <v>0</v>
      </c>
    </row>
    <row r="2897" spans="1:14" x14ac:dyDescent="0.15">
      <c r="B2897"/>
      <c r="E2897" t="s">
        <v>1379</v>
      </c>
      <c r="H2897" s="654">
        <v>130741</v>
      </c>
      <c r="I2897" s="654">
        <v>0</v>
      </c>
      <c r="J2897" s="654">
        <v>130741</v>
      </c>
      <c r="K2897" s="654">
        <v>130741</v>
      </c>
      <c r="L2897" s="654">
        <v>0</v>
      </c>
      <c r="M2897" s="654">
        <v>0</v>
      </c>
      <c r="N2897" s="654">
        <v>0</v>
      </c>
    </row>
    <row r="2898" spans="1:14" x14ac:dyDescent="0.15">
      <c r="B2898"/>
      <c r="D2898" t="s">
        <v>1380</v>
      </c>
      <c r="H2898" s="654">
        <v>130741</v>
      </c>
      <c r="I2898" s="654">
        <v>0</v>
      </c>
      <c r="J2898" s="654">
        <v>130741</v>
      </c>
      <c r="K2898" s="654">
        <v>130741</v>
      </c>
      <c r="L2898" s="654">
        <v>0</v>
      </c>
      <c r="M2898" s="654">
        <v>0</v>
      </c>
      <c r="N2898" s="654">
        <v>0</v>
      </c>
    </row>
    <row r="2899" spans="1:14" x14ac:dyDescent="0.15">
      <c r="B2899"/>
      <c r="C2899" t="s">
        <v>854</v>
      </c>
      <c r="H2899" s="654">
        <v>1662181</v>
      </c>
      <c r="I2899" s="654">
        <v>-246846</v>
      </c>
      <c r="J2899" s="654">
        <v>1415335</v>
      </c>
      <c r="K2899" s="654">
        <v>1415335</v>
      </c>
      <c r="L2899" s="654">
        <v>0</v>
      </c>
      <c r="M2899" s="654">
        <v>0</v>
      </c>
      <c r="N2899" s="654">
        <v>0</v>
      </c>
    </row>
    <row r="2900" spans="1:14" x14ac:dyDescent="0.15">
      <c r="A2900" s="653" t="s">
        <v>1491</v>
      </c>
      <c r="B2900"/>
      <c r="H2900" s="654">
        <v>37859966</v>
      </c>
      <c r="I2900" s="654">
        <v>-724986</v>
      </c>
      <c r="J2900" s="654">
        <v>37134980</v>
      </c>
      <c r="K2900" s="654">
        <v>37134980</v>
      </c>
      <c r="L2900" s="654">
        <v>0</v>
      </c>
      <c r="M2900" s="654">
        <v>464933</v>
      </c>
      <c r="N2900" s="654">
        <v>4229930</v>
      </c>
    </row>
    <row r="2901" spans="1:14" x14ac:dyDescent="0.15">
      <c r="A2901" s="653">
        <v>43466</v>
      </c>
      <c r="B2901" t="s">
        <v>626</v>
      </c>
      <c r="C2901" t="s">
        <v>849</v>
      </c>
      <c r="D2901" t="s">
        <v>626</v>
      </c>
      <c r="E2901" t="s">
        <v>378</v>
      </c>
      <c r="F2901" t="s">
        <v>626</v>
      </c>
      <c r="G2901" t="s">
        <v>600</v>
      </c>
      <c r="H2901" s="654">
        <v>8676544</v>
      </c>
      <c r="I2901" s="654">
        <v>-6634</v>
      </c>
      <c r="J2901" s="654">
        <v>8669910</v>
      </c>
      <c r="K2901" s="654">
        <v>8669910</v>
      </c>
      <c r="L2901" s="654">
        <v>0</v>
      </c>
      <c r="M2901" s="654">
        <v>158772</v>
      </c>
      <c r="N2901" s="654">
        <v>1297597</v>
      </c>
    </row>
    <row r="2902" spans="1:14" x14ac:dyDescent="0.15">
      <c r="B2902"/>
      <c r="F2902" t="s">
        <v>733</v>
      </c>
      <c r="H2902" s="654">
        <v>8676544</v>
      </c>
      <c r="I2902" s="654">
        <v>-6634</v>
      </c>
      <c r="J2902" s="654">
        <v>8669910</v>
      </c>
      <c r="K2902" s="654">
        <v>8669910</v>
      </c>
      <c r="L2902" s="654">
        <v>0</v>
      </c>
      <c r="M2902" s="654">
        <v>158772</v>
      </c>
      <c r="N2902" s="654">
        <v>1297597</v>
      </c>
    </row>
    <row r="2903" spans="1:14" x14ac:dyDescent="0.15">
      <c r="B2903"/>
      <c r="F2903" t="s">
        <v>627</v>
      </c>
      <c r="G2903" t="s">
        <v>599</v>
      </c>
      <c r="H2903" s="654">
        <v>2016231</v>
      </c>
      <c r="I2903" s="654">
        <v>-79415</v>
      </c>
      <c r="J2903" s="654">
        <v>1936816</v>
      </c>
      <c r="K2903" s="654">
        <v>1936816</v>
      </c>
      <c r="L2903" s="654">
        <v>0</v>
      </c>
      <c r="M2903" s="654">
        <v>0</v>
      </c>
      <c r="N2903" s="654">
        <v>502389</v>
      </c>
    </row>
    <row r="2904" spans="1:14" x14ac:dyDescent="0.15">
      <c r="B2904"/>
      <c r="F2904" t="s">
        <v>734</v>
      </c>
      <c r="H2904" s="654">
        <v>2016231</v>
      </c>
      <c r="I2904" s="654">
        <v>-79415</v>
      </c>
      <c r="J2904" s="654">
        <v>1936816</v>
      </c>
      <c r="K2904" s="654">
        <v>1936816</v>
      </c>
      <c r="L2904" s="654">
        <v>0</v>
      </c>
      <c r="M2904" s="654">
        <v>0</v>
      </c>
      <c r="N2904" s="654">
        <v>502389</v>
      </c>
    </row>
    <row r="2905" spans="1:14" x14ac:dyDescent="0.15">
      <c r="B2905"/>
      <c r="F2905" t="s">
        <v>628</v>
      </c>
      <c r="G2905" t="s">
        <v>598</v>
      </c>
      <c r="H2905" s="654">
        <v>721723</v>
      </c>
      <c r="I2905" s="654">
        <v>0</v>
      </c>
      <c r="J2905" s="654">
        <v>721723</v>
      </c>
      <c r="K2905" s="654">
        <v>721723</v>
      </c>
      <c r="L2905" s="654">
        <v>0</v>
      </c>
      <c r="M2905" s="654">
        <v>0</v>
      </c>
      <c r="N2905" s="654">
        <v>0</v>
      </c>
    </row>
    <row r="2906" spans="1:14" x14ac:dyDescent="0.15">
      <c r="B2906"/>
      <c r="F2906" t="s">
        <v>735</v>
      </c>
      <c r="H2906" s="654">
        <v>721723</v>
      </c>
      <c r="I2906" s="654">
        <v>0</v>
      </c>
      <c r="J2906" s="654">
        <v>721723</v>
      </c>
      <c r="K2906" s="654">
        <v>721723</v>
      </c>
      <c r="L2906" s="654">
        <v>0</v>
      </c>
      <c r="M2906" s="654">
        <v>0</v>
      </c>
      <c r="N2906" s="654">
        <v>0</v>
      </c>
    </row>
    <row r="2907" spans="1:14" x14ac:dyDescent="0.15">
      <c r="B2907"/>
      <c r="E2907" t="s">
        <v>769</v>
      </c>
      <c r="H2907" s="654">
        <v>11414498</v>
      </c>
      <c r="I2907" s="654">
        <v>-86049</v>
      </c>
      <c r="J2907" s="654">
        <v>11328449</v>
      </c>
      <c r="K2907" s="654">
        <v>11328449</v>
      </c>
      <c r="L2907" s="654">
        <v>0</v>
      </c>
      <c r="M2907" s="654">
        <v>158772</v>
      </c>
      <c r="N2907" s="654">
        <v>1799986</v>
      </c>
    </row>
    <row r="2908" spans="1:14" x14ac:dyDescent="0.15">
      <c r="B2908"/>
      <c r="D2908" t="s">
        <v>733</v>
      </c>
      <c r="H2908" s="654">
        <v>11414498</v>
      </c>
      <c r="I2908" s="654">
        <v>-86049</v>
      </c>
      <c r="J2908" s="654">
        <v>11328449</v>
      </c>
      <c r="K2908" s="654">
        <v>11328449</v>
      </c>
      <c r="L2908" s="654">
        <v>0</v>
      </c>
      <c r="M2908" s="654">
        <v>158772</v>
      </c>
      <c r="N2908" s="654">
        <v>1799986</v>
      </c>
    </row>
    <row r="2909" spans="1:14" x14ac:dyDescent="0.15">
      <c r="B2909"/>
      <c r="D2909" t="s">
        <v>627</v>
      </c>
      <c r="E2909" t="s">
        <v>379</v>
      </c>
      <c r="F2909" t="s">
        <v>626</v>
      </c>
      <c r="G2909" t="s">
        <v>600</v>
      </c>
      <c r="H2909" s="654">
        <v>4380525</v>
      </c>
      <c r="I2909" s="654">
        <v>-14939</v>
      </c>
      <c r="J2909" s="654">
        <v>4365586</v>
      </c>
      <c r="K2909" s="654">
        <v>4365586</v>
      </c>
      <c r="L2909" s="654">
        <v>0</v>
      </c>
      <c r="M2909" s="654">
        <v>8710</v>
      </c>
      <c r="N2909" s="654">
        <v>442601</v>
      </c>
    </row>
    <row r="2910" spans="1:14" x14ac:dyDescent="0.15">
      <c r="B2910"/>
      <c r="F2910" t="s">
        <v>733</v>
      </c>
      <c r="H2910" s="654">
        <v>4380525</v>
      </c>
      <c r="I2910" s="654">
        <v>-14939</v>
      </c>
      <c r="J2910" s="654">
        <v>4365586</v>
      </c>
      <c r="K2910" s="654">
        <v>4365586</v>
      </c>
      <c r="L2910" s="654">
        <v>0</v>
      </c>
      <c r="M2910" s="654">
        <v>8710</v>
      </c>
      <c r="N2910" s="654">
        <v>442601</v>
      </c>
    </row>
    <row r="2911" spans="1:14" x14ac:dyDescent="0.15">
      <c r="B2911"/>
      <c r="F2911" t="s">
        <v>627</v>
      </c>
      <c r="G2911" t="s">
        <v>599</v>
      </c>
      <c r="H2911" s="654">
        <v>1100923</v>
      </c>
      <c r="I2911" s="654">
        <v>-160480</v>
      </c>
      <c r="J2911" s="654">
        <v>940443</v>
      </c>
      <c r="K2911" s="654">
        <v>940443</v>
      </c>
      <c r="L2911" s="654">
        <v>0</v>
      </c>
      <c r="M2911" s="654">
        <v>0</v>
      </c>
      <c r="N2911" s="654">
        <v>233751</v>
      </c>
    </row>
    <row r="2912" spans="1:14" x14ac:dyDescent="0.15">
      <c r="B2912"/>
      <c r="F2912" t="s">
        <v>734</v>
      </c>
      <c r="H2912" s="654">
        <v>1100923</v>
      </c>
      <c r="I2912" s="654">
        <v>-160480</v>
      </c>
      <c r="J2912" s="654">
        <v>940443</v>
      </c>
      <c r="K2912" s="654">
        <v>940443</v>
      </c>
      <c r="L2912" s="654">
        <v>0</v>
      </c>
      <c r="M2912" s="654">
        <v>0</v>
      </c>
      <c r="N2912" s="654">
        <v>233751</v>
      </c>
    </row>
    <row r="2913" spans="2:14" x14ac:dyDescent="0.15">
      <c r="B2913"/>
      <c r="F2913" t="s">
        <v>628</v>
      </c>
      <c r="G2913" t="s">
        <v>598</v>
      </c>
      <c r="H2913" s="654">
        <v>497826</v>
      </c>
      <c r="I2913" s="654">
        <v>0</v>
      </c>
      <c r="J2913" s="654">
        <v>497826</v>
      </c>
      <c r="K2913" s="654">
        <v>497826</v>
      </c>
      <c r="L2913" s="654">
        <v>0</v>
      </c>
      <c r="M2913" s="654">
        <v>0</v>
      </c>
      <c r="N2913" s="654">
        <v>0</v>
      </c>
    </row>
    <row r="2914" spans="2:14" x14ac:dyDescent="0.15">
      <c r="B2914"/>
      <c r="F2914" t="s">
        <v>735</v>
      </c>
      <c r="H2914" s="654">
        <v>497826</v>
      </c>
      <c r="I2914" s="654">
        <v>0</v>
      </c>
      <c r="J2914" s="654">
        <v>497826</v>
      </c>
      <c r="K2914" s="654">
        <v>497826</v>
      </c>
      <c r="L2914" s="654">
        <v>0</v>
      </c>
      <c r="M2914" s="654">
        <v>0</v>
      </c>
      <c r="N2914" s="654">
        <v>0</v>
      </c>
    </row>
    <row r="2915" spans="2:14" x14ac:dyDescent="0.15">
      <c r="B2915"/>
      <c r="E2915" t="s">
        <v>770</v>
      </c>
      <c r="H2915" s="654">
        <v>5979274</v>
      </c>
      <c r="I2915" s="654">
        <v>-175419</v>
      </c>
      <c r="J2915" s="654">
        <v>5803855</v>
      </c>
      <c r="K2915" s="654">
        <v>5803855</v>
      </c>
      <c r="L2915" s="654">
        <v>0</v>
      </c>
      <c r="M2915" s="654">
        <v>8710</v>
      </c>
      <c r="N2915" s="654">
        <v>676352</v>
      </c>
    </row>
    <row r="2916" spans="2:14" x14ac:dyDescent="0.15">
      <c r="B2916"/>
      <c r="D2916" t="s">
        <v>734</v>
      </c>
      <c r="H2916" s="654">
        <v>5979274</v>
      </c>
      <c r="I2916" s="654">
        <v>-175419</v>
      </c>
      <c r="J2916" s="654">
        <v>5803855</v>
      </c>
      <c r="K2916" s="654">
        <v>5803855</v>
      </c>
      <c r="L2916" s="654">
        <v>0</v>
      </c>
      <c r="M2916" s="654">
        <v>8710</v>
      </c>
      <c r="N2916" s="654">
        <v>676352</v>
      </c>
    </row>
    <row r="2917" spans="2:14" x14ac:dyDescent="0.15">
      <c r="B2917"/>
      <c r="D2917" t="s">
        <v>628</v>
      </c>
      <c r="E2917" t="s">
        <v>380</v>
      </c>
      <c r="F2917" t="s">
        <v>626</v>
      </c>
      <c r="G2917" t="s">
        <v>600</v>
      </c>
      <c r="H2917" s="654">
        <v>4735561</v>
      </c>
      <c r="I2917" s="654">
        <v>-2630</v>
      </c>
      <c r="J2917" s="654">
        <v>4732931</v>
      </c>
      <c r="K2917" s="654">
        <v>4732931</v>
      </c>
      <c r="L2917" s="654">
        <v>0</v>
      </c>
      <c r="M2917" s="654">
        <v>0</v>
      </c>
      <c r="N2917" s="654">
        <v>520648</v>
      </c>
    </row>
    <row r="2918" spans="2:14" x14ac:dyDescent="0.15">
      <c r="B2918"/>
      <c r="F2918" t="s">
        <v>733</v>
      </c>
      <c r="H2918" s="654">
        <v>4735561</v>
      </c>
      <c r="I2918" s="654">
        <v>-2630</v>
      </c>
      <c r="J2918" s="654">
        <v>4732931</v>
      </c>
      <c r="K2918" s="654">
        <v>4732931</v>
      </c>
      <c r="L2918" s="654">
        <v>0</v>
      </c>
      <c r="M2918" s="654">
        <v>0</v>
      </c>
      <c r="N2918" s="654">
        <v>520648</v>
      </c>
    </row>
    <row r="2919" spans="2:14" x14ac:dyDescent="0.15">
      <c r="B2919"/>
      <c r="F2919" t="s">
        <v>627</v>
      </c>
      <c r="G2919" t="s">
        <v>599</v>
      </c>
      <c r="H2919" s="654">
        <v>1738382</v>
      </c>
      <c r="I2919" s="654">
        <v>0</v>
      </c>
      <c r="J2919" s="654">
        <v>1738382</v>
      </c>
      <c r="K2919" s="654">
        <v>1738382</v>
      </c>
      <c r="L2919" s="654">
        <v>0</v>
      </c>
      <c r="M2919" s="654">
        <v>0</v>
      </c>
      <c r="N2919" s="654">
        <v>404246</v>
      </c>
    </row>
    <row r="2920" spans="2:14" x14ac:dyDescent="0.15">
      <c r="B2920"/>
      <c r="F2920" t="s">
        <v>734</v>
      </c>
      <c r="H2920" s="654">
        <v>1738382</v>
      </c>
      <c r="I2920" s="654">
        <v>0</v>
      </c>
      <c r="J2920" s="654">
        <v>1738382</v>
      </c>
      <c r="K2920" s="654">
        <v>1738382</v>
      </c>
      <c r="L2920" s="654">
        <v>0</v>
      </c>
      <c r="M2920" s="654">
        <v>0</v>
      </c>
      <c r="N2920" s="654">
        <v>404246</v>
      </c>
    </row>
    <row r="2921" spans="2:14" x14ac:dyDescent="0.15">
      <c r="B2921"/>
      <c r="E2921" t="s">
        <v>771</v>
      </c>
      <c r="H2921" s="654">
        <v>6473943</v>
      </c>
      <c r="I2921" s="654">
        <v>-2630</v>
      </c>
      <c r="J2921" s="654">
        <v>6471313</v>
      </c>
      <c r="K2921" s="654">
        <v>6471313</v>
      </c>
      <c r="L2921" s="654">
        <v>0</v>
      </c>
      <c r="M2921" s="654">
        <v>0</v>
      </c>
      <c r="N2921" s="654">
        <v>924894</v>
      </c>
    </row>
    <row r="2922" spans="2:14" x14ac:dyDescent="0.15">
      <c r="B2922"/>
      <c r="D2922" t="s">
        <v>735</v>
      </c>
      <c r="H2922" s="654">
        <v>6473943</v>
      </c>
      <c r="I2922" s="654">
        <v>-2630</v>
      </c>
      <c r="J2922" s="654">
        <v>6471313</v>
      </c>
      <c r="K2922" s="654">
        <v>6471313</v>
      </c>
      <c r="L2922" s="654">
        <v>0</v>
      </c>
      <c r="M2922" s="654">
        <v>0</v>
      </c>
      <c r="N2922" s="654">
        <v>924894</v>
      </c>
    </row>
    <row r="2923" spans="2:14" x14ac:dyDescent="0.15">
      <c r="B2923"/>
      <c r="D2923" t="s">
        <v>629</v>
      </c>
      <c r="E2923" t="s">
        <v>676</v>
      </c>
      <c r="F2923" t="s">
        <v>629</v>
      </c>
      <c r="G2923" t="s">
        <v>601</v>
      </c>
      <c r="H2923" s="654">
        <v>3824966</v>
      </c>
      <c r="I2923" s="654">
        <v>-13208</v>
      </c>
      <c r="J2923" s="654">
        <v>3811758</v>
      </c>
      <c r="K2923" s="654">
        <v>3811758</v>
      </c>
      <c r="L2923" s="654">
        <v>0</v>
      </c>
      <c r="M2923" s="654">
        <v>0</v>
      </c>
      <c r="N2923" s="654">
        <v>214247</v>
      </c>
    </row>
    <row r="2924" spans="2:14" x14ac:dyDescent="0.15">
      <c r="B2924"/>
      <c r="F2924" t="s">
        <v>736</v>
      </c>
      <c r="H2924" s="654">
        <v>3824966</v>
      </c>
      <c r="I2924" s="654">
        <v>-13208</v>
      </c>
      <c r="J2924" s="654">
        <v>3811758</v>
      </c>
      <c r="K2924" s="654">
        <v>3811758</v>
      </c>
      <c r="L2924" s="654">
        <v>0</v>
      </c>
      <c r="M2924" s="654">
        <v>0</v>
      </c>
      <c r="N2924" s="654">
        <v>214247</v>
      </c>
    </row>
    <row r="2925" spans="2:14" x14ac:dyDescent="0.15">
      <c r="B2925"/>
      <c r="E2925" t="s">
        <v>772</v>
      </c>
      <c r="H2925" s="654">
        <v>3824966</v>
      </c>
      <c r="I2925" s="654">
        <v>-13208</v>
      </c>
      <c r="J2925" s="654">
        <v>3811758</v>
      </c>
      <c r="K2925" s="654">
        <v>3811758</v>
      </c>
      <c r="L2925" s="654">
        <v>0</v>
      </c>
      <c r="M2925" s="654">
        <v>0</v>
      </c>
      <c r="N2925" s="654">
        <v>214247</v>
      </c>
    </row>
    <row r="2926" spans="2:14" x14ac:dyDescent="0.15">
      <c r="B2926"/>
      <c r="D2926" t="s">
        <v>736</v>
      </c>
      <c r="H2926" s="654">
        <v>3824966</v>
      </c>
      <c r="I2926" s="654">
        <v>-13208</v>
      </c>
      <c r="J2926" s="654">
        <v>3811758</v>
      </c>
      <c r="K2926" s="654">
        <v>3811758</v>
      </c>
      <c r="L2926" s="654">
        <v>0</v>
      </c>
      <c r="M2926" s="654">
        <v>0</v>
      </c>
      <c r="N2926" s="654">
        <v>214247</v>
      </c>
    </row>
    <row r="2927" spans="2:14" x14ac:dyDescent="0.15">
      <c r="B2927"/>
      <c r="D2927" t="s">
        <v>567</v>
      </c>
      <c r="E2927" t="s">
        <v>473</v>
      </c>
      <c r="F2927" t="s">
        <v>631</v>
      </c>
      <c r="G2927" t="s">
        <v>596</v>
      </c>
      <c r="H2927" s="654">
        <v>1107363</v>
      </c>
      <c r="I2927" s="654">
        <v>0</v>
      </c>
      <c r="J2927" s="654">
        <v>1107363</v>
      </c>
      <c r="K2927" s="654">
        <v>1107363</v>
      </c>
      <c r="L2927" s="654">
        <v>0</v>
      </c>
      <c r="M2927" s="654">
        <v>0</v>
      </c>
      <c r="N2927" s="654">
        <v>309206</v>
      </c>
    </row>
    <row r="2928" spans="2:14" x14ac:dyDescent="0.15">
      <c r="B2928"/>
      <c r="F2928" t="s">
        <v>737</v>
      </c>
      <c r="H2928" s="654">
        <v>1107363</v>
      </c>
      <c r="I2928" s="654">
        <v>0</v>
      </c>
      <c r="J2928" s="654">
        <v>1107363</v>
      </c>
      <c r="K2928" s="654">
        <v>1107363</v>
      </c>
      <c r="L2928" s="654">
        <v>0</v>
      </c>
      <c r="M2928" s="654">
        <v>0</v>
      </c>
      <c r="N2928" s="654">
        <v>309206</v>
      </c>
    </row>
    <row r="2929" spans="2:14" x14ac:dyDescent="0.15">
      <c r="B2929"/>
      <c r="E2929" t="s">
        <v>773</v>
      </c>
      <c r="H2929" s="654">
        <v>1107363</v>
      </c>
      <c r="I2929" s="654">
        <v>0</v>
      </c>
      <c r="J2929" s="654">
        <v>1107363</v>
      </c>
      <c r="K2929" s="654">
        <v>1107363</v>
      </c>
      <c r="L2929" s="654">
        <v>0</v>
      </c>
      <c r="M2929" s="654">
        <v>0</v>
      </c>
      <c r="N2929" s="654">
        <v>309206</v>
      </c>
    </row>
    <row r="2930" spans="2:14" x14ac:dyDescent="0.15">
      <c r="B2930"/>
      <c r="D2930" t="s">
        <v>739</v>
      </c>
      <c r="H2930" s="654">
        <v>1107363</v>
      </c>
      <c r="I2930" s="654">
        <v>0</v>
      </c>
      <c r="J2930" s="654">
        <v>1107363</v>
      </c>
      <c r="K2930" s="654">
        <v>1107363</v>
      </c>
      <c r="L2930" s="654">
        <v>0</v>
      </c>
      <c r="M2930" s="654">
        <v>0</v>
      </c>
      <c r="N2930" s="654">
        <v>309206</v>
      </c>
    </row>
    <row r="2931" spans="2:14" x14ac:dyDescent="0.15">
      <c r="B2931"/>
      <c r="D2931" t="s">
        <v>568</v>
      </c>
      <c r="E2931" t="s">
        <v>474</v>
      </c>
      <c r="F2931" t="s">
        <v>631</v>
      </c>
      <c r="G2931" t="s">
        <v>596</v>
      </c>
      <c r="H2931" s="654">
        <v>1044442</v>
      </c>
      <c r="I2931" s="654">
        <v>0</v>
      </c>
      <c r="J2931" s="654">
        <v>1044442</v>
      </c>
      <c r="K2931" s="654">
        <v>1044442</v>
      </c>
      <c r="L2931" s="654">
        <v>0</v>
      </c>
      <c r="M2931" s="654">
        <v>0</v>
      </c>
      <c r="N2931" s="654">
        <v>0</v>
      </c>
    </row>
    <row r="2932" spans="2:14" x14ac:dyDescent="0.15">
      <c r="B2932"/>
      <c r="F2932" t="s">
        <v>737</v>
      </c>
      <c r="H2932" s="654">
        <v>1044442</v>
      </c>
      <c r="I2932" s="654">
        <v>0</v>
      </c>
      <c r="J2932" s="654">
        <v>1044442</v>
      </c>
      <c r="K2932" s="654">
        <v>1044442</v>
      </c>
      <c r="L2932" s="654">
        <v>0</v>
      </c>
      <c r="M2932" s="654">
        <v>0</v>
      </c>
      <c r="N2932" s="654">
        <v>0</v>
      </c>
    </row>
    <row r="2933" spans="2:14" x14ac:dyDescent="0.15">
      <c r="B2933"/>
      <c r="E2933" t="s">
        <v>774</v>
      </c>
      <c r="H2933" s="654">
        <v>1044442</v>
      </c>
      <c r="I2933" s="654">
        <v>0</v>
      </c>
      <c r="J2933" s="654">
        <v>1044442</v>
      </c>
      <c r="K2933" s="654">
        <v>1044442</v>
      </c>
      <c r="L2933" s="654">
        <v>0</v>
      </c>
      <c r="M2933" s="654">
        <v>0</v>
      </c>
      <c r="N2933" s="654">
        <v>0</v>
      </c>
    </row>
    <row r="2934" spans="2:14" x14ac:dyDescent="0.15">
      <c r="B2934"/>
      <c r="D2934" t="s">
        <v>740</v>
      </c>
      <c r="H2934" s="654">
        <v>1044442</v>
      </c>
      <c r="I2934" s="654">
        <v>0</v>
      </c>
      <c r="J2934" s="654">
        <v>1044442</v>
      </c>
      <c r="K2934" s="654">
        <v>1044442</v>
      </c>
      <c r="L2934" s="654">
        <v>0</v>
      </c>
      <c r="M2934" s="654">
        <v>0</v>
      </c>
      <c r="N2934" s="654">
        <v>0</v>
      </c>
    </row>
    <row r="2935" spans="2:14" x14ac:dyDescent="0.15">
      <c r="B2935"/>
      <c r="D2935" t="s">
        <v>582</v>
      </c>
      <c r="E2935" t="s">
        <v>384</v>
      </c>
      <c r="F2935" t="s">
        <v>631</v>
      </c>
      <c r="G2935" t="s">
        <v>596</v>
      </c>
      <c r="H2935" s="654">
        <v>2515481</v>
      </c>
      <c r="I2935" s="654">
        <v>0</v>
      </c>
      <c r="J2935" s="654">
        <v>2515481</v>
      </c>
      <c r="K2935" s="654">
        <v>2515481</v>
      </c>
      <c r="L2935" s="654">
        <v>0</v>
      </c>
      <c r="M2935" s="654">
        <v>0</v>
      </c>
      <c r="N2935" s="654">
        <v>0</v>
      </c>
    </row>
    <row r="2936" spans="2:14" x14ac:dyDescent="0.15">
      <c r="B2936"/>
      <c r="F2936" t="s">
        <v>737</v>
      </c>
      <c r="H2936" s="654">
        <v>2515481</v>
      </c>
      <c r="I2936" s="654">
        <v>0</v>
      </c>
      <c r="J2936" s="654">
        <v>2515481</v>
      </c>
      <c r="K2936" s="654">
        <v>2515481</v>
      </c>
      <c r="L2936" s="654">
        <v>0</v>
      </c>
      <c r="M2936" s="654">
        <v>0</v>
      </c>
      <c r="N2936" s="654">
        <v>0</v>
      </c>
    </row>
    <row r="2937" spans="2:14" x14ac:dyDescent="0.15">
      <c r="B2937"/>
      <c r="E2937" t="s">
        <v>778</v>
      </c>
      <c r="H2937" s="654">
        <v>2515481</v>
      </c>
      <c r="I2937" s="654">
        <v>0</v>
      </c>
      <c r="J2937" s="654">
        <v>2515481</v>
      </c>
      <c r="K2937" s="654">
        <v>2515481</v>
      </c>
      <c r="L2937" s="654">
        <v>0</v>
      </c>
      <c r="M2937" s="654">
        <v>0</v>
      </c>
      <c r="N2937" s="654">
        <v>0</v>
      </c>
    </row>
    <row r="2938" spans="2:14" x14ac:dyDescent="0.15">
      <c r="B2938"/>
      <c r="D2938" t="s">
        <v>743</v>
      </c>
      <c r="H2938" s="654">
        <v>2515481</v>
      </c>
      <c r="I2938" s="654">
        <v>0</v>
      </c>
      <c r="J2938" s="654">
        <v>2515481</v>
      </c>
      <c r="K2938" s="654">
        <v>2515481</v>
      </c>
      <c r="L2938" s="654">
        <v>0</v>
      </c>
      <c r="M2938" s="654">
        <v>0</v>
      </c>
      <c r="N2938" s="654">
        <v>0</v>
      </c>
    </row>
    <row r="2939" spans="2:14" x14ac:dyDescent="0.15">
      <c r="B2939"/>
      <c r="D2939" t="s">
        <v>631</v>
      </c>
      <c r="E2939" t="s">
        <v>381</v>
      </c>
      <c r="F2939" t="s">
        <v>626</v>
      </c>
      <c r="G2939" t="s">
        <v>600</v>
      </c>
      <c r="H2939" s="654">
        <v>1845029</v>
      </c>
      <c r="I2939" s="654">
        <v>0</v>
      </c>
      <c r="J2939" s="654">
        <v>1845029</v>
      </c>
      <c r="K2939" s="654">
        <v>1845029</v>
      </c>
      <c r="L2939" s="654">
        <v>0</v>
      </c>
      <c r="M2939" s="654">
        <v>0</v>
      </c>
      <c r="N2939" s="654">
        <v>0</v>
      </c>
    </row>
    <row r="2940" spans="2:14" x14ac:dyDescent="0.15">
      <c r="B2940"/>
      <c r="F2940" t="s">
        <v>733</v>
      </c>
      <c r="H2940" s="654">
        <v>1845029</v>
      </c>
      <c r="I2940" s="654">
        <v>0</v>
      </c>
      <c r="J2940" s="654">
        <v>1845029</v>
      </c>
      <c r="K2940" s="654">
        <v>1845029</v>
      </c>
      <c r="L2940" s="654">
        <v>0</v>
      </c>
      <c r="M2940" s="654">
        <v>0</v>
      </c>
      <c r="N2940" s="654">
        <v>0</v>
      </c>
    </row>
    <row r="2941" spans="2:14" x14ac:dyDescent="0.15">
      <c r="B2941"/>
      <c r="E2941" t="s">
        <v>776</v>
      </c>
      <c r="H2941" s="654">
        <v>1845029</v>
      </c>
      <c r="I2941" s="654">
        <v>0</v>
      </c>
      <c r="J2941" s="654">
        <v>1845029</v>
      </c>
      <c r="K2941" s="654">
        <v>1845029</v>
      </c>
      <c r="L2941" s="654">
        <v>0</v>
      </c>
      <c r="M2941" s="654">
        <v>0</v>
      </c>
      <c r="N2941" s="654">
        <v>0</v>
      </c>
    </row>
    <row r="2942" spans="2:14" x14ac:dyDescent="0.15">
      <c r="B2942"/>
      <c r="D2942" t="s">
        <v>737</v>
      </c>
      <c r="H2942" s="654">
        <v>1845029</v>
      </c>
      <c r="I2942" s="654">
        <v>0</v>
      </c>
      <c r="J2942" s="654">
        <v>1845029</v>
      </c>
      <c r="K2942" s="654">
        <v>1845029</v>
      </c>
      <c r="L2942" s="654">
        <v>0</v>
      </c>
      <c r="M2942" s="654">
        <v>0</v>
      </c>
      <c r="N2942" s="654">
        <v>0</v>
      </c>
    </row>
    <row r="2943" spans="2:14" x14ac:dyDescent="0.15">
      <c r="B2943"/>
      <c r="D2943" t="s">
        <v>965</v>
      </c>
      <c r="E2943" t="s">
        <v>986</v>
      </c>
      <c r="F2943" t="s">
        <v>626</v>
      </c>
      <c r="G2943" t="s">
        <v>600</v>
      </c>
      <c r="H2943" s="654">
        <v>1000605</v>
      </c>
      <c r="I2943" s="654">
        <v>-13148</v>
      </c>
      <c r="J2943" s="654">
        <v>987457</v>
      </c>
      <c r="K2943" s="654">
        <v>987457</v>
      </c>
      <c r="L2943" s="654">
        <v>0</v>
      </c>
      <c r="M2943" s="654">
        <v>0</v>
      </c>
      <c r="N2943" s="654">
        <v>86703</v>
      </c>
    </row>
    <row r="2944" spans="2:14" x14ac:dyDescent="0.15">
      <c r="B2944"/>
      <c r="F2944" t="s">
        <v>733</v>
      </c>
      <c r="H2944" s="654">
        <v>1000605</v>
      </c>
      <c r="I2944" s="654">
        <v>-13148</v>
      </c>
      <c r="J2944" s="654">
        <v>987457</v>
      </c>
      <c r="K2944" s="654">
        <v>987457</v>
      </c>
      <c r="L2944" s="654">
        <v>0</v>
      </c>
      <c r="M2944" s="654">
        <v>0</v>
      </c>
      <c r="N2944" s="654">
        <v>86703</v>
      </c>
    </row>
    <row r="2945" spans="2:14" x14ac:dyDescent="0.15">
      <c r="B2945"/>
      <c r="F2945" t="s">
        <v>627</v>
      </c>
      <c r="G2945" t="s">
        <v>599</v>
      </c>
      <c r="H2945" s="654">
        <v>133567</v>
      </c>
      <c r="I2945" s="654">
        <v>0</v>
      </c>
      <c r="J2945" s="654">
        <v>133567</v>
      </c>
      <c r="K2945" s="654">
        <v>133567</v>
      </c>
      <c r="L2945" s="654">
        <v>0</v>
      </c>
      <c r="M2945" s="654">
        <v>0</v>
      </c>
      <c r="N2945" s="654">
        <v>28110</v>
      </c>
    </row>
    <row r="2946" spans="2:14" x14ac:dyDescent="0.15">
      <c r="B2946"/>
      <c r="F2946" t="s">
        <v>734</v>
      </c>
      <c r="H2946" s="654">
        <v>133567</v>
      </c>
      <c r="I2946" s="654">
        <v>0</v>
      </c>
      <c r="J2946" s="654">
        <v>133567</v>
      </c>
      <c r="K2946" s="654">
        <v>133567</v>
      </c>
      <c r="L2946" s="654">
        <v>0</v>
      </c>
      <c r="M2946" s="654">
        <v>0</v>
      </c>
      <c r="N2946" s="654">
        <v>28110</v>
      </c>
    </row>
    <row r="2947" spans="2:14" x14ac:dyDescent="0.15">
      <c r="B2947"/>
      <c r="E2947" t="s">
        <v>1138</v>
      </c>
      <c r="H2947" s="654">
        <v>1134172</v>
      </c>
      <c r="I2947" s="654">
        <v>-13148</v>
      </c>
      <c r="J2947" s="654">
        <v>1121024</v>
      </c>
      <c r="K2947" s="654">
        <v>1121024</v>
      </c>
      <c r="L2947" s="654">
        <v>0</v>
      </c>
      <c r="M2947" s="654">
        <v>0</v>
      </c>
      <c r="N2947" s="654">
        <v>114813</v>
      </c>
    </row>
    <row r="2948" spans="2:14" x14ac:dyDescent="0.15">
      <c r="B2948"/>
      <c r="D2948" t="s">
        <v>1139</v>
      </c>
      <c r="H2948" s="654">
        <v>1134172</v>
      </c>
      <c r="I2948" s="654">
        <v>-13148</v>
      </c>
      <c r="J2948" s="654">
        <v>1121024</v>
      </c>
      <c r="K2948" s="654">
        <v>1121024</v>
      </c>
      <c r="L2948" s="654">
        <v>0</v>
      </c>
      <c r="M2948" s="654">
        <v>0</v>
      </c>
      <c r="N2948" s="654">
        <v>114813</v>
      </c>
    </row>
    <row r="2949" spans="2:14" x14ac:dyDescent="0.15">
      <c r="B2949"/>
      <c r="D2949" t="s">
        <v>1201</v>
      </c>
      <c r="E2949" t="s">
        <v>1199</v>
      </c>
      <c r="F2949" t="s">
        <v>626</v>
      </c>
      <c r="G2949" t="s">
        <v>600</v>
      </c>
      <c r="H2949" s="654">
        <v>551172</v>
      </c>
      <c r="I2949" s="654">
        <v>-57923</v>
      </c>
      <c r="J2949" s="654">
        <v>493249</v>
      </c>
      <c r="K2949" s="654">
        <v>493249</v>
      </c>
      <c r="L2949" s="654">
        <v>0</v>
      </c>
      <c r="M2949" s="654">
        <v>0</v>
      </c>
      <c r="N2949" s="654">
        <v>39332</v>
      </c>
    </row>
    <row r="2950" spans="2:14" x14ac:dyDescent="0.15">
      <c r="B2950"/>
      <c r="F2950" t="s">
        <v>733</v>
      </c>
      <c r="H2950" s="654">
        <v>551172</v>
      </c>
      <c r="I2950" s="654">
        <v>-57923</v>
      </c>
      <c r="J2950" s="654">
        <v>493249</v>
      </c>
      <c r="K2950" s="654">
        <v>493249</v>
      </c>
      <c r="L2950" s="654">
        <v>0</v>
      </c>
      <c r="M2950" s="654">
        <v>0</v>
      </c>
      <c r="N2950" s="654">
        <v>39332</v>
      </c>
    </row>
    <row r="2951" spans="2:14" x14ac:dyDescent="0.15">
      <c r="B2951"/>
      <c r="F2951" t="s">
        <v>627</v>
      </c>
      <c r="G2951" t="s">
        <v>599</v>
      </c>
      <c r="H2951" s="654">
        <v>242326</v>
      </c>
      <c r="I2951" s="654">
        <v>0</v>
      </c>
      <c r="J2951" s="654">
        <v>242326</v>
      </c>
      <c r="K2951" s="654">
        <v>242326</v>
      </c>
      <c r="L2951" s="654">
        <v>0</v>
      </c>
      <c r="M2951" s="654">
        <v>0</v>
      </c>
      <c r="N2951" s="654">
        <v>56338</v>
      </c>
    </row>
    <row r="2952" spans="2:14" x14ac:dyDescent="0.15">
      <c r="B2952"/>
      <c r="F2952" t="s">
        <v>734</v>
      </c>
      <c r="H2952" s="654">
        <v>242326</v>
      </c>
      <c r="I2952" s="654">
        <v>0</v>
      </c>
      <c r="J2952" s="654">
        <v>242326</v>
      </c>
      <c r="K2952" s="654">
        <v>242326</v>
      </c>
      <c r="L2952" s="654">
        <v>0</v>
      </c>
      <c r="M2952" s="654">
        <v>0</v>
      </c>
      <c r="N2952" s="654">
        <v>56338</v>
      </c>
    </row>
    <row r="2953" spans="2:14" x14ac:dyDescent="0.15">
      <c r="B2953"/>
      <c r="E2953" t="s">
        <v>1379</v>
      </c>
      <c r="H2953" s="654">
        <v>793498</v>
      </c>
      <c r="I2953" s="654">
        <v>-57923</v>
      </c>
      <c r="J2953" s="654">
        <v>735575</v>
      </c>
      <c r="K2953" s="654">
        <v>735575</v>
      </c>
      <c r="L2953" s="654">
        <v>0</v>
      </c>
      <c r="M2953" s="654">
        <v>0</v>
      </c>
      <c r="N2953" s="654">
        <v>95670</v>
      </c>
    </row>
    <row r="2954" spans="2:14" x14ac:dyDescent="0.15">
      <c r="B2954"/>
      <c r="D2954" t="s">
        <v>1380</v>
      </c>
      <c r="H2954" s="654">
        <v>793498</v>
      </c>
      <c r="I2954" s="654">
        <v>-57923</v>
      </c>
      <c r="J2954" s="654">
        <v>735575</v>
      </c>
      <c r="K2954" s="654">
        <v>735575</v>
      </c>
      <c r="L2954" s="654">
        <v>0</v>
      </c>
      <c r="M2954" s="654">
        <v>0</v>
      </c>
      <c r="N2954" s="654">
        <v>95670</v>
      </c>
    </row>
    <row r="2955" spans="2:14" x14ac:dyDescent="0.15">
      <c r="B2955"/>
      <c r="C2955" t="s">
        <v>853</v>
      </c>
      <c r="H2955" s="654">
        <v>36132666</v>
      </c>
      <c r="I2955" s="654">
        <v>-348377</v>
      </c>
      <c r="J2955" s="654">
        <v>35784289</v>
      </c>
      <c r="K2955" s="654">
        <v>35784289</v>
      </c>
      <c r="L2955" s="654">
        <v>0</v>
      </c>
      <c r="M2955" s="654">
        <v>167482</v>
      </c>
      <c r="N2955" s="654">
        <v>4135168</v>
      </c>
    </row>
    <row r="2956" spans="2:14" x14ac:dyDescent="0.15">
      <c r="B2956" t="s">
        <v>627</v>
      </c>
      <c r="C2956" t="s">
        <v>847</v>
      </c>
      <c r="D2956" t="s">
        <v>626</v>
      </c>
      <c r="E2956" t="s">
        <v>378</v>
      </c>
      <c r="F2956" t="s">
        <v>626</v>
      </c>
      <c r="G2956" t="s">
        <v>600</v>
      </c>
      <c r="H2956" s="654">
        <v>206795</v>
      </c>
      <c r="I2956" s="654">
        <v>36048</v>
      </c>
      <c r="J2956" s="654">
        <v>242843</v>
      </c>
      <c r="K2956" s="654">
        <v>242843</v>
      </c>
      <c r="L2956" s="654">
        <v>0</v>
      </c>
      <c r="M2956" s="654">
        <v>0</v>
      </c>
      <c r="N2956" s="654">
        <v>0</v>
      </c>
    </row>
    <row r="2957" spans="2:14" x14ac:dyDescent="0.15">
      <c r="B2957"/>
      <c r="F2957" t="s">
        <v>733</v>
      </c>
      <c r="H2957" s="654">
        <v>206795</v>
      </c>
      <c r="I2957" s="654">
        <v>36048</v>
      </c>
      <c r="J2957" s="654">
        <v>242843</v>
      </c>
      <c r="K2957" s="654">
        <v>242843</v>
      </c>
      <c r="L2957" s="654">
        <v>0</v>
      </c>
      <c r="M2957" s="654">
        <v>0</v>
      </c>
      <c r="N2957" s="654">
        <v>0</v>
      </c>
    </row>
    <row r="2958" spans="2:14" x14ac:dyDescent="0.15">
      <c r="B2958"/>
      <c r="F2958" t="s">
        <v>627</v>
      </c>
      <c r="G2958" t="s">
        <v>599</v>
      </c>
      <c r="H2958" s="654">
        <v>379308</v>
      </c>
      <c r="I2958" s="654">
        <v>0</v>
      </c>
      <c r="J2958" s="654">
        <v>379308</v>
      </c>
      <c r="K2958" s="654">
        <v>379308</v>
      </c>
      <c r="L2958" s="654">
        <v>0</v>
      </c>
      <c r="M2958" s="654">
        <v>0</v>
      </c>
      <c r="N2958" s="654">
        <v>0</v>
      </c>
    </row>
    <row r="2959" spans="2:14" x14ac:dyDescent="0.15">
      <c r="B2959"/>
      <c r="F2959" t="s">
        <v>734</v>
      </c>
      <c r="H2959" s="654">
        <v>379308</v>
      </c>
      <c r="I2959" s="654">
        <v>0</v>
      </c>
      <c r="J2959" s="654">
        <v>379308</v>
      </c>
      <c r="K2959" s="654">
        <v>379308</v>
      </c>
      <c r="L2959" s="654">
        <v>0</v>
      </c>
      <c r="M2959" s="654">
        <v>0</v>
      </c>
      <c r="N2959" s="654">
        <v>0</v>
      </c>
    </row>
    <row r="2960" spans="2:14" x14ac:dyDescent="0.15">
      <c r="B2960"/>
      <c r="F2960" t="s">
        <v>628</v>
      </c>
      <c r="G2960" t="s">
        <v>598</v>
      </c>
      <c r="H2960" s="654">
        <v>14477</v>
      </c>
      <c r="I2960" s="654">
        <v>0</v>
      </c>
      <c r="J2960" s="654">
        <v>14477</v>
      </c>
      <c r="K2960" s="654">
        <v>14477</v>
      </c>
      <c r="L2960" s="654">
        <v>0</v>
      </c>
      <c r="M2960" s="654">
        <v>0</v>
      </c>
      <c r="N2960" s="654">
        <v>0</v>
      </c>
    </row>
    <row r="2961" spans="2:14" x14ac:dyDescent="0.15">
      <c r="B2961"/>
      <c r="F2961" t="s">
        <v>735</v>
      </c>
      <c r="H2961" s="654">
        <v>14477</v>
      </c>
      <c r="I2961" s="654">
        <v>0</v>
      </c>
      <c r="J2961" s="654">
        <v>14477</v>
      </c>
      <c r="K2961" s="654">
        <v>14477</v>
      </c>
      <c r="L2961" s="654">
        <v>0</v>
      </c>
      <c r="M2961" s="654">
        <v>0</v>
      </c>
      <c r="N2961" s="654">
        <v>0</v>
      </c>
    </row>
    <row r="2962" spans="2:14" x14ac:dyDescent="0.15">
      <c r="B2962"/>
      <c r="E2962" t="s">
        <v>769</v>
      </c>
      <c r="H2962" s="654">
        <v>600580</v>
      </c>
      <c r="I2962" s="654">
        <v>36048</v>
      </c>
      <c r="J2962" s="654">
        <v>636628</v>
      </c>
      <c r="K2962" s="654">
        <v>636628</v>
      </c>
      <c r="L2962" s="654">
        <v>0</v>
      </c>
      <c r="M2962" s="654">
        <v>0</v>
      </c>
      <c r="N2962" s="654">
        <v>0</v>
      </c>
    </row>
    <row r="2963" spans="2:14" x14ac:dyDescent="0.15">
      <c r="B2963"/>
      <c r="D2963" t="s">
        <v>733</v>
      </c>
      <c r="H2963" s="654">
        <v>600580</v>
      </c>
      <c r="I2963" s="654">
        <v>36048</v>
      </c>
      <c r="J2963" s="654">
        <v>636628</v>
      </c>
      <c r="K2963" s="654">
        <v>636628</v>
      </c>
      <c r="L2963" s="654">
        <v>0</v>
      </c>
      <c r="M2963" s="654">
        <v>0</v>
      </c>
      <c r="N2963" s="654">
        <v>0</v>
      </c>
    </row>
    <row r="2964" spans="2:14" x14ac:dyDescent="0.15">
      <c r="B2964"/>
      <c r="D2964" t="s">
        <v>627</v>
      </c>
      <c r="E2964" t="s">
        <v>379</v>
      </c>
      <c r="F2964" t="s">
        <v>626</v>
      </c>
      <c r="G2964" t="s">
        <v>600</v>
      </c>
      <c r="H2964" s="654">
        <v>111881</v>
      </c>
      <c r="I2964" s="654">
        <v>-383080</v>
      </c>
      <c r="J2964" s="654">
        <v>-271199</v>
      </c>
      <c r="K2964" s="654">
        <v>-271199</v>
      </c>
      <c r="L2964" s="654">
        <v>0</v>
      </c>
      <c r="M2964" s="654">
        <v>0</v>
      </c>
      <c r="N2964" s="654">
        <v>0</v>
      </c>
    </row>
    <row r="2965" spans="2:14" x14ac:dyDescent="0.15">
      <c r="B2965"/>
      <c r="F2965" t="s">
        <v>733</v>
      </c>
      <c r="H2965" s="654">
        <v>111881</v>
      </c>
      <c r="I2965" s="654">
        <v>-383080</v>
      </c>
      <c r="J2965" s="654">
        <v>-271199</v>
      </c>
      <c r="K2965" s="654">
        <v>-271199</v>
      </c>
      <c r="L2965" s="654">
        <v>0</v>
      </c>
      <c r="M2965" s="654">
        <v>0</v>
      </c>
      <c r="N2965" s="654">
        <v>0</v>
      </c>
    </row>
    <row r="2966" spans="2:14" x14ac:dyDescent="0.15">
      <c r="B2966"/>
      <c r="F2966" t="s">
        <v>627</v>
      </c>
      <c r="G2966" t="s">
        <v>599</v>
      </c>
      <c r="H2966" s="654">
        <v>209464</v>
      </c>
      <c r="I2966" s="654">
        <v>-144697</v>
      </c>
      <c r="J2966" s="654">
        <v>64767</v>
      </c>
      <c r="K2966" s="654">
        <v>64767</v>
      </c>
      <c r="L2966" s="654">
        <v>0</v>
      </c>
      <c r="M2966" s="654">
        <v>0</v>
      </c>
      <c r="N2966" s="654">
        <v>0</v>
      </c>
    </row>
    <row r="2967" spans="2:14" x14ac:dyDescent="0.15">
      <c r="B2967"/>
      <c r="F2967" t="s">
        <v>734</v>
      </c>
      <c r="H2967" s="654">
        <v>209464</v>
      </c>
      <c r="I2967" s="654">
        <v>-144697</v>
      </c>
      <c r="J2967" s="654">
        <v>64767</v>
      </c>
      <c r="K2967" s="654">
        <v>64767</v>
      </c>
      <c r="L2967" s="654">
        <v>0</v>
      </c>
      <c r="M2967" s="654">
        <v>0</v>
      </c>
      <c r="N2967" s="654">
        <v>0</v>
      </c>
    </row>
    <row r="2968" spans="2:14" x14ac:dyDescent="0.15">
      <c r="B2968"/>
      <c r="F2968" t="s">
        <v>628</v>
      </c>
      <c r="G2968" t="s">
        <v>598</v>
      </c>
      <c r="H2968" s="654">
        <v>32574</v>
      </c>
      <c r="I2968" s="654">
        <v>0</v>
      </c>
      <c r="J2968" s="654">
        <v>32574</v>
      </c>
      <c r="K2968" s="654">
        <v>32574</v>
      </c>
      <c r="L2968" s="654">
        <v>0</v>
      </c>
      <c r="M2968" s="654">
        <v>0</v>
      </c>
      <c r="N2968" s="654">
        <v>0</v>
      </c>
    </row>
    <row r="2969" spans="2:14" x14ac:dyDescent="0.15">
      <c r="B2969"/>
      <c r="F2969" t="s">
        <v>735</v>
      </c>
      <c r="H2969" s="654">
        <v>32574</v>
      </c>
      <c r="I2969" s="654">
        <v>0</v>
      </c>
      <c r="J2969" s="654">
        <v>32574</v>
      </c>
      <c r="K2969" s="654">
        <v>32574</v>
      </c>
      <c r="L2969" s="654">
        <v>0</v>
      </c>
      <c r="M2969" s="654">
        <v>0</v>
      </c>
      <c r="N2969" s="654">
        <v>0</v>
      </c>
    </row>
    <row r="2970" spans="2:14" x14ac:dyDescent="0.15">
      <c r="B2970"/>
      <c r="E2970" t="s">
        <v>770</v>
      </c>
      <c r="H2970" s="654">
        <v>353919</v>
      </c>
      <c r="I2970" s="654">
        <v>-527777</v>
      </c>
      <c r="J2970" s="654">
        <v>-173858</v>
      </c>
      <c r="K2970" s="654">
        <v>-173858</v>
      </c>
      <c r="L2970" s="654">
        <v>0</v>
      </c>
      <c r="M2970" s="654">
        <v>0</v>
      </c>
      <c r="N2970" s="654">
        <v>0</v>
      </c>
    </row>
    <row r="2971" spans="2:14" x14ac:dyDescent="0.15">
      <c r="B2971"/>
      <c r="D2971" t="s">
        <v>734</v>
      </c>
      <c r="H2971" s="654">
        <v>353919</v>
      </c>
      <c r="I2971" s="654">
        <v>-527777</v>
      </c>
      <c r="J2971" s="654">
        <v>-173858</v>
      </c>
      <c r="K2971" s="654">
        <v>-173858</v>
      </c>
      <c r="L2971" s="654">
        <v>0</v>
      </c>
      <c r="M2971" s="654">
        <v>0</v>
      </c>
      <c r="N2971" s="654">
        <v>0</v>
      </c>
    </row>
    <row r="2972" spans="2:14" x14ac:dyDescent="0.15">
      <c r="B2972"/>
      <c r="D2972" t="s">
        <v>628</v>
      </c>
      <c r="E2972" t="s">
        <v>380</v>
      </c>
      <c r="F2972" t="s">
        <v>626</v>
      </c>
      <c r="G2972" t="s">
        <v>600</v>
      </c>
      <c r="H2972" s="654">
        <v>232124</v>
      </c>
      <c r="I2972" s="654">
        <v>7469</v>
      </c>
      <c r="J2972" s="654">
        <v>239593</v>
      </c>
      <c r="K2972" s="654">
        <v>239593</v>
      </c>
      <c r="L2972" s="654">
        <v>0</v>
      </c>
      <c r="M2972" s="654">
        <v>0</v>
      </c>
      <c r="N2972" s="654">
        <v>0</v>
      </c>
    </row>
    <row r="2973" spans="2:14" x14ac:dyDescent="0.15">
      <c r="B2973"/>
      <c r="F2973" t="s">
        <v>733</v>
      </c>
      <c r="H2973" s="654">
        <v>232124</v>
      </c>
      <c r="I2973" s="654">
        <v>7469</v>
      </c>
      <c r="J2973" s="654">
        <v>239593</v>
      </c>
      <c r="K2973" s="654">
        <v>239593</v>
      </c>
      <c r="L2973" s="654">
        <v>0</v>
      </c>
      <c r="M2973" s="654">
        <v>0</v>
      </c>
      <c r="N2973" s="654">
        <v>0</v>
      </c>
    </row>
    <row r="2974" spans="2:14" x14ac:dyDescent="0.15">
      <c r="B2974"/>
      <c r="F2974" t="s">
        <v>627</v>
      </c>
      <c r="G2974" t="s">
        <v>599</v>
      </c>
      <c r="H2974" s="654">
        <v>0</v>
      </c>
      <c r="I2974" s="654">
        <v>0</v>
      </c>
      <c r="J2974" s="654">
        <v>0</v>
      </c>
      <c r="K2974" s="654">
        <v>0</v>
      </c>
      <c r="L2974" s="654">
        <v>0</v>
      </c>
      <c r="M2974" s="654">
        <v>0</v>
      </c>
      <c r="N2974" s="654">
        <v>0</v>
      </c>
    </row>
    <row r="2975" spans="2:14" x14ac:dyDescent="0.15">
      <c r="B2975"/>
      <c r="F2975" t="s">
        <v>734</v>
      </c>
      <c r="H2975" s="654">
        <v>0</v>
      </c>
      <c r="I2975" s="654">
        <v>0</v>
      </c>
      <c r="J2975" s="654">
        <v>0</v>
      </c>
      <c r="K2975" s="654">
        <v>0</v>
      </c>
      <c r="L2975" s="654">
        <v>0</v>
      </c>
      <c r="M2975" s="654">
        <v>0</v>
      </c>
      <c r="N2975" s="654">
        <v>0</v>
      </c>
    </row>
    <row r="2976" spans="2:14" x14ac:dyDescent="0.15">
      <c r="B2976"/>
      <c r="E2976" t="s">
        <v>771</v>
      </c>
      <c r="H2976" s="654">
        <v>232124</v>
      </c>
      <c r="I2976" s="654">
        <v>7469</v>
      </c>
      <c r="J2976" s="654">
        <v>239593</v>
      </c>
      <c r="K2976" s="654">
        <v>239593</v>
      </c>
      <c r="L2976" s="654">
        <v>0</v>
      </c>
      <c r="M2976" s="654">
        <v>0</v>
      </c>
      <c r="N2976" s="654">
        <v>0</v>
      </c>
    </row>
    <row r="2977" spans="2:14" x14ac:dyDescent="0.15">
      <c r="B2977"/>
      <c r="D2977" t="s">
        <v>735</v>
      </c>
      <c r="H2977" s="654">
        <v>232124</v>
      </c>
      <c r="I2977" s="654">
        <v>7469</v>
      </c>
      <c r="J2977" s="654">
        <v>239593</v>
      </c>
      <c r="K2977" s="654">
        <v>239593</v>
      </c>
      <c r="L2977" s="654">
        <v>0</v>
      </c>
      <c r="M2977" s="654">
        <v>0</v>
      </c>
      <c r="N2977" s="654">
        <v>0</v>
      </c>
    </row>
    <row r="2978" spans="2:14" x14ac:dyDescent="0.15">
      <c r="B2978"/>
      <c r="D2978" t="s">
        <v>629</v>
      </c>
      <c r="E2978" t="s">
        <v>676</v>
      </c>
      <c r="F2978" t="s">
        <v>629</v>
      </c>
      <c r="G2978" t="s">
        <v>601</v>
      </c>
      <c r="H2978" s="654">
        <v>35059</v>
      </c>
      <c r="I2978" s="654">
        <v>0</v>
      </c>
      <c r="J2978" s="654">
        <v>35059</v>
      </c>
      <c r="K2978" s="654">
        <v>35059</v>
      </c>
      <c r="L2978" s="654">
        <v>0</v>
      </c>
      <c r="M2978" s="654">
        <v>0</v>
      </c>
      <c r="N2978" s="654">
        <v>0</v>
      </c>
    </row>
    <row r="2979" spans="2:14" x14ac:dyDescent="0.15">
      <c r="B2979"/>
      <c r="F2979" t="s">
        <v>736</v>
      </c>
      <c r="H2979" s="654">
        <v>35059</v>
      </c>
      <c r="I2979" s="654">
        <v>0</v>
      </c>
      <c r="J2979" s="654">
        <v>35059</v>
      </c>
      <c r="K2979" s="654">
        <v>35059</v>
      </c>
      <c r="L2979" s="654">
        <v>0</v>
      </c>
      <c r="M2979" s="654">
        <v>0</v>
      </c>
      <c r="N2979" s="654">
        <v>0</v>
      </c>
    </row>
    <row r="2980" spans="2:14" x14ac:dyDescent="0.15">
      <c r="B2980"/>
      <c r="E2980" t="s">
        <v>772</v>
      </c>
      <c r="H2980" s="654">
        <v>35059</v>
      </c>
      <c r="I2980" s="654">
        <v>0</v>
      </c>
      <c r="J2980" s="654">
        <v>35059</v>
      </c>
      <c r="K2980" s="654">
        <v>35059</v>
      </c>
      <c r="L2980" s="654">
        <v>0</v>
      </c>
      <c r="M2980" s="654">
        <v>0</v>
      </c>
      <c r="N2980" s="654">
        <v>0</v>
      </c>
    </row>
    <row r="2981" spans="2:14" x14ac:dyDescent="0.15">
      <c r="B2981"/>
      <c r="D2981" t="s">
        <v>736</v>
      </c>
      <c r="H2981" s="654">
        <v>35059</v>
      </c>
      <c r="I2981" s="654">
        <v>0</v>
      </c>
      <c r="J2981" s="654">
        <v>35059</v>
      </c>
      <c r="K2981" s="654">
        <v>35059</v>
      </c>
      <c r="L2981" s="654">
        <v>0</v>
      </c>
      <c r="M2981" s="654">
        <v>0</v>
      </c>
      <c r="N2981" s="654">
        <v>0</v>
      </c>
    </row>
    <row r="2982" spans="2:14" x14ac:dyDescent="0.15">
      <c r="B2982"/>
      <c r="D2982" t="s">
        <v>567</v>
      </c>
      <c r="E2982" t="s">
        <v>473</v>
      </c>
      <c r="F2982" t="s">
        <v>631</v>
      </c>
      <c r="G2982" t="s">
        <v>596</v>
      </c>
      <c r="H2982" s="654">
        <v>0</v>
      </c>
      <c r="I2982" s="654">
        <v>0</v>
      </c>
      <c r="J2982" s="654">
        <v>0</v>
      </c>
      <c r="K2982" s="654">
        <v>0</v>
      </c>
      <c r="L2982" s="654">
        <v>0</v>
      </c>
      <c r="M2982" s="654">
        <v>0</v>
      </c>
      <c r="N2982" s="654">
        <v>0</v>
      </c>
    </row>
    <row r="2983" spans="2:14" x14ac:dyDescent="0.15">
      <c r="B2983"/>
      <c r="F2983" t="s">
        <v>737</v>
      </c>
      <c r="H2983" s="654">
        <v>0</v>
      </c>
      <c r="I2983" s="654">
        <v>0</v>
      </c>
      <c r="J2983" s="654">
        <v>0</v>
      </c>
      <c r="K2983" s="654">
        <v>0</v>
      </c>
      <c r="L2983" s="654">
        <v>0</v>
      </c>
      <c r="M2983" s="654">
        <v>0</v>
      </c>
      <c r="N2983" s="654">
        <v>0</v>
      </c>
    </row>
    <row r="2984" spans="2:14" x14ac:dyDescent="0.15">
      <c r="B2984"/>
      <c r="E2984" t="s">
        <v>773</v>
      </c>
      <c r="H2984" s="654">
        <v>0</v>
      </c>
      <c r="I2984" s="654">
        <v>0</v>
      </c>
      <c r="J2984" s="654">
        <v>0</v>
      </c>
      <c r="K2984" s="654">
        <v>0</v>
      </c>
      <c r="L2984" s="654">
        <v>0</v>
      </c>
      <c r="M2984" s="654">
        <v>0</v>
      </c>
      <c r="N2984" s="654">
        <v>0</v>
      </c>
    </row>
    <row r="2985" spans="2:14" x14ac:dyDescent="0.15">
      <c r="B2985"/>
      <c r="D2985" t="s">
        <v>739</v>
      </c>
      <c r="H2985" s="654">
        <v>0</v>
      </c>
      <c r="I2985" s="654">
        <v>0</v>
      </c>
      <c r="J2985" s="654">
        <v>0</v>
      </c>
      <c r="K2985" s="654">
        <v>0</v>
      </c>
      <c r="L2985" s="654">
        <v>0</v>
      </c>
      <c r="M2985" s="654">
        <v>0</v>
      </c>
      <c r="N2985" s="654">
        <v>0</v>
      </c>
    </row>
    <row r="2986" spans="2:14" x14ac:dyDescent="0.15">
      <c r="B2986"/>
      <c r="D2986" t="s">
        <v>568</v>
      </c>
      <c r="E2986" t="s">
        <v>474</v>
      </c>
      <c r="F2986" t="s">
        <v>631</v>
      </c>
      <c r="G2986" t="s">
        <v>596</v>
      </c>
      <c r="H2986" s="654">
        <v>0</v>
      </c>
      <c r="I2986" s="654">
        <v>0</v>
      </c>
      <c r="J2986" s="654">
        <v>0</v>
      </c>
      <c r="K2986" s="654">
        <v>0</v>
      </c>
      <c r="L2986" s="654">
        <v>0</v>
      </c>
      <c r="M2986" s="654">
        <v>0</v>
      </c>
      <c r="N2986" s="654">
        <v>0</v>
      </c>
    </row>
    <row r="2987" spans="2:14" x14ac:dyDescent="0.15">
      <c r="B2987"/>
      <c r="F2987" t="s">
        <v>737</v>
      </c>
      <c r="H2987" s="654">
        <v>0</v>
      </c>
      <c r="I2987" s="654">
        <v>0</v>
      </c>
      <c r="J2987" s="654">
        <v>0</v>
      </c>
      <c r="K2987" s="654">
        <v>0</v>
      </c>
      <c r="L2987" s="654">
        <v>0</v>
      </c>
      <c r="M2987" s="654">
        <v>0</v>
      </c>
      <c r="N2987" s="654">
        <v>0</v>
      </c>
    </row>
    <row r="2988" spans="2:14" x14ac:dyDescent="0.15">
      <c r="B2988"/>
      <c r="E2988" t="s">
        <v>774</v>
      </c>
      <c r="H2988" s="654">
        <v>0</v>
      </c>
      <c r="I2988" s="654">
        <v>0</v>
      </c>
      <c r="J2988" s="654">
        <v>0</v>
      </c>
      <c r="K2988" s="654">
        <v>0</v>
      </c>
      <c r="L2988" s="654">
        <v>0</v>
      </c>
      <c r="M2988" s="654">
        <v>0</v>
      </c>
      <c r="N2988" s="654">
        <v>0</v>
      </c>
    </row>
    <row r="2989" spans="2:14" x14ac:dyDescent="0.15">
      <c r="B2989"/>
      <c r="D2989" t="s">
        <v>740</v>
      </c>
      <c r="H2989" s="654">
        <v>0</v>
      </c>
      <c r="I2989" s="654">
        <v>0</v>
      </c>
      <c r="J2989" s="654">
        <v>0</v>
      </c>
      <c r="K2989" s="654">
        <v>0</v>
      </c>
      <c r="L2989" s="654">
        <v>0</v>
      </c>
      <c r="M2989" s="654">
        <v>0</v>
      </c>
      <c r="N2989" s="654">
        <v>0</v>
      </c>
    </row>
    <row r="2990" spans="2:14" x14ac:dyDescent="0.15">
      <c r="B2990"/>
      <c r="D2990" t="s">
        <v>582</v>
      </c>
      <c r="E2990" t="s">
        <v>384</v>
      </c>
      <c r="F2990" t="s">
        <v>631</v>
      </c>
      <c r="G2990" t="s">
        <v>596</v>
      </c>
      <c r="H2990" s="654">
        <v>0</v>
      </c>
      <c r="I2990" s="654">
        <v>0</v>
      </c>
      <c r="J2990" s="654">
        <v>0</v>
      </c>
      <c r="K2990" s="654">
        <v>0</v>
      </c>
      <c r="L2990" s="654">
        <v>0</v>
      </c>
      <c r="M2990" s="654">
        <v>0</v>
      </c>
      <c r="N2990" s="654">
        <v>0</v>
      </c>
    </row>
    <row r="2991" spans="2:14" x14ac:dyDescent="0.15">
      <c r="B2991"/>
      <c r="F2991" t="s">
        <v>737</v>
      </c>
      <c r="H2991" s="654">
        <v>0</v>
      </c>
      <c r="I2991" s="654">
        <v>0</v>
      </c>
      <c r="J2991" s="654">
        <v>0</v>
      </c>
      <c r="K2991" s="654">
        <v>0</v>
      </c>
      <c r="L2991" s="654">
        <v>0</v>
      </c>
      <c r="M2991" s="654">
        <v>0</v>
      </c>
      <c r="N2991" s="654">
        <v>0</v>
      </c>
    </row>
    <row r="2992" spans="2:14" x14ac:dyDescent="0.15">
      <c r="B2992"/>
      <c r="E2992" t="s">
        <v>778</v>
      </c>
      <c r="H2992" s="654">
        <v>0</v>
      </c>
      <c r="I2992" s="654">
        <v>0</v>
      </c>
      <c r="J2992" s="654">
        <v>0</v>
      </c>
      <c r="K2992" s="654">
        <v>0</v>
      </c>
      <c r="L2992" s="654">
        <v>0</v>
      </c>
      <c r="M2992" s="654">
        <v>0</v>
      </c>
      <c r="N2992" s="654">
        <v>0</v>
      </c>
    </row>
    <row r="2993" spans="2:14" x14ac:dyDescent="0.15">
      <c r="B2993"/>
      <c r="D2993" t="s">
        <v>743</v>
      </c>
      <c r="H2993" s="654">
        <v>0</v>
      </c>
      <c r="I2993" s="654">
        <v>0</v>
      </c>
      <c r="J2993" s="654">
        <v>0</v>
      </c>
      <c r="K2993" s="654">
        <v>0</v>
      </c>
      <c r="L2993" s="654">
        <v>0</v>
      </c>
      <c r="M2993" s="654">
        <v>0</v>
      </c>
      <c r="N2993" s="654">
        <v>0</v>
      </c>
    </row>
    <row r="2994" spans="2:14" x14ac:dyDescent="0.15">
      <c r="B2994"/>
      <c r="D2994" t="s">
        <v>631</v>
      </c>
      <c r="E2994" t="s">
        <v>381</v>
      </c>
      <c r="F2994" t="s">
        <v>626</v>
      </c>
      <c r="G2994" t="s">
        <v>600</v>
      </c>
      <c r="H2994" s="654">
        <v>0</v>
      </c>
      <c r="I2994" s="654">
        <v>0</v>
      </c>
      <c r="J2994" s="654">
        <v>0</v>
      </c>
      <c r="K2994" s="654">
        <v>0</v>
      </c>
      <c r="L2994" s="654">
        <v>0</v>
      </c>
      <c r="M2994" s="654">
        <v>0</v>
      </c>
      <c r="N2994" s="654">
        <v>0</v>
      </c>
    </row>
    <row r="2995" spans="2:14" x14ac:dyDescent="0.15">
      <c r="B2995"/>
      <c r="F2995" t="s">
        <v>733</v>
      </c>
      <c r="H2995" s="654">
        <v>0</v>
      </c>
      <c r="I2995" s="654">
        <v>0</v>
      </c>
      <c r="J2995" s="654">
        <v>0</v>
      </c>
      <c r="K2995" s="654">
        <v>0</v>
      </c>
      <c r="L2995" s="654">
        <v>0</v>
      </c>
      <c r="M2995" s="654">
        <v>0</v>
      </c>
      <c r="N2995" s="654">
        <v>0</v>
      </c>
    </row>
    <row r="2996" spans="2:14" x14ac:dyDescent="0.15">
      <c r="B2996"/>
      <c r="E2996" t="s">
        <v>776</v>
      </c>
      <c r="H2996" s="654">
        <v>0</v>
      </c>
      <c r="I2996" s="654">
        <v>0</v>
      </c>
      <c r="J2996" s="654">
        <v>0</v>
      </c>
      <c r="K2996" s="654">
        <v>0</v>
      </c>
      <c r="L2996" s="654">
        <v>0</v>
      </c>
      <c r="M2996" s="654">
        <v>0</v>
      </c>
      <c r="N2996" s="654">
        <v>0</v>
      </c>
    </row>
    <row r="2997" spans="2:14" x14ac:dyDescent="0.15">
      <c r="B2997"/>
      <c r="D2997" t="s">
        <v>737</v>
      </c>
      <c r="H2997" s="654">
        <v>0</v>
      </c>
      <c r="I2997" s="654">
        <v>0</v>
      </c>
      <c r="J2997" s="654">
        <v>0</v>
      </c>
      <c r="K2997" s="654">
        <v>0</v>
      </c>
      <c r="L2997" s="654">
        <v>0</v>
      </c>
      <c r="M2997" s="654">
        <v>0</v>
      </c>
      <c r="N2997" s="654">
        <v>0</v>
      </c>
    </row>
    <row r="2998" spans="2:14" x14ac:dyDescent="0.15">
      <c r="B2998"/>
      <c r="D2998" t="s">
        <v>965</v>
      </c>
      <c r="E2998" t="s">
        <v>986</v>
      </c>
      <c r="F2998" t="s">
        <v>626</v>
      </c>
      <c r="G2998" t="s">
        <v>600</v>
      </c>
      <c r="H2998" s="654">
        <v>0</v>
      </c>
      <c r="I2998" s="654">
        <v>0</v>
      </c>
      <c r="J2998" s="654">
        <v>0</v>
      </c>
      <c r="K2998" s="654">
        <v>0</v>
      </c>
      <c r="L2998" s="654">
        <v>0</v>
      </c>
      <c r="M2998" s="654">
        <v>0</v>
      </c>
      <c r="N2998" s="654">
        <v>0</v>
      </c>
    </row>
    <row r="2999" spans="2:14" x14ac:dyDescent="0.15">
      <c r="B2999"/>
      <c r="F2999" t="s">
        <v>733</v>
      </c>
      <c r="H2999" s="654">
        <v>0</v>
      </c>
      <c r="I2999" s="654">
        <v>0</v>
      </c>
      <c r="J2999" s="654">
        <v>0</v>
      </c>
      <c r="K2999" s="654">
        <v>0</v>
      </c>
      <c r="L2999" s="654">
        <v>0</v>
      </c>
      <c r="M2999" s="654">
        <v>0</v>
      </c>
      <c r="N2999" s="654">
        <v>0</v>
      </c>
    </row>
    <row r="3000" spans="2:14" x14ac:dyDescent="0.15">
      <c r="B3000"/>
      <c r="F3000" t="s">
        <v>627</v>
      </c>
      <c r="G3000" t="s">
        <v>599</v>
      </c>
      <c r="H3000" s="654">
        <v>0</v>
      </c>
      <c r="I3000" s="654">
        <v>0</v>
      </c>
      <c r="J3000" s="654">
        <v>0</v>
      </c>
      <c r="K3000" s="654">
        <v>0</v>
      </c>
      <c r="L3000" s="654">
        <v>0</v>
      </c>
      <c r="M3000" s="654">
        <v>0</v>
      </c>
      <c r="N3000" s="654">
        <v>0</v>
      </c>
    </row>
    <row r="3001" spans="2:14" x14ac:dyDescent="0.15">
      <c r="B3001"/>
      <c r="F3001" t="s">
        <v>734</v>
      </c>
      <c r="H3001" s="654">
        <v>0</v>
      </c>
      <c r="I3001" s="654">
        <v>0</v>
      </c>
      <c r="J3001" s="654">
        <v>0</v>
      </c>
      <c r="K3001" s="654">
        <v>0</v>
      </c>
      <c r="L3001" s="654">
        <v>0</v>
      </c>
      <c r="M3001" s="654">
        <v>0</v>
      </c>
      <c r="N3001" s="654">
        <v>0</v>
      </c>
    </row>
    <row r="3002" spans="2:14" x14ac:dyDescent="0.15">
      <c r="B3002"/>
      <c r="E3002" t="s">
        <v>1138</v>
      </c>
      <c r="H3002" s="654">
        <v>0</v>
      </c>
      <c r="I3002" s="654">
        <v>0</v>
      </c>
      <c r="J3002" s="654">
        <v>0</v>
      </c>
      <c r="K3002" s="654">
        <v>0</v>
      </c>
      <c r="L3002" s="654">
        <v>0</v>
      </c>
      <c r="M3002" s="654">
        <v>0</v>
      </c>
      <c r="N3002" s="654">
        <v>0</v>
      </c>
    </row>
    <row r="3003" spans="2:14" x14ac:dyDescent="0.15">
      <c r="B3003"/>
      <c r="D3003" t="s">
        <v>1139</v>
      </c>
      <c r="H3003" s="654">
        <v>0</v>
      </c>
      <c r="I3003" s="654">
        <v>0</v>
      </c>
      <c r="J3003" s="654">
        <v>0</v>
      </c>
      <c r="K3003" s="654">
        <v>0</v>
      </c>
      <c r="L3003" s="654">
        <v>0</v>
      </c>
      <c r="M3003" s="654">
        <v>0</v>
      </c>
      <c r="N3003" s="654">
        <v>0</v>
      </c>
    </row>
    <row r="3004" spans="2:14" x14ac:dyDescent="0.15">
      <c r="B3004"/>
      <c r="D3004" t="s">
        <v>1201</v>
      </c>
      <c r="E3004" t="s">
        <v>1199</v>
      </c>
      <c r="F3004" t="s">
        <v>626</v>
      </c>
      <c r="G3004" t="s">
        <v>600</v>
      </c>
      <c r="H3004" s="654">
        <v>48641</v>
      </c>
      <c r="I3004" s="654">
        <v>-32653</v>
      </c>
      <c r="J3004" s="654">
        <v>15988</v>
      </c>
      <c r="K3004" s="654">
        <v>15988</v>
      </c>
      <c r="L3004" s="654">
        <v>0</v>
      </c>
      <c r="M3004" s="654">
        <v>0</v>
      </c>
      <c r="N3004" s="654">
        <v>0</v>
      </c>
    </row>
    <row r="3005" spans="2:14" x14ac:dyDescent="0.15">
      <c r="B3005"/>
      <c r="F3005" t="s">
        <v>733</v>
      </c>
      <c r="H3005" s="654">
        <v>48641</v>
      </c>
      <c r="I3005" s="654">
        <v>-32653</v>
      </c>
      <c r="J3005" s="654">
        <v>15988</v>
      </c>
      <c r="K3005" s="654">
        <v>15988</v>
      </c>
      <c r="L3005" s="654">
        <v>0</v>
      </c>
      <c r="M3005" s="654">
        <v>0</v>
      </c>
      <c r="N3005" s="654">
        <v>0</v>
      </c>
    </row>
    <row r="3006" spans="2:14" x14ac:dyDescent="0.15">
      <c r="B3006"/>
      <c r="F3006" t="s">
        <v>627</v>
      </c>
      <c r="G3006" t="s">
        <v>599</v>
      </c>
      <c r="H3006" s="654">
        <v>0</v>
      </c>
      <c r="I3006" s="654">
        <v>0</v>
      </c>
      <c r="J3006" s="654">
        <v>0</v>
      </c>
      <c r="K3006" s="654">
        <v>0</v>
      </c>
      <c r="L3006" s="654">
        <v>0</v>
      </c>
      <c r="M3006" s="654">
        <v>0</v>
      </c>
      <c r="N3006" s="654">
        <v>0</v>
      </c>
    </row>
    <row r="3007" spans="2:14" x14ac:dyDescent="0.15">
      <c r="B3007"/>
      <c r="F3007" t="s">
        <v>734</v>
      </c>
      <c r="H3007" s="654">
        <v>0</v>
      </c>
      <c r="I3007" s="654">
        <v>0</v>
      </c>
      <c r="J3007" s="654">
        <v>0</v>
      </c>
      <c r="K3007" s="654">
        <v>0</v>
      </c>
      <c r="L3007" s="654">
        <v>0</v>
      </c>
      <c r="M3007" s="654">
        <v>0</v>
      </c>
      <c r="N3007" s="654">
        <v>0</v>
      </c>
    </row>
    <row r="3008" spans="2:14" x14ac:dyDescent="0.15">
      <c r="B3008"/>
      <c r="E3008" t="s">
        <v>1379</v>
      </c>
      <c r="H3008" s="654">
        <v>48641</v>
      </c>
      <c r="I3008" s="654">
        <v>-32653</v>
      </c>
      <c r="J3008" s="654">
        <v>15988</v>
      </c>
      <c r="K3008" s="654">
        <v>15988</v>
      </c>
      <c r="L3008" s="654">
        <v>0</v>
      </c>
      <c r="M3008" s="654">
        <v>0</v>
      </c>
      <c r="N3008" s="654">
        <v>0</v>
      </c>
    </row>
    <row r="3009" spans="1:14" x14ac:dyDescent="0.15">
      <c r="B3009"/>
      <c r="D3009" t="s">
        <v>1380</v>
      </c>
      <c r="H3009" s="654">
        <v>48641</v>
      </c>
      <c r="I3009" s="654">
        <v>-32653</v>
      </c>
      <c r="J3009" s="654">
        <v>15988</v>
      </c>
      <c r="K3009" s="654">
        <v>15988</v>
      </c>
      <c r="L3009" s="654">
        <v>0</v>
      </c>
      <c r="M3009" s="654">
        <v>0</v>
      </c>
      <c r="N3009" s="654">
        <v>0</v>
      </c>
    </row>
    <row r="3010" spans="1:14" x14ac:dyDescent="0.15">
      <c r="B3010"/>
      <c r="C3010" t="s">
        <v>854</v>
      </c>
      <c r="H3010" s="654">
        <v>1270323</v>
      </c>
      <c r="I3010" s="654">
        <v>-516913</v>
      </c>
      <c r="J3010" s="654">
        <v>753410</v>
      </c>
      <c r="K3010" s="654">
        <v>753410</v>
      </c>
      <c r="L3010" s="654">
        <v>0</v>
      </c>
      <c r="M3010" s="654">
        <v>0</v>
      </c>
      <c r="N3010" s="654">
        <v>0</v>
      </c>
    </row>
    <row r="3011" spans="1:14" x14ac:dyDescent="0.15">
      <c r="A3011" s="653" t="s">
        <v>1496</v>
      </c>
      <c r="B3011"/>
      <c r="H3011" s="654">
        <v>37402989</v>
      </c>
      <c r="I3011" s="654">
        <v>-865290</v>
      </c>
      <c r="J3011" s="654">
        <v>36537699</v>
      </c>
      <c r="K3011" s="654">
        <v>36537699</v>
      </c>
      <c r="L3011" s="654">
        <v>0</v>
      </c>
      <c r="M3011" s="654">
        <v>167482</v>
      </c>
      <c r="N3011" s="654">
        <v>4135168</v>
      </c>
    </row>
    <row r="3012" spans="1:14" x14ac:dyDescent="0.15">
      <c r="A3012" s="653">
        <v>43497</v>
      </c>
      <c r="B3012" t="s">
        <v>626</v>
      </c>
      <c r="C3012" t="s">
        <v>849</v>
      </c>
      <c r="D3012" t="s">
        <v>626</v>
      </c>
      <c r="E3012" t="s">
        <v>378</v>
      </c>
      <c r="F3012" t="s">
        <v>626</v>
      </c>
      <c r="G3012" t="s">
        <v>600</v>
      </c>
      <c r="H3012" s="654">
        <v>8231230</v>
      </c>
      <c r="I3012" s="654">
        <v>-293863</v>
      </c>
      <c r="J3012" s="654">
        <v>7937367</v>
      </c>
      <c r="K3012" s="654">
        <v>7937367</v>
      </c>
      <c r="L3012" s="654">
        <v>0</v>
      </c>
      <c r="M3012" s="654">
        <v>102654</v>
      </c>
      <c r="N3012" s="654">
        <v>1181981</v>
      </c>
    </row>
    <row r="3013" spans="1:14" x14ac:dyDescent="0.15">
      <c r="B3013"/>
      <c r="F3013" t="s">
        <v>733</v>
      </c>
      <c r="H3013" s="654">
        <v>8231230</v>
      </c>
      <c r="I3013" s="654">
        <v>-293863</v>
      </c>
      <c r="J3013" s="654">
        <v>7937367</v>
      </c>
      <c r="K3013" s="654">
        <v>7937367</v>
      </c>
      <c r="L3013" s="654">
        <v>0</v>
      </c>
      <c r="M3013" s="654">
        <v>102654</v>
      </c>
      <c r="N3013" s="654">
        <v>1181981</v>
      </c>
    </row>
    <row r="3014" spans="1:14" x14ac:dyDescent="0.15">
      <c r="B3014"/>
      <c r="F3014" t="s">
        <v>627</v>
      </c>
      <c r="G3014" t="s">
        <v>599</v>
      </c>
      <c r="H3014" s="654">
        <v>1783931</v>
      </c>
      <c r="I3014" s="654">
        <v>-10016</v>
      </c>
      <c r="J3014" s="654">
        <v>1773915</v>
      </c>
      <c r="K3014" s="654">
        <v>1773915</v>
      </c>
      <c r="L3014" s="654">
        <v>0</v>
      </c>
      <c r="M3014" s="654">
        <v>0</v>
      </c>
      <c r="N3014" s="654">
        <v>390453</v>
      </c>
    </row>
    <row r="3015" spans="1:14" x14ac:dyDescent="0.15">
      <c r="B3015"/>
      <c r="F3015" t="s">
        <v>734</v>
      </c>
      <c r="H3015" s="654">
        <v>1783931</v>
      </c>
      <c r="I3015" s="654">
        <v>-10016</v>
      </c>
      <c r="J3015" s="654">
        <v>1773915</v>
      </c>
      <c r="K3015" s="654">
        <v>1773915</v>
      </c>
      <c r="L3015" s="654">
        <v>0</v>
      </c>
      <c r="M3015" s="654">
        <v>0</v>
      </c>
      <c r="N3015" s="654">
        <v>390453</v>
      </c>
    </row>
    <row r="3016" spans="1:14" x14ac:dyDescent="0.15">
      <c r="B3016"/>
      <c r="F3016" t="s">
        <v>628</v>
      </c>
      <c r="G3016" t="s">
        <v>598</v>
      </c>
      <c r="H3016" s="654">
        <v>724023</v>
      </c>
      <c r="I3016" s="654">
        <v>0</v>
      </c>
      <c r="J3016" s="654">
        <v>724023</v>
      </c>
      <c r="K3016" s="654">
        <v>724023</v>
      </c>
      <c r="L3016" s="654">
        <v>0</v>
      </c>
      <c r="M3016" s="654">
        <v>0</v>
      </c>
      <c r="N3016" s="654">
        <v>0</v>
      </c>
    </row>
    <row r="3017" spans="1:14" x14ac:dyDescent="0.15">
      <c r="B3017"/>
      <c r="F3017" t="s">
        <v>735</v>
      </c>
      <c r="H3017" s="654">
        <v>724023</v>
      </c>
      <c r="I3017" s="654">
        <v>0</v>
      </c>
      <c r="J3017" s="654">
        <v>724023</v>
      </c>
      <c r="K3017" s="654">
        <v>724023</v>
      </c>
      <c r="L3017" s="654">
        <v>0</v>
      </c>
      <c r="M3017" s="654">
        <v>0</v>
      </c>
      <c r="N3017" s="654">
        <v>0</v>
      </c>
    </row>
    <row r="3018" spans="1:14" x14ac:dyDescent="0.15">
      <c r="B3018"/>
      <c r="E3018" t="s">
        <v>769</v>
      </c>
      <c r="H3018" s="654">
        <v>10739184</v>
      </c>
      <c r="I3018" s="654">
        <v>-303879</v>
      </c>
      <c r="J3018" s="654">
        <v>10435305</v>
      </c>
      <c r="K3018" s="654">
        <v>10435305</v>
      </c>
      <c r="L3018" s="654">
        <v>0</v>
      </c>
      <c r="M3018" s="654">
        <v>102654</v>
      </c>
      <c r="N3018" s="654">
        <v>1572434</v>
      </c>
    </row>
    <row r="3019" spans="1:14" x14ac:dyDescent="0.15">
      <c r="B3019"/>
      <c r="D3019" t="s">
        <v>733</v>
      </c>
      <c r="H3019" s="654">
        <v>10739184</v>
      </c>
      <c r="I3019" s="654">
        <v>-303879</v>
      </c>
      <c r="J3019" s="654">
        <v>10435305</v>
      </c>
      <c r="K3019" s="654">
        <v>10435305</v>
      </c>
      <c r="L3019" s="654">
        <v>0</v>
      </c>
      <c r="M3019" s="654">
        <v>102654</v>
      </c>
      <c r="N3019" s="654">
        <v>1572434</v>
      </c>
    </row>
    <row r="3020" spans="1:14" x14ac:dyDescent="0.15">
      <c r="B3020"/>
      <c r="D3020" t="s">
        <v>627</v>
      </c>
      <c r="E3020" t="s">
        <v>379</v>
      </c>
      <c r="F3020" t="s">
        <v>626</v>
      </c>
      <c r="G3020" t="s">
        <v>600</v>
      </c>
      <c r="H3020" s="654">
        <v>4010362</v>
      </c>
      <c r="I3020" s="654">
        <v>-29050</v>
      </c>
      <c r="J3020" s="654">
        <v>3981312</v>
      </c>
      <c r="K3020" s="654">
        <v>3981312</v>
      </c>
      <c r="L3020" s="654">
        <v>0</v>
      </c>
      <c r="M3020" s="654">
        <v>0</v>
      </c>
      <c r="N3020" s="654">
        <v>488244</v>
      </c>
    </row>
    <row r="3021" spans="1:14" x14ac:dyDescent="0.15">
      <c r="B3021"/>
      <c r="F3021" t="s">
        <v>733</v>
      </c>
      <c r="H3021" s="654">
        <v>4010362</v>
      </c>
      <c r="I3021" s="654">
        <v>-29050</v>
      </c>
      <c r="J3021" s="654">
        <v>3981312</v>
      </c>
      <c r="K3021" s="654">
        <v>3981312</v>
      </c>
      <c r="L3021" s="654">
        <v>0</v>
      </c>
      <c r="M3021" s="654">
        <v>0</v>
      </c>
      <c r="N3021" s="654">
        <v>488244</v>
      </c>
    </row>
    <row r="3022" spans="1:14" x14ac:dyDescent="0.15">
      <c r="B3022"/>
      <c r="F3022" t="s">
        <v>627</v>
      </c>
      <c r="G3022" t="s">
        <v>599</v>
      </c>
      <c r="H3022" s="654">
        <v>950774</v>
      </c>
      <c r="I3022" s="654">
        <v>-134167</v>
      </c>
      <c r="J3022" s="654">
        <v>816607</v>
      </c>
      <c r="K3022" s="654">
        <v>816607</v>
      </c>
      <c r="L3022" s="654">
        <v>0</v>
      </c>
      <c r="M3022" s="654">
        <v>23402.3</v>
      </c>
      <c r="N3022" s="654">
        <v>208923</v>
      </c>
    </row>
    <row r="3023" spans="1:14" x14ac:dyDescent="0.15">
      <c r="B3023"/>
      <c r="F3023" t="s">
        <v>734</v>
      </c>
      <c r="H3023" s="654">
        <v>950774</v>
      </c>
      <c r="I3023" s="654">
        <v>-134167</v>
      </c>
      <c r="J3023" s="654">
        <v>816607</v>
      </c>
      <c r="K3023" s="654">
        <v>816607</v>
      </c>
      <c r="L3023" s="654">
        <v>0</v>
      </c>
      <c r="M3023" s="654">
        <v>23402.3</v>
      </c>
      <c r="N3023" s="654">
        <v>208923</v>
      </c>
    </row>
    <row r="3024" spans="1:14" x14ac:dyDescent="0.15">
      <c r="B3024"/>
      <c r="F3024" t="s">
        <v>628</v>
      </c>
      <c r="G3024" t="s">
        <v>598</v>
      </c>
      <c r="H3024" s="654">
        <v>496555</v>
      </c>
      <c r="I3024" s="654">
        <v>0</v>
      </c>
      <c r="J3024" s="654">
        <v>496555</v>
      </c>
      <c r="K3024" s="654">
        <v>496555</v>
      </c>
      <c r="L3024" s="654">
        <v>0</v>
      </c>
      <c r="M3024" s="654">
        <v>0</v>
      </c>
      <c r="N3024" s="654">
        <v>0</v>
      </c>
    </row>
    <row r="3025" spans="2:14" x14ac:dyDescent="0.15">
      <c r="B3025"/>
      <c r="F3025" t="s">
        <v>735</v>
      </c>
      <c r="H3025" s="654">
        <v>496555</v>
      </c>
      <c r="I3025" s="654">
        <v>0</v>
      </c>
      <c r="J3025" s="654">
        <v>496555</v>
      </c>
      <c r="K3025" s="654">
        <v>496555</v>
      </c>
      <c r="L3025" s="654">
        <v>0</v>
      </c>
      <c r="M3025" s="654">
        <v>0</v>
      </c>
      <c r="N3025" s="654">
        <v>0</v>
      </c>
    </row>
    <row r="3026" spans="2:14" x14ac:dyDescent="0.15">
      <c r="B3026"/>
      <c r="E3026" t="s">
        <v>770</v>
      </c>
      <c r="H3026" s="654">
        <v>5457691</v>
      </c>
      <c r="I3026" s="654">
        <v>-163217</v>
      </c>
      <c r="J3026" s="654">
        <v>5294474</v>
      </c>
      <c r="K3026" s="654">
        <v>5294474</v>
      </c>
      <c r="L3026" s="654">
        <v>0</v>
      </c>
      <c r="M3026" s="654">
        <v>23402.3</v>
      </c>
      <c r="N3026" s="654">
        <v>697167</v>
      </c>
    </row>
    <row r="3027" spans="2:14" x14ac:dyDescent="0.15">
      <c r="B3027"/>
      <c r="D3027" t="s">
        <v>734</v>
      </c>
      <c r="H3027" s="654">
        <v>5457691</v>
      </c>
      <c r="I3027" s="654">
        <v>-163217</v>
      </c>
      <c r="J3027" s="654">
        <v>5294474</v>
      </c>
      <c r="K3027" s="654">
        <v>5294474</v>
      </c>
      <c r="L3027" s="654">
        <v>0</v>
      </c>
      <c r="M3027" s="654">
        <v>23402.3</v>
      </c>
      <c r="N3027" s="654">
        <v>697167</v>
      </c>
    </row>
    <row r="3028" spans="2:14" x14ac:dyDescent="0.15">
      <c r="B3028"/>
      <c r="D3028" t="s">
        <v>628</v>
      </c>
      <c r="E3028" t="s">
        <v>380</v>
      </c>
      <c r="F3028" t="s">
        <v>626</v>
      </c>
      <c r="G3028" t="s">
        <v>600</v>
      </c>
      <c r="H3028" s="654">
        <v>4377283</v>
      </c>
      <c r="I3028" s="654">
        <v>0</v>
      </c>
      <c r="J3028" s="654">
        <v>4377283</v>
      </c>
      <c r="K3028" s="654">
        <v>4377283</v>
      </c>
      <c r="L3028" s="654">
        <v>0</v>
      </c>
      <c r="M3028" s="654">
        <v>72996</v>
      </c>
      <c r="N3028" s="654">
        <v>448766</v>
      </c>
    </row>
    <row r="3029" spans="2:14" x14ac:dyDescent="0.15">
      <c r="B3029"/>
      <c r="F3029" t="s">
        <v>733</v>
      </c>
      <c r="H3029" s="654">
        <v>4377283</v>
      </c>
      <c r="I3029" s="654">
        <v>0</v>
      </c>
      <c r="J3029" s="654">
        <v>4377283</v>
      </c>
      <c r="K3029" s="654">
        <v>4377283</v>
      </c>
      <c r="L3029" s="654">
        <v>0</v>
      </c>
      <c r="M3029" s="654">
        <v>72996</v>
      </c>
      <c r="N3029" s="654">
        <v>448766</v>
      </c>
    </row>
    <row r="3030" spans="2:14" x14ac:dyDescent="0.15">
      <c r="B3030"/>
      <c r="F3030" t="s">
        <v>627</v>
      </c>
      <c r="G3030" t="s">
        <v>599</v>
      </c>
      <c r="H3030" s="654">
        <v>1701433</v>
      </c>
      <c r="I3030" s="654">
        <v>0</v>
      </c>
      <c r="J3030" s="654">
        <v>1701433</v>
      </c>
      <c r="K3030" s="654">
        <v>1701433</v>
      </c>
      <c r="L3030" s="654">
        <v>0</v>
      </c>
      <c r="M3030" s="654">
        <v>0</v>
      </c>
      <c r="N3030" s="654">
        <v>395654</v>
      </c>
    </row>
    <row r="3031" spans="2:14" x14ac:dyDescent="0.15">
      <c r="B3031"/>
      <c r="F3031" t="s">
        <v>734</v>
      </c>
      <c r="H3031" s="654">
        <v>1701433</v>
      </c>
      <c r="I3031" s="654">
        <v>0</v>
      </c>
      <c r="J3031" s="654">
        <v>1701433</v>
      </c>
      <c r="K3031" s="654">
        <v>1701433</v>
      </c>
      <c r="L3031" s="654">
        <v>0</v>
      </c>
      <c r="M3031" s="654">
        <v>0</v>
      </c>
      <c r="N3031" s="654">
        <v>395654</v>
      </c>
    </row>
    <row r="3032" spans="2:14" x14ac:dyDescent="0.15">
      <c r="B3032"/>
      <c r="E3032" t="s">
        <v>771</v>
      </c>
      <c r="H3032" s="654">
        <v>6078716</v>
      </c>
      <c r="I3032" s="654">
        <v>0</v>
      </c>
      <c r="J3032" s="654">
        <v>6078716</v>
      </c>
      <c r="K3032" s="654">
        <v>6078716</v>
      </c>
      <c r="L3032" s="654">
        <v>0</v>
      </c>
      <c r="M3032" s="654">
        <v>72996</v>
      </c>
      <c r="N3032" s="654">
        <v>844420</v>
      </c>
    </row>
    <row r="3033" spans="2:14" x14ac:dyDescent="0.15">
      <c r="B3033"/>
      <c r="D3033" t="s">
        <v>735</v>
      </c>
      <c r="H3033" s="654">
        <v>6078716</v>
      </c>
      <c r="I3033" s="654">
        <v>0</v>
      </c>
      <c r="J3033" s="654">
        <v>6078716</v>
      </c>
      <c r="K3033" s="654">
        <v>6078716</v>
      </c>
      <c r="L3033" s="654">
        <v>0</v>
      </c>
      <c r="M3033" s="654">
        <v>72996</v>
      </c>
      <c r="N3033" s="654">
        <v>844420</v>
      </c>
    </row>
    <row r="3034" spans="2:14" x14ac:dyDescent="0.15">
      <c r="B3034"/>
      <c r="D3034" t="s">
        <v>629</v>
      </c>
      <c r="E3034" t="s">
        <v>676</v>
      </c>
      <c r="F3034" t="s">
        <v>629</v>
      </c>
      <c r="G3034" t="s">
        <v>601</v>
      </c>
      <c r="H3034" s="654">
        <v>4029418</v>
      </c>
      <c r="I3034" s="654">
        <v>-59481</v>
      </c>
      <c r="J3034" s="654">
        <v>3969937</v>
      </c>
      <c r="K3034" s="654">
        <v>3969937</v>
      </c>
      <c r="L3034" s="654">
        <v>0</v>
      </c>
      <c r="M3034" s="654">
        <v>0</v>
      </c>
      <c r="N3034" s="654">
        <v>230959</v>
      </c>
    </row>
    <row r="3035" spans="2:14" x14ac:dyDescent="0.15">
      <c r="B3035"/>
      <c r="F3035" t="s">
        <v>736</v>
      </c>
      <c r="H3035" s="654">
        <v>4029418</v>
      </c>
      <c r="I3035" s="654">
        <v>-59481</v>
      </c>
      <c r="J3035" s="654">
        <v>3969937</v>
      </c>
      <c r="K3035" s="654">
        <v>3969937</v>
      </c>
      <c r="L3035" s="654">
        <v>0</v>
      </c>
      <c r="M3035" s="654">
        <v>0</v>
      </c>
      <c r="N3035" s="654">
        <v>230959</v>
      </c>
    </row>
    <row r="3036" spans="2:14" x14ac:dyDescent="0.15">
      <c r="B3036"/>
      <c r="E3036" t="s">
        <v>772</v>
      </c>
      <c r="H3036" s="654">
        <v>4029418</v>
      </c>
      <c r="I3036" s="654">
        <v>-59481</v>
      </c>
      <c r="J3036" s="654">
        <v>3969937</v>
      </c>
      <c r="K3036" s="654">
        <v>3969937</v>
      </c>
      <c r="L3036" s="654">
        <v>0</v>
      </c>
      <c r="M3036" s="654">
        <v>0</v>
      </c>
      <c r="N3036" s="654">
        <v>230959</v>
      </c>
    </row>
    <row r="3037" spans="2:14" x14ac:dyDescent="0.15">
      <c r="B3037"/>
      <c r="D3037" t="s">
        <v>736</v>
      </c>
      <c r="H3037" s="654">
        <v>4029418</v>
      </c>
      <c r="I3037" s="654">
        <v>-59481</v>
      </c>
      <c r="J3037" s="654">
        <v>3969937</v>
      </c>
      <c r="K3037" s="654">
        <v>3969937</v>
      </c>
      <c r="L3037" s="654">
        <v>0</v>
      </c>
      <c r="M3037" s="654">
        <v>0</v>
      </c>
      <c r="N3037" s="654">
        <v>230959</v>
      </c>
    </row>
    <row r="3038" spans="2:14" x14ac:dyDescent="0.15">
      <c r="B3038"/>
      <c r="D3038" t="s">
        <v>567</v>
      </c>
      <c r="E3038" t="s">
        <v>473</v>
      </c>
      <c r="F3038" t="s">
        <v>631</v>
      </c>
      <c r="G3038" t="s">
        <v>596</v>
      </c>
      <c r="H3038" s="654">
        <v>998423</v>
      </c>
      <c r="I3038" s="654">
        <v>0</v>
      </c>
      <c r="J3038" s="654">
        <v>998423</v>
      </c>
      <c r="K3038" s="654">
        <v>998423</v>
      </c>
      <c r="L3038" s="654">
        <v>0</v>
      </c>
      <c r="M3038" s="654">
        <v>0</v>
      </c>
      <c r="N3038" s="654">
        <v>328167</v>
      </c>
    </row>
    <row r="3039" spans="2:14" x14ac:dyDescent="0.15">
      <c r="B3039"/>
      <c r="F3039" t="s">
        <v>737</v>
      </c>
      <c r="H3039" s="654">
        <v>998423</v>
      </c>
      <c r="I3039" s="654">
        <v>0</v>
      </c>
      <c r="J3039" s="654">
        <v>998423</v>
      </c>
      <c r="K3039" s="654">
        <v>998423</v>
      </c>
      <c r="L3039" s="654">
        <v>0</v>
      </c>
      <c r="M3039" s="654">
        <v>0</v>
      </c>
      <c r="N3039" s="654">
        <v>328167</v>
      </c>
    </row>
    <row r="3040" spans="2:14" x14ac:dyDescent="0.15">
      <c r="B3040"/>
      <c r="E3040" t="s">
        <v>773</v>
      </c>
      <c r="H3040" s="654">
        <v>998423</v>
      </c>
      <c r="I3040" s="654">
        <v>0</v>
      </c>
      <c r="J3040" s="654">
        <v>998423</v>
      </c>
      <c r="K3040" s="654">
        <v>998423</v>
      </c>
      <c r="L3040" s="654">
        <v>0</v>
      </c>
      <c r="M3040" s="654">
        <v>0</v>
      </c>
      <c r="N3040" s="654">
        <v>328167</v>
      </c>
    </row>
    <row r="3041" spans="2:14" x14ac:dyDescent="0.15">
      <c r="B3041"/>
      <c r="D3041" t="s">
        <v>739</v>
      </c>
      <c r="H3041" s="654">
        <v>998423</v>
      </c>
      <c r="I3041" s="654">
        <v>0</v>
      </c>
      <c r="J3041" s="654">
        <v>998423</v>
      </c>
      <c r="K3041" s="654">
        <v>998423</v>
      </c>
      <c r="L3041" s="654">
        <v>0</v>
      </c>
      <c r="M3041" s="654">
        <v>0</v>
      </c>
      <c r="N3041" s="654">
        <v>328167</v>
      </c>
    </row>
    <row r="3042" spans="2:14" x14ac:dyDescent="0.15">
      <c r="B3042"/>
      <c r="D3042" t="s">
        <v>568</v>
      </c>
      <c r="E3042" t="s">
        <v>474</v>
      </c>
      <c r="F3042" t="s">
        <v>631</v>
      </c>
      <c r="G3042" t="s">
        <v>596</v>
      </c>
      <c r="H3042" s="654">
        <v>937836</v>
      </c>
      <c r="I3042" s="654">
        <v>0</v>
      </c>
      <c r="J3042" s="654">
        <v>937836</v>
      </c>
      <c r="K3042" s="654">
        <v>937836</v>
      </c>
      <c r="L3042" s="654">
        <v>0</v>
      </c>
      <c r="M3042" s="654">
        <v>0</v>
      </c>
      <c r="N3042" s="654">
        <v>0</v>
      </c>
    </row>
    <row r="3043" spans="2:14" x14ac:dyDescent="0.15">
      <c r="B3043"/>
      <c r="F3043" t="s">
        <v>737</v>
      </c>
      <c r="H3043" s="654">
        <v>937836</v>
      </c>
      <c r="I3043" s="654">
        <v>0</v>
      </c>
      <c r="J3043" s="654">
        <v>937836</v>
      </c>
      <c r="K3043" s="654">
        <v>937836</v>
      </c>
      <c r="L3043" s="654">
        <v>0</v>
      </c>
      <c r="M3043" s="654">
        <v>0</v>
      </c>
      <c r="N3043" s="654">
        <v>0</v>
      </c>
    </row>
    <row r="3044" spans="2:14" x14ac:dyDescent="0.15">
      <c r="B3044"/>
      <c r="E3044" t="s">
        <v>774</v>
      </c>
      <c r="H3044" s="654">
        <v>937836</v>
      </c>
      <c r="I3044" s="654">
        <v>0</v>
      </c>
      <c r="J3044" s="654">
        <v>937836</v>
      </c>
      <c r="K3044" s="654">
        <v>937836</v>
      </c>
      <c r="L3044" s="654">
        <v>0</v>
      </c>
      <c r="M3044" s="654">
        <v>0</v>
      </c>
      <c r="N3044" s="654">
        <v>0</v>
      </c>
    </row>
    <row r="3045" spans="2:14" x14ac:dyDescent="0.15">
      <c r="B3045"/>
      <c r="D3045" t="s">
        <v>740</v>
      </c>
      <c r="H3045" s="654">
        <v>937836</v>
      </c>
      <c r="I3045" s="654">
        <v>0</v>
      </c>
      <c r="J3045" s="654">
        <v>937836</v>
      </c>
      <c r="K3045" s="654">
        <v>937836</v>
      </c>
      <c r="L3045" s="654">
        <v>0</v>
      </c>
      <c r="M3045" s="654">
        <v>0</v>
      </c>
      <c r="N3045" s="654">
        <v>0</v>
      </c>
    </row>
    <row r="3046" spans="2:14" x14ac:dyDescent="0.15">
      <c r="B3046"/>
      <c r="D3046" t="s">
        <v>582</v>
      </c>
      <c r="E3046" t="s">
        <v>384</v>
      </c>
      <c r="F3046" t="s">
        <v>631</v>
      </c>
      <c r="G3046" t="s">
        <v>596</v>
      </c>
      <c r="H3046" s="654">
        <v>1944130</v>
      </c>
      <c r="I3046" s="654">
        <v>-213958</v>
      </c>
      <c r="J3046" s="654">
        <v>1730172</v>
      </c>
      <c r="K3046" s="654">
        <v>1730172</v>
      </c>
      <c r="L3046" s="654">
        <v>0</v>
      </c>
      <c r="M3046" s="654">
        <v>0</v>
      </c>
      <c r="N3046" s="654">
        <v>0</v>
      </c>
    </row>
    <row r="3047" spans="2:14" x14ac:dyDescent="0.15">
      <c r="B3047"/>
      <c r="F3047" t="s">
        <v>737</v>
      </c>
      <c r="H3047" s="654">
        <v>1944130</v>
      </c>
      <c r="I3047" s="654">
        <v>-213958</v>
      </c>
      <c r="J3047" s="654">
        <v>1730172</v>
      </c>
      <c r="K3047" s="654">
        <v>1730172</v>
      </c>
      <c r="L3047" s="654">
        <v>0</v>
      </c>
      <c r="M3047" s="654">
        <v>0</v>
      </c>
      <c r="N3047" s="654">
        <v>0</v>
      </c>
    </row>
    <row r="3048" spans="2:14" x14ac:dyDescent="0.15">
      <c r="B3048"/>
      <c r="E3048" t="s">
        <v>778</v>
      </c>
      <c r="H3048" s="654">
        <v>1944130</v>
      </c>
      <c r="I3048" s="654">
        <v>-213958</v>
      </c>
      <c r="J3048" s="654">
        <v>1730172</v>
      </c>
      <c r="K3048" s="654">
        <v>1730172</v>
      </c>
      <c r="L3048" s="654">
        <v>0</v>
      </c>
      <c r="M3048" s="654">
        <v>0</v>
      </c>
      <c r="N3048" s="654">
        <v>0</v>
      </c>
    </row>
    <row r="3049" spans="2:14" x14ac:dyDescent="0.15">
      <c r="B3049"/>
      <c r="D3049" t="s">
        <v>743</v>
      </c>
      <c r="H3049" s="654">
        <v>1944130</v>
      </c>
      <c r="I3049" s="654">
        <v>-213958</v>
      </c>
      <c r="J3049" s="654">
        <v>1730172</v>
      </c>
      <c r="K3049" s="654">
        <v>1730172</v>
      </c>
      <c r="L3049" s="654">
        <v>0</v>
      </c>
      <c r="M3049" s="654">
        <v>0</v>
      </c>
      <c r="N3049" s="654">
        <v>0</v>
      </c>
    </row>
    <row r="3050" spans="2:14" x14ac:dyDescent="0.15">
      <c r="B3050"/>
      <c r="D3050" t="s">
        <v>631</v>
      </c>
      <c r="E3050" t="s">
        <v>381</v>
      </c>
      <c r="F3050" t="s">
        <v>626</v>
      </c>
      <c r="G3050" t="s">
        <v>600</v>
      </c>
      <c r="H3050" s="654">
        <v>1715603</v>
      </c>
      <c r="I3050" s="654">
        <v>0</v>
      </c>
      <c r="J3050" s="654">
        <v>1715603</v>
      </c>
      <c r="K3050" s="654">
        <v>1715603</v>
      </c>
      <c r="L3050" s="654">
        <v>0</v>
      </c>
      <c r="M3050" s="654">
        <v>0</v>
      </c>
      <c r="N3050" s="654">
        <v>0</v>
      </c>
    </row>
    <row r="3051" spans="2:14" x14ac:dyDescent="0.15">
      <c r="B3051"/>
      <c r="F3051" t="s">
        <v>733</v>
      </c>
      <c r="H3051" s="654">
        <v>1715603</v>
      </c>
      <c r="I3051" s="654">
        <v>0</v>
      </c>
      <c r="J3051" s="654">
        <v>1715603</v>
      </c>
      <c r="K3051" s="654">
        <v>1715603</v>
      </c>
      <c r="L3051" s="654">
        <v>0</v>
      </c>
      <c r="M3051" s="654">
        <v>0</v>
      </c>
      <c r="N3051" s="654">
        <v>0</v>
      </c>
    </row>
    <row r="3052" spans="2:14" x14ac:dyDescent="0.15">
      <c r="B3052"/>
      <c r="E3052" t="s">
        <v>776</v>
      </c>
      <c r="H3052" s="654">
        <v>1715603</v>
      </c>
      <c r="I3052" s="654">
        <v>0</v>
      </c>
      <c r="J3052" s="654">
        <v>1715603</v>
      </c>
      <c r="K3052" s="654">
        <v>1715603</v>
      </c>
      <c r="L3052" s="654">
        <v>0</v>
      </c>
      <c r="M3052" s="654">
        <v>0</v>
      </c>
      <c r="N3052" s="654">
        <v>0</v>
      </c>
    </row>
    <row r="3053" spans="2:14" x14ac:dyDescent="0.15">
      <c r="B3053"/>
      <c r="D3053" t="s">
        <v>737</v>
      </c>
      <c r="H3053" s="654">
        <v>1715603</v>
      </c>
      <c r="I3053" s="654">
        <v>0</v>
      </c>
      <c r="J3053" s="654">
        <v>1715603</v>
      </c>
      <c r="K3053" s="654">
        <v>1715603</v>
      </c>
      <c r="L3053" s="654">
        <v>0</v>
      </c>
      <c r="M3053" s="654">
        <v>0</v>
      </c>
      <c r="N3053" s="654">
        <v>0</v>
      </c>
    </row>
    <row r="3054" spans="2:14" x14ac:dyDescent="0.15">
      <c r="B3054"/>
      <c r="D3054" t="s">
        <v>965</v>
      </c>
      <c r="E3054" t="s">
        <v>986</v>
      </c>
      <c r="F3054" t="s">
        <v>626</v>
      </c>
      <c r="G3054" t="s">
        <v>600</v>
      </c>
      <c r="H3054" s="654">
        <v>779167</v>
      </c>
      <c r="I3054" s="654">
        <v>-8409</v>
      </c>
      <c r="J3054" s="654">
        <v>770758</v>
      </c>
      <c r="K3054" s="654">
        <v>770758</v>
      </c>
      <c r="L3054" s="654">
        <v>0</v>
      </c>
      <c r="M3054" s="654">
        <v>0</v>
      </c>
      <c r="N3054" s="654">
        <v>60595</v>
      </c>
    </row>
    <row r="3055" spans="2:14" x14ac:dyDescent="0.15">
      <c r="B3055"/>
      <c r="F3055" t="s">
        <v>733</v>
      </c>
      <c r="H3055" s="654">
        <v>779167</v>
      </c>
      <c r="I3055" s="654">
        <v>-8409</v>
      </c>
      <c r="J3055" s="654">
        <v>770758</v>
      </c>
      <c r="K3055" s="654">
        <v>770758</v>
      </c>
      <c r="L3055" s="654">
        <v>0</v>
      </c>
      <c r="M3055" s="654">
        <v>0</v>
      </c>
      <c r="N3055" s="654">
        <v>60595</v>
      </c>
    </row>
    <row r="3056" spans="2:14" x14ac:dyDescent="0.15">
      <c r="B3056"/>
      <c r="F3056" t="s">
        <v>627</v>
      </c>
      <c r="G3056" t="s">
        <v>599</v>
      </c>
      <c r="H3056" s="654">
        <v>113402</v>
      </c>
      <c r="I3056" s="654">
        <v>0</v>
      </c>
      <c r="J3056" s="654">
        <v>113402</v>
      </c>
      <c r="K3056" s="654">
        <v>113402</v>
      </c>
      <c r="L3056" s="654">
        <v>0</v>
      </c>
      <c r="M3056" s="654">
        <v>0</v>
      </c>
      <c r="N3056" s="654">
        <v>24153</v>
      </c>
    </row>
    <row r="3057" spans="2:14" x14ac:dyDescent="0.15">
      <c r="B3057"/>
      <c r="F3057" t="s">
        <v>734</v>
      </c>
      <c r="H3057" s="654">
        <v>113402</v>
      </c>
      <c r="I3057" s="654">
        <v>0</v>
      </c>
      <c r="J3057" s="654">
        <v>113402</v>
      </c>
      <c r="K3057" s="654">
        <v>113402</v>
      </c>
      <c r="L3057" s="654">
        <v>0</v>
      </c>
      <c r="M3057" s="654">
        <v>0</v>
      </c>
      <c r="N3057" s="654">
        <v>24153</v>
      </c>
    </row>
    <row r="3058" spans="2:14" x14ac:dyDescent="0.15">
      <c r="B3058"/>
      <c r="E3058" t="s">
        <v>1138</v>
      </c>
      <c r="H3058" s="654">
        <v>892569</v>
      </c>
      <c r="I3058" s="654">
        <v>-8409</v>
      </c>
      <c r="J3058" s="654">
        <v>884160</v>
      </c>
      <c r="K3058" s="654">
        <v>884160</v>
      </c>
      <c r="L3058" s="654">
        <v>0</v>
      </c>
      <c r="M3058" s="654">
        <v>0</v>
      </c>
      <c r="N3058" s="654">
        <v>84748</v>
      </c>
    </row>
    <row r="3059" spans="2:14" x14ac:dyDescent="0.15">
      <c r="B3059"/>
      <c r="D3059" t="s">
        <v>1139</v>
      </c>
      <c r="H3059" s="654">
        <v>892569</v>
      </c>
      <c r="I3059" s="654">
        <v>-8409</v>
      </c>
      <c r="J3059" s="654">
        <v>884160</v>
      </c>
      <c r="K3059" s="654">
        <v>884160</v>
      </c>
      <c r="L3059" s="654">
        <v>0</v>
      </c>
      <c r="M3059" s="654">
        <v>0</v>
      </c>
      <c r="N3059" s="654">
        <v>84748</v>
      </c>
    </row>
    <row r="3060" spans="2:14" x14ac:dyDescent="0.15">
      <c r="B3060"/>
      <c r="D3060" t="s">
        <v>1201</v>
      </c>
      <c r="E3060" t="s">
        <v>1199</v>
      </c>
      <c r="F3060" t="s">
        <v>626</v>
      </c>
      <c r="G3060" t="s">
        <v>600</v>
      </c>
      <c r="H3060" s="654">
        <v>702011</v>
      </c>
      <c r="I3060" s="654">
        <v>-9094</v>
      </c>
      <c r="J3060" s="654">
        <v>692917</v>
      </c>
      <c r="K3060" s="654">
        <v>692917</v>
      </c>
      <c r="L3060" s="654">
        <v>0</v>
      </c>
      <c r="M3060" s="654">
        <v>0</v>
      </c>
      <c r="N3060" s="654">
        <v>65862</v>
      </c>
    </row>
    <row r="3061" spans="2:14" x14ac:dyDescent="0.15">
      <c r="B3061"/>
      <c r="F3061" t="s">
        <v>733</v>
      </c>
      <c r="H3061" s="654">
        <v>702011</v>
      </c>
      <c r="I3061" s="654">
        <v>-9094</v>
      </c>
      <c r="J3061" s="654">
        <v>692917</v>
      </c>
      <c r="K3061" s="654">
        <v>692917</v>
      </c>
      <c r="L3061" s="654">
        <v>0</v>
      </c>
      <c r="M3061" s="654">
        <v>0</v>
      </c>
      <c r="N3061" s="654">
        <v>65862</v>
      </c>
    </row>
    <row r="3062" spans="2:14" x14ac:dyDescent="0.15">
      <c r="B3062"/>
      <c r="F3062" t="s">
        <v>627</v>
      </c>
      <c r="G3062" t="s">
        <v>599</v>
      </c>
      <c r="H3062" s="654">
        <v>272801</v>
      </c>
      <c r="I3062" s="654">
        <v>0</v>
      </c>
      <c r="J3062" s="654">
        <v>272801</v>
      </c>
      <c r="K3062" s="654">
        <v>272801</v>
      </c>
      <c r="L3062" s="654">
        <v>0</v>
      </c>
      <c r="M3062" s="654">
        <v>0</v>
      </c>
      <c r="N3062" s="654">
        <v>63423</v>
      </c>
    </row>
    <row r="3063" spans="2:14" x14ac:dyDescent="0.15">
      <c r="B3063"/>
      <c r="F3063" t="s">
        <v>734</v>
      </c>
      <c r="H3063" s="654">
        <v>272801</v>
      </c>
      <c r="I3063" s="654">
        <v>0</v>
      </c>
      <c r="J3063" s="654">
        <v>272801</v>
      </c>
      <c r="K3063" s="654">
        <v>272801</v>
      </c>
      <c r="L3063" s="654">
        <v>0</v>
      </c>
      <c r="M3063" s="654">
        <v>0</v>
      </c>
      <c r="N3063" s="654">
        <v>63423</v>
      </c>
    </row>
    <row r="3064" spans="2:14" x14ac:dyDescent="0.15">
      <c r="B3064"/>
      <c r="E3064" t="s">
        <v>1379</v>
      </c>
      <c r="H3064" s="654">
        <v>974812</v>
      </c>
      <c r="I3064" s="654">
        <v>-9094</v>
      </c>
      <c r="J3064" s="654">
        <v>965718</v>
      </c>
      <c r="K3064" s="654">
        <v>965718</v>
      </c>
      <c r="L3064" s="654">
        <v>0</v>
      </c>
      <c r="M3064" s="654">
        <v>0</v>
      </c>
      <c r="N3064" s="654">
        <v>129285</v>
      </c>
    </row>
    <row r="3065" spans="2:14" x14ac:dyDescent="0.15">
      <c r="B3065"/>
      <c r="D3065" t="s">
        <v>1380</v>
      </c>
      <c r="H3065" s="654">
        <v>974812</v>
      </c>
      <c r="I3065" s="654">
        <v>-9094</v>
      </c>
      <c r="J3065" s="654">
        <v>965718</v>
      </c>
      <c r="K3065" s="654">
        <v>965718</v>
      </c>
      <c r="L3065" s="654">
        <v>0</v>
      </c>
      <c r="M3065" s="654">
        <v>0</v>
      </c>
      <c r="N3065" s="654">
        <v>129285</v>
      </c>
    </row>
    <row r="3066" spans="2:14" x14ac:dyDescent="0.15">
      <c r="B3066"/>
      <c r="D3066" t="s">
        <v>1386</v>
      </c>
      <c r="E3066" t="s">
        <v>1384</v>
      </c>
      <c r="F3066" t="s">
        <v>631</v>
      </c>
      <c r="G3066" t="s">
        <v>596</v>
      </c>
      <c r="H3066" s="654">
        <v>1493913</v>
      </c>
      <c r="I3066" s="654">
        <v>-197725</v>
      </c>
      <c r="J3066" s="654">
        <v>1296188</v>
      </c>
      <c r="K3066" s="654">
        <v>1296188</v>
      </c>
      <c r="L3066" s="654">
        <v>0</v>
      </c>
      <c r="M3066" s="654">
        <v>0</v>
      </c>
      <c r="N3066" s="654">
        <v>0</v>
      </c>
    </row>
    <row r="3067" spans="2:14" x14ac:dyDescent="0.15">
      <c r="B3067"/>
      <c r="F3067" t="s">
        <v>737</v>
      </c>
      <c r="H3067" s="654">
        <v>1493913</v>
      </c>
      <c r="I3067" s="654">
        <v>-197725</v>
      </c>
      <c r="J3067" s="654">
        <v>1296188</v>
      </c>
      <c r="K3067" s="654">
        <v>1296188</v>
      </c>
      <c r="L3067" s="654">
        <v>0</v>
      </c>
      <c r="M3067" s="654">
        <v>0</v>
      </c>
      <c r="N3067" s="654">
        <v>0</v>
      </c>
    </row>
    <row r="3068" spans="2:14" x14ac:dyDescent="0.15">
      <c r="B3068"/>
      <c r="E3068" t="s">
        <v>1512</v>
      </c>
      <c r="H3068" s="654">
        <v>1493913</v>
      </c>
      <c r="I3068" s="654">
        <v>-197725</v>
      </c>
      <c r="J3068" s="654">
        <v>1296188</v>
      </c>
      <c r="K3068" s="654">
        <v>1296188</v>
      </c>
      <c r="L3068" s="654">
        <v>0</v>
      </c>
      <c r="M3068" s="654">
        <v>0</v>
      </c>
      <c r="N3068" s="654">
        <v>0</v>
      </c>
    </row>
    <row r="3069" spans="2:14" x14ac:dyDescent="0.15">
      <c r="B3069"/>
      <c r="D3069" t="s">
        <v>1513</v>
      </c>
      <c r="H3069" s="654">
        <v>1493913</v>
      </c>
      <c r="I3069" s="654">
        <v>-197725</v>
      </c>
      <c r="J3069" s="654">
        <v>1296188</v>
      </c>
      <c r="K3069" s="654">
        <v>1296188</v>
      </c>
      <c r="L3069" s="654">
        <v>0</v>
      </c>
      <c r="M3069" s="654">
        <v>0</v>
      </c>
      <c r="N3069" s="654">
        <v>0</v>
      </c>
    </row>
    <row r="3070" spans="2:14" x14ac:dyDescent="0.15">
      <c r="B3070"/>
      <c r="C3070" t="s">
        <v>853</v>
      </c>
      <c r="H3070" s="654">
        <v>35262295</v>
      </c>
      <c r="I3070" s="654">
        <v>-955763</v>
      </c>
      <c r="J3070" s="654">
        <v>34306532</v>
      </c>
      <c r="K3070" s="654">
        <v>34306532</v>
      </c>
      <c r="L3070" s="654">
        <v>0</v>
      </c>
      <c r="M3070" s="654">
        <v>199052.3</v>
      </c>
      <c r="N3070" s="654">
        <v>3887180</v>
      </c>
    </row>
    <row r="3071" spans="2:14" x14ac:dyDescent="0.15">
      <c r="B3071" t="s">
        <v>627</v>
      </c>
      <c r="C3071" t="s">
        <v>847</v>
      </c>
      <c r="D3071" t="s">
        <v>626</v>
      </c>
      <c r="E3071" t="s">
        <v>378</v>
      </c>
      <c r="F3071" t="s">
        <v>626</v>
      </c>
      <c r="G3071" t="s">
        <v>600</v>
      </c>
      <c r="H3071" s="654">
        <v>165731</v>
      </c>
      <c r="I3071" s="654">
        <v>-8602</v>
      </c>
      <c r="J3071" s="654">
        <v>157129</v>
      </c>
      <c r="K3071" s="654">
        <v>157129</v>
      </c>
      <c r="L3071" s="654">
        <v>0</v>
      </c>
      <c r="M3071" s="654">
        <v>0</v>
      </c>
      <c r="N3071" s="654">
        <v>0</v>
      </c>
    </row>
    <row r="3072" spans="2:14" x14ac:dyDescent="0.15">
      <c r="B3072"/>
      <c r="F3072" t="s">
        <v>733</v>
      </c>
      <c r="H3072" s="654">
        <v>165731</v>
      </c>
      <c r="I3072" s="654">
        <v>-8602</v>
      </c>
      <c r="J3072" s="654">
        <v>157129</v>
      </c>
      <c r="K3072" s="654">
        <v>157129</v>
      </c>
      <c r="L3072" s="654">
        <v>0</v>
      </c>
      <c r="M3072" s="654">
        <v>0</v>
      </c>
      <c r="N3072" s="654">
        <v>0</v>
      </c>
    </row>
    <row r="3073" spans="2:14" x14ac:dyDescent="0.15">
      <c r="B3073"/>
      <c r="F3073" t="s">
        <v>627</v>
      </c>
      <c r="G3073" t="s">
        <v>599</v>
      </c>
      <c r="H3073" s="654">
        <v>80061</v>
      </c>
      <c r="I3073" s="654">
        <v>0</v>
      </c>
      <c r="J3073" s="654">
        <v>80061</v>
      </c>
      <c r="K3073" s="654">
        <v>80061</v>
      </c>
      <c r="L3073" s="654">
        <v>0</v>
      </c>
      <c r="M3073" s="654">
        <v>0</v>
      </c>
      <c r="N3073" s="654">
        <v>0</v>
      </c>
    </row>
    <row r="3074" spans="2:14" x14ac:dyDescent="0.15">
      <c r="B3074"/>
      <c r="F3074" t="s">
        <v>734</v>
      </c>
      <c r="H3074" s="654">
        <v>80061</v>
      </c>
      <c r="I3074" s="654">
        <v>0</v>
      </c>
      <c r="J3074" s="654">
        <v>80061</v>
      </c>
      <c r="K3074" s="654">
        <v>80061</v>
      </c>
      <c r="L3074" s="654">
        <v>0</v>
      </c>
      <c r="M3074" s="654">
        <v>0</v>
      </c>
      <c r="N3074" s="654">
        <v>0</v>
      </c>
    </row>
    <row r="3075" spans="2:14" x14ac:dyDescent="0.15">
      <c r="B3075"/>
      <c r="F3075" t="s">
        <v>628</v>
      </c>
      <c r="G3075" t="s">
        <v>598</v>
      </c>
      <c r="H3075" s="654">
        <v>32324</v>
      </c>
      <c r="I3075" s="654">
        <v>0</v>
      </c>
      <c r="J3075" s="654">
        <v>32324</v>
      </c>
      <c r="K3075" s="654">
        <v>32324</v>
      </c>
      <c r="L3075" s="654">
        <v>0</v>
      </c>
      <c r="M3075" s="654">
        <v>0</v>
      </c>
      <c r="N3075" s="654">
        <v>0</v>
      </c>
    </row>
    <row r="3076" spans="2:14" x14ac:dyDescent="0.15">
      <c r="B3076"/>
      <c r="F3076" t="s">
        <v>735</v>
      </c>
      <c r="H3076" s="654">
        <v>32324</v>
      </c>
      <c r="I3076" s="654">
        <v>0</v>
      </c>
      <c r="J3076" s="654">
        <v>32324</v>
      </c>
      <c r="K3076" s="654">
        <v>32324</v>
      </c>
      <c r="L3076" s="654">
        <v>0</v>
      </c>
      <c r="M3076" s="654">
        <v>0</v>
      </c>
      <c r="N3076" s="654">
        <v>0</v>
      </c>
    </row>
    <row r="3077" spans="2:14" x14ac:dyDescent="0.15">
      <c r="B3077"/>
      <c r="E3077" t="s">
        <v>769</v>
      </c>
      <c r="H3077" s="654">
        <v>278116</v>
      </c>
      <c r="I3077" s="654">
        <v>-8602</v>
      </c>
      <c r="J3077" s="654">
        <v>269514</v>
      </c>
      <c r="K3077" s="654">
        <v>269514</v>
      </c>
      <c r="L3077" s="654">
        <v>0</v>
      </c>
      <c r="M3077" s="654">
        <v>0</v>
      </c>
      <c r="N3077" s="654">
        <v>0</v>
      </c>
    </row>
    <row r="3078" spans="2:14" x14ac:dyDescent="0.15">
      <c r="B3078"/>
      <c r="D3078" t="s">
        <v>733</v>
      </c>
      <c r="H3078" s="654">
        <v>278116</v>
      </c>
      <c r="I3078" s="654">
        <v>-8602</v>
      </c>
      <c r="J3078" s="654">
        <v>269514</v>
      </c>
      <c r="K3078" s="654">
        <v>269514</v>
      </c>
      <c r="L3078" s="654">
        <v>0</v>
      </c>
      <c r="M3078" s="654">
        <v>0</v>
      </c>
      <c r="N3078" s="654">
        <v>0</v>
      </c>
    </row>
    <row r="3079" spans="2:14" x14ac:dyDescent="0.15">
      <c r="B3079"/>
      <c r="D3079" t="s">
        <v>627</v>
      </c>
      <c r="E3079" t="s">
        <v>379</v>
      </c>
      <c r="F3079" t="s">
        <v>626</v>
      </c>
      <c r="G3079" t="s">
        <v>600</v>
      </c>
      <c r="H3079" s="654">
        <v>368085</v>
      </c>
      <c r="I3079" s="654">
        <v>201204</v>
      </c>
      <c r="J3079" s="654">
        <v>569289</v>
      </c>
      <c r="K3079" s="654">
        <v>569289</v>
      </c>
      <c r="L3079" s="654">
        <v>0</v>
      </c>
      <c r="M3079" s="654">
        <v>0</v>
      </c>
      <c r="N3079" s="654">
        <v>0</v>
      </c>
    </row>
    <row r="3080" spans="2:14" x14ac:dyDescent="0.15">
      <c r="B3080"/>
      <c r="F3080" t="s">
        <v>733</v>
      </c>
      <c r="H3080" s="654">
        <v>368085</v>
      </c>
      <c r="I3080" s="654">
        <v>201204</v>
      </c>
      <c r="J3080" s="654">
        <v>569289</v>
      </c>
      <c r="K3080" s="654">
        <v>569289</v>
      </c>
      <c r="L3080" s="654">
        <v>0</v>
      </c>
      <c r="M3080" s="654">
        <v>0</v>
      </c>
      <c r="N3080" s="654">
        <v>0</v>
      </c>
    </row>
    <row r="3081" spans="2:14" x14ac:dyDescent="0.15">
      <c r="B3081"/>
      <c r="F3081" t="s">
        <v>627</v>
      </c>
      <c r="G3081" t="s">
        <v>599</v>
      </c>
      <c r="H3081" s="654">
        <v>81891</v>
      </c>
      <c r="I3081" s="654">
        <v>0</v>
      </c>
      <c r="J3081" s="654">
        <v>81891</v>
      </c>
      <c r="K3081" s="654">
        <v>81891</v>
      </c>
      <c r="L3081" s="654">
        <v>0</v>
      </c>
      <c r="M3081" s="654">
        <v>0</v>
      </c>
      <c r="N3081" s="654">
        <v>0</v>
      </c>
    </row>
    <row r="3082" spans="2:14" x14ac:dyDescent="0.15">
      <c r="B3082"/>
      <c r="F3082" t="s">
        <v>734</v>
      </c>
      <c r="H3082" s="654">
        <v>81891</v>
      </c>
      <c r="I3082" s="654">
        <v>0</v>
      </c>
      <c r="J3082" s="654">
        <v>81891</v>
      </c>
      <c r="K3082" s="654">
        <v>81891</v>
      </c>
      <c r="L3082" s="654">
        <v>0</v>
      </c>
      <c r="M3082" s="654">
        <v>0</v>
      </c>
      <c r="N3082" s="654">
        <v>0</v>
      </c>
    </row>
    <row r="3083" spans="2:14" x14ac:dyDescent="0.15">
      <c r="B3083"/>
      <c r="F3083" t="s">
        <v>628</v>
      </c>
      <c r="G3083" t="s">
        <v>598</v>
      </c>
      <c r="H3083" s="654">
        <v>33381</v>
      </c>
      <c r="I3083" s="654">
        <v>0</v>
      </c>
      <c r="J3083" s="654">
        <v>33381</v>
      </c>
      <c r="K3083" s="654">
        <v>33381</v>
      </c>
      <c r="L3083" s="654">
        <v>0</v>
      </c>
      <c r="M3083" s="654">
        <v>0</v>
      </c>
      <c r="N3083" s="654">
        <v>0</v>
      </c>
    </row>
    <row r="3084" spans="2:14" x14ac:dyDescent="0.15">
      <c r="B3084"/>
      <c r="F3084" t="s">
        <v>735</v>
      </c>
      <c r="H3084" s="654">
        <v>33381</v>
      </c>
      <c r="I3084" s="654">
        <v>0</v>
      </c>
      <c r="J3084" s="654">
        <v>33381</v>
      </c>
      <c r="K3084" s="654">
        <v>33381</v>
      </c>
      <c r="L3084" s="654">
        <v>0</v>
      </c>
      <c r="M3084" s="654">
        <v>0</v>
      </c>
      <c r="N3084" s="654">
        <v>0</v>
      </c>
    </row>
    <row r="3085" spans="2:14" x14ac:dyDescent="0.15">
      <c r="B3085"/>
      <c r="E3085" t="s">
        <v>770</v>
      </c>
      <c r="H3085" s="654">
        <v>483357</v>
      </c>
      <c r="I3085" s="654">
        <v>201204</v>
      </c>
      <c r="J3085" s="654">
        <v>684561</v>
      </c>
      <c r="K3085" s="654">
        <v>684561</v>
      </c>
      <c r="L3085" s="654">
        <v>0</v>
      </c>
      <c r="M3085" s="654">
        <v>0</v>
      </c>
      <c r="N3085" s="654">
        <v>0</v>
      </c>
    </row>
    <row r="3086" spans="2:14" x14ac:dyDescent="0.15">
      <c r="B3086"/>
      <c r="D3086" t="s">
        <v>734</v>
      </c>
      <c r="H3086" s="654">
        <v>483357</v>
      </c>
      <c r="I3086" s="654">
        <v>201204</v>
      </c>
      <c r="J3086" s="654">
        <v>684561</v>
      </c>
      <c r="K3086" s="654">
        <v>684561</v>
      </c>
      <c r="L3086" s="654">
        <v>0</v>
      </c>
      <c r="M3086" s="654">
        <v>0</v>
      </c>
      <c r="N3086" s="654">
        <v>0</v>
      </c>
    </row>
    <row r="3087" spans="2:14" x14ac:dyDescent="0.15">
      <c r="B3087"/>
      <c r="D3087" t="s">
        <v>628</v>
      </c>
      <c r="E3087" t="s">
        <v>380</v>
      </c>
      <c r="F3087" t="s">
        <v>626</v>
      </c>
      <c r="G3087" t="s">
        <v>600</v>
      </c>
      <c r="H3087" s="654">
        <v>0</v>
      </c>
      <c r="I3087" s="654">
        <v>2630</v>
      </c>
      <c r="J3087" s="654">
        <v>2630</v>
      </c>
      <c r="K3087" s="654">
        <v>2630</v>
      </c>
      <c r="L3087" s="654">
        <v>0</v>
      </c>
      <c r="M3087" s="654">
        <v>0</v>
      </c>
      <c r="N3087" s="654">
        <v>0</v>
      </c>
    </row>
    <row r="3088" spans="2:14" x14ac:dyDescent="0.15">
      <c r="B3088"/>
      <c r="F3088" t="s">
        <v>733</v>
      </c>
      <c r="H3088" s="654">
        <v>0</v>
      </c>
      <c r="I3088" s="654">
        <v>2630</v>
      </c>
      <c r="J3088" s="654">
        <v>2630</v>
      </c>
      <c r="K3088" s="654">
        <v>2630</v>
      </c>
      <c r="L3088" s="654">
        <v>0</v>
      </c>
      <c r="M3088" s="654">
        <v>0</v>
      </c>
      <c r="N3088" s="654">
        <v>0</v>
      </c>
    </row>
    <row r="3089" spans="2:14" x14ac:dyDescent="0.15">
      <c r="B3089"/>
      <c r="F3089" t="s">
        <v>627</v>
      </c>
      <c r="G3089" t="s">
        <v>599</v>
      </c>
      <c r="H3089" s="654">
        <v>0</v>
      </c>
      <c r="I3089" s="654">
        <v>0</v>
      </c>
      <c r="J3089" s="654">
        <v>0</v>
      </c>
      <c r="K3089" s="654">
        <v>0</v>
      </c>
      <c r="L3089" s="654">
        <v>0</v>
      </c>
      <c r="M3089" s="654">
        <v>0</v>
      </c>
      <c r="N3089" s="654">
        <v>0</v>
      </c>
    </row>
    <row r="3090" spans="2:14" x14ac:dyDescent="0.15">
      <c r="B3090"/>
      <c r="F3090" t="s">
        <v>734</v>
      </c>
      <c r="H3090" s="654">
        <v>0</v>
      </c>
      <c r="I3090" s="654">
        <v>0</v>
      </c>
      <c r="J3090" s="654">
        <v>0</v>
      </c>
      <c r="K3090" s="654">
        <v>0</v>
      </c>
      <c r="L3090" s="654">
        <v>0</v>
      </c>
      <c r="M3090" s="654">
        <v>0</v>
      </c>
      <c r="N3090" s="654">
        <v>0</v>
      </c>
    </row>
    <row r="3091" spans="2:14" x14ac:dyDescent="0.15">
      <c r="B3091"/>
      <c r="E3091" t="s">
        <v>771</v>
      </c>
      <c r="H3091" s="654">
        <v>0</v>
      </c>
      <c r="I3091" s="654">
        <v>2630</v>
      </c>
      <c r="J3091" s="654">
        <v>2630</v>
      </c>
      <c r="K3091" s="654">
        <v>2630</v>
      </c>
      <c r="L3091" s="654">
        <v>0</v>
      </c>
      <c r="M3091" s="654">
        <v>0</v>
      </c>
      <c r="N3091" s="654">
        <v>0</v>
      </c>
    </row>
    <row r="3092" spans="2:14" x14ac:dyDescent="0.15">
      <c r="B3092"/>
      <c r="D3092" t="s">
        <v>735</v>
      </c>
      <c r="H3092" s="654">
        <v>0</v>
      </c>
      <c r="I3092" s="654">
        <v>2630</v>
      </c>
      <c r="J3092" s="654">
        <v>2630</v>
      </c>
      <c r="K3092" s="654">
        <v>2630</v>
      </c>
      <c r="L3092" s="654">
        <v>0</v>
      </c>
      <c r="M3092" s="654">
        <v>0</v>
      </c>
      <c r="N3092" s="654">
        <v>0</v>
      </c>
    </row>
    <row r="3093" spans="2:14" x14ac:dyDescent="0.15">
      <c r="B3093"/>
      <c r="D3093" t="s">
        <v>629</v>
      </c>
      <c r="E3093" t="s">
        <v>676</v>
      </c>
      <c r="F3093" t="s">
        <v>629</v>
      </c>
      <c r="G3093" t="s">
        <v>601</v>
      </c>
      <c r="H3093" s="654">
        <v>162548</v>
      </c>
      <c r="I3093" s="654">
        <v>13208</v>
      </c>
      <c r="J3093" s="654">
        <v>175756</v>
      </c>
      <c r="K3093" s="654">
        <v>175756</v>
      </c>
      <c r="L3093" s="654">
        <v>0</v>
      </c>
      <c r="M3093" s="654">
        <v>0</v>
      </c>
      <c r="N3093" s="654">
        <v>0</v>
      </c>
    </row>
    <row r="3094" spans="2:14" x14ac:dyDescent="0.15">
      <c r="B3094"/>
      <c r="F3094" t="s">
        <v>736</v>
      </c>
      <c r="H3094" s="654">
        <v>162548</v>
      </c>
      <c r="I3094" s="654">
        <v>13208</v>
      </c>
      <c r="J3094" s="654">
        <v>175756</v>
      </c>
      <c r="K3094" s="654">
        <v>175756</v>
      </c>
      <c r="L3094" s="654">
        <v>0</v>
      </c>
      <c r="M3094" s="654">
        <v>0</v>
      </c>
      <c r="N3094" s="654">
        <v>0</v>
      </c>
    </row>
    <row r="3095" spans="2:14" x14ac:dyDescent="0.15">
      <c r="B3095"/>
      <c r="E3095" t="s">
        <v>772</v>
      </c>
      <c r="H3095" s="654">
        <v>162548</v>
      </c>
      <c r="I3095" s="654">
        <v>13208</v>
      </c>
      <c r="J3095" s="654">
        <v>175756</v>
      </c>
      <c r="K3095" s="654">
        <v>175756</v>
      </c>
      <c r="L3095" s="654">
        <v>0</v>
      </c>
      <c r="M3095" s="654">
        <v>0</v>
      </c>
      <c r="N3095" s="654">
        <v>0</v>
      </c>
    </row>
    <row r="3096" spans="2:14" x14ac:dyDescent="0.15">
      <c r="B3096"/>
      <c r="D3096" t="s">
        <v>736</v>
      </c>
      <c r="H3096" s="654">
        <v>162548</v>
      </c>
      <c r="I3096" s="654">
        <v>13208</v>
      </c>
      <c r="J3096" s="654">
        <v>175756</v>
      </c>
      <c r="K3096" s="654">
        <v>175756</v>
      </c>
      <c r="L3096" s="654">
        <v>0</v>
      </c>
      <c r="M3096" s="654">
        <v>0</v>
      </c>
      <c r="N3096" s="654">
        <v>0</v>
      </c>
    </row>
    <row r="3097" spans="2:14" x14ac:dyDescent="0.15">
      <c r="B3097"/>
      <c r="D3097" t="s">
        <v>567</v>
      </c>
      <c r="E3097" t="s">
        <v>473</v>
      </c>
      <c r="F3097" t="s">
        <v>631</v>
      </c>
      <c r="G3097" t="s">
        <v>596</v>
      </c>
      <c r="H3097" s="654">
        <v>0</v>
      </c>
      <c r="I3097" s="654">
        <v>0</v>
      </c>
      <c r="J3097" s="654">
        <v>0</v>
      </c>
      <c r="K3097" s="654">
        <v>0</v>
      </c>
      <c r="L3097" s="654">
        <v>0</v>
      </c>
      <c r="M3097" s="654">
        <v>0</v>
      </c>
      <c r="N3097" s="654">
        <v>0</v>
      </c>
    </row>
    <row r="3098" spans="2:14" x14ac:dyDescent="0.15">
      <c r="B3098"/>
      <c r="F3098" t="s">
        <v>737</v>
      </c>
      <c r="H3098" s="654">
        <v>0</v>
      </c>
      <c r="I3098" s="654">
        <v>0</v>
      </c>
      <c r="J3098" s="654">
        <v>0</v>
      </c>
      <c r="K3098" s="654">
        <v>0</v>
      </c>
      <c r="L3098" s="654">
        <v>0</v>
      </c>
      <c r="M3098" s="654">
        <v>0</v>
      </c>
      <c r="N3098" s="654">
        <v>0</v>
      </c>
    </row>
    <row r="3099" spans="2:14" x14ac:dyDescent="0.15">
      <c r="B3099"/>
      <c r="E3099" t="s">
        <v>773</v>
      </c>
      <c r="H3099" s="654">
        <v>0</v>
      </c>
      <c r="I3099" s="654">
        <v>0</v>
      </c>
      <c r="J3099" s="654">
        <v>0</v>
      </c>
      <c r="K3099" s="654">
        <v>0</v>
      </c>
      <c r="L3099" s="654">
        <v>0</v>
      </c>
      <c r="M3099" s="654">
        <v>0</v>
      </c>
      <c r="N3099" s="654">
        <v>0</v>
      </c>
    </row>
    <row r="3100" spans="2:14" x14ac:dyDescent="0.15">
      <c r="B3100"/>
      <c r="D3100" t="s">
        <v>739</v>
      </c>
      <c r="H3100" s="654">
        <v>0</v>
      </c>
      <c r="I3100" s="654">
        <v>0</v>
      </c>
      <c r="J3100" s="654">
        <v>0</v>
      </c>
      <c r="K3100" s="654">
        <v>0</v>
      </c>
      <c r="L3100" s="654">
        <v>0</v>
      </c>
      <c r="M3100" s="654">
        <v>0</v>
      </c>
      <c r="N3100" s="654">
        <v>0</v>
      </c>
    </row>
    <row r="3101" spans="2:14" x14ac:dyDescent="0.15">
      <c r="B3101"/>
      <c r="D3101" t="s">
        <v>568</v>
      </c>
      <c r="E3101" t="s">
        <v>474</v>
      </c>
      <c r="F3101" t="s">
        <v>631</v>
      </c>
      <c r="G3101" t="s">
        <v>596</v>
      </c>
      <c r="H3101" s="654">
        <v>0</v>
      </c>
      <c r="I3101" s="654">
        <v>0</v>
      </c>
      <c r="J3101" s="654">
        <v>0</v>
      </c>
      <c r="K3101" s="654">
        <v>0</v>
      </c>
      <c r="L3101" s="654">
        <v>0</v>
      </c>
      <c r="M3101" s="654">
        <v>0</v>
      </c>
      <c r="N3101" s="654">
        <v>0</v>
      </c>
    </row>
    <row r="3102" spans="2:14" x14ac:dyDescent="0.15">
      <c r="B3102"/>
      <c r="F3102" t="s">
        <v>737</v>
      </c>
      <c r="H3102" s="654">
        <v>0</v>
      </c>
      <c r="I3102" s="654">
        <v>0</v>
      </c>
      <c r="J3102" s="654">
        <v>0</v>
      </c>
      <c r="K3102" s="654">
        <v>0</v>
      </c>
      <c r="L3102" s="654">
        <v>0</v>
      </c>
      <c r="M3102" s="654">
        <v>0</v>
      </c>
      <c r="N3102" s="654">
        <v>0</v>
      </c>
    </row>
    <row r="3103" spans="2:14" x14ac:dyDescent="0.15">
      <c r="B3103"/>
      <c r="E3103" t="s">
        <v>774</v>
      </c>
      <c r="H3103" s="654">
        <v>0</v>
      </c>
      <c r="I3103" s="654">
        <v>0</v>
      </c>
      <c r="J3103" s="654">
        <v>0</v>
      </c>
      <c r="K3103" s="654">
        <v>0</v>
      </c>
      <c r="L3103" s="654">
        <v>0</v>
      </c>
      <c r="M3103" s="654">
        <v>0</v>
      </c>
      <c r="N3103" s="654">
        <v>0</v>
      </c>
    </row>
    <row r="3104" spans="2:14" x14ac:dyDescent="0.15">
      <c r="B3104"/>
      <c r="D3104" t="s">
        <v>740</v>
      </c>
      <c r="H3104" s="654">
        <v>0</v>
      </c>
      <c r="I3104" s="654">
        <v>0</v>
      </c>
      <c r="J3104" s="654">
        <v>0</v>
      </c>
      <c r="K3104" s="654">
        <v>0</v>
      </c>
      <c r="L3104" s="654">
        <v>0</v>
      </c>
      <c r="M3104" s="654">
        <v>0</v>
      </c>
      <c r="N3104" s="654">
        <v>0</v>
      </c>
    </row>
    <row r="3105" spans="2:14" x14ac:dyDescent="0.15">
      <c r="B3105"/>
      <c r="D3105" t="s">
        <v>582</v>
      </c>
      <c r="E3105" t="s">
        <v>384</v>
      </c>
      <c r="F3105" t="s">
        <v>631</v>
      </c>
      <c r="G3105" t="s">
        <v>596</v>
      </c>
      <c r="H3105" s="654">
        <v>0</v>
      </c>
      <c r="I3105" s="654">
        <v>0</v>
      </c>
      <c r="J3105" s="654">
        <v>0</v>
      </c>
      <c r="K3105" s="654">
        <v>0</v>
      </c>
      <c r="L3105" s="654">
        <v>0</v>
      </c>
      <c r="M3105" s="654">
        <v>0</v>
      </c>
      <c r="N3105" s="654">
        <v>0</v>
      </c>
    </row>
    <row r="3106" spans="2:14" x14ac:dyDescent="0.15">
      <c r="B3106"/>
      <c r="F3106" t="s">
        <v>737</v>
      </c>
      <c r="H3106" s="654">
        <v>0</v>
      </c>
      <c r="I3106" s="654">
        <v>0</v>
      </c>
      <c r="J3106" s="654">
        <v>0</v>
      </c>
      <c r="K3106" s="654">
        <v>0</v>
      </c>
      <c r="L3106" s="654">
        <v>0</v>
      </c>
      <c r="M3106" s="654">
        <v>0</v>
      </c>
      <c r="N3106" s="654">
        <v>0</v>
      </c>
    </row>
    <row r="3107" spans="2:14" x14ac:dyDescent="0.15">
      <c r="B3107"/>
      <c r="E3107" t="s">
        <v>778</v>
      </c>
      <c r="H3107" s="654">
        <v>0</v>
      </c>
      <c r="I3107" s="654">
        <v>0</v>
      </c>
      <c r="J3107" s="654">
        <v>0</v>
      </c>
      <c r="K3107" s="654">
        <v>0</v>
      </c>
      <c r="L3107" s="654">
        <v>0</v>
      </c>
      <c r="M3107" s="654">
        <v>0</v>
      </c>
      <c r="N3107" s="654">
        <v>0</v>
      </c>
    </row>
    <row r="3108" spans="2:14" x14ac:dyDescent="0.15">
      <c r="B3108"/>
      <c r="D3108" t="s">
        <v>743</v>
      </c>
      <c r="H3108" s="654">
        <v>0</v>
      </c>
      <c r="I3108" s="654">
        <v>0</v>
      </c>
      <c r="J3108" s="654">
        <v>0</v>
      </c>
      <c r="K3108" s="654">
        <v>0</v>
      </c>
      <c r="L3108" s="654">
        <v>0</v>
      </c>
      <c r="M3108" s="654">
        <v>0</v>
      </c>
      <c r="N3108" s="654">
        <v>0</v>
      </c>
    </row>
    <row r="3109" spans="2:14" x14ac:dyDescent="0.15">
      <c r="B3109"/>
      <c r="D3109" t="s">
        <v>631</v>
      </c>
      <c r="E3109" t="s">
        <v>381</v>
      </c>
      <c r="F3109" t="s">
        <v>626</v>
      </c>
      <c r="G3109" t="s">
        <v>600</v>
      </c>
      <c r="H3109" s="654">
        <v>0</v>
      </c>
      <c r="I3109" s="654">
        <v>0</v>
      </c>
      <c r="J3109" s="654">
        <v>0</v>
      </c>
      <c r="K3109" s="654">
        <v>0</v>
      </c>
      <c r="L3109" s="654">
        <v>0</v>
      </c>
      <c r="M3109" s="654">
        <v>0</v>
      </c>
      <c r="N3109" s="654">
        <v>0</v>
      </c>
    </row>
    <row r="3110" spans="2:14" x14ac:dyDescent="0.15">
      <c r="B3110"/>
      <c r="F3110" t="s">
        <v>733</v>
      </c>
      <c r="H3110" s="654">
        <v>0</v>
      </c>
      <c r="I3110" s="654">
        <v>0</v>
      </c>
      <c r="J3110" s="654">
        <v>0</v>
      </c>
      <c r="K3110" s="654">
        <v>0</v>
      </c>
      <c r="L3110" s="654">
        <v>0</v>
      </c>
      <c r="M3110" s="654">
        <v>0</v>
      </c>
      <c r="N3110" s="654">
        <v>0</v>
      </c>
    </row>
    <row r="3111" spans="2:14" x14ac:dyDescent="0.15">
      <c r="B3111"/>
      <c r="E3111" t="s">
        <v>776</v>
      </c>
      <c r="H3111" s="654">
        <v>0</v>
      </c>
      <c r="I3111" s="654">
        <v>0</v>
      </c>
      <c r="J3111" s="654">
        <v>0</v>
      </c>
      <c r="K3111" s="654">
        <v>0</v>
      </c>
      <c r="L3111" s="654">
        <v>0</v>
      </c>
      <c r="M3111" s="654">
        <v>0</v>
      </c>
      <c r="N3111" s="654">
        <v>0</v>
      </c>
    </row>
    <row r="3112" spans="2:14" x14ac:dyDescent="0.15">
      <c r="B3112"/>
      <c r="D3112" t="s">
        <v>737</v>
      </c>
      <c r="H3112" s="654">
        <v>0</v>
      </c>
      <c r="I3112" s="654">
        <v>0</v>
      </c>
      <c r="J3112" s="654">
        <v>0</v>
      </c>
      <c r="K3112" s="654">
        <v>0</v>
      </c>
      <c r="L3112" s="654">
        <v>0</v>
      </c>
      <c r="M3112" s="654">
        <v>0</v>
      </c>
      <c r="N3112" s="654">
        <v>0</v>
      </c>
    </row>
    <row r="3113" spans="2:14" x14ac:dyDescent="0.15">
      <c r="B3113"/>
      <c r="D3113" t="s">
        <v>965</v>
      </c>
      <c r="E3113" t="s">
        <v>986</v>
      </c>
      <c r="F3113" t="s">
        <v>626</v>
      </c>
      <c r="G3113" t="s">
        <v>600</v>
      </c>
      <c r="H3113" s="654">
        <v>7889</v>
      </c>
      <c r="I3113" s="654">
        <v>0</v>
      </c>
      <c r="J3113" s="654">
        <v>7889</v>
      </c>
      <c r="K3113" s="654">
        <v>7889</v>
      </c>
      <c r="L3113" s="654">
        <v>0</v>
      </c>
      <c r="M3113" s="654">
        <v>0</v>
      </c>
      <c r="N3113" s="654">
        <v>0</v>
      </c>
    </row>
    <row r="3114" spans="2:14" x14ac:dyDescent="0.15">
      <c r="B3114"/>
      <c r="F3114" t="s">
        <v>733</v>
      </c>
      <c r="H3114" s="654">
        <v>7889</v>
      </c>
      <c r="I3114" s="654">
        <v>0</v>
      </c>
      <c r="J3114" s="654">
        <v>7889</v>
      </c>
      <c r="K3114" s="654">
        <v>7889</v>
      </c>
      <c r="L3114" s="654">
        <v>0</v>
      </c>
      <c r="M3114" s="654">
        <v>0</v>
      </c>
      <c r="N3114" s="654">
        <v>0</v>
      </c>
    </row>
    <row r="3115" spans="2:14" x14ac:dyDescent="0.15">
      <c r="B3115"/>
      <c r="F3115" t="s">
        <v>627</v>
      </c>
      <c r="G3115" t="s">
        <v>599</v>
      </c>
      <c r="H3115" s="654">
        <v>0</v>
      </c>
      <c r="I3115" s="654">
        <v>0</v>
      </c>
      <c r="J3115" s="654">
        <v>0</v>
      </c>
      <c r="K3115" s="654">
        <v>0</v>
      </c>
      <c r="L3115" s="654">
        <v>0</v>
      </c>
      <c r="M3115" s="654">
        <v>0</v>
      </c>
      <c r="N3115" s="654">
        <v>0</v>
      </c>
    </row>
    <row r="3116" spans="2:14" x14ac:dyDescent="0.15">
      <c r="B3116"/>
      <c r="F3116" t="s">
        <v>734</v>
      </c>
      <c r="H3116" s="654">
        <v>0</v>
      </c>
      <c r="I3116" s="654">
        <v>0</v>
      </c>
      <c r="J3116" s="654">
        <v>0</v>
      </c>
      <c r="K3116" s="654">
        <v>0</v>
      </c>
      <c r="L3116" s="654">
        <v>0</v>
      </c>
      <c r="M3116" s="654">
        <v>0</v>
      </c>
      <c r="N3116" s="654">
        <v>0</v>
      </c>
    </row>
    <row r="3117" spans="2:14" x14ac:dyDescent="0.15">
      <c r="B3117"/>
      <c r="E3117" t="s">
        <v>1138</v>
      </c>
      <c r="H3117" s="654">
        <v>7889</v>
      </c>
      <c r="I3117" s="654">
        <v>0</v>
      </c>
      <c r="J3117" s="654">
        <v>7889</v>
      </c>
      <c r="K3117" s="654">
        <v>7889</v>
      </c>
      <c r="L3117" s="654">
        <v>0</v>
      </c>
      <c r="M3117" s="654">
        <v>0</v>
      </c>
      <c r="N3117" s="654">
        <v>0</v>
      </c>
    </row>
    <row r="3118" spans="2:14" x14ac:dyDescent="0.15">
      <c r="B3118"/>
      <c r="D3118" t="s">
        <v>1139</v>
      </c>
      <c r="H3118" s="654">
        <v>7889</v>
      </c>
      <c r="I3118" s="654">
        <v>0</v>
      </c>
      <c r="J3118" s="654">
        <v>7889</v>
      </c>
      <c r="K3118" s="654">
        <v>7889</v>
      </c>
      <c r="L3118" s="654">
        <v>0</v>
      </c>
      <c r="M3118" s="654">
        <v>0</v>
      </c>
      <c r="N3118" s="654">
        <v>0</v>
      </c>
    </row>
    <row r="3119" spans="2:14" x14ac:dyDescent="0.15">
      <c r="B3119"/>
      <c r="D3119" t="s">
        <v>1201</v>
      </c>
      <c r="E3119" t="s">
        <v>1199</v>
      </c>
      <c r="F3119" t="s">
        <v>626</v>
      </c>
      <c r="G3119" t="s">
        <v>600</v>
      </c>
      <c r="H3119" s="654">
        <v>83514</v>
      </c>
      <c r="I3119" s="654">
        <v>2520</v>
      </c>
      <c r="J3119" s="654">
        <v>86034</v>
      </c>
      <c r="K3119" s="654">
        <v>86034</v>
      </c>
      <c r="L3119" s="654">
        <v>0</v>
      </c>
      <c r="M3119" s="654">
        <v>0</v>
      </c>
      <c r="N3119" s="654">
        <v>0</v>
      </c>
    </row>
    <row r="3120" spans="2:14" x14ac:dyDescent="0.15">
      <c r="B3120"/>
      <c r="F3120" t="s">
        <v>733</v>
      </c>
      <c r="H3120" s="654">
        <v>83514</v>
      </c>
      <c r="I3120" s="654">
        <v>2520</v>
      </c>
      <c r="J3120" s="654">
        <v>86034</v>
      </c>
      <c r="K3120" s="654">
        <v>86034</v>
      </c>
      <c r="L3120" s="654">
        <v>0</v>
      </c>
      <c r="M3120" s="654">
        <v>0</v>
      </c>
      <c r="N3120" s="654">
        <v>0</v>
      </c>
    </row>
    <row r="3121" spans="1:14" x14ac:dyDescent="0.15">
      <c r="B3121"/>
      <c r="F3121" t="s">
        <v>627</v>
      </c>
      <c r="G3121" t="s">
        <v>599</v>
      </c>
      <c r="H3121" s="654">
        <v>0</v>
      </c>
      <c r="I3121" s="654">
        <v>0</v>
      </c>
      <c r="J3121" s="654">
        <v>0</v>
      </c>
      <c r="K3121" s="654">
        <v>0</v>
      </c>
      <c r="L3121" s="654">
        <v>0</v>
      </c>
      <c r="M3121" s="654">
        <v>0</v>
      </c>
      <c r="N3121" s="654">
        <v>0</v>
      </c>
    </row>
    <row r="3122" spans="1:14" x14ac:dyDescent="0.15">
      <c r="B3122"/>
      <c r="F3122" t="s">
        <v>734</v>
      </c>
      <c r="H3122" s="654">
        <v>0</v>
      </c>
      <c r="I3122" s="654">
        <v>0</v>
      </c>
      <c r="J3122" s="654">
        <v>0</v>
      </c>
      <c r="K3122" s="654">
        <v>0</v>
      </c>
      <c r="L3122" s="654">
        <v>0</v>
      </c>
      <c r="M3122" s="654">
        <v>0</v>
      </c>
      <c r="N3122" s="654">
        <v>0</v>
      </c>
    </row>
    <row r="3123" spans="1:14" x14ac:dyDescent="0.15">
      <c r="B3123"/>
      <c r="E3123" t="s">
        <v>1379</v>
      </c>
      <c r="H3123" s="654">
        <v>83514</v>
      </c>
      <c r="I3123" s="654">
        <v>2520</v>
      </c>
      <c r="J3123" s="654">
        <v>86034</v>
      </c>
      <c r="K3123" s="654">
        <v>86034</v>
      </c>
      <c r="L3123" s="654">
        <v>0</v>
      </c>
      <c r="M3123" s="654">
        <v>0</v>
      </c>
      <c r="N3123" s="654">
        <v>0</v>
      </c>
    </row>
    <row r="3124" spans="1:14" x14ac:dyDescent="0.15">
      <c r="B3124"/>
      <c r="D3124" t="s">
        <v>1380</v>
      </c>
      <c r="H3124" s="654">
        <v>83514</v>
      </c>
      <c r="I3124" s="654">
        <v>2520</v>
      </c>
      <c r="J3124" s="654">
        <v>86034</v>
      </c>
      <c r="K3124" s="654">
        <v>86034</v>
      </c>
      <c r="L3124" s="654">
        <v>0</v>
      </c>
      <c r="M3124" s="654">
        <v>0</v>
      </c>
      <c r="N3124" s="654">
        <v>0</v>
      </c>
    </row>
    <row r="3125" spans="1:14" x14ac:dyDescent="0.15">
      <c r="B3125"/>
      <c r="D3125" t="s">
        <v>1386</v>
      </c>
      <c r="E3125" t="s">
        <v>1384</v>
      </c>
      <c r="F3125" t="s">
        <v>631</v>
      </c>
      <c r="G3125" t="s">
        <v>596</v>
      </c>
      <c r="H3125" s="654">
        <v>0</v>
      </c>
      <c r="I3125" s="654">
        <v>0</v>
      </c>
      <c r="J3125" s="654">
        <v>0</v>
      </c>
      <c r="K3125" s="654">
        <v>0</v>
      </c>
      <c r="L3125" s="654">
        <v>0</v>
      </c>
      <c r="M3125" s="654">
        <v>0</v>
      </c>
      <c r="N3125" s="654">
        <v>0</v>
      </c>
    </row>
    <row r="3126" spans="1:14" x14ac:dyDescent="0.15">
      <c r="B3126"/>
      <c r="F3126" t="s">
        <v>737</v>
      </c>
      <c r="H3126" s="654">
        <v>0</v>
      </c>
      <c r="I3126" s="654">
        <v>0</v>
      </c>
      <c r="J3126" s="654">
        <v>0</v>
      </c>
      <c r="K3126" s="654">
        <v>0</v>
      </c>
      <c r="L3126" s="654">
        <v>0</v>
      </c>
      <c r="M3126" s="654">
        <v>0</v>
      </c>
      <c r="N3126" s="654">
        <v>0</v>
      </c>
    </row>
    <row r="3127" spans="1:14" x14ac:dyDescent="0.15">
      <c r="B3127"/>
      <c r="E3127" t="s">
        <v>1512</v>
      </c>
      <c r="H3127" s="654">
        <v>0</v>
      </c>
      <c r="I3127" s="654">
        <v>0</v>
      </c>
      <c r="J3127" s="654">
        <v>0</v>
      </c>
      <c r="K3127" s="654">
        <v>0</v>
      </c>
      <c r="L3127" s="654">
        <v>0</v>
      </c>
      <c r="M3127" s="654">
        <v>0</v>
      </c>
      <c r="N3127" s="654">
        <v>0</v>
      </c>
    </row>
    <row r="3128" spans="1:14" x14ac:dyDescent="0.15">
      <c r="B3128"/>
      <c r="D3128" t="s">
        <v>1513</v>
      </c>
      <c r="H3128" s="654">
        <v>0</v>
      </c>
      <c r="I3128" s="654">
        <v>0</v>
      </c>
      <c r="J3128" s="654">
        <v>0</v>
      </c>
      <c r="K3128" s="654">
        <v>0</v>
      </c>
      <c r="L3128" s="654">
        <v>0</v>
      </c>
      <c r="M3128" s="654">
        <v>0</v>
      </c>
      <c r="N3128" s="654">
        <v>0</v>
      </c>
    </row>
    <row r="3129" spans="1:14" x14ac:dyDescent="0.15">
      <c r="B3129"/>
      <c r="C3129" t="s">
        <v>854</v>
      </c>
      <c r="H3129" s="654">
        <v>1015424</v>
      </c>
      <c r="I3129" s="654">
        <v>210960</v>
      </c>
      <c r="J3129" s="654">
        <v>1226384</v>
      </c>
      <c r="K3129" s="654">
        <v>1226384</v>
      </c>
      <c r="L3129" s="654">
        <v>0</v>
      </c>
      <c r="M3129" s="654">
        <v>0</v>
      </c>
      <c r="N3129" s="654">
        <v>0</v>
      </c>
    </row>
    <row r="3130" spans="1:14" x14ac:dyDescent="0.15">
      <c r="A3130" s="653" t="s">
        <v>1514</v>
      </c>
      <c r="B3130"/>
      <c r="H3130" s="654">
        <v>36277719</v>
      </c>
      <c r="I3130" s="654">
        <v>-744803</v>
      </c>
      <c r="J3130" s="654">
        <v>35532916</v>
      </c>
      <c r="K3130" s="654">
        <v>35532916</v>
      </c>
      <c r="L3130" s="654">
        <v>0</v>
      </c>
      <c r="M3130" s="654">
        <v>199052.3</v>
      </c>
      <c r="N3130" s="654">
        <v>3887180</v>
      </c>
    </row>
    <row r="3131" spans="1:14" x14ac:dyDescent="0.15">
      <c r="A3131" s="653">
        <v>43525</v>
      </c>
      <c r="B3131" t="s">
        <v>626</v>
      </c>
      <c r="C3131" t="s">
        <v>849</v>
      </c>
      <c r="D3131" t="s">
        <v>626</v>
      </c>
      <c r="E3131" t="s">
        <v>378</v>
      </c>
      <c r="F3131" t="s">
        <v>626</v>
      </c>
      <c r="G3131" t="s">
        <v>600</v>
      </c>
      <c r="H3131" s="654">
        <v>8995720</v>
      </c>
      <c r="I3131" s="654">
        <v>-127383</v>
      </c>
      <c r="J3131" s="654">
        <v>8868337</v>
      </c>
      <c r="K3131" s="654">
        <v>8868337</v>
      </c>
      <c r="L3131" s="654">
        <v>0</v>
      </c>
      <c r="M3131" s="654">
        <v>152121</v>
      </c>
      <c r="N3131" s="654">
        <v>1328201</v>
      </c>
    </row>
    <row r="3132" spans="1:14" x14ac:dyDescent="0.15">
      <c r="B3132"/>
      <c r="F3132" t="s">
        <v>733</v>
      </c>
      <c r="H3132" s="654">
        <v>8995720</v>
      </c>
      <c r="I3132" s="654">
        <v>-127383</v>
      </c>
      <c r="J3132" s="654">
        <v>8868337</v>
      </c>
      <c r="K3132" s="654">
        <v>8868337</v>
      </c>
      <c r="L3132" s="654">
        <v>0</v>
      </c>
      <c r="M3132" s="654">
        <v>152121</v>
      </c>
      <c r="N3132" s="654">
        <v>1328201</v>
      </c>
    </row>
    <row r="3133" spans="1:14" x14ac:dyDescent="0.15">
      <c r="B3133"/>
      <c r="F3133" t="s">
        <v>627</v>
      </c>
      <c r="G3133" t="s">
        <v>599</v>
      </c>
      <c r="H3133" s="654">
        <v>2039432</v>
      </c>
      <c r="I3133" s="654">
        <v>-50413</v>
      </c>
      <c r="J3133" s="654">
        <v>1989019</v>
      </c>
      <c r="K3133" s="654">
        <v>1989019</v>
      </c>
      <c r="L3133" s="654">
        <v>0</v>
      </c>
      <c r="M3133" s="654">
        <v>0</v>
      </c>
      <c r="N3133" s="654">
        <v>424882</v>
      </c>
    </row>
    <row r="3134" spans="1:14" x14ac:dyDescent="0.15">
      <c r="B3134"/>
      <c r="F3134" t="s">
        <v>734</v>
      </c>
      <c r="H3134" s="654">
        <v>2039432</v>
      </c>
      <c r="I3134" s="654">
        <v>-50413</v>
      </c>
      <c r="J3134" s="654">
        <v>1989019</v>
      </c>
      <c r="K3134" s="654">
        <v>1989019</v>
      </c>
      <c r="L3134" s="654">
        <v>0</v>
      </c>
      <c r="M3134" s="654">
        <v>0</v>
      </c>
      <c r="N3134" s="654">
        <v>424882</v>
      </c>
    </row>
    <row r="3135" spans="1:14" x14ac:dyDescent="0.15">
      <c r="B3135"/>
      <c r="F3135" t="s">
        <v>628</v>
      </c>
      <c r="G3135" t="s">
        <v>598</v>
      </c>
      <c r="H3135" s="654">
        <v>807053</v>
      </c>
      <c r="I3135" s="654">
        <v>0</v>
      </c>
      <c r="J3135" s="654">
        <v>807053</v>
      </c>
      <c r="K3135" s="654">
        <v>807053</v>
      </c>
      <c r="L3135" s="654">
        <v>0</v>
      </c>
      <c r="M3135" s="654">
        <v>0</v>
      </c>
      <c r="N3135" s="654">
        <v>0</v>
      </c>
    </row>
    <row r="3136" spans="1:14" x14ac:dyDescent="0.15">
      <c r="B3136"/>
      <c r="F3136" t="s">
        <v>735</v>
      </c>
      <c r="H3136" s="654">
        <v>807053</v>
      </c>
      <c r="I3136" s="654">
        <v>0</v>
      </c>
      <c r="J3136" s="654">
        <v>807053</v>
      </c>
      <c r="K3136" s="654">
        <v>807053</v>
      </c>
      <c r="L3136" s="654">
        <v>0</v>
      </c>
      <c r="M3136" s="654">
        <v>0</v>
      </c>
      <c r="N3136" s="654">
        <v>0</v>
      </c>
    </row>
    <row r="3137" spans="2:14" x14ac:dyDescent="0.15">
      <c r="B3137"/>
      <c r="E3137" t="s">
        <v>769</v>
      </c>
      <c r="H3137" s="654">
        <v>11842205</v>
      </c>
      <c r="I3137" s="654">
        <v>-177796</v>
      </c>
      <c r="J3137" s="654">
        <v>11664409</v>
      </c>
      <c r="K3137" s="654">
        <v>11664409</v>
      </c>
      <c r="L3137" s="654">
        <v>0</v>
      </c>
      <c r="M3137" s="654">
        <v>152121</v>
      </c>
      <c r="N3137" s="654">
        <v>1753083</v>
      </c>
    </row>
    <row r="3138" spans="2:14" x14ac:dyDescent="0.15">
      <c r="B3138"/>
      <c r="D3138" t="s">
        <v>733</v>
      </c>
      <c r="H3138" s="654">
        <v>11842205</v>
      </c>
      <c r="I3138" s="654">
        <v>-177796</v>
      </c>
      <c r="J3138" s="654">
        <v>11664409</v>
      </c>
      <c r="K3138" s="654">
        <v>11664409</v>
      </c>
      <c r="L3138" s="654">
        <v>0</v>
      </c>
      <c r="M3138" s="654">
        <v>152121</v>
      </c>
      <c r="N3138" s="654">
        <v>1753083</v>
      </c>
    </row>
    <row r="3139" spans="2:14" x14ac:dyDescent="0.15">
      <c r="B3139"/>
      <c r="D3139" t="s">
        <v>627</v>
      </c>
      <c r="E3139" t="s">
        <v>379</v>
      </c>
      <c r="F3139" t="s">
        <v>626</v>
      </c>
      <c r="G3139" t="s">
        <v>600</v>
      </c>
      <c r="H3139" s="654">
        <v>3999456</v>
      </c>
      <c r="I3139" s="654">
        <v>-5436</v>
      </c>
      <c r="J3139" s="654">
        <v>3994020</v>
      </c>
      <c r="K3139" s="654">
        <v>3994020</v>
      </c>
      <c r="L3139" s="654">
        <v>0</v>
      </c>
      <c r="M3139" s="654">
        <v>336938</v>
      </c>
      <c r="N3139" s="654">
        <v>373732</v>
      </c>
    </row>
    <row r="3140" spans="2:14" x14ac:dyDescent="0.15">
      <c r="B3140"/>
      <c r="F3140" t="s">
        <v>733</v>
      </c>
      <c r="H3140" s="654">
        <v>3999456</v>
      </c>
      <c r="I3140" s="654">
        <v>-5436</v>
      </c>
      <c r="J3140" s="654">
        <v>3994020</v>
      </c>
      <c r="K3140" s="654">
        <v>3994020</v>
      </c>
      <c r="L3140" s="654">
        <v>0</v>
      </c>
      <c r="M3140" s="654">
        <v>336938</v>
      </c>
      <c r="N3140" s="654">
        <v>373732</v>
      </c>
    </row>
    <row r="3141" spans="2:14" x14ac:dyDescent="0.15">
      <c r="B3141"/>
      <c r="F3141" t="s">
        <v>627</v>
      </c>
      <c r="G3141" t="s">
        <v>599</v>
      </c>
      <c r="H3141" s="654">
        <v>877364</v>
      </c>
      <c r="I3141" s="654">
        <v>-72920</v>
      </c>
      <c r="J3141" s="654">
        <v>804444</v>
      </c>
      <c r="K3141" s="654">
        <v>804444</v>
      </c>
      <c r="L3141" s="654">
        <v>0</v>
      </c>
      <c r="M3141" s="654">
        <v>105294</v>
      </c>
      <c r="N3141" s="654">
        <v>223423</v>
      </c>
    </row>
    <row r="3142" spans="2:14" x14ac:dyDescent="0.15">
      <c r="B3142"/>
      <c r="F3142" t="s">
        <v>734</v>
      </c>
      <c r="H3142" s="654">
        <v>877364</v>
      </c>
      <c r="I3142" s="654">
        <v>-72920</v>
      </c>
      <c r="J3142" s="654">
        <v>804444</v>
      </c>
      <c r="K3142" s="654">
        <v>804444</v>
      </c>
      <c r="L3142" s="654">
        <v>0</v>
      </c>
      <c r="M3142" s="654">
        <v>105294</v>
      </c>
      <c r="N3142" s="654">
        <v>223423</v>
      </c>
    </row>
    <row r="3143" spans="2:14" x14ac:dyDescent="0.15">
      <c r="B3143"/>
      <c r="F3143" t="s">
        <v>628</v>
      </c>
      <c r="G3143" t="s">
        <v>598</v>
      </c>
      <c r="H3143" s="654">
        <v>481439</v>
      </c>
      <c r="I3143" s="654">
        <v>0</v>
      </c>
      <c r="J3143" s="654">
        <v>481439</v>
      </c>
      <c r="K3143" s="654">
        <v>481439</v>
      </c>
      <c r="L3143" s="654">
        <v>0</v>
      </c>
      <c r="M3143" s="654">
        <v>11636</v>
      </c>
      <c r="N3143" s="654">
        <v>0</v>
      </c>
    </row>
    <row r="3144" spans="2:14" x14ac:dyDescent="0.15">
      <c r="B3144"/>
      <c r="F3144" t="s">
        <v>735</v>
      </c>
      <c r="H3144" s="654">
        <v>481439</v>
      </c>
      <c r="I3144" s="654">
        <v>0</v>
      </c>
      <c r="J3144" s="654">
        <v>481439</v>
      </c>
      <c r="K3144" s="654">
        <v>481439</v>
      </c>
      <c r="L3144" s="654">
        <v>0</v>
      </c>
      <c r="M3144" s="654">
        <v>11636</v>
      </c>
      <c r="N3144" s="654">
        <v>0</v>
      </c>
    </row>
    <row r="3145" spans="2:14" x14ac:dyDescent="0.15">
      <c r="B3145"/>
      <c r="E3145" t="s">
        <v>770</v>
      </c>
      <c r="H3145" s="654">
        <v>5358259</v>
      </c>
      <c r="I3145" s="654">
        <v>-78356</v>
      </c>
      <c r="J3145" s="654">
        <v>5279903</v>
      </c>
      <c r="K3145" s="654">
        <v>5279903</v>
      </c>
      <c r="L3145" s="654">
        <v>0</v>
      </c>
      <c r="M3145" s="654">
        <v>453868</v>
      </c>
      <c r="N3145" s="654">
        <v>597155</v>
      </c>
    </row>
    <row r="3146" spans="2:14" x14ac:dyDescent="0.15">
      <c r="B3146"/>
      <c r="D3146" t="s">
        <v>734</v>
      </c>
      <c r="H3146" s="654">
        <v>5358259</v>
      </c>
      <c r="I3146" s="654">
        <v>-78356</v>
      </c>
      <c r="J3146" s="654">
        <v>5279903</v>
      </c>
      <c r="K3146" s="654">
        <v>5279903</v>
      </c>
      <c r="L3146" s="654">
        <v>0</v>
      </c>
      <c r="M3146" s="654">
        <v>453868</v>
      </c>
      <c r="N3146" s="654">
        <v>597155</v>
      </c>
    </row>
    <row r="3147" spans="2:14" x14ac:dyDescent="0.15">
      <c r="B3147"/>
      <c r="D3147" t="s">
        <v>628</v>
      </c>
      <c r="E3147" t="s">
        <v>380</v>
      </c>
      <c r="F3147" t="s">
        <v>626</v>
      </c>
      <c r="G3147" t="s">
        <v>600</v>
      </c>
      <c r="H3147" s="654">
        <v>4953746</v>
      </c>
      <c r="I3147" s="654">
        <v>0</v>
      </c>
      <c r="J3147" s="654">
        <v>4953746</v>
      </c>
      <c r="K3147" s="654">
        <v>4953746</v>
      </c>
      <c r="L3147" s="654">
        <v>0</v>
      </c>
      <c r="M3147" s="654">
        <v>144180</v>
      </c>
      <c r="N3147" s="654">
        <v>511438</v>
      </c>
    </row>
    <row r="3148" spans="2:14" x14ac:dyDescent="0.15">
      <c r="B3148"/>
      <c r="F3148" t="s">
        <v>733</v>
      </c>
      <c r="H3148" s="654">
        <v>4953746</v>
      </c>
      <c r="I3148" s="654">
        <v>0</v>
      </c>
      <c r="J3148" s="654">
        <v>4953746</v>
      </c>
      <c r="K3148" s="654">
        <v>4953746</v>
      </c>
      <c r="L3148" s="654">
        <v>0</v>
      </c>
      <c r="M3148" s="654">
        <v>144180</v>
      </c>
      <c r="N3148" s="654">
        <v>511438</v>
      </c>
    </row>
    <row r="3149" spans="2:14" x14ac:dyDescent="0.15">
      <c r="B3149"/>
      <c r="F3149" t="s">
        <v>627</v>
      </c>
      <c r="G3149" t="s">
        <v>599</v>
      </c>
      <c r="H3149" s="654">
        <v>1808198</v>
      </c>
      <c r="I3149" s="654">
        <v>-140162</v>
      </c>
      <c r="J3149" s="654">
        <v>1668036</v>
      </c>
      <c r="K3149" s="654">
        <v>1668036</v>
      </c>
      <c r="L3149" s="654">
        <v>0</v>
      </c>
      <c r="M3149" s="654">
        <v>0</v>
      </c>
      <c r="N3149" s="654">
        <v>387896</v>
      </c>
    </row>
    <row r="3150" spans="2:14" x14ac:dyDescent="0.15">
      <c r="B3150"/>
      <c r="F3150" t="s">
        <v>734</v>
      </c>
      <c r="H3150" s="654">
        <v>1808198</v>
      </c>
      <c r="I3150" s="654">
        <v>-140162</v>
      </c>
      <c r="J3150" s="654">
        <v>1668036</v>
      </c>
      <c r="K3150" s="654">
        <v>1668036</v>
      </c>
      <c r="L3150" s="654">
        <v>0</v>
      </c>
      <c r="M3150" s="654">
        <v>0</v>
      </c>
      <c r="N3150" s="654">
        <v>387896</v>
      </c>
    </row>
    <row r="3151" spans="2:14" x14ac:dyDescent="0.15">
      <c r="B3151"/>
      <c r="E3151" t="s">
        <v>771</v>
      </c>
      <c r="H3151" s="654">
        <v>6761944</v>
      </c>
      <c r="I3151" s="654">
        <v>-140162</v>
      </c>
      <c r="J3151" s="654">
        <v>6621782</v>
      </c>
      <c r="K3151" s="654">
        <v>6621782</v>
      </c>
      <c r="L3151" s="654">
        <v>0</v>
      </c>
      <c r="M3151" s="654">
        <v>144180</v>
      </c>
      <c r="N3151" s="654">
        <v>899334</v>
      </c>
    </row>
    <row r="3152" spans="2:14" x14ac:dyDescent="0.15">
      <c r="B3152"/>
      <c r="D3152" t="s">
        <v>735</v>
      </c>
      <c r="H3152" s="654">
        <v>6761944</v>
      </c>
      <c r="I3152" s="654">
        <v>-140162</v>
      </c>
      <c r="J3152" s="654">
        <v>6621782</v>
      </c>
      <c r="K3152" s="654">
        <v>6621782</v>
      </c>
      <c r="L3152" s="654">
        <v>0</v>
      </c>
      <c r="M3152" s="654">
        <v>144180</v>
      </c>
      <c r="N3152" s="654">
        <v>899334</v>
      </c>
    </row>
    <row r="3153" spans="2:14" x14ac:dyDescent="0.15">
      <c r="B3153"/>
      <c r="D3153" t="s">
        <v>629</v>
      </c>
      <c r="E3153" t="s">
        <v>676</v>
      </c>
      <c r="F3153" t="s">
        <v>629</v>
      </c>
      <c r="G3153" t="s">
        <v>601</v>
      </c>
      <c r="H3153" s="654">
        <v>4596566</v>
      </c>
      <c r="I3153" s="654">
        <v>-66064</v>
      </c>
      <c r="J3153" s="654">
        <v>4530502</v>
      </c>
      <c r="K3153" s="654">
        <v>4530502</v>
      </c>
      <c r="L3153" s="654">
        <v>0</v>
      </c>
      <c r="M3153" s="654">
        <v>0</v>
      </c>
      <c r="N3153" s="654">
        <v>255703</v>
      </c>
    </row>
    <row r="3154" spans="2:14" x14ac:dyDescent="0.15">
      <c r="B3154"/>
      <c r="F3154" t="s">
        <v>736</v>
      </c>
      <c r="H3154" s="654">
        <v>4596566</v>
      </c>
      <c r="I3154" s="654">
        <v>-66064</v>
      </c>
      <c r="J3154" s="654">
        <v>4530502</v>
      </c>
      <c r="K3154" s="654">
        <v>4530502</v>
      </c>
      <c r="L3154" s="654">
        <v>0</v>
      </c>
      <c r="M3154" s="654">
        <v>0</v>
      </c>
      <c r="N3154" s="654">
        <v>255703</v>
      </c>
    </row>
    <row r="3155" spans="2:14" x14ac:dyDescent="0.15">
      <c r="B3155"/>
      <c r="E3155" t="s">
        <v>772</v>
      </c>
      <c r="H3155" s="654">
        <v>4596566</v>
      </c>
      <c r="I3155" s="654">
        <v>-66064</v>
      </c>
      <c r="J3155" s="654">
        <v>4530502</v>
      </c>
      <c r="K3155" s="654">
        <v>4530502</v>
      </c>
      <c r="L3155" s="654">
        <v>0</v>
      </c>
      <c r="M3155" s="654">
        <v>0</v>
      </c>
      <c r="N3155" s="654">
        <v>255703</v>
      </c>
    </row>
    <row r="3156" spans="2:14" x14ac:dyDescent="0.15">
      <c r="B3156"/>
      <c r="D3156" t="s">
        <v>736</v>
      </c>
      <c r="H3156" s="654">
        <v>4596566</v>
      </c>
      <c r="I3156" s="654">
        <v>-66064</v>
      </c>
      <c r="J3156" s="654">
        <v>4530502</v>
      </c>
      <c r="K3156" s="654">
        <v>4530502</v>
      </c>
      <c r="L3156" s="654">
        <v>0</v>
      </c>
      <c r="M3156" s="654">
        <v>0</v>
      </c>
      <c r="N3156" s="654">
        <v>255703</v>
      </c>
    </row>
    <row r="3157" spans="2:14" x14ac:dyDescent="0.15">
      <c r="B3157"/>
      <c r="D3157" t="s">
        <v>567</v>
      </c>
      <c r="E3157" t="s">
        <v>473</v>
      </c>
      <c r="F3157" t="s">
        <v>631</v>
      </c>
      <c r="G3157" t="s">
        <v>596</v>
      </c>
      <c r="H3157" s="654">
        <v>982644</v>
      </c>
      <c r="I3157" s="654">
        <v>0</v>
      </c>
      <c r="J3157" s="654">
        <v>982644</v>
      </c>
      <c r="K3157" s="654">
        <v>982644</v>
      </c>
      <c r="L3157" s="654">
        <v>0</v>
      </c>
      <c r="M3157" s="654">
        <v>0</v>
      </c>
      <c r="N3157" s="654">
        <v>342112</v>
      </c>
    </row>
    <row r="3158" spans="2:14" x14ac:dyDescent="0.15">
      <c r="B3158"/>
      <c r="F3158" t="s">
        <v>737</v>
      </c>
      <c r="H3158" s="654">
        <v>982644</v>
      </c>
      <c r="I3158" s="654">
        <v>0</v>
      </c>
      <c r="J3158" s="654">
        <v>982644</v>
      </c>
      <c r="K3158" s="654">
        <v>982644</v>
      </c>
      <c r="L3158" s="654">
        <v>0</v>
      </c>
      <c r="M3158" s="654">
        <v>0</v>
      </c>
      <c r="N3158" s="654">
        <v>342112</v>
      </c>
    </row>
    <row r="3159" spans="2:14" x14ac:dyDescent="0.15">
      <c r="B3159"/>
      <c r="E3159" t="s">
        <v>773</v>
      </c>
      <c r="H3159" s="654">
        <v>982644</v>
      </c>
      <c r="I3159" s="654">
        <v>0</v>
      </c>
      <c r="J3159" s="654">
        <v>982644</v>
      </c>
      <c r="K3159" s="654">
        <v>982644</v>
      </c>
      <c r="L3159" s="654">
        <v>0</v>
      </c>
      <c r="M3159" s="654">
        <v>0</v>
      </c>
      <c r="N3159" s="654">
        <v>342112</v>
      </c>
    </row>
    <row r="3160" spans="2:14" x14ac:dyDescent="0.15">
      <c r="B3160"/>
      <c r="D3160" t="s">
        <v>739</v>
      </c>
      <c r="H3160" s="654">
        <v>982644</v>
      </c>
      <c r="I3160" s="654">
        <v>0</v>
      </c>
      <c r="J3160" s="654">
        <v>982644</v>
      </c>
      <c r="K3160" s="654">
        <v>982644</v>
      </c>
      <c r="L3160" s="654">
        <v>0</v>
      </c>
      <c r="M3160" s="654">
        <v>0</v>
      </c>
      <c r="N3160" s="654">
        <v>342112</v>
      </c>
    </row>
    <row r="3161" spans="2:14" x14ac:dyDescent="0.15">
      <c r="B3161"/>
      <c r="D3161" t="s">
        <v>568</v>
      </c>
      <c r="E3161" t="s">
        <v>474</v>
      </c>
      <c r="F3161" t="s">
        <v>631</v>
      </c>
      <c r="G3161" t="s">
        <v>596</v>
      </c>
      <c r="H3161" s="654">
        <v>915793</v>
      </c>
      <c r="I3161" s="654">
        <v>0</v>
      </c>
      <c r="J3161" s="654">
        <v>915793</v>
      </c>
      <c r="K3161" s="654">
        <v>915793</v>
      </c>
      <c r="L3161" s="654">
        <v>0</v>
      </c>
      <c r="M3161" s="654">
        <v>0</v>
      </c>
      <c r="N3161" s="654">
        <v>0</v>
      </c>
    </row>
    <row r="3162" spans="2:14" x14ac:dyDescent="0.15">
      <c r="B3162"/>
      <c r="F3162" t="s">
        <v>737</v>
      </c>
      <c r="H3162" s="654">
        <v>915793</v>
      </c>
      <c r="I3162" s="654">
        <v>0</v>
      </c>
      <c r="J3162" s="654">
        <v>915793</v>
      </c>
      <c r="K3162" s="654">
        <v>915793</v>
      </c>
      <c r="L3162" s="654">
        <v>0</v>
      </c>
      <c r="M3162" s="654">
        <v>0</v>
      </c>
      <c r="N3162" s="654">
        <v>0</v>
      </c>
    </row>
    <row r="3163" spans="2:14" x14ac:dyDescent="0.15">
      <c r="B3163"/>
      <c r="E3163" t="s">
        <v>774</v>
      </c>
      <c r="H3163" s="654">
        <v>915793</v>
      </c>
      <c r="I3163" s="654">
        <v>0</v>
      </c>
      <c r="J3163" s="654">
        <v>915793</v>
      </c>
      <c r="K3163" s="654">
        <v>915793</v>
      </c>
      <c r="L3163" s="654">
        <v>0</v>
      </c>
      <c r="M3163" s="654">
        <v>0</v>
      </c>
      <c r="N3163" s="654">
        <v>0</v>
      </c>
    </row>
    <row r="3164" spans="2:14" x14ac:dyDescent="0.15">
      <c r="B3164"/>
      <c r="D3164" t="s">
        <v>740</v>
      </c>
      <c r="H3164" s="654">
        <v>915793</v>
      </c>
      <c r="I3164" s="654">
        <v>0</v>
      </c>
      <c r="J3164" s="654">
        <v>915793</v>
      </c>
      <c r="K3164" s="654">
        <v>915793</v>
      </c>
      <c r="L3164" s="654">
        <v>0</v>
      </c>
      <c r="M3164" s="654">
        <v>0</v>
      </c>
      <c r="N3164" s="654">
        <v>0</v>
      </c>
    </row>
    <row r="3165" spans="2:14" x14ac:dyDescent="0.15">
      <c r="B3165"/>
      <c r="D3165" t="s">
        <v>582</v>
      </c>
      <c r="E3165" t="s">
        <v>384</v>
      </c>
      <c r="F3165" t="s">
        <v>631</v>
      </c>
      <c r="G3165" t="s">
        <v>596</v>
      </c>
      <c r="H3165" s="654">
        <v>1927185</v>
      </c>
      <c r="I3165" s="654">
        <v>-235817</v>
      </c>
      <c r="J3165" s="654">
        <v>1691368</v>
      </c>
      <c r="K3165" s="654">
        <v>1691368</v>
      </c>
      <c r="L3165" s="654">
        <v>0</v>
      </c>
      <c r="M3165" s="654">
        <v>0</v>
      </c>
      <c r="N3165" s="654">
        <v>0</v>
      </c>
    </row>
    <row r="3166" spans="2:14" x14ac:dyDescent="0.15">
      <c r="B3166"/>
      <c r="F3166" t="s">
        <v>737</v>
      </c>
      <c r="H3166" s="654">
        <v>1927185</v>
      </c>
      <c r="I3166" s="654">
        <v>-235817</v>
      </c>
      <c r="J3166" s="654">
        <v>1691368</v>
      </c>
      <c r="K3166" s="654">
        <v>1691368</v>
      </c>
      <c r="L3166" s="654">
        <v>0</v>
      </c>
      <c r="M3166" s="654">
        <v>0</v>
      </c>
      <c r="N3166" s="654">
        <v>0</v>
      </c>
    </row>
    <row r="3167" spans="2:14" x14ac:dyDescent="0.15">
      <c r="B3167"/>
      <c r="E3167" t="s">
        <v>778</v>
      </c>
      <c r="H3167" s="654">
        <v>1927185</v>
      </c>
      <c r="I3167" s="654">
        <v>-235817</v>
      </c>
      <c r="J3167" s="654">
        <v>1691368</v>
      </c>
      <c r="K3167" s="654">
        <v>1691368</v>
      </c>
      <c r="L3167" s="654">
        <v>0</v>
      </c>
      <c r="M3167" s="654">
        <v>0</v>
      </c>
      <c r="N3167" s="654">
        <v>0</v>
      </c>
    </row>
    <row r="3168" spans="2:14" x14ac:dyDescent="0.15">
      <c r="B3168"/>
      <c r="D3168" t="s">
        <v>743</v>
      </c>
      <c r="H3168" s="654">
        <v>1927185</v>
      </c>
      <c r="I3168" s="654">
        <v>-235817</v>
      </c>
      <c r="J3168" s="654">
        <v>1691368</v>
      </c>
      <c r="K3168" s="654">
        <v>1691368</v>
      </c>
      <c r="L3168" s="654">
        <v>0</v>
      </c>
      <c r="M3168" s="654">
        <v>0</v>
      </c>
      <c r="N3168" s="654">
        <v>0</v>
      </c>
    </row>
    <row r="3169" spans="2:14" x14ac:dyDescent="0.15">
      <c r="B3169"/>
      <c r="D3169" t="s">
        <v>631</v>
      </c>
      <c r="E3169" t="s">
        <v>381</v>
      </c>
      <c r="F3169" t="s">
        <v>626</v>
      </c>
      <c r="G3169" t="s">
        <v>600</v>
      </c>
      <c r="H3169" s="654">
        <v>1715602</v>
      </c>
      <c r="I3169" s="654">
        <v>0</v>
      </c>
      <c r="J3169" s="654">
        <v>1715602</v>
      </c>
      <c r="K3169" s="654">
        <v>1715602</v>
      </c>
      <c r="L3169" s="654">
        <v>0</v>
      </c>
      <c r="M3169" s="654">
        <v>0</v>
      </c>
      <c r="N3169" s="654">
        <v>0</v>
      </c>
    </row>
    <row r="3170" spans="2:14" x14ac:dyDescent="0.15">
      <c r="B3170"/>
      <c r="F3170" t="s">
        <v>733</v>
      </c>
      <c r="H3170" s="654">
        <v>1715602</v>
      </c>
      <c r="I3170" s="654">
        <v>0</v>
      </c>
      <c r="J3170" s="654">
        <v>1715602</v>
      </c>
      <c r="K3170" s="654">
        <v>1715602</v>
      </c>
      <c r="L3170" s="654">
        <v>0</v>
      </c>
      <c r="M3170" s="654">
        <v>0</v>
      </c>
      <c r="N3170" s="654">
        <v>0</v>
      </c>
    </row>
    <row r="3171" spans="2:14" x14ac:dyDescent="0.15">
      <c r="B3171"/>
      <c r="E3171" t="s">
        <v>776</v>
      </c>
      <c r="H3171" s="654">
        <v>1715602</v>
      </c>
      <c r="I3171" s="654">
        <v>0</v>
      </c>
      <c r="J3171" s="654">
        <v>1715602</v>
      </c>
      <c r="K3171" s="654">
        <v>1715602</v>
      </c>
      <c r="L3171" s="654">
        <v>0</v>
      </c>
      <c r="M3171" s="654">
        <v>0</v>
      </c>
      <c r="N3171" s="654">
        <v>0</v>
      </c>
    </row>
    <row r="3172" spans="2:14" x14ac:dyDescent="0.15">
      <c r="B3172"/>
      <c r="D3172" t="s">
        <v>737</v>
      </c>
      <c r="H3172" s="654">
        <v>1715602</v>
      </c>
      <c r="I3172" s="654">
        <v>0</v>
      </c>
      <c r="J3172" s="654">
        <v>1715602</v>
      </c>
      <c r="K3172" s="654">
        <v>1715602</v>
      </c>
      <c r="L3172" s="654">
        <v>0</v>
      </c>
      <c r="M3172" s="654">
        <v>0</v>
      </c>
      <c r="N3172" s="654">
        <v>0</v>
      </c>
    </row>
    <row r="3173" spans="2:14" x14ac:dyDescent="0.15">
      <c r="B3173"/>
      <c r="D3173" t="s">
        <v>1201</v>
      </c>
      <c r="E3173" t="s">
        <v>1199</v>
      </c>
      <c r="F3173" t="s">
        <v>626</v>
      </c>
      <c r="G3173" t="s">
        <v>600</v>
      </c>
      <c r="H3173" s="654">
        <v>1003858</v>
      </c>
      <c r="I3173" s="654">
        <v>-43017</v>
      </c>
      <c r="J3173" s="654">
        <v>960841</v>
      </c>
      <c r="K3173" s="654">
        <v>960841</v>
      </c>
      <c r="L3173" s="654">
        <v>0</v>
      </c>
      <c r="M3173" s="654">
        <v>0</v>
      </c>
      <c r="N3173" s="654">
        <v>74624</v>
      </c>
    </row>
    <row r="3174" spans="2:14" x14ac:dyDescent="0.15">
      <c r="B3174"/>
      <c r="F3174" t="s">
        <v>733</v>
      </c>
      <c r="H3174" s="654">
        <v>1003858</v>
      </c>
      <c r="I3174" s="654">
        <v>-43017</v>
      </c>
      <c r="J3174" s="654">
        <v>960841</v>
      </c>
      <c r="K3174" s="654">
        <v>960841</v>
      </c>
      <c r="L3174" s="654">
        <v>0</v>
      </c>
      <c r="M3174" s="654">
        <v>0</v>
      </c>
      <c r="N3174" s="654">
        <v>74624</v>
      </c>
    </row>
    <row r="3175" spans="2:14" x14ac:dyDescent="0.15">
      <c r="B3175"/>
      <c r="F3175" t="s">
        <v>627</v>
      </c>
      <c r="G3175" t="s">
        <v>599</v>
      </c>
      <c r="H3175" s="654">
        <v>408589</v>
      </c>
      <c r="I3175" s="654">
        <v>0</v>
      </c>
      <c r="J3175" s="654">
        <v>408589</v>
      </c>
      <c r="K3175" s="654">
        <v>408589</v>
      </c>
      <c r="L3175" s="654">
        <v>0</v>
      </c>
      <c r="M3175" s="654">
        <v>0</v>
      </c>
      <c r="N3175" s="654">
        <v>95009</v>
      </c>
    </row>
    <row r="3176" spans="2:14" x14ac:dyDescent="0.15">
      <c r="B3176"/>
      <c r="F3176" t="s">
        <v>734</v>
      </c>
      <c r="H3176" s="654">
        <v>408589</v>
      </c>
      <c r="I3176" s="654">
        <v>0</v>
      </c>
      <c r="J3176" s="654">
        <v>408589</v>
      </c>
      <c r="K3176" s="654">
        <v>408589</v>
      </c>
      <c r="L3176" s="654">
        <v>0</v>
      </c>
      <c r="M3176" s="654">
        <v>0</v>
      </c>
      <c r="N3176" s="654">
        <v>95009</v>
      </c>
    </row>
    <row r="3177" spans="2:14" x14ac:dyDescent="0.15">
      <c r="B3177"/>
      <c r="E3177" t="s">
        <v>1379</v>
      </c>
      <c r="H3177" s="654">
        <v>1412447</v>
      </c>
      <c r="I3177" s="654">
        <v>-43017</v>
      </c>
      <c r="J3177" s="654">
        <v>1369430</v>
      </c>
      <c r="K3177" s="654">
        <v>1369430</v>
      </c>
      <c r="L3177" s="654">
        <v>0</v>
      </c>
      <c r="M3177" s="654">
        <v>0</v>
      </c>
      <c r="N3177" s="654">
        <v>169633</v>
      </c>
    </row>
    <row r="3178" spans="2:14" x14ac:dyDescent="0.15">
      <c r="B3178"/>
      <c r="D3178" t="s">
        <v>1380</v>
      </c>
      <c r="H3178" s="654">
        <v>1412447</v>
      </c>
      <c r="I3178" s="654">
        <v>-43017</v>
      </c>
      <c r="J3178" s="654">
        <v>1369430</v>
      </c>
      <c r="K3178" s="654">
        <v>1369430</v>
      </c>
      <c r="L3178" s="654">
        <v>0</v>
      </c>
      <c r="M3178" s="654">
        <v>0</v>
      </c>
      <c r="N3178" s="654">
        <v>169633</v>
      </c>
    </row>
    <row r="3179" spans="2:14" x14ac:dyDescent="0.15">
      <c r="B3179"/>
      <c r="D3179" t="s">
        <v>1386</v>
      </c>
      <c r="E3179" t="s">
        <v>1384</v>
      </c>
      <c r="F3179" t="s">
        <v>631</v>
      </c>
      <c r="G3179" t="s">
        <v>596</v>
      </c>
      <c r="H3179" s="654">
        <v>1605823</v>
      </c>
      <c r="I3179" s="654">
        <v>-235817</v>
      </c>
      <c r="J3179" s="654">
        <v>1370006</v>
      </c>
      <c r="K3179" s="654">
        <v>1370006</v>
      </c>
      <c r="L3179" s="654">
        <v>0</v>
      </c>
      <c r="M3179" s="654">
        <v>0</v>
      </c>
      <c r="N3179" s="654">
        <v>0</v>
      </c>
    </row>
    <row r="3180" spans="2:14" x14ac:dyDescent="0.15">
      <c r="B3180"/>
      <c r="F3180" t="s">
        <v>737</v>
      </c>
      <c r="H3180" s="654">
        <v>1605823</v>
      </c>
      <c r="I3180" s="654">
        <v>-235817</v>
      </c>
      <c r="J3180" s="654">
        <v>1370006</v>
      </c>
      <c r="K3180" s="654">
        <v>1370006</v>
      </c>
      <c r="L3180" s="654">
        <v>0</v>
      </c>
      <c r="M3180" s="654">
        <v>0</v>
      </c>
      <c r="N3180" s="654">
        <v>0</v>
      </c>
    </row>
    <row r="3181" spans="2:14" x14ac:dyDescent="0.15">
      <c r="B3181"/>
      <c r="E3181" t="s">
        <v>1512</v>
      </c>
      <c r="H3181" s="654">
        <v>1605823</v>
      </c>
      <c r="I3181" s="654">
        <v>-235817</v>
      </c>
      <c r="J3181" s="654">
        <v>1370006</v>
      </c>
      <c r="K3181" s="654">
        <v>1370006</v>
      </c>
      <c r="L3181" s="654">
        <v>0</v>
      </c>
      <c r="M3181" s="654">
        <v>0</v>
      </c>
      <c r="N3181" s="654">
        <v>0</v>
      </c>
    </row>
    <row r="3182" spans="2:14" x14ac:dyDescent="0.15">
      <c r="B3182"/>
      <c r="D3182" t="s">
        <v>1513</v>
      </c>
      <c r="H3182" s="654">
        <v>1605823</v>
      </c>
      <c r="I3182" s="654">
        <v>-235817</v>
      </c>
      <c r="J3182" s="654">
        <v>1370006</v>
      </c>
      <c r="K3182" s="654">
        <v>1370006</v>
      </c>
      <c r="L3182" s="654">
        <v>0</v>
      </c>
      <c r="M3182" s="654">
        <v>0</v>
      </c>
      <c r="N3182" s="654">
        <v>0</v>
      </c>
    </row>
    <row r="3183" spans="2:14" x14ac:dyDescent="0.15">
      <c r="B3183"/>
      <c r="C3183" t="s">
        <v>853</v>
      </c>
      <c r="H3183" s="654">
        <v>37118468</v>
      </c>
      <c r="I3183" s="654">
        <v>-977029</v>
      </c>
      <c r="J3183" s="654">
        <v>36141439</v>
      </c>
      <c r="K3183" s="654">
        <v>36141439</v>
      </c>
      <c r="L3183" s="654">
        <v>0</v>
      </c>
      <c r="M3183" s="654">
        <v>750169</v>
      </c>
      <c r="N3183" s="654">
        <v>4017020</v>
      </c>
    </row>
    <row r="3184" spans="2:14" x14ac:dyDescent="0.15">
      <c r="B3184" t="s">
        <v>627</v>
      </c>
      <c r="C3184" t="s">
        <v>847</v>
      </c>
      <c r="D3184" t="s">
        <v>626</v>
      </c>
      <c r="E3184" t="s">
        <v>378</v>
      </c>
      <c r="F3184" t="s">
        <v>626</v>
      </c>
      <c r="G3184" t="s">
        <v>600</v>
      </c>
      <c r="H3184" s="654">
        <v>306337</v>
      </c>
      <c r="I3184" s="654">
        <v>133717</v>
      </c>
      <c r="J3184" s="654">
        <v>440054</v>
      </c>
      <c r="K3184" s="654">
        <v>440054</v>
      </c>
      <c r="L3184" s="654">
        <v>0</v>
      </c>
      <c r="M3184" s="654">
        <v>0</v>
      </c>
      <c r="N3184" s="654">
        <v>0</v>
      </c>
    </row>
    <row r="3185" spans="2:14" x14ac:dyDescent="0.15">
      <c r="B3185"/>
      <c r="F3185" t="s">
        <v>733</v>
      </c>
      <c r="H3185" s="654">
        <v>306337</v>
      </c>
      <c r="I3185" s="654">
        <v>133717</v>
      </c>
      <c r="J3185" s="654">
        <v>440054</v>
      </c>
      <c r="K3185" s="654">
        <v>440054</v>
      </c>
      <c r="L3185" s="654">
        <v>0</v>
      </c>
      <c r="M3185" s="654">
        <v>0</v>
      </c>
      <c r="N3185" s="654">
        <v>0</v>
      </c>
    </row>
    <row r="3186" spans="2:14" x14ac:dyDescent="0.15">
      <c r="B3186"/>
      <c r="F3186" t="s">
        <v>627</v>
      </c>
      <c r="G3186" t="s">
        <v>599</v>
      </c>
      <c r="H3186" s="654">
        <v>14617</v>
      </c>
      <c r="I3186" s="654">
        <v>0</v>
      </c>
      <c r="J3186" s="654">
        <v>14617</v>
      </c>
      <c r="K3186" s="654">
        <v>14617</v>
      </c>
      <c r="L3186" s="654">
        <v>0</v>
      </c>
      <c r="M3186" s="654">
        <v>0</v>
      </c>
      <c r="N3186" s="654">
        <v>0</v>
      </c>
    </row>
    <row r="3187" spans="2:14" x14ac:dyDescent="0.15">
      <c r="B3187"/>
      <c r="F3187" t="s">
        <v>734</v>
      </c>
      <c r="H3187" s="654">
        <v>14617</v>
      </c>
      <c r="I3187" s="654">
        <v>0</v>
      </c>
      <c r="J3187" s="654">
        <v>14617</v>
      </c>
      <c r="K3187" s="654">
        <v>14617</v>
      </c>
      <c r="L3187" s="654">
        <v>0</v>
      </c>
      <c r="M3187" s="654">
        <v>0</v>
      </c>
      <c r="N3187" s="654">
        <v>0</v>
      </c>
    </row>
    <row r="3188" spans="2:14" x14ac:dyDescent="0.15">
      <c r="B3188"/>
      <c r="F3188" t="s">
        <v>628</v>
      </c>
      <c r="G3188" t="s">
        <v>598</v>
      </c>
      <c r="H3188" s="654">
        <v>32324</v>
      </c>
      <c r="I3188" s="654">
        <v>0</v>
      </c>
      <c r="J3188" s="654">
        <v>32324</v>
      </c>
      <c r="K3188" s="654">
        <v>32324</v>
      </c>
      <c r="L3188" s="654">
        <v>0</v>
      </c>
      <c r="M3188" s="654">
        <v>0</v>
      </c>
      <c r="N3188" s="654">
        <v>0</v>
      </c>
    </row>
    <row r="3189" spans="2:14" x14ac:dyDescent="0.15">
      <c r="B3189"/>
      <c r="F3189" t="s">
        <v>735</v>
      </c>
      <c r="H3189" s="654">
        <v>32324</v>
      </c>
      <c r="I3189" s="654">
        <v>0</v>
      </c>
      <c r="J3189" s="654">
        <v>32324</v>
      </c>
      <c r="K3189" s="654">
        <v>32324</v>
      </c>
      <c r="L3189" s="654">
        <v>0</v>
      </c>
      <c r="M3189" s="654">
        <v>0</v>
      </c>
      <c r="N3189" s="654">
        <v>0</v>
      </c>
    </row>
    <row r="3190" spans="2:14" x14ac:dyDescent="0.15">
      <c r="B3190"/>
      <c r="E3190" t="s">
        <v>769</v>
      </c>
      <c r="H3190" s="654">
        <v>353278</v>
      </c>
      <c r="I3190" s="654">
        <v>133717</v>
      </c>
      <c r="J3190" s="654">
        <v>486995</v>
      </c>
      <c r="K3190" s="654">
        <v>486995</v>
      </c>
      <c r="L3190" s="654">
        <v>0</v>
      </c>
      <c r="M3190" s="654">
        <v>0</v>
      </c>
      <c r="N3190" s="654">
        <v>0</v>
      </c>
    </row>
    <row r="3191" spans="2:14" x14ac:dyDescent="0.15">
      <c r="B3191"/>
      <c r="D3191" t="s">
        <v>733</v>
      </c>
      <c r="H3191" s="654">
        <v>353278</v>
      </c>
      <c r="I3191" s="654">
        <v>133717</v>
      </c>
      <c r="J3191" s="654">
        <v>486995</v>
      </c>
      <c r="K3191" s="654">
        <v>486995</v>
      </c>
      <c r="L3191" s="654">
        <v>0</v>
      </c>
      <c r="M3191" s="654">
        <v>0</v>
      </c>
      <c r="N3191" s="654">
        <v>0</v>
      </c>
    </row>
    <row r="3192" spans="2:14" x14ac:dyDescent="0.15">
      <c r="B3192"/>
      <c r="D3192" t="s">
        <v>627</v>
      </c>
      <c r="E3192" t="s">
        <v>379</v>
      </c>
      <c r="F3192" t="s">
        <v>626</v>
      </c>
      <c r="G3192" t="s">
        <v>600</v>
      </c>
      <c r="H3192" s="654">
        <v>26055</v>
      </c>
      <c r="I3192" s="654">
        <v>-371810</v>
      </c>
      <c r="J3192" s="654">
        <v>-345755</v>
      </c>
      <c r="K3192" s="654">
        <v>-345755</v>
      </c>
      <c r="L3192" s="654">
        <v>0</v>
      </c>
      <c r="M3192" s="654">
        <v>0</v>
      </c>
      <c r="N3192" s="654">
        <v>0</v>
      </c>
    </row>
    <row r="3193" spans="2:14" x14ac:dyDescent="0.15">
      <c r="B3193"/>
      <c r="F3193" t="s">
        <v>733</v>
      </c>
      <c r="H3193" s="654">
        <v>26055</v>
      </c>
      <c r="I3193" s="654">
        <v>-371810</v>
      </c>
      <c r="J3193" s="654">
        <v>-345755</v>
      </c>
      <c r="K3193" s="654">
        <v>-345755</v>
      </c>
      <c r="L3193" s="654">
        <v>0</v>
      </c>
      <c r="M3193" s="654">
        <v>0</v>
      </c>
      <c r="N3193" s="654">
        <v>0</v>
      </c>
    </row>
    <row r="3194" spans="2:14" x14ac:dyDescent="0.15">
      <c r="B3194"/>
      <c r="F3194" t="s">
        <v>627</v>
      </c>
      <c r="G3194" t="s">
        <v>599</v>
      </c>
      <c r="H3194" s="654">
        <v>229986</v>
      </c>
      <c r="I3194" s="654">
        <v>-73520</v>
      </c>
      <c r="J3194" s="654">
        <v>156466</v>
      </c>
      <c r="K3194" s="654">
        <v>156466</v>
      </c>
      <c r="L3194" s="654">
        <v>0</v>
      </c>
      <c r="M3194" s="654">
        <v>0</v>
      </c>
      <c r="N3194" s="654">
        <v>0</v>
      </c>
    </row>
    <row r="3195" spans="2:14" x14ac:dyDescent="0.15">
      <c r="B3195"/>
      <c r="F3195" t="s">
        <v>734</v>
      </c>
      <c r="H3195" s="654">
        <v>229986</v>
      </c>
      <c r="I3195" s="654">
        <v>-73520</v>
      </c>
      <c r="J3195" s="654">
        <v>156466</v>
      </c>
      <c r="K3195" s="654">
        <v>156466</v>
      </c>
      <c r="L3195" s="654">
        <v>0</v>
      </c>
      <c r="M3195" s="654">
        <v>0</v>
      </c>
      <c r="N3195" s="654">
        <v>0</v>
      </c>
    </row>
    <row r="3196" spans="2:14" x14ac:dyDescent="0.15">
      <c r="B3196"/>
      <c r="F3196" t="s">
        <v>628</v>
      </c>
      <c r="G3196" t="s">
        <v>598</v>
      </c>
      <c r="H3196" s="654">
        <v>0</v>
      </c>
      <c r="I3196" s="654">
        <v>0</v>
      </c>
      <c r="J3196" s="654">
        <v>0</v>
      </c>
      <c r="K3196" s="654">
        <v>0</v>
      </c>
      <c r="L3196" s="654">
        <v>0</v>
      </c>
      <c r="M3196" s="654">
        <v>0</v>
      </c>
      <c r="N3196" s="654">
        <v>0</v>
      </c>
    </row>
    <row r="3197" spans="2:14" x14ac:dyDescent="0.15">
      <c r="B3197"/>
      <c r="F3197" t="s">
        <v>735</v>
      </c>
      <c r="H3197" s="654">
        <v>0</v>
      </c>
      <c r="I3197" s="654">
        <v>0</v>
      </c>
      <c r="J3197" s="654">
        <v>0</v>
      </c>
      <c r="K3197" s="654">
        <v>0</v>
      </c>
      <c r="L3197" s="654">
        <v>0</v>
      </c>
      <c r="M3197" s="654">
        <v>0</v>
      </c>
      <c r="N3197" s="654">
        <v>0</v>
      </c>
    </row>
    <row r="3198" spans="2:14" x14ac:dyDescent="0.15">
      <c r="B3198"/>
      <c r="E3198" t="s">
        <v>770</v>
      </c>
      <c r="H3198" s="654">
        <v>256041</v>
      </c>
      <c r="I3198" s="654">
        <v>-445330</v>
      </c>
      <c r="J3198" s="654">
        <v>-189289</v>
      </c>
      <c r="K3198" s="654">
        <v>-189289</v>
      </c>
      <c r="L3198" s="654">
        <v>0</v>
      </c>
      <c r="M3198" s="654">
        <v>0</v>
      </c>
      <c r="N3198" s="654">
        <v>0</v>
      </c>
    </row>
    <row r="3199" spans="2:14" x14ac:dyDescent="0.15">
      <c r="B3199"/>
      <c r="D3199" t="s">
        <v>734</v>
      </c>
      <c r="H3199" s="654">
        <v>256041</v>
      </c>
      <c r="I3199" s="654">
        <v>-445330</v>
      </c>
      <c r="J3199" s="654">
        <v>-189289</v>
      </c>
      <c r="K3199" s="654">
        <v>-189289</v>
      </c>
      <c r="L3199" s="654">
        <v>0</v>
      </c>
      <c r="M3199" s="654">
        <v>0</v>
      </c>
      <c r="N3199" s="654">
        <v>0</v>
      </c>
    </row>
    <row r="3200" spans="2:14" x14ac:dyDescent="0.15">
      <c r="B3200"/>
      <c r="D3200" t="s">
        <v>628</v>
      </c>
      <c r="E3200" t="s">
        <v>380</v>
      </c>
      <c r="F3200" t="s">
        <v>626</v>
      </c>
      <c r="G3200" t="s">
        <v>600</v>
      </c>
      <c r="H3200" s="654">
        <v>82996</v>
      </c>
      <c r="I3200" s="654">
        <v>0</v>
      </c>
      <c r="J3200" s="654">
        <v>82996</v>
      </c>
      <c r="K3200" s="654">
        <v>82996</v>
      </c>
      <c r="L3200" s="654">
        <v>0</v>
      </c>
      <c r="M3200" s="654">
        <v>0</v>
      </c>
      <c r="N3200" s="654">
        <v>0</v>
      </c>
    </row>
    <row r="3201" spans="2:14" x14ac:dyDescent="0.15">
      <c r="B3201"/>
      <c r="F3201" t="s">
        <v>733</v>
      </c>
      <c r="H3201" s="654">
        <v>82996</v>
      </c>
      <c r="I3201" s="654">
        <v>0</v>
      </c>
      <c r="J3201" s="654">
        <v>82996</v>
      </c>
      <c r="K3201" s="654">
        <v>82996</v>
      </c>
      <c r="L3201" s="654">
        <v>0</v>
      </c>
      <c r="M3201" s="654">
        <v>0</v>
      </c>
      <c r="N3201" s="654">
        <v>0</v>
      </c>
    </row>
    <row r="3202" spans="2:14" x14ac:dyDescent="0.15">
      <c r="B3202"/>
      <c r="F3202" t="s">
        <v>627</v>
      </c>
      <c r="G3202" t="s">
        <v>599</v>
      </c>
      <c r="H3202" s="654">
        <v>0</v>
      </c>
      <c r="I3202" s="654">
        <v>0</v>
      </c>
      <c r="J3202" s="654">
        <v>0</v>
      </c>
      <c r="K3202" s="654">
        <v>0</v>
      </c>
      <c r="L3202" s="654">
        <v>0</v>
      </c>
      <c r="M3202" s="654">
        <v>0</v>
      </c>
      <c r="N3202" s="654">
        <v>0</v>
      </c>
    </row>
    <row r="3203" spans="2:14" x14ac:dyDescent="0.15">
      <c r="B3203"/>
      <c r="F3203" t="s">
        <v>734</v>
      </c>
      <c r="H3203" s="654">
        <v>0</v>
      </c>
      <c r="I3203" s="654">
        <v>0</v>
      </c>
      <c r="J3203" s="654">
        <v>0</v>
      </c>
      <c r="K3203" s="654">
        <v>0</v>
      </c>
      <c r="L3203" s="654">
        <v>0</v>
      </c>
      <c r="M3203" s="654">
        <v>0</v>
      </c>
      <c r="N3203" s="654">
        <v>0</v>
      </c>
    </row>
    <row r="3204" spans="2:14" x14ac:dyDescent="0.15">
      <c r="B3204"/>
      <c r="E3204" t="s">
        <v>771</v>
      </c>
      <c r="H3204" s="654">
        <v>82996</v>
      </c>
      <c r="I3204" s="654">
        <v>0</v>
      </c>
      <c r="J3204" s="654">
        <v>82996</v>
      </c>
      <c r="K3204" s="654">
        <v>82996</v>
      </c>
      <c r="L3204" s="654">
        <v>0</v>
      </c>
      <c r="M3204" s="654">
        <v>0</v>
      </c>
      <c r="N3204" s="654">
        <v>0</v>
      </c>
    </row>
    <row r="3205" spans="2:14" x14ac:dyDescent="0.15">
      <c r="B3205"/>
      <c r="D3205" t="s">
        <v>735</v>
      </c>
      <c r="H3205" s="654">
        <v>82996</v>
      </c>
      <c r="I3205" s="654">
        <v>0</v>
      </c>
      <c r="J3205" s="654">
        <v>82996</v>
      </c>
      <c r="K3205" s="654">
        <v>82996</v>
      </c>
      <c r="L3205" s="654">
        <v>0</v>
      </c>
      <c r="M3205" s="654">
        <v>0</v>
      </c>
      <c r="N3205" s="654">
        <v>0</v>
      </c>
    </row>
    <row r="3206" spans="2:14" x14ac:dyDescent="0.15">
      <c r="B3206"/>
      <c r="D3206" t="s">
        <v>629</v>
      </c>
      <c r="E3206" t="s">
        <v>676</v>
      </c>
      <c r="F3206" t="s">
        <v>629</v>
      </c>
      <c r="G3206" t="s">
        <v>601</v>
      </c>
      <c r="H3206" s="654">
        <v>0</v>
      </c>
      <c r="I3206" s="654">
        <v>59481</v>
      </c>
      <c r="J3206" s="654">
        <v>59481</v>
      </c>
      <c r="K3206" s="654">
        <v>59481</v>
      </c>
      <c r="L3206" s="654">
        <v>0</v>
      </c>
      <c r="M3206" s="654">
        <v>0</v>
      </c>
      <c r="N3206" s="654">
        <v>0</v>
      </c>
    </row>
    <row r="3207" spans="2:14" x14ac:dyDescent="0.15">
      <c r="B3207"/>
      <c r="F3207" t="s">
        <v>736</v>
      </c>
      <c r="H3207" s="654">
        <v>0</v>
      </c>
      <c r="I3207" s="654">
        <v>59481</v>
      </c>
      <c r="J3207" s="654">
        <v>59481</v>
      </c>
      <c r="K3207" s="654">
        <v>59481</v>
      </c>
      <c r="L3207" s="654">
        <v>0</v>
      </c>
      <c r="M3207" s="654">
        <v>0</v>
      </c>
      <c r="N3207" s="654">
        <v>0</v>
      </c>
    </row>
    <row r="3208" spans="2:14" x14ac:dyDescent="0.15">
      <c r="B3208"/>
      <c r="E3208" t="s">
        <v>772</v>
      </c>
      <c r="H3208" s="654">
        <v>0</v>
      </c>
      <c r="I3208" s="654">
        <v>59481</v>
      </c>
      <c r="J3208" s="654">
        <v>59481</v>
      </c>
      <c r="K3208" s="654">
        <v>59481</v>
      </c>
      <c r="L3208" s="654">
        <v>0</v>
      </c>
      <c r="M3208" s="654">
        <v>0</v>
      </c>
      <c r="N3208" s="654">
        <v>0</v>
      </c>
    </row>
    <row r="3209" spans="2:14" x14ac:dyDescent="0.15">
      <c r="B3209"/>
      <c r="D3209" t="s">
        <v>736</v>
      </c>
      <c r="H3209" s="654">
        <v>0</v>
      </c>
      <c r="I3209" s="654">
        <v>59481</v>
      </c>
      <c r="J3209" s="654">
        <v>59481</v>
      </c>
      <c r="K3209" s="654">
        <v>59481</v>
      </c>
      <c r="L3209" s="654">
        <v>0</v>
      </c>
      <c r="M3209" s="654">
        <v>0</v>
      </c>
      <c r="N3209" s="654">
        <v>0</v>
      </c>
    </row>
    <row r="3210" spans="2:14" x14ac:dyDescent="0.15">
      <c r="B3210"/>
      <c r="D3210" t="s">
        <v>567</v>
      </c>
      <c r="E3210" t="s">
        <v>473</v>
      </c>
      <c r="F3210" t="s">
        <v>631</v>
      </c>
      <c r="G3210" t="s">
        <v>596</v>
      </c>
      <c r="H3210" s="654">
        <v>0</v>
      </c>
      <c r="I3210" s="654">
        <v>0</v>
      </c>
      <c r="J3210" s="654">
        <v>0</v>
      </c>
      <c r="K3210" s="654">
        <v>0</v>
      </c>
      <c r="L3210" s="654">
        <v>0</v>
      </c>
      <c r="M3210" s="654">
        <v>0</v>
      </c>
      <c r="N3210" s="654">
        <v>0</v>
      </c>
    </row>
    <row r="3211" spans="2:14" x14ac:dyDescent="0.15">
      <c r="B3211"/>
      <c r="F3211" t="s">
        <v>737</v>
      </c>
      <c r="H3211" s="654">
        <v>0</v>
      </c>
      <c r="I3211" s="654">
        <v>0</v>
      </c>
      <c r="J3211" s="654">
        <v>0</v>
      </c>
      <c r="K3211" s="654">
        <v>0</v>
      </c>
      <c r="L3211" s="654">
        <v>0</v>
      </c>
      <c r="M3211" s="654">
        <v>0</v>
      </c>
      <c r="N3211" s="654">
        <v>0</v>
      </c>
    </row>
    <row r="3212" spans="2:14" x14ac:dyDescent="0.15">
      <c r="B3212"/>
      <c r="E3212" t="s">
        <v>773</v>
      </c>
      <c r="H3212" s="654">
        <v>0</v>
      </c>
      <c r="I3212" s="654">
        <v>0</v>
      </c>
      <c r="J3212" s="654">
        <v>0</v>
      </c>
      <c r="K3212" s="654">
        <v>0</v>
      </c>
      <c r="L3212" s="654">
        <v>0</v>
      </c>
      <c r="M3212" s="654">
        <v>0</v>
      </c>
      <c r="N3212" s="654">
        <v>0</v>
      </c>
    </row>
    <row r="3213" spans="2:14" x14ac:dyDescent="0.15">
      <c r="B3213"/>
      <c r="D3213" t="s">
        <v>739</v>
      </c>
      <c r="H3213" s="654">
        <v>0</v>
      </c>
      <c r="I3213" s="654">
        <v>0</v>
      </c>
      <c r="J3213" s="654">
        <v>0</v>
      </c>
      <c r="K3213" s="654">
        <v>0</v>
      </c>
      <c r="L3213" s="654">
        <v>0</v>
      </c>
      <c r="M3213" s="654">
        <v>0</v>
      </c>
      <c r="N3213" s="654">
        <v>0</v>
      </c>
    </row>
    <row r="3214" spans="2:14" x14ac:dyDescent="0.15">
      <c r="B3214"/>
      <c r="D3214" t="s">
        <v>568</v>
      </c>
      <c r="E3214" t="s">
        <v>474</v>
      </c>
      <c r="F3214" t="s">
        <v>631</v>
      </c>
      <c r="G3214" t="s">
        <v>596</v>
      </c>
      <c r="H3214" s="654">
        <v>0</v>
      </c>
      <c r="I3214" s="654">
        <v>0</v>
      </c>
      <c r="J3214" s="654">
        <v>0</v>
      </c>
      <c r="K3214" s="654">
        <v>0</v>
      </c>
      <c r="L3214" s="654">
        <v>0</v>
      </c>
      <c r="M3214" s="654">
        <v>0</v>
      </c>
      <c r="N3214" s="654">
        <v>0</v>
      </c>
    </row>
    <row r="3215" spans="2:14" x14ac:dyDescent="0.15">
      <c r="B3215"/>
      <c r="F3215" t="s">
        <v>737</v>
      </c>
      <c r="H3215" s="654">
        <v>0</v>
      </c>
      <c r="I3215" s="654">
        <v>0</v>
      </c>
      <c r="J3215" s="654">
        <v>0</v>
      </c>
      <c r="K3215" s="654">
        <v>0</v>
      </c>
      <c r="L3215" s="654">
        <v>0</v>
      </c>
      <c r="M3215" s="654">
        <v>0</v>
      </c>
      <c r="N3215" s="654">
        <v>0</v>
      </c>
    </row>
    <row r="3216" spans="2:14" x14ac:dyDescent="0.15">
      <c r="B3216"/>
      <c r="E3216" t="s">
        <v>774</v>
      </c>
      <c r="H3216" s="654">
        <v>0</v>
      </c>
      <c r="I3216" s="654">
        <v>0</v>
      </c>
      <c r="J3216" s="654">
        <v>0</v>
      </c>
      <c r="K3216" s="654">
        <v>0</v>
      </c>
      <c r="L3216" s="654">
        <v>0</v>
      </c>
      <c r="M3216" s="654">
        <v>0</v>
      </c>
      <c r="N3216" s="654">
        <v>0</v>
      </c>
    </row>
    <row r="3217" spans="2:14" x14ac:dyDescent="0.15">
      <c r="B3217"/>
      <c r="D3217" t="s">
        <v>740</v>
      </c>
      <c r="H3217" s="654">
        <v>0</v>
      </c>
      <c r="I3217" s="654">
        <v>0</v>
      </c>
      <c r="J3217" s="654">
        <v>0</v>
      </c>
      <c r="K3217" s="654">
        <v>0</v>
      </c>
      <c r="L3217" s="654">
        <v>0</v>
      </c>
      <c r="M3217" s="654">
        <v>0</v>
      </c>
      <c r="N3217" s="654">
        <v>0</v>
      </c>
    </row>
    <row r="3218" spans="2:14" x14ac:dyDescent="0.15">
      <c r="B3218"/>
      <c r="D3218" t="s">
        <v>582</v>
      </c>
      <c r="E3218" t="s">
        <v>384</v>
      </c>
      <c r="F3218" t="s">
        <v>631</v>
      </c>
      <c r="G3218" t="s">
        <v>596</v>
      </c>
      <c r="H3218" s="654">
        <v>213958</v>
      </c>
      <c r="I3218" s="654">
        <v>-213958</v>
      </c>
      <c r="J3218" s="654">
        <v>0</v>
      </c>
      <c r="K3218" s="654">
        <v>0</v>
      </c>
      <c r="L3218" s="654">
        <v>0</v>
      </c>
      <c r="M3218" s="654">
        <v>0</v>
      </c>
      <c r="N3218" s="654">
        <v>0</v>
      </c>
    </row>
    <row r="3219" spans="2:14" x14ac:dyDescent="0.15">
      <c r="B3219"/>
      <c r="F3219" t="s">
        <v>737</v>
      </c>
      <c r="H3219" s="654">
        <v>213958</v>
      </c>
      <c r="I3219" s="654">
        <v>-213958</v>
      </c>
      <c r="J3219" s="654">
        <v>0</v>
      </c>
      <c r="K3219" s="654">
        <v>0</v>
      </c>
      <c r="L3219" s="654">
        <v>0</v>
      </c>
      <c r="M3219" s="654">
        <v>0</v>
      </c>
      <c r="N3219" s="654">
        <v>0</v>
      </c>
    </row>
    <row r="3220" spans="2:14" x14ac:dyDescent="0.15">
      <c r="B3220"/>
      <c r="E3220" t="s">
        <v>778</v>
      </c>
      <c r="H3220" s="654">
        <v>213958</v>
      </c>
      <c r="I3220" s="654">
        <v>-213958</v>
      </c>
      <c r="J3220" s="654">
        <v>0</v>
      </c>
      <c r="K3220" s="654">
        <v>0</v>
      </c>
      <c r="L3220" s="654">
        <v>0</v>
      </c>
      <c r="M3220" s="654">
        <v>0</v>
      </c>
      <c r="N3220" s="654">
        <v>0</v>
      </c>
    </row>
    <row r="3221" spans="2:14" x14ac:dyDescent="0.15">
      <c r="B3221"/>
      <c r="D3221" t="s">
        <v>743</v>
      </c>
      <c r="H3221" s="654">
        <v>213958</v>
      </c>
      <c r="I3221" s="654">
        <v>-213958</v>
      </c>
      <c r="J3221" s="654">
        <v>0</v>
      </c>
      <c r="K3221" s="654">
        <v>0</v>
      </c>
      <c r="L3221" s="654">
        <v>0</v>
      </c>
      <c r="M3221" s="654">
        <v>0</v>
      </c>
      <c r="N3221" s="654">
        <v>0</v>
      </c>
    </row>
    <row r="3222" spans="2:14" x14ac:dyDescent="0.15">
      <c r="B3222"/>
      <c r="D3222" t="s">
        <v>631</v>
      </c>
      <c r="E3222" t="s">
        <v>381</v>
      </c>
      <c r="F3222" t="s">
        <v>626</v>
      </c>
      <c r="G3222" t="s">
        <v>600</v>
      </c>
      <c r="H3222" s="654">
        <v>0</v>
      </c>
      <c r="I3222" s="654">
        <v>0</v>
      </c>
      <c r="J3222" s="654">
        <v>0</v>
      </c>
      <c r="K3222" s="654">
        <v>0</v>
      </c>
      <c r="L3222" s="654">
        <v>0</v>
      </c>
      <c r="M3222" s="654">
        <v>0</v>
      </c>
      <c r="N3222" s="654">
        <v>0</v>
      </c>
    </row>
    <row r="3223" spans="2:14" x14ac:dyDescent="0.15">
      <c r="B3223"/>
      <c r="F3223" t="s">
        <v>733</v>
      </c>
      <c r="H3223" s="654">
        <v>0</v>
      </c>
      <c r="I3223" s="654">
        <v>0</v>
      </c>
      <c r="J3223" s="654">
        <v>0</v>
      </c>
      <c r="K3223" s="654">
        <v>0</v>
      </c>
      <c r="L3223" s="654">
        <v>0</v>
      </c>
      <c r="M3223" s="654">
        <v>0</v>
      </c>
      <c r="N3223" s="654">
        <v>0</v>
      </c>
    </row>
    <row r="3224" spans="2:14" x14ac:dyDescent="0.15">
      <c r="B3224"/>
      <c r="E3224" t="s">
        <v>776</v>
      </c>
      <c r="H3224" s="654">
        <v>0</v>
      </c>
      <c r="I3224" s="654">
        <v>0</v>
      </c>
      <c r="J3224" s="654">
        <v>0</v>
      </c>
      <c r="K3224" s="654">
        <v>0</v>
      </c>
      <c r="L3224" s="654">
        <v>0</v>
      </c>
      <c r="M3224" s="654">
        <v>0</v>
      </c>
      <c r="N3224" s="654">
        <v>0</v>
      </c>
    </row>
    <row r="3225" spans="2:14" x14ac:dyDescent="0.15">
      <c r="B3225"/>
      <c r="D3225" t="s">
        <v>737</v>
      </c>
      <c r="H3225" s="654">
        <v>0</v>
      </c>
      <c r="I3225" s="654">
        <v>0</v>
      </c>
      <c r="J3225" s="654">
        <v>0</v>
      </c>
      <c r="K3225" s="654">
        <v>0</v>
      </c>
      <c r="L3225" s="654">
        <v>0</v>
      </c>
      <c r="M3225" s="654">
        <v>0</v>
      </c>
      <c r="N3225" s="654">
        <v>0</v>
      </c>
    </row>
    <row r="3226" spans="2:14" x14ac:dyDescent="0.15">
      <c r="B3226"/>
      <c r="D3226" t="s">
        <v>1201</v>
      </c>
      <c r="E3226" t="s">
        <v>1199</v>
      </c>
      <c r="F3226" t="s">
        <v>626</v>
      </c>
      <c r="G3226" t="s">
        <v>600</v>
      </c>
      <c r="H3226" s="654">
        <v>0</v>
      </c>
      <c r="I3226" s="654">
        <v>4542</v>
      </c>
      <c r="J3226" s="654">
        <v>4542</v>
      </c>
      <c r="K3226" s="654">
        <v>4542</v>
      </c>
      <c r="L3226" s="654">
        <v>0</v>
      </c>
      <c r="M3226" s="654">
        <v>0</v>
      </c>
      <c r="N3226" s="654">
        <v>0</v>
      </c>
    </row>
    <row r="3227" spans="2:14" x14ac:dyDescent="0.15">
      <c r="B3227"/>
      <c r="F3227" t="s">
        <v>733</v>
      </c>
      <c r="H3227" s="654">
        <v>0</v>
      </c>
      <c r="I3227" s="654">
        <v>4542</v>
      </c>
      <c r="J3227" s="654">
        <v>4542</v>
      </c>
      <c r="K3227" s="654">
        <v>4542</v>
      </c>
      <c r="L3227" s="654">
        <v>0</v>
      </c>
      <c r="M3227" s="654">
        <v>0</v>
      </c>
      <c r="N3227" s="654">
        <v>0</v>
      </c>
    </row>
    <row r="3228" spans="2:14" x14ac:dyDescent="0.15">
      <c r="B3228"/>
      <c r="F3228" t="s">
        <v>627</v>
      </c>
      <c r="G3228" t="s">
        <v>599</v>
      </c>
      <c r="H3228" s="654">
        <v>0</v>
      </c>
      <c r="I3228" s="654">
        <v>0</v>
      </c>
      <c r="J3228" s="654">
        <v>0</v>
      </c>
      <c r="K3228" s="654">
        <v>0</v>
      </c>
      <c r="L3228" s="654">
        <v>0</v>
      </c>
      <c r="M3228" s="654">
        <v>0</v>
      </c>
      <c r="N3228" s="654">
        <v>0</v>
      </c>
    </row>
    <row r="3229" spans="2:14" x14ac:dyDescent="0.15">
      <c r="B3229"/>
      <c r="F3229" t="s">
        <v>734</v>
      </c>
      <c r="H3229" s="654">
        <v>0</v>
      </c>
      <c r="I3229" s="654">
        <v>0</v>
      </c>
      <c r="J3229" s="654">
        <v>0</v>
      </c>
      <c r="K3229" s="654">
        <v>0</v>
      </c>
      <c r="L3229" s="654">
        <v>0</v>
      </c>
      <c r="M3229" s="654">
        <v>0</v>
      </c>
      <c r="N3229" s="654">
        <v>0</v>
      </c>
    </row>
    <row r="3230" spans="2:14" x14ac:dyDescent="0.15">
      <c r="B3230"/>
      <c r="E3230" t="s">
        <v>1379</v>
      </c>
      <c r="H3230" s="654">
        <v>0</v>
      </c>
      <c r="I3230" s="654">
        <v>4542</v>
      </c>
      <c r="J3230" s="654">
        <v>4542</v>
      </c>
      <c r="K3230" s="654">
        <v>4542</v>
      </c>
      <c r="L3230" s="654">
        <v>0</v>
      </c>
      <c r="M3230" s="654">
        <v>0</v>
      </c>
      <c r="N3230" s="654">
        <v>0</v>
      </c>
    </row>
    <row r="3231" spans="2:14" x14ac:dyDescent="0.15">
      <c r="B3231"/>
      <c r="D3231" t="s">
        <v>1380</v>
      </c>
      <c r="H3231" s="654">
        <v>0</v>
      </c>
      <c r="I3231" s="654">
        <v>4542</v>
      </c>
      <c r="J3231" s="654">
        <v>4542</v>
      </c>
      <c r="K3231" s="654">
        <v>4542</v>
      </c>
      <c r="L3231" s="654">
        <v>0</v>
      </c>
      <c r="M3231" s="654">
        <v>0</v>
      </c>
      <c r="N3231" s="654">
        <v>0</v>
      </c>
    </row>
    <row r="3232" spans="2:14" x14ac:dyDescent="0.15">
      <c r="B3232"/>
      <c r="D3232" t="s">
        <v>1386</v>
      </c>
      <c r="E3232" t="s">
        <v>1384</v>
      </c>
      <c r="F3232" t="s">
        <v>631</v>
      </c>
      <c r="G3232" t="s">
        <v>596</v>
      </c>
      <c r="H3232" s="654">
        <v>225125</v>
      </c>
      <c r="I3232" s="654">
        <v>0</v>
      </c>
      <c r="J3232" s="654">
        <v>225125</v>
      </c>
      <c r="K3232" s="654">
        <v>225125</v>
      </c>
      <c r="L3232" s="654">
        <v>0</v>
      </c>
      <c r="M3232" s="654">
        <v>0</v>
      </c>
      <c r="N3232" s="654">
        <v>0</v>
      </c>
    </row>
    <row r="3233" spans="1:15" x14ac:dyDescent="0.15">
      <c r="B3233"/>
      <c r="F3233" t="s">
        <v>737</v>
      </c>
      <c r="H3233" s="654">
        <v>225125</v>
      </c>
      <c r="I3233" s="654">
        <v>0</v>
      </c>
      <c r="J3233" s="654">
        <v>225125</v>
      </c>
      <c r="K3233" s="654">
        <v>225125</v>
      </c>
      <c r="L3233" s="654">
        <v>0</v>
      </c>
      <c r="M3233" s="654">
        <v>0</v>
      </c>
      <c r="N3233" s="654">
        <v>0</v>
      </c>
    </row>
    <row r="3234" spans="1:15" x14ac:dyDescent="0.15">
      <c r="B3234"/>
      <c r="E3234" t="s">
        <v>1512</v>
      </c>
      <c r="H3234" s="654">
        <v>225125</v>
      </c>
      <c r="I3234" s="654">
        <v>0</v>
      </c>
      <c r="J3234" s="654">
        <v>225125</v>
      </c>
      <c r="K3234" s="654">
        <v>225125</v>
      </c>
      <c r="L3234" s="654">
        <v>0</v>
      </c>
      <c r="M3234" s="654">
        <v>0</v>
      </c>
      <c r="N3234" s="654">
        <v>0</v>
      </c>
    </row>
    <row r="3235" spans="1:15" x14ac:dyDescent="0.15">
      <c r="B3235"/>
      <c r="D3235" t="s">
        <v>1513</v>
      </c>
      <c r="H3235" s="654">
        <v>225125</v>
      </c>
      <c r="I3235" s="654">
        <v>0</v>
      </c>
      <c r="J3235" s="654">
        <v>225125</v>
      </c>
      <c r="K3235" s="654">
        <v>225125</v>
      </c>
      <c r="L3235" s="654">
        <v>0</v>
      </c>
      <c r="M3235" s="654">
        <v>0</v>
      </c>
      <c r="N3235" s="654">
        <v>0</v>
      </c>
    </row>
    <row r="3236" spans="1:15" x14ac:dyDescent="0.15">
      <c r="B3236"/>
      <c r="C3236" t="s">
        <v>854</v>
      </c>
      <c r="H3236" s="654">
        <v>1131398</v>
      </c>
      <c r="I3236" s="654">
        <v>-461548</v>
      </c>
      <c r="J3236" s="654">
        <v>669850</v>
      </c>
      <c r="K3236" s="654">
        <v>669850</v>
      </c>
      <c r="L3236" s="654">
        <v>0</v>
      </c>
      <c r="M3236" s="654">
        <v>0</v>
      </c>
      <c r="N3236" s="654">
        <v>0</v>
      </c>
    </row>
    <row r="3237" spans="1:15" x14ac:dyDescent="0.15">
      <c r="A3237" s="653" t="s">
        <v>1525</v>
      </c>
      <c r="B3237"/>
      <c r="H3237" s="654">
        <v>38249866</v>
      </c>
      <c r="I3237" s="654">
        <v>-1438577</v>
      </c>
      <c r="J3237" s="654">
        <v>36811289</v>
      </c>
      <c r="K3237" s="654">
        <v>36811289</v>
      </c>
      <c r="L3237" s="654">
        <v>0</v>
      </c>
      <c r="M3237" s="654">
        <v>750169</v>
      </c>
      <c r="N3237" s="654">
        <v>4017020</v>
      </c>
    </row>
    <row r="3238" spans="1:15" x14ac:dyDescent="0.15">
      <c r="A3238" s="653">
        <v>43556</v>
      </c>
      <c r="B3238" t="s">
        <v>626</v>
      </c>
      <c r="C3238" t="s">
        <v>849</v>
      </c>
      <c r="D3238" t="s">
        <v>626</v>
      </c>
      <c r="E3238" t="s">
        <v>378</v>
      </c>
      <c r="F3238" t="s">
        <v>626</v>
      </c>
      <c r="G3238" t="s">
        <v>600</v>
      </c>
      <c r="H3238" s="654">
        <v>9131435</v>
      </c>
      <c r="I3238" s="654">
        <v>0</v>
      </c>
      <c r="J3238" s="654">
        <v>9131435</v>
      </c>
      <c r="K3238" s="654">
        <v>0</v>
      </c>
      <c r="L3238" s="654">
        <v>9131435</v>
      </c>
      <c r="M3238" s="654">
        <v>28408</v>
      </c>
      <c r="N3238" s="654">
        <v>0</v>
      </c>
    </row>
    <row r="3239" spans="1:15" x14ac:dyDescent="0.15">
      <c r="B3239"/>
      <c r="F3239" t="s">
        <v>733</v>
      </c>
      <c r="H3239" s="654">
        <v>9131435</v>
      </c>
      <c r="I3239" s="654">
        <v>0</v>
      </c>
      <c r="J3239" s="654">
        <v>9131435</v>
      </c>
      <c r="K3239" s="654">
        <v>0</v>
      </c>
      <c r="L3239" s="654">
        <v>9131435</v>
      </c>
      <c r="M3239" s="654">
        <v>28408</v>
      </c>
      <c r="N3239" s="654">
        <v>0</v>
      </c>
      <c r="O3239">
        <f>GETPIVOTDATA("合計 / 入金予定",$A$3,"年月",DATE(2019,4,1),"事業所コード","01","請求区分コード","01","請求区分","単月")</f>
        <v>12074847</v>
      </c>
    </row>
    <row r="3240" spans="1:15" x14ac:dyDescent="0.15">
      <c r="B3240"/>
      <c r="F3240" t="s">
        <v>627</v>
      </c>
      <c r="G3240" t="s">
        <v>599</v>
      </c>
      <c r="H3240" s="654">
        <v>2127360</v>
      </c>
      <c r="I3240" s="654">
        <v>0</v>
      </c>
      <c r="J3240" s="654">
        <v>2127360</v>
      </c>
      <c r="K3240" s="654">
        <v>0</v>
      </c>
      <c r="L3240" s="654">
        <v>2127360</v>
      </c>
      <c r="M3240" s="654">
        <v>0</v>
      </c>
      <c r="N3240" s="654">
        <v>0</v>
      </c>
    </row>
    <row r="3241" spans="1:15" x14ac:dyDescent="0.15">
      <c r="B3241"/>
      <c r="F3241" t="s">
        <v>734</v>
      </c>
      <c r="H3241" s="654">
        <v>2127360</v>
      </c>
      <c r="I3241" s="654">
        <v>0</v>
      </c>
      <c r="J3241" s="654">
        <v>2127360</v>
      </c>
      <c r="K3241" s="654">
        <v>0</v>
      </c>
      <c r="L3241" s="654">
        <v>2127360</v>
      </c>
      <c r="M3241" s="654">
        <v>0</v>
      </c>
      <c r="N3241" s="654">
        <v>0</v>
      </c>
    </row>
    <row r="3242" spans="1:15" x14ac:dyDescent="0.15">
      <c r="B3242"/>
      <c r="F3242" t="s">
        <v>628</v>
      </c>
      <c r="G3242" t="s">
        <v>598</v>
      </c>
      <c r="H3242" s="654">
        <v>816052</v>
      </c>
      <c r="I3242" s="654">
        <v>0</v>
      </c>
      <c r="J3242" s="654">
        <v>816052</v>
      </c>
      <c r="K3242" s="654">
        <v>0</v>
      </c>
      <c r="L3242" s="654">
        <v>816052</v>
      </c>
      <c r="M3242" s="654">
        <v>0</v>
      </c>
      <c r="N3242" s="654">
        <v>0</v>
      </c>
    </row>
    <row r="3243" spans="1:15" x14ac:dyDescent="0.15">
      <c r="B3243"/>
      <c r="F3243" t="s">
        <v>735</v>
      </c>
      <c r="H3243" s="654">
        <v>816052</v>
      </c>
      <c r="I3243" s="654">
        <v>0</v>
      </c>
      <c r="J3243" s="654">
        <v>816052</v>
      </c>
      <c r="K3243" s="654">
        <v>0</v>
      </c>
      <c r="L3243" s="654">
        <v>816052</v>
      </c>
      <c r="M3243" s="654">
        <v>0</v>
      </c>
      <c r="N3243" s="654">
        <v>0</v>
      </c>
    </row>
    <row r="3244" spans="1:15" x14ac:dyDescent="0.15">
      <c r="B3244"/>
      <c r="E3244" t="s">
        <v>769</v>
      </c>
      <c r="H3244" s="654">
        <v>12074847</v>
      </c>
      <c r="I3244" s="654">
        <v>0</v>
      </c>
      <c r="J3244" s="654">
        <v>12074847</v>
      </c>
      <c r="K3244" s="654">
        <v>0</v>
      </c>
      <c r="L3244" s="654">
        <v>12074847</v>
      </c>
      <c r="M3244" s="654">
        <v>28408</v>
      </c>
      <c r="N3244" s="654">
        <v>0</v>
      </c>
    </row>
    <row r="3245" spans="1:15" x14ac:dyDescent="0.15">
      <c r="B3245"/>
      <c r="D3245" t="s">
        <v>733</v>
      </c>
      <c r="H3245" s="654">
        <v>12074847</v>
      </c>
      <c r="I3245" s="654">
        <v>0</v>
      </c>
      <c r="J3245" s="654">
        <v>12074847</v>
      </c>
      <c r="K3245" s="654">
        <v>0</v>
      </c>
      <c r="L3245" s="654">
        <v>12074847</v>
      </c>
      <c r="M3245" s="654">
        <v>28408</v>
      </c>
      <c r="N3245" s="654">
        <v>0</v>
      </c>
    </row>
    <row r="3246" spans="1:15" x14ac:dyDescent="0.15">
      <c r="B3246"/>
      <c r="D3246" t="s">
        <v>627</v>
      </c>
      <c r="E3246" t="s">
        <v>379</v>
      </c>
      <c r="F3246" t="s">
        <v>626</v>
      </c>
      <c r="G3246" t="s">
        <v>600</v>
      </c>
      <c r="H3246" s="654">
        <v>3538699</v>
      </c>
      <c r="I3246" s="654">
        <v>0</v>
      </c>
      <c r="J3246" s="654">
        <v>3538699</v>
      </c>
      <c r="K3246" s="654">
        <v>0</v>
      </c>
      <c r="L3246" s="654">
        <v>3538699</v>
      </c>
      <c r="M3246" s="654">
        <v>40566</v>
      </c>
      <c r="N3246" s="654">
        <v>0</v>
      </c>
    </row>
    <row r="3247" spans="1:15" x14ac:dyDescent="0.15">
      <c r="B3247"/>
      <c r="F3247" t="s">
        <v>733</v>
      </c>
      <c r="H3247" s="654">
        <v>3538699</v>
      </c>
      <c r="I3247" s="654">
        <v>0</v>
      </c>
      <c r="J3247" s="654">
        <v>3538699</v>
      </c>
      <c r="K3247" s="654">
        <v>0</v>
      </c>
      <c r="L3247" s="654">
        <v>3538699</v>
      </c>
      <c r="M3247" s="654">
        <v>40566</v>
      </c>
      <c r="N3247" s="654">
        <v>0</v>
      </c>
    </row>
    <row r="3248" spans="1:15" x14ac:dyDescent="0.15">
      <c r="B3248"/>
      <c r="F3248" t="s">
        <v>627</v>
      </c>
      <c r="G3248" t="s">
        <v>599</v>
      </c>
      <c r="H3248" s="654">
        <v>1103041</v>
      </c>
      <c r="I3248" s="654">
        <v>0</v>
      </c>
      <c r="J3248" s="654">
        <v>1103041</v>
      </c>
      <c r="K3248" s="654">
        <v>0</v>
      </c>
      <c r="L3248" s="654">
        <v>1103041</v>
      </c>
      <c r="M3248" s="654">
        <v>0</v>
      </c>
      <c r="N3248" s="654">
        <v>0</v>
      </c>
    </row>
    <row r="3249" spans="2:14" x14ac:dyDescent="0.15">
      <c r="B3249"/>
      <c r="F3249" t="s">
        <v>734</v>
      </c>
      <c r="H3249" s="654">
        <v>1103041</v>
      </c>
      <c r="I3249" s="654">
        <v>0</v>
      </c>
      <c r="J3249" s="654">
        <v>1103041</v>
      </c>
      <c r="K3249" s="654">
        <v>0</v>
      </c>
      <c r="L3249" s="654">
        <v>1103041</v>
      </c>
      <c r="M3249" s="654">
        <v>0</v>
      </c>
      <c r="N3249" s="654">
        <v>0</v>
      </c>
    </row>
    <row r="3250" spans="2:14" x14ac:dyDescent="0.15">
      <c r="B3250"/>
      <c r="F3250" t="s">
        <v>628</v>
      </c>
      <c r="G3250" t="s">
        <v>598</v>
      </c>
      <c r="H3250" s="654">
        <v>534609</v>
      </c>
      <c r="I3250" s="654">
        <v>0</v>
      </c>
      <c r="J3250" s="654">
        <v>534609</v>
      </c>
      <c r="K3250" s="654">
        <v>0</v>
      </c>
      <c r="L3250" s="654">
        <v>534609</v>
      </c>
      <c r="M3250" s="654">
        <v>11636</v>
      </c>
      <c r="N3250" s="654">
        <v>0</v>
      </c>
    </row>
    <row r="3251" spans="2:14" x14ac:dyDescent="0.15">
      <c r="B3251"/>
      <c r="F3251" t="s">
        <v>735</v>
      </c>
      <c r="H3251" s="654">
        <v>534609</v>
      </c>
      <c r="I3251" s="654">
        <v>0</v>
      </c>
      <c r="J3251" s="654">
        <v>534609</v>
      </c>
      <c r="K3251" s="654">
        <v>0</v>
      </c>
      <c r="L3251" s="654">
        <v>534609</v>
      </c>
      <c r="M3251" s="654">
        <v>11636</v>
      </c>
      <c r="N3251" s="654">
        <v>0</v>
      </c>
    </row>
    <row r="3252" spans="2:14" x14ac:dyDescent="0.15">
      <c r="B3252"/>
      <c r="E3252" t="s">
        <v>770</v>
      </c>
      <c r="H3252" s="654">
        <v>5176349</v>
      </c>
      <c r="I3252" s="654">
        <v>0</v>
      </c>
      <c r="J3252" s="654">
        <v>5176349</v>
      </c>
      <c r="K3252" s="654">
        <v>0</v>
      </c>
      <c r="L3252" s="654">
        <v>5176349</v>
      </c>
      <c r="M3252" s="654">
        <v>52202</v>
      </c>
      <c r="N3252" s="654">
        <v>0</v>
      </c>
    </row>
    <row r="3253" spans="2:14" x14ac:dyDescent="0.15">
      <c r="B3253"/>
      <c r="D3253" t="s">
        <v>734</v>
      </c>
      <c r="H3253" s="654">
        <v>5176349</v>
      </c>
      <c r="I3253" s="654">
        <v>0</v>
      </c>
      <c r="J3253" s="654">
        <v>5176349</v>
      </c>
      <c r="K3253" s="654">
        <v>0</v>
      </c>
      <c r="L3253" s="654">
        <v>5176349</v>
      </c>
      <c r="M3253" s="654">
        <v>52202</v>
      </c>
      <c r="N3253" s="654">
        <v>0</v>
      </c>
    </row>
    <row r="3254" spans="2:14" x14ac:dyDescent="0.15">
      <c r="B3254"/>
      <c r="D3254" t="s">
        <v>628</v>
      </c>
      <c r="E3254" t="s">
        <v>380</v>
      </c>
      <c r="F3254" t="s">
        <v>626</v>
      </c>
      <c r="G3254" t="s">
        <v>600</v>
      </c>
      <c r="H3254" s="654">
        <v>4684876</v>
      </c>
      <c r="I3254" s="654">
        <v>0</v>
      </c>
      <c r="J3254" s="654">
        <v>4684876</v>
      </c>
      <c r="K3254" s="654">
        <v>0</v>
      </c>
      <c r="L3254" s="654">
        <v>4684876</v>
      </c>
      <c r="M3254" s="654">
        <v>164777</v>
      </c>
      <c r="N3254" s="654">
        <v>0</v>
      </c>
    </row>
    <row r="3255" spans="2:14" x14ac:dyDescent="0.15">
      <c r="B3255"/>
      <c r="F3255" t="s">
        <v>733</v>
      </c>
      <c r="H3255" s="654">
        <v>4684876</v>
      </c>
      <c r="I3255" s="654">
        <v>0</v>
      </c>
      <c r="J3255" s="654">
        <v>4684876</v>
      </c>
      <c r="K3255" s="654">
        <v>0</v>
      </c>
      <c r="L3255" s="654">
        <v>4684876</v>
      </c>
      <c r="M3255" s="654">
        <v>164777</v>
      </c>
      <c r="N3255" s="654">
        <v>0</v>
      </c>
    </row>
    <row r="3256" spans="2:14" x14ac:dyDescent="0.15">
      <c r="B3256"/>
      <c r="F3256" t="s">
        <v>627</v>
      </c>
      <c r="G3256" t="s">
        <v>599</v>
      </c>
      <c r="H3256" s="654">
        <v>1842826</v>
      </c>
      <c r="I3256" s="654">
        <v>0</v>
      </c>
      <c r="J3256" s="654">
        <v>1842826</v>
      </c>
      <c r="K3256" s="654">
        <v>0</v>
      </c>
      <c r="L3256" s="654">
        <v>1842826</v>
      </c>
      <c r="M3256" s="654">
        <v>0</v>
      </c>
      <c r="N3256" s="654">
        <v>0</v>
      </c>
    </row>
    <row r="3257" spans="2:14" x14ac:dyDescent="0.15">
      <c r="B3257"/>
      <c r="F3257" t="s">
        <v>734</v>
      </c>
      <c r="H3257" s="654">
        <v>1842826</v>
      </c>
      <c r="I3257" s="654">
        <v>0</v>
      </c>
      <c r="J3257" s="654">
        <v>1842826</v>
      </c>
      <c r="K3257" s="654">
        <v>0</v>
      </c>
      <c r="L3257" s="654">
        <v>1842826</v>
      </c>
      <c r="M3257" s="654">
        <v>0</v>
      </c>
      <c r="N3257" s="654">
        <v>0</v>
      </c>
    </row>
    <row r="3258" spans="2:14" x14ac:dyDescent="0.15">
      <c r="B3258"/>
      <c r="E3258" t="s">
        <v>771</v>
      </c>
      <c r="H3258" s="654">
        <v>6527702</v>
      </c>
      <c r="I3258" s="654">
        <v>0</v>
      </c>
      <c r="J3258" s="654">
        <v>6527702</v>
      </c>
      <c r="K3258" s="654">
        <v>0</v>
      </c>
      <c r="L3258" s="654">
        <v>6527702</v>
      </c>
      <c r="M3258" s="654">
        <v>164777</v>
      </c>
      <c r="N3258" s="654">
        <v>0</v>
      </c>
    </row>
    <row r="3259" spans="2:14" x14ac:dyDescent="0.15">
      <c r="B3259"/>
      <c r="D3259" t="s">
        <v>735</v>
      </c>
      <c r="H3259" s="654">
        <v>6527702</v>
      </c>
      <c r="I3259" s="654">
        <v>0</v>
      </c>
      <c r="J3259" s="654">
        <v>6527702</v>
      </c>
      <c r="K3259" s="654">
        <v>0</v>
      </c>
      <c r="L3259" s="654">
        <v>6527702</v>
      </c>
      <c r="M3259" s="654">
        <v>164777</v>
      </c>
      <c r="N3259" s="654">
        <v>0</v>
      </c>
    </row>
    <row r="3260" spans="2:14" x14ac:dyDescent="0.15">
      <c r="B3260"/>
      <c r="D3260" t="s">
        <v>629</v>
      </c>
      <c r="E3260" t="s">
        <v>676</v>
      </c>
      <c r="F3260" t="s">
        <v>629</v>
      </c>
      <c r="G3260" t="s">
        <v>601</v>
      </c>
      <c r="H3260" s="654">
        <v>4062911</v>
      </c>
      <c r="I3260" s="654">
        <v>0</v>
      </c>
      <c r="J3260" s="654">
        <v>4062911</v>
      </c>
      <c r="K3260" s="654">
        <v>0</v>
      </c>
      <c r="L3260" s="654">
        <v>4062911</v>
      </c>
      <c r="M3260" s="654">
        <v>0</v>
      </c>
      <c r="N3260" s="654">
        <v>0</v>
      </c>
    </row>
    <row r="3261" spans="2:14" x14ac:dyDescent="0.15">
      <c r="B3261"/>
      <c r="F3261" t="s">
        <v>736</v>
      </c>
      <c r="H3261" s="654">
        <v>4062911</v>
      </c>
      <c r="I3261" s="654">
        <v>0</v>
      </c>
      <c r="J3261" s="654">
        <v>4062911</v>
      </c>
      <c r="K3261" s="654">
        <v>0</v>
      </c>
      <c r="L3261" s="654">
        <v>4062911</v>
      </c>
      <c r="M3261" s="654">
        <v>0</v>
      </c>
      <c r="N3261" s="654">
        <v>0</v>
      </c>
    </row>
    <row r="3262" spans="2:14" x14ac:dyDescent="0.15">
      <c r="B3262"/>
      <c r="E3262" t="s">
        <v>772</v>
      </c>
      <c r="H3262" s="654">
        <v>4062911</v>
      </c>
      <c r="I3262" s="654">
        <v>0</v>
      </c>
      <c r="J3262" s="654">
        <v>4062911</v>
      </c>
      <c r="K3262" s="654">
        <v>0</v>
      </c>
      <c r="L3262" s="654">
        <v>4062911</v>
      </c>
      <c r="M3262" s="654">
        <v>0</v>
      </c>
      <c r="N3262" s="654">
        <v>0</v>
      </c>
    </row>
    <row r="3263" spans="2:14" x14ac:dyDescent="0.15">
      <c r="B3263"/>
      <c r="D3263" t="s">
        <v>736</v>
      </c>
      <c r="H3263" s="654">
        <v>4062911</v>
      </c>
      <c r="I3263" s="654">
        <v>0</v>
      </c>
      <c r="J3263" s="654">
        <v>4062911</v>
      </c>
      <c r="K3263" s="654">
        <v>0</v>
      </c>
      <c r="L3263" s="654">
        <v>4062911</v>
      </c>
      <c r="M3263" s="654">
        <v>0</v>
      </c>
      <c r="N3263" s="654">
        <v>0</v>
      </c>
    </row>
    <row r="3264" spans="2:14" x14ac:dyDescent="0.15">
      <c r="B3264"/>
      <c r="D3264" t="s">
        <v>567</v>
      </c>
      <c r="E3264" t="s">
        <v>473</v>
      </c>
      <c r="F3264" t="s">
        <v>631</v>
      </c>
      <c r="G3264" t="s">
        <v>596</v>
      </c>
      <c r="H3264" s="654">
        <v>1025725</v>
      </c>
      <c r="I3264" s="654">
        <v>0</v>
      </c>
      <c r="J3264" s="654">
        <v>1025725</v>
      </c>
      <c r="K3264" s="654">
        <v>0</v>
      </c>
      <c r="L3264" s="654">
        <v>1025725</v>
      </c>
      <c r="M3264" s="654">
        <v>0</v>
      </c>
      <c r="N3264" s="654">
        <v>0</v>
      </c>
    </row>
    <row r="3265" spans="2:14" x14ac:dyDescent="0.15">
      <c r="B3265"/>
      <c r="F3265" t="s">
        <v>737</v>
      </c>
      <c r="H3265" s="654">
        <v>1025725</v>
      </c>
      <c r="I3265" s="654">
        <v>0</v>
      </c>
      <c r="J3265" s="654">
        <v>1025725</v>
      </c>
      <c r="K3265" s="654">
        <v>0</v>
      </c>
      <c r="L3265" s="654">
        <v>1025725</v>
      </c>
      <c r="M3265" s="654">
        <v>0</v>
      </c>
      <c r="N3265" s="654">
        <v>0</v>
      </c>
    </row>
    <row r="3266" spans="2:14" x14ac:dyDescent="0.15">
      <c r="B3266"/>
      <c r="E3266" t="s">
        <v>773</v>
      </c>
      <c r="H3266" s="654">
        <v>1025725</v>
      </c>
      <c r="I3266" s="654">
        <v>0</v>
      </c>
      <c r="J3266" s="654">
        <v>1025725</v>
      </c>
      <c r="K3266" s="654">
        <v>0</v>
      </c>
      <c r="L3266" s="654">
        <v>1025725</v>
      </c>
      <c r="M3266" s="654">
        <v>0</v>
      </c>
      <c r="N3266" s="654">
        <v>0</v>
      </c>
    </row>
    <row r="3267" spans="2:14" x14ac:dyDescent="0.15">
      <c r="B3267"/>
      <c r="D3267" t="s">
        <v>739</v>
      </c>
      <c r="H3267" s="654">
        <v>1025725</v>
      </c>
      <c r="I3267" s="654">
        <v>0</v>
      </c>
      <c r="J3267" s="654">
        <v>1025725</v>
      </c>
      <c r="K3267" s="654">
        <v>0</v>
      </c>
      <c r="L3267" s="654">
        <v>1025725</v>
      </c>
      <c r="M3267" s="654">
        <v>0</v>
      </c>
      <c r="N3267" s="654">
        <v>0</v>
      </c>
    </row>
    <row r="3268" spans="2:14" x14ac:dyDescent="0.15">
      <c r="B3268"/>
      <c r="D3268" t="s">
        <v>568</v>
      </c>
      <c r="E3268" t="s">
        <v>474</v>
      </c>
      <c r="F3268" t="s">
        <v>631</v>
      </c>
      <c r="G3268" t="s">
        <v>596</v>
      </c>
      <c r="H3268" s="654">
        <v>746482</v>
      </c>
      <c r="I3268" s="654">
        <v>0</v>
      </c>
      <c r="J3268" s="654">
        <v>746482</v>
      </c>
      <c r="K3268" s="654">
        <v>0</v>
      </c>
      <c r="L3268" s="654">
        <v>746482</v>
      </c>
      <c r="M3268" s="654">
        <v>0</v>
      </c>
      <c r="N3268" s="654">
        <v>0</v>
      </c>
    </row>
    <row r="3269" spans="2:14" x14ac:dyDescent="0.15">
      <c r="B3269"/>
      <c r="F3269" t="s">
        <v>737</v>
      </c>
      <c r="H3269" s="654">
        <v>746482</v>
      </c>
      <c r="I3269" s="654">
        <v>0</v>
      </c>
      <c r="J3269" s="654">
        <v>746482</v>
      </c>
      <c r="K3269" s="654">
        <v>0</v>
      </c>
      <c r="L3269" s="654">
        <v>746482</v>
      </c>
      <c r="M3269" s="654">
        <v>0</v>
      </c>
      <c r="N3269" s="654">
        <v>0</v>
      </c>
    </row>
    <row r="3270" spans="2:14" x14ac:dyDescent="0.15">
      <c r="B3270"/>
      <c r="E3270" t="s">
        <v>774</v>
      </c>
      <c r="H3270" s="654">
        <v>746482</v>
      </c>
      <c r="I3270" s="654">
        <v>0</v>
      </c>
      <c r="J3270" s="654">
        <v>746482</v>
      </c>
      <c r="K3270" s="654">
        <v>0</v>
      </c>
      <c r="L3270" s="654">
        <v>746482</v>
      </c>
      <c r="M3270" s="654">
        <v>0</v>
      </c>
      <c r="N3270" s="654">
        <v>0</v>
      </c>
    </row>
    <row r="3271" spans="2:14" x14ac:dyDescent="0.15">
      <c r="B3271"/>
      <c r="D3271" t="s">
        <v>740</v>
      </c>
      <c r="H3271" s="654">
        <v>746482</v>
      </c>
      <c r="I3271" s="654">
        <v>0</v>
      </c>
      <c r="J3271" s="654">
        <v>746482</v>
      </c>
      <c r="K3271" s="654">
        <v>0</v>
      </c>
      <c r="L3271" s="654">
        <v>746482</v>
      </c>
      <c r="M3271" s="654">
        <v>0</v>
      </c>
      <c r="N3271" s="654">
        <v>0</v>
      </c>
    </row>
    <row r="3272" spans="2:14" x14ac:dyDescent="0.15">
      <c r="B3272"/>
      <c r="D3272" t="s">
        <v>582</v>
      </c>
      <c r="E3272" t="s">
        <v>384</v>
      </c>
      <c r="F3272" t="s">
        <v>631</v>
      </c>
      <c r="G3272" t="s">
        <v>596</v>
      </c>
      <c r="H3272" s="654">
        <v>2032333</v>
      </c>
      <c r="I3272" s="654">
        <v>0</v>
      </c>
      <c r="J3272" s="654">
        <v>2032333</v>
      </c>
      <c r="K3272" s="654">
        <v>0</v>
      </c>
      <c r="L3272" s="654">
        <v>2032333</v>
      </c>
      <c r="M3272" s="654">
        <v>0</v>
      </c>
      <c r="N3272" s="654">
        <v>0</v>
      </c>
    </row>
    <row r="3273" spans="2:14" x14ac:dyDescent="0.15">
      <c r="B3273"/>
      <c r="F3273" t="s">
        <v>737</v>
      </c>
      <c r="H3273" s="654">
        <v>2032333</v>
      </c>
      <c r="I3273" s="654">
        <v>0</v>
      </c>
      <c r="J3273" s="654">
        <v>2032333</v>
      </c>
      <c r="K3273" s="654">
        <v>0</v>
      </c>
      <c r="L3273" s="654">
        <v>2032333</v>
      </c>
      <c r="M3273" s="654">
        <v>0</v>
      </c>
      <c r="N3273" s="654">
        <v>0</v>
      </c>
    </row>
    <row r="3274" spans="2:14" x14ac:dyDescent="0.15">
      <c r="B3274"/>
      <c r="E3274" t="s">
        <v>778</v>
      </c>
      <c r="H3274" s="654">
        <v>2032333</v>
      </c>
      <c r="I3274" s="654">
        <v>0</v>
      </c>
      <c r="J3274" s="654">
        <v>2032333</v>
      </c>
      <c r="K3274" s="654">
        <v>0</v>
      </c>
      <c r="L3274" s="654">
        <v>2032333</v>
      </c>
      <c r="M3274" s="654">
        <v>0</v>
      </c>
      <c r="N3274" s="654">
        <v>0</v>
      </c>
    </row>
    <row r="3275" spans="2:14" x14ac:dyDescent="0.15">
      <c r="B3275"/>
      <c r="D3275" t="s">
        <v>743</v>
      </c>
      <c r="H3275" s="654">
        <v>2032333</v>
      </c>
      <c r="I3275" s="654">
        <v>0</v>
      </c>
      <c r="J3275" s="654">
        <v>2032333</v>
      </c>
      <c r="K3275" s="654">
        <v>0</v>
      </c>
      <c r="L3275" s="654">
        <v>2032333</v>
      </c>
      <c r="M3275" s="654">
        <v>0</v>
      </c>
      <c r="N3275" s="654">
        <v>0</v>
      </c>
    </row>
    <row r="3276" spans="2:14" x14ac:dyDescent="0.15">
      <c r="B3276"/>
      <c r="D3276" t="s">
        <v>631</v>
      </c>
      <c r="E3276" t="s">
        <v>381</v>
      </c>
      <c r="F3276" t="s">
        <v>626</v>
      </c>
      <c r="G3276" t="s">
        <v>600</v>
      </c>
      <c r="H3276" s="654">
        <v>1684049</v>
      </c>
      <c r="I3276" s="654">
        <v>0</v>
      </c>
      <c r="J3276" s="654">
        <v>1684049</v>
      </c>
      <c r="K3276" s="654">
        <v>0</v>
      </c>
      <c r="L3276" s="654">
        <v>1684049</v>
      </c>
      <c r="M3276" s="654">
        <v>0</v>
      </c>
      <c r="N3276" s="654">
        <v>0</v>
      </c>
    </row>
    <row r="3277" spans="2:14" x14ac:dyDescent="0.15">
      <c r="B3277"/>
      <c r="F3277" t="s">
        <v>733</v>
      </c>
      <c r="H3277" s="654">
        <v>1684049</v>
      </c>
      <c r="I3277" s="654">
        <v>0</v>
      </c>
      <c r="J3277" s="654">
        <v>1684049</v>
      </c>
      <c r="K3277" s="654">
        <v>0</v>
      </c>
      <c r="L3277" s="654">
        <v>1684049</v>
      </c>
      <c r="M3277" s="654">
        <v>0</v>
      </c>
      <c r="N3277" s="654">
        <v>0</v>
      </c>
    </row>
    <row r="3278" spans="2:14" x14ac:dyDescent="0.15">
      <c r="B3278"/>
      <c r="E3278" t="s">
        <v>776</v>
      </c>
      <c r="H3278" s="654">
        <v>1684049</v>
      </c>
      <c r="I3278" s="654">
        <v>0</v>
      </c>
      <c r="J3278" s="654">
        <v>1684049</v>
      </c>
      <c r="K3278" s="654">
        <v>0</v>
      </c>
      <c r="L3278" s="654">
        <v>1684049</v>
      </c>
      <c r="M3278" s="654">
        <v>0</v>
      </c>
      <c r="N3278" s="654">
        <v>0</v>
      </c>
    </row>
    <row r="3279" spans="2:14" x14ac:dyDescent="0.15">
      <c r="B3279"/>
      <c r="D3279" t="s">
        <v>737</v>
      </c>
      <c r="H3279" s="654">
        <v>1684049</v>
      </c>
      <c r="I3279" s="654">
        <v>0</v>
      </c>
      <c r="J3279" s="654">
        <v>1684049</v>
      </c>
      <c r="K3279" s="654">
        <v>0</v>
      </c>
      <c r="L3279" s="654">
        <v>1684049</v>
      </c>
      <c r="M3279" s="654">
        <v>0</v>
      </c>
      <c r="N3279" s="654">
        <v>0</v>
      </c>
    </row>
    <row r="3280" spans="2:14" x14ac:dyDescent="0.15">
      <c r="B3280"/>
      <c r="D3280" t="s">
        <v>965</v>
      </c>
      <c r="E3280" t="s">
        <v>986</v>
      </c>
      <c r="F3280" t="s">
        <v>626</v>
      </c>
      <c r="G3280" t="s">
        <v>600</v>
      </c>
      <c r="H3280" s="654">
        <v>0</v>
      </c>
      <c r="I3280" s="654">
        <v>0</v>
      </c>
      <c r="J3280" s="654">
        <v>0</v>
      </c>
      <c r="K3280" s="654">
        <v>0</v>
      </c>
      <c r="L3280" s="654">
        <v>0</v>
      </c>
      <c r="M3280" s="654">
        <v>0</v>
      </c>
      <c r="N3280" s="654">
        <v>0</v>
      </c>
    </row>
    <row r="3281" spans="2:14" x14ac:dyDescent="0.15">
      <c r="B3281"/>
      <c r="F3281" t="s">
        <v>733</v>
      </c>
      <c r="H3281" s="654">
        <v>0</v>
      </c>
      <c r="I3281" s="654">
        <v>0</v>
      </c>
      <c r="J3281" s="654">
        <v>0</v>
      </c>
      <c r="K3281" s="654">
        <v>0</v>
      </c>
      <c r="L3281" s="654">
        <v>0</v>
      </c>
      <c r="M3281" s="654">
        <v>0</v>
      </c>
      <c r="N3281" s="654">
        <v>0</v>
      </c>
    </row>
    <row r="3282" spans="2:14" x14ac:dyDescent="0.15">
      <c r="B3282"/>
      <c r="F3282" t="s">
        <v>627</v>
      </c>
      <c r="G3282" t="s">
        <v>599</v>
      </c>
      <c r="H3282" s="654">
        <v>0</v>
      </c>
      <c r="I3282" s="654">
        <v>0</v>
      </c>
      <c r="J3282" s="654">
        <v>0</v>
      </c>
      <c r="K3282" s="654">
        <v>0</v>
      </c>
      <c r="L3282" s="654">
        <v>0</v>
      </c>
      <c r="M3282" s="654">
        <v>0</v>
      </c>
      <c r="N3282" s="654">
        <v>0</v>
      </c>
    </row>
    <row r="3283" spans="2:14" x14ac:dyDescent="0.15">
      <c r="B3283"/>
      <c r="F3283" t="s">
        <v>734</v>
      </c>
      <c r="H3283" s="654">
        <v>0</v>
      </c>
      <c r="I3283" s="654">
        <v>0</v>
      </c>
      <c r="J3283" s="654">
        <v>0</v>
      </c>
      <c r="K3283" s="654">
        <v>0</v>
      </c>
      <c r="L3283" s="654">
        <v>0</v>
      </c>
      <c r="M3283" s="654">
        <v>0</v>
      </c>
      <c r="N3283" s="654">
        <v>0</v>
      </c>
    </row>
    <row r="3284" spans="2:14" x14ac:dyDescent="0.15">
      <c r="B3284"/>
      <c r="E3284" t="s">
        <v>1138</v>
      </c>
      <c r="H3284" s="654">
        <v>0</v>
      </c>
      <c r="I3284" s="654">
        <v>0</v>
      </c>
      <c r="J3284" s="654">
        <v>0</v>
      </c>
      <c r="K3284" s="654">
        <v>0</v>
      </c>
      <c r="L3284" s="654">
        <v>0</v>
      </c>
      <c r="M3284" s="654">
        <v>0</v>
      </c>
      <c r="N3284" s="654">
        <v>0</v>
      </c>
    </row>
    <row r="3285" spans="2:14" x14ac:dyDescent="0.15">
      <c r="B3285"/>
      <c r="D3285" t="s">
        <v>1139</v>
      </c>
      <c r="H3285" s="654">
        <v>0</v>
      </c>
      <c r="I3285" s="654">
        <v>0</v>
      </c>
      <c r="J3285" s="654">
        <v>0</v>
      </c>
      <c r="K3285" s="654">
        <v>0</v>
      </c>
      <c r="L3285" s="654">
        <v>0</v>
      </c>
      <c r="M3285" s="654">
        <v>0</v>
      </c>
      <c r="N3285" s="654">
        <v>0</v>
      </c>
    </row>
    <row r="3286" spans="2:14" x14ac:dyDescent="0.15">
      <c r="B3286"/>
      <c r="D3286" t="s">
        <v>1201</v>
      </c>
      <c r="E3286" t="s">
        <v>1199</v>
      </c>
      <c r="F3286" t="s">
        <v>626</v>
      </c>
      <c r="G3286" t="s">
        <v>600</v>
      </c>
      <c r="H3286" s="654">
        <v>1281841</v>
      </c>
      <c r="I3286" s="654">
        <v>0</v>
      </c>
      <c r="J3286" s="654">
        <v>1281841</v>
      </c>
      <c r="K3286" s="654">
        <v>0</v>
      </c>
      <c r="L3286" s="654">
        <v>1281841</v>
      </c>
      <c r="M3286" s="654">
        <v>10519</v>
      </c>
      <c r="N3286" s="654">
        <v>0</v>
      </c>
    </row>
    <row r="3287" spans="2:14" x14ac:dyDescent="0.15">
      <c r="B3287"/>
      <c r="F3287" t="s">
        <v>733</v>
      </c>
      <c r="H3287" s="654">
        <v>1281841</v>
      </c>
      <c r="I3287" s="654">
        <v>0</v>
      </c>
      <c r="J3287" s="654">
        <v>1281841</v>
      </c>
      <c r="K3287" s="654">
        <v>0</v>
      </c>
      <c r="L3287" s="654">
        <v>1281841</v>
      </c>
      <c r="M3287" s="654">
        <v>10519</v>
      </c>
      <c r="N3287" s="654">
        <v>0</v>
      </c>
    </row>
    <row r="3288" spans="2:14" x14ac:dyDescent="0.15">
      <c r="B3288"/>
      <c r="F3288" t="s">
        <v>627</v>
      </c>
      <c r="G3288" t="s">
        <v>599</v>
      </c>
      <c r="H3288" s="654">
        <v>517678</v>
      </c>
      <c r="I3288" s="654">
        <v>0</v>
      </c>
      <c r="J3288" s="654">
        <v>517678</v>
      </c>
      <c r="K3288" s="654">
        <v>0</v>
      </c>
      <c r="L3288" s="654">
        <v>517678</v>
      </c>
      <c r="M3288" s="654">
        <v>31021</v>
      </c>
      <c r="N3288" s="654">
        <v>0</v>
      </c>
    </row>
    <row r="3289" spans="2:14" x14ac:dyDescent="0.15">
      <c r="B3289"/>
      <c r="F3289" t="s">
        <v>734</v>
      </c>
      <c r="H3289" s="654">
        <v>517678</v>
      </c>
      <c r="I3289" s="654">
        <v>0</v>
      </c>
      <c r="J3289" s="654">
        <v>517678</v>
      </c>
      <c r="K3289" s="654">
        <v>0</v>
      </c>
      <c r="L3289" s="654">
        <v>517678</v>
      </c>
      <c r="M3289" s="654">
        <v>31021</v>
      </c>
      <c r="N3289" s="654">
        <v>0</v>
      </c>
    </row>
    <row r="3290" spans="2:14" x14ac:dyDescent="0.15">
      <c r="B3290"/>
      <c r="E3290" t="s">
        <v>1379</v>
      </c>
      <c r="H3290" s="654">
        <v>1799519</v>
      </c>
      <c r="I3290" s="654">
        <v>0</v>
      </c>
      <c r="J3290" s="654">
        <v>1799519</v>
      </c>
      <c r="K3290" s="654">
        <v>0</v>
      </c>
      <c r="L3290" s="654">
        <v>1799519</v>
      </c>
      <c r="M3290" s="654">
        <v>41540</v>
      </c>
      <c r="N3290" s="654">
        <v>0</v>
      </c>
    </row>
    <row r="3291" spans="2:14" x14ac:dyDescent="0.15">
      <c r="B3291"/>
      <c r="D3291" t="s">
        <v>1380</v>
      </c>
      <c r="H3291" s="654">
        <v>1799519</v>
      </c>
      <c r="I3291" s="654">
        <v>0</v>
      </c>
      <c r="J3291" s="654">
        <v>1799519</v>
      </c>
      <c r="K3291" s="654">
        <v>0</v>
      </c>
      <c r="L3291" s="654">
        <v>1799519</v>
      </c>
      <c r="M3291" s="654">
        <v>41540</v>
      </c>
      <c r="N3291" s="654">
        <v>0</v>
      </c>
    </row>
    <row r="3292" spans="2:14" x14ac:dyDescent="0.15">
      <c r="B3292"/>
      <c r="D3292" t="s">
        <v>1386</v>
      </c>
      <c r="E3292" t="s">
        <v>1384</v>
      </c>
      <c r="F3292" t="s">
        <v>631</v>
      </c>
      <c r="G3292" t="s">
        <v>596</v>
      </c>
      <c r="H3292" s="654">
        <v>1631515</v>
      </c>
      <c r="I3292" s="654">
        <v>0</v>
      </c>
      <c r="J3292" s="654">
        <v>1631515</v>
      </c>
      <c r="K3292" s="654">
        <v>0</v>
      </c>
      <c r="L3292" s="654">
        <v>1631515</v>
      </c>
      <c r="M3292" s="654">
        <v>0</v>
      </c>
      <c r="N3292" s="654">
        <v>0</v>
      </c>
    </row>
    <row r="3293" spans="2:14" x14ac:dyDescent="0.15">
      <c r="B3293"/>
      <c r="F3293" t="s">
        <v>737</v>
      </c>
      <c r="H3293" s="654">
        <v>1631515</v>
      </c>
      <c r="I3293" s="654">
        <v>0</v>
      </c>
      <c r="J3293" s="654">
        <v>1631515</v>
      </c>
      <c r="K3293" s="654">
        <v>0</v>
      </c>
      <c r="L3293" s="654">
        <v>1631515</v>
      </c>
      <c r="M3293" s="654">
        <v>0</v>
      </c>
      <c r="N3293" s="654">
        <v>0</v>
      </c>
    </row>
    <row r="3294" spans="2:14" x14ac:dyDescent="0.15">
      <c r="B3294"/>
      <c r="E3294" t="s">
        <v>1512</v>
      </c>
      <c r="H3294" s="654">
        <v>1631515</v>
      </c>
      <c r="I3294" s="654">
        <v>0</v>
      </c>
      <c r="J3294" s="654">
        <v>1631515</v>
      </c>
      <c r="K3294" s="654">
        <v>0</v>
      </c>
      <c r="L3294" s="654">
        <v>1631515</v>
      </c>
      <c r="M3294" s="654">
        <v>0</v>
      </c>
      <c r="N3294" s="654">
        <v>0</v>
      </c>
    </row>
    <row r="3295" spans="2:14" x14ac:dyDescent="0.15">
      <c r="B3295"/>
      <c r="D3295" t="s">
        <v>1513</v>
      </c>
      <c r="H3295" s="654">
        <v>1631515</v>
      </c>
      <c r="I3295" s="654">
        <v>0</v>
      </c>
      <c r="J3295" s="654">
        <v>1631515</v>
      </c>
      <c r="K3295" s="654">
        <v>0</v>
      </c>
      <c r="L3295" s="654">
        <v>1631515</v>
      </c>
      <c r="M3295" s="654">
        <v>0</v>
      </c>
      <c r="N3295" s="654">
        <v>0</v>
      </c>
    </row>
    <row r="3296" spans="2:14" x14ac:dyDescent="0.15">
      <c r="B3296"/>
      <c r="C3296" t="s">
        <v>853</v>
      </c>
      <c r="H3296" s="654">
        <v>36761432</v>
      </c>
      <c r="I3296" s="654">
        <v>0</v>
      </c>
      <c r="J3296" s="654">
        <v>36761432</v>
      </c>
      <c r="K3296" s="654">
        <v>0</v>
      </c>
      <c r="L3296" s="654">
        <v>36761432</v>
      </c>
      <c r="M3296" s="654">
        <v>286927</v>
      </c>
      <c r="N3296" s="654">
        <v>0</v>
      </c>
    </row>
    <row r="3297" spans="2:14" x14ac:dyDescent="0.15">
      <c r="B3297" t="s">
        <v>627</v>
      </c>
      <c r="C3297" t="s">
        <v>847</v>
      </c>
      <c r="D3297" t="s">
        <v>626</v>
      </c>
      <c r="E3297" t="s">
        <v>378</v>
      </c>
      <c r="F3297" t="s">
        <v>626</v>
      </c>
      <c r="G3297" t="s">
        <v>600</v>
      </c>
      <c r="H3297" s="654">
        <v>70683</v>
      </c>
      <c r="I3297" s="654">
        <v>0</v>
      </c>
      <c r="J3297" s="654">
        <v>70683</v>
      </c>
      <c r="K3297" s="654">
        <v>0</v>
      </c>
      <c r="L3297" s="654">
        <v>70683</v>
      </c>
      <c r="M3297" s="654">
        <v>0</v>
      </c>
      <c r="N3297" s="654">
        <v>0</v>
      </c>
    </row>
    <row r="3298" spans="2:14" x14ac:dyDescent="0.15">
      <c r="B3298"/>
      <c r="F3298" t="s">
        <v>733</v>
      </c>
      <c r="H3298" s="654">
        <v>70683</v>
      </c>
      <c r="I3298" s="654">
        <v>0</v>
      </c>
      <c r="J3298" s="654">
        <v>70683</v>
      </c>
      <c r="K3298" s="654">
        <v>0</v>
      </c>
      <c r="L3298" s="654">
        <v>70683</v>
      </c>
      <c r="M3298" s="654">
        <v>0</v>
      </c>
      <c r="N3298" s="654">
        <v>0</v>
      </c>
    </row>
    <row r="3299" spans="2:14" x14ac:dyDescent="0.15">
      <c r="B3299"/>
      <c r="F3299" t="s">
        <v>627</v>
      </c>
      <c r="G3299" t="s">
        <v>599</v>
      </c>
      <c r="H3299" s="654">
        <v>50413</v>
      </c>
      <c r="I3299" s="654">
        <v>0</v>
      </c>
      <c r="J3299" s="654">
        <v>50413</v>
      </c>
      <c r="K3299" s="654">
        <v>0</v>
      </c>
      <c r="L3299" s="654">
        <v>50413</v>
      </c>
      <c r="M3299" s="654">
        <v>0</v>
      </c>
      <c r="N3299" s="654">
        <v>0</v>
      </c>
    </row>
    <row r="3300" spans="2:14" x14ac:dyDescent="0.15">
      <c r="B3300"/>
      <c r="F3300" t="s">
        <v>734</v>
      </c>
      <c r="H3300" s="654">
        <v>50413</v>
      </c>
      <c r="I3300" s="654">
        <v>0</v>
      </c>
      <c r="J3300" s="654">
        <v>50413</v>
      </c>
      <c r="K3300" s="654">
        <v>0</v>
      </c>
      <c r="L3300" s="654">
        <v>50413</v>
      </c>
      <c r="M3300" s="654">
        <v>0</v>
      </c>
      <c r="N3300" s="654">
        <v>0</v>
      </c>
    </row>
    <row r="3301" spans="2:14" x14ac:dyDescent="0.15">
      <c r="B3301"/>
      <c r="F3301" t="s">
        <v>628</v>
      </c>
      <c r="G3301" t="s">
        <v>598</v>
      </c>
      <c r="H3301" s="654">
        <v>48941</v>
      </c>
      <c r="I3301" s="654">
        <v>0</v>
      </c>
      <c r="J3301" s="654">
        <v>48941</v>
      </c>
      <c r="K3301" s="654">
        <v>0</v>
      </c>
      <c r="L3301" s="654">
        <v>48941</v>
      </c>
      <c r="M3301" s="654">
        <v>0</v>
      </c>
      <c r="N3301" s="654">
        <v>0</v>
      </c>
    </row>
    <row r="3302" spans="2:14" x14ac:dyDescent="0.15">
      <c r="B3302"/>
      <c r="F3302" t="s">
        <v>735</v>
      </c>
      <c r="H3302" s="654">
        <v>48941</v>
      </c>
      <c r="I3302" s="654">
        <v>0</v>
      </c>
      <c r="J3302" s="654">
        <v>48941</v>
      </c>
      <c r="K3302" s="654">
        <v>0</v>
      </c>
      <c r="L3302" s="654">
        <v>48941</v>
      </c>
      <c r="M3302" s="654">
        <v>0</v>
      </c>
      <c r="N3302" s="654">
        <v>0</v>
      </c>
    </row>
    <row r="3303" spans="2:14" x14ac:dyDescent="0.15">
      <c r="B3303"/>
      <c r="E3303" t="s">
        <v>769</v>
      </c>
      <c r="H3303" s="654">
        <v>170037</v>
      </c>
      <c r="I3303" s="654">
        <v>0</v>
      </c>
      <c r="J3303" s="654">
        <v>170037</v>
      </c>
      <c r="K3303" s="654">
        <v>0</v>
      </c>
      <c r="L3303" s="654">
        <v>170037</v>
      </c>
      <c r="M3303" s="654">
        <v>0</v>
      </c>
      <c r="N3303" s="654">
        <v>0</v>
      </c>
    </row>
    <row r="3304" spans="2:14" x14ac:dyDescent="0.15">
      <c r="B3304"/>
      <c r="D3304" t="s">
        <v>733</v>
      </c>
      <c r="H3304" s="654">
        <v>170037</v>
      </c>
      <c r="I3304" s="654">
        <v>0</v>
      </c>
      <c r="J3304" s="654">
        <v>170037</v>
      </c>
      <c r="K3304" s="654">
        <v>0</v>
      </c>
      <c r="L3304" s="654">
        <v>170037</v>
      </c>
      <c r="M3304" s="654">
        <v>0</v>
      </c>
      <c r="N3304" s="654">
        <v>0</v>
      </c>
    </row>
    <row r="3305" spans="2:14" x14ac:dyDescent="0.15">
      <c r="B3305"/>
      <c r="D3305" t="s">
        <v>627</v>
      </c>
      <c r="E3305" t="s">
        <v>379</v>
      </c>
      <c r="F3305" t="s">
        <v>626</v>
      </c>
      <c r="G3305" t="s">
        <v>600</v>
      </c>
      <c r="H3305" s="654">
        <v>384539</v>
      </c>
      <c r="I3305" s="654">
        <v>0</v>
      </c>
      <c r="J3305" s="654">
        <v>384539</v>
      </c>
      <c r="K3305" s="654">
        <v>0</v>
      </c>
      <c r="L3305" s="654">
        <v>384539</v>
      </c>
      <c r="M3305" s="654">
        <v>0</v>
      </c>
      <c r="N3305" s="654">
        <v>0</v>
      </c>
    </row>
    <row r="3306" spans="2:14" x14ac:dyDescent="0.15">
      <c r="B3306"/>
      <c r="F3306" t="s">
        <v>733</v>
      </c>
      <c r="H3306" s="654">
        <v>384539</v>
      </c>
      <c r="I3306" s="654">
        <v>0</v>
      </c>
      <c r="J3306" s="654">
        <v>384539</v>
      </c>
      <c r="K3306" s="654">
        <v>0</v>
      </c>
      <c r="L3306" s="654">
        <v>384539</v>
      </c>
      <c r="M3306" s="654">
        <v>0</v>
      </c>
      <c r="N3306" s="654">
        <v>0</v>
      </c>
    </row>
    <row r="3307" spans="2:14" x14ac:dyDescent="0.15">
      <c r="B3307"/>
      <c r="F3307" t="s">
        <v>627</v>
      </c>
      <c r="G3307" t="s">
        <v>599</v>
      </c>
      <c r="H3307" s="654">
        <v>243950</v>
      </c>
      <c r="I3307" s="654">
        <v>0</v>
      </c>
      <c r="J3307" s="654">
        <v>243950</v>
      </c>
      <c r="K3307" s="654">
        <v>0</v>
      </c>
      <c r="L3307" s="654">
        <v>243950</v>
      </c>
      <c r="M3307" s="654">
        <v>0</v>
      </c>
      <c r="N3307" s="654">
        <v>0</v>
      </c>
    </row>
    <row r="3308" spans="2:14" x14ac:dyDescent="0.15">
      <c r="B3308"/>
      <c r="F3308" t="s">
        <v>734</v>
      </c>
      <c r="H3308" s="654">
        <v>243950</v>
      </c>
      <c r="I3308" s="654">
        <v>0</v>
      </c>
      <c r="J3308" s="654">
        <v>243950</v>
      </c>
      <c r="K3308" s="654">
        <v>0</v>
      </c>
      <c r="L3308" s="654">
        <v>243950</v>
      </c>
      <c r="M3308" s="654">
        <v>0</v>
      </c>
      <c r="N3308" s="654">
        <v>0</v>
      </c>
    </row>
    <row r="3309" spans="2:14" x14ac:dyDescent="0.15">
      <c r="B3309"/>
      <c r="F3309" t="s">
        <v>628</v>
      </c>
      <c r="G3309" t="s">
        <v>598</v>
      </c>
      <c r="H3309" s="654">
        <v>14950</v>
      </c>
      <c r="I3309" s="654">
        <v>0</v>
      </c>
      <c r="J3309" s="654">
        <v>14950</v>
      </c>
      <c r="K3309" s="654">
        <v>0</v>
      </c>
      <c r="L3309" s="654">
        <v>14950</v>
      </c>
      <c r="M3309" s="654">
        <v>0</v>
      </c>
      <c r="N3309" s="654">
        <v>0</v>
      </c>
    </row>
    <row r="3310" spans="2:14" x14ac:dyDescent="0.15">
      <c r="B3310"/>
      <c r="F3310" t="s">
        <v>735</v>
      </c>
      <c r="H3310" s="654">
        <v>14950</v>
      </c>
      <c r="I3310" s="654">
        <v>0</v>
      </c>
      <c r="J3310" s="654">
        <v>14950</v>
      </c>
      <c r="K3310" s="654">
        <v>0</v>
      </c>
      <c r="L3310" s="654">
        <v>14950</v>
      </c>
      <c r="M3310" s="654">
        <v>0</v>
      </c>
      <c r="N3310" s="654">
        <v>0</v>
      </c>
    </row>
    <row r="3311" spans="2:14" x14ac:dyDescent="0.15">
      <c r="B3311"/>
      <c r="E3311" t="s">
        <v>770</v>
      </c>
      <c r="H3311" s="654">
        <v>643439</v>
      </c>
      <c r="I3311" s="654">
        <v>0</v>
      </c>
      <c r="J3311" s="654">
        <v>643439</v>
      </c>
      <c r="K3311" s="654">
        <v>0</v>
      </c>
      <c r="L3311" s="654">
        <v>643439</v>
      </c>
      <c r="M3311" s="654">
        <v>0</v>
      </c>
      <c r="N3311" s="654">
        <v>0</v>
      </c>
    </row>
    <row r="3312" spans="2:14" x14ac:dyDescent="0.15">
      <c r="B3312"/>
      <c r="D3312" t="s">
        <v>734</v>
      </c>
      <c r="H3312" s="654">
        <v>643439</v>
      </c>
      <c r="I3312" s="654">
        <v>0</v>
      </c>
      <c r="J3312" s="654">
        <v>643439</v>
      </c>
      <c r="K3312" s="654">
        <v>0</v>
      </c>
      <c r="L3312" s="654">
        <v>643439</v>
      </c>
      <c r="M3312" s="654">
        <v>0</v>
      </c>
      <c r="N3312" s="654">
        <v>0</v>
      </c>
    </row>
    <row r="3313" spans="2:14" x14ac:dyDescent="0.15">
      <c r="B3313"/>
      <c r="D3313" t="s">
        <v>628</v>
      </c>
      <c r="E3313" t="s">
        <v>380</v>
      </c>
      <c r="F3313" t="s">
        <v>626</v>
      </c>
      <c r="G3313" t="s">
        <v>600</v>
      </c>
      <c r="H3313" s="654">
        <v>84377</v>
      </c>
      <c r="I3313" s="654">
        <v>0</v>
      </c>
      <c r="J3313" s="654">
        <v>84377</v>
      </c>
      <c r="K3313" s="654">
        <v>0</v>
      </c>
      <c r="L3313" s="654">
        <v>84377</v>
      </c>
      <c r="M3313" s="654">
        <v>0</v>
      </c>
      <c r="N3313" s="654">
        <v>0</v>
      </c>
    </row>
    <row r="3314" spans="2:14" x14ac:dyDescent="0.15">
      <c r="B3314"/>
      <c r="F3314" t="s">
        <v>733</v>
      </c>
      <c r="H3314" s="654">
        <v>84377</v>
      </c>
      <c r="I3314" s="654">
        <v>0</v>
      </c>
      <c r="J3314" s="654">
        <v>84377</v>
      </c>
      <c r="K3314" s="654">
        <v>0</v>
      </c>
      <c r="L3314" s="654">
        <v>84377</v>
      </c>
      <c r="M3314" s="654">
        <v>0</v>
      </c>
      <c r="N3314" s="654">
        <v>0</v>
      </c>
    </row>
    <row r="3315" spans="2:14" x14ac:dyDescent="0.15">
      <c r="B3315"/>
      <c r="F3315" t="s">
        <v>627</v>
      </c>
      <c r="G3315" t="s">
        <v>599</v>
      </c>
      <c r="H3315" s="654">
        <v>138036</v>
      </c>
      <c r="I3315" s="654">
        <v>0</v>
      </c>
      <c r="J3315" s="654">
        <v>138036</v>
      </c>
      <c r="K3315" s="654">
        <v>0</v>
      </c>
      <c r="L3315" s="654">
        <v>138036</v>
      </c>
      <c r="M3315" s="654">
        <v>0</v>
      </c>
      <c r="N3315" s="654">
        <v>0</v>
      </c>
    </row>
    <row r="3316" spans="2:14" x14ac:dyDescent="0.15">
      <c r="B3316"/>
      <c r="F3316" t="s">
        <v>734</v>
      </c>
      <c r="H3316" s="654">
        <v>138036</v>
      </c>
      <c r="I3316" s="654">
        <v>0</v>
      </c>
      <c r="J3316" s="654">
        <v>138036</v>
      </c>
      <c r="K3316" s="654">
        <v>0</v>
      </c>
      <c r="L3316" s="654">
        <v>138036</v>
      </c>
      <c r="M3316" s="654">
        <v>0</v>
      </c>
      <c r="N3316" s="654">
        <v>0</v>
      </c>
    </row>
    <row r="3317" spans="2:14" x14ac:dyDescent="0.15">
      <c r="B3317"/>
      <c r="E3317" t="s">
        <v>771</v>
      </c>
      <c r="H3317" s="654">
        <v>222413</v>
      </c>
      <c r="I3317" s="654">
        <v>0</v>
      </c>
      <c r="J3317" s="654">
        <v>222413</v>
      </c>
      <c r="K3317" s="654">
        <v>0</v>
      </c>
      <c r="L3317" s="654">
        <v>222413</v>
      </c>
      <c r="M3317" s="654">
        <v>0</v>
      </c>
      <c r="N3317" s="654">
        <v>0</v>
      </c>
    </row>
    <row r="3318" spans="2:14" x14ac:dyDescent="0.15">
      <c r="B3318"/>
      <c r="D3318" t="s">
        <v>735</v>
      </c>
      <c r="H3318" s="654">
        <v>222413</v>
      </c>
      <c r="I3318" s="654">
        <v>0</v>
      </c>
      <c r="J3318" s="654">
        <v>222413</v>
      </c>
      <c r="K3318" s="654">
        <v>0</v>
      </c>
      <c r="L3318" s="654">
        <v>222413</v>
      </c>
      <c r="M3318" s="654">
        <v>0</v>
      </c>
      <c r="N3318" s="654">
        <v>0</v>
      </c>
    </row>
    <row r="3319" spans="2:14" x14ac:dyDescent="0.15">
      <c r="B3319"/>
      <c r="D3319" t="s">
        <v>629</v>
      </c>
      <c r="E3319" t="s">
        <v>676</v>
      </c>
      <c r="F3319" t="s">
        <v>629</v>
      </c>
      <c r="G3319" t="s">
        <v>601</v>
      </c>
      <c r="H3319" s="654">
        <v>66064</v>
      </c>
      <c r="I3319" s="654">
        <v>0</v>
      </c>
      <c r="J3319" s="654">
        <v>66064</v>
      </c>
      <c r="K3319" s="654">
        <v>0</v>
      </c>
      <c r="L3319" s="654">
        <v>66064</v>
      </c>
      <c r="M3319" s="654">
        <v>0</v>
      </c>
      <c r="N3319" s="654">
        <v>0</v>
      </c>
    </row>
    <row r="3320" spans="2:14" x14ac:dyDescent="0.15">
      <c r="B3320"/>
      <c r="F3320" t="s">
        <v>736</v>
      </c>
      <c r="H3320" s="654">
        <v>66064</v>
      </c>
      <c r="I3320" s="654">
        <v>0</v>
      </c>
      <c r="J3320" s="654">
        <v>66064</v>
      </c>
      <c r="K3320" s="654">
        <v>0</v>
      </c>
      <c r="L3320" s="654">
        <v>66064</v>
      </c>
      <c r="M3320" s="654">
        <v>0</v>
      </c>
      <c r="N3320" s="654">
        <v>0</v>
      </c>
    </row>
    <row r="3321" spans="2:14" x14ac:dyDescent="0.15">
      <c r="B3321"/>
      <c r="E3321" t="s">
        <v>772</v>
      </c>
      <c r="H3321" s="654">
        <v>66064</v>
      </c>
      <c r="I3321" s="654">
        <v>0</v>
      </c>
      <c r="J3321" s="654">
        <v>66064</v>
      </c>
      <c r="K3321" s="654">
        <v>0</v>
      </c>
      <c r="L3321" s="654">
        <v>66064</v>
      </c>
      <c r="M3321" s="654">
        <v>0</v>
      </c>
      <c r="N3321" s="654">
        <v>0</v>
      </c>
    </row>
    <row r="3322" spans="2:14" x14ac:dyDescent="0.15">
      <c r="B3322"/>
      <c r="D3322" t="s">
        <v>736</v>
      </c>
      <c r="H3322" s="654">
        <v>66064</v>
      </c>
      <c r="I3322" s="654">
        <v>0</v>
      </c>
      <c r="J3322" s="654">
        <v>66064</v>
      </c>
      <c r="K3322" s="654">
        <v>0</v>
      </c>
      <c r="L3322" s="654">
        <v>66064</v>
      </c>
      <c r="M3322" s="654">
        <v>0</v>
      </c>
      <c r="N3322" s="654">
        <v>0</v>
      </c>
    </row>
    <row r="3323" spans="2:14" x14ac:dyDescent="0.15">
      <c r="B3323"/>
      <c r="D3323" t="s">
        <v>567</v>
      </c>
      <c r="E3323" t="s">
        <v>473</v>
      </c>
      <c r="F3323" t="s">
        <v>631</v>
      </c>
      <c r="G3323" t="s">
        <v>596</v>
      </c>
      <c r="H3323" s="654">
        <v>0</v>
      </c>
      <c r="I3323" s="654">
        <v>0</v>
      </c>
      <c r="J3323" s="654">
        <v>0</v>
      </c>
      <c r="K3323" s="654">
        <v>0</v>
      </c>
      <c r="L3323" s="654">
        <v>0</v>
      </c>
      <c r="M3323" s="654">
        <v>0</v>
      </c>
      <c r="N3323" s="654">
        <v>0</v>
      </c>
    </row>
    <row r="3324" spans="2:14" x14ac:dyDescent="0.15">
      <c r="B3324"/>
      <c r="F3324" t="s">
        <v>737</v>
      </c>
      <c r="H3324" s="654">
        <v>0</v>
      </c>
      <c r="I3324" s="654">
        <v>0</v>
      </c>
      <c r="J3324" s="654">
        <v>0</v>
      </c>
      <c r="K3324" s="654">
        <v>0</v>
      </c>
      <c r="L3324" s="654">
        <v>0</v>
      </c>
      <c r="M3324" s="654">
        <v>0</v>
      </c>
      <c r="N3324" s="654">
        <v>0</v>
      </c>
    </row>
    <row r="3325" spans="2:14" x14ac:dyDescent="0.15">
      <c r="B3325"/>
      <c r="E3325" t="s">
        <v>773</v>
      </c>
      <c r="H3325" s="654">
        <v>0</v>
      </c>
      <c r="I3325" s="654">
        <v>0</v>
      </c>
      <c r="J3325" s="654">
        <v>0</v>
      </c>
      <c r="K3325" s="654">
        <v>0</v>
      </c>
      <c r="L3325" s="654">
        <v>0</v>
      </c>
      <c r="M3325" s="654">
        <v>0</v>
      </c>
      <c r="N3325" s="654">
        <v>0</v>
      </c>
    </row>
    <row r="3326" spans="2:14" x14ac:dyDescent="0.15">
      <c r="B3326"/>
      <c r="D3326" t="s">
        <v>739</v>
      </c>
      <c r="H3326" s="654">
        <v>0</v>
      </c>
      <c r="I3326" s="654">
        <v>0</v>
      </c>
      <c r="J3326" s="654">
        <v>0</v>
      </c>
      <c r="K3326" s="654">
        <v>0</v>
      </c>
      <c r="L3326" s="654">
        <v>0</v>
      </c>
      <c r="M3326" s="654">
        <v>0</v>
      </c>
      <c r="N3326" s="654">
        <v>0</v>
      </c>
    </row>
    <row r="3327" spans="2:14" x14ac:dyDescent="0.15">
      <c r="B3327"/>
      <c r="D3327" t="s">
        <v>568</v>
      </c>
      <c r="E3327" t="s">
        <v>474</v>
      </c>
      <c r="F3327" t="s">
        <v>631</v>
      </c>
      <c r="G3327" t="s">
        <v>596</v>
      </c>
      <c r="H3327" s="654">
        <v>0</v>
      </c>
      <c r="I3327" s="654">
        <v>0</v>
      </c>
      <c r="J3327" s="654">
        <v>0</v>
      </c>
      <c r="K3327" s="654">
        <v>0</v>
      </c>
      <c r="L3327" s="654">
        <v>0</v>
      </c>
      <c r="M3327" s="654">
        <v>0</v>
      </c>
      <c r="N3327" s="654">
        <v>0</v>
      </c>
    </row>
    <row r="3328" spans="2:14" x14ac:dyDescent="0.15">
      <c r="B3328"/>
      <c r="F3328" t="s">
        <v>737</v>
      </c>
      <c r="H3328" s="654">
        <v>0</v>
      </c>
      <c r="I3328" s="654">
        <v>0</v>
      </c>
      <c r="J3328" s="654">
        <v>0</v>
      </c>
      <c r="K3328" s="654">
        <v>0</v>
      </c>
      <c r="L3328" s="654">
        <v>0</v>
      </c>
      <c r="M3328" s="654">
        <v>0</v>
      </c>
      <c r="N3328" s="654">
        <v>0</v>
      </c>
    </row>
    <row r="3329" spans="2:14" x14ac:dyDescent="0.15">
      <c r="B3329"/>
      <c r="E3329" t="s">
        <v>774</v>
      </c>
      <c r="H3329" s="654">
        <v>0</v>
      </c>
      <c r="I3329" s="654">
        <v>0</v>
      </c>
      <c r="J3329" s="654">
        <v>0</v>
      </c>
      <c r="K3329" s="654">
        <v>0</v>
      </c>
      <c r="L3329" s="654">
        <v>0</v>
      </c>
      <c r="M3329" s="654">
        <v>0</v>
      </c>
      <c r="N3329" s="654">
        <v>0</v>
      </c>
    </row>
    <row r="3330" spans="2:14" x14ac:dyDescent="0.15">
      <c r="B3330"/>
      <c r="D3330" t="s">
        <v>740</v>
      </c>
      <c r="H3330" s="654">
        <v>0</v>
      </c>
      <c r="I3330" s="654">
        <v>0</v>
      </c>
      <c r="J3330" s="654">
        <v>0</v>
      </c>
      <c r="K3330" s="654">
        <v>0</v>
      </c>
      <c r="L3330" s="654">
        <v>0</v>
      </c>
      <c r="M3330" s="654">
        <v>0</v>
      </c>
      <c r="N3330" s="654">
        <v>0</v>
      </c>
    </row>
    <row r="3331" spans="2:14" x14ac:dyDescent="0.15">
      <c r="B3331"/>
      <c r="D3331" t="s">
        <v>582</v>
      </c>
      <c r="E3331" t="s">
        <v>384</v>
      </c>
      <c r="F3331" t="s">
        <v>631</v>
      </c>
      <c r="G3331" t="s">
        <v>596</v>
      </c>
      <c r="H3331" s="654">
        <v>477477</v>
      </c>
      <c r="I3331" s="654">
        <v>0</v>
      </c>
      <c r="J3331" s="654">
        <v>477477</v>
      </c>
      <c r="K3331" s="654">
        <v>0</v>
      </c>
      <c r="L3331" s="654">
        <v>477477</v>
      </c>
      <c r="M3331" s="654">
        <v>0</v>
      </c>
      <c r="N3331" s="654">
        <v>0</v>
      </c>
    </row>
    <row r="3332" spans="2:14" x14ac:dyDescent="0.15">
      <c r="B3332"/>
      <c r="F3332" t="s">
        <v>737</v>
      </c>
      <c r="H3332" s="654">
        <v>477477</v>
      </c>
      <c r="I3332" s="654">
        <v>0</v>
      </c>
      <c r="J3332" s="654">
        <v>477477</v>
      </c>
      <c r="K3332" s="654">
        <v>0</v>
      </c>
      <c r="L3332" s="654">
        <v>477477</v>
      </c>
      <c r="M3332" s="654">
        <v>0</v>
      </c>
      <c r="N3332" s="654">
        <v>0</v>
      </c>
    </row>
    <row r="3333" spans="2:14" x14ac:dyDescent="0.15">
      <c r="B3333"/>
      <c r="E3333" t="s">
        <v>778</v>
      </c>
      <c r="H3333" s="654">
        <v>477477</v>
      </c>
      <c r="I3333" s="654">
        <v>0</v>
      </c>
      <c r="J3333" s="654">
        <v>477477</v>
      </c>
      <c r="K3333" s="654">
        <v>0</v>
      </c>
      <c r="L3333" s="654">
        <v>477477</v>
      </c>
      <c r="M3333" s="654">
        <v>0</v>
      </c>
      <c r="N3333" s="654">
        <v>0</v>
      </c>
    </row>
    <row r="3334" spans="2:14" x14ac:dyDescent="0.15">
      <c r="B3334"/>
      <c r="D3334" t="s">
        <v>743</v>
      </c>
      <c r="H3334" s="654">
        <v>477477</v>
      </c>
      <c r="I3334" s="654">
        <v>0</v>
      </c>
      <c r="J3334" s="654">
        <v>477477</v>
      </c>
      <c r="K3334" s="654">
        <v>0</v>
      </c>
      <c r="L3334" s="654">
        <v>477477</v>
      </c>
      <c r="M3334" s="654">
        <v>0</v>
      </c>
      <c r="N3334" s="654">
        <v>0</v>
      </c>
    </row>
    <row r="3335" spans="2:14" x14ac:dyDescent="0.15">
      <c r="B3335"/>
      <c r="D3335" t="s">
        <v>631</v>
      </c>
      <c r="E3335" t="s">
        <v>381</v>
      </c>
      <c r="F3335" t="s">
        <v>626</v>
      </c>
      <c r="G3335" t="s">
        <v>600</v>
      </c>
      <c r="H3335" s="654">
        <v>0</v>
      </c>
      <c r="I3335" s="654">
        <v>0</v>
      </c>
      <c r="J3335" s="654">
        <v>0</v>
      </c>
      <c r="K3335" s="654">
        <v>0</v>
      </c>
      <c r="L3335" s="654">
        <v>0</v>
      </c>
      <c r="M3335" s="654">
        <v>0</v>
      </c>
      <c r="N3335" s="654">
        <v>0</v>
      </c>
    </row>
    <row r="3336" spans="2:14" x14ac:dyDescent="0.15">
      <c r="B3336"/>
      <c r="F3336" t="s">
        <v>733</v>
      </c>
      <c r="H3336" s="654">
        <v>0</v>
      </c>
      <c r="I3336" s="654">
        <v>0</v>
      </c>
      <c r="J3336" s="654">
        <v>0</v>
      </c>
      <c r="K3336" s="654">
        <v>0</v>
      </c>
      <c r="L3336" s="654">
        <v>0</v>
      </c>
      <c r="M3336" s="654">
        <v>0</v>
      </c>
      <c r="N3336" s="654">
        <v>0</v>
      </c>
    </row>
    <row r="3337" spans="2:14" x14ac:dyDescent="0.15">
      <c r="B3337"/>
      <c r="E3337" t="s">
        <v>776</v>
      </c>
      <c r="H3337" s="654">
        <v>0</v>
      </c>
      <c r="I3337" s="654">
        <v>0</v>
      </c>
      <c r="J3337" s="654">
        <v>0</v>
      </c>
      <c r="K3337" s="654">
        <v>0</v>
      </c>
      <c r="L3337" s="654">
        <v>0</v>
      </c>
      <c r="M3337" s="654">
        <v>0</v>
      </c>
      <c r="N3337" s="654">
        <v>0</v>
      </c>
    </row>
    <row r="3338" spans="2:14" x14ac:dyDescent="0.15">
      <c r="B3338"/>
      <c r="D3338" t="s">
        <v>737</v>
      </c>
      <c r="H3338" s="654">
        <v>0</v>
      </c>
      <c r="I3338" s="654">
        <v>0</v>
      </c>
      <c r="J3338" s="654">
        <v>0</v>
      </c>
      <c r="K3338" s="654">
        <v>0</v>
      </c>
      <c r="L3338" s="654">
        <v>0</v>
      </c>
      <c r="M3338" s="654">
        <v>0</v>
      </c>
      <c r="N3338" s="654">
        <v>0</v>
      </c>
    </row>
    <row r="3339" spans="2:14" x14ac:dyDescent="0.15">
      <c r="B3339"/>
      <c r="D3339" t="s">
        <v>965</v>
      </c>
      <c r="E3339" t="s">
        <v>986</v>
      </c>
      <c r="F3339" t="s">
        <v>626</v>
      </c>
      <c r="G3339" t="s">
        <v>600</v>
      </c>
      <c r="H3339" s="654">
        <v>13148</v>
      </c>
      <c r="I3339" s="654">
        <v>0</v>
      </c>
      <c r="J3339" s="654">
        <v>13148</v>
      </c>
      <c r="K3339" s="654">
        <v>0</v>
      </c>
      <c r="L3339" s="654">
        <v>13148</v>
      </c>
      <c r="M3339" s="654">
        <v>0</v>
      </c>
      <c r="N3339" s="654">
        <v>0</v>
      </c>
    </row>
    <row r="3340" spans="2:14" x14ac:dyDescent="0.15">
      <c r="B3340"/>
      <c r="F3340" t="s">
        <v>733</v>
      </c>
      <c r="H3340" s="654">
        <v>13148</v>
      </c>
      <c r="I3340" s="654">
        <v>0</v>
      </c>
      <c r="J3340" s="654">
        <v>13148</v>
      </c>
      <c r="K3340" s="654">
        <v>0</v>
      </c>
      <c r="L3340" s="654">
        <v>13148</v>
      </c>
      <c r="M3340" s="654">
        <v>0</v>
      </c>
      <c r="N3340" s="654">
        <v>0</v>
      </c>
    </row>
    <row r="3341" spans="2:14" x14ac:dyDescent="0.15">
      <c r="B3341"/>
      <c r="F3341" t="s">
        <v>627</v>
      </c>
      <c r="G3341" t="s">
        <v>599</v>
      </c>
      <c r="H3341" s="654">
        <v>0</v>
      </c>
      <c r="I3341" s="654">
        <v>0</v>
      </c>
      <c r="J3341" s="654">
        <v>0</v>
      </c>
      <c r="K3341" s="654">
        <v>0</v>
      </c>
      <c r="L3341" s="654">
        <v>0</v>
      </c>
      <c r="M3341" s="654">
        <v>0</v>
      </c>
      <c r="N3341" s="654">
        <v>0</v>
      </c>
    </row>
    <row r="3342" spans="2:14" x14ac:dyDescent="0.15">
      <c r="B3342"/>
      <c r="F3342" t="s">
        <v>734</v>
      </c>
      <c r="H3342" s="654">
        <v>0</v>
      </c>
      <c r="I3342" s="654">
        <v>0</v>
      </c>
      <c r="J3342" s="654">
        <v>0</v>
      </c>
      <c r="K3342" s="654">
        <v>0</v>
      </c>
      <c r="L3342" s="654">
        <v>0</v>
      </c>
      <c r="M3342" s="654">
        <v>0</v>
      </c>
      <c r="N3342" s="654">
        <v>0</v>
      </c>
    </row>
    <row r="3343" spans="2:14" x14ac:dyDescent="0.15">
      <c r="B3343"/>
      <c r="E3343" t="s">
        <v>1138</v>
      </c>
      <c r="H3343" s="654">
        <v>13148</v>
      </c>
      <c r="I3343" s="654">
        <v>0</v>
      </c>
      <c r="J3343" s="654">
        <v>13148</v>
      </c>
      <c r="K3343" s="654">
        <v>0</v>
      </c>
      <c r="L3343" s="654">
        <v>13148</v>
      </c>
      <c r="M3343" s="654">
        <v>0</v>
      </c>
      <c r="N3343" s="654">
        <v>0</v>
      </c>
    </row>
    <row r="3344" spans="2:14" x14ac:dyDescent="0.15">
      <c r="B3344"/>
      <c r="D3344" t="s">
        <v>1139</v>
      </c>
      <c r="H3344" s="654">
        <v>13148</v>
      </c>
      <c r="I3344" s="654">
        <v>0</v>
      </c>
      <c r="J3344" s="654">
        <v>13148</v>
      </c>
      <c r="K3344" s="654">
        <v>0</v>
      </c>
      <c r="L3344" s="654">
        <v>13148</v>
      </c>
      <c r="M3344" s="654">
        <v>0</v>
      </c>
      <c r="N3344" s="654">
        <v>0</v>
      </c>
    </row>
    <row r="3345" spans="1:14" x14ac:dyDescent="0.15">
      <c r="B3345"/>
      <c r="D3345" t="s">
        <v>1201</v>
      </c>
      <c r="E3345" t="s">
        <v>1199</v>
      </c>
      <c r="F3345" t="s">
        <v>626</v>
      </c>
      <c r="G3345" t="s">
        <v>600</v>
      </c>
      <c r="H3345" s="654">
        <v>43017</v>
      </c>
      <c r="I3345" s="654">
        <v>0</v>
      </c>
      <c r="J3345" s="654">
        <v>43017</v>
      </c>
      <c r="K3345" s="654">
        <v>0</v>
      </c>
      <c r="L3345" s="654">
        <v>43017</v>
      </c>
      <c r="M3345" s="654">
        <v>0</v>
      </c>
      <c r="N3345" s="654">
        <v>0</v>
      </c>
    </row>
    <row r="3346" spans="1:14" x14ac:dyDescent="0.15">
      <c r="B3346"/>
      <c r="F3346" t="s">
        <v>733</v>
      </c>
      <c r="H3346" s="654">
        <v>43017</v>
      </c>
      <c r="I3346" s="654">
        <v>0</v>
      </c>
      <c r="J3346" s="654">
        <v>43017</v>
      </c>
      <c r="K3346" s="654">
        <v>0</v>
      </c>
      <c r="L3346" s="654">
        <v>43017</v>
      </c>
      <c r="M3346" s="654">
        <v>0</v>
      </c>
      <c r="N3346" s="654">
        <v>0</v>
      </c>
    </row>
    <row r="3347" spans="1:14" x14ac:dyDescent="0.15">
      <c r="B3347"/>
      <c r="F3347" t="s">
        <v>627</v>
      </c>
      <c r="G3347" t="s">
        <v>599</v>
      </c>
      <c r="H3347" s="654">
        <v>0</v>
      </c>
      <c r="I3347" s="654">
        <v>0</v>
      </c>
      <c r="J3347" s="654">
        <v>0</v>
      </c>
      <c r="K3347" s="654">
        <v>0</v>
      </c>
      <c r="L3347" s="654">
        <v>0</v>
      </c>
      <c r="M3347" s="654">
        <v>0</v>
      </c>
      <c r="N3347" s="654">
        <v>0</v>
      </c>
    </row>
    <row r="3348" spans="1:14" x14ac:dyDescent="0.15">
      <c r="B3348"/>
      <c r="F3348" t="s">
        <v>734</v>
      </c>
      <c r="H3348" s="654">
        <v>0</v>
      </c>
      <c r="I3348" s="654">
        <v>0</v>
      </c>
      <c r="J3348" s="654">
        <v>0</v>
      </c>
      <c r="K3348" s="654">
        <v>0</v>
      </c>
      <c r="L3348" s="654">
        <v>0</v>
      </c>
      <c r="M3348" s="654">
        <v>0</v>
      </c>
      <c r="N3348" s="654">
        <v>0</v>
      </c>
    </row>
    <row r="3349" spans="1:14" x14ac:dyDescent="0.15">
      <c r="B3349"/>
      <c r="E3349" t="s">
        <v>1379</v>
      </c>
      <c r="H3349" s="654">
        <v>43017</v>
      </c>
      <c r="I3349" s="654">
        <v>0</v>
      </c>
      <c r="J3349" s="654">
        <v>43017</v>
      </c>
      <c r="K3349" s="654">
        <v>0</v>
      </c>
      <c r="L3349" s="654">
        <v>43017</v>
      </c>
      <c r="M3349" s="654">
        <v>0</v>
      </c>
      <c r="N3349" s="654">
        <v>0</v>
      </c>
    </row>
    <row r="3350" spans="1:14" x14ac:dyDescent="0.15">
      <c r="B3350"/>
      <c r="D3350" t="s">
        <v>1380</v>
      </c>
      <c r="H3350" s="654">
        <v>43017</v>
      </c>
      <c r="I3350" s="654">
        <v>0</v>
      </c>
      <c r="J3350" s="654">
        <v>43017</v>
      </c>
      <c r="K3350" s="654">
        <v>0</v>
      </c>
      <c r="L3350" s="654">
        <v>43017</v>
      </c>
      <c r="M3350" s="654">
        <v>0</v>
      </c>
      <c r="N3350" s="654">
        <v>0</v>
      </c>
    </row>
    <row r="3351" spans="1:14" x14ac:dyDescent="0.15">
      <c r="B3351"/>
      <c r="D3351" t="s">
        <v>1386</v>
      </c>
      <c r="E3351" t="s">
        <v>1384</v>
      </c>
      <c r="F3351" t="s">
        <v>631</v>
      </c>
      <c r="G3351" t="s">
        <v>596</v>
      </c>
      <c r="H3351" s="654">
        <v>235817</v>
      </c>
      <c r="I3351" s="654">
        <v>0</v>
      </c>
      <c r="J3351" s="654">
        <v>235817</v>
      </c>
      <c r="K3351" s="654">
        <v>0</v>
      </c>
      <c r="L3351" s="654">
        <v>235817</v>
      </c>
      <c r="M3351" s="654">
        <v>0</v>
      </c>
      <c r="N3351" s="654">
        <v>0</v>
      </c>
    </row>
    <row r="3352" spans="1:14" x14ac:dyDescent="0.15">
      <c r="B3352"/>
      <c r="F3352" t="s">
        <v>737</v>
      </c>
      <c r="H3352" s="654">
        <v>235817</v>
      </c>
      <c r="I3352" s="654">
        <v>0</v>
      </c>
      <c r="J3352" s="654">
        <v>235817</v>
      </c>
      <c r="K3352" s="654">
        <v>0</v>
      </c>
      <c r="L3352" s="654">
        <v>235817</v>
      </c>
      <c r="M3352" s="654">
        <v>0</v>
      </c>
      <c r="N3352" s="654">
        <v>0</v>
      </c>
    </row>
    <row r="3353" spans="1:14" x14ac:dyDescent="0.15">
      <c r="B3353"/>
      <c r="E3353" t="s">
        <v>1512</v>
      </c>
      <c r="H3353" s="654">
        <v>235817</v>
      </c>
      <c r="I3353" s="654">
        <v>0</v>
      </c>
      <c r="J3353" s="654">
        <v>235817</v>
      </c>
      <c r="K3353" s="654">
        <v>0</v>
      </c>
      <c r="L3353" s="654">
        <v>235817</v>
      </c>
      <c r="M3353" s="654">
        <v>0</v>
      </c>
      <c r="N3353" s="654">
        <v>0</v>
      </c>
    </row>
    <row r="3354" spans="1:14" x14ac:dyDescent="0.15">
      <c r="B3354"/>
      <c r="D3354" t="s">
        <v>1513</v>
      </c>
      <c r="H3354" s="654">
        <v>235817</v>
      </c>
      <c r="I3354" s="654">
        <v>0</v>
      </c>
      <c r="J3354" s="654">
        <v>235817</v>
      </c>
      <c r="K3354" s="654">
        <v>0</v>
      </c>
      <c r="L3354" s="654">
        <v>235817</v>
      </c>
      <c r="M3354" s="654">
        <v>0</v>
      </c>
      <c r="N3354" s="654">
        <v>0</v>
      </c>
    </row>
    <row r="3355" spans="1:14" x14ac:dyDescent="0.15">
      <c r="B3355"/>
      <c r="C3355" t="s">
        <v>854</v>
      </c>
      <c r="H3355" s="654">
        <v>1871412</v>
      </c>
      <c r="I3355" s="654">
        <v>0</v>
      </c>
      <c r="J3355" s="654">
        <v>1871412</v>
      </c>
      <c r="K3355" s="654">
        <v>0</v>
      </c>
      <c r="L3355" s="654">
        <v>1871412</v>
      </c>
      <c r="M3355" s="654">
        <v>0</v>
      </c>
      <c r="N3355" s="654">
        <v>0</v>
      </c>
    </row>
    <row r="3356" spans="1:14" x14ac:dyDescent="0.15">
      <c r="A3356" s="653" t="s">
        <v>1531</v>
      </c>
      <c r="B3356"/>
      <c r="H3356" s="654">
        <v>38632844</v>
      </c>
      <c r="I3356" s="654">
        <v>0</v>
      </c>
      <c r="J3356" s="654">
        <v>38632844</v>
      </c>
      <c r="K3356" s="654">
        <v>0</v>
      </c>
      <c r="L3356" s="654">
        <v>38632844</v>
      </c>
      <c r="M3356" s="654">
        <v>286927</v>
      </c>
      <c r="N3356" s="654">
        <v>0</v>
      </c>
    </row>
    <row r="3357" spans="1:14" x14ac:dyDescent="0.15">
      <c r="A3357" s="653" t="s">
        <v>592</v>
      </c>
      <c r="B3357"/>
      <c r="H3357" s="654">
        <v>1051351924</v>
      </c>
      <c r="I3357" s="654">
        <v>-32964105</v>
      </c>
      <c r="J3357" s="654">
        <v>1018387819</v>
      </c>
      <c r="K3357" s="654">
        <v>979754975</v>
      </c>
      <c r="L3357" s="654">
        <v>38632844</v>
      </c>
      <c r="M3357" s="654">
        <v>13318829.300000001</v>
      </c>
      <c r="N3357" s="654">
        <v>104852905</v>
      </c>
    </row>
  </sheetData>
  <phoneticPr fontId="40"/>
  <pageMargins left="0.7" right="0.7" top="0.75" bottom="0.75" header="0.3" footer="0.3"/>
  <pageSetup paperSize="9" orientation="portrait" verticalDpi="0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tabColor rgb="FF00FF99"/>
  </sheetPr>
  <dimension ref="A3:Z347"/>
  <sheetViews>
    <sheetView workbookViewId="0">
      <pane xSplit="3" ySplit="4" topLeftCell="S281" activePane="bottomRight" state="frozen"/>
      <selection activeCell="Y291" sqref="Y291"/>
      <selection pane="topRight" activeCell="Y291" sqref="Y291"/>
      <selection pane="bottomLeft" activeCell="Y291" sqref="Y291"/>
      <selection pane="bottomRight" activeCell="Y291" sqref="Y291"/>
    </sheetView>
  </sheetViews>
  <sheetFormatPr defaultRowHeight="13.5" x14ac:dyDescent="0.15"/>
  <cols>
    <col min="1" max="1" width="18" bestFit="1" customWidth="1"/>
    <col min="2" max="2" width="15" style="649" bestFit="1" customWidth="1"/>
    <col min="3" max="3" width="11.625" bestFit="1" customWidth="1"/>
    <col min="4" max="4" width="12.625" bestFit="1" customWidth="1"/>
    <col min="5" max="5" width="28.125" bestFit="1" customWidth="1"/>
    <col min="6" max="6" width="12.625" bestFit="1" customWidth="1"/>
    <col min="7" max="7" width="28.125" bestFit="1" customWidth="1"/>
    <col min="8" max="8" width="12.625" bestFit="1" customWidth="1"/>
    <col min="9" max="9" width="17" bestFit="1" customWidth="1"/>
    <col min="10" max="10" width="32.625" bestFit="1" customWidth="1"/>
    <col min="11" max="11" width="21.5" bestFit="1" customWidth="1"/>
    <col min="12" max="12" width="37" bestFit="1" customWidth="1"/>
    <col min="13" max="13" width="17" bestFit="1" customWidth="1"/>
    <col min="14" max="14" width="12.625" bestFit="1" customWidth="1"/>
    <col min="15" max="15" width="17" bestFit="1" customWidth="1"/>
    <col min="16" max="16" width="20.125" bestFit="1" customWidth="1"/>
    <col min="17" max="17" width="19.25" bestFit="1" customWidth="1"/>
    <col min="18" max="18" width="17" bestFit="1" customWidth="1"/>
    <col min="19" max="20" width="14.875" bestFit="1" customWidth="1"/>
    <col min="21" max="21" width="19.25" bestFit="1" customWidth="1"/>
    <col min="22" max="22" width="23.75" bestFit="1" customWidth="1"/>
    <col min="23" max="23" width="21.5" bestFit="1" customWidth="1"/>
    <col min="24" max="24" width="25.875" bestFit="1" customWidth="1"/>
    <col min="25" max="25" width="13.25" bestFit="1" customWidth="1"/>
    <col min="26" max="26" width="19.125" bestFit="1" customWidth="1"/>
  </cols>
  <sheetData>
    <row r="3" spans="1:26" x14ac:dyDescent="0.15">
      <c r="B3"/>
      <c r="D3" s="652" t="s">
        <v>603</v>
      </c>
    </row>
    <row r="4" spans="1:26" x14ac:dyDescent="0.15">
      <c r="A4" s="652" t="s">
        <v>591</v>
      </c>
      <c r="B4" s="652" t="s">
        <v>624</v>
      </c>
      <c r="C4" s="652" t="s">
        <v>593</v>
      </c>
      <c r="D4" t="s">
        <v>637</v>
      </c>
      <c r="E4" t="s">
        <v>638</v>
      </c>
      <c r="F4" t="s">
        <v>639</v>
      </c>
      <c r="G4" t="s">
        <v>640</v>
      </c>
      <c r="H4" t="s">
        <v>641</v>
      </c>
      <c r="I4" t="s">
        <v>642</v>
      </c>
      <c r="J4" t="s">
        <v>643</v>
      </c>
      <c r="K4" t="s">
        <v>644</v>
      </c>
      <c r="L4" t="s">
        <v>645</v>
      </c>
      <c r="M4" t="s">
        <v>646</v>
      </c>
      <c r="N4" t="s">
        <v>647</v>
      </c>
      <c r="O4" t="s">
        <v>648</v>
      </c>
      <c r="P4" t="s">
        <v>649</v>
      </c>
      <c r="Q4" t="s">
        <v>650</v>
      </c>
      <c r="R4" t="s">
        <v>651</v>
      </c>
      <c r="S4" t="s">
        <v>652</v>
      </c>
      <c r="T4" t="s">
        <v>653</v>
      </c>
      <c r="U4" t="s">
        <v>957</v>
      </c>
      <c r="V4" t="s">
        <v>654</v>
      </c>
      <c r="W4" t="s">
        <v>655</v>
      </c>
      <c r="X4" t="s">
        <v>656</v>
      </c>
      <c r="Y4" t="s">
        <v>658</v>
      </c>
      <c r="Z4" t="s">
        <v>816</v>
      </c>
    </row>
    <row r="5" spans="1:26" x14ac:dyDescent="0.15">
      <c r="A5" s="653">
        <v>42614</v>
      </c>
      <c r="B5" t="s">
        <v>625</v>
      </c>
      <c r="C5" t="s">
        <v>594</v>
      </c>
      <c r="D5" s="654">
        <v>0</v>
      </c>
      <c r="E5" s="654">
        <v>0</v>
      </c>
      <c r="F5" s="654">
        <v>0</v>
      </c>
      <c r="G5" s="654">
        <v>0</v>
      </c>
      <c r="H5" s="654">
        <v>0</v>
      </c>
      <c r="I5" s="654">
        <v>0</v>
      </c>
      <c r="J5" s="654">
        <v>0</v>
      </c>
      <c r="K5" s="654">
        <v>0</v>
      </c>
      <c r="L5" s="654">
        <v>0</v>
      </c>
      <c r="M5" s="654">
        <v>33378</v>
      </c>
      <c r="N5" s="654">
        <v>0</v>
      </c>
      <c r="O5" s="654">
        <v>0</v>
      </c>
      <c r="P5" s="654">
        <v>0</v>
      </c>
      <c r="Q5" s="654">
        <v>0</v>
      </c>
      <c r="R5" s="654">
        <v>0</v>
      </c>
      <c r="S5" s="654">
        <v>0</v>
      </c>
      <c r="T5" s="654">
        <v>0</v>
      </c>
      <c r="U5" s="654">
        <v>0</v>
      </c>
      <c r="V5" s="654">
        <v>0</v>
      </c>
      <c r="W5" s="654">
        <v>0</v>
      </c>
      <c r="X5" s="654">
        <v>0</v>
      </c>
      <c r="Y5" s="654">
        <v>33378</v>
      </c>
      <c r="Z5" s="654">
        <v>0</v>
      </c>
    </row>
    <row r="6" spans="1:26" x14ac:dyDescent="0.15">
      <c r="B6" t="s">
        <v>626</v>
      </c>
      <c r="C6" t="s">
        <v>378</v>
      </c>
      <c r="D6" s="654">
        <v>6200417</v>
      </c>
      <c r="E6" s="654">
        <v>762389</v>
      </c>
      <c r="F6" s="654">
        <v>867249</v>
      </c>
      <c r="G6" s="654">
        <v>157440</v>
      </c>
      <c r="H6" s="654">
        <v>513328</v>
      </c>
      <c r="I6" s="654">
        <v>0</v>
      </c>
      <c r="J6" s="654">
        <v>0</v>
      </c>
      <c r="K6" s="654">
        <v>0</v>
      </c>
      <c r="L6" s="654">
        <v>0</v>
      </c>
      <c r="M6" s="654">
        <v>0</v>
      </c>
      <c r="N6" s="654">
        <v>105000</v>
      </c>
      <c r="O6" s="654">
        <v>68350</v>
      </c>
      <c r="P6" s="654">
        <v>0</v>
      </c>
      <c r="Q6" s="654">
        <v>6405</v>
      </c>
      <c r="R6" s="654">
        <v>149170</v>
      </c>
      <c r="S6" s="654">
        <v>0</v>
      </c>
      <c r="T6" s="654">
        <v>0</v>
      </c>
      <c r="U6" s="654">
        <v>0</v>
      </c>
      <c r="V6" s="654">
        <v>0</v>
      </c>
      <c r="W6" s="654">
        <v>0</v>
      </c>
      <c r="X6" s="654">
        <v>0</v>
      </c>
      <c r="Y6" s="654">
        <v>7909919</v>
      </c>
      <c r="Z6" s="654">
        <v>328925</v>
      </c>
    </row>
    <row r="7" spans="1:26" x14ac:dyDescent="0.15">
      <c r="B7" t="s">
        <v>627</v>
      </c>
      <c r="C7" t="s">
        <v>379</v>
      </c>
      <c r="D7" s="654">
        <v>4215294</v>
      </c>
      <c r="E7" s="654">
        <v>343694</v>
      </c>
      <c r="F7" s="654">
        <v>368205</v>
      </c>
      <c r="G7" s="654">
        <v>66648</v>
      </c>
      <c r="H7" s="654">
        <v>290452</v>
      </c>
      <c r="I7" s="654">
        <v>0</v>
      </c>
      <c r="J7" s="654">
        <v>0</v>
      </c>
      <c r="K7" s="654">
        <v>0</v>
      </c>
      <c r="L7" s="654">
        <v>0</v>
      </c>
      <c r="M7" s="654">
        <v>0</v>
      </c>
      <c r="N7" s="654">
        <v>124925</v>
      </c>
      <c r="O7" s="654">
        <v>0</v>
      </c>
      <c r="P7" s="654">
        <v>0</v>
      </c>
      <c r="Q7" s="654">
        <v>1033</v>
      </c>
      <c r="R7" s="654">
        <v>106803</v>
      </c>
      <c r="S7" s="654">
        <v>0</v>
      </c>
      <c r="T7" s="654">
        <v>0</v>
      </c>
      <c r="U7" s="654">
        <v>0</v>
      </c>
      <c r="V7" s="654">
        <v>0</v>
      </c>
      <c r="W7" s="654">
        <v>0</v>
      </c>
      <c r="X7" s="654">
        <v>0</v>
      </c>
      <c r="Y7" s="654">
        <v>5106712</v>
      </c>
      <c r="Z7" s="654">
        <v>232761</v>
      </c>
    </row>
    <row r="8" spans="1:26" x14ac:dyDescent="0.15">
      <c r="B8" t="s">
        <v>628</v>
      </c>
      <c r="C8" t="s">
        <v>380</v>
      </c>
      <c r="D8" s="654">
        <v>2440911</v>
      </c>
      <c r="E8" s="654">
        <v>193381</v>
      </c>
      <c r="F8" s="654">
        <v>771977</v>
      </c>
      <c r="G8" s="654">
        <v>139892</v>
      </c>
      <c r="H8" s="654">
        <v>0</v>
      </c>
      <c r="I8" s="654">
        <v>0</v>
      </c>
      <c r="J8" s="654">
        <v>0</v>
      </c>
      <c r="K8" s="654">
        <v>0</v>
      </c>
      <c r="L8" s="654">
        <v>0</v>
      </c>
      <c r="M8" s="654">
        <v>0</v>
      </c>
      <c r="N8" s="654">
        <v>12700</v>
      </c>
      <c r="O8" s="654">
        <v>129580</v>
      </c>
      <c r="P8" s="654">
        <v>0</v>
      </c>
      <c r="Q8" s="654">
        <v>2110</v>
      </c>
      <c r="R8" s="654">
        <v>0</v>
      </c>
      <c r="S8" s="654">
        <v>0</v>
      </c>
      <c r="T8" s="654">
        <v>0</v>
      </c>
      <c r="U8" s="654">
        <v>0</v>
      </c>
      <c r="V8" s="654">
        <v>0</v>
      </c>
      <c r="W8" s="654">
        <v>0</v>
      </c>
      <c r="X8" s="654">
        <v>0</v>
      </c>
      <c r="Y8" s="654">
        <v>3357278</v>
      </c>
      <c r="Z8" s="654">
        <v>144390</v>
      </c>
    </row>
    <row r="9" spans="1:26" x14ac:dyDescent="0.15">
      <c r="B9" t="s">
        <v>631</v>
      </c>
      <c r="C9" t="s">
        <v>381</v>
      </c>
      <c r="D9" s="654">
        <v>1737260</v>
      </c>
      <c r="E9" s="654">
        <v>0</v>
      </c>
      <c r="F9" s="654">
        <v>0</v>
      </c>
      <c r="G9" s="654">
        <v>0</v>
      </c>
      <c r="H9" s="654">
        <v>0</v>
      </c>
      <c r="I9" s="654">
        <v>0</v>
      </c>
      <c r="J9" s="654">
        <v>0</v>
      </c>
      <c r="K9" s="654">
        <v>0</v>
      </c>
      <c r="L9" s="654">
        <v>0</v>
      </c>
      <c r="M9" s="654">
        <v>0</v>
      </c>
      <c r="N9" s="654">
        <v>0</v>
      </c>
      <c r="O9" s="654">
        <v>0</v>
      </c>
      <c r="P9" s="654">
        <v>0</v>
      </c>
      <c r="Q9" s="654">
        <v>0</v>
      </c>
      <c r="R9" s="654">
        <v>0</v>
      </c>
      <c r="S9" s="654">
        <v>631140</v>
      </c>
      <c r="T9" s="654">
        <v>0</v>
      </c>
      <c r="U9" s="654">
        <v>0</v>
      </c>
      <c r="V9" s="654">
        <v>0</v>
      </c>
      <c r="W9" s="654">
        <v>0</v>
      </c>
      <c r="X9" s="654">
        <v>0</v>
      </c>
      <c r="Y9" s="654">
        <v>2368400</v>
      </c>
      <c r="Z9" s="654">
        <v>631140</v>
      </c>
    </row>
    <row r="10" spans="1:26" x14ac:dyDescent="0.15">
      <c r="B10" t="s">
        <v>566</v>
      </c>
      <c r="C10" t="s">
        <v>382</v>
      </c>
      <c r="D10" s="654">
        <v>569924</v>
      </c>
      <c r="E10" s="654">
        <v>0</v>
      </c>
      <c r="F10" s="654">
        <v>0</v>
      </c>
      <c r="G10" s="654">
        <v>0</v>
      </c>
      <c r="H10" s="654">
        <v>0</v>
      </c>
      <c r="I10" s="654">
        <v>0</v>
      </c>
      <c r="J10" s="654">
        <v>0</v>
      </c>
      <c r="K10" s="654">
        <v>0</v>
      </c>
      <c r="L10" s="654">
        <v>0</v>
      </c>
      <c r="M10" s="654">
        <v>0</v>
      </c>
      <c r="N10" s="654">
        <v>0</v>
      </c>
      <c r="O10" s="654">
        <v>0</v>
      </c>
      <c r="P10" s="654">
        <v>0</v>
      </c>
      <c r="Q10" s="654">
        <v>0</v>
      </c>
      <c r="R10" s="654">
        <v>0</v>
      </c>
      <c r="S10" s="654">
        <v>383940</v>
      </c>
      <c r="T10" s="654">
        <v>0</v>
      </c>
      <c r="U10" s="654">
        <v>0</v>
      </c>
      <c r="V10" s="654">
        <v>0</v>
      </c>
      <c r="W10" s="654">
        <v>0</v>
      </c>
      <c r="X10" s="654">
        <v>0</v>
      </c>
      <c r="Y10" s="654">
        <v>953864</v>
      </c>
      <c r="Z10" s="654">
        <v>383940</v>
      </c>
    </row>
    <row r="11" spans="1:26" x14ac:dyDescent="0.15">
      <c r="B11" t="s">
        <v>567</v>
      </c>
      <c r="C11" t="s">
        <v>473</v>
      </c>
      <c r="D11" s="654">
        <v>0</v>
      </c>
      <c r="E11" s="654">
        <v>0</v>
      </c>
      <c r="F11" s="654">
        <v>0</v>
      </c>
      <c r="G11" s="654">
        <v>0</v>
      </c>
      <c r="H11" s="654">
        <v>0</v>
      </c>
      <c r="I11" s="654">
        <v>0</v>
      </c>
      <c r="J11" s="654">
        <v>0</v>
      </c>
      <c r="K11" s="654">
        <v>745437</v>
      </c>
      <c r="L11" s="654">
        <v>72968</v>
      </c>
      <c r="M11" s="654">
        <v>0</v>
      </c>
      <c r="N11" s="654">
        <v>0</v>
      </c>
      <c r="O11" s="654">
        <v>0</v>
      </c>
      <c r="P11" s="654">
        <v>0</v>
      </c>
      <c r="Q11" s="654">
        <v>0</v>
      </c>
      <c r="R11" s="654">
        <v>0</v>
      </c>
      <c r="S11" s="654">
        <v>78000</v>
      </c>
      <c r="T11" s="654">
        <v>0</v>
      </c>
      <c r="U11" s="654">
        <v>0</v>
      </c>
      <c r="V11" s="654">
        <v>-60000</v>
      </c>
      <c r="W11" s="654">
        <v>0</v>
      </c>
      <c r="X11" s="654">
        <v>0</v>
      </c>
      <c r="Y11" s="654">
        <v>763437</v>
      </c>
      <c r="Z11" s="654">
        <v>18000</v>
      </c>
    </row>
    <row r="12" spans="1:26" x14ac:dyDescent="0.15">
      <c r="B12" t="s">
        <v>568</v>
      </c>
      <c r="C12" t="s">
        <v>474</v>
      </c>
      <c r="D12" s="654">
        <v>0</v>
      </c>
      <c r="E12" s="654">
        <v>0</v>
      </c>
      <c r="F12" s="654">
        <v>0</v>
      </c>
      <c r="G12" s="654">
        <v>0</v>
      </c>
      <c r="H12" s="654">
        <v>0</v>
      </c>
      <c r="I12" s="654">
        <v>0</v>
      </c>
      <c r="J12" s="654">
        <v>0</v>
      </c>
      <c r="K12" s="654">
        <v>749148</v>
      </c>
      <c r="L12" s="654">
        <v>0</v>
      </c>
      <c r="M12" s="654">
        <v>0</v>
      </c>
      <c r="N12" s="654">
        <v>0</v>
      </c>
      <c r="O12" s="654">
        <v>0</v>
      </c>
      <c r="P12" s="654">
        <v>0</v>
      </c>
      <c r="Q12" s="654">
        <v>0</v>
      </c>
      <c r="R12" s="654">
        <v>0</v>
      </c>
      <c r="S12" s="654">
        <v>98000</v>
      </c>
      <c r="T12" s="654">
        <v>0</v>
      </c>
      <c r="U12" s="654">
        <v>0</v>
      </c>
      <c r="V12" s="654">
        <v>-20000</v>
      </c>
      <c r="W12" s="654">
        <v>0</v>
      </c>
      <c r="X12" s="654">
        <v>0</v>
      </c>
      <c r="Y12" s="654">
        <v>827148</v>
      </c>
      <c r="Z12" s="654">
        <v>78000</v>
      </c>
    </row>
    <row r="13" spans="1:26" x14ac:dyDescent="0.15">
      <c r="B13" t="s">
        <v>671</v>
      </c>
      <c r="C13" t="s">
        <v>383</v>
      </c>
      <c r="D13" s="654">
        <v>1055787</v>
      </c>
      <c r="E13" s="654">
        <v>0</v>
      </c>
      <c r="F13" s="654">
        <v>2693</v>
      </c>
      <c r="G13" s="654">
        <v>0</v>
      </c>
      <c r="H13" s="654">
        <v>0</v>
      </c>
      <c r="I13" s="654">
        <v>0</v>
      </c>
      <c r="J13" s="654">
        <v>0</v>
      </c>
      <c r="K13" s="654">
        <v>0</v>
      </c>
      <c r="L13" s="654">
        <v>0</v>
      </c>
      <c r="M13" s="654">
        <v>0</v>
      </c>
      <c r="N13" s="654">
        <v>188600</v>
      </c>
      <c r="O13" s="654">
        <v>60840</v>
      </c>
      <c r="P13" s="654">
        <v>1286055</v>
      </c>
      <c r="Q13" s="654">
        <v>0</v>
      </c>
      <c r="R13" s="654">
        <v>0</v>
      </c>
      <c r="S13" s="654">
        <v>0</v>
      </c>
      <c r="T13" s="654">
        <v>0</v>
      </c>
      <c r="U13" s="654">
        <v>0</v>
      </c>
      <c r="V13" s="654">
        <v>0</v>
      </c>
      <c r="W13" s="654">
        <v>0</v>
      </c>
      <c r="X13" s="654">
        <v>0</v>
      </c>
      <c r="Y13" s="654">
        <v>2593975</v>
      </c>
      <c r="Z13" s="654">
        <v>1535495</v>
      </c>
    </row>
    <row r="14" spans="1:26" x14ac:dyDescent="0.15">
      <c r="B14" t="s">
        <v>629</v>
      </c>
      <c r="C14" t="s">
        <v>676</v>
      </c>
      <c r="D14" s="654">
        <v>0</v>
      </c>
      <c r="E14" s="654">
        <v>0</v>
      </c>
      <c r="F14" s="654">
        <v>0</v>
      </c>
      <c r="G14" s="654">
        <v>0</v>
      </c>
      <c r="H14" s="654">
        <v>0</v>
      </c>
      <c r="I14" s="654">
        <v>2494889</v>
      </c>
      <c r="J14" s="654">
        <v>96417</v>
      </c>
      <c r="K14" s="654">
        <v>0</v>
      </c>
      <c r="L14" s="654">
        <v>0</v>
      </c>
      <c r="M14" s="654">
        <v>0</v>
      </c>
      <c r="N14" s="654">
        <v>18495</v>
      </c>
      <c r="O14" s="654">
        <v>0</v>
      </c>
      <c r="P14" s="654">
        <v>0</v>
      </c>
      <c r="Q14" s="654">
        <v>0</v>
      </c>
      <c r="R14" s="654">
        <v>0</v>
      </c>
      <c r="S14" s="654">
        <v>0</v>
      </c>
      <c r="T14" s="654">
        <v>136950</v>
      </c>
      <c r="U14" s="654">
        <v>0</v>
      </c>
      <c r="V14" s="654">
        <v>0</v>
      </c>
      <c r="W14" s="654">
        <v>0</v>
      </c>
      <c r="X14" s="654">
        <v>0</v>
      </c>
      <c r="Y14" s="654">
        <v>2650334</v>
      </c>
      <c r="Z14" s="654">
        <v>155445</v>
      </c>
    </row>
    <row r="15" spans="1:26" x14ac:dyDescent="0.15">
      <c r="A15" s="653" t="s">
        <v>609</v>
      </c>
      <c r="B15"/>
      <c r="D15" s="654">
        <v>16219593</v>
      </c>
      <c r="E15" s="654">
        <v>1299464</v>
      </c>
      <c r="F15" s="654">
        <v>2010124</v>
      </c>
      <c r="G15" s="654">
        <v>363980</v>
      </c>
      <c r="H15" s="654">
        <v>803780</v>
      </c>
      <c r="I15" s="654">
        <v>2494889</v>
      </c>
      <c r="J15" s="654">
        <v>96417</v>
      </c>
      <c r="K15" s="654">
        <v>1494585</v>
      </c>
      <c r="L15" s="654">
        <v>72968</v>
      </c>
      <c r="M15" s="654">
        <v>33378</v>
      </c>
      <c r="N15" s="654">
        <v>449720</v>
      </c>
      <c r="O15" s="654">
        <v>258770</v>
      </c>
      <c r="P15" s="654">
        <v>1286055</v>
      </c>
      <c r="Q15" s="654">
        <v>9548</v>
      </c>
      <c r="R15" s="654">
        <v>255973</v>
      </c>
      <c r="S15" s="654">
        <v>1191080</v>
      </c>
      <c r="T15" s="654">
        <v>136950</v>
      </c>
      <c r="U15" s="654">
        <v>0</v>
      </c>
      <c r="V15" s="654">
        <v>-80000</v>
      </c>
      <c r="W15" s="654">
        <v>0</v>
      </c>
      <c r="X15" s="654">
        <v>0</v>
      </c>
      <c r="Y15" s="654">
        <v>26564445</v>
      </c>
      <c r="Z15" s="654">
        <v>3508096</v>
      </c>
    </row>
    <row r="16" spans="1:26" x14ac:dyDescent="0.15">
      <c r="A16" s="653">
        <v>42644</v>
      </c>
      <c r="B16" t="s">
        <v>626</v>
      </c>
      <c r="C16" t="s">
        <v>378</v>
      </c>
      <c r="D16" s="654">
        <v>7487057</v>
      </c>
      <c r="E16" s="654">
        <v>965754</v>
      </c>
      <c r="F16" s="654">
        <v>1616915</v>
      </c>
      <c r="G16" s="654">
        <v>301358</v>
      </c>
      <c r="H16" s="654">
        <v>773581</v>
      </c>
      <c r="I16" s="654">
        <v>0</v>
      </c>
      <c r="J16" s="654">
        <v>0</v>
      </c>
      <c r="K16" s="654">
        <v>0</v>
      </c>
      <c r="L16" s="654">
        <v>0</v>
      </c>
      <c r="M16" s="654">
        <v>0</v>
      </c>
      <c r="N16" s="654">
        <v>107400</v>
      </c>
      <c r="O16" s="654">
        <v>69350</v>
      </c>
      <c r="P16" s="654">
        <v>0</v>
      </c>
      <c r="Q16" s="654">
        <v>8155</v>
      </c>
      <c r="R16" s="654">
        <v>130750</v>
      </c>
      <c r="S16" s="654">
        <v>0</v>
      </c>
      <c r="T16" s="654">
        <v>0</v>
      </c>
      <c r="U16" s="654">
        <v>0</v>
      </c>
      <c r="V16" s="654">
        <v>0</v>
      </c>
      <c r="W16" s="654">
        <v>0</v>
      </c>
      <c r="X16" s="654">
        <v>0</v>
      </c>
      <c r="Y16" s="654">
        <v>10193208</v>
      </c>
      <c r="Z16" s="654">
        <v>315655</v>
      </c>
    </row>
    <row r="17" spans="1:26" x14ac:dyDescent="0.15">
      <c r="B17" t="s">
        <v>627</v>
      </c>
      <c r="C17" t="s">
        <v>379</v>
      </c>
      <c r="D17" s="654">
        <v>4265893</v>
      </c>
      <c r="E17" s="654">
        <v>328743</v>
      </c>
      <c r="F17" s="654">
        <v>388698</v>
      </c>
      <c r="G17" s="654">
        <v>70336</v>
      </c>
      <c r="H17" s="654">
        <v>383481</v>
      </c>
      <c r="I17" s="654">
        <v>0</v>
      </c>
      <c r="J17" s="654">
        <v>0</v>
      </c>
      <c r="K17" s="654">
        <v>0</v>
      </c>
      <c r="L17" s="654">
        <v>0</v>
      </c>
      <c r="M17" s="654">
        <v>0</v>
      </c>
      <c r="N17" s="654">
        <v>162295</v>
      </c>
      <c r="O17" s="654">
        <v>0</v>
      </c>
      <c r="P17" s="654">
        <v>0</v>
      </c>
      <c r="Q17" s="654">
        <v>1906</v>
      </c>
      <c r="R17" s="654">
        <v>94004</v>
      </c>
      <c r="S17" s="654">
        <v>0</v>
      </c>
      <c r="T17" s="654">
        <v>0</v>
      </c>
      <c r="U17" s="654">
        <v>0</v>
      </c>
      <c r="V17" s="654">
        <v>0</v>
      </c>
      <c r="W17" s="654">
        <v>0</v>
      </c>
      <c r="X17" s="654">
        <v>0</v>
      </c>
      <c r="Y17" s="654">
        <v>5296277</v>
      </c>
      <c r="Z17" s="654">
        <v>258205</v>
      </c>
    </row>
    <row r="18" spans="1:26" x14ac:dyDescent="0.15">
      <c r="B18" t="s">
        <v>628</v>
      </c>
      <c r="C18" t="s">
        <v>380</v>
      </c>
      <c r="D18" s="654">
        <v>2483969</v>
      </c>
      <c r="E18" s="654">
        <v>197103</v>
      </c>
      <c r="F18" s="654">
        <v>1375881</v>
      </c>
      <c r="G18" s="654">
        <v>246750</v>
      </c>
      <c r="H18" s="654">
        <v>0</v>
      </c>
      <c r="I18" s="654">
        <v>0</v>
      </c>
      <c r="J18" s="654">
        <v>0</v>
      </c>
      <c r="K18" s="654">
        <v>0</v>
      </c>
      <c r="L18" s="654">
        <v>0</v>
      </c>
      <c r="M18" s="654">
        <v>0</v>
      </c>
      <c r="N18" s="654">
        <v>37414</v>
      </c>
      <c r="O18" s="654">
        <v>136800</v>
      </c>
      <c r="P18" s="654">
        <v>0</v>
      </c>
      <c r="Q18" s="654">
        <v>1941</v>
      </c>
      <c r="R18" s="654">
        <v>0</v>
      </c>
      <c r="S18" s="654">
        <v>0</v>
      </c>
      <c r="T18" s="654">
        <v>0</v>
      </c>
      <c r="U18" s="654">
        <v>0</v>
      </c>
      <c r="V18" s="654">
        <v>0</v>
      </c>
      <c r="W18" s="654">
        <v>0</v>
      </c>
      <c r="X18" s="654">
        <v>0</v>
      </c>
      <c r="Y18" s="654">
        <v>4036005</v>
      </c>
      <c r="Z18" s="654">
        <v>176155</v>
      </c>
    </row>
    <row r="19" spans="1:26" x14ac:dyDescent="0.15">
      <c r="B19" t="s">
        <v>631</v>
      </c>
      <c r="C19" t="s">
        <v>381</v>
      </c>
      <c r="D19" s="654">
        <v>2794170</v>
      </c>
      <c r="E19" s="654">
        <v>0</v>
      </c>
      <c r="F19" s="654">
        <v>0</v>
      </c>
      <c r="G19" s="654">
        <v>0</v>
      </c>
      <c r="H19" s="654">
        <v>0</v>
      </c>
      <c r="I19" s="654">
        <v>0</v>
      </c>
      <c r="J19" s="654">
        <v>0</v>
      </c>
      <c r="K19" s="654">
        <v>0</v>
      </c>
      <c r="L19" s="654">
        <v>0</v>
      </c>
      <c r="M19" s="654">
        <v>0</v>
      </c>
      <c r="N19" s="654">
        <v>0</v>
      </c>
      <c r="O19" s="654">
        <v>0</v>
      </c>
      <c r="P19" s="654">
        <v>0</v>
      </c>
      <c r="Q19" s="654">
        <v>0</v>
      </c>
      <c r="R19" s="654">
        <v>0</v>
      </c>
      <c r="S19" s="654">
        <v>628568</v>
      </c>
      <c r="T19" s="654">
        <v>0</v>
      </c>
      <c r="U19" s="654">
        <v>0</v>
      </c>
      <c r="V19" s="654">
        <v>0</v>
      </c>
      <c r="W19" s="654">
        <v>0</v>
      </c>
      <c r="X19" s="654">
        <v>0</v>
      </c>
      <c r="Y19" s="654">
        <v>3422738</v>
      </c>
      <c r="Z19" s="654">
        <v>628568</v>
      </c>
    </row>
    <row r="20" spans="1:26" x14ac:dyDescent="0.15">
      <c r="B20" t="s">
        <v>566</v>
      </c>
      <c r="C20" t="s">
        <v>382</v>
      </c>
      <c r="D20" s="654">
        <v>825621</v>
      </c>
      <c r="E20" s="654">
        <v>0</v>
      </c>
      <c r="F20" s="654">
        <v>0</v>
      </c>
      <c r="G20" s="654">
        <v>0</v>
      </c>
      <c r="H20" s="654">
        <v>0</v>
      </c>
      <c r="I20" s="654">
        <v>0</v>
      </c>
      <c r="J20" s="654">
        <v>0</v>
      </c>
      <c r="K20" s="654">
        <v>0</v>
      </c>
      <c r="L20" s="654">
        <v>0</v>
      </c>
      <c r="M20" s="654">
        <v>0</v>
      </c>
      <c r="N20" s="654">
        <v>0</v>
      </c>
      <c r="O20" s="654">
        <v>0</v>
      </c>
      <c r="P20" s="654">
        <v>0</v>
      </c>
      <c r="Q20" s="654">
        <v>0</v>
      </c>
      <c r="R20" s="654">
        <v>0</v>
      </c>
      <c r="S20" s="654">
        <v>468116</v>
      </c>
      <c r="T20" s="654">
        <v>0</v>
      </c>
      <c r="U20" s="654">
        <v>0</v>
      </c>
      <c r="V20" s="654">
        <v>0</v>
      </c>
      <c r="W20" s="654">
        <v>0</v>
      </c>
      <c r="X20" s="654">
        <v>0</v>
      </c>
      <c r="Y20" s="654">
        <v>1293737</v>
      </c>
      <c r="Z20" s="654">
        <v>468116</v>
      </c>
    </row>
    <row r="21" spans="1:26" x14ac:dyDescent="0.15">
      <c r="B21" t="s">
        <v>567</v>
      </c>
      <c r="C21" t="s">
        <v>473</v>
      </c>
      <c r="D21" s="654">
        <v>0</v>
      </c>
      <c r="E21" s="654">
        <v>0</v>
      </c>
      <c r="F21" s="654">
        <v>0</v>
      </c>
      <c r="G21" s="654">
        <v>0</v>
      </c>
      <c r="H21" s="654">
        <v>0</v>
      </c>
      <c r="I21" s="654">
        <v>0</v>
      </c>
      <c r="J21" s="654">
        <v>0</v>
      </c>
      <c r="K21" s="654">
        <v>0</v>
      </c>
      <c r="L21" s="654">
        <v>0</v>
      </c>
      <c r="M21" s="654">
        <v>0</v>
      </c>
      <c r="N21" s="654">
        <v>0</v>
      </c>
      <c r="O21" s="654">
        <v>0</v>
      </c>
      <c r="P21" s="654">
        <v>0</v>
      </c>
      <c r="Q21" s="654">
        <v>0</v>
      </c>
      <c r="R21" s="654">
        <v>0</v>
      </c>
      <c r="S21" s="654">
        <v>78000</v>
      </c>
      <c r="T21" s="654">
        <v>0</v>
      </c>
      <c r="U21" s="654">
        <v>0</v>
      </c>
      <c r="V21" s="654">
        <v>0</v>
      </c>
      <c r="W21" s="654">
        <v>0</v>
      </c>
      <c r="X21" s="654">
        <v>0</v>
      </c>
      <c r="Y21" s="654">
        <v>78000</v>
      </c>
      <c r="Z21" s="654">
        <v>78000</v>
      </c>
    </row>
    <row r="22" spans="1:26" x14ac:dyDescent="0.15">
      <c r="B22" t="s">
        <v>568</v>
      </c>
      <c r="C22" t="s">
        <v>474</v>
      </c>
      <c r="D22" s="654">
        <v>0</v>
      </c>
      <c r="E22" s="654">
        <v>0</v>
      </c>
      <c r="F22" s="654">
        <v>0</v>
      </c>
      <c r="G22" s="654">
        <v>0</v>
      </c>
      <c r="H22" s="654">
        <v>0</v>
      </c>
      <c r="I22" s="654">
        <v>0</v>
      </c>
      <c r="J22" s="654">
        <v>0</v>
      </c>
      <c r="K22" s="654">
        <v>0</v>
      </c>
      <c r="L22" s="654">
        <v>0</v>
      </c>
      <c r="M22" s="654">
        <v>0</v>
      </c>
      <c r="N22" s="654">
        <v>0</v>
      </c>
      <c r="O22" s="654">
        <v>0</v>
      </c>
      <c r="P22" s="654">
        <v>0</v>
      </c>
      <c r="Q22" s="654">
        <v>0</v>
      </c>
      <c r="R22" s="654">
        <v>0</v>
      </c>
      <c r="S22" s="654">
        <v>98000</v>
      </c>
      <c r="T22" s="654">
        <v>0</v>
      </c>
      <c r="U22" s="654">
        <v>0</v>
      </c>
      <c r="V22" s="654">
        <v>0</v>
      </c>
      <c r="W22" s="654">
        <v>0</v>
      </c>
      <c r="X22" s="654">
        <v>0</v>
      </c>
      <c r="Y22" s="654">
        <v>98000</v>
      </c>
      <c r="Z22" s="654">
        <v>98000</v>
      </c>
    </row>
    <row r="23" spans="1:26" x14ac:dyDescent="0.15">
      <c r="B23" t="s">
        <v>671</v>
      </c>
      <c r="C23" t="s">
        <v>383</v>
      </c>
      <c r="D23" s="654">
        <v>1071846</v>
      </c>
      <c r="E23" s="654">
        <v>0</v>
      </c>
      <c r="F23" s="654">
        <v>8856</v>
      </c>
      <c r="G23" s="654">
        <v>0</v>
      </c>
      <c r="H23" s="654">
        <v>0</v>
      </c>
      <c r="I23" s="654">
        <v>0</v>
      </c>
      <c r="J23" s="654">
        <v>0</v>
      </c>
      <c r="K23" s="654">
        <v>0</v>
      </c>
      <c r="L23" s="654">
        <v>0</v>
      </c>
      <c r="M23" s="654">
        <v>0</v>
      </c>
      <c r="N23" s="654">
        <v>156800</v>
      </c>
      <c r="O23" s="654">
        <v>60840</v>
      </c>
      <c r="P23" s="654">
        <v>1469220</v>
      </c>
      <c r="Q23" s="654">
        <v>0</v>
      </c>
      <c r="R23" s="654">
        <v>0</v>
      </c>
      <c r="S23" s="654">
        <v>0</v>
      </c>
      <c r="T23" s="654">
        <v>0</v>
      </c>
      <c r="U23" s="654">
        <v>0</v>
      </c>
      <c r="V23" s="654">
        <v>0</v>
      </c>
      <c r="W23" s="654">
        <v>0</v>
      </c>
      <c r="X23" s="654">
        <v>0</v>
      </c>
      <c r="Y23" s="654">
        <v>2767562</v>
      </c>
      <c r="Z23" s="654">
        <v>1686860</v>
      </c>
    </row>
    <row r="24" spans="1:26" x14ac:dyDescent="0.15">
      <c r="B24" t="s">
        <v>629</v>
      </c>
      <c r="C24" t="s">
        <v>676</v>
      </c>
      <c r="D24" s="654">
        <v>0</v>
      </c>
      <c r="E24" s="654">
        <v>0</v>
      </c>
      <c r="F24" s="654">
        <v>0</v>
      </c>
      <c r="G24" s="654">
        <v>0</v>
      </c>
      <c r="H24" s="654">
        <v>0</v>
      </c>
      <c r="I24" s="654">
        <v>2341440</v>
      </c>
      <c r="J24" s="654">
        <v>90007</v>
      </c>
      <c r="K24" s="654">
        <v>0</v>
      </c>
      <c r="L24" s="654">
        <v>0</v>
      </c>
      <c r="M24" s="654">
        <v>0</v>
      </c>
      <c r="N24" s="654">
        <v>0</v>
      </c>
      <c r="O24" s="654">
        <v>0</v>
      </c>
      <c r="P24" s="654">
        <v>0</v>
      </c>
      <c r="Q24" s="654">
        <v>0</v>
      </c>
      <c r="R24" s="654">
        <v>0</v>
      </c>
      <c r="S24" s="654">
        <v>0</v>
      </c>
      <c r="T24" s="654">
        <v>127050</v>
      </c>
      <c r="U24" s="654">
        <v>0</v>
      </c>
      <c r="V24" s="654">
        <v>0</v>
      </c>
      <c r="W24" s="654">
        <v>0</v>
      </c>
      <c r="X24" s="654">
        <v>0</v>
      </c>
      <c r="Y24" s="654">
        <v>2468490</v>
      </c>
      <c r="Z24" s="654">
        <v>127050</v>
      </c>
    </row>
    <row r="25" spans="1:26" x14ac:dyDescent="0.15">
      <c r="A25" s="653" t="s">
        <v>610</v>
      </c>
      <c r="B25"/>
      <c r="D25" s="654">
        <v>18928556</v>
      </c>
      <c r="E25" s="654">
        <v>1491600</v>
      </c>
      <c r="F25" s="654">
        <v>3390350</v>
      </c>
      <c r="G25" s="654">
        <v>618444</v>
      </c>
      <c r="H25" s="654">
        <v>1157062</v>
      </c>
      <c r="I25" s="654">
        <v>2341440</v>
      </c>
      <c r="J25" s="654">
        <v>90007</v>
      </c>
      <c r="K25" s="654">
        <v>0</v>
      </c>
      <c r="L25" s="654">
        <v>0</v>
      </c>
      <c r="M25" s="654">
        <v>0</v>
      </c>
      <c r="N25" s="654">
        <v>463909</v>
      </c>
      <c r="O25" s="654">
        <v>266990</v>
      </c>
      <c r="P25" s="654">
        <v>1469220</v>
      </c>
      <c r="Q25" s="654">
        <v>12002</v>
      </c>
      <c r="R25" s="654">
        <v>224754</v>
      </c>
      <c r="S25" s="654">
        <v>1272684</v>
      </c>
      <c r="T25" s="654">
        <v>127050</v>
      </c>
      <c r="U25" s="654">
        <v>0</v>
      </c>
      <c r="V25" s="654">
        <v>0</v>
      </c>
      <c r="W25" s="654">
        <v>0</v>
      </c>
      <c r="X25" s="654">
        <v>0</v>
      </c>
      <c r="Y25" s="654">
        <v>29654017</v>
      </c>
      <c r="Z25" s="654">
        <v>3836609</v>
      </c>
    </row>
    <row r="26" spans="1:26" x14ac:dyDescent="0.15">
      <c r="A26" s="653">
        <v>42675</v>
      </c>
      <c r="B26" t="s">
        <v>625</v>
      </c>
      <c r="C26" t="s">
        <v>594</v>
      </c>
      <c r="D26" s="654">
        <v>0</v>
      </c>
      <c r="E26" s="654">
        <v>0</v>
      </c>
      <c r="F26" s="654">
        <v>0</v>
      </c>
      <c r="G26" s="654">
        <v>0</v>
      </c>
      <c r="H26" s="654">
        <v>0</v>
      </c>
      <c r="I26" s="654">
        <v>0</v>
      </c>
      <c r="J26" s="654">
        <v>0</v>
      </c>
      <c r="K26" s="654">
        <v>0</v>
      </c>
      <c r="L26" s="654">
        <v>0</v>
      </c>
      <c r="M26" s="654">
        <v>50067</v>
      </c>
      <c r="N26" s="654">
        <v>0</v>
      </c>
      <c r="O26" s="654">
        <v>0</v>
      </c>
      <c r="P26" s="654">
        <v>0</v>
      </c>
      <c r="Q26" s="654">
        <v>0</v>
      </c>
      <c r="R26" s="654">
        <v>0</v>
      </c>
      <c r="S26" s="654">
        <v>0</v>
      </c>
      <c r="T26" s="654">
        <v>0</v>
      </c>
      <c r="U26" s="654">
        <v>0</v>
      </c>
      <c r="V26" s="654">
        <v>0</v>
      </c>
      <c r="W26" s="654">
        <v>0</v>
      </c>
      <c r="X26" s="654">
        <v>0</v>
      </c>
      <c r="Y26" s="654">
        <v>50067</v>
      </c>
      <c r="Z26" s="654">
        <v>0</v>
      </c>
    </row>
    <row r="27" spans="1:26" x14ac:dyDescent="0.15">
      <c r="B27" t="s">
        <v>626</v>
      </c>
      <c r="C27" t="s">
        <v>378</v>
      </c>
      <c r="D27" s="654">
        <v>6763256</v>
      </c>
      <c r="E27" s="654">
        <v>879088</v>
      </c>
      <c r="F27" s="654">
        <v>1590980</v>
      </c>
      <c r="G27" s="654">
        <v>259745</v>
      </c>
      <c r="H27" s="654">
        <v>636206</v>
      </c>
      <c r="I27" s="654">
        <v>0</v>
      </c>
      <c r="J27" s="654">
        <v>0</v>
      </c>
      <c r="K27" s="654">
        <v>0</v>
      </c>
      <c r="L27" s="654">
        <v>0</v>
      </c>
      <c r="M27" s="654">
        <v>0</v>
      </c>
      <c r="N27" s="654">
        <v>84639</v>
      </c>
      <c r="O27" s="654">
        <v>23960</v>
      </c>
      <c r="P27" s="654">
        <v>0</v>
      </c>
      <c r="Q27" s="654">
        <v>5092</v>
      </c>
      <c r="R27" s="654">
        <v>127720</v>
      </c>
      <c r="S27" s="654">
        <v>0</v>
      </c>
      <c r="T27" s="654">
        <v>0</v>
      </c>
      <c r="U27" s="654">
        <v>0</v>
      </c>
      <c r="V27" s="654">
        <v>0</v>
      </c>
      <c r="W27" s="654">
        <v>0</v>
      </c>
      <c r="X27" s="654">
        <v>0</v>
      </c>
      <c r="Y27" s="654">
        <v>9231853</v>
      </c>
      <c r="Z27" s="654">
        <v>241411</v>
      </c>
    </row>
    <row r="28" spans="1:26" x14ac:dyDescent="0.15">
      <c r="B28" t="s">
        <v>627</v>
      </c>
      <c r="C28" t="s">
        <v>379</v>
      </c>
      <c r="D28" s="654">
        <v>3938959</v>
      </c>
      <c r="E28" s="654">
        <v>311756</v>
      </c>
      <c r="F28" s="654">
        <v>404724</v>
      </c>
      <c r="G28" s="654">
        <v>73251</v>
      </c>
      <c r="H28" s="654">
        <v>361404</v>
      </c>
      <c r="I28" s="654">
        <v>0</v>
      </c>
      <c r="J28" s="654">
        <v>0</v>
      </c>
      <c r="K28" s="654">
        <v>0</v>
      </c>
      <c r="L28" s="654">
        <v>0</v>
      </c>
      <c r="M28" s="654">
        <v>0</v>
      </c>
      <c r="N28" s="654">
        <v>127829</v>
      </c>
      <c r="O28" s="654">
        <v>0</v>
      </c>
      <c r="P28" s="654">
        <v>0</v>
      </c>
      <c r="Q28" s="654">
        <v>2615</v>
      </c>
      <c r="R28" s="654">
        <v>97216</v>
      </c>
      <c r="S28" s="654">
        <v>0</v>
      </c>
      <c r="T28" s="654">
        <v>0</v>
      </c>
      <c r="U28" s="654">
        <v>0</v>
      </c>
      <c r="V28" s="654">
        <v>0</v>
      </c>
      <c r="W28" s="654">
        <v>0</v>
      </c>
      <c r="X28" s="654">
        <v>0</v>
      </c>
      <c r="Y28" s="654">
        <v>4932747</v>
      </c>
      <c r="Z28" s="654">
        <v>227660</v>
      </c>
    </row>
    <row r="29" spans="1:26" x14ac:dyDescent="0.15">
      <c r="B29" t="s">
        <v>628</v>
      </c>
      <c r="C29" t="s">
        <v>380</v>
      </c>
      <c r="D29" s="654">
        <v>3077590</v>
      </c>
      <c r="E29" s="654">
        <v>243668</v>
      </c>
      <c r="F29" s="654">
        <v>887298</v>
      </c>
      <c r="G29" s="654">
        <v>158398</v>
      </c>
      <c r="H29" s="654">
        <v>0</v>
      </c>
      <c r="I29" s="654">
        <v>0</v>
      </c>
      <c r="J29" s="654">
        <v>0</v>
      </c>
      <c r="K29" s="654">
        <v>0</v>
      </c>
      <c r="L29" s="654">
        <v>0</v>
      </c>
      <c r="M29" s="654">
        <v>0</v>
      </c>
      <c r="N29" s="654">
        <v>79600</v>
      </c>
      <c r="O29" s="654">
        <v>98380</v>
      </c>
      <c r="P29" s="654">
        <v>0</v>
      </c>
      <c r="Q29" s="654">
        <v>2697</v>
      </c>
      <c r="R29" s="654">
        <v>0</v>
      </c>
      <c r="S29" s="654">
        <v>0</v>
      </c>
      <c r="T29" s="654">
        <v>0</v>
      </c>
      <c r="U29" s="654">
        <v>0</v>
      </c>
      <c r="V29" s="654">
        <v>0</v>
      </c>
      <c r="W29" s="654">
        <v>0</v>
      </c>
      <c r="X29" s="654">
        <v>0</v>
      </c>
      <c r="Y29" s="654">
        <v>4145565</v>
      </c>
      <c r="Z29" s="654">
        <v>180677</v>
      </c>
    </row>
    <row r="30" spans="1:26" x14ac:dyDescent="0.15">
      <c r="B30" t="s">
        <v>631</v>
      </c>
      <c r="C30" t="s">
        <v>381</v>
      </c>
      <c r="D30" s="654">
        <v>2048148</v>
      </c>
      <c r="E30" s="654">
        <v>0</v>
      </c>
      <c r="F30" s="654">
        <v>0</v>
      </c>
      <c r="G30" s="654">
        <v>0</v>
      </c>
      <c r="H30" s="654">
        <v>0</v>
      </c>
      <c r="I30" s="654">
        <v>0</v>
      </c>
      <c r="J30" s="654">
        <v>0</v>
      </c>
      <c r="K30" s="654">
        <v>0</v>
      </c>
      <c r="L30" s="654">
        <v>0</v>
      </c>
      <c r="M30" s="654">
        <v>0</v>
      </c>
      <c r="N30" s="654">
        <v>2000</v>
      </c>
      <c r="O30" s="654">
        <v>0</v>
      </c>
      <c r="P30" s="654">
        <v>0</v>
      </c>
      <c r="Q30" s="654">
        <v>0</v>
      </c>
      <c r="R30" s="654">
        <v>0</v>
      </c>
      <c r="S30" s="654">
        <v>619140</v>
      </c>
      <c r="T30" s="654">
        <v>0</v>
      </c>
      <c r="U30" s="654">
        <v>0</v>
      </c>
      <c r="V30" s="654">
        <v>0</v>
      </c>
      <c r="W30" s="654">
        <v>0</v>
      </c>
      <c r="X30" s="654">
        <v>0</v>
      </c>
      <c r="Y30" s="654">
        <v>2669288</v>
      </c>
      <c r="Z30" s="654">
        <v>621140</v>
      </c>
    </row>
    <row r="31" spans="1:26" x14ac:dyDescent="0.15">
      <c r="B31" t="s">
        <v>566</v>
      </c>
      <c r="C31" t="s">
        <v>382</v>
      </c>
      <c r="D31" s="654">
        <v>963609</v>
      </c>
      <c r="E31" s="654">
        <v>0</v>
      </c>
      <c r="F31" s="654">
        <v>0</v>
      </c>
      <c r="G31" s="654">
        <v>0</v>
      </c>
      <c r="H31" s="654">
        <v>0</v>
      </c>
      <c r="I31" s="654">
        <v>0</v>
      </c>
      <c r="J31" s="654">
        <v>0</v>
      </c>
      <c r="K31" s="654">
        <v>0</v>
      </c>
      <c r="L31" s="654">
        <v>0</v>
      </c>
      <c r="M31" s="654">
        <v>0</v>
      </c>
      <c r="N31" s="654">
        <v>10800</v>
      </c>
      <c r="O31" s="654">
        <v>0</v>
      </c>
      <c r="P31" s="654">
        <v>0</v>
      </c>
      <c r="Q31" s="654">
        <v>0</v>
      </c>
      <c r="R31" s="654">
        <v>0</v>
      </c>
      <c r="S31" s="654">
        <v>681868</v>
      </c>
      <c r="T31" s="654">
        <v>0</v>
      </c>
      <c r="U31" s="654">
        <v>0</v>
      </c>
      <c r="V31" s="654">
        <v>0</v>
      </c>
      <c r="W31" s="654">
        <v>0</v>
      </c>
      <c r="X31" s="654">
        <v>0</v>
      </c>
      <c r="Y31" s="654">
        <v>1656277</v>
      </c>
      <c r="Z31" s="654">
        <v>692668</v>
      </c>
    </row>
    <row r="32" spans="1:26" x14ac:dyDescent="0.15">
      <c r="B32" t="s">
        <v>567</v>
      </c>
      <c r="C32" t="s">
        <v>473</v>
      </c>
      <c r="D32" s="654">
        <v>0</v>
      </c>
      <c r="E32" s="654">
        <v>0</v>
      </c>
      <c r="F32" s="654">
        <v>0</v>
      </c>
      <c r="G32" s="654">
        <v>0</v>
      </c>
      <c r="H32" s="654">
        <v>0</v>
      </c>
      <c r="I32" s="654">
        <v>0</v>
      </c>
      <c r="J32" s="654">
        <v>0</v>
      </c>
      <c r="K32" s="654">
        <v>751389</v>
      </c>
      <c r="L32" s="654">
        <v>72707</v>
      </c>
      <c r="M32" s="654">
        <v>0</v>
      </c>
      <c r="N32" s="654">
        <v>0</v>
      </c>
      <c r="O32" s="654">
        <v>0</v>
      </c>
      <c r="P32" s="654">
        <v>0</v>
      </c>
      <c r="Q32" s="654">
        <v>0</v>
      </c>
      <c r="R32" s="654">
        <v>0</v>
      </c>
      <c r="S32" s="654">
        <v>78000</v>
      </c>
      <c r="T32" s="654">
        <v>0</v>
      </c>
      <c r="U32" s="654">
        <v>0</v>
      </c>
      <c r="V32" s="654">
        <v>-30000</v>
      </c>
      <c r="W32" s="654">
        <v>0</v>
      </c>
      <c r="X32" s="654">
        <v>0</v>
      </c>
      <c r="Y32" s="654">
        <v>799389</v>
      </c>
      <c r="Z32" s="654">
        <v>48000</v>
      </c>
    </row>
    <row r="33" spans="1:26" x14ac:dyDescent="0.15">
      <c r="B33" t="s">
        <v>568</v>
      </c>
      <c r="C33" t="s">
        <v>474</v>
      </c>
      <c r="D33" s="654">
        <v>0</v>
      </c>
      <c r="E33" s="654">
        <v>0</v>
      </c>
      <c r="F33" s="654">
        <v>0</v>
      </c>
      <c r="G33" s="654">
        <v>0</v>
      </c>
      <c r="H33" s="654">
        <v>0</v>
      </c>
      <c r="I33" s="654">
        <v>0</v>
      </c>
      <c r="J33" s="654">
        <v>0</v>
      </c>
      <c r="K33" s="654">
        <v>728019</v>
      </c>
      <c r="L33" s="654">
        <v>0</v>
      </c>
      <c r="M33" s="654">
        <v>0</v>
      </c>
      <c r="N33" s="654">
        <v>0</v>
      </c>
      <c r="O33" s="654">
        <v>0</v>
      </c>
      <c r="P33" s="654">
        <v>0</v>
      </c>
      <c r="Q33" s="654">
        <v>0</v>
      </c>
      <c r="R33" s="654">
        <v>0</v>
      </c>
      <c r="S33" s="654">
        <v>98000</v>
      </c>
      <c r="T33" s="654">
        <v>0</v>
      </c>
      <c r="U33" s="654">
        <v>0</v>
      </c>
      <c r="V33" s="654">
        <v>-10000</v>
      </c>
      <c r="W33" s="654">
        <v>0</v>
      </c>
      <c r="X33" s="654">
        <v>0</v>
      </c>
      <c r="Y33" s="654">
        <v>816019</v>
      </c>
      <c r="Z33" s="654">
        <v>88000</v>
      </c>
    </row>
    <row r="34" spans="1:26" x14ac:dyDescent="0.15">
      <c r="B34" t="s">
        <v>671</v>
      </c>
      <c r="C34" t="s">
        <v>383</v>
      </c>
      <c r="D34" s="654">
        <v>1311145</v>
      </c>
      <c r="E34" s="654">
        <v>0</v>
      </c>
      <c r="F34" s="654">
        <v>2693</v>
      </c>
      <c r="G34" s="654">
        <v>0</v>
      </c>
      <c r="H34" s="654">
        <v>0</v>
      </c>
      <c r="I34" s="654">
        <v>0</v>
      </c>
      <c r="J34" s="654">
        <v>0</v>
      </c>
      <c r="K34" s="654">
        <v>0</v>
      </c>
      <c r="L34" s="654">
        <v>0</v>
      </c>
      <c r="M34" s="654">
        <v>0</v>
      </c>
      <c r="N34" s="654">
        <v>158100</v>
      </c>
      <c r="O34" s="654">
        <v>63533</v>
      </c>
      <c r="P34" s="654">
        <v>1382908</v>
      </c>
      <c r="Q34" s="654">
        <v>0</v>
      </c>
      <c r="R34" s="654">
        <v>0</v>
      </c>
      <c r="S34" s="654">
        <v>0</v>
      </c>
      <c r="T34" s="654">
        <v>0</v>
      </c>
      <c r="U34" s="654">
        <v>0</v>
      </c>
      <c r="V34" s="654">
        <v>0</v>
      </c>
      <c r="W34" s="654">
        <v>0</v>
      </c>
      <c r="X34" s="654">
        <v>0</v>
      </c>
      <c r="Y34" s="654">
        <v>2918379</v>
      </c>
      <c r="Z34" s="654">
        <v>1604541</v>
      </c>
    </row>
    <row r="35" spans="1:26" x14ac:dyDescent="0.15">
      <c r="B35" t="s">
        <v>629</v>
      </c>
      <c r="C35" t="s">
        <v>676</v>
      </c>
      <c r="D35" s="654">
        <v>0</v>
      </c>
      <c r="E35" s="654">
        <v>0</v>
      </c>
      <c r="F35" s="654">
        <v>0</v>
      </c>
      <c r="G35" s="654">
        <v>0</v>
      </c>
      <c r="H35" s="654">
        <v>0</v>
      </c>
      <c r="I35" s="654">
        <v>2491624</v>
      </c>
      <c r="J35" s="654">
        <v>95807</v>
      </c>
      <c r="K35" s="654">
        <v>0</v>
      </c>
      <c r="L35" s="654">
        <v>0</v>
      </c>
      <c r="M35" s="654">
        <v>0</v>
      </c>
      <c r="N35" s="654">
        <v>0</v>
      </c>
      <c r="O35" s="654">
        <v>0</v>
      </c>
      <c r="P35" s="654">
        <v>0</v>
      </c>
      <c r="Q35" s="654">
        <v>0</v>
      </c>
      <c r="R35" s="654">
        <v>0</v>
      </c>
      <c r="S35" s="654">
        <v>0</v>
      </c>
      <c r="T35" s="654">
        <v>139700</v>
      </c>
      <c r="U35" s="654">
        <v>0</v>
      </c>
      <c r="V35" s="654">
        <v>0</v>
      </c>
      <c r="W35" s="654">
        <v>0</v>
      </c>
      <c r="X35" s="654">
        <v>0</v>
      </c>
      <c r="Y35" s="654">
        <v>2631324</v>
      </c>
      <c r="Z35" s="654">
        <v>139700</v>
      </c>
    </row>
    <row r="36" spans="1:26" x14ac:dyDescent="0.15">
      <c r="A36" s="653" t="s">
        <v>611</v>
      </c>
      <c r="B36"/>
      <c r="D36" s="654">
        <v>18102707</v>
      </c>
      <c r="E36" s="654">
        <v>1434512</v>
      </c>
      <c r="F36" s="654">
        <v>2885695</v>
      </c>
      <c r="G36" s="654">
        <v>491394</v>
      </c>
      <c r="H36" s="654">
        <v>997610</v>
      </c>
      <c r="I36" s="654">
        <v>2491624</v>
      </c>
      <c r="J36" s="654">
        <v>95807</v>
      </c>
      <c r="K36" s="654">
        <v>1479408</v>
      </c>
      <c r="L36" s="654">
        <v>72707</v>
      </c>
      <c r="M36" s="654">
        <v>50067</v>
      </c>
      <c r="N36" s="654">
        <v>462968</v>
      </c>
      <c r="O36" s="654">
        <v>185873</v>
      </c>
      <c r="P36" s="654">
        <v>1382908</v>
      </c>
      <c r="Q36" s="654">
        <v>10404</v>
      </c>
      <c r="R36" s="654">
        <v>224936</v>
      </c>
      <c r="S36" s="654">
        <v>1477008</v>
      </c>
      <c r="T36" s="654">
        <v>139700</v>
      </c>
      <c r="U36" s="654">
        <v>0</v>
      </c>
      <c r="V36" s="654">
        <v>-40000</v>
      </c>
      <c r="W36" s="654">
        <v>0</v>
      </c>
      <c r="X36" s="654">
        <v>0</v>
      </c>
      <c r="Y36" s="654">
        <v>29850908</v>
      </c>
      <c r="Z36" s="654">
        <v>3843797</v>
      </c>
    </row>
    <row r="37" spans="1:26" x14ac:dyDescent="0.15">
      <c r="A37" s="653">
        <v>42705</v>
      </c>
      <c r="B37" t="s">
        <v>625</v>
      </c>
      <c r="C37" t="s">
        <v>594</v>
      </c>
      <c r="D37" s="654">
        <v>0</v>
      </c>
      <c r="E37" s="654">
        <v>0</v>
      </c>
      <c r="F37" s="654">
        <v>0</v>
      </c>
      <c r="G37" s="654">
        <v>0</v>
      </c>
      <c r="H37" s="654">
        <v>0</v>
      </c>
      <c r="I37" s="654">
        <v>0</v>
      </c>
      <c r="J37" s="654">
        <v>0</v>
      </c>
      <c r="K37" s="654">
        <v>0</v>
      </c>
      <c r="L37" s="654">
        <v>0</v>
      </c>
      <c r="M37" s="654">
        <v>33378</v>
      </c>
      <c r="N37" s="654">
        <v>0</v>
      </c>
      <c r="O37" s="654">
        <v>0</v>
      </c>
      <c r="P37" s="654">
        <v>0</v>
      </c>
      <c r="Q37" s="654">
        <v>0</v>
      </c>
      <c r="R37" s="654">
        <v>0</v>
      </c>
      <c r="S37" s="654">
        <v>0</v>
      </c>
      <c r="T37" s="654">
        <v>0</v>
      </c>
      <c r="U37" s="654">
        <v>0</v>
      </c>
      <c r="V37" s="654">
        <v>0</v>
      </c>
      <c r="W37" s="654">
        <v>0</v>
      </c>
      <c r="X37" s="654">
        <v>0</v>
      </c>
      <c r="Y37" s="654">
        <v>33378</v>
      </c>
      <c r="Z37" s="654">
        <v>0</v>
      </c>
    </row>
    <row r="38" spans="1:26" x14ac:dyDescent="0.15">
      <c r="B38" t="s">
        <v>626</v>
      </c>
      <c r="C38" t="s">
        <v>378</v>
      </c>
      <c r="D38" s="654">
        <v>6761251</v>
      </c>
      <c r="E38" s="654">
        <v>922355</v>
      </c>
      <c r="F38" s="654">
        <v>1719751</v>
      </c>
      <c r="G38" s="654">
        <v>295462</v>
      </c>
      <c r="H38" s="654">
        <v>660526</v>
      </c>
      <c r="I38" s="654">
        <v>0</v>
      </c>
      <c r="J38" s="654">
        <v>0</v>
      </c>
      <c r="K38" s="654">
        <v>0</v>
      </c>
      <c r="L38" s="654">
        <v>0</v>
      </c>
      <c r="M38" s="654">
        <v>0</v>
      </c>
      <c r="N38" s="654">
        <v>117852</v>
      </c>
      <c r="O38" s="654">
        <v>34730</v>
      </c>
      <c r="P38" s="654">
        <v>0</v>
      </c>
      <c r="Q38" s="654">
        <v>4846</v>
      </c>
      <c r="R38" s="654">
        <v>130720</v>
      </c>
      <c r="S38" s="654">
        <v>0</v>
      </c>
      <c r="T38" s="654">
        <v>0</v>
      </c>
      <c r="U38" s="654">
        <v>0</v>
      </c>
      <c r="V38" s="654">
        <v>0</v>
      </c>
      <c r="W38" s="654">
        <v>0</v>
      </c>
      <c r="X38" s="654">
        <v>0</v>
      </c>
      <c r="Y38" s="654">
        <v>9429676</v>
      </c>
      <c r="Z38" s="654">
        <v>288148</v>
      </c>
    </row>
    <row r="39" spans="1:26" x14ac:dyDescent="0.15">
      <c r="B39" t="s">
        <v>627</v>
      </c>
      <c r="C39" t="s">
        <v>379</v>
      </c>
      <c r="D39" s="654">
        <v>3988303</v>
      </c>
      <c r="E39" s="654">
        <v>315719</v>
      </c>
      <c r="F39" s="654">
        <v>437647</v>
      </c>
      <c r="G39" s="654">
        <v>79197</v>
      </c>
      <c r="H39" s="654">
        <v>370597</v>
      </c>
      <c r="I39" s="654">
        <v>0</v>
      </c>
      <c r="J39" s="654">
        <v>0</v>
      </c>
      <c r="K39" s="654">
        <v>0</v>
      </c>
      <c r="L39" s="654">
        <v>0</v>
      </c>
      <c r="M39" s="654">
        <v>0</v>
      </c>
      <c r="N39" s="654">
        <v>146784</v>
      </c>
      <c r="O39" s="654">
        <v>0</v>
      </c>
      <c r="P39" s="654">
        <v>0</v>
      </c>
      <c r="Q39" s="654">
        <v>2182</v>
      </c>
      <c r="R39" s="654">
        <v>94050</v>
      </c>
      <c r="S39" s="654">
        <v>0</v>
      </c>
      <c r="T39" s="654">
        <v>0</v>
      </c>
      <c r="U39" s="654">
        <v>0</v>
      </c>
      <c r="V39" s="654">
        <v>0</v>
      </c>
      <c r="W39" s="654">
        <v>0</v>
      </c>
      <c r="X39" s="654">
        <v>0</v>
      </c>
      <c r="Y39" s="654">
        <v>5039563</v>
      </c>
      <c r="Z39" s="654">
        <v>243016</v>
      </c>
    </row>
    <row r="40" spans="1:26" x14ac:dyDescent="0.15">
      <c r="B40" t="s">
        <v>628</v>
      </c>
      <c r="C40" t="s">
        <v>380</v>
      </c>
      <c r="D40" s="654">
        <v>3475608</v>
      </c>
      <c r="E40" s="654">
        <v>276371</v>
      </c>
      <c r="F40" s="654">
        <v>1108907</v>
      </c>
      <c r="G40" s="654">
        <v>198688</v>
      </c>
      <c r="H40" s="654">
        <v>0</v>
      </c>
      <c r="I40" s="654">
        <v>0</v>
      </c>
      <c r="J40" s="654">
        <v>0</v>
      </c>
      <c r="K40" s="654">
        <v>0</v>
      </c>
      <c r="L40" s="654">
        <v>0</v>
      </c>
      <c r="M40" s="654">
        <v>0</v>
      </c>
      <c r="N40" s="654">
        <v>48300</v>
      </c>
      <c r="O40" s="654">
        <v>100857</v>
      </c>
      <c r="P40" s="654">
        <v>0</v>
      </c>
      <c r="Q40" s="654">
        <v>2552</v>
      </c>
      <c r="R40" s="654">
        <v>0</v>
      </c>
      <c r="S40" s="654">
        <v>0</v>
      </c>
      <c r="T40" s="654">
        <v>0</v>
      </c>
      <c r="U40" s="654">
        <v>0</v>
      </c>
      <c r="V40" s="654">
        <v>0</v>
      </c>
      <c r="W40" s="654">
        <v>0</v>
      </c>
      <c r="X40" s="654">
        <v>0</v>
      </c>
      <c r="Y40" s="654">
        <v>4736224</v>
      </c>
      <c r="Z40" s="654">
        <v>151709</v>
      </c>
    </row>
    <row r="41" spans="1:26" x14ac:dyDescent="0.15">
      <c r="B41" t="s">
        <v>631</v>
      </c>
      <c r="C41" t="s">
        <v>381</v>
      </c>
      <c r="D41" s="654">
        <v>2353118</v>
      </c>
      <c r="E41" s="654">
        <v>0</v>
      </c>
      <c r="F41" s="654">
        <v>0</v>
      </c>
      <c r="G41" s="654">
        <v>0</v>
      </c>
      <c r="H41" s="654">
        <v>0</v>
      </c>
      <c r="I41" s="654">
        <v>0</v>
      </c>
      <c r="J41" s="654">
        <v>0</v>
      </c>
      <c r="K41" s="654">
        <v>0</v>
      </c>
      <c r="L41" s="654">
        <v>0</v>
      </c>
      <c r="M41" s="654">
        <v>0</v>
      </c>
      <c r="N41" s="654">
        <v>0</v>
      </c>
      <c r="O41" s="654">
        <v>0</v>
      </c>
      <c r="P41" s="654">
        <v>0</v>
      </c>
      <c r="Q41" s="654">
        <v>0</v>
      </c>
      <c r="R41" s="654">
        <v>0</v>
      </c>
      <c r="S41" s="654">
        <v>654388</v>
      </c>
      <c r="T41" s="654">
        <v>0</v>
      </c>
      <c r="U41" s="654">
        <v>0</v>
      </c>
      <c r="V41" s="654">
        <v>0</v>
      </c>
      <c r="W41" s="654">
        <v>0</v>
      </c>
      <c r="X41" s="654">
        <v>0</v>
      </c>
      <c r="Y41" s="654">
        <v>3007506</v>
      </c>
      <c r="Z41" s="654">
        <v>654388</v>
      </c>
    </row>
    <row r="42" spans="1:26" x14ac:dyDescent="0.15">
      <c r="B42" t="s">
        <v>566</v>
      </c>
      <c r="C42" t="s">
        <v>382</v>
      </c>
      <c r="D42" s="654">
        <v>938322</v>
      </c>
      <c r="E42" s="654">
        <v>0</v>
      </c>
      <c r="F42" s="654">
        <v>0</v>
      </c>
      <c r="G42" s="654">
        <v>0</v>
      </c>
      <c r="H42" s="654">
        <v>0</v>
      </c>
      <c r="I42" s="654">
        <v>0</v>
      </c>
      <c r="J42" s="654">
        <v>0</v>
      </c>
      <c r="K42" s="654">
        <v>0</v>
      </c>
      <c r="L42" s="654">
        <v>0</v>
      </c>
      <c r="M42" s="654">
        <v>0</v>
      </c>
      <c r="N42" s="654">
        <v>12800</v>
      </c>
      <c r="O42" s="654">
        <v>0</v>
      </c>
      <c r="P42" s="654">
        <v>0</v>
      </c>
      <c r="Q42" s="654">
        <v>0</v>
      </c>
      <c r="R42" s="654">
        <v>0</v>
      </c>
      <c r="S42" s="654">
        <v>254391</v>
      </c>
      <c r="T42" s="654">
        <v>0</v>
      </c>
      <c r="U42" s="654">
        <v>0</v>
      </c>
      <c r="V42" s="654">
        <v>0</v>
      </c>
      <c r="W42" s="654">
        <v>0</v>
      </c>
      <c r="X42" s="654">
        <v>0</v>
      </c>
      <c r="Y42" s="654">
        <v>1205513</v>
      </c>
      <c r="Z42" s="654">
        <v>267191</v>
      </c>
    </row>
    <row r="43" spans="1:26" x14ac:dyDescent="0.15">
      <c r="B43" t="s">
        <v>567</v>
      </c>
      <c r="C43" t="s">
        <v>473</v>
      </c>
      <c r="D43" s="654">
        <v>0</v>
      </c>
      <c r="E43" s="654">
        <v>0</v>
      </c>
      <c r="F43" s="654">
        <v>0</v>
      </c>
      <c r="G43" s="654">
        <v>0</v>
      </c>
      <c r="H43" s="654">
        <v>0</v>
      </c>
      <c r="I43" s="654">
        <v>0</v>
      </c>
      <c r="J43" s="654">
        <v>0</v>
      </c>
      <c r="K43" s="654">
        <v>1714337</v>
      </c>
      <c r="L43" s="654">
        <v>151302</v>
      </c>
      <c r="M43" s="654">
        <v>0</v>
      </c>
      <c r="N43" s="654">
        <v>0</v>
      </c>
      <c r="O43" s="654">
        <v>0</v>
      </c>
      <c r="P43" s="654">
        <v>0</v>
      </c>
      <c r="Q43" s="654">
        <v>0</v>
      </c>
      <c r="R43" s="654">
        <v>0</v>
      </c>
      <c r="S43" s="654">
        <v>78000</v>
      </c>
      <c r="T43" s="654">
        <v>0</v>
      </c>
      <c r="U43" s="654">
        <v>0</v>
      </c>
      <c r="V43" s="654">
        <v>-30000</v>
      </c>
      <c r="W43" s="654">
        <v>0</v>
      </c>
      <c r="X43" s="654">
        <v>0</v>
      </c>
      <c r="Y43" s="654">
        <v>1762337</v>
      </c>
      <c r="Z43" s="654">
        <v>48000</v>
      </c>
    </row>
    <row r="44" spans="1:26" x14ac:dyDescent="0.15">
      <c r="B44" t="s">
        <v>568</v>
      </c>
      <c r="C44" t="s">
        <v>474</v>
      </c>
      <c r="D44" s="654">
        <v>0</v>
      </c>
      <c r="E44" s="654">
        <v>0</v>
      </c>
      <c r="F44" s="654">
        <v>0</v>
      </c>
      <c r="G44" s="654">
        <v>0</v>
      </c>
      <c r="H44" s="654">
        <v>0</v>
      </c>
      <c r="I44" s="654">
        <v>0</v>
      </c>
      <c r="J44" s="654">
        <v>0</v>
      </c>
      <c r="K44" s="654">
        <v>1359077</v>
      </c>
      <c r="L44" s="654">
        <v>0</v>
      </c>
      <c r="M44" s="654">
        <v>0</v>
      </c>
      <c r="N44" s="654">
        <v>0</v>
      </c>
      <c r="O44" s="654">
        <v>0</v>
      </c>
      <c r="P44" s="654">
        <v>0</v>
      </c>
      <c r="Q44" s="654">
        <v>0</v>
      </c>
      <c r="R44" s="654">
        <v>0</v>
      </c>
      <c r="S44" s="654">
        <v>98000</v>
      </c>
      <c r="T44" s="654">
        <v>0</v>
      </c>
      <c r="U44" s="654">
        <v>0</v>
      </c>
      <c r="V44" s="654">
        <v>-10000</v>
      </c>
      <c r="W44" s="654">
        <v>0</v>
      </c>
      <c r="X44" s="654">
        <v>0</v>
      </c>
      <c r="Y44" s="654">
        <v>1447077</v>
      </c>
      <c r="Z44" s="654">
        <v>88000</v>
      </c>
    </row>
    <row r="45" spans="1:26" x14ac:dyDescent="0.15">
      <c r="B45" t="s">
        <v>671</v>
      </c>
      <c r="C45" t="s">
        <v>383</v>
      </c>
      <c r="D45" s="654">
        <v>1490099</v>
      </c>
      <c r="E45" s="654">
        <v>0</v>
      </c>
      <c r="F45" s="654">
        <v>5117</v>
      </c>
      <c r="G45" s="654">
        <v>0</v>
      </c>
      <c r="H45" s="654">
        <v>0</v>
      </c>
      <c r="I45" s="654">
        <v>0</v>
      </c>
      <c r="J45" s="654">
        <v>0</v>
      </c>
      <c r="K45" s="654">
        <v>0</v>
      </c>
      <c r="L45" s="654">
        <v>0</v>
      </c>
      <c r="M45" s="654">
        <v>0</v>
      </c>
      <c r="N45" s="654">
        <v>181400</v>
      </c>
      <c r="O45" s="654">
        <v>60840</v>
      </c>
      <c r="P45" s="654">
        <v>1476810</v>
      </c>
      <c r="Q45" s="654">
        <v>0</v>
      </c>
      <c r="R45" s="654">
        <v>0</v>
      </c>
      <c r="S45" s="654">
        <v>0</v>
      </c>
      <c r="T45" s="654">
        <v>0</v>
      </c>
      <c r="U45" s="654">
        <v>0</v>
      </c>
      <c r="V45" s="654">
        <v>0</v>
      </c>
      <c r="W45" s="654">
        <v>0</v>
      </c>
      <c r="X45" s="654">
        <v>0</v>
      </c>
      <c r="Y45" s="654">
        <v>3214266</v>
      </c>
      <c r="Z45" s="654">
        <v>1719050</v>
      </c>
    </row>
    <row r="46" spans="1:26" x14ac:dyDescent="0.15">
      <c r="B46" t="s">
        <v>629</v>
      </c>
      <c r="C46" t="s">
        <v>676</v>
      </c>
      <c r="D46" s="654">
        <v>0</v>
      </c>
      <c r="E46" s="654">
        <v>0</v>
      </c>
      <c r="F46" s="654">
        <v>0</v>
      </c>
      <c r="G46" s="654">
        <v>0</v>
      </c>
      <c r="H46" s="654">
        <v>0</v>
      </c>
      <c r="I46" s="654">
        <v>2471657</v>
      </c>
      <c r="J46" s="654">
        <v>95336</v>
      </c>
      <c r="K46" s="654">
        <v>0</v>
      </c>
      <c r="L46" s="654">
        <v>0</v>
      </c>
      <c r="M46" s="654">
        <v>0</v>
      </c>
      <c r="N46" s="654">
        <v>20827</v>
      </c>
      <c r="O46" s="654">
        <v>0</v>
      </c>
      <c r="P46" s="654">
        <v>0</v>
      </c>
      <c r="Q46" s="654">
        <v>0</v>
      </c>
      <c r="R46" s="654">
        <v>0</v>
      </c>
      <c r="S46" s="654">
        <v>0</v>
      </c>
      <c r="T46" s="654">
        <v>151250</v>
      </c>
      <c r="U46" s="654">
        <v>0</v>
      </c>
      <c r="V46" s="654">
        <v>0</v>
      </c>
      <c r="W46" s="654">
        <v>0</v>
      </c>
      <c r="X46" s="654">
        <v>0</v>
      </c>
      <c r="Y46" s="654">
        <v>2643734</v>
      </c>
      <c r="Z46" s="654">
        <v>172077</v>
      </c>
    </row>
    <row r="47" spans="1:26" x14ac:dyDescent="0.15">
      <c r="A47" s="653" t="s">
        <v>612</v>
      </c>
      <c r="B47"/>
      <c r="D47" s="654">
        <v>19006701</v>
      </c>
      <c r="E47" s="654">
        <v>1514445</v>
      </c>
      <c r="F47" s="654">
        <v>3271422</v>
      </c>
      <c r="G47" s="654">
        <v>573347</v>
      </c>
      <c r="H47" s="654">
        <v>1031123</v>
      </c>
      <c r="I47" s="654">
        <v>2471657</v>
      </c>
      <c r="J47" s="654">
        <v>95336</v>
      </c>
      <c r="K47" s="654">
        <v>3073414</v>
      </c>
      <c r="L47" s="654">
        <v>151302</v>
      </c>
      <c r="M47" s="654">
        <v>33378</v>
      </c>
      <c r="N47" s="654">
        <v>527963</v>
      </c>
      <c r="O47" s="654">
        <v>196427</v>
      </c>
      <c r="P47" s="654">
        <v>1476810</v>
      </c>
      <c r="Q47" s="654">
        <v>9580</v>
      </c>
      <c r="R47" s="654">
        <v>224770</v>
      </c>
      <c r="S47" s="654">
        <v>1084779</v>
      </c>
      <c r="T47" s="654">
        <v>151250</v>
      </c>
      <c r="U47" s="654">
        <v>0</v>
      </c>
      <c r="V47" s="654">
        <v>-40000</v>
      </c>
      <c r="W47" s="654">
        <v>0</v>
      </c>
      <c r="X47" s="654">
        <v>0</v>
      </c>
      <c r="Y47" s="654">
        <v>32519274</v>
      </c>
      <c r="Z47" s="654">
        <v>3631579</v>
      </c>
    </row>
    <row r="48" spans="1:26" x14ac:dyDescent="0.15">
      <c r="A48" s="653">
        <v>42736</v>
      </c>
      <c r="B48" t="s">
        <v>625</v>
      </c>
      <c r="C48" t="s">
        <v>594</v>
      </c>
      <c r="D48" s="654">
        <v>0</v>
      </c>
      <c r="E48" s="654">
        <v>0</v>
      </c>
      <c r="F48" s="654">
        <v>0</v>
      </c>
      <c r="G48" s="654">
        <v>0</v>
      </c>
      <c r="H48" s="654">
        <v>0</v>
      </c>
      <c r="I48" s="654">
        <v>0</v>
      </c>
      <c r="J48" s="654">
        <v>0</v>
      </c>
      <c r="K48" s="654">
        <v>0</v>
      </c>
      <c r="L48" s="654">
        <v>0</v>
      </c>
      <c r="M48" s="654">
        <v>50067</v>
      </c>
      <c r="N48" s="654">
        <v>0</v>
      </c>
      <c r="O48" s="654">
        <v>0</v>
      </c>
      <c r="P48" s="654">
        <v>0</v>
      </c>
      <c r="Q48" s="654">
        <v>0</v>
      </c>
      <c r="R48" s="654">
        <v>0</v>
      </c>
      <c r="S48" s="654">
        <v>0</v>
      </c>
      <c r="T48" s="654">
        <v>0</v>
      </c>
      <c r="U48" s="654">
        <v>0</v>
      </c>
      <c r="V48" s="654">
        <v>0</v>
      </c>
      <c r="W48" s="654">
        <v>0</v>
      </c>
      <c r="X48" s="654">
        <v>0</v>
      </c>
      <c r="Y48" s="654">
        <v>50067</v>
      </c>
      <c r="Z48" s="654">
        <v>0</v>
      </c>
    </row>
    <row r="49" spans="1:26" x14ac:dyDescent="0.15">
      <c r="B49" t="s">
        <v>626</v>
      </c>
      <c r="C49" t="s">
        <v>378</v>
      </c>
      <c r="D49" s="654">
        <v>6420997</v>
      </c>
      <c r="E49" s="654">
        <v>815137</v>
      </c>
      <c r="F49" s="654">
        <v>1646369</v>
      </c>
      <c r="G49" s="654">
        <v>277036</v>
      </c>
      <c r="H49" s="654">
        <v>674885</v>
      </c>
      <c r="I49" s="654">
        <v>0</v>
      </c>
      <c r="J49" s="654">
        <v>0</v>
      </c>
      <c r="K49" s="654">
        <v>0</v>
      </c>
      <c r="L49" s="654">
        <v>0</v>
      </c>
      <c r="M49" s="654">
        <v>0</v>
      </c>
      <c r="N49" s="654">
        <v>78570</v>
      </c>
      <c r="O49" s="654">
        <v>44640</v>
      </c>
      <c r="P49" s="654">
        <v>0</v>
      </c>
      <c r="Q49" s="654">
        <v>6636</v>
      </c>
      <c r="R49" s="654">
        <v>127720</v>
      </c>
      <c r="S49" s="654">
        <v>0</v>
      </c>
      <c r="T49" s="654">
        <v>0</v>
      </c>
      <c r="U49" s="654">
        <v>0</v>
      </c>
      <c r="V49" s="654">
        <v>0</v>
      </c>
      <c r="W49" s="654">
        <v>0</v>
      </c>
      <c r="X49" s="654">
        <v>0</v>
      </c>
      <c r="Y49" s="654">
        <v>8999817</v>
      </c>
      <c r="Z49" s="654">
        <v>257566</v>
      </c>
    </row>
    <row r="50" spans="1:26" x14ac:dyDescent="0.15">
      <c r="B50" t="s">
        <v>627</v>
      </c>
      <c r="C50" t="s">
        <v>379</v>
      </c>
      <c r="D50" s="654">
        <v>3933890</v>
      </c>
      <c r="E50" s="654">
        <v>311423</v>
      </c>
      <c r="F50" s="654">
        <v>361265</v>
      </c>
      <c r="G50" s="654">
        <v>65389</v>
      </c>
      <c r="H50" s="654">
        <v>359083</v>
      </c>
      <c r="I50" s="654">
        <v>0</v>
      </c>
      <c r="J50" s="654">
        <v>0</v>
      </c>
      <c r="K50" s="654">
        <v>0</v>
      </c>
      <c r="L50" s="654">
        <v>0</v>
      </c>
      <c r="M50" s="654">
        <v>0</v>
      </c>
      <c r="N50" s="654">
        <v>128871</v>
      </c>
      <c r="O50" s="654">
        <v>0</v>
      </c>
      <c r="P50" s="654">
        <v>0</v>
      </c>
      <c r="Q50" s="654">
        <v>2349</v>
      </c>
      <c r="R50" s="654">
        <v>110118</v>
      </c>
      <c r="S50" s="654">
        <v>0</v>
      </c>
      <c r="T50" s="654">
        <v>0</v>
      </c>
      <c r="U50" s="654">
        <v>0</v>
      </c>
      <c r="V50" s="654">
        <v>0</v>
      </c>
      <c r="W50" s="654">
        <v>0</v>
      </c>
      <c r="X50" s="654">
        <v>0</v>
      </c>
      <c r="Y50" s="654">
        <v>4895576</v>
      </c>
      <c r="Z50" s="654">
        <v>241338</v>
      </c>
    </row>
    <row r="51" spans="1:26" x14ac:dyDescent="0.15">
      <c r="B51" t="s">
        <v>628</v>
      </c>
      <c r="C51" t="s">
        <v>380</v>
      </c>
      <c r="D51" s="654">
        <v>2747083</v>
      </c>
      <c r="E51" s="654">
        <v>217059</v>
      </c>
      <c r="F51" s="654">
        <v>1250768</v>
      </c>
      <c r="G51" s="654">
        <v>224199</v>
      </c>
      <c r="H51" s="654">
        <v>0</v>
      </c>
      <c r="I51" s="654">
        <v>0</v>
      </c>
      <c r="J51" s="654">
        <v>0</v>
      </c>
      <c r="K51" s="654">
        <v>0</v>
      </c>
      <c r="L51" s="654">
        <v>0</v>
      </c>
      <c r="M51" s="654">
        <v>0</v>
      </c>
      <c r="N51" s="654">
        <v>81100</v>
      </c>
      <c r="O51" s="654">
        <v>90605</v>
      </c>
      <c r="P51" s="654">
        <v>0</v>
      </c>
      <c r="Q51" s="654">
        <v>3652</v>
      </c>
      <c r="R51" s="654">
        <v>0</v>
      </c>
      <c r="S51" s="654">
        <v>0</v>
      </c>
      <c r="T51" s="654">
        <v>0</v>
      </c>
      <c r="U51" s="654">
        <v>0</v>
      </c>
      <c r="V51" s="654">
        <v>0</v>
      </c>
      <c r="W51" s="654">
        <v>0</v>
      </c>
      <c r="X51" s="654">
        <v>0</v>
      </c>
      <c r="Y51" s="654">
        <v>4173208</v>
      </c>
      <c r="Z51" s="654">
        <v>175357</v>
      </c>
    </row>
    <row r="52" spans="1:26" x14ac:dyDescent="0.15">
      <c r="B52" t="s">
        <v>631</v>
      </c>
      <c r="C52" t="s">
        <v>381</v>
      </c>
      <c r="D52" s="654">
        <v>2053904</v>
      </c>
      <c r="E52" s="654">
        <v>0</v>
      </c>
      <c r="F52" s="654">
        <v>0</v>
      </c>
      <c r="G52" s="654">
        <v>0</v>
      </c>
      <c r="H52" s="654">
        <v>0</v>
      </c>
      <c r="I52" s="654">
        <v>0</v>
      </c>
      <c r="J52" s="654">
        <v>0</v>
      </c>
      <c r="K52" s="654">
        <v>0</v>
      </c>
      <c r="L52" s="654">
        <v>0</v>
      </c>
      <c r="M52" s="654">
        <v>0</v>
      </c>
      <c r="N52" s="654">
        <v>27000</v>
      </c>
      <c r="O52" s="654">
        <v>0</v>
      </c>
      <c r="P52" s="654">
        <v>0</v>
      </c>
      <c r="Q52" s="654">
        <v>0</v>
      </c>
      <c r="R52" s="654">
        <v>0</v>
      </c>
      <c r="S52" s="654">
        <v>756311</v>
      </c>
      <c r="T52" s="654">
        <v>0</v>
      </c>
      <c r="U52" s="654">
        <v>0</v>
      </c>
      <c r="V52" s="654">
        <v>0</v>
      </c>
      <c r="W52" s="654">
        <v>0</v>
      </c>
      <c r="X52" s="654">
        <v>0</v>
      </c>
      <c r="Y52" s="654">
        <v>2837215</v>
      </c>
      <c r="Z52" s="654">
        <v>783311</v>
      </c>
    </row>
    <row r="53" spans="1:26" x14ac:dyDescent="0.15">
      <c r="B53" t="s">
        <v>566</v>
      </c>
      <c r="C53" t="s">
        <v>382</v>
      </c>
      <c r="D53" s="654">
        <v>672023</v>
      </c>
      <c r="E53" s="654">
        <v>0</v>
      </c>
      <c r="F53" s="654">
        <v>0</v>
      </c>
      <c r="G53" s="654">
        <v>0</v>
      </c>
      <c r="H53" s="654">
        <v>0</v>
      </c>
      <c r="I53" s="654">
        <v>0</v>
      </c>
      <c r="J53" s="654">
        <v>0</v>
      </c>
      <c r="K53" s="654">
        <v>0</v>
      </c>
      <c r="L53" s="654">
        <v>0</v>
      </c>
      <c r="M53" s="654">
        <v>0</v>
      </c>
      <c r="N53" s="654">
        <v>1000</v>
      </c>
      <c r="O53" s="654">
        <v>0</v>
      </c>
      <c r="P53" s="654">
        <v>0</v>
      </c>
      <c r="Q53" s="654">
        <v>0</v>
      </c>
      <c r="R53" s="654">
        <v>0</v>
      </c>
      <c r="S53" s="654">
        <v>345280</v>
      </c>
      <c r="T53" s="654">
        <v>0</v>
      </c>
      <c r="U53" s="654">
        <v>0</v>
      </c>
      <c r="V53" s="654">
        <v>0</v>
      </c>
      <c r="W53" s="654">
        <v>0</v>
      </c>
      <c r="X53" s="654">
        <v>0</v>
      </c>
      <c r="Y53" s="654">
        <v>1018303</v>
      </c>
      <c r="Z53" s="654">
        <v>346280</v>
      </c>
    </row>
    <row r="54" spans="1:26" x14ac:dyDescent="0.15">
      <c r="B54" t="s">
        <v>567</v>
      </c>
      <c r="C54" t="s">
        <v>473</v>
      </c>
      <c r="D54" s="654">
        <v>0</v>
      </c>
      <c r="E54" s="654">
        <v>0</v>
      </c>
      <c r="F54" s="654">
        <v>0</v>
      </c>
      <c r="G54" s="654">
        <v>0</v>
      </c>
      <c r="H54" s="654">
        <v>0</v>
      </c>
      <c r="I54" s="654">
        <v>0</v>
      </c>
      <c r="J54" s="654">
        <v>0</v>
      </c>
      <c r="K54" s="654">
        <v>1203664</v>
      </c>
      <c r="L54" s="654">
        <v>84778</v>
      </c>
      <c r="M54" s="654">
        <v>0</v>
      </c>
      <c r="N54" s="654">
        <v>0</v>
      </c>
      <c r="O54" s="654">
        <v>0</v>
      </c>
      <c r="P54" s="654">
        <v>0</v>
      </c>
      <c r="Q54" s="654">
        <v>0</v>
      </c>
      <c r="R54" s="654">
        <v>0</v>
      </c>
      <c r="S54" s="654">
        <v>78000</v>
      </c>
      <c r="T54" s="654">
        <v>0</v>
      </c>
      <c r="U54" s="654">
        <v>0</v>
      </c>
      <c r="V54" s="654">
        <v>-30000</v>
      </c>
      <c r="W54" s="654">
        <v>0</v>
      </c>
      <c r="X54" s="654">
        <v>0</v>
      </c>
      <c r="Y54" s="654">
        <v>1251664</v>
      </c>
      <c r="Z54" s="654">
        <v>48000</v>
      </c>
    </row>
    <row r="55" spans="1:26" x14ac:dyDescent="0.15">
      <c r="B55" t="s">
        <v>568</v>
      </c>
      <c r="C55" t="s">
        <v>474</v>
      </c>
      <c r="D55" s="654">
        <v>0</v>
      </c>
      <c r="E55" s="654">
        <v>0</v>
      </c>
      <c r="F55" s="654">
        <v>0</v>
      </c>
      <c r="G55" s="654">
        <v>0</v>
      </c>
      <c r="H55" s="654">
        <v>0</v>
      </c>
      <c r="I55" s="654">
        <v>0</v>
      </c>
      <c r="J55" s="654">
        <v>0</v>
      </c>
      <c r="K55" s="654">
        <v>521532</v>
      </c>
      <c r="L55" s="654">
        <v>0</v>
      </c>
      <c r="M55" s="654">
        <v>0</v>
      </c>
      <c r="N55" s="654">
        <v>0</v>
      </c>
      <c r="O55" s="654">
        <v>0</v>
      </c>
      <c r="P55" s="654">
        <v>0</v>
      </c>
      <c r="Q55" s="654">
        <v>0</v>
      </c>
      <c r="R55" s="654">
        <v>0</v>
      </c>
      <c r="S55" s="654">
        <v>98000</v>
      </c>
      <c r="T55" s="654">
        <v>0</v>
      </c>
      <c r="U55" s="654">
        <v>0</v>
      </c>
      <c r="V55" s="654">
        <v>-10000</v>
      </c>
      <c r="W55" s="654">
        <v>0</v>
      </c>
      <c r="X55" s="654">
        <v>0</v>
      </c>
      <c r="Y55" s="654">
        <v>609532</v>
      </c>
      <c r="Z55" s="654">
        <v>88000</v>
      </c>
    </row>
    <row r="56" spans="1:26" x14ac:dyDescent="0.15">
      <c r="B56" t="s">
        <v>671</v>
      </c>
      <c r="C56" t="s">
        <v>383</v>
      </c>
      <c r="D56" s="654">
        <v>1204218</v>
      </c>
      <c r="E56" s="654">
        <v>0</v>
      </c>
      <c r="F56" s="654">
        <v>8422</v>
      </c>
      <c r="G56" s="654">
        <v>0</v>
      </c>
      <c r="H56" s="654">
        <v>0</v>
      </c>
      <c r="I56" s="654">
        <v>0</v>
      </c>
      <c r="J56" s="654">
        <v>0</v>
      </c>
      <c r="K56" s="654">
        <v>0</v>
      </c>
      <c r="L56" s="654">
        <v>0</v>
      </c>
      <c r="M56" s="654">
        <v>0</v>
      </c>
      <c r="N56" s="654">
        <v>221480</v>
      </c>
      <c r="O56" s="654">
        <v>60840</v>
      </c>
      <c r="P56" s="654">
        <v>1449320</v>
      </c>
      <c r="Q56" s="654">
        <v>0</v>
      </c>
      <c r="R56" s="654">
        <v>0</v>
      </c>
      <c r="S56" s="654">
        <v>0</v>
      </c>
      <c r="T56" s="654">
        <v>0</v>
      </c>
      <c r="U56" s="654">
        <v>0</v>
      </c>
      <c r="V56" s="654">
        <v>0</v>
      </c>
      <c r="W56" s="654">
        <v>0</v>
      </c>
      <c r="X56" s="654">
        <v>0</v>
      </c>
      <c r="Y56" s="654">
        <v>2944280</v>
      </c>
      <c r="Z56" s="654">
        <v>1731640</v>
      </c>
    </row>
    <row r="57" spans="1:26" x14ac:dyDescent="0.15">
      <c r="B57" t="s">
        <v>629</v>
      </c>
      <c r="C57" t="s">
        <v>676</v>
      </c>
      <c r="D57" s="654">
        <v>0</v>
      </c>
      <c r="E57" s="654">
        <v>0</v>
      </c>
      <c r="F57" s="654">
        <v>0</v>
      </c>
      <c r="G57" s="654">
        <v>0</v>
      </c>
      <c r="H57" s="654">
        <v>0</v>
      </c>
      <c r="I57" s="654">
        <v>2308205</v>
      </c>
      <c r="J57" s="654">
        <v>88738</v>
      </c>
      <c r="K57" s="654">
        <v>0</v>
      </c>
      <c r="L57" s="654">
        <v>0</v>
      </c>
      <c r="M57" s="654">
        <v>0</v>
      </c>
      <c r="N57" s="654">
        <v>0</v>
      </c>
      <c r="O57" s="654">
        <v>0</v>
      </c>
      <c r="P57" s="654">
        <v>0</v>
      </c>
      <c r="Q57" s="654">
        <v>0</v>
      </c>
      <c r="R57" s="654">
        <v>0</v>
      </c>
      <c r="S57" s="654">
        <v>0</v>
      </c>
      <c r="T57" s="654">
        <v>146850</v>
      </c>
      <c r="U57" s="654">
        <v>0</v>
      </c>
      <c r="V57" s="654">
        <v>0</v>
      </c>
      <c r="W57" s="654">
        <v>0</v>
      </c>
      <c r="X57" s="654">
        <v>0</v>
      </c>
      <c r="Y57" s="654">
        <v>2455055</v>
      </c>
      <c r="Z57" s="654">
        <v>146850</v>
      </c>
    </row>
    <row r="58" spans="1:26" x14ac:dyDescent="0.15">
      <c r="A58" s="653" t="s">
        <v>613</v>
      </c>
      <c r="B58"/>
      <c r="D58" s="654">
        <v>17032115</v>
      </c>
      <c r="E58" s="654">
        <v>1343619</v>
      </c>
      <c r="F58" s="654">
        <v>3266824</v>
      </c>
      <c r="G58" s="654">
        <v>566624</v>
      </c>
      <c r="H58" s="654">
        <v>1033968</v>
      </c>
      <c r="I58" s="654">
        <v>2308205</v>
      </c>
      <c r="J58" s="654">
        <v>88738</v>
      </c>
      <c r="K58" s="654">
        <v>1725196</v>
      </c>
      <c r="L58" s="654">
        <v>84778</v>
      </c>
      <c r="M58" s="654">
        <v>50067</v>
      </c>
      <c r="N58" s="654">
        <v>538021</v>
      </c>
      <c r="O58" s="654">
        <v>196085</v>
      </c>
      <c r="P58" s="654">
        <v>1449320</v>
      </c>
      <c r="Q58" s="654">
        <v>12637</v>
      </c>
      <c r="R58" s="654">
        <v>237838</v>
      </c>
      <c r="S58" s="654">
        <v>1277591</v>
      </c>
      <c r="T58" s="654">
        <v>146850</v>
      </c>
      <c r="U58" s="654">
        <v>0</v>
      </c>
      <c r="V58" s="654">
        <v>-40000</v>
      </c>
      <c r="W58" s="654">
        <v>0</v>
      </c>
      <c r="X58" s="654">
        <v>0</v>
      </c>
      <c r="Y58" s="654">
        <v>29234717</v>
      </c>
      <c r="Z58" s="654">
        <v>3818342</v>
      </c>
    </row>
    <row r="59" spans="1:26" x14ac:dyDescent="0.15">
      <c r="A59" s="653">
        <v>42767</v>
      </c>
      <c r="B59" t="s">
        <v>626</v>
      </c>
      <c r="C59" t="s">
        <v>378</v>
      </c>
      <c r="D59" s="654">
        <v>6285509</v>
      </c>
      <c r="E59" s="654">
        <v>815137</v>
      </c>
      <c r="F59" s="654">
        <v>1370430</v>
      </c>
      <c r="G59" s="654">
        <v>228468</v>
      </c>
      <c r="H59" s="654">
        <v>882170</v>
      </c>
      <c r="I59" s="654">
        <v>0</v>
      </c>
      <c r="J59" s="654">
        <v>0</v>
      </c>
      <c r="K59" s="654">
        <v>0</v>
      </c>
      <c r="L59" s="654">
        <v>0</v>
      </c>
      <c r="M59" s="654">
        <v>0</v>
      </c>
      <c r="N59" s="654">
        <v>89320</v>
      </c>
      <c r="O59" s="654">
        <v>7880</v>
      </c>
      <c r="P59" s="654">
        <v>0</v>
      </c>
      <c r="Q59" s="654">
        <v>5474</v>
      </c>
      <c r="R59" s="654">
        <v>144960</v>
      </c>
      <c r="S59" s="654">
        <v>0</v>
      </c>
      <c r="T59" s="654">
        <v>0</v>
      </c>
      <c r="U59" s="654">
        <v>0</v>
      </c>
      <c r="V59" s="654">
        <v>0</v>
      </c>
      <c r="W59" s="654">
        <v>0</v>
      </c>
      <c r="X59" s="654">
        <v>0</v>
      </c>
      <c r="Y59" s="654">
        <v>8785743</v>
      </c>
      <c r="Z59" s="654">
        <v>247634</v>
      </c>
    </row>
    <row r="60" spans="1:26" x14ac:dyDescent="0.15">
      <c r="B60" t="s">
        <v>627</v>
      </c>
      <c r="C60" t="s">
        <v>379</v>
      </c>
      <c r="D60" s="654">
        <v>3914221</v>
      </c>
      <c r="E60" s="654">
        <v>309401</v>
      </c>
      <c r="F60" s="654">
        <v>510256</v>
      </c>
      <c r="G60" s="654">
        <v>88748</v>
      </c>
      <c r="H60" s="654">
        <v>338366</v>
      </c>
      <c r="I60" s="654">
        <v>0</v>
      </c>
      <c r="J60" s="654">
        <v>0</v>
      </c>
      <c r="K60" s="654">
        <v>0</v>
      </c>
      <c r="L60" s="654">
        <v>0</v>
      </c>
      <c r="M60" s="654">
        <v>0</v>
      </c>
      <c r="N60" s="654">
        <v>109596</v>
      </c>
      <c r="O60" s="654">
        <v>0</v>
      </c>
      <c r="P60" s="654">
        <v>0</v>
      </c>
      <c r="Q60" s="654">
        <v>2387</v>
      </c>
      <c r="R60" s="654">
        <v>90096</v>
      </c>
      <c r="S60" s="654">
        <v>0</v>
      </c>
      <c r="T60" s="654">
        <v>0</v>
      </c>
      <c r="U60" s="654">
        <v>0</v>
      </c>
      <c r="V60" s="654">
        <v>0</v>
      </c>
      <c r="W60" s="654">
        <v>0</v>
      </c>
      <c r="X60" s="654">
        <v>0</v>
      </c>
      <c r="Y60" s="654">
        <v>4964922</v>
      </c>
      <c r="Z60" s="654">
        <v>202079</v>
      </c>
    </row>
    <row r="61" spans="1:26" x14ac:dyDescent="0.15">
      <c r="B61" t="s">
        <v>628</v>
      </c>
      <c r="C61" t="s">
        <v>380</v>
      </c>
      <c r="D61" s="654">
        <v>2925155</v>
      </c>
      <c r="E61" s="654">
        <v>232279</v>
      </c>
      <c r="F61" s="654">
        <v>1168290</v>
      </c>
      <c r="G61" s="654">
        <v>206946</v>
      </c>
      <c r="H61" s="654">
        <v>0</v>
      </c>
      <c r="I61" s="654">
        <v>0</v>
      </c>
      <c r="J61" s="654">
        <v>0</v>
      </c>
      <c r="K61" s="654">
        <v>0</v>
      </c>
      <c r="L61" s="654">
        <v>0</v>
      </c>
      <c r="M61" s="654">
        <v>0</v>
      </c>
      <c r="N61" s="654">
        <v>51469</v>
      </c>
      <c r="O61" s="654">
        <v>100360</v>
      </c>
      <c r="P61" s="654">
        <v>14450</v>
      </c>
      <c r="Q61" s="654">
        <v>3031</v>
      </c>
      <c r="R61" s="654">
        <v>0</v>
      </c>
      <c r="S61" s="654">
        <v>0</v>
      </c>
      <c r="T61" s="654">
        <v>0</v>
      </c>
      <c r="U61" s="654">
        <v>0</v>
      </c>
      <c r="V61" s="654">
        <v>0</v>
      </c>
      <c r="W61" s="654">
        <v>0</v>
      </c>
      <c r="X61" s="654">
        <v>0</v>
      </c>
      <c r="Y61" s="654">
        <v>4262755</v>
      </c>
      <c r="Z61" s="654">
        <v>169310</v>
      </c>
    </row>
    <row r="62" spans="1:26" x14ac:dyDescent="0.15">
      <c r="B62" t="s">
        <v>631</v>
      </c>
      <c r="C62" t="s">
        <v>381</v>
      </c>
      <c r="D62" s="654">
        <v>2229416</v>
      </c>
      <c r="E62" s="654">
        <v>0</v>
      </c>
      <c r="F62" s="654">
        <v>0</v>
      </c>
      <c r="G62" s="654">
        <v>0</v>
      </c>
      <c r="H62" s="654">
        <v>0</v>
      </c>
      <c r="I62" s="654">
        <v>0</v>
      </c>
      <c r="J62" s="654">
        <v>0</v>
      </c>
      <c r="K62" s="654">
        <v>0</v>
      </c>
      <c r="L62" s="654">
        <v>0</v>
      </c>
      <c r="M62" s="654">
        <v>0</v>
      </c>
      <c r="N62" s="654">
        <v>0</v>
      </c>
      <c r="O62" s="654">
        <v>0</v>
      </c>
      <c r="P62" s="654">
        <v>0</v>
      </c>
      <c r="Q62" s="654">
        <v>0</v>
      </c>
      <c r="R62" s="654">
        <v>0</v>
      </c>
      <c r="S62" s="654">
        <v>631384</v>
      </c>
      <c r="T62" s="654">
        <v>0</v>
      </c>
      <c r="U62" s="654">
        <v>0</v>
      </c>
      <c r="V62" s="654">
        <v>0</v>
      </c>
      <c r="W62" s="654">
        <v>0</v>
      </c>
      <c r="X62" s="654">
        <v>0</v>
      </c>
      <c r="Y62" s="654">
        <v>2860800</v>
      </c>
      <c r="Z62" s="654">
        <v>631384</v>
      </c>
    </row>
    <row r="63" spans="1:26" x14ac:dyDescent="0.15">
      <c r="B63" t="s">
        <v>566</v>
      </c>
      <c r="C63" t="s">
        <v>382</v>
      </c>
      <c r="D63" s="654">
        <v>609299</v>
      </c>
      <c r="E63" s="654">
        <v>0</v>
      </c>
      <c r="F63" s="654">
        <v>0</v>
      </c>
      <c r="G63" s="654">
        <v>0</v>
      </c>
      <c r="H63" s="654">
        <v>0</v>
      </c>
      <c r="I63" s="654">
        <v>0</v>
      </c>
      <c r="J63" s="654">
        <v>0</v>
      </c>
      <c r="K63" s="654">
        <v>0</v>
      </c>
      <c r="L63" s="654">
        <v>0</v>
      </c>
      <c r="M63" s="654">
        <v>0</v>
      </c>
      <c r="N63" s="654">
        <v>0</v>
      </c>
      <c r="O63" s="654">
        <v>0</v>
      </c>
      <c r="P63" s="654">
        <v>0</v>
      </c>
      <c r="Q63" s="654">
        <v>0</v>
      </c>
      <c r="R63" s="654">
        <v>0</v>
      </c>
      <c r="S63" s="654">
        <v>345280</v>
      </c>
      <c r="T63" s="654">
        <v>0</v>
      </c>
      <c r="U63" s="654">
        <v>0</v>
      </c>
      <c r="V63" s="654">
        <v>0</v>
      </c>
      <c r="W63" s="654">
        <v>0</v>
      </c>
      <c r="X63" s="654">
        <v>0</v>
      </c>
      <c r="Y63" s="654">
        <v>954579</v>
      </c>
      <c r="Z63" s="654">
        <v>345280</v>
      </c>
    </row>
    <row r="64" spans="1:26" x14ac:dyDescent="0.15">
      <c r="B64" t="s">
        <v>567</v>
      </c>
      <c r="C64" t="s">
        <v>473</v>
      </c>
      <c r="D64" s="654">
        <v>0</v>
      </c>
      <c r="E64" s="654">
        <v>0</v>
      </c>
      <c r="F64" s="654">
        <v>0</v>
      </c>
      <c r="G64" s="654">
        <v>0</v>
      </c>
      <c r="H64" s="654">
        <v>0</v>
      </c>
      <c r="I64" s="654">
        <v>0</v>
      </c>
      <c r="J64" s="654">
        <v>0</v>
      </c>
      <c r="K64" s="654">
        <v>898853</v>
      </c>
      <c r="L64" s="654">
        <v>66554</v>
      </c>
      <c r="M64" s="654">
        <v>0</v>
      </c>
      <c r="N64" s="654">
        <v>0</v>
      </c>
      <c r="O64" s="654">
        <v>0</v>
      </c>
      <c r="P64" s="654">
        <v>0</v>
      </c>
      <c r="Q64" s="654">
        <v>0</v>
      </c>
      <c r="R64" s="654">
        <v>0</v>
      </c>
      <c r="S64" s="654">
        <v>78000</v>
      </c>
      <c r="T64" s="654">
        <v>0</v>
      </c>
      <c r="U64" s="654">
        <v>0</v>
      </c>
      <c r="V64" s="654">
        <v>-30000</v>
      </c>
      <c r="W64" s="654">
        <v>0</v>
      </c>
      <c r="X64" s="654">
        <v>0</v>
      </c>
      <c r="Y64" s="654">
        <v>946853</v>
      </c>
      <c r="Z64" s="654">
        <v>48000</v>
      </c>
    </row>
    <row r="65" spans="1:26" x14ac:dyDescent="0.15">
      <c r="B65" t="s">
        <v>568</v>
      </c>
      <c r="C65" t="s">
        <v>474</v>
      </c>
      <c r="D65" s="654">
        <v>0</v>
      </c>
      <c r="E65" s="654">
        <v>0</v>
      </c>
      <c r="F65" s="654">
        <v>0</v>
      </c>
      <c r="G65" s="654">
        <v>0</v>
      </c>
      <c r="H65" s="654">
        <v>0</v>
      </c>
      <c r="I65" s="654">
        <v>0</v>
      </c>
      <c r="J65" s="654">
        <v>0</v>
      </c>
      <c r="K65" s="654">
        <v>460537</v>
      </c>
      <c r="L65" s="654">
        <v>0</v>
      </c>
      <c r="M65" s="654">
        <v>0</v>
      </c>
      <c r="N65" s="654">
        <v>20000</v>
      </c>
      <c r="O65" s="654">
        <v>0</v>
      </c>
      <c r="P65" s="654">
        <v>0</v>
      </c>
      <c r="Q65" s="654">
        <v>0</v>
      </c>
      <c r="R65" s="654">
        <v>0</v>
      </c>
      <c r="S65" s="654">
        <v>83857</v>
      </c>
      <c r="T65" s="654">
        <v>0</v>
      </c>
      <c r="U65" s="654">
        <v>0</v>
      </c>
      <c r="V65" s="654">
        <v>-10000</v>
      </c>
      <c r="W65" s="654">
        <v>0</v>
      </c>
      <c r="X65" s="654">
        <v>0</v>
      </c>
      <c r="Y65" s="654">
        <v>554394</v>
      </c>
      <c r="Z65" s="654">
        <v>93857</v>
      </c>
    </row>
    <row r="66" spans="1:26" x14ac:dyDescent="0.15">
      <c r="B66" t="s">
        <v>671</v>
      </c>
      <c r="C66" t="s">
        <v>383</v>
      </c>
      <c r="D66" s="654">
        <v>1174356</v>
      </c>
      <c r="E66" s="654">
        <v>0</v>
      </c>
      <c r="F66" s="654">
        <v>2424</v>
      </c>
      <c r="G66" s="654">
        <v>0</v>
      </c>
      <c r="H66" s="654">
        <v>0</v>
      </c>
      <c r="I66" s="654">
        <v>0</v>
      </c>
      <c r="J66" s="654">
        <v>0</v>
      </c>
      <c r="K66" s="654">
        <v>0</v>
      </c>
      <c r="L66" s="654">
        <v>0</v>
      </c>
      <c r="M66" s="654">
        <v>0</v>
      </c>
      <c r="N66" s="654">
        <v>204600</v>
      </c>
      <c r="O66" s="654">
        <v>56160</v>
      </c>
      <c r="P66" s="654">
        <v>1467070</v>
      </c>
      <c r="Q66" s="654">
        <v>0</v>
      </c>
      <c r="R66" s="654">
        <v>0</v>
      </c>
      <c r="S66" s="654">
        <v>0</v>
      </c>
      <c r="T66" s="654">
        <v>0</v>
      </c>
      <c r="U66" s="654">
        <v>0</v>
      </c>
      <c r="V66" s="654">
        <v>0</v>
      </c>
      <c r="W66" s="654">
        <v>0</v>
      </c>
      <c r="X66" s="654">
        <v>0</v>
      </c>
      <c r="Y66" s="654">
        <v>2904610</v>
      </c>
      <c r="Z66" s="654">
        <v>1727830</v>
      </c>
    </row>
    <row r="67" spans="1:26" x14ac:dyDescent="0.15">
      <c r="B67" t="s">
        <v>629</v>
      </c>
      <c r="C67" t="s">
        <v>676</v>
      </c>
      <c r="D67" s="654">
        <v>0</v>
      </c>
      <c r="E67" s="654">
        <v>0</v>
      </c>
      <c r="F67" s="654">
        <v>0</v>
      </c>
      <c r="G67" s="654">
        <v>0</v>
      </c>
      <c r="H67" s="654">
        <v>0</v>
      </c>
      <c r="I67" s="654">
        <v>2881392</v>
      </c>
      <c r="J67" s="654">
        <v>111359</v>
      </c>
      <c r="K67" s="654">
        <v>0</v>
      </c>
      <c r="L67" s="654">
        <v>0</v>
      </c>
      <c r="M67" s="654">
        <v>0</v>
      </c>
      <c r="N67" s="654">
        <v>3030</v>
      </c>
      <c r="O67" s="654">
        <v>0</v>
      </c>
      <c r="P67" s="654">
        <v>0</v>
      </c>
      <c r="Q67" s="654">
        <v>0</v>
      </c>
      <c r="R67" s="654">
        <v>0</v>
      </c>
      <c r="S67" s="654">
        <v>0</v>
      </c>
      <c r="T67" s="654">
        <v>170500</v>
      </c>
      <c r="U67" s="654">
        <v>0</v>
      </c>
      <c r="V67" s="654">
        <v>0</v>
      </c>
      <c r="W67" s="654">
        <v>0</v>
      </c>
      <c r="X67" s="654">
        <v>0</v>
      </c>
      <c r="Y67" s="654">
        <v>3054922</v>
      </c>
      <c r="Z67" s="654">
        <v>173530</v>
      </c>
    </row>
    <row r="68" spans="1:26" x14ac:dyDescent="0.15">
      <c r="A68" s="653" t="s">
        <v>614</v>
      </c>
      <c r="B68"/>
      <c r="D68" s="654">
        <v>17137956</v>
      </c>
      <c r="E68" s="654">
        <v>1356817</v>
      </c>
      <c r="F68" s="654">
        <v>3051400</v>
      </c>
      <c r="G68" s="654">
        <v>524162</v>
      </c>
      <c r="H68" s="654">
        <v>1220536</v>
      </c>
      <c r="I68" s="654">
        <v>2881392</v>
      </c>
      <c r="J68" s="654">
        <v>111359</v>
      </c>
      <c r="K68" s="654">
        <v>1359390</v>
      </c>
      <c r="L68" s="654">
        <v>66554</v>
      </c>
      <c r="M68" s="654">
        <v>0</v>
      </c>
      <c r="N68" s="654">
        <v>478015</v>
      </c>
      <c r="O68" s="654">
        <v>164400</v>
      </c>
      <c r="P68" s="654">
        <v>1481520</v>
      </c>
      <c r="Q68" s="654">
        <v>10892</v>
      </c>
      <c r="R68" s="654">
        <v>235056</v>
      </c>
      <c r="S68" s="654">
        <v>1138521</v>
      </c>
      <c r="T68" s="654">
        <v>170500</v>
      </c>
      <c r="U68" s="654">
        <v>0</v>
      </c>
      <c r="V68" s="654">
        <v>-40000</v>
      </c>
      <c r="W68" s="654">
        <v>0</v>
      </c>
      <c r="X68" s="654">
        <v>0</v>
      </c>
      <c r="Y68" s="654">
        <v>29289578</v>
      </c>
      <c r="Z68" s="654">
        <v>3638904</v>
      </c>
    </row>
    <row r="69" spans="1:26" x14ac:dyDescent="0.15">
      <c r="A69" s="653">
        <v>42795</v>
      </c>
      <c r="B69" t="s">
        <v>626</v>
      </c>
      <c r="C69" t="s">
        <v>378</v>
      </c>
      <c r="D69" s="654">
        <v>7554872</v>
      </c>
      <c r="E69" s="654">
        <v>902014</v>
      </c>
      <c r="F69" s="654">
        <v>1348844</v>
      </c>
      <c r="G69" s="654">
        <v>225651</v>
      </c>
      <c r="H69" s="654">
        <v>745320</v>
      </c>
      <c r="I69" s="654">
        <v>0</v>
      </c>
      <c r="J69" s="654">
        <v>0</v>
      </c>
      <c r="K69" s="654">
        <v>0</v>
      </c>
      <c r="L69" s="654">
        <v>0</v>
      </c>
      <c r="M69" s="654">
        <v>0</v>
      </c>
      <c r="N69" s="654">
        <v>138469</v>
      </c>
      <c r="O69" s="654">
        <v>28460</v>
      </c>
      <c r="P69" s="654">
        <v>0</v>
      </c>
      <c r="Q69" s="654">
        <v>6278</v>
      </c>
      <c r="R69" s="654">
        <v>123600</v>
      </c>
      <c r="S69" s="654">
        <v>0</v>
      </c>
      <c r="T69" s="654">
        <v>0</v>
      </c>
      <c r="U69" s="654">
        <v>0</v>
      </c>
      <c r="V69" s="654">
        <v>0</v>
      </c>
      <c r="W69" s="654">
        <v>0</v>
      </c>
      <c r="X69" s="654">
        <v>0</v>
      </c>
      <c r="Y69" s="654">
        <v>9945843</v>
      </c>
      <c r="Z69" s="654">
        <v>296807</v>
      </c>
    </row>
    <row r="70" spans="1:26" x14ac:dyDescent="0.15">
      <c r="B70" t="s">
        <v>627</v>
      </c>
      <c r="C70" t="s">
        <v>379</v>
      </c>
      <c r="D70" s="654">
        <v>3667802</v>
      </c>
      <c r="E70" s="654">
        <v>295058</v>
      </c>
      <c r="F70" s="654">
        <v>608591</v>
      </c>
      <c r="G70" s="654">
        <v>107095</v>
      </c>
      <c r="H70" s="654">
        <v>355516</v>
      </c>
      <c r="I70" s="654">
        <v>0</v>
      </c>
      <c r="J70" s="654">
        <v>0</v>
      </c>
      <c r="K70" s="654">
        <v>0</v>
      </c>
      <c r="L70" s="654">
        <v>0</v>
      </c>
      <c r="M70" s="654">
        <v>0</v>
      </c>
      <c r="N70" s="654">
        <v>136325</v>
      </c>
      <c r="O70" s="654">
        <v>0</v>
      </c>
      <c r="P70" s="654">
        <v>0</v>
      </c>
      <c r="Q70" s="654">
        <v>1929</v>
      </c>
      <c r="R70" s="654">
        <v>98037</v>
      </c>
      <c r="S70" s="654">
        <v>0</v>
      </c>
      <c r="T70" s="654">
        <v>0</v>
      </c>
      <c r="U70" s="654">
        <v>0</v>
      </c>
      <c r="V70" s="654">
        <v>0</v>
      </c>
      <c r="W70" s="654">
        <v>0</v>
      </c>
      <c r="X70" s="654">
        <v>0</v>
      </c>
      <c r="Y70" s="654">
        <v>4868200</v>
      </c>
      <c r="Z70" s="654">
        <v>236291</v>
      </c>
    </row>
    <row r="71" spans="1:26" x14ac:dyDescent="0.15">
      <c r="B71" t="s">
        <v>628</v>
      </c>
      <c r="C71" t="s">
        <v>380</v>
      </c>
      <c r="D71" s="654">
        <v>3162692</v>
      </c>
      <c r="E71" s="654">
        <v>250986</v>
      </c>
      <c r="F71" s="654">
        <v>1533164</v>
      </c>
      <c r="G71" s="654">
        <v>275228</v>
      </c>
      <c r="H71" s="654">
        <v>0</v>
      </c>
      <c r="I71" s="654">
        <v>0</v>
      </c>
      <c r="J71" s="654">
        <v>0</v>
      </c>
      <c r="K71" s="654">
        <v>0</v>
      </c>
      <c r="L71" s="654">
        <v>0</v>
      </c>
      <c r="M71" s="654">
        <v>0</v>
      </c>
      <c r="N71" s="654">
        <v>49700</v>
      </c>
      <c r="O71" s="654">
        <v>92900</v>
      </c>
      <c r="P71" s="654">
        <v>18390</v>
      </c>
      <c r="Q71" s="654">
        <v>3367</v>
      </c>
      <c r="R71" s="654">
        <v>0</v>
      </c>
      <c r="S71" s="654">
        <v>0</v>
      </c>
      <c r="T71" s="654">
        <v>0</v>
      </c>
      <c r="U71" s="654">
        <v>0</v>
      </c>
      <c r="V71" s="654">
        <v>0</v>
      </c>
      <c r="W71" s="654">
        <v>0</v>
      </c>
      <c r="X71" s="654">
        <v>0</v>
      </c>
      <c r="Y71" s="654">
        <v>4860213</v>
      </c>
      <c r="Z71" s="654">
        <v>164357</v>
      </c>
    </row>
    <row r="72" spans="1:26" x14ac:dyDescent="0.15">
      <c r="B72" t="s">
        <v>631</v>
      </c>
      <c r="C72" t="s">
        <v>381</v>
      </c>
      <c r="D72" s="654">
        <v>2013810</v>
      </c>
      <c r="E72" s="654">
        <v>0</v>
      </c>
      <c r="F72" s="654">
        <v>0</v>
      </c>
      <c r="G72" s="654">
        <v>0</v>
      </c>
      <c r="H72" s="654">
        <v>0</v>
      </c>
      <c r="I72" s="654">
        <v>0</v>
      </c>
      <c r="J72" s="654">
        <v>0</v>
      </c>
      <c r="K72" s="654">
        <v>0</v>
      </c>
      <c r="L72" s="654">
        <v>0</v>
      </c>
      <c r="M72" s="654">
        <v>0</v>
      </c>
      <c r="N72" s="654">
        <v>14600</v>
      </c>
      <c r="O72" s="654">
        <v>0</v>
      </c>
      <c r="P72" s="654">
        <v>0</v>
      </c>
      <c r="Q72" s="654">
        <v>0</v>
      </c>
      <c r="R72" s="654">
        <v>0</v>
      </c>
      <c r="S72" s="654">
        <v>1247552</v>
      </c>
      <c r="T72" s="654">
        <v>0</v>
      </c>
      <c r="U72" s="654">
        <v>0</v>
      </c>
      <c r="V72" s="654">
        <v>0</v>
      </c>
      <c r="W72" s="654">
        <v>0</v>
      </c>
      <c r="X72" s="654">
        <v>0</v>
      </c>
      <c r="Y72" s="654">
        <v>3275962</v>
      </c>
      <c r="Z72" s="654">
        <v>1262152</v>
      </c>
    </row>
    <row r="73" spans="1:26" x14ac:dyDescent="0.15">
      <c r="B73" t="s">
        <v>566</v>
      </c>
      <c r="C73" t="s">
        <v>382</v>
      </c>
      <c r="D73" s="654">
        <v>643401</v>
      </c>
      <c r="E73" s="654">
        <v>0</v>
      </c>
      <c r="F73" s="654">
        <v>0</v>
      </c>
      <c r="G73" s="654">
        <v>0</v>
      </c>
      <c r="H73" s="654">
        <v>0</v>
      </c>
      <c r="I73" s="654">
        <v>0</v>
      </c>
      <c r="J73" s="654">
        <v>0</v>
      </c>
      <c r="K73" s="654">
        <v>0</v>
      </c>
      <c r="L73" s="654">
        <v>0</v>
      </c>
      <c r="M73" s="654">
        <v>0</v>
      </c>
      <c r="N73" s="654">
        <v>15800</v>
      </c>
      <c r="O73" s="654">
        <v>0</v>
      </c>
      <c r="P73" s="654">
        <v>0</v>
      </c>
      <c r="Q73" s="654">
        <v>0</v>
      </c>
      <c r="R73" s="654">
        <v>0</v>
      </c>
      <c r="S73" s="654">
        <v>334358</v>
      </c>
      <c r="T73" s="654">
        <v>0</v>
      </c>
      <c r="U73" s="654">
        <v>0</v>
      </c>
      <c r="V73" s="654">
        <v>0</v>
      </c>
      <c r="W73" s="654">
        <v>0</v>
      </c>
      <c r="X73" s="654">
        <v>0</v>
      </c>
      <c r="Y73" s="654">
        <v>993559</v>
      </c>
      <c r="Z73" s="654">
        <v>350158</v>
      </c>
    </row>
    <row r="74" spans="1:26" x14ac:dyDescent="0.15">
      <c r="B74" t="s">
        <v>567</v>
      </c>
      <c r="C74" t="s">
        <v>473</v>
      </c>
      <c r="D74" s="654">
        <v>0</v>
      </c>
      <c r="E74" s="654">
        <v>0</v>
      </c>
      <c r="F74" s="654">
        <v>0</v>
      </c>
      <c r="G74" s="654">
        <v>0</v>
      </c>
      <c r="H74" s="654">
        <v>0</v>
      </c>
      <c r="I74" s="654">
        <v>0</v>
      </c>
      <c r="J74" s="654">
        <v>0</v>
      </c>
      <c r="K74" s="654">
        <v>775242</v>
      </c>
      <c r="L74" s="654">
        <v>55552</v>
      </c>
      <c r="M74" s="654">
        <v>0</v>
      </c>
      <c r="N74" s="654">
        <v>0</v>
      </c>
      <c r="O74" s="654">
        <v>0</v>
      </c>
      <c r="P74" s="654">
        <v>0</v>
      </c>
      <c r="Q74" s="654">
        <v>0</v>
      </c>
      <c r="R74" s="654">
        <v>0</v>
      </c>
      <c r="S74" s="654">
        <v>78000</v>
      </c>
      <c r="T74" s="654">
        <v>0</v>
      </c>
      <c r="U74" s="654">
        <v>0</v>
      </c>
      <c r="V74" s="654">
        <v>-30000</v>
      </c>
      <c r="W74" s="654">
        <v>0</v>
      </c>
      <c r="X74" s="654">
        <v>0</v>
      </c>
      <c r="Y74" s="654">
        <v>823242</v>
      </c>
      <c r="Z74" s="654">
        <v>48000</v>
      </c>
    </row>
    <row r="75" spans="1:26" x14ac:dyDescent="0.15">
      <c r="B75" t="s">
        <v>568</v>
      </c>
      <c r="C75" t="s">
        <v>474</v>
      </c>
      <c r="D75" s="654">
        <v>0</v>
      </c>
      <c r="E75" s="654">
        <v>0</v>
      </c>
      <c r="F75" s="654">
        <v>0</v>
      </c>
      <c r="G75" s="654">
        <v>0</v>
      </c>
      <c r="H75" s="654">
        <v>0</v>
      </c>
      <c r="I75" s="654">
        <v>0</v>
      </c>
      <c r="J75" s="654">
        <v>0</v>
      </c>
      <c r="K75" s="654">
        <v>359204</v>
      </c>
      <c r="L75" s="654">
        <v>0</v>
      </c>
      <c r="M75" s="654">
        <v>0</v>
      </c>
      <c r="N75" s="654">
        <v>20000</v>
      </c>
      <c r="O75" s="654">
        <v>0</v>
      </c>
      <c r="P75" s="654">
        <v>0</v>
      </c>
      <c r="Q75" s="654">
        <v>0</v>
      </c>
      <c r="R75" s="654">
        <v>0</v>
      </c>
      <c r="S75" s="654">
        <v>65000</v>
      </c>
      <c r="T75" s="654">
        <v>0</v>
      </c>
      <c r="U75" s="654">
        <v>0</v>
      </c>
      <c r="V75" s="654">
        <v>0</v>
      </c>
      <c r="W75" s="654">
        <v>0</v>
      </c>
      <c r="X75" s="654">
        <v>0</v>
      </c>
      <c r="Y75" s="654">
        <v>444204</v>
      </c>
      <c r="Z75" s="654">
        <v>85000</v>
      </c>
    </row>
    <row r="76" spans="1:26" x14ac:dyDescent="0.15">
      <c r="B76" t="s">
        <v>671</v>
      </c>
      <c r="C76" t="s">
        <v>383</v>
      </c>
      <c r="D76" s="654">
        <v>1127972</v>
      </c>
      <c r="E76" s="654">
        <v>0</v>
      </c>
      <c r="F76" s="654">
        <v>0</v>
      </c>
      <c r="G76" s="654">
        <v>0</v>
      </c>
      <c r="H76" s="654">
        <v>0</v>
      </c>
      <c r="I76" s="654">
        <v>0</v>
      </c>
      <c r="J76" s="654">
        <v>0</v>
      </c>
      <c r="K76" s="654">
        <v>0</v>
      </c>
      <c r="L76" s="654">
        <v>0</v>
      </c>
      <c r="M76" s="654">
        <v>0</v>
      </c>
      <c r="N76" s="654">
        <v>190700</v>
      </c>
      <c r="O76" s="654">
        <v>65520</v>
      </c>
      <c r="P76" s="654">
        <v>1511568</v>
      </c>
      <c r="Q76" s="654">
        <v>0</v>
      </c>
      <c r="R76" s="654">
        <v>0</v>
      </c>
      <c r="S76" s="654">
        <v>0</v>
      </c>
      <c r="T76" s="654">
        <v>0</v>
      </c>
      <c r="U76" s="654">
        <v>0</v>
      </c>
      <c r="V76" s="654">
        <v>0</v>
      </c>
      <c r="W76" s="654">
        <v>0</v>
      </c>
      <c r="X76" s="654">
        <v>0</v>
      </c>
      <c r="Y76" s="654">
        <v>2895760</v>
      </c>
      <c r="Z76" s="654">
        <v>1767788</v>
      </c>
    </row>
    <row r="77" spans="1:26" x14ac:dyDescent="0.15">
      <c r="B77" t="s">
        <v>629</v>
      </c>
      <c r="C77" t="s">
        <v>676</v>
      </c>
      <c r="D77" s="654">
        <v>0</v>
      </c>
      <c r="E77" s="654">
        <v>0</v>
      </c>
      <c r="F77" s="654">
        <v>0</v>
      </c>
      <c r="G77" s="654">
        <v>0</v>
      </c>
      <c r="H77" s="654">
        <v>0</v>
      </c>
      <c r="I77" s="654">
        <v>2909983</v>
      </c>
      <c r="J77" s="654">
        <v>111908</v>
      </c>
      <c r="K77" s="654">
        <v>0</v>
      </c>
      <c r="L77" s="654">
        <v>0</v>
      </c>
      <c r="M77" s="654">
        <v>0</v>
      </c>
      <c r="N77" s="654">
        <v>30000</v>
      </c>
      <c r="O77" s="654">
        <v>0</v>
      </c>
      <c r="P77" s="654">
        <v>0</v>
      </c>
      <c r="Q77" s="654">
        <v>0</v>
      </c>
      <c r="R77" s="654">
        <v>0</v>
      </c>
      <c r="S77" s="654">
        <v>0</v>
      </c>
      <c r="T77" s="654">
        <v>182050</v>
      </c>
      <c r="U77" s="654">
        <v>0</v>
      </c>
      <c r="V77" s="654">
        <v>0</v>
      </c>
      <c r="W77" s="654">
        <v>0</v>
      </c>
      <c r="X77" s="654">
        <v>0</v>
      </c>
      <c r="Y77" s="654">
        <v>3122033</v>
      </c>
      <c r="Z77" s="654">
        <v>212050</v>
      </c>
    </row>
    <row r="78" spans="1:26" x14ac:dyDescent="0.15">
      <c r="A78" s="653" t="s">
        <v>615</v>
      </c>
      <c r="B78"/>
      <c r="D78" s="654">
        <v>18170549</v>
      </c>
      <c r="E78" s="654">
        <v>1448058</v>
      </c>
      <c r="F78" s="654">
        <v>3490599</v>
      </c>
      <c r="G78" s="654">
        <v>607974</v>
      </c>
      <c r="H78" s="654">
        <v>1100836</v>
      </c>
      <c r="I78" s="654">
        <v>2909983</v>
      </c>
      <c r="J78" s="654">
        <v>111908</v>
      </c>
      <c r="K78" s="654">
        <v>1134446</v>
      </c>
      <c r="L78" s="654">
        <v>55552</v>
      </c>
      <c r="M78" s="654">
        <v>0</v>
      </c>
      <c r="N78" s="654">
        <v>595594</v>
      </c>
      <c r="O78" s="654">
        <v>186880</v>
      </c>
      <c r="P78" s="654">
        <v>1529958</v>
      </c>
      <c r="Q78" s="654">
        <v>11574</v>
      </c>
      <c r="R78" s="654">
        <v>221637</v>
      </c>
      <c r="S78" s="654">
        <v>1724910</v>
      </c>
      <c r="T78" s="654">
        <v>182050</v>
      </c>
      <c r="U78" s="654">
        <v>0</v>
      </c>
      <c r="V78" s="654">
        <v>-30000</v>
      </c>
      <c r="W78" s="654">
        <v>0</v>
      </c>
      <c r="X78" s="654">
        <v>0</v>
      </c>
      <c r="Y78" s="654">
        <v>31229016</v>
      </c>
      <c r="Z78" s="654">
        <v>4422603</v>
      </c>
    </row>
    <row r="79" spans="1:26" x14ac:dyDescent="0.15">
      <c r="A79" s="653">
        <v>42826</v>
      </c>
      <c r="B79" t="s">
        <v>626</v>
      </c>
      <c r="C79" t="s">
        <v>378</v>
      </c>
      <c r="D79" s="654">
        <v>7243217</v>
      </c>
      <c r="E79" s="654">
        <v>1307359</v>
      </c>
      <c r="F79" s="654">
        <v>1916351</v>
      </c>
      <c r="G79" s="654">
        <v>404827</v>
      </c>
      <c r="H79" s="654">
        <v>619566</v>
      </c>
      <c r="I79" s="654">
        <v>0</v>
      </c>
      <c r="J79" s="654">
        <v>0</v>
      </c>
      <c r="K79" s="654">
        <v>0</v>
      </c>
      <c r="L79" s="654">
        <v>0</v>
      </c>
      <c r="M79" s="654">
        <v>0</v>
      </c>
      <c r="N79" s="654">
        <v>11000</v>
      </c>
      <c r="O79" s="654">
        <v>9850</v>
      </c>
      <c r="P79" s="654">
        <v>0</v>
      </c>
      <c r="Q79" s="654">
        <v>5333</v>
      </c>
      <c r="R79" s="654">
        <v>123600</v>
      </c>
      <c r="S79" s="654">
        <v>0</v>
      </c>
      <c r="T79" s="654">
        <v>0</v>
      </c>
      <c r="U79" s="654">
        <v>0</v>
      </c>
      <c r="V79" s="654">
        <v>0</v>
      </c>
      <c r="W79" s="654">
        <v>0</v>
      </c>
      <c r="X79" s="654">
        <v>0</v>
      </c>
      <c r="Y79" s="654">
        <v>9928917</v>
      </c>
      <c r="Z79" s="654">
        <v>149783</v>
      </c>
    </row>
    <row r="80" spans="1:26" x14ac:dyDescent="0.15">
      <c r="B80" t="s">
        <v>627</v>
      </c>
      <c r="C80" t="s">
        <v>379</v>
      </c>
      <c r="D80" s="654">
        <v>3590490</v>
      </c>
      <c r="E80" s="654">
        <v>432067</v>
      </c>
      <c r="F80" s="654">
        <v>745402</v>
      </c>
      <c r="G80" s="654">
        <v>168926</v>
      </c>
      <c r="H80" s="654">
        <v>353803</v>
      </c>
      <c r="I80" s="654">
        <v>0</v>
      </c>
      <c r="J80" s="654">
        <v>0</v>
      </c>
      <c r="K80" s="654">
        <v>0</v>
      </c>
      <c r="L80" s="654">
        <v>0</v>
      </c>
      <c r="M80" s="654">
        <v>0</v>
      </c>
      <c r="N80" s="654">
        <v>172136</v>
      </c>
      <c r="O80" s="654">
        <v>0</v>
      </c>
      <c r="P80" s="654">
        <v>0</v>
      </c>
      <c r="Q80" s="654">
        <v>2295</v>
      </c>
      <c r="R80" s="654">
        <v>101352</v>
      </c>
      <c r="S80" s="654">
        <v>0</v>
      </c>
      <c r="T80" s="654">
        <v>0</v>
      </c>
      <c r="U80" s="654">
        <v>0</v>
      </c>
      <c r="V80" s="654">
        <v>0</v>
      </c>
      <c r="W80" s="654">
        <v>0</v>
      </c>
      <c r="X80" s="654">
        <v>0</v>
      </c>
      <c r="Y80" s="654">
        <v>4965478</v>
      </c>
      <c r="Z80" s="654">
        <v>275783</v>
      </c>
    </row>
    <row r="81" spans="1:26" x14ac:dyDescent="0.15">
      <c r="B81" t="s">
        <v>628</v>
      </c>
      <c r="C81" t="s">
        <v>380</v>
      </c>
      <c r="D81" s="654">
        <v>3259551</v>
      </c>
      <c r="E81" s="654">
        <v>382692</v>
      </c>
      <c r="F81" s="654">
        <v>1519245</v>
      </c>
      <c r="G81" s="654">
        <v>349812</v>
      </c>
      <c r="H81" s="654">
        <v>0</v>
      </c>
      <c r="I81" s="654">
        <v>0</v>
      </c>
      <c r="J81" s="654">
        <v>0</v>
      </c>
      <c r="K81" s="654">
        <v>0</v>
      </c>
      <c r="L81" s="654">
        <v>0</v>
      </c>
      <c r="M81" s="654">
        <v>0</v>
      </c>
      <c r="N81" s="654">
        <v>51100</v>
      </c>
      <c r="O81" s="654">
        <v>118065</v>
      </c>
      <c r="P81" s="654">
        <v>23440</v>
      </c>
      <c r="Q81" s="654">
        <v>3652</v>
      </c>
      <c r="R81" s="654">
        <v>0</v>
      </c>
      <c r="S81" s="654">
        <v>0</v>
      </c>
      <c r="T81" s="654">
        <v>0</v>
      </c>
      <c r="U81" s="654">
        <v>0</v>
      </c>
      <c r="V81" s="654">
        <v>0</v>
      </c>
      <c r="W81" s="654">
        <v>0</v>
      </c>
      <c r="X81" s="654">
        <v>0</v>
      </c>
      <c r="Y81" s="654">
        <v>4975053</v>
      </c>
      <c r="Z81" s="654">
        <v>196257</v>
      </c>
    </row>
    <row r="82" spans="1:26" x14ac:dyDescent="0.15">
      <c r="B82" t="s">
        <v>631</v>
      </c>
      <c r="C82" t="s">
        <v>381</v>
      </c>
      <c r="D82" s="654">
        <v>1881228</v>
      </c>
      <c r="E82" s="654">
        <v>0</v>
      </c>
      <c r="F82" s="654">
        <v>0</v>
      </c>
      <c r="G82" s="654">
        <v>0</v>
      </c>
      <c r="H82" s="654">
        <v>0</v>
      </c>
      <c r="I82" s="654">
        <v>0</v>
      </c>
      <c r="J82" s="654">
        <v>0</v>
      </c>
      <c r="K82" s="654">
        <v>0</v>
      </c>
      <c r="L82" s="654">
        <v>0</v>
      </c>
      <c r="M82" s="654">
        <v>0</v>
      </c>
      <c r="N82" s="654">
        <v>14800</v>
      </c>
      <c r="O82" s="654">
        <v>0</v>
      </c>
      <c r="P82" s="654">
        <v>0</v>
      </c>
      <c r="Q82" s="654">
        <v>0</v>
      </c>
      <c r="R82" s="654">
        <v>0</v>
      </c>
      <c r="S82" s="654">
        <v>1013500</v>
      </c>
      <c r="T82" s="654">
        <v>0</v>
      </c>
      <c r="U82" s="654">
        <v>0</v>
      </c>
      <c r="V82" s="654">
        <v>0</v>
      </c>
      <c r="W82" s="654">
        <v>0</v>
      </c>
      <c r="X82" s="654">
        <v>0</v>
      </c>
      <c r="Y82" s="654">
        <v>2909528</v>
      </c>
      <c r="Z82" s="654">
        <v>1028300</v>
      </c>
    </row>
    <row r="83" spans="1:26" x14ac:dyDescent="0.15">
      <c r="B83" t="s">
        <v>566</v>
      </c>
      <c r="C83" t="s">
        <v>382</v>
      </c>
      <c r="D83" s="654">
        <v>570726</v>
      </c>
      <c r="E83" s="654">
        <v>0</v>
      </c>
      <c r="F83" s="654">
        <v>0</v>
      </c>
      <c r="G83" s="654">
        <v>0</v>
      </c>
      <c r="H83" s="654">
        <v>0</v>
      </c>
      <c r="I83" s="654">
        <v>0</v>
      </c>
      <c r="J83" s="654">
        <v>0</v>
      </c>
      <c r="K83" s="654">
        <v>0</v>
      </c>
      <c r="L83" s="654">
        <v>0</v>
      </c>
      <c r="M83" s="654">
        <v>0</v>
      </c>
      <c r="N83" s="654">
        <v>0</v>
      </c>
      <c r="O83" s="654">
        <v>0</v>
      </c>
      <c r="P83" s="654">
        <v>0</v>
      </c>
      <c r="Q83" s="654">
        <v>0</v>
      </c>
      <c r="R83" s="654">
        <v>0</v>
      </c>
      <c r="S83" s="654">
        <v>216476</v>
      </c>
      <c r="T83" s="654">
        <v>0</v>
      </c>
      <c r="U83" s="654">
        <v>0</v>
      </c>
      <c r="V83" s="654">
        <v>0</v>
      </c>
      <c r="W83" s="654">
        <v>0</v>
      </c>
      <c r="X83" s="654">
        <v>0</v>
      </c>
      <c r="Y83" s="654">
        <v>787202</v>
      </c>
      <c r="Z83" s="654">
        <v>216476</v>
      </c>
    </row>
    <row r="84" spans="1:26" x14ac:dyDescent="0.15">
      <c r="B84" t="s">
        <v>567</v>
      </c>
      <c r="C84" t="s">
        <v>473</v>
      </c>
      <c r="D84" s="654">
        <v>0</v>
      </c>
      <c r="E84" s="654">
        <v>0</v>
      </c>
      <c r="F84" s="654">
        <v>0</v>
      </c>
      <c r="G84" s="654">
        <v>0</v>
      </c>
      <c r="H84" s="654">
        <v>0</v>
      </c>
      <c r="I84" s="654">
        <v>0</v>
      </c>
      <c r="J84" s="654">
        <v>0</v>
      </c>
      <c r="K84" s="654">
        <v>0</v>
      </c>
      <c r="L84" s="654">
        <v>0</v>
      </c>
      <c r="M84" s="654">
        <v>0</v>
      </c>
      <c r="N84" s="654">
        <v>0</v>
      </c>
      <c r="O84" s="654">
        <v>0</v>
      </c>
      <c r="P84" s="654">
        <v>0</v>
      </c>
      <c r="Q84" s="654">
        <v>0</v>
      </c>
      <c r="R84" s="654">
        <v>0</v>
      </c>
      <c r="S84" s="654">
        <v>78000</v>
      </c>
      <c r="T84" s="654">
        <v>0</v>
      </c>
      <c r="U84" s="654">
        <v>0</v>
      </c>
      <c r="V84" s="654">
        <v>-30000</v>
      </c>
      <c r="W84" s="654">
        <v>51304</v>
      </c>
      <c r="X84" s="654">
        <v>0</v>
      </c>
      <c r="Y84" s="654">
        <v>99304</v>
      </c>
      <c r="Z84" s="654">
        <v>99304</v>
      </c>
    </row>
    <row r="85" spans="1:26" x14ac:dyDescent="0.15">
      <c r="B85" t="s">
        <v>568</v>
      </c>
      <c r="C85" t="s">
        <v>474</v>
      </c>
      <c r="D85" s="654">
        <v>0</v>
      </c>
      <c r="E85" s="654">
        <v>0</v>
      </c>
      <c r="F85" s="654">
        <v>0</v>
      </c>
      <c r="G85" s="654">
        <v>0</v>
      </c>
      <c r="H85" s="654">
        <v>0</v>
      </c>
      <c r="I85" s="654">
        <v>0</v>
      </c>
      <c r="J85" s="654">
        <v>0</v>
      </c>
      <c r="K85" s="654">
        <v>0</v>
      </c>
      <c r="L85" s="654">
        <v>0</v>
      </c>
      <c r="M85" s="654">
        <v>0</v>
      </c>
      <c r="N85" s="654">
        <v>20000</v>
      </c>
      <c r="O85" s="654">
        <v>0</v>
      </c>
      <c r="P85" s="654">
        <v>0</v>
      </c>
      <c r="Q85" s="654">
        <v>0</v>
      </c>
      <c r="R85" s="654">
        <v>0</v>
      </c>
      <c r="S85" s="654">
        <v>81733</v>
      </c>
      <c r="T85" s="654">
        <v>0</v>
      </c>
      <c r="U85" s="654">
        <v>0</v>
      </c>
      <c r="V85" s="654">
        <v>-30000</v>
      </c>
      <c r="W85" s="654">
        <v>0</v>
      </c>
      <c r="X85" s="654">
        <v>0</v>
      </c>
      <c r="Y85" s="654">
        <v>71733</v>
      </c>
      <c r="Z85" s="654">
        <v>71733</v>
      </c>
    </row>
    <row r="86" spans="1:26" x14ac:dyDescent="0.15">
      <c r="B86" t="s">
        <v>671</v>
      </c>
      <c r="C86" t="s">
        <v>383</v>
      </c>
      <c r="D86" s="654">
        <v>1029135</v>
      </c>
      <c r="E86" s="654">
        <v>0</v>
      </c>
      <c r="F86" s="654">
        <v>2592</v>
      </c>
      <c r="G86" s="654">
        <v>0</v>
      </c>
      <c r="H86" s="654">
        <v>0</v>
      </c>
      <c r="I86" s="654">
        <v>0</v>
      </c>
      <c r="J86" s="654">
        <v>0</v>
      </c>
      <c r="K86" s="654">
        <v>0</v>
      </c>
      <c r="L86" s="654">
        <v>0</v>
      </c>
      <c r="M86" s="654">
        <v>0</v>
      </c>
      <c r="N86" s="654">
        <v>155750</v>
      </c>
      <c r="O86" s="654">
        <v>56160</v>
      </c>
      <c r="P86" s="654">
        <v>1360050</v>
      </c>
      <c r="Q86" s="654">
        <v>0</v>
      </c>
      <c r="R86" s="654">
        <v>0</v>
      </c>
      <c r="S86" s="654">
        <v>0</v>
      </c>
      <c r="T86" s="654">
        <v>0</v>
      </c>
      <c r="U86" s="654">
        <v>0</v>
      </c>
      <c r="V86" s="654">
        <v>0</v>
      </c>
      <c r="W86" s="654">
        <v>0</v>
      </c>
      <c r="X86" s="654">
        <v>0</v>
      </c>
      <c r="Y86" s="654">
        <v>2603687</v>
      </c>
      <c r="Z86" s="654">
        <v>1571960</v>
      </c>
    </row>
    <row r="87" spans="1:26" x14ac:dyDescent="0.15">
      <c r="B87" t="s">
        <v>629</v>
      </c>
      <c r="C87" t="s">
        <v>676</v>
      </c>
      <c r="D87" s="654">
        <v>0</v>
      </c>
      <c r="E87" s="654">
        <v>0</v>
      </c>
      <c r="F87" s="654">
        <v>0</v>
      </c>
      <c r="G87" s="654">
        <v>0</v>
      </c>
      <c r="H87" s="654">
        <v>0</v>
      </c>
      <c r="I87" s="654">
        <v>2860919</v>
      </c>
      <c r="J87" s="654">
        <v>158671</v>
      </c>
      <c r="K87" s="654">
        <v>0</v>
      </c>
      <c r="L87" s="654">
        <v>0</v>
      </c>
      <c r="M87" s="654">
        <v>0</v>
      </c>
      <c r="N87" s="654">
        <v>48527</v>
      </c>
      <c r="O87" s="654">
        <v>0</v>
      </c>
      <c r="P87" s="654">
        <v>0</v>
      </c>
      <c r="Q87" s="654">
        <v>0</v>
      </c>
      <c r="R87" s="654">
        <v>0</v>
      </c>
      <c r="S87" s="654">
        <v>0</v>
      </c>
      <c r="T87" s="654">
        <v>182600</v>
      </c>
      <c r="U87" s="654">
        <v>0</v>
      </c>
      <c r="V87" s="654">
        <v>0</v>
      </c>
      <c r="W87" s="654">
        <v>0</v>
      </c>
      <c r="X87" s="654">
        <v>0</v>
      </c>
      <c r="Y87" s="654">
        <v>3092046</v>
      </c>
      <c r="Z87" s="654">
        <v>231127</v>
      </c>
    </row>
    <row r="88" spans="1:26" x14ac:dyDescent="0.15">
      <c r="A88" s="653" t="s">
        <v>616</v>
      </c>
      <c r="B88"/>
      <c r="D88" s="654">
        <v>17574347</v>
      </c>
      <c r="E88" s="654">
        <v>2122118</v>
      </c>
      <c r="F88" s="654">
        <v>4183590</v>
      </c>
      <c r="G88" s="654">
        <v>923565</v>
      </c>
      <c r="H88" s="654">
        <v>973369</v>
      </c>
      <c r="I88" s="654">
        <v>2860919</v>
      </c>
      <c r="J88" s="654">
        <v>158671</v>
      </c>
      <c r="K88" s="654">
        <v>0</v>
      </c>
      <c r="L88" s="654">
        <v>0</v>
      </c>
      <c r="M88" s="654">
        <v>0</v>
      </c>
      <c r="N88" s="654">
        <v>473313</v>
      </c>
      <c r="O88" s="654">
        <v>184075</v>
      </c>
      <c r="P88" s="654">
        <v>1383490</v>
      </c>
      <c r="Q88" s="654">
        <v>11280</v>
      </c>
      <c r="R88" s="654">
        <v>224952</v>
      </c>
      <c r="S88" s="654">
        <v>1389709</v>
      </c>
      <c r="T88" s="654">
        <v>182600</v>
      </c>
      <c r="U88" s="654">
        <v>0</v>
      </c>
      <c r="V88" s="654">
        <v>-60000</v>
      </c>
      <c r="W88" s="654">
        <v>51304</v>
      </c>
      <c r="X88" s="654">
        <v>0</v>
      </c>
      <c r="Y88" s="654">
        <v>29432948</v>
      </c>
      <c r="Z88" s="654">
        <v>3840723</v>
      </c>
    </row>
    <row r="89" spans="1:26" x14ac:dyDescent="0.15">
      <c r="A89" s="653">
        <v>42856</v>
      </c>
      <c r="B89" t="s">
        <v>626</v>
      </c>
      <c r="C89" t="s">
        <v>378</v>
      </c>
      <c r="D89" s="654">
        <v>7381973</v>
      </c>
      <c r="E89" s="654">
        <v>1399143</v>
      </c>
      <c r="F89" s="654">
        <v>1743955</v>
      </c>
      <c r="G89" s="654">
        <v>375748</v>
      </c>
      <c r="H89" s="654">
        <v>738238</v>
      </c>
      <c r="I89" s="654">
        <v>0</v>
      </c>
      <c r="J89" s="654">
        <v>0</v>
      </c>
      <c r="K89" s="654">
        <v>0</v>
      </c>
      <c r="L89" s="654">
        <v>0</v>
      </c>
      <c r="M89" s="654">
        <v>0</v>
      </c>
      <c r="N89" s="654">
        <v>90875</v>
      </c>
      <c r="O89" s="654">
        <v>7880</v>
      </c>
      <c r="P89" s="654">
        <v>0</v>
      </c>
      <c r="Q89" s="654">
        <v>7567</v>
      </c>
      <c r="R89" s="654">
        <v>111240</v>
      </c>
      <c r="S89" s="654">
        <v>0</v>
      </c>
      <c r="T89" s="654">
        <v>0</v>
      </c>
      <c r="U89" s="654">
        <v>0</v>
      </c>
      <c r="V89" s="654">
        <v>0</v>
      </c>
      <c r="W89" s="654">
        <v>0</v>
      </c>
      <c r="X89" s="654">
        <v>0</v>
      </c>
      <c r="Y89" s="654">
        <v>10081728</v>
      </c>
      <c r="Z89" s="654">
        <v>217562</v>
      </c>
    </row>
    <row r="90" spans="1:26" x14ac:dyDescent="0.15">
      <c r="B90" t="s">
        <v>627</v>
      </c>
      <c r="C90" t="s">
        <v>379</v>
      </c>
      <c r="D90" s="654">
        <v>4023031</v>
      </c>
      <c r="E90" s="654">
        <v>506157</v>
      </c>
      <c r="F90" s="654">
        <v>746212</v>
      </c>
      <c r="G90" s="654">
        <v>168386</v>
      </c>
      <c r="H90" s="654">
        <v>363715</v>
      </c>
      <c r="I90" s="654">
        <v>0</v>
      </c>
      <c r="J90" s="654">
        <v>0</v>
      </c>
      <c r="K90" s="654">
        <v>0</v>
      </c>
      <c r="L90" s="654">
        <v>0</v>
      </c>
      <c r="M90" s="654">
        <v>0</v>
      </c>
      <c r="N90" s="654">
        <v>114025</v>
      </c>
      <c r="O90" s="654">
        <v>0</v>
      </c>
      <c r="P90" s="654">
        <v>0</v>
      </c>
      <c r="Q90" s="654">
        <v>2000</v>
      </c>
      <c r="R90" s="654">
        <v>94004</v>
      </c>
      <c r="S90" s="654">
        <v>0</v>
      </c>
      <c r="T90" s="654">
        <v>0</v>
      </c>
      <c r="U90" s="654">
        <v>0</v>
      </c>
      <c r="V90" s="654">
        <v>0</v>
      </c>
      <c r="W90" s="654">
        <v>0</v>
      </c>
      <c r="X90" s="654">
        <v>0</v>
      </c>
      <c r="Y90" s="654">
        <v>5342987</v>
      </c>
      <c r="Z90" s="654">
        <v>210029</v>
      </c>
    </row>
    <row r="91" spans="1:26" x14ac:dyDescent="0.15">
      <c r="B91" t="s">
        <v>628</v>
      </c>
      <c r="C91" t="s">
        <v>380</v>
      </c>
      <c r="D91" s="654">
        <v>3237052</v>
      </c>
      <c r="E91" s="654">
        <v>382703</v>
      </c>
      <c r="F91" s="654">
        <v>1815705</v>
      </c>
      <c r="G91" s="654">
        <v>424065</v>
      </c>
      <c r="H91" s="654">
        <v>0</v>
      </c>
      <c r="I91" s="654">
        <v>0</v>
      </c>
      <c r="J91" s="654">
        <v>0</v>
      </c>
      <c r="K91" s="654">
        <v>0</v>
      </c>
      <c r="L91" s="654">
        <v>0</v>
      </c>
      <c r="M91" s="654">
        <v>0</v>
      </c>
      <c r="N91" s="654">
        <v>132900</v>
      </c>
      <c r="O91" s="654">
        <v>141140</v>
      </c>
      <c r="P91" s="654">
        <v>44650</v>
      </c>
      <c r="Q91" s="654">
        <v>3472</v>
      </c>
      <c r="R91" s="654">
        <v>0</v>
      </c>
      <c r="S91" s="654">
        <v>0</v>
      </c>
      <c r="T91" s="654">
        <v>0</v>
      </c>
      <c r="U91" s="654">
        <v>0</v>
      </c>
      <c r="V91" s="654">
        <v>0</v>
      </c>
      <c r="W91" s="654">
        <v>0</v>
      </c>
      <c r="X91" s="654">
        <v>0</v>
      </c>
      <c r="Y91" s="654">
        <v>5374919</v>
      </c>
      <c r="Z91" s="654">
        <v>322162</v>
      </c>
    </row>
    <row r="92" spans="1:26" x14ac:dyDescent="0.15">
      <c r="B92" t="s">
        <v>631</v>
      </c>
      <c r="C92" t="s">
        <v>381</v>
      </c>
      <c r="D92" s="654">
        <v>2491950</v>
      </c>
      <c r="E92" s="654">
        <v>0</v>
      </c>
      <c r="F92" s="654">
        <v>0</v>
      </c>
      <c r="G92" s="654">
        <v>0</v>
      </c>
      <c r="H92" s="654">
        <v>0</v>
      </c>
      <c r="I92" s="654">
        <v>0</v>
      </c>
      <c r="J92" s="654">
        <v>0</v>
      </c>
      <c r="K92" s="654">
        <v>0</v>
      </c>
      <c r="L92" s="654">
        <v>0</v>
      </c>
      <c r="M92" s="654">
        <v>0</v>
      </c>
      <c r="N92" s="654">
        <v>20000</v>
      </c>
      <c r="O92" s="654">
        <v>0</v>
      </c>
      <c r="P92" s="654">
        <v>0</v>
      </c>
      <c r="Q92" s="654">
        <v>0</v>
      </c>
      <c r="R92" s="654">
        <v>0</v>
      </c>
      <c r="S92" s="654">
        <v>706420</v>
      </c>
      <c r="T92" s="654">
        <v>0</v>
      </c>
      <c r="U92" s="654">
        <v>0</v>
      </c>
      <c r="V92" s="654">
        <v>0</v>
      </c>
      <c r="W92" s="654">
        <v>0</v>
      </c>
      <c r="X92" s="654">
        <v>0</v>
      </c>
      <c r="Y92" s="654">
        <v>3218370</v>
      </c>
      <c r="Z92" s="654">
        <v>726420</v>
      </c>
    </row>
    <row r="93" spans="1:26" x14ac:dyDescent="0.15">
      <c r="B93" t="s">
        <v>566</v>
      </c>
      <c r="C93" t="s">
        <v>382</v>
      </c>
      <c r="D93" s="654">
        <v>421867</v>
      </c>
      <c r="E93" s="654">
        <v>0</v>
      </c>
      <c r="F93" s="654">
        <v>0</v>
      </c>
      <c r="G93" s="654">
        <v>0</v>
      </c>
      <c r="H93" s="654">
        <v>0</v>
      </c>
      <c r="I93" s="654">
        <v>0</v>
      </c>
      <c r="J93" s="654">
        <v>0</v>
      </c>
      <c r="K93" s="654">
        <v>0</v>
      </c>
      <c r="L93" s="654">
        <v>0</v>
      </c>
      <c r="M93" s="654">
        <v>0</v>
      </c>
      <c r="N93" s="654">
        <v>0</v>
      </c>
      <c r="O93" s="654">
        <v>0</v>
      </c>
      <c r="P93" s="654">
        <v>0</v>
      </c>
      <c r="Q93" s="654">
        <v>0</v>
      </c>
      <c r="R93" s="654">
        <v>0</v>
      </c>
      <c r="S93" s="654">
        <v>174166</v>
      </c>
      <c r="T93" s="654">
        <v>0</v>
      </c>
      <c r="U93" s="654">
        <v>0</v>
      </c>
      <c r="V93" s="654">
        <v>0</v>
      </c>
      <c r="W93" s="654">
        <v>0</v>
      </c>
      <c r="X93" s="654">
        <v>0</v>
      </c>
      <c r="Y93" s="654">
        <v>596033</v>
      </c>
      <c r="Z93" s="654">
        <v>174166</v>
      </c>
    </row>
    <row r="94" spans="1:26" x14ac:dyDescent="0.15">
      <c r="B94" t="s">
        <v>567</v>
      </c>
      <c r="C94" t="s">
        <v>473</v>
      </c>
      <c r="D94" s="654">
        <v>0</v>
      </c>
      <c r="E94" s="654">
        <v>0</v>
      </c>
      <c r="F94" s="654">
        <v>0</v>
      </c>
      <c r="G94" s="654">
        <v>0</v>
      </c>
      <c r="H94" s="654">
        <v>0</v>
      </c>
      <c r="I94" s="654">
        <v>0</v>
      </c>
      <c r="J94" s="654">
        <v>0</v>
      </c>
      <c r="K94" s="654">
        <v>0</v>
      </c>
      <c r="L94" s="654">
        <v>0</v>
      </c>
      <c r="M94" s="654">
        <v>0</v>
      </c>
      <c r="N94" s="654">
        <v>0</v>
      </c>
      <c r="O94" s="654">
        <v>0</v>
      </c>
      <c r="P94" s="654">
        <v>0</v>
      </c>
      <c r="Q94" s="654">
        <v>0</v>
      </c>
      <c r="R94" s="654">
        <v>0</v>
      </c>
      <c r="S94" s="654">
        <v>78000</v>
      </c>
      <c r="T94" s="654">
        <v>0</v>
      </c>
      <c r="U94" s="654">
        <v>0</v>
      </c>
      <c r="V94" s="654">
        <v>-30000</v>
      </c>
      <c r="W94" s="654">
        <v>360033</v>
      </c>
      <c r="X94" s="654">
        <v>0</v>
      </c>
      <c r="Y94" s="654">
        <v>408033</v>
      </c>
      <c r="Z94" s="654">
        <v>408033</v>
      </c>
    </row>
    <row r="95" spans="1:26" x14ac:dyDescent="0.15">
      <c r="B95" t="s">
        <v>568</v>
      </c>
      <c r="C95" t="s">
        <v>474</v>
      </c>
      <c r="D95" s="654">
        <v>0</v>
      </c>
      <c r="E95" s="654">
        <v>0</v>
      </c>
      <c r="F95" s="654">
        <v>0</v>
      </c>
      <c r="G95" s="654">
        <v>0</v>
      </c>
      <c r="H95" s="654">
        <v>0</v>
      </c>
      <c r="I95" s="654">
        <v>0</v>
      </c>
      <c r="J95" s="654">
        <v>0</v>
      </c>
      <c r="K95" s="654">
        <v>0</v>
      </c>
      <c r="L95" s="654">
        <v>0</v>
      </c>
      <c r="M95" s="654">
        <v>0</v>
      </c>
      <c r="N95" s="654">
        <v>20000</v>
      </c>
      <c r="O95" s="654">
        <v>0</v>
      </c>
      <c r="P95" s="654">
        <v>0</v>
      </c>
      <c r="Q95" s="654">
        <v>0</v>
      </c>
      <c r="R95" s="654">
        <v>0</v>
      </c>
      <c r="S95" s="654">
        <v>81300</v>
      </c>
      <c r="T95" s="654">
        <v>0</v>
      </c>
      <c r="U95" s="654">
        <v>0</v>
      </c>
      <c r="V95" s="654">
        <v>0</v>
      </c>
      <c r="W95" s="654">
        <v>1018331</v>
      </c>
      <c r="X95" s="654">
        <v>0</v>
      </c>
      <c r="Y95" s="654">
        <v>1119631</v>
      </c>
      <c r="Z95" s="654">
        <v>1119631</v>
      </c>
    </row>
    <row r="96" spans="1:26" x14ac:dyDescent="0.15">
      <c r="B96" t="s">
        <v>671</v>
      </c>
      <c r="C96" t="s">
        <v>383</v>
      </c>
      <c r="D96" s="654">
        <v>1229514</v>
      </c>
      <c r="E96" s="654">
        <v>0</v>
      </c>
      <c r="F96" s="654">
        <v>10440</v>
      </c>
      <c r="G96" s="654">
        <v>0</v>
      </c>
      <c r="H96" s="654">
        <v>0</v>
      </c>
      <c r="I96" s="654">
        <v>0</v>
      </c>
      <c r="J96" s="654">
        <v>0</v>
      </c>
      <c r="K96" s="654">
        <v>0</v>
      </c>
      <c r="L96" s="654">
        <v>0</v>
      </c>
      <c r="M96" s="654">
        <v>0</v>
      </c>
      <c r="N96" s="654">
        <v>251400</v>
      </c>
      <c r="O96" s="654">
        <v>65520</v>
      </c>
      <c r="P96" s="654">
        <v>1454750</v>
      </c>
      <c r="Q96" s="654">
        <v>0</v>
      </c>
      <c r="R96" s="654">
        <v>0</v>
      </c>
      <c r="S96" s="654">
        <v>0</v>
      </c>
      <c r="T96" s="654">
        <v>0</v>
      </c>
      <c r="U96" s="654">
        <v>0</v>
      </c>
      <c r="V96" s="654">
        <v>0</v>
      </c>
      <c r="W96" s="654">
        <v>0</v>
      </c>
      <c r="X96" s="654">
        <v>0</v>
      </c>
      <c r="Y96" s="654">
        <v>3011624</v>
      </c>
      <c r="Z96" s="654">
        <v>1771670</v>
      </c>
    </row>
    <row r="97" spans="1:26" x14ac:dyDescent="0.15">
      <c r="B97" t="s">
        <v>629</v>
      </c>
      <c r="C97" t="s">
        <v>676</v>
      </c>
      <c r="D97" s="654">
        <v>0</v>
      </c>
      <c r="E97" s="654">
        <v>0</v>
      </c>
      <c r="F97" s="654">
        <v>0</v>
      </c>
      <c r="G97" s="654">
        <v>0</v>
      </c>
      <c r="H97" s="654">
        <v>0</v>
      </c>
      <c r="I97" s="654">
        <v>3365344</v>
      </c>
      <c r="J97" s="654">
        <v>187859</v>
      </c>
      <c r="K97" s="654">
        <v>0</v>
      </c>
      <c r="L97" s="654">
        <v>0</v>
      </c>
      <c r="M97" s="654">
        <v>0</v>
      </c>
      <c r="N97" s="654">
        <v>4514</v>
      </c>
      <c r="O97" s="654">
        <v>0</v>
      </c>
      <c r="P97" s="654">
        <v>0</v>
      </c>
      <c r="Q97" s="654">
        <v>0</v>
      </c>
      <c r="R97" s="654">
        <v>0</v>
      </c>
      <c r="S97" s="654">
        <v>0</v>
      </c>
      <c r="T97" s="654">
        <v>179850</v>
      </c>
      <c r="U97" s="654">
        <v>0</v>
      </c>
      <c r="V97" s="654">
        <v>0</v>
      </c>
      <c r="W97" s="654">
        <v>0</v>
      </c>
      <c r="X97" s="654">
        <v>0</v>
      </c>
      <c r="Y97" s="654">
        <v>3549708</v>
      </c>
      <c r="Z97" s="654">
        <v>184364</v>
      </c>
    </row>
    <row r="98" spans="1:26" x14ac:dyDescent="0.15">
      <c r="A98" s="653" t="s">
        <v>617</v>
      </c>
      <c r="B98"/>
      <c r="D98" s="654">
        <v>18785387</v>
      </c>
      <c r="E98" s="654">
        <v>2288003</v>
      </c>
      <c r="F98" s="654">
        <v>4316312</v>
      </c>
      <c r="G98" s="654">
        <v>968199</v>
      </c>
      <c r="H98" s="654">
        <v>1101953</v>
      </c>
      <c r="I98" s="654">
        <v>3365344</v>
      </c>
      <c r="J98" s="654">
        <v>187859</v>
      </c>
      <c r="K98" s="654">
        <v>0</v>
      </c>
      <c r="L98" s="654">
        <v>0</v>
      </c>
      <c r="M98" s="654">
        <v>0</v>
      </c>
      <c r="N98" s="654">
        <v>633714</v>
      </c>
      <c r="O98" s="654">
        <v>214540</v>
      </c>
      <c r="P98" s="654">
        <v>1499400</v>
      </c>
      <c r="Q98" s="654">
        <v>13039</v>
      </c>
      <c r="R98" s="654">
        <v>205244</v>
      </c>
      <c r="S98" s="654">
        <v>1039886</v>
      </c>
      <c r="T98" s="654">
        <v>179850</v>
      </c>
      <c r="U98" s="654">
        <v>0</v>
      </c>
      <c r="V98" s="654">
        <v>-30000</v>
      </c>
      <c r="W98" s="654">
        <v>1378364</v>
      </c>
      <c r="X98" s="654">
        <v>0</v>
      </c>
      <c r="Y98" s="654">
        <v>32703033</v>
      </c>
      <c r="Z98" s="654">
        <v>5134037</v>
      </c>
    </row>
    <row r="99" spans="1:26" x14ac:dyDescent="0.15">
      <c r="A99" s="653">
        <v>42887</v>
      </c>
      <c r="B99" t="s">
        <v>626</v>
      </c>
      <c r="C99" t="s">
        <v>378</v>
      </c>
      <c r="D99" s="654">
        <v>7118889</v>
      </c>
      <c r="E99" s="654">
        <v>1238192</v>
      </c>
      <c r="F99" s="654">
        <v>1462036</v>
      </c>
      <c r="G99" s="654">
        <v>311062</v>
      </c>
      <c r="H99" s="654">
        <v>730748</v>
      </c>
      <c r="I99" s="654">
        <v>0</v>
      </c>
      <c r="J99" s="654">
        <v>0</v>
      </c>
      <c r="K99" s="654">
        <v>0</v>
      </c>
      <c r="L99" s="654">
        <v>0</v>
      </c>
      <c r="M99" s="654">
        <v>0</v>
      </c>
      <c r="N99" s="654">
        <v>62823</v>
      </c>
      <c r="O99" s="654">
        <v>20360</v>
      </c>
      <c r="P99" s="654">
        <v>0</v>
      </c>
      <c r="Q99" s="654">
        <v>4217</v>
      </c>
      <c r="R99" s="654">
        <v>129600</v>
      </c>
      <c r="S99" s="654">
        <v>0</v>
      </c>
      <c r="T99" s="654">
        <v>0</v>
      </c>
      <c r="U99" s="654">
        <v>0</v>
      </c>
      <c r="V99" s="654">
        <v>0</v>
      </c>
      <c r="W99" s="654">
        <v>0</v>
      </c>
      <c r="X99" s="654">
        <v>0</v>
      </c>
      <c r="Y99" s="654">
        <v>9528673</v>
      </c>
      <c r="Z99" s="654">
        <v>217000</v>
      </c>
    </row>
    <row r="100" spans="1:26" x14ac:dyDescent="0.15">
      <c r="B100" t="s">
        <v>627</v>
      </c>
      <c r="C100" t="s">
        <v>379</v>
      </c>
      <c r="D100" s="654">
        <v>4207063</v>
      </c>
      <c r="E100" s="654">
        <v>489137</v>
      </c>
      <c r="F100" s="654">
        <v>696592</v>
      </c>
      <c r="G100" s="654">
        <v>157860</v>
      </c>
      <c r="H100" s="654">
        <v>383360</v>
      </c>
      <c r="I100" s="654">
        <v>0</v>
      </c>
      <c r="J100" s="654">
        <v>0</v>
      </c>
      <c r="K100" s="654">
        <v>0</v>
      </c>
      <c r="L100" s="654">
        <v>0</v>
      </c>
      <c r="M100" s="654">
        <v>0</v>
      </c>
      <c r="N100" s="654">
        <v>300426</v>
      </c>
      <c r="O100" s="654">
        <v>0</v>
      </c>
      <c r="P100" s="654">
        <v>0</v>
      </c>
      <c r="Q100" s="654">
        <v>2288</v>
      </c>
      <c r="R100" s="654">
        <v>94004</v>
      </c>
      <c r="S100" s="654">
        <v>0</v>
      </c>
      <c r="T100" s="654">
        <v>0</v>
      </c>
      <c r="U100" s="654">
        <v>0</v>
      </c>
      <c r="V100" s="654">
        <v>0</v>
      </c>
      <c r="W100" s="654">
        <v>0</v>
      </c>
      <c r="X100" s="654">
        <v>0</v>
      </c>
      <c r="Y100" s="654">
        <v>5683733</v>
      </c>
      <c r="Z100" s="654">
        <v>396718</v>
      </c>
    </row>
    <row r="101" spans="1:26" x14ac:dyDescent="0.15">
      <c r="B101" t="s">
        <v>628</v>
      </c>
      <c r="C101" t="s">
        <v>380</v>
      </c>
      <c r="D101" s="654">
        <v>3049599</v>
      </c>
      <c r="E101" s="654">
        <v>345767</v>
      </c>
      <c r="F101" s="654">
        <v>2352621</v>
      </c>
      <c r="G101" s="654">
        <v>541700</v>
      </c>
      <c r="H101" s="654">
        <v>0</v>
      </c>
      <c r="I101" s="654">
        <v>0</v>
      </c>
      <c r="J101" s="654">
        <v>0</v>
      </c>
      <c r="K101" s="654">
        <v>0</v>
      </c>
      <c r="L101" s="654">
        <v>0</v>
      </c>
      <c r="M101" s="654">
        <v>0</v>
      </c>
      <c r="N101" s="654">
        <v>90400</v>
      </c>
      <c r="O101" s="654">
        <v>127670</v>
      </c>
      <c r="P101" s="654">
        <v>72910</v>
      </c>
      <c r="Q101" s="654">
        <v>4382</v>
      </c>
      <c r="R101" s="654">
        <v>0</v>
      </c>
      <c r="S101" s="654">
        <v>0</v>
      </c>
      <c r="T101" s="654">
        <v>0</v>
      </c>
      <c r="U101" s="654">
        <v>0</v>
      </c>
      <c r="V101" s="654">
        <v>0</v>
      </c>
      <c r="W101" s="654">
        <v>0</v>
      </c>
      <c r="X101" s="654">
        <v>0</v>
      </c>
      <c r="Y101" s="654">
        <v>5697582</v>
      </c>
      <c r="Z101" s="654">
        <v>295362</v>
      </c>
    </row>
    <row r="102" spans="1:26" x14ac:dyDescent="0.15">
      <c r="B102" t="s">
        <v>631</v>
      </c>
      <c r="C102" t="s">
        <v>381</v>
      </c>
      <c r="D102" s="654">
        <v>2170929</v>
      </c>
      <c r="E102" s="654">
        <v>0</v>
      </c>
      <c r="F102" s="654">
        <v>0</v>
      </c>
      <c r="G102" s="654">
        <v>0</v>
      </c>
      <c r="H102" s="654">
        <v>0</v>
      </c>
      <c r="I102" s="654">
        <v>0</v>
      </c>
      <c r="J102" s="654">
        <v>0</v>
      </c>
      <c r="K102" s="654">
        <v>0</v>
      </c>
      <c r="L102" s="654">
        <v>0</v>
      </c>
      <c r="M102" s="654">
        <v>0</v>
      </c>
      <c r="N102" s="654">
        <v>19000</v>
      </c>
      <c r="O102" s="654">
        <v>0</v>
      </c>
      <c r="P102" s="654">
        <v>0</v>
      </c>
      <c r="Q102" s="654">
        <v>0</v>
      </c>
      <c r="R102" s="654">
        <v>0</v>
      </c>
      <c r="S102" s="654">
        <v>703500</v>
      </c>
      <c r="T102" s="654">
        <v>0</v>
      </c>
      <c r="U102" s="654">
        <v>0</v>
      </c>
      <c r="V102" s="654">
        <v>0</v>
      </c>
      <c r="W102" s="654">
        <v>0</v>
      </c>
      <c r="X102" s="654">
        <v>0</v>
      </c>
      <c r="Y102" s="654">
        <v>2893429</v>
      </c>
      <c r="Z102" s="654">
        <v>722500</v>
      </c>
    </row>
    <row r="103" spans="1:26" x14ac:dyDescent="0.15">
      <c r="B103" t="s">
        <v>567</v>
      </c>
      <c r="C103" t="s">
        <v>473</v>
      </c>
      <c r="D103" s="654">
        <v>0</v>
      </c>
      <c r="E103" s="654">
        <v>0</v>
      </c>
      <c r="F103" s="654">
        <v>0</v>
      </c>
      <c r="G103" s="654">
        <v>0</v>
      </c>
      <c r="H103" s="654">
        <v>0</v>
      </c>
      <c r="I103" s="654">
        <v>0</v>
      </c>
      <c r="J103" s="654">
        <v>0</v>
      </c>
      <c r="K103" s="654">
        <v>2638373</v>
      </c>
      <c r="L103" s="654">
        <v>431509</v>
      </c>
      <c r="M103" s="654">
        <v>0</v>
      </c>
      <c r="N103" s="654">
        <v>0</v>
      </c>
      <c r="O103" s="654">
        <v>0</v>
      </c>
      <c r="P103" s="654">
        <v>0</v>
      </c>
      <c r="Q103" s="654">
        <v>0</v>
      </c>
      <c r="R103" s="654">
        <v>0</v>
      </c>
      <c r="S103" s="654">
        <v>78000</v>
      </c>
      <c r="T103" s="654">
        <v>0</v>
      </c>
      <c r="U103" s="654">
        <v>0</v>
      </c>
      <c r="V103" s="654">
        <v>-30000</v>
      </c>
      <c r="W103" s="654">
        <v>0</v>
      </c>
      <c r="X103" s="654">
        <v>0</v>
      </c>
      <c r="Y103" s="654">
        <v>2686373</v>
      </c>
      <c r="Z103" s="654">
        <v>48000</v>
      </c>
    </row>
    <row r="104" spans="1:26" x14ac:dyDescent="0.15">
      <c r="B104" t="s">
        <v>568</v>
      </c>
      <c r="C104" t="s">
        <v>474</v>
      </c>
      <c r="D104" s="654">
        <v>0</v>
      </c>
      <c r="E104" s="654">
        <v>0</v>
      </c>
      <c r="F104" s="654">
        <v>0</v>
      </c>
      <c r="G104" s="654">
        <v>0</v>
      </c>
      <c r="H104" s="654">
        <v>0</v>
      </c>
      <c r="I104" s="654">
        <v>0</v>
      </c>
      <c r="J104" s="654">
        <v>0</v>
      </c>
      <c r="K104" s="654">
        <v>2247072</v>
      </c>
      <c r="L104" s="654">
        <v>0</v>
      </c>
      <c r="M104" s="654">
        <v>0</v>
      </c>
      <c r="N104" s="654">
        <v>20000</v>
      </c>
      <c r="O104" s="654">
        <v>0</v>
      </c>
      <c r="P104" s="654">
        <v>0</v>
      </c>
      <c r="Q104" s="654">
        <v>0</v>
      </c>
      <c r="R104" s="654">
        <v>0</v>
      </c>
      <c r="S104" s="654">
        <v>98000</v>
      </c>
      <c r="T104" s="654">
        <v>0</v>
      </c>
      <c r="U104" s="654">
        <v>0</v>
      </c>
      <c r="V104" s="654">
        <v>-290000</v>
      </c>
      <c r="W104" s="654">
        <v>0</v>
      </c>
      <c r="X104" s="654">
        <v>0</v>
      </c>
      <c r="Y104" s="654">
        <v>2075072</v>
      </c>
      <c r="Z104" s="654">
        <v>-172000</v>
      </c>
    </row>
    <row r="105" spans="1:26" x14ac:dyDescent="0.15">
      <c r="B105" t="s">
        <v>582</v>
      </c>
      <c r="C105" t="s">
        <v>384</v>
      </c>
      <c r="D105" s="654">
        <v>0</v>
      </c>
      <c r="E105" s="654">
        <v>0</v>
      </c>
      <c r="F105" s="654">
        <v>0</v>
      </c>
      <c r="G105" s="654">
        <v>0</v>
      </c>
      <c r="H105" s="654">
        <v>0</v>
      </c>
      <c r="I105" s="654">
        <v>0</v>
      </c>
      <c r="J105" s="654">
        <v>0</v>
      </c>
      <c r="K105" s="654">
        <v>1647056</v>
      </c>
      <c r="L105" s="654">
        <v>0</v>
      </c>
      <c r="M105" s="654">
        <v>0</v>
      </c>
      <c r="N105" s="654">
        <v>0</v>
      </c>
      <c r="O105" s="654">
        <v>0</v>
      </c>
      <c r="P105" s="654">
        <v>0</v>
      </c>
      <c r="Q105" s="654">
        <v>0</v>
      </c>
      <c r="R105" s="654">
        <v>0</v>
      </c>
      <c r="S105" s="654">
        <v>293333</v>
      </c>
      <c r="T105" s="654">
        <v>0</v>
      </c>
      <c r="U105" s="654">
        <v>0</v>
      </c>
      <c r="V105" s="654">
        <v>0</v>
      </c>
      <c r="W105" s="654">
        <v>0</v>
      </c>
      <c r="X105" s="654">
        <v>0</v>
      </c>
      <c r="Y105" s="654">
        <v>1940389</v>
      </c>
      <c r="Z105" s="654">
        <v>293333</v>
      </c>
    </row>
    <row r="106" spans="1:26" x14ac:dyDescent="0.15">
      <c r="B106" t="s">
        <v>671</v>
      </c>
      <c r="C106" t="s">
        <v>383</v>
      </c>
      <c r="D106" s="654">
        <v>1075853</v>
      </c>
      <c r="E106" s="654">
        <v>0</v>
      </c>
      <c r="F106" s="654">
        <v>7122</v>
      </c>
      <c r="G106" s="654">
        <v>0</v>
      </c>
      <c r="H106" s="654">
        <v>0</v>
      </c>
      <c r="I106" s="654">
        <v>0</v>
      </c>
      <c r="J106" s="654">
        <v>0</v>
      </c>
      <c r="K106" s="654">
        <v>0</v>
      </c>
      <c r="L106" s="654">
        <v>0</v>
      </c>
      <c r="M106" s="654">
        <v>0</v>
      </c>
      <c r="N106" s="654">
        <v>281600</v>
      </c>
      <c r="O106" s="654">
        <v>9360</v>
      </c>
      <c r="P106" s="654">
        <v>1438850</v>
      </c>
      <c r="Q106" s="654">
        <v>0</v>
      </c>
      <c r="R106" s="654">
        <v>0</v>
      </c>
      <c r="S106" s="654">
        <v>0</v>
      </c>
      <c r="T106" s="654">
        <v>0</v>
      </c>
      <c r="U106" s="654">
        <v>0</v>
      </c>
      <c r="V106" s="654">
        <v>0</v>
      </c>
      <c r="W106" s="654">
        <v>0</v>
      </c>
      <c r="X106" s="654">
        <v>0</v>
      </c>
      <c r="Y106" s="654">
        <v>2812785</v>
      </c>
      <c r="Z106" s="654">
        <v>1729810</v>
      </c>
    </row>
    <row r="107" spans="1:26" x14ac:dyDescent="0.15">
      <c r="B107" t="s">
        <v>629</v>
      </c>
      <c r="C107" t="s">
        <v>676</v>
      </c>
      <c r="D107" s="654">
        <v>0</v>
      </c>
      <c r="E107" s="654">
        <v>0</v>
      </c>
      <c r="F107" s="654">
        <v>0</v>
      </c>
      <c r="G107" s="654">
        <v>0</v>
      </c>
      <c r="H107" s="654">
        <v>0</v>
      </c>
      <c r="I107" s="654">
        <v>3415735</v>
      </c>
      <c r="J107" s="654">
        <v>187729</v>
      </c>
      <c r="K107" s="654">
        <v>0</v>
      </c>
      <c r="L107" s="654">
        <v>0</v>
      </c>
      <c r="M107" s="654">
        <v>0</v>
      </c>
      <c r="N107" s="654">
        <v>0</v>
      </c>
      <c r="O107" s="654">
        <v>0</v>
      </c>
      <c r="P107" s="654">
        <v>0</v>
      </c>
      <c r="Q107" s="654">
        <v>0</v>
      </c>
      <c r="R107" s="654">
        <v>0</v>
      </c>
      <c r="S107" s="654">
        <v>0</v>
      </c>
      <c r="T107" s="654">
        <v>182050</v>
      </c>
      <c r="U107" s="654">
        <v>0</v>
      </c>
      <c r="V107" s="654">
        <v>0</v>
      </c>
      <c r="W107" s="654">
        <v>0</v>
      </c>
      <c r="X107" s="654">
        <v>0</v>
      </c>
      <c r="Y107" s="654">
        <v>3597785</v>
      </c>
      <c r="Z107" s="654">
        <v>182050</v>
      </c>
    </row>
    <row r="108" spans="1:26" x14ac:dyDescent="0.15">
      <c r="A108" s="653" t="s">
        <v>618</v>
      </c>
      <c r="B108"/>
      <c r="D108" s="654">
        <v>17622333</v>
      </c>
      <c r="E108" s="654">
        <v>2073096</v>
      </c>
      <c r="F108" s="654">
        <v>4518371</v>
      </c>
      <c r="G108" s="654">
        <v>1010622</v>
      </c>
      <c r="H108" s="654">
        <v>1114108</v>
      </c>
      <c r="I108" s="654">
        <v>3415735</v>
      </c>
      <c r="J108" s="654">
        <v>187729</v>
      </c>
      <c r="K108" s="654">
        <v>6532501</v>
      </c>
      <c r="L108" s="654">
        <v>431509</v>
      </c>
      <c r="M108" s="654">
        <v>0</v>
      </c>
      <c r="N108" s="654">
        <v>774249</v>
      </c>
      <c r="O108" s="654">
        <v>157390</v>
      </c>
      <c r="P108" s="654">
        <v>1511760</v>
      </c>
      <c r="Q108" s="654">
        <v>10887</v>
      </c>
      <c r="R108" s="654">
        <v>223604</v>
      </c>
      <c r="S108" s="654">
        <v>1172833</v>
      </c>
      <c r="T108" s="654">
        <v>182050</v>
      </c>
      <c r="U108" s="654">
        <v>0</v>
      </c>
      <c r="V108" s="654">
        <v>-320000</v>
      </c>
      <c r="W108" s="654">
        <v>0</v>
      </c>
      <c r="X108" s="654">
        <v>0</v>
      </c>
      <c r="Y108" s="654">
        <v>36915821</v>
      </c>
      <c r="Z108" s="654">
        <v>3712773</v>
      </c>
    </row>
    <row r="109" spans="1:26" x14ac:dyDescent="0.15">
      <c r="A109" s="653">
        <v>42917</v>
      </c>
      <c r="B109" t="s">
        <v>626</v>
      </c>
      <c r="C109" t="s">
        <v>378</v>
      </c>
      <c r="D109" s="654">
        <v>7561437</v>
      </c>
      <c r="E109" s="654">
        <v>1322317</v>
      </c>
      <c r="F109" s="654">
        <v>1899286</v>
      </c>
      <c r="G109" s="654">
        <v>410348</v>
      </c>
      <c r="H109" s="654">
        <v>677356</v>
      </c>
      <c r="I109" s="654">
        <v>0</v>
      </c>
      <c r="J109" s="654">
        <v>0</v>
      </c>
      <c r="K109" s="654">
        <v>0</v>
      </c>
      <c r="L109" s="654">
        <v>0</v>
      </c>
      <c r="M109" s="654">
        <v>0</v>
      </c>
      <c r="N109" s="654">
        <v>43522</v>
      </c>
      <c r="O109" s="654">
        <v>9850</v>
      </c>
      <c r="P109" s="654">
        <v>0</v>
      </c>
      <c r="Q109" s="654">
        <v>9263</v>
      </c>
      <c r="R109" s="654">
        <v>137840</v>
      </c>
      <c r="S109" s="654">
        <v>0</v>
      </c>
      <c r="T109" s="654">
        <v>0</v>
      </c>
      <c r="U109" s="654">
        <v>0</v>
      </c>
      <c r="V109" s="654">
        <v>0</v>
      </c>
      <c r="W109" s="654">
        <v>0</v>
      </c>
      <c r="X109" s="654">
        <v>0</v>
      </c>
      <c r="Y109" s="654">
        <v>10338554</v>
      </c>
      <c r="Z109" s="654">
        <v>200475</v>
      </c>
    </row>
    <row r="110" spans="1:26" x14ac:dyDescent="0.15">
      <c r="B110" t="s">
        <v>627</v>
      </c>
      <c r="C110" t="s">
        <v>379</v>
      </c>
      <c r="D110" s="654">
        <v>3798477</v>
      </c>
      <c r="E110" s="654">
        <v>459731</v>
      </c>
      <c r="F110" s="654">
        <v>870688</v>
      </c>
      <c r="G110" s="654">
        <v>204311</v>
      </c>
      <c r="H110" s="654">
        <v>449737</v>
      </c>
      <c r="I110" s="654">
        <v>0</v>
      </c>
      <c r="J110" s="654">
        <v>0</v>
      </c>
      <c r="K110" s="654">
        <v>0</v>
      </c>
      <c r="L110" s="654">
        <v>0</v>
      </c>
      <c r="M110" s="654">
        <v>0</v>
      </c>
      <c r="N110" s="654">
        <v>284477</v>
      </c>
      <c r="O110" s="654">
        <v>0</v>
      </c>
      <c r="P110" s="654">
        <v>0</v>
      </c>
      <c r="Q110" s="654">
        <v>2251</v>
      </c>
      <c r="R110" s="654">
        <v>82068</v>
      </c>
      <c r="S110" s="654">
        <v>0</v>
      </c>
      <c r="T110" s="654">
        <v>0</v>
      </c>
      <c r="U110" s="654">
        <v>0</v>
      </c>
      <c r="V110" s="654">
        <v>0</v>
      </c>
      <c r="W110" s="654">
        <v>0</v>
      </c>
      <c r="X110" s="654">
        <v>0</v>
      </c>
      <c r="Y110" s="654">
        <v>5487698</v>
      </c>
      <c r="Z110" s="654">
        <v>368796</v>
      </c>
    </row>
    <row r="111" spans="1:26" x14ac:dyDescent="0.15">
      <c r="B111" t="s">
        <v>628</v>
      </c>
      <c r="C111" t="s">
        <v>380</v>
      </c>
      <c r="D111" s="654">
        <v>3467874</v>
      </c>
      <c r="E111" s="654">
        <v>394909</v>
      </c>
      <c r="F111" s="654">
        <v>2123008</v>
      </c>
      <c r="G111" s="654">
        <v>490767</v>
      </c>
      <c r="H111" s="654">
        <v>0</v>
      </c>
      <c r="I111" s="654">
        <v>0</v>
      </c>
      <c r="J111" s="654">
        <v>0</v>
      </c>
      <c r="K111" s="654">
        <v>0</v>
      </c>
      <c r="L111" s="654">
        <v>0</v>
      </c>
      <c r="M111" s="654">
        <v>0</v>
      </c>
      <c r="N111" s="654">
        <v>58500</v>
      </c>
      <c r="O111" s="654">
        <v>181060</v>
      </c>
      <c r="P111" s="654">
        <v>61320</v>
      </c>
      <c r="Q111" s="654">
        <v>5319</v>
      </c>
      <c r="R111" s="654">
        <v>0</v>
      </c>
      <c r="S111" s="654">
        <v>0</v>
      </c>
      <c r="T111" s="654">
        <v>0</v>
      </c>
      <c r="U111" s="654">
        <v>0</v>
      </c>
      <c r="V111" s="654">
        <v>0</v>
      </c>
      <c r="W111" s="654">
        <v>0</v>
      </c>
      <c r="X111" s="654">
        <v>0</v>
      </c>
      <c r="Y111" s="654">
        <v>5897081</v>
      </c>
      <c r="Z111" s="654">
        <v>306199</v>
      </c>
    </row>
    <row r="112" spans="1:26" x14ac:dyDescent="0.15">
      <c r="B112" t="s">
        <v>631</v>
      </c>
      <c r="C112" t="s">
        <v>381</v>
      </c>
      <c r="D112" s="654">
        <v>2304959</v>
      </c>
      <c r="E112" s="654">
        <v>0</v>
      </c>
      <c r="F112" s="654">
        <v>0</v>
      </c>
      <c r="G112" s="654">
        <v>0</v>
      </c>
      <c r="H112" s="654">
        <v>0</v>
      </c>
      <c r="I112" s="654">
        <v>0</v>
      </c>
      <c r="J112" s="654">
        <v>0</v>
      </c>
      <c r="K112" s="654">
        <v>0</v>
      </c>
      <c r="L112" s="654">
        <v>0</v>
      </c>
      <c r="M112" s="654">
        <v>0</v>
      </c>
      <c r="N112" s="654">
        <v>0</v>
      </c>
      <c r="O112" s="654">
        <v>0</v>
      </c>
      <c r="P112" s="654">
        <v>0</v>
      </c>
      <c r="Q112" s="654">
        <v>0</v>
      </c>
      <c r="R112" s="654">
        <v>0</v>
      </c>
      <c r="S112" s="654">
        <v>879513</v>
      </c>
      <c r="T112" s="654">
        <v>0</v>
      </c>
      <c r="U112" s="654">
        <v>0</v>
      </c>
      <c r="V112" s="654">
        <v>0</v>
      </c>
      <c r="W112" s="654">
        <v>0</v>
      </c>
      <c r="X112" s="654">
        <v>0</v>
      </c>
      <c r="Y112" s="654">
        <v>3184472</v>
      </c>
      <c r="Z112" s="654">
        <v>879513</v>
      </c>
    </row>
    <row r="113" spans="1:26" x14ac:dyDescent="0.15">
      <c r="B113" t="s">
        <v>567</v>
      </c>
      <c r="C113" t="s">
        <v>473</v>
      </c>
      <c r="D113" s="654">
        <v>0</v>
      </c>
      <c r="E113" s="654">
        <v>0</v>
      </c>
      <c r="F113" s="654">
        <v>0</v>
      </c>
      <c r="G113" s="654">
        <v>0</v>
      </c>
      <c r="H113" s="654">
        <v>0</v>
      </c>
      <c r="I113" s="654">
        <v>0</v>
      </c>
      <c r="J113" s="654">
        <v>0</v>
      </c>
      <c r="K113" s="654">
        <v>1225066</v>
      </c>
      <c r="L113" s="654">
        <v>256019</v>
      </c>
      <c r="M113" s="654">
        <v>0</v>
      </c>
      <c r="N113" s="654">
        <v>0</v>
      </c>
      <c r="O113" s="654">
        <v>0</v>
      </c>
      <c r="P113" s="654">
        <v>0</v>
      </c>
      <c r="Q113" s="654">
        <v>0</v>
      </c>
      <c r="R113" s="654">
        <v>0</v>
      </c>
      <c r="S113" s="654">
        <v>78000</v>
      </c>
      <c r="T113" s="654">
        <v>0</v>
      </c>
      <c r="U113" s="654">
        <v>0</v>
      </c>
      <c r="V113" s="654">
        <v>-30000</v>
      </c>
      <c r="W113" s="654">
        <v>0</v>
      </c>
      <c r="X113" s="654">
        <v>0</v>
      </c>
      <c r="Y113" s="654">
        <v>1273066</v>
      </c>
      <c r="Z113" s="654">
        <v>48000</v>
      </c>
    </row>
    <row r="114" spans="1:26" x14ac:dyDescent="0.15">
      <c r="B114" t="s">
        <v>568</v>
      </c>
      <c r="C114" t="s">
        <v>474</v>
      </c>
      <c r="D114" s="654">
        <v>0</v>
      </c>
      <c r="E114" s="654">
        <v>0</v>
      </c>
      <c r="F114" s="654">
        <v>0</v>
      </c>
      <c r="G114" s="654">
        <v>0</v>
      </c>
      <c r="H114" s="654">
        <v>0</v>
      </c>
      <c r="I114" s="654">
        <v>0</v>
      </c>
      <c r="J114" s="654">
        <v>0</v>
      </c>
      <c r="K114" s="654">
        <v>983492</v>
      </c>
      <c r="L114" s="654">
        <v>0</v>
      </c>
      <c r="M114" s="654">
        <v>0</v>
      </c>
      <c r="N114" s="654">
        <v>20000</v>
      </c>
      <c r="O114" s="654">
        <v>0</v>
      </c>
      <c r="P114" s="654">
        <v>0</v>
      </c>
      <c r="Q114" s="654">
        <v>0</v>
      </c>
      <c r="R114" s="654">
        <v>0</v>
      </c>
      <c r="S114" s="654">
        <v>98000</v>
      </c>
      <c r="T114" s="654">
        <v>0</v>
      </c>
      <c r="U114" s="654">
        <v>0</v>
      </c>
      <c r="V114" s="654">
        <v>0</v>
      </c>
      <c r="W114" s="654">
        <v>0</v>
      </c>
      <c r="X114" s="654">
        <v>0</v>
      </c>
      <c r="Y114" s="654">
        <v>1101492</v>
      </c>
      <c r="Z114" s="654">
        <v>118000</v>
      </c>
    </row>
    <row r="115" spans="1:26" x14ac:dyDescent="0.15">
      <c r="B115" t="s">
        <v>582</v>
      </c>
      <c r="C115" t="s">
        <v>384</v>
      </c>
      <c r="D115" s="654">
        <v>0</v>
      </c>
      <c r="E115" s="654">
        <v>0</v>
      </c>
      <c r="F115" s="654">
        <v>0</v>
      </c>
      <c r="G115" s="654">
        <v>0</v>
      </c>
      <c r="H115" s="654">
        <v>0</v>
      </c>
      <c r="I115" s="654">
        <v>0</v>
      </c>
      <c r="J115" s="654">
        <v>0</v>
      </c>
      <c r="K115" s="654">
        <v>1656941</v>
      </c>
      <c r="L115" s="654">
        <v>0</v>
      </c>
      <c r="M115" s="654">
        <v>0</v>
      </c>
      <c r="N115" s="654">
        <v>0</v>
      </c>
      <c r="O115" s="654">
        <v>0</v>
      </c>
      <c r="P115" s="654">
        <v>0</v>
      </c>
      <c r="Q115" s="654">
        <v>0</v>
      </c>
      <c r="R115" s="654">
        <v>0</v>
      </c>
      <c r="S115" s="654">
        <v>308387</v>
      </c>
      <c r="T115" s="654">
        <v>0</v>
      </c>
      <c r="U115" s="654">
        <v>0</v>
      </c>
      <c r="V115" s="654">
        <v>0</v>
      </c>
      <c r="W115" s="654">
        <v>0</v>
      </c>
      <c r="X115" s="654">
        <v>0</v>
      </c>
      <c r="Y115" s="654">
        <v>1965328</v>
      </c>
      <c r="Z115" s="654">
        <v>308387</v>
      </c>
    </row>
    <row r="116" spans="1:26" x14ac:dyDescent="0.15">
      <c r="B116" t="s">
        <v>671</v>
      </c>
      <c r="C116" t="s">
        <v>383</v>
      </c>
      <c r="D116" s="654">
        <v>1108582</v>
      </c>
      <c r="E116" s="654">
        <v>0</v>
      </c>
      <c r="F116" s="654">
        <v>5184</v>
      </c>
      <c r="G116" s="654">
        <v>0</v>
      </c>
      <c r="H116" s="654">
        <v>0</v>
      </c>
      <c r="I116" s="654">
        <v>0</v>
      </c>
      <c r="J116" s="654">
        <v>0</v>
      </c>
      <c r="K116" s="654">
        <v>0</v>
      </c>
      <c r="L116" s="654">
        <v>0</v>
      </c>
      <c r="M116" s="654">
        <v>0</v>
      </c>
      <c r="N116" s="654">
        <v>347900</v>
      </c>
      <c r="O116" s="654">
        <v>92040</v>
      </c>
      <c r="P116" s="654">
        <v>1662760</v>
      </c>
      <c r="Q116" s="654">
        <v>0</v>
      </c>
      <c r="R116" s="654">
        <v>0</v>
      </c>
      <c r="S116" s="654">
        <v>0</v>
      </c>
      <c r="T116" s="654">
        <v>0</v>
      </c>
      <c r="U116" s="654">
        <v>0</v>
      </c>
      <c r="V116" s="654">
        <v>0</v>
      </c>
      <c r="W116" s="654">
        <v>0</v>
      </c>
      <c r="X116" s="654">
        <v>0</v>
      </c>
      <c r="Y116" s="654">
        <v>3216466</v>
      </c>
      <c r="Z116" s="654">
        <v>2102700</v>
      </c>
    </row>
    <row r="117" spans="1:26" x14ac:dyDescent="0.15">
      <c r="B117" t="s">
        <v>629</v>
      </c>
      <c r="C117" t="s">
        <v>676</v>
      </c>
      <c r="D117" s="654">
        <v>0</v>
      </c>
      <c r="E117" s="654">
        <v>0</v>
      </c>
      <c r="F117" s="654">
        <v>0</v>
      </c>
      <c r="G117" s="654">
        <v>0</v>
      </c>
      <c r="H117" s="654">
        <v>0</v>
      </c>
      <c r="I117" s="654">
        <v>3423639</v>
      </c>
      <c r="J117" s="654">
        <v>190666</v>
      </c>
      <c r="K117" s="654">
        <v>0</v>
      </c>
      <c r="L117" s="654">
        <v>0</v>
      </c>
      <c r="M117" s="654">
        <v>0</v>
      </c>
      <c r="N117" s="654">
        <v>0</v>
      </c>
      <c r="O117" s="654">
        <v>0</v>
      </c>
      <c r="P117" s="654">
        <v>0</v>
      </c>
      <c r="Q117" s="654">
        <v>0</v>
      </c>
      <c r="R117" s="654">
        <v>0</v>
      </c>
      <c r="S117" s="654">
        <v>0</v>
      </c>
      <c r="T117" s="654">
        <v>192500</v>
      </c>
      <c r="U117" s="654">
        <v>0</v>
      </c>
      <c r="V117" s="654">
        <v>0</v>
      </c>
      <c r="W117" s="654">
        <v>0</v>
      </c>
      <c r="X117" s="654">
        <v>0</v>
      </c>
      <c r="Y117" s="654">
        <v>3616139</v>
      </c>
      <c r="Z117" s="654">
        <v>192500</v>
      </c>
    </row>
    <row r="118" spans="1:26" x14ac:dyDescent="0.15">
      <c r="A118" s="653" t="s">
        <v>619</v>
      </c>
      <c r="B118"/>
      <c r="D118" s="654">
        <v>18241329</v>
      </c>
      <c r="E118" s="654">
        <v>2176957</v>
      </c>
      <c r="F118" s="654">
        <v>4898166</v>
      </c>
      <c r="G118" s="654">
        <v>1105426</v>
      </c>
      <c r="H118" s="654">
        <v>1127093</v>
      </c>
      <c r="I118" s="654">
        <v>3423639</v>
      </c>
      <c r="J118" s="654">
        <v>190666</v>
      </c>
      <c r="K118" s="654">
        <v>3865499</v>
      </c>
      <c r="L118" s="654">
        <v>256019</v>
      </c>
      <c r="M118" s="654">
        <v>0</v>
      </c>
      <c r="N118" s="654">
        <v>754399</v>
      </c>
      <c r="O118" s="654">
        <v>282950</v>
      </c>
      <c r="P118" s="654">
        <v>1724080</v>
      </c>
      <c r="Q118" s="654">
        <v>16833</v>
      </c>
      <c r="R118" s="654">
        <v>219908</v>
      </c>
      <c r="S118" s="654">
        <v>1363900</v>
      </c>
      <c r="T118" s="654">
        <v>192500</v>
      </c>
      <c r="U118" s="654">
        <v>0</v>
      </c>
      <c r="V118" s="654">
        <v>-30000</v>
      </c>
      <c r="W118" s="654">
        <v>0</v>
      </c>
      <c r="X118" s="654">
        <v>0</v>
      </c>
      <c r="Y118" s="654">
        <v>36080296</v>
      </c>
      <c r="Z118" s="654">
        <v>4524570</v>
      </c>
    </row>
    <row r="119" spans="1:26" x14ac:dyDescent="0.15">
      <c r="A119" s="653">
        <v>42948</v>
      </c>
      <c r="B119" t="s">
        <v>626</v>
      </c>
      <c r="C119" t="s">
        <v>378</v>
      </c>
      <c r="D119" s="654">
        <v>7582359</v>
      </c>
      <c r="E119" s="654">
        <v>1351019</v>
      </c>
      <c r="F119" s="654">
        <v>1507926</v>
      </c>
      <c r="G119" s="654">
        <v>324818</v>
      </c>
      <c r="H119" s="654">
        <v>686034</v>
      </c>
      <c r="I119" s="654">
        <v>0</v>
      </c>
      <c r="J119" s="654">
        <v>0</v>
      </c>
      <c r="K119" s="654">
        <v>0</v>
      </c>
      <c r="L119" s="654">
        <v>0</v>
      </c>
      <c r="M119" s="654">
        <v>0</v>
      </c>
      <c r="N119" s="654">
        <v>74848</v>
      </c>
      <c r="O119" s="654">
        <v>5910</v>
      </c>
      <c r="P119" s="654">
        <v>0</v>
      </c>
      <c r="Q119" s="654">
        <v>6323</v>
      </c>
      <c r="R119" s="654">
        <v>140840</v>
      </c>
      <c r="S119" s="654">
        <v>0</v>
      </c>
      <c r="T119" s="654">
        <v>0</v>
      </c>
      <c r="U119" s="654">
        <v>0</v>
      </c>
      <c r="V119" s="654">
        <v>0</v>
      </c>
      <c r="W119" s="654">
        <v>0</v>
      </c>
      <c r="X119" s="654">
        <v>0</v>
      </c>
      <c r="Y119" s="654">
        <v>10004240</v>
      </c>
      <c r="Z119" s="654">
        <v>227921</v>
      </c>
    </row>
    <row r="120" spans="1:26" x14ac:dyDescent="0.15">
      <c r="B120" t="s">
        <v>627</v>
      </c>
      <c r="C120" t="s">
        <v>379</v>
      </c>
      <c r="D120" s="654">
        <v>3880728</v>
      </c>
      <c r="E120" s="654">
        <v>436057</v>
      </c>
      <c r="F120" s="654">
        <v>909109</v>
      </c>
      <c r="G120" s="654">
        <v>198848</v>
      </c>
      <c r="H120" s="654">
        <v>474864</v>
      </c>
      <c r="I120" s="654">
        <v>0</v>
      </c>
      <c r="J120" s="654">
        <v>0</v>
      </c>
      <c r="K120" s="654">
        <v>0</v>
      </c>
      <c r="L120" s="654">
        <v>0</v>
      </c>
      <c r="M120" s="654">
        <v>0</v>
      </c>
      <c r="N120" s="654">
        <v>295980</v>
      </c>
      <c r="O120" s="654">
        <v>0</v>
      </c>
      <c r="P120" s="654">
        <v>0</v>
      </c>
      <c r="Q120" s="654">
        <v>1908</v>
      </c>
      <c r="R120" s="654">
        <v>81372</v>
      </c>
      <c r="S120" s="654">
        <v>0</v>
      </c>
      <c r="T120" s="654">
        <v>0</v>
      </c>
      <c r="U120" s="654">
        <v>0</v>
      </c>
      <c r="V120" s="654">
        <v>0</v>
      </c>
      <c r="W120" s="654">
        <v>0</v>
      </c>
      <c r="X120" s="654">
        <v>0</v>
      </c>
      <c r="Y120" s="654">
        <v>5643961</v>
      </c>
      <c r="Z120" s="654">
        <v>379260</v>
      </c>
    </row>
    <row r="121" spans="1:26" x14ac:dyDescent="0.15">
      <c r="B121" t="s">
        <v>628</v>
      </c>
      <c r="C121" t="s">
        <v>380</v>
      </c>
      <c r="D121" s="654">
        <v>3535427</v>
      </c>
      <c r="E121" s="654">
        <v>392966</v>
      </c>
      <c r="F121" s="654">
        <v>2017857</v>
      </c>
      <c r="G121" s="654">
        <v>466306</v>
      </c>
      <c r="H121" s="654">
        <v>0</v>
      </c>
      <c r="I121" s="654">
        <v>0</v>
      </c>
      <c r="J121" s="654">
        <v>0</v>
      </c>
      <c r="K121" s="654">
        <v>0</v>
      </c>
      <c r="L121" s="654">
        <v>0</v>
      </c>
      <c r="M121" s="654">
        <v>0</v>
      </c>
      <c r="N121" s="654">
        <v>71200</v>
      </c>
      <c r="O121" s="654">
        <v>121830</v>
      </c>
      <c r="P121" s="654">
        <v>38720</v>
      </c>
      <c r="Q121" s="654">
        <v>3611</v>
      </c>
      <c r="R121" s="654">
        <v>0</v>
      </c>
      <c r="S121" s="654">
        <v>0</v>
      </c>
      <c r="T121" s="654">
        <v>0</v>
      </c>
      <c r="U121" s="654">
        <v>0</v>
      </c>
      <c r="V121" s="654">
        <v>0</v>
      </c>
      <c r="W121" s="654">
        <v>0</v>
      </c>
      <c r="X121" s="654">
        <v>0</v>
      </c>
      <c r="Y121" s="654">
        <v>5788645</v>
      </c>
      <c r="Z121" s="654">
        <v>235361</v>
      </c>
    </row>
    <row r="122" spans="1:26" x14ac:dyDescent="0.15">
      <c r="B122" t="s">
        <v>631</v>
      </c>
      <c r="C122" t="s">
        <v>381</v>
      </c>
      <c r="D122" s="654">
        <v>2326894</v>
      </c>
      <c r="E122" s="654">
        <v>0</v>
      </c>
      <c r="F122" s="654">
        <v>0</v>
      </c>
      <c r="G122" s="654">
        <v>0</v>
      </c>
      <c r="H122" s="654">
        <v>0</v>
      </c>
      <c r="I122" s="654">
        <v>0</v>
      </c>
      <c r="J122" s="654">
        <v>0</v>
      </c>
      <c r="K122" s="654">
        <v>0</v>
      </c>
      <c r="L122" s="654">
        <v>0</v>
      </c>
      <c r="M122" s="654">
        <v>0</v>
      </c>
      <c r="N122" s="654">
        <v>2000</v>
      </c>
      <c r="O122" s="654">
        <v>0</v>
      </c>
      <c r="P122" s="654">
        <v>0</v>
      </c>
      <c r="Q122" s="654">
        <v>0</v>
      </c>
      <c r="R122" s="654">
        <v>0</v>
      </c>
      <c r="S122" s="654">
        <v>796000</v>
      </c>
      <c r="T122" s="654">
        <v>0</v>
      </c>
      <c r="U122" s="654">
        <v>0</v>
      </c>
      <c r="V122" s="654">
        <v>0</v>
      </c>
      <c r="W122" s="654">
        <v>0</v>
      </c>
      <c r="X122" s="654">
        <v>0</v>
      </c>
      <c r="Y122" s="654">
        <v>3124894</v>
      </c>
      <c r="Z122" s="654">
        <v>798000</v>
      </c>
    </row>
    <row r="123" spans="1:26" x14ac:dyDescent="0.15">
      <c r="B123" t="s">
        <v>567</v>
      </c>
      <c r="C123" t="s">
        <v>473</v>
      </c>
      <c r="D123" s="654">
        <v>0</v>
      </c>
      <c r="E123" s="654">
        <v>0</v>
      </c>
      <c r="F123" s="654">
        <v>0</v>
      </c>
      <c r="G123" s="654">
        <v>0</v>
      </c>
      <c r="H123" s="654">
        <v>0</v>
      </c>
      <c r="I123" s="654">
        <v>0</v>
      </c>
      <c r="J123" s="654">
        <v>0</v>
      </c>
      <c r="K123" s="654">
        <v>998363</v>
      </c>
      <c r="L123" s="654">
        <v>251984</v>
      </c>
      <c r="M123" s="654">
        <v>0</v>
      </c>
      <c r="N123" s="654">
        <v>0</v>
      </c>
      <c r="O123" s="654">
        <v>0</v>
      </c>
      <c r="P123" s="654">
        <v>0</v>
      </c>
      <c r="Q123" s="654">
        <v>0</v>
      </c>
      <c r="R123" s="654">
        <v>0</v>
      </c>
      <c r="S123" s="654">
        <v>78000</v>
      </c>
      <c r="T123" s="654">
        <v>0</v>
      </c>
      <c r="U123" s="654">
        <v>0</v>
      </c>
      <c r="V123" s="654">
        <v>-40000</v>
      </c>
      <c r="W123" s="654">
        <v>0</v>
      </c>
      <c r="X123" s="654">
        <v>0</v>
      </c>
      <c r="Y123" s="654">
        <v>1036363</v>
      </c>
      <c r="Z123" s="654">
        <v>38000</v>
      </c>
    </row>
    <row r="124" spans="1:26" x14ac:dyDescent="0.15">
      <c r="B124" t="s">
        <v>568</v>
      </c>
      <c r="C124" t="s">
        <v>474</v>
      </c>
      <c r="D124" s="654">
        <v>0</v>
      </c>
      <c r="E124" s="654">
        <v>0</v>
      </c>
      <c r="F124" s="654">
        <v>0</v>
      </c>
      <c r="G124" s="654">
        <v>0</v>
      </c>
      <c r="H124" s="654">
        <v>0</v>
      </c>
      <c r="I124" s="654">
        <v>0</v>
      </c>
      <c r="J124" s="654">
        <v>0</v>
      </c>
      <c r="K124" s="654">
        <v>983492</v>
      </c>
      <c r="L124" s="654">
        <v>0</v>
      </c>
      <c r="M124" s="654">
        <v>0</v>
      </c>
      <c r="N124" s="654">
        <v>20000</v>
      </c>
      <c r="O124" s="654">
        <v>0</v>
      </c>
      <c r="P124" s="654">
        <v>0</v>
      </c>
      <c r="Q124" s="654">
        <v>0</v>
      </c>
      <c r="R124" s="654">
        <v>0</v>
      </c>
      <c r="S124" s="654">
        <v>98000</v>
      </c>
      <c r="T124" s="654">
        <v>0</v>
      </c>
      <c r="U124" s="654">
        <v>0</v>
      </c>
      <c r="V124" s="654">
        <v>-100000</v>
      </c>
      <c r="W124" s="654">
        <v>0</v>
      </c>
      <c r="X124" s="654">
        <v>0</v>
      </c>
      <c r="Y124" s="654">
        <v>1001492</v>
      </c>
      <c r="Z124" s="654">
        <v>18000</v>
      </c>
    </row>
    <row r="125" spans="1:26" x14ac:dyDescent="0.15">
      <c r="B125" t="s">
        <v>582</v>
      </c>
      <c r="C125" t="s">
        <v>384</v>
      </c>
      <c r="D125" s="654">
        <v>0</v>
      </c>
      <c r="E125" s="654">
        <v>0</v>
      </c>
      <c r="F125" s="654">
        <v>0</v>
      </c>
      <c r="G125" s="654">
        <v>0</v>
      </c>
      <c r="H125" s="654">
        <v>0</v>
      </c>
      <c r="I125" s="654">
        <v>0</v>
      </c>
      <c r="J125" s="654">
        <v>0</v>
      </c>
      <c r="K125" s="654">
        <v>1825197</v>
      </c>
      <c r="L125" s="654">
        <v>0</v>
      </c>
      <c r="M125" s="654">
        <v>0</v>
      </c>
      <c r="N125" s="654">
        <v>0</v>
      </c>
      <c r="O125" s="654">
        <v>0</v>
      </c>
      <c r="P125" s="654">
        <v>0</v>
      </c>
      <c r="Q125" s="654">
        <v>0</v>
      </c>
      <c r="R125" s="654">
        <v>0</v>
      </c>
      <c r="S125" s="654">
        <v>320000</v>
      </c>
      <c r="T125" s="654">
        <v>0</v>
      </c>
      <c r="U125" s="654">
        <v>0</v>
      </c>
      <c r="V125" s="654">
        <v>-150000</v>
      </c>
      <c r="W125" s="654">
        <v>0</v>
      </c>
      <c r="X125" s="654">
        <v>0</v>
      </c>
      <c r="Y125" s="654">
        <v>1995197</v>
      </c>
      <c r="Z125" s="654">
        <v>170000</v>
      </c>
    </row>
    <row r="126" spans="1:26" x14ac:dyDescent="0.15">
      <c r="B126" t="s">
        <v>671</v>
      </c>
      <c r="C126" t="s">
        <v>383</v>
      </c>
      <c r="D126" s="654">
        <v>1303828</v>
      </c>
      <c r="E126" s="654">
        <v>0</v>
      </c>
      <c r="F126" s="654">
        <v>2592</v>
      </c>
      <c r="G126" s="654">
        <v>0</v>
      </c>
      <c r="H126" s="654">
        <v>0</v>
      </c>
      <c r="I126" s="654">
        <v>0</v>
      </c>
      <c r="J126" s="654">
        <v>0</v>
      </c>
      <c r="K126" s="654">
        <v>0</v>
      </c>
      <c r="L126" s="654">
        <v>0</v>
      </c>
      <c r="M126" s="654">
        <v>0</v>
      </c>
      <c r="N126" s="654">
        <v>343600</v>
      </c>
      <c r="O126" s="654">
        <v>70110</v>
      </c>
      <c r="P126" s="654">
        <v>1409460</v>
      </c>
      <c r="Q126" s="654">
        <v>0</v>
      </c>
      <c r="R126" s="654">
        <v>0</v>
      </c>
      <c r="S126" s="654">
        <v>0</v>
      </c>
      <c r="T126" s="654">
        <v>0</v>
      </c>
      <c r="U126" s="654">
        <v>0</v>
      </c>
      <c r="V126" s="654">
        <v>0</v>
      </c>
      <c r="W126" s="654">
        <v>0</v>
      </c>
      <c r="X126" s="654">
        <v>0</v>
      </c>
      <c r="Y126" s="654">
        <v>3129590</v>
      </c>
      <c r="Z126" s="654">
        <v>1823170</v>
      </c>
    </row>
    <row r="127" spans="1:26" x14ac:dyDescent="0.15">
      <c r="B127" t="s">
        <v>629</v>
      </c>
      <c r="C127" t="s">
        <v>676</v>
      </c>
      <c r="D127" s="654">
        <v>0</v>
      </c>
      <c r="E127" s="654">
        <v>0</v>
      </c>
      <c r="F127" s="654">
        <v>0</v>
      </c>
      <c r="G127" s="654">
        <v>0</v>
      </c>
      <c r="H127" s="654">
        <v>0</v>
      </c>
      <c r="I127" s="654">
        <v>3004304</v>
      </c>
      <c r="J127" s="654">
        <v>167502</v>
      </c>
      <c r="K127" s="654">
        <v>0</v>
      </c>
      <c r="L127" s="654">
        <v>0</v>
      </c>
      <c r="M127" s="654">
        <v>0</v>
      </c>
      <c r="N127" s="654">
        <v>0</v>
      </c>
      <c r="O127" s="654">
        <v>0</v>
      </c>
      <c r="P127" s="654">
        <v>0</v>
      </c>
      <c r="Q127" s="654">
        <v>0</v>
      </c>
      <c r="R127" s="654">
        <v>0</v>
      </c>
      <c r="S127" s="654">
        <v>0</v>
      </c>
      <c r="T127" s="654">
        <v>170500</v>
      </c>
      <c r="U127" s="654">
        <v>0</v>
      </c>
      <c r="V127" s="654">
        <v>0</v>
      </c>
      <c r="W127" s="654">
        <v>0</v>
      </c>
      <c r="X127" s="654">
        <v>0</v>
      </c>
      <c r="Y127" s="654">
        <v>3174804</v>
      </c>
      <c r="Z127" s="654">
        <v>170500</v>
      </c>
    </row>
    <row r="128" spans="1:26" x14ac:dyDescent="0.15">
      <c r="A128" s="653" t="s">
        <v>620</v>
      </c>
      <c r="B128"/>
      <c r="D128" s="654">
        <v>18629236</v>
      </c>
      <c r="E128" s="654">
        <v>2180042</v>
      </c>
      <c r="F128" s="654">
        <v>4437484</v>
      </c>
      <c r="G128" s="654">
        <v>989972</v>
      </c>
      <c r="H128" s="654">
        <v>1160898</v>
      </c>
      <c r="I128" s="654">
        <v>3004304</v>
      </c>
      <c r="J128" s="654">
        <v>167502</v>
      </c>
      <c r="K128" s="654">
        <v>3807052</v>
      </c>
      <c r="L128" s="654">
        <v>251984</v>
      </c>
      <c r="M128" s="654">
        <v>0</v>
      </c>
      <c r="N128" s="654">
        <v>807628</v>
      </c>
      <c r="O128" s="654">
        <v>197850</v>
      </c>
      <c r="P128" s="654">
        <v>1448180</v>
      </c>
      <c r="Q128" s="654">
        <v>11842</v>
      </c>
      <c r="R128" s="654">
        <v>222212</v>
      </c>
      <c r="S128" s="654">
        <v>1292000</v>
      </c>
      <c r="T128" s="654">
        <v>170500</v>
      </c>
      <c r="U128" s="654">
        <v>0</v>
      </c>
      <c r="V128" s="654">
        <v>-290000</v>
      </c>
      <c r="W128" s="654">
        <v>0</v>
      </c>
      <c r="X128" s="654">
        <v>0</v>
      </c>
      <c r="Y128" s="654">
        <v>34899186</v>
      </c>
      <c r="Z128" s="654">
        <v>3860212</v>
      </c>
    </row>
    <row r="129" spans="1:26" x14ac:dyDescent="0.15">
      <c r="A129" s="653">
        <v>42979</v>
      </c>
      <c r="B129" t="s">
        <v>626</v>
      </c>
      <c r="C129" t="s">
        <v>378</v>
      </c>
      <c r="D129" s="654">
        <v>7978218</v>
      </c>
      <c r="E129" s="654">
        <v>1418859</v>
      </c>
      <c r="F129" s="654">
        <v>1360933</v>
      </c>
      <c r="G129" s="654">
        <v>287532</v>
      </c>
      <c r="H129" s="654">
        <v>669653</v>
      </c>
      <c r="I129" s="654">
        <v>0</v>
      </c>
      <c r="J129" s="654">
        <v>0</v>
      </c>
      <c r="K129" s="654">
        <v>0</v>
      </c>
      <c r="L129" s="654">
        <v>0</v>
      </c>
      <c r="M129" s="654">
        <v>0</v>
      </c>
      <c r="N129" s="654">
        <v>117506</v>
      </c>
      <c r="O129" s="654">
        <v>7880</v>
      </c>
      <c r="P129" s="654">
        <v>0</v>
      </c>
      <c r="Q129" s="654">
        <v>5718</v>
      </c>
      <c r="R129" s="654">
        <v>151995</v>
      </c>
      <c r="S129" s="654">
        <v>0</v>
      </c>
      <c r="T129" s="654">
        <v>0</v>
      </c>
      <c r="U129" s="654">
        <v>0</v>
      </c>
      <c r="V129" s="654">
        <v>0</v>
      </c>
      <c r="W129" s="654">
        <v>0</v>
      </c>
      <c r="X129" s="654">
        <v>0</v>
      </c>
      <c r="Y129" s="654">
        <v>10291903</v>
      </c>
      <c r="Z129" s="654">
        <v>283099</v>
      </c>
    </row>
    <row r="130" spans="1:26" x14ac:dyDescent="0.15">
      <c r="B130" t="s">
        <v>627</v>
      </c>
      <c r="C130" t="s">
        <v>379</v>
      </c>
      <c r="D130" s="654">
        <v>4342620</v>
      </c>
      <c r="E130" s="654">
        <v>485836</v>
      </c>
      <c r="F130" s="654">
        <v>905653</v>
      </c>
      <c r="G130" s="654">
        <v>206491</v>
      </c>
      <c r="H130" s="654">
        <v>507095</v>
      </c>
      <c r="I130" s="654">
        <v>0</v>
      </c>
      <c r="J130" s="654">
        <v>0</v>
      </c>
      <c r="K130" s="654">
        <v>0</v>
      </c>
      <c r="L130" s="654">
        <v>0</v>
      </c>
      <c r="M130" s="654">
        <v>0</v>
      </c>
      <c r="N130" s="654">
        <v>171851</v>
      </c>
      <c r="O130" s="654">
        <v>0</v>
      </c>
      <c r="P130" s="654">
        <v>0</v>
      </c>
      <c r="Q130" s="654">
        <v>2344</v>
      </c>
      <c r="R130" s="654">
        <v>94050</v>
      </c>
      <c r="S130" s="654">
        <v>0</v>
      </c>
      <c r="T130" s="654">
        <v>0</v>
      </c>
      <c r="U130" s="654">
        <v>0</v>
      </c>
      <c r="V130" s="654">
        <v>0</v>
      </c>
      <c r="W130" s="654">
        <v>0</v>
      </c>
      <c r="X130" s="654">
        <v>0</v>
      </c>
      <c r="Y130" s="654">
        <v>6023613</v>
      </c>
      <c r="Z130" s="654">
        <v>268245</v>
      </c>
    </row>
    <row r="131" spans="1:26" x14ac:dyDescent="0.15">
      <c r="B131" t="s">
        <v>628</v>
      </c>
      <c r="C131" t="s">
        <v>380</v>
      </c>
      <c r="D131" s="654">
        <v>3702480</v>
      </c>
      <c r="E131" s="654">
        <v>404497</v>
      </c>
      <c r="F131" s="654">
        <v>1897088</v>
      </c>
      <c r="G131" s="654">
        <v>437767</v>
      </c>
      <c r="H131" s="654">
        <v>0</v>
      </c>
      <c r="I131" s="654">
        <v>0</v>
      </c>
      <c r="J131" s="654">
        <v>0</v>
      </c>
      <c r="K131" s="654">
        <v>0</v>
      </c>
      <c r="L131" s="654">
        <v>0</v>
      </c>
      <c r="M131" s="654">
        <v>0</v>
      </c>
      <c r="N131" s="654">
        <v>98300</v>
      </c>
      <c r="O131" s="654">
        <v>91318</v>
      </c>
      <c r="P131" s="654">
        <v>24540</v>
      </c>
      <c r="Q131" s="654">
        <v>4170</v>
      </c>
      <c r="R131" s="654">
        <v>0</v>
      </c>
      <c r="S131" s="654">
        <v>0</v>
      </c>
      <c r="T131" s="654">
        <v>0</v>
      </c>
      <c r="U131" s="654">
        <v>0</v>
      </c>
      <c r="V131" s="654">
        <v>0</v>
      </c>
      <c r="W131" s="654">
        <v>0</v>
      </c>
      <c r="X131" s="654">
        <v>0</v>
      </c>
      <c r="Y131" s="654">
        <v>5817896</v>
      </c>
      <c r="Z131" s="654">
        <v>218328</v>
      </c>
    </row>
    <row r="132" spans="1:26" x14ac:dyDescent="0.15">
      <c r="B132" t="s">
        <v>631</v>
      </c>
      <c r="C132" t="s">
        <v>381</v>
      </c>
      <c r="D132" s="654">
        <v>2383506</v>
      </c>
      <c r="E132" s="654">
        <v>0</v>
      </c>
      <c r="F132" s="654">
        <v>0</v>
      </c>
      <c r="G132" s="654">
        <v>0</v>
      </c>
      <c r="H132" s="654">
        <v>0</v>
      </c>
      <c r="I132" s="654">
        <v>0</v>
      </c>
      <c r="J132" s="654">
        <v>0</v>
      </c>
      <c r="K132" s="654">
        <v>0</v>
      </c>
      <c r="L132" s="654">
        <v>0</v>
      </c>
      <c r="M132" s="654">
        <v>0</v>
      </c>
      <c r="N132" s="654">
        <v>0</v>
      </c>
      <c r="O132" s="654">
        <v>0</v>
      </c>
      <c r="P132" s="654">
        <v>0</v>
      </c>
      <c r="Q132" s="654">
        <v>0</v>
      </c>
      <c r="R132" s="654">
        <v>0</v>
      </c>
      <c r="S132" s="654">
        <v>697840</v>
      </c>
      <c r="T132" s="654">
        <v>0</v>
      </c>
      <c r="U132" s="654">
        <v>0</v>
      </c>
      <c r="V132" s="654">
        <v>0</v>
      </c>
      <c r="W132" s="654">
        <v>0</v>
      </c>
      <c r="X132" s="654">
        <v>0</v>
      </c>
      <c r="Y132" s="654">
        <v>3081346</v>
      </c>
      <c r="Z132" s="654">
        <v>697840</v>
      </c>
    </row>
    <row r="133" spans="1:26" x14ac:dyDescent="0.15">
      <c r="B133" t="s">
        <v>567</v>
      </c>
      <c r="C133" t="s">
        <v>473</v>
      </c>
      <c r="D133" s="654">
        <v>0</v>
      </c>
      <c r="E133" s="654">
        <v>0</v>
      </c>
      <c r="F133" s="654">
        <v>0</v>
      </c>
      <c r="G133" s="654">
        <v>0</v>
      </c>
      <c r="H133" s="654">
        <v>0</v>
      </c>
      <c r="I133" s="654">
        <v>0</v>
      </c>
      <c r="J133" s="654">
        <v>0</v>
      </c>
      <c r="K133" s="654">
        <v>1198162</v>
      </c>
      <c r="L133" s="654">
        <v>266247</v>
      </c>
      <c r="M133" s="654">
        <v>0</v>
      </c>
      <c r="N133" s="654">
        <v>0</v>
      </c>
      <c r="O133" s="654">
        <v>0</v>
      </c>
      <c r="P133" s="654">
        <v>0</v>
      </c>
      <c r="Q133" s="654">
        <v>0</v>
      </c>
      <c r="R133" s="654">
        <v>0</v>
      </c>
      <c r="S133" s="654">
        <v>78000</v>
      </c>
      <c r="T133" s="654">
        <v>0</v>
      </c>
      <c r="U133" s="654">
        <v>0</v>
      </c>
      <c r="V133" s="654">
        <v>-40000</v>
      </c>
      <c r="W133" s="654">
        <v>0</v>
      </c>
      <c r="X133" s="654">
        <v>0</v>
      </c>
      <c r="Y133" s="654">
        <v>1236162</v>
      </c>
      <c r="Z133" s="654">
        <v>38000</v>
      </c>
    </row>
    <row r="134" spans="1:26" x14ac:dyDescent="0.15">
      <c r="B134" t="s">
        <v>568</v>
      </c>
      <c r="C134" t="s">
        <v>474</v>
      </c>
      <c r="D134" s="654">
        <v>0</v>
      </c>
      <c r="E134" s="654">
        <v>0</v>
      </c>
      <c r="F134" s="654">
        <v>0</v>
      </c>
      <c r="G134" s="654">
        <v>0</v>
      </c>
      <c r="H134" s="654">
        <v>0</v>
      </c>
      <c r="I134" s="654">
        <v>0</v>
      </c>
      <c r="J134" s="654">
        <v>0</v>
      </c>
      <c r="K134" s="654">
        <v>937378</v>
      </c>
      <c r="L134" s="654">
        <v>0</v>
      </c>
      <c r="M134" s="654">
        <v>0</v>
      </c>
      <c r="N134" s="654">
        <v>20000</v>
      </c>
      <c r="O134" s="654">
        <v>0</v>
      </c>
      <c r="P134" s="654">
        <v>0</v>
      </c>
      <c r="Q134" s="654">
        <v>0</v>
      </c>
      <c r="R134" s="654">
        <v>0</v>
      </c>
      <c r="S134" s="654">
        <v>98000</v>
      </c>
      <c r="T134" s="654">
        <v>0</v>
      </c>
      <c r="U134" s="654">
        <v>0</v>
      </c>
      <c r="V134" s="654">
        <v>-40000</v>
      </c>
      <c r="W134" s="654">
        <v>0</v>
      </c>
      <c r="X134" s="654">
        <v>0</v>
      </c>
      <c r="Y134" s="654">
        <v>1015378</v>
      </c>
      <c r="Z134" s="654">
        <v>78000</v>
      </c>
    </row>
    <row r="135" spans="1:26" x14ac:dyDescent="0.15">
      <c r="B135" t="s">
        <v>582</v>
      </c>
      <c r="C135" t="s">
        <v>384</v>
      </c>
      <c r="D135" s="654">
        <v>0</v>
      </c>
      <c r="E135" s="654">
        <v>0</v>
      </c>
      <c r="F135" s="654">
        <v>0</v>
      </c>
      <c r="G135" s="654">
        <v>0</v>
      </c>
      <c r="H135" s="654">
        <v>0</v>
      </c>
      <c r="I135" s="654">
        <v>0</v>
      </c>
      <c r="J135" s="654">
        <v>0</v>
      </c>
      <c r="K135" s="654">
        <v>1933548</v>
      </c>
      <c r="L135" s="654">
        <v>0</v>
      </c>
      <c r="M135" s="654">
        <v>0</v>
      </c>
      <c r="N135" s="654">
        <v>0</v>
      </c>
      <c r="O135" s="654">
        <v>0</v>
      </c>
      <c r="P135" s="654">
        <v>0</v>
      </c>
      <c r="Q135" s="654">
        <v>0</v>
      </c>
      <c r="R135" s="654">
        <v>0</v>
      </c>
      <c r="S135" s="654">
        <v>280000</v>
      </c>
      <c r="T135" s="654">
        <v>0</v>
      </c>
      <c r="U135" s="654">
        <v>0</v>
      </c>
      <c r="V135" s="654">
        <v>-80000</v>
      </c>
      <c r="W135" s="654">
        <v>0</v>
      </c>
      <c r="X135" s="654">
        <v>0</v>
      </c>
      <c r="Y135" s="654">
        <v>2133548</v>
      </c>
      <c r="Z135" s="654">
        <v>200000</v>
      </c>
    </row>
    <row r="136" spans="1:26" x14ac:dyDescent="0.15">
      <c r="B136" t="s">
        <v>671</v>
      </c>
      <c r="C136" t="s">
        <v>383</v>
      </c>
      <c r="D136" s="654">
        <v>1414506</v>
      </c>
      <c r="E136" s="654">
        <v>0</v>
      </c>
      <c r="F136" s="654">
        <v>0</v>
      </c>
      <c r="G136" s="654">
        <v>0</v>
      </c>
      <c r="H136" s="654">
        <v>0</v>
      </c>
      <c r="I136" s="654">
        <v>0</v>
      </c>
      <c r="J136" s="654">
        <v>0</v>
      </c>
      <c r="K136" s="654">
        <v>0</v>
      </c>
      <c r="L136" s="654">
        <v>0</v>
      </c>
      <c r="M136" s="654">
        <v>0</v>
      </c>
      <c r="N136" s="654">
        <v>270470</v>
      </c>
      <c r="O136" s="654">
        <v>60840</v>
      </c>
      <c r="P136" s="654">
        <v>1439840</v>
      </c>
      <c r="Q136" s="654">
        <v>0</v>
      </c>
      <c r="R136" s="654">
        <v>0</v>
      </c>
      <c r="S136" s="654">
        <v>0</v>
      </c>
      <c r="T136" s="654">
        <v>0</v>
      </c>
      <c r="U136" s="654">
        <v>0</v>
      </c>
      <c r="V136" s="654">
        <v>0</v>
      </c>
      <c r="W136" s="654">
        <v>0</v>
      </c>
      <c r="X136" s="654">
        <v>0</v>
      </c>
      <c r="Y136" s="654">
        <v>3185656</v>
      </c>
      <c r="Z136" s="654">
        <v>1771150</v>
      </c>
    </row>
    <row r="137" spans="1:26" x14ac:dyDescent="0.15">
      <c r="B137" t="s">
        <v>629</v>
      </c>
      <c r="C137" t="s">
        <v>676</v>
      </c>
      <c r="D137" s="654">
        <v>0</v>
      </c>
      <c r="E137" s="654">
        <v>0</v>
      </c>
      <c r="F137" s="654">
        <v>0</v>
      </c>
      <c r="G137" s="654">
        <v>0</v>
      </c>
      <c r="H137" s="654">
        <v>0</v>
      </c>
      <c r="I137" s="654">
        <v>2957348</v>
      </c>
      <c r="J137" s="654">
        <v>165400</v>
      </c>
      <c r="K137" s="654">
        <v>0</v>
      </c>
      <c r="L137" s="654">
        <v>0</v>
      </c>
      <c r="M137" s="654">
        <v>0</v>
      </c>
      <c r="N137" s="654">
        <v>5600</v>
      </c>
      <c r="O137" s="654">
        <v>0</v>
      </c>
      <c r="P137" s="654">
        <v>0</v>
      </c>
      <c r="Q137" s="654">
        <v>0</v>
      </c>
      <c r="R137" s="654">
        <v>0</v>
      </c>
      <c r="S137" s="654">
        <v>0</v>
      </c>
      <c r="T137" s="654">
        <v>167750</v>
      </c>
      <c r="U137" s="654">
        <v>0</v>
      </c>
      <c r="V137" s="654">
        <v>0</v>
      </c>
      <c r="W137" s="654">
        <v>0</v>
      </c>
      <c r="X137" s="654">
        <v>0</v>
      </c>
      <c r="Y137" s="654">
        <v>3130698</v>
      </c>
      <c r="Z137" s="654">
        <v>173350</v>
      </c>
    </row>
    <row r="138" spans="1:26" x14ac:dyDescent="0.15">
      <c r="A138" s="653" t="s">
        <v>621</v>
      </c>
      <c r="B138"/>
      <c r="D138" s="654">
        <v>19821330</v>
      </c>
      <c r="E138" s="654">
        <v>2309192</v>
      </c>
      <c r="F138" s="654">
        <v>4163674</v>
      </c>
      <c r="G138" s="654">
        <v>931790</v>
      </c>
      <c r="H138" s="654">
        <v>1176748</v>
      </c>
      <c r="I138" s="654">
        <v>2957348</v>
      </c>
      <c r="J138" s="654">
        <v>165400</v>
      </c>
      <c r="K138" s="654">
        <v>4069088</v>
      </c>
      <c r="L138" s="654">
        <v>266247</v>
      </c>
      <c r="M138" s="654">
        <v>0</v>
      </c>
      <c r="N138" s="654">
        <v>683727</v>
      </c>
      <c r="O138" s="654">
        <v>160038</v>
      </c>
      <c r="P138" s="654">
        <v>1464380</v>
      </c>
      <c r="Q138" s="654">
        <v>12232</v>
      </c>
      <c r="R138" s="654">
        <v>246045</v>
      </c>
      <c r="S138" s="654">
        <v>1153840</v>
      </c>
      <c r="T138" s="654">
        <v>167750</v>
      </c>
      <c r="U138" s="654">
        <v>0</v>
      </c>
      <c r="V138" s="654">
        <v>-160000</v>
      </c>
      <c r="W138" s="654">
        <v>0</v>
      </c>
      <c r="X138" s="654">
        <v>0</v>
      </c>
      <c r="Y138" s="654">
        <v>35916200</v>
      </c>
      <c r="Z138" s="654">
        <v>3728012</v>
      </c>
    </row>
    <row r="139" spans="1:26" x14ac:dyDescent="0.15">
      <c r="A139" s="653">
        <v>43009</v>
      </c>
      <c r="B139" t="s">
        <v>625</v>
      </c>
      <c r="C139" t="s">
        <v>594</v>
      </c>
      <c r="D139" s="654">
        <v>0</v>
      </c>
      <c r="E139" s="654">
        <v>0</v>
      </c>
      <c r="F139" s="654">
        <v>0</v>
      </c>
      <c r="G139" s="654">
        <v>0</v>
      </c>
      <c r="H139" s="654">
        <v>0</v>
      </c>
      <c r="I139" s="654">
        <v>0</v>
      </c>
      <c r="J139" s="654">
        <v>0</v>
      </c>
      <c r="K139" s="654">
        <v>0</v>
      </c>
      <c r="L139" s="654">
        <v>0</v>
      </c>
      <c r="M139" s="654">
        <v>0</v>
      </c>
      <c r="N139" s="654">
        <v>0</v>
      </c>
      <c r="O139" s="654">
        <v>0</v>
      </c>
      <c r="P139" s="654">
        <v>0</v>
      </c>
      <c r="Q139" s="654">
        <v>0</v>
      </c>
      <c r="R139" s="654">
        <v>0</v>
      </c>
      <c r="S139" s="654">
        <v>0</v>
      </c>
      <c r="T139" s="654">
        <v>0</v>
      </c>
      <c r="U139" s="654">
        <v>0</v>
      </c>
      <c r="V139" s="654">
        <v>0</v>
      </c>
      <c r="W139" s="654">
        <v>0</v>
      </c>
      <c r="X139" s="654">
        <v>140400</v>
      </c>
      <c r="Y139" s="654">
        <v>140400</v>
      </c>
      <c r="Z139" s="654">
        <v>140400</v>
      </c>
    </row>
    <row r="140" spans="1:26" x14ac:dyDescent="0.15">
      <c r="B140" t="s">
        <v>626</v>
      </c>
      <c r="C140" t="s">
        <v>378</v>
      </c>
      <c r="D140" s="654">
        <v>8163026</v>
      </c>
      <c r="E140" s="654">
        <v>1392417</v>
      </c>
      <c r="F140" s="654">
        <v>1512177</v>
      </c>
      <c r="G140" s="654">
        <v>314563</v>
      </c>
      <c r="H140" s="654">
        <v>665042</v>
      </c>
      <c r="I140" s="654">
        <v>0</v>
      </c>
      <c r="J140" s="654">
        <v>0</v>
      </c>
      <c r="K140" s="654">
        <v>0</v>
      </c>
      <c r="L140" s="654">
        <v>0</v>
      </c>
      <c r="M140" s="654">
        <v>0</v>
      </c>
      <c r="N140" s="654">
        <v>90600</v>
      </c>
      <c r="O140" s="654">
        <v>36331</v>
      </c>
      <c r="P140" s="654">
        <v>0</v>
      </c>
      <c r="Q140" s="654">
        <v>6327</v>
      </c>
      <c r="R140" s="654">
        <v>161025</v>
      </c>
      <c r="S140" s="654">
        <v>0</v>
      </c>
      <c r="T140" s="654">
        <v>0</v>
      </c>
      <c r="U140" s="654">
        <v>0</v>
      </c>
      <c r="V140" s="654">
        <v>0</v>
      </c>
      <c r="W140" s="654">
        <v>0</v>
      </c>
      <c r="X140" s="654">
        <v>0</v>
      </c>
      <c r="Y140" s="654">
        <v>10634528</v>
      </c>
      <c r="Z140" s="654">
        <v>294283</v>
      </c>
    </row>
    <row r="141" spans="1:26" x14ac:dyDescent="0.15">
      <c r="B141" t="s">
        <v>627</v>
      </c>
      <c r="C141" t="s">
        <v>379</v>
      </c>
      <c r="D141" s="654">
        <v>4466589</v>
      </c>
      <c r="E141" s="654">
        <v>476289</v>
      </c>
      <c r="F141" s="654">
        <v>976621</v>
      </c>
      <c r="G141" s="654">
        <v>222984</v>
      </c>
      <c r="H141" s="654">
        <v>459051</v>
      </c>
      <c r="I141" s="654">
        <v>0</v>
      </c>
      <c r="J141" s="654">
        <v>0</v>
      </c>
      <c r="K141" s="654">
        <v>0</v>
      </c>
      <c r="L141" s="654">
        <v>0</v>
      </c>
      <c r="M141" s="654">
        <v>0</v>
      </c>
      <c r="N141" s="654">
        <v>296564</v>
      </c>
      <c r="O141" s="654">
        <v>0</v>
      </c>
      <c r="P141" s="654">
        <v>0</v>
      </c>
      <c r="Q141" s="654">
        <v>2369</v>
      </c>
      <c r="R141" s="654">
        <v>89799</v>
      </c>
      <c r="S141" s="654">
        <v>0</v>
      </c>
      <c r="T141" s="654">
        <v>0</v>
      </c>
      <c r="U141" s="654">
        <v>0</v>
      </c>
      <c r="V141" s="654">
        <v>0</v>
      </c>
      <c r="W141" s="654">
        <v>0</v>
      </c>
      <c r="X141" s="654">
        <v>0</v>
      </c>
      <c r="Y141" s="654">
        <v>6290993</v>
      </c>
      <c r="Z141" s="654">
        <v>388732</v>
      </c>
    </row>
    <row r="142" spans="1:26" x14ac:dyDescent="0.15">
      <c r="B142" t="s">
        <v>628</v>
      </c>
      <c r="C142" t="s">
        <v>380</v>
      </c>
      <c r="D142" s="654">
        <v>3691193</v>
      </c>
      <c r="E142" s="654">
        <v>401316</v>
      </c>
      <c r="F142" s="654">
        <v>1874471</v>
      </c>
      <c r="G142" s="654">
        <v>432798</v>
      </c>
      <c r="H142" s="654">
        <v>0</v>
      </c>
      <c r="I142" s="654">
        <v>0</v>
      </c>
      <c r="J142" s="654">
        <v>0</v>
      </c>
      <c r="K142" s="654">
        <v>0</v>
      </c>
      <c r="L142" s="654">
        <v>0</v>
      </c>
      <c r="M142" s="654">
        <v>0</v>
      </c>
      <c r="N142" s="654">
        <v>110400</v>
      </c>
      <c r="O142" s="654">
        <v>76567</v>
      </c>
      <c r="P142" s="654">
        <v>30910</v>
      </c>
      <c r="Q142" s="654">
        <v>3869</v>
      </c>
      <c r="R142" s="654">
        <v>0</v>
      </c>
      <c r="S142" s="654">
        <v>0</v>
      </c>
      <c r="T142" s="654">
        <v>0</v>
      </c>
      <c r="U142" s="654">
        <v>0</v>
      </c>
      <c r="V142" s="654">
        <v>0</v>
      </c>
      <c r="W142" s="654">
        <v>0</v>
      </c>
      <c r="X142" s="654">
        <v>0</v>
      </c>
      <c r="Y142" s="654">
        <v>5787410</v>
      </c>
      <c r="Z142" s="654">
        <v>221746</v>
      </c>
    </row>
    <row r="143" spans="1:26" x14ac:dyDescent="0.15">
      <c r="B143" t="s">
        <v>631</v>
      </c>
      <c r="C143" t="s">
        <v>381</v>
      </c>
      <c r="D143" s="654">
        <v>2140629</v>
      </c>
      <c r="E143" s="654">
        <v>0</v>
      </c>
      <c r="F143" s="654">
        <v>0</v>
      </c>
      <c r="G143" s="654">
        <v>0</v>
      </c>
      <c r="H143" s="654">
        <v>0</v>
      </c>
      <c r="I143" s="654">
        <v>0</v>
      </c>
      <c r="J143" s="654">
        <v>0</v>
      </c>
      <c r="K143" s="654">
        <v>0</v>
      </c>
      <c r="L143" s="654">
        <v>0</v>
      </c>
      <c r="M143" s="654">
        <v>0</v>
      </c>
      <c r="N143" s="654">
        <v>6000</v>
      </c>
      <c r="O143" s="654">
        <v>0</v>
      </c>
      <c r="P143" s="654">
        <v>0</v>
      </c>
      <c r="Q143" s="654">
        <v>0</v>
      </c>
      <c r="R143" s="654">
        <v>0</v>
      </c>
      <c r="S143" s="654">
        <v>842510</v>
      </c>
      <c r="T143" s="654">
        <v>0</v>
      </c>
      <c r="U143" s="654">
        <v>0</v>
      </c>
      <c r="V143" s="654">
        <v>0</v>
      </c>
      <c r="W143" s="654">
        <v>0</v>
      </c>
      <c r="X143" s="654">
        <v>0</v>
      </c>
      <c r="Y143" s="654">
        <v>2989139</v>
      </c>
      <c r="Z143" s="654">
        <v>848510</v>
      </c>
    </row>
    <row r="144" spans="1:26" x14ac:dyDescent="0.15">
      <c r="B144" t="s">
        <v>567</v>
      </c>
      <c r="C144" t="s">
        <v>473</v>
      </c>
      <c r="D144" s="654">
        <v>0</v>
      </c>
      <c r="E144" s="654">
        <v>0</v>
      </c>
      <c r="F144" s="654">
        <v>0</v>
      </c>
      <c r="G144" s="654">
        <v>0</v>
      </c>
      <c r="H144" s="654">
        <v>0</v>
      </c>
      <c r="I144" s="654">
        <v>0</v>
      </c>
      <c r="J144" s="654">
        <v>0</v>
      </c>
      <c r="K144" s="654">
        <v>1013496</v>
      </c>
      <c r="L144" s="654">
        <v>332983</v>
      </c>
      <c r="M144" s="654">
        <v>0</v>
      </c>
      <c r="N144" s="654">
        <v>0</v>
      </c>
      <c r="O144" s="654">
        <v>0</v>
      </c>
      <c r="P144" s="654">
        <v>0</v>
      </c>
      <c r="Q144" s="654">
        <v>0</v>
      </c>
      <c r="R144" s="654">
        <v>0</v>
      </c>
      <c r="S144" s="654">
        <v>78000</v>
      </c>
      <c r="T144" s="654">
        <v>0</v>
      </c>
      <c r="U144" s="654">
        <v>0</v>
      </c>
      <c r="V144" s="654">
        <v>-40000</v>
      </c>
      <c r="W144" s="654">
        <v>0</v>
      </c>
      <c r="X144" s="654">
        <v>0</v>
      </c>
      <c r="Y144" s="654">
        <v>1051496</v>
      </c>
      <c r="Z144" s="654">
        <v>38000</v>
      </c>
    </row>
    <row r="145" spans="1:26" x14ac:dyDescent="0.15">
      <c r="B145" t="s">
        <v>568</v>
      </c>
      <c r="C145" t="s">
        <v>474</v>
      </c>
      <c r="D145" s="654">
        <v>0</v>
      </c>
      <c r="E145" s="654">
        <v>0</v>
      </c>
      <c r="F145" s="654">
        <v>0</v>
      </c>
      <c r="G145" s="654">
        <v>0</v>
      </c>
      <c r="H145" s="654">
        <v>0</v>
      </c>
      <c r="I145" s="654">
        <v>0</v>
      </c>
      <c r="J145" s="654">
        <v>0</v>
      </c>
      <c r="K145" s="654">
        <v>983492</v>
      </c>
      <c r="L145" s="654">
        <v>0</v>
      </c>
      <c r="M145" s="654">
        <v>0</v>
      </c>
      <c r="N145" s="654">
        <v>20000</v>
      </c>
      <c r="O145" s="654">
        <v>0</v>
      </c>
      <c r="P145" s="654">
        <v>0</v>
      </c>
      <c r="Q145" s="654">
        <v>0</v>
      </c>
      <c r="R145" s="654">
        <v>0</v>
      </c>
      <c r="S145" s="654">
        <v>98000</v>
      </c>
      <c r="T145" s="654">
        <v>0</v>
      </c>
      <c r="U145" s="654">
        <v>0</v>
      </c>
      <c r="V145" s="654">
        <v>-40000</v>
      </c>
      <c r="W145" s="654">
        <v>0</v>
      </c>
      <c r="X145" s="654">
        <v>0</v>
      </c>
      <c r="Y145" s="654">
        <v>1061492</v>
      </c>
      <c r="Z145" s="654">
        <v>78000</v>
      </c>
    </row>
    <row r="146" spans="1:26" x14ac:dyDescent="0.15">
      <c r="B146" t="s">
        <v>582</v>
      </c>
      <c r="C146" t="s">
        <v>384</v>
      </c>
      <c r="D146" s="654">
        <v>0</v>
      </c>
      <c r="E146" s="654">
        <v>0</v>
      </c>
      <c r="F146" s="654">
        <v>0</v>
      </c>
      <c r="G146" s="654">
        <v>0</v>
      </c>
      <c r="H146" s="654">
        <v>0</v>
      </c>
      <c r="I146" s="654">
        <v>0</v>
      </c>
      <c r="J146" s="654">
        <v>0</v>
      </c>
      <c r="K146" s="654">
        <v>3035498</v>
      </c>
      <c r="L146" s="654">
        <v>0</v>
      </c>
      <c r="M146" s="654">
        <v>0</v>
      </c>
      <c r="N146" s="654">
        <v>0</v>
      </c>
      <c r="O146" s="654">
        <v>0</v>
      </c>
      <c r="P146" s="654">
        <v>0</v>
      </c>
      <c r="Q146" s="654">
        <v>0</v>
      </c>
      <c r="R146" s="654">
        <v>0</v>
      </c>
      <c r="S146" s="654">
        <v>320000</v>
      </c>
      <c r="T146" s="654">
        <v>0</v>
      </c>
      <c r="U146" s="654">
        <v>0</v>
      </c>
      <c r="V146" s="654">
        <v>-80000</v>
      </c>
      <c r="W146" s="654">
        <v>0</v>
      </c>
      <c r="X146" s="654">
        <v>0</v>
      </c>
      <c r="Y146" s="654">
        <v>3275498</v>
      </c>
      <c r="Z146" s="654">
        <v>240000</v>
      </c>
    </row>
    <row r="147" spans="1:26" x14ac:dyDescent="0.15">
      <c r="B147" t="s">
        <v>671</v>
      </c>
      <c r="C147" t="s">
        <v>383</v>
      </c>
      <c r="D147" s="654">
        <v>1250104</v>
      </c>
      <c r="E147" s="654">
        <v>0</v>
      </c>
      <c r="F147" s="654">
        <v>0</v>
      </c>
      <c r="G147" s="654">
        <v>0</v>
      </c>
      <c r="H147" s="654">
        <v>0</v>
      </c>
      <c r="I147" s="654">
        <v>0</v>
      </c>
      <c r="J147" s="654">
        <v>0</v>
      </c>
      <c r="K147" s="654">
        <v>0</v>
      </c>
      <c r="L147" s="654">
        <v>0</v>
      </c>
      <c r="M147" s="654">
        <v>0</v>
      </c>
      <c r="N147" s="654">
        <v>354900</v>
      </c>
      <c r="O147" s="654">
        <v>66040</v>
      </c>
      <c r="P147" s="654">
        <v>1524120</v>
      </c>
      <c r="Q147" s="654">
        <v>0</v>
      </c>
      <c r="R147" s="654">
        <v>0</v>
      </c>
      <c r="S147" s="654">
        <v>0</v>
      </c>
      <c r="T147" s="654">
        <v>0</v>
      </c>
      <c r="U147" s="654">
        <v>0</v>
      </c>
      <c r="V147" s="654">
        <v>0</v>
      </c>
      <c r="W147" s="654">
        <v>0</v>
      </c>
      <c r="X147" s="654">
        <v>0</v>
      </c>
      <c r="Y147" s="654">
        <v>3195164</v>
      </c>
      <c r="Z147" s="654">
        <v>1945060</v>
      </c>
    </row>
    <row r="148" spans="1:26" x14ac:dyDescent="0.15">
      <c r="B148" t="s">
        <v>629</v>
      </c>
      <c r="C148" t="s">
        <v>676</v>
      </c>
      <c r="D148" s="654">
        <v>0</v>
      </c>
      <c r="E148" s="654">
        <v>0</v>
      </c>
      <c r="F148" s="654">
        <v>0</v>
      </c>
      <c r="G148" s="654">
        <v>0</v>
      </c>
      <c r="H148" s="654">
        <v>0</v>
      </c>
      <c r="I148" s="654">
        <v>3104841</v>
      </c>
      <c r="J148" s="654">
        <v>173798</v>
      </c>
      <c r="K148" s="654">
        <v>0</v>
      </c>
      <c r="L148" s="654">
        <v>0</v>
      </c>
      <c r="M148" s="654">
        <v>0</v>
      </c>
      <c r="N148" s="654">
        <v>0</v>
      </c>
      <c r="O148" s="654">
        <v>0</v>
      </c>
      <c r="P148" s="654">
        <v>0</v>
      </c>
      <c r="Q148" s="654">
        <v>0</v>
      </c>
      <c r="R148" s="654">
        <v>0</v>
      </c>
      <c r="S148" s="654">
        <v>0</v>
      </c>
      <c r="T148" s="654">
        <v>165550</v>
      </c>
      <c r="U148" s="654">
        <v>0</v>
      </c>
      <c r="V148" s="654">
        <v>0</v>
      </c>
      <c r="W148" s="654">
        <v>0</v>
      </c>
      <c r="X148" s="654">
        <v>0</v>
      </c>
      <c r="Y148" s="654">
        <v>3270391</v>
      </c>
      <c r="Z148" s="654">
        <v>165550</v>
      </c>
    </row>
    <row r="149" spans="1:26" x14ac:dyDescent="0.15">
      <c r="A149" s="653" t="s">
        <v>622</v>
      </c>
      <c r="B149"/>
      <c r="D149" s="654">
        <v>19711541</v>
      </c>
      <c r="E149" s="654">
        <v>2270022</v>
      </c>
      <c r="F149" s="654">
        <v>4363269</v>
      </c>
      <c r="G149" s="654">
        <v>970345</v>
      </c>
      <c r="H149" s="654">
        <v>1124093</v>
      </c>
      <c r="I149" s="654">
        <v>3104841</v>
      </c>
      <c r="J149" s="654">
        <v>173798</v>
      </c>
      <c r="K149" s="654">
        <v>5032486</v>
      </c>
      <c r="L149" s="654">
        <v>332983</v>
      </c>
      <c r="M149" s="654">
        <v>0</v>
      </c>
      <c r="N149" s="654">
        <v>878464</v>
      </c>
      <c r="O149" s="654">
        <v>178938</v>
      </c>
      <c r="P149" s="654">
        <v>1555030</v>
      </c>
      <c r="Q149" s="654">
        <v>12565</v>
      </c>
      <c r="R149" s="654">
        <v>250824</v>
      </c>
      <c r="S149" s="654">
        <v>1338510</v>
      </c>
      <c r="T149" s="654">
        <v>165550</v>
      </c>
      <c r="U149" s="654">
        <v>0</v>
      </c>
      <c r="V149" s="654">
        <v>-160000</v>
      </c>
      <c r="W149" s="654">
        <v>0</v>
      </c>
      <c r="X149" s="654">
        <v>140400</v>
      </c>
      <c r="Y149" s="654">
        <v>37696511</v>
      </c>
      <c r="Z149" s="654">
        <v>4360281</v>
      </c>
    </row>
    <row r="150" spans="1:26" x14ac:dyDescent="0.15">
      <c r="A150" s="653">
        <v>43040</v>
      </c>
      <c r="B150" t="s">
        <v>626</v>
      </c>
      <c r="C150" t="s">
        <v>378</v>
      </c>
      <c r="D150" s="654">
        <v>7374129</v>
      </c>
      <c r="E150" s="654">
        <v>1293794</v>
      </c>
      <c r="F150" s="654">
        <v>1286784</v>
      </c>
      <c r="G150" s="654">
        <v>268515</v>
      </c>
      <c r="H150" s="654">
        <v>686152</v>
      </c>
      <c r="I150" s="654">
        <v>0</v>
      </c>
      <c r="J150" s="654">
        <v>0</v>
      </c>
      <c r="K150" s="654">
        <v>0</v>
      </c>
      <c r="L150" s="654">
        <v>0</v>
      </c>
      <c r="M150" s="654">
        <v>0</v>
      </c>
      <c r="N150" s="654">
        <v>165800</v>
      </c>
      <c r="O150" s="654">
        <v>40523</v>
      </c>
      <c r="P150" s="654">
        <v>0</v>
      </c>
      <c r="Q150" s="654">
        <v>8583</v>
      </c>
      <c r="R150" s="654">
        <v>156510</v>
      </c>
      <c r="S150" s="654">
        <v>0</v>
      </c>
      <c r="T150" s="654">
        <v>0</v>
      </c>
      <c r="U150" s="654">
        <v>0</v>
      </c>
      <c r="V150" s="654">
        <v>0</v>
      </c>
      <c r="W150" s="654">
        <v>0</v>
      </c>
      <c r="X150" s="654">
        <v>0</v>
      </c>
      <c r="Y150" s="654">
        <v>9718481</v>
      </c>
      <c r="Z150" s="654">
        <v>371416</v>
      </c>
    </row>
    <row r="151" spans="1:26" x14ac:dyDescent="0.15">
      <c r="B151" t="s">
        <v>627</v>
      </c>
      <c r="C151" t="s">
        <v>379</v>
      </c>
      <c r="D151" s="654">
        <v>4288223</v>
      </c>
      <c r="E151" s="654">
        <v>466832</v>
      </c>
      <c r="F151" s="654">
        <v>971375</v>
      </c>
      <c r="G151" s="654">
        <v>221766</v>
      </c>
      <c r="H151" s="654">
        <v>436023</v>
      </c>
      <c r="I151" s="654">
        <v>0</v>
      </c>
      <c r="J151" s="654">
        <v>0</v>
      </c>
      <c r="K151" s="654">
        <v>0</v>
      </c>
      <c r="L151" s="654">
        <v>0</v>
      </c>
      <c r="M151" s="654">
        <v>0</v>
      </c>
      <c r="N151" s="654">
        <v>176039</v>
      </c>
      <c r="O151" s="654">
        <v>0</v>
      </c>
      <c r="P151" s="654">
        <v>0</v>
      </c>
      <c r="Q151" s="654">
        <v>1715</v>
      </c>
      <c r="R151" s="654">
        <v>81033</v>
      </c>
      <c r="S151" s="654">
        <v>0</v>
      </c>
      <c r="T151" s="654">
        <v>0</v>
      </c>
      <c r="U151" s="654">
        <v>0</v>
      </c>
      <c r="V151" s="654">
        <v>0</v>
      </c>
      <c r="W151" s="654">
        <v>0</v>
      </c>
      <c r="X151" s="654">
        <v>0</v>
      </c>
      <c r="Y151" s="654">
        <v>5954408</v>
      </c>
      <c r="Z151" s="654">
        <v>258787</v>
      </c>
    </row>
    <row r="152" spans="1:26" x14ac:dyDescent="0.15">
      <c r="B152" t="s">
        <v>628</v>
      </c>
      <c r="C152" t="s">
        <v>380</v>
      </c>
      <c r="D152" s="654">
        <v>3793487</v>
      </c>
      <c r="E152" s="654">
        <v>411480</v>
      </c>
      <c r="F152" s="654">
        <v>1873856</v>
      </c>
      <c r="G152" s="654">
        <v>432828</v>
      </c>
      <c r="H152" s="654">
        <v>0</v>
      </c>
      <c r="I152" s="654">
        <v>0</v>
      </c>
      <c r="J152" s="654">
        <v>0</v>
      </c>
      <c r="K152" s="654">
        <v>0</v>
      </c>
      <c r="L152" s="654">
        <v>0</v>
      </c>
      <c r="M152" s="654">
        <v>0</v>
      </c>
      <c r="N152" s="654">
        <v>66720</v>
      </c>
      <c r="O152" s="654">
        <v>113077</v>
      </c>
      <c r="P152" s="654">
        <v>48900</v>
      </c>
      <c r="Q152" s="654">
        <v>3851</v>
      </c>
      <c r="R152" s="654">
        <v>0</v>
      </c>
      <c r="S152" s="654">
        <v>0</v>
      </c>
      <c r="T152" s="654">
        <v>0</v>
      </c>
      <c r="U152" s="654">
        <v>0</v>
      </c>
      <c r="V152" s="654">
        <v>0</v>
      </c>
      <c r="W152" s="654">
        <v>0</v>
      </c>
      <c r="X152" s="654">
        <v>0</v>
      </c>
      <c r="Y152" s="654">
        <v>5899891</v>
      </c>
      <c r="Z152" s="654">
        <v>232548</v>
      </c>
    </row>
    <row r="153" spans="1:26" x14ac:dyDescent="0.15">
      <c r="B153" t="s">
        <v>631</v>
      </c>
      <c r="C153" t="s">
        <v>381</v>
      </c>
      <c r="D153" s="654">
        <v>2052909</v>
      </c>
      <c r="E153" s="654">
        <v>0</v>
      </c>
      <c r="F153" s="654">
        <v>0</v>
      </c>
      <c r="G153" s="654">
        <v>0</v>
      </c>
      <c r="H153" s="654">
        <v>0</v>
      </c>
      <c r="I153" s="654">
        <v>0</v>
      </c>
      <c r="J153" s="654">
        <v>0</v>
      </c>
      <c r="K153" s="654">
        <v>0</v>
      </c>
      <c r="L153" s="654">
        <v>0</v>
      </c>
      <c r="M153" s="654">
        <v>0</v>
      </c>
      <c r="N153" s="654">
        <v>0</v>
      </c>
      <c r="O153" s="654">
        <v>0</v>
      </c>
      <c r="P153" s="654">
        <v>0</v>
      </c>
      <c r="Q153" s="654">
        <v>0</v>
      </c>
      <c r="R153" s="654">
        <v>0</v>
      </c>
      <c r="S153" s="654">
        <v>521768</v>
      </c>
      <c r="T153" s="654">
        <v>0</v>
      </c>
      <c r="U153" s="654">
        <v>0</v>
      </c>
      <c r="V153" s="654">
        <v>0</v>
      </c>
      <c r="W153" s="654">
        <v>0</v>
      </c>
      <c r="X153" s="654">
        <v>0</v>
      </c>
      <c r="Y153" s="654">
        <v>2574677</v>
      </c>
      <c r="Z153" s="654">
        <v>521768</v>
      </c>
    </row>
    <row r="154" spans="1:26" x14ac:dyDescent="0.15">
      <c r="B154" t="s">
        <v>567</v>
      </c>
      <c r="C154" t="s">
        <v>473</v>
      </c>
      <c r="D154" s="654">
        <v>0</v>
      </c>
      <c r="E154" s="654">
        <v>0</v>
      </c>
      <c r="F154" s="654">
        <v>0</v>
      </c>
      <c r="G154" s="654">
        <v>0</v>
      </c>
      <c r="H154" s="654">
        <v>0</v>
      </c>
      <c r="I154" s="654">
        <v>0</v>
      </c>
      <c r="J154" s="654">
        <v>0</v>
      </c>
      <c r="K154" s="654">
        <v>1187409</v>
      </c>
      <c r="L154" s="654">
        <v>293704</v>
      </c>
      <c r="M154" s="654">
        <v>0</v>
      </c>
      <c r="N154" s="654">
        <v>0</v>
      </c>
      <c r="O154" s="654">
        <v>0</v>
      </c>
      <c r="P154" s="654">
        <v>0</v>
      </c>
      <c r="Q154" s="654">
        <v>0</v>
      </c>
      <c r="R154" s="654">
        <v>0</v>
      </c>
      <c r="S154" s="654">
        <v>78000</v>
      </c>
      <c r="T154" s="654">
        <v>0</v>
      </c>
      <c r="U154" s="654">
        <v>0</v>
      </c>
      <c r="V154" s="654">
        <v>-40000</v>
      </c>
      <c r="W154" s="654">
        <v>0</v>
      </c>
      <c r="X154" s="654">
        <v>0</v>
      </c>
      <c r="Y154" s="654">
        <v>1225409</v>
      </c>
      <c r="Z154" s="654">
        <v>38000</v>
      </c>
    </row>
    <row r="155" spans="1:26" x14ac:dyDescent="0.15">
      <c r="B155" t="s">
        <v>568</v>
      </c>
      <c r="C155" t="s">
        <v>474</v>
      </c>
      <c r="D155" s="654">
        <v>0</v>
      </c>
      <c r="E155" s="654">
        <v>0</v>
      </c>
      <c r="F155" s="654">
        <v>0</v>
      </c>
      <c r="G155" s="654">
        <v>0</v>
      </c>
      <c r="H155" s="654">
        <v>0</v>
      </c>
      <c r="I155" s="654">
        <v>0</v>
      </c>
      <c r="J155" s="654">
        <v>0</v>
      </c>
      <c r="K155" s="654">
        <v>922792</v>
      </c>
      <c r="L155" s="654">
        <v>0</v>
      </c>
      <c r="M155" s="654">
        <v>0</v>
      </c>
      <c r="N155" s="654">
        <v>20000</v>
      </c>
      <c r="O155" s="654">
        <v>0</v>
      </c>
      <c r="P155" s="654">
        <v>0</v>
      </c>
      <c r="Q155" s="654">
        <v>0</v>
      </c>
      <c r="R155" s="654">
        <v>0</v>
      </c>
      <c r="S155" s="654">
        <v>98000</v>
      </c>
      <c r="T155" s="654">
        <v>0</v>
      </c>
      <c r="U155" s="654">
        <v>0</v>
      </c>
      <c r="V155" s="654">
        <v>-40000</v>
      </c>
      <c r="W155" s="654">
        <v>0</v>
      </c>
      <c r="X155" s="654">
        <v>0</v>
      </c>
      <c r="Y155" s="654">
        <v>1000792</v>
      </c>
      <c r="Z155" s="654">
        <v>78000</v>
      </c>
    </row>
    <row r="156" spans="1:26" x14ac:dyDescent="0.15">
      <c r="B156" t="s">
        <v>582</v>
      </c>
      <c r="C156" t="s">
        <v>384</v>
      </c>
      <c r="D156" s="654">
        <v>0</v>
      </c>
      <c r="E156" s="654">
        <v>0</v>
      </c>
      <c r="F156" s="654">
        <v>0</v>
      </c>
      <c r="G156" s="654">
        <v>0</v>
      </c>
      <c r="H156" s="654">
        <v>0</v>
      </c>
      <c r="I156" s="654">
        <v>0</v>
      </c>
      <c r="J156" s="654">
        <v>0</v>
      </c>
      <c r="K156" s="654">
        <v>2385860</v>
      </c>
      <c r="L156" s="654">
        <v>0</v>
      </c>
      <c r="M156" s="654">
        <v>0</v>
      </c>
      <c r="N156" s="654">
        <v>0</v>
      </c>
      <c r="O156" s="654">
        <v>0</v>
      </c>
      <c r="P156" s="654">
        <v>0</v>
      </c>
      <c r="Q156" s="654">
        <v>0</v>
      </c>
      <c r="R156" s="654">
        <v>0</v>
      </c>
      <c r="S156" s="654">
        <v>400000</v>
      </c>
      <c r="T156" s="654">
        <v>0</v>
      </c>
      <c r="U156" s="654">
        <v>0</v>
      </c>
      <c r="V156" s="654">
        <v>-80000</v>
      </c>
      <c r="W156" s="654">
        <v>0</v>
      </c>
      <c r="X156" s="654">
        <v>0</v>
      </c>
      <c r="Y156" s="654">
        <v>2705860</v>
      </c>
      <c r="Z156" s="654">
        <v>320000</v>
      </c>
    </row>
    <row r="157" spans="1:26" x14ac:dyDescent="0.15">
      <c r="B157" t="s">
        <v>671</v>
      </c>
      <c r="C157" t="s">
        <v>383</v>
      </c>
      <c r="D157" s="654">
        <v>1297254</v>
      </c>
      <c r="E157" s="654">
        <v>0</v>
      </c>
      <c r="F157" s="654">
        <v>4270</v>
      </c>
      <c r="G157" s="654">
        <v>0</v>
      </c>
      <c r="H157" s="654">
        <v>0</v>
      </c>
      <c r="I157" s="654">
        <v>0</v>
      </c>
      <c r="J157" s="654">
        <v>0</v>
      </c>
      <c r="K157" s="654">
        <v>0</v>
      </c>
      <c r="L157" s="654">
        <v>0</v>
      </c>
      <c r="M157" s="654">
        <v>0</v>
      </c>
      <c r="N157" s="654">
        <v>241800</v>
      </c>
      <c r="O157" s="654">
        <v>60840</v>
      </c>
      <c r="P157" s="654">
        <v>1529662</v>
      </c>
      <c r="Q157" s="654">
        <v>0</v>
      </c>
      <c r="R157" s="654">
        <v>0</v>
      </c>
      <c r="S157" s="654">
        <v>0</v>
      </c>
      <c r="T157" s="654">
        <v>0</v>
      </c>
      <c r="U157" s="654">
        <v>0</v>
      </c>
      <c r="V157" s="654">
        <v>0</v>
      </c>
      <c r="W157" s="654">
        <v>0</v>
      </c>
      <c r="X157" s="654">
        <v>0</v>
      </c>
      <c r="Y157" s="654">
        <v>3133826</v>
      </c>
      <c r="Z157" s="654">
        <v>1832302</v>
      </c>
    </row>
    <row r="158" spans="1:26" x14ac:dyDescent="0.15">
      <c r="B158" t="s">
        <v>629</v>
      </c>
      <c r="C158" t="s">
        <v>676</v>
      </c>
      <c r="D158" s="654">
        <v>0</v>
      </c>
      <c r="E158" s="654">
        <v>0</v>
      </c>
      <c r="F158" s="654">
        <v>0</v>
      </c>
      <c r="G158" s="654">
        <v>0</v>
      </c>
      <c r="H158" s="654">
        <v>0</v>
      </c>
      <c r="I158" s="654">
        <v>3320183</v>
      </c>
      <c r="J158" s="654">
        <v>184210</v>
      </c>
      <c r="K158" s="654">
        <v>0</v>
      </c>
      <c r="L158" s="654">
        <v>0</v>
      </c>
      <c r="M158" s="654">
        <v>0</v>
      </c>
      <c r="N158" s="654">
        <v>0</v>
      </c>
      <c r="O158" s="654">
        <v>0</v>
      </c>
      <c r="P158" s="654">
        <v>0</v>
      </c>
      <c r="Q158" s="654">
        <v>0</v>
      </c>
      <c r="R158" s="654">
        <v>0</v>
      </c>
      <c r="S158" s="654">
        <v>0</v>
      </c>
      <c r="T158" s="654">
        <v>187550</v>
      </c>
      <c r="U158" s="654">
        <v>0</v>
      </c>
      <c r="V158" s="654">
        <v>0</v>
      </c>
      <c r="W158" s="654">
        <v>0</v>
      </c>
      <c r="X158" s="654">
        <v>0</v>
      </c>
      <c r="Y158" s="654">
        <v>3507733</v>
      </c>
      <c r="Z158" s="654">
        <v>187550</v>
      </c>
    </row>
    <row r="159" spans="1:26" x14ac:dyDescent="0.15">
      <c r="A159" s="653" t="s">
        <v>623</v>
      </c>
      <c r="B159"/>
      <c r="D159" s="654">
        <v>18806002</v>
      </c>
      <c r="E159" s="654">
        <v>2172106</v>
      </c>
      <c r="F159" s="654">
        <v>4136285</v>
      </c>
      <c r="G159" s="654">
        <v>923109</v>
      </c>
      <c r="H159" s="654">
        <v>1122175</v>
      </c>
      <c r="I159" s="654">
        <v>3320183</v>
      </c>
      <c r="J159" s="654">
        <v>184210</v>
      </c>
      <c r="K159" s="654">
        <v>4496061</v>
      </c>
      <c r="L159" s="654">
        <v>293704</v>
      </c>
      <c r="M159" s="654">
        <v>0</v>
      </c>
      <c r="N159" s="654">
        <v>670359</v>
      </c>
      <c r="O159" s="654">
        <v>214440</v>
      </c>
      <c r="P159" s="654">
        <v>1578562</v>
      </c>
      <c r="Q159" s="654">
        <v>14149</v>
      </c>
      <c r="R159" s="654">
        <v>237543</v>
      </c>
      <c r="S159" s="654">
        <v>1097768</v>
      </c>
      <c r="T159" s="654">
        <v>187550</v>
      </c>
      <c r="U159" s="654">
        <v>0</v>
      </c>
      <c r="V159" s="654">
        <v>-160000</v>
      </c>
      <c r="W159" s="654">
        <v>0</v>
      </c>
      <c r="X159" s="654">
        <v>0</v>
      </c>
      <c r="Y159" s="654">
        <v>35721077</v>
      </c>
      <c r="Z159" s="654">
        <v>3840371</v>
      </c>
    </row>
    <row r="160" spans="1:26" x14ac:dyDescent="0.15">
      <c r="A160" s="653">
        <v>43070</v>
      </c>
      <c r="B160" t="s">
        <v>626</v>
      </c>
      <c r="C160" t="s">
        <v>378</v>
      </c>
      <c r="D160" s="654">
        <v>7485316</v>
      </c>
      <c r="E160" s="654">
        <v>1313989</v>
      </c>
      <c r="F160" s="654">
        <v>1390789</v>
      </c>
      <c r="G160" s="654">
        <v>295530</v>
      </c>
      <c r="H160" s="654">
        <v>744776</v>
      </c>
      <c r="I160" s="654">
        <v>0</v>
      </c>
      <c r="J160" s="654">
        <v>0</v>
      </c>
      <c r="K160" s="654">
        <v>0</v>
      </c>
      <c r="L160" s="654">
        <v>0</v>
      </c>
      <c r="M160" s="654">
        <v>0</v>
      </c>
      <c r="N160" s="654">
        <v>197032</v>
      </c>
      <c r="O160" s="654">
        <v>33360</v>
      </c>
      <c r="P160" s="654">
        <v>0</v>
      </c>
      <c r="Q160" s="654">
        <v>4064</v>
      </c>
      <c r="R160" s="654">
        <v>151995</v>
      </c>
      <c r="S160" s="654">
        <v>0</v>
      </c>
      <c r="T160" s="654">
        <v>0</v>
      </c>
      <c r="U160" s="654">
        <v>0</v>
      </c>
      <c r="V160" s="654">
        <v>0</v>
      </c>
      <c r="W160" s="654">
        <v>0</v>
      </c>
      <c r="X160" s="654">
        <v>0</v>
      </c>
      <c r="Y160" s="654">
        <v>10007332</v>
      </c>
      <c r="Z160" s="654">
        <v>386451</v>
      </c>
    </row>
    <row r="161" spans="1:26" x14ac:dyDescent="0.15">
      <c r="B161" t="s">
        <v>627</v>
      </c>
      <c r="C161" t="s">
        <v>379</v>
      </c>
      <c r="D161" s="654">
        <v>4314125</v>
      </c>
      <c r="E161" s="654">
        <v>470435</v>
      </c>
      <c r="F161" s="654">
        <v>927864</v>
      </c>
      <c r="G161" s="654">
        <v>210870</v>
      </c>
      <c r="H161" s="654">
        <v>421073</v>
      </c>
      <c r="I161" s="654">
        <v>0</v>
      </c>
      <c r="J161" s="654">
        <v>0</v>
      </c>
      <c r="K161" s="654">
        <v>0</v>
      </c>
      <c r="L161" s="654">
        <v>0</v>
      </c>
      <c r="M161" s="654">
        <v>0</v>
      </c>
      <c r="N161" s="654">
        <v>197500</v>
      </c>
      <c r="O161" s="654">
        <v>0</v>
      </c>
      <c r="P161" s="654">
        <v>0</v>
      </c>
      <c r="Q161" s="654">
        <v>1742</v>
      </c>
      <c r="R161" s="654">
        <v>101616</v>
      </c>
      <c r="S161" s="654">
        <v>0</v>
      </c>
      <c r="T161" s="654">
        <v>0</v>
      </c>
      <c r="U161" s="654">
        <v>0</v>
      </c>
      <c r="V161" s="654">
        <v>0</v>
      </c>
      <c r="W161" s="654">
        <v>0</v>
      </c>
      <c r="X161" s="654">
        <v>0</v>
      </c>
      <c r="Y161" s="654">
        <v>5963920</v>
      </c>
      <c r="Z161" s="654">
        <v>300858</v>
      </c>
    </row>
    <row r="162" spans="1:26" x14ac:dyDescent="0.15">
      <c r="B162" t="s">
        <v>628</v>
      </c>
      <c r="C162" t="s">
        <v>380</v>
      </c>
      <c r="D162" s="654">
        <v>3951679</v>
      </c>
      <c r="E162" s="654">
        <v>422479</v>
      </c>
      <c r="F162" s="654">
        <v>1450355</v>
      </c>
      <c r="G162" s="654">
        <v>337271</v>
      </c>
      <c r="H162" s="654">
        <v>0</v>
      </c>
      <c r="I162" s="654">
        <v>0</v>
      </c>
      <c r="J162" s="654">
        <v>0</v>
      </c>
      <c r="K162" s="654">
        <v>0</v>
      </c>
      <c r="L162" s="654">
        <v>0</v>
      </c>
      <c r="M162" s="654">
        <v>0</v>
      </c>
      <c r="N162" s="654">
        <v>101900</v>
      </c>
      <c r="O162" s="654">
        <v>78987</v>
      </c>
      <c r="P162" s="654">
        <v>42972</v>
      </c>
      <c r="Q162" s="654">
        <v>4091</v>
      </c>
      <c r="R162" s="654">
        <v>0</v>
      </c>
      <c r="S162" s="654">
        <v>0</v>
      </c>
      <c r="T162" s="654">
        <v>0</v>
      </c>
      <c r="U162" s="654">
        <v>0</v>
      </c>
      <c r="V162" s="654">
        <v>0</v>
      </c>
      <c r="W162" s="654">
        <v>0</v>
      </c>
      <c r="X162" s="654">
        <v>0</v>
      </c>
      <c r="Y162" s="654">
        <v>5629984</v>
      </c>
      <c r="Z162" s="654">
        <v>227950</v>
      </c>
    </row>
    <row r="163" spans="1:26" x14ac:dyDescent="0.15">
      <c r="B163" t="s">
        <v>631</v>
      </c>
      <c r="C163" t="s">
        <v>381</v>
      </c>
      <c r="D163" s="654">
        <v>2157074</v>
      </c>
      <c r="E163" s="654">
        <v>0</v>
      </c>
      <c r="F163" s="654">
        <v>0</v>
      </c>
      <c r="G163" s="654">
        <v>0</v>
      </c>
      <c r="H163" s="654">
        <v>0</v>
      </c>
      <c r="I163" s="654">
        <v>0</v>
      </c>
      <c r="J163" s="654">
        <v>0</v>
      </c>
      <c r="K163" s="654">
        <v>0</v>
      </c>
      <c r="L163" s="654">
        <v>0</v>
      </c>
      <c r="M163" s="654">
        <v>0</v>
      </c>
      <c r="N163" s="654">
        <v>0</v>
      </c>
      <c r="O163" s="654">
        <v>0</v>
      </c>
      <c r="P163" s="654">
        <v>0</v>
      </c>
      <c r="Q163" s="654">
        <v>0</v>
      </c>
      <c r="R163" s="654">
        <v>0</v>
      </c>
      <c r="S163" s="654">
        <v>696462</v>
      </c>
      <c r="T163" s="654">
        <v>0</v>
      </c>
      <c r="U163" s="654">
        <v>0</v>
      </c>
      <c r="V163" s="654">
        <v>0</v>
      </c>
      <c r="W163" s="654">
        <v>0</v>
      </c>
      <c r="X163" s="654">
        <v>0</v>
      </c>
      <c r="Y163" s="654">
        <v>2853536</v>
      </c>
      <c r="Z163" s="654">
        <v>696462</v>
      </c>
    </row>
    <row r="164" spans="1:26" x14ac:dyDescent="0.15">
      <c r="B164" t="s">
        <v>567</v>
      </c>
      <c r="C164" t="s">
        <v>473</v>
      </c>
      <c r="D164" s="654">
        <v>0</v>
      </c>
      <c r="E164" s="654">
        <v>0</v>
      </c>
      <c r="F164" s="654">
        <v>0</v>
      </c>
      <c r="G164" s="654">
        <v>0</v>
      </c>
      <c r="H164" s="654">
        <v>0</v>
      </c>
      <c r="I164" s="654">
        <v>0</v>
      </c>
      <c r="J164" s="654">
        <v>0</v>
      </c>
      <c r="K164" s="654">
        <v>998248</v>
      </c>
      <c r="L164" s="654">
        <v>292855</v>
      </c>
      <c r="M164" s="654">
        <v>0</v>
      </c>
      <c r="N164" s="654">
        <v>0</v>
      </c>
      <c r="O164" s="654">
        <v>0</v>
      </c>
      <c r="P164" s="654">
        <v>0</v>
      </c>
      <c r="Q164" s="654">
        <v>0</v>
      </c>
      <c r="R164" s="654">
        <v>0</v>
      </c>
      <c r="S164" s="654">
        <v>78000</v>
      </c>
      <c r="T164" s="654">
        <v>0</v>
      </c>
      <c r="U164" s="654">
        <v>0</v>
      </c>
      <c r="V164" s="654">
        <v>-40000</v>
      </c>
      <c r="W164" s="654">
        <v>0</v>
      </c>
      <c r="X164" s="654">
        <v>0</v>
      </c>
      <c r="Y164" s="654">
        <v>1036248</v>
      </c>
      <c r="Z164" s="654">
        <v>38000</v>
      </c>
    </row>
    <row r="165" spans="1:26" x14ac:dyDescent="0.15">
      <c r="B165" t="s">
        <v>568</v>
      </c>
      <c r="C165" t="s">
        <v>474</v>
      </c>
      <c r="D165" s="654">
        <v>0</v>
      </c>
      <c r="E165" s="654">
        <v>0</v>
      </c>
      <c r="F165" s="654">
        <v>0</v>
      </c>
      <c r="G165" s="654">
        <v>0</v>
      </c>
      <c r="H165" s="654">
        <v>0</v>
      </c>
      <c r="I165" s="654">
        <v>0</v>
      </c>
      <c r="J165" s="654">
        <v>0</v>
      </c>
      <c r="K165" s="654">
        <v>983492</v>
      </c>
      <c r="L165" s="654">
        <v>0</v>
      </c>
      <c r="M165" s="654">
        <v>0</v>
      </c>
      <c r="N165" s="654">
        <v>20000</v>
      </c>
      <c r="O165" s="654">
        <v>0</v>
      </c>
      <c r="P165" s="654">
        <v>0</v>
      </c>
      <c r="Q165" s="654">
        <v>0</v>
      </c>
      <c r="R165" s="654">
        <v>0</v>
      </c>
      <c r="S165" s="654">
        <v>98000</v>
      </c>
      <c r="T165" s="654">
        <v>0</v>
      </c>
      <c r="U165" s="654">
        <v>0</v>
      </c>
      <c r="V165" s="654">
        <v>-40000</v>
      </c>
      <c r="W165" s="654">
        <v>0</v>
      </c>
      <c r="X165" s="654">
        <v>0</v>
      </c>
      <c r="Y165" s="654">
        <v>1061492</v>
      </c>
      <c r="Z165" s="654">
        <v>78000</v>
      </c>
    </row>
    <row r="166" spans="1:26" x14ac:dyDescent="0.15">
      <c r="B166" t="s">
        <v>582</v>
      </c>
      <c r="C166" t="s">
        <v>384</v>
      </c>
      <c r="D166" s="654">
        <v>0</v>
      </c>
      <c r="E166" s="654">
        <v>0</v>
      </c>
      <c r="F166" s="654">
        <v>0</v>
      </c>
      <c r="G166" s="654">
        <v>0</v>
      </c>
      <c r="H166" s="654">
        <v>0</v>
      </c>
      <c r="I166" s="654">
        <v>0</v>
      </c>
      <c r="J166" s="654">
        <v>0</v>
      </c>
      <c r="K166" s="654">
        <v>2448469</v>
      </c>
      <c r="L166" s="654">
        <v>0</v>
      </c>
      <c r="M166" s="654">
        <v>0</v>
      </c>
      <c r="N166" s="654">
        <v>0</v>
      </c>
      <c r="O166" s="654">
        <v>0</v>
      </c>
      <c r="P166" s="654">
        <v>0</v>
      </c>
      <c r="Q166" s="654">
        <v>0</v>
      </c>
      <c r="R166" s="654">
        <v>0</v>
      </c>
      <c r="S166" s="654">
        <v>400000</v>
      </c>
      <c r="T166" s="654">
        <v>0</v>
      </c>
      <c r="U166" s="654">
        <v>0</v>
      </c>
      <c r="V166" s="654">
        <v>-100000</v>
      </c>
      <c r="W166" s="654">
        <v>0</v>
      </c>
      <c r="X166" s="654">
        <v>0</v>
      </c>
      <c r="Y166" s="654">
        <v>2748469</v>
      </c>
      <c r="Z166" s="654">
        <v>300000</v>
      </c>
    </row>
    <row r="167" spans="1:26" x14ac:dyDescent="0.15">
      <c r="B167" t="s">
        <v>671</v>
      </c>
      <c r="C167" t="s">
        <v>383</v>
      </c>
      <c r="D167" s="654">
        <v>1261043</v>
      </c>
      <c r="E167" s="654">
        <v>0</v>
      </c>
      <c r="F167" s="654">
        <v>2592</v>
      </c>
      <c r="G167" s="654">
        <v>0</v>
      </c>
      <c r="H167" s="654">
        <v>0</v>
      </c>
      <c r="I167" s="654">
        <v>0</v>
      </c>
      <c r="J167" s="654">
        <v>0</v>
      </c>
      <c r="K167" s="654">
        <v>0</v>
      </c>
      <c r="L167" s="654">
        <v>0</v>
      </c>
      <c r="M167" s="654">
        <v>0</v>
      </c>
      <c r="N167" s="654">
        <v>270800</v>
      </c>
      <c r="O167" s="654">
        <v>60840</v>
      </c>
      <c r="P167" s="654">
        <v>1524400</v>
      </c>
      <c r="Q167" s="654">
        <v>0</v>
      </c>
      <c r="R167" s="654">
        <v>0</v>
      </c>
      <c r="S167" s="654">
        <v>0</v>
      </c>
      <c r="T167" s="654">
        <v>0</v>
      </c>
      <c r="U167" s="654">
        <v>0</v>
      </c>
      <c r="V167" s="654">
        <v>0</v>
      </c>
      <c r="W167" s="654">
        <v>0</v>
      </c>
      <c r="X167" s="654">
        <v>0</v>
      </c>
      <c r="Y167" s="654">
        <v>3119675</v>
      </c>
      <c r="Z167" s="654">
        <v>1856040</v>
      </c>
    </row>
    <row r="168" spans="1:26" x14ac:dyDescent="0.15">
      <c r="B168" t="s">
        <v>629</v>
      </c>
      <c r="C168" t="s">
        <v>676</v>
      </c>
      <c r="D168" s="654">
        <v>0</v>
      </c>
      <c r="E168" s="654">
        <v>0</v>
      </c>
      <c r="F168" s="654">
        <v>0</v>
      </c>
      <c r="G168" s="654">
        <v>0</v>
      </c>
      <c r="H168" s="654">
        <v>0</v>
      </c>
      <c r="I168" s="654">
        <v>3113881</v>
      </c>
      <c r="J168" s="654">
        <v>173739</v>
      </c>
      <c r="K168" s="654">
        <v>0</v>
      </c>
      <c r="L168" s="654">
        <v>0</v>
      </c>
      <c r="M168" s="654">
        <v>0</v>
      </c>
      <c r="N168" s="654">
        <v>4117</v>
      </c>
      <c r="O168" s="654">
        <v>0</v>
      </c>
      <c r="P168" s="654">
        <v>0</v>
      </c>
      <c r="Q168" s="654">
        <v>0</v>
      </c>
      <c r="R168" s="654">
        <v>0</v>
      </c>
      <c r="S168" s="654">
        <v>0</v>
      </c>
      <c r="T168" s="654">
        <v>174350</v>
      </c>
      <c r="U168" s="654">
        <v>0</v>
      </c>
      <c r="V168" s="654">
        <v>0</v>
      </c>
      <c r="W168" s="654">
        <v>0</v>
      </c>
      <c r="X168" s="654">
        <v>0</v>
      </c>
      <c r="Y168" s="654">
        <v>3292348</v>
      </c>
      <c r="Z168" s="654">
        <v>178467</v>
      </c>
    </row>
    <row r="169" spans="1:26" x14ac:dyDescent="0.15">
      <c r="A169" s="653" t="s">
        <v>632</v>
      </c>
      <c r="B169"/>
      <c r="D169" s="654">
        <v>19169237</v>
      </c>
      <c r="E169" s="654">
        <v>2206903</v>
      </c>
      <c r="F169" s="654">
        <v>3771600</v>
      </c>
      <c r="G169" s="654">
        <v>843671</v>
      </c>
      <c r="H169" s="654">
        <v>1165849</v>
      </c>
      <c r="I169" s="654">
        <v>3113881</v>
      </c>
      <c r="J169" s="654">
        <v>173739</v>
      </c>
      <c r="K169" s="654">
        <v>4430209</v>
      </c>
      <c r="L169" s="654">
        <v>292855</v>
      </c>
      <c r="M169" s="654">
        <v>0</v>
      </c>
      <c r="N169" s="654">
        <v>791349</v>
      </c>
      <c r="O169" s="654">
        <v>173187</v>
      </c>
      <c r="P169" s="654">
        <v>1567372</v>
      </c>
      <c r="Q169" s="654">
        <v>9897</v>
      </c>
      <c r="R169" s="654">
        <v>253611</v>
      </c>
      <c r="S169" s="654">
        <v>1272462</v>
      </c>
      <c r="T169" s="654">
        <v>174350</v>
      </c>
      <c r="U169" s="654">
        <v>0</v>
      </c>
      <c r="V169" s="654">
        <v>-180000</v>
      </c>
      <c r="W169" s="654">
        <v>0</v>
      </c>
      <c r="X169" s="654">
        <v>0</v>
      </c>
      <c r="Y169" s="654">
        <v>35713004</v>
      </c>
      <c r="Z169" s="654">
        <v>4062228</v>
      </c>
    </row>
    <row r="170" spans="1:26" x14ac:dyDescent="0.15">
      <c r="A170" s="653">
        <v>43101</v>
      </c>
      <c r="B170" t="s">
        <v>626</v>
      </c>
      <c r="C170" t="s">
        <v>378</v>
      </c>
      <c r="D170" s="654">
        <v>7564231</v>
      </c>
      <c r="E170" s="654">
        <v>1418859</v>
      </c>
      <c r="F170" s="654">
        <v>1381127</v>
      </c>
      <c r="G170" s="654">
        <v>297676</v>
      </c>
      <c r="H170" s="654">
        <v>767428</v>
      </c>
      <c r="I170" s="654">
        <v>0</v>
      </c>
      <c r="J170" s="654">
        <v>0</v>
      </c>
      <c r="K170" s="654">
        <v>0</v>
      </c>
      <c r="L170" s="654">
        <v>0</v>
      </c>
      <c r="M170" s="654">
        <v>0</v>
      </c>
      <c r="N170" s="654">
        <v>158897</v>
      </c>
      <c r="O170" s="654">
        <v>34334</v>
      </c>
      <c r="P170" s="654">
        <v>0</v>
      </c>
      <c r="Q170" s="654">
        <v>4875</v>
      </c>
      <c r="R170" s="654">
        <v>139965</v>
      </c>
      <c r="S170" s="654">
        <v>0</v>
      </c>
      <c r="T170" s="654">
        <v>0</v>
      </c>
      <c r="U170" s="654">
        <v>0</v>
      </c>
      <c r="V170" s="654">
        <v>0</v>
      </c>
      <c r="W170" s="654">
        <v>0</v>
      </c>
      <c r="X170" s="654">
        <v>0</v>
      </c>
      <c r="Y170" s="654">
        <v>10050857</v>
      </c>
      <c r="Z170" s="654">
        <v>338071</v>
      </c>
    </row>
    <row r="171" spans="1:26" x14ac:dyDescent="0.15">
      <c r="B171" t="s">
        <v>627</v>
      </c>
      <c r="C171" t="s">
        <v>379</v>
      </c>
      <c r="D171" s="654">
        <v>3868662</v>
      </c>
      <c r="E171" s="654">
        <v>421938</v>
      </c>
      <c r="F171" s="654">
        <v>864854</v>
      </c>
      <c r="G171" s="654">
        <v>195922</v>
      </c>
      <c r="H171" s="654">
        <v>421194</v>
      </c>
      <c r="I171" s="654">
        <v>0</v>
      </c>
      <c r="J171" s="654">
        <v>0</v>
      </c>
      <c r="K171" s="654">
        <v>0</v>
      </c>
      <c r="L171" s="654">
        <v>0</v>
      </c>
      <c r="M171" s="654">
        <v>0</v>
      </c>
      <c r="N171" s="654">
        <v>223191</v>
      </c>
      <c r="O171" s="654">
        <v>0</v>
      </c>
      <c r="P171" s="654">
        <v>0</v>
      </c>
      <c r="Q171" s="654">
        <v>1550</v>
      </c>
      <c r="R171" s="654">
        <v>110118</v>
      </c>
      <c r="S171" s="654">
        <v>0</v>
      </c>
      <c r="T171" s="654">
        <v>0</v>
      </c>
      <c r="U171" s="654">
        <v>0</v>
      </c>
      <c r="V171" s="654">
        <v>0</v>
      </c>
      <c r="W171" s="654">
        <v>0</v>
      </c>
      <c r="X171" s="654">
        <v>0</v>
      </c>
      <c r="Y171" s="654">
        <v>5489569</v>
      </c>
      <c r="Z171" s="654">
        <v>334859</v>
      </c>
    </row>
    <row r="172" spans="1:26" x14ac:dyDescent="0.15">
      <c r="B172" t="s">
        <v>628</v>
      </c>
      <c r="C172" t="s">
        <v>380</v>
      </c>
      <c r="D172" s="654">
        <v>3646839</v>
      </c>
      <c r="E172" s="654">
        <v>379228</v>
      </c>
      <c r="F172" s="654">
        <v>2279823</v>
      </c>
      <c r="G172" s="654">
        <v>524588</v>
      </c>
      <c r="H172" s="654">
        <v>0</v>
      </c>
      <c r="I172" s="654">
        <v>0</v>
      </c>
      <c r="J172" s="654">
        <v>0</v>
      </c>
      <c r="K172" s="654">
        <v>0</v>
      </c>
      <c r="L172" s="654">
        <v>0</v>
      </c>
      <c r="M172" s="654">
        <v>0</v>
      </c>
      <c r="N172" s="654">
        <v>66200</v>
      </c>
      <c r="O172" s="654">
        <v>121750</v>
      </c>
      <c r="P172" s="654">
        <v>50720</v>
      </c>
      <c r="Q172" s="654">
        <v>3030</v>
      </c>
      <c r="R172" s="654">
        <v>0</v>
      </c>
      <c r="S172" s="654">
        <v>0</v>
      </c>
      <c r="T172" s="654">
        <v>0</v>
      </c>
      <c r="U172" s="654">
        <v>0</v>
      </c>
      <c r="V172" s="654">
        <v>0</v>
      </c>
      <c r="W172" s="654">
        <v>0</v>
      </c>
      <c r="X172" s="654">
        <v>0</v>
      </c>
      <c r="Y172" s="654">
        <v>6168362</v>
      </c>
      <c r="Z172" s="654">
        <v>241700</v>
      </c>
    </row>
    <row r="173" spans="1:26" x14ac:dyDescent="0.15">
      <c r="B173" t="s">
        <v>631</v>
      </c>
      <c r="C173" t="s">
        <v>381</v>
      </c>
      <c r="D173" s="654">
        <v>2007541</v>
      </c>
      <c r="E173" s="654">
        <v>0</v>
      </c>
      <c r="F173" s="654">
        <v>0</v>
      </c>
      <c r="G173" s="654">
        <v>0</v>
      </c>
      <c r="H173" s="654">
        <v>0</v>
      </c>
      <c r="I173" s="654">
        <v>0</v>
      </c>
      <c r="J173" s="654">
        <v>0</v>
      </c>
      <c r="K173" s="654">
        <v>0</v>
      </c>
      <c r="L173" s="654">
        <v>0</v>
      </c>
      <c r="M173" s="654">
        <v>0</v>
      </c>
      <c r="N173" s="654">
        <v>0</v>
      </c>
      <c r="O173" s="654">
        <v>0</v>
      </c>
      <c r="P173" s="654">
        <v>0</v>
      </c>
      <c r="Q173" s="654">
        <v>0</v>
      </c>
      <c r="R173" s="654">
        <v>0</v>
      </c>
      <c r="S173" s="654">
        <v>609640</v>
      </c>
      <c r="T173" s="654">
        <v>0</v>
      </c>
      <c r="U173" s="654">
        <v>0</v>
      </c>
      <c r="V173" s="654">
        <v>0</v>
      </c>
      <c r="W173" s="654">
        <v>0</v>
      </c>
      <c r="X173" s="654">
        <v>0</v>
      </c>
      <c r="Y173" s="654">
        <v>2617181</v>
      </c>
      <c r="Z173" s="654">
        <v>609640</v>
      </c>
    </row>
    <row r="174" spans="1:26" x14ac:dyDescent="0.15">
      <c r="B174" t="s">
        <v>567</v>
      </c>
      <c r="C174" t="s">
        <v>473</v>
      </c>
      <c r="D174" s="654">
        <v>0</v>
      </c>
      <c r="E174" s="654">
        <v>0</v>
      </c>
      <c r="F174" s="654">
        <v>0</v>
      </c>
      <c r="G174" s="654">
        <v>0</v>
      </c>
      <c r="H174" s="654">
        <v>0</v>
      </c>
      <c r="I174" s="654">
        <v>0</v>
      </c>
      <c r="J174" s="654">
        <v>0</v>
      </c>
      <c r="K174" s="654">
        <v>778040</v>
      </c>
      <c r="L174" s="654">
        <v>271654</v>
      </c>
      <c r="M174" s="654">
        <v>0</v>
      </c>
      <c r="N174" s="654">
        <v>0</v>
      </c>
      <c r="O174" s="654">
        <v>0</v>
      </c>
      <c r="P174" s="654">
        <v>0</v>
      </c>
      <c r="Q174" s="654">
        <v>0</v>
      </c>
      <c r="R174" s="654">
        <v>0</v>
      </c>
      <c r="S174" s="654">
        <v>61000</v>
      </c>
      <c r="T174" s="654">
        <v>0</v>
      </c>
      <c r="U174" s="654">
        <v>0</v>
      </c>
      <c r="V174" s="654">
        <v>-30000</v>
      </c>
      <c r="W174" s="654">
        <v>0</v>
      </c>
      <c r="X174" s="654">
        <v>0</v>
      </c>
      <c r="Y174" s="654">
        <v>809040</v>
      </c>
      <c r="Z174" s="654">
        <v>31000</v>
      </c>
    </row>
    <row r="175" spans="1:26" x14ac:dyDescent="0.15">
      <c r="B175" t="s">
        <v>568</v>
      </c>
      <c r="C175" t="s">
        <v>474</v>
      </c>
      <c r="D175" s="654">
        <v>0</v>
      </c>
      <c r="E175" s="654">
        <v>0</v>
      </c>
      <c r="F175" s="654">
        <v>0</v>
      </c>
      <c r="G175" s="654">
        <v>0</v>
      </c>
      <c r="H175" s="654">
        <v>0</v>
      </c>
      <c r="I175" s="654">
        <v>0</v>
      </c>
      <c r="J175" s="654">
        <v>0</v>
      </c>
      <c r="K175" s="654">
        <v>938092</v>
      </c>
      <c r="L175" s="654">
        <v>0</v>
      </c>
      <c r="M175" s="654">
        <v>0</v>
      </c>
      <c r="N175" s="654">
        <v>20000</v>
      </c>
      <c r="O175" s="654">
        <v>0</v>
      </c>
      <c r="P175" s="654">
        <v>0</v>
      </c>
      <c r="Q175" s="654">
        <v>0</v>
      </c>
      <c r="R175" s="654">
        <v>0</v>
      </c>
      <c r="S175" s="654">
        <v>98000</v>
      </c>
      <c r="T175" s="654">
        <v>0</v>
      </c>
      <c r="U175" s="654">
        <v>0</v>
      </c>
      <c r="V175" s="654">
        <v>-40000</v>
      </c>
      <c r="W175" s="654">
        <v>0</v>
      </c>
      <c r="X175" s="654">
        <v>0</v>
      </c>
      <c r="Y175" s="654">
        <v>1016092</v>
      </c>
      <c r="Z175" s="654">
        <v>78000</v>
      </c>
    </row>
    <row r="176" spans="1:26" x14ac:dyDescent="0.15">
      <c r="B176" t="s">
        <v>582</v>
      </c>
      <c r="C176" t="s">
        <v>384</v>
      </c>
      <c r="D176" s="654">
        <v>0</v>
      </c>
      <c r="E176" s="654">
        <v>0</v>
      </c>
      <c r="F176" s="654">
        <v>0</v>
      </c>
      <c r="G176" s="654">
        <v>0</v>
      </c>
      <c r="H176" s="654">
        <v>0</v>
      </c>
      <c r="I176" s="654">
        <v>0</v>
      </c>
      <c r="J176" s="654">
        <v>0</v>
      </c>
      <c r="K176" s="654">
        <v>2396635</v>
      </c>
      <c r="L176" s="654">
        <v>0</v>
      </c>
      <c r="M176" s="654">
        <v>0</v>
      </c>
      <c r="N176" s="654">
        <v>0</v>
      </c>
      <c r="O176" s="654">
        <v>0</v>
      </c>
      <c r="P176" s="654">
        <v>0</v>
      </c>
      <c r="Q176" s="654">
        <v>0</v>
      </c>
      <c r="R176" s="654">
        <v>0</v>
      </c>
      <c r="S176" s="654">
        <v>400000</v>
      </c>
      <c r="T176" s="654">
        <v>0</v>
      </c>
      <c r="U176" s="654">
        <v>0</v>
      </c>
      <c r="V176" s="654">
        <v>-100000</v>
      </c>
      <c r="W176" s="654">
        <v>0</v>
      </c>
      <c r="X176" s="654">
        <v>0</v>
      </c>
      <c r="Y176" s="654">
        <v>2696635</v>
      </c>
      <c r="Z176" s="654">
        <v>300000</v>
      </c>
    </row>
    <row r="177" spans="1:26" x14ac:dyDescent="0.15">
      <c r="B177" t="s">
        <v>671</v>
      </c>
      <c r="C177" t="s">
        <v>383</v>
      </c>
      <c r="D177" s="654">
        <v>924227</v>
      </c>
      <c r="E177" s="654">
        <v>0</v>
      </c>
      <c r="F177" s="654">
        <v>23400</v>
      </c>
      <c r="G177" s="654">
        <v>0</v>
      </c>
      <c r="H177" s="654">
        <v>0</v>
      </c>
      <c r="I177" s="654">
        <v>0</v>
      </c>
      <c r="J177" s="654">
        <v>0</v>
      </c>
      <c r="K177" s="654">
        <v>0</v>
      </c>
      <c r="L177" s="654">
        <v>0</v>
      </c>
      <c r="M177" s="654">
        <v>0</v>
      </c>
      <c r="N177" s="654">
        <v>165100</v>
      </c>
      <c r="O177" s="654">
        <v>65520</v>
      </c>
      <c r="P177" s="654">
        <v>1167520</v>
      </c>
      <c r="Q177" s="654">
        <v>0</v>
      </c>
      <c r="R177" s="654">
        <v>0</v>
      </c>
      <c r="S177" s="654">
        <v>0</v>
      </c>
      <c r="T177" s="654">
        <v>0</v>
      </c>
      <c r="U177" s="654">
        <v>0</v>
      </c>
      <c r="V177" s="654">
        <v>0</v>
      </c>
      <c r="W177" s="654">
        <v>0</v>
      </c>
      <c r="X177" s="654">
        <v>0</v>
      </c>
      <c r="Y177" s="654">
        <v>2345767</v>
      </c>
      <c r="Z177" s="654">
        <v>1398140</v>
      </c>
    </row>
    <row r="178" spans="1:26" x14ac:dyDescent="0.15">
      <c r="B178" t="s">
        <v>629</v>
      </c>
      <c r="C178" t="s">
        <v>676</v>
      </c>
      <c r="D178" s="654">
        <v>0</v>
      </c>
      <c r="E178" s="654">
        <v>0</v>
      </c>
      <c r="F178" s="654">
        <v>0</v>
      </c>
      <c r="G178" s="654">
        <v>0</v>
      </c>
      <c r="H178" s="654">
        <v>0</v>
      </c>
      <c r="I178" s="654">
        <v>3134166</v>
      </c>
      <c r="J178" s="654">
        <v>174710</v>
      </c>
      <c r="K178" s="654">
        <v>0</v>
      </c>
      <c r="L178" s="654">
        <v>0</v>
      </c>
      <c r="M178" s="654">
        <v>0</v>
      </c>
      <c r="N178" s="654">
        <v>2800</v>
      </c>
      <c r="O178" s="654">
        <v>0</v>
      </c>
      <c r="P178" s="654">
        <v>0</v>
      </c>
      <c r="Q178" s="654">
        <v>0</v>
      </c>
      <c r="R178" s="654">
        <v>0</v>
      </c>
      <c r="S178" s="654">
        <v>0</v>
      </c>
      <c r="T178" s="654">
        <v>176550</v>
      </c>
      <c r="U178" s="654">
        <v>0</v>
      </c>
      <c r="V178" s="654">
        <v>0</v>
      </c>
      <c r="W178" s="654">
        <v>0</v>
      </c>
      <c r="X178" s="654">
        <v>0</v>
      </c>
      <c r="Y178" s="654">
        <v>3313516</v>
      </c>
      <c r="Z178" s="654">
        <v>179350</v>
      </c>
    </row>
    <row r="179" spans="1:26" x14ac:dyDescent="0.15">
      <c r="A179" s="653" t="s">
        <v>913</v>
      </c>
      <c r="B179"/>
      <c r="D179" s="654">
        <v>18011500</v>
      </c>
      <c r="E179" s="654">
        <v>2220025</v>
      </c>
      <c r="F179" s="654">
        <v>4549204</v>
      </c>
      <c r="G179" s="654">
        <v>1018186</v>
      </c>
      <c r="H179" s="654">
        <v>1188622</v>
      </c>
      <c r="I179" s="654">
        <v>3134166</v>
      </c>
      <c r="J179" s="654">
        <v>174710</v>
      </c>
      <c r="K179" s="654">
        <v>4112767</v>
      </c>
      <c r="L179" s="654">
        <v>271654</v>
      </c>
      <c r="M179" s="654">
        <v>0</v>
      </c>
      <c r="N179" s="654">
        <v>636188</v>
      </c>
      <c r="O179" s="654">
        <v>221604</v>
      </c>
      <c r="P179" s="654">
        <v>1218240</v>
      </c>
      <c r="Q179" s="654">
        <v>9455</v>
      </c>
      <c r="R179" s="654">
        <v>250083</v>
      </c>
      <c r="S179" s="654">
        <v>1168640</v>
      </c>
      <c r="T179" s="654">
        <v>176550</v>
      </c>
      <c r="U179" s="654">
        <v>0</v>
      </c>
      <c r="V179" s="654">
        <v>-170000</v>
      </c>
      <c r="W179" s="654">
        <v>0</v>
      </c>
      <c r="X179" s="654">
        <v>0</v>
      </c>
      <c r="Y179" s="654">
        <v>34507019</v>
      </c>
      <c r="Z179" s="654">
        <v>3510760</v>
      </c>
    </row>
    <row r="180" spans="1:26" x14ac:dyDescent="0.15">
      <c r="A180" s="653">
        <v>43132</v>
      </c>
      <c r="B180" t="s">
        <v>626</v>
      </c>
      <c r="C180" t="s">
        <v>378</v>
      </c>
      <c r="D180" s="654">
        <v>7287210</v>
      </c>
      <c r="E180" s="654">
        <v>1254602</v>
      </c>
      <c r="F180" s="654">
        <v>1260742</v>
      </c>
      <c r="G180" s="654">
        <v>261542</v>
      </c>
      <c r="H180" s="654">
        <v>762581</v>
      </c>
      <c r="I180" s="654">
        <v>0</v>
      </c>
      <c r="J180" s="654">
        <v>0</v>
      </c>
      <c r="K180" s="654">
        <v>0</v>
      </c>
      <c r="L180" s="654">
        <v>0</v>
      </c>
      <c r="M180" s="654">
        <v>0</v>
      </c>
      <c r="N180" s="654">
        <v>116400</v>
      </c>
      <c r="O180" s="654">
        <v>43132</v>
      </c>
      <c r="P180" s="654">
        <v>0</v>
      </c>
      <c r="Q180" s="654">
        <v>6782</v>
      </c>
      <c r="R180" s="654">
        <v>150480</v>
      </c>
      <c r="S180" s="654">
        <v>0</v>
      </c>
      <c r="T180" s="654">
        <v>0</v>
      </c>
      <c r="U180" s="654">
        <v>20500</v>
      </c>
      <c r="V180" s="654">
        <v>0</v>
      </c>
      <c r="W180" s="654">
        <v>0</v>
      </c>
      <c r="X180" s="654">
        <v>0</v>
      </c>
      <c r="Y180" s="654">
        <v>9647827</v>
      </c>
      <c r="Z180" s="654">
        <v>337294</v>
      </c>
    </row>
    <row r="181" spans="1:26" x14ac:dyDescent="0.15">
      <c r="B181" t="s">
        <v>627</v>
      </c>
      <c r="C181" t="s">
        <v>379</v>
      </c>
      <c r="D181" s="654">
        <v>3741771</v>
      </c>
      <c r="E181" s="654">
        <v>402033</v>
      </c>
      <c r="F181" s="654">
        <v>838386</v>
      </c>
      <c r="G181" s="654">
        <v>192839</v>
      </c>
      <c r="H181" s="654">
        <v>444863</v>
      </c>
      <c r="I181" s="654">
        <v>0</v>
      </c>
      <c r="J181" s="654">
        <v>0</v>
      </c>
      <c r="K181" s="654">
        <v>0</v>
      </c>
      <c r="L181" s="654">
        <v>0</v>
      </c>
      <c r="M181" s="654">
        <v>0</v>
      </c>
      <c r="N181" s="654">
        <v>250230</v>
      </c>
      <c r="O181" s="654">
        <v>0</v>
      </c>
      <c r="P181" s="654">
        <v>0</v>
      </c>
      <c r="Q181" s="654">
        <v>1684</v>
      </c>
      <c r="R181" s="654">
        <v>106803</v>
      </c>
      <c r="S181" s="654">
        <v>0</v>
      </c>
      <c r="T181" s="654">
        <v>0</v>
      </c>
      <c r="U181" s="654">
        <v>0</v>
      </c>
      <c r="V181" s="654">
        <v>0</v>
      </c>
      <c r="W181" s="654">
        <v>0</v>
      </c>
      <c r="X181" s="654">
        <v>0</v>
      </c>
      <c r="Y181" s="654">
        <v>5383737</v>
      </c>
      <c r="Z181" s="654">
        <v>358717</v>
      </c>
    </row>
    <row r="182" spans="1:26" x14ac:dyDescent="0.15">
      <c r="B182" t="s">
        <v>628</v>
      </c>
      <c r="C182" t="s">
        <v>380</v>
      </c>
      <c r="D182" s="654">
        <v>3674534</v>
      </c>
      <c r="E182" s="654">
        <v>388251</v>
      </c>
      <c r="F182" s="654">
        <v>1771705</v>
      </c>
      <c r="G182" s="654">
        <v>409072</v>
      </c>
      <c r="H182" s="654">
        <v>0</v>
      </c>
      <c r="I182" s="654">
        <v>0</v>
      </c>
      <c r="J182" s="654">
        <v>0</v>
      </c>
      <c r="K182" s="654">
        <v>0</v>
      </c>
      <c r="L182" s="654">
        <v>0</v>
      </c>
      <c r="M182" s="654">
        <v>0</v>
      </c>
      <c r="N182" s="654">
        <v>55600</v>
      </c>
      <c r="O182" s="654">
        <v>120530</v>
      </c>
      <c r="P182" s="654">
        <v>84252</v>
      </c>
      <c r="Q182" s="654">
        <v>3336</v>
      </c>
      <c r="R182" s="654">
        <v>0</v>
      </c>
      <c r="S182" s="654">
        <v>0</v>
      </c>
      <c r="T182" s="654">
        <v>0</v>
      </c>
      <c r="U182" s="654">
        <v>0</v>
      </c>
      <c r="V182" s="654">
        <v>0</v>
      </c>
      <c r="W182" s="654">
        <v>0</v>
      </c>
      <c r="X182" s="654">
        <v>0</v>
      </c>
      <c r="Y182" s="654">
        <v>5709957</v>
      </c>
      <c r="Z182" s="654">
        <v>263718</v>
      </c>
    </row>
    <row r="183" spans="1:26" x14ac:dyDescent="0.15">
      <c r="B183" t="s">
        <v>631</v>
      </c>
      <c r="C183" t="s">
        <v>381</v>
      </c>
      <c r="D183" s="654">
        <v>2306499</v>
      </c>
      <c r="E183" s="654">
        <v>0</v>
      </c>
      <c r="F183" s="654">
        <v>0</v>
      </c>
      <c r="G183" s="654">
        <v>0</v>
      </c>
      <c r="H183" s="654">
        <v>0</v>
      </c>
      <c r="I183" s="654">
        <v>0</v>
      </c>
      <c r="J183" s="654">
        <v>0</v>
      </c>
      <c r="K183" s="654">
        <v>0</v>
      </c>
      <c r="L183" s="654">
        <v>0</v>
      </c>
      <c r="M183" s="654">
        <v>0</v>
      </c>
      <c r="N183" s="654">
        <v>0</v>
      </c>
      <c r="O183" s="654">
        <v>0</v>
      </c>
      <c r="P183" s="654">
        <v>0</v>
      </c>
      <c r="Q183" s="654">
        <v>0</v>
      </c>
      <c r="R183" s="654">
        <v>0</v>
      </c>
      <c r="S183" s="654">
        <v>751461</v>
      </c>
      <c r="T183" s="654">
        <v>0</v>
      </c>
      <c r="U183" s="654">
        <v>0</v>
      </c>
      <c r="V183" s="654">
        <v>0</v>
      </c>
      <c r="W183" s="654">
        <v>0</v>
      </c>
      <c r="X183" s="654">
        <v>0</v>
      </c>
      <c r="Y183" s="654">
        <v>3057960</v>
      </c>
      <c r="Z183" s="654">
        <v>751461</v>
      </c>
    </row>
    <row r="184" spans="1:26" x14ac:dyDescent="0.15">
      <c r="B184" t="s">
        <v>567</v>
      </c>
      <c r="C184" t="s">
        <v>473</v>
      </c>
      <c r="D184" s="654">
        <v>0</v>
      </c>
      <c r="E184" s="654">
        <v>0</v>
      </c>
      <c r="F184" s="654">
        <v>0</v>
      </c>
      <c r="G184" s="654">
        <v>0</v>
      </c>
      <c r="H184" s="654">
        <v>0</v>
      </c>
      <c r="I184" s="654">
        <v>0</v>
      </c>
      <c r="J184" s="654">
        <v>0</v>
      </c>
      <c r="K184" s="654">
        <v>710413</v>
      </c>
      <c r="L184" s="654">
        <v>248202</v>
      </c>
      <c r="M184" s="654">
        <v>0</v>
      </c>
      <c r="N184" s="654">
        <v>0</v>
      </c>
      <c r="O184" s="654">
        <v>0</v>
      </c>
      <c r="P184" s="654">
        <v>0</v>
      </c>
      <c r="Q184" s="654">
        <v>0</v>
      </c>
      <c r="R184" s="654">
        <v>0</v>
      </c>
      <c r="S184" s="654">
        <v>61000</v>
      </c>
      <c r="T184" s="654">
        <v>0</v>
      </c>
      <c r="U184" s="654">
        <v>0</v>
      </c>
      <c r="V184" s="654">
        <v>-30000</v>
      </c>
      <c r="W184" s="654">
        <v>0</v>
      </c>
      <c r="X184" s="654">
        <v>0</v>
      </c>
      <c r="Y184" s="654">
        <v>741413</v>
      </c>
      <c r="Z184" s="654">
        <v>31000</v>
      </c>
    </row>
    <row r="185" spans="1:26" x14ac:dyDescent="0.15">
      <c r="B185" t="s">
        <v>568</v>
      </c>
      <c r="C185" t="s">
        <v>474</v>
      </c>
      <c r="D185" s="654">
        <v>0</v>
      </c>
      <c r="E185" s="654">
        <v>0</v>
      </c>
      <c r="F185" s="654">
        <v>0</v>
      </c>
      <c r="G185" s="654">
        <v>0</v>
      </c>
      <c r="H185" s="654">
        <v>0</v>
      </c>
      <c r="I185" s="654">
        <v>0</v>
      </c>
      <c r="J185" s="654">
        <v>0</v>
      </c>
      <c r="K185" s="654">
        <v>861922</v>
      </c>
      <c r="L185" s="654">
        <v>0</v>
      </c>
      <c r="M185" s="654">
        <v>0</v>
      </c>
      <c r="N185" s="654">
        <v>20000</v>
      </c>
      <c r="O185" s="654">
        <v>0</v>
      </c>
      <c r="P185" s="654">
        <v>0</v>
      </c>
      <c r="Q185" s="654">
        <v>0</v>
      </c>
      <c r="R185" s="654">
        <v>0</v>
      </c>
      <c r="S185" s="654">
        <v>98000</v>
      </c>
      <c r="T185" s="654">
        <v>0</v>
      </c>
      <c r="U185" s="654">
        <v>0</v>
      </c>
      <c r="V185" s="654">
        <v>-40000</v>
      </c>
      <c r="W185" s="654">
        <v>0</v>
      </c>
      <c r="X185" s="654">
        <v>0</v>
      </c>
      <c r="Y185" s="654">
        <v>939922</v>
      </c>
      <c r="Z185" s="654">
        <v>78000</v>
      </c>
    </row>
    <row r="186" spans="1:26" x14ac:dyDescent="0.15">
      <c r="B186" t="s">
        <v>582</v>
      </c>
      <c r="C186" t="s">
        <v>384</v>
      </c>
      <c r="D186" s="654">
        <v>0</v>
      </c>
      <c r="E186" s="654">
        <v>0</v>
      </c>
      <c r="F186" s="654">
        <v>0</v>
      </c>
      <c r="G186" s="654">
        <v>0</v>
      </c>
      <c r="H186" s="654">
        <v>0</v>
      </c>
      <c r="I186" s="654">
        <v>0</v>
      </c>
      <c r="J186" s="654">
        <v>0</v>
      </c>
      <c r="K186" s="654">
        <v>2200178</v>
      </c>
      <c r="L186" s="654">
        <v>0</v>
      </c>
      <c r="M186" s="654">
        <v>0</v>
      </c>
      <c r="N186" s="654">
        <v>0</v>
      </c>
      <c r="O186" s="654">
        <v>0</v>
      </c>
      <c r="P186" s="654">
        <v>0</v>
      </c>
      <c r="Q186" s="654">
        <v>0</v>
      </c>
      <c r="R186" s="654">
        <v>0</v>
      </c>
      <c r="S186" s="654">
        <v>400000</v>
      </c>
      <c r="T186" s="654">
        <v>0</v>
      </c>
      <c r="U186" s="654">
        <v>0</v>
      </c>
      <c r="V186" s="654">
        <v>-100000</v>
      </c>
      <c r="W186" s="654">
        <v>70141</v>
      </c>
      <c r="X186" s="654">
        <v>0</v>
      </c>
      <c r="Y186" s="654">
        <v>2570319</v>
      </c>
      <c r="Z186" s="654">
        <v>370141</v>
      </c>
    </row>
    <row r="187" spans="1:26" x14ac:dyDescent="0.15">
      <c r="B187" t="s">
        <v>671</v>
      </c>
      <c r="C187" t="s">
        <v>383</v>
      </c>
      <c r="D187" s="654">
        <v>824973</v>
      </c>
      <c r="E187" s="654">
        <v>0</v>
      </c>
      <c r="F187" s="654">
        <v>0</v>
      </c>
      <c r="G187" s="654">
        <v>0</v>
      </c>
      <c r="H187" s="654">
        <v>0</v>
      </c>
      <c r="I187" s="654">
        <v>0</v>
      </c>
      <c r="J187" s="654">
        <v>0</v>
      </c>
      <c r="K187" s="654">
        <v>0</v>
      </c>
      <c r="L187" s="654">
        <v>0</v>
      </c>
      <c r="M187" s="654">
        <v>0</v>
      </c>
      <c r="N187" s="654">
        <v>142900</v>
      </c>
      <c r="O187" s="654">
        <v>56160</v>
      </c>
      <c r="P187" s="654">
        <v>1145630</v>
      </c>
      <c r="Q187" s="654">
        <v>0</v>
      </c>
      <c r="R187" s="654">
        <v>0</v>
      </c>
      <c r="S187" s="654">
        <v>0</v>
      </c>
      <c r="T187" s="654">
        <v>0</v>
      </c>
      <c r="U187" s="654">
        <v>0</v>
      </c>
      <c r="V187" s="654">
        <v>0</v>
      </c>
      <c r="W187" s="654">
        <v>0</v>
      </c>
      <c r="X187" s="654">
        <v>0</v>
      </c>
      <c r="Y187" s="654">
        <v>2169663</v>
      </c>
      <c r="Z187" s="654">
        <v>1344690</v>
      </c>
    </row>
    <row r="188" spans="1:26" x14ac:dyDescent="0.15">
      <c r="B188" t="s">
        <v>629</v>
      </c>
      <c r="C188" t="s">
        <v>676</v>
      </c>
      <c r="D188" s="654">
        <v>0</v>
      </c>
      <c r="E188" s="654">
        <v>0</v>
      </c>
      <c r="F188" s="654">
        <v>0</v>
      </c>
      <c r="G188" s="654">
        <v>0</v>
      </c>
      <c r="H188" s="654">
        <v>0</v>
      </c>
      <c r="I188" s="654">
        <v>3319139</v>
      </c>
      <c r="J188" s="654">
        <v>184869</v>
      </c>
      <c r="K188" s="654">
        <v>0</v>
      </c>
      <c r="L188" s="654">
        <v>0</v>
      </c>
      <c r="M188" s="654">
        <v>0</v>
      </c>
      <c r="N188" s="654">
        <v>0</v>
      </c>
      <c r="O188" s="654">
        <v>0</v>
      </c>
      <c r="P188" s="654">
        <v>0</v>
      </c>
      <c r="Q188" s="654">
        <v>0</v>
      </c>
      <c r="R188" s="654">
        <v>0</v>
      </c>
      <c r="S188" s="654">
        <v>0</v>
      </c>
      <c r="T188" s="654">
        <v>178200</v>
      </c>
      <c r="U188" s="654">
        <v>0</v>
      </c>
      <c r="V188" s="654">
        <v>0</v>
      </c>
      <c r="W188" s="654">
        <v>0</v>
      </c>
      <c r="X188" s="654">
        <v>0</v>
      </c>
      <c r="Y188" s="654">
        <v>3497339</v>
      </c>
      <c r="Z188" s="654">
        <v>178200</v>
      </c>
    </row>
    <row r="189" spans="1:26" x14ac:dyDescent="0.15">
      <c r="A189" s="653" t="s">
        <v>933</v>
      </c>
      <c r="B189"/>
      <c r="D189" s="654">
        <v>17834987</v>
      </c>
      <c r="E189" s="654">
        <v>2044886</v>
      </c>
      <c r="F189" s="654">
        <v>3870833</v>
      </c>
      <c r="G189" s="654">
        <v>863453</v>
      </c>
      <c r="H189" s="654">
        <v>1207444</v>
      </c>
      <c r="I189" s="654">
        <v>3319139</v>
      </c>
      <c r="J189" s="654">
        <v>184869</v>
      </c>
      <c r="K189" s="654">
        <v>3772513</v>
      </c>
      <c r="L189" s="654">
        <v>248202</v>
      </c>
      <c r="M189" s="654">
        <v>0</v>
      </c>
      <c r="N189" s="654">
        <v>585130</v>
      </c>
      <c r="O189" s="654">
        <v>219822</v>
      </c>
      <c r="P189" s="654">
        <v>1229882</v>
      </c>
      <c r="Q189" s="654">
        <v>11802</v>
      </c>
      <c r="R189" s="654">
        <v>257283</v>
      </c>
      <c r="S189" s="654">
        <v>1310461</v>
      </c>
      <c r="T189" s="654">
        <v>178200</v>
      </c>
      <c r="U189" s="654">
        <v>20500</v>
      </c>
      <c r="V189" s="654">
        <v>-170000</v>
      </c>
      <c r="W189" s="654">
        <v>70141</v>
      </c>
      <c r="X189" s="654">
        <v>0</v>
      </c>
      <c r="Y189" s="654">
        <v>33718137</v>
      </c>
      <c r="Z189" s="654">
        <v>3713221</v>
      </c>
    </row>
    <row r="190" spans="1:26" x14ac:dyDescent="0.15">
      <c r="A190" s="653">
        <v>43160</v>
      </c>
      <c r="B190" t="s">
        <v>626</v>
      </c>
      <c r="C190" t="s">
        <v>378</v>
      </c>
      <c r="D190" s="654">
        <v>7739710</v>
      </c>
      <c r="E190" s="654">
        <v>1292025</v>
      </c>
      <c r="F190" s="654">
        <v>1269395</v>
      </c>
      <c r="G190" s="654">
        <v>269529</v>
      </c>
      <c r="H190" s="654">
        <v>741802</v>
      </c>
      <c r="I190" s="654">
        <v>0</v>
      </c>
      <c r="J190" s="654">
        <v>0</v>
      </c>
      <c r="K190" s="654">
        <v>0</v>
      </c>
      <c r="L190" s="654">
        <v>0</v>
      </c>
      <c r="M190" s="654">
        <v>0</v>
      </c>
      <c r="N190" s="654">
        <v>256891</v>
      </c>
      <c r="O190" s="654">
        <v>43375</v>
      </c>
      <c r="P190" s="654">
        <v>0</v>
      </c>
      <c r="Q190" s="654">
        <v>4928</v>
      </c>
      <c r="R190" s="654">
        <v>144480</v>
      </c>
      <c r="S190" s="654">
        <v>0</v>
      </c>
      <c r="T190" s="654">
        <v>0</v>
      </c>
      <c r="U190" s="654">
        <v>37000</v>
      </c>
      <c r="V190" s="654">
        <v>0</v>
      </c>
      <c r="W190" s="654">
        <v>0</v>
      </c>
      <c r="X190" s="654">
        <v>0</v>
      </c>
      <c r="Y190" s="654">
        <v>10237581</v>
      </c>
      <c r="Z190" s="654">
        <v>486674</v>
      </c>
    </row>
    <row r="191" spans="1:26" x14ac:dyDescent="0.15">
      <c r="B191" t="s">
        <v>627</v>
      </c>
      <c r="C191" t="s">
        <v>379</v>
      </c>
      <c r="D191" s="654">
        <v>3545925</v>
      </c>
      <c r="E191" s="654">
        <v>520816</v>
      </c>
      <c r="F191" s="654">
        <v>900769</v>
      </c>
      <c r="G191" s="654">
        <v>208652</v>
      </c>
      <c r="H191" s="654">
        <v>483204</v>
      </c>
      <c r="I191" s="654">
        <v>0</v>
      </c>
      <c r="J191" s="654">
        <v>0</v>
      </c>
      <c r="K191" s="654">
        <v>0</v>
      </c>
      <c r="L191" s="654">
        <v>0</v>
      </c>
      <c r="M191" s="654">
        <v>0</v>
      </c>
      <c r="N191" s="654">
        <v>351148</v>
      </c>
      <c r="O191" s="654">
        <v>0</v>
      </c>
      <c r="P191" s="654">
        <v>0</v>
      </c>
      <c r="Q191" s="654">
        <v>1839</v>
      </c>
      <c r="R191" s="654">
        <v>102552</v>
      </c>
      <c r="S191" s="654">
        <v>0</v>
      </c>
      <c r="T191" s="654">
        <v>0</v>
      </c>
      <c r="U191" s="654">
        <v>0</v>
      </c>
      <c r="V191" s="654">
        <v>0</v>
      </c>
      <c r="W191" s="654">
        <v>0</v>
      </c>
      <c r="X191" s="654">
        <v>0</v>
      </c>
      <c r="Y191" s="654">
        <v>5385437</v>
      </c>
      <c r="Z191" s="654">
        <v>455539</v>
      </c>
    </row>
    <row r="192" spans="1:26" x14ac:dyDescent="0.15">
      <c r="B192" t="s">
        <v>628</v>
      </c>
      <c r="C192" t="s">
        <v>380</v>
      </c>
      <c r="D192" s="654">
        <v>3915953</v>
      </c>
      <c r="E192" s="654">
        <v>404767</v>
      </c>
      <c r="F192" s="654">
        <v>1624154</v>
      </c>
      <c r="G192" s="654">
        <v>377692</v>
      </c>
      <c r="H192" s="654">
        <v>0</v>
      </c>
      <c r="I192" s="654">
        <v>0</v>
      </c>
      <c r="J192" s="654">
        <v>0</v>
      </c>
      <c r="K192" s="654">
        <v>0</v>
      </c>
      <c r="L192" s="654">
        <v>0</v>
      </c>
      <c r="M192" s="654">
        <v>0</v>
      </c>
      <c r="N192" s="654">
        <v>82704</v>
      </c>
      <c r="O192" s="654">
        <v>117311</v>
      </c>
      <c r="P192" s="654">
        <v>49220</v>
      </c>
      <c r="Q192" s="654">
        <v>3902</v>
      </c>
      <c r="R192" s="654">
        <v>0</v>
      </c>
      <c r="S192" s="654">
        <v>0</v>
      </c>
      <c r="T192" s="654">
        <v>0</v>
      </c>
      <c r="U192" s="654">
        <v>0</v>
      </c>
      <c r="V192" s="654">
        <v>0</v>
      </c>
      <c r="W192" s="654">
        <v>0</v>
      </c>
      <c r="X192" s="654">
        <v>0</v>
      </c>
      <c r="Y192" s="654">
        <v>5793244</v>
      </c>
      <c r="Z192" s="654">
        <v>253137</v>
      </c>
    </row>
    <row r="193" spans="1:26" x14ac:dyDescent="0.15">
      <c r="B193" t="s">
        <v>631</v>
      </c>
      <c r="C193" t="s">
        <v>381</v>
      </c>
      <c r="D193" s="654">
        <v>2198815</v>
      </c>
      <c r="E193" s="654">
        <v>0</v>
      </c>
      <c r="F193" s="654">
        <v>0</v>
      </c>
      <c r="G193" s="654">
        <v>0</v>
      </c>
      <c r="H193" s="654">
        <v>0</v>
      </c>
      <c r="I193" s="654">
        <v>0</v>
      </c>
      <c r="J193" s="654">
        <v>0</v>
      </c>
      <c r="K193" s="654">
        <v>0</v>
      </c>
      <c r="L193" s="654">
        <v>0</v>
      </c>
      <c r="M193" s="654">
        <v>0</v>
      </c>
      <c r="N193" s="654">
        <v>0</v>
      </c>
      <c r="O193" s="654">
        <v>0</v>
      </c>
      <c r="P193" s="654">
        <v>0</v>
      </c>
      <c r="Q193" s="654">
        <v>0</v>
      </c>
      <c r="R193" s="654">
        <v>0</v>
      </c>
      <c r="S193" s="654">
        <v>858082</v>
      </c>
      <c r="T193" s="654">
        <v>0</v>
      </c>
      <c r="U193" s="654">
        <v>0</v>
      </c>
      <c r="V193" s="654">
        <v>0</v>
      </c>
      <c r="W193" s="654">
        <v>0</v>
      </c>
      <c r="X193" s="654">
        <v>0</v>
      </c>
      <c r="Y193" s="654">
        <v>3056897</v>
      </c>
      <c r="Z193" s="654">
        <v>858082</v>
      </c>
    </row>
    <row r="194" spans="1:26" x14ac:dyDescent="0.15">
      <c r="B194" t="s">
        <v>567</v>
      </c>
      <c r="C194" t="s">
        <v>473</v>
      </c>
      <c r="D194" s="654">
        <v>0</v>
      </c>
      <c r="E194" s="654">
        <v>0</v>
      </c>
      <c r="F194" s="654">
        <v>0</v>
      </c>
      <c r="G194" s="654">
        <v>0</v>
      </c>
      <c r="H194" s="654">
        <v>0</v>
      </c>
      <c r="I194" s="654">
        <v>0</v>
      </c>
      <c r="J194" s="654">
        <v>0</v>
      </c>
      <c r="K194" s="654">
        <v>789390</v>
      </c>
      <c r="L194" s="654">
        <v>268227</v>
      </c>
      <c r="M194" s="654">
        <v>0</v>
      </c>
      <c r="N194" s="654">
        <v>0</v>
      </c>
      <c r="O194" s="654">
        <v>0</v>
      </c>
      <c r="P194" s="654">
        <v>0</v>
      </c>
      <c r="Q194" s="654">
        <v>0</v>
      </c>
      <c r="R194" s="654">
        <v>0</v>
      </c>
      <c r="S194" s="654">
        <v>61000</v>
      </c>
      <c r="T194" s="654">
        <v>0</v>
      </c>
      <c r="U194" s="654">
        <v>0</v>
      </c>
      <c r="V194" s="654">
        <v>-30000</v>
      </c>
      <c r="W194" s="654">
        <v>0</v>
      </c>
      <c r="X194" s="654">
        <v>0</v>
      </c>
      <c r="Y194" s="654">
        <v>820390</v>
      </c>
      <c r="Z194" s="654">
        <v>31000</v>
      </c>
    </row>
    <row r="195" spans="1:26" x14ac:dyDescent="0.15">
      <c r="B195" t="s">
        <v>568</v>
      </c>
      <c r="C195" t="s">
        <v>474</v>
      </c>
      <c r="D195" s="654">
        <v>0</v>
      </c>
      <c r="E195" s="654">
        <v>0</v>
      </c>
      <c r="F195" s="654">
        <v>0</v>
      </c>
      <c r="G195" s="654">
        <v>0</v>
      </c>
      <c r="H195" s="654">
        <v>0</v>
      </c>
      <c r="I195" s="654">
        <v>0</v>
      </c>
      <c r="J195" s="654">
        <v>0</v>
      </c>
      <c r="K195" s="654">
        <v>847336</v>
      </c>
      <c r="L195" s="654">
        <v>0</v>
      </c>
      <c r="M195" s="654">
        <v>0</v>
      </c>
      <c r="N195" s="654">
        <v>20000</v>
      </c>
      <c r="O195" s="654">
        <v>0</v>
      </c>
      <c r="P195" s="654">
        <v>0</v>
      </c>
      <c r="Q195" s="654">
        <v>0</v>
      </c>
      <c r="R195" s="654">
        <v>0</v>
      </c>
      <c r="S195" s="654">
        <v>98000</v>
      </c>
      <c r="T195" s="654">
        <v>0</v>
      </c>
      <c r="U195" s="654">
        <v>0</v>
      </c>
      <c r="V195" s="654">
        <v>-40000</v>
      </c>
      <c r="W195" s="654">
        <v>280500</v>
      </c>
      <c r="X195" s="654">
        <v>0</v>
      </c>
      <c r="Y195" s="654">
        <v>1205836</v>
      </c>
      <c r="Z195" s="654">
        <v>358500</v>
      </c>
    </row>
    <row r="196" spans="1:26" x14ac:dyDescent="0.15">
      <c r="B196" t="s">
        <v>582</v>
      </c>
      <c r="C196" t="s">
        <v>384</v>
      </c>
      <c r="D196" s="654">
        <v>0</v>
      </c>
      <c r="E196" s="654">
        <v>0</v>
      </c>
      <c r="F196" s="654">
        <v>0</v>
      </c>
      <c r="G196" s="654">
        <v>0</v>
      </c>
      <c r="H196" s="654">
        <v>0</v>
      </c>
      <c r="I196" s="654">
        <v>0</v>
      </c>
      <c r="J196" s="654">
        <v>0</v>
      </c>
      <c r="K196" s="654">
        <v>2426031</v>
      </c>
      <c r="L196" s="654">
        <v>0</v>
      </c>
      <c r="M196" s="654">
        <v>0</v>
      </c>
      <c r="N196" s="654">
        <v>0</v>
      </c>
      <c r="O196" s="654">
        <v>0</v>
      </c>
      <c r="P196" s="654">
        <v>0</v>
      </c>
      <c r="Q196" s="654">
        <v>0</v>
      </c>
      <c r="R196" s="654">
        <v>0</v>
      </c>
      <c r="S196" s="654">
        <v>400000</v>
      </c>
      <c r="T196" s="654">
        <v>0</v>
      </c>
      <c r="U196" s="654">
        <v>0</v>
      </c>
      <c r="V196" s="654">
        <v>-100000</v>
      </c>
      <c r="W196" s="654">
        <v>93500</v>
      </c>
      <c r="X196" s="654">
        <v>0</v>
      </c>
      <c r="Y196" s="654">
        <v>2819531</v>
      </c>
      <c r="Z196" s="654">
        <v>393500</v>
      </c>
    </row>
    <row r="197" spans="1:26" x14ac:dyDescent="0.15">
      <c r="B197" t="s">
        <v>671</v>
      </c>
      <c r="C197" t="s">
        <v>383</v>
      </c>
      <c r="D197" s="654">
        <v>784840</v>
      </c>
      <c r="E197" s="654">
        <v>0</v>
      </c>
      <c r="F197" s="654">
        <v>41560</v>
      </c>
      <c r="G197" s="654">
        <v>0</v>
      </c>
      <c r="H197" s="654">
        <v>0</v>
      </c>
      <c r="I197" s="654">
        <v>0</v>
      </c>
      <c r="J197" s="654">
        <v>0</v>
      </c>
      <c r="K197" s="654">
        <v>0</v>
      </c>
      <c r="L197" s="654">
        <v>0</v>
      </c>
      <c r="M197" s="654">
        <v>0</v>
      </c>
      <c r="N197" s="654">
        <v>155500</v>
      </c>
      <c r="O197" s="654">
        <v>60840</v>
      </c>
      <c r="P197" s="654">
        <v>1213818</v>
      </c>
      <c r="Q197" s="654">
        <v>0</v>
      </c>
      <c r="R197" s="654">
        <v>0</v>
      </c>
      <c r="S197" s="654">
        <v>0</v>
      </c>
      <c r="T197" s="654">
        <v>0</v>
      </c>
      <c r="U197" s="654">
        <v>0</v>
      </c>
      <c r="V197" s="654">
        <v>0</v>
      </c>
      <c r="W197" s="654">
        <v>0</v>
      </c>
      <c r="X197" s="654">
        <v>0</v>
      </c>
      <c r="Y197" s="654">
        <v>2256558</v>
      </c>
      <c r="Z197" s="654">
        <v>1430158</v>
      </c>
    </row>
    <row r="198" spans="1:26" x14ac:dyDescent="0.15">
      <c r="B198" t="s">
        <v>629</v>
      </c>
      <c r="C198" t="s">
        <v>676</v>
      </c>
      <c r="D198" s="654">
        <v>0</v>
      </c>
      <c r="E198" s="654">
        <v>0</v>
      </c>
      <c r="F198" s="654">
        <v>0</v>
      </c>
      <c r="G198" s="654">
        <v>0</v>
      </c>
      <c r="H198" s="654">
        <v>0</v>
      </c>
      <c r="I198" s="654">
        <v>3245270</v>
      </c>
      <c r="J198" s="654">
        <v>186659</v>
      </c>
      <c r="K198" s="654">
        <v>0</v>
      </c>
      <c r="L198" s="654">
        <v>0</v>
      </c>
      <c r="M198" s="654">
        <v>0</v>
      </c>
      <c r="N198" s="654">
        <v>8203</v>
      </c>
      <c r="O198" s="654">
        <v>0</v>
      </c>
      <c r="P198" s="654">
        <v>0</v>
      </c>
      <c r="Q198" s="654">
        <v>0</v>
      </c>
      <c r="R198" s="654">
        <v>0</v>
      </c>
      <c r="S198" s="654">
        <v>0</v>
      </c>
      <c r="T198" s="654">
        <v>205150</v>
      </c>
      <c r="U198" s="654">
        <v>0</v>
      </c>
      <c r="V198" s="654">
        <v>0</v>
      </c>
      <c r="W198" s="654">
        <v>0</v>
      </c>
      <c r="X198" s="654">
        <v>0</v>
      </c>
      <c r="Y198" s="654">
        <v>3458623</v>
      </c>
      <c r="Z198" s="654">
        <v>213353</v>
      </c>
    </row>
    <row r="199" spans="1:26" x14ac:dyDescent="0.15">
      <c r="A199" s="653" t="s">
        <v>963</v>
      </c>
      <c r="B199"/>
      <c r="D199" s="654">
        <v>18185243</v>
      </c>
      <c r="E199" s="654">
        <v>2217608</v>
      </c>
      <c r="F199" s="654">
        <v>3835878</v>
      </c>
      <c r="G199" s="654">
        <v>855873</v>
      </c>
      <c r="H199" s="654">
        <v>1225006</v>
      </c>
      <c r="I199" s="654">
        <v>3245270</v>
      </c>
      <c r="J199" s="654">
        <v>186659</v>
      </c>
      <c r="K199" s="654">
        <v>4062757</v>
      </c>
      <c r="L199" s="654">
        <v>268227</v>
      </c>
      <c r="M199" s="654">
        <v>0</v>
      </c>
      <c r="N199" s="654">
        <v>874446</v>
      </c>
      <c r="O199" s="654">
        <v>221526</v>
      </c>
      <c r="P199" s="654">
        <v>1263038</v>
      </c>
      <c r="Q199" s="654">
        <v>10669</v>
      </c>
      <c r="R199" s="654">
        <v>247032</v>
      </c>
      <c r="S199" s="654">
        <v>1417082</v>
      </c>
      <c r="T199" s="654">
        <v>205150</v>
      </c>
      <c r="U199" s="654">
        <v>37000</v>
      </c>
      <c r="V199" s="654">
        <v>-170000</v>
      </c>
      <c r="W199" s="654">
        <v>374000</v>
      </c>
      <c r="X199" s="654">
        <v>0</v>
      </c>
      <c r="Y199" s="654">
        <v>35034097</v>
      </c>
      <c r="Z199" s="654">
        <v>4479943</v>
      </c>
    </row>
    <row r="200" spans="1:26" x14ac:dyDescent="0.15">
      <c r="A200" s="653">
        <v>43191</v>
      </c>
      <c r="B200" t="s">
        <v>626</v>
      </c>
      <c r="C200" t="s">
        <v>378</v>
      </c>
      <c r="D200" s="654">
        <v>8138305</v>
      </c>
      <c r="E200" s="654">
        <v>1369946</v>
      </c>
      <c r="F200" s="654">
        <v>1048428</v>
      </c>
      <c r="G200" s="654">
        <v>231734</v>
      </c>
      <c r="H200" s="654">
        <v>684712</v>
      </c>
      <c r="I200" s="654">
        <v>0</v>
      </c>
      <c r="J200" s="654">
        <v>0</v>
      </c>
      <c r="K200" s="654">
        <v>0</v>
      </c>
      <c r="L200" s="654">
        <v>0</v>
      </c>
      <c r="M200" s="654">
        <v>0</v>
      </c>
      <c r="N200" s="654">
        <v>213759</v>
      </c>
      <c r="O200" s="654">
        <v>52575</v>
      </c>
      <c r="P200" s="654">
        <v>0</v>
      </c>
      <c r="Q200" s="654">
        <v>2510</v>
      </c>
      <c r="R200" s="654">
        <v>127905</v>
      </c>
      <c r="S200" s="654">
        <v>0</v>
      </c>
      <c r="T200" s="654">
        <v>0</v>
      </c>
      <c r="U200" s="654">
        <v>33000</v>
      </c>
      <c r="V200" s="654">
        <v>0</v>
      </c>
      <c r="W200" s="654">
        <v>0</v>
      </c>
      <c r="X200" s="654">
        <v>0</v>
      </c>
      <c r="Y200" s="654">
        <v>10301194</v>
      </c>
      <c r="Z200" s="654">
        <v>429749</v>
      </c>
    </row>
    <row r="201" spans="1:26" x14ac:dyDescent="0.15">
      <c r="B201" t="s">
        <v>627</v>
      </c>
      <c r="C201" t="s">
        <v>379</v>
      </c>
      <c r="D201" s="654">
        <v>5905117</v>
      </c>
      <c r="E201" s="654">
        <v>580162</v>
      </c>
      <c r="F201" s="654">
        <v>886445</v>
      </c>
      <c r="G201" s="654">
        <v>205308</v>
      </c>
      <c r="H201" s="654">
        <v>440722</v>
      </c>
      <c r="I201" s="654">
        <v>0</v>
      </c>
      <c r="J201" s="654">
        <v>0</v>
      </c>
      <c r="K201" s="654">
        <v>0</v>
      </c>
      <c r="L201" s="654">
        <v>0</v>
      </c>
      <c r="M201" s="654">
        <v>0</v>
      </c>
      <c r="N201" s="654">
        <v>383012</v>
      </c>
      <c r="O201" s="654">
        <v>0</v>
      </c>
      <c r="P201" s="654">
        <v>0</v>
      </c>
      <c r="Q201" s="654">
        <v>4440</v>
      </c>
      <c r="R201" s="654">
        <v>109854</v>
      </c>
      <c r="S201" s="654">
        <v>0</v>
      </c>
      <c r="T201" s="654">
        <v>0</v>
      </c>
      <c r="U201" s="654">
        <v>0</v>
      </c>
      <c r="V201" s="654">
        <v>0</v>
      </c>
      <c r="W201" s="654">
        <v>0</v>
      </c>
      <c r="X201" s="654">
        <v>0</v>
      </c>
      <c r="Y201" s="654">
        <v>7729590</v>
      </c>
      <c r="Z201" s="654">
        <v>497306</v>
      </c>
    </row>
    <row r="202" spans="1:26" x14ac:dyDescent="0.15">
      <c r="B202" t="s">
        <v>628</v>
      </c>
      <c r="C202" t="s">
        <v>380</v>
      </c>
      <c r="D202" s="654">
        <v>4590836</v>
      </c>
      <c r="E202" s="654">
        <v>494085</v>
      </c>
      <c r="F202" s="654">
        <v>1840771</v>
      </c>
      <c r="G202" s="654">
        <v>428061</v>
      </c>
      <c r="H202" s="654">
        <v>0</v>
      </c>
      <c r="I202" s="654">
        <v>0</v>
      </c>
      <c r="J202" s="654">
        <v>0</v>
      </c>
      <c r="K202" s="654">
        <v>0</v>
      </c>
      <c r="L202" s="654">
        <v>0</v>
      </c>
      <c r="M202" s="654">
        <v>0</v>
      </c>
      <c r="N202" s="654">
        <v>60903</v>
      </c>
      <c r="O202" s="654">
        <v>31070</v>
      </c>
      <c r="P202" s="654">
        <v>60960</v>
      </c>
      <c r="Q202" s="654">
        <v>3288</v>
      </c>
      <c r="R202" s="654">
        <v>0</v>
      </c>
      <c r="S202" s="654">
        <v>0</v>
      </c>
      <c r="T202" s="654">
        <v>0</v>
      </c>
      <c r="U202" s="654">
        <v>0</v>
      </c>
      <c r="V202" s="654">
        <v>0</v>
      </c>
      <c r="W202" s="654">
        <v>0</v>
      </c>
      <c r="X202" s="654">
        <v>0</v>
      </c>
      <c r="Y202" s="654">
        <v>6587828</v>
      </c>
      <c r="Z202" s="654">
        <v>156221</v>
      </c>
    </row>
    <row r="203" spans="1:26" x14ac:dyDescent="0.15">
      <c r="B203" t="s">
        <v>631</v>
      </c>
      <c r="C203" t="s">
        <v>381</v>
      </c>
      <c r="D203" s="654">
        <v>2390194</v>
      </c>
      <c r="E203" s="654">
        <v>0</v>
      </c>
      <c r="F203" s="654">
        <v>0</v>
      </c>
      <c r="G203" s="654">
        <v>0</v>
      </c>
      <c r="H203" s="654">
        <v>0</v>
      </c>
      <c r="I203" s="654">
        <v>0</v>
      </c>
      <c r="J203" s="654">
        <v>0</v>
      </c>
      <c r="K203" s="654">
        <v>0</v>
      </c>
      <c r="L203" s="654">
        <v>0</v>
      </c>
      <c r="M203" s="654">
        <v>0</v>
      </c>
      <c r="N203" s="654">
        <v>2400</v>
      </c>
      <c r="O203" s="654">
        <v>0</v>
      </c>
      <c r="P203" s="654">
        <v>0</v>
      </c>
      <c r="Q203" s="654">
        <v>0</v>
      </c>
      <c r="R203" s="654">
        <v>0</v>
      </c>
      <c r="S203" s="654">
        <v>791120</v>
      </c>
      <c r="T203" s="654">
        <v>0</v>
      </c>
      <c r="U203" s="654">
        <v>0</v>
      </c>
      <c r="V203" s="654">
        <v>0</v>
      </c>
      <c r="W203" s="654">
        <v>0</v>
      </c>
      <c r="X203" s="654">
        <v>0</v>
      </c>
      <c r="Y203" s="654">
        <v>3183714</v>
      </c>
      <c r="Z203" s="654">
        <v>793520</v>
      </c>
    </row>
    <row r="204" spans="1:26" x14ac:dyDescent="0.15">
      <c r="B204" t="s">
        <v>567</v>
      </c>
      <c r="C204" t="s">
        <v>473</v>
      </c>
      <c r="D204" s="654">
        <v>0</v>
      </c>
      <c r="E204" s="654">
        <v>0</v>
      </c>
      <c r="F204" s="654">
        <v>0</v>
      </c>
      <c r="G204" s="654">
        <v>0</v>
      </c>
      <c r="H204" s="654">
        <v>0</v>
      </c>
      <c r="I204" s="654">
        <v>0</v>
      </c>
      <c r="J204" s="654">
        <v>0</v>
      </c>
      <c r="K204" s="654">
        <v>777456</v>
      </c>
      <c r="L204" s="654">
        <v>273762</v>
      </c>
      <c r="M204" s="654">
        <v>0</v>
      </c>
      <c r="N204" s="654">
        <v>0</v>
      </c>
      <c r="O204" s="654">
        <v>0</v>
      </c>
      <c r="P204" s="654">
        <v>0</v>
      </c>
      <c r="Q204" s="654">
        <v>0</v>
      </c>
      <c r="R204" s="654">
        <v>0</v>
      </c>
      <c r="S204" s="654">
        <v>61000</v>
      </c>
      <c r="T204" s="654">
        <v>0</v>
      </c>
      <c r="U204" s="654">
        <v>0</v>
      </c>
      <c r="V204" s="654">
        <v>-30000</v>
      </c>
      <c r="W204" s="654">
        <v>51304</v>
      </c>
      <c r="X204" s="654">
        <v>0</v>
      </c>
      <c r="Y204" s="654">
        <v>859760</v>
      </c>
      <c r="Z204" s="654">
        <v>82304</v>
      </c>
    </row>
    <row r="205" spans="1:26" x14ac:dyDescent="0.15">
      <c r="B205" t="s">
        <v>568</v>
      </c>
      <c r="C205" t="s">
        <v>474</v>
      </c>
      <c r="D205" s="654">
        <v>0</v>
      </c>
      <c r="E205" s="654">
        <v>0</v>
      </c>
      <c r="F205" s="654">
        <v>0</v>
      </c>
      <c r="G205" s="654">
        <v>0</v>
      </c>
      <c r="H205" s="654">
        <v>0</v>
      </c>
      <c r="I205" s="654">
        <v>0</v>
      </c>
      <c r="J205" s="654">
        <v>0</v>
      </c>
      <c r="K205" s="654">
        <v>960460</v>
      </c>
      <c r="L205" s="654">
        <v>0</v>
      </c>
      <c r="M205" s="654">
        <v>0</v>
      </c>
      <c r="N205" s="654">
        <v>20000</v>
      </c>
      <c r="O205" s="654">
        <v>0</v>
      </c>
      <c r="P205" s="654">
        <v>0</v>
      </c>
      <c r="Q205" s="654">
        <v>0</v>
      </c>
      <c r="R205" s="654">
        <v>0</v>
      </c>
      <c r="S205" s="654">
        <v>98000</v>
      </c>
      <c r="T205" s="654">
        <v>0</v>
      </c>
      <c r="U205" s="654">
        <v>0</v>
      </c>
      <c r="V205" s="654">
        <v>-40000</v>
      </c>
      <c r="W205" s="654">
        <v>0</v>
      </c>
      <c r="X205" s="654">
        <v>0</v>
      </c>
      <c r="Y205" s="654">
        <v>1038460</v>
      </c>
      <c r="Z205" s="654">
        <v>78000</v>
      </c>
    </row>
    <row r="206" spans="1:26" x14ac:dyDescent="0.15">
      <c r="B206" t="s">
        <v>582</v>
      </c>
      <c r="C206" t="s">
        <v>384</v>
      </c>
      <c r="D206" s="654">
        <v>0</v>
      </c>
      <c r="E206" s="654">
        <v>0</v>
      </c>
      <c r="F206" s="654">
        <v>0</v>
      </c>
      <c r="G206" s="654">
        <v>0</v>
      </c>
      <c r="H206" s="654">
        <v>0</v>
      </c>
      <c r="I206" s="654">
        <v>0</v>
      </c>
      <c r="J206" s="654">
        <v>0</v>
      </c>
      <c r="K206" s="654">
        <v>2405342</v>
      </c>
      <c r="L206" s="654">
        <v>0</v>
      </c>
      <c r="M206" s="654">
        <v>0</v>
      </c>
      <c r="N206" s="654">
        <v>0</v>
      </c>
      <c r="O206" s="654">
        <v>0</v>
      </c>
      <c r="P206" s="654">
        <v>0</v>
      </c>
      <c r="Q206" s="654">
        <v>0</v>
      </c>
      <c r="R206" s="654">
        <v>0</v>
      </c>
      <c r="S206" s="654">
        <v>400000</v>
      </c>
      <c r="T206" s="654">
        <v>0</v>
      </c>
      <c r="U206" s="654">
        <v>0</v>
      </c>
      <c r="V206" s="654">
        <v>-100000</v>
      </c>
      <c r="W206" s="654">
        <v>48890</v>
      </c>
      <c r="X206" s="654">
        <v>0</v>
      </c>
      <c r="Y206" s="654">
        <v>2754232</v>
      </c>
      <c r="Z206" s="654">
        <v>348890</v>
      </c>
    </row>
    <row r="207" spans="1:26" x14ac:dyDescent="0.15">
      <c r="B207" t="s">
        <v>671</v>
      </c>
      <c r="C207" t="s">
        <v>383</v>
      </c>
      <c r="D207" s="654">
        <v>823704</v>
      </c>
      <c r="E207" s="654">
        <v>0</v>
      </c>
      <c r="F207" s="654">
        <v>89035</v>
      </c>
      <c r="G207" s="654">
        <v>0</v>
      </c>
      <c r="H207" s="654">
        <v>0</v>
      </c>
      <c r="I207" s="654">
        <v>0</v>
      </c>
      <c r="J207" s="654">
        <v>0</v>
      </c>
      <c r="K207" s="654">
        <v>0</v>
      </c>
      <c r="L207" s="654">
        <v>0</v>
      </c>
      <c r="M207" s="654">
        <v>0</v>
      </c>
      <c r="N207" s="654">
        <v>97200</v>
      </c>
      <c r="O207" s="654">
        <v>60840</v>
      </c>
      <c r="P207" s="654">
        <v>890170</v>
      </c>
      <c r="Q207" s="654">
        <v>0</v>
      </c>
      <c r="R207" s="654">
        <v>0</v>
      </c>
      <c r="S207" s="654">
        <v>0</v>
      </c>
      <c r="T207" s="654">
        <v>0</v>
      </c>
      <c r="U207" s="654">
        <v>0</v>
      </c>
      <c r="V207" s="654">
        <v>0</v>
      </c>
      <c r="W207" s="654">
        <v>0</v>
      </c>
      <c r="X207" s="654">
        <v>0</v>
      </c>
      <c r="Y207" s="654">
        <v>1960949</v>
      </c>
      <c r="Z207" s="654">
        <v>1048210</v>
      </c>
    </row>
    <row r="208" spans="1:26" x14ac:dyDescent="0.15">
      <c r="B208" t="s">
        <v>629</v>
      </c>
      <c r="C208" t="s">
        <v>676</v>
      </c>
      <c r="D208" s="654">
        <v>0</v>
      </c>
      <c r="E208" s="654">
        <v>0</v>
      </c>
      <c r="F208" s="654">
        <v>0</v>
      </c>
      <c r="G208" s="654">
        <v>0</v>
      </c>
      <c r="H208" s="654">
        <v>0</v>
      </c>
      <c r="I208" s="654">
        <v>4470665</v>
      </c>
      <c r="J208" s="654">
        <v>247531</v>
      </c>
      <c r="K208" s="654">
        <v>0</v>
      </c>
      <c r="L208" s="654">
        <v>0</v>
      </c>
      <c r="M208" s="654">
        <v>0</v>
      </c>
      <c r="N208" s="654">
        <v>4305</v>
      </c>
      <c r="O208" s="654">
        <v>0</v>
      </c>
      <c r="P208" s="654">
        <v>0</v>
      </c>
      <c r="Q208" s="654">
        <v>0</v>
      </c>
      <c r="R208" s="654">
        <v>0</v>
      </c>
      <c r="S208" s="654">
        <v>0</v>
      </c>
      <c r="T208" s="654">
        <v>231550</v>
      </c>
      <c r="U208" s="654">
        <v>0</v>
      </c>
      <c r="V208" s="654">
        <v>0</v>
      </c>
      <c r="W208" s="654">
        <v>0</v>
      </c>
      <c r="X208" s="654">
        <v>0</v>
      </c>
      <c r="Y208" s="654">
        <v>4706520</v>
      </c>
      <c r="Z208" s="654">
        <v>235855</v>
      </c>
    </row>
    <row r="209" spans="1:26" x14ac:dyDescent="0.15">
      <c r="A209" s="653" t="s">
        <v>990</v>
      </c>
      <c r="B209"/>
      <c r="D209" s="654">
        <v>21848156</v>
      </c>
      <c r="E209" s="654">
        <v>2444193</v>
      </c>
      <c r="F209" s="654">
        <v>3864679</v>
      </c>
      <c r="G209" s="654">
        <v>865103</v>
      </c>
      <c r="H209" s="654">
        <v>1125434</v>
      </c>
      <c r="I209" s="654">
        <v>4470665</v>
      </c>
      <c r="J209" s="654">
        <v>247531</v>
      </c>
      <c r="K209" s="654">
        <v>4143258</v>
      </c>
      <c r="L209" s="654">
        <v>273762</v>
      </c>
      <c r="M209" s="654">
        <v>0</v>
      </c>
      <c r="N209" s="654">
        <v>781579</v>
      </c>
      <c r="O209" s="654">
        <v>144485</v>
      </c>
      <c r="P209" s="654">
        <v>951130</v>
      </c>
      <c r="Q209" s="654">
        <v>10238</v>
      </c>
      <c r="R209" s="654">
        <v>237759</v>
      </c>
      <c r="S209" s="654">
        <v>1350120</v>
      </c>
      <c r="T209" s="654">
        <v>231550</v>
      </c>
      <c r="U209" s="654">
        <v>33000</v>
      </c>
      <c r="V209" s="654">
        <v>-170000</v>
      </c>
      <c r="W209" s="654">
        <v>100194</v>
      </c>
      <c r="X209" s="654">
        <v>0</v>
      </c>
      <c r="Y209" s="654">
        <v>39122247</v>
      </c>
      <c r="Z209" s="654">
        <v>3670055</v>
      </c>
    </row>
    <row r="210" spans="1:26" x14ac:dyDescent="0.15">
      <c r="A210" s="653">
        <v>43221</v>
      </c>
      <c r="B210" t="s">
        <v>626</v>
      </c>
      <c r="C210" t="s">
        <v>378</v>
      </c>
      <c r="D210" s="654">
        <v>8320534</v>
      </c>
      <c r="E210" s="654">
        <v>1381326</v>
      </c>
      <c r="F210" s="654">
        <v>1364202</v>
      </c>
      <c r="G210" s="654">
        <v>295743</v>
      </c>
      <c r="H210" s="654">
        <v>662018</v>
      </c>
      <c r="I210" s="654">
        <v>0</v>
      </c>
      <c r="J210" s="654">
        <v>0</v>
      </c>
      <c r="K210" s="654">
        <v>0</v>
      </c>
      <c r="L210" s="654">
        <v>0</v>
      </c>
      <c r="M210" s="654">
        <v>0</v>
      </c>
      <c r="N210" s="654">
        <v>150381</v>
      </c>
      <c r="O210" s="654">
        <v>37721</v>
      </c>
      <c r="P210" s="654">
        <v>0</v>
      </c>
      <c r="Q210" s="654">
        <v>9036</v>
      </c>
      <c r="R210" s="654">
        <v>133935</v>
      </c>
      <c r="S210" s="654">
        <v>0</v>
      </c>
      <c r="T210" s="654">
        <v>0</v>
      </c>
      <c r="U210" s="654">
        <v>95000</v>
      </c>
      <c r="V210" s="654">
        <v>0</v>
      </c>
      <c r="W210" s="654">
        <v>0</v>
      </c>
      <c r="X210" s="654">
        <v>0</v>
      </c>
      <c r="Y210" s="654">
        <v>10772827</v>
      </c>
      <c r="Z210" s="654">
        <v>426073</v>
      </c>
    </row>
    <row r="211" spans="1:26" x14ac:dyDescent="0.15">
      <c r="B211" t="s">
        <v>627</v>
      </c>
      <c r="C211" t="s">
        <v>379</v>
      </c>
      <c r="D211" s="654">
        <v>4774530</v>
      </c>
      <c r="E211" s="654">
        <v>518576</v>
      </c>
      <c r="F211" s="654">
        <v>1009132</v>
      </c>
      <c r="G211" s="654">
        <v>233805</v>
      </c>
      <c r="H211" s="654">
        <v>447307</v>
      </c>
      <c r="I211" s="654">
        <v>0</v>
      </c>
      <c r="J211" s="654">
        <v>0</v>
      </c>
      <c r="K211" s="654">
        <v>0</v>
      </c>
      <c r="L211" s="654">
        <v>0</v>
      </c>
      <c r="M211" s="654">
        <v>0</v>
      </c>
      <c r="N211" s="654">
        <v>352083</v>
      </c>
      <c r="O211" s="654">
        <v>0</v>
      </c>
      <c r="P211" s="654">
        <v>0</v>
      </c>
      <c r="Q211" s="654">
        <v>1733</v>
      </c>
      <c r="R211" s="654">
        <v>146241</v>
      </c>
      <c r="S211" s="654">
        <v>0</v>
      </c>
      <c r="T211" s="654">
        <v>0</v>
      </c>
      <c r="U211" s="654">
        <v>0</v>
      </c>
      <c r="V211" s="654">
        <v>0</v>
      </c>
      <c r="W211" s="654">
        <v>0</v>
      </c>
      <c r="X211" s="654">
        <v>0</v>
      </c>
      <c r="Y211" s="654">
        <v>6731026</v>
      </c>
      <c r="Z211" s="654">
        <v>500057</v>
      </c>
    </row>
    <row r="212" spans="1:26" x14ac:dyDescent="0.15">
      <c r="B212" t="s">
        <v>628</v>
      </c>
      <c r="C212" t="s">
        <v>380</v>
      </c>
      <c r="D212" s="654">
        <v>4592878</v>
      </c>
      <c r="E212" s="654">
        <v>468481</v>
      </c>
      <c r="F212" s="654">
        <v>1467994</v>
      </c>
      <c r="G212" s="654">
        <v>341347</v>
      </c>
      <c r="H212" s="654">
        <v>0</v>
      </c>
      <c r="I212" s="654">
        <v>0</v>
      </c>
      <c r="J212" s="654">
        <v>0</v>
      </c>
      <c r="K212" s="654">
        <v>0</v>
      </c>
      <c r="L212" s="654">
        <v>0</v>
      </c>
      <c r="M212" s="654">
        <v>0</v>
      </c>
      <c r="N212" s="654">
        <v>91900</v>
      </c>
      <c r="O212" s="654">
        <v>237469</v>
      </c>
      <c r="P212" s="654">
        <v>84750</v>
      </c>
      <c r="Q212" s="654">
        <v>4569</v>
      </c>
      <c r="R212" s="654">
        <v>0</v>
      </c>
      <c r="S212" s="654">
        <v>0</v>
      </c>
      <c r="T212" s="654">
        <v>0</v>
      </c>
      <c r="U212" s="654">
        <v>0</v>
      </c>
      <c r="V212" s="654">
        <v>0</v>
      </c>
      <c r="W212" s="654">
        <v>0</v>
      </c>
      <c r="X212" s="654">
        <v>0</v>
      </c>
      <c r="Y212" s="654">
        <v>6479560</v>
      </c>
      <c r="Z212" s="654">
        <v>418688</v>
      </c>
    </row>
    <row r="213" spans="1:26" x14ac:dyDescent="0.15">
      <c r="B213" t="s">
        <v>631</v>
      </c>
      <c r="C213" t="s">
        <v>381</v>
      </c>
      <c r="D213" s="654">
        <v>2293370</v>
      </c>
      <c r="E213" s="654">
        <v>0</v>
      </c>
      <c r="F213" s="654">
        <v>0</v>
      </c>
      <c r="G213" s="654">
        <v>0</v>
      </c>
      <c r="H213" s="654">
        <v>0</v>
      </c>
      <c r="I213" s="654">
        <v>0</v>
      </c>
      <c r="J213" s="654">
        <v>0</v>
      </c>
      <c r="K213" s="654">
        <v>0</v>
      </c>
      <c r="L213" s="654">
        <v>0</v>
      </c>
      <c r="M213" s="654">
        <v>0</v>
      </c>
      <c r="N213" s="654">
        <v>15600</v>
      </c>
      <c r="O213" s="654">
        <v>0</v>
      </c>
      <c r="P213" s="654">
        <v>0</v>
      </c>
      <c r="Q213" s="654">
        <v>0</v>
      </c>
      <c r="R213" s="654">
        <v>0</v>
      </c>
      <c r="S213" s="654">
        <v>712737</v>
      </c>
      <c r="T213" s="654">
        <v>0</v>
      </c>
      <c r="U213" s="654">
        <v>0</v>
      </c>
      <c r="V213" s="654">
        <v>0</v>
      </c>
      <c r="W213" s="654">
        <v>0</v>
      </c>
      <c r="X213" s="654">
        <v>0</v>
      </c>
      <c r="Y213" s="654">
        <v>3021707</v>
      </c>
      <c r="Z213" s="654">
        <v>728337</v>
      </c>
    </row>
    <row r="214" spans="1:26" x14ac:dyDescent="0.15">
      <c r="B214" t="s">
        <v>567</v>
      </c>
      <c r="C214" t="s">
        <v>473</v>
      </c>
      <c r="D214" s="654">
        <v>0</v>
      </c>
      <c r="E214" s="654">
        <v>0</v>
      </c>
      <c r="F214" s="654">
        <v>0</v>
      </c>
      <c r="G214" s="654">
        <v>0</v>
      </c>
      <c r="H214" s="654">
        <v>0</v>
      </c>
      <c r="I214" s="654">
        <v>0</v>
      </c>
      <c r="J214" s="654">
        <v>0</v>
      </c>
      <c r="K214" s="654">
        <v>802372</v>
      </c>
      <c r="L214" s="654">
        <v>283493</v>
      </c>
      <c r="M214" s="654">
        <v>0</v>
      </c>
      <c r="N214" s="654">
        <v>0</v>
      </c>
      <c r="O214" s="654">
        <v>0</v>
      </c>
      <c r="P214" s="654">
        <v>0</v>
      </c>
      <c r="Q214" s="654">
        <v>0</v>
      </c>
      <c r="R214" s="654">
        <v>0</v>
      </c>
      <c r="S214" s="654">
        <v>61000</v>
      </c>
      <c r="T214" s="654">
        <v>0</v>
      </c>
      <c r="U214" s="654">
        <v>0</v>
      </c>
      <c r="V214" s="654">
        <v>-30000</v>
      </c>
      <c r="W214" s="654">
        <v>533442</v>
      </c>
      <c r="X214" s="654">
        <v>0</v>
      </c>
      <c r="Y214" s="654">
        <v>1366814</v>
      </c>
      <c r="Z214" s="654">
        <v>564442</v>
      </c>
    </row>
    <row r="215" spans="1:26" x14ac:dyDescent="0.15">
      <c r="B215" t="s">
        <v>568</v>
      </c>
      <c r="C215" t="s">
        <v>474</v>
      </c>
      <c r="D215" s="654">
        <v>0</v>
      </c>
      <c r="E215" s="654">
        <v>0</v>
      </c>
      <c r="F215" s="654">
        <v>0</v>
      </c>
      <c r="G215" s="654">
        <v>0</v>
      </c>
      <c r="H215" s="654">
        <v>0</v>
      </c>
      <c r="I215" s="654">
        <v>0</v>
      </c>
      <c r="J215" s="654">
        <v>0</v>
      </c>
      <c r="K215" s="654">
        <v>1007268</v>
      </c>
      <c r="L215" s="654">
        <v>0</v>
      </c>
      <c r="M215" s="654">
        <v>0</v>
      </c>
      <c r="N215" s="654">
        <v>20000</v>
      </c>
      <c r="O215" s="654">
        <v>0</v>
      </c>
      <c r="P215" s="654">
        <v>0</v>
      </c>
      <c r="Q215" s="654">
        <v>0</v>
      </c>
      <c r="R215" s="654">
        <v>0</v>
      </c>
      <c r="S215" s="654">
        <v>98000</v>
      </c>
      <c r="T215" s="654">
        <v>0</v>
      </c>
      <c r="U215" s="654">
        <v>0</v>
      </c>
      <c r="V215" s="654">
        <v>-40000</v>
      </c>
      <c r="W215" s="654">
        <v>65527</v>
      </c>
      <c r="X215" s="654">
        <v>0</v>
      </c>
      <c r="Y215" s="654">
        <v>1150795</v>
      </c>
      <c r="Z215" s="654">
        <v>143527</v>
      </c>
    </row>
    <row r="216" spans="1:26" x14ac:dyDescent="0.15">
      <c r="B216" t="s">
        <v>582</v>
      </c>
      <c r="C216" t="s">
        <v>384</v>
      </c>
      <c r="D216" s="654">
        <v>0</v>
      </c>
      <c r="E216" s="654">
        <v>0</v>
      </c>
      <c r="F216" s="654">
        <v>0</v>
      </c>
      <c r="G216" s="654">
        <v>0</v>
      </c>
      <c r="H216" s="654">
        <v>0</v>
      </c>
      <c r="I216" s="654">
        <v>0</v>
      </c>
      <c r="J216" s="654">
        <v>0</v>
      </c>
      <c r="K216" s="654">
        <v>2474409</v>
      </c>
      <c r="L216" s="654">
        <v>0</v>
      </c>
      <c r="M216" s="654">
        <v>0</v>
      </c>
      <c r="N216" s="654">
        <v>0</v>
      </c>
      <c r="O216" s="654">
        <v>0</v>
      </c>
      <c r="P216" s="654">
        <v>0</v>
      </c>
      <c r="Q216" s="654">
        <v>0</v>
      </c>
      <c r="R216" s="654">
        <v>0</v>
      </c>
      <c r="S216" s="654">
        <v>400000</v>
      </c>
      <c r="T216" s="654">
        <v>0</v>
      </c>
      <c r="U216" s="654">
        <v>0</v>
      </c>
      <c r="V216" s="654">
        <v>-100000</v>
      </c>
      <c r="W216" s="654">
        <v>996616</v>
      </c>
      <c r="X216" s="654">
        <v>0</v>
      </c>
      <c r="Y216" s="654">
        <v>3771025</v>
      </c>
      <c r="Z216" s="654">
        <v>1296616</v>
      </c>
    </row>
    <row r="217" spans="1:26" x14ac:dyDescent="0.15">
      <c r="B217" t="s">
        <v>671</v>
      </c>
      <c r="C217" t="s">
        <v>383</v>
      </c>
      <c r="D217" s="654">
        <v>865723</v>
      </c>
      <c r="E217" s="654">
        <v>0</v>
      </c>
      <c r="F217" s="654">
        <v>50890</v>
      </c>
      <c r="G217" s="654">
        <v>0</v>
      </c>
      <c r="H217" s="654">
        <v>0</v>
      </c>
      <c r="I217" s="654">
        <v>0</v>
      </c>
      <c r="J217" s="654">
        <v>0</v>
      </c>
      <c r="K217" s="654">
        <v>0</v>
      </c>
      <c r="L217" s="654">
        <v>0</v>
      </c>
      <c r="M217" s="654">
        <v>0</v>
      </c>
      <c r="N217" s="654">
        <v>71300</v>
      </c>
      <c r="O217" s="654">
        <v>60840</v>
      </c>
      <c r="P217" s="654">
        <v>906890</v>
      </c>
      <c r="Q217" s="654">
        <v>0</v>
      </c>
      <c r="R217" s="654">
        <v>0</v>
      </c>
      <c r="S217" s="654">
        <v>0</v>
      </c>
      <c r="T217" s="654">
        <v>0</v>
      </c>
      <c r="U217" s="654">
        <v>0</v>
      </c>
      <c r="V217" s="654">
        <v>0</v>
      </c>
      <c r="W217" s="654">
        <v>0</v>
      </c>
      <c r="X217" s="654">
        <v>0</v>
      </c>
      <c r="Y217" s="654">
        <v>1955643</v>
      </c>
      <c r="Z217" s="654">
        <v>1039030</v>
      </c>
    </row>
    <row r="218" spans="1:26" x14ac:dyDescent="0.15">
      <c r="B218" t="s">
        <v>629</v>
      </c>
      <c r="C218" t="s">
        <v>676</v>
      </c>
      <c r="D218" s="654">
        <v>0</v>
      </c>
      <c r="E218" s="654">
        <v>0</v>
      </c>
      <c r="F218" s="654">
        <v>0</v>
      </c>
      <c r="G218" s="654">
        <v>0</v>
      </c>
      <c r="H218" s="654">
        <v>0</v>
      </c>
      <c r="I218" s="654">
        <v>4190888</v>
      </c>
      <c r="J218" s="654">
        <v>231845</v>
      </c>
      <c r="K218" s="654">
        <v>0</v>
      </c>
      <c r="L218" s="654">
        <v>0</v>
      </c>
      <c r="M218" s="654">
        <v>0</v>
      </c>
      <c r="N218" s="654">
        <v>3245</v>
      </c>
      <c r="O218" s="654">
        <v>0</v>
      </c>
      <c r="P218" s="654">
        <v>0</v>
      </c>
      <c r="Q218" s="654">
        <v>0</v>
      </c>
      <c r="R218" s="654">
        <v>0</v>
      </c>
      <c r="S218" s="654">
        <v>0</v>
      </c>
      <c r="T218" s="654">
        <v>225500</v>
      </c>
      <c r="U218" s="654">
        <v>0</v>
      </c>
      <c r="V218" s="654">
        <v>0</v>
      </c>
      <c r="W218" s="654">
        <v>0</v>
      </c>
      <c r="X218" s="654">
        <v>0</v>
      </c>
      <c r="Y218" s="654">
        <v>4419633</v>
      </c>
      <c r="Z218" s="654">
        <v>228745</v>
      </c>
    </row>
    <row r="219" spans="1:26" x14ac:dyDescent="0.15">
      <c r="A219" s="653" t="s">
        <v>1008</v>
      </c>
      <c r="B219"/>
      <c r="D219" s="654">
        <v>20847035</v>
      </c>
      <c r="E219" s="654">
        <v>2368383</v>
      </c>
      <c r="F219" s="654">
        <v>3892218</v>
      </c>
      <c r="G219" s="654">
        <v>870895</v>
      </c>
      <c r="H219" s="654">
        <v>1109325</v>
      </c>
      <c r="I219" s="654">
        <v>4190888</v>
      </c>
      <c r="J219" s="654">
        <v>231845</v>
      </c>
      <c r="K219" s="654">
        <v>4284049</v>
      </c>
      <c r="L219" s="654">
        <v>283493</v>
      </c>
      <c r="M219" s="654">
        <v>0</v>
      </c>
      <c r="N219" s="654">
        <v>704509</v>
      </c>
      <c r="O219" s="654">
        <v>336030</v>
      </c>
      <c r="P219" s="654">
        <v>991640</v>
      </c>
      <c r="Q219" s="654">
        <v>15338</v>
      </c>
      <c r="R219" s="654">
        <v>280176</v>
      </c>
      <c r="S219" s="654">
        <v>1271737</v>
      </c>
      <c r="T219" s="654">
        <v>225500</v>
      </c>
      <c r="U219" s="654">
        <v>95000</v>
      </c>
      <c r="V219" s="654">
        <v>-170000</v>
      </c>
      <c r="W219" s="654">
        <v>1595585</v>
      </c>
      <c r="X219" s="654">
        <v>0</v>
      </c>
      <c r="Y219" s="654">
        <v>39669030</v>
      </c>
      <c r="Z219" s="654">
        <v>5345515</v>
      </c>
    </row>
    <row r="220" spans="1:26" x14ac:dyDescent="0.15">
      <c r="A220" s="653">
        <v>43252</v>
      </c>
      <c r="B220" t="s">
        <v>626</v>
      </c>
      <c r="C220" t="s">
        <v>378</v>
      </c>
      <c r="D220" s="654">
        <v>7545811</v>
      </c>
      <c r="E220" s="654">
        <v>1264475</v>
      </c>
      <c r="F220" s="654">
        <v>1288468</v>
      </c>
      <c r="G220" s="654">
        <v>270557</v>
      </c>
      <c r="H220" s="654">
        <v>713826</v>
      </c>
      <c r="I220" s="654">
        <v>0</v>
      </c>
      <c r="J220" s="654">
        <v>0</v>
      </c>
      <c r="K220" s="654">
        <v>0</v>
      </c>
      <c r="L220" s="654">
        <v>0</v>
      </c>
      <c r="M220" s="654">
        <v>0</v>
      </c>
      <c r="N220" s="654">
        <v>89119</v>
      </c>
      <c r="O220" s="654">
        <v>41542</v>
      </c>
      <c r="P220" s="654">
        <v>0</v>
      </c>
      <c r="Q220" s="654">
        <v>3405</v>
      </c>
      <c r="R220" s="654">
        <v>130935</v>
      </c>
      <c r="S220" s="654">
        <v>0</v>
      </c>
      <c r="T220" s="654">
        <v>0</v>
      </c>
      <c r="U220" s="654">
        <v>22000</v>
      </c>
      <c r="V220" s="654">
        <v>0</v>
      </c>
      <c r="W220" s="654">
        <v>0</v>
      </c>
      <c r="X220" s="654">
        <v>0</v>
      </c>
      <c r="Y220" s="654">
        <v>9835106</v>
      </c>
      <c r="Z220" s="654">
        <v>287001</v>
      </c>
    </row>
    <row r="221" spans="1:26" x14ac:dyDescent="0.15">
      <c r="B221" t="s">
        <v>627</v>
      </c>
      <c r="C221" t="s">
        <v>379</v>
      </c>
      <c r="D221" s="654">
        <v>4727604</v>
      </c>
      <c r="E221" s="654">
        <v>516297</v>
      </c>
      <c r="F221" s="654">
        <v>862821</v>
      </c>
      <c r="G221" s="654">
        <v>199219</v>
      </c>
      <c r="H221" s="654">
        <v>478897</v>
      </c>
      <c r="I221" s="654">
        <v>0</v>
      </c>
      <c r="J221" s="654">
        <v>0</v>
      </c>
      <c r="K221" s="654">
        <v>0</v>
      </c>
      <c r="L221" s="654">
        <v>0</v>
      </c>
      <c r="M221" s="654">
        <v>0</v>
      </c>
      <c r="N221" s="654">
        <v>335119</v>
      </c>
      <c r="O221" s="654">
        <v>0</v>
      </c>
      <c r="P221" s="654">
        <v>0</v>
      </c>
      <c r="Q221" s="654">
        <v>2250</v>
      </c>
      <c r="R221" s="654">
        <v>123543</v>
      </c>
      <c r="S221" s="654">
        <v>0</v>
      </c>
      <c r="T221" s="654">
        <v>0</v>
      </c>
      <c r="U221" s="654">
        <v>0</v>
      </c>
      <c r="V221" s="654">
        <v>0</v>
      </c>
      <c r="W221" s="654">
        <v>0</v>
      </c>
      <c r="X221" s="654">
        <v>0</v>
      </c>
      <c r="Y221" s="654">
        <v>6530234</v>
      </c>
      <c r="Z221" s="654">
        <v>460912</v>
      </c>
    </row>
    <row r="222" spans="1:26" x14ac:dyDescent="0.15">
      <c r="B222" t="s">
        <v>628</v>
      </c>
      <c r="C222" t="s">
        <v>380</v>
      </c>
      <c r="D222" s="654">
        <v>4730337</v>
      </c>
      <c r="E222" s="654">
        <v>494657</v>
      </c>
      <c r="F222" s="654">
        <v>1782964</v>
      </c>
      <c r="G222" s="654">
        <v>414592</v>
      </c>
      <c r="H222" s="654">
        <v>0</v>
      </c>
      <c r="I222" s="654">
        <v>0</v>
      </c>
      <c r="J222" s="654">
        <v>0</v>
      </c>
      <c r="K222" s="654">
        <v>0</v>
      </c>
      <c r="L222" s="654">
        <v>0</v>
      </c>
      <c r="M222" s="654">
        <v>0</v>
      </c>
      <c r="N222" s="654">
        <v>102400</v>
      </c>
      <c r="O222" s="654">
        <v>113414</v>
      </c>
      <c r="P222" s="654">
        <v>74680</v>
      </c>
      <c r="Q222" s="654">
        <v>2677</v>
      </c>
      <c r="R222" s="654">
        <v>0</v>
      </c>
      <c r="S222" s="654">
        <v>0</v>
      </c>
      <c r="T222" s="654">
        <v>0</v>
      </c>
      <c r="U222" s="654">
        <v>0</v>
      </c>
      <c r="V222" s="654">
        <v>0</v>
      </c>
      <c r="W222" s="654">
        <v>0</v>
      </c>
      <c r="X222" s="654">
        <v>0</v>
      </c>
      <c r="Y222" s="654">
        <v>6806472</v>
      </c>
      <c r="Z222" s="654">
        <v>293171</v>
      </c>
    </row>
    <row r="223" spans="1:26" x14ac:dyDescent="0.15">
      <c r="B223" t="s">
        <v>631</v>
      </c>
      <c r="C223" t="s">
        <v>381</v>
      </c>
      <c r="D223" s="654">
        <v>2039297</v>
      </c>
      <c r="E223" s="654">
        <v>0</v>
      </c>
      <c r="F223" s="654">
        <v>0</v>
      </c>
      <c r="G223" s="654">
        <v>0</v>
      </c>
      <c r="H223" s="654">
        <v>0</v>
      </c>
      <c r="I223" s="654">
        <v>0</v>
      </c>
      <c r="J223" s="654">
        <v>0</v>
      </c>
      <c r="K223" s="654">
        <v>0</v>
      </c>
      <c r="L223" s="654">
        <v>0</v>
      </c>
      <c r="M223" s="654">
        <v>0</v>
      </c>
      <c r="N223" s="654">
        <v>7200</v>
      </c>
      <c r="O223" s="654">
        <v>0</v>
      </c>
      <c r="P223" s="654">
        <v>0</v>
      </c>
      <c r="Q223" s="654">
        <v>0</v>
      </c>
      <c r="R223" s="654">
        <v>0</v>
      </c>
      <c r="S223" s="654">
        <v>645681</v>
      </c>
      <c r="T223" s="654">
        <v>0</v>
      </c>
      <c r="U223" s="654">
        <v>0</v>
      </c>
      <c r="V223" s="654">
        <v>0</v>
      </c>
      <c r="W223" s="654">
        <v>0</v>
      </c>
      <c r="X223" s="654">
        <v>0</v>
      </c>
      <c r="Y223" s="654">
        <v>2692178</v>
      </c>
      <c r="Z223" s="654">
        <v>652881</v>
      </c>
    </row>
    <row r="224" spans="1:26" x14ac:dyDescent="0.15">
      <c r="B224" t="s">
        <v>567</v>
      </c>
      <c r="C224" t="s">
        <v>473</v>
      </c>
      <c r="D224" s="654">
        <v>0</v>
      </c>
      <c r="E224" s="654">
        <v>0</v>
      </c>
      <c r="F224" s="654">
        <v>0</v>
      </c>
      <c r="G224" s="654">
        <v>0</v>
      </c>
      <c r="H224" s="654">
        <v>0</v>
      </c>
      <c r="I224" s="654">
        <v>0</v>
      </c>
      <c r="J224" s="654">
        <v>0</v>
      </c>
      <c r="K224" s="654">
        <v>517955</v>
      </c>
      <c r="L224" s="654">
        <v>242054</v>
      </c>
      <c r="M224" s="654">
        <v>0</v>
      </c>
      <c r="N224" s="654">
        <v>0</v>
      </c>
      <c r="O224" s="654">
        <v>0</v>
      </c>
      <c r="P224" s="654">
        <v>0</v>
      </c>
      <c r="Q224" s="654">
        <v>0</v>
      </c>
      <c r="R224" s="654">
        <v>0</v>
      </c>
      <c r="S224" s="654">
        <v>61000</v>
      </c>
      <c r="T224" s="654">
        <v>0</v>
      </c>
      <c r="U224" s="654">
        <v>0</v>
      </c>
      <c r="V224" s="654">
        <v>-30000</v>
      </c>
      <c r="W224" s="654">
        <v>0</v>
      </c>
      <c r="X224" s="654">
        <v>0</v>
      </c>
      <c r="Y224" s="654">
        <v>548955</v>
      </c>
      <c r="Z224" s="654">
        <v>31000</v>
      </c>
    </row>
    <row r="225" spans="1:26" x14ac:dyDescent="0.15">
      <c r="B225" t="s">
        <v>568</v>
      </c>
      <c r="C225" t="s">
        <v>474</v>
      </c>
      <c r="D225" s="654">
        <v>0</v>
      </c>
      <c r="E225" s="654">
        <v>0</v>
      </c>
      <c r="F225" s="654">
        <v>0</v>
      </c>
      <c r="G225" s="654">
        <v>0</v>
      </c>
      <c r="H225" s="654">
        <v>0</v>
      </c>
      <c r="I225" s="654">
        <v>0</v>
      </c>
      <c r="J225" s="654">
        <v>0</v>
      </c>
      <c r="K225" s="654">
        <v>976056</v>
      </c>
      <c r="L225" s="654">
        <v>0</v>
      </c>
      <c r="M225" s="654">
        <v>0</v>
      </c>
      <c r="N225" s="654">
        <v>20000</v>
      </c>
      <c r="O225" s="654">
        <v>0</v>
      </c>
      <c r="P225" s="654">
        <v>0</v>
      </c>
      <c r="Q225" s="654">
        <v>0</v>
      </c>
      <c r="R225" s="654">
        <v>0</v>
      </c>
      <c r="S225" s="654">
        <v>98000</v>
      </c>
      <c r="T225" s="654">
        <v>0</v>
      </c>
      <c r="U225" s="654">
        <v>0</v>
      </c>
      <c r="V225" s="654">
        <v>-40000</v>
      </c>
      <c r="W225" s="654">
        <v>0</v>
      </c>
      <c r="X225" s="654">
        <v>0</v>
      </c>
      <c r="Y225" s="654">
        <v>1054056</v>
      </c>
      <c r="Z225" s="654">
        <v>78000</v>
      </c>
    </row>
    <row r="226" spans="1:26" x14ac:dyDescent="0.15">
      <c r="B226" t="s">
        <v>582</v>
      </c>
      <c r="C226" t="s">
        <v>384</v>
      </c>
      <c r="D226" s="654">
        <v>0</v>
      </c>
      <c r="E226" s="654">
        <v>0</v>
      </c>
      <c r="F226" s="654">
        <v>0</v>
      </c>
      <c r="G226" s="654">
        <v>0</v>
      </c>
      <c r="H226" s="654">
        <v>0</v>
      </c>
      <c r="I226" s="654">
        <v>0</v>
      </c>
      <c r="J226" s="654">
        <v>0</v>
      </c>
      <c r="K226" s="654">
        <v>2169018</v>
      </c>
      <c r="L226" s="654">
        <v>0</v>
      </c>
      <c r="M226" s="654">
        <v>0</v>
      </c>
      <c r="N226" s="654">
        <v>0</v>
      </c>
      <c r="O226" s="654">
        <v>0</v>
      </c>
      <c r="P226" s="654">
        <v>0</v>
      </c>
      <c r="Q226" s="654">
        <v>0</v>
      </c>
      <c r="R226" s="654">
        <v>0</v>
      </c>
      <c r="S226" s="654">
        <v>400000</v>
      </c>
      <c r="T226" s="654">
        <v>0</v>
      </c>
      <c r="U226" s="654">
        <v>0</v>
      </c>
      <c r="V226" s="654">
        <v>-100000</v>
      </c>
      <c r="W226" s="654">
        <v>0</v>
      </c>
      <c r="X226" s="654">
        <v>0</v>
      </c>
      <c r="Y226" s="654">
        <v>2469018</v>
      </c>
      <c r="Z226" s="654">
        <v>300000</v>
      </c>
    </row>
    <row r="227" spans="1:26" x14ac:dyDescent="0.15">
      <c r="B227" t="s">
        <v>671</v>
      </c>
      <c r="C227" t="s">
        <v>383</v>
      </c>
      <c r="D227" s="654">
        <v>907116</v>
      </c>
      <c r="E227" s="654">
        <v>0</v>
      </c>
      <c r="F227" s="654">
        <v>26796</v>
      </c>
      <c r="G227" s="654">
        <v>0</v>
      </c>
      <c r="H227" s="654">
        <v>0</v>
      </c>
      <c r="I227" s="654">
        <v>0</v>
      </c>
      <c r="J227" s="654">
        <v>0</v>
      </c>
      <c r="K227" s="654">
        <v>0</v>
      </c>
      <c r="L227" s="654">
        <v>0</v>
      </c>
      <c r="M227" s="654">
        <v>0</v>
      </c>
      <c r="N227" s="654">
        <v>56300</v>
      </c>
      <c r="O227" s="654">
        <v>60840</v>
      </c>
      <c r="P227" s="654">
        <v>838490</v>
      </c>
      <c r="Q227" s="654">
        <v>0</v>
      </c>
      <c r="R227" s="654">
        <v>0</v>
      </c>
      <c r="S227" s="654">
        <v>0</v>
      </c>
      <c r="T227" s="654">
        <v>0</v>
      </c>
      <c r="U227" s="654">
        <v>0</v>
      </c>
      <c r="V227" s="654">
        <v>0</v>
      </c>
      <c r="W227" s="654">
        <v>0</v>
      </c>
      <c r="X227" s="654">
        <v>0</v>
      </c>
      <c r="Y227" s="654">
        <v>1889542</v>
      </c>
      <c r="Z227" s="654">
        <v>955630</v>
      </c>
    </row>
    <row r="228" spans="1:26" x14ac:dyDescent="0.15">
      <c r="B228" t="s">
        <v>629</v>
      </c>
      <c r="C228" t="s">
        <v>676</v>
      </c>
      <c r="D228" s="654">
        <v>0</v>
      </c>
      <c r="E228" s="654">
        <v>0</v>
      </c>
      <c r="F228" s="654">
        <v>0</v>
      </c>
      <c r="G228" s="654">
        <v>0</v>
      </c>
      <c r="H228" s="654">
        <v>0</v>
      </c>
      <c r="I228" s="654">
        <v>3920019</v>
      </c>
      <c r="J228" s="654">
        <v>218824</v>
      </c>
      <c r="K228" s="654">
        <v>0</v>
      </c>
      <c r="L228" s="654">
        <v>0</v>
      </c>
      <c r="M228" s="654">
        <v>0</v>
      </c>
      <c r="N228" s="654">
        <v>553</v>
      </c>
      <c r="O228" s="654">
        <v>0</v>
      </c>
      <c r="P228" s="654">
        <v>0</v>
      </c>
      <c r="Q228" s="654">
        <v>0</v>
      </c>
      <c r="R228" s="654">
        <v>0</v>
      </c>
      <c r="S228" s="654">
        <v>0</v>
      </c>
      <c r="T228" s="654">
        <v>225700</v>
      </c>
      <c r="U228" s="654">
        <v>0</v>
      </c>
      <c r="V228" s="654">
        <v>0</v>
      </c>
      <c r="W228" s="654">
        <v>0</v>
      </c>
      <c r="X228" s="654">
        <v>0</v>
      </c>
      <c r="Y228" s="654">
        <v>4146272</v>
      </c>
      <c r="Z228" s="654">
        <v>226253</v>
      </c>
    </row>
    <row r="229" spans="1:26" x14ac:dyDescent="0.15">
      <c r="B229" t="s">
        <v>965</v>
      </c>
      <c r="C229" t="s">
        <v>986</v>
      </c>
      <c r="D229" s="654">
        <v>0</v>
      </c>
      <c r="E229" s="654">
        <v>0</v>
      </c>
      <c r="F229" s="654">
        <v>97685</v>
      </c>
      <c r="G229" s="654">
        <v>22715</v>
      </c>
      <c r="H229" s="654">
        <v>0</v>
      </c>
      <c r="I229" s="654">
        <v>0</v>
      </c>
      <c r="J229" s="654">
        <v>0</v>
      </c>
      <c r="K229" s="654">
        <v>0</v>
      </c>
      <c r="L229" s="654">
        <v>0</v>
      </c>
      <c r="M229" s="654">
        <v>0</v>
      </c>
      <c r="N229" s="654">
        <v>3200</v>
      </c>
      <c r="O229" s="654">
        <v>0</v>
      </c>
      <c r="P229" s="654">
        <v>0</v>
      </c>
      <c r="Q229" s="654">
        <v>0</v>
      </c>
      <c r="R229" s="654">
        <v>0</v>
      </c>
      <c r="S229" s="654">
        <v>0</v>
      </c>
      <c r="T229" s="654">
        <v>0</v>
      </c>
      <c r="U229" s="654">
        <v>0</v>
      </c>
      <c r="V229" s="654">
        <v>0</v>
      </c>
      <c r="W229" s="654">
        <v>0</v>
      </c>
      <c r="X229" s="654">
        <v>0</v>
      </c>
      <c r="Y229" s="654">
        <v>100885</v>
      </c>
      <c r="Z229" s="654">
        <v>3200</v>
      </c>
    </row>
    <row r="230" spans="1:26" x14ac:dyDescent="0.15">
      <c r="A230" s="653" t="s">
        <v>1129</v>
      </c>
      <c r="B230"/>
      <c r="D230" s="654">
        <v>19950165</v>
      </c>
      <c r="E230" s="654">
        <v>2275429</v>
      </c>
      <c r="F230" s="654">
        <v>4058734</v>
      </c>
      <c r="G230" s="654">
        <v>907083</v>
      </c>
      <c r="H230" s="654">
        <v>1192723</v>
      </c>
      <c r="I230" s="654">
        <v>3920019</v>
      </c>
      <c r="J230" s="654">
        <v>218824</v>
      </c>
      <c r="K230" s="654">
        <v>3663029</v>
      </c>
      <c r="L230" s="654">
        <v>242054</v>
      </c>
      <c r="M230" s="654">
        <v>0</v>
      </c>
      <c r="N230" s="654">
        <v>613891</v>
      </c>
      <c r="O230" s="654">
        <v>215796</v>
      </c>
      <c r="P230" s="654">
        <v>913170</v>
      </c>
      <c r="Q230" s="654">
        <v>8332</v>
      </c>
      <c r="R230" s="654">
        <v>254478</v>
      </c>
      <c r="S230" s="654">
        <v>1204681</v>
      </c>
      <c r="T230" s="654">
        <v>225700</v>
      </c>
      <c r="U230" s="654">
        <v>22000</v>
      </c>
      <c r="V230" s="654">
        <v>-170000</v>
      </c>
      <c r="W230" s="654">
        <v>0</v>
      </c>
      <c r="X230" s="654">
        <v>0</v>
      </c>
      <c r="Y230" s="654">
        <v>36072718</v>
      </c>
      <c r="Z230" s="654">
        <v>3288048</v>
      </c>
    </row>
    <row r="231" spans="1:26" x14ac:dyDescent="0.15">
      <c r="A231" s="653">
        <v>43282</v>
      </c>
      <c r="B231" t="s">
        <v>626</v>
      </c>
      <c r="C231" t="s">
        <v>378</v>
      </c>
      <c r="D231" s="654">
        <v>8646531</v>
      </c>
      <c r="E231" s="654">
        <v>1329824</v>
      </c>
      <c r="F231" s="654">
        <v>1310896</v>
      </c>
      <c r="G231" s="654">
        <v>275953</v>
      </c>
      <c r="H231" s="654">
        <v>720086</v>
      </c>
      <c r="I231" s="654">
        <v>0</v>
      </c>
      <c r="J231" s="654">
        <v>0</v>
      </c>
      <c r="K231" s="654">
        <v>0</v>
      </c>
      <c r="L231" s="654">
        <v>0</v>
      </c>
      <c r="M231" s="654">
        <v>0</v>
      </c>
      <c r="N231" s="654">
        <v>81500</v>
      </c>
      <c r="O231" s="654">
        <v>36502</v>
      </c>
      <c r="P231" s="654">
        <v>0</v>
      </c>
      <c r="Q231" s="654">
        <v>6836</v>
      </c>
      <c r="R231" s="654">
        <v>129420</v>
      </c>
      <c r="S231" s="654">
        <v>0</v>
      </c>
      <c r="T231" s="654">
        <v>0</v>
      </c>
      <c r="U231" s="654">
        <v>111000</v>
      </c>
      <c r="V231" s="654">
        <v>0</v>
      </c>
      <c r="W231" s="654">
        <v>0</v>
      </c>
      <c r="X231" s="654">
        <v>0</v>
      </c>
      <c r="Y231" s="654">
        <v>11042771</v>
      </c>
      <c r="Z231" s="654">
        <v>365258</v>
      </c>
    </row>
    <row r="232" spans="1:26" x14ac:dyDescent="0.15">
      <c r="B232" t="s">
        <v>627</v>
      </c>
      <c r="C232" t="s">
        <v>379</v>
      </c>
      <c r="D232" s="654">
        <v>4044228</v>
      </c>
      <c r="E232" s="654">
        <v>448243</v>
      </c>
      <c r="F232" s="654">
        <v>964628</v>
      </c>
      <c r="G232" s="654">
        <v>223199</v>
      </c>
      <c r="H232" s="654">
        <v>553040</v>
      </c>
      <c r="I232" s="654">
        <v>0</v>
      </c>
      <c r="J232" s="654">
        <v>0</v>
      </c>
      <c r="K232" s="654">
        <v>0</v>
      </c>
      <c r="L232" s="654">
        <v>0</v>
      </c>
      <c r="M232" s="654">
        <v>0</v>
      </c>
      <c r="N232" s="654">
        <v>386170</v>
      </c>
      <c r="O232" s="654">
        <v>0</v>
      </c>
      <c r="P232" s="654">
        <v>0</v>
      </c>
      <c r="Q232" s="654">
        <v>834</v>
      </c>
      <c r="R232" s="654">
        <v>126858</v>
      </c>
      <c r="S232" s="654">
        <v>0</v>
      </c>
      <c r="T232" s="654">
        <v>0</v>
      </c>
      <c r="U232" s="654">
        <v>0</v>
      </c>
      <c r="V232" s="654">
        <v>0</v>
      </c>
      <c r="W232" s="654">
        <v>0</v>
      </c>
      <c r="X232" s="654">
        <v>0</v>
      </c>
      <c r="Y232" s="654">
        <v>6075758</v>
      </c>
      <c r="Z232" s="654">
        <v>513862</v>
      </c>
    </row>
    <row r="233" spans="1:26" x14ac:dyDescent="0.15">
      <c r="B233" t="s">
        <v>628</v>
      </c>
      <c r="C233" t="s">
        <v>380</v>
      </c>
      <c r="D233" s="654">
        <v>4812316</v>
      </c>
      <c r="E233" s="654">
        <v>501273</v>
      </c>
      <c r="F233" s="654">
        <v>1836690</v>
      </c>
      <c r="G233" s="654">
        <v>427104</v>
      </c>
      <c r="H233" s="654">
        <v>0</v>
      </c>
      <c r="I233" s="654">
        <v>0</v>
      </c>
      <c r="J233" s="654">
        <v>0</v>
      </c>
      <c r="K233" s="654">
        <v>0</v>
      </c>
      <c r="L233" s="654">
        <v>0</v>
      </c>
      <c r="M233" s="654">
        <v>0</v>
      </c>
      <c r="N233" s="654">
        <v>58400</v>
      </c>
      <c r="O233" s="654">
        <v>139170</v>
      </c>
      <c r="P233" s="654">
        <v>65530</v>
      </c>
      <c r="Q233" s="654">
        <v>3422</v>
      </c>
      <c r="R233" s="654">
        <v>0</v>
      </c>
      <c r="S233" s="654">
        <v>0</v>
      </c>
      <c r="T233" s="654">
        <v>0</v>
      </c>
      <c r="U233" s="654">
        <v>0</v>
      </c>
      <c r="V233" s="654">
        <v>0</v>
      </c>
      <c r="W233" s="654">
        <v>0</v>
      </c>
      <c r="X233" s="654">
        <v>0</v>
      </c>
      <c r="Y233" s="654">
        <v>6915528</v>
      </c>
      <c r="Z233" s="654">
        <v>266522</v>
      </c>
    </row>
    <row r="234" spans="1:26" x14ac:dyDescent="0.15">
      <c r="B234" t="s">
        <v>631</v>
      </c>
      <c r="C234" t="s">
        <v>381</v>
      </c>
      <c r="D234" s="654">
        <v>1640628</v>
      </c>
      <c r="E234" s="654">
        <v>0</v>
      </c>
      <c r="F234" s="654">
        <v>0</v>
      </c>
      <c r="G234" s="654">
        <v>0</v>
      </c>
      <c r="H234" s="654">
        <v>0</v>
      </c>
      <c r="I234" s="654">
        <v>0</v>
      </c>
      <c r="J234" s="654">
        <v>0</v>
      </c>
      <c r="K234" s="654">
        <v>0</v>
      </c>
      <c r="L234" s="654">
        <v>0</v>
      </c>
      <c r="M234" s="654">
        <v>0</v>
      </c>
      <c r="N234" s="654">
        <v>6000</v>
      </c>
      <c r="O234" s="654">
        <v>0</v>
      </c>
      <c r="P234" s="654">
        <v>0</v>
      </c>
      <c r="Q234" s="654">
        <v>0</v>
      </c>
      <c r="R234" s="654">
        <v>0</v>
      </c>
      <c r="S234" s="654">
        <v>899959</v>
      </c>
      <c r="T234" s="654">
        <v>0</v>
      </c>
      <c r="U234" s="654">
        <v>0</v>
      </c>
      <c r="V234" s="654">
        <v>0</v>
      </c>
      <c r="W234" s="654">
        <v>0</v>
      </c>
      <c r="X234" s="654">
        <v>0</v>
      </c>
      <c r="Y234" s="654">
        <v>2546587</v>
      </c>
      <c r="Z234" s="654">
        <v>905959</v>
      </c>
    </row>
    <row r="235" spans="1:26" x14ac:dyDescent="0.15">
      <c r="B235" t="s">
        <v>567</v>
      </c>
      <c r="C235" t="s">
        <v>473</v>
      </c>
      <c r="D235" s="654">
        <v>0</v>
      </c>
      <c r="E235" s="654">
        <v>0</v>
      </c>
      <c r="F235" s="654">
        <v>0</v>
      </c>
      <c r="G235" s="654">
        <v>0</v>
      </c>
      <c r="H235" s="654">
        <v>0</v>
      </c>
      <c r="I235" s="654">
        <v>0</v>
      </c>
      <c r="J235" s="654">
        <v>0</v>
      </c>
      <c r="K235" s="654">
        <v>1128974</v>
      </c>
      <c r="L235" s="654">
        <v>318645</v>
      </c>
      <c r="M235" s="654">
        <v>0</v>
      </c>
      <c r="N235" s="654">
        <v>0</v>
      </c>
      <c r="O235" s="654">
        <v>0</v>
      </c>
      <c r="P235" s="654">
        <v>0</v>
      </c>
      <c r="Q235" s="654">
        <v>0</v>
      </c>
      <c r="R235" s="654">
        <v>0</v>
      </c>
      <c r="S235" s="654">
        <v>61000</v>
      </c>
      <c r="T235" s="654">
        <v>0</v>
      </c>
      <c r="U235" s="654">
        <v>0</v>
      </c>
      <c r="V235" s="654">
        <v>-30000</v>
      </c>
      <c r="W235" s="654">
        <v>0</v>
      </c>
      <c r="X235" s="654">
        <v>0</v>
      </c>
      <c r="Y235" s="654">
        <v>1159974</v>
      </c>
      <c r="Z235" s="654">
        <v>31000</v>
      </c>
    </row>
    <row r="236" spans="1:26" x14ac:dyDescent="0.15">
      <c r="B236" t="s">
        <v>568</v>
      </c>
      <c r="C236" t="s">
        <v>474</v>
      </c>
      <c r="D236" s="654">
        <v>0</v>
      </c>
      <c r="E236" s="654">
        <v>0</v>
      </c>
      <c r="F236" s="654">
        <v>0</v>
      </c>
      <c r="G236" s="654">
        <v>0</v>
      </c>
      <c r="H236" s="654">
        <v>0</v>
      </c>
      <c r="I236" s="654">
        <v>0</v>
      </c>
      <c r="J236" s="654">
        <v>0</v>
      </c>
      <c r="K236" s="654">
        <v>1007268</v>
      </c>
      <c r="L236" s="654">
        <v>0</v>
      </c>
      <c r="M236" s="654">
        <v>0</v>
      </c>
      <c r="N236" s="654">
        <v>20000</v>
      </c>
      <c r="O236" s="654">
        <v>0</v>
      </c>
      <c r="P236" s="654">
        <v>0</v>
      </c>
      <c r="Q236" s="654">
        <v>0</v>
      </c>
      <c r="R236" s="654">
        <v>0</v>
      </c>
      <c r="S236" s="654">
        <v>98000</v>
      </c>
      <c r="T236" s="654">
        <v>0</v>
      </c>
      <c r="U236" s="654">
        <v>0</v>
      </c>
      <c r="V236" s="654">
        <v>-40000</v>
      </c>
      <c r="W236" s="654">
        <v>0</v>
      </c>
      <c r="X236" s="654">
        <v>0</v>
      </c>
      <c r="Y236" s="654">
        <v>1085268</v>
      </c>
      <c r="Z236" s="654">
        <v>78000</v>
      </c>
    </row>
    <row r="237" spans="1:26" x14ac:dyDescent="0.15">
      <c r="B237" t="s">
        <v>582</v>
      </c>
      <c r="C237" t="s">
        <v>384</v>
      </c>
      <c r="D237" s="654">
        <v>0</v>
      </c>
      <c r="E237" s="654">
        <v>0</v>
      </c>
      <c r="F237" s="654">
        <v>0</v>
      </c>
      <c r="G237" s="654">
        <v>0</v>
      </c>
      <c r="H237" s="654">
        <v>0</v>
      </c>
      <c r="I237" s="654">
        <v>0</v>
      </c>
      <c r="J237" s="654">
        <v>0</v>
      </c>
      <c r="K237" s="654">
        <v>2677988</v>
      </c>
      <c r="L237" s="654">
        <v>0</v>
      </c>
      <c r="M237" s="654">
        <v>0</v>
      </c>
      <c r="N237" s="654">
        <v>0</v>
      </c>
      <c r="O237" s="654">
        <v>0</v>
      </c>
      <c r="P237" s="654">
        <v>0</v>
      </c>
      <c r="Q237" s="654">
        <v>0</v>
      </c>
      <c r="R237" s="654">
        <v>0</v>
      </c>
      <c r="S237" s="654">
        <v>400000</v>
      </c>
      <c r="T237" s="654">
        <v>0</v>
      </c>
      <c r="U237" s="654">
        <v>0</v>
      </c>
      <c r="V237" s="654">
        <v>-100000</v>
      </c>
      <c r="W237" s="654">
        <v>0</v>
      </c>
      <c r="X237" s="654">
        <v>0</v>
      </c>
      <c r="Y237" s="654">
        <v>2977988</v>
      </c>
      <c r="Z237" s="654">
        <v>300000</v>
      </c>
    </row>
    <row r="238" spans="1:26" x14ac:dyDescent="0.15">
      <c r="B238" t="s">
        <v>671</v>
      </c>
      <c r="C238" t="s">
        <v>383</v>
      </c>
      <c r="D238" s="654">
        <v>745508</v>
      </c>
      <c r="E238" s="654">
        <v>0</v>
      </c>
      <c r="F238" s="654">
        <v>19440</v>
      </c>
      <c r="G238" s="654">
        <v>0</v>
      </c>
      <c r="H238" s="654">
        <v>0</v>
      </c>
      <c r="I238" s="654">
        <v>0</v>
      </c>
      <c r="J238" s="654">
        <v>0</v>
      </c>
      <c r="K238" s="654">
        <v>0</v>
      </c>
      <c r="L238" s="654">
        <v>0</v>
      </c>
      <c r="M238" s="654">
        <v>0</v>
      </c>
      <c r="N238" s="654">
        <v>50600</v>
      </c>
      <c r="O238" s="654">
        <v>58500</v>
      </c>
      <c r="P238" s="654">
        <v>740340</v>
      </c>
      <c r="Q238" s="654">
        <v>0</v>
      </c>
      <c r="R238" s="654">
        <v>0</v>
      </c>
      <c r="S238" s="654">
        <v>0</v>
      </c>
      <c r="T238" s="654">
        <v>0</v>
      </c>
      <c r="U238" s="654">
        <v>0</v>
      </c>
      <c r="V238" s="654">
        <v>0</v>
      </c>
      <c r="W238" s="654">
        <v>0</v>
      </c>
      <c r="X238" s="654">
        <v>0</v>
      </c>
      <c r="Y238" s="654">
        <v>1614388</v>
      </c>
      <c r="Z238" s="654">
        <v>849440</v>
      </c>
    </row>
    <row r="239" spans="1:26" x14ac:dyDescent="0.15">
      <c r="B239" t="s">
        <v>629</v>
      </c>
      <c r="C239" t="s">
        <v>676</v>
      </c>
      <c r="D239" s="654">
        <v>0</v>
      </c>
      <c r="E239" s="654">
        <v>0</v>
      </c>
      <c r="F239" s="654">
        <v>0</v>
      </c>
      <c r="G239" s="654">
        <v>0</v>
      </c>
      <c r="H239" s="654">
        <v>0</v>
      </c>
      <c r="I239" s="654">
        <v>4214501</v>
      </c>
      <c r="J239" s="654">
        <v>234931</v>
      </c>
      <c r="K239" s="654">
        <v>0</v>
      </c>
      <c r="L239" s="654">
        <v>0</v>
      </c>
      <c r="M239" s="654">
        <v>0</v>
      </c>
      <c r="N239" s="654">
        <v>7043</v>
      </c>
      <c r="O239" s="654">
        <v>0</v>
      </c>
      <c r="P239" s="654">
        <v>0</v>
      </c>
      <c r="Q239" s="654">
        <v>0</v>
      </c>
      <c r="R239" s="654">
        <v>0</v>
      </c>
      <c r="S239" s="654">
        <v>0</v>
      </c>
      <c r="T239" s="654">
        <v>246950</v>
      </c>
      <c r="U239" s="654">
        <v>0</v>
      </c>
      <c r="V239" s="654">
        <v>0</v>
      </c>
      <c r="W239" s="654">
        <v>0</v>
      </c>
      <c r="X239" s="654">
        <v>0</v>
      </c>
      <c r="Y239" s="654">
        <v>4468494</v>
      </c>
      <c r="Z239" s="654">
        <v>253993</v>
      </c>
    </row>
    <row r="240" spans="1:26" x14ac:dyDescent="0.15">
      <c r="B240" t="s">
        <v>965</v>
      </c>
      <c r="C240" t="s">
        <v>986</v>
      </c>
      <c r="D240" s="654">
        <v>493984</v>
      </c>
      <c r="E240" s="654">
        <v>48263</v>
      </c>
      <c r="F240" s="654">
        <v>168666</v>
      </c>
      <c r="G240" s="654">
        <v>39217</v>
      </c>
      <c r="H240" s="654">
        <v>0</v>
      </c>
      <c r="I240" s="654">
        <v>0</v>
      </c>
      <c r="J240" s="654">
        <v>0</v>
      </c>
      <c r="K240" s="654">
        <v>0</v>
      </c>
      <c r="L240" s="654">
        <v>0</v>
      </c>
      <c r="M240" s="654">
        <v>0</v>
      </c>
      <c r="N240" s="654">
        <v>0</v>
      </c>
      <c r="O240" s="654">
        <v>0</v>
      </c>
      <c r="P240" s="654">
        <v>0</v>
      </c>
      <c r="Q240" s="654">
        <v>430</v>
      </c>
      <c r="R240" s="654">
        <v>0</v>
      </c>
      <c r="S240" s="654">
        <v>0</v>
      </c>
      <c r="T240" s="654">
        <v>0</v>
      </c>
      <c r="U240" s="654">
        <v>0</v>
      </c>
      <c r="V240" s="654">
        <v>0</v>
      </c>
      <c r="W240" s="654">
        <v>0</v>
      </c>
      <c r="X240" s="654">
        <v>0</v>
      </c>
      <c r="Y240" s="654">
        <v>663080</v>
      </c>
      <c r="Z240" s="654">
        <v>430</v>
      </c>
    </row>
    <row r="241" spans="1:26" x14ac:dyDescent="0.15">
      <c r="A241" s="653" t="s">
        <v>1217</v>
      </c>
      <c r="B241"/>
      <c r="D241" s="654">
        <v>20383195</v>
      </c>
      <c r="E241" s="654">
        <v>2327603</v>
      </c>
      <c r="F241" s="654">
        <v>4300320</v>
      </c>
      <c r="G241" s="654">
        <v>965473</v>
      </c>
      <c r="H241" s="654">
        <v>1273126</v>
      </c>
      <c r="I241" s="654">
        <v>4214501</v>
      </c>
      <c r="J241" s="654">
        <v>234931</v>
      </c>
      <c r="K241" s="654">
        <v>4814230</v>
      </c>
      <c r="L241" s="654">
        <v>318645</v>
      </c>
      <c r="M241" s="654">
        <v>0</v>
      </c>
      <c r="N241" s="654">
        <v>609713</v>
      </c>
      <c r="O241" s="654">
        <v>234172</v>
      </c>
      <c r="P241" s="654">
        <v>805870</v>
      </c>
      <c r="Q241" s="654">
        <v>11522</v>
      </c>
      <c r="R241" s="654">
        <v>256278</v>
      </c>
      <c r="S241" s="654">
        <v>1458959</v>
      </c>
      <c r="T241" s="654">
        <v>246950</v>
      </c>
      <c r="U241" s="654">
        <v>111000</v>
      </c>
      <c r="V241" s="654">
        <v>-170000</v>
      </c>
      <c r="W241" s="654">
        <v>0</v>
      </c>
      <c r="X241" s="654">
        <v>0</v>
      </c>
      <c r="Y241" s="654">
        <v>38549836</v>
      </c>
      <c r="Z241" s="654">
        <v>3564464</v>
      </c>
    </row>
    <row r="242" spans="1:26" x14ac:dyDescent="0.15">
      <c r="A242" s="653">
        <v>43313</v>
      </c>
      <c r="B242" t="s">
        <v>626</v>
      </c>
      <c r="C242" t="s">
        <v>378</v>
      </c>
      <c r="D242" s="654">
        <v>7766185</v>
      </c>
      <c r="E242" s="654">
        <v>1186196</v>
      </c>
      <c r="F242" s="654">
        <v>1069802</v>
      </c>
      <c r="G242" s="654">
        <v>250906</v>
      </c>
      <c r="H242" s="654">
        <v>668845</v>
      </c>
      <c r="I242" s="654">
        <v>0</v>
      </c>
      <c r="J242" s="654">
        <v>0</v>
      </c>
      <c r="K242" s="654">
        <v>0</v>
      </c>
      <c r="L242" s="654">
        <v>0</v>
      </c>
      <c r="M242" s="654">
        <v>0</v>
      </c>
      <c r="N242" s="654">
        <v>68600</v>
      </c>
      <c r="O242" s="654">
        <v>40413</v>
      </c>
      <c r="P242" s="654">
        <v>0</v>
      </c>
      <c r="Q242" s="654">
        <v>6445</v>
      </c>
      <c r="R242" s="654">
        <v>121905</v>
      </c>
      <c r="S242" s="654">
        <v>0</v>
      </c>
      <c r="T242" s="654">
        <v>0</v>
      </c>
      <c r="U242" s="654">
        <v>100560</v>
      </c>
      <c r="V242" s="654">
        <v>0</v>
      </c>
      <c r="W242" s="654">
        <v>0</v>
      </c>
      <c r="X242" s="654">
        <v>0</v>
      </c>
      <c r="Y242" s="654">
        <v>9842755</v>
      </c>
      <c r="Z242" s="654">
        <v>337923</v>
      </c>
    </row>
    <row r="243" spans="1:26" x14ac:dyDescent="0.15">
      <c r="B243" t="s">
        <v>627</v>
      </c>
      <c r="C243" t="s">
        <v>379</v>
      </c>
      <c r="D243" s="654">
        <v>4436142</v>
      </c>
      <c r="E243" s="654">
        <v>460193</v>
      </c>
      <c r="F243" s="654">
        <v>876207</v>
      </c>
      <c r="G243" s="654">
        <v>202922</v>
      </c>
      <c r="H243" s="654">
        <v>514013</v>
      </c>
      <c r="I243" s="654">
        <v>0</v>
      </c>
      <c r="J243" s="654">
        <v>0</v>
      </c>
      <c r="K243" s="654">
        <v>0</v>
      </c>
      <c r="L243" s="654">
        <v>0</v>
      </c>
      <c r="M243" s="654">
        <v>0</v>
      </c>
      <c r="N243" s="654">
        <v>214982</v>
      </c>
      <c r="O243" s="654">
        <v>0</v>
      </c>
      <c r="P243" s="654">
        <v>0</v>
      </c>
      <c r="Q243" s="654">
        <v>1666</v>
      </c>
      <c r="R243" s="654">
        <v>127794</v>
      </c>
      <c r="S243" s="654">
        <v>0</v>
      </c>
      <c r="T243" s="654">
        <v>0</v>
      </c>
      <c r="U243" s="654">
        <v>0</v>
      </c>
      <c r="V243" s="654">
        <v>0</v>
      </c>
      <c r="W243" s="654">
        <v>0</v>
      </c>
      <c r="X243" s="654">
        <v>0</v>
      </c>
      <c r="Y243" s="654">
        <v>6170804</v>
      </c>
      <c r="Z243" s="654">
        <v>344442</v>
      </c>
    </row>
    <row r="244" spans="1:26" x14ac:dyDescent="0.15">
      <c r="B244" t="s">
        <v>628</v>
      </c>
      <c r="C244" t="s">
        <v>380</v>
      </c>
      <c r="D244" s="654">
        <v>5454025</v>
      </c>
      <c r="E244" s="654">
        <v>580102</v>
      </c>
      <c r="F244" s="654">
        <v>1787227</v>
      </c>
      <c r="G244" s="654">
        <v>415616</v>
      </c>
      <c r="H244" s="654">
        <v>0</v>
      </c>
      <c r="I244" s="654">
        <v>0</v>
      </c>
      <c r="J244" s="654">
        <v>0</v>
      </c>
      <c r="K244" s="654">
        <v>0</v>
      </c>
      <c r="L244" s="654">
        <v>0</v>
      </c>
      <c r="M244" s="654">
        <v>0</v>
      </c>
      <c r="N244" s="654">
        <v>83200</v>
      </c>
      <c r="O244" s="654">
        <v>106370</v>
      </c>
      <c r="P244" s="654">
        <v>82380</v>
      </c>
      <c r="Q244" s="654">
        <v>6152</v>
      </c>
      <c r="R244" s="654">
        <v>0</v>
      </c>
      <c r="S244" s="654">
        <v>0</v>
      </c>
      <c r="T244" s="654">
        <v>0</v>
      </c>
      <c r="U244" s="654">
        <v>0</v>
      </c>
      <c r="V244" s="654">
        <v>0</v>
      </c>
      <c r="W244" s="654">
        <v>0</v>
      </c>
      <c r="X244" s="654">
        <v>0</v>
      </c>
      <c r="Y244" s="654">
        <v>7519354</v>
      </c>
      <c r="Z244" s="654">
        <v>278102</v>
      </c>
    </row>
    <row r="245" spans="1:26" x14ac:dyDescent="0.15">
      <c r="B245" t="s">
        <v>631</v>
      </c>
      <c r="C245" t="s">
        <v>381</v>
      </c>
      <c r="D245" s="654">
        <v>1573689</v>
      </c>
      <c r="E245" s="654">
        <v>0</v>
      </c>
      <c r="F245" s="654">
        <v>0</v>
      </c>
      <c r="G245" s="654">
        <v>0</v>
      </c>
      <c r="H245" s="654">
        <v>0</v>
      </c>
      <c r="I245" s="654">
        <v>0</v>
      </c>
      <c r="J245" s="654">
        <v>0</v>
      </c>
      <c r="K245" s="654">
        <v>0</v>
      </c>
      <c r="L245" s="654">
        <v>0</v>
      </c>
      <c r="M245" s="654">
        <v>0</v>
      </c>
      <c r="N245" s="654">
        <v>7200</v>
      </c>
      <c r="O245" s="654">
        <v>0</v>
      </c>
      <c r="P245" s="654">
        <v>0</v>
      </c>
      <c r="Q245" s="654">
        <v>0</v>
      </c>
      <c r="R245" s="654">
        <v>0</v>
      </c>
      <c r="S245" s="654">
        <v>770580</v>
      </c>
      <c r="T245" s="654">
        <v>0</v>
      </c>
      <c r="U245" s="654">
        <v>0</v>
      </c>
      <c r="V245" s="654">
        <v>0</v>
      </c>
      <c r="W245" s="654">
        <v>0</v>
      </c>
      <c r="X245" s="654">
        <v>0</v>
      </c>
      <c r="Y245" s="654">
        <v>2351469</v>
      </c>
      <c r="Z245" s="654">
        <v>777780</v>
      </c>
    </row>
    <row r="246" spans="1:26" x14ac:dyDescent="0.15">
      <c r="B246" t="s">
        <v>567</v>
      </c>
      <c r="C246" t="s">
        <v>473</v>
      </c>
      <c r="D246" s="654">
        <v>0</v>
      </c>
      <c r="E246" s="654">
        <v>0</v>
      </c>
      <c r="F246" s="654">
        <v>0</v>
      </c>
      <c r="G246" s="654">
        <v>0</v>
      </c>
      <c r="H246" s="654">
        <v>0</v>
      </c>
      <c r="I246" s="654">
        <v>0</v>
      </c>
      <c r="J246" s="654">
        <v>0</v>
      </c>
      <c r="K246" s="654">
        <v>839546</v>
      </c>
      <c r="L246" s="654">
        <v>255357</v>
      </c>
      <c r="M246" s="654">
        <v>0</v>
      </c>
      <c r="N246" s="654">
        <v>0</v>
      </c>
      <c r="O246" s="654">
        <v>0</v>
      </c>
      <c r="P246" s="654">
        <v>0</v>
      </c>
      <c r="Q246" s="654">
        <v>0</v>
      </c>
      <c r="R246" s="654">
        <v>0</v>
      </c>
      <c r="S246" s="654">
        <v>61000</v>
      </c>
      <c r="T246" s="654">
        <v>0</v>
      </c>
      <c r="U246" s="654">
        <v>0</v>
      </c>
      <c r="V246" s="654">
        <v>-30000</v>
      </c>
      <c r="W246" s="654">
        <v>0</v>
      </c>
      <c r="X246" s="654">
        <v>0</v>
      </c>
      <c r="Y246" s="654">
        <v>870546</v>
      </c>
      <c r="Z246" s="654">
        <v>31000</v>
      </c>
    </row>
    <row r="247" spans="1:26" x14ac:dyDescent="0.15">
      <c r="B247" t="s">
        <v>568</v>
      </c>
      <c r="C247" t="s">
        <v>474</v>
      </c>
      <c r="D247" s="654">
        <v>0</v>
      </c>
      <c r="E247" s="654">
        <v>0</v>
      </c>
      <c r="F247" s="654">
        <v>0</v>
      </c>
      <c r="G247" s="654">
        <v>0</v>
      </c>
      <c r="H247" s="654">
        <v>0</v>
      </c>
      <c r="I247" s="654">
        <v>0</v>
      </c>
      <c r="J247" s="654">
        <v>0</v>
      </c>
      <c r="K247" s="654">
        <v>827999</v>
      </c>
      <c r="L247" s="654">
        <v>0</v>
      </c>
      <c r="M247" s="654">
        <v>0</v>
      </c>
      <c r="N247" s="654">
        <v>38000</v>
      </c>
      <c r="O247" s="654">
        <v>0</v>
      </c>
      <c r="P247" s="654">
        <v>0</v>
      </c>
      <c r="Q247" s="654">
        <v>0</v>
      </c>
      <c r="R247" s="654">
        <v>0</v>
      </c>
      <c r="S247" s="654">
        <v>98000</v>
      </c>
      <c r="T247" s="654">
        <v>0</v>
      </c>
      <c r="U247" s="654">
        <v>0</v>
      </c>
      <c r="V247" s="654">
        <v>-40000</v>
      </c>
      <c r="W247" s="654">
        <v>0</v>
      </c>
      <c r="X247" s="654">
        <v>0</v>
      </c>
      <c r="Y247" s="654">
        <v>923999</v>
      </c>
      <c r="Z247" s="654">
        <v>96000</v>
      </c>
    </row>
    <row r="248" spans="1:26" x14ac:dyDescent="0.15">
      <c r="B248" t="s">
        <v>582</v>
      </c>
      <c r="C248" t="s">
        <v>384</v>
      </c>
      <c r="D248" s="654">
        <v>0</v>
      </c>
      <c r="E248" s="654">
        <v>0</v>
      </c>
      <c r="F248" s="654">
        <v>0</v>
      </c>
      <c r="G248" s="654">
        <v>0</v>
      </c>
      <c r="H248" s="654">
        <v>0</v>
      </c>
      <c r="I248" s="654">
        <v>0</v>
      </c>
      <c r="J248" s="654">
        <v>0</v>
      </c>
      <c r="K248" s="654">
        <v>2198275</v>
      </c>
      <c r="L248" s="654">
        <v>0</v>
      </c>
      <c r="M248" s="654">
        <v>0</v>
      </c>
      <c r="N248" s="654">
        <v>0</v>
      </c>
      <c r="O248" s="654">
        <v>0</v>
      </c>
      <c r="P248" s="654">
        <v>0</v>
      </c>
      <c r="Q248" s="654">
        <v>0</v>
      </c>
      <c r="R248" s="654">
        <v>0</v>
      </c>
      <c r="S248" s="654">
        <v>360000</v>
      </c>
      <c r="T248" s="654">
        <v>0</v>
      </c>
      <c r="U248" s="654">
        <v>0</v>
      </c>
      <c r="V248" s="654">
        <v>-90000</v>
      </c>
      <c r="W248" s="654">
        <v>0</v>
      </c>
      <c r="X248" s="654">
        <v>0</v>
      </c>
      <c r="Y248" s="654">
        <v>2468275</v>
      </c>
      <c r="Z248" s="654">
        <v>270000</v>
      </c>
    </row>
    <row r="249" spans="1:26" x14ac:dyDescent="0.15">
      <c r="B249" t="s">
        <v>671</v>
      </c>
      <c r="C249" t="s">
        <v>383</v>
      </c>
      <c r="D249" s="654">
        <v>512163</v>
      </c>
      <c r="E249" s="654">
        <v>0</v>
      </c>
      <c r="F249" s="654">
        <v>52190</v>
      </c>
      <c r="G249" s="654">
        <v>0</v>
      </c>
      <c r="H249" s="654">
        <v>0</v>
      </c>
      <c r="I249" s="654">
        <v>0</v>
      </c>
      <c r="J249" s="654">
        <v>0</v>
      </c>
      <c r="K249" s="654">
        <v>0</v>
      </c>
      <c r="L249" s="654">
        <v>0</v>
      </c>
      <c r="M249" s="654">
        <v>0</v>
      </c>
      <c r="N249" s="654">
        <v>75300</v>
      </c>
      <c r="O249" s="654">
        <v>14040</v>
      </c>
      <c r="P249" s="654">
        <v>790830</v>
      </c>
      <c r="Q249" s="654">
        <v>0</v>
      </c>
      <c r="R249" s="654">
        <v>0</v>
      </c>
      <c r="S249" s="654">
        <v>0</v>
      </c>
      <c r="T249" s="654">
        <v>0</v>
      </c>
      <c r="U249" s="654">
        <v>0</v>
      </c>
      <c r="V249" s="654">
        <v>0</v>
      </c>
      <c r="W249" s="654">
        <v>0</v>
      </c>
      <c r="X249" s="654">
        <v>0</v>
      </c>
      <c r="Y249" s="654">
        <v>1444523</v>
      </c>
      <c r="Z249" s="654">
        <v>880170</v>
      </c>
    </row>
    <row r="250" spans="1:26" x14ac:dyDescent="0.15">
      <c r="B250" t="s">
        <v>629</v>
      </c>
      <c r="C250" t="s">
        <v>676</v>
      </c>
      <c r="D250" s="654">
        <v>0</v>
      </c>
      <c r="E250" s="654">
        <v>0</v>
      </c>
      <c r="F250" s="654">
        <v>0</v>
      </c>
      <c r="G250" s="654">
        <v>0</v>
      </c>
      <c r="H250" s="654">
        <v>0</v>
      </c>
      <c r="I250" s="654">
        <v>4228735</v>
      </c>
      <c r="J250" s="654">
        <v>235524</v>
      </c>
      <c r="K250" s="654">
        <v>0</v>
      </c>
      <c r="L250" s="654">
        <v>0</v>
      </c>
      <c r="M250" s="654">
        <v>0</v>
      </c>
      <c r="N250" s="654">
        <v>1045</v>
      </c>
      <c r="O250" s="654">
        <v>0</v>
      </c>
      <c r="P250" s="654">
        <v>0</v>
      </c>
      <c r="Q250" s="654">
        <v>0</v>
      </c>
      <c r="R250" s="654">
        <v>0</v>
      </c>
      <c r="S250" s="654">
        <v>0</v>
      </c>
      <c r="T250" s="654">
        <v>264450</v>
      </c>
      <c r="U250" s="654">
        <v>0</v>
      </c>
      <c r="V250" s="654">
        <v>0</v>
      </c>
      <c r="W250" s="654">
        <v>0</v>
      </c>
      <c r="X250" s="654">
        <v>0</v>
      </c>
      <c r="Y250" s="654">
        <v>4494230</v>
      </c>
      <c r="Z250" s="654">
        <v>265495</v>
      </c>
    </row>
    <row r="251" spans="1:26" x14ac:dyDescent="0.15">
      <c r="B251" t="s">
        <v>965</v>
      </c>
      <c r="C251" t="s">
        <v>986</v>
      </c>
      <c r="D251" s="654">
        <v>485683</v>
      </c>
      <c r="E251" s="654">
        <v>50020</v>
      </c>
      <c r="F251" s="654">
        <v>129186</v>
      </c>
      <c r="G251" s="654">
        <v>5777</v>
      </c>
      <c r="H251" s="654">
        <v>0</v>
      </c>
      <c r="I251" s="654">
        <v>0</v>
      </c>
      <c r="J251" s="654">
        <v>0</v>
      </c>
      <c r="K251" s="654">
        <v>0</v>
      </c>
      <c r="L251" s="654">
        <v>0</v>
      </c>
      <c r="M251" s="654">
        <v>0</v>
      </c>
      <c r="N251" s="654">
        <v>9600</v>
      </c>
      <c r="O251" s="654">
        <v>0</v>
      </c>
      <c r="P251" s="654">
        <v>0</v>
      </c>
      <c r="Q251" s="654">
        <v>357</v>
      </c>
      <c r="R251" s="654">
        <v>0</v>
      </c>
      <c r="S251" s="654">
        <v>0</v>
      </c>
      <c r="T251" s="654">
        <v>0</v>
      </c>
      <c r="U251" s="654">
        <v>0</v>
      </c>
      <c r="V251" s="654">
        <v>0</v>
      </c>
      <c r="W251" s="654">
        <v>0</v>
      </c>
      <c r="X251" s="654">
        <v>0</v>
      </c>
      <c r="Y251" s="654">
        <v>624826</v>
      </c>
      <c r="Z251" s="654">
        <v>9957</v>
      </c>
    </row>
    <row r="252" spans="1:26" x14ac:dyDescent="0.15">
      <c r="A252" s="653" t="s">
        <v>1298</v>
      </c>
      <c r="B252"/>
      <c r="D252" s="654">
        <v>20227887</v>
      </c>
      <c r="E252" s="654">
        <v>2276511</v>
      </c>
      <c r="F252" s="654">
        <v>3914612</v>
      </c>
      <c r="G252" s="654">
        <v>875221</v>
      </c>
      <c r="H252" s="654">
        <v>1182858</v>
      </c>
      <c r="I252" s="654">
        <v>4228735</v>
      </c>
      <c r="J252" s="654">
        <v>235524</v>
      </c>
      <c r="K252" s="654">
        <v>3865820</v>
      </c>
      <c r="L252" s="654">
        <v>255357</v>
      </c>
      <c r="M252" s="654">
        <v>0</v>
      </c>
      <c r="N252" s="654">
        <v>497927</v>
      </c>
      <c r="O252" s="654">
        <v>160823</v>
      </c>
      <c r="P252" s="654">
        <v>873210</v>
      </c>
      <c r="Q252" s="654">
        <v>14620</v>
      </c>
      <c r="R252" s="654">
        <v>249699</v>
      </c>
      <c r="S252" s="654">
        <v>1289580</v>
      </c>
      <c r="T252" s="654">
        <v>264450</v>
      </c>
      <c r="U252" s="654">
        <v>100560</v>
      </c>
      <c r="V252" s="654">
        <v>-160000</v>
      </c>
      <c r="W252" s="654">
        <v>0</v>
      </c>
      <c r="X252" s="654">
        <v>0</v>
      </c>
      <c r="Y252" s="654">
        <v>36710781</v>
      </c>
      <c r="Z252" s="654">
        <v>3290869</v>
      </c>
    </row>
    <row r="253" spans="1:26" x14ac:dyDescent="0.15">
      <c r="A253" s="653">
        <v>43344</v>
      </c>
      <c r="B253" t="s">
        <v>626</v>
      </c>
      <c r="C253" t="s">
        <v>378</v>
      </c>
      <c r="D253" s="654">
        <v>8429204</v>
      </c>
      <c r="E253" s="654">
        <v>1222108</v>
      </c>
      <c r="F253" s="654">
        <v>1775376</v>
      </c>
      <c r="G253" s="654">
        <v>353946</v>
      </c>
      <c r="H253" s="654">
        <v>700186</v>
      </c>
      <c r="I253" s="654">
        <v>0</v>
      </c>
      <c r="J253" s="654">
        <v>0</v>
      </c>
      <c r="K253" s="654">
        <v>0</v>
      </c>
      <c r="L253" s="654">
        <v>0</v>
      </c>
      <c r="M253" s="654">
        <v>0</v>
      </c>
      <c r="N253" s="654">
        <v>55863</v>
      </c>
      <c r="O253" s="654">
        <v>47339</v>
      </c>
      <c r="P253" s="654">
        <v>0</v>
      </c>
      <c r="Q253" s="654">
        <v>7457</v>
      </c>
      <c r="R253" s="654">
        <v>124905</v>
      </c>
      <c r="S253" s="654">
        <v>0</v>
      </c>
      <c r="T253" s="654">
        <v>0</v>
      </c>
      <c r="U253" s="654">
        <v>99180</v>
      </c>
      <c r="V253" s="654">
        <v>0</v>
      </c>
      <c r="W253" s="654">
        <v>0</v>
      </c>
      <c r="X253" s="654">
        <v>0</v>
      </c>
      <c r="Y253" s="654">
        <v>11239510</v>
      </c>
      <c r="Z253" s="654">
        <v>334744</v>
      </c>
    </row>
    <row r="254" spans="1:26" x14ac:dyDescent="0.15">
      <c r="B254" t="s">
        <v>627</v>
      </c>
      <c r="C254" t="s">
        <v>379</v>
      </c>
      <c r="D254" s="654">
        <v>4394228</v>
      </c>
      <c r="E254" s="654">
        <v>480619</v>
      </c>
      <c r="F254" s="654">
        <v>893484</v>
      </c>
      <c r="G254" s="654">
        <v>206934</v>
      </c>
      <c r="H254" s="654">
        <v>505814</v>
      </c>
      <c r="I254" s="654">
        <v>0</v>
      </c>
      <c r="J254" s="654">
        <v>0</v>
      </c>
      <c r="K254" s="654">
        <v>0</v>
      </c>
      <c r="L254" s="654">
        <v>0</v>
      </c>
      <c r="M254" s="654">
        <v>0</v>
      </c>
      <c r="N254" s="654">
        <v>222988</v>
      </c>
      <c r="O254" s="654">
        <v>0</v>
      </c>
      <c r="P254" s="654">
        <v>0</v>
      </c>
      <c r="Q254" s="654">
        <v>931</v>
      </c>
      <c r="R254" s="654">
        <v>139611</v>
      </c>
      <c r="S254" s="654">
        <v>0</v>
      </c>
      <c r="T254" s="654">
        <v>0</v>
      </c>
      <c r="U254" s="654">
        <v>0</v>
      </c>
      <c r="V254" s="654">
        <v>0</v>
      </c>
      <c r="W254" s="654">
        <v>0</v>
      </c>
      <c r="X254" s="654">
        <v>0</v>
      </c>
      <c r="Y254" s="654">
        <v>6157056</v>
      </c>
      <c r="Z254" s="654">
        <v>363530</v>
      </c>
    </row>
    <row r="255" spans="1:26" x14ac:dyDescent="0.15">
      <c r="B255" t="s">
        <v>628</v>
      </c>
      <c r="C255" t="s">
        <v>380</v>
      </c>
      <c r="D255" s="654">
        <v>4741795</v>
      </c>
      <c r="E255" s="654">
        <v>517769</v>
      </c>
      <c r="F255" s="654">
        <v>1721700</v>
      </c>
      <c r="G255" s="654">
        <v>399005</v>
      </c>
      <c r="H255" s="654">
        <v>0</v>
      </c>
      <c r="I255" s="654">
        <v>0</v>
      </c>
      <c r="J255" s="654">
        <v>0</v>
      </c>
      <c r="K255" s="654">
        <v>0</v>
      </c>
      <c r="L255" s="654">
        <v>0</v>
      </c>
      <c r="M255" s="654">
        <v>0</v>
      </c>
      <c r="N255" s="654">
        <v>66600</v>
      </c>
      <c r="O255" s="654">
        <v>179060</v>
      </c>
      <c r="P255" s="654">
        <v>61034</v>
      </c>
      <c r="Q255" s="654">
        <v>4172</v>
      </c>
      <c r="R255" s="654">
        <v>0</v>
      </c>
      <c r="S255" s="654">
        <v>0</v>
      </c>
      <c r="T255" s="654">
        <v>0</v>
      </c>
      <c r="U255" s="654">
        <v>0</v>
      </c>
      <c r="V255" s="654">
        <v>0</v>
      </c>
      <c r="W255" s="654">
        <v>0</v>
      </c>
      <c r="X255" s="654">
        <v>0</v>
      </c>
      <c r="Y255" s="654">
        <v>6774361</v>
      </c>
      <c r="Z255" s="654">
        <v>310866</v>
      </c>
    </row>
    <row r="256" spans="1:26" x14ac:dyDescent="0.15">
      <c r="B256" t="s">
        <v>631</v>
      </c>
      <c r="C256" t="s">
        <v>381</v>
      </c>
      <c r="D256" s="654">
        <v>1331333</v>
      </c>
      <c r="E256" s="654">
        <v>0</v>
      </c>
      <c r="F256" s="654">
        <v>0</v>
      </c>
      <c r="G256" s="654">
        <v>0</v>
      </c>
      <c r="H256" s="654">
        <v>0</v>
      </c>
      <c r="I256" s="654">
        <v>0</v>
      </c>
      <c r="J256" s="654">
        <v>0</v>
      </c>
      <c r="K256" s="654">
        <v>0</v>
      </c>
      <c r="L256" s="654">
        <v>0</v>
      </c>
      <c r="M256" s="654">
        <v>0</v>
      </c>
      <c r="N256" s="654">
        <v>1200</v>
      </c>
      <c r="O256" s="654">
        <v>0</v>
      </c>
      <c r="P256" s="654">
        <v>0</v>
      </c>
      <c r="Q256" s="654">
        <v>0</v>
      </c>
      <c r="R256" s="654">
        <v>0</v>
      </c>
      <c r="S256" s="654">
        <v>779540</v>
      </c>
      <c r="T256" s="654">
        <v>0</v>
      </c>
      <c r="U256" s="654">
        <v>0</v>
      </c>
      <c r="V256" s="654">
        <v>0</v>
      </c>
      <c r="W256" s="654">
        <v>0</v>
      </c>
      <c r="X256" s="654">
        <v>0</v>
      </c>
      <c r="Y256" s="654">
        <v>2112073</v>
      </c>
      <c r="Z256" s="654">
        <v>780740</v>
      </c>
    </row>
    <row r="257" spans="1:26" x14ac:dyDescent="0.15">
      <c r="B257" t="s">
        <v>567</v>
      </c>
      <c r="C257" t="s">
        <v>473</v>
      </c>
      <c r="D257" s="654">
        <v>0</v>
      </c>
      <c r="E257" s="654">
        <v>0</v>
      </c>
      <c r="F257" s="654">
        <v>0</v>
      </c>
      <c r="G257" s="654">
        <v>0</v>
      </c>
      <c r="H257" s="654">
        <v>0</v>
      </c>
      <c r="I257" s="654">
        <v>0</v>
      </c>
      <c r="J257" s="654">
        <v>0</v>
      </c>
      <c r="K257" s="654">
        <v>813636</v>
      </c>
      <c r="L257" s="654">
        <v>272142</v>
      </c>
      <c r="M257" s="654">
        <v>0</v>
      </c>
      <c r="N257" s="654">
        <v>0</v>
      </c>
      <c r="O257" s="654">
        <v>0</v>
      </c>
      <c r="P257" s="654">
        <v>0</v>
      </c>
      <c r="Q257" s="654">
        <v>0</v>
      </c>
      <c r="R257" s="654">
        <v>0</v>
      </c>
      <c r="S257" s="654">
        <v>78000</v>
      </c>
      <c r="T257" s="654">
        <v>0</v>
      </c>
      <c r="U257" s="654">
        <v>0</v>
      </c>
      <c r="V257" s="654">
        <v>-30000</v>
      </c>
      <c r="W257" s="654">
        <v>0</v>
      </c>
      <c r="X257" s="654">
        <v>0</v>
      </c>
      <c r="Y257" s="654">
        <v>861636</v>
      </c>
      <c r="Z257" s="654">
        <v>48000</v>
      </c>
    </row>
    <row r="258" spans="1:26" x14ac:dyDescent="0.15">
      <c r="B258" t="s">
        <v>568</v>
      </c>
      <c r="C258" t="s">
        <v>474</v>
      </c>
      <c r="D258" s="654">
        <v>0</v>
      </c>
      <c r="E258" s="654">
        <v>0</v>
      </c>
      <c r="F258" s="654">
        <v>0</v>
      </c>
      <c r="G258" s="654">
        <v>0</v>
      </c>
      <c r="H258" s="654">
        <v>0</v>
      </c>
      <c r="I258" s="654">
        <v>0</v>
      </c>
      <c r="J258" s="654">
        <v>0</v>
      </c>
      <c r="K258" s="654">
        <v>1003585</v>
      </c>
      <c r="L258" s="654">
        <v>0</v>
      </c>
      <c r="M258" s="654">
        <v>0</v>
      </c>
      <c r="N258" s="654">
        <v>0</v>
      </c>
      <c r="O258" s="654">
        <v>0</v>
      </c>
      <c r="P258" s="654">
        <v>0</v>
      </c>
      <c r="Q258" s="654">
        <v>0</v>
      </c>
      <c r="R258" s="654">
        <v>0</v>
      </c>
      <c r="S258" s="654">
        <v>86500</v>
      </c>
      <c r="T258" s="654">
        <v>0</v>
      </c>
      <c r="U258" s="654">
        <v>0</v>
      </c>
      <c r="V258" s="654">
        <v>-40000</v>
      </c>
      <c r="W258" s="654">
        <v>0</v>
      </c>
      <c r="X258" s="654">
        <v>0</v>
      </c>
      <c r="Y258" s="654">
        <v>1050085</v>
      </c>
      <c r="Z258" s="654">
        <v>46500</v>
      </c>
    </row>
    <row r="259" spans="1:26" x14ac:dyDescent="0.15">
      <c r="B259" t="s">
        <v>582</v>
      </c>
      <c r="C259" t="s">
        <v>384</v>
      </c>
      <c r="D259" s="654">
        <v>0</v>
      </c>
      <c r="E259" s="654">
        <v>0</v>
      </c>
      <c r="F259" s="654">
        <v>0</v>
      </c>
      <c r="G259" s="654">
        <v>0</v>
      </c>
      <c r="H259" s="654">
        <v>0</v>
      </c>
      <c r="I259" s="654">
        <v>0</v>
      </c>
      <c r="J259" s="654">
        <v>0</v>
      </c>
      <c r="K259" s="654">
        <v>2292635</v>
      </c>
      <c r="L259" s="654">
        <v>0</v>
      </c>
      <c r="M259" s="654">
        <v>0</v>
      </c>
      <c r="N259" s="654">
        <v>0</v>
      </c>
      <c r="O259" s="654">
        <v>0</v>
      </c>
      <c r="P259" s="654">
        <v>0</v>
      </c>
      <c r="Q259" s="654">
        <v>0</v>
      </c>
      <c r="R259" s="654">
        <v>0</v>
      </c>
      <c r="S259" s="654">
        <v>384750</v>
      </c>
      <c r="T259" s="654">
        <v>0</v>
      </c>
      <c r="U259" s="654">
        <v>0</v>
      </c>
      <c r="V259" s="654">
        <v>-90000</v>
      </c>
      <c r="W259" s="654">
        <v>0</v>
      </c>
      <c r="X259" s="654">
        <v>0</v>
      </c>
      <c r="Y259" s="654">
        <v>2587385</v>
      </c>
      <c r="Z259" s="654">
        <v>294750</v>
      </c>
    </row>
    <row r="260" spans="1:26" x14ac:dyDescent="0.15">
      <c r="B260" t="s">
        <v>671</v>
      </c>
      <c r="C260" t="s">
        <v>383</v>
      </c>
      <c r="D260" s="654">
        <v>379821</v>
      </c>
      <c r="E260" s="654">
        <v>0</v>
      </c>
      <c r="F260" s="654">
        <v>19400</v>
      </c>
      <c r="G260" s="654">
        <v>0</v>
      </c>
      <c r="H260" s="654">
        <v>0</v>
      </c>
      <c r="I260" s="654">
        <v>0</v>
      </c>
      <c r="J260" s="654">
        <v>0</v>
      </c>
      <c r="K260" s="654">
        <v>0</v>
      </c>
      <c r="L260" s="654">
        <v>0</v>
      </c>
      <c r="M260" s="654">
        <v>0</v>
      </c>
      <c r="N260" s="654">
        <v>46800</v>
      </c>
      <c r="O260" s="654">
        <v>0</v>
      </c>
      <c r="P260" s="654">
        <v>682935</v>
      </c>
      <c r="Q260" s="654">
        <v>0</v>
      </c>
      <c r="R260" s="654">
        <v>0</v>
      </c>
      <c r="S260" s="654">
        <v>0</v>
      </c>
      <c r="T260" s="654">
        <v>0</v>
      </c>
      <c r="U260" s="654">
        <v>0</v>
      </c>
      <c r="V260" s="654">
        <v>0</v>
      </c>
      <c r="W260" s="654">
        <v>0</v>
      </c>
      <c r="X260" s="654">
        <v>0</v>
      </c>
      <c r="Y260" s="654">
        <v>1128956</v>
      </c>
      <c r="Z260" s="654">
        <v>729735</v>
      </c>
    </row>
    <row r="261" spans="1:26" x14ac:dyDescent="0.15">
      <c r="B261" t="s">
        <v>629</v>
      </c>
      <c r="C261" t="s">
        <v>676</v>
      </c>
      <c r="D261" s="654">
        <v>0</v>
      </c>
      <c r="E261" s="654">
        <v>0</v>
      </c>
      <c r="F261" s="654">
        <v>0</v>
      </c>
      <c r="G261" s="654">
        <v>0</v>
      </c>
      <c r="H261" s="654">
        <v>0</v>
      </c>
      <c r="I261" s="654">
        <v>4184601</v>
      </c>
      <c r="J261" s="654">
        <v>233085</v>
      </c>
      <c r="K261" s="654">
        <v>0</v>
      </c>
      <c r="L261" s="654">
        <v>0</v>
      </c>
      <c r="M261" s="654">
        <v>0</v>
      </c>
      <c r="N261" s="654">
        <v>0</v>
      </c>
      <c r="O261" s="654">
        <v>0</v>
      </c>
      <c r="P261" s="654">
        <v>0</v>
      </c>
      <c r="Q261" s="654">
        <v>0</v>
      </c>
      <c r="R261" s="654">
        <v>0</v>
      </c>
      <c r="S261" s="654">
        <v>0</v>
      </c>
      <c r="T261" s="654">
        <v>232550</v>
      </c>
      <c r="U261" s="654">
        <v>0</v>
      </c>
      <c r="V261" s="654">
        <v>0</v>
      </c>
      <c r="W261" s="654">
        <v>0</v>
      </c>
      <c r="X261" s="654">
        <v>0</v>
      </c>
      <c r="Y261" s="654">
        <v>4417151</v>
      </c>
      <c r="Z261" s="654">
        <v>232550</v>
      </c>
    </row>
    <row r="262" spans="1:26" x14ac:dyDescent="0.15">
      <c r="B262" t="s">
        <v>965</v>
      </c>
      <c r="C262" t="s">
        <v>986</v>
      </c>
      <c r="D262" s="654">
        <v>925389</v>
      </c>
      <c r="E262" s="654">
        <v>78006</v>
      </c>
      <c r="F262" s="654">
        <v>264289</v>
      </c>
      <c r="G262" s="654">
        <v>61451</v>
      </c>
      <c r="H262" s="654">
        <v>0</v>
      </c>
      <c r="I262" s="654">
        <v>0</v>
      </c>
      <c r="J262" s="654">
        <v>0</v>
      </c>
      <c r="K262" s="654">
        <v>0</v>
      </c>
      <c r="L262" s="654">
        <v>0</v>
      </c>
      <c r="M262" s="654">
        <v>0</v>
      </c>
      <c r="N262" s="654">
        <v>3600</v>
      </c>
      <c r="O262" s="654">
        <v>0</v>
      </c>
      <c r="P262" s="654">
        <v>0</v>
      </c>
      <c r="Q262" s="654">
        <v>0</v>
      </c>
      <c r="R262" s="654">
        <v>0</v>
      </c>
      <c r="S262" s="654">
        <v>0</v>
      </c>
      <c r="T262" s="654">
        <v>0</v>
      </c>
      <c r="U262" s="654">
        <v>0</v>
      </c>
      <c r="V262" s="654">
        <v>0</v>
      </c>
      <c r="W262" s="654">
        <v>0</v>
      </c>
      <c r="X262" s="654">
        <v>0</v>
      </c>
      <c r="Y262" s="654">
        <v>1193278</v>
      </c>
      <c r="Z262" s="654">
        <v>3600</v>
      </c>
    </row>
    <row r="263" spans="1:26" x14ac:dyDescent="0.15">
      <c r="A263" s="653" t="s">
        <v>1332</v>
      </c>
      <c r="B263"/>
      <c r="D263" s="654">
        <v>20201770</v>
      </c>
      <c r="E263" s="654">
        <v>2298502</v>
      </c>
      <c r="F263" s="654">
        <v>4674249</v>
      </c>
      <c r="G263" s="654">
        <v>1021336</v>
      </c>
      <c r="H263" s="654">
        <v>1206000</v>
      </c>
      <c r="I263" s="654">
        <v>4184601</v>
      </c>
      <c r="J263" s="654">
        <v>233085</v>
      </c>
      <c r="K263" s="654">
        <v>4109856</v>
      </c>
      <c r="L263" s="654">
        <v>272142</v>
      </c>
      <c r="M263" s="654">
        <v>0</v>
      </c>
      <c r="N263" s="654">
        <v>397051</v>
      </c>
      <c r="O263" s="654">
        <v>226399</v>
      </c>
      <c r="P263" s="654">
        <v>743969</v>
      </c>
      <c r="Q263" s="654">
        <v>12560</v>
      </c>
      <c r="R263" s="654">
        <v>264516</v>
      </c>
      <c r="S263" s="654">
        <v>1328790</v>
      </c>
      <c r="T263" s="654">
        <v>232550</v>
      </c>
      <c r="U263" s="654">
        <v>99180</v>
      </c>
      <c r="V263" s="654">
        <v>-160000</v>
      </c>
      <c r="W263" s="654">
        <v>0</v>
      </c>
      <c r="X263" s="654">
        <v>0</v>
      </c>
      <c r="Y263" s="654">
        <v>37521491</v>
      </c>
      <c r="Z263" s="654">
        <v>3145015</v>
      </c>
    </row>
    <row r="264" spans="1:26" x14ac:dyDescent="0.15">
      <c r="A264" s="653">
        <v>43374</v>
      </c>
      <c r="B264" t="s">
        <v>626</v>
      </c>
      <c r="C264" t="s">
        <v>378</v>
      </c>
      <c r="D264" s="654">
        <v>9199107</v>
      </c>
      <c r="E264" s="654">
        <v>1303050</v>
      </c>
      <c r="F264" s="654">
        <v>1648176</v>
      </c>
      <c r="G264" s="654">
        <v>360476</v>
      </c>
      <c r="H264" s="654">
        <v>715111</v>
      </c>
      <c r="I264" s="654">
        <v>0</v>
      </c>
      <c r="J264" s="654">
        <v>0</v>
      </c>
      <c r="K264" s="654">
        <v>0</v>
      </c>
      <c r="L264" s="654">
        <v>0</v>
      </c>
      <c r="M264" s="654">
        <v>0</v>
      </c>
      <c r="N264" s="654">
        <v>121735</v>
      </c>
      <c r="O264" s="654">
        <v>47082</v>
      </c>
      <c r="P264" s="654">
        <v>563140</v>
      </c>
      <c r="Q264" s="654">
        <v>8046</v>
      </c>
      <c r="R264" s="654">
        <v>136935</v>
      </c>
      <c r="S264" s="654">
        <v>0</v>
      </c>
      <c r="T264" s="654">
        <v>0</v>
      </c>
      <c r="U264" s="654">
        <v>72000</v>
      </c>
      <c r="V264" s="654">
        <v>0</v>
      </c>
      <c r="W264" s="654">
        <v>0</v>
      </c>
      <c r="X264" s="654">
        <v>0</v>
      </c>
      <c r="Y264" s="654">
        <v>12511332</v>
      </c>
      <c r="Z264" s="654">
        <v>948938</v>
      </c>
    </row>
    <row r="265" spans="1:26" x14ac:dyDescent="0.15">
      <c r="B265" t="s">
        <v>627</v>
      </c>
      <c r="C265" t="s">
        <v>379</v>
      </c>
      <c r="D265" s="654">
        <v>5226410</v>
      </c>
      <c r="E265" s="654">
        <v>567983</v>
      </c>
      <c r="F265" s="654">
        <v>1400329</v>
      </c>
      <c r="G265" s="654">
        <v>323954</v>
      </c>
      <c r="H265" s="654">
        <v>530963</v>
      </c>
      <c r="I265" s="654">
        <v>0</v>
      </c>
      <c r="J265" s="654">
        <v>0</v>
      </c>
      <c r="K265" s="654">
        <v>0</v>
      </c>
      <c r="L265" s="654">
        <v>0</v>
      </c>
      <c r="M265" s="654">
        <v>0</v>
      </c>
      <c r="N265" s="654">
        <v>254792</v>
      </c>
      <c r="O265" s="654">
        <v>0</v>
      </c>
      <c r="P265" s="654">
        <v>0</v>
      </c>
      <c r="Q265" s="654">
        <v>1526</v>
      </c>
      <c r="R265" s="654">
        <v>143862</v>
      </c>
      <c r="S265" s="654">
        <v>0</v>
      </c>
      <c r="T265" s="654">
        <v>0</v>
      </c>
      <c r="U265" s="654">
        <v>0</v>
      </c>
      <c r="V265" s="654">
        <v>0</v>
      </c>
      <c r="W265" s="654">
        <v>0</v>
      </c>
      <c r="X265" s="654">
        <v>0</v>
      </c>
      <c r="Y265" s="654">
        <v>7557882</v>
      </c>
      <c r="Z265" s="654">
        <v>400180</v>
      </c>
    </row>
    <row r="266" spans="1:26" x14ac:dyDescent="0.15">
      <c r="B266" t="s">
        <v>628</v>
      </c>
      <c r="C266" t="s">
        <v>380</v>
      </c>
      <c r="D266" s="654">
        <v>5132237</v>
      </c>
      <c r="E266" s="654">
        <v>520929</v>
      </c>
      <c r="F266" s="654">
        <v>1877087</v>
      </c>
      <c r="G266" s="654">
        <v>436467</v>
      </c>
      <c r="H266" s="654">
        <v>0</v>
      </c>
      <c r="I266" s="654">
        <v>0</v>
      </c>
      <c r="J266" s="654">
        <v>0</v>
      </c>
      <c r="K266" s="654">
        <v>0</v>
      </c>
      <c r="L266" s="654">
        <v>0</v>
      </c>
      <c r="M266" s="654">
        <v>0</v>
      </c>
      <c r="N266" s="654">
        <v>144300</v>
      </c>
      <c r="O266" s="654">
        <v>160808</v>
      </c>
      <c r="P266" s="654">
        <v>101920</v>
      </c>
      <c r="Q266" s="654">
        <v>3252</v>
      </c>
      <c r="R266" s="654">
        <v>0</v>
      </c>
      <c r="S266" s="654">
        <v>0</v>
      </c>
      <c r="T266" s="654">
        <v>0</v>
      </c>
      <c r="U266" s="654">
        <v>0</v>
      </c>
      <c r="V266" s="654">
        <v>0</v>
      </c>
      <c r="W266" s="654">
        <v>0</v>
      </c>
      <c r="X266" s="654">
        <v>0</v>
      </c>
      <c r="Y266" s="654">
        <v>7419604</v>
      </c>
      <c r="Z266" s="654">
        <v>410280</v>
      </c>
    </row>
    <row r="267" spans="1:26" x14ac:dyDescent="0.15">
      <c r="B267" t="s">
        <v>631</v>
      </c>
      <c r="C267" t="s">
        <v>381</v>
      </c>
      <c r="D267" s="654">
        <v>1618585</v>
      </c>
      <c r="E267" s="654">
        <v>0</v>
      </c>
      <c r="F267" s="654">
        <v>0</v>
      </c>
      <c r="G267" s="654">
        <v>0</v>
      </c>
      <c r="H267" s="654">
        <v>0</v>
      </c>
      <c r="I267" s="654">
        <v>0</v>
      </c>
      <c r="J267" s="654">
        <v>0</v>
      </c>
      <c r="K267" s="654">
        <v>0</v>
      </c>
      <c r="L267" s="654">
        <v>0</v>
      </c>
      <c r="M267" s="654">
        <v>0</v>
      </c>
      <c r="N267" s="654">
        <v>0</v>
      </c>
      <c r="O267" s="654">
        <v>0</v>
      </c>
      <c r="P267" s="654">
        <v>0</v>
      </c>
      <c r="Q267" s="654">
        <v>0</v>
      </c>
      <c r="R267" s="654">
        <v>0</v>
      </c>
      <c r="S267" s="654">
        <v>778680</v>
      </c>
      <c r="T267" s="654">
        <v>0</v>
      </c>
      <c r="U267" s="654">
        <v>0</v>
      </c>
      <c r="V267" s="654">
        <v>0</v>
      </c>
      <c r="W267" s="654">
        <v>0</v>
      </c>
      <c r="X267" s="654">
        <v>0</v>
      </c>
      <c r="Y267" s="654">
        <v>2397265</v>
      </c>
      <c r="Z267" s="654">
        <v>778680</v>
      </c>
    </row>
    <row r="268" spans="1:26" x14ac:dyDescent="0.15">
      <c r="B268" t="s">
        <v>567</v>
      </c>
      <c r="C268" t="s">
        <v>473</v>
      </c>
      <c r="D268" s="654">
        <v>0</v>
      </c>
      <c r="E268" s="654">
        <v>0</v>
      </c>
      <c r="F268" s="654">
        <v>0</v>
      </c>
      <c r="G268" s="654">
        <v>0</v>
      </c>
      <c r="H268" s="654">
        <v>0</v>
      </c>
      <c r="I268" s="654">
        <v>0</v>
      </c>
      <c r="J268" s="654">
        <v>0</v>
      </c>
      <c r="K268" s="654">
        <v>1101110</v>
      </c>
      <c r="L268" s="654">
        <v>306754</v>
      </c>
      <c r="M268" s="654">
        <v>0</v>
      </c>
      <c r="N268" s="654">
        <v>0</v>
      </c>
      <c r="O268" s="654">
        <v>0</v>
      </c>
      <c r="P268" s="654">
        <v>0</v>
      </c>
      <c r="Q268" s="654">
        <v>0</v>
      </c>
      <c r="R268" s="654">
        <v>0</v>
      </c>
      <c r="S268" s="654">
        <v>78000</v>
      </c>
      <c r="T268" s="654">
        <v>0</v>
      </c>
      <c r="U268" s="654">
        <v>0</v>
      </c>
      <c r="V268" s="654">
        <v>-40000</v>
      </c>
      <c r="W268" s="654">
        <v>0</v>
      </c>
      <c r="X268" s="654">
        <v>0</v>
      </c>
      <c r="Y268" s="654">
        <v>1139110</v>
      </c>
      <c r="Z268" s="654">
        <v>38000</v>
      </c>
    </row>
    <row r="269" spans="1:26" x14ac:dyDescent="0.15">
      <c r="B269" t="s">
        <v>568</v>
      </c>
      <c r="C269" t="s">
        <v>474</v>
      </c>
      <c r="D269" s="654">
        <v>0</v>
      </c>
      <c r="E269" s="654">
        <v>0</v>
      </c>
      <c r="F269" s="654">
        <v>0</v>
      </c>
      <c r="G269" s="654">
        <v>0</v>
      </c>
      <c r="H269" s="654">
        <v>0</v>
      </c>
      <c r="I269" s="654">
        <v>0</v>
      </c>
      <c r="J269" s="654">
        <v>0</v>
      </c>
      <c r="K269" s="654">
        <v>1019657</v>
      </c>
      <c r="L269" s="654">
        <v>0</v>
      </c>
      <c r="M269" s="654">
        <v>0</v>
      </c>
      <c r="N269" s="654">
        <v>0</v>
      </c>
      <c r="O269" s="654">
        <v>0</v>
      </c>
      <c r="P269" s="654">
        <v>0</v>
      </c>
      <c r="Q269" s="654">
        <v>0</v>
      </c>
      <c r="R269" s="654">
        <v>0</v>
      </c>
      <c r="S269" s="654">
        <v>98000</v>
      </c>
      <c r="T269" s="654">
        <v>0</v>
      </c>
      <c r="U269" s="654">
        <v>0</v>
      </c>
      <c r="V269" s="654">
        <v>-30000</v>
      </c>
      <c r="W269" s="654">
        <v>0</v>
      </c>
      <c r="X269" s="654">
        <v>0</v>
      </c>
      <c r="Y269" s="654">
        <v>1087657</v>
      </c>
      <c r="Z269" s="654">
        <v>68000</v>
      </c>
    </row>
    <row r="270" spans="1:26" x14ac:dyDescent="0.15">
      <c r="B270" t="s">
        <v>582</v>
      </c>
      <c r="C270" t="s">
        <v>384</v>
      </c>
      <c r="D270" s="654">
        <v>0</v>
      </c>
      <c r="E270" s="654">
        <v>0</v>
      </c>
      <c r="F270" s="654">
        <v>0</v>
      </c>
      <c r="G270" s="654">
        <v>0</v>
      </c>
      <c r="H270" s="654">
        <v>0</v>
      </c>
      <c r="I270" s="654">
        <v>0</v>
      </c>
      <c r="J270" s="654">
        <v>0</v>
      </c>
      <c r="K270" s="654">
        <v>2500912</v>
      </c>
      <c r="L270" s="654">
        <v>0</v>
      </c>
      <c r="M270" s="654">
        <v>0</v>
      </c>
      <c r="N270" s="654">
        <v>0</v>
      </c>
      <c r="O270" s="654">
        <v>0</v>
      </c>
      <c r="P270" s="654">
        <v>0</v>
      </c>
      <c r="Q270" s="654">
        <v>0</v>
      </c>
      <c r="R270" s="654">
        <v>0</v>
      </c>
      <c r="S270" s="654">
        <v>400000</v>
      </c>
      <c r="T270" s="654">
        <v>0</v>
      </c>
      <c r="U270" s="654">
        <v>0</v>
      </c>
      <c r="V270" s="654">
        <v>-100000</v>
      </c>
      <c r="W270" s="654">
        <v>0</v>
      </c>
      <c r="X270" s="654">
        <v>0</v>
      </c>
      <c r="Y270" s="654">
        <v>2800912</v>
      </c>
      <c r="Z270" s="654">
        <v>300000</v>
      </c>
    </row>
    <row r="271" spans="1:26" x14ac:dyDescent="0.15">
      <c r="B271" t="s">
        <v>629</v>
      </c>
      <c r="C271" t="s">
        <v>676</v>
      </c>
      <c r="D271" s="654">
        <v>0</v>
      </c>
      <c r="E271" s="654">
        <v>0</v>
      </c>
      <c r="F271" s="654">
        <v>0</v>
      </c>
      <c r="G271" s="654">
        <v>0</v>
      </c>
      <c r="H271" s="654">
        <v>0</v>
      </c>
      <c r="I271" s="654">
        <v>4202400</v>
      </c>
      <c r="J271" s="654">
        <v>234125</v>
      </c>
      <c r="K271" s="654">
        <v>0</v>
      </c>
      <c r="L271" s="654">
        <v>0</v>
      </c>
      <c r="M271" s="654">
        <v>0</v>
      </c>
      <c r="N271" s="654">
        <v>0</v>
      </c>
      <c r="O271" s="654">
        <v>0</v>
      </c>
      <c r="P271" s="654">
        <v>0</v>
      </c>
      <c r="Q271" s="654">
        <v>0</v>
      </c>
      <c r="R271" s="654">
        <v>0</v>
      </c>
      <c r="S271" s="654">
        <v>0</v>
      </c>
      <c r="T271" s="654">
        <v>239800</v>
      </c>
      <c r="U271" s="654">
        <v>0</v>
      </c>
      <c r="V271" s="654">
        <v>0</v>
      </c>
      <c r="W271" s="654">
        <v>0</v>
      </c>
      <c r="X271" s="654">
        <v>0</v>
      </c>
      <c r="Y271" s="654">
        <v>4442200</v>
      </c>
      <c r="Z271" s="654">
        <v>239800</v>
      </c>
    </row>
    <row r="272" spans="1:26" x14ac:dyDescent="0.15">
      <c r="B272" t="s">
        <v>965</v>
      </c>
      <c r="C272" t="s">
        <v>986</v>
      </c>
      <c r="D272" s="654">
        <v>1520946</v>
      </c>
      <c r="E272" s="654">
        <v>0</v>
      </c>
      <c r="F272" s="654">
        <v>105500</v>
      </c>
      <c r="G272" s="654">
        <v>21396</v>
      </c>
      <c r="H272" s="654">
        <v>0</v>
      </c>
      <c r="I272" s="654">
        <v>0</v>
      </c>
      <c r="J272" s="654">
        <v>0</v>
      </c>
      <c r="K272" s="654">
        <v>0</v>
      </c>
      <c r="L272" s="654">
        <v>0</v>
      </c>
      <c r="M272" s="654">
        <v>0</v>
      </c>
      <c r="N272" s="654">
        <v>5100</v>
      </c>
      <c r="O272" s="654">
        <v>0</v>
      </c>
      <c r="P272" s="654">
        <v>0</v>
      </c>
      <c r="Q272" s="654">
        <v>0</v>
      </c>
      <c r="R272" s="654">
        <v>0</v>
      </c>
      <c r="S272" s="654">
        <v>0</v>
      </c>
      <c r="T272" s="654">
        <v>0</v>
      </c>
      <c r="U272" s="654">
        <v>0</v>
      </c>
      <c r="V272" s="654">
        <v>0</v>
      </c>
      <c r="W272" s="654">
        <v>0</v>
      </c>
      <c r="X272" s="654">
        <v>0</v>
      </c>
      <c r="Y272" s="654">
        <v>1631546</v>
      </c>
      <c r="Z272" s="654">
        <v>5100</v>
      </c>
    </row>
    <row r="273" spans="1:26" x14ac:dyDescent="0.15">
      <c r="B273" t="s">
        <v>1201</v>
      </c>
      <c r="C273" t="s">
        <v>1199</v>
      </c>
      <c r="D273" s="654">
        <v>174827</v>
      </c>
      <c r="E273" s="654">
        <v>13766</v>
      </c>
      <c r="F273" s="654">
        <v>59457</v>
      </c>
      <c r="G273" s="654">
        <v>13820</v>
      </c>
      <c r="H273" s="654">
        <v>0</v>
      </c>
      <c r="I273" s="654">
        <v>0</v>
      </c>
      <c r="J273" s="654">
        <v>0</v>
      </c>
      <c r="K273" s="654">
        <v>0</v>
      </c>
      <c r="L273" s="654">
        <v>0</v>
      </c>
      <c r="M273" s="654">
        <v>0</v>
      </c>
      <c r="N273" s="654">
        <v>0</v>
      </c>
      <c r="O273" s="654">
        <v>0</v>
      </c>
      <c r="P273" s="654">
        <v>0</v>
      </c>
      <c r="Q273" s="654">
        <v>0</v>
      </c>
      <c r="R273" s="654">
        <v>0</v>
      </c>
      <c r="S273" s="654">
        <v>0</v>
      </c>
      <c r="T273" s="654">
        <v>0</v>
      </c>
      <c r="U273" s="654">
        <v>0</v>
      </c>
      <c r="V273" s="654">
        <v>0</v>
      </c>
      <c r="W273" s="654">
        <v>0</v>
      </c>
      <c r="X273" s="654">
        <v>0</v>
      </c>
      <c r="Y273" s="654">
        <v>234284</v>
      </c>
      <c r="Z273" s="654">
        <v>0</v>
      </c>
    </row>
    <row r="274" spans="1:26" x14ac:dyDescent="0.15">
      <c r="A274" s="653" t="s">
        <v>1381</v>
      </c>
      <c r="B274"/>
      <c r="D274" s="654">
        <v>22872112</v>
      </c>
      <c r="E274" s="654">
        <v>2405728</v>
      </c>
      <c r="F274" s="654">
        <v>5090549</v>
      </c>
      <c r="G274" s="654">
        <v>1156113</v>
      </c>
      <c r="H274" s="654">
        <v>1246074</v>
      </c>
      <c r="I274" s="654">
        <v>4202400</v>
      </c>
      <c r="J274" s="654">
        <v>234125</v>
      </c>
      <c r="K274" s="654">
        <v>4621679</v>
      </c>
      <c r="L274" s="654">
        <v>306754</v>
      </c>
      <c r="M274" s="654">
        <v>0</v>
      </c>
      <c r="N274" s="654">
        <v>525927</v>
      </c>
      <c r="O274" s="654">
        <v>207890</v>
      </c>
      <c r="P274" s="654">
        <v>665060</v>
      </c>
      <c r="Q274" s="654">
        <v>12824</v>
      </c>
      <c r="R274" s="654">
        <v>280797</v>
      </c>
      <c r="S274" s="654">
        <v>1354680</v>
      </c>
      <c r="T274" s="654">
        <v>239800</v>
      </c>
      <c r="U274" s="654">
        <v>72000</v>
      </c>
      <c r="V274" s="654">
        <v>-170000</v>
      </c>
      <c r="W274" s="654">
        <v>0</v>
      </c>
      <c r="X274" s="654">
        <v>0</v>
      </c>
      <c r="Y274" s="654">
        <v>41221792</v>
      </c>
      <c r="Z274" s="654">
        <v>3188978</v>
      </c>
    </row>
    <row r="275" spans="1:26" x14ac:dyDescent="0.15">
      <c r="A275" s="653">
        <v>43405</v>
      </c>
      <c r="B275" t="s">
        <v>626</v>
      </c>
      <c r="C275" t="s">
        <v>378</v>
      </c>
      <c r="D275" s="654">
        <v>9223816</v>
      </c>
      <c r="E275" s="654">
        <v>1441337</v>
      </c>
      <c r="F275" s="654">
        <v>2024710</v>
      </c>
      <c r="G275" s="654">
        <v>403228</v>
      </c>
      <c r="H275" s="654">
        <v>707246</v>
      </c>
      <c r="I275" s="654">
        <v>0</v>
      </c>
      <c r="J275" s="654">
        <v>0</v>
      </c>
      <c r="K275" s="654">
        <v>0</v>
      </c>
      <c r="L275" s="654">
        <v>0</v>
      </c>
      <c r="M275" s="654">
        <v>0</v>
      </c>
      <c r="N275" s="654">
        <v>161221</v>
      </c>
      <c r="O275" s="654">
        <v>56192</v>
      </c>
      <c r="P275" s="654">
        <v>324584</v>
      </c>
      <c r="Q275" s="654">
        <v>7302</v>
      </c>
      <c r="R275" s="654">
        <v>129420</v>
      </c>
      <c r="S275" s="654">
        <v>0</v>
      </c>
      <c r="T275" s="654">
        <v>0</v>
      </c>
      <c r="U275" s="654">
        <v>144180</v>
      </c>
      <c r="V275" s="654">
        <v>0</v>
      </c>
      <c r="W275" s="654">
        <v>0</v>
      </c>
      <c r="X275" s="654">
        <v>0</v>
      </c>
      <c r="Y275" s="654">
        <v>12778671</v>
      </c>
      <c r="Z275" s="654">
        <v>822899</v>
      </c>
    </row>
    <row r="276" spans="1:26" x14ac:dyDescent="0.15">
      <c r="B276" t="s">
        <v>627</v>
      </c>
      <c r="C276" t="s">
        <v>379</v>
      </c>
      <c r="D276" s="654">
        <v>4718674</v>
      </c>
      <c r="E276" s="654">
        <v>511579</v>
      </c>
      <c r="F276" s="654">
        <v>1554852</v>
      </c>
      <c r="G276" s="654">
        <v>360429</v>
      </c>
      <c r="H276" s="654">
        <v>622929</v>
      </c>
      <c r="I276" s="654">
        <v>0</v>
      </c>
      <c r="J276" s="654">
        <v>0</v>
      </c>
      <c r="K276" s="654">
        <v>0</v>
      </c>
      <c r="L276" s="654">
        <v>0</v>
      </c>
      <c r="M276" s="654">
        <v>0</v>
      </c>
      <c r="N276" s="654">
        <v>240145</v>
      </c>
      <c r="O276" s="654">
        <v>0</v>
      </c>
      <c r="P276" s="654">
        <v>0</v>
      </c>
      <c r="Q276" s="654">
        <v>1521</v>
      </c>
      <c r="R276" s="654">
        <v>147177</v>
      </c>
      <c r="S276" s="654">
        <v>0</v>
      </c>
      <c r="T276" s="654">
        <v>0</v>
      </c>
      <c r="U276" s="654">
        <v>0</v>
      </c>
      <c r="V276" s="654">
        <v>0</v>
      </c>
      <c r="W276" s="654">
        <v>0</v>
      </c>
      <c r="X276" s="654">
        <v>0</v>
      </c>
      <c r="Y276" s="654">
        <v>7285298</v>
      </c>
      <c r="Z276" s="654">
        <v>388843</v>
      </c>
    </row>
    <row r="277" spans="1:26" x14ac:dyDescent="0.15">
      <c r="B277" t="s">
        <v>628</v>
      </c>
      <c r="C277" t="s">
        <v>380</v>
      </c>
      <c r="D277" s="654">
        <v>4992088</v>
      </c>
      <c r="E277" s="654">
        <v>525065</v>
      </c>
      <c r="F277" s="654">
        <v>1744923</v>
      </c>
      <c r="G277" s="654">
        <v>405773</v>
      </c>
      <c r="H277" s="654">
        <v>0</v>
      </c>
      <c r="I277" s="654">
        <v>0</v>
      </c>
      <c r="J277" s="654">
        <v>0</v>
      </c>
      <c r="K277" s="654">
        <v>0</v>
      </c>
      <c r="L277" s="654">
        <v>0</v>
      </c>
      <c r="M277" s="654">
        <v>0</v>
      </c>
      <c r="N277" s="654">
        <v>108300</v>
      </c>
      <c r="O277" s="654">
        <v>159012</v>
      </c>
      <c r="P277" s="654">
        <v>87950</v>
      </c>
      <c r="Q277" s="654">
        <v>6762</v>
      </c>
      <c r="R277" s="654">
        <v>0</v>
      </c>
      <c r="S277" s="654">
        <v>0</v>
      </c>
      <c r="T277" s="654">
        <v>0</v>
      </c>
      <c r="U277" s="654">
        <v>0</v>
      </c>
      <c r="V277" s="654">
        <v>0</v>
      </c>
      <c r="W277" s="654">
        <v>0</v>
      </c>
      <c r="X277" s="654">
        <v>0</v>
      </c>
      <c r="Y277" s="654">
        <v>7099035</v>
      </c>
      <c r="Z277" s="654">
        <v>362024</v>
      </c>
    </row>
    <row r="278" spans="1:26" x14ac:dyDescent="0.15">
      <c r="B278" t="s">
        <v>631</v>
      </c>
      <c r="C278" t="s">
        <v>381</v>
      </c>
      <c r="D278" s="654">
        <v>2735417</v>
      </c>
      <c r="E278" s="654">
        <v>0</v>
      </c>
      <c r="F278" s="654">
        <v>0</v>
      </c>
      <c r="G278" s="654">
        <v>0</v>
      </c>
      <c r="H278" s="654">
        <v>0</v>
      </c>
      <c r="I278" s="654">
        <v>0</v>
      </c>
      <c r="J278" s="654">
        <v>0</v>
      </c>
      <c r="K278" s="654">
        <v>0</v>
      </c>
      <c r="L278" s="654">
        <v>0</v>
      </c>
      <c r="M278" s="654">
        <v>0</v>
      </c>
      <c r="N278" s="654">
        <v>0</v>
      </c>
      <c r="O278" s="654">
        <v>0</v>
      </c>
      <c r="P278" s="654">
        <v>0</v>
      </c>
      <c r="Q278" s="654">
        <v>0</v>
      </c>
      <c r="R278" s="654">
        <v>0</v>
      </c>
      <c r="S278" s="654">
        <v>786560</v>
      </c>
      <c r="T278" s="654">
        <v>0</v>
      </c>
      <c r="U278" s="654">
        <v>0</v>
      </c>
      <c r="V278" s="654">
        <v>0</v>
      </c>
      <c r="W278" s="654">
        <v>0</v>
      </c>
      <c r="X278" s="654">
        <v>0</v>
      </c>
      <c r="Y278" s="654">
        <v>3521977</v>
      </c>
      <c r="Z278" s="654">
        <v>786560</v>
      </c>
    </row>
    <row r="279" spans="1:26" x14ac:dyDescent="0.15">
      <c r="B279" t="s">
        <v>567</v>
      </c>
      <c r="C279" t="s">
        <v>473</v>
      </c>
      <c r="D279" s="654">
        <v>0</v>
      </c>
      <c r="E279" s="654">
        <v>0</v>
      </c>
      <c r="F279" s="654">
        <v>0</v>
      </c>
      <c r="G279" s="654">
        <v>0</v>
      </c>
      <c r="H279" s="654">
        <v>0</v>
      </c>
      <c r="I279" s="654">
        <v>0</v>
      </c>
      <c r="J279" s="654">
        <v>0</v>
      </c>
      <c r="K279" s="654">
        <v>1073137</v>
      </c>
      <c r="L279" s="654">
        <v>299671</v>
      </c>
      <c r="M279" s="654">
        <v>0</v>
      </c>
      <c r="N279" s="654">
        <v>23800</v>
      </c>
      <c r="O279" s="654">
        <v>0</v>
      </c>
      <c r="P279" s="654">
        <v>0</v>
      </c>
      <c r="Q279" s="654">
        <v>0</v>
      </c>
      <c r="R279" s="654">
        <v>0</v>
      </c>
      <c r="S279" s="654">
        <v>78000</v>
      </c>
      <c r="T279" s="654">
        <v>0</v>
      </c>
      <c r="U279" s="654">
        <v>0</v>
      </c>
      <c r="V279" s="654">
        <v>-40000</v>
      </c>
      <c r="W279" s="654">
        <v>0</v>
      </c>
      <c r="X279" s="654">
        <v>0</v>
      </c>
      <c r="Y279" s="654">
        <v>1134937</v>
      </c>
      <c r="Z279" s="654">
        <v>61800</v>
      </c>
    </row>
    <row r="280" spans="1:26" x14ac:dyDescent="0.15">
      <c r="B280" t="s">
        <v>568</v>
      </c>
      <c r="C280" t="s">
        <v>474</v>
      </c>
      <c r="D280" s="654">
        <v>0</v>
      </c>
      <c r="E280" s="654">
        <v>0</v>
      </c>
      <c r="F280" s="654">
        <v>0</v>
      </c>
      <c r="G280" s="654">
        <v>0</v>
      </c>
      <c r="H280" s="654">
        <v>0</v>
      </c>
      <c r="I280" s="654">
        <v>0</v>
      </c>
      <c r="J280" s="654">
        <v>0</v>
      </c>
      <c r="K280" s="654">
        <v>1012236</v>
      </c>
      <c r="L280" s="654">
        <v>0</v>
      </c>
      <c r="M280" s="654">
        <v>0</v>
      </c>
      <c r="N280" s="654">
        <v>0</v>
      </c>
      <c r="O280" s="654">
        <v>0</v>
      </c>
      <c r="P280" s="654">
        <v>0</v>
      </c>
      <c r="Q280" s="654">
        <v>0</v>
      </c>
      <c r="R280" s="654">
        <v>0</v>
      </c>
      <c r="S280" s="654">
        <v>98000</v>
      </c>
      <c r="T280" s="654">
        <v>0</v>
      </c>
      <c r="U280" s="654">
        <v>0</v>
      </c>
      <c r="V280" s="654">
        <v>-40000</v>
      </c>
      <c r="W280" s="654">
        <v>0</v>
      </c>
      <c r="X280" s="654">
        <v>0</v>
      </c>
      <c r="Y280" s="654">
        <v>1070236</v>
      </c>
      <c r="Z280" s="654">
        <v>58000</v>
      </c>
    </row>
    <row r="281" spans="1:26" x14ac:dyDescent="0.15">
      <c r="B281" t="s">
        <v>582</v>
      </c>
      <c r="C281" t="s">
        <v>384</v>
      </c>
      <c r="D281" s="654">
        <v>0</v>
      </c>
      <c r="E281" s="654">
        <v>0</v>
      </c>
      <c r="F281" s="654">
        <v>0</v>
      </c>
      <c r="G281" s="654">
        <v>0</v>
      </c>
      <c r="H281" s="654">
        <v>0</v>
      </c>
      <c r="I281" s="654">
        <v>0</v>
      </c>
      <c r="J281" s="654">
        <v>0</v>
      </c>
      <c r="K281" s="654">
        <v>2443866</v>
      </c>
      <c r="L281" s="654">
        <v>0</v>
      </c>
      <c r="M281" s="654">
        <v>0</v>
      </c>
      <c r="N281" s="654">
        <v>0</v>
      </c>
      <c r="O281" s="654">
        <v>0</v>
      </c>
      <c r="P281" s="654">
        <v>0</v>
      </c>
      <c r="Q281" s="654">
        <v>0</v>
      </c>
      <c r="R281" s="654">
        <v>0</v>
      </c>
      <c r="S281" s="654">
        <v>400000</v>
      </c>
      <c r="T281" s="654">
        <v>0</v>
      </c>
      <c r="U281" s="654">
        <v>0</v>
      </c>
      <c r="V281" s="654">
        <v>-100000</v>
      </c>
      <c r="W281" s="654">
        <v>0</v>
      </c>
      <c r="X281" s="654">
        <v>0</v>
      </c>
      <c r="Y281" s="654">
        <v>2743866</v>
      </c>
      <c r="Z281" s="654">
        <v>300000</v>
      </c>
    </row>
    <row r="282" spans="1:26" x14ac:dyDescent="0.15">
      <c r="B282" t="s">
        <v>629</v>
      </c>
      <c r="C282" t="s">
        <v>676</v>
      </c>
      <c r="D282" s="654">
        <v>0</v>
      </c>
      <c r="E282" s="654">
        <v>0</v>
      </c>
      <c r="F282" s="654">
        <v>0</v>
      </c>
      <c r="G282" s="654">
        <v>0</v>
      </c>
      <c r="H282" s="654">
        <v>0</v>
      </c>
      <c r="I282" s="654">
        <v>4590331</v>
      </c>
      <c r="J282" s="654">
        <v>255681</v>
      </c>
      <c r="K282" s="654">
        <v>0</v>
      </c>
      <c r="L282" s="654">
        <v>0</v>
      </c>
      <c r="M282" s="654">
        <v>0</v>
      </c>
      <c r="N282" s="654">
        <v>1000</v>
      </c>
      <c r="O282" s="654">
        <v>0</v>
      </c>
      <c r="P282" s="654">
        <v>0</v>
      </c>
      <c r="Q282" s="654">
        <v>0</v>
      </c>
      <c r="R282" s="654">
        <v>0</v>
      </c>
      <c r="S282" s="654">
        <v>0</v>
      </c>
      <c r="T282" s="654">
        <v>241750</v>
      </c>
      <c r="U282" s="654">
        <v>0</v>
      </c>
      <c r="V282" s="654">
        <v>0</v>
      </c>
      <c r="W282" s="654">
        <v>0</v>
      </c>
      <c r="X282" s="654">
        <v>0</v>
      </c>
      <c r="Y282" s="654">
        <v>4833081</v>
      </c>
      <c r="Z282" s="654">
        <v>242750</v>
      </c>
    </row>
    <row r="283" spans="1:26" x14ac:dyDescent="0.15">
      <c r="B283" t="s">
        <v>965</v>
      </c>
      <c r="C283" t="s">
        <v>986</v>
      </c>
      <c r="D283" s="654">
        <v>1181602</v>
      </c>
      <c r="E283" s="654">
        <v>104897</v>
      </c>
      <c r="F283" s="654">
        <v>92462</v>
      </c>
      <c r="G283" s="654">
        <v>18551</v>
      </c>
      <c r="H283" s="654">
        <v>0</v>
      </c>
      <c r="I283" s="654">
        <v>0</v>
      </c>
      <c r="J283" s="654">
        <v>0</v>
      </c>
      <c r="K283" s="654">
        <v>0</v>
      </c>
      <c r="L283" s="654">
        <v>0</v>
      </c>
      <c r="M283" s="654">
        <v>0</v>
      </c>
      <c r="N283" s="654">
        <v>3400</v>
      </c>
      <c r="O283" s="654">
        <v>18650</v>
      </c>
      <c r="P283" s="654">
        <v>0</v>
      </c>
      <c r="Q283" s="654">
        <v>0</v>
      </c>
      <c r="R283" s="654">
        <v>0</v>
      </c>
      <c r="S283" s="654">
        <v>0</v>
      </c>
      <c r="T283" s="654">
        <v>0</v>
      </c>
      <c r="U283" s="654">
        <v>0</v>
      </c>
      <c r="V283" s="654">
        <v>0</v>
      </c>
      <c r="W283" s="654">
        <v>0</v>
      </c>
      <c r="X283" s="654">
        <v>0</v>
      </c>
      <c r="Y283" s="654">
        <v>1296114</v>
      </c>
      <c r="Z283" s="654">
        <v>22050</v>
      </c>
    </row>
    <row r="284" spans="1:26" x14ac:dyDescent="0.15">
      <c r="B284" t="s">
        <v>1201</v>
      </c>
      <c r="C284" t="s">
        <v>1199</v>
      </c>
      <c r="D284" s="654">
        <v>325613</v>
      </c>
      <c r="E284" s="654">
        <v>24627</v>
      </c>
      <c r="F284" s="654">
        <v>107015</v>
      </c>
      <c r="G284" s="654">
        <v>24883</v>
      </c>
      <c r="H284" s="654">
        <v>0</v>
      </c>
      <c r="I284" s="654">
        <v>0</v>
      </c>
      <c r="J284" s="654">
        <v>0</v>
      </c>
      <c r="K284" s="654">
        <v>0</v>
      </c>
      <c r="L284" s="654">
        <v>0</v>
      </c>
      <c r="M284" s="654">
        <v>0</v>
      </c>
      <c r="N284" s="654">
        <v>0</v>
      </c>
      <c r="O284" s="654">
        <v>52620</v>
      </c>
      <c r="P284" s="654">
        <v>0</v>
      </c>
      <c r="Q284" s="654">
        <v>390</v>
      </c>
      <c r="R284" s="654">
        <v>0</v>
      </c>
      <c r="S284" s="654">
        <v>0</v>
      </c>
      <c r="T284" s="654">
        <v>0</v>
      </c>
      <c r="U284" s="654">
        <v>0</v>
      </c>
      <c r="V284" s="654">
        <v>0</v>
      </c>
      <c r="W284" s="654">
        <v>0</v>
      </c>
      <c r="X284" s="654">
        <v>0</v>
      </c>
      <c r="Y284" s="654">
        <v>485638</v>
      </c>
      <c r="Z284" s="654">
        <v>53010</v>
      </c>
    </row>
    <row r="285" spans="1:26" x14ac:dyDescent="0.15">
      <c r="B285" t="s">
        <v>1386</v>
      </c>
      <c r="C285" t="s">
        <v>1384</v>
      </c>
      <c r="D285" s="654">
        <v>0</v>
      </c>
      <c r="E285" s="654">
        <v>0</v>
      </c>
      <c r="F285" s="654">
        <v>0</v>
      </c>
      <c r="G285" s="654">
        <v>0</v>
      </c>
      <c r="H285" s="654">
        <v>0</v>
      </c>
      <c r="I285" s="654">
        <v>0</v>
      </c>
      <c r="J285" s="654">
        <v>0</v>
      </c>
      <c r="K285" s="654">
        <v>0</v>
      </c>
      <c r="L285" s="654">
        <v>0</v>
      </c>
      <c r="M285" s="654">
        <v>0</v>
      </c>
      <c r="N285" s="654">
        <v>0</v>
      </c>
      <c r="O285" s="654">
        <v>0</v>
      </c>
      <c r="P285" s="654">
        <v>0</v>
      </c>
      <c r="Q285" s="654">
        <v>0</v>
      </c>
      <c r="R285" s="654">
        <v>0</v>
      </c>
      <c r="S285" s="654">
        <v>16000</v>
      </c>
      <c r="T285" s="654">
        <v>0</v>
      </c>
      <c r="U285" s="654">
        <v>0</v>
      </c>
      <c r="V285" s="654">
        <v>0</v>
      </c>
      <c r="W285" s="654">
        <v>0</v>
      </c>
      <c r="X285" s="654">
        <v>0</v>
      </c>
      <c r="Y285" s="654">
        <v>16000</v>
      </c>
      <c r="Z285" s="654">
        <v>16000</v>
      </c>
    </row>
    <row r="286" spans="1:26" x14ac:dyDescent="0.15">
      <c r="A286" s="653" t="s">
        <v>1458</v>
      </c>
      <c r="B286"/>
      <c r="D286" s="654">
        <v>23177210</v>
      </c>
      <c r="E286" s="654">
        <v>2607505</v>
      </c>
      <c r="F286" s="654">
        <v>5523962</v>
      </c>
      <c r="G286" s="654">
        <v>1212864</v>
      </c>
      <c r="H286" s="654">
        <v>1330175</v>
      </c>
      <c r="I286" s="654">
        <v>4590331</v>
      </c>
      <c r="J286" s="654">
        <v>255681</v>
      </c>
      <c r="K286" s="654">
        <v>4529239</v>
      </c>
      <c r="L286" s="654">
        <v>299671</v>
      </c>
      <c r="M286" s="654">
        <v>0</v>
      </c>
      <c r="N286" s="654">
        <v>537866</v>
      </c>
      <c r="O286" s="654">
        <v>286474</v>
      </c>
      <c r="P286" s="654">
        <v>412534</v>
      </c>
      <c r="Q286" s="654">
        <v>15975</v>
      </c>
      <c r="R286" s="654">
        <v>276597</v>
      </c>
      <c r="S286" s="654">
        <v>1378560</v>
      </c>
      <c r="T286" s="654">
        <v>241750</v>
      </c>
      <c r="U286" s="654">
        <v>144180</v>
      </c>
      <c r="V286" s="654">
        <v>-180000</v>
      </c>
      <c r="W286" s="654">
        <v>0</v>
      </c>
      <c r="X286" s="654">
        <v>0</v>
      </c>
      <c r="Y286" s="654">
        <v>42264853</v>
      </c>
      <c r="Z286" s="654">
        <v>3113936</v>
      </c>
    </row>
    <row r="287" spans="1:26" x14ac:dyDescent="0.15">
      <c r="A287" s="653">
        <v>43435</v>
      </c>
      <c r="B287" t="s">
        <v>626</v>
      </c>
      <c r="C287" t="s">
        <v>378</v>
      </c>
      <c r="D287" s="654">
        <v>8670512</v>
      </c>
      <c r="E287" s="654">
        <v>1264810</v>
      </c>
      <c r="F287" s="654">
        <v>2045783</v>
      </c>
      <c r="G287" s="654">
        <v>441769</v>
      </c>
      <c r="H287" s="654">
        <v>747467</v>
      </c>
      <c r="I287" s="654">
        <v>0</v>
      </c>
      <c r="J287" s="654">
        <v>0</v>
      </c>
      <c r="K287" s="654">
        <v>0</v>
      </c>
      <c r="L287" s="654">
        <v>0</v>
      </c>
      <c r="M287" s="654">
        <v>0</v>
      </c>
      <c r="N287" s="654">
        <v>142642</v>
      </c>
      <c r="O287" s="654">
        <v>30360</v>
      </c>
      <c r="P287" s="654">
        <v>300120</v>
      </c>
      <c r="Q287" s="654">
        <v>7342</v>
      </c>
      <c r="R287" s="654">
        <v>145965</v>
      </c>
      <c r="S287" s="654">
        <v>0</v>
      </c>
      <c r="T287" s="654">
        <v>0</v>
      </c>
      <c r="U287" s="654">
        <v>72900</v>
      </c>
      <c r="V287" s="654">
        <v>0</v>
      </c>
      <c r="W287" s="654">
        <v>0</v>
      </c>
      <c r="X287" s="654">
        <v>0</v>
      </c>
      <c r="Y287" s="654">
        <v>12163091</v>
      </c>
      <c r="Z287" s="654">
        <v>699329</v>
      </c>
    </row>
    <row r="288" spans="1:26" x14ac:dyDescent="0.15">
      <c r="B288" t="s">
        <v>627</v>
      </c>
      <c r="C288" t="s">
        <v>379</v>
      </c>
      <c r="D288" s="654">
        <v>4484003</v>
      </c>
      <c r="E288" s="654">
        <v>487200</v>
      </c>
      <c r="F288" s="654">
        <v>1323386</v>
      </c>
      <c r="G288" s="654">
        <v>296398</v>
      </c>
      <c r="H288" s="654">
        <v>518588</v>
      </c>
      <c r="I288" s="654">
        <v>0</v>
      </c>
      <c r="J288" s="654">
        <v>0</v>
      </c>
      <c r="K288" s="654">
        <v>0</v>
      </c>
      <c r="L288" s="654">
        <v>0</v>
      </c>
      <c r="M288" s="654">
        <v>0</v>
      </c>
      <c r="N288" s="654">
        <v>198681</v>
      </c>
      <c r="O288" s="654">
        <v>0</v>
      </c>
      <c r="P288" s="654">
        <v>0</v>
      </c>
      <c r="Q288" s="654">
        <v>1231</v>
      </c>
      <c r="R288" s="654">
        <v>152364</v>
      </c>
      <c r="S288" s="654">
        <v>0</v>
      </c>
      <c r="T288" s="654">
        <v>0</v>
      </c>
      <c r="U288" s="654">
        <v>0</v>
      </c>
      <c r="V288" s="654">
        <v>0</v>
      </c>
      <c r="W288" s="654">
        <v>0</v>
      </c>
      <c r="X288" s="654">
        <v>0</v>
      </c>
      <c r="Y288" s="654">
        <v>6678253</v>
      </c>
      <c r="Z288" s="654">
        <v>352276</v>
      </c>
    </row>
    <row r="289" spans="1:26" x14ac:dyDescent="0.15">
      <c r="B289" t="s">
        <v>628</v>
      </c>
      <c r="C289" t="s">
        <v>380</v>
      </c>
      <c r="D289" s="654">
        <v>4434302</v>
      </c>
      <c r="E289" s="654">
        <v>461604</v>
      </c>
      <c r="F289" s="654">
        <v>2159752</v>
      </c>
      <c r="G289" s="654">
        <v>502225</v>
      </c>
      <c r="H289" s="654">
        <v>0</v>
      </c>
      <c r="I289" s="654">
        <v>0</v>
      </c>
      <c r="J289" s="654">
        <v>0</v>
      </c>
      <c r="K289" s="654">
        <v>0</v>
      </c>
      <c r="L289" s="654">
        <v>0</v>
      </c>
      <c r="M289" s="654">
        <v>0</v>
      </c>
      <c r="N289" s="654">
        <v>158000</v>
      </c>
      <c r="O289" s="654">
        <v>174879</v>
      </c>
      <c r="P289" s="654">
        <v>132930</v>
      </c>
      <c r="Q289" s="654">
        <v>5717</v>
      </c>
      <c r="R289" s="654">
        <v>0</v>
      </c>
      <c r="S289" s="654">
        <v>0</v>
      </c>
      <c r="T289" s="654">
        <v>0</v>
      </c>
      <c r="U289" s="654">
        <v>0</v>
      </c>
      <c r="V289" s="654">
        <v>0</v>
      </c>
      <c r="W289" s="654">
        <v>0</v>
      </c>
      <c r="X289" s="654">
        <v>0</v>
      </c>
      <c r="Y289" s="654">
        <v>7065580</v>
      </c>
      <c r="Z289" s="654">
        <v>471526</v>
      </c>
    </row>
    <row r="290" spans="1:26" x14ac:dyDescent="0.15">
      <c r="B290" t="s">
        <v>631</v>
      </c>
      <c r="C290" t="s">
        <v>381</v>
      </c>
      <c r="D290" s="654">
        <v>1826775</v>
      </c>
      <c r="E290" s="654">
        <v>0</v>
      </c>
      <c r="F290" s="654">
        <v>0</v>
      </c>
      <c r="G290" s="654">
        <v>0</v>
      </c>
      <c r="H290" s="654">
        <v>0</v>
      </c>
      <c r="I290" s="654">
        <v>0</v>
      </c>
      <c r="J290" s="654">
        <v>0</v>
      </c>
      <c r="K290" s="654">
        <v>0</v>
      </c>
      <c r="L290" s="654">
        <v>0</v>
      </c>
      <c r="M290" s="654">
        <v>0</v>
      </c>
      <c r="N290" s="654">
        <v>0</v>
      </c>
      <c r="O290" s="654">
        <v>0</v>
      </c>
      <c r="P290" s="654">
        <v>0</v>
      </c>
      <c r="Q290" s="654">
        <v>0</v>
      </c>
      <c r="R290" s="654">
        <v>0</v>
      </c>
      <c r="S290" s="654">
        <v>779540</v>
      </c>
      <c r="T290" s="654">
        <v>0</v>
      </c>
      <c r="U290" s="654">
        <v>0</v>
      </c>
      <c r="V290" s="654">
        <v>0</v>
      </c>
      <c r="W290" s="654">
        <v>0</v>
      </c>
      <c r="X290" s="654">
        <v>0</v>
      </c>
      <c r="Y290" s="654">
        <v>2606315</v>
      </c>
      <c r="Z290" s="654">
        <v>779540</v>
      </c>
    </row>
    <row r="291" spans="1:26" x14ac:dyDescent="0.15">
      <c r="B291" t="s">
        <v>567</v>
      </c>
      <c r="C291" t="s">
        <v>473</v>
      </c>
      <c r="D291" s="654">
        <v>0</v>
      </c>
      <c r="E291" s="654">
        <v>0</v>
      </c>
      <c r="F291" s="654">
        <v>0</v>
      </c>
      <c r="G291" s="654">
        <v>0</v>
      </c>
      <c r="H291" s="654">
        <v>0</v>
      </c>
      <c r="I291" s="654">
        <v>0</v>
      </c>
      <c r="J291" s="654">
        <v>0</v>
      </c>
      <c r="K291" s="654">
        <v>1107363</v>
      </c>
      <c r="L291" s="654">
        <v>308666</v>
      </c>
      <c r="M291" s="654">
        <v>0</v>
      </c>
      <c r="N291" s="654">
        <v>30600</v>
      </c>
      <c r="O291" s="654">
        <v>0</v>
      </c>
      <c r="P291" s="654">
        <v>0</v>
      </c>
      <c r="Q291" s="654">
        <v>0</v>
      </c>
      <c r="R291" s="654">
        <v>0</v>
      </c>
      <c r="S291" s="654">
        <v>78000</v>
      </c>
      <c r="T291" s="654">
        <v>0</v>
      </c>
      <c r="U291" s="654">
        <v>0</v>
      </c>
      <c r="V291" s="654">
        <v>-40000</v>
      </c>
      <c r="W291" s="654">
        <v>0</v>
      </c>
      <c r="X291" s="654">
        <v>0</v>
      </c>
      <c r="Y291" s="654">
        <v>1175963</v>
      </c>
      <c r="Z291" s="654">
        <v>68600</v>
      </c>
    </row>
    <row r="292" spans="1:26" x14ac:dyDescent="0.15">
      <c r="B292" t="s">
        <v>568</v>
      </c>
      <c r="C292" t="s">
        <v>474</v>
      </c>
      <c r="D292" s="654">
        <v>0</v>
      </c>
      <c r="E292" s="654">
        <v>0</v>
      </c>
      <c r="F292" s="654">
        <v>0</v>
      </c>
      <c r="G292" s="654">
        <v>0</v>
      </c>
      <c r="H292" s="654">
        <v>0</v>
      </c>
      <c r="I292" s="654">
        <v>0</v>
      </c>
      <c r="J292" s="654">
        <v>0</v>
      </c>
      <c r="K292" s="654">
        <v>1044442</v>
      </c>
      <c r="L292" s="654">
        <v>0</v>
      </c>
      <c r="M292" s="654">
        <v>0</v>
      </c>
      <c r="N292" s="654">
        <v>0</v>
      </c>
      <c r="O292" s="654">
        <v>0</v>
      </c>
      <c r="P292" s="654">
        <v>0</v>
      </c>
      <c r="Q292" s="654">
        <v>0</v>
      </c>
      <c r="R292" s="654">
        <v>0</v>
      </c>
      <c r="S292" s="654">
        <v>98000</v>
      </c>
      <c r="T292" s="654">
        <v>0</v>
      </c>
      <c r="U292" s="654">
        <v>0</v>
      </c>
      <c r="V292" s="654">
        <v>-40000</v>
      </c>
      <c r="W292" s="654">
        <v>0</v>
      </c>
      <c r="X292" s="654">
        <v>0</v>
      </c>
      <c r="Y292" s="654">
        <v>1102442</v>
      </c>
      <c r="Z292" s="654">
        <v>58000</v>
      </c>
    </row>
    <row r="293" spans="1:26" x14ac:dyDescent="0.15">
      <c r="B293" t="s">
        <v>582</v>
      </c>
      <c r="C293" t="s">
        <v>384</v>
      </c>
      <c r="D293" s="654">
        <v>0</v>
      </c>
      <c r="E293" s="654">
        <v>0</v>
      </c>
      <c r="F293" s="654">
        <v>0</v>
      </c>
      <c r="G293" s="654">
        <v>0</v>
      </c>
      <c r="H293" s="654">
        <v>0</v>
      </c>
      <c r="I293" s="654">
        <v>0</v>
      </c>
      <c r="J293" s="654">
        <v>0</v>
      </c>
      <c r="K293" s="654">
        <v>2507684</v>
      </c>
      <c r="L293" s="654">
        <v>0</v>
      </c>
      <c r="M293" s="654">
        <v>0</v>
      </c>
      <c r="N293" s="654">
        <v>0</v>
      </c>
      <c r="O293" s="654">
        <v>0</v>
      </c>
      <c r="P293" s="654">
        <v>0</v>
      </c>
      <c r="Q293" s="654">
        <v>0</v>
      </c>
      <c r="R293" s="654">
        <v>0</v>
      </c>
      <c r="S293" s="654">
        <v>400000</v>
      </c>
      <c r="T293" s="654">
        <v>0</v>
      </c>
      <c r="U293" s="654">
        <v>0</v>
      </c>
      <c r="V293" s="654">
        <v>-100000</v>
      </c>
      <c r="W293" s="654">
        <v>0</v>
      </c>
      <c r="X293" s="654">
        <v>0</v>
      </c>
      <c r="Y293" s="654">
        <v>2807684</v>
      </c>
      <c r="Z293" s="654">
        <v>300000</v>
      </c>
    </row>
    <row r="294" spans="1:26" x14ac:dyDescent="0.15">
      <c r="B294" t="s">
        <v>629</v>
      </c>
      <c r="C294" t="s">
        <v>676</v>
      </c>
      <c r="D294" s="654">
        <v>0</v>
      </c>
      <c r="E294" s="654">
        <v>0</v>
      </c>
      <c r="F294" s="654">
        <v>0</v>
      </c>
      <c r="G294" s="654">
        <v>0</v>
      </c>
      <c r="H294" s="654">
        <v>0</v>
      </c>
      <c r="I294" s="654">
        <v>4100094</v>
      </c>
      <c r="J294" s="654">
        <v>228390</v>
      </c>
      <c r="K294" s="654">
        <v>0</v>
      </c>
      <c r="L294" s="654">
        <v>0</v>
      </c>
      <c r="M294" s="654">
        <v>0</v>
      </c>
      <c r="N294" s="654">
        <v>0</v>
      </c>
      <c r="O294" s="654">
        <v>0</v>
      </c>
      <c r="P294" s="654">
        <v>0</v>
      </c>
      <c r="Q294" s="654">
        <v>0</v>
      </c>
      <c r="R294" s="654">
        <v>0</v>
      </c>
      <c r="S294" s="654">
        <v>0</v>
      </c>
      <c r="T294" s="654">
        <v>322550</v>
      </c>
      <c r="U294" s="654">
        <v>0</v>
      </c>
      <c r="V294" s="654">
        <v>0</v>
      </c>
      <c r="W294" s="654">
        <v>0</v>
      </c>
      <c r="X294" s="654">
        <v>0</v>
      </c>
      <c r="Y294" s="654">
        <v>4422644</v>
      </c>
      <c r="Z294" s="654">
        <v>322550</v>
      </c>
    </row>
    <row r="295" spans="1:26" x14ac:dyDescent="0.15">
      <c r="B295" t="s">
        <v>965</v>
      </c>
      <c r="C295" t="s">
        <v>986</v>
      </c>
      <c r="D295" s="654">
        <v>1325905</v>
      </c>
      <c r="E295" s="654">
        <v>119784</v>
      </c>
      <c r="F295" s="654">
        <v>170158</v>
      </c>
      <c r="G295" s="654">
        <v>36611</v>
      </c>
      <c r="H295" s="654">
        <v>0</v>
      </c>
      <c r="I295" s="654">
        <v>0</v>
      </c>
      <c r="J295" s="654">
        <v>0</v>
      </c>
      <c r="K295" s="654">
        <v>0</v>
      </c>
      <c r="L295" s="654">
        <v>0</v>
      </c>
      <c r="M295" s="654">
        <v>0</v>
      </c>
      <c r="N295" s="654">
        <v>5100</v>
      </c>
      <c r="O295" s="654">
        <v>19540</v>
      </c>
      <c r="P295" s="654">
        <v>0</v>
      </c>
      <c r="Q295" s="654">
        <v>143</v>
      </c>
      <c r="R295" s="654">
        <v>0</v>
      </c>
      <c r="S295" s="654">
        <v>0</v>
      </c>
      <c r="T295" s="654">
        <v>0</v>
      </c>
      <c r="U295" s="654">
        <v>0</v>
      </c>
      <c r="V295" s="654">
        <v>0</v>
      </c>
      <c r="W295" s="654">
        <v>0</v>
      </c>
      <c r="X295" s="654">
        <v>0</v>
      </c>
      <c r="Y295" s="654">
        <v>1520846</v>
      </c>
      <c r="Z295" s="654">
        <v>24783</v>
      </c>
    </row>
    <row r="296" spans="1:26" x14ac:dyDescent="0.15">
      <c r="B296" t="s">
        <v>1201</v>
      </c>
      <c r="C296" t="s">
        <v>1199</v>
      </c>
      <c r="D296" s="654">
        <v>510817</v>
      </c>
      <c r="E296" s="654">
        <v>45753</v>
      </c>
      <c r="F296" s="654">
        <v>157949</v>
      </c>
      <c r="G296" s="654">
        <v>36720</v>
      </c>
      <c r="H296" s="654">
        <v>0</v>
      </c>
      <c r="I296" s="654">
        <v>0</v>
      </c>
      <c r="J296" s="654">
        <v>0</v>
      </c>
      <c r="K296" s="654">
        <v>0</v>
      </c>
      <c r="L296" s="654">
        <v>0</v>
      </c>
      <c r="M296" s="654">
        <v>0</v>
      </c>
      <c r="N296" s="654">
        <v>0</v>
      </c>
      <c r="O296" s="654">
        <v>32564</v>
      </c>
      <c r="P296" s="654">
        <v>0</v>
      </c>
      <c r="Q296" s="654">
        <v>390</v>
      </c>
      <c r="R296" s="654">
        <v>0</v>
      </c>
      <c r="S296" s="654">
        <v>0</v>
      </c>
      <c r="T296" s="654">
        <v>0</v>
      </c>
      <c r="U296" s="654">
        <v>0</v>
      </c>
      <c r="V296" s="654">
        <v>0</v>
      </c>
      <c r="W296" s="654">
        <v>0</v>
      </c>
      <c r="X296" s="654">
        <v>0</v>
      </c>
      <c r="Y296" s="654">
        <v>701720</v>
      </c>
      <c r="Z296" s="654">
        <v>32954</v>
      </c>
    </row>
    <row r="297" spans="1:26" x14ac:dyDescent="0.15">
      <c r="B297" t="s">
        <v>1386</v>
      </c>
      <c r="C297" t="s">
        <v>1384</v>
      </c>
      <c r="D297" s="654">
        <v>0</v>
      </c>
      <c r="E297" s="654">
        <v>0</v>
      </c>
      <c r="F297" s="654">
        <v>0</v>
      </c>
      <c r="G297" s="654">
        <v>0</v>
      </c>
      <c r="H297" s="654">
        <v>0</v>
      </c>
      <c r="I297" s="654">
        <v>0</v>
      </c>
      <c r="J297" s="654">
        <v>0</v>
      </c>
      <c r="K297" s="654">
        <v>0</v>
      </c>
      <c r="L297" s="654">
        <v>0</v>
      </c>
      <c r="M297" s="654">
        <v>0</v>
      </c>
      <c r="N297" s="654">
        <v>0</v>
      </c>
      <c r="O297" s="654">
        <v>0</v>
      </c>
      <c r="P297" s="654">
        <v>0</v>
      </c>
      <c r="Q297" s="654">
        <v>0</v>
      </c>
      <c r="R297" s="654">
        <v>0</v>
      </c>
      <c r="S297" s="654">
        <v>40000</v>
      </c>
      <c r="T297" s="654">
        <v>0</v>
      </c>
      <c r="U297" s="654">
        <v>0</v>
      </c>
      <c r="V297" s="654">
        <v>0</v>
      </c>
      <c r="W297" s="654">
        <v>0</v>
      </c>
      <c r="X297" s="654">
        <v>0</v>
      </c>
      <c r="Y297" s="654">
        <v>40000</v>
      </c>
      <c r="Z297" s="654">
        <v>40000</v>
      </c>
    </row>
    <row r="298" spans="1:26" x14ac:dyDescent="0.15">
      <c r="A298" s="653" t="s">
        <v>1491</v>
      </c>
      <c r="B298"/>
      <c r="D298" s="654">
        <v>21252314</v>
      </c>
      <c r="E298" s="654">
        <v>2379151</v>
      </c>
      <c r="F298" s="654">
        <v>5857028</v>
      </c>
      <c r="G298" s="654">
        <v>1313723</v>
      </c>
      <c r="H298" s="654">
        <v>1266055</v>
      </c>
      <c r="I298" s="654">
        <v>4100094</v>
      </c>
      <c r="J298" s="654">
        <v>228390</v>
      </c>
      <c r="K298" s="654">
        <v>4659489</v>
      </c>
      <c r="L298" s="654">
        <v>308666</v>
      </c>
      <c r="M298" s="654">
        <v>0</v>
      </c>
      <c r="N298" s="654">
        <v>535023</v>
      </c>
      <c r="O298" s="654">
        <v>257343</v>
      </c>
      <c r="P298" s="654">
        <v>433050</v>
      </c>
      <c r="Q298" s="654">
        <v>14823</v>
      </c>
      <c r="R298" s="654">
        <v>298329</v>
      </c>
      <c r="S298" s="654">
        <v>1395540</v>
      </c>
      <c r="T298" s="654">
        <v>322550</v>
      </c>
      <c r="U298" s="654">
        <v>72900</v>
      </c>
      <c r="V298" s="654">
        <v>-180000</v>
      </c>
      <c r="W298" s="654">
        <v>0</v>
      </c>
      <c r="X298" s="654">
        <v>0</v>
      </c>
      <c r="Y298" s="654">
        <v>40284538</v>
      </c>
      <c r="Z298" s="654">
        <v>3149558</v>
      </c>
    </row>
    <row r="299" spans="1:26" x14ac:dyDescent="0.15">
      <c r="A299" s="653">
        <v>43466</v>
      </c>
      <c r="B299" t="s">
        <v>626</v>
      </c>
      <c r="C299" t="s">
        <v>378</v>
      </c>
      <c r="D299" s="654">
        <v>8912753</v>
      </c>
      <c r="E299" s="654">
        <v>1297597</v>
      </c>
      <c r="F299" s="654">
        <v>2316124</v>
      </c>
      <c r="G299" s="654">
        <v>502389</v>
      </c>
      <c r="H299" s="654">
        <v>736200</v>
      </c>
      <c r="I299" s="654">
        <v>0</v>
      </c>
      <c r="J299" s="654">
        <v>0</v>
      </c>
      <c r="K299" s="654">
        <v>0</v>
      </c>
      <c r="L299" s="654">
        <v>0</v>
      </c>
      <c r="M299" s="654">
        <v>0</v>
      </c>
      <c r="N299" s="654">
        <v>109700</v>
      </c>
      <c r="O299" s="654">
        <v>25154</v>
      </c>
      <c r="P299" s="654">
        <v>268570</v>
      </c>
      <c r="Q299" s="654">
        <v>7270</v>
      </c>
      <c r="R299" s="654">
        <v>163995</v>
      </c>
      <c r="S299" s="654">
        <v>0</v>
      </c>
      <c r="T299" s="654">
        <v>0</v>
      </c>
      <c r="U299" s="654">
        <v>129060</v>
      </c>
      <c r="V299" s="654">
        <v>0</v>
      </c>
      <c r="W299" s="654">
        <v>0</v>
      </c>
      <c r="X299" s="654">
        <v>0</v>
      </c>
      <c r="Y299" s="654">
        <v>12668826</v>
      </c>
      <c r="Z299" s="654">
        <v>703749</v>
      </c>
    </row>
    <row r="300" spans="1:26" x14ac:dyDescent="0.15">
      <c r="B300" t="s">
        <v>627</v>
      </c>
      <c r="C300" t="s">
        <v>379</v>
      </c>
      <c r="D300" s="654">
        <v>4094387</v>
      </c>
      <c r="E300" s="654">
        <v>442601</v>
      </c>
      <c r="F300" s="654">
        <v>1005210</v>
      </c>
      <c r="G300" s="654">
        <v>233751</v>
      </c>
      <c r="H300" s="654">
        <v>530400</v>
      </c>
      <c r="I300" s="654">
        <v>0</v>
      </c>
      <c r="J300" s="654">
        <v>0</v>
      </c>
      <c r="K300" s="654">
        <v>0</v>
      </c>
      <c r="L300" s="654">
        <v>0</v>
      </c>
      <c r="M300" s="654">
        <v>0</v>
      </c>
      <c r="N300" s="654">
        <v>169695</v>
      </c>
      <c r="O300" s="654">
        <v>0</v>
      </c>
      <c r="P300" s="654">
        <v>0</v>
      </c>
      <c r="Q300" s="654">
        <v>578</v>
      </c>
      <c r="R300" s="654">
        <v>140547</v>
      </c>
      <c r="S300" s="654">
        <v>0</v>
      </c>
      <c r="T300" s="654">
        <v>0</v>
      </c>
      <c r="U300" s="654">
        <v>0</v>
      </c>
      <c r="V300" s="654">
        <v>0</v>
      </c>
      <c r="W300" s="654">
        <v>0</v>
      </c>
      <c r="X300" s="654">
        <v>0</v>
      </c>
      <c r="Y300" s="654">
        <v>5940817</v>
      </c>
      <c r="Z300" s="654">
        <v>310820</v>
      </c>
    </row>
    <row r="301" spans="1:26" x14ac:dyDescent="0.15">
      <c r="B301" t="s">
        <v>628</v>
      </c>
      <c r="C301" t="s">
        <v>380</v>
      </c>
      <c r="D301" s="654">
        <v>4972524</v>
      </c>
      <c r="E301" s="654">
        <v>520648</v>
      </c>
      <c r="F301" s="654">
        <v>1738382</v>
      </c>
      <c r="G301" s="654">
        <v>404246</v>
      </c>
      <c r="H301" s="654">
        <v>0</v>
      </c>
      <c r="I301" s="654">
        <v>0</v>
      </c>
      <c r="J301" s="654">
        <v>0</v>
      </c>
      <c r="K301" s="654">
        <v>0</v>
      </c>
      <c r="L301" s="654">
        <v>0</v>
      </c>
      <c r="M301" s="654">
        <v>0</v>
      </c>
      <c r="N301" s="654">
        <v>114100</v>
      </c>
      <c r="O301" s="654">
        <v>159860</v>
      </c>
      <c r="P301" s="654">
        <v>54230</v>
      </c>
      <c r="Q301" s="654">
        <v>2812</v>
      </c>
      <c r="R301" s="654">
        <v>0</v>
      </c>
      <c r="S301" s="654">
        <v>0</v>
      </c>
      <c r="T301" s="654">
        <v>0</v>
      </c>
      <c r="U301" s="654">
        <v>0</v>
      </c>
      <c r="V301" s="654">
        <v>0</v>
      </c>
      <c r="W301" s="654">
        <v>0</v>
      </c>
      <c r="X301" s="654">
        <v>0</v>
      </c>
      <c r="Y301" s="654">
        <v>7041908</v>
      </c>
      <c r="Z301" s="654">
        <v>331002</v>
      </c>
    </row>
    <row r="302" spans="1:26" x14ac:dyDescent="0.15">
      <c r="B302" t="s">
        <v>631</v>
      </c>
      <c r="C302" t="s">
        <v>381</v>
      </c>
      <c r="D302" s="654">
        <v>1845029</v>
      </c>
      <c r="E302" s="654">
        <v>0</v>
      </c>
      <c r="F302" s="654">
        <v>0</v>
      </c>
      <c r="G302" s="654">
        <v>0</v>
      </c>
      <c r="H302" s="654">
        <v>0</v>
      </c>
      <c r="I302" s="654">
        <v>0</v>
      </c>
      <c r="J302" s="654">
        <v>0</v>
      </c>
      <c r="K302" s="654">
        <v>0</v>
      </c>
      <c r="L302" s="654">
        <v>0</v>
      </c>
      <c r="M302" s="654">
        <v>0</v>
      </c>
      <c r="N302" s="654">
        <v>0</v>
      </c>
      <c r="O302" s="654">
        <v>0</v>
      </c>
      <c r="P302" s="654">
        <v>0</v>
      </c>
      <c r="Q302" s="654">
        <v>0</v>
      </c>
      <c r="R302" s="654">
        <v>0</v>
      </c>
      <c r="S302" s="654">
        <v>782040</v>
      </c>
      <c r="T302" s="654">
        <v>0</v>
      </c>
      <c r="U302" s="654">
        <v>0</v>
      </c>
      <c r="V302" s="654">
        <v>0</v>
      </c>
      <c r="W302" s="654">
        <v>0</v>
      </c>
      <c r="X302" s="654">
        <v>0</v>
      </c>
      <c r="Y302" s="654">
        <v>2627069</v>
      </c>
      <c r="Z302" s="654">
        <v>782040</v>
      </c>
    </row>
    <row r="303" spans="1:26" x14ac:dyDescent="0.15">
      <c r="B303" t="s">
        <v>567</v>
      </c>
      <c r="C303" t="s">
        <v>473</v>
      </c>
      <c r="D303" s="654">
        <v>0</v>
      </c>
      <c r="E303" s="654">
        <v>0</v>
      </c>
      <c r="F303" s="654">
        <v>0</v>
      </c>
      <c r="G303" s="654">
        <v>0</v>
      </c>
      <c r="H303" s="654">
        <v>0</v>
      </c>
      <c r="I303" s="654">
        <v>0</v>
      </c>
      <c r="J303" s="654">
        <v>0</v>
      </c>
      <c r="K303" s="654">
        <v>1107363</v>
      </c>
      <c r="L303" s="654">
        <v>309206</v>
      </c>
      <c r="M303" s="654">
        <v>0</v>
      </c>
      <c r="N303" s="654">
        <v>0</v>
      </c>
      <c r="O303" s="654">
        <v>0</v>
      </c>
      <c r="P303" s="654">
        <v>0</v>
      </c>
      <c r="Q303" s="654">
        <v>0</v>
      </c>
      <c r="R303" s="654">
        <v>0</v>
      </c>
      <c r="S303" s="654">
        <v>78000</v>
      </c>
      <c r="T303" s="654">
        <v>0</v>
      </c>
      <c r="U303" s="654">
        <v>0</v>
      </c>
      <c r="V303" s="654">
        <v>-40000</v>
      </c>
      <c r="W303" s="654">
        <v>127000</v>
      </c>
      <c r="X303" s="654">
        <v>0</v>
      </c>
      <c r="Y303" s="654">
        <v>1272363</v>
      </c>
      <c r="Z303" s="654">
        <v>165000</v>
      </c>
    </row>
    <row r="304" spans="1:26" x14ac:dyDescent="0.15">
      <c r="B304" t="s">
        <v>568</v>
      </c>
      <c r="C304" t="s">
        <v>474</v>
      </c>
      <c r="D304" s="654">
        <v>0</v>
      </c>
      <c r="E304" s="654">
        <v>0</v>
      </c>
      <c r="F304" s="654">
        <v>0</v>
      </c>
      <c r="G304" s="654">
        <v>0</v>
      </c>
      <c r="H304" s="654">
        <v>0</v>
      </c>
      <c r="I304" s="654">
        <v>0</v>
      </c>
      <c r="J304" s="654">
        <v>0</v>
      </c>
      <c r="K304" s="654">
        <v>1044442</v>
      </c>
      <c r="L304" s="654">
        <v>0</v>
      </c>
      <c r="M304" s="654">
        <v>0</v>
      </c>
      <c r="N304" s="654">
        <v>0</v>
      </c>
      <c r="O304" s="654">
        <v>0</v>
      </c>
      <c r="P304" s="654">
        <v>0</v>
      </c>
      <c r="Q304" s="654">
        <v>0</v>
      </c>
      <c r="R304" s="654">
        <v>0</v>
      </c>
      <c r="S304" s="654">
        <v>98000</v>
      </c>
      <c r="T304" s="654">
        <v>0</v>
      </c>
      <c r="U304" s="654">
        <v>0</v>
      </c>
      <c r="V304" s="654">
        <v>-40000</v>
      </c>
      <c r="W304" s="654">
        <v>254000</v>
      </c>
      <c r="X304" s="654">
        <v>0</v>
      </c>
      <c r="Y304" s="654">
        <v>1356442</v>
      </c>
      <c r="Z304" s="654">
        <v>312000</v>
      </c>
    </row>
    <row r="305" spans="1:26" x14ac:dyDescent="0.15">
      <c r="B305" t="s">
        <v>582</v>
      </c>
      <c r="C305" t="s">
        <v>384</v>
      </c>
      <c r="D305" s="654">
        <v>0</v>
      </c>
      <c r="E305" s="654">
        <v>0</v>
      </c>
      <c r="F305" s="654">
        <v>0</v>
      </c>
      <c r="G305" s="654">
        <v>0</v>
      </c>
      <c r="H305" s="654">
        <v>0</v>
      </c>
      <c r="I305" s="654">
        <v>0</v>
      </c>
      <c r="J305" s="654">
        <v>0</v>
      </c>
      <c r="K305" s="654">
        <v>2515481</v>
      </c>
      <c r="L305" s="654">
        <v>0</v>
      </c>
      <c r="M305" s="654">
        <v>0</v>
      </c>
      <c r="N305" s="654">
        <v>0</v>
      </c>
      <c r="O305" s="654">
        <v>0</v>
      </c>
      <c r="P305" s="654">
        <v>0</v>
      </c>
      <c r="Q305" s="654">
        <v>0</v>
      </c>
      <c r="R305" s="654">
        <v>0</v>
      </c>
      <c r="S305" s="654">
        <v>400000</v>
      </c>
      <c r="T305" s="654">
        <v>0</v>
      </c>
      <c r="U305" s="654">
        <v>0</v>
      </c>
      <c r="V305" s="654">
        <v>-100000</v>
      </c>
      <c r="W305" s="654">
        <v>127000</v>
      </c>
      <c r="X305" s="654">
        <v>0</v>
      </c>
      <c r="Y305" s="654">
        <v>2942481</v>
      </c>
      <c r="Z305" s="654">
        <v>427000</v>
      </c>
    </row>
    <row r="306" spans="1:26" x14ac:dyDescent="0.15">
      <c r="B306" t="s">
        <v>629</v>
      </c>
      <c r="C306" t="s">
        <v>676</v>
      </c>
      <c r="D306" s="654">
        <v>0</v>
      </c>
      <c r="E306" s="654">
        <v>0</v>
      </c>
      <c r="F306" s="654">
        <v>0</v>
      </c>
      <c r="G306" s="654">
        <v>0</v>
      </c>
      <c r="H306" s="654">
        <v>0</v>
      </c>
      <c r="I306" s="654">
        <v>3846817</v>
      </c>
      <c r="J306" s="654">
        <v>214247</v>
      </c>
      <c r="K306" s="654">
        <v>0</v>
      </c>
      <c r="L306" s="654">
        <v>0</v>
      </c>
      <c r="M306" s="654">
        <v>0</v>
      </c>
      <c r="N306" s="654">
        <v>12000</v>
      </c>
      <c r="O306" s="654">
        <v>0</v>
      </c>
      <c r="P306" s="654">
        <v>0</v>
      </c>
      <c r="Q306" s="654">
        <v>0</v>
      </c>
      <c r="R306" s="654">
        <v>0</v>
      </c>
      <c r="S306" s="654">
        <v>0</v>
      </c>
      <c r="T306" s="654">
        <v>262100</v>
      </c>
      <c r="U306" s="654">
        <v>0</v>
      </c>
      <c r="V306" s="654">
        <v>0</v>
      </c>
      <c r="W306" s="654">
        <v>0</v>
      </c>
      <c r="X306" s="654">
        <v>0</v>
      </c>
      <c r="Y306" s="654">
        <v>4120917</v>
      </c>
      <c r="Z306" s="654">
        <v>274100</v>
      </c>
    </row>
    <row r="307" spans="1:26" x14ac:dyDescent="0.15">
      <c r="B307" t="s">
        <v>965</v>
      </c>
      <c r="C307" t="s">
        <v>986</v>
      </c>
      <c r="D307" s="654">
        <v>987457</v>
      </c>
      <c r="E307" s="654">
        <v>86703</v>
      </c>
      <c r="F307" s="654">
        <v>133567</v>
      </c>
      <c r="G307" s="654">
        <v>28110</v>
      </c>
      <c r="H307" s="654">
        <v>0</v>
      </c>
      <c r="I307" s="654">
        <v>0</v>
      </c>
      <c r="J307" s="654">
        <v>0</v>
      </c>
      <c r="K307" s="654">
        <v>0</v>
      </c>
      <c r="L307" s="654">
        <v>0</v>
      </c>
      <c r="M307" s="654">
        <v>0</v>
      </c>
      <c r="N307" s="654">
        <v>0</v>
      </c>
      <c r="O307" s="654">
        <v>39080</v>
      </c>
      <c r="P307" s="654">
        <v>0</v>
      </c>
      <c r="Q307" s="654">
        <v>670</v>
      </c>
      <c r="R307" s="654">
        <v>0</v>
      </c>
      <c r="S307" s="654">
        <v>0</v>
      </c>
      <c r="T307" s="654">
        <v>0</v>
      </c>
      <c r="U307" s="654">
        <v>0</v>
      </c>
      <c r="V307" s="654">
        <v>0</v>
      </c>
      <c r="W307" s="654">
        <v>0</v>
      </c>
      <c r="X307" s="654">
        <v>0</v>
      </c>
      <c r="Y307" s="654">
        <v>1160774</v>
      </c>
      <c r="Z307" s="654">
        <v>39750</v>
      </c>
    </row>
    <row r="308" spans="1:26" x14ac:dyDescent="0.15">
      <c r="B308" t="s">
        <v>1201</v>
      </c>
      <c r="C308" t="s">
        <v>1199</v>
      </c>
      <c r="D308" s="654">
        <v>509237</v>
      </c>
      <c r="E308" s="654">
        <v>39332</v>
      </c>
      <c r="F308" s="654">
        <v>242326</v>
      </c>
      <c r="G308" s="654">
        <v>56338</v>
      </c>
      <c r="H308" s="654">
        <v>0</v>
      </c>
      <c r="I308" s="654">
        <v>0</v>
      </c>
      <c r="J308" s="654">
        <v>0</v>
      </c>
      <c r="K308" s="654">
        <v>0</v>
      </c>
      <c r="L308" s="654">
        <v>0</v>
      </c>
      <c r="M308" s="654">
        <v>0</v>
      </c>
      <c r="N308" s="654">
        <v>7650</v>
      </c>
      <c r="O308" s="654">
        <v>50908</v>
      </c>
      <c r="P308" s="654">
        <v>0</v>
      </c>
      <c r="Q308" s="654">
        <v>559</v>
      </c>
      <c r="R308" s="654">
        <v>0</v>
      </c>
      <c r="S308" s="654">
        <v>0</v>
      </c>
      <c r="T308" s="654">
        <v>0</v>
      </c>
      <c r="U308" s="654">
        <v>0</v>
      </c>
      <c r="V308" s="654">
        <v>0</v>
      </c>
      <c r="W308" s="654">
        <v>0</v>
      </c>
      <c r="X308" s="654">
        <v>0</v>
      </c>
      <c r="Y308" s="654">
        <v>810680</v>
      </c>
      <c r="Z308" s="654">
        <v>59117</v>
      </c>
    </row>
    <row r="309" spans="1:26" x14ac:dyDescent="0.15">
      <c r="B309" t="s">
        <v>1386</v>
      </c>
      <c r="C309" t="s">
        <v>1384</v>
      </c>
      <c r="D309" s="654">
        <v>0</v>
      </c>
      <c r="E309" s="654">
        <v>0</v>
      </c>
      <c r="F309" s="654">
        <v>0</v>
      </c>
      <c r="G309" s="654">
        <v>0</v>
      </c>
      <c r="H309" s="654">
        <v>0</v>
      </c>
      <c r="I309" s="654">
        <v>0</v>
      </c>
      <c r="J309" s="654">
        <v>0</v>
      </c>
      <c r="K309" s="654">
        <v>0</v>
      </c>
      <c r="L309" s="654">
        <v>0</v>
      </c>
      <c r="M309" s="654">
        <v>0</v>
      </c>
      <c r="N309" s="654">
        <v>0</v>
      </c>
      <c r="O309" s="654">
        <v>0</v>
      </c>
      <c r="P309" s="654">
        <v>0</v>
      </c>
      <c r="Q309" s="654">
        <v>0</v>
      </c>
      <c r="R309" s="654">
        <v>0</v>
      </c>
      <c r="S309" s="654">
        <v>40000</v>
      </c>
      <c r="T309" s="654">
        <v>0</v>
      </c>
      <c r="U309" s="654">
        <v>0</v>
      </c>
      <c r="V309" s="654">
        <v>0</v>
      </c>
      <c r="W309" s="654">
        <v>0</v>
      </c>
      <c r="X309" s="654">
        <v>0</v>
      </c>
      <c r="Y309" s="654">
        <v>40000</v>
      </c>
      <c r="Z309" s="654">
        <v>40000</v>
      </c>
    </row>
    <row r="310" spans="1:26" x14ac:dyDescent="0.15">
      <c r="A310" s="653" t="s">
        <v>1496</v>
      </c>
      <c r="B310"/>
      <c r="D310" s="654">
        <v>21321387</v>
      </c>
      <c r="E310" s="654">
        <v>2386881</v>
      </c>
      <c r="F310" s="654">
        <v>5435609</v>
      </c>
      <c r="G310" s="654">
        <v>1224834</v>
      </c>
      <c r="H310" s="654">
        <v>1266600</v>
      </c>
      <c r="I310" s="654">
        <v>3846817</v>
      </c>
      <c r="J310" s="654">
        <v>214247</v>
      </c>
      <c r="K310" s="654">
        <v>4667286</v>
      </c>
      <c r="L310" s="654">
        <v>309206</v>
      </c>
      <c r="M310" s="654">
        <v>0</v>
      </c>
      <c r="N310" s="654">
        <v>413145</v>
      </c>
      <c r="O310" s="654">
        <v>275002</v>
      </c>
      <c r="P310" s="654">
        <v>322800</v>
      </c>
      <c r="Q310" s="654">
        <v>11889</v>
      </c>
      <c r="R310" s="654">
        <v>304542</v>
      </c>
      <c r="S310" s="654">
        <v>1398040</v>
      </c>
      <c r="T310" s="654">
        <v>262100</v>
      </c>
      <c r="U310" s="654">
        <v>129060</v>
      </c>
      <c r="V310" s="654">
        <v>-180000</v>
      </c>
      <c r="W310" s="654">
        <v>508000</v>
      </c>
      <c r="X310" s="654">
        <v>0</v>
      </c>
      <c r="Y310" s="654">
        <v>39982277</v>
      </c>
      <c r="Z310" s="654">
        <v>3444578</v>
      </c>
    </row>
    <row r="311" spans="1:26" x14ac:dyDescent="0.15">
      <c r="A311" s="653">
        <v>43497</v>
      </c>
      <c r="B311" t="s">
        <v>626</v>
      </c>
      <c r="C311" t="s">
        <v>378</v>
      </c>
      <c r="D311" s="654">
        <v>8094496</v>
      </c>
      <c r="E311" s="654">
        <v>1181981</v>
      </c>
      <c r="F311" s="654">
        <v>1853976</v>
      </c>
      <c r="G311" s="654">
        <v>390453</v>
      </c>
      <c r="H311" s="654">
        <v>756347</v>
      </c>
      <c r="I311" s="654">
        <v>0</v>
      </c>
      <c r="J311" s="654">
        <v>0</v>
      </c>
      <c r="K311" s="654">
        <v>0</v>
      </c>
      <c r="L311" s="654">
        <v>0</v>
      </c>
      <c r="M311" s="654">
        <v>0</v>
      </c>
      <c r="N311" s="654">
        <v>169970</v>
      </c>
      <c r="O311" s="654">
        <v>20454</v>
      </c>
      <c r="P311" s="654">
        <v>329350</v>
      </c>
      <c r="Q311" s="654">
        <v>4399</v>
      </c>
      <c r="R311" s="654">
        <v>173025</v>
      </c>
      <c r="S311" s="654">
        <v>0</v>
      </c>
      <c r="T311" s="654">
        <v>0</v>
      </c>
      <c r="U311" s="654">
        <v>56190</v>
      </c>
      <c r="V311" s="654">
        <v>0</v>
      </c>
      <c r="W311" s="654">
        <v>0</v>
      </c>
      <c r="X311" s="654">
        <v>0</v>
      </c>
      <c r="Y311" s="654">
        <v>11458207</v>
      </c>
      <c r="Z311" s="654">
        <v>753388</v>
      </c>
    </row>
    <row r="312" spans="1:26" x14ac:dyDescent="0.15">
      <c r="B312" t="s">
        <v>627</v>
      </c>
      <c r="C312" t="s">
        <v>379</v>
      </c>
      <c r="D312" s="654">
        <v>4550601</v>
      </c>
      <c r="E312" s="654">
        <v>488244</v>
      </c>
      <c r="F312" s="654">
        <v>898498</v>
      </c>
      <c r="G312" s="654">
        <v>208923</v>
      </c>
      <c r="H312" s="654">
        <v>529936</v>
      </c>
      <c r="I312" s="654">
        <v>0</v>
      </c>
      <c r="J312" s="654">
        <v>0</v>
      </c>
      <c r="K312" s="654">
        <v>0</v>
      </c>
      <c r="L312" s="654">
        <v>0</v>
      </c>
      <c r="M312" s="654">
        <v>0</v>
      </c>
      <c r="N312" s="654">
        <v>151191</v>
      </c>
      <c r="O312" s="654">
        <v>0</v>
      </c>
      <c r="P312" s="654">
        <v>0</v>
      </c>
      <c r="Q312" s="654">
        <v>4075</v>
      </c>
      <c r="R312" s="654">
        <v>136296</v>
      </c>
      <c r="S312" s="654">
        <v>0</v>
      </c>
      <c r="T312" s="654">
        <v>0</v>
      </c>
      <c r="U312" s="654">
        <v>0</v>
      </c>
      <c r="V312" s="654">
        <v>0</v>
      </c>
      <c r="W312" s="654">
        <v>0</v>
      </c>
      <c r="X312" s="654">
        <v>0</v>
      </c>
      <c r="Y312" s="654">
        <v>6270597</v>
      </c>
      <c r="Z312" s="654">
        <v>291562</v>
      </c>
    </row>
    <row r="313" spans="1:26" x14ac:dyDescent="0.15">
      <c r="B313" t="s">
        <v>628</v>
      </c>
      <c r="C313" t="s">
        <v>380</v>
      </c>
      <c r="D313" s="654">
        <v>4379913</v>
      </c>
      <c r="E313" s="654">
        <v>448766</v>
      </c>
      <c r="F313" s="654">
        <v>1701433</v>
      </c>
      <c r="G313" s="654">
        <v>395654</v>
      </c>
      <c r="H313" s="654">
        <v>0</v>
      </c>
      <c r="I313" s="654">
        <v>0</v>
      </c>
      <c r="J313" s="654">
        <v>0</v>
      </c>
      <c r="K313" s="654">
        <v>0</v>
      </c>
      <c r="L313" s="654">
        <v>0</v>
      </c>
      <c r="M313" s="654">
        <v>0</v>
      </c>
      <c r="N313" s="654">
        <v>144675</v>
      </c>
      <c r="O313" s="654">
        <v>113940</v>
      </c>
      <c r="P313" s="654">
        <v>24780</v>
      </c>
      <c r="Q313" s="654">
        <v>4312</v>
      </c>
      <c r="R313" s="654">
        <v>0</v>
      </c>
      <c r="S313" s="654">
        <v>0</v>
      </c>
      <c r="T313" s="654">
        <v>0</v>
      </c>
      <c r="U313" s="654">
        <v>0</v>
      </c>
      <c r="V313" s="654">
        <v>0</v>
      </c>
      <c r="W313" s="654">
        <v>0</v>
      </c>
      <c r="X313" s="654">
        <v>0</v>
      </c>
      <c r="Y313" s="654">
        <v>6369053</v>
      </c>
      <c r="Z313" s="654">
        <v>287707</v>
      </c>
    </row>
    <row r="314" spans="1:26" x14ac:dyDescent="0.15">
      <c r="B314" t="s">
        <v>631</v>
      </c>
      <c r="C314" t="s">
        <v>381</v>
      </c>
      <c r="D314" s="654">
        <v>1715603</v>
      </c>
      <c r="E314" s="654">
        <v>0</v>
      </c>
      <c r="F314" s="654">
        <v>0</v>
      </c>
      <c r="G314" s="654">
        <v>0</v>
      </c>
      <c r="H314" s="654">
        <v>0</v>
      </c>
      <c r="I314" s="654">
        <v>0</v>
      </c>
      <c r="J314" s="654">
        <v>0</v>
      </c>
      <c r="K314" s="654">
        <v>0</v>
      </c>
      <c r="L314" s="654">
        <v>0</v>
      </c>
      <c r="M314" s="654">
        <v>0</v>
      </c>
      <c r="N314" s="654">
        <v>18700</v>
      </c>
      <c r="O314" s="654">
        <v>0</v>
      </c>
      <c r="P314" s="654">
        <v>0</v>
      </c>
      <c r="Q314" s="654">
        <v>0</v>
      </c>
      <c r="R314" s="654">
        <v>0</v>
      </c>
      <c r="S314" s="654">
        <v>780820</v>
      </c>
      <c r="T314" s="654">
        <v>0</v>
      </c>
      <c r="U314" s="654">
        <v>0</v>
      </c>
      <c r="V314" s="654">
        <v>0</v>
      </c>
      <c r="W314" s="654">
        <v>0</v>
      </c>
      <c r="X314" s="654">
        <v>0</v>
      </c>
      <c r="Y314" s="654">
        <v>2515123</v>
      </c>
      <c r="Z314" s="654">
        <v>799520</v>
      </c>
    </row>
    <row r="315" spans="1:26" x14ac:dyDescent="0.15">
      <c r="B315" t="s">
        <v>567</v>
      </c>
      <c r="C315" t="s">
        <v>473</v>
      </c>
      <c r="D315" s="654">
        <v>0</v>
      </c>
      <c r="E315" s="654">
        <v>0</v>
      </c>
      <c r="F315" s="654">
        <v>0</v>
      </c>
      <c r="G315" s="654">
        <v>0</v>
      </c>
      <c r="H315" s="654">
        <v>0</v>
      </c>
      <c r="I315" s="654">
        <v>0</v>
      </c>
      <c r="J315" s="654">
        <v>0</v>
      </c>
      <c r="K315" s="654">
        <v>998423</v>
      </c>
      <c r="L315" s="654">
        <v>328167</v>
      </c>
      <c r="M315" s="654">
        <v>0</v>
      </c>
      <c r="N315" s="654">
        <v>0</v>
      </c>
      <c r="O315" s="654">
        <v>0</v>
      </c>
      <c r="P315" s="654">
        <v>0</v>
      </c>
      <c r="Q315" s="654">
        <v>0</v>
      </c>
      <c r="R315" s="654">
        <v>0</v>
      </c>
      <c r="S315" s="654">
        <v>78000</v>
      </c>
      <c r="T315" s="654">
        <v>0</v>
      </c>
      <c r="U315" s="654">
        <v>0</v>
      </c>
      <c r="V315" s="654">
        <v>-40000</v>
      </c>
      <c r="W315" s="654">
        <v>0</v>
      </c>
      <c r="X315" s="654">
        <v>0</v>
      </c>
      <c r="Y315" s="654">
        <v>1036423</v>
      </c>
      <c r="Z315" s="654">
        <v>38000</v>
      </c>
    </row>
    <row r="316" spans="1:26" x14ac:dyDescent="0.15">
      <c r="B316" t="s">
        <v>568</v>
      </c>
      <c r="C316" t="s">
        <v>474</v>
      </c>
      <c r="D316" s="654">
        <v>0</v>
      </c>
      <c r="E316" s="654">
        <v>0</v>
      </c>
      <c r="F316" s="654">
        <v>0</v>
      </c>
      <c r="G316" s="654">
        <v>0</v>
      </c>
      <c r="H316" s="654">
        <v>0</v>
      </c>
      <c r="I316" s="654">
        <v>0</v>
      </c>
      <c r="J316" s="654">
        <v>0</v>
      </c>
      <c r="K316" s="654">
        <v>937836</v>
      </c>
      <c r="L316" s="654">
        <v>0</v>
      </c>
      <c r="M316" s="654">
        <v>0</v>
      </c>
      <c r="N316" s="654">
        <v>0</v>
      </c>
      <c r="O316" s="654">
        <v>0</v>
      </c>
      <c r="P316" s="654">
        <v>0</v>
      </c>
      <c r="Q316" s="654">
        <v>0</v>
      </c>
      <c r="R316" s="654">
        <v>0</v>
      </c>
      <c r="S316" s="654">
        <v>98000</v>
      </c>
      <c r="T316" s="654">
        <v>0</v>
      </c>
      <c r="U316" s="654">
        <v>0</v>
      </c>
      <c r="V316" s="654">
        <v>-30000</v>
      </c>
      <c r="W316" s="654">
        <v>0</v>
      </c>
      <c r="X316" s="654">
        <v>0</v>
      </c>
      <c r="Y316" s="654">
        <v>1005836</v>
      </c>
      <c r="Z316" s="654">
        <v>68000</v>
      </c>
    </row>
    <row r="317" spans="1:26" x14ac:dyDescent="0.15">
      <c r="B317" t="s">
        <v>582</v>
      </c>
      <c r="C317" t="s">
        <v>384</v>
      </c>
      <c r="D317" s="654">
        <v>0</v>
      </c>
      <c r="E317" s="654">
        <v>0</v>
      </c>
      <c r="F317" s="654">
        <v>0</v>
      </c>
      <c r="G317" s="654">
        <v>0</v>
      </c>
      <c r="H317" s="654">
        <v>0</v>
      </c>
      <c r="I317" s="654">
        <v>0</v>
      </c>
      <c r="J317" s="654">
        <v>0</v>
      </c>
      <c r="K317" s="654">
        <v>1730172</v>
      </c>
      <c r="L317" s="654">
        <v>0</v>
      </c>
      <c r="M317" s="654">
        <v>0</v>
      </c>
      <c r="N317" s="654">
        <v>0</v>
      </c>
      <c r="O317" s="654">
        <v>0</v>
      </c>
      <c r="P317" s="654">
        <v>0</v>
      </c>
      <c r="Q317" s="654">
        <v>0</v>
      </c>
      <c r="R317" s="654">
        <v>0</v>
      </c>
      <c r="S317" s="654">
        <v>360000</v>
      </c>
      <c r="T317" s="654">
        <v>0</v>
      </c>
      <c r="U317" s="654">
        <v>0</v>
      </c>
      <c r="V317" s="654">
        <v>-90000</v>
      </c>
      <c r="W317" s="654">
        <v>118263</v>
      </c>
      <c r="X317" s="654">
        <v>0</v>
      </c>
      <c r="Y317" s="654">
        <v>2118435</v>
      </c>
      <c r="Z317" s="654">
        <v>388263</v>
      </c>
    </row>
    <row r="318" spans="1:26" x14ac:dyDescent="0.15">
      <c r="B318" t="s">
        <v>629</v>
      </c>
      <c r="C318" t="s">
        <v>676</v>
      </c>
      <c r="D318" s="654">
        <v>0</v>
      </c>
      <c r="E318" s="654">
        <v>0</v>
      </c>
      <c r="F318" s="654">
        <v>0</v>
      </c>
      <c r="G318" s="654">
        <v>0</v>
      </c>
      <c r="H318" s="654">
        <v>0</v>
      </c>
      <c r="I318" s="654">
        <v>4145693</v>
      </c>
      <c r="J318" s="654">
        <v>230959</v>
      </c>
      <c r="K318" s="654">
        <v>0</v>
      </c>
      <c r="L318" s="654">
        <v>0</v>
      </c>
      <c r="M318" s="654">
        <v>0</v>
      </c>
      <c r="N318" s="654">
        <v>20000</v>
      </c>
      <c r="O318" s="654"/>
      <c r="P318" s="654">
        <v>0</v>
      </c>
      <c r="Q318" s="654">
        <v>0</v>
      </c>
      <c r="R318" s="654">
        <v>0</v>
      </c>
      <c r="S318" s="654">
        <v>0</v>
      </c>
      <c r="T318" s="654">
        <v>310200</v>
      </c>
      <c r="U318" s="654">
        <v>0</v>
      </c>
      <c r="V318" s="654">
        <v>0</v>
      </c>
      <c r="W318" s="654">
        <v>0</v>
      </c>
      <c r="X318" s="654">
        <v>0</v>
      </c>
      <c r="Y318" s="654">
        <v>4475893</v>
      </c>
      <c r="Z318" s="654">
        <v>330200</v>
      </c>
    </row>
    <row r="319" spans="1:26" x14ac:dyDescent="0.15">
      <c r="B319" t="s">
        <v>965</v>
      </c>
      <c r="C319" t="s">
        <v>986</v>
      </c>
      <c r="D319" s="654">
        <v>778647</v>
      </c>
      <c r="E319" s="654">
        <v>60595</v>
      </c>
      <c r="F319" s="654">
        <v>113402</v>
      </c>
      <c r="G319" s="654">
        <v>24153</v>
      </c>
      <c r="H319" s="654">
        <v>0</v>
      </c>
      <c r="I319" s="654">
        <v>0</v>
      </c>
      <c r="J319" s="654">
        <v>0</v>
      </c>
      <c r="K319" s="654">
        <v>0</v>
      </c>
      <c r="L319" s="654">
        <v>0</v>
      </c>
      <c r="M319" s="654">
        <v>0</v>
      </c>
      <c r="N319" s="654">
        <v>11900</v>
      </c>
      <c r="O319" s="654">
        <v>0</v>
      </c>
      <c r="P319" s="654">
        <v>0</v>
      </c>
      <c r="Q319" s="654">
        <v>0</v>
      </c>
      <c r="R319" s="654">
        <v>0</v>
      </c>
      <c r="S319" s="654">
        <v>0</v>
      </c>
      <c r="T319" s="654">
        <v>0</v>
      </c>
      <c r="U319" s="654">
        <v>0</v>
      </c>
      <c r="V319" s="654">
        <v>0</v>
      </c>
      <c r="W319" s="654">
        <v>0</v>
      </c>
      <c r="X319" s="654">
        <v>0</v>
      </c>
      <c r="Y319" s="654">
        <v>903949</v>
      </c>
      <c r="Z319" s="654">
        <v>11900</v>
      </c>
    </row>
    <row r="320" spans="1:26" x14ac:dyDescent="0.15">
      <c r="B320" t="s">
        <v>1201</v>
      </c>
      <c r="C320" t="s">
        <v>1199</v>
      </c>
      <c r="D320" s="654">
        <v>778951</v>
      </c>
      <c r="E320" s="654">
        <v>65862</v>
      </c>
      <c r="F320" s="654">
        <v>272801</v>
      </c>
      <c r="G320" s="654">
        <v>63423</v>
      </c>
      <c r="H320" s="654">
        <v>0</v>
      </c>
      <c r="I320" s="654">
        <v>0</v>
      </c>
      <c r="J320" s="654">
        <v>0</v>
      </c>
      <c r="K320" s="654">
        <v>0</v>
      </c>
      <c r="L320" s="654">
        <v>0</v>
      </c>
      <c r="M320" s="654">
        <v>0</v>
      </c>
      <c r="N320" s="654">
        <v>6800</v>
      </c>
      <c r="O320" s="654">
        <v>1284</v>
      </c>
      <c r="P320" s="654">
        <v>0</v>
      </c>
      <c r="Q320" s="654">
        <v>910</v>
      </c>
      <c r="R320" s="654">
        <v>0</v>
      </c>
      <c r="S320" s="654">
        <v>0</v>
      </c>
      <c r="T320" s="654">
        <v>0</v>
      </c>
      <c r="U320" s="654">
        <v>0</v>
      </c>
      <c r="V320" s="654">
        <v>0</v>
      </c>
      <c r="W320" s="654">
        <v>0</v>
      </c>
      <c r="X320" s="654">
        <v>0</v>
      </c>
      <c r="Y320" s="654">
        <v>1060746</v>
      </c>
      <c r="Z320" s="654">
        <v>8994</v>
      </c>
    </row>
    <row r="321" spans="1:26" x14ac:dyDescent="0.15">
      <c r="B321" t="s">
        <v>1386</v>
      </c>
      <c r="C321" t="s">
        <v>1384</v>
      </c>
      <c r="D321" s="654">
        <v>0</v>
      </c>
      <c r="E321" s="654">
        <v>0</v>
      </c>
      <c r="F321" s="654">
        <v>0</v>
      </c>
      <c r="G321" s="654">
        <v>0</v>
      </c>
      <c r="H321" s="654">
        <v>0</v>
      </c>
      <c r="I321" s="654">
        <v>0</v>
      </c>
      <c r="J321" s="654">
        <v>0</v>
      </c>
      <c r="K321" s="654">
        <v>1296188</v>
      </c>
      <c r="L321" s="654">
        <v>0</v>
      </c>
      <c r="M321" s="654">
        <v>0</v>
      </c>
      <c r="N321" s="654">
        <v>0</v>
      </c>
      <c r="O321" s="654">
        <v>0</v>
      </c>
      <c r="P321" s="654">
        <v>0</v>
      </c>
      <c r="Q321" s="654">
        <v>0</v>
      </c>
      <c r="R321" s="654">
        <v>0</v>
      </c>
      <c r="S321" s="654">
        <v>240000</v>
      </c>
      <c r="T321" s="654">
        <v>0</v>
      </c>
      <c r="U321" s="654">
        <v>0</v>
      </c>
      <c r="V321" s="654">
        <v>-60000</v>
      </c>
      <c r="W321" s="654">
        <v>0</v>
      </c>
      <c r="X321" s="654">
        <v>0</v>
      </c>
      <c r="Y321" s="654">
        <v>1476188</v>
      </c>
      <c r="Z321" s="654">
        <v>180000</v>
      </c>
    </row>
    <row r="322" spans="1:26" x14ac:dyDescent="0.15">
      <c r="A322" s="653" t="s">
        <v>1514</v>
      </c>
      <c r="B322"/>
      <c r="D322" s="654">
        <v>20298211</v>
      </c>
      <c r="E322" s="654">
        <v>2245448</v>
      </c>
      <c r="F322" s="654">
        <v>4840110</v>
      </c>
      <c r="G322" s="654">
        <v>1082606</v>
      </c>
      <c r="H322" s="654">
        <v>1286283</v>
      </c>
      <c r="I322" s="654">
        <v>4145693</v>
      </c>
      <c r="J322" s="654">
        <v>230959</v>
      </c>
      <c r="K322" s="654">
        <v>4962619</v>
      </c>
      <c r="L322" s="654">
        <v>328167</v>
      </c>
      <c r="M322" s="654">
        <v>0</v>
      </c>
      <c r="N322" s="654">
        <v>523236</v>
      </c>
      <c r="O322" s="654">
        <v>135678</v>
      </c>
      <c r="P322" s="654">
        <v>354130</v>
      </c>
      <c r="Q322" s="654">
        <v>13696</v>
      </c>
      <c r="R322" s="654">
        <v>309321</v>
      </c>
      <c r="S322" s="654">
        <v>1556820</v>
      </c>
      <c r="T322" s="654">
        <v>310200</v>
      </c>
      <c r="U322" s="654">
        <v>56190</v>
      </c>
      <c r="V322" s="654">
        <v>-220000</v>
      </c>
      <c r="W322" s="654">
        <v>118263</v>
      </c>
      <c r="X322" s="654">
        <v>0</v>
      </c>
      <c r="Y322" s="654">
        <v>38690450</v>
      </c>
      <c r="Z322" s="654">
        <v>3157534</v>
      </c>
    </row>
    <row r="323" spans="1:26" x14ac:dyDescent="0.15">
      <c r="A323" s="653">
        <v>43525</v>
      </c>
      <c r="B323" t="s">
        <v>625</v>
      </c>
      <c r="C323" t="s">
        <v>594</v>
      </c>
      <c r="D323" s="654">
        <v>0</v>
      </c>
      <c r="E323" s="654">
        <v>0</v>
      </c>
      <c r="F323" s="654">
        <v>0</v>
      </c>
      <c r="G323" s="654">
        <v>0</v>
      </c>
      <c r="H323" s="654">
        <v>0</v>
      </c>
      <c r="I323" s="654">
        <v>0</v>
      </c>
      <c r="J323" s="654">
        <v>0</v>
      </c>
      <c r="K323" s="654">
        <v>0</v>
      </c>
      <c r="L323" s="654">
        <v>0</v>
      </c>
      <c r="M323" s="654">
        <v>0</v>
      </c>
      <c r="N323" s="654">
        <v>0</v>
      </c>
      <c r="O323" s="654">
        <v>0</v>
      </c>
      <c r="P323" s="654">
        <v>0</v>
      </c>
      <c r="Q323" s="654">
        <v>0</v>
      </c>
      <c r="R323" s="654">
        <v>0</v>
      </c>
      <c r="S323" s="654">
        <v>0</v>
      </c>
      <c r="T323" s="654">
        <v>0</v>
      </c>
      <c r="U323" s="654">
        <v>0</v>
      </c>
      <c r="V323" s="654">
        <v>0</v>
      </c>
      <c r="W323" s="654">
        <v>0</v>
      </c>
      <c r="X323" s="654">
        <v>142560</v>
      </c>
      <c r="Y323" s="654">
        <v>142560</v>
      </c>
      <c r="Z323" s="654">
        <v>142560</v>
      </c>
    </row>
    <row r="324" spans="1:26" x14ac:dyDescent="0.15">
      <c r="B324" t="s">
        <v>626</v>
      </c>
      <c r="C324" t="s">
        <v>378</v>
      </c>
      <c r="D324" s="654">
        <v>9308391</v>
      </c>
      <c r="E324" s="654">
        <v>1328201</v>
      </c>
      <c r="F324" s="654">
        <v>2003636</v>
      </c>
      <c r="G324" s="654">
        <v>424882</v>
      </c>
      <c r="H324" s="654">
        <v>839377</v>
      </c>
      <c r="I324" s="654">
        <v>0</v>
      </c>
      <c r="J324" s="654">
        <v>0</v>
      </c>
      <c r="K324" s="654">
        <v>0</v>
      </c>
      <c r="L324" s="654">
        <v>0</v>
      </c>
      <c r="M324" s="654">
        <v>0</v>
      </c>
      <c r="N324" s="654">
        <v>87000</v>
      </c>
      <c r="O324" s="654">
        <v>40730</v>
      </c>
      <c r="P324" s="654">
        <v>278280</v>
      </c>
      <c r="Q324" s="654">
        <v>5982</v>
      </c>
      <c r="R324" s="654">
        <v>154320</v>
      </c>
      <c r="S324" s="654">
        <v>0</v>
      </c>
      <c r="T324" s="654">
        <v>0</v>
      </c>
      <c r="U324" s="654">
        <v>103680</v>
      </c>
      <c r="V324" s="654">
        <v>0</v>
      </c>
      <c r="W324" s="654">
        <v>0</v>
      </c>
      <c r="X324" s="654">
        <v>0</v>
      </c>
      <c r="Y324" s="654">
        <v>12821396</v>
      </c>
      <c r="Z324" s="654">
        <v>669992</v>
      </c>
    </row>
    <row r="325" spans="1:26" x14ac:dyDescent="0.15">
      <c r="B325" t="s">
        <v>627</v>
      </c>
      <c r="C325" t="s">
        <v>379</v>
      </c>
      <c r="D325" s="654">
        <v>3648265</v>
      </c>
      <c r="E325" s="654">
        <v>373732</v>
      </c>
      <c r="F325" s="654">
        <v>960910</v>
      </c>
      <c r="G325" s="654">
        <v>223423</v>
      </c>
      <c r="H325" s="654">
        <v>481439</v>
      </c>
      <c r="I325" s="654">
        <v>0</v>
      </c>
      <c r="J325" s="654">
        <v>0</v>
      </c>
      <c r="K325" s="654">
        <v>0</v>
      </c>
      <c r="L325" s="654">
        <v>0</v>
      </c>
      <c r="M325" s="654">
        <v>0</v>
      </c>
      <c r="N325" s="654">
        <v>236189</v>
      </c>
      <c r="O325" s="654">
        <v>8560</v>
      </c>
      <c r="P325" s="654">
        <v>0</v>
      </c>
      <c r="Q325" s="654">
        <v>4140</v>
      </c>
      <c r="R325" s="654">
        <v>118268</v>
      </c>
      <c r="S325" s="654">
        <v>0</v>
      </c>
      <c r="T325" s="654">
        <v>0</v>
      </c>
      <c r="U325" s="654">
        <v>0</v>
      </c>
      <c r="V325" s="654">
        <v>0</v>
      </c>
      <c r="W325" s="654">
        <v>0</v>
      </c>
      <c r="X325" s="654">
        <v>0</v>
      </c>
      <c r="Y325" s="654">
        <v>5457771</v>
      </c>
      <c r="Z325" s="654">
        <v>367157</v>
      </c>
    </row>
    <row r="326" spans="1:26" x14ac:dyDescent="0.15">
      <c r="B326" t="s">
        <v>628</v>
      </c>
      <c r="C326" t="s">
        <v>380</v>
      </c>
      <c r="D326" s="654">
        <v>5036742</v>
      </c>
      <c r="E326" s="654">
        <v>511438</v>
      </c>
      <c r="F326" s="654">
        <v>1668036</v>
      </c>
      <c r="G326" s="654">
        <v>387896</v>
      </c>
      <c r="H326" s="654">
        <v>0</v>
      </c>
      <c r="I326" s="654">
        <v>0</v>
      </c>
      <c r="J326" s="654">
        <v>0</v>
      </c>
      <c r="K326" s="654">
        <v>0</v>
      </c>
      <c r="L326" s="654">
        <v>0</v>
      </c>
      <c r="M326" s="654">
        <v>0</v>
      </c>
      <c r="N326" s="654">
        <v>77300</v>
      </c>
      <c r="O326" s="654">
        <v>153500</v>
      </c>
      <c r="P326" s="654">
        <v>42650</v>
      </c>
      <c r="Q326" s="654">
        <v>1371</v>
      </c>
      <c r="R326" s="654">
        <v>0</v>
      </c>
      <c r="S326" s="654">
        <v>0</v>
      </c>
      <c r="T326" s="654">
        <v>0</v>
      </c>
      <c r="U326" s="654">
        <v>0</v>
      </c>
      <c r="V326" s="654">
        <v>0</v>
      </c>
      <c r="W326" s="654">
        <v>0</v>
      </c>
      <c r="X326" s="654">
        <v>0</v>
      </c>
      <c r="Y326" s="654">
        <v>6979599</v>
      </c>
      <c r="Z326" s="654">
        <v>274821</v>
      </c>
    </row>
    <row r="327" spans="1:26" x14ac:dyDescent="0.15">
      <c r="B327" t="s">
        <v>631</v>
      </c>
      <c r="C327" t="s">
        <v>381</v>
      </c>
      <c r="D327" s="654">
        <v>1715602</v>
      </c>
      <c r="E327" s="654">
        <v>0</v>
      </c>
      <c r="F327" s="654">
        <v>0</v>
      </c>
      <c r="G327" s="654">
        <v>0</v>
      </c>
      <c r="H327" s="654">
        <v>0</v>
      </c>
      <c r="I327" s="654">
        <v>0</v>
      </c>
      <c r="J327" s="654">
        <v>0</v>
      </c>
      <c r="K327" s="654">
        <v>0</v>
      </c>
      <c r="L327" s="654">
        <v>0</v>
      </c>
      <c r="M327" s="654">
        <v>0</v>
      </c>
      <c r="N327" s="654">
        <v>0</v>
      </c>
      <c r="O327" s="654">
        <v>0</v>
      </c>
      <c r="P327" s="654">
        <v>0</v>
      </c>
      <c r="Q327" s="654">
        <v>0</v>
      </c>
      <c r="R327" s="654">
        <v>0</v>
      </c>
      <c r="S327" s="654">
        <v>782660</v>
      </c>
      <c r="T327" s="654">
        <v>0</v>
      </c>
      <c r="U327" s="654">
        <v>0</v>
      </c>
      <c r="V327" s="654">
        <v>0</v>
      </c>
      <c r="W327" s="654">
        <v>0</v>
      </c>
      <c r="X327" s="654">
        <v>0</v>
      </c>
      <c r="Y327" s="654">
        <v>2498262</v>
      </c>
      <c r="Z327" s="654">
        <v>782660</v>
      </c>
    </row>
    <row r="328" spans="1:26" x14ac:dyDescent="0.15">
      <c r="B328" t="s">
        <v>567</v>
      </c>
      <c r="C328" t="s">
        <v>473</v>
      </c>
      <c r="D328" s="654">
        <v>0</v>
      </c>
      <c r="E328" s="654">
        <v>0</v>
      </c>
      <c r="F328" s="654">
        <v>0</v>
      </c>
      <c r="G328" s="654">
        <v>0</v>
      </c>
      <c r="H328" s="654">
        <v>0</v>
      </c>
      <c r="I328" s="654">
        <v>0</v>
      </c>
      <c r="J328" s="654">
        <v>0</v>
      </c>
      <c r="K328" s="654">
        <v>982644</v>
      </c>
      <c r="L328" s="654">
        <v>342112</v>
      </c>
      <c r="M328" s="654">
        <v>0</v>
      </c>
      <c r="N328" s="654">
        <v>6800</v>
      </c>
      <c r="O328" s="654">
        <v>0</v>
      </c>
      <c r="P328" s="654">
        <v>0</v>
      </c>
      <c r="Q328" s="654">
        <v>0</v>
      </c>
      <c r="R328" s="654">
        <v>0</v>
      </c>
      <c r="S328" s="654">
        <v>78000</v>
      </c>
      <c r="T328" s="654">
        <v>0</v>
      </c>
      <c r="U328" s="654">
        <v>0</v>
      </c>
      <c r="V328" s="654">
        <v>-40000</v>
      </c>
      <c r="W328" s="654">
        <v>0</v>
      </c>
      <c r="X328" s="654">
        <v>0</v>
      </c>
      <c r="Y328" s="654">
        <v>1027444</v>
      </c>
      <c r="Z328" s="654">
        <v>44800</v>
      </c>
    </row>
    <row r="329" spans="1:26" x14ac:dyDescent="0.15">
      <c r="B329" t="s">
        <v>568</v>
      </c>
      <c r="C329" t="s">
        <v>474</v>
      </c>
      <c r="D329" s="654">
        <v>0</v>
      </c>
      <c r="E329" s="654">
        <v>0</v>
      </c>
      <c r="F329" s="654">
        <v>0</v>
      </c>
      <c r="G329" s="654">
        <v>0</v>
      </c>
      <c r="H329" s="654">
        <v>0</v>
      </c>
      <c r="I329" s="654">
        <v>0</v>
      </c>
      <c r="J329" s="654">
        <v>0</v>
      </c>
      <c r="K329" s="654">
        <v>915793</v>
      </c>
      <c r="L329" s="654">
        <v>0</v>
      </c>
      <c r="M329" s="654">
        <v>0</v>
      </c>
      <c r="N329" s="654">
        <v>0</v>
      </c>
      <c r="O329" s="654">
        <v>0</v>
      </c>
      <c r="P329" s="654">
        <v>0</v>
      </c>
      <c r="Q329" s="654">
        <v>0</v>
      </c>
      <c r="R329" s="654">
        <v>0</v>
      </c>
      <c r="S329" s="654">
        <v>98000</v>
      </c>
      <c r="T329" s="654">
        <v>0</v>
      </c>
      <c r="U329" s="654">
        <v>0</v>
      </c>
      <c r="V329" s="654">
        <v>-40000</v>
      </c>
      <c r="W329" s="654">
        <v>0</v>
      </c>
      <c r="X329" s="654">
        <v>0</v>
      </c>
      <c r="Y329" s="654">
        <v>973793</v>
      </c>
      <c r="Z329" s="654">
        <v>58000</v>
      </c>
    </row>
    <row r="330" spans="1:26" x14ac:dyDescent="0.15">
      <c r="B330" t="s">
        <v>582</v>
      </c>
      <c r="C330" t="s">
        <v>384</v>
      </c>
      <c r="D330" s="654">
        <v>0</v>
      </c>
      <c r="E330" s="654">
        <v>0</v>
      </c>
      <c r="F330" s="654">
        <v>0</v>
      </c>
      <c r="G330" s="654">
        <v>0</v>
      </c>
      <c r="H330" s="654">
        <v>0</v>
      </c>
      <c r="I330" s="654">
        <v>0</v>
      </c>
      <c r="J330" s="654">
        <v>0</v>
      </c>
      <c r="K330" s="654">
        <v>1691368</v>
      </c>
      <c r="L330" s="654">
        <v>0</v>
      </c>
      <c r="M330" s="654">
        <v>0</v>
      </c>
      <c r="N330" s="654">
        <v>10200</v>
      </c>
      <c r="O330" s="654">
        <v>0</v>
      </c>
      <c r="P330" s="654">
        <v>0</v>
      </c>
      <c r="Q330" s="654">
        <v>0</v>
      </c>
      <c r="R330" s="654">
        <v>0</v>
      </c>
      <c r="S330" s="654">
        <v>360000</v>
      </c>
      <c r="T330" s="654">
        <v>0</v>
      </c>
      <c r="U330" s="654">
        <v>0</v>
      </c>
      <c r="V330" s="654">
        <v>-90000</v>
      </c>
      <c r="W330" s="654">
        <v>27939</v>
      </c>
      <c r="X330" s="654">
        <v>0</v>
      </c>
      <c r="Y330" s="654">
        <v>1999507</v>
      </c>
      <c r="Z330" s="654">
        <v>308139</v>
      </c>
    </row>
    <row r="331" spans="1:26" x14ac:dyDescent="0.15">
      <c r="B331" t="s">
        <v>629</v>
      </c>
      <c r="C331" t="s">
        <v>676</v>
      </c>
      <c r="D331" s="654">
        <v>0</v>
      </c>
      <c r="E331" s="654">
        <v>0</v>
      </c>
      <c r="F331" s="654">
        <v>0</v>
      </c>
      <c r="G331" s="654">
        <v>0</v>
      </c>
      <c r="H331" s="654">
        <v>0</v>
      </c>
      <c r="I331" s="654">
        <v>4589983</v>
      </c>
      <c r="J331" s="654">
        <v>255703</v>
      </c>
      <c r="K331" s="654">
        <v>0</v>
      </c>
      <c r="L331" s="654">
        <v>0</v>
      </c>
      <c r="M331" s="654">
        <v>0</v>
      </c>
      <c r="N331" s="654">
        <v>11000</v>
      </c>
      <c r="O331" s="654">
        <v>0</v>
      </c>
      <c r="P331" s="654">
        <v>0</v>
      </c>
      <c r="Q331" s="654">
        <v>0</v>
      </c>
      <c r="R331" s="654">
        <v>0</v>
      </c>
      <c r="S331" s="654">
        <v>0</v>
      </c>
      <c r="T331" s="654">
        <v>330200</v>
      </c>
      <c r="U331" s="654">
        <v>0</v>
      </c>
      <c r="V331" s="654">
        <v>0</v>
      </c>
      <c r="W331" s="654">
        <v>0</v>
      </c>
      <c r="X331" s="654">
        <v>0</v>
      </c>
      <c r="Y331" s="654">
        <v>4931183</v>
      </c>
      <c r="Z331" s="654">
        <v>341200</v>
      </c>
    </row>
    <row r="332" spans="1:26" x14ac:dyDescent="0.15">
      <c r="B332" t="s">
        <v>1201</v>
      </c>
      <c r="C332" t="s">
        <v>1199</v>
      </c>
      <c r="D332" s="654">
        <v>965383</v>
      </c>
      <c r="E332" s="654">
        <v>74624</v>
      </c>
      <c r="F332" s="654">
        <v>408589</v>
      </c>
      <c r="G332" s="654">
        <v>95009</v>
      </c>
      <c r="H332" s="654">
        <v>0</v>
      </c>
      <c r="I332" s="654">
        <v>0</v>
      </c>
      <c r="J332" s="654">
        <v>0</v>
      </c>
      <c r="K332" s="654">
        <v>0</v>
      </c>
      <c r="L332" s="654">
        <v>0</v>
      </c>
      <c r="M332" s="654">
        <v>0</v>
      </c>
      <c r="N332" s="654">
        <v>11050</v>
      </c>
      <c r="O332" s="654">
        <v>52740</v>
      </c>
      <c r="P332" s="654">
        <v>0</v>
      </c>
      <c r="Q332" s="654">
        <v>845</v>
      </c>
      <c r="R332" s="654">
        <v>0</v>
      </c>
      <c r="S332" s="654">
        <v>0</v>
      </c>
      <c r="T332" s="654">
        <v>0</v>
      </c>
      <c r="U332" s="654">
        <v>0</v>
      </c>
      <c r="V332" s="654">
        <v>0</v>
      </c>
      <c r="W332" s="654">
        <v>0</v>
      </c>
      <c r="X332" s="654">
        <v>0</v>
      </c>
      <c r="Y332" s="654">
        <v>1438607</v>
      </c>
      <c r="Z332" s="654">
        <v>64635</v>
      </c>
    </row>
    <row r="333" spans="1:26" x14ac:dyDescent="0.15">
      <c r="B333" t="s">
        <v>1386</v>
      </c>
      <c r="C333" t="s">
        <v>1384</v>
      </c>
      <c r="D333" s="654">
        <v>0</v>
      </c>
      <c r="E333" s="654">
        <v>0</v>
      </c>
      <c r="F333" s="654">
        <v>0</v>
      </c>
      <c r="G333" s="654">
        <v>0</v>
      </c>
      <c r="H333" s="654">
        <v>0</v>
      </c>
      <c r="I333" s="654">
        <v>0</v>
      </c>
      <c r="J333" s="654">
        <v>0</v>
      </c>
      <c r="K333" s="654">
        <v>1595131</v>
      </c>
      <c r="L333" s="654">
        <v>0</v>
      </c>
      <c r="M333" s="654">
        <v>0</v>
      </c>
      <c r="N333" s="654">
        <v>0</v>
      </c>
      <c r="O333" s="654">
        <v>0</v>
      </c>
      <c r="P333" s="654">
        <v>0</v>
      </c>
      <c r="Q333" s="654">
        <v>0</v>
      </c>
      <c r="R333" s="654">
        <v>0</v>
      </c>
      <c r="S333" s="654">
        <v>240000</v>
      </c>
      <c r="T333" s="654">
        <v>0</v>
      </c>
      <c r="U333" s="654">
        <v>0</v>
      </c>
      <c r="V333" s="654">
        <v>-60000</v>
      </c>
      <c r="W333" s="654">
        <v>0</v>
      </c>
      <c r="X333" s="654">
        <v>0</v>
      </c>
      <c r="Y333" s="654">
        <v>1775131</v>
      </c>
      <c r="Z333" s="654">
        <v>180000</v>
      </c>
    </row>
    <row r="334" spans="1:26" x14ac:dyDescent="0.15">
      <c r="A334" s="653" t="s">
        <v>1525</v>
      </c>
      <c r="B334"/>
      <c r="D334" s="654">
        <v>20674383</v>
      </c>
      <c r="E334" s="654">
        <v>2287995</v>
      </c>
      <c r="F334" s="654">
        <v>5041171</v>
      </c>
      <c r="G334" s="654">
        <v>1131210</v>
      </c>
      <c r="H334" s="654">
        <v>1320816</v>
      </c>
      <c r="I334" s="654">
        <v>4589983</v>
      </c>
      <c r="J334" s="654">
        <v>255703</v>
      </c>
      <c r="K334" s="654">
        <v>5184936</v>
      </c>
      <c r="L334" s="654">
        <v>342112</v>
      </c>
      <c r="M334" s="654">
        <v>0</v>
      </c>
      <c r="N334" s="654">
        <v>439539</v>
      </c>
      <c r="O334" s="654">
        <v>255530</v>
      </c>
      <c r="P334" s="654">
        <v>320930</v>
      </c>
      <c r="Q334" s="654">
        <v>12338</v>
      </c>
      <c r="R334" s="654">
        <v>272588</v>
      </c>
      <c r="S334" s="654">
        <v>1558660</v>
      </c>
      <c r="T334" s="654">
        <v>330200</v>
      </c>
      <c r="U334" s="654">
        <v>103680</v>
      </c>
      <c r="V334" s="654">
        <v>-230000</v>
      </c>
      <c r="W334" s="654">
        <v>27939</v>
      </c>
      <c r="X334" s="654">
        <v>142560</v>
      </c>
      <c r="Y334" s="654">
        <v>40045253</v>
      </c>
      <c r="Z334" s="654">
        <v>3233964</v>
      </c>
    </row>
    <row r="335" spans="1:26" x14ac:dyDescent="0.15">
      <c r="A335" s="653">
        <v>43556</v>
      </c>
      <c r="B335" t="s">
        <v>626</v>
      </c>
      <c r="C335" t="s">
        <v>378</v>
      </c>
      <c r="D335" s="654">
        <v>9202118</v>
      </c>
      <c r="E335" s="654">
        <v>0</v>
      </c>
      <c r="F335" s="654">
        <v>2177773</v>
      </c>
      <c r="G335" s="654">
        <v>0</v>
      </c>
      <c r="H335" s="654">
        <v>864993</v>
      </c>
      <c r="I335" s="654">
        <v>0</v>
      </c>
      <c r="J335" s="654">
        <v>0</v>
      </c>
      <c r="K335" s="654">
        <v>0</v>
      </c>
      <c r="L335" s="654">
        <v>0</v>
      </c>
      <c r="M335" s="654">
        <v>0</v>
      </c>
      <c r="N335" s="654">
        <v>116900</v>
      </c>
      <c r="O335" s="654">
        <v>48039</v>
      </c>
      <c r="P335" s="654">
        <v>250260</v>
      </c>
      <c r="Q335" s="654">
        <v>8065</v>
      </c>
      <c r="R335" s="654">
        <v>161440</v>
      </c>
      <c r="S335" s="654">
        <v>0</v>
      </c>
      <c r="T335" s="654">
        <v>0</v>
      </c>
      <c r="U335" s="654">
        <v>72000</v>
      </c>
      <c r="V335" s="654">
        <v>0</v>
      </c>
      <c r="W335" s="654">
        <v>0</v>
      </c>
      <c r="X335" s="654">
        <v>0</v>
      </c>
      <c r="Y335" s="654">
        <v>12901588</v>
      </c>
      <c r="Z335" s="654">
        <v>656704</v>
      </c>
    </row>
    <row r="336" spans="1:26" x14ac:dyDescent="0.15">
      <c r="B336" t="s">
        <v>627</v>
      </c>
      <c r="C336" t="s">
        <v>379</v>
      </c>
      <c r="D336" s="654">
        <v>3923238</v>
      </c>
      <c r="E336" s="654">
        <v>0</v>
      </c>
      <c r="F336" s="654">
        <v>1346991</v>
      </c>
      <c r="G336" s="654">
        <v>0</v>
      </c>
      <c r="H336" s="654">
        <v>549559</v>
      </c>
      <c r="I336" s="654">
        <v>0</v>
      </c>
      <c r="J336" s="654">
        <v>0</v>
      </c>
      <c r="K336" s="654">
        <v>0</v>
      </c>
      <c r="L336" s="654">
        <v>0</v>
      </c>
      <c r="M336" s="654">
        <v>0</v>
      </c>
      <c r="N336" s="654">
        <v>311054</v>
      </c>
      <c r="O336" s="654">
        <v>8560</v>
      </c>
      <c r="P336" s="654">
        <v>0</v>
      </c>
      <c r="Q336" s="654">
        <v>1467</v>
      </c>
      <c r="R336" s="654">
        <v>121360</v>
      </c>
      <c r="S336" s="654">
        <v>0</v>
      </c>
      <c r="T336" s="654">
        <v>0</v>
      </c>
      <c r="U336" s="654">
        <v>0</v>
      </c>
      <c r="V336" s="654">
        <v>0</v>
      </c>
      <c r="W336" s="654">
        <v>0</v>
      </c>
      <c r="X336" s="654">
        <v>0</v>
      </c>
      <c r="Y336" s="654">
        <v>6262229</v>
      </c>
      <c r="Z336" s="654">
        <v>442441</v>
      </c>
    </row>
    <row r="337" spans="1:26" x14ac:dyDescent="0.15">
      <c r="B337" t="s">
        <v>628</v>
      </c>
      <c r="C337" t="s">
        <v>380</v>
      </c>
      <c r="D337" s="654">
        <v>4769253</v>
      </c>
      <c r="E337" s="654">
        <v>0</v>
      </c>
      <c r="F337" s="654">
        <v>1980862</v>
      </c>
      <c r="G337" s="654">
        <v>0</v>
      </c>
      <c r="H337" s="654">
        <v>0</v>
      </c>
      <c r="I337" s="654">
        <v>0</v>
      </c>
      <c r="J337" s="654">
        <v>0</v>
      </c>
      <c r="K337" s="654">
        <v>0</v>
      </c>
      <c r="L337" s="654">
        <v>0</v>
      </c>
      <c r="M337" s="654">
        <v>0</v>
      </c>
      <c r="N337" s="654">
        <v>134300</v>
      </c>
      <c r="O337" s="654">
        <v>200620</v>
      </c>
      <c r="P337" s="654">
        <v>19950</v>
      </c>
      <c r="Q337" s="654">
        <v>5435</v>
      </c>
      <c r="R337" s="654">
        <v>0</v>
      </c>
      <c r="S337" s="654">
        <v>0</v>
      </c>
      <c r="T337" s="654">
        <v>0</v>
      </c>
      <c r="U337" s="654">
        <v>0</v>
      </c>
      <c r="V337" s="654">
        <v>0</v>
      </c>
      <c r="W337" s="654">
        <v>0</v>
      </c>
      <c r="X337" s="654">
        <v>0</v>
      </c>
      <c r="Y337" s="654">
        <v>7110420</v>
      </c>
      <c r="Z337" s="654">
        <v>360305</v>
      </c>
    </row>
    <row r="338" spans="1:26" x14ac:dyDescent="0.15">
      <c r="B338" t="s">
        <v>631</v>
      </c>
      <c r="C338" t="s">
        <v>381</v>
      </c>
      <c r="D338" s="654">
        <v>1684049</v>
      </c>
      <c r="E338" s="654">
        <v>0</v>
      </c>
      <c r="F338" s="654">
        <v>0</v>
      </c>
      <c r="G338" s="654">
        <v>0</v>
      </c>
      <c r="H338" s="654">
        <v>0</v>
      </c>
      <c r="I338" s="654">
        <v>0</v>
      </c>
      <c r="J338" s="654">
        <v>0</v>
      </c>
      <c r="K338" s="654">
        <v>0</v>
      </c>
      <c r="L338" s="654">
        <v>0</v>
      </c>
      <c r="M338" s="654">
        <v>0</v>
      </c>
      <c r="N338" s="654">
        <v>0</v>
      </c>
      <c r="O338" s="654">
        <v>0</v>
      </c>
      <c r="P338" s="654">
        <v>0</v>
      </c>
      <c r="Q338" s="654">
        <v>0</v>
      </c>
      <c r="R338" s="654">
        <v>0</v>
      </c>
      <c r="S338" s="654">
        <v>778420</v>
      </c>
      <c r="T338" s="654">
        <v>0</v>
      </c>
      <c r="U338" s="654">
        <v>0</v>
      </c>
      <c r="V338" s="654">
        <v>0</v>
      </c>
      <c r="W338" s="654">
        <v>0</v>
      </c>
      <c r="X338" s="654">
        <v>0</v>
      </c>
      <c r="Y338" s="654">
        <v>2462469</v>
      </c>
      <c r="Z338" s="654">
        <v>778420</v>
      </c>
    </row>
    <row r="339" spans="1:26" x14ac:dyDescent="0.15">
      <c r="B339" t="s">
        <v>567</v>
      </c>
      <c r="C339" t="s">
        <v>473</v>
      </c>
      <c r="D339" s="654">
        <v>0</v>
      </c>
      <c r="E339" s="654">
        <v>0</v>
      </c>
      <c r="F339" s="654">
        <v>0</v>
      </c>
      <c r="G339" s="654">
        <v>0</v>
      </c>
      <c r="H339" s="654">
        <v>0</v>
      </c>
      <c r="I339" s="654">
        <v>0</v>
      </c>
      <c r="J339" s="654">
        <v>0</v>
      </c>
      <c r="K339" s="654">
        <v>1025725</v>
      </c>
      <c r="L339" s="654">
        <v>0</v>
      </c>
      <c r="M339" s="654">
        <v>0</v>
      </c>
      <c r="N339" s="654">
        <v>0</v>
      </c>
      <c r="O339" s="654">
        <v>0</v>
      </c>
      <c r="P339" s="654">
        <v>0</v>
      </c>
      <c r="Q339" s="654">
        <v>0</v>
      </c>
      <c r="R339" s="654">
        <v>0</v>
      </c>
      <c r="S339" s="654">
        <v>78000</v>
      </c>
      <c r="T339" s="654">
        <v>0</v>
      </c>
      <c r="U339" s="654">
        <v>0</v>
      </c>
      <c r="V339" s="654">
        <v>-40000</v>
      </c>
      <c r="W339" s="654">
        <v>13336</v>
      </c>
      <c r="X339" s="654">
        <v>0</v>
      </c>
      <c r="Y339" s="654">
        <v>1077061</v>
      </c>
      <c r="Z339" s="654">
        <v>51336</v>
      </c>
    </row>
    <row r="340" spans="1:26" x14ac:dyDescent="0.15">
      <c r="B340" t="s">
        <v>568</v>
      </c>
      <c r="C340" t="s">
        <v>474</v>
      </c>
      <c r="D340" s="654">
        <v>0</v>
      </c>
      <c r="E340" s="654">
        <v>0</v>
      </c>
      <c r="F340" s="654">
        <v>0</v>
      </c>
      <c r="G340" s="654">
        <v>0</v>
      </c>
      <c r="H340" s="654">
        <v>0</v>
      </c>
      <c r="I340" s="654">
        <v>0</v>
      </c>
      <c r="J340" s="654">
        <v>0</v>
      </c>
      <c r="K340" s="654">
        <v>746482</v>
      </c>
      <c r="L340" s="654">
        <v>0</v>
      </c>
      <c r="M340" s="654">
        <v>0</v>
      </c>
      <c r="N340" s="654">
        <v>0</v>
      </c>
      <c r="O340" s="654">
        <v>0</v>
      </c>
      <c r="P340" s="654">
        <v>0</v>
      </c>
      <c r="Q340" s="654">
        <v>0</v>
      </c>
      <c r="R340" s="654">
        <v>0</v>
      </c>
      <c r="S340" s="654">
        <v>81000</v>
      </c>
      <c r="T340" s="654">
        <v>0</v>
      </c>
      <c r="U340" s="654">
        <v>0</v>
      </c>
      <c r="V340" s="654">
        <v>-30000</v>
      </c>
      <c r="W340" s="654">
        <v>0</v>
      </c>
      <c r="X340" s="654">
        <v>0</v>
      </c>
      <c r="Y340" s="654">
        <v>797482</v>
      </c>
      <c r="Z340" s="654">
        <v>51000</v>
      </c>
    </row>
    <row r="341" spans="1:26" x14ac:dyDescent="0.15">
      <c r="B341" t="s">
        <v>582</v>
      </c>
      <c r="C341" t="s">
        <v>384</v>
      </c>
      <c r="D341" s="654">
        <v>0</v>
      </c>
      <c r="E341" s="654">
        <v>0</v>
      </c>
      <c r="F341" s="654">
        <v>0</v>
      </c>
      <c r="G341" s="654">
        <v>0</v>
      </c>
      <c r="H341" s="654">
        <v>0</v>
      </c>
      <c r="I341" s="654">
        <v>0</v>
      </c>
      <c r="J341" s="654">
        <v>0</v>
      </c>
      <c r="K341" s="654">
        <v>2509810</v>
      </c>
      <c r="L341" s="654">
        <v>0</v>
      </c>
      <c r="M341" s="654">
        <v>0</v>
      </c>
      <c r="N341" s="654">
        <v>0</v>
      </c>
      <c r="O341" s="654">
        <v>0</v>
      </c>
      <c r="P341" s="654">
        <v>0</v>
      </c>
      <c r="Q341" s="654">
        <v>0</v>
      </c>
      <c r="R341" s="654">
        <v>0</v>
      </c>
      <c r="S341" s="654">
        <v>400000</v>
      </c>
      <c r="T341" s="654">
        <v>0</v>
      </c>
      <c r="U341" s="654">
        <v>0</v>
      </c>
      <c r="V341" s="654">
        <v>-100000</v>
      </c>
      <c r="W341" s="654">
        <v>22010</v>
      </c>
      <c r="X341" s="654">
        <v>0</v>
      </c>
      <c r="Y341" s="654">
        <v>2831820</v>
      </c>
      <c r="Z341" s="654">
        <v>322010</v>
      </c>
    </row>
    <row r="342" spans="1:26" x14ac:dyDescent="0.15">
      <c r="B342" t="s">
        <v>629</v>
      </c>
      <c r="C342" t="s">
        <v>676</v>
      </c>
      <c r="D342" s="654">
        <v>0</v>
      </c>
      <c r="E342" s="654">
        <v>0</v>
      </c>
      <c r="F342" s="654">
        <v>0</v>
      </c>
      <c r="G342" s="654">
        <v>0</v>
      </c>
      <c r="H342" s="654">
        <v>0</v>
      </c>
      <c r="I342" s="654">
        <v>4128975</v>
      </c>
      <c r="J342" s="654">
        <v>0</v>
      </c>
      <c r="K342" s="654">
        <v>0</v>
      </c>
      <c r="L342" s="654">
        <v>0</v>
      </c>
      <c r="M342" s="654">
        <v>0</v>
      </c>
      <c r="N342" s="654">
        <v>9000</v>
      </c>
      <c r="O342" s="654">
        <v>0</v>
      </c>
      <c r="P342" s="654">
        <v>0</v>
      </c>
      <c r="Q342" s="654">
        <v>0</v>
      </c>
      <c r="R342" s="654">
        <v>0</v>
      </c>
      <c r="S342" s="654">
        <v>0</v>
      </c>
      <c r="T342" s="654">
        <v>288000</v>
      </c>
      <c r="U342" s="654">
        <v>0</v>
      </c>
      <c r="V342" s="654">
        <v>0</v>
      </c>
      <c r="W342" s="654">
        <v>0</v>
      </c>
      <c r="X342" s="654">
        <v>0</v>
      </c>
      <c r="Y342" s="654">
        <v>4425975</v>
      </c>
      <c r="Z342" s="654">
        <v>297000</v>
      </c>
    </row>
    <row r="343" spans="1:26" x14ac:dyDescent="0.15">
      <c r="B343" t="s">
        <v>965</v>
      </c>
      <c r="C343" t="s">
        <v>986</v>
      </c>
      <c r="D343" s="654">
        <v>13148</v>
      </c>
      <c r="E343" s="654">
        <v>0</v>
      </c>
      <c r="F343" s="654">
        <v>0</v>
      </c>
      <c r="G343" s="654">
        <v>0</v>
      </c>
      <c r="H343" s="654">
        <v>0</v>
      </c>
      <c r="I343" s="654">
        <v>0</v>
      </c>
      <c r="J343" s="654">
        <v>0</v>
      </c>
      <c r="K343" s="654">
        <v>0</v>
      </c>
      <c r="L343" s="654">
        <v>0</v>
      </c>
      <c r="M343" s="654">
        <v>0</v>
      </c>
      <c r="N343" s="654">
        <v>0</v>
      </c>
      <c r="O343" s="654">
        <v>0</v>
      </c>
      <c r="P343" s="654">
        <v>0</v>
      </c>
      <c r="Q343" s="654">
        <v>0</v>
      </c>
      <c r="R343" s="654">
        <v>0</v>
      </c>
      <c r="S343" s="654">
        <v>0</v>
      </c>
      <c r="T343" s="654">
        <v>0</v>
      </c>
      <c r="U343" s="654">
        <v>0</v>
      </c>
      <c r="V343" s="654">
        <v>0</v>
      </c>
      <c r="W343" s="654">
        <v>0</v>
      </c>
      <c r="X343" s="654">
        <v>0</v>
      </c>
      <c r="Y343" s="654">
        <v>13148</v>
      </c>
      <c r="Z343" s="654">
        <v>0</v>
      </c>
    </row>
    <row r="344" spans="1:26" x14ac:dyDescent="0.15">
      <c r="B344" t="s">
        <v>1201</v>
      </c>
      <c r="C344" t="s">
        <v>1199</v>
      </c>
      <c r="D344" s="654">
        <v>1324858</v>
      </c>
      <c r="E344" s="654">
        <v>0</v>
      </c>
      <c r="F344" s="654">
        <v>517678</v>
      </c>
      <c r="G344" s="654">
        <v>0</v>
      </c>
      <c r="H344" s="654">
        <v>0</v>
      </c>
      <c r="I344" s="654">
        <v>0</v>
      </c>
      <c r="J344" s="654">
        <v>0</v>
      </c>
      <c r="K344" s="654">
        <v>0</v>
      </c>
      <c r="L344" s="654">
        <v>0</v>
      </c>
      <c r="M344" s="654">
        <v>0</v>
      </c>
      <c r="N344" s="654">
        <v>11050</v>
      </c>
      <c r="O344" s="654">
        <v>50090</v>
      </c>
      <c r="P344" s="654">
        <v>0</v>
      </c>
      <c r="Q344" s="654">
        <v>1518</v>
      </c>
      <c r="R344" s="654">
        <v>0</v>
      </c>
      <c r="S344" s="654">
        <v>0</v>
      </c>
      <c r="T344" s="654">
        <v>0</v>
      </c>
      <c r="U344" s="654">
        <v>0</v>
      </c>
      <c r="V344" s="654">
        <v>0</v>
      </c>
      <c r="W344" s="654">
        <v>0</v>
      </c>
      <c r="X344" s="654">
        <v>0</v>
      </c>
      <c r="Y344" s="654">
        <v>1905194</v>
      </c>
      <c r="Z344" s="654">
        <v>62658</v>
      </c>
    </row>
    <row r="345" spans="1:26" x14ac:dyDescent="0.15">
      <c r="B345" t="s">
        <v>1386</v>
      </c>
      <c r="C345" t="s">
        <v>1384</v>
      </c>
      <c r="D345" s="654">
        <v>0</v>
      </c>
      <c r="E345" s="654">
        <v>0</v>
      </c>
      <c r="F345" s="654">
        <v>0</v>
      </c>
      <c r="G345" s="654">
        <v>0</v>
      </c>
      <c r="H345" s="654">
        <v>0</v>
      </c>
      <c r="I345" s="654">
        <v>0</v>
      </c>
      <c r="J345" s="654">
        <v>0</v>
      </c>
      <c r="K345" s="654">
        <v>1867332</v>
      </c>
      <c r="L345" s="654">
        <v>0</v>
      </c>
      <c r="M345" s="654">
        <v>0</v>
      </c>
      <c r="N345" s="654">
        <v>0</v>
      </c>
      <c r="O345" s="654">
        <v>0</v>
      </c>
      <c r="P345" s="654">
        <v>0</v>
      </c>
      <c r="Q345" s="654">
        <v>0</v>
      </c>
      <c r="R345" s="654">
        <v>0</v>
      </c>
      <c r="S345" s="654">
        <v>280000</v>
      </c>
      <c r="T345" s="654">
        <v>0</v>
      </c>
      <c r="U345" s="654">
        <v>0</v>
      </c>
      <c r="V345" s="654">
        <v>-70000</v>
      </c>
      <c r="W345" s="654">
        <v>0</v>
      </c>
      <c r="X345" s="654">
        <v>0</v>
      </c>
      <c r="Y345" s="654">
        <v>2077332</v>
      </c>
      <c r="Z345" s="654">
        <v>210000</v>
      </c>
    </row>
    <row r="346" spans="1:26" x14ac:dyDescent="0.15">
      <c r="A346" s="653" t="s">
        <v>1531</v>
      </c>
      <c r="B346"/>
      <c r="D346" s="654">
        <v>20916664</v>
      </c>
      <c r="E346" s="654">
        <v>0</v>
      </c>
      <c r="F346" s="654">
        <v>6023304</v>
      </c>
      <c r="G346" s="654">
        <v>0</v>
      </c>
      <c r="H346" s="654">
        <v>1414552</v>
      </c>
      <c r="I346" s="654">
        <v>4128975</v>
      </c>
      <c r="J346" s="654">
        <v>0</v>
      </c>
      <c r="K346" s="654">
        <v>6149349</v>
      </c>
      <c r="L346" s="654">
        <v>0</v>
      </c>
      <c r="M346" s="654">
        <v>0</v>
      </c>
      <c r="N346" s="654">
        <v>582304</v>
      </c>
      <c r="O346" s="654">
        <v>307309</v>
      </c>
      <c r="P346" s="654">
        <v>270210</v>
      </c>
      <c r="Q346" s="654">
        <v>16485</v>
      </c>
      <c r="R346" s="654">
        <v>282800</v>
      </c>
      <c r="S346" s="654">
        <v>1617420</v>
      </c>
      <c r="T346" s="654">
        <v>288000</v>
      </c>
      <c r="U346" s="654">
        <v>72000</v>
      </c>
      <c r="V346" s="654">
        <v>-240000</v>
      </c>
      <c r="W346" s="654">
        <v>35346</v>
      </c>
      <c r="X346" s="654">
        <v>0</v>
      </c>
      <c r="Y346" s="654">
        <v>41864718</v>
      </c>
      <c r="Z346" s="654">
        <v>3231874</v>
      </c>
    </row>
    <row r="347" spans="1:26" x14ac:dyDescent="0.15">
      <c r="A347" s="653" t="s">
        <v>592</v>
      </c>
      <c r="B347"/>
      <c r="D347" s="654">
        <v>620961138</v>
      </c>
      <c r="E347" s="654">
        <v>64472802</v>
      </c>
      <c r="F347" s="654">
        <v>134927625</v>
      </c>
      <c r="G347" s="654">
        <v>27776597</v>
      </c>
      <c r="H347" s="654">
        <v>37252294</v>
      </c>
      <c r="I347" s="654">
        <v>110977661</v>
      </c>
      <c r="J347" s="654">
        <v>5646229</v>
      </c>
      <c r="K347" s="654">
        <v>114102211</v>
      </c>
      <c r="L347" s="654">
        <v>6957274</v>
      </c>
      <c r="M347" s="654">
        <v>166890</v>
      </c>
      <c r="N347" s="654">
        <v>19240866</v>
      </c>
      <c r="O347" s="654">
        <v>6924716</v>
      </c>
      <c r="P347" s="654">
        <v>35576908</v>
      </c>
      <c r="Q347" s="654">
        <v>391927</v>
      </c>
      <c r="R347" s="654">
        <v>8031185</v>
      </c>
      <c r="S347" s="654">
        <v>42347251</v>
      </c>
      <c r="T347" s="654">
        <v>6638250</v>
      </c>
      <c r="U347" s="654">
        <v>1168250</v>
      </c>
      <c r="V347" s="654">
        <v>-4570000</v>
      </c>
      <c r="W347" s="654">
        <v>4259136</v>
      </c>
      <c r="X347" s="654">
        <v>282960</v>
      </c>
      <c r="Y347" s="654">
        <v>1138679268</v>
      </c>
      <c r="Z347" s="654">
        <v>120291449</v>
      </c>
    </row>
  </sheetData>
  <phoneticPr fontId="40"/>
  <pageMargins left="0.7" right="0.7" top="0.75" bottom="0.75" header="0.3" footer="0.3"/>
  <pageSetup paperSize="9"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38</vt:i4>
      </vt:variant>
      <vt:variant>
        <vt:lpstr>名前付き一覧</vt:lpstr>
      </vt:variant>
      <vt:variant>
        <vt:i4>50</vt:i4>
      </vt:variant>
    </vt:vector>
  </HeadingPairs>
  <TitlesOfParts>
    <vt:vector size="88" baseType="lpstr">
      <vt:lpstr>国保連売上データ</vt:lpstr>
      <vt:lpstr>事業所売上データ</vt:lpstr>
      <vt:lpstr>事業所収支データ</vt:lpstr>
      <vt:lpstr>処遇改善加算データ</vt:lpstr>
      <vt:lpstr>パート法定福利費処遇改善計算</vt:lpstr>
      <vt:lpstr>社員・パート別稼働データ</vt:lpstr>
      <vt:lpstr>メモ</vt:lpstr>
      <vt:lpstr>【ピボット】国保連売上</vt:lpstr>
      <vt:lpstr>【ピボット】事業所売上</vt:lpstr>
      <vt:lpstr>【ピボット】事業所収支</vt:lpstr>
      <vt:lpstr>【ピボット】処遇改善加算</vt:lpstr>
      <vt:lpstr>リスト</vt:lpstr>
      <vt:lpstr>事業所MT用</vt:lpstr>
      <vt:lpstr>【ピボット】国保連売上_月例報告用</vt:lpstr>
      <vt:lpstr>推移</vt:lpstr>
      <vt:lpstr>経費推移</vt:lpstr>
      <vt:lpstr>売上推移</vt:lpstr>
      <vt:lpstr>国保連単月売上</vt:lpstr>
      <vt:lpstr>事業所別単月収支</vt:lpstr>
      <vt:lpstr>事業所別収支</vt:lpstr>
      <vt:lpstr>処遇改善加算金支払い実績</vt:lpstr>
      <vt:lpstr>事業所別推移(事業所分担なし)(加算抜き)</vt:lpstr>
      <vt:lpstr>事業所別推移(事業所分担なし) </vt:lpstr>
      <vt:lpstr>H29事業所別返戻管理表</vt:lpstr>
      <vt:lpstr>事業所損益管理(H29.9～H30.8)収支計画表</vt:lpstr>
      <vt:lpstr>事業所損益管理(H29.9～H30.8)収支計画表(査定)</vt:lpstr>
      <vt:lpstr>☆事業所損益管理(H30.9～H31.8)(計画)</vt:lpstr>
      <vt:lpstr>事業所損益管理(H30.9～H31.8)</vt:lpstr>
      <vt:lpstr>事業所損益管理(H30.9～H31.8)_査定</vt:lpstr>
      <vt:lpstr>H29収支予測(本部)</vt:lpstr>
      <vt:lpstr>H30収支予測</vt:lpstr>
      <vt:lpstr>西広売上計算</vt:lpstr>
      <vt:lpstr>社員・パート別稼働表【2月比較】</vt:lpstr>
      <vt:lpstr>H30年度収支予測</vt:lpstr>
      <vt:lpstr>H31.4月 月例報告</vt:lpstr>
      <vt:lpstr>★H30管理部算定根拠</vt:lpstr>
      <vt:lpstr>★H30経費計算用</vt:lpstr>
      <vt:lpstr>H30管理部予測</vt:lpstr>
      <vt:lpstr>ＧＨ五井収支</vt:lpstr>
      <vt:lpstr>'☆事業所損益管理(H30.9～H31.8)(計画)'!Print_Area</vt:lpstr>
      <vt:lpstr>★H30管理部算定根拠!Print_Area</vt:lpstr>
      <vt:lpstr>★H30経費計算用!Print_Area</vt:lpstr>
      <vt:lpstr>H29事業所別返戻管理表!Print_Area</vt:lpstr>
      <vt:lpstr>'H29収支予測(本部)'!Print_Area</vt:lpstr>
      <vt:lpstr>H30管理部予測!Print_Area</vt:lpstr>
      <vt:lpstr>H30収支予測!Print_Area</vt:lpstr>
      <vt:lpstr>H30年度収支予測!Print_Area</vt:lpstr>
      <vt:lpstr>'H31.4月 月例報告'!Print_Area</vt:lpstr>
      <vt:lpstr>パート法定福利費処遇改善計算!Print_Area</vt:lpstr>
      <vt:lpstr>経費推移!Print_Area</vt:lpstr>
      <vt:lpstr>国保連単月売上!Print_Area</vt:lpstr>
      <vt:lpstr>'事業所損益管理(H29.9～H30.8)収支計画表'!Print_Area</vt:lpstr>
      <vt:lpstr>'事業所損益管理(H29.9～H30.8)収支計画表(査定)'!Print_Area</vt:lpstr>
      <vt:lpstr>'事業所損益管理(H30.9～H31.8)'!Print_Area</vt:lpstr>
      <vt:lpstr>'事業所損益管理(H30.9～H31.8)_査定'!Print_Area</vt:lpstr>
      <vt:lpstr>事業所別収支!Print_Area</vt:lpstr>
      <vt:lpstr>'事業所別推移(事業所分担なし) '!Print_Area</vt:lpstr>
      <vt:lpstr>'事業所別推移(事業所分担なし)(加算抜き)'!Print_Area</vt:lpstr>
      <vt:lpstr>事業所別単月収支!Print_Area</vt:lpstr>
      <vt:lpstr>社員・パート別稼働表【2月比較】!Print_Area</vt:lpstr>
      <vt:lpstr>推移!Print_Area</vt:lpstr>
      <vt:lpstr>売上推移!Print_Area</vt:lpstr>
      <vt:lpstr>パート法定福利費処遇改善計算!Print_Titles</vt:lpstr>
      <vt:lpstr>処遇改善加算金支払い実績!Print_Titles</vt:lpstr>
      <vt:lpstr>推移!Print_Titles</vt:lpstr>
      <vt:lpstr>range_H30売上</vt:lpstr>
      <vt:lpstr>range_事業所損益管理1</vt:lpstr>
      <vt:lpstr>range_事業所損益管理3</vt:lpstr>
      <vt:lpstr>range_推移期累計</vt:lpstr>
      <vt:lpstr>range_推移事業所別売上</vt:lpstr>
      <vt:lpstr>range_推移事業所名</vt:lpstr>
      <vt:lpstr>range_推移事業名</vt:lpstr>
      <vt:lpstr>range_推移前月売上</vt:lpstr>
      <vt:lpstr>range_推移当月売上</vt:lpstr>
      <vt:lpstr>range_表示年月</vt:lpstr>
      <vt:lpstr>稼働データ項目名</vt:lpstr>
      <vt:lpstr>姉崎収支</vt:lpstr>
      <vt:lpstr>事業所別収支_TOP</vt:lpstr>
      <vt:lpstr>処遇改善プール額</vt:lpstr>
      <vt:lpstr>蘇我収支</vt:lpstr>
      <vt:lpstr>中高根収支</vt:lpstr>
      <vt:lpstr>当期月数</vt:lpstr>
      <vt:lpstr>二日市場収支</vt:lpstr>
      <vt:lpstr>年間平均売上高</vt:lpstr>
      <vt:lpstr>白金ディ収支</vt:lpstr>
      <vt:lpstr>白金収支</vt:lpstr>
      <vt:lpstr>★H30経費計算用!部門名</vt:lpstr>
      <vt:lpstr>誉田収支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MIURA</dc:creator>
  <cp:lastModifiedBy>WADA</cp:lastModifiedBy>
  <cp:lastPrinted>2019-05-20T01:40:34Z</cp:lastPrinted>
  <dcterms:created xsi:type="dcterms:W3CDTF">2013-01-11T00:23:58Z</dcterms:created>
  <dcterms:modified xsi:type="dcterms:W3CDTF">2019-05-21T08:21:23Z</dcterms:modified>
</cp:coreProperties>
</file>